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S coding" sheetId="1" r:id="rId4"/>
    <sheet state="visible" name="Validation summary" sheetId="2" r:id="rId5"/>
    <sheet state="visible" name="ES calculations" sheetId="3" r:id="rId6"/>
    <sheet state="visible" name="Data validation" sheetId="4" r:id="rId7"/>
    <sheet state="visible" name="File Links" sheetId="5" r:id="rId8"/>
  </sheets>
  <definedNames>
    <definedName hidden="1" localSheetId="0" name="_xlnm._FilterDatabase">'COS coding'!$A$2:$AY$3398</definedName>
    <definedName hidden="1" localSheetId="0" name="Z_FA5DB73F_50D0_4C4B_A1D0_B837BDE36C38_.wvu.FilterData">'COS coding'!$B$2:$BD$1416</definedName>
    <definedName hidden="1" localSheetId="0" name="Z_DF2791B1_7E76_4702_9489_D7E9A8AA1950_.wvu.FilterData">'COS coding'!$B$2:$AZ$1416</definedName>
  </definedNames>
  <calcPr/>
  <customWorkbookViews>
    <customWorkbookView activeSheetId="0" maximized="1" windowHeight="0" windowWidth="0" guid="{FA5DB73F-50D0-4C4B-A1D0-B837BDE36C38}" name="Filter 2"/>
    <customWorkbookView activeSheetId="0" maximized="1" windowHeight="0" windowWidth="0" guid="{DF2791B1-7E76-4702-9489-D7E9A8AA1950}" name="Missing PDFs"/>
  </customWorkbookViews>
  <pivotCaches>
    <pivotCache cacheId="0" r:id="rId9"/>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3">
      <text>
        <t xml:space="preserve">This should be verbatim from the article, but can be pieced together. Information from tables should be reported, e.g. "(in Table 2: r = .xx, p &lt; .0x)"</t>
      </text>
    </comment>
    <comment authorId="0" ref="L3122">
      <text>
        <t xml:space="preserve">changed n_o to 62
	-Sophie Schüller
changed study_o to 1
	-Sophie Schüller</t>
      </text>
    </comment>
    <comment authorId="0" ref="Q1340">
      <text>
        <t xml:space="preserve">@lukas.roeseler@gmail.com
	-Sophie Schüller</t>
      </text>
    </comment>
    <comment authorId="0" ref="X1278">
      <text>
        <t xml:space="preserve">@lukas.roeseler@gmail.com
	-Sophie Schüller</t>
      </text>
    </comment>
    <comment authorId="0" ref="Q1278">
      <text>
        <t xml:space="preserve">@lukas.roeseler@gmail.com
	-Sophie Schüller</t>
      </text>
    </comment>
    <comment authorId="0" ref="AP657">
      <text>
        <t xml:space="preserve">these are the target article findings from the replication (in my opinion should be coded as es_value_o)
	-Sophie Schüller</t>
      </text>
    </comment>
    <comment authorId="0" ref="AG658">
      <text>
        <t xml:space="preserve">.31 (table 2)
	-Sophie Schüller</t>
      </text>
    </comment>
    <comment authorId="0" ref="AG657">
      <text>
        <t xml:space="preserve">.28 from replication (table 2)
	-Sophie Schüller</t>
      </text>
    </comment>
    <comment authorId="0" ref="Q648">
      <text>
        <t xml:space="preserve">@lukas.roeseler@gmail.com
	-Sophie Schüller</t>
      </text>
    </comment>
    <comment authorId="0" ref="AW613">
      <text>
        <t xml:space="preserve">"We did not
preregister the analyses as we did not have experience with
measurements of force or facial EMG."
	-Sophie Schüller</t>
      </text>
    </comment>
    <comment authorId="0" ref="B3079">
      <text>
        <t xml:space="preserve">@sarahashjones@gmail.com The replication effect was not coded. Since the table seems to be very complicated, I think it would be very helpful if a third person could have a look on it. Otherwise, I would suggest to reallocate the row.
_Assigned to sarahashjones@gmail.com_
	-Corinna Gemmecke</t>
      </text>
    </comment>
    <comment authorId="0" ref="L3017">
      <text>
        <t xml:space="preserve">@lukasroeseler@gmail.com: n the original study, no effect size was reported—only the percentage values. Tafere has provided the effect size here for the original study, which was calculated by the authors of the replication study. I would rather calculate the values myself using the "ES calculations" spreadsheet. If I understood correctly, the values should preferably be calculated independently and not taken from the replication study—correct?
_Assigned to lukasroeseler@gmail.com_
	-Corinna Gemmecke</t>
      </text>
    </comment>
    <comment authorId="0" ref="W599">
      <text>
        <t xml:space="preserve">"direct and conceptual replication"
	-Sophie Schüller</t>
      </text>
    </comment>
    <comment authorId="0" ref="AX593">
      <text>
        <t xml:space="preserve">author from original study is included- should be corrected?
	-Sophie Schüller</t>
      </text>
    </comment>
    <comment authorId="0" ref="AF593">
      <text>
        <t xml:space="preserve">this refers to number of participants (listeners)
	-Sophie Schüller</t>
      </text>
    </comment>
    <comment authorId="0" ref="AF587">
      <text>
        <t xml:space="preserve">this refers to number of observations (speakers x listeners)
	-Sophie Schüller</t>
      </text>
    </comment>
    <comment authorId="0" ref="B562">
      <text>
        <t xml:space="preserve">@lukas.roeseler@gmail.com
	-Sophie Schüller</t>
      </text>
    </comment>
    <comment authorId="0" ref="B539">
      <text>
        <t xml:space="preserve">539- 550 no core analisis (not mentioned in the text) and some missing values (unreported)
	-Sophie Schüller</t>
      </text>
    </comment>
    <comment authorId="0" ref="AP534">
      <text>
        <t xml:space="preserve">ATE Effect
	-Sophie Schüller</t>
      </text>
    </comment>
    <comment authorId="0" ref="AP533">
      <text>
        <t xml:space="preserve">ITT/= 
ATE
effect
	-Sophie Schüller</t>
      </text>
    </comment>
    <comment authorId="0" ref="AG535">
      <text>
        <t xml:space="preserve">0.121 bstd
	-Sophie Schüller</t>
      </text>
    </comment>
    <comment authorId="0" ref="AJ533">
      <text>
        <t xml:space="preserve">"p value adjusted for clustering" but there are other p values available
	-Sophie Schüller
If you have not done so, yet, can you please add "other p values available" to the notes? clustered p-values do not need a comment here, coding nested_o as "yes" is sufficient :-)
	-Lukas Röseler</t>
      </text>
    </comment>
    <comment authorId="0" ref="AG534">
      <text>
        <t xml:space="preserve">in my opinion this would be bunstd , bstd would be 0.106
	-Sophie Schüller</t>
      </text>
    </comment>
    <comment authorId="0" ref="AG533">
      <text>
        <t xml:space="preserve">in my opinion, b= 0.273 (unstd) and stand b = 0.117
	-Sophie Schüller
"Column (1) reports the ITT coefficient (outcome difference between ITT
= 1 and ITT
= 0) in standard deviations and the coefficient’s unadjusted robust standard error in parenthese"
I would code it as "beta", so unstandardized in that it cannot be interpreted like a correlation (although it is standardized so that it can be interpreted as the difference in standard deviations (like a Z score or Cohen's d).
	-Lukas Röseler</t>
      </text>
    </comment>
    <comment authorId="0" ref="AI533">
      <text>
        <t xml:space="preserve">p114 in document that is linked
	-Sophie Schüller</t>
      </text>
    </comment>
    <comment authorId="0" ref="AE533">
      <text>
        <t xml:space="preserve">p 117 in the document that is linked
	-Sophie Schüller</t>
      </text>
    </comment>
    <comment authorId="0" ref="AG2369">
      <text>
        <t xml:space="preserve">should only contain value or something like F(x,y)=value
	-Lukas Röseler</t>
      </text>
    </comment>
    <comment authorId="0" ref="AJ561">
      <text>
        <t xml:space="preserve">@sophiemarieschueller@gmail.com bitte "NA" berichten (hier stand: "NOT REPORTED", dann wird das automatisch von R erkannt und wir sehen, dass der Wert gefehlt hat (vs. vergessen wurde, wenn die Zelle leer ist)
	-Lukas Röseler</t>
      </text>
    </comment>
    <comment authorId="0" ref="AS113">
      <text>
        <t xml:space="preserve">@sophiemarieschueller@gmail.com : Nur kurz zur Info: hier stand "p = 0.00", bitte kodieren als pval_value_r = 0 und pval_type_r = "e (=)"
	-Lukas Röseler</t>
      </text>
    </comment>
    <comment authorId="0" ref="B2681">
      <text>
        <t xml:space="preserve">@sarahashjones@gmail.com Please recheck the entries. I compared them to Diegos entries (above). However, I had to correct lass values of Daniel and therefore chose his rows. I also left a comment for Lukas regarding the exclusion of one entry. I would like to emphazise once more that some original studies use concepts that are remarkably different to the big five and that the effects should be interpreted with caution. I always coded the corrected values of the replication study.
_Assigned to sarahashjones@gmail.com_
	-Corinna Gemmecke</t>
      </text>
    </comment>
    <comment authorId="0" ref="L2693">
      <text>
        <t xml:space="preserve">@lukas.roeseler@gmail.com Please have a look on this study. I would suggest du exclude the effect.
_Assigned to lukas.roeseler@gmail.com_
	-Corinna Gemmecke
Thank you for the great documentation! I agree and added the explanation to the exclusion variable. Please don't enter "NA" into the exclusion variable - or let me know if entering NA is very important for you to keep track of what has been coded. The current data processing code will remove any row where there is "NA" or any other value/character in the "exclusion" variable.
	-Lukas Röseler</t>
      </text>
    </comment>
    <comment authorId="0" ref="B2659">
      <text>
        <t xml:space="preserve">@sarahashjones@gmail.com Please recheck these entries
_Assigned to sarahashjones@gmail.com_
	-Corinna Gemmecke</t>
      </text>
    </comment>
    <comment authorId="0" ref="L2416">
      <text>
        <t xml:space="preserve">@sarahashjone@gmail.com Would you agree with me? Otherwise I am happy  to validate the rest of the row.
_Assigned to sarahashjone@gmail.com_
	-Corinna Gemmecke</t>
      </text>
    </comment>
    <comment authorId="0" ref="L2670">
      <text>
        <t xml:space="preserve">@sarahashjones@gmail.com Please recheck this study. It was a bit confusing.
_Assigned to sarahashjones@gmail.com_
	-Corinna Gemmecke</t>
      </text>
    </comment>
    <comment authorId="0" ref="AZ2659">
      <text>
        <t xml:space="preserve">Hi Corinna, Sorry for the oversight - these are the second coders values for the first half of the SOTO dataset. This should now mean you have everything you need (all double coded entries) for the SOTO rows. :) @corinna.gemmecke@tu-dortmund.de
_Assigned to corinna.gemmecke_
	-Sarah “AJ” Ashcroft-Jones</t>
      </text>
    </comment>
    <comment authorId="0" ref="AH1118">
      <text>
        <t xml:space="preserve">@sarahashjones@gmail.com just so that you don't wonder: I reverted this, originally thought it could be calculated as an OR. There are statistical tests in the original that are better to code, but I can't find the replication report ... unless you can see that immediately, we can keep this as is.
_Assigned to sarahashjones@gmail.com_
	-Lukas Wallrich</t>
      </text>
    </comment>
    <comment authorId="0" ref="AN1118">
      <text>
        <t xml:space="preserve">@sarahashjones@gmail.com not a pre-registration - remove?
_Assigned to sarahashjones@gmail.com_
	-Lukas Wallrich</t>
      </text>
    </comment>
    <comment authorId="0" ref="B2542">
      <text>
        <t xml:space="preserve">@sarahashjones@gmail.com please recheck the entries
_Assigned to sarahashjones@gmail.com_
	-Corinna Gemmecke</t>
      </text>
    </comment>
    <comment authorId="0" ref="B2588">
      <text>
        <t xml:space="preserve">@sarahashjones@gmail.com Please recheck the entries
_Assigned to sarahashjones@gmail.com_
	-Corinna Gemmecke</t>
      </text>
    </comment>
    <comment authorId="0" ref="B2578">
      <text>
        <t xml:space="preserve">@sarahashjones@gmail.com please recheck these entries
_Assigned to sarahashjones@gmail.com_
	-Corinna Gemmecke</t>
      </text>
    </comment>
    <comment authorId="0" ref="B1806">
      <text>
        <t xml:space="preserve">@sarahashjones@gmail.com Please recheck these entries
_Assigned to sarahashjones@gmail.com_
	-Corinna Gemmecke</t>
      </text>
    </comment>
    <comment authorId="0" ref="B1493">
      <text>
        <t xml:space="preserve">@lukas.roeseler@uni-muenster.de
	-Sophie Schüller</t>
      </text>
    </comment>
    <comment authorId="0" ref="B1790">
      <text>
        <t xml:space="preserve">@sarahashjones@gmail.com please recheck the entries
_Assigned to sarahashjones@gmail.com_
	-Corinna Gemmecke
The corresponding rows are below
	-Corinna Gemmecke</t>
      </text>
    </comment>
    <comment authorId="0" ref="B1779">
      <text>
        <t xml:space="preserve">@sarahashjones@gmail.com please recheck these entries (the corresponding rows are below)
_Assigned to sarahashjones@gmail.com_
	-Corinna Gemmecke</t>
      </text>
    </comment>
    <comment authorId="0" ref="K1783">
      <text>
        <t xml:space="preserve">@lukas.roeseler@gmail.com should those effects be coded as well?
_Assigned to lukas.roeseler@gmail.com_
	-Corinna Gemmecke</t>
      </text>
    </comment>
    <comment authorId="0" ref="B2595">
      <text>
        <t xml:space="preserve">@sarahashjones@gmail.com Please recheck the entries (the corresponding rows are above)
_Assigned to sarahashjones@gmail.com_
	-Corinna Gemmecke</t>
      </text>
    </comment>
    <comment authorId="0" ref="B2548">
      <text>
        <t xml:space="preserve">@sarahashjones@gmail.com Please recheck these entries (the corresponding rows are above in the table) - I searched for the ID
_Assigned to sarahashjones@gmail.com_
	-Corinna Gemmecke</t>
      </text>
    </comment>
    <comment authorId="0" ref="B468">
      <text>
        <t xml:space="preserve">@sarahashjones@gmail.com Please recheck the entries
_Assigned to sarahashjones@gmail.com_
	-Corinna Gemmecke</t>
      </text>
    </comment>
    <comment authorId="0" ref="AV2116">
      <text>
        <t xml:space="preserve">@lukas.roeseler@uni-muenster.de
	-Sophie Schüller</t>
      </text>
    </comment>
    <comment authorId="0" ref="B265">
      <text>
        <t xml:space="preserve">@sarahashjones@gmail.com the effect of workplace and sociability were not coded (and no interacting effects). Maybe you should consider to send this study out for a third coding.
_Assigned to sarahashjones@gmail.com_
	-Corinna Gemmecke
Please recheck the entries. Since the second coder coded other effects, I would suggest to keep both codings. The disciplines do not align, but both would be a good fit.
	-Corinna Gemmecke</t>
      </text>
    </comment>
    <comment authorId="0" ref="B248">
      <text>
        <t xml:space="preserve">@sarahashjones@gmail.com Please recheck these entries
_Assigned to sarahashjones@gmail.com_
	-Corinna Gemmecke</t>
      </text>
    </comment>
    <comment authorId="0" ref="AZ1579">
      <text>
        <t xml:space="preserve">@sophiemarieschueller@gmail.com : The second coder is missing here because it was originally coded by myself. Can you please go to the papers and check if the numbers match the reported ones?
	-Lukas Röseler</t>
      </text>
    </comment>
    <comment authorId="0" ref="B124">
      <text>
        <t xml:space="preserve">@lukas.roeseler@uni-muenster.de or @sarahashjones@gmail.com This study took me a lot of time, and it was indeed messy. Since I don't know how the coders calculated the N, and I changed most of the entries, it would be great if you could take a look at the paper as well. Moreover, I think two rows are missing—specifically, two rows regarding any antipsychotic use. Should I code them myself, should the coders add them, or should we ignore them? I'm happy to code them, but in that case, they wouldn't be coded or validated, of course.
_Assigned to lukas.roeseler_
	-Corinna Gemmecke</t>
      </text>
    </comment>
    <comment authorId="0" ref="B1768">
      <text>
        <t xml:space="preserve">@sarahashjones@gmail.com Please recheck this entry.
_Assigned to sarahashjones@gmail.com_
	-Corinna Gemmecke</t>
      </text>
    </comment>
    <comment authorId="0" ref="B1860">
      <text>
        <t xml:space="preserve">@sarahashjones@gmail.com Please recheck this entry.
_Assigned to sarahashjones@gmail.com_
	-Corinna Gemmecke</t>
      </text>
    </comment>
    <comment authorId="0" ref="B1853">
      <text>
        <t xml:space="preserve">@sarahashjones@gmail.com please recheck these entries. Maureen did not code them, since no specific effect sizes can be inferred from the original study.
_Assigned to sarahashjones@gmail.com_
	-Corinna Gemmecke</t>
      </text>
    </comment>
    <comment authorId="0" ref="B1855">
      <text>
        <t xml:space="preserve">@sarahashjones@gmail.com Please recheck this entry.
_Assigned to sarahashjones@gmail.com_
	-Corinna Gemmecke</t>
      </text>
    </comment>
    <comment authorId="0" ref="B1843">
      <text>
        <t xml:space="preserve">@sarahashjones@gmail.com Please recheck this entry.
_Assigned to sarahashjones@gmail.com_
	-Corinna Gemmecke</t>
      </text>
    </comment>
    <comment authorId="0" ref="B1841">
      <text>
        <t xml:space="preserve">@sarahashjones@gmail.com Please recheck this entry.
_Assigned to sarahashjones@gmail.com_
	-Corinna Gemmecke</t>
      </text>
    </comment>
    <comment authorId="0" ref="B1833">
      <text>
        <t xml:space="preserve">@sarahashjones@gmail.com Please recheck this entry.
_Assigned to sarahashjones@gmail.com_
	-Corinna Gemmecke</t>
      </text>
    </comment>
    <comment authorId="0" ref="B1826">
      <text>
        <t xml:space="preserve">@sarahashjones@gmail.com Please recheck this entry.
_Assigned to sarahashjones@gmail.com_
	-Corinna Gemmecke</t>
      </text>
    </comment>
    <comment authorId="0" ref="B1822">
      <text>
        <t xml:space="preserve">@sarahashjones@gmail.com Please recheck the entries. Maureen reports the effect sizes of the replication from the table, Alexsandr reports them from the text. Both are correct, but Maureen always reports the interpretation of the text claims. Therefore, I tend to choose her rows.
_Assigned to sarahashjones@gmail.com_
	-Corinna Gemmecke</t>
      </text>
    </comment>
    <comment authorId="0" ref="B1814">
      <text>
        <t xml:space="preserve">@sarahashjones@gmail.com Please recheck the entries!
_Assigned to sarahashjones@gmail.com_
	-Corinna Gemmecke</t>
      </text>
    </comment>
    <comment authorId="0" ref="B1752">
      <text>
        <t xml:space="preserve">@sarahashjones@gmail.com Please recheck the entries! Both coders used the effect sizes of the replication report (for the original effects). Should I recalculate the effects from the descriptive statistics of the original report?
_Assigned to sarahashjones@gmail.com_
	-Corinna Gemmecke</t>
      </text>
    </comment>
    <comment authorId="0" ref="B1451">
      <text>
        <t xml:space="preserve">@sarahashjones: I have absolutely no idea what values were coded in this case. I can not find the values of the original study and every entry seems to be wrong. Should I copy Mariems entry or should I delete all values? Or is Diegos coding useless in this case, so that the study needs to recoded?
	-Corinna Gemmecke</t>
      </text>
    </comment>
    <comment authorId="0" ref="B1454">
      <text>
        <t xml:space="preserve">@sarahashjones@gmail.com Please recheck this entry! I am not sure if this study should be coded once more, since Diegos entries are not comparable to this entry.
_Assigned to sarahashjones@gmail.com_
	-Corinna Gemmecke</t>
      </text>
    </comment>
    <comment authorId="0" ref="B1444">
      <text>
        <t xml:space="preserve">@sarahashjones@gmail.com please recheck those entries
_Assigned to sarahashjones@gmail.com_
	-Corinna Gemmecke</t>
      </text>
    </comment>
    <comment authorId="0" ref="AP751">
      <text>
        <t xml:space="preserve">alternatively: b= -11.47
	-Sophie Schüller</t>
      </text>
    </comment>
    <comment authorId="0" ref="B1441">
      <text>
        <t xml:space="preserve">@sarahashjones@gmail.com: Please recheck this row and the two below. I compared them to rows 1403-1405. The rows of Mariem include more correct entries, but I chose these rows, as the ID was correct.
_Assigned to sarahashjones@gmail.com_
	-Corinna Gemmecke</t>
      </text>
    </comment>
    <comment authorId="0" ref="B1422">
      <text>
        <t xml:space="preserve">Everything is correct, but the ID should be 56
	-Corinna Gemmecke</t>
      </text>
    </comment>
    <comment authorId="0" ref="B1421">
      <text>
        <t xml:space="preserve">Everything is correct, but the ID should be 56
	-Corinna Gemmecke</t>
      </text>
    </comment>
    <comment authorId="0" ref="B1420">
      <text>
        <t xml:space="preserve">Everything is correct, but the ID should be 56
	-Corinna Gemmecke</t>
      </text>
    </comment>
    <comment authorId="0" ref="B1419">
      <text>
        <t xml:space="preserve">ID should be 55
	-Corinna Gemmecke</t>
      </text>
    </comment>
    <comment authorId="0" ref="B1418">
      <text>
        <t xml:space="preserve">ID should be 55
	-Corinna Gemmecke</t>
      </text>
    </comment>
    <comment authorId="0" ref="B1417">
      <text>
        <t xml:space="preserve">ID should be 55
	-Corinna Gemmecke</t>
      </text>
    </comment>
    <comment authorId="0" ref="B1440">
      <text>
        <t xml:space="preserve">@sarahsashjones@gmail.com: It is the same problem as above. Mariem coded the study above, but under a wrong ID. Should I change the ID in such cases by myself?
_Assigned to sarahsashjones@gmail.com_
	-Corinna Gemmecke</t>
      </text>
    </comment>
    <comment authorId="0" ref="B1435">
      <text>
        <t xml:space="preserve">@sarahashjones@gmail.com Please recheck this row and both underneath
_Assigned to sarahashjones@gmail.com_
	-Corinna Gemmecke</t>
      </text>
    </comment>
    <comment authorId="0" ref="B1434">
      <text>
        <t xml:space="preserve">@sarahashjones@gmail.com I have no idea, why Mariem excluded this row. It is not a duplicate. Maybe this row should be send out again?
_Assigned to sarahashjones@gmail.com_
	-Corinna Gemmecke
I found that she already coded the rows above. I will treat all the rows above as comparison. However, since the ID is wrong, I will correct Alexsandrs rows. Should I correct the IDs by myself in such cases?
rows 1400-1403 should be 55_1
	-Corinna Gemmecke</t>
      </text>
    </comment>
    <comment authorId="0" ref="B1430">
      <text>
        <t xml:space="preserve">@sarahashjones@gmail.com: Please send this study again out for coding. The replication study is indeed a replication study. They offer additionally a p-curve and I assume this is why Mariem coded it as reproduction. Moreover, the link leads to a Dutch report. This is the link to the report in English: https://watermark.silverchair.com/117-1663-1-pb.pdf?token=AQECAHi208BE49Ooan9kkhW_Ercy7Dm3ZL_9Cf3qfKAc485ysgAAA18wggNbBgkqhkiG9w0BBwagggNMMIIDSAIBADCCA0EGCSqGSIb3DQEHATAeBglghkgBZQMEAS4wEQQMf4vyPp4NKNSay2ObAgEQgIIDEs-8RL5o0b3gRTdB20Xd44h1Fxo5EeSHwUCsGUbkSno5kVc7RWzmb8E3IrGZcSRQL6H2_TT4hpemJs0OdaaVnLiZ_sosKqyJHeAD46df6WEb7LZX33kQGNIAj371CnBvHbDxwh6jj6DEUsPquvIn2S39w3gbNEvGzq75fTSxY_n0YdfuPvPX1CUAoK3VKQ07d27wSxC1MyGz2jTf7yx1bKNaIjSJ22RvdI0hfxPipK7mKQZ-N2l2VF8qfEZngsfGmwmRfo_obS5OsQ2WYf8Dhr8GsMNoi_JnwNORMwra7bF24E275NFxFENGsMUKvkk89W5RXTP_G1dVC07wElMFCoI_Pw9SLYwdigc0yhHv6JTc1ZncliEyZKDF0AJEq7lA8si0Jx8SXYUyuew7rZSgAB0K0MHEnbcN46-TUFQWjlY633o0fcs4zqnG_58QrOLfJ4xgLntEu4Wsr4Acm4Bo33l1FyENLup0dJC4bqbHTXbG88V5OZ8J_XddQ5fQ3gtM_0FjfGqhl4wabvsKcSW_2osfMKvzdw_Uvn-u5KzSjMe_sx0Sb-Dg2njj9r1nJ6zjl6SeLzHxp_FJs4p_t87F81bch3ww21dEQSJ0J7wXw3MhtjYeMqQ1iRrFh0kA9iDYi8I0ady0HRrj1oV239tdFwygts2oFln7hGNb4w8-EzZBDpHxvjr10X7norB8PYZxM_BijHKqled8G0P88HewkLaSDFyJvMrRebNuP7Hefgh56M5RCzSUKUdMBBaTu5psjMcMaXzcZsoQIzSRnK2-fBI1sm0wgCh0QCN2NTcAG7Dk1nokzBt4W639xzZhajktEq_JweAIU96gD0eSNuNGfH4HSxeZ5UxGVs8DMUStWF4xFEwFfxMukR_qQC9R8J_f-nKRhVuAwGW0BlHutIf2T0Uw5cvX-6yp94xkOLYecCjq6Cg09vrsrTn-RSU30u0ypOip5NyebKec1vth-lPFeCNan5mi7XWs2NYRCfcmD4g6fUb9r4CGqhmFp7gO8yGCK9zZGoziJLEnuSyLpWvcmqNrKw I assume that the authors puplished the study in both languages.
_Assigned to sarahashjones@gmail.com_
	-Corinna Gemmecke
If the Dutch study has to be coded, I am happy to do so. I speak Dutch as a third language.
	-Corinna Gemmecke</t>
      </text>
    </comment>
    <comment authorId="0" ref="B1424">
      <text>
        <t xml:space="preserve">@sarahashjones@gmail.com please recheck this entry (I compared it to the second one of Mariem)
_Assigned to sarahashjones@gmail.com_
	-Corinna Gemmecke</t>
      </text>
    </comment>
    <comment authorId="0" ref="B1413">
      <text>
        <t xml:space="preserve">@sarahashjones@gmail.com please recheck this entry (I compared it to the second one of Alexsandr)
_Assigned to sarahashjones@gmail.com_
	-Corinna Gemmecke</t>
      </text>
    </comment>
    <comment authorId="0" ref="B1411">
      <text>
        <t xml:space="preserve">@sarahashjones@gmail.com please recheck this entry (I compared it to the first one of Alexsandr)
_Assigned to sarahashjones@gmail.com_
	-Corinna Gemmecke</t>
      </text>
    </comment>
    <comment authorId="0" ref="B1414">
      <text>
        <t xml:space="preserve">@sarahashjones@gmail.com: All the effects below (in yellow) refer to other experiment. Therefore, they should refer to another ID. What should I do?
Update (14.04.2025): The row refer to those below. Mariem excluded the rows as duplicates. I validated the rows of Alexsanr by comparing his rows to these ones. I chose his rows, as they should have the correct ID. However, Mariems rows have more correct entries.
_Assigned to sarahashjones@gmail.com_
	-Corinna Gemmecke
@lukas.roeseler@uni-muenster.de
_Reassigned to lukas.roeseler_
	-Sarah “AJ” Ashcroft-Jones</t>
      </text>
    </comment>
    <comment authorId="0" ref="B1406">
      <text>
        <t xml:space="preserve">@sarahashjones@gmail.com Unfortunatly, I have no idea how to handle this row: The coder refused to code this row. Consequently, this row was not double coded. Maybe, the coder didn't realize that a different effect was replicated than above (not testosterone). How should I handle such cases? Should I just copy the coding of the second coder?
_Assigned to sarahashjones@gmail.com_
	-Corinna Gemmecke
If any row is not double coded it cannot be validated and I need to send it out again for recoding! Set a new comment up and assign it to me to resend the row out! :)
	-Sarah “AJ” Ashcroft-Jones</t>
      </text>
    </comment>
    <comment authorId="0" ref="B1407">
      <text>
        <t xml:space="preserve">@sarahashjones@gmail.com please recheck this entry
_Assigned to sarahashjones@gmail.com_
	-Corinna Gemmecke
See above - because this doesn't have a second coder (yet) it cannot be validated - I have changed the label back to awaiting validation!
	-Sarah “AJ” Ashcroft-Jones</t>
      </text>
    </comment>
    <comment authorId="0" ref="B1404">
      <text>
        <t xml:space="preserve">@sarahashjones@gmail.com please recheck this entry and the entry below. Both rows refer to different effects and two effects are not coded at all (feeling of power &amp; cortisol level). Should I add those effects by myself or is there any specific procedure? I think this is potentially problematic as nobody would control these rows in a later stage?
_Assigned to sarahashjones@gmail.com_
	-Corinna Gemmecke</t>
      </text>
    </comment>
    <comment authorId="0" ref="B1398">
      <text>
        <t xml:space="preserve">@sarahashjones@gmail.com please recheck.
_Assigned to sarahashjones@gmail.com_
	-Corinna Gemmecke</t>
      </text>
    </comment>
    <comment authorId="0" ref="B1396">
      <text>
        <t xml:space="preserve">@sarahashjones@gmail.com please recheck this entry. I think that the IDs need to be changed, since the rows refer to different studies. Moreover, I am unsure whether I should use the test statistics of the paper or the effect size calculculated using the excel sheet.
_Assigned to sarahashjones@gmail.com_
	-Corinna Gemmecke</t>
      </text>
    </comment>
    <comment authorId="0" ref="L1394">
      <text>
        <t xml:space="preserve">@lukas.roeseler@gmail.com or @sarahashjones@gmail.com Should I enter odds ratio or should I stay with the test statistics in such cases?
_Assigned to lukas.roeseler@gmail.com_
	-Corinna Gemmecke</t>
      </text>
    </comment>
    <comment authorId="0" ref="B1395">
      <text>
        <t xml:space="preserve">@sarahashjones@gmail.com please recheck this entry
_Assigned to sarahashjones@gmail.com_
	-Corinna Gemmecke</t>
      </text>
    </comment>
    <comment authorId="0" ref="B1393">
      <text>
        <t xml:space="preserve">@sarahashjones@gmail.com please recheck this entry
_Assigned to sarahashjones@gmail.com_
	-Corinna Gemmecke</t>
      </text>
    </comment>
    <comment authorId="0" ref="B1385">
      <text>
        <t xml:space="preserve">@lukas.roeseler@gmail.com or @sarahashjones@gmail.com Unfortunatly, I can not access the replication study of Siev (2012). The link does not work and since it is an unpublished study, I didn't found it via Google Scholar either. However, the table does not include sufficient information to validate the study. Moreover, the results of the coders differ and a meta-analysis that I found provides even more different information. I tried to validate it, but there is too much uncertainty to conscientious validate it. Can you access the study?
_Assigned to lukas.roeseler@gmail.com_
	-Corinna Gemmecke
The link leads to the waybackwhen machine (for me) - but you are right you cannot access the actual pdf there anymore. @lukas.roeseler@uni-muenster.de any access on your part?
_Reassigned to lukas.roeseler_
	-Sarah “AJ” Ashcroft-Jones</t>
      </text>
    </comment>
    <comment authorId="0" ref="B1476">
      <text>
        <t xml:space="preserve">Cannot find replication results anywhere
	-Lukas Röseler</t>
      </text>
    </comment>
    <comment authorId="0" ref="B1447">
      <text>
        <t xml:space="preserve">This just doesn't make sense. I cannot find any of the numbers reported by Diego across multiple entries. Where do the SDs come from? In this row, there is hardly a number or quote that is also in the manuscript. @sarahashjones@gmail.com are Diego and RB still coding for us?
	-Lukas Röseler</t>
      </text>
    </comment>
    <comment authorId="0" ref="B2257">
      <text>
        <t xml:space="preserve">@lukas.roeseler@uni-muenster.de - cannot validate with single entry
	-Sarah “AJ” Ashcroft-Jones</t>
      </text>
    </comment>
    <comment authorId="0" ref="B2256">
      <text>
        <t xml:space="preserve">@lukas.roeseler@uni-muenster.de cannot validate with single entry
	-Sarah “AJ” Ashcroft-Jones</t>
      </text>
    </comment>
    <comment authorId="0" ref="B2252">
      <text>
        <t xml:space="preserve">@lukas.roeseler@uni-muenster.de  - need another coder on this, cannot validate a single entry.
	-Sarah “AJ” Ashcroft-Jones</t>
      </text>
    </comment>
    <comment authorId="0" ref="B2259">
      <text>
        <t xml:space="preserve">This should have one row for each of the 5 effects right - this is currently just an overall "all effects are significant" lump sum approach.
	-Sarah “AJ” Ashcroft-Jones</t>
      </text>
    </comment>
    <comment authorId="0" ref="AD1075">
      <text>
        <t xml:space="preserve">How is there no claim for this validated row? @lukas.roeseler@uni-muenster.de
_Assigned to lukas.roeseler@uni-muenster.de_
	-Sarah “AJ” Ashcroft-Jones</t>
      </text>
    </comment>
    <comment authorId="0" ref="AG1066">
      <text>
        <t xml:space="preserve">These cells look strange, t test reported, d ES selected, and no page number @lukas.roeseler@uni-muenster.de
_Assigned to lukas.roeseler@uni-muenster.de_
	-Sarah “AJ” Ashcroft-Jones</t>
      </text>
    </comment>
    <comment authorId="0" ref="F395">
      <text>
        <t xml:space="preserve">@lukas.roeseler@uni-muenster.de this row has lots of NA values - doesn't appear this effect was replicated? SHould it be included?
	-Sarah “AJ” Ashcroft-Jones</t>
      </text>
    </comment>
    <comment authorId="0" ref="AR710">
      <text>
        <t xml:space="preserve">Are we happy to include Boyce studies without reports, just relying on their csv? Or ask Boyce for the reports?
	-Lukas Wallrich</t>
      </text>
    </comment>
    <comment authorId="0" ref="AD682">
      <text>
        <t xml:space="preserve">NB: Example where F-conversion is inflated vs calculated Cohen's d. (r = .74 vs .61)
	-Lukas Wallrich</t>
      </text>
    </comment>
    <comment authorId="0" ref="AM688">
      <text>
        <t xml:space="preserve">Do we agree that nested is no when participant averages are analysed? In that case, there is dependency in the raw data, but not in the data entered into the test - should be clarified in instructions.
	-Lukas Wallrich</t>
      </text>
    </comment>
    <comment authorId="0" ref="Y1013">
      <text>
        <t xml:space="preserve">The report only shows chart, but data &amp; code are available to show the remainder. How far do we go in this? It should enter FReD - but marked as not codable?
	-Lukas Wallrich</t>
      </text>
    </comment>
    <comment authorId="0" ref="B1663">
      <text>
        <t xml:space="preserve">These are secondary effects - to be revisited once we decide whether to code them in large-scale projects. Will reset them to awaiting validation for clarity
	-Lukas Wallrich</t>
      </text>
    </comment>
    <comment authorId="0" ref="AS1226">
      <text>
        <t xml:space="preserve">@roeseler.lukas@gmail.com - this is an extreme example, where the p-value calculated from their converted r is significant (p = .028). For the annotator at least we need to find a way to avoid flipping replication results ... not sure where to best note it for this entry, but might be a good test case to keep in mind.
	-Lukas Wallrich</t>
      </text>
    </comment>
    <comment authorId="0" ref="AY682">
      <text>
        <t xml:space="preserve">Thinking of having this sent back so that they can code the missing and also provide the repr_r variables because they would have needed them for validation and at the same time they are the most important for me.
	-Lukas Röseler</t>
      </text>
    </comment>
    <comment authorId="0" ref="AI1200">
      <text>
        <t xml:space="preserve">@roeseler.lukas@gmail.com can you pls decide whether this conversion is acceptable? It's a small step further than what we usually do (as only SE, not SD is reported). I'm quite confident that it is correct, but we can also leave it with 1.85 as the unstandardised mean diff for consistency.
	-Lukas Wallrich</t>
      </text>
    </comment>
    <comment authorId="0" ref="AC926">
      <text>
        <t xml:space="preserve">@sarahashjones@gmail.com can you please check why there are no descriptions? Is this a copy-paste issue?
	-Lukas Röseler
I've checked the original sheet and no, this is not a copy-paste error. It was hard to notice it when scrolling through because the tags run across almost all cells but there is little to no data in the description column. Everything I have is present here as well. We may have to make a call on this, returning it to coders is not viable for a Friday deadline I think. -anxiously makes more notes for next weeks meeting about coder improvements-
	-Sarah “AJ” Ashcroft-Jones</t>
      </text>
    </comment>
    <comment authorId="0" ref="B551">
      <text>
        <t xml:space="preserve">likely "FReD but not COS"
	-Lukas Röseler</t>
      </text>
    </comment>
    <comment authorId="0" ref="B84">
      <text>
        <t xml:space="preserve">like "FReD but not COS"
	-Lukas Röseler</t>
      </text>
    </comment>
    <comment authorId="0" ref="B146">
      <text>
        <t xml:space="preserve">shouldn't be empty
	-Lukas Röseler</t>
      </text>
    </comment>
    <comment authorId="0" ref="L362">
      <text>
        <t xml:space="preserve">@sarahashjones@gmail.com
_Assigned to sarahashjones@gmail.com_
	-Sarah “AJ” Ashcroft-Jones
@lukas.roeseler@uni-muenster.de  Having reviewed, I'm not certain what you mean between the 2011 and 2010 paper. I think the original paper was published in Dec 2010 and so the citation sits as 2011 but online is listed as 2010 (reflecting the two stage publication dates of online versus "in print"). Please clarify - as I think I am missing the point here!
_Reassigned to lukas.roeseler@uni-muenster.de_
	-Sarah “AJ” Ashcroft-Jones</t>
      </text>
    </comment>
    <comment authorId="0" ref="Q1523">
      <text>
        <t xml:space="preserve">@lukas.wallrich@gmail.com the link leads to the wrong file. Can you check this please?
_Assigned to lukas.wallrich@gmail.com_
	-Lukas Röseler</t>
      </text>
    </comment>
    <comment authorId="0" ref="B1346">
      <text>
        <t xml:space="preserve">@sarahashjones@gmail.com : Can you please explain: I cannot find the entries curatescience283 in their individual sheets, where do they come from? 
- Ray: https://docs.google.com/spreadsheets/d/1t7O_4Y4NOYsOc0OjHpinNaatCiFKUdvgiYMWVJ6O9aA/edit?gid=1230360337#gid=1230360337
- Diego: https://docs.google.com/spreadsheets/d/1Y36BxwuLJfF9P-vR8hWR6KK3nzrQbYA5zym1_HigeoM/edit?gid=1230360337#gid=1230360337
	-Lukas Röseler
Also, how come they are labelled in id (col F) as _1 and _2 when they were coded independently and refer to the same "sub-finding"?
	-Lukas Röseler</t>
      </text>
    </comment>
    <comment authorId="0" ref="B447">
      <text>
        <t xml:space="preserve">On hold: paper under revision revision due to bug in code
	-Lukas Röseler</t>
      </text>
    </comment>
    <comment authorId="0" ref="B514">
      <text>
        <t xml:space="preserve">no data provided by Ray, are you on this @sarahashjones@gmail.com ?
	-Lukas Röseler
I will email for all rows - it was a paper aviability issue looking at the emails. I will provide all papers and ge them back form him. I have Radoslaw and Diego doing the same at the moment.
One total reaction
Lukas Röseler reacted with 👍 at 2025-01-28 01:33 am
	-Sarah “AJ” Ashcroft-Jones</t>
      </text>
    </comment>
    <comment authorId="0" ref="B421">
      <text>
        <t xml:space="preserve">No access to replication paper
	-Lukas Röseler</t>
      </text>
    </comment>
    <comment authorId="0" ref="B159">
      <text>
        <t xml:space="preserve">waiting for Radoslaw's data, you are on this, right? @sarahashjones@gmail.com
	-Lukas Röseler
Yes - he is working on it!
One total reaction
Lukas Röseler reacted with 👍 at 2025-01-27 07:13 am
	-Sarah “AJ” Ashcroft-Jones
added!
	-Sarah “AJ” Ashcroft-Jones</t>
      </text>
    </comment>
    <comment authorId="0" ref="B153">
      <text>
        <t xml:space="preserve">Radoslaw didn't code anything
	-Lukas Röseler
He is coding them now!
One total reaction
Lukas Röseler reacted with 👍 at 2025-01-27 07:13 am
	-Sarah “AJ” Ashcroft-Jones
added!
	-Sarah “AJ” Ashcroft-Jones</t>
      </text>
    </comment>
  </commentList>
</comments>
</file>

<file path=xl/sharedStrings.xml><?xml version="1.0" encoding="utf-8"?>
<sst xmlns="http://schemas.openxmlformats.org/spreadsheetml/2006/main" count="103172" uniqueCount="19054">
  <si>
    <t>id</t>
  </si>
  <si>
    <t>contributors</t>
  </si>
  <si>
    <t>date_entered</t>
  </si>
  <si>
    <t>date_updated</t>
  </si>
  <si>
    <t>notes_coder</t>
  </si>
  <si>
    <t>notes_validation</t>
  </si>
  <si>
    <t>ref_original</t>
  </si>
  <si>
    <t>doi_original</t>
  </si>
  <si>
    <t>study_original</t>
  </si>
  <si>
    <t>ref_replication</t>
  </si>
  <si>
    <t>doi_replication</t>
  </si>
  <si>
    <t>osf_link</t>
  </si>
  <si>
    <t>study_replication</t>
  </si>
  <si>
    <t>exclusion</t>
  </si>
  <si>
    <t>discipline</t>
  </si>
  <si>
    <t>effect</t>
  </si>
  <si>
    <t>tags</t>
  </si>
  <si>
    <t>description</t>
  </si>
  <si>
    <t>claim_text_orig</t>
  </si>
  <si>
    <t>claim_text_orig_page</t>
  </si>
  <si>
    <t>n_original</t>
  </si>
  <si>
    <t>es_orig_value</t>
  </si>
  <si>
    <t>es_orig_estype</t>
  </si>
  <si>
    <t>pval_value_o</t>
  </si>
  <si>
    <t>pval_type_o</t>
  </si>
  <si>
    <t>pval_tails_o</t>
  </si>
  <si>
    <t>n_replication</t>
  </si>
  <si>
    <t>es_rep_value</t>
  </si>
  <si>
    <t>es_rep_estype</t>
  </si>
  <si>
    <t>pval_value_r</t>
  </si>
  <si>
    <t>pval_type_r</t>
  </si>
  <si>
    <t>pval_tails_r</t>
  </si>
  <si>
    <t>rowid</t>
  </si>
  <si>
    <t>status</t>
  </si>
  <si>
    <t>approach</t>
  </si>
  <si>
    <t>coder_1</t>
  </si>
  <si>
    <t>coder_2</t>
  </si>
  <si>
    <t>entry</t>
  </si>
  <si>
    <t>ref_o</t>
  </si>
  <si>
    <t>doi_o</t>
  </si>
  <si>
    <t>study_o</t>
  </si>
  <si>
    <t>file_o</t>
  </si>
  <si>
    <t>link_o</t>
  </si>
  <si>
    <t>ref_r</t>
  </si>
  <si>
    <t>doi_r</t>
  </si>
  <si>
    <t>url_r</t>
  </si>
  <si>
    <t>study_r</t>
  </si>
  <si>
    <t>file_r</t>
  </si>
  <si>
    <t>label_r</t>
  </si>
  <si>
    <t>link_r</t>
  </si>
  <si>
    <t>claim_text_o</t>
  </si>
  <si>
    <t>claim_page_o</t>
  </si>
  <si>
    <t>n_o</t>
  </si>
  <si>
    <t>es_value_o</t>
  </si>
  <si>
    <t>es_type_o</t>
  </si>
  <si>
    <t>es_repr_o</t>
  </si>
  <si>
    <t>nested_o</t>
  </si>
  <si>
    <t>prereg_o</t>
  </si>
  <si>
    <t>n_r</t>
  </si>
  <si>
    <t>es_value_r</t>
  </si>
  <si>
    <t>es_type_r</t>
  </si>
  <si>
    <t>es_repr_r</t>
  </si>
  <si>
    <t>nested_r</t>
  </si>
  <si>
    <t>prereg_r</t>
  </si>
  <si>
    <t>closeness_r</t>
  </si>
  <si>
    <t>feedback_for_coder</t>
  </si>
  <si>
    <t>validator</t>
  </si>
  <si>
    <t>ENSURE THIS STAYS UNCHANGED AND ALIGNED!</t>
  </si>
  <si>
    <t>- assigned: the entry has been assigned to a coder
- help needed: there is an unresolved conflict
- validated - chosen: the entry has been validated and marked as the one to remain in the final dataset
- validated - discarded: the entry has been used for validation and is now inferior or redundant to the chosen entry for the same finding
- validated - FReD but not COS: applies to replication studies that do not contain statistical test (e.g., replications in the qualitative humanities)</t>
  </si>
  <si>
    <t>for data matching. DO NOT EDIT - keep blank for new rows</t>
  </si>
  <si>
    <t>Sample id. DO NOT CHANGE. If you add samples, copy and add _b, _c etc</t>
  </si>
  <si>
    <t>*Add* your name when you edit the row</t>
  </si>
  <si>
    <t>(dd/mm/yyyy)</t>
  </si>
  <si>
    <t>general data entry notes, e.g., re access issues or study selection</t>
  </si>
  <si>
    <t>only used by core team</t>
  </si>
  <si>
    <t>Copy APA style from Google Scholar (or similar), without DOI</t>
  </si>
  <si>
    <t>without URL prefix, so starting with 10.xx</t>
  </si>
  <si>
    <t>Number of study in paper, e.g., 1 or 2A</t>
  </si>
  <si>
    <t>file-name for O PDF - only edit if DOI is missing</t>
  </si>
  <si>
    <t>Link to R results - only when DOI missing or for aggregate report</t>
  </si>
  <si>
    <t>file-name for R PDF - only edit if DOI is missing</t>
  </si>
  <si>
    <t>How does R identify as replication in title or abstract? Usually "replication" but report different wording if used</t>
  </si>
  <si>
    <t>Reason for study exclusion (usually only if R is not a replication)</t>
  </si>
  <si>
    <t>Which broad field does the finding come from - e.g., Social Psychology or Labor Economics</t>
  </si>
  <si>
    <t>x</t>
  </si>
  <si>
    <t>tags to increase findability - e.g. keywords from abstract</t>
  </si>
  <si>
    <t>Description of the effect under investigation (e.g., x is associated with y, x leads to y), possibly a part of the original publication's title (abstract claim)</t>
  </si>
  <si>
    <t>The authors’ key statistical result and its interpretation</t>
  </si>
  <si>
    <t>Page number(s) for claim_text_o</t>
  </si>
  <si>
    <t>O's sample size [used for the critical test, i.e., after exclusion criteria have been applied], must contain only one value and must not contain text</t>
  </si>
  <si>
    <t>original effect size value, must contain only one value and must not contain text</t>
  </si>
  <si>
    <t>original effect size type (e.g., d, r, r², etasq)</t>
  </si>
  <si>
    <t>Reproducible origin/calculation method for es_value_o ("p. xx" when reported, link when available online - e.g., OSF, otherwise calculation process)</t>
  </si>
  <si>
    <t>The reported p-value associated with the original finding, must contain only one value and must not contain text</t>
  </si>
  <si>
    <t>How is p-val reported?
"=" (e) / "&lt;" (l) / "&gt;" (g) or combined (le, ge)?
for example "p &lt;= .05" should be coded as "le"</t>
  </si>
  <si>
    <t>How many tails associated with the p-value, taking on values of one, two, or unknown
one: 1
two: 2
unknown / not specified: NA
missing: not coded</t>
  </si>
  <si>
    <t>Is pval based on a test that accounts for dependence between observations (e.g., multilevel, repeated measures)</t>
  </si>
  <si>
    <t>Link to preregistration of O (only search for "regist")</t>
  </si>
  <si>
    <t>R's sample size [used for the critical test, i.e., after exclusion criteria have been applied], must contain only one value and must not contain text</t>
  </si>
  <si>
    <t>replication effect size value, must contain only one value and must not contain text</t>
  </si>
  <si>
    <t>replication effect size type</t>
  </si>
  <si>
    <t>Reproducible origin/calculation method for es_value_r ("p. xx" when reported, otherwise calculation process)</t>
  </si>
  <si>
    <t>The reported p-value associated with the replication finding, must contain only one value and must not contain text</t>
  </si>
  <si>
    <t>How many tails associated with the p-value, taking on values of one, two, or unknown
one: 1
two: 2
unknown: NA
missing: not coded</t>
  </si>
  <si>
    <t>Link to preregistration of R (only search for "regist")</t>
  </si>
  <si>
    <t>NA: unknown
1: internal: all central features are highly similar AND conducted by at least one of the original researchers
2: close/direct: central features are highly similar AND none of the original authors is involved
3: conceptual/constructive/extension: central features are different, theoretically relevant aspects are the same; authorship overlap is irrelevant</t>
  </si>
  <si>
    <t>name of the person who validated the entry</t>
  </si>
  <si>
    <t>validated - discarded</t>
  </si>
  <si>
    <t>double</t>
  </si>
  <si>
    <t>2zgf9_1</t>
  </si>
  <si>
    <t>2zgf9</t>
  </si>
  <si>
    <t>Kateri McRae, Daniel Lumian, Mallory C. Kidwell, Johanna Cohoon, Lilian Hummer</t>
  </si>
  <si>
    <t>1.1.2023</t>
  </si>
  <si>
    <t>coding tasks 2zgf9_1, bth36_1, and 7vgkq_1 are similar; the partial-eta squared reported in the replication paper of 0.226 is different from the value in OSF registries of 0.313, hence requires validation; Psychological science has not been listed as one of the disciplines, hence categorizing them as political science</t>
  </si>
  <si>
    <t>Cunningham, W. A., Van Bavel, J. J., &amp; Johnsen, I. R. (2008). Affective flexibility: evaluative processing goals shape amygdala activity. Psychological Science, 19(2), 152-160.</t>
  </si>
  <si>
    <t>10.1111/j.1467-9280.2008.02061.x</t>
  </si>
  <si>
    <t>10.1111--j.1467-9280.2008.02061.x.pdf</t>
  </si>
  <si>
    <t>McRae, K., &amp; Lumian, D. S. (2023, September 28). Replication of WA Cunningham, JJ Van Bavel, IR Johnsen  (2008, PS 19 (2)). https://doi.org/10.17605/OSF.IO/2ZGF9</t>
  </si>
  <si>
    <t>10.17605/OSF.IO/2ZGF9</t>
  </si>
  <si>
    <t>10.17605--osf.io--2zgf9.pdf</t>
  </si>
  <si>
    <t>replication attempt</t>
  </si>
  <si>
    <t>Political Science</t>
  </si>
  <si>
    <t>affective flexibility, amygdala, valence, stimulus</t>
  </si>
  <si>
    <t>interaction between scanning condition (positive or negative) and stimulus valence</t>
  </si>
  <si>
    <t>"results were consistent with the idea of affective flexibility. There was a significant interaction between scanning condition (positive or negative) and stimulus valence (postscan ratings of positivity or negativity), F(1, 11) = 9.67, p &lt; .01, prep = .95"</t>
  </si>
  <si>
    <t>p. 7</t>
  </si>
  <si>
    <t>F(1, 11) = 9.67</t>
  </si>
  <si>
    <t>test statistic</t>
  </si>
  <si>
    <t>l (&lt;)</t>
  </si>
  <si>
    <t>2 (two)</t>
  </si>
  <si>
    <t>no</t>
  </si>
  <si>
    <t>NA</t>
  </si>
  <si>
    <t>etasq</t>
  </si>
  <si>
    <t>p. 6</t>
  </si>
  <si>
    <t>yes</t>
  </si>
  <si>
    <t>https://doi.org/10.17605/OSF.IO/2ZGF9</t>
  </si>
  <si>
    <t>2 - close</t>
  </si>
  <si>
    <t>LR</t>
  </si>
  <si>
    <t>Maureen</t>
  </si>
  <si>
    <t>Kateri McRae, Daniel Lumian, Mallory C. Kidwell, Johanna Cohoon, Lilian Hummer, Jyoti Bhogal</t>
  </si>
  <si>
    <t>no replication report available but only a post completion registration</t>
  </si>
  <si>
    <t>Cognitive Psychology</t>
  </si>
  <si>
    <t>affective flexibility, amygdala, positive names, negative names</t>
  </si>
  <si>
    <t>unavailable</t>
  </si>
  <si>
    <t>3 - conceptual</t>
  </si>
  <si>
    <t>validated - chosen</t>
  </si>
  <si>
    <t>Nikita</t>
  </si>
  <si>
    <t>39xuw_1</t>
  </si>
  <si>
    <t>39xuw</t>
  </si>
  <si>
    <t>1. Values for the REPLICATION statistical inferences were taken from Files uploaded to OSF by a link: https://osf.io/39xuw/files/osfstorage. I merged them in the corresponding PDF</t>
  </si>
  <si>
    <t xml:space="preserve">corrected N from 150 to 137 </t>
  </si>
  <si>
    <t>Schaffer, J., &amp; Knobe, J. (2012). Contrastive knowledge surveyed. Noûs, 46(4), 675-708.</t>
  </si>
  <si>
    <t>10.1111/j.1468-0068.2010.00795.x</t>
  </si>
  <si>
    <t>10.1111--j.1468-0068.2010.00795.x.pdf</t>
  </si>
  <si>
    <t>Wilkenfeld, D. A., &amp; Hernández-Conde, J. V. (2017, September 12). Schaffer and Knobe Replication. https://doi.org/10.17605/OSF.IO/39XUW</t>
  </si>
  <si>
    <t>osf.io/wru8c</t>
  </si>
  <si>
    <t>osf.io--wru8c.pdf</t>
  </si>
  <si>
    <t>Replication</t>
  </si>
  <si>
    <t>Experimental Philosophy</t>
  </si>
  <si>
    <t>Contrast sensitivity of knowledge ascription (contrastivism)</t>
  </si>
  <si>
    <t>Contrastivism,  knowledge, knowledge ascription, "rather than" clause,  contrast, context</t>
  </si>
  <si>
    <t xml:space="preserve">The two conditions of the experiment involve ascribing knowledge of the very same proposition ("rather than" clause) and they differ only in that they pick out two different contrasts to that proposition: subject or object. </t>
  </si>
  <si>
    <t>"Participants in the thief contrast condition tended to agree with the knowledge ascription they received (mean rating: 4.6), while participants in the jewel contrast condition tended to disagree with the knowledge ascription they received (mean rating: 3.1)."</t>
  </si>
  <si>
    <t>t(98) = 3.4</t>
  </si>
  <si>
    <t>p.31</t>
  </si>
  <si>
    <t>e (=)</t>
  </si>
  <si>
    <t>d</t>
  </si>
  <si>
    <r>
      <rPr/>
      <t xml:space="preserve">p.2 of </t>
    </r>
    <r>
      <rPr>
        <color rgb="FF1155CC"/>
        <u/>
      </rPr>
      <t>https://osf.io/k2cna</t>
    </r>
  </si>
  <si>
    <t>https://osf.io/39xuw</t>
  </si>
  <si>
    <t>Husnain</t>
  </si>
  <si>
    <t xml:space="preserve">1. The tags are not given explicitly so I have inferred from the introduction of orignal paper. 2. The effect size is not reprted in the orignal study while replication has reported it's own and the effect size of replication study the infered effect size is cohen's d 0.687. 3. The replication paper has reported cohen's d  for the replicated study without the p value, however, it presented p valur for test stastic without the value of t. </t>
  </si>
  <si>
    <t>contrastive knowledge</t>
  </si>
  <si>
    <t>contrastive model, invariantist models, contextualist models, knowlege acriptions, conversational context</t>
  </si>
  <si>
    <t>Thief contrast codition tend to agree more compared to jewel contrast condition with knowledge ascription</t>
  </si>
  <si>
    <t>"N = 100 people spending time in the Canberra Centre Mall in Canberra, Australia, t (98) = 3.4, p = .001."</t>
  </si>
  <si>
    <t>p. 16</t>
  </si>
  <si>
    <t>3.4</t>
  </si>
  <si>
    <t>p. 16, 31</t>
  </si>
  <si>
    <t>0.001</t>
  </si>
  <si>
    <t>NA (not reported)</t>
  </si>
  <si>
    <t>0.584</t>
  </si>
  <si>
    <t>p. 1,2</t>
  </si>
  <si>
    <t>7vgkq_1</t>
  </si>
  <si>
    <t>7vgkq</t>
  </si>
  <si>
    <t>Kateri McRae, Mallory C. Kidwell, Johanna Cohoon, Daniel Lumian, Lilian Hummer, TESS-Experiments</t>
  </si>
  <si>
    <t>McRae, K., Lumian, D. S., &amp;  T. (2023, September 28). Materials. https://doi.org/10.17605/OSF.IO/7VGKQ</t>
  </si>
  <si>
    <t>osf.io/x4v53</t>
  </si>
  <si>
    <t>https://doi.org/10.17605/OSF.IO/7VGKQ</t>
  </si>
  <si>
    <t>Jyoti</t>
  </si>
  <si>
    <t>Kateri McRae, Mallory C. Kidwell, Johanna Cohoon, Daniel Lumian, Lilian Hummer, TESS-Experiments, Jyoti Bhogal</t>
  </si>
  <si>
    <t>10.17605/OSF.IO/7VGKQ</t>
  </si>
  <si>
    <t>10.17605--osf.io--7vgkq.pdf</t>
  </si>
  <si>
    <t>Nikolay</t>
  </si>
  <si>
    <t>acykd_1</t>
  </si>
  <si>
    <t>acykd</t>
  </si>
  <si>
    <t>Nikolay Petrov</t>
  </si>
  <si>
    <t>original sample size is 42, but 1 was excluded afterwards (p. 137)</t>
  </si>
  <si>
    <r>
      <rPr>
        <rFont val="Arial"/>
      </rPr>
      <t xml:space="preserve">- Please type "NA" if you could not find "regis" in the manuscript.
- Good catch with the N = 41!
- This is the preregistration: </t>
    </r>
    <r>
      <rPr>
        <rFont val="Arial"/>
        <color rgb="FF1155CC"/>
        <u/>
      </rPr>
      <t>https://osf.io/8urxv</t>
    </r>
    <r>
      <rPr>
        <rFont val="Arial"/>
      </rPr>
      <t xml:space="preserve"> It is linked at the top of the entry</t>
    </r>
  </si>
  <si>
    <t>Mussweiler, T., &amp; Englich, B. (2005). Subliminal anchoring: Judgmental consequences and underlying mechanisms. Organizational Behavior and Human Decision Processes, 98(2), 133-143.</t>
  </si>
  <si>
    <t>10.1016/j.obhdp.2004.12.002</t>
  </si>
  <si>
    <t>Röseler, L., Schütz, A., Burlakovas, E., Dück, M., Fels, S., Janiczek, S., … Seida, C. (2022, September 15). Replication Mussweiler &amp; Englich, 2005, Study 2. https://doi.org/10.17605/OSF.IO/ACYKD</t>
  </si>
  <si>
    <t>10.1016/j.jesp.2020.104066</t>
  </si>
  <si>
    <t>replication</t>
  </si>
  <si>
    <t>Judgment and Decision Making</t>
  </si>
  <si>
    <t>subliminal anchoring</t>
  </si>
  <si>
    <t>anchoring, subliminal priming, judgment bias, decision-making</t>
  </si>
  <si>
    <t>estimates for numeric judgments are assimilated toward anchor values, even when these anchors are presented subliminally and outside of conscious awareness</t>
  </si>
  <si>
    <t>Participants who were presented with the high anchor value estimated the car price to be higher (M = 21,219 Euro) than those presented with the low anchor value (M = 17,150 Euro), t(39) = 2.02, p &lt; .05, r = .31.</t>
  </si>
  <si>
    <t>r</t>
  </si>
  <si>
    <t>p. 137</t>
  </si>
  <si>
    <t>p. 3</t>
  </si>
  <si>
    <t>1 (one)</t>
  </si>
  <si>
    <t>https://pdf.sciencedirectassets.com/272387/1-s2.0-S0022103120X00060/1-s2.0-S0022103120304066/main.pdf?X-Amz-Security-Token=IQoJb3JpZ2luX2VjEBgaCXVzLWVhc3QtMSJGMEQCICnHJqcNsP62IhJ5t%2BlQbccPwseA76qFfK6Rgkom8dtRAiB1LS%2BiM%2B0b%2BvwiyOom715iyNnHeXVQbXmSm95pdglacyq8BQjR%2F%2F%2F%2F%2F%2F%2F%2F%2F%2F8BEAUaDDA1OTAwMzU0Njg2NSIMmoze3y0Q1yERk%2B0lKpAF0gYTSXrqATr%2FlouJQrzfzrF%2B%2BHvghuPve%2FIY6N1xxaQBobJn18bDe0NKhRM4T2mvBEFjCOaVSqmUoM3%2F%2BmGL%2BTAQq6mB%2F5aQpDiqXVVnBGSq5%2F03UsrB78W9ZYcX3HuqmMRCwLpHPAIgIHd9zQtRRFGwk6RR%2ByNdrZ7EqjeWgcIKuyAr9%2Bj0JJ74pqGzqA1bFSaiBMqqZjviAxsq%2FjIO4yKprM2jCQw%2B%2FbZMITGLBdecPGFvQADAleUhJZgsYDQbMSkktZJ6E%2FJW5MtMzDJ3LrlhsdSqiHd28N4%2FJtYL8gNCs%2F9wK3a1s%2BQvM838pcLinkI8unVh1Gcvfxjbq6fYI6x4hCc7UZUEXs%2BEd%2Bo1x9GFvp3tcM%2BwJYlAa%2BEE%2FZcco8Dj58jnqzyOal0dDMeeWOjHL3y8xqwOE69icvonadJhHFVwONEoA1aox7vcITDF0spX53bm8Off4OeJ4bHC6QFHjIgBmUnwwVhqwcTI1CofN%2BPxww0zY3oNg4NrIO%2B5IVffRucPE9pztEeVHOdsmVPWyRlEFrjQ3aVJiYpL6TVfW3VfFLrAFifjveRxLAGB28CYsVXmTUz0Qxq6JRu7SlmaRNP2YnG7ipXXbiuZbwrorkm%2BxDc3uzBAI3Z82HTq1%2FmzxXw3SDN8%2FgQpgwWMXmWr%2F%2BckEKS7a7j2988ql%2B%2Fy%2BqfrHVJ5rVoDXKUgDUP6rR3X1ejf1UZwyc8ja5HXFbPfOefIT%2FsnbjIx3Ff255FID0Z6RGepP7orcagCAcWl7CBXLkbWM%2BaP6Oi1ITpYGOPrwvSeRMyKPH2NmAiiWZE5l0m%2FTJGJ0tND%2FrcK%2BOlvjkyuEOx33q4BZeSRwvKBTPBeeTtjgd9K%2BGRMok%2Fe5xEw28zvugY6sgH0sfyibldLqTratcbSkw7B9kA7YzvSU7Iyhc8zjvj18adk0B6r39A2zAda5VndB8QXUitJ8361WDPVPzGMTek%2Fl5bziH%2FtLRb2uo30VQ5T74JJWTp8l6Rs7L5pQAvE%2FQTclPBuc%2BZrz7CkEfVLz%2FJt0xicBVpzawZjnQzXuFBfBBbMr%2FWdBHYYpRqC6jMqh3zJIYsu9ZeQkzwiXFbF14t%2BITCuLmhK4klb9H3%2BQ4iKcUaK&amp;X-Amz-Algorithm=AWS4-HMAC-SHA256&amp;X-Amz-Date=20241213T084150Z&amp;X-Amz-SignedHeaders=host&amp;X-Amz-Expires=300&amp;X-Amz-Credential=ASIAQ3PHCVTYUWRHKPES%2F20241213%2Fus-east-1%2Fs3%2Faws4_request&amp;X-Amz-Signature=33924dc8199c3da89949ad504da4000be209df455000e1a7e4fee4140f60b1b1&amp;hash=6979ab83d6e022fd52840830bb00b033291cf8235f9e721ac49f027cf55e995c&amp;host=68042c943591013ac2b2430a89b270f6af2c76d8dfd086a07176afe7c76c2c61&amp;pii=S0022103120304066&amp;tid=spdf-0273d28f-03b4-4283-8694-d21fc2577d91&amp;sid=18412b78662c794bb67b6200a74126f2bac9gxrqb&amp;type=client&amp;tsoh=d3d3LnNjaWVuY2VkaXJlY3QuY29t&amp;ua=010859005455035b5a&amp;rr=8f14a84b18840c73&amp;cc=bg#link_ir0025</t>
  </si>
  <si>
    <r>
      <rPr>
        <rFont val="Arial"/>
      </rPr>
      <t xml:space="preserve">- Please type "NA" if you could not find "regis" in the manuscript.
- Good catch with the N = 41!
- This is the preregistration: </t>
    </r>
    <r>
      <rPr>
        <rFont val="Arial"/>
        <color rgb="FF1155CC"/>
        <u/>
      </rPr>
      <t>https://osf.io/8urxv</t>
    </r>
    <r>
      <rPr>
        <rFont val="Arial"/>
      </rPr>
      <t xml:space="preserve"> It is linked at the top of the entry</t>
    </r>
  </si>
  <si>
    <t>Hakile</t>
  </si>
  <si>
    <t>Hakile Resulbegoviq</t>
  </si>
  <si>
    <t>informative failure to replicate</t>
  </si>
  <si>
    <t>updated reference_r to report instead of the OSF page</t>
  </si>
  <si>
    <r>
      <rPr>
        <rFont val="Calibri"/>
        <sz val="11.0"/>
      </rPr>
      <t xml:space="preserve">Röseler, L., Schütz, A., Blank, P. A., Dück, M., Fels, S., Kupfer, J., ... &amp; Seida, C. (2021). Evidence against subliminal anchoring: Two close, highly powered, preregistered, and failed replication attempts. Journal of Experimental Social Psychology, 92, 104066. </t>
    </r>
    <r>
      <rPr>
        <rFont val="Calibri"/>
        <color rgb="FF1155CC"/>
        <sz val="11.0"/>
        <u/>
      </rPr>
      <t>https://doi.org/10.1016/j.jesp.2020.104066</t>
    </r>
  </si>
  <si>
    <t>Social Psychology</t>
  </si>
  <si>
    <t>Subliminal anchoring</t>
  </si>
  <si>
    <t>Anchoring; Heuristics; Comparison; Selective accessibility; Assimilation</t>
  </si>
  <si>
    <t>Subliminally presented numerical anchors influence judgment, causing estimates to shift toward the anchor values without participants being consciously aware of the anchors.</t>
  </si>
  <si>
    <t>https://osf.io/8urxv</t>
  </si>
  <si>
    <t>Feedback for Hakile:
- The degreees of freedom for the t test are 39, indicating that N = 41
- the number of tails was actually not reported (it does not say anywhere whether it is one-tailed or two-tailed but was coded as 2)
- I could not find the d = 0.71 on p. 137 or anywhere in the manuscript.
- Please type "NA" if you could not find "regis" in the manuscript.
- Please rather use text for the claim that includes statistical elements, such as the effect on p. 137 under "results and discussion"
- This is the preregistration: https://osf.io/8urxv It is linked at the top of the entry. You linked the "post completion" registration.</t>
  </si>
  <si>
    <t>Sarah</t>
  </si>
  <si>
    <t>additional_studies1_1</t>
  </si>
  <si>
    <t>additional_studies1_a</t>
  </si>
  <si>
    <t>SAJ</t>
  </si>
  <si>
    <t>Rellensmann, J., &amp; Schukajlow, S. (2017). Does students’ interest in a mathematical problem depend on the problem’s connection to reality? An analysis of students’ interest and pre-service teachers’ judgments of students’ interest in problems with and without a connection to reality. ZDM, 49, 367-378. https://doi.org/10.1007/s11858-016-0819-3</t>
  </si>
  <si>
    <t>10.1007/s11858-016-0819-3</t>
  </si>
  <si>
    <r>
      <rPr>
        <rFont val="Calibri"/>
        <color rgb="FF000000"/>
        <sz val="11.0"/>
      </rPr>
      <t xml:space="preserve">García-Cerdá, C., Segura, C., &amp; Ferrando, I. (2024). Influence of the Type of Mathematical Problems on Students’ and Pre-service Teachers’ Interest and Performance. A Replication and Elaboration Study. Implementation and Replication Studies in Mathematics Education, 1(aop), 1-35. </t>
    </r>
    <r>
      <rPr>
        <rFont val="Calibri"/>
        <color rgb="FF1155CC"/>
        <sz val="11.0"/>
        <u/>
      </rPr>
      <t>https://doi.org/10.1163/26670127-bja10017</t>
    </r>
  </si>
  <si>
    <t>10.1163/26670127-bja10017</t>
  </si>
  <si>
    <t>Title - "A replication and elaboration study"
Abstract - "... the process of conceptual replication of Rellensmann and Schukajlow’s (2017) research..."</t>
  </si>
  <si>
    <t>Education</t>
  </si>
  <si>
    <t>interest in mathematics</t>
  </si>
  <si>
    <t>mathematics, interest, students, pre-service teachers, diagnostic competence, real-world problems, performance, problem-solving</t>
  </si>
  <si>
    <t>Influence of the Type of Mathematical Problems on Students’ Interest</t>
  </si>
  <si>
    <t>A t-test for dependent samples indicated that the difference in students’ interest in the two problem types was statistically significant [t(99) = −2.96, p &lt; 0.01].</t>
  </si>
  <si>
    <t>X2(2) = 9.99</t>
  </si>
  <si>
    <t>preprint p. 22
Kendells W = X2/N(K-1), X2 = 9.99, N = 80, K = 3
W = 9.99/ (80*(3-1)), W = 9.99/ (160), W ~ 0.06</t>
  </si>
  <si>
    <t>Alexsandr</t>
  </si>
  <si>
    <t>Aleksandr Pravednikov</t>
  </si>
  <si>
    <t>Claim text_r We observe that, in terms of means, there are no great differences in interest according to the type of problem. For students intramathematical problems were the most interesting (Mi = 2.77, SDi = 1.25), followed by word problems (Mw = 2.75, SDw = 1.18), and finally by modelling problems (Mm = 2.66, SDm = 1.26). - Table 1.  To analyse whether the differences are significant, a hypothesis test was performed. Given that the means of interest did not follow, according to the results of the Shapiro-Wilk test, a normal distribution in any of the three types of problems, we applied Friedman’s non-parametric test. Thus, we obtained that there were differences between at least two types of problems (𝜒𝜒2(2)=9.99, p &lt; 0.01). A post hoc analysis, using the Nemenyi test, ensured that there were significant differences in task-specific interest between word and modelling problems (p &lt; 0.05), but not between the other combinations. [...] Page 21-22</t>
  </si>
  <si>
    <t>García-Cerdá, C., Segura, C., &amp; Ferrando, I. (2024). Influence of the Type of Mathematical Problems on Students’ and Pre-service Teachers’ Interest and Performance. A Replication and Elaboration Study. Implementation and Replication Studies in Mathematics Education, 1(aop), 1-35. https://doi.org/10.1163/26670127-bja10017</t>
  </si>
  <si>
    <t>Educational Sciences</t>
  </si>
  <si>
    <t>Students</t>
  </si>
  <si>
    <t>Influence of the Type of Mathematical Problems on Students’ and Pre-service Teachers’ Interest and Performance</t>
  </si>
  <si>
    <t>Students reported a mean level of interest of Madj = 2.71 (SDadj = 0.90) in solving problems with a connection to reality and Madj = 2.91 (SDadj = 1.00) in solving problems without a connection to reality when the impact of task difficulty was controlled for (Table 2). Means and standard errors for students’ interest are graphically displayed in Fig. 4.  A t-test for dependent samples indicated that the difference in students’ interest in the two problem types was statistically significant [t(99) = −2.96, p &lt; 0.01]. Cohen’s d = 0.30 indicated a small effect. This means that, contrary to our expectations, students reported more interest in solving problems without a connection to reality thann in problems with a connection to reality.</t>
  </si>
  <si>
    <t>7(373)</t>
  </si>
  <si>
    <t>p &lt; 0.05</t>
  </si>
  <si>
    <t>additional_studies1_b</t>
  </si>
  <si>
    <t>this effect was not explored in the original paper</t>
  </si>
  <si>
    <t>Influence of the Type of Mathematical Problems on Pre-service Teachers’ Interest</t>
  </si>
  <si>
    <t>A t-test for dependent samples showed a significant difference in pre-service teachers’ judgments of students’ interest in solving the two types of problems [t(162) = 14.33, p &lt; 0.01]. Cohen’s d = 1.12</t>
  </si>
  <si>
    <t>X2(2) = 16.54</t>
  </si>
  <si>
    <t>Kendells W = X2/N(K-1), X2 = 16.54, N = 80, K = 3
W = 16.54/ (80*(3-1)), W = 16.54/ (160), W ~ 0.1</t>
  </si>
  <si>
    <t>Claim text_r Table 2 shows the average situational interest of 80 pre-service teachers according to the connection to the reality of the problems. We observe that, for pre-service teachers, word problems were the most interesting (Mw = 3.28, SDw = 1.22), followed by modelling problems (Mm = 3.11, SDm = 1.25) and, finally, intramathematical problems (Mi = 2.92, SDi = 1.24). Again, we conducted a hypothesis test to analyse whether there were significant differences in interest according to the connection with the reality of the problems. The means of interest did not follow a normal distribution either, so we obtained that there are significant differences between at least two types of problems (𝜒𝜒2(2)=16.54, p &lt; 0.01) by applying Friedman’s test. Nemenyi’s test ensured that there were significant differences in task-specific interest between word and modelling problems (p &lt; 0.05), and between intramathematical and word problems (p &lt; 0.01). There were no significant differences between intramathematical and modelling problems (p = 0.46), indicating that word problems were significantly more interesting for pre-service teachers.  [...] Page 22-23</t>
  </si>
  <si>
    <t>Pre-service teachers</t>
  </si>
  <si>
    <t>Pre-service teachers predicted a mean of Madj = 3.18 (SDadj = 0.48) for students’ interest in problems with a connection to reality and Madj = 2.47 (SDadj = 0.60) for their interest in problems without a connection to reality (Table 2). Means and standard errors for pre-service teachers’ judgments are also graphically displayed in Fig. 4. A t-test for dependent samples showed a significant difference in pre-service teachers’ judgments of students’ interest in solving the two types of problems [t(162) = 14.33, p &lt; 0.01]. Cohen’s d = 1.12 indicated a large effect. As hypothesized, this means that pre-service teachers believed that solving problems with a connection to reality triggered more interest in students than solving problems without a connection to reality.</t>
  </si>
  <si>
    <t>p &lt; 0.01</t>
  </si>
  <si>
    <t>additional_studies1_c</t>
  </si>
  <si>
    <t>discarded because this is an extension that cannot be paired up with an original finding</t>
  </si>
  <si>
    <t>Influence of the Type of Mathematical Problems on Student Performance</t>
  </si>
  <si>
    <t>kendall's w</t>
  </si>
  <si>
    <t>Kendells W = X2/N(K-1), X2 = 43.61, N = 80, K = 3
W = 43.61/ (80*(3-1)), W = 43.61/ (160), W ~ 0.27</t>
  </si>
  <si>
    <t>extension</t>
  </si>
  <si>
    <t>additional_studies1_d</t>
  </si>
  <si>
    <t>Influence of the Type of Mathematical Problems on Pre-service Teacher Performance</t>
  </si>
  <si>
    <t>Kendells W = X2/N(K-1), X2 = 108.75, N = 80, K = 3
W = 108.75/ (80*(3-1)), W = 108.75/ (160), W ~ 0.68</t>
  </si>
  <si>
    <t>additional_studies1_e</t>
  </si>
  <si>
    <t>Influence of the Type of Mathematical Problems on Student Interest*Performance relationship</t>
  </si>
  <si>
    <t>intramathematical problem r = 0.25, word problem r = 0.29, modelling problem r = 0.31</t>
  </si>
  <si>
    <t>intramathematical problem p &lt; 0.05, word problem p &lt; 0.01, modelling problem p &lt; 0.01</t>
  </si>
  <si>
    <t>additional_studies1_f</t>
  </si>
  <si>
    <t>Influence of the Type of Mathematical Problems on Pre-service Teacher Interest*Performance relationship</t>
  </si>
  <si>
    <t>intramathematical problem r = 0.48, word problem r = 0.28, modelling problem r = 0.35</t>
  </si>
  <si>
    <t>intramathematical problem p &lt; 0.01, word problem p &lt; 0.01, modelling problem p &lt; 0.01</t>
  </si>
  <si>
    <t>assigned</t>
  </si>
  <si>
    <t>Daniel</t>
  </si>
  <si>
    <t>additional_studies10</t>
  </si>
  <si>
    <t>additional_studies10_d</t>
  </si>
  <si>
    <t>Daniel Manrique-Castano</t>
  </si>
  <si>
    <t>The coding of this study was extremely challenging for me and I could not complete it. I feel that the replication study is extremely unclear in describing what effects they are trying to replicate. Although the replication article provides the information for the original research article (DM&amp;D column) in Tables 3 and 4 (p. 11), it is extremely difficult for me to track this information in the original research article. The replication does not specify which of the multiple comparisons they are referring to. In the lines I have filled in, I have been able to infer that the information refers only to the Spanish test. I spent several hours trying to decipher the information, but I am really frustrated because I would need much more time to read the article and the supplementary information to try to understand the issue. For this reason, I do not feel confident to complete the task. Sample size: The replication article reports a sample size of 19. This corresponds exclusively to the group of L2 Spanish speakers. However, my understanding is that the group of native Spanish speakers (n = 6) is also included in the comparisons. Again, it is extremely unclear which comparison the replication is trying to replicate. Therefore, I report 25 as the sample size in the lines I filled in. These entries, and the replication in general, need careful revision.</t>
  </si>
  <si>
    <t>10.1111/lang.12161</t>
  </si>
  <si>
    <t>Huensch, A. (2024). Clarifying the role of inhibitory control in L2 phonological processing: A preregistered, close replication of Darcy et al.(2016). Studies in Second Language Acquisition, 1-21. https://doi.org/10.1017/S0272263124000238</t>
  </si>
  <si>
    <t>10.1017/S0272263124000238</t>
  </si>
  <si>
    <t>A preregistered, close replication of Darcy et al. (2016)</t>
  </si>
  <si>
    <t>Linguistics</t>
  </si>
  <si>
    <t>Production accuracy - /e/ format</t>
  </si>
  <si>
    <t>language processing, inhibitory control, second language, phonological processing</t>
  </si>
  <si>
    <t>The study measured the production accuracy of  /e/ format using a delayed sentence repetition task.</t>
  </si>
  <si>
    <t>1.26 / 0.38</t>
  </si>
  <si>
    <t>https://osf.io/w4gj2</t>
  </si>
  <si>
    <t>additional_studies10_e</t>
  </si>
  <si>
    <t>Production accuracy - /ei̯/ ~ /e/</t>
  </si>
  <si>
    <t>The study measured the production accuracy of  /ei/ ~ /e/ format using a delayed sentence repetition task.</t>
  </si>
  <si>
    <t>Instead, they produced both vowels as a monophthongal /e/, with very little formant movement (1.18 for diphthongs vs. 0.92 for monophthongs, SD = 0.36), t(18) = 1.92, p = .071, r = .17, but distinguished them through duration.</t>
  </si>
  <si>
    <t>p. 17</t>
  </si>
  <si>
    <t>t(18) = 1.92</t>
  </si>
  <si>
    <t>p. 11</t>
  </si>
  <si>
    <t>additional_studies10_f</t>
  </si>
  <si>
    <t>Production accuracy - /ei̯/ z score</t>
  </si>
  <si>
    <t>The study measured the production accuracy of  /ei/ ~ z score format using a delayed sentence repetition task.</t>
  </si>
  <si>
    <t>2.27 / 0.85</t>
  </si>
  <si>
    <t>additional_studies10_g</t>
  </si>
  <si>
    <t>Production accuracy - Consonant accuracy</t>
  </si>
  <si>
    <t>The study measured the production accuracy for consonants using a delayed sentence repetition task.</t>
  </si>
  <si>
    <t>4.50 / 2.31</t>
  </si>
  <si>
    <t>additional_studies10_1</t>
  </si>
  <si>
    <t>additional_studies10_a</t>
  </si>
  <si>
    <t>Claim text_r. Table 8, p. 14 Retrieval–induced inhibition: 1.02 (0.23), [...] Results of the current replication for the partial correlation analyses did not indicate statistically significant relationships, and effect sizes were small with 95% CIs crossing through zero. p. 16</t>
  </si>
  <si>
    <t>Darcy, I., Mora, J. C., &amp; Daidone, D. (2016). The role of inhibitory control in second language phonological processing. Language Learning, 66, 741–773. https://doi.org/10.1111/lang.12161</t>
  </si>
  <si>
    <t>close replication</t>
  </si>
  <si>
    <t>Second Language Phonological Processing</t>
  </si>
  <si>
    <t>Role of inhibitory control in L2 phonological processing (Retrieval–induced inhibition)</t>
  </si>
  <si>
    <t>Table 7 summarizes the results of correlation analyses between inhibition
scores and the four phonological accuracy scores (controlling for proficiency).
These correlations show that error rate and z scores in ABX perception were
significantly negatively correlated with inhibition scores, which indicates that
individuals with higher inhibition scores also obtained lower error rates and
lower (more targetlike)zscores in vowel perception.</t>
  </si>
  <si>
    <t>close</t>
  </si>
  <si>
    <t>additional_studies10_b</t>
  </si>
  <si>
    <t>Claim text_r. Table 8, p. 14 ABX error (vowels) 19.2 (13.2) [...] Results of the current replication for the partial correlation analyses did not indicate statistically significant relationships, and effect sizes were small with 95% CIs crossing through zero. p. 16</t>
  </si>
  <si>
    <t>coded as nested due to hierarchical regression; a fourth effect is reported for the replication but NA for the original study; p_val_tails_r coded as one because it says in the note "as reported in DM&amp;D", where p-values are one-tailed. Note that in the table two-tailed CIs are reported</t>
  </si>
  <si>
    <t>Role of inhibitory control in L2 phonological processing (ABX error (vowels))</t>
  </si>
  <si>
    <t>partial r</t>
  </si>
  <si>
    <t>p. 23</t>
  </si>
  <si>
    <t>p. 15, Table 10</t>
  </si>
  <si>
    <t>additional_studies10_c</t>
  </si>
  <si>
    <t>Claim text_r. Table 8, p. 14  Vowel production z score: –2.27 (0.85)[...] Results of the current replication for the partial correlation analyses did not indicate statistically significant relationships, and effect sizes were small with 95% CIs crossing through zero. p. 16</t>
  </si>
  <si>
    <t>Role of inhibitory control in L2 phonological processing (Vowel production z score)</t>
  </si>
  <si>
    <t>g (&gt;)</t>
  </si>
  <si>
    <t>Claim text_r. Table 8, p. 14 Consonant production (max. 8): 4.50 (2.31) [...] Results of the current replication for the partial correlation analyses did not indicate statistically significant relationships, and effect sizes were small with 95% CIs crossing through zero. p. 16</t>
  </si>
  <si>
    <t>Role of inhibitory control in L2 phonological processing (Consonant production (max. 8))</t>
  </si>
  <si>
    <t>10.1111--lang.12161.pdf</t>
  </si>
  <si>
    <t>The study measured the perceptual processing of Spanish vowels using the speeded ABX categorization
task.</t>
  </si>
  <si>
    <t>The test subconditions consE and vowelE did not differ from each other (Merr = 4.6%, CI = 1.0–8.2; and Merr = 3.6%, CI = 0–7.2, respectively), but they triggered significantly fewer errors than the nonnative consS and vowelS subconditions (Merr = 24.0%, CI = 20.4–27.6; and Merr = 19.1%, CI = 15.5–22.7, respectively).	p. 13, 14	25	0.955	d	19.1 / 20	0.1	l (&lt;)	NA (not reported)	yes		58	1.45	d	19.2 / 13.2				yes	https://osf.io/w4gj2	2 - close
	additional_studies10_b	Daniel Manrique-Castano		26/01/2025	The coding of this study was extremely challenging for me and I could not complete it. I feel that the replication study is extremely unclear in describing what effects they are trying to replicate. Although the replication article provides the information for the original research article (DM&amp;D column) in Tables 3 and 4 (p. 11), it is extremely difficult for me to track this information in the original research article. The replication does not specify which of the multiple comparisons they are referring to. In the lines I have filled in, I have been able to infer that the information refers only to the Spanish test. I spent several hours trying to decipher the information, but I am really frustrated because I would need much more time to read the article and the supplementary information to try to understand the issue. For this reason, I do not feel confident to complete the task. Sample size: The replication article reports a sample size of 19. This corresponds exclusively to the group of L2 Spanish speakers. However, my understanding is that the group of native Spanish speakers (n = 6) is also included in the comparisons. Again, it is extremely unclear which comparison the replication is trying to replicate. Therefore, I report 25 as the sample size in the lines I filled in. These entries, and the replication in general, need careful revision. 			10.1111/lang.12161										A preregistered, close replication of Darcy et al. (2016)"</t>
  </si>
  <si>
    <t>Perceptual processing - Spanish Consonant</t>
  </si>
  <si>
    <t>The study measured the perceptual processing of Spanish consonants using the speeded ABX categorization task.</t>
  </si>
  <si>
    <t>Production accuracy - /ei/ format</t>
  </si>
  <si>
    <t>The study measured the production accuracy of  /ei/ format using a delayed sentence repetition task.</t>
  </si>
  <si>
    <t>The two groups differed in the amount of formant movement during vowel production. The L2 Spanish learners were found to produce the Spanish diphthong /ei/ with much less formant movement (M = 1.18, SD = 0.55) than native controls (M = 3.19, SD = 0.71), as shown in Figure 2, Mann-Whitney U = 113.0, z = 3.56, p &lt; .001, r = .71..</t>
  </si>
  <si>
    <t>Fabienne</t>
  </si>
  <si>
    <t>additional_studies11_1</t>
  </si>
  <si>
    <t>additional_studies11</t>
  </si>
  <si>
    <t>Julia Fabienne Sandkühler</t>
  </si>
  <si>
    <t>replication N refers to number of couples</t>
  </si>
  <si>
    <t>Saxey, M. T., LeBaron-Black, A. B., &amp; Curran, M. A. (2022). The Sooner, the Better? Couples' First Financial Discussion, Relationship Quality, and Financial Conflict in Emerging Adulthood. Journal of Financial Therapy, 13 (1) 2. https://doi.org/10.4148/1944-9771.1299</t>
  </si>
  <si>
    <t>10.4148/1944-9771.1299</t>
  </si>
  <si>
    <t>10.4148--1944-9771.1299.pdf</t>
  </si>
  <si>
    <t>Saxey, M. T., LeBaron‐Black, A. B., Inman, N. F., Yorgason, J. B., &amp; Holmes, E. K. (2024). The earlier couples first discussed finances, the better? A dyadic, longitudinal replication and extension. Family Relations. https://doi.org/10.1111/fare.13030</t>
  </si>
  <si>
    <t>10.1111/fare.13030</t>
  </si>
  <si>
    <t>dyadic, longitudinal replication and extension</t>
  </si>
  <si>
    <t>emerging adulthood; financial communication; financial conflict; financial discussion, relationship quality</t>
  </si>
  <si>
    <t>Indirect effect present for relationship quality (replication: cross-sectional, wives' answers, effect on themselves)</t>
  </si>
  <si>
    <t>Indirect effect present for relationship quality: “initiating financial discussion earlier in a romantic relationship may benefit relationship quality—through financial communication” (most emphasised claim in original)</t>
  </si>
  <si>
    <t>beta</t>
  </si>
  <si>
    <t>beta (std)</t>
  </si>
  <si>
    <t>p. 2538</t>
  </si>
  <si>
    <t>additional_studies11_b</t>
  </si>
  <si>
    <t>Indirect effect present for relationship quality (replication: cross-sectional, wives' answers, effect on partner)</t>
  </si>
  <si>
    <t>additional_studies11_c</t>
  </si>
  <si>
    <t>Indirect effect present for relationship quality (replication: cross-sectional, husbands' answers, effect on themselves)</t>
  </si>
  <si>
    <t>additional_studies11_d</t>
  </si>
  <si>
    <t>Indirect effect present for relationship quality (replication: cross-sectional, husbands' answers, effect on partner)</t>
  </si>
  <si>
    <t>additional_studies11_e</t>
  </si>
  <si>
    <t>Indirect effect present for relationship quality (replication: longitudinal, wives' answers, effect on themselves)</t>
  </si>
  <si>
    <t>additional_studies11_f</t>
  </si>
  <si>
    <t>Indirect effect present for relationship quality (replication: longitudinal, wives' answers, effect on partner)</t>
  </si>
  <si>
    <t>additional_studies11_g</t>
  </si>
  <si>
    <t>Indirect effect present for relationship quality (replication: longitudinal, husbands' answers, effect on themselves)</t>
  </si>
  <si>
    <t>additional_studies11_h</t>
  </si>
  <si>
    <t>Indirect effect present for relationship quality (replication: longitudinal, husbands' answers, effect on partner)</t>
  </si>
  <si>
    <t>additional_studies11_i</t>
  </si>
  <si>
    <t>No direct effect present for relationship quality (replication: cross-sectional, wives' answers, effect on themselves)</t>
  </si>
  <si>
    <t>No direct effect present for relationship quality: “Nonetheless, couples’ first financial discussion was not directly associated with their relationship quality.” (however not emphasised in original)</t>
  </si>
  <si>
    <t>p. 2536</t>
  </si>
  <si>
    <t>additional_studies11_j</t>
  </si>
  <si>
    <t>No direct effect present for relationship quality (replication: cross-sectional, wives' answers, effect on partner)</t>
  </si>
  <si>
    <t>additional_studies11_k</t>
  </si>
  <si>
    <t>No direct effect present for relationship quality (replication: cross-sectional, husbands' answers, effect on themselves)</t>
  </si>
  <si>
    <t>additional_studies11_l</t>
  </si>
  <si>
    <t>No direct effect present for relationship quality (replication: cross-sectional, husbands' answers, effect on partner)</t>
  </si>
  <si>
    <t>additional_studies11_m</t>
  </si>
  <si>
    <t>No direct effect present for relationship quality (replication: longitudinal, wives' answers, effect on themselves)</t>
  </si>
  <si>
    <t>additional_studies11_n</t>
  </si>
  <si>
    <t>No direct effect present for relationship quality (replication: longitudinal, wives' answers, effect on partner)</t>
  </si>
  <si>
    <t>additional_studies11_o</t>
  </si>
  <si>
    <t>No direct effect present for relationship quality (replication: longitudinal, husbands' answers, effect on themselves)</t>
  </si>
  <si>
    <t>additional_studies11_p</t>
  </si>
  <si>
    <t>No direct effect present for relationship quality (replication: longitudinal, husbands' answers, effect on partner)</t>
  </si>
  <si>
    <t>additional_studies11_q</t>
  </si>
  <si>
    <t>Indirect effect present for financial conflict (replication: cross-sectional, wives' answers, effect on themselves)</t>
  </si>
  <si>
    <t>Indirect effect present for financial conflict: "The pathway from the first financial discussion to financial conflict through financial communication was significant (β = -.06; p &lt; .001)" (however not emphasised in original)</t>
  </si>
  <si>
    <t>p. 2537</t>
  </si>
  <si>
    <t>additional_studies11_r</t>
  </si>
  <si>
    <t>Indirect effect present for financial conflict (replication: cross-sectional, wives' answers, effect on partner)</t>
  </si>
  <si>
    <t>additional_studies11_s</t>
  </si>
  <si>
    <t>Indirect effect present for financial conflict (replication: cross-sectional, husbands' answers, effect on themselves)</t>
  </si>
  <si>
    <t>additional_studies11_t</t>
  </si>
  <si>
    <t>Indirect effect present for financial conflict (replication: cross-sectional, husbands' answers, effect on partner)</t>
  </si>
  <si>
    <t>additional_studies11_u</t>
  </si>
  <si>
    <t>Indirect effect present for financial conflict (replication: longitudinal, wives' answers, effect on themselves)</t>
  </si>
  <si>
    <t>additional_studies11_v</t>
  </si>
  <si>
    <t>Indirect effect present for financial conflict (replication: longitudinal, wives' answers, effect on partner)</t>
  </si>
  <si>
    <t>additional_studies11_w</t>
  </si>
  <si>
    <t>Indirect effect present for financial conflict (replication: longitudinal husbands' answers, effect on themselves)</t>
  </si>
  <si>
    <t>additional_studies11_x</t>
  </si>
  <si>
    <t>Indirect effect present for financial conflict (replication: longitudinal husbands' answers, effect on partner)</t>
  </si>
  <si>
    <t>additional_studies11_y</t>
  </si>
  <si>
    <t>Direct effect present for financial conflict (replication: cross-sectional, wives' answers, effect on themselves)</t>
  </si>
  <si>
    <t>Direct effect present for financial conflict: “However, having an earlier first financial discussion as a couple was also positively associated with financial conflict.” (p. 1, emphasised in original) (also p. 11: "The pathway from the first financial discussion to financial conflict through financial communication was significant (β = -.06; p &lt; .001), but the direct effect was also significant (p &lt; .05).")</t>
  </si>
  <si>
    <t>additional_studies11_z</t>
  </si>
  <si>
    <t>Direct effect present for financial conflict (replication: cross-sectional, wives' answers, effect on partner)</t>
  </si>
  <si>
    <t>additional_studies11_za</t>
  </si>
  <si>
    <t>Direct effect present for financial conflict (replication: cross-sectional, husbands' answers, effect on themselves)</t>
  </si>
  <si>
    <t>additional_studies11_zb</t>
  </si>
  <si>
    <t>Direct effect present for financial conflict (replication: cross-sectional, husbands' answers, effect on partner)</t>
  </si>
  <si>
    <t>additional_studies11_zc</t>
  </si>
  <si>
    <t>Direct effect present for financial conflict (replication: longitudinal, wives' answers, effect on themselves)</t>
  </si>
  <si>
    <t>p. 2539</t>
  </si>
  <si>
    <t>additional_studies11_zd</t>
  </si>
  <si>
    <t>Direct effect present for financial conflict (replication: longitudinal, wives' answers, effect on partner)</t>
  </si>
  <si>
    <t>additional_studies11_ze</t>
  </si>
  <si>
    <t>Direct effect present for financial conflict (replication: longitudinal, husbands' answers, effect on themselves)</t>
  </si>
  <si>
    <t>additional_studies11_zf</t>
  </si>
  <si>
    <t>Direct effect present for financial conflict (replication: longitudinal, husbands' answers, effect on partner)</t>
  </si>
  <si>
    <t>additional_studies11_a</t>
  </si>
  <si>
    <t>many different effect sizes and models, I chose the first ones; also, R has dyads and also includes effects from one partner to the other</t>
  </si>
  <si>
    <t>First Financial Discussion Effect</t>
  </si>
  <si>
    <t>Effect of Financial Communication on Relationship Satisfaction</t>
  </si>
  <si>
    <t>couples’ first financial discussion was directly associated with their financial communication (β = .23; p &lt; .001)</t>
  </si>
  <si>
    <t>p. 13</t>
  </si>
  <si>
    <t>pp. 10-11 wives</t>
  </si>
  <si>
    <t>1 - internal</t>
  </si>
  <si>
    <t>pp. 10-11 husbands</t>
  </si>
  <si>
    <t>Effect of Financial Communication on Reducing Financial Disagreements</t>
  </si>
  <si>
    <t>couples’ first financial discussion was directly associated with their ... financial conflict (β = .07; p &lt; .05).</t>
  </si>
  <si>
    <t>Antony</t>
  </si>
  <si>
    <t>additional_studies12_1</t>
  </si>
  <si>
    <t>additional_studies12</t>
  </si>
  <si>
    <t>Antony Casula</t>
  </si>
  <si>
    <t xml:space="preserve">Sample sizes extracted from df. </t>
  </si>
  <si>
    <t>- missed the study number
- make sure to review and correct text that is copied (special characters were missing)</t>
  </si>
  <si>
    <t>Stellar, J. E., Gordon, A., Anderson, C. L., Piff, P. K., McNeil, G. D., &amp; Keltner, D. (2018). Awe and humility. Journal of Personality and Social Psychology, 114(2), 258–269. https://doi.org/10.1037/pspi0000109</t>
  </si>
  <si>
    <t>10.1037/pspi0000109</t>
  </si>
  <si>
    <t>10.1037--pspi0000109.pdf</t>
  </si>
  <si>
    <t>Bertrand, A., Kimmel, J., Duhamel, S., Puel, H., Schifano, A., &amp; Wood, É. (2024). A Replication Study to Evaluate the Effects of Awe on Humility. McGill Science Undergraduate Research Journal, 19(1), 39-45. https://doi.org/10.26443/msurj.v19i1.231</t>
  </si>
  <si>
    <r>
      <rPr>
        <rFont val="Calibri"/>
        <color rgb="FF1155CC"/>
        <sz val="11.0"/>
        <u/>
      </rPr>
      <t>10.26443/msurj.v19i1.231</t>
    </r>
  </si>
  <si>
    <t>awe, humilty, vastness, world views</t>
  </si>
  <si>
    <t>"Inducing awe led participants to present a more balanced view of their strengths and
weaknesses to others (Study 3)."</t>
  </si>
  <si>
    <t>"awe and neutral conditions had a different balance between disclosing their strengths and weaknesses, t(84) = 2.38, p = .02."</t>
  </si>
  <si>
    <t>t(84) = 2.38</t>
  </si>
  <si>
    <t>p. 263</t>
  </si>
  <si>
    <t>t(69) = –0.34</t>
  </si>
  <si>
    <t>p.41</t>
  </si>
  <si>
    <t>Replication might be preregistered, unclear. They mention that data exclusion was not preregistered, so they did not do it. However, I don't find a link to their preregistration.</t>
  </si>
  <si>
    <t>There is a reporting error in the paper: N = 85 but t(84) and df = N-2.
Feedback for Fabienne
- make sure to review and correct text that is copied (special characters were missing)
- you entered N = 85 with t(84) and Ntotal = 85. I was about to correct it to N = 86 because N = t-2 for two sample t tests but there appears to be an error in the manuscript in the reporting of the DFs.
- I could not find the effect size cohen's d that you entered (d = .57) in the original report so I replaced it with the test statistic. Please make sure to use only data from the original report for the _o variables
- As you linked a website to calculate Cohen's d: We added a sheet to the spreadsheet which allows for effect size calculation that you can use next time, but test statistics would have been fine here, too!</t>
  </si>
  <si>
    <r>
      <rPr>
        <rFont val="Calibri"/>
        <color rgb="FF1155CC"/>
        <sz val="11.0"/>
        <u/>
      </rPr>
      <t>10.26443/msurj.v19i1.231</t>
    </r>
  </si>
  <si>
    <t>humility, awe, emotion, self-concept</t>
  </si>
  <si>
    <t>Awe leads to humility</t>
  </si>
  <si>
    <t>Feedback for Fabienne
- make sure to review and correct text that is copied (special characters were missing)
- you entered N = 85 with t(84) and Ntotal = 85. I was about to correct it to N = 86 because N = t-2 for two sample t tests but there appears to be an error in the manuscript in the reporting of the DFs.
- I could not find the effect size cohen's d that you entered (d = .57) in the original report so I replaced it with the test statistic. Please make sure to use only data from the original report for the _o variables
- As you linked a website to calculate Cohen's d: We added a sheet to the spreadsheet which allows for effect size calculation that you can use next time, but test statistics would have been fine here, too!</t>
  </si>
  <si>
    <t>additional_studies12_b</t>
  </si>
  <si>
    <r>
      <rPr>
        <rFont val="Calibri"/>
        <color rgb="FF1155CC"/>
        <sz val="11.0"/>
        <u/>
      </rPr>
      <t>10.26443/msurj.v19i1.231</t>
    </r>
  </si>
  <si>
    <t>"More specific analyses revealed that participants in the awe condition discussed significantly fewer strengths (M=1.20, SD=.53) before choosing to write about their weaknesses than participants in the neutral condition (M =1.48, SD=.44), t(84)=2.64, p= .01,..."</t>
  </si>
  <si>
    <t>t(84)=2.64</t>
  </si>
  <si>
    <t>t(91) = 0.85,</t>
  </si>
  <si>
    <r>
      <rPr>
        <rFont val="Calibri"/>
        <color rgb="FF1155CC"/>
        <sz val="11.0"/>
        <u/>
      </rPr>
      <t>10.26443/msurj.v19i1.231</t>
    </r>
  </si>
  <si>
    <t>t(91) = 0.85</t>
  </si>
  <si>
    <t xml:space="preserve">p. 41: "The analyses showed that participants in the awe and the neutral conditiondid not significantly differ in their balance between strengths and weak-nesses disclosed (i.e., their humility score,t(69) = –0.34,p= 0.438); see Ap-pendix D for more information. This contradicts the original study, wherea significant difference was found,t(84) = 2.38,p= 0.02", Appendix D: "Humility scores in the awe condition (M= 0.16,SD= 0.16) when compared to the neutral condition (M= 0.17,SD= 0.16) were notsignificantly differentt(69) = –0.34,p= 0.438" https://www.socscistatistics.com/effectsize/default3.aspx. I assumed both groups were of equal size, i.e. had 70/2 = 35 participants. </t>
  </si>
  <si>
    <t>additional_studies12_c</t>
  </si>
  <si>
    <r>
      <rPr>
        <rFont val="Calibri"/>
        <color rgb="FF1155CC"/>
        <sz val="11.0"/>
        <u/>
      </rPr>
      <t>10.26443/msurj.v19i1.231</t>
    </r>
  </si>
  <si>
    <t>"...there was no effect of condition on the number of weaknesses participants listed (awe: M= .82, SD =.58; neutral: M = .79, SD=.49), t(84)=.27, p =.79."</t>
  </si>
  <si>
    <t>t(84)=.27</t>
  </si>
  <si>
    <t>t(82)=0.5</t>
  </si>
  <si>
    <t>additional_studies125_1</t>
  </si>
  <si>
    <t>additional_studies125</t>
  </si>
  <si>
    <t>1. In the orignal study, I have used claims from the page 1 because they were well summarised. However, I have reported results seprately for effect size and P value</t>
  </si>
  <si>
    <t>Changed label_r to "replication" instead of "Close Replication"; added tags that are also found in paper, changed n to 39; changed nested_o to yes, changed p_val_tails; changed pval_value_o to 0.025</t>
  </si>
  <si>
    <t>Johnston, W., Dolan, K., Reid, N., Coughlan, G. F., &amp; Caulfield, B. (2018). Investigating the effects of maximal anaerobic fatigue on dynamic postural control using the Y-Balance Test. Journal of science and medicine in sport, 21(1), 103-108. https://doi.org/10.1016/j.jsams.2017.06.007</t>
  </si>
  <si>
    <t>10.1016/j.jsams.2017.06.007</t>
  </si>
  <si>
    <t>10.1016--j.jsams.2017.06.007.pdf</t>
  </si>
  <si>
    <t>Byrne, C., Murphy, J., &amp; Warne, J. P. (2024). Replication Study: Investigating the effects of maximal anaerobic fatigue on dynamic postural control using the Y-Balance Test. Journal of Science and Medicine in Sport. https://doi.org/10.1016/j.jsams.2024.07.018</t>
  </si>
  <si>
    <t>10.1016/j.jsams.2024.07.018</t>
  </si>
  <si>
    <t xml:space="preserve">Science and Medicine in Sport </t>
  </si>
  <si>
    <t>maximal anaerobic fatigue</t>
  </si>
  <si>
    <t>Dynamic postural control, Dynamic balance, Y-Balance Test, Fatigue, Replication, Balance, Anterior reach direction, Posterolateral reach direction, Posteromedial reach direction</t>
  </si>
  <si>
    <t>Maximal anaerobic fatigue significantly reduces Y-Balance Test scores in ANT</t>
  </si>
  <si>
    <t>"Post-hoc paired sample t-tests demonstrated that all three reach directions demonstrated statistically significant differences between pre-fatigue and the first post-fatigue measurement (ANT: p = 0.019, PM: p = 0.004, PL: p = 0.003)"</t>
  </si>
  <si>
    <t>p. 1, 3</t>
  </si>
  <si>
    <t>F(3, 57) = 3.818</t>
  </si>
  <si>
    <t>0.159</t>
  </si>
  <si>
    <t>p.4</t>
  </si>
  <si>
    <t>0.002</t>
  </si>
  <si>
    <t>- please report test statistics with all details: F(x, y) = value (and not just the value)</t>
  </si>
  <si>
    <t>LR, Sophie</t>
  </si>
  <si>
    <t>additional_studies125_an</t>
  </si>
  <si>
    <r>
      <rPr/>
      <t xml:space="preserve">1. The initial registration of the protocol is under the link: </t>
    </r>
    <r>
      <rPr>
        <color rgb="FF1155CC"/>
        <u/>
      </rPr>
      <t xml:space="preserve">https://osf.io/kqdpm
</t>
    </r>
    <r>
      <rPr/>
      <t>2. Since one-way rmANOVA was used, the Nested option is "Yes"
3. Degree of freedon for original study was calculated based on number of time measurements (4) and participants (20)</t>
    </r>
  </si>
  <si>
    <r>
      <rPr/>
      <t xml:space="preserve">Byrne, C., Murphy, J., &amp; Warne, J. P. (2024). Replication Study: Investigating the effects of maximal anaerobic fatigue on dynamic postural control using the Y-Balance Test. Journal of Science and Medicine in Sport. </t>
    </r>
    <r>
      <rPr>
        <color rgb="FF1155CC"/>
        <u/>
      </rPr>
      <t>https://doi.org/10.1016/j.jsams.2024.07.018</t>
    </r>
  </si>
  <si>
    <t>Medicine</t>
  </si>
  <si>
    <t>Dynamic postural control</t>
  </si>
  <si>
    <t>Investigating the effects of maximal anaerobic fatigue on dynamic postural control with Y Balance test by comparing pre-fatigue and post-fatigue (0, 10, 20 min) in anterior direction</t>
  </si>
  <si>
    <r>
      <rPr>
        <rFont val="Arial"/>
        <color theme="1"/>
      </rPr>
      <t xml:space="preserve">"A repeated measures ANOVA with a Greenhouse-Geisser correction determined that the mean reach distances for the </t>
    </r>
    <r>
      <rPr>
        <rFont val="Arial"/>
        <b/>
        <color theme="1"/>
      </rPr>
      <t xml:space="preserve">anterior </t>
    </r>
    <r>
      <rPr>
        <rFont val="Arial"/>
        <color theme="1"/>
      </rPr>
      <t>(F = 3.818, p = 0.025) reach directions were statistically significantly different between time points."</t>
    </r>
  </si>
  <si>
    <t>p.3</t>
  </si>
  <si>
    <t>https://osf.io/5beqa</t>
  </si>
  <si>
    <t>- please choose "NA" for pval_tails, when the paper does not clearly state it. Even if an F-Test is used</t>
  </si>
  <si>
    <t>additional_studies125_b</t>
  </si>
  <si>
    <t>changed pval_value_o to 0.0004
here it says not replicated, therefore other entry for this claim was chosen and this discarded</t>
  </si>
  <si>
    <t>Johnston, W., Dolan, K., Reid, N., Coughlan, G. F., &amp; Caulfield, B. (2018). Investigating the effects of maximal anaerobic fatigue on dynamic postural control using the Y-Balance Test. Journal of science and medicine in sport, 21(1), 103-108. https://doi.org/10.1016/j.jsams.2017.06.008</t>
  </si>
  <si>
    <t>10.1016--j.jsams.2024.07.018.pdf</t>
  </si>
  <si>
    <t>Not replicated</t>
  </si>
  <si>
    <t>Dynamic postural control, Dynamic balance, Y-Balance Test, Fatigue</t>
  </si>
  <si>
    <t>Maximal anaerobic fatigue significantly reduces Y-Balance Test scores in PM</t>
  </si>
  <si>
    <t>- please describe notes in more detail (e.g., what do you mean with "not replicated"
- please do not code values for claims for which no replication finding exists
- please look closely in the replication paper since here the finding was replicated</t>
  </si>
  <si>
    <t>additional_studies125_c</t>
  </si>
  <si>
    <t xml:space="preserve">I dont understand this claim, seems to be the same as above with a different p-value that I cannot find in the original paper. </t>
  </si>
  <si>
    <t>Johnston, W., Dolan, K., Reid, N., Coughlan, G. F., &amp; Caulfield, B. (2018). Investigating the effects of maximal anaerobic fatigue on dynamic postural control using the Y-Balance Test. Journal of science and medicine in sport, 21(1), 103-108. https://doi.org/10.1016/j.jsams.2017.06.009</t>
  </si>
  <si>
    <t>Maximal anaerobic fatigue significantly reduces Y-Balance Test scores in PL</t>
  </si>
  <si>
    <t>0.003</t>
  </si>
  <si>
    <t>awaiting validation</t>
  </si>
  <si>
    <t>additional_studies125_d</t>
  </si>
  <si>
    <t xml:space="preserve">changed n to 39
</t>
  </si>
  <si>
    <t>Johnston, W., Dolan, K., Reid, N., Coughlan, G. F., &amp; Caulfield, B. (2018). Investigating the effects of maximal anaerobic fatigue on dynamic postural control using the Y-Balance Test. Journal of science and medicine in sport, 21(1), 103-108. https://doi.org/10.1016/j.jsams.2017.06.010</t>
  </si>
  <si>
    <t>Dynamic postural control for ANT returned to pre-fatigue level with least significant</t>
  </si>
  <si>
    <t>"The anterior reach direction returned to pre-fatigue levels within 10 min (p = 0.632). The posteromedial reach direction returned to pre-fatigue levels within 20 min (p = 0.236), while the posterolateral direction maintained a statistically significant difference at 20 min (p = 0.023)"</t>
  </si>
  <si>
    <t>p. 1, 4</t>
  </si>
  <si>
    <t>0.632</t>
  </si>
  <si>
    <t>- please watch out for the n that was included in analysis and not the n before exclusions were made</t>
  </si>
  <si>
    <t>additional_studies125_e</t>
  </si>
  <si>
    <t>Johnston, W., Dolan, K., Reid, N., Coughlan, G. F., &amp; Caulfield, B. (2018). Investigating the effects of maximal anaerobic fatigue on dynamic postural control using the Y-Balance Test. Journal of science and medicine in sport, 21(1), 103-108. https://doi.org/10.1016/j.jsams.2017.06.011</t>
  </si>
  <si>
    <t>Dynamic postural control for PM returned to pre-fatigue level with less</t>
  </si>
  <si>
    <t>0.236</t>
  </si>
  <si>
    <t>additional_studies125_f</t>
  </si>
  <si>
    <t>Johnston, W., Dolan, K., Reid, N., Coughlan, G. F., &amp; Caulfield, B. (2018). Investigating the effects of maximal anaerobic fatigue on dynamic postural control using the Y-Balance Test. Journal of science and medicine in sport, 21(1), 103-108. https://doi.org/10.1016/j.jsams.2017.06.012</t>
  </si>
  <si>
    <t>Dynamic postural control for PL returned to pre-fatigue level with most</t>
  </si>
  <si>
    <t>0.023</t>
  </si>
  <si>
    <t>additional_studies125_g</t>
  </si>
  <si>
    <t>Johnston, W., Dolan, K., Reid, N., Coughlan, G. F., &amp; Caulfield, B. (2018). Investigating the effects of maximal anaerobic fatigue on dynamic postural control using the Y-Balance Test. Journal of science and medicine in sport, 21(1), 103-108. https://doi.org/10.1016/j.jsams.2017.06.013</t>
  </si>
  <si>
    <t>Intraclass correlation coefficients for the Y-Balance Test indicate good intra-session reliability for ANT</t>
  </si>
  <si>
    <t>additional_studies125_h</t>
  </si>
  <si>
    <t>Johnston, W., Dolan, K., Reid, N., Coughlan, G. F., &amp; Caulfield, B. (2018). Investigating the effects of maximal anaerobic fatigue on dynamic postural control using the Y-Balance Test. Journal of science and medicine in sport, 21(1), 103-108. https://doi.org/10.1016/j.jsams.2017.06.014</t>
  </si>
  <si>
    <t>Intraclass correlation coefficients for the Y-Balance Test indicate best intra-session reliability for PM</t>
  </si>
  <si>
    <t>additional_studies125_i</t>
  </si>
  <si>
    <t>Johnston, W., Dolan, K., Reid, N., Coughlan, G. F., &amp; Caulfield, B. (2018). Investigating the effects of maximal anaerobic fatigue on dynamic postural control using the Y-Balance Test. Journal of science and medicine in sport, 21(1), 103-108. https://doi.org/10.1016/j.jsams.2017.06.015</t>
  </si>
  <si>
    <t>Intraclass correlation coefficients for the Y-Balance Test indicate least intra-session reliability PL</t>
  </si>
  <si>
    <t>additional_studies125_pl</t>
  </si>
  <si>
    <r>
      <rPr>
        <rFont val="Calibri"/>
        <sz val="11.0"/>
      </rPr>
      <t xml:space="preserve">1. The initial registration of the protocol is under the link: </t>
    </r>
    <r>
      <rPr>
        <rFont val="Calibri"/>
        <color rgb="FF1155CC"/>
        <sz val="11.0"/>
        <u/>
      </rPr>
      <t xml:space="preserve">https://osf.io/kqdpm
</t>
    </r>
    <r>
      <rPr>
        <rFont val="Calibri"/>
        <sz val="11.0"/>
      </rPr>
      <t>2. Since one-way rmANOVA was used, the Nested option is "Yes"
3. Degree of freedon for original study was calculated based on number of time measurements (4) and participants (20)</t>
    </r>
  </si>
  <si>
    <t>Investigating the effects of maximal anaerobic fatigue on dynamic postural control with Y Balance test by comparing pre-fatigue and post-fatigue (0, 10, 20 min) in posteromedial direction</t>
  </si>
  <si>
    <r>
      <rPr>
        <rFont val="Calibri"/>
        <color theme="1"/>
        <sz val="11.0"/>
      </rPr>
      <t xml:space="preserve">"The </t>
    </r>
    <r>
      <rPr>
        <rFont val="Calibri"/>
        <b/>
        <color theme="1"/>
        <sz val="11.0"/>
      </rPr>
      <t xml:space="preserve">posteromedial </t>
    </r>
    <r>
      <rPr>
        <rFont val="Calibri"/>
        <color theme="1"/>
        <sz val="11.0"/>
      </rPr>
      <t>reach direction was approaching significance (F = 2.215, p = 0.059)."</t>
    </r>
  </si>
  <si>
    <t>F(3, 57) = 2.215</t>
  </si>
  <si>
    <t>- do not code tests as one-tailed unless it is explicitly said in the text (eg "one-tailed)</t>
  </si>
  <si>
    <t>additional_studies125_pm</t>
  </si>
  <si>
    <r>
      <rPr>
        <rFont val="Calibri"/>
        <sz val="11.0"/>
      </rPr>
      <t xml:space="preserve">1. The initial registration of the protocol is under the link: </t>
    </r>
    <r>
      <rPr>
        <rFont val="Calibri"/>
        <color rgb="FF1155CC"/>
        <sz val="11.0"/>
        <u/>
      </rPr>
      <t xml:space="preserve">https://osf.io/kqdpm
</t>
    </r>
    <r>
      <rPr>
        <rFont val="Calibri"/>
        <sz val="11.0"/>
      </rPr>
      <t>2. Since one-way rmANOVA was used, the Nested option is "Yes"
3. Degree of freedon for original study was calculated based on number of time measurements (4) and participants (20)</t>
    </r>
  </si>
  <si>
    <t>the values from the replication study that were put in are from a different finding, not replicating reach distance but reach direction</t>
  </si>
  <si>
    <r>
      <rPr>
        <rFont val="Calibri"/>
        <sz val="11.0"/>
      </rPr>
      <t xml:space="preserve">Johnston, W., Dolan, K., Reid, N., Coughlan, G. F., &amp; Caulfield, B. (2018). Investigating the effects of maximal anaerobic fatigue on dynamic postural control using the Y-Balance Test. Journal of science and medicine in sport, 21(1), 103-108. </t>
    </r>
    <r>
      <rPr>
        <rFont val="Calibri"/>
        <color rgb="FF1155CC"/>
        <sz val="11.0"/>
        <u/>
      </rPr>
      <t>https://doi.org/10.1016/j.jsams.2017.06.007</t>
    </r>
  </si>
  <si>
    <t>Investigating the effects of maximal anaerobic fatigue on dynamic postural control with Y Balance test by comparing pre-fatigue and post-fatigue (0, 10, 20 min) in posterolateral direction</t>
  </si>
  <si>
    <r>
      <rPr>
        <rFont val="Calibri"/>
        <color theme="1"/>
        <sz val="11.0"/>
      </rPr>
      <t xml:space="preserve">"A repeated measures ANOVA with a Greenhouse-Geisser correction determined that the mean reach distances for the </t>
    </r>
    <r>
      <rPr>
        <rFont val="Calibri"/>
        <b/>
        <color theme="1"/>
        <sz val="11.0"/>
      </rPr>
      <t xml:space="preserve">posterolateral </t>
    </r>
    <r>
      <rPr>
        <rFont val="Calibri"/>
        <color theme="1"/>
        <sz val="11.0"/>
      </rPr>
      <t>(F = 6.503, P = 0.0004) reach directions were statistically significantly different between time points."</t>
    </r>
  </si>
  <si>
    <t>F(3, 57) = 6.503</t>
  </si>
  <si>
    <t>additional_studies13_1</t>
  </si>
  <si>
    <t>additional_studies13</t>
  </si>
  <si>
    <t xml:space="preserve">This is not a replication:
 original study relied on testing and neuropsychological performance (Visual Reproductions immediate recall/ Visual Reproductions delayed recall/ Verbal Paired Associates I /Verbal Paired Associates II/ Simple Reaction Time efficiency / Continuous Performance/ Test omissions) while newer one based on the APOE ε4 and ε2 presence in the brain. I extracted results, but didn't extract precise statistics. 
Claim text_r. Combat by APOE ε4. Table 2 shows the associations between PTSD symptom severity and combat exposure and covariates (age and sex; ancestry substructure PCs were also included in the model but are not shown in the table for simplicity) in each age group and ancestry cohort. As expected, PTSD severity was strongly associated with combat exposure. It was also negatively associated with age in the middle-age and old-age cohorts, but age was positively associated with PTSD in the young age group. Sex was not significantly related to PTSD severity, but this may be due to low power as the sample was primarily male. Table 2 also shows the main and interactive effects of combat and APOE ε4 on PTSD severity. There were no main effects of APOE ε4 on current PTSD severity in any of the cohorts (P &gt; 0.07). There were no combat by APOE ε4 interactions in any of the age or ancestry cohorts (P ≥ 0.18). Head injury by APOE ε4. We next examined the potential role of head injury in place of combat in the APOE ε4 interaction models. Head injury was associated with current PTSD severity in every age group in both the AA and EUR cohorts (P ≤ 6.03   10–13; Table 2). There was one nominally significant interaction for head injury by ε4 in the young AA cohort (P = 0.042); however, this did not survive a multiple testing correction. [...] p.555 </t>
  </si>
  <si>
    <t>Vasterling, J. J., Aslan, M., Lee, L. O., Proctor, S. P., Ko, J., Jacob, S., &amp; Concato, J. (2018). Longitudinal Associations among Posttraumatic Stress Disorder Symptoms, Traumatic Brain Injury, and Neurocognitive Functioning in Army Soldiers Deployed to the Iraq War. Journal of the International Neuropsychological Society, 24(4), 311–323. doi:10.1017/S1355617717001059</t>
  </si>
  <si>
    <t>10.1017/S1355617717001059</t>
  </si>
  <si>
    <t>Wolf, E. J., Miller, M. W., Zhang, R., Sherva, R., Harrington, K. M., Fonda, J. R., ... &amp; Logue, M. W. (2024). No replication of Alzheimer’s disease genetics as a moderator of the association between combat exposure and PTSD risk in 138,592 combat veterans. Nature Mental Health, 1-9. https://doi.org/10.1038/s44220-024-00225-1</t>
  </si>
  <si>
    <t>10.1038/s44220-024-00225-1</t>
  </si>
  <si>
    <t xml:space="preserve">original study relied on testing and neuropsychological performance (Visual Reproductions immediate recall/ Visual Reproductions delayed recall/ Verbal Paired Associates I /Verbal Paired Associates II/ Simple Reaction Time efficiency / Continuous Performance/ Test omissions) while newer one based on the APOE ε4 and ε2 presence in the brain. I extracted results, but didn't extract precise statistics. 
</t>
  </si>
  <si>
    <t>Hypothesis 1, 2, 3</t>
  </si>
  <si>
    <t>Alzheimer’s disease genetics as a moderator of the association between combat exposure and PTSD risk</t>
  </si>
  <si>
    <t>Results: Autoregressive analyses indicated that visual reproduction scores were inversely related to subsequent PTSD symptom severity at subsequent assessments. Conversely, increases in PTSD symptom severity over each measurement interval were associated with poorer verbal and/or visual recall at the end of each interval, and less efficient reaction time at post-deployment. TBI, primarily mild in this sample, was associated with adverse PTSD symptom outcomes at both post-deployment and long-term follow-up. [...] Table 3,4, and 5</t>
  </si>
  <si>
    <t>1, 6, 7, 8, 9</t>
  </si>
  <si>
    <t>NA: unknown</t>
  </si>
  <si>
    <t>The replication study is not a true replication of the original study. The replication study performs an analysis of APOE ε4 and ε2 genes (an Alzheimer’s disease polygenic risk score) in post-traumatic stress. The original study does not deal with this. Instead, it investigates the associations among PTSD, neurocognitive performance, and TBI following military deployment.</t>
  </si>
  <si>
    <t>10.1017--s1355617717001059.pdf</t>
  </si>
  <si>
    <t>.pdf</t>
  </si>
  <si>
    <t>additional_studies14_1</t>
  </si>
  <si>
    <t>additional_studies14</t>
  </si>
  <si>
    <t>Claim text_r. Hypothesis testing. Table 5 and Fig. 4 show the Cramer’s V correlations between the covariates and the selected media collection. The variance stems from the 60 different parameter combinations tested. According to Cohen [41, 42], a correlation of 0.5 is high, 0.3 is medium, and 0.1 is small1. Hence, our results show a high correlation between the supervisor and the choice of media collection, but only a small correlation between the supervisor’s own choice of media collection and the worker’s choice. Consequently, the hypothesis on the supervisor’s social influence holds (H1a), whereas its particularization in the imitation hypothesis (H1b) does not hold. As coworkers and physical location show a small correlation with the media collection choice, the hypothesis about the coworkers’ social influence does not hold (H2), whereas the negligible association with the physical association does hold (H3). [...] p.9</t>
  </si>
  <si>
    <t>Watson-Manheim, M. B., &amp; Bélanger, F. (2007). Communication media repertoires: Dealing with the multiplicity of media choices. MIS quarterly, 267-293. https://doi.org/10.2307/25148791</t>
  </si>
  <si>
    <t>10.2307/25148791</t>
  </si>
  <si>
    <t>Hüllmann, J. A., &amp; Krebber, S. (2021). Replication Study: Investigating Media Choice and Types of Media Collections of Distributed Workers Using Digital Traces. Available at SSRN 3816626. http://dx.doi.org/10.2139/ssrn.3816626</t>
  </si>
  <si>
    <t>10.2139/ssrn.3816626</t>
  </si>
  <si>
    <t>Even though theoretically relevant aspects of the studies are the same, the original study relied on qualitative methodology, hence there is no quantitative data to compare the studies.</t>
  </si>
  <si>
    <t>Communication Science</t>
  </si>
  <si>
    <t>Media Choice and Types of Media Collections</t>
  </si>
  <si>
    <t>The replication article is related to the original article. However, I do not believe that we can report a quantitative replication attempt. Although the original research article reports some rounded percentages for the use of communication media, I believe that this is a way of illustrating the qualitative information they present in the original research article. This is not comparable to the approach taken in the replication attempts. In other words, replication is a quantitative approach to replicating an original qualitative approach.</t>
  </si>
  <si>
    <t>10.2307--25148791.pdf</t>
  </si>
  <si>
    <t>help needed</t>
  </si>
  <si>
    <t>additional_studies15_1</t>
  </si>
  <si>
    <t>additional_studies15</t>
  </si>
  <si>
    <t>sample size unclear</t>
  </si>
  <si>
    <t>Gettinger, M., Kratochwill, T. R., Eubanks, A., Foy, A., &amp; Levin, J. R. (2021). Academic and behavior combined support: Evaluation of an integrated supplemental intervention for early elementary students. Journal of School Psychology, 89, 1-19. https://doi.org/10.1016/j.jsp.2021.09.004</t>
  </si>
  <si>
    <t>10.1016/j.jsp.2021.09.004</t>
  </si>
  <si>
    <t>10.1016--j.jsp.2021.09.004.pdf</t>
  </si>
  <si>
    <t>Gettinger, M., Kratochwill, T. R., Levin, J. R., Eubanks, A., &amp; Foy, A. (2024). Academic and behavior combined support: A single-case practice-based replication study. Journal of School Psychology, 104, 101307. https://doi.org/10.1016/j.jsp.2024.101307</t>
  </si>
  <si>
    <t>10.1016/j.jsp.2024.101307</t>
  </si>
  <si>
    <t>Academic and Behavior Combined Support, integrated supplemental intervention , Oral reading fluency outcomes, engaged behavior, disruptive behavior</t>
  </si>
  <si>
    <t>"..integrated supplemental intervention for early elementary students [...] (produces) significant improvement from baseline to intervention for both reading and behavior outcomes."</t>
  </si>
  <si>
    <t>"A randomization test conducted on these data revealed a statistically significant change in level across students following the introduction of the intervention (p = .001), from a baseline mean of 60.0 WCPM to an intervention mean of 91.2."</t>
  </si>
  <si>
    <t>hedges' g</t>
  </si>
  <si>
    <t>p.24-25</t>
  </si>
  <si>
    <t>p.8</t>
  </si>
  <si>
    <t>The claim does not fit to the reported d, d should be 2.8 for this case</t>
  </si>
  <si>
    <t xml:space="preserve">Did not include followup, which is present in replication but not the original. </t>
  </si>
  <si>
    <t>"Replication" in title</t>
  </si>
  <si>
    <t>Supplemental support, Oral reading fluency, Engagement</t>
  </si>
  <si>
    <t>Academic and Behavior Combined Support (ABC Support)</t>
  </si>
  <si>
    <t>"Visual and statistical analyses revealed significant improvement from baseline to intervention for both reading and (...) outcomes.", Reading outcome, STANDARD reading passages: "The visual analysis was supported by a multiple-baseline randomization test that yielded a statistically significant increase in WCPM from baseline (M = 59.3) to intervention (M = 72.0), p = .006. The average effect-size d was 1.33, with an associated g of 1.21 and adjusted NAP of 0.57."</t>
  </si>
  <si>
    <t>1 and 12</t>
  </si>
  <si>
    <t>p. 12</t>
  </si>
  <si>
    <t>p. 8</t>
  </si>
  <si>
    <t>Please only provide a numer for N (you wrote 1 and 12) and if you cannot, write an explanation into the notes variable or explain where it comes from.</t>
  </si>
  <si>
    <t>additional_studies15_b</t>
  </si>
  <si>
    <t>Follow up (2 to 5 weeks after intervention) of preceding row's effect (compared to baseline-pre intervention)</t>
  </si>
  <si>
    <t xml:space="preserve">I think some of the p-values might actually be &lt; and not = .001 as reported. Did not include followup, which is present in replication but not the original. </t>
  </si>
  <si>
    <t>"Visual and statistical analyses revealed significant improvement from baseline to intervention for both reading and (...) outcomes.", Reading outcome, TRAINING reading passages: "A randomization test conducted on these data revealed a statistically significant change in level across students following the introduction of the intervention (p = .001), from a baseline mean of 60.0 WCPM to an intervention mean of 91.2. The average effectsize d was 2.80, with an associated g of 2.53 and adjusted NAP of 0.94."</t>
  </si>
  <si>
    <t>1 and 13</t>
  </si>
  <si>
    <t>additional_studies15_c</t>
  </si>
  <si>
    <t>"...there was a statistically significant increase in frequency of engaged behavior (p = .001), from an average of 63% engagement during baseline to 82% during intervention."</t>
  </si>
  <si>
    <t>25-26</t>
  </si>
  <si>
    <t>p.26</t>
  </si>
  <si>
    <t>p.9</t>
  </si>
  <si>
    <t>"Visual and statistical analyses revealed significant improvement from baseline to intervention for both (...) and behaviour outcomes." Behaviour outcome ENGAGED behaviour: "analyses. Specifically, there was a statistically significant increase in frequency of engaged behavior (p = .001), from an average of 63% engagement during baseline to 82% during intervention. The average effect-size d was 1.14, the average g was 1.03, and the average adjusted NAP was 0.55."</t>
  </si>
  <si>
    <t>1 and 15</t>
  </si>
  <si>
    <t>p. 15</t>
  </si>
  <si>
    <t>p. 9</t>
  </si>
  <si>
    <t>additional_studies15_d</t>
  </si>
  <si>
    <t>p.10</t>
  </si>
  <si>
    <t>"Visual and statistical analyses revealed significant improvement from baseline to intervention for both (...) and behaviour outcomes." Behaviour outcome DISRUPTIVE behaviour: "There was a statistically significant decrease in students’ disruptive behavior (p = .001), from an average of 18% occurrence during baseline to 7% during intervention. The average effect-size d was 􀀀 0.85, with an associated g of 􀀀 0.76 and average adjusted NAP of 0.50."</t>
  </si>
  <si>
    <t>p. 10</t>
  </si>
  <si>
    <t>additional_studies15_e</t>
  </si>
  <si>
    <t>"There was a statistically significant decrease in students' disruptive behavior (p = .001), from an average of 18% occurrence during baseline to 7% during intervention. "</t>
  </si>
  <si>
    <t>−0.76</t>
  </si>
  <si>
    <t>additional_studies15_f</t>
  </si>
  <si>
    <t>additional_studies16</t>
  </si>
  <si>
    <t>additional_studies16_b</t>
  </si>
  <si>
    <t>The replication and original articles were extremely clear in their reporting of evaluated effects and effect sizes.</t>
  </si>
  <si>
    <t>10.1016/j.learninstruc.2018.05.004</t>
  </si>
  <si>
    <t>10.1016--j.learninstruc.2018.05.004.pdf</t>
  </si>
  <si>
    <t>Solheim, O. J., Foldnes, N., Walgermo, B. R., Bjerke, K. K., Birkedal, I. K., Uppstad, P. H., &amp; Lundetræ, K. (2024). Closing the Gap: A Conceptual Replication of an Early Reading Intervention. Journal of Research on Educational Effectiveness, 1-23. https://doi.org/10.1080/19345747.2024.2333735</t>
  </si>
  <si>
    <t>10.1080--19345747.2024.2333734</t>
  </si>
  <si>
    <t>Closing the Gap: A Conceptual Replication of an Early Reading Intervention</t>
  </si>
  <si>
    <t>Sentence reading / Reading comprehension</t>
  </si>
  <si>
    <t>reading intervention; at-risk students; reading difficulties.</t>
  </si>
  <si>
    <t>The sentence reading task consisted of 10 items in which a written sentence was followed by four pictures. The child was asked to choose the picture that best corresponded to the meaning of the sentence. The correct stimuli were presented in a random order. Maximum score was 10, and the time limit was five minutes.	Significant ceiling effects were observed for the intervention children on all outcomes, with proportion of the sample censored from above as follows: word reading, 21.4%, sentence reading, 35.1%, spelling, 9.4%, and letter writing, 56.5%. See also table 4</t>
  </si>
  <si>
    <t>p. 70</t>
  </si>
  <si>
    <t>p. 73</t>
  </si>
  <si>
    <t>additional_studies16_c</t>
  </si>
  <si>
    <t>Solheim, O. J., Foldnes, N., Walgermo, B. R., Bjerke, K. K., Birkedal, I. K., Uppstad, P. H., &amp; Lundetræ, K. (2024). Closing the Gap: A Conceptual Replication of an Early Reading Intervention. Journal of Research on Educational Effectiveness, 1-23. https://doi.org/10.1080/19345747.2024.2333736</t>
  </si>
  <si>
    <t>10.1080/19345747.2024.2333734</t>
  </si>
  <si>
    <t>Spelling</t>
  </si>
  <si>
    <t>Spelling was measured by 14 items. For all items, the tester read a short sentence containing the target word, for example, “It was a difficult test. Write ‘test’”. The number of correctly spelled words was measured (maximum=14).	Significant ceiling effects were observed for the intervention children on all outcomes, with proportion of the sample censored from above as follows: word reading, 21.4%, sentence reading, 35.1%, spelling, 9.4%, and letter writing, 56.5%. See also table 4</t>
  </si>
  <si>
    <t>additional_studies16_1</t>
  </si>
  <si>
    <t>additional_studies16_a</t>
  </si>
  <si>
    <t xml:space="preserve">For statistics I used Conceptual replication, reduced sample, because it's closer to the original study in terms of compliance
Claim text_r. Results of the original try-out study and the conceptual replication are compared in Table 6. Intervention estimates were positive for all outcome measures. However, the estimate for reading comprehension did not reach statistical significance on the .05 level (p = .073). Finally, we excluded all intervention students that received 50 or fewer intervention sessions (23.3% of the intervention students) and reran Tobit models and recalculated effect sizes. In these follow up analysis the intervention effect was significant for all three intervention outcomes and effect sizes increased. For word reading Hedges’ g increased from 0.31 to 0.36, for reading comprehension the effect size increased from 0.41 to 0.58 and for spelling the effect size increased from 0.46 to 0.54.[...] p. 16 [...] 
Word Reading, Conceptual replication: Estimate: 0.90, SE: 0.45, p: .047, Hedges' g: 0.31, 95% CI: [0.02, 0.61]
Word Reading, Conceptual replication, reduced sample: Estimate: 1.03, SE: 0.48, p: .031, Hedges' g: 0.36, 95% CI: [0.05, 0.68]
</t>
  </si>
  <si>
    <t>Solheim, O. J., Frijters, J. C., Lundetræ, K., &amp; Uppstad, P. H. (2018). Effectiveness of an early reading intervention in a semi-transparent orthography: A group randomised control. Learning and Instruction, 58, 65–79. https://doi.org/10.1016/j.learninstruc.2018.05.004</t>
  </si>
  <si>
    <t>Solheim, O. J., Foldnes, N., Walgermo, B. R., Bjerke, K. K., Birkedal, I. K., Uppstad, P. H., &amp; Lundetræ, K. (2024). Closing the Gap: A Conceptual Replication of an Early Reading Intervention. Journal of Research on Educational Effectiveness, 1-23. https://doi.org/10.1080/19345747.2024.2333734</t>
  </si>
  <si>
    <t>Education Science</t>
  </si>
  <si>
    <t>Intervention vs. Control, Word reading</t>
  </si>
  <si>
    <t>Early Reading Intervention</t>
  </si>
  <si>
    <t>Word Reading: Estimate: 3.29, SE: 1.08, pnorm: .002, 95% CI: [1.22, 5.66] Table 4 [...] Intervention effect sizes relative to control. Table 5.</t>
  </si>
  <si>
    <t>70,73</t>
  </si>
  <si>
    <t>internal</t>
  </si>
  <si>
    <t>For statistics I used Conceptual replication, reduced sample, because it's closer to the original study in terms of compliance
Claim text_r. Results of the original try-out study and the conceptual replication are compared in Table 6. Intervention estimates were positive for all outcome measures. However, the estimate for reading comprehension did not reach statistical significance on the .05 level (p = .073). Finally, we excluded all intervention students that received 50 or fewer intervention sessions (23.3% of the intervention students) and reran Tobit models and recalculated effect sizes. In these follow up analysis the intervention effect was significant for all three intervention outcomes and effect sizes increased. For word reading Hedges’ g increased from 0.31 to 0.36, for reading comprehension the effect size increased from 0.41 to 0.58 and for spelling the effect size increased from 0.46 to 0.54.[...] p. 16 16 [...] 
Reading Comprehension, Conceptual replication: Estimate: 1.19, SE: 0.67, p: .073, Hedges' g: 0.41, 95% CI: [0.09, 0.81]
Reading Comprehension, Conceptual replication, reduced sample: Estimate: 0.94, SE: 0.39, p: .015, Hedges' g: 0.58, 95% CI: [0.17, 0.97]</t>
  </si>
  <si>
    <t>Intervention vs. Control, Reading comprehension</t>
  </si>
  <si>
    <t>Sentence Reading: Estimate: 2.64, SE: 0.98, pnorm: .007, 95% CI: [0.71, 4.56] Table 4 and Intervention effect sizes relative to control. Table 5.</t>
  </si>
  <si>
    <t>For statistics I used Conceptual replication, reduced sample, because it's closer to the original study in terms of complia
Claim text_r. Results of the original try-out study and the conceptual replication are compared in Table 6. Intervention estimates were positive for all outcome measures. However, the estimate for reading comprehension did not reach statistical significance on the .05 level (p = .073). Finally, we excluded all intervention students that received 50 or fewer intervention sessions (23.3% of the intervention students) and reran Tobit models and recalculated effect sizes. In these follow up analysis the intervention effect was significant for all three intervention outcomes and effect sizes increased. For word reading Hedges’ g increased from 0.31 to 0.36, for reading comprehension the effect size increased from 0.41 to 0.58 and for spelling the effect size increased from 0.46 to 0.54.[...] p. 16 [...] 
Spelling, Conceptual replication: Estimate: 1.81, SE: 0.45, p: .000, Hedges' g: 0.46, 95% CI: [0.20, 0.73]
Spelling, Conceptual replication, reduced sample: Estimate: 2.09, SE: 0.46, p: .000, Hedges' g: 0.54, 95% CI: [0.27, 0.82]</t>
  </si>
  <si>
    <t>Intervention vs. Control, Spelling</t>
  </si>
  <si>
    <t>Spelling: Estimate: 3.23, SE: 1.09, pnorm: &lt;.001, 95% CI: [1.20, 5.86] Table 4 and Intervention effect sizes relative to control. Table 5.</t>
  </si>
  <si>
    <t>Conceptual Replication</t>
  </si>
  <si>
    <t>Word reading</t>
  </si>
  <si>
    <t>"Word reading was measured with 8 words ranging from easy to difficult presented on the tablet, one at a time. The words represented a variety of letters and letter sequences (CV, VC, CVC, VCC, VCC, CVCV, CVCC, CVCVC). The students were asked to read the word aloud. If they managed to sound out or recognize the word, the tester scored it as correct on the tablet. The test was discontinued after two subsequent errors.</t>
  </si>
  <si>
    <r>
      <rPr>
        <rFont val="Arial"/>
        <color theme="1"/>
      </rPr>
      <t xml:space="preserve">"Significant ceiling effects were observed for the intervention children on all outcomes, with proportion of the sample censored from above as follows: word reading, 21.4%, sentence reading, 35.1%, spelling, 9.4%, and letter writing, 56.5%." </t>
    </r>
    <r>
      <rPr>
        <rFont val="Arial"/>
        <b/>
        <color theme="1"/>
      </rPr>
      <t>See also table 4</t>
    </r>
  </si>
  <si>
    <t>additional_studies17</t>
  </si>
  <si>
    <t>additional_studies17_b</t>
  </si>
  <si>
    <t>The replication is clear on what affects is trying to replicate from the original research article. I reported as sample size the number of publication analized. Preregistration link says "https://osf.io/yhk47" but page cannot be found.</t>
  </si>
  <si>
    <t>added 1 to study_r; added 429 to claim_page_o, added ref_o; added 1 to study_o; corrected test statistic (included only the value)</t>
  </si>
  <si>
    <t>Pigott T. D., Valentine J. C., Polanin J. R., Williams R. T., Canada D. D. (2013). Outcome-reporting bias in education research. Educational Researcher, 42(8), 424–432. https://doi.org/10.3102/0013189X13507104</t>
  </si>
  <si>
    <t>10.3102/0013189X13507104</t>
  </si>
  <si>
    <t>10.3102--0013189x13507104.pdf</t>
  </si>
  <si>
    <t>Talbott, E., Maggin, D. M., Chua, M., Ashley, L., Chen, X., Chin, P. A., &amp; Curry, M. K. (2024). Outcome-Reporting Bias in Special Education Intervention Research Using Experimental and Quasi-Experimental Group Designs: A Conceptual Replication. Remedial and Special Education, 0(0). https://doi.org/10.1177/07419325241240068</t>
  </si>
  <si>
    <t>10.1177/07419325241240067</t>
  </si>
  <si>
    <t>A Conceptual Replication</t>
  </si>
  <si>
    <t>Effect of time to publication (moderator variable) in outcome-reporting bias.</t>
  </si>
  <si>
    <t>quantitative research methodology, meta-analysis, special education, publication bias, scientific publications</t>
  </si>
  <si>
    <t>The authors investigated whether the time to publication had an effect on publication bias.</t>
  </si>
  <si>
    <t>Not one of these moderator analyses was statistically significant (all p’s &gt; .20; see Table 3)</t>
  </si>
  <si>
    <t>X2(1) = 1.62</t>
  </si>
  <si>
    <t>X2(1) = 1.35</t>
  </si>
  <si>
    <t>SMS</t>
  </si>
  <si>
    <t>additional_studies17_c</t>
  </si>
  <si>
    <t>added ref_o;  added 1 to study_o, added 429 to claim_page_o; corrected test statistic (included only the value)</t>
  </si>
  <si>
    <t>Talbott, E., Maggin, D. M., Chua, M., Ashley, L., Chen, X., Chin, P. A., &amp; Curry, M. K. (2024). Outcome-Reporting Bias in Special Education Intervention Research Using Experimental and Quasi-Experimental Group Designs: A Conceptual Replication. Remedial and Special Education, 0(0). https://doi.org/10.1177/07419325241240069</t>
  </si>
  <si>
    <t>Effect of sample size (moderator variable) in outcome-reporting bias.</t>
  </si>
  <si>
    <t>The authors investigated whether the sample size had an effect on publication bias.</t>
  </si>
  <si>
    <t>X2(1) = 0.53</t>
  </si>
  <si>
    <t>X2(1) = 6.15</t>
  </si>
  <si>
    <t>additional_studies17_d</t>
  </si>
  <si>
    <t>added ref_o, added 1 to study_o and study_r, added 429 to claim_page_o; corrected test statistic (included only the value)</t>
  </si>
  <si>
    <t>Talbott, E., Maggin, D. M., Chua, M., Ashley, L., Chen, X., Chin, P. A., &amp; Curry, M. K. (2024). Outcome-Reporting Bias in Special Education Intervention Research Using Experimental and Quasi-Experimental Group Designs: A Conceptual Replication. Remedial and Special Education, 0(0). https://doi.org/10.1177/07419325241240070</t>
  </si>
  <si>
    <t>Effect of number of statistical tests (moderator variable) in outcome-reporting bias.</t>
  </si>
  <si>
    <t>The authors investigated whether number of statistical tests had an effect on publication bias.</t>
  </si>
  <si>
    <t>X2(1) = 0.51</t>
  </si>
  <si>
    <t>X2(1) = 2.48</t>
  </si>
  <si>
    <t>additional_studies17_e</t>
  </si>
  <si>
    <t>added ref_o, added 1 to study_o and study_r,  added 429 to claim_page_o; corrected test statistic (included only the value)</t>
  </si>
  <si>
    <t>Talbott, E., Maggin, D. M., Chua, M., Ashley, L., Chen, X., Chin, P. A., &amp; Curry, M. K. (2024). Outcome-Reporting Bias in Special Education Intervention Research Using Experimental and Quasi-Experimental Group Designs: A Conceptual Replication. Remedial and Special Education, 0(0). https://doi.org/10.1177/07419325241240071</t>
  </si>
  <si>
    <t>Effect of type of outcome measure (moderator variable) in outcome-reporting bias.</t>
  </si>
  <si>
    <t>The authors investigated whether the type of outcome measure had an effect on publication bias.</t>
  </si>
  <si>
    <t>X2(1) = 0.37</t>
  </si>
  <si>
    <t>X2(1) = 8.70</t>
  </si>
  <si>
    <t>additional_studies17_1</t>
  </si>
  <si>
    <t>additional_studies17_a</t>
  </si>
  <si>
    <t xml:space="preserve">Claim text_r.  Years to publication, 2 years or less: Odds Ratio: 0.65, 95% CI: [0.38, 1.11], χ²(1), p: 1.35, .25
[...] Table 3, p.8 </t>
  </si>
  <si>
    <t>added conceptual replication to label_r</t>
  </si>
  <si>
    <t>Talbott, E., Maggin, D. M., Chua, M., Ashley, L., Chen, X., Chin, P. A., &amp; Curry, M. K. (2024). Outcome-Reporting Bias in Special Education Intervention Research Using Experimental and Quasi-Experimental Group Designs: A Conceptual Replication. Remedial and Special Education, 0(0). https://doi.org/10.1177/07419325241240067</t>
  </si>
  <si>
    <t>Outcome within 2 years</t>
  </si>
  <si>
    <t>Outcome-Reporting Bias in Special Education Intervention Research</t>
  </si>
  <si>
    <t xml:space="preserve">Time to publication, Within 2 years: OR: 2.00, 95% CI: [1.34, 3.00], χ²(1), p: 1.62, .20 Table 3
</t>
  </si>
  <si>
    <t>OR</t>
  </si>
  <si>
    <t xml:space="preserve">Claim text_r.  Years to publication, More than 2 years: Odds Ratio: 1.88, 95% CI: [1.22, 2.92]
[...] Table 3, p.8 </t>
  </si>
  <si>
    <t>dded conceptual replication to label_r</t>
  </si>
  <si>
    <t>More than 2 years</t>
  </si>
  <si>
    <t>Time to publication, More than 2 years: OR: 2.97, 95% CI: [1.89, 4.66] Table 3</t>
  </si>
  <si>
    <t xml:space="preserve">Claim text_r. Sample size, &lt;79: Odds Ratio: 1.46, 95% CI: [1.00, 2.46], χ²(1), p: 6.15, .01
[...] Table 3, p.8 </t>
  </si>
  <si>
    <t>Sample size less than 100 (79)</t>
  </si>
  <si>
    <t xml:space="preserve">Sample size, &lt;100: OR: 2.35, 95% CI: [1.65, 3.36], χ²(1), p: 0.53, .47 Table 3
</t>
  </si>
  <si>
    <t xml:space="preserve">Claim text_r. Sample size, ≥79: Odds Ratio: 1.57, 95% CI: [0.90, 2.36]
 Table 3, p.8 </t>
  </si>
  <si>
    <t>Sample size equal or more 100 (79)</t>
  </si>
  <si>
    <t xml:space="preserve">Sample size, ≥100: OR: 3.05, 95% CI: [1.66, 5.55] Table 3
</t>
  </si>
  <si>
    <t xml:space="preserve">Claim text_r. Number of statistical tests, &lt;23: Odds Ratio: 1.16, 95% CI: [0.69, 2.00], χ²(1), p: 2.48, .12
 [...] Table 3, p.8 </t>
  </si>
  <si>
    <t>Number of statistical significance tests &lt; 14 (21)</t>
  </si>
  <si>
    <t xml:space="preserve">Number of statistical significance tests, ≤14: OR: 2.68, 95% CI: [1.76, 4.08], χ²(1), p: 0.51, .48 Table 3
</t>
  </si>
  <si>
    <t>additional_studies17_f</t>
  </si>
  <si>
    <t xml:space="preserve">Claim text_r. Number of statistical tests, ≥23: Odds Ratio: 1.43, 95% CI: [0.92, 2.22]
 Table 3, p.8 </t>
  </si>
  <si>
    <t>Number of statistical significance tests more or eq 14 (21)</t>
  </si>
  <si>
    <t xml:space="preserve">Number of statistical significance tests, &gt;14: OR: 2.16, 95% CI: [1.41, 3.30] Table 3
</t>
  </si>
  <si>
    <t>additional_studies17_g</t>
  </si>
  <si>
    <t xml:space="preserve">Claim text_r. Type of outcome, Academic achievement: Odds Ratio: 2.27, 95% CI: [1.58, 3.26], χ²(1), p: 8.70, p&lt;.01
 Table 3, p.8 </t>
  </si>
  <si>
    <t>Academic achievement</t>
  </si>
  <si>
    <t xml:space="preserve">Type of outcome measure, Academic achievement: OR: 2.46, 95% CI: [1.71, 3.52], χ²(1), p: 0.37, .55 Table 3
</t>
  </si>
  <si>
    <t>additional_studies17_h</t>
  </si>
  <si>
    <t>Claim text_r. Type of outcome, Social-emotional/behavioral: Odds Ratio: 0.55, 95% CI: [0.30, 1.00] [...] Table 3, p.8</t>
  </si>
  <si>
    <t>Socioemotional-behavioral</t>
  </si>
  <si>
    <t>Type of outcome measure, Socioemotional-behavioral: OR: 1.99, 95% CI: [1.13, 3.53] Table 3</t>
  </si>
  <si>
    <r>
      <rPr>
        <rFont val="Arial"/>
      </rPr>
      <t>The replication is clear on what affects is trying to replicate from the original research article. I reported as sample size the number of publication analyzed. Preregistration link says "</t>
    </r>
    <r>
      <rPr>
        <rFont val="Arial"/>
        <color rgb="FF1155CC"/>
        <u/>
      </rPr>
      <t>https://osf.io/yhk47</t>
    </r>
    <r>
      <rPr>
        <rFont val="Arial"/>
      </rPr>
      <t>" but page cannot be found.</t>
    </r>
  </si>
  <si>
    <t>Odds ratio for publish findings</t>
  </si>
  <si>
    <t>Overall odds ratio that significant and nonsignificant findings reported in special education dissertations would also be reported in corresponding journal publications</t>
  </si>
  <si>
    <t>We next computed the Mantel–Haenszel odds ratio, which allowed us to weight studies by the number of statistical tests that were reported in the dissertation. The mean odds ratio was 2.41 (with a 95% confidence interval ranging from a low of 1.79 to a high of 3.25). Thus, the odds of a statistically significant outcome in a dissertation appearing in the published version were 2.41 greater than the odds of a nonstatistically significant outcome appearing in the published version. [...]</t>
  </si>
  <si>
    <t>p. 428</t>
  </si>
  <si>
    <t>Vidhi</t>
  </si>
  <si>
    <t>additional_studies18_1</t>
  </si>
  <si>
    <t>additional_studies18</t>
  </si>
  <si>
    <t>Same results but there were contextual differences.</t>
  </si>
  <si>
    <t>These need to be reassigned and coded, they are missing effects</t>
  </si>
  <si>
    <t>Kanwit, M., &amp; Geeslin, K. L. (2014). The interpretation of Spanish subjunctive and indicative forms in adverbial clauses: A cross-sectional study. Studies in Second Language Acquisition, 36(3), 487-533. https:://doi.org/10.1017/S0272263114000126</t>
  </si>
  <si>
    <t>10.1017/S0272263114000126</t>
  </si>
  <si>
    <t>Gudmestad, A., Edmonds, A., Henderson, C., &amp; Lindqvist, C. (2024). The interpretation of verbal moods in Spanish: A close replication of Kanwit and Geeslin (2014). Studies in Second Language Acquisition, 1–18. https://doi.org/10.1017/S027226312400010X</t>
  </si>
  <si>
    <t>10.1017/S027226312400010X</t>
  </si>
  <si>
    <t>Interpretation of sociolinguistic variation</t>
  </si>
  <si>
    <t>language learning, second language, subjunctive, adverbial clauses, verbal moods</t>
  </si>
  <si>
    <t>interpretation of verbal moods in Spanish</t>
  </si>
  <si>
    <t>Non-native speakers' interpretation align with grammatical rules at higher proficiency.</t>
  </si>
  <si>
    <t>needs to be calculted</t>
  </si>
  <si>
    <t>r code</t>
  </si>
  <si>
    <t>Advanced learners interpret indicative forms similarly to non-native speakers.</t>
  </si>
  <si>
    <t>Learners rely on linguistic factors to interpret languages.</t>
  </si>
  <si>
    <t>interpretation of verbal moods in second language learning</t>
  </si>
  <si>
    <t xml:space="preserve"> interpretation of verbal moods in Spanish</t>
  </si>
  <si>
    <t>additional_studies19_1</t>
  </si>
  <si>
    <t>additional_studies19</t>
  </si>
  <si>
    <t>I have encountered some issues in fully understanding the papers, as they extend significantly beyond my field of expertise. Both experiments seem to involve simulations as their primary analyses, with results focusing on comparisons between different models.
Additionally, the reported results fall outside the range of effects selectable in the "es_type" column.</t>
  </si>
  <si>
    <t>simulation study, no new data was collected but merely "generated"</t>
  </si>
  <si>
    <t>Dishop, C. R. (2022). Spurious inference in consensus emergence modeling due to the distinguishability problem. Psychological Methods. Advance online publication. https://doi.org/10.1037/met0000511</t>
  </si>
  <si>
    <t>10.1037/met0000511</t>
  </si>
  <si>
    <t>10.1037--met0000511.pdf</t>
  </si>
  <si>
    <r>
      <rPr>
        <rFont val="Calibri"/>
        <sz val="11.0"/>
      </rPr>
      <t xml:space="preserve">Lang, J. W. B., &amp; Bliese, P. D. (2024). The plausibility of alternative data-generating mechanisms: Comment on and attempt at replication of Dishop (2022).Psychological Methods. Advance online publication. </t>
    </r>
    <r>
      <rPr>
        <rFont val="Calibri"/>
        <color rgb="FF1155CC"/>
        <sz val="11.0"/>
        <u/>
      </rPr>
      <t>https://doi.org/10.1037/met0000650</t>
    </r>
  </si>
  <si>
    <t>10.1037/met0000650</t>
  </si>
  <si>
    <t>10.1037--met0000650.pdf</t>
  </si>
  <si>
    <t>no new data was collected</t>
  </si>
  <si>
    <t>The same value in the replication paper seems to be used to replicate Table D1 and Figure D1A. There are three replication sections: replications 1, 2 and 3. I only looked closely at section 1 due to time constraints. I briefly read and thought about what I think are all the relevant parts of the original paper and the replication paper.</t>
  </si>
  <si>
    <r>
      <rPr>
        <rFont val="Calibri"/>
        <sz val="11.0"/>
      </rPr>
      <t xml:space="preserve">Lang, J. W. B., &amp; Bliese, P. D. (2024). The plausibility of alternative data-generating mechanisms: Comment on and attempt at replication of Dishop (2022).Psychological Methods. Advance online publication. </t>
    </r>
    <r>
      <rPr>
        <rFont val="Calibri"/>
        <color rgb="FF1155CC"/>
        <sz val="11.0"/>
        <u/>
      </rPr>
      <t>https://doi.org/10.1037/met0000650</t>
    </r>
  </si>
  <si>
    <t>"Comment on and Attempt at Replication" in title</t>
  </si>
  <si>
    <t>Methods</t>
  </si>
  <si>
    <t>consensus emergence models, inference, type I error, monte carlo, groups</t>
  </si>
  <si>
    <t>Table D1</t>
  </si>
  <si>
    <t>Copied from replication paper (p. 7) because would have taken too long otherwise: "In Figure 1, notice that our simulated data differ substantially from the graphs in Figure D1. Specifically, our data do not uniformly start around a single point and show a pattern over time with some indication of dissensus in certain groups (see Figure 1). More importantly, applying CEMs to these data yielded a positive δ of 0.12 reflecting the observed pattern of dissensus in Figure 1. Our results are substantially different from the reported estimates for δ of −0.48 (Table D1) and −0.82 (Figure D1A) both in terms of magnitude and sign."</t>
  </si>
  <si>
    <t>delta</t>
  </si>
  <si>
    <t>p. 7 replication paper</t>
  </si>
  <si>
    <t>additional_studies19_b</t>
  </si>
  <si>
    <r>
      <rPr>
        <rFont val="Calibri"/>
        <sz val="11.0"/>
      </rPr>
      <t xml:space="preserve">Lang, J. W. B., &amp; Bliese, P. D. (2024). The plausibility of alternative data-generating mechanisms: Comment on and attempt at replication of Dishop (2022).Psychological Methods. Advance online publication. </t>
    </r>
    <r>
      <rPr>
        <rFont val="Calibri"/>
        <color rgb="FF1155CC"/>
        <sz val="11.0"/>
        <u/>
      </rPr>
      <t>https://doi.org/10.1037/met0000650</t>
    </r>
  </si>
  <si>
    <t>Figure D1A</t>
  </si>
  <si>
    <t>additional_studies19_c</t>
  </si>
  <si>
    <t xml:space="preserve">There are three replication sections: replications 1, 2 and 3. I only looked closely at section 1 due to time constraints. I briefly read and thought about what I think are all the relevant parts of the original paper and the replication paper.
</t>
  </si>
  <si>
    <r>
      <rPr>
        <rFont val="Calibri"/>
        <sz val="11.0"/>
      </rPr>
      <t xml:space="preserve">Lang, J. W. B., &amp; Bliese, P. D. (2024). The plausibility of alternative data-generating mechanisms: Comment on and attempt at replication of Dishop (2022).Psychological Methods. Advance online publication. </t>
    </r>
    <r>
      <rPr>
        <rFont val="Calibri"/>
        <color rgb="FF1155CC"/>
        <sz val="11.0"/>
        <u/>
      </rPr>
      <t>https://doi.org/10.1037/met0000650</t>
    </r>
  </si>
  <si>
    <t>Figure D1B</t>
  </si>
  <si>
    <t>additional_studies2_1</t>
  </si>
  <si>
    <t>additional_studies2</t>
  </si>
  <si>
    <t>I entered adjusted ORs as reported in the paper in this table. The paper also reports unadjusted ORs. I calculated (unadjusted) ORs myself in the hope of providing more precise p-values. However, they were not exactly the same as in the paper, so I did not include the p-values here. In order to save time, I did not attempt to calculate the p-value for the adjusted ORs but I could if desired.</t>
  </si>
  <si>
    <t xml:space="preserve">- Two more rows could be added (containing and antipsychotic use). However, in this case, they would not be validated - should I add the rows? 
- I added the study number of the replication and of the original
- I changed all page numbers from the document pages to the pages of the PDFs
- I changed the number of participants of both studies. I have no idea how the coders calculated their N initially and it took me a lot of time while I was trying to understand what they coded. Finally, I calculated the N from the table, but I still have no clue what they did. 
- I changed the p-values to NA since there was no p-value         
- I changed nesting to „no“ (in the original and the replication) </t>
  </si>
  <si>
    <t>Taipale, H., Solmi, M., Lähteenvuo, M., Tanskanen, A., Correll, C. U., &amp; Tiihonen, J. (2021). Antipsychotic use and risk of breast cancer in women with schizophrenia: a nationwide nested case-control study in Finland. The Lancet Psychiatry, 8(10), 883-891. https://doi.org/10.1016/S2215-0366(21)00241-8</t>
  </si>
  <si>
    <t>10.1016/S2215-0366(21)00241-8</t>
  </si>
  <si>
    <t>10.1016--s2215-0366(21)00241-8.pdf</t>
  </si>
  <si>
    <t>Solmi, M., Lähteenvuo, M., Tanskanen, A., Corbeil, O., Mittendorfer-Rutz, E., Correll, C. U., ... &amp; Taipale, H. (2024). Antipsychotic Use and Risk of Breast Cancer in Women With Severe Mental Illness: Replication of a Nationwide Nested Case–Control Database Study. Schizophrenia Bulletin, sbae058. https://doi.org/10.1093/schbul/sbae058</t>
  </si>
  <si>
    <t>10.1093/schbul/sbae058</t>
  </si>
  <si>
    <t xml:space="preserve">Prolactin-increasing antipsychotics' effect on breast cancer
</t>
  </si>
  <si>
    <t>prolactin/hyperprolactinemia/schizoaffective disorder/bipolar disorder/psychotic disorder/psychiatry</t>
  </si>
  <si>
    <t>"Long-term exposure to prolactin-increasing, but not to prolactin sparing, antipsychotics is significantly associated with increased odds of breast cancer."</t>
  </si>
  <si>
    <t>1-4 years: "When compared with less than 1 year of exposure to prolactin-increasing antipsychotics (all other antipsychotics), 1–4 years of exposure was not associated with an increased risk (...)</t>
  </si>
  <si>
    <t>p. 1</t>
  </si>
  <si>
    <t>p. 5</t>
  </si>
  <si>
    <t xml:space="preserve">Corinna </t>
  </si>
  <si>
    <t>additional_studies2_b</t>
  </si>
  <si>
    <t xml:space="preserve">- I added the study number of the replication and of the original
- I changed all page numbers from the document pages to the pages of the PDFs
- I changed the number of participants of both studies. I have no idea how the coders calculated their N initially and it took me a lot of time while I was trying to understand what they coded. Finally, I calculated the N from the table, but I still have no clue what they did.     
- I changed nesting to „no“ (in the original and the replication) </t>
  </si>
  <si>
    <t>5+ years: "When compared with less than 1 year of exposure to prolactin-increasing antipsychotics (all other antipsychotics), (...) exposure for 5 or more years was associated with an increased risk (adjusted OR 1·56 [1·27–1·92], p&lt;0·001)." (...) "Long-term exposure to prolactin-increasing, but not to prolactin sparing, antipsychotics is significantly associated with increased odds of breast cancer."</t>
  </si>
  <si>
    <t>additional_studies2_c</t>
  </si>
  <si>
    <t xml:space="preserve">- I added the study number of the replication and of the original
- I changed all page numbers from the document pages to the pages of the PDFs
- I changed the number of participants of both studies. I have no idea how the coders calculated their N initially and it took me a lot of time while I was trying to understand what they coded. Finally, I calculated the N from the table, but I still have no clue what they did. 
- I changed the p-values to NA since there was no p-value         
- I changed nesting to „no“ (in the original and the replication) </t>
  </si>
  <si>
    <t xml:space="preserve">Prolactin-sparing antipsychotics' effect on breast cancer
</t>
  </si>
  <si>
    <t>1-4 years: "Compared with 5339 matched controls, 1–4 years cumulative exposure (adjusted odds ratio [OR] 0·95, 95% CI 0·73–1·25) (...) to prolactin-sparing antipsychotics (including clozapine, quetiapine, or aripiprazole) was not associated with an increased risk of breast cancer in comparison with minimal exposure (&lt;1 year)." (...)</t>
  </si>
  <si>
    <t>additional_studies2_d</t>
  </si>
  <si>
    <t>5+ years: "Compared with 5339 matched controls, (...)5 or more years exposure (adjusted OR 1·19, 0·90–1·58) to prolactin-sparing antipsychotics (including clozapine, quetiapine, or aripiprazole) was not associated with an increased risk of breast cancer in comparison with minimal exposure (&lt;1 year)." (...)"Long-term exposure to prolactin-increasing, but not to prolactin sparing, antipsychotics is significantly associated with increased odds of breast cancer."</t>
  </si>
  <si>
    <t>additional_studies2_a</t>
  </si>
  <si>
    <t>p-value was not explicitly provided, but since the CI includes 1, the p-value is greater than 0.05</t>
  </si>
  <si>
    <t xml:space="preserve">- I added the study number of the replication and of the original
- I changed the effect description
- The claim was not a quote. I changed it too. 
- I changed all page numbers from the document pages to the pages of the PDFs
- I changed the number of participants of both studies. I have no idea how the coders calculated their N initially and it took me a lot of time while I was trying to understand what they coded. Finally, I calculated the N from the table, but I still have no clue what they did. 
- I changed the p-values to NA since there was no p-value         
- I changed the tails of the p-value to NA
- I changed nesting to „no“ (in the original and the replication) </t>
  </si>
  <si>
    <t>prolactin/hyperprolactinemia/schizoaffective
disorder/bipolar disorder/psychotic disorder/psychiatry</t>
  </si>
  <si>
    <t>≥5 years of exposure to prolactin-increasing antipsychotics and the association with breast cancer</t>
  </si>
  <si>
    <t>1–4 years of exposure to prolactin-increasing antipsychotics and the association with breast cancer</t>
  </si>
  <si>
    <t>additional_studies20_1</t>
  </si>
  <si>
    <t>additional_studies20</t>
  </si>
  <si>
    <t>R_research question 2</t>
  </si>
  <si>
    <t>Gerlicher, A. M. V., Tüscher, O., &amp; Kalisch, R. (2018). Dopamine-dependent prefrontal reactivations explain long-term benefit of fear extinction. Nature communications, 9(1), 4294. https://doi.org/10.1038/s41467-018-06785-y</t>
  </si>
  <si>
    <t>10.1038/s41467-018-06785-y</t>
  </si>
  <si>
    <t>10.1038--s41467-018-06785-y.pdf</t>
  </si>
  <si>
    <t>Andres, E., Chuan-Peng, H., Gerlicher, A. M., Meyer, B., Tüscher, O., &amp; Kalisch, R. (2024). Replication study on the role of dopamine-dependent prefrontal reactivations in human extinction memory retrieval. Nature Communications, 15(1), 2699. https://doi.org/10.1038/s41467-024-46936-y</t>
  </si>
  <si>
    <t>10.1038/s41467-024-46936-y</t>
  </si>
  <si>
    <t>Neuroscience</t>
  </si>
  <si>
    <t>Fear extintion</t>
  </si>
  <si>
    <t>Fear extintion, vmPFC, L-DOPA</t>
  </si>
  <si>
    <t>"number of postextinction reactivations of an extinction learning-related vmPFC pattern (day 2)
predicts extinction memory retrieval at test (day 3)."</t>
  </si>
  <si>
    <t>"Critically, the number of potential vmPFC pattern reactivations during the 45-min postextinction scan negatively predicted CRs at test on day 3"</t>
  </si>
  <si>
    <t xml:space="preserve">https://osf.io/x64cn/ </t>
  </si>
  <si>
    <t>did not replicate successfully. There were four replicated claims. I briefly looked at all of them but only coded two due to time constraints. I should also double check the Ns but did not do this for the same reason. I think they are slightly wrong for some of the claims.</t>
  </si>
  <si>
    <t>- If there are multiple rows for one finding, please rename "id" to id_b, id_c, etc. for the newly created rows.</t>
  </si>
  <si>
    <r>
      <rPr>
        <rFont val="Calibri"/>
        <sz val="11.0"/>
      </rPr>
      <t xml:space="preserve">Andres, E., Chuan-Peng, H., Gerlicher, A. M., Meyer, B., Tüscher, O., &amp; Kalisch, R. (2024). Replication study on the role of dopamine-dependent prefrontal reactivations in human extinction memory retrieval. Nature Communications, 15(1), 2699. </t>
    </r>
    <r>
      <rPr>
        <rFont val="Calibri"/>
        <color rgb="FF1155CC"/>
        <sz val="11.0"/>
        <u/>
      </rPr>
      <t>https://doi.org/10.1038/s41467-024-46936-y</t>
    </r>
  </si>
  <si>
    <t xml:space="preserve">"Dopamine-dependent prefrontal reactivations explain long-term benefit of fear extinction" </t>
  </si>
  <si>
    <t>"spontaneous post-extinction vmPFC reactivations predict extinction memory retrieval" (45 MINUTES after extinction) (replication paper p. 1)</t>
  </si>
  <si>
    <t>45 minutes: "Critically, the number of potential vmPFC pattern reactivations during the 45-min postextinction scan negatively predicted CRs at test on day 3 (multiple linear regression: β45 min = −0.13, SE = 0.03, T30 = −4.05, P = 0.0003; n = 35; Fig. 2b; for control analyses, see Supplementary Figs. 2, 3). That is, more CS+ offset-related vmPFC reactivations were associated with improved extinction memory retrieval (i.e., reduced CRs) at test. Reactivations during the scans 10 or 90 min after extinction did not significantly predict CRs (β10 min = −0.01, SE = 0.04, T30 = −0.17, P = 0.86; β90 min = 0.06, SE = 0.04, T30 = 1.71, P = 0.10)." (original paper p.3), "spontaneous post-extinction vmPFC reactivations predict extinction memory retrieval" (45 MINUTES after extinction) (replication paper p. 1)</t>
  </si>
  <si>
    <t>p. 4</t>
  </si>
  <si>
    <t>osf.io/x64cn</t>
  </si>
  <si>
    <t>replicated successfully. There were four replicated claims. I briefly looked at all of them but only coded two due to time constraints. I should also double check the Ns but did not do this for the same reason. I think they are slightly wrong for some of the claims.</t>
  </si>
  <si>
    <r>
      <rPr>
        <rFont val="Calibri"/>
        <sz val="11.0"/>
      </rPr>
      <t xml:space="preserve">Andres, E., Chuan-Peng, H., Gerlicher, A. M., Meyer, B., Tüscher, O., &amp; Kalisch, R. (2024). Replication study on the role of dopamine-dependent prefrontal reactivations in human extinction memory retrieval. Nature Communications, 15(1), 2699. </t>
    </r>
    <r>
      <rPr>
        <rFont val="Calibri"/>
        <color rgb="FF1155CC"/>
        <sz val="11.0"/>
        <u/>
      </rPr>
      <t>https://doi.org/10.1038/s41467-024-46936-y</t>
    </r>
  </si>
  <si>
    <t>"spontaneous post-extinction vmPFC reactivations predict extinction memory retrieval" (90 MINUTES after extinction) (replication paper p. 1)</t>
  </si>
  <si>
    <t>90 minutes: "Critically, the number of potential vmPFC pattern reactivations during the 45-min postextinction scan negatively predicted CRs at test on day 3 (multiple linear regression: β45 min = −0.13, SE = 0.03, T30 = −4.05, P = 0.0003; n = 35; Fig. 2b; for control analyses, see Supplementary Figs. 2, 3). That is, more CS+ offset-related vmPFC reactivations were associated with improved extinction memory retrieval (i.e., reduced CRs) at test. Reactivations during the scans 10 or 90 min after extinction did not significantly predict CRs (β10 min = −0.01, SE = 0.04, T30 = −0.17, P = 0.86; β90 min = 0.06, SE = 0.04, T30 = 1.71, P = 0.10)." (original paper p.3),  "spontaneous post-extinction vmPFC reactivations predict extinction memory retrieval" (90 MINUTES after extinction) (replication paper p. 1)</t>
  </si>
  <si>
    <r>
      <rPr>
        <rFont val="Calibri"/>
        <sz val="11.0"/>
      </rPr>
      <t xml:space="preserve">Andres, E., Chuan-Peng, H., Gerlicher, A. M., Meyer, B., Tüscher, O., &amp; Kalisch, R. (2024). Replication study on the role of dopamine-dependent prefrontal reactivations in human extinction memory retrieval. Nature Communications, 15(1), 2699. </t>
    </r>
    <r>
      <rPr>
        <rFont val="Calibri"/>
        <color rgb="FF1155CC"/>
        <sz val="11.0"/>
        <u/>
      </rPr>
      <t>https://doi.org/10.1038/s41467-024-46936-y</t>
    </r>
  </si>
  <si>
    <t>"L-DOPA administration significantly enhances retrieval" (replication paper p. 1)</t>
  </si>
  <si>
    <r>
      <rPr>
        <rFont val="Calibri"/>
        <sz val="11.0"/>
      </rPr>
      <t xml:space="preserve">Andres, E., Chuan-Peng, H., Gerlicher, A. M., Meyer, B., Tüscher, O., &amp; Kalisch, R. (2024). Replication study on the role of dopamine-dependent prefrontal reactivations in human extinction memory retrieval. Nature Communications, 15(1), 2699. </t>
    </r>
    <r>
      <rPr>
        <rFont val="Calibri"/>
        <color rgb="FF1155CC"/>
        <sz val="11.0"/>
        <u/>
      </rPr>
      <t>https://doi.org/10.1038/s41467-024-46936-y</t>
    </r>
  </si>
  <si>
    <t>"L-DOPA administration significantly enhances retrieval and that this is MEDIATED by enhancement of the number of vmPFC reactivations" (replication paper p. 1)</t>
  </si>
  <si>
    <t>additional_studies20_b</t>
  </si>
  <si>
    <t>feedback: please review copied text and correct it (a "=" was missing)
notes:
- format in es value column has changed to drop-down</t>
  </si>
  <si>
    <t>"Reactivations during the scans 10 [...] min after extinction did not significantly predict CRs "</t>
  </si>
  <si>
    <t>https://osf.io/x64cn/</t>
  </si>
  <si>
    <t>feedback: please review copied text and correct it (a "=" was missing)</t>
  </si>
  <si>
    <t>additional_studies20_c</t>
  </si>
  <si>
    <t>- format in es value column has changed to drop-down</t>
  </si>
  <si>
    <t>"Reactivations during the scans [...] 90 min after extinction did not significantly predict CRs "</t>
  </si>
  <si>
    <t>−0.10</t>
  </si>
  <si>
    <t>additional_studies20_d</t>
  </si>
  <si>
    <t>R_research question 1</t>
  </si>
  <si>
    <t>- corrected page number (2 instead of 3)
- format in es value column has changed to drop-down</t>
  </si>
  <si>
    <t>".....pharmacologically enhancing dopaminergic activity during extinction consolidation [...] improves extinction memory retrieval at test."</t>
  </si>
  <si>
    <t>"As predicted, the postextinction administration of L-DOPA compared to placebo (see Fig. 1a) enhanced extinction memory retrieval and reduced the expression of fear at test on day 3 (stimulus: F1,33 = 44.61, P &lt; .001, partial η2 = 0.58, stimulus × group: F1,33 = 6.58, P = 0.02, partial η2 = 0.17; n = 35; Fig. 1b)."</t>
  </si>
  <si>
    <t>etasq (partial)</t>
  </si>
  <si>
    <t>p. 2</t>
  </si>
  <si>
    <t xml:space="preserve">F(1,53) = 0.02 </t>
  </si>
  <si>
    <t>additional_studies20_e</t>
  </si>
  <si>
    <t>R_research question 3</t>
  </si>
  <si>
    <t>"Critically, L-DOPA also increases the number of vmPFC pattern reactivations, and this effect mediates the effect of L-DOPA on extinction memory retrieval. "</t>
  </si>
  <si>
    <t>"postextinction L-DOPA administration significantly increased the number of potential CS+ offset-related vmPFC pattern reactivations (time × group: F(3,114) = 3.51, P = 0.02, partial η2 = 0.09; n = 40), particularly 45 min after extinction"</t>
  </si>
  <si>
    <t xml:space="preserve">F(1,44) = 0.48 </t>
  </si>
  <si>
    <t>p.5</t>
  </si>
  <si>
    <t>additional_studies21_1</t>
  </si>
  <si>
    <t>additional_studies21</t>
  </si>
  <si>
    <t>The central features of the replicated study are highly similar with the original study. The differences in some of the results are due to contextual differences.</t>
  </si>
  <si>
    <t>Harper, L. M., &amp; Kim, Y. (2018). Attitudinal, normative, and resource factors affecting psychologists’ intentions to adopt an open data badge: An empirical analysis. International Journal of Information Management, 41(8), 23–32. https://doi.org/10.1016/j.ijinfomgt.2018.03.001</t>
  </si>
  <si>
    <t>10.1016/j.ijinfomgt.2018.03.001</t>
  </si>
  <si>
    <t>Xu, J., &amp; Zhang, R. (2024). Attitudinal, Normative, and Resource Factors Affecting Communication Scholars’ Data Sharing: A Replication Study. Media and Communication, 12. https://doi.org/10.17645/mac.7666</t>
  </si>
  <si>
    <t>10.17645/mac.7666</t>
  </si>
  <si>
    <t>The authors tested the robustness and validity of the original findings.</t>
  </si>
  <si>
    <t>Behavioral intentions</t>
  </si>
  <si>
    <t>Communication scholars, open science, theory of planned behavior</t>
  </si>
  <si>
    <t>factors affecting psychologists’ intentions to adopt an open data badge</t>
  </si>
  <si>
    <t>Attitude toward the adoption of open data badges was the strongest predictor of psychologists' behavioral intention to adopt the badge (β = 0.415, p &lt; 0.001). A positive attitude significantly increased psychologists' intentions to adopt an open science badge.</t>
  </si>
  <si>
    <t>p &lt; 0.001</t>
  </si>
  <si>
    <t>additional_studies21_2</t>
  </si>
  <si>
    <t>additional_studies22</t>
  </si>
  <si>
    <t>Norm on data sharing significantly influenced behavioral intention (β = 0.201, p &lt; 0.001).</t>
  </si>
  <si>
    <t>additional_studies21_3</t>
  </si>
  <si>
    <t>additional_studies23</t>
  </si>
  <si>
    <t>Harper, L. M., &amp; Kim, Y. (2018). Attitudinal, normative, and resource factors affecting psychologists’ intentions to adopt an open data badge: An empirical analysis. International Journal of Information Management, 41(8), 23–32. https://doi.org/10.1016/j.ijinfomgt.2018.03.002</t>
  </si>
  <si>
    <t>Xu, J., &amp; Zhang, R. (2024). Attitudinal, Normative, and Resource Factors Affecting Communication Scholars’ Data Sharing: A Replication Study. Media and Communication, 12. https://doi.org/10.17645/mac.7667</t>
  </si>
  <si>
    <t>10.17645/mac.7667</t>
  </si>
  <si>
    <t>Perceived effort had a negative influence on behavioral intention  (β = -0.226, p &lt; 0.001).</t>
  </si>
  <si>
    <t>additional_studies21_4</t>
  </si>
  <si>
    <t>additional_studies24</t>
  </si>
  <si>
    <t>Harper, L. M., &amp; Kim, Y. (2018). Attitudinal, normative, and resource factors affecting psychologists’ intentions to adopt an open data badge: An empirical analysis. International Journal of Information Management, 41(8), 23–32. https://doi.org/10.1016/j.ijinfomgt.2018.03.003</t>
  </si>
  <si>
    <t>Xu, J., &amp; Zhang, R. (2024). Attitudinal, Normative, and Resource Factors Affecting Communication Scholars’ Data Sharing: A Replication Study. Media and Communication, 12. https://doi.org/10.17645/mac.7668</t>
  </si>
  <si>
    <t>10.17645/mac.7668</t>
  </si>
  <si>
    <t>Open science journal pressure did not have significant effects on behavioral intention  (β = 0.001, p &gt; 0.05).</t>
  </si>
  <si>
    <t>additional_studies21_5</t>
  </si>
  <si>
    <t>additional_studies25</t>
  </si>
  <si>
    <t>Harper, L. M., &amp; Kim, Y. (2018). Attitudinal, normative, and resource factors affecting psychologists’ intentions to adopt an open data badge: An empirical analysis. International Journal of Information Management, 41(8), 23–32. https://doi.org/10.1016/j.ijinfomgt.2018.03.004</t>
  </si>
  <si>
    <t>Xu, J., &amp; Zhang, R. (2024). Attitudinal, Normative, and Resource Factors Affecting Communication Scholars’ Data Sharing: A Replication Study. Media and Communication, 12. https://doi.org/10.17645/mac.7669</t>
  </si>
  <si>
    <t>10.17645/mac.7669</t>
  </si>
  <si>
    <t>The availability of a data repository did not have significant effects on behavioral intention (β = 0.062, p &gt; 0.05).</t>
  </si>
  <si>
    <t>additional_studies22_1</t>
  </si>
  <si>
    <t>Both the experiments are not based on statistical analyses but on rough comparison between means. R_Paper obtained by the author through ResearchGate</t>
  </si>
  <si>
    <t>Cordeiro, M. C., Kodak, T., Reidy, J., Stoppleworth, A., Zelinski, K., &amp; Jainga, A. (2022). Comparison of mastery criteria applied to individual targets and stimulus sets on acquisition of tacts, intraverbals, and listener responses. Journal of Applied Behavior Analysis, 55(4), 1258–1279. https://doi.org/10.1002/jaba.946</t>
  </si>
  <si>
    <t>10.1002/jaba.946</t>
  </si>
  <si>
    <t>10.1002--jaba.946.pdf</t>
  </si>
  <si>
    <t>Chang, H., Nainani, T., &amp; Kim, J. Y. (2024). Comparison of Acquisition Criteria Applied to Individual and Sets of Tacts: A Systematic Replication. Behavior Analysis in Practice, 1-6. https://doi.org/10.1007/s40617-024-00933-1</t>
  </si>
  <si>
    <t>10.1007/s40617-024-00933-1</t>
  </si>
  <si>
    <t>Systematic Replication</t>
  </si>
  <si>
    <t>Comprehensive Application of Behavior Analysis to Schooling model, acquisition criteria, mastery criteria, Tact training, Response maintenance</t>
  </si>
  <si>
    <t xml:space="preserve">Results showed the target mastery criterion required fewer sessions of tact training for 3 of 5 participants and AVCD training for both participants. </t>
  </si>
  <si>
    <t>To acquire 10 operants, all four participants required fewer instructional trials in the Operant compared to the Set Analysis condition.</t>
  </si>
  <si>
    <t>Claims need validation (I do not have access to the original paper)</t>
  </si>
  <si>
    <r>
      <rPr>
        <rFont val="Calibri"/>
        <sz val="11.0"/>
      </rPr>
      <t xml:space="preserve">Chang, H., Nainani, T., &amp; Kim, J. Y. (2024). Comparison of Acquisition Criteria Applied to Individual and Sets of Tacts: A Systematic Replication. Behavior Analysis in Practice, 1-6. </t>
    </r>
    <r>
      <rPr>
        <rFont val="Calibri"/>
        <color rgb="FF1155CC"/>
        <sz val="11.0"/>
        <u/>
      </rPr>
      <t>https://doi.org/10.1007/s40617-024-00933-1</t>
    </r>
  </si>
  <si>
    <t>autism spectrum disorder, false positives, listener training, mastery criteria, tact, training</t>
  </si>
  <si>
    <t>The Operant Analysis condition requires fewer instructional trials than the Set Analysis condition.</t>
  </si>
  <si>
    <t>"Josh required 30, Tim required 21, and Connor required eight additional sessions of instruction to reach mastery in the set condition in comparison to the target condition. Omar’s and Billy’s results showed minimal differences between conditions, and they required only one or two additional session(s) of instruction, respectively, to acquire all targets in the set condition in comparison to the target condition."</t>
  </si>
  <si>
    <r>
      <rPr>
        <rFont val="Calibri"/>
        <sz val="11.0"/>
      </rPr>
      <t xml:space="preserve">p. 8, see my calculation here: </t>
    </r>
    <r>
      <rPr>
        <rFont val="Calibri"/>
        <color rgb="FF1155CC"/>
        <sz val="11.0"/>
        <u/>
      </rPr>
      <t>https://docs.google.com/spreadsheets/d/1Da93yd8SPd-GwqOb8HCKeN1Hobk77X3_1anZLPku0G0/edit?usp=sharing</t>
    </r>
  </si>
  <si>
    <r>
      <rPr>
        <rFont val="Calibri"/>
        <sz val="11.0"/>
      </rPr>
      <t xml:space="preserve">p. 8, see my calculation here: </t>
    </r>
    <r>
      <rPr>
        <rFont val="Calibri"/>
        <color rgb="FF1155CC"/>
        <sz val="11.0"/>
        <u/>
      </rPr>
      <t>https://docs.google.com/spreadsheets/d/1Da93yd8SPd-GwqOb8HCKeN1Hobk77X3_1anZLPku0G0/edit?usp=sharing</t>
    </r>
  </si>
  <si>
    <t>additional_studies22_b</t>
  </si>
  <si>
    <t>Null result in original, replicated successfully according to replication authors</t>
  </si>
  <si>
    <r>
      <rPr>
        <rFont val="Calibri"/>
        <sz val="11.0"/>
      </rPr>
      <t xml:space="preserve">Chang, H., Nainani, T., &amp; Kim, J. Y. (2024). Comparison of Acquisition Criteria Applied to Individual and Sets of Tacts: A Systematic Replication. Behavior Analysis in Practice, 1-6. </t>
    </r>
    <r>
      <rPr>
        <rFont val="Calibri"/>
        <color rgb="FF1155CC"/>
        <sz val="11.0"/>
        <u/>
      </rPr>
      <t>https://doi.org/10.1007/s40617-024-00933-1</t>
    </r>
  </si>
  <si>
    <t>Maintenance is similar between Operant Analysis and Set Analysis conditions.</t>
  </si>
  <si>
    <t>"Maintenance was similar across conditions and experiments"</t>
  </si>
  <si>
    <t>additional_studies23_1</t>
  </si>
  <si>
    <t>There were 2 studies in the replication study, but only the first study replicated the original study. The second study was an extension.</t>
  </si>
  <si>
    <t>Valdesolo, P., &amp; DeSteno, D. (2007). Moral hypocrisy: Social groups and the flexibility of virtue. Psychological science, 18(8), 689-690. https://doi.org/10.1111/j.1467-9280.2007.01961.x</t>
  </si>
  <si>
    <t>10.1111/j.1467-9280.2007.01961.x</t>
  </si>
  <si>
    <t>Robertson, C. E., Akles, M., &amp; Van Bavel, J. J.(in press). Preregistered Replication and Extension of "Moral Hypocrisy: Social Groups and the Flexibility of Virtue". Psychological Science. https://doi.org/10.31234/osf.io/453js</t>
  </si>
  <si>
    <t>10.1177/09567976241246552</t>
  </si>
  <si>
    <t>The study identifies as a replication in the title.</t>
  </si>
  <si>
    <t>Psychology</t>
  </si>
  <si>
    <t>The nature of hipocrisy</t>
  </si>
  <si>
    <t>Moral hipocrisy, intergroup bias, in-group, out-group</t>
  </si>
  <si>
    <t>tendency for people to consider themselves morally good while behaving selfishly (moral hypocrisy)</t>
  </si>
  <si>
    <t>Hipocrisy was evident at both in-group and out-group levels F(1, 72) = 11.75, p = .001, d = 1.11. Participants perceived their own transgressions and those of in-group members more favorably compared to others.</t>
  </si>
  <si>
    <t>p = 0.66</t>
  </si>
  <si>
    <t>additional_studies24_1</t>
  </si>
  <si>
    <t>Study 2 was an extension in the replicated paper.</t>
  </si>
  <si>
    <t>Epley, N., Waytz, A., Akalis, S., &amp; Cacioppo, J. T. (2008). When we need a human: Motivational determinants of anthropomorphism. Social cognition, 26(2), 143-155. https://doi.org/10.1521/soco.2008.26.2.143</t>
  </si>
  <si>
    <t>10.1521/soco.2008.26.2.143</t>
  </si>
  <si>
    <t>Xiao, Q., Elsherif, M., Chu, H. Y., Tang, M. C., Wong, T. H. A., Wu, Y., ... &amp; Feldman, G. Revisiting the positive association between loneliness and anthropomorphism with an extension to belief in free will: A Registered Report replication and extension of Epley et al.(2008). http://dx.doi.org/10.17605/OSF.IO/2SB7X</t>
  </si>
  <si>
    <t>10.1037/cns0000401</t>
  </si>
  <si>
    <t>Motivational determinants of anthropomorphism</t>
  </si>
  <si>
    <t>Anthropomorphism, agents, motivation, traits</t>
  </si>
  <si>
    <t>positive association between loneliness and anthropomorphism</t>
  </si>
  <si>
    <t>Loneliness was positively associated with attributing social connection to nonhuman gadgets (r = -.18, p = .02)</t>
  </si>
  <si>
    <t>p = .261</t>
  </si>
  <si>
    <t>additional_studies25_1</t>
  </si>
  <si>
    <t>BF values are reported in the replication study.</t>
  </si>
  <si>
    <t>Scott, M. (2013). Corollary discharge provides the sensory content of inner speech. Psychological science, 24(9), 1824-1830. https://doi.org/10.1177/0956797613478614</t>
  </si>
  <si>
    <t>10.1177/0956797613478614</t>
  </si>
  <si>
    <t>Delem, M., Stauffert, N., Nguyen, N., Debarnot, U., Guillot, A., &amp; Nalborczyk, L. (2024, March 27). Does the corollary discharge provide the sensory content of inner speech? A preregistered direct replication and extension of Scott  (2013). https://doi.org/10.31234/osf.io/abps9</t>
  </si>
  <si>
    <t>Sensory attenuation</t>
  </si>
  <si>
    <t>Perception, motor processes, speech, motor simulation</t>
  </si>
  <si>
    <t>Corollary discharge provides the sensory content of inner speech</t>
  </si>
  <si>
    <t>Inner speech attenuates the sensory impact of matching external sounds, demonstrating that corollary discharge is a key mechanism in inner speech.</t>
  </si>
  <si>
    <t>needs to be calculated</t>
  </si>
  <si>
    <t>Greater attenuation in the matching condition suggests that sensory attenuation is specifically tied to the congruence between inner speech and external auditory inputs, reinforcing the role of motor-to-sensory prediction</t>
  </si>
  <si>
    <t>Inner speech attenuation mirrors overt speech mechanisms, supporting corollary discharge theory</t>
  </si>
  <si>
    <t>additional_studies26_1</t>
  </si>
  <si>
    <t>additional_studies26</t>
  </si>
  <si>
    <t>"Claim text" column reports the single outcome item involved in the effect, since there is no individual claim for each item, but only a general claim and the table with single effects. Each effect is estimated putting as covariates age, gender, political orientation, religiosity, education, and income.</t>
  </si>
  <si>
    <t>Syropoulos, S., &amp; Markowitz, E. M. (2022). Perceived responsibility to address climate change consistently relates to increased pro-environmental attitudes, behaviors and policy support: Evidence across 23 countries. Journal of Environmental Psychology, 83, 101868. https://doi.org/10.1016/j.jenvp.2022.101868</t>
  </si>
  <si>
    <t>10.1016/j.jenvp.2022.101868</t>
  </si>
  <si>
    <t>10.1016--j.jenvp.2022.101868.pdf</t>
  </si>
  <si>
    <t>Tedaldi, E., Syropoulos, S., &amp; Markowitz, E. M. (2024). Re-examining feelings of responsibility as a predictor of climate belief and worry: A replication across 31 countries. Journal of Environmental Psychology, 102289. https://doi.org/10.1016/j.jenvp.2024.102289</t>
  </si>
  <si>
    <t>10.1016/j.jenvp.2024.102289</t>
  </si>
  <si>
    <t xml:space="preserve">climate change responsibility, pro-environmental attitudes, meta-analysis </t>
  </si>
  <si>
    <t>"we find that perceived responsibility to address climate change relates to 10 different pro-environmental outcomes."</t>
  </si>
  <si>
    <t>Table 2: "Climate change worry"</t>
  </si>
  <si>
    <t>b (unstd)</t>
  </si>
  <si>
    <t>https://osf.io/jqpm8/?view_only=38a5b79a4f2a49b0a0b1a74c6afc8677</t>
  </si>
  <si>
    <t>https://aspredicted.org/3KR_RSK</t>
  </si>
  <si>
    <t>Radoslaw</t>
  </si>
  <si>
    <t>additional_studies26_a</t>
  </si>
  <si>
    <t>perceived responsibility</t>
  </si>
  <si>
    <t xml:space="preserve">Climate change, Perceived responsibility, Proenvironmental outcomes, European social survey, Sustainability, </t>
  </si>
  <si>
    <t>effect of perceived responsibility to address climate change (...) on worry about chlimate change</t>
  </si>
  <si>
    <t>Climate change worry ...b = .16, SE =.01</t>
  </si>
  <si>
    <t>nothing filled out, should code again</t>
  </si>
  <si>
    <t>additional_studies26_b</t>
  </si>
  <si>
    <t>effect of perceived responsibility to address climate change (...) on belief climate change is caused by humans</t>
  </si>
  <si>
    <t>Climate change caused by humans, ..., .b = 07 SE = 0.01</t>
  </si>
  <si>
    <t>Table 2: "Climate change (is) caused by humans"</t>
  </si>
  <si>
    <t>https://osf.io/jqpm8/?view_only=38a5b79a4f2a49b0a0b1a74c6afc8679</t>
  </si>
  <si>
    <t>additional_studies27_1</t>
  </si>
  <si>
    <t>additional_studies27</t>
  </si>
  <si>
    <t>There is no data since both the O_study and the replication are systematic review with no meta-analysis. Furthermore, the replication is a master thesis.</t>
  </si>
  <si>
    <t>Schenk, M., &amp; Miltenberger, R. (2019). A review of behavioral interventions to enhance sports performance. Behavioral Interventions, 34(2), 248–279. https://doi.org/10.1002/bin.1659</t>
  </si>
  <si>
    <t>10.1002/bin.1659</t>
  </si>
  <si>
    <t>10.1002--bin.1659.pdf</t>
  </si>
  <si>
    <t>Macias Mendoza, S. (2024). A Replication of a Systematic Review of Behavioral Interventions in Sports. [Master's thesis, Youngstown State University]. OhioLINK Electronic Theses and Dissertations Center. http://rave.ohiolink.edu/etdc/view?acc_num=ysu1714739251583684</t>
  </si>
  <si>
    <t>mendoza_2024</t>
  </si>
  <si>
    <t>http://rave.ohiolink.edu/etdc/view?acc_num=ysu1714739251583684</t>
  </si>
  <si>
    <t>Sports Sciences</t>
  </si>
  <si>
    <t>behavioral interventions, sports performance</t>
  </si>
  <si>
    <t>mendoza.2024.pdf</t>
  </si>
  <si>
    <t>literature review</t>
  </si>
  <si>
    <t>additional_studies28_1</t>
  </si>
  <si>
    <t>additional_studies28</t>
  </si>
  <si>
    <t>May, A. C., Burrows, K., Figueroa-Hall, L. K., Kirlic, N., White, E. J., Smith, R., ... &amp; T1000 Investigators. (2021). Sex differences in circulating inflammatory mediators as a function of substance use disorder. Drug and alcohol dependence, 221, 108610., https://doi.org/10.1016/j.drugalcdep.2021.108610</t>
  </si>
  <si>
    <t>10.1016/j.drugalcdep.2021.108610</t>
  </si>
  <si>
    <t>10.1016--j.drugalcdep.2021.108610.pdf</t>
  </si>
  <si>
    <t>Stewart, J. L., Burrows, K., May, A. C., McNaughton, B. A., Smith, R., Kuplicki, R., ... &amp; Figueroa-Hall, L. (2024). C-Reactive Protein Concentrations Diverge as a Function of Substance Use Disorder: A Pre-Registered Replication in a Clinical Sample. Drug and Alcohol Dependence, 111323. https://doi.org/10.1016/j.drugalcdep.2024.111323</t>
  </si>
  <si>
    <t>10.1016/j.drugalcdep.2024.111323</t>
  </si>
  <si>
    <t>substance use disorder,  C-reactive protein,  interleukin 8 ,  body mass index , sex differences, Cytokines</t>
  </si>
  <si>
    <t>"Within females, SUD + exhibited higher IL-8 and IL-10 but lower CRP levels than SUD-. In contrast, SUD was not associated with biomarker levels in males."</t>
  </si>
  <si>
    <t>"In females, higher interleukin 8 [..] levels were linked to presence of SUD." (substance use disorder)</t>
  </si>
  <si>
    <t>https://aspredicted.org/</t>
  </si>
  <si>
    <t>additional_studies28_a</t>
  </si>
  <si>
    <t>biomarkes of substace use diorder</t>
  </si>
  <si>
    <t xml:space="preserve">Substance use disorder, Depression, Inflammation, Cytokines, Chemokines, Interleukin-8, Interleukin-10, C-reactive protein, Tumor necrosis factor-alpha, </t>
  </si>
  <si>
    <t>level of C-reactive protein in femals with substance use disorder</t>
  </si>
  <si>
    <t>CRP. Predictors explained 45 % of the variance (Adjusted R2 =.45)</t>
  </si>
  <si>
    <t>F</t>
  </si>
  <si>
    <t>additional_studies28_b</t>
  </si>
  <si>
    <t>level of interleukin 8 in females with substance use disorder</t>
  </si>
  <si>
    <t>IL-8. Predictors explained 15 % of the variance (Adjusted R2 =.15)</t>
  </si>
  <si>
    <t>additional_studies28_c</t>
  </si>
  <si>
    <t>level of interleukin 10 in females with substance use disorder</t>
  </si>
  <si>
    <t>IL-10. Predictors explained 9% of the variance (Adjusted R2
=.09)</t>
  </si>
  <si>
    <t>"In females, higher interleukin [...] 10 levels were linked to presence of SUD." (substance use disorder)</t>
  </si>
  <si>
    <t>"In females, higher C-reactive protein levels were linked to absence of SUD." (substance use disorder)</t>
  </si>
  <si>
    <t>additional_studies28_d</t>
  </si>
  <si>
    <t>No specific claim. Interleukin 8 in males</t>
  </si>
  <si>
    <t>p.6</t>
  </si>
  <si>
    <t>additional_studies28_e</t>
  </si>
  <si>
    <t>No specific claim. Interleukin10 in males</t>
  </si>
  <si>
    <t>additional_studies28_f</t>
  </si>
  <si>
    <t>No specific claim. C-reactive protein levels in males</t>
  </si>
  <si>
    <t>−.03</t>
  </si>
  <si>
    <t>additional_studies29_1</t>
  </si>
  <si>
    <t>additional_studies29</t>
  </si>
  <si>
    <t>Feedback for Vidhi:
'- please change "date_entered" to the day that you worked on the entry
- Ref_replication was not in APA format and doi_r was missing
- label "systematic replication" was missing
- can you please explain why you did not extract any statistics? There was no note in "notes_coder"</t>
  </si>
  <si>
    <t>Renda, C. R., Rung, J. M., Hinnenkamp, J. E., Lenzini, S. N., &amp; Madden, G. J. (2018). Impulsive choice and pre-exposure to delays: IV. Effects of delay-and immediacy-exposure training relative to maturational changes in impulsivity. Journal of the Experimental Analysis of Behavior, 109, 587–599. https://doi.org/10.1002/jeab.432</t>
  </si>
  <si>
    <t>10.1002/jeab.432</t>
  </si>
  <si>
    <r>
      <rPr>
        <rFont val="Arial"/>
        <color rgb="FF222222"/>
      </rPr>
      <t xml:space="preserve">Fox, A. E. (2024). Immediate Reinforcement Training Has Moderate Effect on Delay Discounting Behavior in Rats: A Systematic Replication. The Psychological Record, 1-6. </t>
    </r>
    <r>
      <rPr>
        <rFont val="Arial"/>
        <color rgb="FF1155CC"/>
        <u/>
      </rPr>
      <t>https://doi.org/10.1007/s40732-024-00597-x</t>
    </r>
  </si>
  <si>
    <t>10.1007/s40732-024-00597-x</t>
  </si>
  <si>
    <t>systematic replication</t>
  </si>
  <si>
    <t>Immediate Reinforcement Training and Delay Discounting Behavior in Rats</t>
  </si>
  <si>
    <t xml:space="preserve">After validating this entry for 30 minutes, I could not find out why Aleksandr chose the 15-s delay effect for the original and the overall effect for the replication. I replaced it with the overall delay (15 + 30s).
Feedback for Aleksandr:
- description was missing
- please do not conduct effect size conversions but only copy what is in the paper. You may do calculations using the sheet in the table. If you do so, please save one sheet for each calculation
- if you do not choose the first result from the original study, please write in the notes_coder why you chose the particular finding over another
</t>
  </si>
  <si>
    <r>
      <rPr>
        <rFont val="Arial"/>
        <color rgb="FF222222"/>
      </rPr>
      <t xml:space="preserve">Fox, A. E. (2024). Immediate Reinforcement Training Has Moderate Effect on Delay Discounting Behavior in Rats: A Systematic Replication. The Psychological Record, 1-6. </t>
    </r>
    <r>
      <rPr>
        <rFont val="Arial"/>
        <color rgb="FF1155CC"/>
        <u/>
      </rPr>
      <t>https://doi.org/10.1007/s40732-024-00597-x</t>
    </r>
  </si>
  <si>
    <t>LLR, IE, CONT</t>
  </si>
  <si>
    <t>DE training reduced impulsive choice relative to both IE and CONT rats. Replicating previous studies, DE rats showed signiﬁcantly greater percent LLR choice than IE rats at both the 15-s (59.76% vs. 8.43%;z = 4.57, p &lt; .0001) and 30-s delays (30.11% vs. 3.48%; z = 2.81, p = .005)</t>
  </si>
  <si>
    <t xml:space="preserve"> z = 2.81, N = 34</t>
  </si>
  <si>
    <t xml:space="preserve">The article uses — z = 1.73, p = .08 — a. r needs to be calculated using z and both sample groups size (17 in both), so we have r = 1,73/ √34 =0,297
</t>
  </si>
  <si>
    <t>z = 2.08, p = .04</t>
  </si>
  <si>
    <t>The artcile uses z = 2.08, sample size of both groups 48. r = 2.08/√48 = 0.300</t>
  </si>
  <si>
    <t xml:space="preserve">Feedback for Aleksandr:
- description was missing
- please do not conduct effect size conversions but only copy what is in the paper. You may do calculations using the sheet in the table. If you do so, please save one sheet for each calculation
- if you do not choose the first result from the original study, please write in the notes_coder why you chose the particular finding over another
</t>
  </si>
  <si>
    <t>The replication attempt cites the original article but it is not a direct replication. It uses the same research paradigm but a direct comparison between the results is not suitable.</t>
  </si>
  <si>
    <t>10.1002--jeab.432.pdf</t>
  </si>
  <si>
    <t>Fox, A.E. Immediate Reinforcement Training Has Moderate Effect on Delay Discounting Behavior in Rats: A Systematic Replication. Psychol Rec (2024). https://doi.org/10.1007/s40732-024-00597-x</t>
  </si>
  <si>
    <t>A Systematic Replication</t>
  </si>
  <si>
    <t>additional_studies3_1</t>
  </si>
  <si>
    <t>additional_studies3</t>
  </si>
  <si>
    <t>not sure if close or conceptual is more accurate</t>
  </si>
  <si>
    <t xml:space="preserve">- I added the study number of the replication and of the original 
- I changed the page numbers to the ones of the PDFs
- I added the effect
- I added nesting = yes (replication and original)
- I switched the investigated effects of the replication </t>
  </si>
  <si>
    <t>Castro, A. A., Hur, J., &amp; Berenbaum, H. (2022). A bifactor approach to modeling the structure of repetitive thinking: Replication and extension. Personality and Individual Differences, 189, 111472. https://doi.org/10.1016/j.paid.2021.111472</t>
  </si>
  <si>
    <t>10.1016/j.paid.2021.111472</t>
  </si>
  <si>
    <t>10.1016--j.paid.2021.111472.pdf</t>
  </si>
  <si>
    <t>Liu, K., Wright, M. E., Cole, L. A., &amp; Warren, S. L. (2024). Bi-factor model of repetitive thinking: Replication and extension. Personality and Individual Differences, 226, 112692. https://doi.org/10.1016/j.paid.2024.112692</t>
  </si>
  <si>
    <t>10.1016/j.paid.2024.112692</t>
  </si>
  <si>
    <t>Differential Psychology</t>
  </si>
  <si>
    <t>Repetitve Negative Thinking (RNT)</t>
  </si>
  <si>
    <t>bifactor/worry/rumination/structure/repetitive thinking</t>
  </si>
  <si>
    <t>bi-factor structure of repetitive thinking with both shared variance in repetitive thinking and unique variance specific to each form of repetitive thinking, specifically worry, rumination, and reflection</t>
  </si>
  <si>
    <t>"The content-specific bifactor model was superior to the fit of the alternative models. Specifically, the content-specific model provided a statistically significant better fit to the data than a single-factor model, ΔX2 (3) = 35,419.8, p &lt; .001,"</t>
  </si>
  <si>
    <t>X2(3) = 35,419.8</t>
  </si>
  <si>
    <t>X2(12) = 206.24</t>
  </si>
  <si>
    <t>additional_studies3_b</t>
  </si>
  <si>
    <t>"The content-specific bifactor model was superior to the fit of the alternative models. Specifically, [...] the valence bifactor model in turn improved fit to the content-specific model, ΔX2 (26) = 1163.1, p &lt; .001"</t>
  </si>
  <si>
    <t>X2(26) = 1163.1</t>
  </si>
  <si>
    <t>X2(4) = 50.16</t>
  </si>
  <si>
    <t>additional_studies3_c</t>
  </si>
  <si>
    <t xml:space="preserve">- I added the study number of the replication and of the original 
- I changed the page numbers to the ones of the PDFs
- I added the effect
- I added nesting = yes (replication and original)
- I switched the investigated effects of the replication
- I changed the claim since multiple effects were included
- I changed the p-value
</t>
  </si>
  <si>
    <t>"the content-specific bifactor model in turn improved fit to the valence bifactor structure (model with the next best fit) ΔX2(11) = 2302.6, p &lt; .001."</t>
  </si>
  <si>
    <t>X2(11) = 2302.6</t>
  </si>
  <si>
    <t>X2(4) = 11.65</t>
  </si>
  <si>
    <t>additional_studies3_d</t>
  </si>
  <si>
    <t>Delete this row</t>
  </si>
  <si>
    <t>yes, the row is double coded</t>
  </si>
  <si>
    <t>Content-specific bifactor model had a better fit than valence bifactor model</t>
  </si>
  <si>
    <t>X2 (4) = 11.65</t>
  </si>
  <si>
    <t>additional_studies3_a</t>
  </si>
  <si>
    <t>Effect size was calculated.</t>
  </si>
  <si>
    <t>- The coder coded the explained common variance of the replication study as effect size and classified it as etasquared. Moreover, the wrong semantically wrong effects were coded. I texted Lukas regarding this paper.
- I deleted all effects an coded them from the scratch
- I added the study numbers</t>
  </si>
  <si>
    <t>Replication and extensions</t>
  </si>
  <si>
    <t>Worry, Rumination, Reflection, Big Five, Depression, Anxiety, Emotion regulation, Emotional awareness</t>
  </si>
  <si>
    <t>X2 (4) = 50.16</t>
  </si>
  <si>
    <t>yes, this row mus be excluded</t>
  </si>
  <si>
    <t>Reflection-Specific Factor</t>
  </si>
  <si>
    <t>It was also positively associated with attention to emotion, suggesting that this factor captures a tendency for contemplative self-analysis.</t>
  </si>
  <si>
    <t>additional_studies30_1</t>
  </si>
  <si>
    <t>additional_studies30</t>
  </si>
  <si>
    <t>everything is empty??</t>
  </si>
  <si>
    <t>Pérez, A., Potocki, A., Stadtler, M., Macedo-Rouet, M., Paul, J., Salmerón, L., &amp; Rouet, J. F. (2018). Fostering teenagers' assessment of information reliability: Effects of a classroom intervention focused on critical source dimensions. Learning and Instruction, 58, 53-64. https://doi.org/10.1016/j.learninstruc.2018.04.006</t>
  </si>
  <si>
    <t>10.1016/j.learninstruc.2018.04.006</t>
  </si>
  <si>
    <t>Martínez, M. A., Saux, G., Londra, F., &amp; Burin, D. I. (2024). Effects of a classroom intervention on college students’ sourcing skills: replication and extension study. Discourse Processes, 1–26. https://doi.org/10.1080/0163853X.2024.2339738</t>
  </si>
  <si>
    <t>10.1080/0163853X.2024.2339738</t>
  </si>
  <si>
    <t>Education Sciences</t>
  </si>
  <si>
    <t>knowledge application task, group</t>
  </si>
  <si>
    <t>Effects of a classroom intervention on college students’ sourcing skills</t>
  </si>
  <si>
    <t>what is the purpose of this row, please fill in the columns</t>
  </si>
  <si>
    <t>added claim_page_o; added study_o and study_r</t>
  </si>
  <si>
    <t>Martínez, M. A., Saux, G., Londra, F., &amp; Burin, D. I. (2024). Effects of a classroom intervention on college students’ sourcing skills: replication and extension study. Discourse Processes, 1-26.</t>
  </si>
  <si>
    <t>replication and extension</t>
  </si>
  <si>
    <t>knowledge application task</t>
  </si>
  <si>
    <t>The three main effects were significant: group, X2 (1)=5.49, p &lt; .05, dv=0.09,</t>
  </si>
  <si>
    <t>dv</t>
  </si>
  <si>
    <t>p. 59</t>
  </si>
  <si>
    <t>p.266</t>
  </si>
  <si>
    <t>https://osf.io/8ga4s?view_only=38d7630a8c6e4eb6aee200540eec175d</t>
  </si>
  <si>
    <t>please fill in the column "effect"</t>
  </si>
  <si>
    <t>additional_studies30_b</t>
  </si>
  <si>
    <t>knowledge application task, phase</t>
  </si>
  <si>
    <t>Phase X2 (2)=9.17, p &lt; .05, dv=0.08</t>
  </si>
  <si>
    <t>additional_studies30_c</t>
  </si>
  <si>
    <t>knowledge application task, condition</t>
  </si>
  <si>
    <t>condition, X2 (3)=62.69, p &lt; .001, dv=0.37,</t>
  </si>
  <si>
    <t>additional_studies30_d</t>
  </si>
  <si>
    <t xml:space="preserve"> added study_o and study_r</t>
  </si>
  <si>
    <t>knowledge application task, interaction</t>
  </si>
  <si>
    <t>More importantly, the three-way interaction of group, phase and condition was significant, X2 (6)=12.64, p &lt; .05, dv=0.04</t>
  </si>
  <si>
    <t>additional_studies30_e</t>
  </si>
  <si>
    <t>transfer task</t>
  </si>
  <si>
    <t>Near ransfer task, group</t>
  </si>
  <si>
    <t>The model demonstrated a significant main effect of group, X2 (1)=10.68, p &lt; .01, with more correct responses in the trained (M=0.72, SE=0.18) than in the control group (M=0.53, SE=0.15; OR=0.39, CI 0.23–0.64);</t>
  </si>
  <si>
    <t>p. 60</t>
  </si>
  <si>
    <t>p.268</t>
  </si>
  <si>
    <t>additional_studies30_f</t>
  </si>
  <si>
    <t xml:space="preserve"> added study_o and study_r; es_original is coded reversed and was computed as 0.42^(-1) = 2.38095238095</t>
  </si>
  <si>
    <t>Near ransfer task, phase</t>
  </si>
  <si>
    <t>The model demonstrated a significant main effect of ... phase, X2 (2)=8.13, p &lt; .05, with more correct responses in the posttest 1 (M=0.65, SE=0.20) and post-test 2 (M=0.71, SE=0.21) than in the pre-test (M=0.52, SE=0.19; OR=0.52, CI 0.27–0.99 and OR=0.42, CI 0.22–0.82 for the post-test 1 and post-test 2, respectively).</t>
  </si>
  <si>
    <t>SMS, LR</t>
  </si>
  <si>
    <t>additional_studies30_g</t>
  </si>
  <si>
    <t>Near ransfer task, 2 factors interaction, post test 1</t>
  </si>
  <si>
    <t>More importantly, the interaction between these two factors was also significant, X2 (2)=9.73, p &lt; .01 (see Fig. 4). Post-hoc comparisons showed no group differences in the pre-test phase, X2 (1)=0.0001, p ≃ 1.00 (OR=0.99, CI 0.34–2.95); whereas the trained group outperformed the control group in the post-test 1, X2 (1)=14.90, p &lt; .001 (OR=0.19, CI 0.05–0.64)</t>
  </si>
  <si>
    <t>p.267</t>
  </si>
  <si>
    <t>additional_studies30_h</t>
  </si>
  <si>
    <t>Near ransfer task, 2 factors interaction, post test 2</t>
  </si>
  <si>
    <t>More importantly, the interaction between these two factors was also significant, X2 (2)=9.73, p &lt; .01 (see Fig. 4). Post-hoc comparisons showed no group differences in the pre-test phase, X2 (1)=0.0001, p ≃ 1.00 (OR=0.99, CI 0.34–2.95); whereas the trained group outperformed the control group in ...  post-test 2, X2 (1)=7.19, p &lt; .05 (OR=0.31, CI 0.09–1.08).</t>
  </si>
  <si>
    <t>I think study 30 is codable in principle, but it has a challenge. The original article reports comparisons as chi-squared tests (what we can call classic NHST), but the replication reports coefficients from regression modeling. This means that to compare specific results from both studies, we need to build and solve the regression equations based on the parameter estimates presented in the replication article. I think this is a demanding, specific task that I am not sure FORRT would want to perform. Please let me know your thoughts on this.</t>
  </si>
  <si>
    <t>10.1016--j.learninstruc.2018.04.006.pdf</t>
  </si>
  <si>
    <t>(https://osf.io/8ga4s/</t>
  </si>
  <si>
    <t>additional_studies31_1</t>
  </si>
  <si>
    <t>additional_studies31</t>
  </si>
  <si>
    <t>The O_experiment seems a little complicated, they did not perform repeated measure analyses, but correlations between the conditions deltas and the misinformation availability in two different outcomes (which are deltas as well between 2 conditions of another repeated measures predictor).</t>
  </si>
  <si>
    <t>Blank, H., Panday, A., Edwards, R., Skopicz-Radkiewicz, E., Gibson, V., &amp;Reddy, V. (2022). Double misinformation: Effects on eyewitnessremembering.Journal of Applied Research in Memory and Cognition,11(1), 97–105.https://doi.org/10.1016/j.jarmac.2021.08.001</t>
  </si>
  <si>
    <t>10.1016/j.jarmac.2021.08.001</t>
  </si>
  <si>
    <t>10.1016--j.jarmac.2021.08.001.pdf</t>
  </si>
  <si>
    <t>Smołka, E., &amp; Blank, H. (2024). Double misinformation and eyewitness performance: An experimental replication. Applied Cognitive Psychology, 38(3), e4202. https://doi.org/10.1002/acp.4202</t>
  </si>
  <si>
    <t>10.1002/acp.4202</t>
  </si>
  <si>
    <t>misinformation effect</t>
  </si>
  <si>
    <t>Double misinformation, eyewitness memory, discrepancy detection</t>
  </si>
  <si>
    <t>"noticing contradictions between multiple pieces of misinformation undermines credibility and decreases the effect (all relative to the effect of a single piece of misinformation)."</t>
  </si>
  <si>
    <t>Figure 1: "Net change in the misinformation effect (MIE; operationalised as either misinformation endorsement or accuracy with double misinformation compared to standard misinformation) as a function of misinformation availability. Positive (negative) changes mean that the misinformation effect is larger (smaller) with double misinformation." misinf endorsement</t>
  </si>
  <si>
    <t>p.16</t>
  </si>
  <si>
    <t>p.11</t>
  </si>
  <si>
    <t>https://osf.io/8kzgd</t>
  </si>
  <si>
    <t>additional_studies31_a</t>
  </si>
  <si>
    <t>discrepancy detection</t>
  </si>
  <si>
    <t>discrepancy detection, eyewitness memory, misinformation availability, misinformation effect</t>
  </si>
  <si>
    <t xml:space="preserve">misinformatio aviability correlates with misinformation endorsement </t>
  </si>
  <si>
    <t>misinformation availability and net changes in the misinformation effect while, controlling for original detail availability. We used simple correlations on the basis of the data, points in Figure 1 as a starting point (r = -.69 and r = -.70, both p &lt; .001, one-tailed, for the, misinformation endorsement and accuracy operationalisations of the misinformation effect</t>
  </si>
  <si>
    <t>additional_studies31_b</t>
  </si>
  <si>
    <t>misinformatio aviability correlates with accuracy operationalisations of the misinformation effect</t>
  </si>
  <si>
    <t>Figure 1: "Net change in the misinformation effect (MIE; operationalised as either misinformation endorsement or accuracy with double misinformation compared to standard misinformation) as a function of misinformation availability. Positive (negative) changes mean that the misinformation effect is larger (smaller) with double misinformation." accuracy</t>
  </si>
  <si>
    <t>additional_studies32_1</t>
  </si>
  <si>
    <t>additional_studies32</t>
  </si>
  <si>
    <t>Effect reffered to Reaction times. The O_exp did not report p values, qhile the R_exp employed Z scores for the contrasts (not d as I selected)</t>
  </si>
  <si>
    <t>Grainger, J., Snell, J., &amp; Beyersmann, E. (2021). Morphological processing in the flankers task. Language, Cognition and Neuroscience, 36(3), 288–295. https://doi.org/10.1080/23273798.2020.1810292</t>
  </si>
  <si>
    <t>10.1080/23273798.2020.1810292</t>
  </si>
  <si>
    <t>10.1080--23273798.2020.1810292.pdf</t>
  </si>
  <si>
    <t>Beyersmann, E., &amp; Grainger, J. (2024). A replication of morphological flanker effects in French. Language, Cognition and Neuroscience, 1–6. https://doi.org/10.1080/23273798.2024.2337948</t>
  </si>
  <si>
    <t>10.1080/23273798.2024.2337948</t>
  </si>
  <si>
    <t>morphological family
size effects</t>
  </si>
  <si>
    <t>flanker task, morphological family
size effects, suffixes</t>
  </si>
  <si>
    <t xml:space="preserve">"we expected to see a significant effect of flanker relatedness when flankers had a true morphological relation with targets, and these effects should be significantly greater than the effects of flanker relatedness seen in the pseudo-morphological and non-morphological conditions." </t>
  </si>
  <si>
    <t>"A main effect of flanker relatedness was observed, with
faster responses in the presence of related flankers"</t>
  </si>
  <si>
    <t>X2(1) = 140.71</t>
  </si>
  <si>
    <t>https://www.prolific.co</t>
  </si>
  <si>
    <t>replication study file not in repository, cannot access the publication on publisher site, requires purchase</t>
  </si>
  <si>
    <t>additional_studies32_b</t>
  </si>
  <si>
    <t>"Crucially, interaction effects were observed between morphological structure and flanker relatedness: between the truly morphological and pseudo-morphological conditions..."</t>
  </si>
  <si>
    <t>additional_studies32_c</t>
  </si>
  <si>
    <t>"Crucially, interaction effects were observed between morphological structure and flanker relatedness: [...], and between the truly morphological and non-morphological conditions,"</t>
  </si>
  <si>
    <t>additional_studies32_d</t>
  </si>
  <si>
    <t>"On the other hand, the effect of flanker relatedness did not differ between the pseudo-morphological and non-morphological conditions..."</t>
  </si>
  <si>
    <t>additional_studies32_e</t>
  </si>
  <si>
    <t>Effect reffered to Error rates. The O_exp did not report p values, qhile the R_exp employed Z scores for the contrasts (not d as I selected)</t>
  </si>
  <si>
    <t>"In the error rates we again established interactions between morphological and orthographic relatedness when isolating the truly morphological and non-morphological conditions .."</t>
  </si>
  <si>
    <t>additional_studies32_f</t>
  </si>
  <si>
    <t>"In the error rates we again established interactions between [...] but not when isolating the truly morphological and pseudomorphological conditions"</t>
  </si>
  <si>
    <t>−0.30</t>
  </si>
  <si>
    <t>additional_studies32_g</t>
  </si>
  <si>
    <t>"In the error rates we again established interactions between [...] but not when isolating [...] or when isolating the pseudo-morphological and non-morphological conditions "</t>
  </si>
  <si>
    <t>−0.33</t>
  </si>
  <si>
    <t>additional_studies33_1</t>
  </si>
  <si>
    <t>additional_studies33</t>
  </si>
  <si>
    <t>Kormos, J., &amp; Dénes, M. (2004). Exploring measures and perceptions of fluency in the speech of second language learners. System, 32(2), 145–164. https://doi.org/10.1016/j.system.2004.01.001</t>
  </si>
  <si>
    <t>10.1016/j.system.2004.01.001</t>
  </si>
  <si>
    <t>Magne, V. (2024). Replication research in the domain of perceived L2 fluency: Approximate and close replications of Kormos and Dénes (2004) and Rossiter (2009). Language Teaching, 1–9. doi:10.1017/S0261444824000120</t>
  </si>
  <si>
    <t>10.1017/S0261444824000120</t>
  </si>
  <si>
    <t>10.1017--S0261444824000120.pdf</t>
  </si>
  <si>
    <t>Second language fluency</t>
  </si>
  <si>
    <t>Magne, V. (2024). Replication research in the domain of perceived L2 fluency: Approximate and close replications of Kormos and Dénes (2004) and Rossiter (2009). Language Teaching, 1-9.</t>
  </si>
  <si>
    <t>Not a replication, just a proposal for potential replication</t>
  </si>
  <si>
    <t>As the replication article states "The primary objective of this paper is to contribute to the advancement of second language (L2) fluency research by outlining a specific proposal for future replication studies". Therefore, this is not a replication study but a proposal of replication. The authors analyze the scope and limitations of the original research article and draw a proposal.</t>
  </si>
  <si>
    <t>10.1016--j.system.2004.01.001.pdf</t>
  </si>
  <si>
    <t>Approximate and close replications of Kormos and Dénes (2004) and Rossiter (2009)</t>
  </si>
  <si>
    <t>additional_studies34_1</t>
  </si>
  <si>
    <t>additional_studies34</t>
  </si>
  <si>
    <t>Rossiter, M. J. (2009). Perceptions of L2 fluency by native and non-native speakers of English. Canadian Modern Language Review, 65(3), 395–412. https://doi.org/10.3138/cmlr.65.3.395</t>
  </si>
  <si>
    <t>10.3138/cmlr.65.3.395</t>
  </si>
  <si>
    <t>Magne, V. (2024). Replication research in the domain of perceived L2 fluency: Approximate and close replications of Kormos and Dénes (2004) and Rossiter (2009). Language Teaching, 1–9. https://doi.org/10.1017/S0261444824000120</t>
  </si>
  <si>
    <t>Not a replication, just a proposal for potential reolication</t>
  </si>
  <si>
    <t>10.3138--cmlr.65.3.395.pdf</t>
  </si>
  <si>
    <t>Ray</t>
  </si>
  <si>
    <t>additional_studies35_1</t>
  </si>
  <si>
    <t>additional_studies35</t>
  </si>
  <si>
    <t>LR, RB</t>
  </si>
  <si>
    <t>Feedback for Ray
- Why did you not code any of the test statistics?</t>
  </si>
  <si>
    <t>Davis, W. T., Rapp, J. T., Brogan, K. M., Pinkston, J. W., &amp; Chinnappan, B. (2021). Comparing stimulus preference and response force in a conjugate preparation. Journal of the Experimental Analysis of Behavior, 116(1), 96–113. https://doi.org/10.1002/jeab.705</t>
  </si>
  <si>
    <t>10.1002/jeab.705</t>
  </si>
  <si>
    <t>10.1002--jeab.705.pdf</t>
  </si>
  <si>
    <t>Cook, J. L., Baruni, R. R., Pinkston, J. W., Rapp, J. T., Miltenberger, R. G., Deshmukh, S., Walker, E., &amp; Tai, S. (2024). Comparing stimulus preference and response force in a conjugate preparation: A replication with auditory stimulation. Journal of the experimental analysis of behavior, 10.1002/jeab.915. Advance online publication. https://doi.org/10.1002/jeab.915</t>
  </si>
  <si>
    <t>10.1002/jeab.915</t>
  </si>
  <si>
    <t>A replication with auditory stimulation</t>
  </si>
  <si>
    <t>family values (i.e., importance and centrality of the family) of mother and father</t>
  </si>
  <si>
    <t>This is a replication study on the use of a conjugate preparation
for assessing preference. The original study administered a verbal multiple-stimulus-without-replacement
assessment (VMSWO). The replication study includes, in addition, auditive stimuli and, as stated by the authors, "Deviated from the Davis
et al. procedures, in part, for the purposes of efficiency and practicality". Moreover, the original study performed the assessment five times with the participants but the replication did it just once. The replicators argue "We rationalized this to be an acceptable alteration because supplemental data provided by the Davis et al. study showed HP and LP items identified in the first array of sample stimuli were consistent with HP and LP items identified from seven arrays for 70% of participants in their preliminary study."</t>
  </si>
  <si>
    <t>Feedback for Daniel
- please enter your name and the date that you are working on into the variables contributors and date_entered</t>
  </si>
  <si>
    <r>
      <rPr>
        <rFont val="Calibri"/>
        <sz val="11.0"/>
      </rPr>
      <t xml:space="preserve">Davis, W. T., Rapp, J. T., Brogan, K. M., Pinkston, J. W., &amp; Chinnappan, B. (2021). Comparing stimulus preference and response force in a conjugate preparation. Journal of the Experimental Analysis of Behavior, 116(1), 96–113. </t>
    </r>
    <r>
      <rPr>
        <rFont val="Calibri"/>
        <color rgb="FF1155CC"/>
        <sz val="11.0"/>
        <u/>
      </rPr>
      <t>https://doi.org/10.1002/jeab.705</t>
    </r>
  </si>
  <si>
    <r>
      <rPr>
        <rFont val="Calibri"/>
        <sz val="11.0"/>
      </rPr>
      <t xml:space="preserve">Cook, J. L., Baruni, R. R., Pinkston, J. W., Rapp, J. T., Miltenberger, R. G., Deshmukh, S., Walker, E., &amp; Tai, S. (2024). Comparing stimulus preference and response force in a conjugate preparation: A replication with auditory stimulation. Journal of the experimental analysis of behavior, 10.1002/jeab.915. Advance online publication. </t>
    </r>
    <r>
      <rPr>
        <rFont val="Calibri"/>
        <color rgb="FF1155CC"/>
        <sz val="11.0"/>
        <u/>
      </rPr>
      <t>https://doi.org/10.1002/jeab.915</t>
    </r>
  </si>
  <si>
    <t>Response force in a conjugate preparation (VMSWO Rank 1-5 by Mean
Force Rank 1-5)</t>
  </si>
  <si>
    <t>conjugate reinforcement, MSWO, response force, stimulus preference</t>
  </si>
  <si>
    <t>Conjugate schedules are variations of continuous reinforcement schedules where the consequent events co-vary proportionally with a specific dimension of the response. The participants apply force to a dynamometer that adjusts the clarity of visual stimuli. The researchers investigate whether the force exerted by participants is correlated with their preference for specific stimuli.</t>
  </si>
  <si>
    <t>Table 2 shows the result for three omnibus Chi-squares tests of independence. All three tests yielded statistically significant findings at p &lt; .05, suggesting there were significant associations between participants’ (a) VMSWO rank and mean force rank, (b) VMSWO rank and stimulus presentation order, and (c) mean
force rank and stimulus presentation order.</t>
  </si>
  <si>
    <t>X2(8) = 104.09</t>
  </si>
  <si>
    <t>p. 105</t>
  </si>
  <si>
    <t>cramer's V</t>
  </si>
  <si>
    <t>p. 20</t>
  </si>
  <si>
    <t>additional_studies36</t>
  </si>
  <si>
    <t>additional_studies36_b</t>
  </si>
  <si>
    <t xml:space="preserve">- I added the number of the experiment (in replication and original study) 
- I specified the effect: I changed "participants" to adolescents with anorexia nervosa and adolscents with major depression (since those spefic samples were the target sample) 
- I changed the text claim, since two effects were reported in the text claim
- I changed the page number of the replication to the PDF page-number
- I added NA to registration of the replication study  </t>
  </si>
  <si>
    <t>Sfärlea, A., Greimel, E., Platt, B., Dieler, A. C., &amp; Schulte‐Körne, G. (2018). Recognition of emotional facial expressions in adolescents with anorexia nervosa and adolescents with major depression. Psychiatry Research, 262, 586–594. https://doi.org/10.1016/j.psychres.2017.09.049</t>
  </si>
  <si>
    <t>10.1016/j.psychres.2017.09.048</t>
  </si>
  <si>
    <t>Sfärlea, A., Buhl, C., Lukas, L., &amp; Schulte‐Körne, G. (2024). Superior facial emotion recognition in adolescents with anorexia nervosa–A replication study. European Eating Disorders Review. https://doi.org/10.1002/erv.3103</t>
  </si>
  <si>
    <t>10.1002/erv.3103</t>
  </si>
  <si>
    <t>A replication study</t>
  </si>
  <si>
    <t>Percentage of correct answers: Effect of emotion</t>
  </si>
  <si>
    <t>adolescence, anorexia nervosa, eating disorders, emotion recognition, emotional faces</t>
  </si>
  <si>
    <t xml:space="preserve">Researchers showed images to the adolescents with anorexia nervosa and adolescents with major depression to make decisions on the nature of the stimulus presented. They had to indicate which emotion (happy, sad, afraid, angry, or neutral) the face expressed. </t>
  </si>
  <si>
    <t>The TASK × EMOTION × GROUP ANOVA on percentage of correct answers revealed a significant main effect of [...] EMOTION (F3.5,298.9 =107.8, p&lt;.001, ηp 2 = .556).</t>
  </si>
  <si>
    <t>Corinna</t>
  </si>
  <si>
    <t>additional_studies36_c</t>
  </si>
  <si>
    <t>Sfärlea, A., Greimel, E., Platt, B., Dieler, A. C., &amp; Schulte‐Körne, G. (2018). Recognition of emotional facial expressions in adolescents with anorexia nervosa and adolescents with major depression. Psychiatry Research, 262, 586–594. https://doi.org/10.1016/j.psychres.2017.09.050</t>
  </si>
  <si>
    <t>Percentage of correct answers: Effect of Task X group interaction</t>
  </si>
  <si>
    <t>In addition, a TASK × GROUP interaction (F2.9,123.2 = 3.1, p = .031, ηp 2 = .067) [...] emerged.</t>
  </si>
  <si>
    <t>additional_studies36_d</t>
  </si>
  <si>
    <t xml:space="preserve">- I added the number of the experiment (in replication and original study) 
- I specified the effect: I changed "participants" to adolescents with anorexia nervosa and adolscents with major depression (since those spefic samples were the target sample) 
- I changed the text claim, since multiple effects were reported in the text claim
- I changed the page number of the replication to the PDF page-number
- I added NA to registration of the replication study  </t>
  </si>
  <si>
    <t>Sfärlea, A., Greimel, E., Platt, B., Dieler, A. C., &amp; Schulte‐Körne, G. (2018). Recognition of emotional facial expressions in adolescents with anorexia nervosa and adolescents with major depression. Psychiatry Research, 262, 586–594. https://doi.org/10.1016/j.psychres.2017.09.051</t>
  </si>
  <si>
    <t>Percentage of correct answers: Effect of Task X emotion interaction</t>
  </si>
  <si>
    <t>In addition, a [...] TASK × EMOTION interaction (F4.2,361.9 = 92.5, p&lt;.001, ηp 2 = .518) emerged.</t>
  </si>
  <si>
    <t>additional_studies36_e</t>
  </si>
  <si>
    <t>The replication and the original articles are clearly reported. I was able to map each of the replication attempts.</t>
  </si>
  <si>
    <t>Sfärlea, A., Greimel, E., Platt, B., Dieler, A. C., &amp; Schulte‐Körne, G. (2018). Recognition of emotional facial expressions in adolescents with anorexia nervosa and adolescents with major depression. Psychiatry Research, 262, 586–594. https://doi.org/10.1016/j.psychres.2017.09.052</t>
  </si>
  <si>
    <t>Percentage of correct answers: Effect of Task X Emotion X Group interaction</t>
  </si>
  <si>
    <t>were further qualified by a TASK × EMOTION × GROUP interaction (F8.4,361.9 =2.6, p = .009, ηp 2 = .056).</t>
  </si>
  <si>
    <t>pp. 4-5</t>
  </si>
  <si>
    <t>additional_studies36_f</t>
  </si>
  <si>
    <t>Sfärlea, A., Greimel, E., Platt, B., Dieler, A. C., &amp; Schulte‐Körne, G. (2018). Recognition of emotional facial expressions in adolescents with anorexia nervosa and adolescents with major depression. Psychiatry Research, 262, 586–594. https://doi.org/10.1016/j.psychres.2017.09.053</t>
  </si>
  <si>
    <t>Emotion discrimination task: Effect of emotion</t>
  </si>
  <si>
    <t xml:space="preserve">For the emotion discrimination task (see Fig. 2), the follow-up ANOVA yielded a significant main effect of EMOTION (F3.3,281.8 = 114.5, p&lt;.001, ηp 2= .571) </t>
  </si>
  <si>
    <t>additional_studies36_g</t>
  </si>
  <si>
    <t xml:space="preserve">- I added the number of the experiment (in replication and original study) 
- I specified the effect: I changed "participants" to adolescents with anorexia nervosa and adolscents with major depression (since those spefic samples were the target sample) 
- I changed the text claim, since multiple effects were reported in the text claim
- I changed the page number of the replication to the PDF page-number
- I added NA to registration of the replication study
- I changed the p-type of the original study  </t>
  </si>
  <si>
    <t>Sfärlea, A., Greimel, E., Platt, B., Dieler, A. C., &amp; Schulte‐Körne, G. (2018). Recognition of emotional facial expressions in adolescents with anorexia nervosa and adolescents with major depression. Psychiatry Research, 262, 586–594. https://doi.org/10.1016/j.psychres.2017.09.054</t>
  </si>
  <si>
    <t>Emotion discrimination task: Effect of group</t>
  </si>
  <si>
    <t>For the emotion discrimination task (see Fig. 2), the follow-up ANOVA yielded a significant main effect of [..]GROUP (F2,86 = 3.3, p = .040, ηp2 = .072).</t>
  </si>
  <si>
    <t>additional_studies36_h</t>
  </si>
  <si>
    <t>Sfärlea, A., Greimel, E., Platt, B., Dieler, A. C., &amp; Schulte‐Körne, G. (2018). Recognition of emotional facial expressions in adolescents with anorexia nervosa and adolescents with major depression. Psychiatry Research, 262, 586–594. https://doi.org/10.1016/j.psychres.2017.09.055</t>
  </si>
  <si>
    <t>Emotion discrimination task: Effect of emotion X group interaction</t>
  </si>
  <si>
    <t>These main effects were qualified by a significant EMOTION × GROUP interaction (F6.6,281.8 = 2.7, p = .012, ηp 2 = .059)</t>
  </si>
  <si>
    <t>additional_studies36_i</t>
  </si>
  <si>
    <t xml:space="preserve">-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And added to the effect of the replication study that the effect was below 
- I added NA to registration of the replication study  
- I changed the effect of the original study: The direct comparison between the healthy group and the anorexia nervosa group was replicated. Therefore, I had to change the effect size type, the p-value, the N and the nesting too
- I changed the nesting of the p-value of the replication to "no" </t>
  </si>
  <si>
    <t>Sfärlea, A., Greimel, E., Platt, B., Dieler, A. C., &amp; Schulte‐Körne, G. (2018). Recognition of emotional facial expressions in adolescents with anorexia nervosa and adolescents with major depression. Psychiatry Research, 262, 586–594. https://doi.org/10.1016/j.psychres.2017.09.056</t>
  </si>
  <si>
    <t>Emotion discrimination task: Effect of group on happy faces</t>
  </si>
  <si>
    <t>For happy faces, the ANOVA yielded a significant effect of GROUP (F2,86 =4.2, p = .018, ηp 2 = .089) indicating that the AN group performed better than the MD group (t35.2=2.6, p=.013, d=.73).</t>
  </si>
  <si>
    <t>t≤ 1.54</t>
  </si>
  <si>
    <t>additional_studies36_j</t>
  </si>
  <si>
    <t>-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And added to the effect of the replication study that the effect was below 
- I added NA to registration of the replication study 
- I changed the effect of the original study: The direct comparison between the healthy group and the anorexia nervosa group was replicated. Therefore, I had to change the effect size type, the p-value, the N and the nesting too 
- I changed the nesting of the p-value of the replication to "no"</t>
  </si>
  <si>
    <t>Sfärlea, A., Greimel, E., Platt, B., Dieler, A. C., &amp; Schulte‐Körne, G. (2018). Recognition of emotional facial expressions in adolescents with anorexia nervosa and adolescents with major depression. Psychiatry Research, 262, 586–594. https://doi.org/10.1016/j.psychres.2017.09.057</t>
  </si>
  <si>
    <t>Emotion discrimination task: Effect of group on sad faces</t>
  </si>
  <si>
    <t>For sad faces, a significant effect of GROUP (F2,86 = 3.6, p = .030, ηp 2 = .078) indicated a higher percentage of correct answers in the AN than the MD group (t50 = 2.7, p = .010, d = .74).</t>
  </si>
  <si>
    <t>additional_studies36_k</t>
  </si>
  <si>
    <t>-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And added to the effect of the replication study that the effect was below 
- I added NA to registration of the replication study  
- I changed the effect of the original study: The direct comparison between the healthy group and the anorexia nervosa group was replicated. Therefore, I had to change the effect size type, the p-value, the N and the nesting too 
- I changed the nesting of the p-value of the replication to "no"</t>
  </si>
  <si>
    <t>Sfärlea, A., Greimel, E., Platt, B., Dieler, A. C., &amp; Schulte‐Körne, G. (2018). Recognition of emotional facial expressions in adolescents with anorexia nervosa and adolescents with major depression. Psychiatry Research, 262, 586–594. https://doi.org/10.1016/j.psychres.2017.09.058</t>
  </si>
  <si>
    <t>Emotion discrimination task: Effect of group for afraid faces</t>
  </si>
  <si>
    <t>For afraid faces, the significant effect of GROUP (F2,86 = 5.4, p = .006, ηp 2 = .112) indicated that the AN group performed better than both, MD (t50 = 2.7, p = .009, d = .75) and HC (t61.0 = 3.4, p = .001, d = .84) groups.</t>
  </si>
  <si>
    <t>additional_studies36_l</t>
  </si>
  <si>
    <t>-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  
- I added NA to the missing p-value of the original study
- I changed the nesting of the p-value of the replication to "no"</t>
  </si>
  <si>
    <t>Sfärlea, A., Greimel, E., Platt, B., Dieler, A. C., &amp; Schulte‐Körne, G. (2018). Recognition of emotional facial expressions in adolescents with anorexia nervosa and adolescents with major depression. Psychiatry Research, 262, 586–594. https://doi.org/10.1016/j.psychres.2017.09.059</t>
  </si>
  <si>
    <t>Emotion discrimination task: Effect of group for neutral faces</t>
  </si>
  <si>
    <t>Researchers showed images to the adolescents with anorexia nervosa and adolescents with major depression to make decisions on the nature of the stimulus presented. They had to decide if the person depicted was male or female. The effects of the factors involved in the statistical test are presented.</t>
  </si>
  <si>
    <t>MD and the HC groups did not differ significantly in any of the post-hoc comparisons. For angry and neutral faces no significant GROUP effects emerged (Fs&lt;1).</t>
  </si>
  <si>
    <t>F&lt;1</t>
  </si>
  <si>
    <t>additional_studies36_m</t>
  </si>
  <si>
    <t>Sfärlea, A., Greimel, E., Platt, B., Dieler, A. C., &amp; Schulte‐Körne, G. (2018). Recognition of emotional facial expressions in adolescents with anorexia nervosa and adolescents with major depression. Psychiatry Research, 262, 586–594. https://doi.org/10.1016/j.psychres.2017.09.060</t>
  </si>
  <si>
    <t>Emotion discrimination task: Effect of group for angry faces</t>
  </si>
  <si>
    <t>additional_studies36_n</t>
  </si>
  <si>
    <t xml:space="preserve">-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changed the text claim, since multiple effects were reported in the text claim
- I added NA to registration of the replication study 
- I changed eta-squared to partial eta-squared
</t>
  </si>
  <si>
    <t>Sfärlea, A., Greimel, E., Platt, B., Dieler, A. C., &amp; Schulte‐Körne, G. (2018). Recognition of emotional facial expressions in adolescents with anorexia nervosa and adolescents with major depression. Psychiatry Research, 262, 586–594. https://doi.org/10.1016/j.psychres.2017.09.061</t>
  </si>
  <si>
    <t>Gender discrimination: Effect of emotion</t>
  </si>
  <si>
    <t xml:space="preserve">The follow-up ANOVA for the gender discrimination task yielded only a significant main effect of EMOTION (F4,344= 26.1, p&lt;.001, ηp2=.233) </t>
  </si>
  <si>
    <t>additional_studies36_o</t>
  </si>
  <si>
    <t xml:space="preserve">-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changed the text claim, since multiple effects were reported in the text claim
- I added NA to registration of the replication study
- I added NA to the missing p-values of the original study and of the replication study 
</t>
  </si>
  <si>
    <t>Sfärlea, A., Greimel, E., Platt, B., Dieler, A. C., &amp; Schulte‐Körne, G. (2018). Recognition of emotional facial expressions in adolescents with anorexia nervosa and adolescents with major depression. Psychiatry Research, 262, 586–594. https://doi.org/10.1016/j.psychres.2017.09.062</t>
  </si>
  <si>
    <t>Gender discrimination: Effect of group</t>
  </si>
  <si>
    <t>The follow-up ANOVA for the gender discrimination task yielded [...] no main effect or interaction involving GROUP (Fs&lt;1)</t>
  </si>
  <si>
    <t>F&lt; 1</t>
  </si>
  <si>
    <t>additional_studies36_p</t>
  </si>
  <si>
    <t>-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t>
  </si>
  <si>
    <t>Sfärlea, A., Greimel, E., Platt, B., Dieler, A. C., &amp; Schulte‐Körne, G. (2018). Recognition of emotional facial expressions in adolescents with anorexia nervosa and adolescents with major depression. Psychiatry Research, 262, 586–594. https://doi.org/10.1016/j.psychres.2017.09.063</t>
  </si>
  <si>
    <t>Mean reaction time for correct answers: Effect of Task X Emotion X Group interaction</t>
  </si>
  <si>
    <t>Researchers showed images to the participants (adolescents with anorexia nervosa and adolescents with major depression) to make decisions on the nature of the stimulus presented. They had to indicate which emotion (happy, sad, afraid, angry, or neutral) the face expressed. The researchers recorded the time the participant took to respond. The effects of the factors involved in the statistical test are presented.</t>
  </si>
  <si>
    <t>The TASK × EMOTION × GROUP ANOVA on RTs yielded a significant main effect of TASK (F1.7,146.1 = 947.0, p&lt;.001, ηp2 = .917)</t>
  </si>
  <si>
    <t>additional_studies36_q</t>
  </si>
  <si>
    <t>-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changed the text claim, since multiple effects were reported in the text claim
- I added NA to registration of the replication study</t>
  </si>
  <si>
    <t>Sfärlea, A., Greimel, E., Platt, B., Dieler, A. C., &amp; Schulte‐Körne, G. (2018). Recognition of emotional facial expressions in adolescents with anorexia nervosa and adolescents with major depression. Psychiatry Research, 262, 586–594. https://doi.org/10.1016/j.psychres.2017.09.064</t>
  </si>
  <si>
    <t>Mean reaction time for correct answers: Effect of emotion</t>
  </si>
  <si>
    <t>The TASK × EMOTION × GROUP ANOVA on RTs yielded a significant main effect of [...] EMOTION (F3.6,311.2 = 93.0, p&lt;.001, ηp 2 = .519).</t>
  </si>
  <si>
    <t>additional_studies36_r</t>
  </si>
  <si>
    <t>Sfärlea, A., Greimel, E., Platt, B., Dieler, A. C., &amp; Schulte‐Körne, G. (2018). Recognition of emotional facial expressions in adolescents with anorexia nervosa and adolescents with major depression. Psychiatry Research, 262, 586–594. https://doi.org/10.1016/j.psychres.2017.09.065</t>
  </si>
  <si>
    <t>Mean reaction time for correct answers: Effect of task X emotion interaction</t>
  </si>
  <si>
    <t>Researchers showed images to the participants (adolescents with anorexia nervosa and adolescents with major depression)  to make decisions on the nature of the stimulus presented. They had to indicate which emotion (happy, sad, afraid, angry, or neutral) the face expressed. The researchers recorded the time the participant took to respond. The effects of the factors involved in the statistical test are presented.</t>
  </si>
  <si>
    <t>The TASK × EMOTION × GROUP ANOVA on RTs yielded a [...] significant TASK × EMOTION interaction (F4.7,405.1 = 99.5, p&lt;.001, ηp 2 = .536).</t>
  </si>
  <si>
    <t>additional_studies36_s</t>
  </si>
  <si>
    <t>-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
- I added NA to the missing p-values of the original study and of the replication study
- I changed the effect and the page number 
"</t>
  </si>
  <si>
    <t>Sfärlea, A., Greimel, E., Platt, B., Dieler, A. C., &amp; Schulte‐Körne, G. (2018). Recognition of emotional facial expressions in adolescents with anorexia nervosa and adolescents with major depression. Psychiatry Research, 262, 586–594. https://doi.org/10.1016/j.psychres.2017.09.066</t>
  </si>
  <si>
    <t>Mean reaction time for correct answers: Effect of group</t>
  </si>
  <si>
    <t>No main effect or interactions of GROUP were found (Fs ≤ 1.4, ps&gt;.05).</t>
  </si>
  <si>
    <t>F&lt; 1.4</t>
  </si>
  <si>
    <t>additional_studies36_t</t>
  </si>
  <si>
    <t xml:space="preserve">- This row was not double coded
-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
- I changed the page number of the replication study (online supplement) </t>
  </si>
  <si>
    <t>Sfärlea, A., Greimel, E., Platt, B., Dieler, A. C., &amp; Schulte‐Körne, G. (2018). Recognition of emotional facial expressions in adolescents with anorexia nervosa and adolescents with major depression. Psychiatry Research, 262, 586–594. https://doi.org/10.1016/j.psychres.2017.09.067</t>
  </si>
  <si>
    <t>Misclassification analysis: Effect of Error type X group for faces being misclassified as sad</t>
  </si>
  <si>
    <t>Researchers showed images to the participants (adolescents with anorexia nervosa and adolescents with major depression) to make decisions on the nature of the stimulus presented. They had to decide if the person depicted was male or female. The effects of the factors involved in the statistical test are presented.</t>
  </si>
  <si>
    <t>For faces being misclassified as sad, the ANOVA yielded an ERRORTYPE × GROUP interaction (F4.7,203.5 = 2.6, p = .029, ηp 2 = .057).</t>
  </si>
  <si>
    <t>online supplement; p. 2</t>
  </si>
  <si>
    <t>additional_studies36_w</t>
  </si>
  <si>
    <t>Sfärlea, A., Greimel, E., Platt, B., Dieler, A. C., &amp; Schulte‐Körne, G. (2018). Recognition of emotional facial expressions in adolescents with anorexia nervosa and adolescents with major depression. Psychiatry Research, 262, 586–594. https://doi.org/10.1016/j.psychres.2017.09.068</t>
  </si>
  <si>
    <t>Misclassification analysis: Effect on group for afraid faces being misclassified as sad</t>
  </si>
  <si>
    <t>Researchers showed images to the participants (adolescents with anorexia nervosa and adolescents with major depression)  to make decisions on the nature of the stimulus presented. They had to indicate which emotion (happy, sad, afraid, angry, or neutral) the face expressed. Ther researchers analyzed the misclassification of faces. The effects of the factors involved in the statistical test are presented.</t>
  </si>
  <si>
    <t>A significant effect of GROUP emerged only for afraid faces being misclassified as sad (F2,86 = 4.8, p = .011, ηp 2 = .100), indicating that the MD group misclassified less afraid faces as sad than the HC group (t61 = 2.6, p = .011, d = .71).</t>
  </si>
  <si>
    <t>t &lt; 1.83</t>
  </si>
  <si>
    <t>additional_studies36_x</t>
  </si>
  <si>
    <t>- This row was not double coded
-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
- I changed the page number of the replication study (online supplement) 
- I changed the effect of the replication study</t>
  </si>
  <si>
    <t>Sfärlea, A., Greimel, E., Platt, B., Dieler, A. C., &amp; Schulte‐Körne, G. (2018). Recognition of emotional facial expressions in adolescents with anorexia nervosa and adolescents with major depression. Psychiatry Research, 262, 586–594. https://doi.org/10.1016/j.psychres.2017.09.069</t>
  </si>
  <si>
    <t>Misclassification analysis: Effect on group for faces being misclassified as angry</t>
  </si>
  <si>
    <t>For faces being misclassified as angry, a main effect of GROUP (F2,86 = 3.2, p = .046, ηp 2 = .069) was found.</t>
  </si>
  <si>
    <t>F≤ 3.50</t>
  </si>
  <si>
    <t>additional_studies36_y</t>
  </si>
  <si>
    <t>Sfärlea, A., Greimel, E., Platt, B., Dieler, A. C., &amp; Schulte‐Körne, G. (2018). Recognition of emotional facial expressions in adolescents with anorexia nervosa and adolescents with major depression. Psychiatry Research, 262, 586–594. https://doi.org/10.1016/j.psychres.2017.09.070</t>
  </si>
  <si>
    <t>Misclassification analysis: Effect on group for faces being misclassified as neutral</t>
  </si>
  <si>
    <t>Researchers showed images to the participants (adolescents with anorexia nervosa and adolescents with major depression) to make decisions on the nature of the stimulus presented. They had to indicate which emotion (happy, sad, afraid, angry, or neutral) the face expressed. Ther researchers analyzed the misclassification of faces. The effects of the factors involved in the statistical test are presented.</t>
  </si>
  <si>
    <t>For faces being misclassified as neutral, a main effect of GROUP (F2,86 = 3.2, p = .047, ηp2 = .069) emerged</t>
  </si>
  <si>
    <t>pp. 5-6</t>
  </si>
  <si>
    <t>additional_studies36_z</t>
  </si>
  <si>
    <t>Sfärlea, A., Greimel, E., Platt, B., Dieler, A. C., &amp; Schulte‐Körne, G. (2018). Recognition of emotional facial expressions in adolescents with anorexia nervosa and adolescents with major depression. Psychiatry Research, 262, 586–594. https://doi.org/10.1016/j.psychres.2017.09.071</t>
  </si>
  <si>
    <t>Misclassification analysis: Effect on group for happy faces being misclassified as neutral</t>
  </si>
  <si>
    <t>Follow-up ANOVAs revealed significant effects of GROUP for happy (F2,86 = 3.7, p = .030, ηp 2 = .078) as well as sad (F2,86 = 4.0, p = .023, ηp 2 = .084) faces being misclassified as neutral</t>
  </si>
  <si>
    <t>additional_studies36_aa</t>
  </si>
  <si>
    <t>- This row was not double coded
-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
- I changed the page number of the replication study (online supplement) 
- I changed the effect of the replication study
- I changed the text claim, since multiple effects were reported in the text claim</t>
  </si>
  <si>
    <t>Sfärlea, A., Greimel, E., Platt, B., Dieler, A. C., &amp; Schulte‐Körne, G. (2018). Recognition of emotional facial expressions in adolescents with anorexia nervosa and adolescents with major depression. Psychiatry Research, 262, 586–594. https://doi.org/10.1016/j.psychres.2017.09.072</t>
  </si>
  <si>
    <t>Misclassification analysis: Effect on group for sad faces being misclassified as neutral</t>
  </si>
  <si>
    <t>Follow-up ANOVAs revealed significant effects of GROUP for [...] sad (F2,86 = 4.0, p = .023, ηp 2 = .084) faces being misclassified as neutral</t>
  </si>
  <si>
    <t>additional_studies36_bb</t>
  </si>
  <si>
    <t>Sfärlea, A., Greimel, E., Platt, B., Dieler, A. C., &amp; Schulte‐Körne, G. (2018). Recognition of emotional facial expressions in adolescents with anorexia nervosa and adolescents with major depression. Psychiatry Research, 262, 586–594. https://doi.org/10.1016/j.psychres.2017.09.073</t>
  </si>
  <si>
    <t>Misclassification analysis: Effect on group for faces being misclassified as happy</t>
  </si>
  <si>
    <t>For faces being misclassified as happy [...] the ANOVAs yielded no significant effects involving GROUP (Fs ≤ 1.4, ps&gt;.05).</t>
  </si>
  <si>
    <t>additional_studies36_cc</t>
  </si>
  <si>
    <t>- This row was not double coded
- I added the number of the experiment (in replication and original study) 
- I specified the effect: I changed ""participants" to adolescents with anorexia nervosa and adolscents with major depression (since those spefic samples were the target sample) 
- I changed the page number of the replication to the PDF page-number
- I added NA to registration of the replication study
- I changed the page number of the replication study (online supplement) 
- I changed the text claim, since multiple effects were reported in the text claim</t>
  </si>
  <si>
    <t>Sfärlea, A., Greimel, E., Platt, B., Dieler, A. C., &amp; Schulte‐Körne, G. (2018). Recognition of emotional facial expressions in adolescents with anorexia nervosa and adolescents with major depression. Psychiatry Research, 262, 586–594. https://doi.org/10.1016/j.psychres.2017.09.074</t>
  </si>
  <si>
    <t>Misclassification analysis: Effect on group for faces being misclassified as afraid</t>
  </si>
  <si>
    <t>For faces being misclassified as [...] afraid, the ANOVAs yielded no significant effects involving GROUP (Fs ≤ 1.4, ps&gt;.05).</t>
  </si>
  <si>
    <t>additional_studies36_1</t>
  </si>
  <si>
    <t>Sfärlea, A., Greimel, E., Platt, B., Dieler, A. C., &amp; Schulte‐Körne, G. (2018). Recognition of emotional facial expressions in adolescents with anorexia nervosa and adolescents with major depression. Psychiatry Research, 262, 586–594. https://doi.org/10.1016/j.psychres.2017.09.048</t>
  </si>
  <si>
    <t>10.1016--j.psychres.2017.09.048.pdf</t>
  </si>
  <si>
    <t>Percentage of correct answers: Effect of task</t>
  </si>
  <si>
    <t xml:space="preserve">The TASK × EMOTION × GROUP ANOVA on percentage of correct answers revealed a significant main effect of TASK (F1.4,123.2 = 395.8, p&lt;.001, ηp 2 = .822) </t>
  </si>
  <si>
    <t>Only a half row</t>
  </si>
  <si>
    <t>Superior facial emotion recognition in adolescents with anorexia nervosa</t>
  </si>
  <si>
    <t>- I added the number of the experiment (in replication and original study) 
- I added the effect and the effect description
- I changed the number of participants (the coder reported only the number of participants suffering from anorexia nervosa, but the test included also those with major despression)
- I changed the page number of the replication to the PDF page-number
- I changed the effects since the coder only reported the F-value, while eta-squared was reported."</t>
  </si>
  <si>
    <t>Adolescents with anorexia nervosa and major depression identifying correct facial expressions: Effect of task</t>
  </si>
  <si>
    <t>Anorexia nervosa (AN), Task effect</t>
  </si>
  <si>
    <t xml:space="preserve">The TASK   EMOTION   GROUP ANOVA on percentage of correct answers revealed a significant main effect of TASK (F1.4,123.2 = 395.8, p&lt;.001, ηp 2 = .822) </t>
  </si>
  <si>
    <t>The es_type_r says "F". Is this an f Test or Cohen's f (this is a mistake on our side because we have it as a selectable option, sorry!)?</t>
  </si>
  <si>
    <t>Adolescents with anorexia nervosa and major depression identifying correct facial expressions: Effect of emot</t>
  </si>
  <si>
    <t>Anorexia nervosa (AN), Emotion effect</t>
  </si>
  <si>
    <t>The TASK   EMOTION   GROUP ANOVA on percentage of correct answers revealed ... a significant main effect of EMOTION (F3.5,298.9 = 107.8, p&lt;.001, ηp 2 = .556).</t>
  </si>
  <si>
    <t>Anorexia nervosa (AN),  TASK   EMOTION   GROUP interaction</t>
  </si>
  <si>
    <t>were further qualified by a TASK   EMOTION   GROUP interaction (F8.4,361.9 = 2.6, p = .009, ηp 2 = .056).</t>
  </si>
  <si>
    <t>Anorexia nervosa (AN),  Discrimination task, Group effect</t>
  </si>
  <si>
    <t>For the emotion discrimination task (see Fig. 2), the follow-up ANOVA yielded a significant main effect of EMOTION (F3.3,281.8 = 114.5, p&lt;.001, ηp 2= .571)</t>
  </si>
  <si>
    <t>Anorexia nervosa (AN), TASK   Discrimination task, Emotion effect</t>
  </si>
  <si>
    <t xml:space="preserve">For the emotion discrimination task (see Fig. 2) ...  a significant main effect of GROUP (F2,86 = 3.3, p = .040, ηp 2 = .072). </t>
  </si>
  <si>
    <t>Anorexia nervosa (AN),  Discrimination task, Group x Emotion interaction</t>
  </si>
  <si>
    <t>For the emotion discrimination task ... a significant EMOTION x  GROUP interaction (F6.6,281.8 = 2.7, p = .012, ηp 2 = .059)</t>
  </si>
  <si>
    <t>- I added the number of the experiment (in replication and original study) 
- I added the effect and the effect description
- I changed the number of participants (the coder reported only the number of participants suffering from anorexia nervosa, but the test included also the health control group)
- I changed the page number of the replication to the PDF page-number
- I changed nesting from yes to no, since it was a between group comparison</t>
  </si>
  <si>
    <t>Anorexia nervosa (AN),  Discrimination task, AN/HC, afraid faces</t>
  </si>
  <si>
    <t>AN group performed better than ...  HC (t61.0 = 3.4, p = .001, d = .84) groups</t>
  </si>
  <si>
    <t xml:space="preserve">- I added the number of the experiment (in replication and original study) 
- I added the effect and the effect description
- I changed the number of participants (the coder reported only the number of participants suffering from anorexia nervosa, but the test included also the health control group)
- I changed the page number of the replication to the PDF page-number
- I changed the effects since the coder only reported the F-value, while eta-squared was reported.
</t>
  </si>
  <si>
    <t>Anorexia nervosa (AN),  RT Task</t>
  </si>
  <si>
    <t xml:space="preserve">The TASK   EMOTION   GROUP ANOVA on RTs yielded a significant main effect of TASK (F1.7,146.1 = 947.0, p&lt;.001, ηp 2 = .917)  </t>
  </si>
  <si>
    <t>Anorexia nervosa (AN),  Gender discrimination, Group effect</t>
  </si>
  <si>
    <t>The follow-up ANOVA for the gender discrimination task yielded only a significant main effect of EMOTION (F4,344= 26.1, p&lt;.001, ηp 2= .233) but no main effect or interaction involving GROUP (Fs&lt;1),</t>
  </si>
  <si>
    <t xml:space="preserve">- I added the number of the experiment (in replication and original study) 
- I added the effect and the effect description
- I changed the number of participants (the coder reported only the number of participants suffering from anorexia nervosa, but the test included also the health control group)
- I changed the page number of the replication to the PDF page-number
- I changed the p-vales to NA
</t>
  </si>
  <si>
    <t>The follow-up ANOVA for the gender discrimination ... but no main effect or interaction involving GROUP (Fs&lt;1),</t>
  </si>
  <si>
    <t>Fs&lt;1</t>
  </si>
  <si>
    <t>Fs &lt; 1</t>
  </si>
  <si>
    <t>Anorexia nervosa (AN),  RT Emotion</t>
  </si>
  <si>
    <t>The TASK   EMOTION   GROUP ANOVA on RTs yielded a significant main effect of ... EMOTION (F3.6,311.2 = 93.0, p&lt;.001, ηp 2 = .519)</t>
  </si>
  <si>
    <t>Anorexia nervosa (AN),  RT, Task Emotion Interaction</t>
  </si>
  <si>
    <t>RT ... a significant TASK   EMOTION interaction (F4.7,405.1 = 99.5, p&lt;.001, ηp 2 = .536).</t>
  </si>
  <si>
    <t>Fs &lt; 1.4</t>
  </si>
  <si>
    <t>Roksana</t>
  </si>
  <si>
    <t>additional_studies37_1</t>
  </si>
  <si>
    <t>additional_studies37</t>
  </si>
  <si>
    <t>Roksana Sobolak</t>
  </si>
  <si>
    <t>Feedback for Roskana
- please also fill out the variable with the page numbers</t>
  </si>
  <si>
    <t>Rothman, J. (2011). L3 syntactic transfer selectivity and typological determinacy: The typological primacy
model. Second Language Research, 27, 107–127. https://doi.org/10.1177/0267658310386439</t>
  </si>
  <si>
    <t>10.1177/0267658310386439</t>
  </si>
  <si>
    <t>Parrish, K. (2024). Statistical Insignificance is not wholesale transfer in L3 Acquisition: an approximate replication of Rothman (2011). Studies in Second Language Acquisition, 1-18. https://doi.org/10.1017/S0272263124000342</t>
  </si>
  <si>
    <t>10.1017/S0272263124000342</t>
  </si>
  <si>
    <t>approximate replication</t>
  </si>
  <si>
    <t>syntatic transfer/noun-raising</t>
  </si>
  <si>
    <t>L3 acquisition, language transfer, multilingualism, statistical significance, language learning, transfer effects, linguistic theory, applied linguistics, language acquisition research, cross-linguistic influence.</t>
  </si>
  <si>
    <t>Interaction between item type and language group on performance (semantic interpretation task)</t>
  </si>
  <si>
    <t>"A statistical analysis showed that there were in fact no significant interactions between item type and group (F(2,57) = .105; p = .901)."  "The statistical analyses presented above demonstrate that both sets of L3 learners were successful on the experiments without any statistically significant deviance from the native speaker controls. As such, it goes without saying, but is noteworthy nonetheless, that they did not differ from each other either."</t>
  </si>
  <si>
    <t>F(2,57) = .105</t>
  </si>
  <si>
    <t>F(1, 209) = 6.72</t>
  </si>
  <si>
    <t>Feedback for Roksana
- please also fill out the variable with the page numbers</t>
  </si>
  <si>
    <t>Mariem</t>
  </si>
  <si>
    <t>Mariem_Younssi</t>
  </si>
  <si>
    <r>
      <rPr>
        <rFont val="Calibri"/>
        <sz val="11.0"/>
      </rPr>
      <t xml:space="preserve">this row and the one bellow are related to one specific effect, hypothesis requires test to be non-significant, the replication study was not preregistred but materials and scripts are available </t>
    </r>
    <r>
      <rPr>
        <rFont val="Calibri"/>
        <color rgb="FF1155CC"/>
        <sz val="11.0"/>
        <u/>
      </rPr>
      <t>https://osf.io/t2vkp/</t>
    </r>
    <r>
      <rPr>
        <rFont val="Calibri"/>
        <sz val="11.0"/>
      </rPr>
      <t xml:space="preserve"> </t>
    </r>
  </si>
  <si>
    <r>
      <rPr>
        <rFont val="Calibri"/>
        <sz val="11.0"/>
      </rPr>
      <t xml:space="preserve">Rothman, J. (2011). L3 syntactic transfer selectivity and typological determinacy: The typological primacy
model. Second Language Research, 27, 107–127. </t>
    </r>
    <r>
      <rPr>
        <rFont val="Calibri"/>
        <color rgb="FF1155CC"/>
        <sz val="11.0"/>
        <u/>
      </rPr>
      <t>https://doi.org/10.1177/0267658310386439</t>
    </r>
  </si>
  <si>
    <r>
      <rPr>
        <rFont val="Calibri"/>
        <sz val="11.0"/>
      </rPr>
      <t xml:space="preserve">Parrish, K. (2024). Statistical Insignificance is not wholesale transfer in L3 Acquisition: an approximate replication of Rothman (2011). Studies in Second Language Acquisition, 1-18. </t>
    </r>
    <r>
      <rPr>
        <rFont val="Calibri"/>
        <color rgb="FF1155CC"/>
        <sz val="11.0"/>
        <u/>
      </rPr>
      <t>https://doi.org/10.1017/S0272263124000342</t>
    </r>
  </si>
  <si>
    <t>Evidence is provided in support of the position that third language (L3) transfer is selective, whereby, at least under certain conditions, it is driven by the typological proximity of the target L3 measured against the other previously acquired linguistic systems...The data show that, irrespective of the L1 or the L2, these L3 learners demonstrate target knowledge of subtle adjectival semantic nuances obtained via noun-raising, which English lacks and the other languages share.</t>
  </si>
  <si>
    <t>Results of the first experiment, the Semantic Interpretation Task…All groups performed comparably on this experiment, deriving about the same number correct interpretations for both preposed and postposed adjectives. A statistical analysis showed that there were in fact no significant interactions between item type and group (F(2,57) = .105; p = .901).</t>
  </si>
  <si>
    <t>additional_studies37_b</t>
  </si>
  <si>
    <t>Effect of item type (preposed vs. postposed) on performance (semantic interpretation task)</t>
  </si>
  <si>
    <t>"Furthermore there was no significant effect for item type (preposed v. postposed: F(1,57) = 0.011; p = .917)"  "The statistical analyses presented above demonstrate that both sets of L3 learners were successful on the experiments without any statistically significant deviance from the native speaker controls. As such, it goes without saying, but is noteworthy nonetheless, that they did not differ from each other either."</t>
  </si>
  <si>
    <t>F(1,57) = 0.011</t>
  </si>
  <si>
    <t>F(1, 209) = 8.41</t>
  </si>
  <si>
    <t xml:space="preserve">hypothesis requires test to be non-significant, the replication study was not preregistred but materials and scripts are available https://osf.io/t2vkp/ </t>
  </si>
  <si>
    <r>
      <rPr>
        <rFont val="Calibri"/>
        <sz val="11.0"/>
      </rPr>
      <t xml:space="preserve">Rothman, J. (2011). L3 syntactic transfer selectivity and typological determinacy: The typological primacy
model. Second Language Research, 27, 107–127. </t>
    </r>
    <r>
      <rPr>
        <rFont val="Calibri"/>
        <color rgb="FF1155CC"/>
        <sz val="11.0"/>
        <u/>
      </rPr>
      <t>https://doi.org/10.1177/0267658310386439</t>
    </r>
  </si>
  <si>
    <r>
      <rPr>
        <rFont val="Calibri"/>
        <sz val="11.0"/>
      </rPr>
      <t xml:space="preserve">Parrish, K. (2024). Statistical Insignificance is not wholesale transfer in L3 Acquisition: an approximate replication of Rothman (2011). Studies in Second Language Acquisition, 1-18. </t>
    </r>
    <r>
      <rPr>
        <rFont val="Calibri"/>
        <color rgb="FF1155CC"/>
        <sz val="11.0"/>
        <u/>
      </rPr>
      <t>https://doi.org/10.1017/S0272263124000342</t>
    </r>
  </si>
  <si>
    <t>Results of the first experiment, the Semantic Interpretation Task…All groups performed comparably on this experiment, deriving about the same number correct interpretations for both preposed and postposed adjectives...no significant effect for...language group (F(2,57) = 0.404; p = 0.669).</t>
  </si>
  <si>
    <t>F(2,57) = 0.404</t>
  </si>
  <si>
    <t>additional_studies37_c</t>
  </si>
  <si>
    <t>Effect of language group on performance (semantic interpretation task)</t>
  </si>
  <si>
    <t>"Furthermore there was no significant effect...for language group (F(2,57) = 0.404; p = 0.669)". "The statistical analyses presented above demonstrate that both sets of L3 learners were successful on the experiments without any statistically significant deviance from the native speaker controls. As such, it goes without saying, but is noteworthy nonetheless, that they did not differ from each other either."</t>
  </si>
  <si>
    <t>F(1, 209) = 0.22</t>
  </si>
  <si>
    <t>this row and the one bellow are related to one specific effect, hypothesis requires test to be non-significant, the replication study was not preregistred but materials and scripts are available https://osf.io/t2vkp/ , in the r_study n was calculated based on df; reported n was 211</t>
  </si>
  <si>
    <r>
      <rPr>
        <rFont val="Calibri"/>
        <sz val="11.0"/>
      </rPr>
      <t xml:space="preserve">Rothman, J. (2011). L3 syntactic transfer selectivity and typological determinacy: The typological primacy
model. Second Language Research, 27, 107–127. </t>
    </r>
    <r>
      <rPr>
        <rFont val="Calibri"/>
        <color rgb="FF1155CC"/>
        <sz val="11.0"/>
        <u/>
      </rPr>
      <t>https://doi.org/10.1177/0267658310386439</t>
    </r>
  </si>
  <si>
    <r>
      <rPr>
        <rFont val="Calibri"/>
        <sz val="11.0"/>
      </rPr>
      <t xml:space="preserve">Parrish, K. (2024). Statistical Insignificance is not wholesale transfer in L3 Acquisition: an approximate replication of Rothman (2011). Studies in Second Language Acquisition, 1-18. </t>
    </r>
    <r>
      <rPr>
        <rFont val="Calibri"/>
        <color rgb="FF1155CC"/>
        <sz val="11.0"/>
        <u/>
      </rPr>
      <t>https://doi.org/10.1017/S0272263124000342</t>
    </r>
  </si>
  <si>
    <t>Results of the second experiment, the Collocation Task… All groups performed comparably, providing about the same number of correct adjective placements based on context for both preposed and postposed adjectives. A statistical analysis showed that there were no significant interactions between item type and group (F(2,57) = .288; p = .751).</t>
  </si>
  <si>
    <t>12-13</t>
  </si>
  <si>
    <t>F(2,57) = .288</t>
  </si>
  <si>
    <t>F(1, 213) = 1.37</t>
  </si>
  <si>
    <t>additional_studies37_d</t>
  </si>
  <si>
    <t>Interaction between item type and language group on performance. (collocation task)</t>
  </si>
  <si>
    <t>"There were no significant interactions between item type and group (F(2,57) = .288; p = .751)." "The statistical analyses presented above demonstrate that both sets of L3 learners were successful on the experiments without any statistically significant deviance from the native speaker controls. As such, it goes without saying, but is noteworthy nonetheless, that they did not differ from each other either."</t>
  </si>
  <si>
    <t>hypothesis requires test to be non-significant, the replication study was not preregistred but materials and scripts are available https://osf.io/t2vkp/ , in the r_study n was calculated based on df; reported n was 211, the replication study has an extension (i.e., test of equivalence) but contains too many effects so I wansn't sure if I sould include it,</t>
  </si>
  <si>
    <r>
      <rPr>
        <rFont val="Calibri"/>
        <sz val="11.0"/>
      </rPr>
      <t xml:space="preserve">Rothman, J. (2011). L3 syntactic transfer selectivity and typological determinacy: The typological primacy
model. Second Language Research, 27, 107–127. </t>
    </r>
    <r>
      <rPr>
        <rFont val="Calibri"/>
        <color rgb="FF1155CC"/>
        <sz val="11.0"/>
        <u/>
      </rPr>
      <t>https://doi.org/10.1177/0267658310386439</t>
    </r>
  </si>
  <si>
    <r>
      <rPr>
        <rFont val="Calibri"/>
        <sz val="11.0"/>
      </rPr>
      <t xml:space="preserve">Parrish, K. (2024). Statistical Insignificance is not wholesale transfer in L3 Acquisition: an approximate replication of Rothman (2011). Studies in Second Language Acquisition, 1-18. </t>
    </r>
    <r>
      <rPr>
        <rFont val="Calibri"/>
        <color rgb="FF1155CC"/>
        <sz val="11.0"/>
        <u/>
      </rPr>
      <t>https://doi.org/10.1017/S0272263124000342</t>
    </r>
  </si>
  <si>
    <t>Results of the second experiment, the Collocation Task… All groups performed comparably, providing about the same number of correct adjective placements based on context for both preposed and postposed adjectives...Moreover, a statistical analysis showed that there were no significant effects for... language group (F(2,57) = 0.272; p = 0.763).</t>
  </si>
  <si>
    <t>F(2,57) = 0.272</t>
  </si>
  <si>
    <t>F(1, 213) = 0.47</t>
  </si>
  <si>
    <t>additional_studies37_e</t>
  </si>
  <si>
    <t>Effect of item type (preposed vs. postposed) on performance. (collocation task)</t>
  </si>
  <si>
    <t>"There were no significant effects for item type (preposed v. postposed: F(1,57) = 2.526; p = .118)". "The statistical analyses presented above demonstrate that both sets of L3 learners were successful on the experiments without any statistically significant deviance from the native speaker controls. As such, it goes without saying, but is noteworthy nonetheless, that they did not differ from each other either."</t>
  </si>
  <si>
    <t>F(1,57) = 2.526</t>
  </si>
  <si>
    <t>F(1, 213) = 36.06</t>
  </si>
  <si>
    <t>additional_studies37_f</t>
  </si>
  <si>
    <t>discarded due to missing replication effect</t>
  </si>
  <si>
    <t>Effect of language group on performance (collocation task)</t>
  </si>
  <si>
    <t>"There were no significant effects...for language group (F(2,57) = 0.272; p = 0.763)." "The statistical analyses presented above demonstrate that both sets of L3 learners were successful on the experiments without any statistically significant deviance from the native speaker controls. As such, it goes without saying, but is noteworthy nonetheless, that they did not differ from each other either."</t>
  </si>
  <si>
    <t>additional_studies38_1</t>
  </si>
  <si>
    <t>additional_studies38</t>
  </si>
  <si>
    <t>Bailey, C. N., Hasselback, J. R., &amp; Karcher, J. N. (2001). Research misconduct in accounting literature: A survey of the most prolific researchers’ actions and beliefs. Abacus, 37(1), 26-54. https://doi.org/10.1111/1467-6281.00073</t>
  </si>
  <si>
    <t>10.1111/1467-6281.00073</t>
  </si>
  <si>
    <t>Bailey, C.D. (2024), "Fraudulent Research Practices in Accounting: A Replication and Extension of Bailey, Hasselback, and Karcher (2001)", Shawver, T.J. (Ed.) Research on Professional Responsibility and Ethics in Accounting (Research on Professional Responsibility and Ethics in Accounting, Vol. 26), Emerald Publishing Limited, Leeds, pp. 101-121. https://doi.org/10.1108/S1574-076520240000026005</t>
  </si>
  <si>
    <t>10.1108/S1574-076520240000026005</t>
  </si>
  <si>
    <r>
      <rPr>
        <rFont val="Calibri"/>
        <sz val="11.0"/>
      </rPr>
      <t xml:space="preserve">Bailey, C.D. (2024), "Fraudulent Research Practices in Accounting: A Replication and Extension of Bailey, Hasselback, and Karcher (2001)", Shawver, T.J. (Ed.) Research on Professional Responsibility and Ethics in Accounting (Research on Professional Responsibility and Ethics in Accounting, Vol. 26), Emerald Publishing Limited, Leeds, pp. 101-121. </t>
    </r>
    <r>
      <rPr>
        <rFont val="Calibri"/>
        <color rgb="FF1155CC"/>
        <sz val="11.0"/>
        <u/>
      </rPr>
      <t>https://doi.org/10.1108/S1574-076520240000026005</t>
    </r>
  </si>
  <si>
    <t>"Replication and extension"</t>
  </si>
  <si>
    <t>Research misconduct</t>
  </si>
  <si>
    <t>Codes of ethics, questionable research practices, randomized response, research ethics, research misconduct, sensitive surveys, accounting, ethics, fraud, research, scientific method.</t>
  </si>
  <si>
    <t>This effect measures the percentage of accounting authors who admit that a portion of their own published research articles is tainted by unethical practices</t>
  </si>
  <si>
    <t>"The overall mean estimate for self-reported (actual) falsification is 3.68 per cent, which is significantly different from zero (t = 2.82, p = 0.0025, one-tailed)." "The estimated percentage of seriously tainted articles in the top thirty accounting journals, based on self-reporting, is about 3.7 per cent, while the respondents on average believe that about 21 per cent of the literature is tainted."</t>
  </si>
  <si>
    <t>t = 2.82</t>
  </si>
  <si>
    <t xml:space="preserve"> t(1) = 2.05</t>
  </si>
  <si>
    <t>Mariem Younssi</t>
  </si>
  <si>
    <t>I couldn't find the replication's pdf...not even on sci-hub...and I didn't have enough time to request the full text from the author on researchgate</t>
  </si>
  <si>
    <r>
      <rPr>
        <rFont val="Calibri"/>
        <sz val="11.0"/>
      </rPr>
      <t xml:space="preserve">Bailey, C.D. (2024), "Fraudulent Research Practices in Accounting: A Replication and Extension of Bailey, Hasselback, and Karcher (2001)", Shawver, T.J. (Ed.) Research on Professional Responsibility and Ethics in Accounting (Research on Professional Responsibility and Ethics in Accounting, Vol. 26), Emerald Publishing Limited, Leeds, pp. 101-121. </t>
    </r>
    <r>
      <rPr>
        <rFont val="Calibri"/>
        <color rgb="FF1155CC"/>
        <sz val="11.0"/>
        <u/>
      </rPr>
      <t>https://doi.org/10.1108/S1574-076520240000026005</t>
    </r>
  </si>
  <si>
    <r>
      <rPr>
        <rFont val="Calibri"/>
        <sz val="11.0"/>
      </rPr>
      <t xml:space="preserve">Bailey, C.D. (2024), "Fraudulent Research Practices in Accounting: A Replication and Extension of Bailey, Hasselback, and Karcher (2001)", Shawver, T.J. (Ed.) Research on Professional Responsibility and Ethics in Accounting (Research on Professional Responsibility and Ethics in Accounting, Vol. 26), Emerald Publishing Limited, Leeds, pp. 101-121. </t>
    </r>
    <r>
      <rPr>
        <rFont val="Calibri"/>
        <color rgb="FF1155CC"/>
        <sz val="11.0"/>
        <u/>
      </rPr>
      <t>https://doi.org/10.1108/S1574-076520240000026005</t>
    </r>
  </si>
  <si>
    <t>additional_studies38_b</t>
  </si>
  <si>
    <t>Bailey, C. N., Hasselback, J. R., &amp; Karcher, J. N. (2001). Research misconduct in accounting literature: A survey of the most prolific researchers’ actions and beliefs. Abacus, 37(1), 26-54. https://doi.org/10.1111/1467-6281.00074</t>
  </si>
  <si>
    <r>
      <rPr>
        <rFont val="Calibri"/>
        <sz val="11.0"/>
      </rPr>
      <t xml:space="preserve">Bailey, C.D. (2024), "Fraudulent Research Practices in Accounting: A Replication and Extension of Bailey, Hasselback, and Karcher (2001)", Shawver, T.J. (Ed.) Research on Professional Responsibility and Ethics in Accounting (Research on Professional Responsibility and Ethics in Accounting, Vol. 26), Emerald Publishing Limited, Leeds, pp. 101-121. </t>
    </r>
    <r>
      <rPr>
        <rFont val="Calibri"/>
        <color rgb="FF1155CC"/>
        <sz val="11.0"/>
        <u/>
      </rPr>
      <t>https://doi.org/10.1108/S1574-076520240000026005</t>
    </r>
  </si>
  <si>
    <t>This effect measures the percentage of published research articles that accounting authors believe, based on their own perceptions, to be tainted by unethical practices,</t>
  </si>
  <si>
    <t>"The estimate for the overall percentage of articles affected (in respondents’ opinion) is 20.92 per cent, also significantly different from zero (t = 5.06, p &lt; 0.0001). Thus respondents estimate the extent of research falsification to be about six times as great as the self-reported number." "The estimated percentage of seriously tainted articles in the top thirty accounting journals, based on self-reporting, is about 3.7 per cent, while the respondents on average believe that about 21 per cent of the literature is tainted."</t>
  </si>
  <si>
    <t>t = 5.06</t>
  </si>
  <si>
    <t>t(45)=9.35</t>
  </si>
  <si>
    <t>additional_studies38_c</t>
  </si>
  <si>
    <t>This refers to RQ3 of the replication study. It reports 'Participants attribute only 30.33% of the motivation for FRPs to internal motives, 
leaving most of the motivation to external pressures (mean 69.67%; 95% boot_x0002_strap CI, 67.23–72.11%). The mean is slightly higher than Bailey et al. (2001), 
where 64.4% was attributed to external reasons, and the difference is significant (t = 2.63, two-tailed, p = 0.009).' However, I cannot find the figure 64.4% anywhere in the original study. All I could find was 'The attributions to internal causes were almost identical for the two sequences, at 36 and 35 per cent.' These are only descriptive statistics and I do not think sufficient amount of detail to calculate effect size. However, replication study reports difference between both of their results but not sure on source of the original data used for comparison.</t>
  </si>
  <si>
    <t>Bailey, C. N., Hasselback, J. R., &amp; Karcher, J. N. (2001). Research misconduct in accounting literature: A survey of the most prolific researchers’ actions and beliefs. Abacus, 37(1), 26-54. https://doi.org/10.1111/1467-6281.00075</t>
  </si>
  <si>
    <r>
      <rPr>
        <rFont val="Calibri"/>
        <sz val="11.0"/>
      </rPr>
      <t xml:space="preserve">Bailey, C.D. (2024), "Fraudulent Research Practices in Accounting: A Replication and Extension of Bailey, Hasselback, and Karcher (2001)", Shawver, T.J. (Ed.) Research on Professional Responsibility and Ethics in Accounting (Research on Professional Responsibility and Ethics in Accounting, Vol. 26), Emerald Publishing Limited, Leeds, pp. 101-121. </t>
    </r>
    <r>
      <rPr>
        <rFont val="Calibri"/>
        <color rgb="FF1155CC"/>
        <sz val="11.0"/>
        <u/>
      </rPr>
      <t>https://doi.org/10.1108/S1574-076520240000026005</t>
    </r>
  </si>
  <si>
    <t>The effect examines whether accounting researchers attribute research malfeasance to internal motivations or external pressures</t>
  </si>
  <si>
    <t>"The attributions to internal causes were almost identical for the two sequences, at 36 and 35 per cent."</t>
  </si>
  <si>
    <t>N/A</t>
  </si>
  <si>
    <t xml:space="preserve">descriptive </t>
  </si>
  <si>
    <t>descriptive</t>
  </si>
  <si>
    <t>additional_studies39_1</t>
  </si>
  <si>
    <t>additional_studies39</t>
  </si>
  <si>
    <t>LR, Roksana Sobolak</t>
  </si>
  <si>
    <t>I have excluded this row since the original study and replication study in this row do not match.</t>
  </si>
  <si>
    <t>Zitek, E. M., &amp; Tiedens, L. Z. (2012). The fluency of social hierarchy: the ease with which hierarchical relationships are seen, remembered, learned, and liked. Journal of personality and social psychology, 102(1), 98.</t>
  </si>
  <si>
    <t>10.1037/a0025345</t>
  </si>
  <si>
    <t>Rode, J., Jonuschies, I., Matthiesen, S., &amp; Gericke, K. (2024). Replication studies in engineering design–a feasibility study. Proceedings of the Design Society, 4, 115-124. https://doi.org/10.1017/pds.2024.14</t>
  </si>
  <si>
    <t>10.1017/pds.2024.14</t>
  </si>
  <si>
    <t>As advised by Sarah, I have excluded this row since the original study and replication study in this row do not match.</t>
  </si>
  <si>
    <t>the two papers are not related, study diffrent topics and belongs to diffrent fields</t>
  </si>
  <si>
    <r>
      <rPr>
        <rFont val="Calibri"/>
        <sz val="11.0"/>
      </rPr>
      <t xml:space="preserve">Rode, J., Jonuschies, I., Matthiesen, S., &amp; Gericke, K. (2024). Replication studies in engineering design–a feasibility study. Proceedings of the Design Society, 4, 115-124. </t>
    </r>
    <r>
      <rPr>
        <rFont val="Calibri"/>
        <color rgb="FF1155CC"/>
        <sz val="11.0"/>
        <u/>
      </rPr>
      <t>https://doi.org/10.1017/pds.2024.14</t>
    </r>
  </si>
  <si>
    <t>additional_studies4_1</t>
  </si>
  <si>
    <t>additional_studies4_a</t>
  </si>
  <si>
    <t xml:space="preserve">- I changed the text claim since multiple effects were reported 
- I added the study number of the replication study
- I changed the page numbers to the ones of the PDFs
- I changed eta-squared to partial </t>
  </si>
  <si>
    <t>Fath, S., &amp; Kay, A. C. (2018). “If hierarchical, then corrupt”: Exploring people’s tendency to associate hierarchy with corruption in organizations. Organizational Behavior and Human Decision Processes, 149, 145-164. https://doi.org/10.1016/j.obhdp.2018.10.004</t>
  </si>
  <si>
    <t>10.1016/j.obhdp.2018.10.004</t>
  </si>
  <si>
    <t>1c</t>
  </si>
  <si>
    <t>10.1016--j.obhdp.2018.10.004.pdf</t>
  </si>
  <si>
    <t>Evans, T. R., Kviatkovskyte, R., O'Regan, S., Adolph, S. A.,  n., Chukwudi, F. O. N., … Krzan, M. (2024, February 5). Corruption and Hierarchy: A Replication of Studies 1c and 6 of Fath &amp; Kay 2018. https://doi.org/10.31234/osf.io/68jft</t>
  </si>
  <si>
    <t>10.31234/osf.io/68jft</t>
  </si>
  <si>
    <t>"If hierarchical, then corrupt"</t>
  </si>
  <si>
    <t>Corruption/Hierarchy/Organisational Design/Organisational Structure</t>
  </si>
  <si>
    <t>"We find that people expect more corruption to manifest among the employees of relatively more hierarchical organizations"</t>
  </si>
  <si>
    <t>"We conducted a 2 (workplace: social vs remote)×2 (hierarchy: high vs low) ANOVA with corruption beliefs as the dependent variable. This analysis yielded a main effect of hierarchy F(1, 401)=17.49, p &lt; .001, ηp 2=0.042, [...] These results indicated that participants expected more hierarchy at a hypothetical organization to result in more corrupt behavior among the employees of that organization, regardless of the degree to which those employees interacted with each other on a day-to-day basis."</t>
  </si>
  <si>
    <t>https://osf.io/zb5j2</t>
  </si>
  <si>
    <t>additional_studies4_b</t>
  </si>
  <si>
    <t>- I added the study number of the replication study
- I changed the page numbers to the ones of the PDFs</t>
  </si>
  <si>
    <t>"Consistent with Hypothesis 1, participants in the high hierarchy condition expected there to be more corruption among the employees of the Finance Department than participants in the low hierarchy condition, t (95)=2.32, p=.023, Cohen’s d=0.48 (see Table 1)."</t>
  </si>
  <si>
    <t>p. 159</t>
  </si>
  <si>
    <t>additional_studies4_c</t>
  </si>
  <si>
    <t xml:space="preserve">- I added the study number of the replication and of the original 
- I changed the page numbers to the ones of the PDFs
- I added nesting = 0
- I changed the p-value of the replication to NA, since the text stated that the effect was significant, but the value was not specified        </t>
  </si>
  <si>
    <t>indirect effect of hierarchy condition through corruption perceptions, on beliefs about whether the anti-corruption petition was justified</t>
  </si>
  <si>
    <t>"Consistent with Hypothesis 3, mediation bootstrapping procedures (Model 4; 5000 bootstraps; Hayes, 2012) revealed an indirect effect of hierarchy condition (1=high hierarchy, 0=low hierarchy), through corruption perceptions, on beliefs about whether the petition was justified, b=0.21, SE=0.16, 95% CI [0.01, 0.65]"</t>
  </si>
  <si>
    <t>additional_studies4_d</t>
  </si>
  <si>
    <t>indirect effect of hierarchy condition through corruption perceptions, on (...) desire to sign the anti-corruption petition</t>
  </si>
  <si>
    <t>"Consistent with Hypothesis 3, mediation bootstrapping procedures (Model 4; 5000 bootstraps; Hayes, 2012) revealed an indirect effect of hierarchy condition (1=high hierarchy, 0=low hierarchy), through corruption perceptions, on (...) desire to sign the petition, b=0.35, SE=0.22, 95% CI [0.04, 0.90]"</t>
  </si>
  <si>
    <t>additional_studies4</t>
  </si>
  <si>
    <t>- I added the study numbers of the original study and of the replication study 
- The results of the original study 1b were described, but Study 1c was replicated; I changed the text claim
- I changed the p-values of the original study to NA 
- I calculated Cohens' d of the original study 
- I copied the effect description
- I changed the page numbers to the ones of the PDFs
- I changed the number of participants of the replication study
- I changed the p-value of the replication study and all relating parameters</t>
  </si>
  <si>
    <t>Organizational Psychology</t>
  </si>
  <si>
    <t>Hierarchy-Corruption Association</t>
  </si>
  <si>
    <t>Corruption; hierarchy;
organisational design;
organisational structure;
replication</t>
  </si>
  <si>
    <t>"That is, across both levels of workplace sociality, participants in the high hierarchy condition (M = 4.25, SD = 1.62) expected more corruption among the employees in the company than participants in the low hierarchy condition (M = 3.55, SD = 1.69)."</t>
  </si>
  <si>
    <t>https://osf.io/zb5j2/</t>
  </si>
  <si>
    <t xml:space="preserve">- I added the study number of the replication and of the original 
- I changed the page numbers to the ones of the PDFs
- I corrected the p-value of the replication
- The coder coded again an effect of study 1b, which was not replicated; Therefore I changed the claim, the effect and p-value 
- I also changed the description of the effect
</t>
  </si>
  <si>
    <r>
      <rPr>
        <rFont val="Calibri"/>
        <sz val="11.0"/>
      </rPr>
      <t xml:space="preserve">Fath, S., &amp; Kay, A. C. (2018). “If hierarchical, then corrupt”: Exploring people’s tendency to associate hierarchy with corruption in organizations. Organizational Behavior and Human Decision Processes, 149, 145-164. </t>
    </r>
    <r>
      <rPr>
        <rFont val="Calibri"/>
        <color rgb="FF1155CC"/>
        <sz val="11.0"/>
        <u/>
      </rPr>
      <t>https://doi.org/10.1016/j.obhdp.2018.10.004</t>
    </r>
  </si>
  <si>
    <t>people expect more corruption to manifest among the employees of relatively more hierarchical organizations</t>
  </si>
  <si>
    <t>"Consistent with Hypothesis 1, participants in the high hierarchy condition expected there to be more corruption among the employees of the Finance Department than participants in the low hierarchy condition, t(95) = 2.32, p = .023, Cohen’s d = 0.48 (see Table 1)."</t>
  </si>
  <si>
    <t>additional_studies40_1</t>
  </si>
  <si>
    <t>additional_studies40</t>
  </si>
  <si>
    <t>Feedback for Ray
- please review the instructions again and code these entries</t>
  </si>
  <si>
    <t>Burback, Shannon, "Construct Validity of the Behavior Assessment System for Children-Third
 Edition Teacher Rating Scales (BASC-3 TRS): Comparisons with the Adjustment Scales
 for Children and Adolescents (ASCA)" (2020). Masters Theses. 4783.
 https://thekeep.eiu.edu/theses/4783</t>
  </si>
  <si>
    <t>thekeep.eiu.edu/theses/4783</t>
  </si>
  <si>
    <t>Katla, J. (2024). Replication of Construct Validity of the Behavior Assessment System for Children-Teacher Rating Scales (BASC-3 TRS) and the Adjustment Scales for Children and Adolescents (ASCA). https://thekeep.eiu.edu/theses/5025?utm_source=thekeep.eiu.edu%2Ftheses%2F5025&amp;utm_medium=PDF&amp;utm_campaign=PDFCoverPages</t>
  </si>
  <si>
    <t>thekeep.eiu.edu/theses/5025</t>
  </si>
  <si>
    <t>https://thekeep.eiu.edu/theses/5025</t>
  </si>
  <si>
    <t>thekeep.eiu.edu--theses--5025.pdf</t>
  </si>
  <si>
    <t>A replication</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</si>
  <si>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</si>
  <si>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t>thekeep.eiu.edu--theses--4783.pdf</t>
  </si>
  <si>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</si>
  <si>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https://thekeep.eiu.edu/theses/5025/?utm_source=thekeep.eiu.edu%2Ftheses%2F5025&amp;utm_medium=PDF&amp;utm_campaign=PDFCoverPages</t>
  </si>
  <si>
    <t>Replication of Construct Validity of the Behavior Assessment Replication of Construct Validity of the Behavior Assessment System for Children-Third Edition Teacher Rating Scales (BASC-3 System for Children-Third Edition Teacher Rating Scales (BASC-3 TRS) and the Adjustment Scales for Children and Adolescents TRS).</t>
  </si>
  <si>
    <t>Developmental Psychology</t>
  </si>
  <si>
    <t>Attention deficit/problems</t>
  </si>
  <si>
    <t>Behavior Assessment System for Children-Teacher Rating Scales (BASC-3 TRS), Adjustment Scales for Children and Adolescents (ASCA), inattention, distractibility, attention deficits, hyperactivity, impulsivity</t>
  </si>
  <si>
    <t>BASC Attention Problems assess tendencies to be easily distracted, have difficulty focusing, and struggle to complete tasks that require sustained attention. ASCA Attention Deficit Hyperactive assesses behaviors commonly associated with Attention-Deficit/Hyperactivity Disorder (ADHD), including inattention, impulsivity, and hyperactivity.</t>
  </si>
  <si>
    <t>The BASC-3 TRS-C Externalizing Problems Composite
scale was significantly correlated with the ASCA Overactivity syndrome (r = .79, p &lt;
.01) and supported convergent validity, sharing 62% measurement variance</t>
  </si>
  <si>
    <t>p. 53</t>
  </si>
  <si>
    <t>Daniel Manrique-Castano Manrique-Castano</t>
  </si>
  <si>
    <t>Please note that original and replication studies are truncated in the columns. I exchanged them accordingly.  This is a replication study that reports effect sizes in terms of Cohen's d and associated p-values of nine variables for the construct validity from the Behavior Assessment System for Children-Teacher Rating Scales (BASC-3 TRS) and the Adjustment Scales for Children and Adolescents (ASCA). As it uses different components of psychological scales, I need to report Cohen's d for each of the components.</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</si>
  <si>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</si>
  <si>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</si>
  <si>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"Table 6 presents the descriptive statistics and t-test results for specific BASC-3 TRS-C
and ASCA comparisons." Comparison of "BASC Attention Problems ASCA Attention Deficit Hyperactive"</t>
  </si>
  <si>
    <t>p. 58</t>
  </si>
  <si>
    <t>p.68</t>
  </si>
  <si>
    <t>additional_studies40_b</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</si>
  <si>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</si>
  <si>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</si>
  <si>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Hyperactivity /Attention Deficit Hyperactive</t>
  </si>
  <si>
    <t>Behavior Assessment System for Children-Teacher Rating Scales (BASC-3 TRS), Adjustment Scales for Children and Adolescents (ASCA), motor activity, restlessness, hyperactive-impulsive, attention deficit</t>
  </si>
  <si>
    <t>BASC Hyperactivity focuses on excessive motor activity, restlessness, impulsivity, and difficulty remaining still. ASCA Attention Deficit Hyperactive, as noted above, covers both inattentive and hyperactive-impulsive elements, reflecting a broader ADHD-related symptom pattern.</t>
  </si>
  <si>
    <t>"Table 6 presents the descriptive statistics and t-test results for specific BASC-3 TRS-C
and ASCA comparisons." Comparison of "BASC Hyperactivity ASCA Attention Deficit Hyperactive"</t>
  </si>
  <si>
    <t>additional_studies40_c</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</si>
  <si>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</si>
  <si>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</si>
  <si>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 xml:space="preserve">Withdrawal/Avoidant </t>
  </si>
  <si>
    <t>Behavior Assessment System for Children-Teacher Rating Scales (BASC-3 TRS), Adjustment Scales for Children and Adolescents (ASCA), social detachment, emotional distancing, anxiety-driven avoidance</t>
  </si>
  <si>
    <t>BASC Withdrawal measures a child’s tendency to pull back from social interaction, show limited involvement in activities, and appear emotionally distant or introverted. ASCA Avoidant focuses on avoidance driven by fear or anxiety, such as fear of social judgment, criticism, or rejection.</t>
  </si>
  <si>
    <t>"Table 6 presents the descriptive statistics and t-test results for specific BASC-3 TRS-C
and ASCA comparisons." Comparison of "BASC Withdrawal ASCA Avoidant"</t>
  </si>
  <si>
    <t>additional_studies40_d</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</si>
  <si>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</si>
  <si>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</si>
  <si>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 xml:space="preserve">Conduct Problems /Delinquent </t>
  </si>
  <si>
    <t>Behavior Assessment System for Children-Teacher Rating Scales (BASC-3 TRS), Adjustment Scales for Children and Adolescents (ASCA), rule-breaking, norm violations, antisocial behavior</t>
  </si>
  <si>
    <t>BASC Conduct Problems identifies rule-breaking, oppositional, and potentially aggressive behaviors that violate expected social norms. ASCA Delinquent emphasizes more serious antisocial acts, potentially involving illegal activity or more severe violations of societal rules.</t>
  </si>
  <si>
    <t>"Table 6 presents the descriptive statistics and t-test results for specific BASC-3 TRS-C
and ASCA comparisons." Comparison of "BASC Conduct Problems ASCA Delinquent"</t>
  </si>
  <si>
    <t>additional_studies40_e</t>
  </si>
  <si>
    <t>Feedback for Daniel:
- one small typo when copying the Cohen's d from the table (.0185 instead of .0187)
- Claim and test statistics/effect sizes must be about the same thing. Convergent validity and mean difference is not the same thing, so you should have created twice the number of rows (each relationship once for convergent validity and once for mean differences)</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</si>
  <si>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</si>
  <si>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</si>
  <si>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Conduct Problems/Oppositional Defiant</t>
  </si>
  <si>
    <t>Behavior Assessment System for Children-Teacher Rating Scales (BASC-3 TRS), Adjustment Scales for Children and Adolescents (ASCA), disobedience, argumentative behavior, persistent defiance, noncompliance.</t>
  </si>
  <si>
    <t>BASC Conduct Problems is a broad measure of disruptive behaviors, which can include aggression, theft, and other norm-violating actions. ASCA Oppositional Defiant zeros in on persistent defiance, hostility, and argumentative behavior directed at authority figures, capturing the classic signs of Oppositional Defiant Disorder (ODD).</t>
  </si>
  <si>
    <t>"Table 6 presents the descriptive statistics and t-test results for specific BASC-3 TRS-C
and ASCA comparisons." Comparison of "BASC Conduct Problems ASCA Oppositional Defiant"</t>
  </si>
  <si>
    <t>additional_studies40_f</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</si>
  <si>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</si>
  <si>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</si>
  <si>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 xml:space="preserve">Aggression / Solitary Aggressive Provocative </t>
  </si>
  <si>
    <t>Behavior Assessment System for Children-Teacher Rating Scales (BASC-3 TRS), Adjustment Scales for Children and Adolescents (ASCA), hostility, provoked aggression, threatening behaviors.</t>
  </si>
  <si>
    <t>BASC Aggression measures harmful or hostile actions such as fighting, threatening others, or acting violently. ASCA Solitary Aggressive Provocative highlights aggressive behaviors that seem proactively harmful and unprovoked, often initiated independently rather than as a response to provocation.</t>
  </si>
  <si>
    <t>"Table 6 presents the descriptive statistics and t-test results for specific BASC-3 TRS-C
and ASCA comparisons." Comparison of "BASC Aggression ASCA Solitary Aggressive Provocative"</t>
  </si>
  <si>
    <t>additional_studies40_g</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</si>
  <si>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</si>
  <si>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</si>
  <si>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 xml:space="preserve">Aggression/  Solitary Aggressive Impulsive </t>
  </si>
  <si>
    <t>Behavior Assessment System for Children-Teacher Rating Scales (BASC-3 TRS), Adjustment Scales for Children and Adolescents (ASCA), anger outbursts, impulsivity-driven aggression, impulse control.</t>
  </si>
  <si>
    <t>BASC Aggression focuses on a range of hostile or violent behaviors. ASCA Solitary Aggressive Impulsive captures impulsive, spur-of-the-moment aggressive actions that occur in isolation, reflecting poor impulse control and sudden anger outbursts.</t>
  </si>
  <si>
    <t>"Table 6 presents the descriptive statistics and t-test results for specific BASC-3 TRS-C
and ASCA comparisons." Comparison of "BASC Aggression ASCA Solitary Aggressive Impulsive"</t>
  </si>
  <si>
    <t>additional_studies40_h</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</si>
  <si>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</si>
  <si>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</si>
  <si>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Externalizing/  Overactivity</t>
  </si>
  <si>
    <t>Behavior Assessment System for Children-Teacher Rating Scales (BASC-3 TRS), Adjustment Scales for Children and Adolescents (ASCA),  hyperactivity, restlessness, disruptive behavior.</t>
  </si>
  <si>
    <t>BASC Externalizing encompasses various outwardly directed problem behaviors, including aggression, hyperactivity, and oppositionality. ASCA Overactivity focuses on excessive energy, restlessness, and an inability to settle down, highlighting the high-energy aspects of externalizing behavior but not necessarily all forms of misconduct.</t>
  </si>
  <si>
    <t>"Table 6 presents the descriptive statistics and t-test results for specific BASC-3 TRS-C
and ASCA comparisons." Comparison of "BASC Externalizing ASCA Overactivity"</t>
  </si>
  <si>
    <t>additional_studies40_i</t>
  </si>
  <si>
    <r>
      <rPr>
        <rFont val="Calibri"/>
        <sz val="11.0"/>
      </rPr>
      <t xml:space="preserve">Burback, Shannon, "Construct Validity of the Behavior Assessment System for Children-Third
Edition Teacher Rating Scales (BASC-3 TRS): Comparisons with the Adjustment Scales
for Children and Adolescents (ASCA)" (2020). Masters Theses. 4783.
</t>
    </r>
    <r>
      <rPr>
        <rFont val="Calibri"/>
        <color rgb="FF1155CC"/>
        <sz val="11.0"/>
        <u/>
      </rPr>
      <t>https://thekeep.eiu.edu/theses/4783</t>
    </r>
  </si>
  <si>
    <r>
      <rPr>
        <rFont val="Calibri"/>
        <sz val="11.0"/>
      </rPr>
      <t xml:space="preserve">Katla, J. (2024). Replication of Construct Validity of the Behavior Assessment System for Children-Teacher Rating Scales (BASC-3 TRS) and the Adjustment Scales for Children and Adolescents (ASCA). </t>
    </r>
    <r>
      <rPr>
        <rFont val="Calibri"/>
        <color rgb="FF1155CC"/>
        <sz val="11.0"/>
        <u/>
      </rPr>
      <t>https://thekeep.eiu.edu/theses/5025?utm_source=thekeep.eiu.edu%2Ftheses%2F5025&amp;utm_medium=PDF&amp;utm_campaign=PDFCoverPages</t>
    </r>
  </si>
  <si>
    <t xml:space="preserve"> Internalizing / Underactivity</t>
  </si>
  <si>
    <t>Behavior Assessment System for Children-Teacher Rating Scales (BASC-3 TRS), Adjustment Scales for Children and Adolescents (ASCA), distress, anxiety, low engagement, reduced motivation.</t>
  </si>
  <si>
    <t>BASC Internalizing measures inwardly focused problems, such as anxiety, depression, somatic complaints, and social withdrawal due to emotional distress. ASCA Underactivity emphasizes low energy, low drive, and a lack of engagement in activities, reflecting a subdued behavior style rather than explicitly anxious or depressed mood states.</t>
  </si>
  <si>
    <t>"Table 6 presents the descriptive statistics and t-test results for specific BASC-3 TRS-C
and ASCA comparisons." Comparison of "BASC Internalizing ASCA Underactivity"</t>
  </si>
  <si>
    <t>additional_studies41_1</t>
  </si>
  <si>
    <t>additional_studies41</t>
  </si>
  <si>
    <t>the replication study extended the original claims to two Chinese contexts: Hong Kong and Shenzhen. This effect concerns the Hong Kong sample</t>
  </si>
  <si>
    <t>Preregistration link does not work; There are two results: Regression + Mediation Model. The coder focused on different things so all entries were retained</t>
  </si>
  <si>
    <r>
      <rPr>
        <rFont val="Calibri"/>
        <sz val="11.0"/>
      </rPr>
      <t xml:space="preserve">Van Ryzin, G. G. (2013). An experimental test of the expectancy‐disconfirmation theory of citizen satisfaction. Journal of Policy Analysis and Management, 32(3), 597-614. </t>
    </r>
    <r>
      <rPr>
        <rFont val="Calibri"/>
        <color rgb="FF1155CC"/>
        <sz val="11.0"/>
        <u/>
      </rPr>
      <t>https://doi.org/10.1002/pam.21702</t>
    </r>
  </si>
  <si>
    <t>10.1002/pam.21702</t>
  </si>
  <si>
    <t>Chen, W., Dong, B., Hsieh, C.-W., Lee, M. J., Liu, N., Walker, R. M., Wang, Y., Wen, B., Wen, W., Wu, P., Wu, X., &amp; Zhang, J. (2022). A replication of "an experimental test of the expectancy-disconfirmation theory of citizen satisfaction". Public Administration, 100(3), 778-791. https://doi.org/10.1111/padm.12860</t>
  </si>
  <si>
    <t>10.1111/padm.12860</t>
  </si>
  <si>
    <t>robust experimental
replications</t>
  </si>
  <si>
    <t>Management</t>
  </si>
  <si>
    <t>Expectancy-Disconfirmation Theory</t>
  </si>
  <si>
    <t>Expectancy-Disconfirmation Theory...public services...citizen satisfaction</t>
  </si>
  <si>
    <t>citizens judge public services not only on experienced service quality but also on an implicit comparison
of service quality with prior expectations.</t>
  </si>
  <si>
    <t>performance had a large and statistically significant main effect on satisfaction… b = 0.55, p &lt; .01</t>
  </si>
  <si>
    <t>https://aspredicted.org/~AhaPdyHcZf</t>
  </si>
  <si>
    <t>Van Ryzin, G. G. (2013). An experimental test of the expectancy‐disconfirmation theory of citizen satisfaction. Journal of Policy Analysis and Management, 32(3), 597-614. https://doi.org/10.1002/pam.21702</t>
  </si>
  <si>
    <t>"Replication"</t>
  </si>
  <si>
    <t>Expectancy-disconfirmation theory of citizen satisfaction</t>
  </si>
  <si>
    <t>Expectancy Disconfirmation Theory, Citizen Satisfaction, Public Administration, Experimental Research, Social Psychology, Satisfaction Theory, Expectations in Public Services, Disconfirmation, Citizen Perceptions, Government Performance, Public Opinion, Experimental Methodology</t>
  </si>
  <si>
    <t>Higher expectations produce more negative disconfirmation, all else being equal (Hong Kong sample)</t>
  </si>
  <si>
    <t>"Figure 6" "Overall, the empirical model in Figure 6 explains 26 percent of variance in satisfaction. More importantly, all of the core relationships were in the expected direction and were both substantively strong and highly significant statistically (p &lt; .001 for all path coefficients)."</t>
  </si>
  <si>
    <t>additional_studies41_b</t>
  </si>
  <si>
    <t>The expectations factor had only a very small negative main effect, which was not at all significant statistically… b = -0.01, p = n.s</t>
  </si>
  <si>
    <t>Higher performance leads to more positive disconfirmation, all else being equal (Hong Kong sample)</t>
  </si>
  <si>
    <t>additional_studies41_c</t>
  </si>
  <si>
    <r>
      <rPr>
        <rFont val="Calibri"/>
        <sz val="11.0"/>
      </rPr>
      <t xml:space="preserve">Van Ryzin, G. G. (2013). An experimental test of the expectancy‐disconfirmation theory of citizen satisfaction. Journal of Policy Analysis and Management, 32(3), 597-614. </t>
    </r>
    <r>
      <rPr>
        <rFont val="Calibri"/>
        <color rgb="FF1155CC"/>
        <sz val="11.0"/>
        <u/>
      </rPr>
      <t>https://doi.org/10.1002/pam.21702</t>
    </r>
  </si>
  <si>
    <t>The interaction effect was positive, meaning that high expectations seemed to amplify the effect of performance on satisfaction judgments… b = 0.08, p = n.s</t>
  </si>
  <si>
    <t>Positive disconfirmation (performance exceeding expectations) leads to higher satisfaction (Hong Kong sample)</t>
  </si>
  <si>
    <t>additional_studies41_d</t>
  </si>
  <si>
    <t>the replication study extended the original claims to two Chinese contexts: Hong Kong and Shenzhen. This effect concerns the Shenzhen sample.</t>
  </si>
  <si>
    <r>
      <rPr>
        <rFont val="Calibri"/>
        <sz val="11.0"/>
      </rPr>
      <t xml:space="preserve">Van Ryzin, G. G. (2013). An experimental test of the expectancy‐disconfirmation theory of citizen satisfaction. Journal of Policy Analysis and Management, 32(3), 597-614. </t>
    </r>
    <r>
      <rPr>
        <rFont val="Calibri"/>
        <color rgb="FF1155CC"/>
        <sz val="11.0"/>
        <u/>
      </rPr>
      <t>https://doi.org/10.1002/pam.21702</t>
    </r>
  </si>
  <si>
    <t>Performance directly and positively influences satisfaction, separate from its effect on disconfirmation. (Hong Kong sample)</t>
  </si>
  <si>
    <t>additional_studies41_e</t>
  </si>
  <si>
    <r>
      <rPr>
        <rFont val="Calibri"/>
        <sz val="11.0"/>
      </rPr>
      <t xml:space="preserve">Van Ryzin, G. G. (2013). An experimental test of the expectancy‐disconfirmation theory of citizen satisfaction. Journal of Policy Analysis and Management, 32(3), 597-614. </t>
    </r>
    <r>
      <rPr>
        <rFont val="Calibri"/>
        <color rgb="FF1155CC"/>
        <sz val="11.0"/>
        <u/>
      </rPr>
      <t>https://doi.org/10.1002/pam.21702</t>
    </r>
  </si>
  <si>
    <t>Expectations have a direct effect on satisfaction, separate from its effect on disformation (Hong Kong sample)</t>
  </si>
  <si>
    <t>additional_studies41_f</t>
  </si>
  <si>
    <r>
      <rPr>
        <rFont val="Calibri"/>
        <sz val="11.0"/>
      </rPr>
      <t xml:space="preserve">Van Ryzin, G. G. (2013). An experimental test of the expectancy‐disconfirmation theory of citizen satisfaction. Journal of Policy Analysis and Management, 32(3), 597-614. </t>
    </r>
    <r>
      <rPr>
        <rFont val="Calibri"/>
        <color rgb="FF1155CC"/>
        <sz val="11.0"/>
        <u/>
      </rPr>
      <t>https://doi.org/10.1002/pam.21702</t>
    </r>
  </si>
  <si>
    <t>Higher expectations produce more negative disconfirmation, all else being equal (Shenhzen sample)</t>
  </si>
  <si>
    <t>additional_studies41_g</t>
  </si>
  <si>
    <t>Higher performance leads to more positive disconfirmation, all else being equal. (Shenhzen sample)</t>
  </si>
  <si>
    <t>additional_studies41_h</t>
  </si>
  <si>
    <t>Positive disconfirmation (performance exceeding expectations) leads to higher satisfaction (Shenhzen sample)</t>
  </si>
  <si>
    <t>additional_studies41_i</t>
  </si>
  <si>
    <t>Performance directly and positively influences satisfaction, separate from its effect on disconfirmation. (Shenhzen sample)</t>
  </si>
  <si>
    <t>additional_studies41_j</t>
  </si>
  <si>
    <t>Expectations have a direct effect on satisfaction, separate from its effect on disformation (Shenhzen sample)</t>
  </si>
  <si>
    <t>additional_studies42_1</t>
  </si>
  <si>
    <t>additional_studies42</t>
  </si>
  <si>
    <t>Przepiórkowski, A., &amp; Woźniak, M. (2023, July). Conjunct Lengths in English, Dependency Length Minimization, and Dependency Structure of Coordination. In Proceedings of the 61st Annual Meeting of the Association for Computational Linguistics (Volume 1: Long Papers) (pp. 15494-15512). https://doi.org/10.18653/v1/2023.acl-long.864</t>
  </si>
  <si>
    <t>10.18653/v1/2023.acl-long.864</t>
  </si>
  <si>
    <t>10.18653--v1--2023.acl-long.864.pdf</t>
  </si>
  <si>
    <t>Przepiórkowski, A., Borysiak, M., &amp; Głowacki, A. (2024, May). An Argument for Symmetric Coordination from Dependency Length Minimization: A Replication Study. In Proceedings of the 2024 Joint International Conference on Computational Linguistics, Language Resources and Evaluation (LREC-COLING 2024) (pp. 1021-1033).</t>
  </si>
  <si>
    <t>2024.lrec-main.91</t>
  </si>
  <si>
    <r>
      <rPr>
        <rFont val="Calibri"/>
        <color rgb="FF1155CC"/>
        <sz val="11.0"/>
        <u/>
      </rPr>
      <t>https://aclanthology.org/2024.lrec-main.91</t>
    </r>
  </si>
  <si>
    <t>A Replication Study</t>
  </si>
  <si>
    <t>Coordination, Dependency Length Minimization, Syntax, Stanza, Universal Dependencies</t>
  </si>
  <si>
    <t>When the governor is on the left the relationship between the proportion of shorter length conjuncts are positively related to the absolute difference in words and characters</t>
  </si>
  <si>
    <t>Not reported - only a figure</t>
  </si>
  <si>
    <t>6506 total (not broken down by governor position/absense)</t>
  </si>
  <si>
    <t>This is a replication study that (apparently) reports the results of a logistic regression of six variables using the slope and corresponding p-values.  The replication study used a much larger dataset. HOWEVER, I DO NOT FULLY UNDERSTAND THE STRUCTURE OF THE RESULTS, THE REPORTING STRATEGY, AND THE MAIN CLAIMS. THEREFORE, I HESITATE TO ENTER THE DATA UNTIL I HAVE SUFFICIENT CLARITY.</t>
  </si>
  <si>
    <r>
      <rPr>
        <rFont val="Calibri"/>
        <sz val="11.0"/>
      </rPr>
      <t xml:space="preserve">Przepiórkowski, A., &amp; Woźniak, M. (2023, July). Conjunct Lengths in English, Dependency Length Minimization, and Dependency Structure of Coordination. In Proceedings of the 61st Annual Meeting of the Association for Computational Linguistics (Volume 1: Long Papers) (pp. 15494-15512). </t>
    </r>
    <r>
      <rPr>
        <rFont val="Calibri"/>
        <color rgb="FF1155CC"/>
        <sz val="11.0"/>
        <u/>
      </rPr>
      <t>https://doi.org/10.18653/v1/2023.acl-long.864</t>
    </r>
  </si>
  <si>
    <r>
      <rPr>
        <rFont val="Arial"/>
        <color rgb="FF1155CC"/>
        <u/>
      </rPr>
      <t>https://aclanthology.org/2024.lrec-main.91</t>
    </r>
  </si>
  <si>
    <t>additional_studies43_1</t>
  </si>
  <si>
    <t>additional_studies43</t>
  </si>
  <si>
    <t>At the moment, the replication document is not accessible. Sarah, made a request to a researcher.</t>
  </si>
  <si>
    <t>Shandler, R., Gross, M. L., &amp; Canetti, D. (2021). A fragile public preference for cyber strikes: Evidence from survey experiments in the United States, United Kingdom, and Israel. Contemporary Security Policy, 42(2), 135-162. https://doi.org/10.1080/13523260.2020.1868836</t>
  </si>
  <si>
    <t>10.1080/13523260.2020.1868836</t>
  </si>
  <si>
    <t>10.1080--13523260.2020.1868836.pdf</t>
  </si>
  <si>
    <t xml:space="preserve">Tyvoll, A. (2024). Proportionality in Public Support for Terrorism Retaliation: A Replication and Extension Study. </t>
  </si>
  <si>
    <t>https://keep-dev.lib.asu.edu/items/192630</t>
  </si>
  <si>
    <r>
      <rPr>
        <rFont val="Calibri"/>
        <sz val="11.0"/>
      </rPr>
      <t xml:space="preserve">Shandler, R., Gross, M. L., &amp; Canetti, D. (2021). A fragile public preference for cyber strikes: Evidence from survey experiments in the United States, United Kingdom, and Israel. Contemporary Security Policy, 42(2), 135-162. </t>
    </r>
    <r>
      <rPr>
        <rFont val="Calibri"/>
        <color rgb="FF1155CC"/>
        <sz val="11.0"/>
        <u/>
      </rPr>
      <t>https://doi.org/10.1080/13523260.2020.1868836</t>
    </r>
  </si>
  <si>
    <t>Tyvoll, A. (2024). Proportionality in Public Support for Terrorism Retaliation: A Replication and Extension Study.</t>
  </si>
  <si>
    <t>additional_studies43 _b</t>
  </si>
  <si>
    <t>Przepiórkowski, A., &amp; Woźniak, M. (2023, July). Conjunct Lengths in English, Dependency Length Minimization, and Dependency Structure of Coordination. In Proceedings of the 61st Annual Meeting of the Association for Computational Linguistics (Volume 1: Long Papers) (pp. 15494-15512). https://doi.org/10.18653/v1/2023.acl-long.865</t>
  </si>
  <si>
    <t>10.18653/v1/2023.acl-long.865</t>
  </si>
  <si>
    <r>
      <rPr>
        <rFont val="Calibri"/>
        <color rgb="FF1155CC"/>
        <sz val="11.0"/>
        <u/>
      </rPr>
      <t>https://aclanthology.org/2024.lrec-main.91</t>
    </r>
  </si>
  <si>
    <t>When the governor is absent the relationship between the proportion of shorter length conjuncts are positively related to the absolute difference in words and characters</t>
  </si>
  <si>
    <t>additional_studies43 _c</t>
  </si>
  <si>
    <t>Przepiórkowski, A., &amp; Woźniak, M. (2023, July). Conjunct Lengths in English, Dependency Length Minimization, and Dependency Structure of Coordination. In Proceedings of the 61st Annual Meeting of the Association for Computational Linguistics (Volume 1: Long Papers) (pp. 15494-15512). https://doi.org/10.18653/v1/2023.acl-long.866</t>
  </si>
  <si>
    <t>10.18653/v1/2023.acl-long.866</t>
  </si>
  <si>
    <r>
      <rPr>
        <rFont val="Calibri"/>
        <color rgb="FF1155CC"/>
        <sz val="11.0"/>
        <u/>
      </rPr>
      <t>https://aclanthology.org/2024.lrec-main.91</t>
    </r>
  </si>
  <si>
    <t>When the governor is on the right the relationship between the proportion of shorter length conjuncts are negatively related to the absolute difference in words and characters</t>
  </si>
  <si>
    <t>the slopes are very significantly negative (p &lt; 0.01), especially when length is measured in words (p ≪ 0.001).</t>
  </si>
  <si>
    <t>Unsure. Only a range between around 1000 and over 310,000 obs is reported on p1025, but not broken down in simple cells</t>
  </si>
  <si>
    <t>additional_studies44_1</t>
  </si>
  <si>
    <t>additional_studies44</t>
  </si>
  <si>
    <t>The replication study is a stage 1 registered report so no results yet, cannot find stage 2 anywhere so only coded the original study</t>
  </si>
  <si>
    <t>stage 1 registered report</t>
  </si>
  <si>
    <t>Hazen, R.A., Vasey, M.W., &amp; Schmidt, N.B. (2009). Attentional retraining: A randomized clinical trial for pathological worry. Journal of psychiatric research, 43(6), 627-633. https://doi.org/10.1016/j.jpsychires.2008.07.004</t>
  </si>
  <si>
    <t>10.1016/j.jpsychires.2008.07.004</t>
  </si>
  <si>
    <t>Pond, N., Meeten, F., Dr, Clarke, P., Notebaert, L., &amp; Scott, R. B. (2023, September 15). The Efficacy of Attentional Bias Modification for Anxiety: A Registered Replication. https://doi.org/10.31234/osf.io/cf4xz</t>
  </si>
  <si>
    <t>10.31234/osf.io/cf4xz</t>
  </si>
  <si>
    <t>"Direct replication"</t>
  </si>
  <si>
    <t>Attention bias</t>
  </si>
  <si>
    <t>Attention, Treatment, Randomized clinical trial, Anxiety, Worry, Generalized anxiety disorder, Attention bias, Cognitive bias modification, Attentional bias modification</t>
  </si>
  <si>
    <t>This effect investigates whether threat bias scores change over time across treatment conditions.</t>
  </si>
  <si>
    <t>"Results revealed significant effects for Time, F(1,15) = 16.49, p = .001, partial g2 = .52" "Consistent with predictions, participants in the ARTS condition showed a significant reduction in threat bias whereas those in the Sham-ARTS condition did not."</t>
  </si>
  <si>
    <t>PsyArXiv Preprints | The Efficacy of Attentional Bias Modification for Anxiety: A Registered Replication</t>
  </si>
  <si>
    <t xml:space="preserve">the replication study is at stage 1 registred report so no results are available </t>
  </si>
  <si>
    <r>
      <rPr>
        <rFont val="Calibri"/>
        <sz val="11.0"/>
      </rPr>
      <t xml:space="preserve">Pond, N., Meeten, F., Dr, Clarke, P., Notebaert, L., &amp; Scott, R. B. (2023, September 15). The Efficacy of Attentional Bias Modification for Anxiety: A Registered Replication. </t>
    </r>
    <r>
      <rPr>
        <rFont val="Calibri"/>
        <color rgb="FF1155CC"/>
        <sz val="11.0"/>
        <u/>
      </rPr>
      <t>https://doi.org/10.31234/osf.io/cf4xz</t>
    </r>
  </si>
  <si>
    <t>Registered Replication</t>
  </si>
  <si>
    <t>attentional bias</t>
  </si>
  <si>
    <t>Attention,Treatment, Randomized clinical trial, Anxiety, Worry</t>
  </si>
  <si>
    <t>the present study tested the efficacy of such attentional training in a sample of severe
worriers over an extended period of time using psychometrically validated measures of anxiety and depression.</t>
  </si>
  <si>
    <t>Effects of treatment on threat bias were tested through a repeated measures analysis of variance (ANOVA)…Results revealed significant effects for Time, F(1,15) = 16.49, p = .001, partial η² = .52</t>
  </si>
  <si>
    <t>https://osf.io/preprints/psyarxiv/cf4xz</t>
  </si>
  <si>
    <t>additional_studies44_b</t>
  </si>
  <si>
    <t>This effect explores whether the change in threat bias over time differs between the ARTS and Sham-ARTS groups.</t>
  </si>
  <si>
    <t>"Results revealed significant effects... for the Group X Time, interaction, F(1,15) = 6.64, p = .021, partial g2 = .31" "Consistent with predictions, participants in the ARTS condition showed a significant reduction in threat bias whereas those in the Sham-ARTS condition did not."</t>
  </si>
  <si>
    <t>Hazen, R.A., Vasey, M.W., &amp; Schmidt, N.B. (2009). Attentional retraining: A randomized clinical trial for pathological worry. Journal of psychiatric research, 43(6), 627-633. https://doi.org/10.1016/j.jpsychires.2008.07.005</t>
  </si>
  <si>
    <r>
      <rPr>
        <rFont val="Calibri"/>
        <sz val="11.0"/>
      </rPr>
      <t xml:space="preserve">Pond, N., Meeten, F., Dr, Clarke, P., Notebaert, L., &amp; Scott, R. B. (2023, September 15). The Efficacy of Attentional Bias Modification for Anxiety: A Registered Replication. </t>
    </r>
    <r>
      <rPr>
        <rFont val="Calibri"/>
        <color rgb="FF1155CC"/>
        <sz val="11.0"/>
        <u/>
      </rPr>
      <t>https://doi.org/10.31234/osf.io/cf4xz</t>
    </r>
  </si>
  <si>
    <t>Medicine (Psychiatry)</t>
  </si>
  <si>
    <t>Effects of treatment on threat bias were tested through a repeated measures analysis of variance (ANOVA)…Results revealed significant effects…for the Group X Time interaction, F(1,15) = 6.64, p = .021, partial η² = .31… participants in the ARTS condition showed a significant reduction in threat bias whereas those in the Sham-ARTS condition did not.</t>
  </si>
  <si>
    <t>additional_studies44_c</t>
  </si>
  <si>
    <t>This effect examines whether composite symptoms improve over time across treatment conditions.</t>
  </si>
  <si>
    <t>"Results revealed significant effects for Time, F(1,21) = 13.66, p= .001, partial g2 = .39" "Significantly greater improvement on such measures in the ARTS versus Sham-ARTS group would suggests that the emo- tional effects of attentional retraining extend to the subjective experience of anxiety and depression symptoms in the daily lives of generally anxious individuals. The results suggest that this may indeed be the case. Furthermore, the fact that these reports were made one week subsequent to the last training session sug- gests that the effects of attentional retraining on such symptoms endure well beyond the minutes immediately following training."</t>
  </si>
  <si>
    <t xml:space="preserve">in original study n was calculated based on df, the replication study is at stage 1 registred report so no results are available </t>
  </si>
  <si>
    <t>Hazen, R.A., Vasey, M.W., &amp; Schmidt, N.B. (2009). Attentional retraining: A randomized clinical trial for pathological worry. Journal of psychiatric research, 43(6), 627-633. https://doi.org/10.1016/j.jpsychires.2008.07.006</t>
  </si>
  <si>
    <r>
      <rPr>
        <rFont val="Calibri"/>
        <sz val="11.0"/>
      </rPr>
      <t xml:space="preserve">Pond, N., Meeten, F., Dr, Clarke, P., Notebaert, L., &amp; Scott, R. B. (2023, September 15). The Efficacy of Attentional Bias Modification for Anxiety: A Registered Replication. </t>
    </r>
    <r>
      <rPr>
        <rFont val="Calibri"/>
        <color rgb="FF1155CC"/>
        <sz val="11.0"/>
        <u/>
      </rPr>
      <t>https://doi.org/10.31234/osf.io/cf4xz</t>
    </r>
  </si>
  <si>
    <t>Effects of treatment on composite symptoms were tested through a repeated measures analysis of variance (ANOVA)… Results revealed significant effects for Time, F(1,21) = 13.66, p = .001, partial η² = .39</t>
  </si>
  <si>
    <t>additional_studies44_d</t>
  </si>
  <si>
    <t>This effect looks at whether the change in composite symptoms over time differs between the ARTS and Sham-ARTS groups.</t>
  </si>
  <si>
    <t>"Results revealed significant effects….for the Group X Time interaction, F(1,15) = 13.24, p = .002, partial g2 = .39" "Significantly greater improvement on such measures in the ARTS versus Sham-ARTS group would suggests that the emo- tional effects of attentional retraining extend to the subjective experience of anxiety and depression symptoms in the daily lives of generally anxious individuals. The results suggest that this may indeed be the case. Furthermore, the fact that these reports were made one week subsequent to the last training session sug- gests that the effects of attentional retraining on such symptoms endure well beyond the minutes immediately following training."</t>
  </si>
  <si>
    <t>Hazen, R.A., Vasey, M.W., &amp; Schmidt, N.B. (2009). Attentional retraining: A randomized clinical trial for pathological worry. Journal of psychiatric research, 43(6), 627-633. https://doi.org/10.1016/j.jpsychires.2008.07.007</t>
  </si>
  <si>
    <r>
      <rPr>
        <rFont val="Calibri"/>
        <sz val="11.0"/>
      </rPr>
      <t xml:space="preserve">Pond, N., Meeten, F., Dr, Clarke, P., Notebaert, L., &amp; Scott, R. B. (2023, September 15). The Efficacy of Attentional Bias Modification for Anxiety: A Registered Replication. </t>
    </r>
    <r>
      <rPr>
        <rFont val="Calibri"/>
        <color rgb="FF1155CC"/>
        <sz val="11.0"/>
        <u/>
      </rPr>
      <t>https://doi.org/10.31234/osf.io/cf4xz</t>
    </r>
  </si>
  <si>
    <t xml:space="preserve">Effects of treatment on composite symptoms were tested through a repeated measures analysis of variance (ANOVA)… Results revealed significant effects… d for the Group X Time interaction, F(1,15) = 13.24, p = .002, partial η² = .39… the emotional effects of attentional retraining extend to the subjective experience of anxiety and depression symptoms in the daily lives of generally anxious individuals. </t>
  </si>
  <si>
    <t>additional_studies44_e</t>
  </si>
  <si>
    <t>this is an extension hyp but no results are reported yet</t>
  </si>
  <si>
    <t>Hazen, R.A., Vasey, M.W., &amp; Schmidt, N.B. (2009). Attentional retraining: A randomized clinical trial for pathological worry. Journal of psychiatric research, 43(6), 627-633. https://doi.org/10.1016/j.jpsychires.2008.07.008</t>
  </si>
  <si>
    <r>
      <rPr>
        <rFont val="Calibri"/>
        <sz val="11.0"/>
      </rPr>
      <t xml:space="preserve">Pond, N., Meeten, F., Dr, Clarke, P., Notebaert, L., &amp; Scott, R. B. (2023, September 15). The Efficacy of Attentional Bias Modification for Anxiety: A Registered Replication. </t>
    </r>
    <r>
      <rPr>
        <rFont val="Calibri"/>
        <color rgb="FF1155CC"/>
        <sz val="11.0"/>
        <u/>
      </rPr>
      <t>https://doi.org/10.31234/osf.io/cf4xz</t>
    </r>
  </si>
  <si>
    <t>higher PC scores will lead to greater reductions in the CSI in the ARTS vs. the Sham Arts condition. This 
prediction is derived from the hypothesis that individuals with higher PC scores may 
(consciously or unconsciously) utilise PC to experience the expected change in 
symptomology, thus showing a greater response to demand characteristics...This will be assessed by examining the interaction between Condition 
(ARTS vs. Sham ARTS) and PC in a multiple regression predicting change in CSI. If 
the interaction term is greater than zero, this will indicate that PC is influencing the 
apparent efficacy of ABM. The difference from zero will be evaluated by applying a 
Bayes Factor to the interaction term.</t>
  </si>
  <si>
    <t>additional_studies45_1</t>
  </si>
  <si>
    <t>additional_studies45</t>
  </si>
  <si>
    <t>Email response from LR: I think the "replication" part is actually a reproduction because both reports use the same sources (Current Population Surveys, CPS). We will discuss if the "extension" part meets our inclusion criteria and get back to you if it does. Until then, please do not code this study.</t>
  </si>
  <si>
    <t>Not a replication</t>
  </si>
  <si>
    <t>Autor, D. H., Katz, L. F., &amp; Kearney, M. S. (2008). Trends in US wage inequality: Revising the revisionists. The Review of economics and statistics, 90(2), 300-323. https://doi.org/10.1162/rest.90.2.300</t>
  </si>
  <si>
    <t>10.1162/rest.90.2.300</t>
  </si>
  <si>
    <t>Stephenson, Corinne (2024). Trends in U.S. Wage Inequality: Revising the Revisionists. A Replication Study of Autor, Katz, and Kearney (2008). Journal of Comments and Replications in Economics, Vol.3 (2024-4). https://doi.org/10.18718/81781.34</t>
  </si>
  <si>
    <t>10.18718/81781.34</t>
  </si>
  <si>
    <t>Economics</t>
  </si>
  <si>
    <t>Thomas</t>
  </si>
  <si>
    <t>LR, Thomas Miller</t>
  </si>
  <si>
    <t>test statistic = log points; sample sizes not reported: both studies use CPS data</t>
  </si>
  <si>
    <t>replication/extension</t>
  </si>
  <si>
    <t>wage inequality</t>
  </si>
  <si>
    <t>Wage Structure, Inequality, Technological Change, Labor Market Institutions, Minimum Wage</t>
  </si>
  <si>
    <t>Panel A of table 4 shows that male 90/50 (upper-tail) residual wage inequality rose during both halves of the sample: by 4.4 log points from 1973 to 1989 and by 4.0 log points from 1989 to 2005. ... Male 50/10 residual inequal- ity rose by 5.7 log points between 1973 and 1989 and then fell by 1.3 log points between 1989 and 2005 (panel B of table 4). ... ... To summarize, the sharp growth in wage dispersion in the lower half of the wage distribution during the early to mid-1980s seems to have been an episodic event that has not reoccurred over the past fifteen years. By contrast, the steady growth of wage dispersion in the upper half of the wage distribution appears to represent a secular trend that has been ongoing for 25 years.</t>
  </si>
  <si>
    <t>p. 314</t>
  </si>
  <si>
    <t>p. 313-314</t>
  </si>
  <si>
    <t>p.17</t>
  </si>
  <si>
    <t>test statistic = log points</t>
  </si>
  <si>
    <t>additional_studies46_1</t>
  </si>
  <si>
    <t>additional_studies46</t>
  </si>
  <si>
    <t>Larsson, T., Callies, M., Hasselgård, H., Laso, N. J., Van Vuuren, S., Verdaguer, I., &amp; Paquot, M. (2020). Adverb placement in EFL academic writing: Going beyond syntactic transfer. International Journal of Corpus Linguistics, 25(2), 156-185. https://doi.org/10.1075/ijcl.19131.lar</t>
  </si>
  <si>
    <r>
      <rPr>
        <rFont val="Calibri"/>
        <color rgb="FF1155CC"/>
        <sz val="11.0"/>
        <u/>
      </rPr>
      <t>10.1075/ijcl.19131.lar</t>
    </r>
  </si>
  <si>
    <t>10.1075--ijcl.19131.lar.pdf</t>
  </si>
  <si>
    <t>Özkan Miller, V., &amp; Larsson, T. (2024). The effect of linguistic and extralinguistic features on EFL adverb placement: A partial replication study of Larsson et al.(2020). International Journal of Learner Corpus Research. https://doi.org/10.1075/ijlcr.00046.ozk</t>
  </si>
  <si>
    <t>10.1075/ijlcr.00046.ozk</t>
  </si>
  <si>
    <t>Study excluded</t>
  </si>
  <si>
    <t>https://doi.org/10.1075/ijcl.19131.lar</t>
  </si>
  <si>
    <r>
      <rPr>
        <rFont val="Calibri"/>
        <sz val="11.0"/>
      </rPr>
      <t xml:space="preserve">Özkan Miller, V., &amp; Larsson, T. (2024). The effect of linguistic and extralinguistic features on EFL adverb placement: A partial replication study of Larsson et al.(2020). International Journal of Learner Corpus Research. </t>
    </r>
    <r>
      <rPr>
        <rFont val="Calibri"/>
        <color rgb="FF1155CC"/>
        <sz val="11.0"/>
        <u/>
      </rPr>
      <t>https://doi.org/10.1075/ijlcr.00046.ozk</t>
    </r>
  </si>
  <si>
    <t>10.1075--ijlcr.00046.ozk.pdf</t>
  </si>
  <si>
    <t>A partial replication study of Larsson et al. (2020)</t>
  </si>
  <si>
    <t>In both research articles, the authors want to investigate which linguistic variables are most important for distinguishing between adverb positions in the written data. In both cases, they report running a Random Forest classifier using R. However, no quantitative results are reported. The authors show a plot with the results, which does not give a clear estimate and its uncertainty. Therefore, even if I consider this to be a replication, I judge that the lack of quantitative data hinders this replication analysis.</t>
  </si>
  <si>
    <t>additional_studies47_1</t>
  </si>
  <si>
    <t>additional_studies47</t>
  </si>
  <si>
    <t>Feedback for Roskana:
- please add pagenumbers into the respective variables (es_repr_o) even if it is the same as the claim page number
- coding is generally very good (not just for this entry)! thank you!
- additional studies 47_e: p value replication was repoted as .113 but was .133</t>
  </si>
  <si>
    <t>Wiseheart, M., Viswanathan, M., &amp; Bialystok, E. (2016). Flexibility in task switching by monolinguals and bilinguals. Bilingualism: Language and Cognition, 19(1), 141–146. https://doi.org/10.1017/S1366728914000273</t>
  </si>
  <si>
    <t>10.1017/S1366728914000273</t>
  </si>
  <si>
    <t>Ward, R., &amp; Awani, J. (2024). Bilingualism and flexibility in task switching: A close replication study. Studies in Second Language Acquisition, 1-17. https://doi.org/10.1017/S0272263124000378</t>
  </si>
  <si>
    <t>10.1017/S0272263124000378</t>
  </si>
  <si>
    <t>The transferability of language-switching skills to nonlinguistic task switching</t>
  </si>
  <si>
    <t>Bilingual advantage, bilingualism, executive control, executive functioning, task switching</t>
  </si>
  <si>
    <t>This effect examines how block type (switch vs. non-switch) affects reaction times (global switch cost condition)</t>
  </si>
  <si>
    <t>"There was a main effect of block type, with longer RTs for non- switch trials in the switch block, F(1,64) = 228.4, p &lt; .001, η2, p = .78"</t>
  </si>
  <si>
    <t>Feedback for Thomas:
- if an eta squared is available, please code it and not the test statistics</t>
  </si>
  <si>
    <t>bilingual advantage (task switching)</t>
  </si>
  <si>
    <t>task switching, bilingualism, executive function</t>
  </si>
  <si>
    <t>relationship between bilingualism and improved task-switching flexibility, via  reduced global switch costs (GSC)</t>
  </si>
  <si>
    <t>There was a main effect of block type, with longer RTs for non-switch trials in the switch block, F(1,64) = 228.4, p &lt; .001, η²p = .78... and an interaction between block type and language status, F(1,64) = 4.9, p = .03, η²p = .07, in which the difference between RT in switch and non-switch blocks was smaller for bilinguals, consistent with smaller GSC. ...  our study found
that young adult bilinguals displayed a GSC advantage, but no LSC advantage.</t>
  </si>
  <si>
    <t>F(1,76) = 125.97</t>
  </si>
  <si>
    <t>F(1, 76) =4.063,</t>
  </si>
  <si>
    <t>There was a main effect of switch status, with longer RTs for switch trials, F(1,64) = 53.2, p &lt; .001, η2p = .45</t>
  </si>
  <si>
    <t>F(1, 76) = 54.66</t>
  </si>
  <si>
    <t>additional_studies47_b</t>
  </si>
  <si>
    <t>This effect explores whether language status (bilingual vs. monolingual) has an impact on global switch costs (global switch cost condition)</t>
  </si>
  <si>
    <t>"No main effect of language status, F &lt; 1"</t>
  </si>
  <si>
    <t>additional_studies47_c</t>
  </si>
  <si>
    <t>This interaction effect investigates how block type (switch vs. non-switch) and language status interact to affect global switch costs (global switch cost condition)</t>
  </si>
  <si>
    <t>There was "An interaction between block type and language status, F(1, 64) = 4.9, p = .03, η²_p = .07, in which the difference between RT in switch and non-switch blocks was smaller for bilinguals, consistent with smaller GSC" "our study found that young adult bilinguals displayed a GSC advantage, but no LSC advantage."</t>
  </si>
  <si>
    <t>additional_studies47_d</t>
  </si>
  <si>
    <t>This effect examines the difference in reaction times between switch and non-switch trials within the switch block (local switch cost)</t>
  </si>
  <si>
    <t>"There was a main effect of switch status, with longer RTs for switch trials, F(1, 64) = 53.2, p &lt; .001, η²_p = .45"</t>
  </si>
  <si>
    <t>additional_studies47_e</t>
  </si>
  <si>
    <t>This effect tests whether language status (bilingual vs. monolingual) influences the local switch cost  (local switch cost condition)</t>
  </si>
  <si>
    <t>"Neither the language status main effect nor the interaction reached significance, Fs &lt; 1" "our study found that young adult bilinguals displayed a GSC advantage, but no LSC advantage."</t>
  </si>
  <si>
    <t>additional_studies47_f</t>
  </si>
  <si>
    <t>This interaction effect examines whether the relationship between switch status (switch vs. non-switch trials) and local switch costs is moderated by language status (local switch cost condition)</t>
  </si>
  <si>
    <t>additional_studies48_1</t>
  </si>
  <si>
    <t>additional_studies48</t>
  </si>
  <si>
    <t>psychometric study - unclear how to handle</t>
  </si>
  <si>
    <t>Wilfong, R. (. (2021). The mattering model: The foundational elements of mattering for K-12 educators (Order No. 28319407). Available from ProQuest Dissertations &amp; Theses Global. (2537966312). Retrieved from https://www.proquest.com/dissertations-theses/mattering-model-foundational-elements-k-12/docview/2537966312/se-2</t>
  </si>
  <si>
    <t>scholars.indianastate.eduetds--2136</t>
  </si>
  <si>
    <t>Thornton, K. B. (2024). PERCEPTIONS OF MATTERING AMONG GENERAL EDUCATION TEACHERS: REPLICATION, VALIDATION, AND EXTENSION OF THE FUNDAMENTAL ELEMENTS OF MATTERING SCALE FOR TEACHERS (FEMS-T).</t>
  </si>
  <si>
    <t>digitalcommons.memphis.edu--etd--3538</t>
  </si>
  <si>
    <t>https://digitalcommons.memphis.edu/etd/3538/</t>
  </si>
  <si>
    <t>mattering scale</t>
  </si>
  <si>
    <t>Mattering, K–12 education, teachers, meaning, teaching</t>
  </si>
  <si>
    <t xml:space="preserve">The original study and replication aim to identify the main factors implicated in mattering among teachers. They use confirmatory factor analysis (CFA) and identify that eight factors with 40 items derived from a questionnaire are the most relevant. Given that the studies provide a chi-square test with degrees of freedom and p-values I report this statistic. However, another relevant metric for the original and replication is the Comparative Fit Index (CFI). I report that for the original study, this value is 0.955, and for the replicate a CFI of 0.930. The authors indicate this is the best fit to data in both cases. </t>
  </si>
  <si>
    <t>Feedback for Daniel
- Choosing the chi square test for fit in the matter scale development paper was a good decision!</t>
  </si>
  <si>
    <r>
      <rPr>
        <rFont val="Calibri"/>
        <sz val="11.0"/>
      </rPr>
      <t xml:space="preserve">Wilfong, R. (. (2021). The mattering model: The foundational elements of mattering for K-12 educators (Order No. 28319407). Available from ProQuest Dissertations &amp; Theses Global. (2537966312). Retrieved from </t>
    </r>
    <r>
      <rPr>
        <rFont val="Calibri"/>
        <color rgb="FF1155CC"/>
        <sz val="11.0"/>
        <u/>
      </rPr>
      <t>https://www.proquest.com/dissertations-theses/mattering-model-foundational-elements-k-12/docview/2537966312/se-2</t>
    </r>
  </si>
  <si>
    <t>Foundational factors of Mattering</t>
  </si>
  <si>
    <t>Mattering, self-esteem, health, depression, marginalization, teachers, porpuse</t>
  </si>
  <si>
    <t>Mattering is the feeling that one’s actions are significant, and that one would be missed if
one were gone</t>
  </si>
  <si>
    <t>The final result identified eight factors with 40 total items. Table 12 shows the third and final rotated factor matrix, with the loading for each item. Factors six, seven, and eight are the least stable with only three items each. The researcher determined that the factor loading of these items was strong enough (0.833 to 0.618) for them to remain viable factors. Additionally, the scree plot (Figure 8) shows a bend at factor eight, which confirms that keeping eight factors is warranted.</t>
  </si>
  <si>
    <t>X2(712) = 1991.413</t>
  </si>
  <si>
    <t>p. 165</t>
  </si>
  <si>
    <t>X2(224) = 393.695</t>
  </si>
  <si>
    <t>p.27</t>
  </si>
  <si>
    <t>additional_studies49_1</t>
  </si>
  <si>
    <t>additional_studies49</t>
  </si>
  <si>
    <t>comapres target-like use (TLU) of beginners vs intermediates on 'ing' morpheme (not sure how to report this). Original not accessible so statistics are from replication's Table 4 (p. 31)</t>
  </si>
  <si>
    <t>Feedback for Nikolay
- values in _o variables should not come from the replication report but only the original study's report</t>
  </si>
  <si>
    <t>Lozano, C., &amp; Díaz-Negrillo, A. (2019). Using learner corpus methods in L2 acquisition research: The morpheme order studies revisited with Interlanguage Annotation. Revista Española de Lingüística Aplicada/Spanish Journal of Applied Linguistics, 32(1), 82-124. https://doi.org/10.1075/resla.17019.loz</t>
  </si>
  <si>
    <t>10.1075/resla.17019.loz</t>
  </si>
  <si>
    <t>10.1075--resla.17019.loz.pdf</t>
  </si>
  <si>
    <t>Kontkanen, J. (2024). Investigating the effect of proficiency level on the acquisition order of morphemes for L2 English learners: A replication of a corpus-based SLA study using Interlanguage Annotation.</t>
  </si>
  <si>
    <t>Kontkanen_Jaakko_thesis_2024</t>
  </si>
  <si>
    <t>https://helda.helsinki.fi/bitstreams/b16ebd43-f83b-42c9-9996-adf6735845c1/download</t>
  </si>
  <si>
    <t>grammar acquisition</t>
  </si>
  <si>
    <t>Second Language Acquisition, Learner Corpus Research, Interlanguage Annotation, COREFL, acquisition order, Morpheme Order Studies, UAM Corpus Tool</t>
  </si>
  <si>
    <t>The purpose of this study is to investigate the effect of proficiency level on the acquisition order of certain grammatical morphemes for L1 Spanish learners of L2 English</t>
  </si>
  <si>
    <t>The key findings from the studies have suggested that accuracy scores of the morphemes reflect a somewhat fixed order of morpheme acquisition for L2 English learners irrespective of L1 background, age, or learning environment.</t>
  </si>
  <si>
    <t>X2(1)=22.77</t>
  </si>
  <si>
    <t>df inferred based on context; Table 4 in replication</t>
  </si>
  <si>
    <t>unsure</t>
  </si>
  <si>
    <t>X2(1)=2.34</t>
  </si>
  <si>
    <t>df inferred based on context; Table 4</t>
  </si>
  <si>
    <t xml:space="preserve">This is an accurate replication study where 8 variables are replicated with the same metric (chi-squared and associated p-values). The replication adds additional results for "3rd sing".  As this evaluates independently different morphemes, I report several chi-square results. These results are reported directly given that no degrees of freedom were provided. </t>
  </si>
  <si>
    <t>Feedback for Daniel
- description should be matched for multiple rows per entry to specify what effect this is</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</si>
  <si>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</si>
  <si>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progressive (ing)</t>
  </si>
  <si>
    <t>Second Language Acquisition (SLA), Interlanguage Annotation, 
Morpheme Order Studies (MOS), Grammatical Morphemes, 
COREFL (Corpus of English as a Foreign Language)</t>
  </si>
  <si>
    <t>Progressive -ing. The annotation covers OCs of the progressive verb form in
main lexical verbs occurring in finite verb phrases. Present</t>
  </si>
  <si>
    <t>By conflating A1 and A2 together into ‘beginners’ and B1 and B2 into ‘intermediates’ (Figure 6B),7 beginners significantly differ from intermediates for each morpheme
(p &lt; 0.02 for all X2 contrasts),8 except for plural -s (TLU = 14/15 vs. 51/54, X2 = 0.027, p &gt; 0.05) and possessive -’s (TLU = 6/7 vs. 4/7, X2 = 1.400, p &gt; 0.05).</t>
  </si>
  <si>
    <t>p. 101, df inferred based on description</t>
  </si>
  <si>
    <t>additional_studies49_b</t>
  </si>
  <si>
    <t>comapres target-like use (TLU) of beginners vs intermediates on the plural morpheme (not sure how to report this). Original not accessible so statistics are from replication's Table 4 (p. 31)</t>
  </si>
  <si>
    <t>X2(1)=0.03</t>
  </si>
  <si>
    <t>X2(1)=1.72</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</si>
  <si>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</si>
  <si>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plural (plural)</t>
  </si>
  <si>
    <t>Plural -s. The annotation covers OCs of the regular plural number form in nouns, while irregular nominal plurals or plural number forms with other lexical categories (adjectives) were not annotated, as done in previous MOS.</t>
  </si>
  <si>
    <t>p.100</t>
  </si>
  <si>
    <t>additional_studies49_c</t>
  </si>
  <si>
    <t>comapres target-like use (TLU) of beginners vs intermediates on 'be'-cop morpheme (not sure how to report this). Original not accessible so statistics are from replication's Table 4 (p. 31)</t>
  </si>
  <si>
    <t>X2(1)=11.59</t>
  </si>
  <si>
    <t>X2(1)=1.96</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</si>
  <si>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</si>
  <si>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copula be (be-cop)</t>
  </si>
  <si>
    <t>Copula be. The annotation covers OCs of copula be in finite verb phrases, so imperatives and other non-finite forms were not annotated. Copulas in the
negative form were tagged because, unlike lexical verbs, the negator does not force the verb be to appear in the base form. This also holds for auxiliary be.</t>
  </si>
  <si>
    <t>By conflating A1 and A2 together into ‘beginners’ and B1 and B2 into ‘intermediates’ (Figure 6B),7 beginners significantly differ from intermediates for each morpheme
(p &lt; 0.02 for all X2 contrasts),8 except for plural -s (TLU = 14/15 vs. 51/54, X2 = 0.027, p &gt; 0.05) and possessive -’s (TLU = 6/7 vs. 4/7, X2 = 1.400, p &gt; 0.05).</t>
  </si>
  <si>
    <t>additional_studies49_d</t>
  </si>
  <si>
    <t>comapres target-like use (TLU) of beginners vs intermediates on 'be'-aux morpheme (not sure how to report this). Original not accessible so statistics are from replication's Table 4 (p. 31)</t>
  </si>
  <si>
    <t>X2(1)=24.44</t>
  </si>
  <si>
    <t>X2(1)=1.49</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</si>
  <si>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</si>
  <si>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auxiliary be (be-aux)</t>
  </si>
  <si>
    <t>Auxiliary be. The annotation covers OCs of auxiliary be, specifically in progressive and passive contexts.</t>
  </si>
  <si>
    <t>additional_studies49_e</t>
  </si>
  <si>
    <t>comapres target-like use (TLU) of beginners vs intermediates on article morphemes (not sure how to report this). Original not accessible so statistics are from replication's Table 4 (p. 31)</t>
  </si>
  <si>
    <t>X2(1)=23.46</t>
  </si>
  <si>
    <t>X2(1)=19.09</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</si>
  <si>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</si>
  <si>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article (article)</t>
  </si>
  <si>
    <t>Article. The annotation covers OCs of (in)definite articles (a(n)/the). Given
that the ‘zero article’ was disregarded in previous MOS, it was also disregarded here for comparative purposes. The non-suppliance of an article in an (in)definite OC was tagged as omission. Also, given that both definite and indefinite articles were analysed as a single morpheme in previous MOS, we analysed them similarly, even if we are aware that they are better analysed separately as they do not emerge simultaneously (cf. the discussion in Section 4.4). Selection of one article for the other was tagged as ‘mis-selection’. The forms a/an were understood as spelling variants, so selection of one when the other was expected was not tagged as NTLU. Importantly, determining the OC of the/a(n) is based on information-status distinctions deriving from discourse, i.e., on whether the entity has been previously mentioned in the discourse (i.e., discourse-old, topic) or not (i.e., discourse-new, focus), and therefore whether or not the referent is known to the reader. Articles were annotated independently of the appearance of characters in the picture story, which could give the sense of old information, but technically introduce discoursenew information when retelling the story to a reader. Therefore, ILA considers hearer/reader knowledge (and not speaker knowledge) to determine discourse-old/discourse-new distinctions (cf. Hawkins, 2001).</t>
  </si>
  <si>
    <t>additional_studies49_f</t>
  </si>
  <si>
    <t>comapres target-like use (TLU) of beginners vs intermediates on past-irregular morphemes (not sure how to report this). Original not accessible so statistics are from replication's Table 4 (p. 31)</t>
  </si>
  <si>
    <t>X2(1)=37.43</t>
  </si>
  <si>
    <t>X2(1)=0.4</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</si>
  <si>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</si>
  <si>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irregular past (past-irreg)</t>
  </si>
  <si>
    <t>Irregular past. The annotation covers OCs of the irregular past tense form of
lexical verbs only. Similarly to the rationale with irregular plural, cases of misformation (and also oversuppliance) are those where the learner applies the regular past -ed rule to a morphologically past-irregular verb.</t>
  </si>
  <si>
    <t>p.108</t>
  </si>
  <si>
    <t>additional_studies49_g</t>
  </si>
  <si>
    <t>comapres target-like use (TLU) of beginners vs intermediates on past-regular morphemes (not sure how to report this). Original not accessible so statistics are from replication's Table 4 (p. 31)</t>
  </si>
  <si>
    <t>X2(1)=42.12</t>
  </si>
  <si>
    <t>X2(1)=1.02</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</si>
  <si>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</si>
  <si>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regular past (past-reg)</t>
  </si>
  <si>
    <t>Regular past. The annotation covers OCs of the simple past tense -(e)d form
of regular lexical verbs.</t>
  </si>
  <si>
    <t>additional_studies49_h</t>
  </si>
  <si>
    <t>comapres target-like use (TLU) of beginners vs intermediates on possessive morpheme (not sure how to report this). Original not accessible so statistics are from replication's Table 4 (p. 31)</t>
  </si>
  <si>
    <t>X2(1)=1.4</t>
  </si>
  <si>
    <t>X2(1)=2.94</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</si>
  <si>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</si>
  <si>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possessive (poss)</t>
  </si>
  <si>
    <t>Possessive. The annotation covers OCs of the genitive structure [noun’s + NP]. Cases showing absence of the apostrophe have been marked as TLU, as we understand that the morpheme has been produced and the apostrophe represents a spelling issue.</t>
  </si>
  <si>
    <t>X2 =1.4</t>
  </si>
  <si>
    <t>p.101</t>
  </si>
  <si>
    <t>additional_studies49_i</t>
  </si>
  <si>
    <t>changed replicationt ype to conceptual because "3rd sing" was not part of original study</t>
  </si>
  <si>
    <r>
      <rPr>
        <rFont val="Calibri"/>
        <sz val="11.0"/>
      </rPr>
      <t xml:space="preserve">Lozano, C., &amp; Díaz-Negrillo, A. (2019). Using learner corpus methods in L2 acquisition research: The morpheme order studies revisited with Interlanguage Annotation. Revista Española de Lingüística Aplicada/Spanish Journal of Applied Linguistics, 32(1), 82-124. </t>
    </r>
    <r>
      <rPr>
        <rFont val="Calibri"/>
        <color rgb="FF1155CC"/>
        <sz val="11.0"/>
        <u/>
      </rPr>
      <t>https://doi.org/10.1075/resla.17019.loz</t>
    </r>
  </si>
  <si>
    <t>Proficiency use of 3rd person singular (3rd sing)</t>
  </si>
  <si>
    <t>3rd person singular. The annotation covers OCs of 3rd person singular -(e)s
forms of lexical verbs only.</t>
  </si>
  <si>
    <t>x²(1)=11.91</t>
  </si>
  <si>
    <t>additional_studies5_1</t>
  </si>
  <si>
    <t>additional_studies5</t>
  </si>
  <si>
    <t>this still needs coding</t>
  </si>
  <si>
    <t>Onwuegbuzie, A. J., Bailey, P., &amp; Daley, C. E. (2000). The validation of three scales measuring anxiety at different stages of the foreign language learning process: The input anxiety scale, the processing anxiety scale, and the output anxiety scale. Language learning, 50(1), 87-117. https://doi.org/10.1111/0023-8333.00112</t>
  </si>
  <si>
    <t>10.1111/0023-8333.00112</t>
  </si>
  <si>
    <t>Piniel, K. (2024). The Input, Process, and Output Anxiety Scales: An Approximate Replication Study. In: Investigating Foreign Language Anxiety. Second Language Learning and Teaching. Springer, Cham. https://doi.org/10.1007/978-3-031-55844-3_4</t>
  </si>
  <si>
    <t>10.1007/978-3-031-55844-3_4</t>
  </si>
  <si>
    <t>Title - "An Approximate Replication Study"
Abstract - "... conducting an approximate replication of Onwuegbuzie et al. in Language Learning, 50(1):87–117, 2000."</t>
  </si>
  <si>
    <t>foreign langauage learning anxiety</t>
  </si>
  <si>
    <t>language learning, anxiety, validation, scale</t>
  </si>
  <si>
    <t>Input, Process, and Output Anxiety Scales</t>
  </si>
  <si>
    <t>additional_studies5_a</t>
  </si>
  <si>
    <t>Claim text_r The regression analysis using the step-wise method showed that the input, processing, and output anxieties in combination contributed significantly to the general feeling of foreign language classroom anxiety (R2 adj = 0.62; F3,129 = 73.90, p &lt; 0.01). Beta coefficients for the three predictors were the following: for input anxiety, β = 0.18, t = 2.42, p &lt; 0.05;  The addition of each of these independent variables to the regression equation significantly improved prediction: for input anxiety, R2 change = 0.39, F change1, 131 = 82.18, p &lt; 0.01; These results suggest that anxiety experienced at the processing stage has a more significant effect on general language anxiety than anxiety experienced at the output stage of language learning, which is also consistent with Onwuegbuzie et al.’s (2000) findings. [...] p 63.</t>
  </si>
  <si>
    <t>Input</t>
  </si>
  <si>
    <t>Input Anxiety Scales</t>
  </si>
  <si>
    <t>The regression analysis revealed that all three scales contributed significantly to the prediction of global foreign language anxiety, F(3, 254) = 191.15, p &lt; .0001. These three scales together explained 69.4% of the variance in global anxiety (adjusted R? = 68.9%), suggesting a very large effect size (Cohen, 1988). The IAS (standardized beta coefficient = 0.18) made the biggest con- tribution, explaining 40.8% of the variance in global foreign language anxiety.</t>
  </si>
  <si>
    <t>additional_studies5_b</t>
  </si>
  <si>
    <t>Claim text_r The regression analysis using the step-wise method showed that the input, processing, and output anxieties in combination contributed significantly to the general feeling of foreign language classroom anxiety (R2 adj = 0.62; F3,129 = 73.90, p &lt; 0.01). Beta coefficients for the three predictors were the following:  for process anxiety, β = 0.43, t = 5.32, p &lt; 0.01; The addition of each of these independent variables to the regression equation significantly improved prediction: ffor process anxiety, R2 change = 0.19, F change 2, 130 = 59.85, p &lt; 0.01; These results suggest that anxiety experienced at the processing stage has a more significant effect on general language anxiety than anxiety experienced at the output stage of language learning, which is also consistent with Onwuegbuzie et al.’s (2000) findings. [...] p 63.</t>
  </si>
  <si>
    <t>Process</t>
  </si>
  <si>
    <t>Process Anxiety Scales</t>
  </si>
  <si>
    <t>The regression analysis revealed that all three scales contributed significantly to the prediction of global foreign language anxiety, F(3, 254) = 191.15, p &lt; .0001. These three scales together explained 69.4% of the variance in global anxiety (adjusted R? = 68.9%), suggesting a very large effect size (Cohen, 1988). The IAS (standardized beta coefficient = 0.18) made the biggest con- tribution, explaining 40.8% of the variance in global foreign language anxiety. With the inclusion of the IAS in the model, the PAS (standardized beta coefficient = 0.45) explained an additional 23.6% of the variance. The OAS (standardized beta coefficient = 0.32) accounted for a further 4.9% of the variance.</t>
  </si>
  <si>
    <t>additional_studies5_c</t>
  </si>
  <si>
    <t>Claim text_r The regression analysis using the step-wise method showed that the input, processing, and output anxieties in combination contributed significantly to the general feeling of foreign language classroom anxiety (R2 adj = 0.62; F3,129 = 73.90, p &lt; 0.01). Beta coefficients for the three predictors were the following: for output anxiety, β = 0.31, t = 4.31, p &lt; 0.01. The addition of each of these independent variables to the regression equation significantly improved prediction: for output anxiety, R2 change = 0.05, F change3, 129 = 18.56, p &lt; 0.01. These results suggest that anxiety experienced at the processing stage has a more significant effect on general language anxiety than anxiety experienced at the output stage of language learning, which is also consistent with Onwuegbuzie et al.’s (2000) findings. [...] p 63.</t>
  </si>
  <si>
    <t>Output</t>
  </si>
  <si>
    <t>Output Anxiety Scales</t>
  </si>
  <si>
    <t>The regression analysis revealed that all three scales contributed significantly to the prediction of global foreign language anxiety, F(3, 254) = 191.15, p &lt; .0001. These three scales together explained 69.4% of the variance in global anxiety (adjusted R? = 68.9%), suggesting a very large effect size (Cohen, 1988). The OAS (standardized beta coefficient = 0.32) accounted for a further 4.9% of the variance.</t>
  </si>
  <si>
    <t>additional_studies50_1</t>
  </si>
  <si>
    <t>additional_studies50</t>
  </si>
  <si>
    <t>network analysis - unclear how to handle</t>
  </si>
  <si>
    <t>Tamm., G., Koster, E. H. W, &amp; Hoorelbeke, K. (2024). Multiple paths to rumination within a
network analytical framework. Scientific Reports, 14(1), 10874.
 http://dx.doi.org/10.1038/s41598-024-61469-6</t>
  </si>
  <si>
    <t>10.1038/s41598-024-61469-6</t>
  </si>
  <si>
    <t>10.1038--s41598-024-61469-6.pdf</t>
  </si>
  <si>
    <t>Tamm, G., Koster, E. H., &amp; Hoorelbeke, K. Evaluating Theories of Repetitive Negative Thinking: Replication and Extension. http://dx.doi.org/10.31234/osf.io/kpcwv</t>
  </si>
  <si>
    <t>10.31234/osf.io/kpcwv</t>
  </si>
  <si>
    <t>Psychopathology</t>
  </si>
  <si>
    <t>effect of rumination in psychopathology</t>
  </si>
  <si>
    <t>Rumination; Worry; Depression; Anxiety; Network analysis; Bayesian networks; Replication</t>
  </si>
  <si>
    <t>validated - FReD but not COS</t>
  </si>
  <si>
    <t>This article does not perform hypothesis testing, comparisons, or report effect sizes but takes a network analytical
framework approach. Therefore, the results are shown as the centrality measurements of a Gaussian Graphical Model. I report the mean value for rumination (RRS) as the main claim for the research article in the es_value and es_type columns. These values contain also SD but I do not see a place in the template to place those.</t>
  </si>
  <si>
    <r>
      <rPr>
        <rFont val="Calibri"/>
        <sz val="11.0"/>
      </rPr>
      <t xml:space="preserve">Tamm., G., Koster, E. H. W, &amp; Hoorelbeke, K. (2024). Multiple paths to rumination within a
network analytical framework. Scientific Reports, 14(1), 10874.
 </t>
    </r>
    <r>
      <rPr>
        <rFont val="Calibri"/>
        <color rgb="FF1155CC"/>
        <sz val="11.0"/>
        <u/>
      </rPr>
      <t>http://dx.doi.org/10.1038/s41598-024-61469-6</t>
    </r>
  </si>
  <si>
    <t>Replication and Extension</t>
  </si>
  <si>
    <t>Rumination</t>
  </si>
  <si>
    <t>rumination, repetitive, negative thinking, metacognitive frameworks, self-regulation</t>
  </si>
  <si>
    <t>Rumination is a form of repetitive negative thinking with a focus on negative past experiences and feelings.</t>
  </si>
  <si>
    <t>There are  multiple paths to rumination. Major theories of rumination that put different emphasis on metacognitive and self-regulatory aspects of rumination complement each other.</t>
  </si>
  <si>
    <t>Strength of centrality of the nodes</t>
  </si>
  <si>
    <t>p.13</t>
  </si>
  <si>
    <t>https://osf.io/8t9qj</t>
  </si>
  <si>
    <t>additional_studies51_1</t>
  </si>
  <si>
    <t>additional_studies51</t>
  </si>
  <si>
    <t>model fitting analysis - recording of WAIC scores seems likely though that's not among the options</t>
  </si>
  <si>
    <t>Sastre, L. V., Defina, R., Garrett, P. M., Zacks, J. M., &amp; Dennis, S. (2024). Most daily events have no characteristic duration. Under review</t>
  </si>
  <si>
    <t>https://escholarship.org/uc/item/0qf9t9pc</t>
  </si>
  <si>
    <t>escholarship.org--uc--item--0qf9t9pc.pdf</t>
  </si>
  <si>
    <t>Sastre Gomez, V., Defina, R., Garrett, P. M., Zacks, J. M., &amp; Dennis, S. (2024). Event Distribution in Daily Life: A Replication Study. In Proceedings of the Annual Meeting of the Cognitive Science Society (Vol. 46).</t>
  </si>
  <si>
    <t>qt8p5673qn</t>
  </si>
  <si>
    <t>https://escholarship.org/uc/item/8p5673qn</t>
  </si>
  <si>
    <t>escholarship.org--uc--item--8p5673qn.pdf</t>
  </si>
  <si>
    <t xml:space="preserve">I do not consider this to be a direct replication study because the authors used a different method to overcome a methodological/conceptual limitation of the original study. Even if the phenomenon being studied is the same, the introduction of a method to measure the duration of events significantly alters the experimental approach. It is not a replication study, but a reformulation of the original study using a different methodological approach. The authors state: "Our primary aim was to address the identified methodological limitation observed in Sastre et al.'s (under review) research, where participants reported the start times for events, and the end time was deduced as the moment they initiated the survey. However, concerns arose about the precision of calculations for daily event durations due to reliance on participants' time inputs. To overcome this limitation, our study conducted a replication of Sastre et al.'s (under review), employing nightly segmentation methods with time-stamped pictures inspired by a previous study". </t>
  </si>
  <si>
    <t>additional_studies52_1</t>
  </si>
  <si>
    <t>additional_studies52</t>
  </si>
  <si>
    <t>replication in history - there are barely any numbers; maybe an exclusion, but not sure as there are non-social-science options in the "discipline" column</t>
  </si>
  <si>
    <t>Brooke, J. H. (1991). Science and religion: Some historical perspectives. Cambridge University Press.</t>
  </si>
  <si>
    <t>Brooke, J. H. (1991). Science and religion-Some historical perspectives.pdf</t>
  </si>
  <si>
    <t>van den Brink, G., van Eyghen, H., &amp; Peels, R. (2024). Brooke on the Merton-thesis: A Direct Replication of John Hedley Brooke's Chapter on Scientific and Religious Reform. Zygon: Journal of Religion and Science, 59.</t>
  </si>
  <si>
    <t>10.16995/zygon.11497</t>
  </si>
  <si>
    <t>10.16995--zygon.11497.pdf</t>
  </si>
  <si>
    <t>A Direct Replication of John Hedley Brooke's Chapter on Scientific and Religious Reform</t>
  </si>
  <si>
    <t>This study and replication does not constitute a quantitative measurement of phenomena but a textual analysis where no quantitative data or effect sizes are available for meta-analysis purposes.</t>
  </si>
  <si>
    <t>Political Psychology</t>
  </si>
  <si>
    <t>additional_studies53_1</t>
  </si>
  <si>
    <t>additional_studies53</t>
  </si>
  <si>
    <t>van den Brink, G., Pear, R., &amp; Peels, R. (2024). Jewish Responses to Copernican Thought: A Conceptual Replication of John Hedley Brooke's Chapter on Scientific and Religious Reform. Zygon: Journal of Religion and Science, 59.</t>
  </si>
  <si>
    <t>No statistical data provided</t>
  </si>
  <si>
    <t>Conceptual replication</t>
  </si>
  <si>
    <t>John Hedley Brooke, Reform, Conceptual replication, Judaism, Science</t>
  </si>
  <si>
    <t>Jewish responses to Copernican thought provide evidence that social and cultural factors, in combination with theological considerations, shape the reception of scientific reform.</t>
  </si>
  <si>
    <t>One of the author’s key conclusions is that the relationship between science and religion is dynamic, diverse, and highly dependent on historical and cultural contexts, challenging simplified narratives of inherent conflict or complete separation between these spheres.</t>
  </si>
  <si>
    <t>60–85</t>
  </si>
  <si>
    <t>https://osf.io/j8n59</t>
  </si>
  <si>
    <t>Raul</t>
  </si>
  <si>
    <t>additional_studies54_1</t>
  </si>
  <si>
    <t>additional_studies54</t>
  </si>
  <si>
    <t>LR, RS</t>
  </si>
  <si>
    <t>Duplicate entry? Both original and replication are the same as above</t>
  </si>
  <si>
    <t>see entry resciencex_01_1</t>
  </si>
  <si>
    <t>Croninger, R.G., Rice, J.K., Rathbun, A., &amp; Nishio, M.(2007).Teacher qualifications and early learning: Effects of certification, degree, and experience on first-grade student achievement.Economics of Education Review, 26(3), 312–324. http://doi.org/10.1016/j.econedurev.2005.05.008</t>
  </si>
  <si>
    <t>10.1016/j.econedurev.2005.05.008</t>
  </si>
  <si>
    <t>Renbarger, R., Sulak, T., &amp; Morgan, G. (2022). The Importance of Teacher Credentials for Early Achievement: A Replication of Croninger et al. (2007) Econ. Edu. Rev. ReScience X, 1(1). Retrieved from http://rescience.org/x/article/view/8</t>
  </si>
  <si>
    <t>10.5281/zenodo.6426882</t>
  </si>
  <si>
    <t>http://rescience.org/x/article/view/8</t>
  </si>
  <si>
    <t>LR,  Corinna Gemmecke</t>
  </si>
  <si>
    <t>It is the same original and replication study as ID resciencex_01_1</t>
  </si>
  <si>
    <t>additional_studies55_1</t>
  </si>
  <si>
    <t>additional_studies55</t>
  </si>
  <si>
    <t>This is a conceptual replication which explores the variables through different study designs and through mediators unlike the original , see further notes under exclusion. I struggled being able to work out where the results can be matched due to use of different variables and design. UPDATE 15/12- Before submitting, I planned to look through this example again to ensure I am not wrongly excluding this pair. Whilst going through the replication paper, specifically 'Table 1' on page 5, I noticed that the main finding in bold is to a different paper than linked here as the 'original' which explains the dis-match in designs and variables. They both include the same authors but the one that correlates with the 'replication' referenced in this row is not the one attached to this document as the 'original'. I believe the correct paper that should be linked as the original in this row is referenced as follows: Fuchs, C., Prandelli, E., &amp; Schreier, M. (2010). The psychological effects of empowerment strategies on consumers’ product demand. Journal of marketing, 74(1), 65-79.</t>
  </si>
  <si>
    <t>The other coder did not seem to have difficulties and reported test statistics. I do not have access and the PDF-Link does not work. sarahashjones@gmail.com can you please check whether the 2010 or 2011 article is the target? You can send both articles to me and I will check whether the stats that Thomas entered are alright. I could not find many of the numbers and "7" + "test statistic" is not very helpful for us.</t>
  </si>
  <si>
    <t>Fuchs, C., &amp; Schreier, M. (2011). Customer empowerment in new product development. Journal of product innovation management, 28(1), 17-32. https://doi.org/10.1111/j.1540-5885.2010.00778.x</t>
  </si>
  <si>
    <t>10.1111/j.1540-5885.2010.00778.x</t>
  </si>
  <si>
    <r>
      <rPr>
        <rFont val="Calibri"/>
        <sz val="11.0"/>
      </rPr>
      <t xml:space="preserve">Bachouche, H., Hamdi-Kidar, L., &amp; Sabri, O. (2024). Empowerment strategies and their effects in digital contexts: corroboration, replication, and extension. International Journal of Advertising, 1-32. </t>
    </r>
    <r>
      <rPr>
        <rFont val="Calibri"/>
        <color rgb="FF1155CC"/>
        <sz val="11.0"/>
        <u/>
      </rPr>
      <t>https://doi.org/10.1080/02650487.2024.2362015</t>
    </r>
  </si>
  <si>
    <t>10.1080/02650487.2024.2362015</t>
  </si>
  <si>
    <t>"Corrobation, replication and extension"</t>
  </si>
  <si>
    <t xml:space="preserve">The replication study uses different outcome variables (o: customer orientation, r: psychological ownership) and also uses a different study design specifically mediators which the original does not </t>
  </si>
  <si>
    <t>Marketing</t>
  </si>
  <si>
    <t>Customer Empowerment</t>
  </si>
  <si>
    <t>Empowerment strategies, psychological ownership, corporate attitude</t>
  </si>
  <si>
    <t>O study does not report effect sizes nor meaningful test statistics for the specific forms of empowerment, and replication only reports specific types of empowerment, not "full" empowerment. For the interaction with purchase intention and WOM, only chi-square residuals and the O/E ratio are reported. The residual has been recorded as the test statistic.</t>
  </si>
  <si>
    <t>Bachouche, H., Hamdi-Kidar, L., &amp; Sabri, O. (2024). Empowerment strategies and their effects in digital contexts: corroboration, replication, and extension. International Journal of Advertising, 1-32. https://doi.org/10.1080/02650487.2024.2362015</t>
  </si>
  <si>
    <t>conceptual replication / extension</t>
  </si>
  <si>
    <t>customer empowerment</t>
  </si>
  <si>
    <t>empowerment strategies, customer perception, New Product Development (NPD), consumer empowerment</t>
  </si>
  <si>
    <t>Customer empowerment -to-select leads to higher purchase intention (t-shirts)</t>
  </si>
  <si>
    <t>When contrasting the different empowerment scenarios, patterns similar to those identified in corporate attitudes are found. First, full empowerment tends to receive the highest observed frequencies for furniture and bicycles (for T-shirts, full empowerment appears to be comparable to empowerment to select).</t>
  </si>
  <si>
    <t>Feedback for Thomas: 
I could not find most of the numbers on this page. Can you please send a screenshot for what you are referring to as "test statistics"?</t>
  </si>
  <si>
    <t>Customer empowerment -to-select leads to higher purchase intention (furniture)</t>
  </si>
  <si>
    <t>Customer empowerment -to-select leads to higher purchase intention (bicycles)</t>
  </si>
  <si>
    <t>Customer empowerment-to-select leads to higher WOM (t-shirts)</t>
  </si>
  <si>
    <t>Customer empowerment-to-select leads to higher WOM (furniture)</t>
  </si>
  <si>
    <t>Customer empowerment-to-select leads to higher WOM (bicycles)</t>
  </si>
  <si>
    <t>O study does not report effect sizes nor meaningful test statistics for the specific forms of empowerment. For their interaction with corporate (brand) attitudes, means and SD are reported, but these are not recorded in the test statistic due to the one-value restriction. Note, the study is within-subjects, and thus Cohen's dz must be calculated (Md/SDd), rather than d.</t>
  </si>
  <si>
    <t>Customer empowerment-to-select leads to higher brand attitude (t-shirts)</t>
  </si>
  <si>
    <t>In support of H2a and H2b, respectively, it is first found (using repeated measures ANOVAs) that the ‘‘empowerment to create’’ scenario (mean = 4.49) as well as the ‘‘empowerment to select’’ scenario (mean = 4.57) produced significantly stronger corporate attitudes in the case of T-shirts than the zero-empowerment scenario (mean = 4.20; p&lt;.10 and .05, respectively).</t>
  </si>
  <si>
    <t>Customer empowerment-to-select leads to higher brand attitude (furniture)</t>
  </si>
  <si>
    <t>In a similar vein, the ‘‘empowerment to cocreate’’ (mean =4.76), ‘‘empowerment to select’’ (mean = 4.76), as well as the full-empowerment scenario (mean = 5.18) are clearly superior in terms of corporate attitudes compared with the zero-empowerment scenario in the case of furniture (mean = 4.00; p &lt; .001)</t>
  </si>
  <si>
    <t>Customer empowerment-to-select leads to higher brand attitude (bicycles)</t>
  </si>
  <si>
    <t>Third, the same patterns are found for bicycles: ‘‘cocreate’’ (mean = 4.67), ‘‘select’’ (mean = 4.90), and full-empowerment (mean = 5.09) companies are associated with significantly higher corporate attitudes than zero-empowerment firms (mean 5 3.69; p &lt; .001)</t>
  </si>
  <si>
    <t>Customer empowerment -to-create leads to higher purchase intention (t-shirts)</t>
  </si>
  <si>
    <t>Customer empowerment -to-create leads to higher purchase intention (furniture)</t>
  </si>
  <si>
    <t>Customer empowerment-to-create leads to higher WOM (t-shirts)</t>
  </si>
  <si>
    <t>Customer empowerment-to-create leads to higher WOM (furniture)</t>
  </si>
  <si>
    <t>Customer empowerment-to-create leads to higher WOM (bicycles)</t>
  </si>
  <si>
    <t>Customer empowerment-to-create leads to higher brand attitude (t-shirts)</t>
  </si>
  <si>
    <t>Customer empowerment-to-create leads to higher brand attitude (furniture)</t>
  </si>
  <si>
    <t>Customer empowerment-to-create leads to higher brand attitude (bicycles)</t>
  </si>
  <si>
    <t>additional_studies56_1</t>
  </si>
  <si>
    <t>additional_studies56</t>
  </si>
  <si>
    <t>The original study does not differentiate between grasp or push movements like the replicated one, suggesting they have pooled the data across different movement types rather than examining them separately.</t>
  </si>
  <si>
    <t>- Changed replication type to internal because conceptual requires that none of the original authors was present.
Feedback for Roksana
- If there is no preregistration, please type "NA" into the variable.
- Please fill out all mandatory variables, for example you forgot to note the page for the replication finding (Ws &gt; 152).
- Please familiarize yourself with the replication types. You coded it as conceptual when the researchers were the same people.</t>
  </si>
  <si>
    <t xml:space="preserve">Schroeder, P. A., Lohmann, J., Butz, M. V., &amp; Plewnia, C. (2016). Behavioral bias for food reflected in hand movements: a preliminary study with healthy subjects. Cyberpsychology, Behavior, and Social Networking, 19(2), 120-126. https://doi.org/10.1089/cyber.2015.0311. </t>
  </si>
  <si>
    <t>10.1089/cyber.2015.0311</t>
  </si>
  <si>
    <t>Schroeder, P. A., Collantoni, E., Lohmann, J., Butz, M. V., &amp; Plewnia, C. (2024). Virtual Reality Assessment of a High-Calorie Food Bias: Replication and Food-Specificity in Healthy Participants. Behavioural Brain Research, 115096. https://doi.org/10.1016/j.bbr.2024.115096</t>
  </si>
  <si>
    <t>10.1016/j.bbr.2024.115096</t>
  </si>
  <si>
    <t>Behavioural bias for food</t>
  </si>
  <si>
    <t>Approach bias, Behavioural bias for food, Virtual reality, VR, Motion-tracking</t>
  </si>
  <si>
    <t>The effect examines whether food objects elicit faster movement initiation compared to non-food objects (replicated condition: grasp)</t>
  </si>
  <si>
    <t>"There was a significant Objectball,food main effect, F(1, 19) = 4.32, p = 0.05, np2 = 0.19, reflecting earlier movement initiations toward Food objects (M = 1,361 milliseconds, SE = 112 milliseconds) compared to Ball objects (M = 1,417 milliseconds, SE = 121 milliseconds)." "Complementing previous findings, food objects were grasped and collected significantly faster than nonfood objects. This result replicates an attentional bias for food in movement-onset times and additionally demonstrates that biased attentional processes can effectively channel the execution of actions."</t>
  </si>
  <si>
    <t>W &gt; 152</t>
  </si>
  <si>
    <t>Feedback for Roksana
- If there is no preregistration, please type "NA" into the variable.
- Please fill out all mandatory variables, for example you forgot to note the page for the replication finding (Ws &gt; 152).
- Please familiarize yourself with the replication types. You coded it as conceptual when the researchers were the same people.</t>
  </si>
  <si>
    <t>Feedback for Thomas
- Please always fill out the claim variable. Please review the instructions to see which variables are optional.
- You noted Ws = 152 when it was actually Ws &gt; 152.
- Please change id to _b, _c, ... when creating multiple rows.
- There was nesting in the results from additional_studies56, please remember to fill out this variable or type "unsure" (eg in the abstract it says 'with 30 item repetitions').</t>
  </si>
  <si>
    <t>direct replication</t>
  </si>
  <si>
    <t>Approach bias; Behavioural bias for food; Virtual reality; VR; Motion-tracking</t>
  </si>
  <si>
    <t>Behavioral bias for food in hand movements</t>
  </si>
  <si>
    <t>W =152</t>
  </si>
  <si>
    <t>gr (&gt;)</t>
  </si>
  <si>
    <t>l(&lt;)</t>
  </si>
  <si>
    <t>n.s.</t>
  </si>
  <si>
    <t>additional_studies56_b</t>
  </si>
  <si>
    <t>The effect examines whether food objects elicit faster movement initiation compared to non-food objects (replicated condition: push)</t>
  </si>
  <si>
    <t>W&gt; 97</t>
  </si>
  <si>
    <t>additional_studies56_c</t>
  </si>
  <si>
    <t>This effect investigates the interaction between movement type (grasp vs. ward) and response time to objects.</t>
  </si>
  <si>
    <t>"Neither the main effect Interactiongrasp,ward, F(1, 19) = 2.80, p = 0.11"</t>
  </si>
  <si>
    <t>F(1, 19) = 2.80</t>
  </si>
  <si>
    <t>additional_studies56_d</t>
  </si>
  <si>
    <t>P-value corrected from .13 (that was the f value) to .72</t>
  </si>
  <si>
    <t>This effect investigates how the type of object interacts with movement type in determining response time.</t>
  </si>
  <si>
    <t>"Neither….nor the two-way interaction was significant, F(1, 19) = 0.13, p = 0.72."</t>
  </si>
  <si>
    <t>F(1, 19) = 0.13</t>
  </si>
  <si>
    <t>additional_studies56_e</t>
  </si>
  <si>
    <t>This effect examines whether grasp movements differ in execution time compared to ward movements.</t>
  </si>
  <si>
    <t>"Ward movements were executed faster than grasp move- ments (mean difference: 218.72 milliseconds, SE = 60.88 milliseconds), as reflected by a significant main effect of Interactiongrasp,ward, F(1, 19) = 12.90, p = 0.002, gp2 = 0.41.</t>
  </si>
  <si>
    <t>W&gt; 76</t>
  </si>
  <si>
    <t>additional_studies56_f</t>
  </si>
  <si>
    <t>Changed r to Ws because r might correspond to the within-subjects correlation of the repeated variables and not the effect.</t>
  </si>
  <si>
    <t>This effect investigates whether the type of object (food vs. other objects) influences movement initiation or reaching times. (replication condition: grasp)</t>
  </si>
  <si>
    <t>"Again, a timely advantage emerged for Food objects, F(1, 19) = 4.50, p = 0.05, gp2 = 0.19" "Complementing previous findings, food objects were grasped and collected significantly faster than nonfood objects. This result replicates an attentional bias for food in movement-onset times and additionally demonstrates that biased attentional processes can effectively channel the execution of actions."</t>
  </si>
  <si>
    <t>W = 360</t>
  </si>
  <si>
    <t>additional_studies56_g</t>
  </si>
  <si>
    <t>This effect investigates whether the type of object (food vs. other objects) influences movement initiation or reaching times. (replication condition: push)</t>
  </si>
  <si>
    <t>W = 191</t>
  </si>
  <si>
    <t>additional_studies56_h</t>
  </si>
  <si>
    <t>This effect explores how the combination of object type and movement direction affects movement times.</t>
  </si>
  <si>
    <t>"there was no sig- nificant two-way interaction effect, F(1, 19) = 1.19, p = 0.29"</t>
  </si>
  <si>
    <t>F(1, 19) = 1.19</t>
  </si>
  <si>
    <t>additional_studies56_i</t>
  </si>
  <si>
    <t>This effect investigates whether the type of object (food vs. ball) influences collection times.</t>
  </si>
  <si>
    <t>"we indeed found that Food objects were gathered faster than Ball objects, and the difference was significant, t(19) = 3.692, p = 0.002, d = 0.16" "Complementing previous findings, food objects were grasped and collected significantly faster than nonfood objects. This result replicates an attentional bias for food in movement-onset times and additionally demonstrates that biased attentional processes can effectively channel the execution of actions."</t>
  </si>
  <si>
    <t>additional_studies56_j</t>
  </si>
  <si>
    <t>This effect examines whether there is a bias in how food objects are collected compared to other objects during different movement phases.</t>
  </si>
  <si>
    <t>"Compared with the initial bias observed in movement-onset times, the behavioral bias for food appar- ently increased by 39.5 percent (D = 44.33 milliseconds, SE = 24.81 milliseconds), and we noted a statistical trend for significance, t(19) = 1.79, p = 0.09, d = 0.28." "Our results also resemble the existing literature on attentional biases toward food: when afforded to respond to food words compared to object words in a go/no-go task, faster key presses were documented in both obese patients and healthy controls."</t>
  </si>
  <si>
    <t>W &gt; 140</t>
  </si>
  <si>
    <t>additional_studies56_k</t>
  </si>
  <si>
    <t>Replication finding is written in words "In the present sample, there were no statistically  significant associations with participants’ BMI"</t>
  </si>
  <si>
    <t>Changed nesting to "NA" instead of 1. It does not say how many tails there were only that one group is significantly faster than the other (which could be a combination of two-tailed significant test and positive correlation)</t>
  </si>
  <si>
    <t>This effect investigates the relationship between BMI with collection time advantages for food.</t>
  </si>
  <si>
    <t>"With increasing BMI, the collection time advantage in collecting food was indeed larger, r = 0.428, p = 0.030." "In contrast to neutral cues, both appetizing and unappetizing food cues elicited faster responses with increasing BMI in a dot-probe paradigm"</t>
  </si>
  <si>
    <t>additional_studies56_l</t>
  </si>
  <si>
    <t>The effect investigates whether objects' edibility influences their positive valence ratings compared to non-edible objects (replicated condition: high-calorie food)</t>
  </si>
  <si>
    <t>"As expected, there was a trend for edible objects to be rated more positively than ball objects, although the biserial correlation of object type and valence ratings was rather small, r = 0.15, p = 0.059."</t>
  </si>
  <si>
    <t>additional_studies56_m</t>
  </si>
  <si>
    <t>The effect investigates whether objects' edibility influences their positive valence ratings compared to non-edible objects. (replicated condition: low-calorie food)</t>
  </si>
  <si>
    <t>additional_studies57_1</t>
  </si>
  <si>
    <t>additional_studies57</t>
  </si>
  <si>
    <t>Could not use F values because the number of conditions between studies was different. Cohen's d calculated for study O for specific comparisons instead. R only reports cohen's D for the meta-analytic results of their two studies, thus that is what is reported,</t>
  </si>
  <si>
    <t>Numbers could not be checked due to inaccessible paper; chose these entries over the f-values because of study differences</t>
  </si>
  <si>
    <t>Simonson, I., &amp; Staw, B. M. (1992). Deescalation strategies: A comparison of techniques for reducing commitment to losing courses of action. Journal of Applied Psychology, 77, 419 – 426. http://dx.doi.org/10.1037/0021-9010.77.4.419</t>
  </si>
  <si>
    <t>10.1037/0021-9010.77.4.419</t>
  </si>
  <si>
    <r>
      <rPr>
        <rFont val="Calibri"/>
        <sz val="11.0"/>
      </rPr>
      <t xml:space="preserve">Schulz-Hardt, S., Rollwage, J., Wanzel, S. K., Frisch, J. U., &amp; Häusser, J. A. (2021). Effects of process and outcome accountability on escalating commitment: A two-study replication. Journal of Experimental Psychology: Applied, 27(1), 112–124. </t>
    </r>
    <r>
      <rPr>
        <rFont val="Calibri"/>
        <color rgb="FF1155CC"/>
        <sz val="11.0"/>
        <u/>
      </rPr>
      <t>https://doi.org/10.1037/xap0000321</t>
    </r>
  </si>
  <si>
    <t>10.1037/xap0000321</t>
  </si>
  <si>
    <t>1 &amp; 2 (Meta)</t>
  </si>
  <si>
    <t xml:space="preserve">replication </t>
  </si>
  <si>
    <t>commitment escalation</t>
  </si>
  <si>
    <t>escalation of commitment, process accountability, outcome accountability,</t>
  </si>
  <si>
    <t>Whether holding decision makers accountable for the decision process decreases escalating commitment, while accountability for the decision outcomes increases it.</t>
  </si>
  <si>
    <t>The 1 X 7 analysis of variance yielded a significant effect of experimental condition, (6, 183) = 4.02, p &lt; .00 … holding subjects accountable for the decision process produced a significant decrease in resource allocation compared with the baseline condition.. (process accountability)</t>
  </si>
  <si>
    <t>p.120</t>
  </si>
  <si>
    <t>Maria</t>
  </si>
  <si>
    <t>Maria Stogianni</t>
  </si>
  <si>
    <t>Schulz-Hardt, S., Rollwage, J., Wanzel, S. K., Frisch, J. U., &amp; Häusser, J. A. (2021). Effects of process and outcome accountability on escalating commitment: A two-study replication. Journal of Experimental Psychology: Applied, 27(1), 112–124. https://doi.org/10.1037/xap0000321</t>
  </si>
  <si>
    <t>two-study replication</t>
  </si>
  <si>
    <t>Effects of Process and Outcome Accountability on Escalating Commitment</t>
  </si>
  <si>
    <t>escalation of commitment, process accountability, outcome accountability</t>
  </si>
  <si>
    <t>Effect of deescalation techniques on the allocation of resources</t>
  </si>
  <si>
    <t>"a significant effect of experimental condition on resource allocation F(6, 183) = 4.02, p &lt; .001"</t>
  </si>
  <si>
    <t>F(6, 183) = 4.02</t>
  </si>
  <si>
    <t>additional_studies57_b</t>
  </si>
  <si>
    <t>The 1 X 7 analysis of variance yielded a significant effect of experimental condition, (6, 183) = 4.02, p &lt; .001. (outcome accountability)</t>
  </si>
  <si>
    <r>
      <rPr>
        <rFont val="Calibri"/>
        <sz val="11.0"/>
      </rPr>
      <t xml:space="preserve">Schulz-Hardt, S., Rollwage, J., Wanzel, S. K., Frisch, J. U., &amp; Häusser, J. A. (2021). Effects of process and outcome accountability on escalating commitment: A two-study replication. Journal of Experimental Psychology: Applied, 27(1), 112–124. </t>
    </r>
    <r>
      <rPr>
        <rFont val="Calibri"/>
        <color rgb="FF1155CC"/>
        <sz val="11.0"/>
        <u/>
      </rPr>
      <t>https://doi.org/10.1037/xap0000321</t>
    </r>
  </si>
  <si>
    <t>Effect of deescalation techniques on the allocation of resources (outcome accountability)-planned contrasts with baseline</t>
  </si>
  <si>
    <t>"holding subjects accountable for the decision process produced a significant decrease in resource allocation
compared with the baseline condition. F(l, 183) = 4.07, p &lt; .05"</t>
  </si>
  <si>
    <t>F(1, 183) = 4.07, p &lt; .05</t>
  </si>
  <si>
    <t>ge (&gt;)</t>
  </si>
  <si>
    <t>additional_studies57_c</t>
  </si>
  <si>
    <t>As predicted, process accountability was associated with significantly lower alloca- tions to the initial choice than was outcome accountability, /-"(I, 183)= 12.41, p&lt;.01.</t>
  </si>
  <si>
    <r>
      <rPr>
        <rFont val="Calibri"/>
        <sz val="11.0"/>
      </rPr>
      <t xml:space="preserve">Schulz-Hardt, S., Rollwage, J., Wanzel, S. K., Frisch, J. U., &amp; Häusser, J. A. (2021). Effects of process and outcome accountability on escalating commitment: A two-study replication. Journal of Experimental Psychology: Applied, 27(1), 112–124. </t>
    </r>
    <r>
      <rPr>
        <rFont val="Calibri"/>
        <color rgb="FF1155CC"/>
        <sz val="11.0"/>
        <u/>
      </rPr>
      <t>https://doi.org/10.1037/xap0000321</t>
    </r>
  </si>
  <si>
    <t xml:space="preserve">Effect of deescalation techniques on the allocation of resources (process accountability vs outcome accountability) </t>
  </si>
  <si>
    <t>"An additional planned contrast was between process accountability and outcome accountability. As predicted, process accountability was associated with significantly lower allocations to the initial choice than was outcome accountability, /-"(I, 183)= 12.41, p&lt;.01"</t>
  </si>
  <si>
    <t>F (1, 183)= 12.41, p&lt;.01</t>
  </si>
  <si>
    <t>additional_studies57_d</t>
  </si>
  <si>
    <r>
      <rPr>
        <rFont val="Calibri"/>
        <sz val="11.0"/>
      </rPr>
      <t xml:space="preserve">Schulz-Hardt, S., Rollwage, J., Wanzel, S. K., Frisch, J. U., &amp; Häusser, J. A. (2021). Effects of process and outcome accountability on escalating commitment: A two-study replication. Journal of Experimental Psychology: Applied, 27(1), 112–124. </t>
    </r>
    <r>
      <rPr>
        <rFont val="Calibri"/>
        <color rgb="FF1155CC"/>
        <sz val="11.0"/>
        <u/>
      </rPr>
      <t>https://doi.org/10.1037/xap0000321</t>
    </r>
  </si>
  <si>
    <t>additional_studies57_10</t>
  </si>
  <si>
    <t>additional_studies84</t>
  </si>
  <si>
    <t>in the o_study n was calculated based on df; reported n was 206, in the r_study n was calculated based on df; reported n was 74 (+1)</t>
  </si>
  <si>
    <t>Corrected nesting for replication from yes to no.</t>
  </si>
  <si>
    <t>Loibl, K., &amp; Rummel, N. (2014). Knowing what you don’t know makes failure productive. Learning and Instruction, 34, 74–85. https://doi.org/10.1016/j.learninstruc.2014.08.004</t>
  </si>
  <si>
    <t>10.1016/j.learninstruc.2014.08.004</t>
  </si>
  <si>
    <t>Loibl, K., Leuders, T. Can failure be made productive also in Bayesian reasoning? A conceptual replication study. Instr Sci (2024). https://doi.org/10.1007/s11251-024-09670-y</t>
  </si>
  <si>
    <t>10.1007/s11251-024-09670-y</t>
  </si>
  <si>
    <t xml:space="preserve">conceptual replication </t>
  </si>
  <si>
    <t>Problem-solving prior to instruction</t>
  </si>
  <si>
    <t>Problem-solving prior to instruction, Conceptual replication, Bayesian reasoning, Composite instructional design, Comparison, Delaying instruction, Knowledge gap, Learning from errors, Productive failure</t>
  </si>
  <si>
    <t>To progress from intuitive ideas to deep conceptual understanding, students need to become aware of
gaps in their ideas. Attempting to solve problems prior to instruction may lead to a global awareness of
knowledge gaps</t>
  </si>
  <si>
    <t>For conceptual knowledge, our analysis revealed a significant, large effect for the form of instruction (F[1,200] = 34.29, p &lt; .001, η² partial = .15) favoring instruction based on typical student solutions</t>
  </si>
  <si>
    <t>p. 14</t>
  </si>
  <si>
    <t>Feedback for Maria
- When the title of a replication says "conceptual", you can code it as conceptual (you coded "close").</t>
  </si>
  <si>
    <t>effect of type of instruction on conceptual knowledge</t>
  </si>
  <si>
    <t>"The ANCOVA for conceptual knowledge revealed significant differences between conditions (F[2,94] = 17.49, p &lt; .001".</t>
  </si>
  <si>
    <t>additional_studies84_b</t>
  </si>
  <si>
    <t xml:space="preserve">The timing of instruction (F[1,200] = 1.65, p = .20) </t>
  </si>
  <si>
    <t>F(1,200) = 1.65</t>
  </si>
  <si>
    <t>effect of timing of instruction on conceptual knowledge</t>
  </si>
  <si>
    <t>"Second, we tested the effect of timing of instruction when the form of instruction is held constant. While PS-Icontrast outperformed Icontrast-PS (hypothesis 1b) in descriptive terms, this difference failed to reach statistical significance (F[1,94] 1= 2.16, p 1⁄4 .15)".</t>
  </si>
  <si>
    <t xml:space="preserve">F(1,94) = 2.16 </t>
  </si>
  <si>
    <t>additional_studies84_c</t>
  </si>
  <si>
    <t xml:space="preserve">And the interaction (F[1,200] = 1.08, p = .30) were not significant </t>
  </si>
  <si>
    <t>F(1,200) = 1.08</t>
  </si>
  <si>
    <t>effect of type of instruction on procedural skills</t>
  </si>
  <si>
    <t>"The ANCOVA for procedural skills revealed significant differences between conditions (F[2,94] = 4.86, p = .01)".</t>
  </si>
  <si>
    <t>additional_studies84_d</t>
  </si>
  <si>
    <t>For procedural skills, we found a significant, small effect for the timing of instruction (F[1,200] = 3.98, p = .047, η² partial = .02) favoring instruction prior to problem-solving</t>
  </si>
  <si>
    <t>effect of timing of instruction on procedural skills</t>
  </si>
  <si>
    <t>"The form of instruction in the instruction prior to problem-solving conditions (F[1,94] = .13, p = .72) had no significant effect on the acquisition of procedural skills".</t>
  </si>
  <si>
    <t>F(1,94) = .13</t>
  </si>
  <si>
    <t>le (&lt;=)</t>
  </si>
  <si>
    <t>additional_studies84_e</t>
  </si>
  <si>
    <t xml:space="preserve">but no significant effect for the form of instruction (F[1,200] = 0.39, p = .53), </t>
  </si>
  <si>
    <t>F(1,200) = 0.39</t>
  </si>
  <si>
    <t>"For conceptual knowledge, we found a significant effect with a large effect size for form of instruction (F[1,243] = 45.35, p &lt; .001, favoring instruction based on typical student solutions (i.e., supporting hypothesis 1a)"</t>
  </si>
  <si>
    <t xml:space="preserve">p. 8 </t>
  </si>
  <si>
    <t>additional_studies84_f</t>
  </si>
  <si>
    <t>or for the interaction (F[1,200] = 1.32, = .25).</t>
  </si>
  <si>
    <t>F(1,200) = 1.32</t>
  </si>
  <si>
    <t>"For conceptual knowledge, we found a significant effect with medium effect size for timing of instruction (F[1,234] = 21.30, p &lt; .001,
 favoring problem-solving prior to instruction"</t>
  </si>
  <si>
    <t>additional_studies84_g</t>
  </si>
  <si>
    <t>"For procedural skills, neither the timing of instruction (F [1,234] = 1.35, p = .25; i.e., no support for hypothesis"</t>
  </si>
  <si>
    <t>F(1,234)= 0.002</t>
  </si>
  <si>
    <t>10.1016--j.learninstruc.2014.08.004.pdf</t>
  </si>
  <si>
    <t>interaction of timing and type of instruction on procedural skills</t>
  </si>
  <si>
    <t>"The interaction of the two factors (F[1,234] = 3.25, p = .07) was marginally significant".</t>
  </si>
  <si>
    <t>F(1,234) = 3.25</t>
  </si>
  <si>
    <t xml:space="preserve">p. 9 </t>
  </si>
  <si>
    <t>F(1,71) = 0.01</t>
  </si>
  <si>
    <t>additional_studies84_h</t>
  </si>
  <si>
    <t>"For procedural skills form of instruction (F[1,234] = 0.002, p = .97) was significant"</t>
  </si>
  <si>
    <t>F(1,234) = 1.35</t>
  </si>
  <si>
    <t>additional_studies84_i</t>
  </si>
  <si>
    <t>interaction of timing and type of instruction on conceptual knowledge</t>
  </si>
  <si>
    <t>"We further found a significant interaction (F[1,234] = 4.68, p = .03, indicating that the form of instruction had a higher effect in the problem-solving prior to instruction conditions".</t>
  </si>
  <si>
    <t>F(1,71) = 0.84</t>
  </si>
  <si>
    <t>additional_studies57_2</t>
  </si>
  <si>
    <t>additional_studies58</t>
  </si>
  <si>
    <t>Staw, B. M. (1976). Knee-deep in the big muddy: A study of escalating commitment to a chosen course of action. Organizational Behavior and Human Performance, 16, 27-44. https://doi.org/10.1016/0030-5073(76)90005-2</t>
  </si>
  <si>
    <t>10.1016/0030-5073(76)90005-2</t>
  </si>
  <si>
    <t>Schultze, T., &amp; Schulz-Hardt, S. (2022). Does change of responsibility reduce escalating commitment? A replication and theoretical extension. Journal of Experimental Psychology: Applied, 28(1), 189–204. https://doi.org/10.1037/xap0000366</t>
  </si>
  <si>
    <t>10.1037/xap0000366</t>
  </si>
  <si>
    <t>escalation of commitment, responsibility effect, decision-making</t>
  </si>
  <si>
    <t>Examined the role of personal responsibility and consequences of decisions in escalating commitment.</t>
  </si>
  <si>
    <t>p.37</t>
  </si>
  <si>
    <t>p.195</t>
  </si>
  <si>
    <t>Feedback for Thomas
- When entering test statistics, please enter the entire test statistic and type "test statistic" into the effect type variable (eg not 7.2 but F(1, 243) = 7.2)</t>
  </si>
  <si>
    <t>p.198</t>
  </si>
  <si>
    <t>p. 195</t>
  </si>
  <si>
    <t>effects in figure 3, statistics not reported; these different rows are related to one specific effect</t>
  </si>
  <si>
    <t>replication and theoretical extension</t>
  </si>
  <si>
    <t>escalating commitment</t>
  </si>
  <si>
    <t>escalation of commitment; responsibility effect; decision-making</t>
  </si>
  <si>
    <t>Effects of personal responsibility on escalating commitment</t>
  </si>
  <si>
    <t xml:space="preserve">"Under high personal responsibility conditions, subjects allocated an average of 11.08 million dollars to the corporate divisions they had earlier
chosen for extra R &amp; D funding. Under low personal responsibility conditions, subjects allocated an additional 8.89 million dollars to the
corporate divisions previously chosen by another financial officer" </t>
  </si>
  <si>
    <t>F(1, 235) = 14.40</t>
  </si>
  <si>
    <t>p. 24</t>
  </si>
  <si>
    <t>https://osf.io/uqsf6/</t>
  </si>
  <si>
    <t>additional_studies58_b</t>
  </si>
  <si>
    <t>Effects of decision consequences on escalating commitment</t>
  </si>
  <si>
    <t>"Under positive decision consequences, subjects allocated an average of 8.77
million to the previously chosen alternative, while 11.20 million was allocated under negative consequences"</t>
  </si>
  <si>
    <t>F(1, 235) = 17.93</t>
  </si>
  <si>
    <t>p. 26</t>
  </si>
  <si>
    <t>additional_studies58_c</t>
  </si>
  <si>
    <t>Effects of Personal Responsibility and Decision Consequences on escalating commitment (interaction)</t>
  </si>
  <si>
    <t>"the amount invested in the previously chosen alternative was greater in the high personal responsibility-negative consequences condition than in any of the other three experimental conditions.</t>
  </si>
  <si>
    <t>F(1, 235) = 5.56</t>
  </si>
  <si>
    <t>additional_studies58_d</t>
  </si>
  <si>
    <t>p. 34</t>
  </si>
  <si>
    <t>additional_studies58_e</t>
  </si>
  <si>
    <t>additional_studies58_f</t>
  </si>
  <si>
    <t>additional_studies57_3</t>
  </si>
  <si>
    <t>additional_studies61</t>
  </si>
  <si>
    <r>
      <rPr>
        <rFont val="Calibri"/>
        <sz val="11.0"/>
      </rPr>
      <t xml:space="preserve">R not pre-registered, but analysis and data open access: </t>
    </r>
    <r>
      <rPr>
        <rFont val="Calibri"/>
        <color rgb="FF1155CC"/>
        <sz val="11.0"/>
        <u/>
      </rPr>
      <t>https://osf.io/864nx/</t>
    </r>
  </si>
  <si>
    <t>Corrected citation
OSF Link (https://osf.io/uqsf6/) has no preregistration, which is why it was removed from the prereg_r variable</t>
  </si>
  <si>
    <t>Barrett, F. S., Grimm, K. J., Robins, R. W., Wildschut, T., Sedikides, C., &amp; Janata, P. (2010). Music-evoked nostalgia: affect, memory, and personality. Emotion (Washington, D.C.), 10(3), 390–403. https://doi.org/10.1037/a0019006</t>
  </si>
  <si>
    <t>10.1037/a0019006</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</si>
  <si>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</si>
  <si>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10.1037/emo0001389</t>
  </si>
  <si>
    <t>nostalgia proneness</t>
  </si>
  <si>
    <t>music, emotion, nostalgia, affect, personality</t>
  </si>
  <si>
    <t>Nostalgia proneness (trait-level nostalgia) is associated with stronger music-evoked nostalgia</t>
  </si>
  <si>
    <t>When we included only the SNS, it significantly predicted the strength of music-evoked nostalgia in the expected direction, β=.1082,t(224)=2.81,p=.01\beta = .1082, t(224) = 2.81, p = .01β=.1082,t(224)=2.81,p=.01. …</t>
  </si>
  <si>
    <t>p.393-394</t>
  </si>
  <si>
    <t>pp.1806-1807</t>
  </si>
  <si>
    <r>
      <rPr>
        <rFont val="Calibri"/>
        <sz val="11.0"/>
      </rPr>
      <t xml:space="preserve">R not pre-registered, but analysis and data open access: </t>
    </r>
    <r>
      <rPr>
        <rFont val="Calibri"/>
        <color rgb="FF1155CC"/>
        <sz val="11.0"/>
        <u/>
      </rPr>
      <t>https://osf.io/864nx/</t>
    </r>
  </si>
  <si>
    <t>Corrected citation
OSF Link (https://osf.io/uqsf6/) has no preregistration, which is why it was removed from the prereg_r variable
Feedback for Thomas
- When duplicating rows, please change the id for the second one (_b, _c, ...)</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</si>
  <si>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</si>
  <si>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Feedback for Thomas
- When duplicating rows, please change the id for the second one (_b, _c, ...)
- When entering multiple effects, please use the "description" variable to explain what the difference is</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</si>
  <si>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</si>
  <si>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music-evoked nostalgia</t>
  </si>
  <si>
    <t>Effects of context-level measures on music-evoked nostalgia (arousal)</t>
  </si>
  <si>
    <t>"Participants reported more music-evoked nostalgia when listening to songs that they found arousing"</t>
  </si>
  <si>
    <t>p. 5-6</t>
  </si>
  <si>
    <t>additional_studies61_b</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</si>
  <si>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</si>
  <si>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Effects of context-level measures on music-evoked nostalgia (positive emotions)</t>
  </si>
  <si>
    <t>"Participants reported more music-evoked nostalgia when listening to songs that evoked in them greater numbers of positive and negative emotions"</t>
  </si>
  <si>
    <t>additional_studies61_c</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</si>
  <si>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</si>
  <si>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Effects of context-level measures on music-evoked nostalgia (mixed emotions)</t>
  </si>
  <si>
    <t>"Participants reported more music-evoked nostalgia when listening to songs that gave rise to mixed emotions"</t>
  </si>
  <si>
    <t>additional_studies61_d</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</si>
  <si>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</si>
  <si>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 xml:space="preserve">Effects of person level predictors on music-evoked nostalgia (Nostalgia proneness) </t>
  </si>
  <si>
    <t xml:space="preserve">"When estimating a model including the ANPS, PANAS, and SNS, the positive association of SNS with music-evoked
nostalgia remained significant, β = .1116, t(215)  2.62, p  .01, whereas the previously significant associations of Negative Affect
and Play with music-evoked nostalgia were rendered nonsignificant".
</t>
  </si>
  <si>
    <t>additional_studies61_e</t>
  </si>
  <si>
    <t>claim in Table 2</t>
  </si>
  <si>
    <r>
      <rPr>
        <rFont val="Calibri"/>
        <color rgb="FF38761D"/>
        <sz val="11.0"/>
      </rPr>
      <t xml:space="preserve">Hennessy, S., Greer, T., Narayanan, S., &amp; Habibi, A. (2024). Unique affective profile of music-evoked nostalgia: An extension and conceptual replication of Barrett et al.’s (2010) study. Emotion, 24(8), 1803–1825. </t>
    </r>
    <r>
      <rPr>
        <rFont val="Calibri"/>
        <color rgb="FF38761D"/>
        <sz val="11.0"/>
        <u/>
      </rPr>
      <t>https://doi.org/10.1037/emo0001389</t>
    </r>
  </si>
  <si>
    <t>Interaction of context-level and person-level predictors on music-evoked nostalgia (nostalgia proneness x arousal)</t>
  </si>
  <si>
    <t>Interaction of context-level and person-level predictors on music-evoked nostalgia (nostalgia proneness x arousal), Table 2</t>
  </si>
  <si>
    <t>additional_studies57_4</t>
  </si>
  <si>
    <t>additional_studies64</t>
  </si>
  <si>
    <t>The replication study has not yet occured; exclude</t>
  </si>
  <si>
    <t>Arkes, H. R., Joyner, C. A., Pezzo, M. V., Nash, J. G., Siegel-Jacobs, K., &amp; Stone, E. (1994). The psychology of windfall gains. Organizational behavior and human decision processes, 59(3), 331-347. https://doi.org/10.1006/obhd.1994.1063</t>
  </si>
  <si>
    <t>10.1006/obhd.1994.1063</t>
  </si>
  <si>
    <t>1, 2, 3</t>
  </si>
  <si>
    <t>Teng, X., Zhang, Y., Qi, R., Wu, Y., Mu, Z., Chow, K., &amp; Feldman, G. (2024, June 21). Revisiting the the psychology of windfall gains: Replication and extensions Registered Report of Arkes et al. (1994) Studies 1, 2, and 3. https://doi.org/10.17605/OSF.IO/B25TR</t>
  </si>
  <si>
    <t>10.17605/OSF.IO/B25TR</t>
  </si>
  <si>
    <t>The replication study has not yet occured</t>
  </si>
  <si>
    <t xml:space="preserve">Feedback for Maria
- This is a stage 1 registered report and it says at the beginning (eg p. 5) that the results are based on a randomized pseudo-dataset. </t>
  </si>
  <si>
    <t>Replication and extensions registered report</t>
  </si>
  <si>
    <t>windfall gains</t>
  </si>
  <si>
    <t>Windfall gains, bias, judgment and decision making (JDM), registered replication, choice</t>
  </si>
  <si>
    <t>windfall gains are spent more easily than other types of assets</t>
  </si>
  <si>
    <r>
      <rPr>
        <rFont val="Calibri"/>
        <color theme="1"/>
        <sz val="11.0"/>
      </rPr>
      <t xml:space="preserve">"Those who won the money on a radio contest were more likely to spend the money (M = 3.11) than those who earned it by working overtime (M = 4.25). This difference was statistically significant, </t>
    </r>
    <r>
      <rPr>
        <rFont val="Calibri"/>
        <i/>
        <color theme="1"/>
        <sz val="11.0"/>
      </rPr>
      <t>t</t>
    </r>
    <r>
      <rPr>
        <rFont val="Calibri"/>
        <color theme="1"/>
        <sz val="11.0"/>
      </rPr>
      <t>(91) = 2.97, p &lt; .01"</t>
    </r>
  </si>
  <si>
    <t>t(91) = 2.97</t>
  </si>
  <si>
    <t>p. 36</t>
  </si>
  <si>
    <t>https://osf.io/g4xcb</t>
  </si>
  <si>
    <t>additional_studies64_b</t>
  </si>
  <si>
    <t>Extension study 1</t>
  </si>
  <si>
    <r>
      <rPr>
        <rFont val="Calibri"/>
        <color theme="1"/>
        <sz val="11.0"/>
      </rPr>
      <t xml:space="preserve">"Those who won the money on a radio contest were more likely to spend the money (M = 3.11) than those who earned it by working overtime (M = 4.25). This difference was statistically significant, </t>
    </r>
    <r>
      <rPr>
        <rFont val="Calibri"/>
        <i/>
        <color theme="1"/>
        <sz val="11.0"/>
      </rPr>
      <t>t</t>
    </r>
    <r>
      <rPr>
        <rFont val="Calibri"/>
        <color theme="1"/>
        <sz val="11.0"/>
      </rPr>
      <t>(91) = 2.97, p &lt; .01"</t>
    </r>
  </si>
  <si>
    <t>cohen's w</t>
  </si>
  <si>
    <t>p. 42</t>
  </si>
  <si>
    <t>additional_studies64_c</t>
  </si>
  <si>
    <t>es_value_o calculated using the formula</t>
  </si>
  <si>
    <t>"The tax rebate group was more likely to make the investment, whereas the savings group exhibited no marked preference between investing and not investing "</t>
  </si>
  <si>
    <t>additional_studies64_d</t>
  </si>
  <si>
    <t>Extension study 2</t>
  </si>
  <si>
    <t>additional_studies64_e</t>
  </si>
  <si>
    <t>es_value_o calculated using the formula, exact p value not reported, ns</t>
  </si>
  <si>
    <t>money earned while working hard are less likely to be spent than money earned while doing an easier job</t>
  </si>
  <si>
    <t>"Despite obvious differences in job difficulty, the groups in the main experiment did not differ in their willingness to buy the television. The chi square analysis comparing questionnaires 3A and 3B did not approach significance".</t>
  </si>
  <si>
    <t>ns</t>
  </si>
  <si>
    <t>additional_studies64_f</t>
  </si>
  <si>
    <t>Extension study 3</t>
  </si>
  <si>
    <t>additional_studies57_5</t>
  </si>
  <si>
    <t>additional_studies73</t>
  </si>
  <si>
    <t>O is strictly qualitative</t>
  </si>
  <si>
    <t>Hohensee, C. (2017). Preparing elementary prospective teachers to teach early algebra. Journal of Mathematics Teacher Education, 20, 231-257. https://doi.org/10.1007/s10857-015-9324-9</t>
  </si>
  <si>
    <t>10.1007/s10857-015-9324-9</t>
  </si>
  <si>
    <t>Hohensee, C., &amp; Borji, V. (2024). Preparing elementary pre-service teachers to teach early algebra: A conceptual replication study. The Journal of Mathematical Behavior, 75, 101174. https://doi.org/10.1016/j.jmathb.2024.101174</t>
  </si>
  <si>
    <t>10.1016/j.jmathb.2024.101174</t>
  </si>
  <si>
    <t>qualitative study, no effect sizes reported</t>
  </si>
  <si>
    <r>
      <rPr>
        <rFont val="Calibri"/>
        <sz val="11.0"/>
      </rPr>
      <t xml:space="preserve">Hohensee, C. (2017). Preparing elementary prospective teachers to teach early algebra. Journal of Mathematics Teacher Education, 20, 231-257. </t>
    </r>
    <r>
      <rPr>
        <rFont val="Calibri"/>
        <color rgb="FF1155CC"/>
        <sz val="11.0"/>
        <u/>
      </rPr>
      <t>https://doi.org/10.1007/s10857-015-9324-9</t>
    </r>
  </si>
  <si>
    <t>A conceptual replication study</t>
  </si>
  <si>
    <t>early algebra</t>
  </si>
  <si>
    <t>Early algebra, Pre-symbolic algebraic reasoning, Elementary pre-service teachers</t>
  </si>
  <si>
    <t>"developing informal representations for variables and unknowns and learning about the
two interpretations of the equal sign were meaningful new insights for the prospective
teachers."</t>
  </si>
  <si>
    <t>Abstract</t>
  </si>
  <si>
    <t>additional_studies57_6</t>
  </si>
  <si>
    <t>additional_studies76</t>
  </si>
  <si>
    <t xml:space="preserve">Due to a bug in the analysis code, the replication
paper is being revised </t>
  </si>
  <si>
    <r>
      <rPr>
        <rFont val="Calibri"/>
        <sz val="11.0"/>
      </rPr>
      <t xml:space="preserve">Trafimow, D., &amp; Hughes, J. S. (2012). Testing the death thought suppression and rebound hypothesis: Death thought accessibility following mortality salience decreases during a delay. Social Psychological and Personality Science, 3(5), 622-629. </t>
    </r>
    <r>
      <rPr>
        <rFont val="Calibri"/>
        <color rgb="FF1155CC"/>
        <sz val="11.0"/>
        <u/>
      </rPr>
      <t>https://doi.org/10.1177/1948550611432938</t>
    </r>
  </si>
  <si>
    <t>10.1177/1948550611432938</t>
  </si>
  <si>
    <t>Rife, S. C., Lambert, Q. S., Calin-Jageman, R., Adamkovic, M., Baník, G., Barberia, I., … Wiggins, B. J. (2024, July 3). Registered Replication Report: Study 3 from Trafimow and Hughes  (2012). https://doi.org/10.31234/osf.io/esu9z</t>
  </si>
  <si>
    <t>10.31234/osf.io/esu9z</t>
  </si>
  <si>
    <t>due to a bug in the analysis code the paper is being revised, final results might be different, the replication paper coded is the pre-print version published in March 2024, in the replication CI are reported and no p values for the meta-analytic effect size</t>
  </si>
  <si>
    <t>Trafimow, D., &amp; Hughes, J. S. (2012). Testing the death thought suppression and rebound hypothesis: Death thought accessibility following mortality salience decreases during a delay. Social Psychological and Personality Science, 3(5), 622-629. https://doi.org/10.1177/1948550611432938</t>
  </si>
  <si>
    <t>Registered Replication Report</t>
  </si>
  <si>
    <t>Death Thought Suppression and Rebound Hypothesis:</t>
  </si>
  <si>
    <t>terror management theory, suppression, rebound, concept accessibility, death-thought accessibility</t>
  </si>
  <si>
    <t>death thought accessibility would be greater in the Mortality Salience no delay condition than in the other three conditions (MS delay, Dental Pain delay, Dental Pain no delay)</t>
  </si>
  <si>
    <t>"A planned contrast showed that the number of death words created in the MS no delay condition (M 1⁄4 0.94, SD 1⁄4 1.21) was
greater than the number of death words created in the other three conditions (MS delay: M 1⁄4 0.56, SD 1⁄4 0.67; DPS delay:
M 1⁄4 0.56, SD 1⁄4 0.73; DPS no delay: M 1⁄4 0.63, SD 1⁄4 0.67), t(116) 1⁄4 2.02, p 1⁄4 .045, d 1⁄4 0.38".</t>
  </si>
  <si>
    <t>p. 21</t>
  </si>
  <si>
    <t>https://osf.io/preprints/psyarxiv/esu9z</t>
  </si>
  <si>
    <t>additional_studies76_b</t>
  </si>
  <si>
    <t>due to a bug in the analysis code the paper is being revised, final results might be different, the replication paper coded is the pre-print version published in March 2024, in the replication CI are reported and no p values for the meta-analytic effect size, replication extension the authors report "we conducted a straightforward comparison of the delay/no delay mortality salience induction groups on both dependent variables. This is a deviation from the analysis performed by Trafimow and Hughes (2012), who compared word counts in the delay/death group to all other groups (no delay/dental pain, delay/dental pain, no delay/death)".</t>
  </si>
  <si>
    <t>additional_studies57_7</t>
  </si>
  <si>
    <t>additional_studies79</t>
  </si>
  <si>
    <t>in the o_study n was calculated based on df; reported n was 24, the analysis of this effect was mentioned in the r_study but the results were not reported, it was complicated to code this study as there were many conflicting claims between both papers so it is possible that I have missed important effects...</t>
  </si>
  <si>
    <t>Zhang, X., Bachmann, P., Schilling, T. M., Naumann, E., Schächinger, H., &amp; Larra, M. F. (2018). Emotional stress regulation: The role of relative frontal alpha asymmetry in shaping the stress
response. Biological psychology, 138, 231-239. https://doi.org/10.1016/j.biopsycho.2018.08.007</t>
  </si>
  <si>
    <t>10.1016/j.biopsycho.2018.08.007</t>
  </si>
  <si>
    <t>Bischoff, M. (2024). Evaluating the reliability of relative frontal alpha asymmetry as a state-dependent correlate of the stress response in a mixed-sex sample: A replication study (Master's thesis, University of Twente). Retrieved from https://purl.utwente.nl/essays/100571</t>
  </si>
  <si>
    <t>Bischoff_MA_BMS</t>
  </si>
  <si>
    <t>https://purl.utwente.nl/essays/100571</t>
  </si>
  <si>
    <t>replication study</t>
  </si>
  <si>
    <t>Neuroscience (biological psychology)</t>
  </si>
  <si>
    <t>The role of relative frontal alpha asymmetry in shaping the stress response</t>
  </si>
  <si>
    <t xml:space="preserve">stress; emotion; cold pressor test; feet; cortisol; EEG; cardiovascular
</t>
  </si>
  <si>
    <t xml:space="preserve">Frontal EEG asymmetry has been proposed as an index of emotional regulation, reflecting both state and trait components, and there is evidence that these factors influence the cortisol response to stress. Here, we asked whether cold pressor stress modulates frontal asymmetry and whether this is predictive of the neuroendocrine stress response. </t>
  </si>
  <si>
    <t>cold pressor stress induced a shift towards greater right frontal activation which, however, was limited to F7/F8... A CONDITION * 
TIME * LOCATION within-subjects ANOVA resulted in...marginally significant three-way interaction of CONDITION*TIME*LOCATION (F[1,20] = 3.57, p = .073)</t>
  </si>
  <si>
    <t>F(1,20) = 3.57</t>
  </si>
  <si>
    <t>replication male subjects only, statistics for NA results in replication not reported</t>
  </si>
  <si>
    <r>
      <rPr>
        <rFont val="Calibri"/>
        <sz val="11.0"/>
      </rPr>
      <t xml:space="preserve">Bischoff, M. (2024). Evaluating the reliability of relative frontal alpha asymmetry as a state-dependent correlate of the stress response in a mixed-sex sample: A replication study (Master's thesis, University of Twente). Retrieved from </t>
    </r>
    <r>
      <rPr>
        <rFont val="Calibri"/>
        <color rgb="FF1155CC"/>
        <sz val="11.0"/>
        <u/>
      </rPr>
      <t>https://purl.utwente.nl/essays/100571</t>
    </r>
  </si>
  <si>
    <t>emotion stress regulation: the role of of relative frontal
alpha asymmetry</t>
  </si>
  <si>
    <t>stress; emotion; cold pressor test; feet; cortisol; EEG; cardiovascular</t>
  </si>
  <si>
    <t>2 way interaction condition x time on frontal alpha asymetry</t>
  </si>
  <si>
    <t>"A CONDITION *TIME * LOCATION within-subjects ANOVA resulted in a significant two-way interactions of CONDITION*TIME (F[1,20] = 5.38, p = .031, η² = .118)"</t>
  </si>
  <si>
    <t>additional_studies79_b</t>
  </si>
  <si>
    <t>Frontal asymmetry during acute stress was unrelated to other stress response components…asymmetry at F3/F4 remained unchanged during stress...(r = . -.204, p = .375)</t>
  </si>
  <si>
    <t>2-17-20</t>
  </si>
  <si>
    <t>p.20</t>
  </si>
  <si>
    <t>p.19</t>
  </si>
  <si>
    <t>replication mixed sample, statistics for NA results in replication not reported</t>
  </si>
  <si>
    <r>
      <rPr>
        <rFont val="Calibri"/>
        <sz val="11.0"/>
      </rPr>
      <t xml:space="preserve">Bischoff, M. (2024). Evaluating the reliability of relative frontal alpha asymmetry as a state-dependent correlate of the stress response in a mixed-sex sample: A replication study (Master's thesis, University of Twente). Retrieved from </t>
    </r>
    <r>
      <rPr>
        <rFont val="Calibri"/>
        <color rgb="FF1155CC"/>
        <sz val="11.0"/>
        <u/>
      </rPr>
      <t>https://purl.utwente.nl/essays/100571</t>
    </r>
  </si>
  <si>
    <t>additional_studies79_c</t>
  </si>
  <si>
    <t>Cortisol responses were best predicted by resting asymmetry at electrodes F3/F4…the correlation with cortisol only reached significance during baseline (r = . -.512, p = .018)</t>
  </si>
  <si>
    <t>2-17</t>
  </si>
  <si>
    <t>additional_studies57_8</t>
  </si>
  <si>
    <t>additional_studies81</t>
  </si>
  <si>
    <t>most of the effects in the o_study and the r_study are reported in plots, I only coded the effects that matched and had statistical results explicitly reported</t>
  </si>
  <si>
    <t>Discarded for missing data (no replication test was conducted)</t>
  </si>
  <si>
    <t>Edwards, S. H., Kandru, N., &amp; Rajagopal, M. B. (2017, August). Investigating static analysis errors in student Java programs. In Proceedings of the 2017 ACM Conference on International Computing Education Research (pp. 65-73). https://doi.org/10.1145/3105726.3106182</t>
  </si>
  <si>
    <t>10.1145/3105726.3106182</t>
  </si>
  <si>
    <r>
      <rPr>
        <rFont val="Calibri"/>
        <sz val="11.0"/>
      </rPr>
      <t xml:space="preserve">Liu, D., Calver, J., &amp; Craig, M. (2024). Are a Static Analysis Tool Study's Findings Static? A Replication. In Proceedings of the 2024 on Innovation and Technology in Computer Science Education V. 1 (pp. 80-86). </t>
    </r>
    <r>
      <rPr>
        <rFont val="Calibri"/>
        <color rgb="FF1155CC"/>
        <sz val="11.0"/>
        <u/>
      </rPr>
      <t>https://doi.org/10.1145/3649217.3653545</t>
    </r>
  </si>
  <si>
    <t>10.1145/3649217.3653545</t>
  </si>
  <si>
    <t>conceptual replication</t>
  </si>
  <si>
    <t>Education (computer science)</t>
  </si>
  <si>
    <t>static analysis</t>
  </si>
  <si>
    <t>Java; Web-CAT; static analysis; Checkstyle; PMD; coding style; 
formatting; documentation; coding standard</t>
  </si>
  <si>
    <t>We examine the differences between the error rates of CS major and non-major beginners, and also examine how these patterns change over time as students progress through the CS major course sequence.</t>
  </si>
  <si>
    <t>Are static analysis errors related to student achievement, in terms of earning grades?...examining a scatterplot of the two variables...ndividual error rate on an assignment and the corresponding score...does not reveal a clear visible trend (correlation R = -0.27).</t>
  </si>
  <si>
    <t>Liu, D., Calver, J., &amp; Craig, M. (2024). Are a Static Analysis Tool Study's Findings Static? A Replication. In Proceedings of the 2024 on Innovation and Technology in Computer Science Education V. 1 (pp. 80-86). https://doi.org/10.1145/3649217.3653545</t>
  </si>
  <si>
    <t>a replication</t>
  </si>
  <si>
    <t>static analysis errors in student programming</t>
  </si>
  <si>
    <t>Java; Web-CAT; static analysis; Checkstyle; PMD; coding style;  formatting; documentation; coding standard, replication, style checker, error messages</t>
  </si>
  <si>
    <t>most frequent static analysis errors</t>
  </si>
  <si>
    <t xml:space="preserve">"formatting errors occur most often 49%" </t>
  </si>
  <si>
    <t>Edwards, S. H., Kandru, N., &amp; Rajagopal, M. B. (2017, August). Investigating static analysis errors in student Java programs. In Proceedings of the 2017 ACM Conference on International Computing Education Research (pp. 65-73). https://doi.org/10.1145/3105726.3106183</t>
  </si>
  <si>
    <t>Liu, D., Calver, J., &amp; Craig, M. (2024). Are a Static Analysis Tool Study's Findings Static? A Replication. In Proceedings of the 2024 on Innovation and Technology in Computer Science Education V. 1 (pp. 80-86). https://doi.org/10.1145/3649217.3653546</t>
  </si>
  <si>
    <t>An analysis of variance including course, the presence of coding errors in the final product, and the presence of coding errors at any point during development of the solution indicated that coding flaws are significantly related to program grades earned (F = 2755, p &lt; 0.0001). Presence of coding flaws at any point when developing a solution resulted in significantly lower scores on the assignment</t>
  </si>
  <si>
    <t>F = 2755</t>
  </si>
  <si>
    <t>𝐹 = 688.7</t>
  </si>
  <si>
    <t>4 - conceptual</t>
  </si>
  <si>
    <t>additional_studies81_b</t>
  </si>
  <si>
    <t xml:space="preserve">Figure 2 in R study </t>
  </si>
  <si>
    <t>Impact of student experience levels on the most frequent errors</t>
  </si>
  <si>
    <t xml:space="preserve">"A one-way analysis of variance shows that the overall error rates do differ significantly by course (F = 526, p &lt; 0.0001). Tukey’s HSD indicates that each course is different from the three others, with its own distinct overall error rate. Among CS majors, the difference between courses indicated by the ANOVA appears in Figure 3 as a general decrease in error rates as students progress from CS1 to CS2 to CS3. Formatting errors are a notable exception, showing little difference across the three in-majors courses". </t>
  </si>
  <si>
    <t>F = 526</t>
  </si>
  <si>
    <t>additional_studies81_c</t>
  </si>
  <si>
    <t>ns correlation in original study</t>
  </si>
  <si>
    <t>relationship between overall grades and all static analysis errors</t>
  </si>
  <si>
    <t>"While an ANCOVA suggests a relationship between individual error rate on an assignment and the corresponding score (F = 5211, pp &lt; 0.0001), examining a scatterplot of the two variables does not reveal a clear visible trend (correlation R = -0.27)"</t>
  </si>
  <si>
    <t>additional_studies81_d</t>
  </si>
  <si>
    <t>effect size type not reported, I assumed it's etasq because of ANOVA</t>
  </si>
  <si>
    <t>Feedback for Maria
- If there is no effect size type reported alongside the effect size, please write es type as NA. For example, in an ANOVA standardized effect sizes are f, eta squared, and R² (R² and eta are out because it is larger than 1 here) depending on the software that is used, but authors could even compute d from the f statistic and the DFs.</t>
  </si>
  <si>
    <t>relationship between overall grades and coding flaws</t>
  </si>
  <si>
    <t>"presence of coding flaws in the final submission itself was associated with dramatically lower scores (mean without flaws in final work = 91.4%, mean with flaws in final work = 48.2%, F = 7710, p &lt; 0.0001), with an effect size of 1.97"</t>
  </si>
  <si>
    <t>F = 7710</t>
  </si>
  <si>
    <t>additional_studies57_9</t>
  </si>
  <si>
    <t>additional_studies83</t>
  </si>
  <si>
    <t>the replication study is not available</t>
  </si>
  <si>
    <t>Börstler, J., &amp; Paech, B. (2016). The role of method chains and comments in software readability and comprehension—an experiment. IEEE Transactions on Software Engineering, 42(9), 886-898. https://doi.org/10.1109/TSE.2016.2527791</t>
  </si>
  <si>
    <t>10.1109/TSE.2016.2527791</t>
  </si>
  <si>
    <r>
      <rPr>
        <rFont val="Calibri"/>
        <sz val="11.0"/>
      </rPr>
      <t xml:space="preserve">Sampaio, I. B., &amp; Sampaio, A. (2024, June). Replication of a Study about the Impact of Method Chaining and Comments on Readability and Comprehension. In 2024 4th International Conference on Code Quality (ICCQ) (pp. 35-52). IEEE. </t>
    </r>
    <r>
      <rPr>
        <rFont val="Calibri"/>
        <color rgb="FF1155CC"/>
        <sz val="11.0"/>
        <u/>
      </rPr>
      <t>https://doi.org/10.1109/ICCQ60895.2024.10576941</t>
    </r>
  </si>
  <si>
    <t>10.1109/ICCQ60895.2024.10576941</t>
  </si>
  <si>
    <t>no p value reported only α</t>
  </si>
  <si>
    <r>
      <rPr>
        <rFont val="Arial"/>
      </rPr>
      <t xml:space="preserve">replication accessed via </t>
    </r>
    <r>
      <rPr>
        <rFont val="Arial"/>
        <color rgb="FF1155CC"/>
        <u/>
      </rPr>
      <t>https://se.ifi.uni-heidelberg.de/fileadmin/pdf/publications/2016_The_Role_of_Method_Chains.pdf</t>
    </r>
  </si>
  <si>
    <t>Sampaio, I. B., &amp; Sampaio, A. (2024, June). Replication of a Study about the Impact of Method Chaining and Comments on Readability and Comprehension. In 2024 4th International Conference on Code Quality (ICCQ) (pp. 35-52). IEEE. https://doi.org/10.1109/ICCQ60895.2024.10576941</t>
  </si>
  <si>
    <t>a conceptual replication</t>
  </si>
  <si>
    <t xml:space="preserve">Impact of Method Chains and Comment Variants on Code Readability and Comprehension </t>
  </si>
  <si>
    <t>Software readability, software comprehension, software measurement, comments, method chains, experiment</t>
  </si>
  <si>
    <t>impact of code variants on code perceived readability</t>
  </si>
  <si>
    <t>"Regarding RQ1, there are significant differences between the comment variants (X2 = 16.1; α = 0.003). Code snippets with good comments (GC) are perceived as the most readable and the variants without comments (NC) are perceived as the least readable".</t>
  </si>
  <si>
    <t>X2 = 16.1</t>
  </si>
  <si>
    <t>F(2,62) = 0.6243</t>
  </si>
  <si>
    <t>There was a typo in one of the p-values. Please double check the entries and rather copy them than type them in.</t>
  </si>
  <si>
    <t>additional_studies83_b</t>
  </si>
  <si>
    <t xml:space="preserve">only M available </t>
  </si>
  <si>
    <t>impact of code variants on code comprehension</t>
  </si>
  <si>
    <t>"For snippets S1–S5, our data shows significant differences in their mean answer accuracy (Acc) (ANOVA p = 0.0013 at α &lt; 0.01)".</t>
  </si>
  <si>
    <t>F(2,62) = 2.3742</t>
  </si>
  <si>
    <t>additional_studies83_c</t>
  </si>
  <si>
    <t>impact of method chains on code perceived readability</t>
  </si>
  <si>
    <t>"Regarding RQ2, our data does not show any significant differences in the perceived readability (R1) for the MC variants".</t>
  </si>
  <si>
    <t>F(1,50) = 0.0184</t>
  </si>
  <si>
    <t>additional_studies59_1</t>
  </si>
  <si>
    <t>additional_studies59</t>
  </si>
  <si>
    <t>Abend, R., Bajaj, M. A., Matsumoto, C., Yetter, M., Harrewijn, A., Cardinale, E. M., ... &amp; Pine, D. S. (2021). Converging multi-modal evidence for implicit threat-related bias in pediatric anxiety disorders. Research on child and adolescent psychopathology, 49, 227-240. https://doi.org/10.1007/s10802-020-00712-w</t>
  </si>
  <si>
    <t>10.1007/s10802-020-00712-w</t>
  </si>
  <si>
    <t>10.1007--s10802-020-00712-w.pdf</t>
  </si>
  <si>
    <t>Byrne, M. E., Kirschner, S., Harrewijn, A., Abend, R., Lazarov, A., Liuzzi, L., ... &amp; Pine, D. S. (2024). Eye-tracking measurement of attention bias to social threat among youth: A replication and extension study. Journal of Mood &amp; Anxiety Disorders, 100075. https://doi.org/10.1016/j.xjmad.2024.100075</t>
  </si>
  <si>
    <t>10.1016/j.xjmad.2024.100075</t>
  </si>
  <si>
    <t>implicit threat bias</t>
  </si>
  <si>
    <t>anxiety, implicit bias, attention bias, pediatric psychopathology, eye-tracking, behavioral avoidance, threat response</t>
  </si>
  <si>
    <t>pediatric anxiety disorders are associated with implicit threat bias, manifesting as heightened attention to negative-valence stimuli and behavioral avoidance of threatening stimuli</t>
  </si>
  <si>
    <t>Quantified in terms of bias (dwell time on negative faces minus non-negative faces), youth with anxiety demonstrated significantly greater bias relative to their healthy peers, t (31.25) = 2.14, p = 0.041, d = 0.65</t>
  </si>
  <si>
    <t>t(98.84)=-0.73</t>
  </si>
  <si>
    <t>I could not find the effect size of d = .68 or any others for that matter.
Feedback for Hakile
- Please include test statistics in the claim.
- I could not find the effect size of d = .68 on page 5 in the original report of additional_studies59</t>
  </si>
  <si>
    <r>
      <rPr>
        <rFont val="Calibri"/>
        <sz val="11.0"/>
      </rPr>
      <t xml:space="preserve">Abend, R., Bajaj, M. A., Matsumoto, C., Yetter, M., Harrewijn, A., Cardinale, E. M., ... &amp; Pine, D. S. (2021). Converging multi-modal evidence for implicit threat-related bias in pediatric anxiety disorders. Research on child and adolescent psychopathology, 49, 227-240. </t>
    </r>
    <r>
      <rPr>
        <rFont val="Calibri"/>
        <color rgb="FF1155CC"/>
        <sz val="11.0"/>
        <u/>
      </rPr>
      <t>https://doi.org/10.1007/s10802-020-00712-w</t>
    </r>
  </si>
  <si>
    <r>
      <rPr>
        <rFont val="Calibri"/>
        <sz val="11.0"/>
      </rPr>
      <t xml:space="preserve">Byrne, M. E., Kirschner, S., Harrewijn, A., Abend, R., Lazarov, A., Liuzzi, L., ... &amp; Pine, D. S. (2024). Eye-tracking measurement of attention bias to social threat among youth: A replication and extension study. Journal of Mood &amp; Anxiety Disorders, 100075. </t>
    </r>
    <r>
      <rPr>
        <rFont val="Calibri"/>
        <color rgb="FF1155CC"/>
        <sz val="11.0"/>
        <u/>
      </rPr>
      <t>https://doi.org/10.1016/j.xjmad.2024.100075</t>
    </r>
  </si>
  <si>
    <t>Replication and extension study</t>
  </si>
  <si>
    <t>Attentional threat bias</t>
  </si>
  <si>
    <t>Attention bias, Eye-tracking, Youth Anxiety, Irritability, Negative affect, Social Threat</t>
  </si>
  <si>
    <t>The effect under investigation explores the relationship between attentional threat bias (x) and negative affectivity (y), including anxiety and irritability among youth. Specifically, the study examines how greater attention allocation to negative-valence faces is associated with anxiety and irritability and evaluates the reliability of this bias through eye-tracking methods.</t>
  </si>
  <si>
    <t>Patients displayed longer gaze duration on negative relative to non-negative valence faces than healthy peers.</t>
  </si>
  <si>
    <t>https://osf.io/8qub2</t>
  </si>
  <si>
    <t>additional_studies59_b</t>
  </si>
  <si>
    <t>N is different from prior ES as it these effects were part of a mixed-effects model, which was ran after excluding outliers</t>
  </si>
  <si>
    <t>Corrected N to 106 (it was 105) because df for correlation are 104 and N-2=df</t>
  </si>
  <si>
    <t>Dimensionally, a similar pattern was noted, with a positive correlation between dwell time bias score and overall anxiety symptom severity, r (48) = 0.29, p = 0.043</t>
  </si>
  <si>
    <t>additional_studies6_1</t>
  </si>
  <si>
    <t>additional_studies6</t>
  </si>
  <si>
    <t>replication study notes the effects size as  ηp2 =0.13 in Table 1 (p. 3) - " computed based on F-values and degrees of freedom using the easystats package in R"</t>
  </si>
  <si>
    <t xml:space="preserve">corrected studynumber
Corinna:
- The coder coded more than one effect per row. The effects are all correct. Therefore, I used them to validate the other rows, but reject them since they are unusable for any statistics program
-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nesting = no (between subject ANOVA was conducted)
- </t>
  </si>
  <si>
    <t>Karmarkar, U. R., &amp; Tormala, Z. L. (2010). Believe me, I have no idea what I’m talking about: The effects of source certainty on consumer involvement and persuasion. Journal of Consumer Research, 36(6), 1033-1049. https://doi.org/10.1086/648381</t>
  </si>
  <si>
    <t>10.1086/648381</t>
  </si>
  <si>
    <t>Løhre, E., Chandrashekar, S. P., Mayiwar, L., &amp; Hærem, T. (2024). Uncertainty, expertise, and persuasion: A replication and extension of. Journal of Experimental Social Psychology, 113, 104619. https://doi.org/10.1016/j.jesp.2024.104619</t>
  </si>
  <si>
    <t>10.1016/j.jesp.2024.104619</t>
  </si>
  <si>
    <t>Title - "a replication and extension of Karmarkar and Tormala (2010)"
Abstract - "direct replication of Experiment 2 by Karmarkar and Tormala (2010)"</t>
  </si>
  <si>
    <t>Consumer Research</t>
  </si>
  <si>
    <t>expertise persuasion incongruity effect</t>
  </si>
  <si>
    <t>persuasion, attitudes, uncertainty, confidence, expertise</t>
  </si>
  <si>
    <t>Success of persuasion depends on strategy and expertise (incongruity hypothesis)</t>
  </si>
  <si>
    <t>Main effect: There were no main effects, but we did find a significant interaction between source expertise and source certainty. (on attitude)
Simple effects:The nonexpert source was more persuasive, as indicated by more favorable attitudes, when he expressed cerainty compared to uncertainty, 
whereas the expert source was more persuasive when he expressed uncertainty compared to certainty.</t>
  </si>
  <si>
    <t>Main: all F's &lt; 1
Interaction:  F(1,64) = 9.70
Simple: non expert - F(1,64) = 4.77, expert - F(1,64) = 4.94</t>
  </si>
  <si>
    <t>Main: p &gt; 0.05
Interaction: p&lt;0.004
Simple: non-expert p &lt; 0.04, expert p &lt; 0.03</t>
  </si>
  <si>
    <t>Main effect source certainty:  ηp2 =0.01
Main effect expertise: ηp2 =0.00
Interaction effect certainty*expertise: ηp 2 =0.00
Simple effect - difference in attitude for high/low certainty : non-expert Cohen’s d =0.18, expert Cohen’s d = 0.28</t>
  </si>
  <si>
    <t>Main effect source certainty:  p = .039
Main effect expertise: p = .247
Interaction effect certainty*expertise:  p =.361
Simple effect: non-expert  p = .439, expert  p = .027</t>
  </si>
  <si>
    <t>https://osf.io/mptud</t>
  </si>
  <si>
    <t>additional_studies6_a</t>
  </si>
  <si>
    <t>Claim text_r support for the main effect of source certainty, F(1, 506) = 173.13, p &lt; .001, ηp2 = 0.25, 95% CI [0.19, 0.31]. [...] p.7</t>
  </si>
  <si>
    <t>-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copied the effect and the description of the effect
- I added the study number of the replication
- I changed the test statistics to the given effect size (replication
- I wrote the p-value in a correct form
- I added the page number to es_repr_r 
- I added nesting = no (between subject ANOVA was conducted)</t>
  </si>
  <si>
    <t>Analysis of the perceived expertise data revealed only a main effect for the expertise manipulation (F (1, 64) = 4.60, p &lt; .04). Participants rated the source as having more expertise in the high (M = 7.06) rather than low (M = 6.08) expertise condition.</t>
  </si>
  <si>
    <t>F(1, 64) = 4.60</t>
  </si>
  <si>
    <t>additional_studies6_b</t>
  </si>
  <si>
    <t>- The coder coded more than one effect per row. The effects are all correct. Therefore, I used them to validate the other rows, but reject them since they are unusable for any statistics program
-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nesting = no (between subject ANOVA was conducted)</t>
  </si>
  <si>
    <t>Main effect: no main effects for source expertise or source certainty but a significant interaction between these variables. (on involvement)
Simple effects: with low expertise reported greater involvement with the high rather than low certainty review, under conditions of high source expertise, participants reported
greater involvement with the low rather than high certainty review.</t>
  </si>
  <si>
    <t>Main: all F's &lt; 1
Interaction:  F(1,64) = 11.02
Simple: non expert - F(1,64) = 7.43, expert - F(1,64) = 3.97</t>
  </si>
  <si>
    <t>Main: p &gt; 0.05
Interaction: p&lt;0.002
Simple: non-expert p &lt; 0.01, expert p = 0.05</t>
  </si>
  <si>
    <t>Main effect source certainty:  ηp2 =0.00
Main effect expertise: ηp2 =0.00
Interaction effect certainty*expertise: ηp2 =0.01
Simple effect - difference in attitude for high/low certainty :  nonexpert - Cohen’s d = 0.29, expert -Cohen’s d =-0.1</t>
  </si>
  <si>
    <t>Main effect source certainty:  p &gt; 0.05
Main effect expertise: p  &gt; 0.05
Interaction effect certainty*expertise:  p = 0.030
Simple effect: non-expert  p = .023, expert  p = .437</t>
  </si>
  <si>
    <t>Claim text_r.  [...] Post-hoc comparisons using t-tests with Bonferroni correction found that participants reported higher certainty in the high certainty condition (n = 257, M = 7.87, SD = 1.24) than in the low certainty condition (n = 253, M = 5.96, SD = 1.96; t(426) = 13.00, p &lt; .001, Cohen’s d = 1.17, 95% CI [0.98, 1.35]). There was no main effect of expertise, nor an expertise   certainty interaction effect, Fs &lt; 1. [...] p.7</t>
  </si>
  <si>
    <t>-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the study number of the replication
- I changed the test statistics to the given effect size (replication)
- I added the full test statistics to the original study
- I wrote the p-value in a correct form
- I added the page number to es_repr_r 
- I added nesting = no (between subject ANOVA was conducted)</t>
  </si>
  <si>
    <t>Experiment 2 Manipulation check Certainty Conditions</t>
  </si>
  <si>
    <t>There was no main effect for source certainty (F(1, 64) = 2.36, p &gt; 0.12)</t>
  </si>
  <si>
    <t>F(1, 64) = 2.36</t>
  </si>
  <si>
    <t>additional_studies6_c</t>
  </si>
  <si>
    <t>I would exclude this row from the table since it remains unclear which effect was replicated (all cells regarding the original study were left blank)</t>
  </si>
  <si>
    <t>Main effect source certainty:  ηp2 =0.01
Main effect expertise: ηp2 =0.00
Main effect reason: np2 = 0.00
Interaction effects: all np2 = 0.00</t>
  </si>
  <si>
    <t>Main effect source certainty:  p &lt; 0.001
Main effect expertise: p  &gt; 0.05
Main effect reason: p  &gt; 0.05
Interaction effects: all  p  &gt; 0.05</t>
  </si>
  <si>
    <t>I assumed that there is pval_value_o &gt; 0.05 in the original study since there is no significant effect, but that's not clearly stated. Claim text_r  found support for a main effect of source certainty, F(1, 506) = 4.27, p = .039, ηp2 = 0.01, 95% CI [0.00, 0.03]. [...] p.7</t>
  </si>
  <si>
    <t>-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the study number of the replication
- I changed the test statistics to the given effect size (replication)
- I wrote the p-value in a correct form
- I added the page number to es_repr_r 
- I added nesting = no (between subject ANOVA was conducted)</t>
  </si>
  <si>
    <t>Experiment 2 Attitudes Main effect</t>
  </si>
  <si>
    <t>There were no main effects (F's &lt; 1),</t>
  </si>
  <si>
    <t>additional_studies6_d</t>
  </si>
  <si>
    <t>NFC - non - standardized b = 0.11, p = 0.010, 95% CI[0.03–0.19]
Conducted a linear regression analysis including expertise, reason, certainty, NFC, and two interaction terms (expertise × certainty and certainty × NFC) as predictors of the attitude measure. 
The analysis showed a main effect of NFC but failed to find an interaction effect between certainty and NFC. p. 9</t>
  </si>
  <si>
    <t>Main effect Need For Closure: p = 0.010</t>
  </si>
  <si>
    <t>Claim text_r However, there was no main effect of expertise, F(1, 506) = 1.35, p =.247, ηp2 = 0.00, 95% CI [0.00, 0.02], nor an expertise   certainty interaction effect, F(1, 506) = 0.84, p = .361, ηp2 = 0.00, 95% CI [0.00, 0.02]. The main effect of certainty reflected higher attitude ratings in the high certainty condition (n = 257, M = 7.80, SD = 1.10) than in the low certainty condition (n = 253, M = 7.58, SD = 1.26, Cohen’s d = 0.18, 95% CI [0.01, 0.36]). [...] p.7</t>
  </si>
  <si>
    <t>-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the study number of the replication
- I changed the test statistics to the given effect size (replication)
- I changed the replicated effect of the original study (coder coded two effects within the claim, but chose the wrong one) --&gt; I changed the effect and deleted one effect of the claim
- I wrote the p-value in a correct form
- I added the page number to es_repr_r 
- I added nesting = no (between subject ANOVA was conducted)</t>
  </si>
  <si>
    <t>Experiment 2 Attitudes Certainty Conditions</t>
  </si>
  <si>
    <t xml:space="preserve">we did find a significant interaction between source expertise and source certainty (F(1, 64) = 9.70, p &lt; .004). As illustrated in figure 2, this interaction assumed the predicted form. </t>
  </si>
  <si>
    <t>F(1, 64) = 9.70</t>
  </si>
  <si>
    <t>additional_studies6_e</t>
  </si>
  <si>
    <t>I assumed that there is pval_value_o &gt; 0.05 in the original and replications study since there are no significant effects, but that's not clearly stated. Claim text_r  no main effects for source expertise or source certainty (Fs &lt; 1.18),  [...] p.8</t>
  </si>
  <si>
    <t>-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the study number of the replication
- I wrote the p-value in a correct form
- I added the page number to es_repr_r 
- I added nesting = no (between subject ANOVA was conducted)</t>
  </si>
  <si>
    <t>Experiment 2 Involvement Main effect</t>
  </si>
  <si>
    <t>no main effects for source expertise or source certainty (F’s &lt; 1)</t>
  </si>
  <si>
    <t>F&lt; 1.18</t>
  </si>
  <si>
    <t>additional_studies6_f</t>
  </si>
  <si>
    <t>Claim text_r.  supported an expertise   certainty interaction effect, F(1, 506) = 4.74, p = .030, ηp2 = 0.01, 95% CI[0.00, 0.03]. [...] p.8</t>
  </si>
  <si>
    <t>- I added the link to the pre-registration of the replication (it was a registered report, therefore the first manuscript is linked)
- I added closeness_r and coded that it was a close replication, as the authors wrote that it is a direct replication
- I changed the page number to the one of the PDF
- I added labl_r
- I added the study number of the replication
- I changed the test statistics to the given effect size (replication)
- The text claim included multiple effects and I deleted the remaining ones
- I wrote the p-value in a correct form
- I added the page number to es_repr_r 
- I added nesting = no (between subject ANOVA was conducted)</t>
  </si>
  <si>
    <t>Experiment 2 Involvement Certainty Conditions</t>
  </si>
  <si>
    <t>a significant interaction between expertise and source certainty (F(1, 64) = 11.02, p &lt; .002). A</t>
  </si>
  <si>
    <t>F(1, 64) = 11.02</t>
  </si>
  <si>
    <t>additional_studies60_1</t>
  </si>
  <si>
    <t>additional_studies60</t>
  </si>
  <si>
    <t>conceptual replication of the same approach, testing response disequilibrium theory, but no numbers that can are easily comparable between studies (apart from one that apply to the specific equations) due to methodological differences</t>
  </si>
  <si>
    <t>Corrected citation and DOI, added effect sizes and duplicated row for both original subjects
Feedback for Nikolay
- You could have coded the R² for additional_studies60
- Please copy text for the claim from the paper</t>
  </si>
  <si>
    <r>
      <rPr>
        <rFont val="Calibri"/>
        <color rgb="FF38761D"/>
        <sz val="11.0"/>
      </rPr>
      <t xml:space="preserve">Falligant, J.M., Rooker, G.W. Further Analysis of the Response Deprivation Hypothesis: Application of the Disequilibrium Model to Novel Clinical Contexts. Psychol Rec 71, 307–311 (2021). </t>
    </r>
    <r>
      <rPr>
        <rFont val="Calibri"/>
        <color rgb="FF38761D"/>
        <sz val="11.0"/>
        <u/>
      </rPr>
      <t>https://doi.org/10.1007/s40732-020-00453-8</t>
    </r>
  </si>
  <si>
    <t>10.1007/s40732-020-00453-8</t>
  </si>
  <si>
    <t>10.1007--s40732-020-00432-8.pdf</t>
  </si>
  <si>
    <t>Ryan, M., King, H., Chesbrough, E. et al. Increasing Toy Engagement via Response Disequilibrium Theory: A Systematic Replication. Psychol Rec (2024). https://doi.org/10.1007/s40732-024-00601-4</t>
  </si>
  <si>
    <t>10.1007/s40732-024-00601-4</t>
  </si>
  <si>
    <t>Systematic replication</t>
  </si>
  <si>
    <t>Response disequilibrium</t>
  </si>
  <si>
    <t>Anxiety, threat, bias,  attention, avoidance, contingent activity, disequilibrium theory, instrumental activity</t>
  </si>
  <si>
    <t xml:space="preserve">Relationship between predicted and actual instrumental activity (original condition: Dave) </t>
  </si>
  <si>
    <t xml:space="preserve">As predicted, the I/C schedule produced a response deficit for leisure time for both Drew and Dave. For example, the initial Oi /Oc ratio for Drew was 0.025 (8.1 instances of compliance /313.1 s of leisure time).  </t>
  </si>
  <si>
    <t>r-squared</t>
  </si>
  <si>
    <t>4, Figure 2</t>
  </si>
  <si>
    <t>5, Figure 2</t>
  </si>
  <si>
    <t>No access to the PDF papers.</t>
  </si>
  <si>
    <r>
      <rPr>
        <rFont val="Calibri"/>
        <color rgb="FF38761D"/>
        <sz val="11.0"/>
      </rPr>
      <t xml:space="preserve">Falligant, J.M., Rooker, G.W. Further Analysis of the Response Deprivation Hypothesis: Application of the Disequilibrium Model to Novel Clinical Contexts. Psychol Rec 71, 307–311 (2021). </t>
    </r>
    <r>
      <rPr>
        <rFont val="Calibri"/>
        <color rgb="FF38761D"/>
        <sz val="11.0"/>
        <u/>
      </rPr>
      <t>https://doi.org/10.1007/s40732-020-00453-8</t>
    </r>
  </si>
  <si>
    <t>Anxiety, threat, bias,  attention, avoidance</t>
  </si>
  <si>
    <t>Constraining access to a preferred activity increased engagement with a less-preferred activity to restore equilibrium.</t>
  </si>
  <si>
    <t>additional_studies60_b</t>
  </si>
  <si>
    <t>Corrected citation and DOI, added effect sizes and duplicated row for both original subjects</t>
  </si>
  <si>
    <r>
      <rPr>
        <rFont val="Calibri"/>
        <color rgb="FF38761D"/>
        <sz val="11.0"/>
      </rPr>
      <t xml:space="preserve">Falligant, J.M., Rooker, G.W. Further Analysis of the Response Deprivation Hypothesis: Application of the Disequilibrium Model to Novel Clinical Contexts. Psychol Rec 71, 307–311 (2021). </t>
    </r>
    <r>
      <rPr>
        <rFont val="Calibri"/>
        <color rgb="FF38761D"/>
        <sz val="11.0"/>
        <u/>
      </rPr>
      <t>https://doi.org/10.1007/s40732-020-00453-8</t>
    </r>
  </si>
  <si>
    <t xml:space="preserve">Relationship between predicted and actual instrumental activity (original condition: Drew) </t>
  </si>
  <si>
    <t>Diego</t>
  </si>
  <si>
    <t>additional_studies62_1</t>
  </si>
  <si>
    <t>additional_studies62</t>
  </si>
  <si>
    <t>LR, DM-R</t>
  </si>
  <si>
    <t>cannot validate calculated effects</t>
  </si>
  <si>
    <t>He, J., Chen, G., Wu, S., Niu, R., &amp; Fan, X. (2020). Patterns of negative emotional eating among Chinese young adults: A latent class analysis. Appetite, 155, 104808. https://doi.org/10.1016/j.appet.2020.104808. Study 5</t>
  </si>
  <si>
    <t>10.1016/j.appet.2020.104808</t>
  </si>
  <si>
    <t>10.1016--j.appet.2020.104808.pdf</t>
  </si>
  <si>
    <t>Dixit, U., He, J., Whited, M., Ellis, J. M., &amp; Zickgraf, H. F. (2023). Negative emotional eating patterns among American university students: A replication study. Appetite, 186, 106554.</t>
  </si>
  <si>
    <t>10.1016/j.appet.2023.106554</t>
  </si>
  <si>
    <t>Emotional Eating Patterns</t>
  </si>
  <si>
    <t>Emotional over-eating, Emotional under-eating, Latent class analysis, Eating disorder, Psychological distress</t>
  </si>
  <si>
    <t>The study investigates patterns of emotional eating (overeating and undereating) and their association with emotional distress and disordered eating behaviors</t>
  </si>
  <si>
    <t>Four distinct negative emotional eating patterns were identified: non-emotional eating, emotional overeating, emotional undereating, and mixed emotional eating. Key result: Wald χ²(12) = 234.76, p &lt; .001.</t>
  </si>
  <si>
    <t>Calculated based on means and SDs from p. 53</t>
  </si>
  <si>
    <t>Calculated based on means and SDs from p. 10</t>
  </si>
  <si>
    <t>additional_studies62_a</t>
  </si>
  <si>
    <t xml:space="preserve">N was calculated. Effect size was calculated. </t>
  </si>
  <si>
    <t>He, J., Chen, G., Wu, S., Niu, R., &amp; Fan, X. (2020). Patterns of negative emotional eating among Chinese young adults: A latent class analysis. Appetite, 155, 104808. https://doi.org/10.1016/j.appet.2020.104808</t>
  </si>
  <si>
    <t>Negative emotional eating</t>
  </si>
  <si>
    <t>Adult eating behavior questionnaire; Disordered eating; Emotional eating; Latent class analysis.</t>
  </si>
  <si>
    <t xml:space="preserve">(Non-emotional eating)The study identified four latent patterns of negative emotional eating among Chinese young adults using Latent Class Analysis. </t>
  </si>
  <si>
    <t>Associated with lower levels of stress-related eating and healthier eating behaviors overall.</t>
  </si>
  <si>
    <t>additional_studies62_b</t>
  </si>
  <si>
    <t xml:space="preserve">(Emotional over- and under-eating)The study identified four latent patterns of negative emotional eating among Chinese young adults using Latent Class Analysis. </t>
  </si>
  <si>
    <t>Showed the highest scores on measures of depression and anxiety (statistically significant).</t>
  </si>
  <si>
    <t>additional_studies62_c</t>
  </si>
  <si>
    <t xml:space="preserve">(Emotional over-eating)The study identified four latent patterns of negative emotional eating among Chinese young adults using Latent Class Analysis. </t>
  </si>
  <si>
    <t>Significantly correlated with increased caloric intake during negative emotional states (p &lt; 0.01).</t>
  </si>
  <si>
    <t>additional_studies62_d</t>
  </si>
  <si>
    <t xml:space="preserve">(Emotional under-eating)The study identified four latent patterns of negative emotional eating among Chinese young adults using Latent Class Analysis. </t>
  </si>
  <si>
    <t>Associated with significant reductions in food consumption during periods of stress and sadness.</t>
  </si>
  <si>
    <t>I edited the links to the original paper because it was a link to another paper; multiple claims but tried to chose those that matched in both papers; in the o_paper and the r_paper a LCA was conducted to choose the best model and the 4-class solution was chosen as the optimal model (It is an important claim but didn't know how to report it)</t>
  </si>
  <si>
    <r>
      <rPr>
        <rFont val="Calibri"/>
        <sz val="11.0"/>
      </rPr>
      <t xml:space="preserve">He, J., Chen, G., Wu, S., Niu, R., &amp; Fan, X. (2020). Patterns of negative emotional eating among Chinese young adults: A latent class analysis. Appetite, 155, 104808. </t>
    </r>
    <r>
      <rPr>
        <rFont val="Calibri"/>
        <color rgb="FF1155CC"/>
        <sz val="11.0"/>
        <u/>
      </rPr>
      <t>https://doi.org/10.1016/j.appet.2020.104808</t>
    </r>
  </si>
  <si>
    <t xml:space="preserve">Dixit, U., He, J., Whited, M., Ellis, J. M., &amp; Zickgraf, H. F. (2023). Negative emotional eating patterns among American university students : A replication study. Appetite, 186, 106554. </t>
  </si>
  <si>
    <t>emotional eating</t>
  </si>
  <si>
    <t>negative emotional eating is closely related to disordered eating behaviors...In this study, we used a person-oriented approach, latent class analysis (LCA), to examine the negative emotional eating patterns and to characterize these patterns in a sample of 1,068 Chinese young adults (52.6% females, aged 17–24 years)...Overall, this study identified four distinct negative emotional eating patterns, among which, the emotional over- and under-eating was the most problematic.</t>
  </si>
  <si>
    <t>results of comparisons of the four patterns on other measures, and significant pattern differences were found in ARFID symptoms (X2 = 67.52, p &lt; .01)</t>
  </si>
  <si>
    <t>X2 = 67.52</t>
  </si>
  <si>
    <t>X2 = 16.11</t>
  </si>
  <si>
    <t>results of comparisons of the four patterns on other measures, and significant pattern differences were found ... in traditional eating disorder symptoms (X2 = 26.07, p &lt; .01)</t>
  </si>
  <si>
    <t>X2 = 26.07</t>
  </si>
  <si>
    <t>X2 = 32.26</t>
  </si>
  <si>
    <t>results of comparisons of the four patterns on other measures, and significant pattern differences were found... in psychological distress (X2 = 39.22, p &lt; .01).</t>
  </si>
  <si>
    <t>X2 = 39.22</t>
  </si>
  <si>
    <t>X2 = 36.12</t>
  </si>
  <si>
    <r>
      <rPr>
        <rFont val="Calibri"/>
        <color theme="1"/>
        <sz val="11.0"/>
      </rPr>
      <t xml:space="preserve">additional claim only for r_study: results of comparisons of the four classes along different outcomes. Significant class differences were observed for </t>
    </r>
    <r>
      <rPr>
        <rFont val="Calibri"/>
        <b/>
        <color theme="1"/>
        <sz val="11.0"/>
      </rPr>
      <t>anxiety</t>
    </r>
  </si>
  <si>
    <t>X2 = 33.22</t>
  </si>
  <si>
    <t>additional_studies62_e</t>
  </si>
  <si>
    <r>
      <rPr>
        <rFont val="Calibri"/>
        <color theme="1"/>
        <sz val="11.0"/>
      </rPr>
      <t xml:space="preserve">additional claim only for r_study: results of comparisons of the four classes along different outcomes. Significant class differences were observed for </t>
    </r>
    <r>
      <rPr>
        <rFont val="Calibri"/>
        <b/>
        <color theme="1"/>
        <sz val="11.0"/>
      </rPr>
      <t>depression</t>
    </r>
  </si>
  <si>
    <t>X2 = 14.24</t>
  </si>
  <si>
    <t>additional_studies62_f</t>
  </si>
  <si>
    <r>
      <rPr>
        <rFont val="Calibri"/>
        <color theme="1"/>
        <sz val="11.0"/>
      </rPr>
      <t xml:space="preserve">additional claim only for r_study: results of comparisons of the four classes along different outcomes. Significant class differences were observed for </t>
    </r>
    <r>
      <rPr>
        <rFont val="Calibri"/>
        <b/>
        <color theme="1"/>
        <sz val="11.0"/>
      </rPr>
      <t>psychological flexibility</t>
    </r>
  </si>
  <si>
    <t>X2 = 37.74</t>
  </si>
  <si>
    <t>additional_studies63_1</t>
  </si>
  <si>
    <t>additional_studies63</t>
  </si>
  <si>
    <t>Xu, Y., Song, J., Ren, Y., Barnhart, W. R., Dixit, U., Ji, F., Chen, C., &amp; He, J. (2024). Negative emotional eating patterns in general Chinese adults: A replication and expansion study examining group differences in eating disorder symptomatology, psychosocial impairment, and emotion regulation difficulties. Eating behaviors, 54, 101899.</t>
  </si>
  <si>
    <t>10.1016/j.eatbeh.2024.101899</t>
  </si>
  <si>
    <t>Calculated based on means and SDs from p. 14</t>
  </si>
  <si>
    <t xml:space="preserve">Xu, Y., Song, J., Ren, Y., Barnhart, W. R., Dixit, U., Ji, F., Chen, C., &amp; He, J. (2024). Negative emotional eating patterns in general Chinese adults : A replication and expansion study examining group differences in eating disorder symptomatology, psychosocial impairment, and emotion regulation difficulties. Eating Behaviors, 54, 101899. </t>
  </si>
  <si>
    <t>replication and expansion</t>
  </si>
  <si>
    <t>X2 = 47.78</t>
  </si>
  <si>
    <t>additional_studies63_b</t>
  </si>
  <si>
    <r>
      <rPr>
        <rFont val="Calibri"/>
        <color theme="1"/>
        <sz val="11.0"/>
      </rPr>
      <t xml:space="preserve">additional claim only for r_study: results of comparisons of the four classes along different outcomes. Significant class differences were observed for  </t>
    </r>
    <r>
      <rPr>
        <rFont val="Calibri"/>
        <b/>
        <color theme="1"/>
        <sz val="11.0"/>
      </rPr>
      <t>muscularity-oriented eating disorder symptomatology</t>
    </r>
  </si>
  <si>
    <t>X2 = 50.40</t>
  </si>
  <si>
    <t>additional_studies63_c</t>
  </si>
  <si>
    <r>
      <rPr>
        <rFont val="Calibri"/>
        <color theme="1"/>
        <sz val="11.0"/>
      </rPr>
      <t xml:space="preserve">additional claim only for r_study: results of comparisons of the four classes along different outcomes. Significant class differences were observed for  </t>
    </r>
    <r>
      <rPr>
        <rFont val="Calibri"/>
        <b/>
        <color theme="1"/>
        <sz val="11.0"/>
      </rPr>
      <t>psychosocial impairment</t>
    </r>
  </si>
  <si>
    <t>X2 = 115.88</t>
  </si>
  <si>
    <t>additional_studies63_d</t>
  </si>
  <si>
    <r>
      <rPr>
        <rFont val="Calibri"/>
        <color theme="1"/>
        <sz val="11.0"/>
      </rPr>
      <t xml:space="preserve">additional claim only for r_study: results of comparisons of the four classes along different outcomes. Significant class differences were observed for  </t>
    </r>
    <r>
      <rPr>
        <rFont val="Calibri"/>
        <b/>
        <color theme="1"/>
        <sz val="11.0"/>
      </rPr>
      <t>emotion regulation difficulties</t>
    </r>
  </si>
  <si>
    <t>X2 = 128.12</t>
  </si>
  <si>
    <t>additional_studies65_1</t>
  </si>
  <si>
    <t>additional_studies65</t>
  </si>
  <si>
    <t>Krauss, S., Orth, U., &amp; Robins, R. W. (2020). Family environment and self-esteem development: A longitudinal study from age 10 to 16. Journal of Personality and Social Psychology, 119(2), 457–478. https://doi.org/10.1037/pspp0000263</t>
  </si>
  <si>
    <t>10.1037/pspp0000263</t>
  </si>
  <si>
    <t>10.1037--pspp0000263.pdf</t>
  </si>
  <si>
    <t>Krauss, S., &amp; Orth, U. (2024). Family environment and self-esteem development in adolescence: A replication and extension. Journal of Research in Personality, 104511. https://doi.org/10.1016/j.jrp.2024.104511</t>
  </si>
  <si>
    <t>10.1016/j.jrp.2024.104511</t>
  </si>
  <si>
    <t>A replication and extension</t>
  </si>
  <si>
    <t>family environment, self-esteem, adolescence, longitudinal, replication</t>
  </si>
  <si>
    <t>significant positive effects on children’s self-esteem emerged for warmth, monitoring, low maternal depression, economic security (vs. hardship), and presence (vs. absence) of father. With regard to the reciprocal effects, children’s self-esteem predicted positive family values (i.e., importance and centrality of the family) of mother and father</t>
  </si>
  <si>
    <t>https://osf.io/yajmp</t>
  </si>
  <si>
    <t>https://osf.io/6m5tb)</t>
  </si>
  <si>
    <t>additional_studies65_a</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</si>
  <si>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</si>
  <si>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a replication and extension</t>
  </si>
  <si>
    <t>Self-esteem development</t>
  </si>
  <si>
    <t>family environment; parenting behavior; self-esteem; childhood and adolescence; longitudinal</t>
  </si>
  <si>
    <t>Parental Warmth (Child Rates Mother): Family environment (x) is associated with self-esteem development (y) during adolescence.</t>
  </si>
  <si>
    <t xml:space="preserve">Results from the CLPMs indicated that a number of family environment variables affected child self-esteem. Specifically, parental warmth, parental monitoring, and presence of father positively predicted subsequent child self-esteem, whereas maternal depression and economic hardship negatively predicted subsequent child self-esteem. </t>
  </si>
  <si>
    <t>p.42</t>
  </si>
  <si>
    <t>https://osf.io/6m5tb</t>
  </si>
  <si>
    <t>additional_studies65_b</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</si>
  <si>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</si>
  <si>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Parental Warmth (Child Rates Father): Family environment (x) is associated with self-esteem development (y) during adolescence.</t>
  </si>
  <si>
    <t>additional_studies65_c</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</si>
  <si>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</si>
  <si>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Parental Hostility (Child Rates Mother): Family environment (x) is associated with self-esteem development (y) during adolescence.</t>
  </si>
  <si>
    <t>additional_studies65_d</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</si>
  <si>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</si>
  <si>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Parental Hostility (Child Rates Father): Family environment (x) is associated with self-esteem development (y) during adolescence.</t>
  </si>
  <si>
    <t>additional_studies65_e</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</si>
  <si>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</si>
  <si>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Monitoring (Child Rates Mother): Family environment (x) is associated with self-esteem development (y) during adolescence.</t>
  </si>
  <si>
    <t>additional_studies65_f</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</si>
  <si>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</si>
  <si>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Monitoring (Child Rates Father): Family environment (x) is associated with self-esteem development (y) during adolescence.</t>
  </si>
  <si>
    <t>additional_studies65_g</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</si>
  <si>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</si>
  <si>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Involvement in Education (Child Rates Mother): Family environment (x) is associated with self-esteem development (y) during adolescence.</t>
  </si>
  <si>
    <t>additional_studies65_h</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</si>
  <si>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</si>
  <si>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Parental Relationship (Mother's Rating): Family environment (x) is associated with self-esteem development (y) during adolescence.</t>
  </si>
  <si>
    <t>additional_studies65_i</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</si>
  <si>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</si>
  <si>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Depression of Mother: Family environment (x) is associated with self-esteem development (y) during adolescence.</t>
  </si>
  <si>
    <t>additional_studies65_j</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</si>
  <si>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</si>
  <si>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Depression of Father: Family environment (x) is associated with self-esteem development (y) during adolescence.</t>
  </si>
  <si>
    <t>additional_studies65_k</t>
  </si>
  <si>
    <r>
      <rPr>
        <rFont val="Calibri"/>
        <sz val="11.0"/>
      </rPr>
      <t xml:space="preserve">Krauss, S., Orth, U., &amp; Robins, R. W. (2020). Family environment and self-esteem development: A longitudinal study from age 10 to 16. Journal of Personality and Social Psychology, 119(2), 457–478. </t>
    </r>
    <r>
      <rPr>
        <rFont val="Calibri"/>
        <color rgb="FF1155CC"/>
        <sz val="11.0"/>
        <u/>
      </rPr>
      <t>https://doi.org/10.1037/pspp0000263</t>
    </r>
  </si>
  <si>
    <t>Economic Hardship (Father Rates Subscale A): Family environment (x) is associated with self-esteem development (y) during adolescence.</t>
  </si>
  <si>
    <t>additional_studies66_1</t>
  </si>
  <si>
    <t>additional_studies66</t>
  </si>
  <si>
    <t>Reiff J. S., Hershfield H. E., Quoidbach J. (2020). Identity over time: Perceived similarity between selves predicts well-being 10 years later. Social Psychological and Personality Science, 11, 160–167. https://doi.org/10.1177/1948550619843931</t>
  </si>
  <si>
    <t>10.1177/1948550619843931</t>
  </si>
  <si>
    <t>10.1177--1948550619843931.pdf</t>
  </si>
  <si>
    <t>Weidmann, R., Alabdullah, A., Warkentien, J., Vesikar, S., Denehy, M. E., Yang, H., Rakhshani, A., Brent Donnellan, M., &amp; Lucas, R. E. (2024). Does Perceived Similarity Between Present and Future Self Predict Well-Being? A Reanalysis and Replication of. Social Psychological and Personality Science, 0(0). https://doi.org/10.1177/19485506241257971</t>
  </si>
  <si>
    <t>10.1177/19485506241257971</t>
  </si>
  <si>
    <t>identity over time, future self, well-being, life span development</t>
  </si>
  <si>
    <t>Perceived similarity over life-span is positively correlated with life satisfaction</t>
  </si>
  <si>
    <t>Perceived similarity predicted higher levels of concurrent life satisfaction.</t>
  </si>
  <si>
    <t>p1</t>
  </si>
  <si>
    <t>https://osf.io/ja3wc)</t>
  </si>
  <si>
    <t>Study 1 was a reproduction and should not have been coded (only replications with new data).</t>
  </si>
  <si>
    <t>additional_studies66_a</t>
  </si>
  <si>
    <r>
      <rPr>
        <rFont val="Calibri"/>
        <color rgb="FF38761D"/>
        <sz val="11.0"/>
      </rPr>
      <t xml:space="preserve">N after applying exclusion criteria, osf project: </t>
    </r>
    <r>
      <rPr>
        <rFont val="Calibri"/>
        <color rgb="FF38761D"/>
        <sz val="11.0"/>
        <u/>
      </rPr>
      <t>https://osf.io/yqxme</t>
    </r>
  </si>
  <si>
    <t>OSF project contains no registrations, I changed prereg_o to "NA" and copied the link into the notes. Another finding is available (3rd model in O study) but was not part of the replication and is thus not coded.</t>
  </si>
  <si>
    <r>
      <rPr>
        <rFont val="Calibri"/>
        <sz val="11.0"/>
      </rPr>
      <t xml:space="preserve">Reiff J. S., Hershfield H. E., Quoidbach J. (2020). Identity over time: Perceived similarity between selves predicts well-being 10 years later. Social Psychological and Personality Science, 11, 160–167. </t>
    </r>
    <r>
      <rPr>
        <rFont val="Calibri"/>
        <color rgb="FF1155CC"/>
        <sz val="11.0"/>
        <u/>
      </rPr>
      <t>https://doi.org/10.1177/1948550619843931</t>
    </r>
  </si>
  <si>
    <t>Perceived Similarity (Model 1): Perceived similarity between one’s present and future self is associated with greater well-being 10 years later.</t>
  </si>
  <si>
    <t>Perceived similarity between one's present and future self is significantly associated with greater life satisfaction 10 years later.</t>
  </si>
  <si>
    <t>p.2</t>
  </si>
  <si>
    <t>https://osf.io/yqxme</t>
  </si>
  <si>
    <t>https://osf.io/ja3wc</t>
  </si>
  <si>
    <r>
      <rPr>
        <rFont val="Arial"/>
      </rPr>
      <t xml:space="preserve">The original study was not preregistered as the OSF-link does not contain a registration: please double-check under the tab "registrations": </t>
    </r>
    <r>
      <rPr>
        <rFont val="Arial"/>
        <color rgb="FF1155CC"/>
        <u/>
      </rPr>
      <t>https://osf.io/yqxme/registrations.</t>
    </r>
    <r>
      <rPr>
        <rFont val="Arial"/>
      </rPr>
      <t xml:space="preserve"> Moreover, it didn't say in the report that it was registered but there was merely a link to data, materials, and code.</t>
    </r>
  </si>
  <si>
    <t>additional_studies66_b</t>
  </si>
  <si>
    <r>
      <rPr>
        <rFont val="Calibri"/>
        <color rgb="FF38761D"/>
        <sz val="11.0"/>
      </rPr>
      <t xml:space="preserve">N after applying exclusion criteria, osf project: </t>
    </r>
    <r>
      <rPr>
        <rFont val="Calibri"/>
        <color rgb="FF38761D"/>
        <sz val="11.0"/>
        <u/>
      </rPr>
      <t>https://osf.io/yqxme</t>
    </r>
  </si>
  <si>
    <r>
      <rPr>
        <rFont val="Calibri"/>
        <sz val="11.0"/>
      </rPr>
      <t xml:space="preserve">Reiff J. S., Hershfield H. E., Quoidbach J. (2020). Identity over time: Perceived similarity between selves predicts well-being 10 years later. Social Psychological and Personality Science, 11, 160–167. </t>
    </r>
    <r>
      <rPr>
        <rFont val="Calibri"/>
        <color rgb="FF1155CC"/>
        <sz val="11.0"/>
        <u/>
      </rPr>
      <t>https://doi.org/10.1177/1948550619843931</t>
    </r>
  </si>
  <si>
    <t>Perceived Similarity (Model 2, controlling for demographics): Perceived similarity between one’s present and future self is associated with greater well-being 10 years later.</t>
  </si>
  <si>
    <t>The effect of perceived similarity remains significant when controlling for age, gender, education, and income.</t>
  </si>
  <si>
    <t>https://osf.io/8hz3s)</t>
  </si>
  <si>
    <t>additional_studies66_c</t>
  </si>
  <si>
    <r>
      <rPr>
        <rFont val="Calibri"/>
        <color rgb="FF38761D"/>
        <sz val="11.0"/>
      </rPr>
      <t xml:space="preserve">N after applying exclusion criteria, osf project: </t>
    </r>
    <r>
      <rPr>
        <rFont val="Calibri"/>
        <color rgb="FF38761D"/>
        <sz val="11.0"/>
        <u/>
      </rPr>
      <t>https://osf.io/yqxme</t>
    </r>
  </si>
  <si>
    <r>
      <rPr>
        <rFont val="Calibri"/>
        <sz val="11.0"/>
      </rPr>
      <t xml:space="preserve">Reiff J. S., Hershfield H. E., Quoidbach J. (2020). Identity over time: Perceived similarity between selves predicts well-being 10 years later. Social Psychological and Personality Science, 11, 160–167. </t>
    </r>
    <r>
      <rPr>
        <rFont val="Calibri"/>
        <color rgb="FF1155CC"/>
        <sz val="11.0"/>
        <u/>
      </rPr>
      <t>https://doi.org/10.1177/1948550619843931</t>
    </r>
  </si>
  <si>
    <t>Perceived Similarity (Model 3, controlling for demographics and baseline life satisfaction): Perceived similarity between one’s present and future self is associated with greater well-being 10 years later.</t>
  </si>
  <si>
    <t>The effect of perceived similarity is reduced but remains significant when controlling for demographic variables and baseline life satisfaction.</t>
  </si>
  <si>
    <t>additional_studies67_1</t>
  </si>
  <si>
    <t>additional_studies67</t>
  </si>
  <si>
    <t>Gietzen, L. J., Lewis, H., &amp; Buchanan, J. A. (2023). Age-related microaggressions: A descriptive
 study. The Gerontologist, 63(5), 820-830. https://doi.org/10.1093/geront/gnac158</t>
  </si>
  <si>
    <t>10.1093/geront/gnac158</t>
  </si>
  <si>
    <t>10.1093--geront--gnac158.pdf</t>
  </si>
  <si>
    <t>Patt, S. (2024). Age-Related Microaggressions: A Semi-Replication. https://cornerstone.lib.mnsu.edu/cgi/viewcontent.cgi?article=2424&amp;context=etds</t>
  </si>
  <si>
    <t>patt_2024</t>
  </si>
  <si>
    <t>https://cornerstone.lib.mnsu.edu/etds/1424/</t>
  </si>
  <si>
    <t>A semi-replication</t>
  </si>
  <si>
    <t>Clinical Psychology</t>
  </si>
  <si>
    <t>age-related microaggression, ageism, everyday ageism, ambivalent ageism, benevolent ageism, microaggression, qualitative method, older adults</t>
  </si>
  <si>
    <t>The majority of older adults have experienced microagressions and find them bothersome.</t>
  </si>
  <si>
    <t>additional_studies67_a</t>
  </si>
  <si>
    <t>Gietzen, L. J., Lewis, H., &amp; Buchanan, J. A. (2023). Age-related microaggressions: A descriptive
study. The Gerontologist, 63(5), 820-830. https://doi.org/10.1093/geront/gnac158</t>
  </si>
  <si>
    <t>semi-replication</t>
  </si>
  <si>
    <t>age-related microaggressions</t>
  </si>
  <si>
    <t>Ageism, Qualitative method, Thematic analysis</t>
  </si>
  <si>
    <t>microinsults: Age-related microaggressions are common and are associated with negative emotional and behavioral responses in older adults.</t>
  </si>
  <si>
    <t>Microinsults involve subtle communications of rudeness or stereotypes, such as assumptions about older adults' abilities or experiences of "elderspeak."</t>
  </si>
  <si>
    <t>cohen's h</t>
  </si>
  <si>
    <t>additional_studies67_b</t>
  </si>
  <si>
    <t>microassaults: Age-related microaggressions are common and are associated with negative emotional and behavioral responses in older adults.</t>
  </si>
  <si>
    <t>These are more overt forms of discrimination, including verbal assaults like name-calling ("Okay, Boomer!") or physical actions, such as being pushed or rushed.</t>
  </si>
  <si>
    <t>additional_studies67_c</t>
  </si>
  <si>
    <t>microinvalidations: Age-related microaggressions are common and are associated with negative emotional and behavioral responses in older adults.</t>
  </si>
  <si>
    <t xml:space="preserve">Microinvalidations include dismissing or nullifying older adults’ experiences and feelings. </t>
  </si>
  <si>
    <t>p. 18</t>
  </si>
  <si>
    <t>additional_studies68_1</t>
  </si>
  <si>
    <t>additional_studies68</t>
  </si>
  <si>
    <t>Akselevich, V., &amp; Gilaie-Dotan, S. (2022). Positive and negative facial valence perception are modulated differently by eccentricity in the parafovea. Scientific reports, 12(1), 21693. https://doi.org/10.1038/s41598-022-24919-7</t>
  </si>
  <si>
    <t>10.1038/s41598-022-24919-7</t>
  </si>
  <si>
    <t>10.1038--s41598-022-24919-7.pdf</t>
  </si>
  <si>
    <t>Akselevich, V., &amp; Gilaie-Dotan, S. (2024). Positive and negative facial valence perception are modulated differently by eccentricity in the parafovea: Replication from KDEF to NimStim. Scientific reports, 14(1), 13757. https://doi.org/10.1038/s41598-024-63724-2</t>
  </si>
  <si>
    <t>10.1038/s41598-024-63724-2</t>
  </si>
  <si>
    <t>Replication from KDEF to NimStim</t>
  </si>
  <si>
    <t>Emotional valence, Face expression, Periphery, Replication study, Emotion perception</t>
  </si>
  <si>
    <t>An effect of eccentricity and valence on accuracy and RTs, with positive valence showing highest performance across eccentricities, measures and studies</t>
  </si>
  <si>
    <t>monitoring, low maternal depression, economic security (vs. hardship), and presence (vs.</t>
  </si>
  <si>
    <t>Calculated with SPSS</t>
  </si>
  <si>
    <t>additional_studies68_b</t>
  </si>
  <si>
    <t>Akselevich, V., &amp; Gilaie-Dotan, S. (2022). Positive and negative facial valence perception are modulated differently by eccentricity in the parafovea. Scientific reports, 12(1), 21693. https://doi.org/10.1038/s41598-022-24919-8</t>
  </si>
  <si>
    <t>10.1038/s41598-022-24919-8</t>
  </si>
  <si>
    <t>additional_studies68_c</t>
  </si>
  <si>
    <t>Akselevich, V., &amp; Gilaie-Dotan, S. (2022). Positive and negative facial valence perception are modulated differently by eccentricity in the parafovea. Scientific reports, 12(1), 21693. https://doi.org/10.1038/s41598-022-24919-9</t>
  </si>
  <si>
    <t>10.1038/s41598-022-24919-9</t>
  </si>
  <si>
    <t>absence) of father. With regard to the reciprocal effects, children’s self-esteem predicted positive</t>
  </si>
  <si>
    <t>additional_studies69_1</t>
  </si>
  <si>
    <t>additional_studies69</t>
  </si>
  <si>
    <t>Zottoli, T. M., Helm, R. K., Edkins, V. A., &amp; Bixter, M. T. (2023). Developing a model of guilty plea decision-making: Fuzzy-trace theory, gist, and categorical boundaries. Law and Human Behavior, 47(3), 403–421. https://doi.org/10.1037/lhb0000532</t>
  </si>
  <si>
    <t>10.1037/lhb0000532</t>
  </si>
  <si>
    <t>10.1037--lhb0000532.pdf</t>
  </si>
  <si>
    <t>Dolin, L., Stratton, J., &amp; Donatien, J. (2024). A Test of the Generalizability of a New Guilty Plea Decision-making Model Grounded in Fuzzy Trace Theory: A replication of Zottoli, Helm et al.(2023; Study 3). https://digitalcommons.montclair.edu/student-research-symposium/2024/poster01/21/</t>
  </si>
  <si>
    <t>https://digitalcommons.montclair.edu/student-research-symposium/2024/poster01/21/</t>
  </si>
  <si>
    <t>A replication of Zottoli, Helm et al.(2023; Study 3</t>
  </si>
  <si>
    <t>shadow of the trial, guilty pleas, plea bargaining, fuzzy-trace theory, guilty plea decision-making</t>
  </si>
  <si>
    <t>Plea rates were similar within and different between groupings that comprised plea offers of similarly meaningful distance from the potential trial sentence (Study 3).</t>
  </si>
  <si>
    <t>additional_studies7_1</t>
  </si>
  <si>
    <t>additional_studies7_a</t>
  </si>
  <si>
    <t>Claim text_r. There were no significant main effects of APOE status on cognitive outcome variables using Pillai’s trace (V = 0.06, F(4,206) = 1.51, p = 0.20).  [...] p 7.</t>
  </si>
  <si>
    <t>Honea, R. A., Vidoni, E., Harsha, A., &amp; Burns, J. M. (2009). Impact of APOE on the healthy aging brain: a voxel-based MRI and DTI study. Journal of Alzheimer's disease, 18(3), 553-564. 10.3233/JAD-2009-1163</t>
  </si>
  <si>
    <t>10.3233/JAD-2009-1163</t>
  </si>
  <si>
    <t>Lacey, C., Paterson, T., Gawryluk, J. R., &amp; Alzheimer’s Disease Neuroimaging Initiative. (2024). Impact of APOE-ε alleles on brain structure and cognitive function in healthy older adults: A VBM and DTI replication study. Plos one, 19(4), e0292576. https://doi.org/10.1371/journal.pone.0292576</t>
  </si>
  <si>
    <t>10.1371/journal.pone.0292576</t>
  </si>
  <si>
    <t>Cognitive score</t>
  </si>
  <si>
    <t>Impact of APOE-ε alleles on brain structure and cognitive function in healthy older adults</t>
  </si>
  <si>
    <t>Subjects with an APOEε4 allele had significantly decreased global cognition (global index) compared to subjects with no ε4 allele, characterized by global cognition (p = 0.047, Table 1).</t>
  </si>
  <si>
    <t>Calculated based on the data provided in Table 1 - N1 = 39, Standardized Cognitive Score SD 0.08 (0.42) and N2 =14 Standardized Cognitive Score SD −0.20 (0.53)</t>
  </si>
  <si>
    <t>p = 0.20</t>
  </si>
  <si>
    <t>additional_studies7_b</t>
  </si>
  <si>
    <t>Claim text_r.  VBM analyses revealed no significant differences in GMV between ε4+ and controls and between ε2+ and controls (p&gt;0.05, corrected via TFCE). [...] p 7.</t>
  </si>
  <si>
    <t>VBM</t>
  </si>
  <si>
    <t>ε4-carriers had a trend for lower gray matter regional volumes in the left lingual/parahippocampal gyrus,right inferior parietal cortex, left superior frontal cortex,left angular gyrus, left amygdala, and right precuneus (p &lt; 0.001, uncorrected, Table 2, Fig. 1).</t>
  </si>
  <si>
    <t xml:space="preserve">
Calculated based on the data provided in Table 2. Z-scores were used as proxies for Cohen's d. Z-scores for Decrease and Increase were averaged resulting in d 3.23.</t>
  </si>
  <si>
    <t>p &gt;0.05</t>
  </si>
  <si>
    <t>additional_studies7_c</t>
  </si>
  <si>
    <t xml:space="preserve">Claim text_r.   DTI analyses revealed no significant differences in FA or MD (p &gt;0.05, corrected via TFCE) between ε4+ and controls, similarly between ε2+ and controls. [...] p 7.
es_repr_o cannot be calculated </t>
  </si>
  <si>
    <t>DTI</t>
  </si>
  <si>
    <t>There were no regions where FA was significantly higher or lower in healthy elderly ε4 carriers versus noncarriers at p &lt; 0.05 corrected level of significance. More in Table 1</t>
  </si>
  <si>
    <t>Cannot be calculated</t>
  </si>
  <si>
    <t>additional_studies70_1</t>
  </si>
  <si>
    <t>additional_studies70</t>
  </si>
  <si>
    <t>Conceptual replication, no inferential statistics, policing as a broad field</t>
  </si>
  <si>
    <t>Ratcliffe, J. H. (2021). Policing and public health calls for service in Philadelphia. Crime Science, 10(1), 1–6. https://doi.org/10.1186/s40163-021-00141-0</t>
  </si>
  <si>
    <t>10.1186/s40163-021-00141-0</t>
  </si>
  <si>
    <t>n/a</t>
  </si>
  <si>
    <t>10.1186--s40163-021-00141-0.pdf</t>
  </si>
  <si>
    <t>Langton, S., Ruiter, S., &amp; Verlaan, T. (2023). Describing the scale and composition of calls for police service: A replication and extension using open data. Police Practice and Research, 24(5), 523-538. https://doi.org/10.1080/15614263.2022.2102494</t>
  </si>
  <si>
    <t>10.1080/15614263.2022.2102494</t>
  </si>
  <si>
    <t>"The contribution is made in replication and extension of analyses reported elsewhere in the United States."</t>
  </si>
  <si>
    <t>police, calls for service, 911, demand</t>
  </si>
  <si>
    <t xml:space="preserve">The scale and composition of emergency demand for police services </t>
  </si>
  <si>
    <t xml:space="preserve">“In Philadelphia, public health calls concentrate in the Center City (A in Fig. 2) and Kensington (B) neighborhoods of the city. [...]  Health-related policing calls are up to four times more frequent in the afternoon and evening compared to the early hours of the morning (Fig. 3) with on average 15 calls per hour on Friday afternoons and early evening.” </t>
  </si>
  <si>
    <t>LR, Corinna Gemmecke</t>
  </si>
  <si>
    <t>The study focuses on the replication of descriptive reports. Mainly, tables and graphs are replicated. For this reason, I have not coded effect sizes or p-values, as no test statistics were reported in any of the studies. Overall, I am not sure how meaningful coding in this table is at all, since the graphs take center stage in the replication.; The sample size describes analyzed 911 calls</t>
  </si>
  <si>
    <r>
      <rPr>
        <rFont val="Calibri"/>
        <color rgb="FF000000"/>
        <sz val="11.0"/>
        <u/>
      </rPr>
      <t xml:space="preserve">Ratcliffe, J. H. (2021). Policing and public health calls for service in Philadelphia. Crime Science, 10(1), 1–6. </t>
    </r>
    <r>
      <rPr>
        <rFont val="Calibri"/>
        <color rgb="FF1155CC"/>
        <sz val="11.0"/>
        <u/>
      </rPr>
      <t>https://doi.org/10.1186/s40163-021-00141-0</t>
    </r>
  </si>
  <si>
    <t>Philadelphia, Police, Public health, Medical, Calls for service, CAD</t>
  </si>
  <si>
    <t>"For more detail, in Fig. 1 box size indicates the time spent on each CAD code type in 2019, based on initial classifcation assigned by the dispatcher and weighted for the number of ofcers in attendance. Te crime category dominates (54.7% of time committed, see Table 1), mainly consisting of domestic incidents, people with weapons, and robberies and thefts in progress. In discussions with CAD supervisors and PPD personnel, four CAD codes were associated with a public health nexus (see footnote 4). A category for reports of people in one of the city’s rivers (144 such incidents in 2019), a ‘sick assist’ call for general assistance, a welfare check (check on well-being), and a large catch-all category for ‘hospital case’. In 2019, Philadelphia did not disaggregate mental health type calls at the CAD entry level (though CAD free-text notes not available to the author might refect this).", "As with criminal activity, and a characteristic not unique to Philadelphia (Koziarski, in press), health-related policing calls are concentrated in space and time. In Philadelphia, public health calls concentrate in the Center City (A in Fig. 2) and Kensington (B) neighborhoods of the city. Both are focal areas for the homeless populations, with the latter recently referred to as “the largest open-air heroin market on the East Coast of the United States” (Johnson et al., 2020: 3). Health-related policing calls are up to four times more frequent in the afternoon and evening compared to the early hours of the morning (Fig. 3) with on average 15 calls per hour on Friday afternoons and early evening.", "The nearly 80% of health-related calls to police that go on to result in a health-related outcome are shown in grey. Blue lines refect the 11.6% of calls that originate as a health-related CAD event but result in a crime or other policing outcome, and red lines indicate the 8.8% of events that originate as non-health related, but on investigation by police result in a health-type disposition."</t>
  </si>
  <si>
    <t>additional_studies71_1</t>
  </si>
  <si>
    <t>additional_studies71</t>
  </si>
  <si>
    <t>Lum, C., Koper, C. S., &amp; Wu, X. (2021). Can we really defund the police? A nine-agency study of police response to calls for service. Police Quarterly, July. https://doi.org/10.1177/2F10986111211035002</t>
  </si>
  <si>
    <t>10.1177/2F10986111211035002</t>
  </si>
  <si>
    <t>10.1177--2f10986111211035002.pdf</t>
  </si>
  <si>
    <t>“[...] the average time elapsed per call type varied from a low of 12 minutes (for alarms) to a high of 87 minutes (for medical calls). However, most call types averaged somewhere between 20 to 60 minutes. Here, the types of calls that appear to take longer to resolve on average are calls related to people in mental or medical distress, missing persons, and violence. [...] In Agency A1, for example, 14.5% of the time officers spend on citizen-initiated calls was spent on disorder-related calls; for Agency A8, the corresponding figure was 6.2%.”|</t>
  </si>
  <si>
    <t>p.267-269</t>
  </si>
  <si>
    <t>Calls for service, police reform, police response, defund, George Floyd</t>
  </si>
  <si>
    <t xml:space="preserve">"A large proportion of calls that police agencies are receiving from citizens do not seem to be for serious crimes or obvious emergencies. Rather, the most common types of calls to which officers were dispatched, on average, were traffic-related events (averaging 16.8% of all calls across the nine agencies), disorders (averaging 16.2%), suspicions (averaging 12.8%),12 follow-ups and service requests (averaging 11.2%), and property crimes (averaging 10.2%). [...] Disorders appear in the top three call categories for all nine agencies, while traffic-related calls appear in the top three call categories for seven of the nine agencies. Although some of these seemingly minor calls for service may escalate into—or mask—serious events, the vast majority of calls for police service are for events that are likely not immediately violent or life-threatening emergencies (a finding confirmed by our later analysis of the outcomes of these calls). Nonetheless, it is important to point out that community members are requesting the police for many minor and non-serious concerns because no other agency exists that they could call (or that a calltaker could divert them towards). [...] Calls related to mental health concerns were only a very small proportion of calls dispatched to the police in each of these nine agencies (approximately 1.3% of calls on average across these nine agencies, and no more than 4% for any specific agency). This does not support the common view that police agencies are handling large amounts of calls for people in mental distress, and therefore provides the first indication that significant defunding of the police would likely not be achieved even if another agency handled these calls.", "As Table 3 shows, the average time elapsed per call type varied from a low of 12 minutes (for alarms) to a high of 87 minutes (for medical calls). However, most call types averaged somewhere between 20 to 60 minutes. Here, the types of calls that appear to take longer to resolve on average are calls related to people in mental or medical distress, missing persons, and violence. These findings were expected; all three types of calls likely require the response of specialized units (including medical responses), written reports, specific procedural or investigative requirements, the transport of individuals, and perhaps even arrests. Similarly, domestic-related and property crimes also take up more time because of these factors." </t>
  </si>
  <si>
    <t>11-13</t>
  </si>
  <si>
    <t>p. 12-14</t>
  </si>
  <si>
    <t>additional_studies72_1</t>
  </si>
  <si>
    <t>additional_studies72</t>
  </si>
  <si>
    <t>Satisfaction effect</t>
  </si>
  <si>
    <t>Laniyonu, A. (2021). Phantom pains: The effect of police killings of black Americans on black British attitudes. British Journal of Political Science, 52(4), 1–17. https://doi.org/10.1017/S0007123421000557</t>
  </si>
  <si>
    <t>10.1017/S0007123421000557</t>
  </si>
  <si>
    <t>10.1017--s0007123421000557.pdf</t>
  </si>
  <si>
    <t>Nivette, A., Nägel, C., &amp; Gilbert, E. (2023). Examining the effects of the killing of George Floyd by police in the United States on attitudes of Black Londoners: a replication. Police Practice and Research, 24(5), 575–596. https://doi.org/10.1080/15614263.2023.2185241</t>
  </si>
  <si>
    <t>10.1080/15614263.2023.2185241</t>
  </si>
  <si>
    <t>“A recent study [...] found that Eric Garner’s death in NYC lead to more negative attitudes towards the police in London among Black residents compared to White and Asian residents. The current study aimed to replicate this transnational effect by assessing the impact of George Floyd’s death on Londoners’ perceptions of police.”</t>
  </si>
  <si>
    <t>protest policing; attitudes towards police; George Floyd; ethnicity; replication</t>
  </si>
  <si>
    <t>The effect of police killings on attitudes towards the police - Satisfaction</t>
  </si>
  <si>
    <t>"Consistent with Hypothesis 1, the results suggest that black Londoners’ overall satisfaction of the Metropolitan Police did fall significantly follow- ing the killing of Eric Garner in New York. I estimate that overall satisfaction with the police fell by a value of 3.54 following the police killing of Eric Garner [...]"</t>
  </si>
  <si>
    <t>p.1661</t>
  </si>
  <si>
    <t>−3.54</t>
  </si>
  <si>
    <t>p. 1663</t>
  </si>
  <si>
    <t>p. 4 - Supplemental material</t>
  </si>
  <si>
    <t>https://osf.io/tjr7a/</t>
  </si>
  <si>
    <t>RS</t>
  </si>
  <si>
    <t>Fairness effect</t>
  </si>
  <si>
    <t>The effect of police killings on attitudes towards the police - Perceptions of fairness</t>
  </si>
  <si>
    <t>" [...] overall perception of police fairness fell by 2.44 [...]"</t>
  </si>
  <si>
    <t>−2.44</t>
  </si>
  <si>
    <t>Engagement effect</t>
  </si>
  <si>
    <t>The effect of police killings on attitudes towards the police - Community engagement</t>
  </si>
  <si>
    <t>"[...] and perceptions of community engagement fell by 3.16."</t>
  </si>
  <si>
    <t>−3.16</t>
  </si>
  <si>
    <t>I am not sure which  statistical test was conducted in the replication study. Therefore, I report all information from the table. The manuscripts states that it was a pre- post test.; The original study reports the results of a regression in a table and I report all values of the table (related to the regression).</t>
  </si>
  <si>
    <t>attitude change after police killings</t>
  </si>
  <si>
    <t>Protest policing, attitudes towards police, George Floyd, ethnicity, replication</t>
  </si>
  <si>
    <t xml:space="preserve">police killings in other contexts play a role in shaping attitudes towards local police </t>
  </si>
  <si>
    <t>"Table 2 presents estimates of the effect of Eric Garner’s killing on the attitudes of black Londoners toward the Metropolitan Police. Consistent with Hypothesis 1, the results suggest that black Londoners’ overall satisfaction of the Metropolitan Police did fall significantly following the killing of Eric Garner in New York. I estimate that overall satisfaction with the police fell by a value of 3.54 following the police killing of Eric Garner", "This article presents evidence that police violence against black persons within the United States can negatively affect black persons’ attitudes toward the police elsewhere. I find clear evidence that the police killing of Eric Garner reduced black Londoners’ overall satisfaction with the Metropolitan Police, perceptions of police fairness, and sense of the quality of the Metropolitan Police’s community engagement."</t>
  </si>
  <si>
    <t>p. 11, p. 12, p. 13</t>
  </si>
  <si>
    <t>Regression discontinuity estimator = -3.54, robust SE = 1.44, robust CI (-6.37, -0.7)</t>
  </si>
  <si>
    <t>Estimate = -0.31, robust CI = (-1.11, 0.49), robust SE = 0.41</t>
  </si>
  <si>
    <t>Appendix B1</t>
  </si>
  <si>
    <t>https://doi.org/10.17605/OSF.IO/DT24J</t>
  </si>
  <si>
    <t>Teshome</t>
  </si>
  <si>
    <t>additional_studies74_1</t>
  </si>
  <si>
    <t>additional_studies74_a</t>
  </si>
  <si>
    <t>LR, Teshome</t>
  </si>
  <si>
    <t>I found it difficult which to code as various model specifications are fitted. Anyway, coefficient of physical game is considered in this row.</t>
  </si>
  <si>
    <t>Bloomfield, J., Balsa, A., &amp; Cid, A. (2023). Using behavioral insights in early childhood interventions: The effects of Crianza Positiva e-messaging program on parental investment. Review of the Economics of the Household, 21, 95–130. https://doi.org/10.1007/s11150-021-09593-4</t>
  </si>
  <si>
    <t>10.1007/s11150-021-09593-4</t>
  </si>
  <si>
    <t>10.1007--s11150-021-09593-4.pdf</t>
  </si>
  <si>
    <t>Balsa, A., Bloomfield, J. &amp; Cid, A. The Conceptual Replication of Crianza Positiva E-Messaging Program During the COVID-19 Pandemic: Too Much or Too Little Information?. J Fam Econ Iss (2024). https://doi.org/10.1007/s10834-024-09975-7</t>
  </si>
  <si>
    <t>10.1007/s10834-024-09975-7</t>
  </si>
  <si>
    <t>Evolutionary Psychology</t>
  </si>
  <si>
    <t>positive parenting intervention on frequency of parental involvement in physical games</t>
  </si>
  <si>
    <t>parenting, child development, parenting, stimulation, evaluation studies</t>
  </si>
  <si>
    <t>Crianza Positiva e-messaging program has incremental effect on the physical games.</t>
  </si>
  <si>
    <t>We find that the messaging intervention increases the frequency of parental involvement in physical games with the child in a magnitude of 0.27 standard deviations (I considered values reported in Column (3) as it's prefered by authors).</t>
  </si>
  <si>
    <t>https://doi.org/10.1257/rct.3585-2.0</t>
  </si>
  <si>
    <t>not reported</t>
  </si>
  <si>
    <t>please put NA in "prereg_r" if no prereg is mentioned</t>
  </si>
  <si>
    <t>additional_studies74_b</t>
  </si>
  <si>
    <t>Coefficient of didactive activities is considered in this row.</t>
  </si>
  <si>
    <t>positive parenting intervention on frequency of parental involvement in didactic activities</t>
  </si>
  <si>
    <t>Crianza Positiva e-messaging program has incremental effect on the didactive activities.</t>
  </si>
  <si>
    <t>We also find that the intervention increases the average frequency of parental engagement in didactic activities with the child by 0.29 standard deviations.</t>
  </si>
  <si>
    <t>additional_studies74_c</t>
  </si>
  <si>
    <t>Coefficient of socialization activities is considered in this row.</t>
  </si>
  <si>
    <t>Crianza Positiva e-messaging program has incremental effect on the social activities.</t>
  </si>
  <si>
    <t>The ITT effect on the frequency of parental involvement in social activities with the child has a magnitude of 0.27 standard deviations.</t>
  </si>
  <si>
    <t>Adira</t>
  </si>
  <si>
    <t>additional_studies74_1_a</t>
  </si>
  <si>
    <t>additional_studies74</t>
  </si>
  <si>
    <t>LR, AD</t>
  </si>
  <si>
    <t>This is a randomized control trial study which reports data and results differently. Sample was measured as families and not number of individuals involved in the intervention. Effects reported in standard deviations for the Bloomfield paper and standard errors in the Balsa paper. There were no significant effects in the Balsa paper.</t>
  </si>
  <si>
    <t>title, "conceptual replication"</t>
  </si>
  <si>
    <t xml:space="preserve">positive parenting behaviors </t>
  </si>
  <si>
    <t>Parenting, Early Childhood, Information and Communication Technology, Behavioural Economics, Child Development</t>
  </si>
  <si>
    <t>parental time invesment in physical games improves intention to treat</t>
  </si>
  <si>
    <t>We find that the messaging intervention increases the
frequency of parental involvement in physical games with the child in a magnitude of
0.27 standard deviations. This estimate is significant at a level of 5% when considering
unadjusted p values, clustering, or when considering p values adjusted for MHT, and at
the 10% level when conducting randomization inference.
suggesting that inattention and cognitive fatigue could be behind sub-optimal par-
enting decisions (Cooklin et al., 2012). We identified a similar negative relationship
between stress and parental involvement in physical games.</t>
  </si>
  <si>
    <t>Orindary least squares regression, p.17-18</t>
  </si>
  <si>
    <t xml:space="preserve">Reduced form model regression, p.6 </t>
  </si>
  <si>
    <t>additional_studies74_1_b</t>
  </si>
  <si>
    <t>Bloomfield, J., Balsa, A., &amp; Cid, A. (2023). Using behavioral insights in early childhood interventions: The effects of Crianza Positiva e-messaging program on parental investment. Review of the Economics of the Household, 21, 95–130. https://doi.org/10.1007/s11150-021-09593-5</t>
  </si>
  <si>
    <t>10.1007/s11150-021-09593-5</t>
  </si>
  <si>
    <t>Balsa, A., Bloomfield, J. &amp; Cid, A. The Conceptual Replication of Crianza Positiva E-Messaging Program During the COVID-19 Pandemic: Too Much or Too Little Information?. J Fam Econ Iss (2024). https://doi.org/10.1007/s10834-024-09975-8</t>
  </si>
  <si>
    <t>parental time invesment in didactic activites improves intention to treat</t>
  </si>
  <si>
    <t>We also find that the
intervention increases the average frequency of parental engagement in didactic activities
with the child by 0.29 standard deviations.</t>
  </si>
  <si>
    <t>Orindary least squares regression, p.17-19</t>
  </si>
  <si>
    <t>additional_studies74_1_c</t>
  </si>
  <si>
    <r>
      <rPr>
        <rFont val="Calibri"/>
        <sz val="11.0"/>
      </rPr>
      <t xml:space="preserve">Bloomfield, J., Balsa, A., &amp; Cid, A. (2023). Using behavioral insights in early childhood interventions: The effects of Crianza Positiva e-messaging program on parental investment. Review of the Economics of the Household, 21, 95–130. </t>
    </r>
    <r>
      <rPr>
        <rFont val="Calibri"/>
        <color rgb="FF1155CC"/>
        <sz val="11.0"/>
        <u/>
      </rPr>
      <t>https://doi.org/10.1007/s11150-021-09593-6</t>
    </r>
  </si>
  <si>
    <t>10.1007/s11150-021-09593-6</t>
  </si>
  <si>
    <r>
      <rPr>
        <rFont val="Calibri"/>
        <sz val="11.0"/>
      </rPr>
      <t xml:space="preserve">Balsa, A., Bloomfield, J. &amp; Cid, A. The Conceptual Replication of Crianza Positiva E-Messaging Program During the COVID-19 Pandemic: Too Much or Too Little Information?. J Fam Econ Iss (2024). </t>
    </r>
    <r>
      <rPr>
        <rFont val="Calibri"/>
        <color rgb="FF1155CC"/>
        <sz val="11.0"/>
        <u/>
      </rPr>
      <t>https://doi.org/10.1007/s10834-024-09975-9</t>
    </r>
  </si>
  <si>
    <t>parental time invesment in social activites improves intention to treat</t>
  </si>
  <si>
    <t>The ITT effect on the fre-
quency of parental involvement in social activities with the child has a magnitude of
0.27 standard deviations and is significant at the 5% level, but loses significance in the
absence of controls (Column (1)).</t>
  </si>
  <si>
    <t>Orindary least squares regression, p.17-20</t>
  </si>
  <si>
    <t>additional_studies74_1_d</t>
  </si>
  <si>
    <t>Bloomfield, J., Balsa, A., &amp; Cid, A. (2023). Using behavioral insights in early childhood interventions: The effects of Crianza Positiva e-messaging program on parental investment. Review of the Economics of the Household, 21, 95–130. https://doi.org/10.1007/s11150-021-09593-7</t>
  </si>
  <si>
    <t>10.1007/s11150-021-09593-7</t>
  </si>
  <si>
    <t>Balsa, A., Bloomfield, J. &amp; Cid, A. The Conceptual Replication of Crianza Positiva E-Messaging Program During the COVID-19 Pandemic: Too Much or Too Little Information?. J Fam Econ Iss (2024). https://doi.org/10.1007/s10834-024-09975-10</t>
  </si>
  <si>
    <t>higher scores on positive parenting scales is correlated with intention to treat</t>
  </si>
  <si>
    <t>Regarding the quality of parental investment, we find a positive effect of 0.31 stan-
dard deviations on the index of positive parenting when considering unadjusted
p values.</t>
  </si>
  <si>
    <t>Orindary least squares regression, p.17-21</t>
  </si>
  <si>
    <t>additional_studies74_1_e</t>
  </si>
  <si>
    <t>Bloomfield, J., Balsa, A., &amp; Cid, A. (2023). Using behavioral insights in early childhood interventions: The effects of Crianza Positiva e-messaging program on parental investment. Review of the Economics of the Household, 21, 95–130. https://doi.org/10.1007/s11150-021-09593-8</t>
  </si>
  <si>
    <t>10.1007/s11150-021-09593-8</t>
  </si>
  <si>
    <t>Balsa, A., Bloomfield, J. &amp; Cid, A. The Conceptual Replication of Crianza Positiva E-Messaging Program During the COVID-19 Pandemic: Too Much or Too Little Information?. J Fam Econ Iss (2024). https://doi.org/10.1007/s10834-024-09975-11</t>
  </si>
  <si>
    <t>parental stress index is correlated with intention to treat</t>
  </si>
  <si>
    <t>We find no evidence
of an effect of the intervention on parental stress, discount rate, or parental knowledge.</t>
  </si>
  <si>
    <t>Orindary least squares regression, p.17-22</t>
  </si>
  <si>
    <t>additional_studies74_1_f</t>
  </si>
  <si>
    <t>original sample size was visible on table 5, p. 18</t>
  </si>
  <si>
    <t>Bloomfield, J., Balsa, A., &amp; Cid, A. (2023). Using behavioral insights in early childhood interventions: The effects of Crianza Positiva e-messaging program on parental investment. Review of the Economics of the Household, 21, 95–130. https://doi.org/10.1007/s11150-021-09593-9</t>
  </si>
  <si>
    <t>10.1007/s11150-021-09593-9</t>
  </si>
  <si>
    <t>Balsa, A., Bloomfield, J. &amp; Cid, A. The Conceptual Replication of Crianza Positiva E-Messaging Program During the COVID-19 Pandemic: Too Much or Too Little Information?. J Fam Econ Iss (2024). https://doi.org/10.1007/s10834-024-09975-12</t>
  </si>
  <si>
    <t>main effect, parental involvement in physical games and intention to treat</t>
  </si>
  <si>
    <t>In particular,
families facing a larger number of negative shocks are more likely to implement
routines, are less likely to use violent discipline, and have a stronger sense of parental
competence at follow-up.</t>
  </si>
  <si>
    <t>Orindary least squares regression, p.17-23</t>
  </si>
  <si>
    <t>additional_studies74_1_g</t>
  </si>
  <si>
    <t>Bloomfield, J., Balsa, A., &amp; Cid, A. (2023). Using behavioral insights in early childhood interventions: The effects of Crianza Positiva e-messaging program on parental investment. Review of the Economics of the Household, 21, 95–130. https://doi.org/10.1007/s11150-021-09593-10</t>
  </si>
  <si>
    <t>10.1007/s11150-021-09593-10</t>
  </si>
  <si>
    <t>Balsa, A., Bloomfield, J. &amp; Cid, A. The Conceptual Replication of Crianza Positiva E-Messaging Program During the COVID-19 Pandemic: Too Much or Too Little Information?. J Fam Econ Iss (2024). https://doi.org/10.1007/s10834-024-09975-13</t>
  </si>
  <si>
    <t xml:space="preserve">interaction effect, parental involvement in physical games and intention to treat * negative shocks </t>
  </si>
  <si>
    <t>Orindary least squares regression, p.17-24</t>
  </si>
  <si>
    <t>additional_studies74_1_h</t>
  </si>
  <si>
    <t>Bloomfield, J., Balsa, A., &amp; Cid, A. (2023). Using behavioral insights in early childhood interventions: The effects of Crianza Positiva e-messaging program on parental investment. Review of the Economics of the Household, 21, 95–130. https://doi.org/10.1007/s11150-021-09593-11</t>
  </si>
  <si>
    <t>10.1007/s11150-021-09593-11</t>
  </si>
  <si>
    <t>Balsa, A., Bloomfield, J. &amp; Cid, A. The Conceptual Replication of Crianza Positiva E-Messaging Program During the COVID-19 Pandemic: Too Much or Too Little Information?. J Fam Econ Iss (2024). https://doi.org/10.1007/s10834-024-09975-14</t>
  </si>
  <si>
    <t>main effect, parental involvment in didactic activities and intention to treat</t>
  </si>
  <si>
    <t>Orindary least squares regression, p.17-25</t>
  </si>
  <si>
    <t>additional_studies74_1_i</t>
  </si>
  <si>
    <t>Bloomfield, J., Balsa, A., &amp; Cid, A. (2023). Using behavioral insights in early childhood interventions: The effects of Crianza Positiva e-messaging program on parental investment. Review of the Economics of the Household, 21, 95–130. https://doi.org/10.1007/s11150-021-09593-12</t>
  </si>
  <si>
    <t>10.1007/s11150-021-09593-12</t>
  </si>
  <si>
    <t>Balsa, A., Bloomfield, J. &amp; Cid, A. The Conceptual Replication of Crianza Positiva E-Messaging Program During the COVID-19 Pandemic: Too Much or Too Little Information?. J Fam Econ Iss (2024). https://doi.org/10.1007/s10834-024-09975-15</t>
  </si>
  <si>
    <t xml:space="preserve">interaction effect, parental involvement in didactic activities and intention to treat * negative shocks </t>
  </si>
  <si>
    <t>Orindary least squares regression, p.17-26</t>
  </si>
  <si>
    <t>additional_studies74_1_j</t>
  </si>
  <si>
    <t>Bloomfield, J., Balsa, A., &amp; Cid, A. (2023). Using behavioral insights in early childhood interventions: The effects of Crianza Positiva e-messaging program on parental investment. Review of the Economics of the Household, 21, 95–130. https://doi.org/10.1007/s11150-021-09593-13</t>
  </si>
  <si>
    <t>10.1007/s11150-021-09593-13</t>
  </si>
  <si>
    <t>Balsa, A., Bloomfield, J. &amp; Cid, A. The Conceptual Replication of Crianza Positiva E-Messaging Program During the COVID-19 Pandemic: Too Much or Too Little Information?. J Fam Econ Iss (2024). https://doi.org/10.1007/s10834-024-09975-16</t>
  </si>
  <si>
    <t>main effect, parental involvment in social activities and intention to treat</t>
  </si>
  <si>
    <t>Orindary least squares regression, p.17-27</t>
  </si>
  <si>
    <t>additional_studies74_1_k</t>
  </si>
  <si>
    <t>interaction effect,  parental involvment in social activities and intention to treat*negative shocks</t>
  </si>
  <si>
    <t>additional_studies74_1_l</t>
  </si>
  <si>
    <t>main effect, parental knowledge and intention to treat</t>
  </si>
  <si>
    <t>additional_studies74_1_m</t>
  </si>
  <si>
    <t>interaction effect, parental knowledge and intention to treat*negative shock</t>
  </si>
  <si>
    <t>additional_studies74_1_n</t>
  </si>
  <si>
    <t>main effect parental stress index and intention to treat</t>
  </si>
  <si>
    <t>additional_studies74_1_o</t>
  </si>
  <si>
    <t>interaction effect, parental stress index and intention to treat*negative shock</t>
  </si>
  <si>
    <t>additional_studies75_1</t>
  </si>
  <si>
    <t>additional_studies75</t>
  </si>
  <si>
    <t>No formal statistical test is conducted to test the hypothesis formulated both in the original and replication study.</t>
  </si>
  <si>
    <t>Shelton-Strong, S., &amp; Mynard, J. (2018). Affective factors in self-access learning. Relay Journal, 1(2), 275–292. https://doi.org/10.37237/relay/010204</t>
  </si>
  <si>
    <t>10.37237/relay/010204</t>
  </si>
  <si>
    <t>10.37237--relay--010204.pdf</t>
  </si>
  <si>
    <t>Menegale, M., &amp; Spricigo, L. (2024). Enhancing L2 confidence through learning diaries: A replication study on Italian lower-secondary school students. Studies in Self-Access Learning Journal, 15(2), 187–212. https://doi.org/10.37237/150205</t>
  </si>
  <si>
    <t>10.37237/150205</t>
  </si>
  <si>
    <t>10.37237--150205.pdf</t>
  </si>
  <si>
    <t>Although R is a replication, no real quantitative analysis have done. Both of them are kind of overview and descriptive only.</t>
  </si>
  <si>
    <t xml:space="preserve">The original study has been replicated multiple time, Spricigo, 2023 before the Menegale, 2024 paper. No effect sizes available to report since both studies used qualiative analyses. Both these studies have 3 RQs that are the same but it is hard to code the results based on the organization of this document. </t>
  </si>
  <si>
    <t>Menegale, M., &amp; Spricigo, L. (2024). Enhancing L2 confidence through learning diaries: A
replication study on Italian lower-secondary school students. Studies in Self-Access Learning
Journal, 15(2), 187–212. https://doi.org/10.37237/150205</t>
  </si>
  <si>
    <t>title, "replication"</t>
  </si>
  <si>
    <t>self-directed learning skills</t>
  </si>
  <si>
    <t>Self-directed Learning, Language Learning, Emotions, Affect, Positive Psychology Interventions</t>
  </si>
  <si>
    <t xml:space="preserve">Keeping a diary improves' students motivation for learning </t>
  </si>
  <si>
    <t>"In this paper, we have considered ways in which to embed a focus on affect into a
self-directed learning course, and the implications this may have for language learners. We
have given some examples of tools that could be used for awareness-raising and strategy-
building, and we have talked about the role of advising in this process. From the examples of
student work and reflections, it would appear that the potential for raising awareness through
an explicit focus on affective factors, such as confidence, can be helpful for learners as they
learn to monitor their emotions, and engage with their contribution to their own learning
processes. One final point to make is that although we have found that tools can be very
useful, it is the combination of the tools, opportunities for reflection, and the dialogue that
make these activities particularly powerful, enabling a shift in metacognitive awareness and
self-discovery, with this being further developed through face-to-face or written advising."</t>
  </si>
  <si>
    <t>15,16</t>
  </si>
  <si>
    <t>Diary entries and semi-structured interviews, Qualitative content analysis</t>
  </si>
  <si>
    <t>Diary entries, semi-structured interviews, qualitative content analysis, p. 192-194</t>
  </si>
  <si>
    <t>additional_studies77_1</t>
  </si>
  <si>
    <t>additional_studies77</t>
  </si>
  <si>
    <r>
      <rPr>
        <rFont val="Calibri"/>
        <color rgb="FF000000"/>
        <sz val="11.0"/>
      </rPr>
      <t xml:space="preserve">Collins, H. K., Hagerty, S. F., Quoidbach, J., Norton, M. I., &amp; Brooks, A. W. (2022). Relational diversity in social portfolios predicts well-being. Proceedings of the National Academy of Sciences, 119(43), e2120668119. </t>
    </r>
    <r>
      <rPr>
        <rFont val="Calibri"/>
        <color rgb="FF1155CC"/>
        <sz val="11.0"/>
        <u/>
      </rPr>
      <t>https://doi.org/10.1073/pnas.2120668119</t>
    </r>
  </si>
  <si>
    <t>10.1073/pnas.2120668119</t>
  </si>
  <si>
    <t>10.1073--pnas.212066811.pdf</t>
  </si>
  <si>
    <t>Metskas, A. K. (2024, June 26). Replication of a study from “Relational diversity in social portfolios predicts well-being”  (PNAS | Collins et al. 2022). https://doi.org/10.31234/osf.io/jfmsz</t>
  </si>
  <si>
    <t>10.31234/osf.io/jfmsz</t>
  </si>
  <si>
    <t>social porfolio diversity</t>
  </si>
  <si>
    <t>well-being, relationships, diversity, conversation</t>
  </si>
  <si>
    <t>Variety and amount of interpersonal interactions improves well-being</t>
  </si>
  <si>
    <t>In support of our preregistered hypothesis, respondents’ in­person social portfolio diversity predicted higher well­being over and above this relationship (β = 0.13, b = 0.54, 95% CI [0.15, 0.92], P = 0.007, n = 576).</t>
  </si>
  <si>
    <t>https://aspredicted.org/blind.php?x=6w6gu4</t>
  </si>
  <si>
    <t>https://researchbox.org/1499</t>
  </si>
  <si>
    <t>Well done! :-)</t>
  </si>
  <si>
    <t>Effect from original study: b = 0.54, 95% CI [0.15, 0.92]; Effect from replication study: ,b=0.410,95%CI[0.085,0.735]</t>
  </si>
  <si>
    <r>
      <rPr>
        <rFont val="Calibri"/>
        <color rgb="FF000000"/>
        <sz val="11.0"/>
      </rPr>
      <t xml:space="preserve">Collins, H. K., Hagerty, S. F., Quoidbach, J., Norton, M. I., &amp; Brooks, A. W. (2022). Relational diversity in social portfolios predicts well-being. Proceedings of the National Academy of Sciences, 119(43), e2120668119. </t>
    </r>
    <r>
      <rPr>
        <rFont val="Calibri"/>
        <color rgb="FF1155CC"/>
        <sz val="11.0"/>
        <u/>
      </rPr>
      <t>https://doi.org/10.1073/pnas.2120668119</t>
    </r>
  </si>
  <si>
    <t>additional_studies78_1</t>
  </si>
  <si>
    <t>additional_studies78</t>
  </si>
  <si>
    <t>Shah, A.K., LaForest, M. Knowledge about others reduces one’s own sense of anonymity. Nature 603, 297–301 (2022). https://doi.org/10.1038/s41586-022-04452-3</t>
  </si>
  <si>
    <t>10.1038/s41586-022-04452-3</t>
  </si>
  <si>
    <t>2A</t>
  </si>
  <si>
    <t>10.1038--s41586-022-04452-3.pdf</t>
  </si>
  <si>
    <t>Metskas, A. K. (2024, June 26). Replication of a study from “Knowledge about others reduces one’s own sense of anonymity”  (Nature | Shah &amp; LaForest 2022). https://doi.org/10.31234/osf.io/xjaty</t>
  </si>
  <si>
    <t>10.31234/osf.io/xjaty</t>
  </si>
  <si>
    <t xml:space="preserve">perception of self and others </t>
  </si>
  <si>
    <t>social, anonymity</t>
  </si>
  <si>
    <t>Our sense of anonymity depends not only on what people know about us but also on what we know about them.</t>
  </si>
  <si>
    <t>Participants in the information condition believed that there was a higher likelihood that their partner would detect their lie (information: M = 41.06%, 95% CI = 37.76–44.35%; versus no information: M = 33.29%, 95% CI = 30.34–36.24%), independent samples t-test for unequal variances: t(453.20) = 3.44, P &lt; 0.001, d = 0.32).</t>
  </si>
  <si>
    <t>https://aspredicted.org/PHY_PZZ</t>
  </si>
  <si>
    <t>additional_studies78_1_a</t>
  </si>
  <si>
    <t>description of effect taken from table 2 in Metsakas paper because of clarity, p. 5</t>
  </si>
  <si>
    <t>Social ties, Self-perception, Self-concept, Social interactions</t>
  </si>
  <si>
    <t>H1: Participants in the information
condition will report a significantly
higher percentage chance of lie
detection by their ‘partner’ than
participants in the no information
condition.(entire sample)</t>
  </si>
  <si>
    <t>1.91–5.99). In this paradigm, participants in the information
condition were more likely to believe that they were connected to another
person (58.3% (information condition) versus 40.6% (no information
condition), X2
= 14.53, P &lt; 0.001, Cramer’s V = 0.18). The</t>
  </si>
  <si>
    <t>Independent samples t-test, Welch's t-test, p. 3</t>
  </si>
  <si>
    <t>Independent samples/ Welch's t-test</t>
  </si>
  <si>
    <t>es_repr_r codes the page, the es_value_r was found on</t>
  </si>
  <si>
    <t>additional_studies78_1_b</t>
  </si>
  <si>
    <t>H2: Participants in the information
condition will report significantly
higher responses to how well they
believe they know their ‘partner’.
(entire sample)</t>
  </si>
  <si>
    <t>Participants were not asked how well they knew
their partner or the suspicion question. Again, when participants had
information about their partners, they thought that their partners
would be better at detecting their lies (F(2, 549) = 4.98, P = 0.007,
ηp
2
= 0.02).</t>
  </si>
  <si>
    <t>independent samples t-test, Student's t-test, p. 3</t>
  </si>
  <si>
    <t xml:space="preserve">Independent samples/ Student's t-test </t>
  </si>
  <si>
    <t>additional_studies78_1_c</t>
  </si>
  <si>
    <t xml:space="preserve">description of effect taken from table 2 in Metsakas paper because of clarity, p. 5; </t>
  </si>
  <si>
    <t>Knowledge of the ‘partner’
mediates the relationship between
the condition participants were
assigned to and their assessment
of the percentage chance that their
‘partner’ will detect their lie. (entire
sample)</t>
  </si>
  <si>
    <t>mediation analysis, p.3</t>
  </si>
  <si>
    <t>mediation analysis</t>
  </si>
  <si>
    <t>NOT REPORTED</t>
  </si>
  <si>
    <t>additional_studies78_1_d</t>
  </si>
  <si>
    <t>description of effect taken from table 2 in Metsakas paper because of clarity, p. 6; original effect sizes were calculated by replication author</t>
  </si>
  <si>
    <t>Participants in the information
condition will report a significantly
higher percentage chance of lie
detection by their ‘partner’ than
participants in the no information
condition.(manipulation check
passed only)</t>
  </si>
  <si>
    <t>Moreover, participants in the information condition felt as if they
knew their partner better (information: M = 4.55, 95% CI = 4.39–4.72
versus no information: M = 3.89, 95% CI = 3.70–4.08), unequal variances
t-test t(979.85) = 5.23, P &lt; 0.001, d = 0.33).</t>
  </si>
  <si>
    <t>additional_studies78_1_e</t>
  </si>
  <si>
    <t>H5: Participants in the information
condition will report significantly
higher responses to how well they
believe they know their ‘partner’.
(manipulation check passed only)</t>
  </si>
  <si>
    <t>In addition, participants
in the information condition felt as if their partner knew them bet-
ter (information: M = 4.32, 95% CI = 4.15–4.49 versus no information:
M = 3.94, 95% CI = 3.76–4.13), unequal variances t-test t(994.87) = 2.96,
P = 0.003, d = 0.19).</t>
  </si>
  <si>
    <t>independent samples t-test, Welch's t-test, p. 3</t>
  </si>
  <si>
    <t>additional_studies78_1_f</t>
  </si>
  <si>
    <t>description of effect taken from table 2 in Metsakas paper because of clarity, p. 6</t>
  </si>
  <si>
    <t>H6: Knowledge of the ‘partner’
mediates the relationship between
the condition participants were
assigned to and their assessment
of the percentage chance that their
‘partner’ will detect their lie.
(manipulation check passed only)</t>
  </si>
  <si>
    <t>Participants’ feelings of knowing their partner and
their feeling of their partner knowing them significantly mediated the
effect of information on (dis)honesty (knowing their partner: indirect
effect = −0.09, bias-corrected 95% CI = −0.15 to −0.04; their partner
knowing them: indirect effect = −0.05, bias-corrected 95% CI = −0.11
to −0.02; for serial mediation, see Supplementary Information A.3).</t>
  </si>
  <si>
    <t xml:space="preserve">NOT REPORTED </t>
  </si>
  <si>
    <t>additional_studies8_1</t>
  </si>
  <si>
    <t>additional_studies8</t>
  </si>
  <si>
    <t>excluded</t>
  </si>
  <si>
    <t>Saini, M., Pruett, M. K., Alschech, J., &amp; Sushchyk, A. R. (2019). A pilot study to assess coparenting across family structures (CoPAFS). Journal of Child and Family Studies, 28, 1392-1401. https://doi.org/10.1007/s10826-019-01370-3</t>
  </si>
  <si>
    <t>10.1007/s10826-019-01370-3</t>
  </si>
  <si>
    <t>10.1007--s10826-019-01370-3.pdf</t>
  </si>
  <si>
    <t>Pruett, M. K., Wang, X., Zhu, T., Alschech, J., &amp; Saini, M. (2024). The Co-Parenting Across Family Structures Scale: Replication for Mandarin parents. Family process, 10.1111/famp.12997. Advance online publication. https://doi.org/10.1111/famp.12997</t>
  </si>
  <si>
    <t>10.1111/famp.12997</t>
  </si>
  <si>
    <t>There is no specified original study in the "replication". The "replication" in this table investigates psychometric properties of the short form scale of CoPAFS, the "original" in this table investigates these properties in the full scale (in a different culture).</t>
  </si>
  <si>
    <t>Coparenting</t>
  </si>
  <si>
    <t>Sophie (to do)</t>
  </si>
  <si>
    <t>Effect size was calculated. Authors state that all domains were significant but do not report exact p-values.</t>
  </si>
  <si>
    <t>Co-Parenting Across Family Structures Effect</t>
  </si>
  <si>
    <t>co-parenting, cross-cultural, family structures, measurement,
parenting</t>
  </si>
  <si>
    <t>Difference in co-parenting quality between groups</t>
  </si>
  <si>
    <t>additional_studies80_1</t>
  </si>
  <si>
    <t>additional_studies80</t>
  </si>
  <si>
    <t>No formal statistical test is conducted to test the central hypothesis formulated both in the original and replication study. Their conclusion are simply based on the average mean.</t>
  </si>
  <si>
    <t>Seward, R., &amp; Redner, R. (2023). Step it UP! game increases steps of adults with disabilities. Journal of Applied Behavior Analysis, 56(1), 231–240. https://doi.org/10.1002/jaba.968</t>
  </si>
  <si>
    <t>10.1002/jaba.968</t>
  </si>
  <si>
    <t>10.1002--jaba.968.pdf</t>
  </si>
  <si>
    <t>Seward, R., &amp; Redner, R. (2024). A replication of extended implementation and social interaction during the Step it UP! Game for adults with disabilities. Journal of Applied Behavior Analysis, 1–16. https://doi.org/10.1002/jaba.1098</t>
  </si>
  <si>
    <t>10.1002/jaba.1098</t>
  </si>
  <si>
    <t>physical activity</t>
  </si>
  <si>
    <t>Step it UP! Game increases steps of adults with disabilities</t>
  </si>
  <si>
    <t>Mean step count increased from 24.35 steps per minute during baseline to 54.76 steps per minute during the intervention.</t>
  </si>
  <si>
    <t xml:space="preserve">The study used means to compare baseline and intervention step count. </t>
  </si>
  <si>
    <t>physical activity, step count</t>
  </si>
  <si>
    <t>Good Behavior Game, Physical Activity, Public Health, Step it UP! Game</t>
  </si>
  <si>
    <t>"Overall, the results of the current study are consistent with previous research that used the Step it
UP! Game to increase step counts"</t>
  </si>
  <si>
    <t>Mean, p.6</t>
  </si>
  <si>
    <t>mean, p. 3</t>
  </si>
  <si>
    <t>This was an internal replication (same authors, same study) but you coded it as "conceptual".</t>
  </si>
  <si>
    <t>additional_studies82_1</t>
  </si>
  <si>
    <t>additional_studies82</t>
  </si>
  <si>
    <t>Honestly, it's very confusing which to code as different model specifications are fitted &amp; I need help from coordinators. For now, I coded the estimates reported in last column of Table 1.</t>
  </si>
  <si>
    <t>Barceló, J. (2021). “The Long-term Effects of War Exposure on Civic Engagement.” Proceedings of the National Academy of Sciences, 118 (6) (February): e2015539118 https://doi.org/10.1073/pnas.2015539118</t>
  </si>
  <si>
    <t>10.1073/pnas.2 015539118</t>
  </si>
  <si>
    <t>10.1073--pnas.2 015539118.pdf</t>
  </si>
  <si>
    <t>Malesky, E. J., &amp; Nguyen, T. A. (2024). Historical Communist Party Strength and Modern Party Loyalty. A Replication Study of Barceló (PNAS, 2021). Journal of Comments and Replications in Economics (JCRE), 3(2024-5), 1-27. https://doi.org/10.18718/81781.35%0A</t>
  </si>
  <si>
    <t>10.18718/81781.35%0A</t>
  </si>
  <si>
    <t>10.18718--81781.35%0a.pdf</t>
  </si>
  <si>
    <t>reproduction, not replication</t>
  </si>
  <si>
    <t>war exposure and civic engagement</t>
  </si>
  <si>
    <t>Conflict, Civic Engagement, Vietnam War, Historical Legacies</t>
  </si>
  <si>
    <t>Conflict affected individuals tend to engage more in social organization and hold greater expressive values, at least 26 year after the individual’s exposure to the war.</t>
  </si>
  <si>
    <t>The impact of having experienced the Vietnam War is about three times—0.30 standardized effect in the OLS full model—and five times—0.56 standardized effect in the IV full model (see also Table 1).</t>
  </si>
  <si>
    <t>- You took the wrong model for the reproduction.
- This is a reproduction and not a replication, so you should not have coded it in the first place.</t>
  </si>
  <si>
    <t>additional_studies82_1_a</t>
  </si>
  <si>
    <t>model 3 of binary factor analysis</t>
  </si>
  <si>
    <t>Barceló, J. (2021). “The Long-term Effects of War Exposure on Civic Engagement.” Proceedings of the National Academy of Sciences, 118 (6) (February): e2015539118 https://doi.org/10.1073/pnas.2
015539118</t>
  </si>
  <si>
    <t xml:space="preserve">Greater exposure to bombing leads to greater civic engagement years after the exposure </t>
  </si>
  <si>
    <t>binary factor analysis, p. 5; ordinary least squares p.6</t>
  </si>
  <si>
    <t>binary factor analysis, p.3</t>
  </si>
  <si>
    <t>- I could not find the values that you reported for the original paper in the original paper but only in the replication paper. Please only put values from the original report into the _o variables.
- You reported an incorrect sample size. Each model has the number of observations at the bottom, which is never 1000. Please make sure you code the correct number in the future.
- This is a reproduction and not a replication, so you should not have coded it in the first place.</t>
  </si>
  <si>
    <t>additional_studies82_1_b</t>
  </si>
  <si>
    <t>model 4 of binary factor analysis</t>
  </si>
  <si>
    <t>additional_studies82_1_c</t>
  </si>
  <si>
    <t>model 5 of binary factor analysis</t>
  </si>
  <si>
    <t>additional_studies85</t>
  </si>
  <si>
    <t>additional_studies85_a</t>
  </si>
  <si>
    <t>Longoni, A.M., Richardson, J.T.E. &amp; Aiello, A. Articulatory rehearsal and phonological storage in working memory. Memory &amp; Cognition 21, 11–22 (1993). https://doi.org/10.3758/BF03211160</t>
  </si>
  <si>
    <t>10.3758/BF03211160</t>
  </si>
  <si>
    <t>10.3758--bf03211160.pdf</t>
  </si>
  <si>
    <t>Couture, C., Veilleux, C., Chinhama, S., de Boinod, O. J., Payment, B., Husereau, T., &amp; Ouellette, É. (2024). Articulatory rehearsal and phonological storage in working memory: A replication of Longoni et al. (1993). The Quantitative Methods for Psychology, 20(1), r1–r12. https://doi.org/10.20982/tqmp.20.1.r001</t>
  </si>
  <si>
    <t>10.20982/tqmp.20.1.r001</t>
  </si>
  <si>
    <t>Articulatory rehearsal and phonological storage</t>
  </si>
  <si>
    <t>phonological loop replication, word length effect, phonemic similarity, working memory, replicability predicament.</t>
  </si>
  <si>
    <t>Word length effect reflects the contribution of the articulatory rehearsal process</t>
  </si>
  <si>
    <t>Indicates that longer words are harder to recall than shorter words, reflecting the role of the articulatory rehearsal process.</t>
  </si>
  <si>
    <t>p. 3-4</t>
  </si>
  <si>
    <t>additional_studies85_b</t>
  </si>
  <si>
    <t>Cognitive psychology</t>
  </si>
  <si>
    <t>Phonemic similarity effect reflects the phonological storage capacity.</t>
  </si>
  <si>
    <t>Indicates that phonemically similar words are harder to recall than phonemically distinct words, reflecting the phonological storage capacity.</t>
  </si>
  <si>
    <t>additional_studies85_c</t>
  </si>
  <si>
    <t>Articulatory suppression effect</t>
  </si>
  <si>
    <t>Suggests that articulatory suppression abolishes the word length effect but does not diminish the phonemic similarity effect, supporting the distinction between the two processes.</t>
  </si>
  <si>
    <t>additional_studies85_1</t>
  </si>
  <si>
    <t>added es_repr_o, added NA to prereg_r</t>
  </si>
  <si>
    <t>Articulatory rehearsal and phonological storage in working memory:</t>
  </si>
  <si>
    <t>effects of articulatory suppression  [...] upon the number of sequences recalled</t>
  </si>
  <si>
    <t>effects of articulatory suppression [F(1,22) == 17.62, MSe == 14.95, P &lt; .001] [...] upon the number of sequences recalled</t>
  </si>
  <si>
    <t>F(1,22) = 17.62</t>
  </si>
  <si>
    <t>please be consistent and report the full test statistic</t>
  </si>
  <si>
    <t>phonemic similarity  [...] upon the number of sequences recalled</t>
  </si>
  <si>
    <t>phonemic similarity [F(1,22) == 121.10,MSe == 2.76,p &lt; .001] [...] upon the number of sequences recalled</t>
  </si>
  <si>
    <t>F(1,22) =121.10</t>
  </si>
  <si>
    <t>added es_repr_o; added degrees of freedem to es_value_o, added NA to prereg_r</t>
  </si>
  <si>
    <t>word length  [...]  upon the number of sequences recalled</t>
  </si>
  <si>
    <t>word length [F(1,22) == 35.41,MSe == 1.84,p &lt;.001] [...]  upon the number of sequences recalled</t>
  </si>
  <si>
    <r>
      <rPr>
        <rFont val="Google Sans"/>
        <color rgb="FF00FF00"/>
        <sz val="9.0"/>
      </rPr>
      <t xml:space="preserve">F(1,22) = </t>
    </r>
    <r>
      <rPr>
        <rFont val="Google Sans"/>
        <color rgb="FF1F1F1F"/>
        <sz val="9.0"/>
      </rPr>
      <t>35.41</t>
    </r>
  </si>
  <si>
    <t>additional_studies85_d</t>
  </si>
  <si>
    <t>added es_repr_o, added degrees of freedem to es_value_o, added NA to prereg_r</t>
  </si>
  <si>
    <t>effect of phonemic similarity [..] recall performance</t>
  </si>
  <si>
    <t>effect of phonemic similarity [F(I,15) = 214.17, MSe = 3.10, p &lt; .001</t>
  </si>
  <si>
    <r>
      <rPr>
        <rFont val="Calibri"/>
        <color rgb="FF00FF00"/>
        <sz val="11.0"/>
      </rPr>
      <t>F(I,15) =</t>
    </r>
    <r>
      <rPr>
        <rFont val="Calibri"/>
        <color theme="1"/>
        <sz val="11.0"/>
      </rPr>
      <t xml:space="preserve"> 214.17</t>
    </r>
  </si>
  <si>
    <t>additional_studies85_e</t>
  </si>
  <si>
    <t>word length  [...]  upon the recall performance</t>
  </si>
  <si>
    <t>effect of word length [F(I, 15) = 34.34, MSe = 1.33, P &lt; .001],</t>
  </si>
  <si>
    <r>
      <rPr>
        <rFont val="Calibri"/>
        <color rgb="FF00FF00"/>
        <sz val="11.0"/>
      </rPr>
      <t xml:space="preserve">F(1,15) = </t>
    </r>
    <r>
      <rPr>
        <rFont val="Calibri"/>
        <color theme="1"/>
        <sz val="11.0"/>
      </rPr>
      <t>34.34</t>
    </r>
  </si>
  <si>
    <t>additional_studies85_f</t>
  </si>
  <si>
    <t>added es_repr_o, added degrees of freedem to es_value_o, added NA to prereg_r, discarded since the effect in o was not replicated</t>
  </si>
  <si>
    <t>effect of blocks [...] on percentage of items correctly recalled</t>
  </si>
  <si>
    <t>effect of blocks [F(I,22) = 11.09, MS. = 12.21, P &lt; .005]</t>
  </si>
  <si>
    <r>
      <rPr>
        <rFont val="Calibri"/>
        <color rgb="FF00FF00"/>
        <sz val="11.0"/>
      </rPr>
      <t>F(I,22) =</t>
    </r>
    <r>
      <rPr>
        <rFont val="Calibri"/>
        <color theme="1"/>
        <sz val="11.0"/>
      </rPr>
      <t xml:space="preserve"> 11.09</t>
    </r>
  </si>
  <si>
    <t>additional_studies85_g</t>
  </si>
  <si>
    <t>effect of word length [...] on percentage of items correctly recalled</t>
  </si>
  <si>
    <t>effect of word length [F(I,22) = 13.53, MS. = 14.66, P &lt; .001]</t>
  </si>
  <si>
    <r>
      <rPr>
        <rFont val="Calibri"/>
        <color rgb="FF00FF00"/>
        <sz val="11.0"/>
      </rPr>
      <t>F(I,22) =</t>
    </r>
    <r>
      <rPr>
        <rFont val="Calibri"/>
        <color theme="1"/>
        <sz val="11.0"/>
      </rPr>
      <t xml:space="preserve"> 13.53</t>
    </r>
  </si>
  <si>
    <t>additional_studies85_h</t>
  </si>
  <si>
    <t>effect of unattended speech [...] on percentage of items correctly recalled</t>
  </si>
  <si>
    <t>effect of unattended speech [F(I,22) = 30.80, MS.e = 12.21, p &lt; .001]</t>
  </si>
  <si>
    <r>
      <rPr>
        <rFont val="Calibri"/>
        <color rgb="FF00FF00"/>
        <sz val="11.0"/>
      </rPr>
      <t xml:space="preserve">F(I,22) = </t>
    </r>
    <r>
      <rPr>
        <rFont val="Calibri"/>
        <color theme="1"/>
        <sz val="11.0"/>
      </rPr>
      <t>30.8</t>
    </r>
  </si>
  <si>
    <t>additional_studies85_i</t>
  </si>
  <si>
    <t>added es_repr_o, added degrees of freedem to es_value_o, added NA to prereg_r, added the degrees of freedom to es_value_r</t>
  </si>
  <si>
    <t>effects of presentation rate [...] on total number of [...] correctly recalled times</t>
  </si>
  <si>
    <t>effects of presentation rate [F(l,20) = 31.04, MSe = 56.96,p &lt; .001]</t>
  </si>
  <si>
    <r>
      <rPr>
        <rFont val="Calibri"/>
        <color rgb="FF00FF00"/>
        <sz val="11.0"/>
      </rPr>
      <t>F(l,20) =</t>
    </r>
    <r>
      <rPr>
        <rFont val="Calibri"/>
        <color theme="1"/>
        <sz val="11.0"/>
      </rPr>
      <t xml:space="preserve"> 31.04</t>
    </r>
  </si>
  <si>
    <r>
      <rPr>
        <rFont val="Calibri"/>
        <color rgb="FF00FF00"/>
        <sz val="11.0"/>
      </rPr>
      <t>F (1, 20) =</t>
    </r>
    <r>
      <rPr>
        <rFont val="Calibri"/>
        <color rgb="FFFF0000"/>
        <sz val="11.0"/>
      </rPr>
      <t xml:space="preserve"> 1.048</t>
    </r>
  </si>
  <si>
    <t>additional_studies85_j</t>
  </si>
  <si>
    <t>effects of phonemic similarity [...] on total number of [...] correctly recalled times</t>
  </si>
  <si>
    <t>phonemic similarity [F(l,20) = 23.33, MSe = 14.79, P &lt; .001]</t>
  </si>
  <si>
    <r>
      <rPr>
        <rFont val="Calibri"/>
        <color rgb="FF00FF00"/>
        <sz val="11.0"/>
      </rPr>
      <t>F(l,20) =</t>
    </r>
    <r>
      <rPr>
        <rFont val="Calibri"/>
        <color theme="1"/>
        <sz val="11.0"/>
      </rPr>
      <t xml:space="preserve"> 23.33</t>
    </r>
  </si>
  <si>
    <r>
      <rPr>
        <rFont val="Calibri"/>
        <color rgb="FF00FF00"/>
        <sz val="11.0"/>
      </rPr>
      <t xml:space="preserve">F (1, 20) </t>
    </r>
    <r>
      <rPr>
        <rFont val="Calibri"/>
        <color rgb="FFFF0000"/>
        <sz val="11.0"/>
      </rPr>
      <t>=67.045</t>
    </r>
  </si>
  <si>
    <t>additional_studies85_k</t>
  </si>
  <si>
    <t>added es_repr_o, added NA to prereg_r, added the degrees of freedom to es_value_r</t>
  </si>
  <si>
    <t>effects of articulatory suppression [...] on total number of [...] correctly recalled times</t>
  </si>
  <si>
    <t>articulatory suppression [F(I,20) = 33.24, MSe = 8.43,p &lt; .001]</t>
  </si>
  <si>
    <t>F(I,20) = 33.24</t>
  </si>
  <si>
    <r>
      <rPr>
        <rFont val="Calibri"/>
        <color rgb="FF00FF00"/>
        <sz val="11.0"/>
      </rPr>
      <t>F (1, 20) =</t>
    </r>
    <r>
      <rPr>
        <rFont val="Calibri"/>
        <color rgb="FFFF0000"/>
        <sz val="11.0"/>
      </rPr>
      <t>0.378</t>
    </r>
  </si>
  <si>
    <t>additional_studies85_l</t>
  </si>
  <si>
    <t>effects of phonemic similarity [...] percentage of items that were correctly recalled</t>
  </si>
  <si>
    <t>phonemic similarity [F(1,20) = 55.60, MSe = 15.86, P &lt; .001]</t>
  </si>
  <si>
    <t>F(1,20) = 55.60</t>
  </si>
  <si>
    <t>p. 19</t>
  </si>
  <si>
    <r>
      <rPr>
        <rFont val="Calibri"/>
        <color rgb="FF00FF00"/>
        <sz val="11.0"/>
      </rPr>
      <t xml:space="preserve">F (1, 20) = </t>
    </r>
    <r>
      <rPr>
        <rFont val="Calibri"/>
        <color rgb="FFFF0000"/>
        <sz val="11.0"/>
      </rPr>
      <t>124.61</t>
    </r>
  </si>
  <si>
    <t>additional_studies85_m</t>
  </si>
  <si>
    <t>effects of articulatory suppression [...] percentage of items that were correctly recalled</t>
  </si>
  <si>
    <t>articulatory suppression [F(1,20) = 41.96, MSe = 14.18, p &lt; .001].</t>
  </si>
  <si>
    <t>F(1,20) = 41.96</t>
  </si>
  <si>
    <r>
      <rPr>
        <rFont val="Calibri"/>
        <color rgb="FF00FF00"/>
        <sz val="11.0"/>
      </rPr>
      <t>F (1, 20)</t>
    </r>
    <r>
      <rPr>
        <rFont val="Calibri"/>
        <color rgb="FFFF0000"/>
        <sz val="11.0"/>
      </rPr>
      <t xml:space="preserve"> = 0.83</t>
    </r>
  </si>
  <si>
    <t>additional_studies85_n</t>
  </si>
  <si>
    <t>effects of recall delay [...] percentage of items that were correctly recalled</t>
  </si>
  <si>
    <t>recall delay [...] [F(1,20) = 6.48, MSe = 70.20, P &lt; .02],</t>
  </si>
  <si>
    <t>F(1,20) = 6.48</t>
  </si>
  <si>
    <r>
      <rPr>
        <rFont val="Calibri"/>
        <color rgb="FF00FF00"/>
        <sz val="11.0"/>
      </rPr>
      <t xml:space="preserve">F (1, 20) = </t>
    </r>
    <r>
      <rPr>
        <rFont val="Calibri"/>
        <color rgb="FFFF0000"/>
        <sz val="11.0"/>
      </rPr>
      <t>0.68</t>
    </r>
  </si>
  <si>
    <t>additional_studies86_1</t>
  </si>
  <si>
    <t>additional_studies86_a</t>
  </si>
  <si>
    <t>Effect of L1 speakers on competence (main effect)</t>
  </si>
  <si>
    <t>Teló, C., P.  Trofimovich, and M. G.  O’Brien.  2022. ‘Disentangling professional competence and foreign accent,’  Journal of Second Language Pronunciation  8/3: 413–43. https://doi.org/10.1075/jslp.22013.tel</t>
  </si>
  <si>
    <t>10.1075/jslp.22013.tel</t>
  </si>
  <si>
    <t>10.1075--jslp.22013.tel.pdf</t>
  </si>
  <si>
    <t>Cesar Teló, Rosane Silveira, Ana Flávia Boeing Marcelino, Mary G O’Brien, Accent Bias in Professional Evaluations: A Conceptual Replication Study in Brazil, Applied Linguistics, 2024;, amae042, https://doi.org/10.1093/applin/amae042</t>
  </si>
  <si>
    <t>10.1093/applin/amae042</t>
  </si>
  <si>
    <t>Accent bias</t>
  </si>
  <si>
    <t>second langauge, accent</t>
  </si>
  <si>
    <t>Compared to English speakers, Tagalog speakers were rated as less competent.</t>
  </si>
  <si>
    <t>Listeners rated English speakers as more competent than Tagalog speakers (in Table 1: beta=-3.22, p&lt;0.001).</t>
  </si>
  <si>
    <t>additional_studies86_b</t>
  </si>
  <si>
    <t>Three-way interaction effect</t>
  </si>
  <si>
    <t>Cesar Teló, Rosane Silveira, Ana Flávia Boeing Marcelino, Mary G O’Brien, Accent Bias in Professional Evaluations: A Conceptual Replication Study in Brazil, Applied Linguistics, 2024;, amae042, https://doi.org/10.1093/applin/amae043</t>
  </si>
  <si>
    <t>A significant three-way interaction was driven by the competence ratings in low-performance scenarios, where both English and Tagalog speakers received higher competence ratings in low- versus high-prestige jobs, but the magnitude of this difference was greater for English speakers.</t>
  </si>
  <si>
    <t>additional_studies86_c</t>
  </si>
  <si>
    <t>Effect of L1 speakers on treatment preference (main effect)</t>
  </si>
  <si>
    <t>Cesar Teló, Rosane Silveira, Ana Flávia Boeing Marcelino, Mary G O’Brien, Accent Bias in Professional Evaluations: A Conceptual Replication Study in Brazil, Applied Linguistics, 2024;, amae042, https://doi.org/10.1093/applin/amae044</t>
  </si>
  <si>
    <t>Compared to English speakers, Tagalog speakers were rated as less treated.</t>
  </si>
  <si>
    <t>Listeners gave higher preference ratings to English than Tagalog speakers (in Table 2: beta=-3.56, p&lt;0.001).</t>
  </si>
  <si>
    <t>additional_studies86_d</t>
  </si>
  <si>
    <t>A significant three-way interaction was driven by the treatment preference ratings given to Tagalog speakers (rather than English speakers) in low-performance scenarios, where Tagalog speakers received higher ratings in low- versus high-prestige jobs.</t>
  </si>
  <si>
    <t>additional_studies86_e</t>
  </si>
  <si>
    <t>Effect of L1 speakers on comprehensibility(main effect)</t>
  </si>
  <si>
    <t>Compared to English speakers, Tagalog speakers were rated as less comprehensible.</t>
  </si>
  <si>
    <t>Listeners rated Tagalog speakers as less comprehensible than English speakers.</t>
  </si>
  <si>
    <t>additional_studies86_f</t>
  </si>
  <si>
    <t>A significant three-way interaction between speaker L1, prestige, and performance level was driven by the ratings in low-performance scenarios, where both English and Tagalog speakers were evaluated as sounding more comprehensible in low- versus high-prestige jobs, but the magnitude of this difference was greater for English speakers.</t>
  </si>
  <si>
    <t>additional_studies86_1_a</t>
  </si>
  <si>
    <t>additional_studies86</t>
  </si>
  <si>
    <t>replication reference is not in APA format; hyperlinks got removed during some formatting issues but the files are in the google drive for both te replication and the original paper</t>
  </si>
  <si>
    <t>Teló, C., P. Trofimovich, and M. G. O’Brien. 2022. ‘Disentangling professional competence and foreign accent,’ Journal of Second Language Pronunciation 8/3: 413–43. https://doi.org/10.1075/jslp.22013.tel</t>
  </si>
  <si>
    <t xml:space="preserve">accent bias and competence perception </t>
  </si>
  <si>
    <t xml:space="preserve">Accentism, Speech Assessment, Workplace Performance, Competence, Treatment Preference </t>
  </si>
  <si>
    <t>listeners rated English speakers as more competent than
Tagalog speakers.</t>
  </si>
  <si>
    <t>generalized linear mixed effects model, p. 13</t>
  </si>
  <si>
    <t>generalized linear mixed effects models, p.6</t>
  </si>
  <si>
    <t>additional_studies86_1_b</t>
  </si>
  <si>
    <t>The effect for speaker L1 was qualified by an interaction with accentedness rating,
where English speakers were rated as more competent than Tagalog speakers when the
speaker’s foreign accent was stronger,</t>
  </si>
  <si>
    <t>additional_studies86_1_c</t>
  </si>
  <si>
    <t xml:space="preserve">The effect for speaker L1 was qualified by an interaction with accentedness rating,
where English speakers were rated as more competent than Tagalog speakers when the
speaker’s foreign accent was stronger, but not when the accent was weaker </t>
  </si>
  <si>
    <t>additional_studies86_1_d</t>
  </si>
  <si>
    <t xml:space="preserve">The effect for job prestige was qualified by an interaction with speaker L1, whereby
English speakers were rated as more competent than Tagalog speakers in high-prestige
positions but not in low-prestige positions where the ratings for english and tagalog speakers were similar </t>
  </si>
  <si>
    <t>z</t>
  </si>
  <si>
    <t>additional_studies86_1_e</t>
  </si>
  <si>
    <t>additional_studies87_1</t>
  </si>
  <si>
    <t>additional_studies87</t>
  </si>
  <si>
    <t>I don't find hypotheses and effect sizes from replication study that match the original study. The central hypotheses of interest in the original study are answered using descriptive statistics. The replication paper is is contextual and extended replication.</t>
  </si>
  <si>
    <t>Segev, S., and J. Fernandes 2023. “The Anatomy of Viral Advertising: A Content Analysis of Viral Advertising from the Elaboration Likelihood Model Perspective.” Journal of Promotion Management 29 (1): 125–154. https://doi.org/10.1080/10496491.2022.2108189</t>
  </si>
  <si>
    <t>10.1080/10496491.2022.2108189</t>
  </si>
  <si>
    <t>10.1080--10496491.2022.2108189.pdf</t>
  </si>
  <si>
    <t>Fernandes, J., &amp; Segev, S. (2024). The persuasion cues that make video advertising go viral: a conceptual replication and extension comparing viral vs. Non-viral advertising. Journal of Marketing Communications, 1–27. https://doi.org/10.1080/13527266.2024.2376918</t>
  </si>
  <si>
    <t>10.1080/13527266.2024.2376918</t>
  </si>
  <si>
    <t>additional_studies88_1</t>
  </si>
  <si>
    <t>additional_studies88_a</t>
  </si>
  <si>
    <t>Meyer, A., Riesel, A., &amp; Hajcak Proudfit, G. (2013). Reliability of the ERN across multiple tasks
as a function of increasing errors. Psychophysiology, 50(12), 1220–1225.
https://doi.org/10.1111/psyp.12132</t>
  </si>
  <si>
    <t>10.1111/psyp.12132</t>
  </si>
  <si>
    <t>10.1111--psyp.12132.pdf</t>
  </si>
  <si>
    <t>Holbrook, A., Park, B., Baldwin, S., Riesel, A., Larson, M. J., &amp; Clayson, P. E. (2024, July 10). Psychometric Reliability of ERN and Pe Across Flanker, Stroop, and Go/No-Go Tasks: A Direct and Conceptual Replication. https://doi.org/10.31234/osf.io/xr6bn</t>
  </si>
  <si>
    <t>10.31234/osf.io/xr6bn</t>
  </si>
  <si>
    <t>Event-related potential</t>
  </si>
  <si>
    <t>Anxiety, Individual differences, EEG/ERP, Psychometrics, Error-related negativity, Error processing</t>
  </si>
  <si>
    <t>directly comparing the ERN and its psychometric properties when derived from the flankers [...] tasks as a function of increasing trial numbers.</t>
  </si>
  <si>
    <t>As can be seen in Figure 4, moderate internal reliability was achieved in both the flankers ,</t>
  </si>
  <si>
    <t>Cronbach's alpha</t>
  </si>
  <si>
    <t>https://osf.io/p2hr3</t>
  </si>
  <si>
    <t>additional_studies88_b</t>
  </si>
  <si>
    <t>directly comparing the ERN and its psychometric properties when derived from the [...] Stroop [..] tasks as a function of increasing trial numbers.</t>
  </si>
  <si>
    <t>reliability of the Stroop task remained low even after 20 errors per subject were examined</t>
  </si>
  <si>
    <t>additional_studies88_c</t>
  </si>
  <si>
    <t>directly comparing the ERN and its psychometric properties when derived from the [...] go/no-go tasks as a function of increasing trial numbers.</t>
  </si>
  <si>
    <t>As can be seen in Figure 4, moderate internal reliability was achieved in both the [...] go/no-go,</t>
  </si>
  <si>
    <t>additional_studies88_d</t>
  </si>
  <si>
    <t>dependability</t>
  </si>
  <si>
    <t>additional_studies88_e</t>
  </si>
  <si>
    <t>additional_studies88_f</t>
  </si>
  <si>
    <t>Error-Related Negativity (ERN)</t>
  </si>
  <si>
    <t>Flanker Task</t>
  </si>
  <si>
    <t>This suggests that the Flanker task provides adequate reliability for the ERN, even with a relatively small number of error trials.</t>
  </si>
  <si>
    <t>p.1223</t>
  </si>
  <si>
    <t xml:space="preserve">p. 40 </t>
  </si>
  <si>
    <t>https://osf.io/8cbua/</t>
  </si>
  <si>
    <t>please fill in the variable study_o and study_r</t>
  </si>
  <si>
    <t>Go/No-Go Task</t>
  </si>
  <si>
    <t>The Go/No-Go task demonstrates acceptable reliability for the ERN but requires slightly more error trials compared to the Flanker task</t>
  </si>
  <si>
    <t>Stroop Task</t>
  </si>
  <si>
    <t>These results indicate that the Stroop task provides poor reliability for the ERN and may not be suitable for assessing individual differences in performance monitoring.</t>
  </si>
  <si>
    <t>additional_studies89_1</t>
  </si>
  <si>
    <t>additional_studies89</t>
  </si>
  <si>
    <t>cannot access the replication article;  10.5465/AMPROC.2024.19578abstract point to study by Child et al.</t>
  </si>
  <si>
    <t>King, A. A., &amp; Shaver, J. M. (2001). Are aliens green? Assessing foreign establishments' environmental conduct in the United States. Strategic Management Journal, 22(11), 1069-1085. https://doi.org/10.1002/smj.201</t>
  </si>
  <si>
    <t>10.1002/smj.201</t>
  </si>
  <si>
    <t>10.1002--smj.201.pdf</t>
  </si>
  <si>
    <t>Lee, N., &amp; Hittmair, F. (2024). The Colors of Aliens: A Replication Study on Environmental Practices of Foreign-Owned Establishments. In Academy of Management Proceedings (Vol. 2024, No. 1, p. 19578). Valhalla, NY 10595: Academy of Management. https://doi.org/10.5465/AMPROC.2024.19578abstract</t>
  </si>
  <si>
    <t>10.5465/AMPROC.2024.19578abstract</t>
  </si>
  <si>
    <t>no full paper available yet</t>
  </si>
  <si>
    <r>
      <rPr>
        <rFont val="Calibri"/>
        <sz val="11.0"/>
      </rPr>
      <t xml:space="preserve">Lee, N., &amp; Hittmair, F. (2024). The Colors of Aliens: A Replication Study on Environmental Practices of Foreign-Owned Establishments. In Academy of Management Proceedings (Vol. 2024, No. 1, p. 19578). Valhalla, NY 10595: Academy of Management. </t>
    </r>
    <r>
      <rPr>
        <rFont val="Calibri"/>
        <color rgb="FF1155CC"/>
        <sz val="11.0"/>
        <u/>
      </rPr>
      <t>https://doi.org/10.5465/AMPROC.2024.19578abstract</t>
    </r>
  </si>
  <si>
    <t>10.5465--amproc.2024.19578abstract.pdf</t>
  </si>
  <si>
    <t>Replication Study</t>
  </si>
  <si>
    <t>Environmental Practices of Foreign-Owned Establishments</t>
  </si>
  <si>
    <t>Foreign-owned establishments, environmental practices, corporate social responsibility, sustainability, green practices, international business, environmental conduct, strategic management</t>
  </si>
  <si>
    <t>additional_studies9_1</t>
  </si>
  <si>
    <t>additional_studies9_a</t>
  </si>
  <si>
    <t>Closeness is questionable, Otiginal study sample consists of patients with medical diagnosis and their relatives, while Reproduc. sample is students, bascially general population. 
Claim text_r. [...] one-way ANOVAs were conducted on each Group separately for Valence of Face. For the GAD group, the main effect of Valence of Face was not significant, F (2, 186) = .02, η2 &lt; .000.</t>
  </si>
  <si>
    <t>Yiend, J., Mathews, A., Burns, T., Dutton, K., Fernández-Martín, A., Georgiou, G. A., ... &amp; Fox, E. (2015). Mechanisms of selective attention in generalized anxiety disorder. Clinical Psychological Science, 3(5), 758-771. https://doi.org/10.1177/2167702614545216</t>
  </si>
  <si>
    <t>10.1177/2167702614545216</t>
  </si>
  <si>
    <t>MacDonald, J., Lee, S., &amp; Wilbiks, J. (2024). Generalized anxiety disorder and selective attention: An unsuccessful replication of Yiend et al.,(2015) in a student population. Visual Cognition, 1-9. https://doi.org/10.1080/13506285.2024.2343157</t>
  </si>
  <si>
    <t>10.1080/13506285.2024.2343157</t>
  </si>
  <si>
    <t>Completely different samples (medical patients with students. Not sure about exclusion, but the closeness is questionable)</t>
  </si>
  <si>
    <t>Experiment 1 GAD</t>
  </si>
  <si>
    <t>Generalized anxiety disorder and selective attention</t>
  </si>
  <si>
    <t>one-way ANOVAs were conducted [...]. GAD group, the main effect of Valence of Face was significant, F(2, 26) = 5.68, MSE = 1404.72, p &lt;.01. Table 2</t>
  </si>
  <si>
    <t xml:space="preserve"> F(2, 26) = 5.68</t>
  </si>
  <si>
    <t>additional_studies9_b</t>
  </si>
  <si>
    <t>Closeness is questionable, Otiginal study sample consists of patients with/without medical diagnosis, while Reproduc. sample is students, bascially general population. 
Claim text_r. [...] one-way ANOVAs were conducted on each Group separately for Valence of Face. both the Control and HTA groups failed to reach statistical significance in differences in Valence of Face</t>
  </si>
  <si>
    <t>Experiment 1 Control/Healthy</t>
  </si>
  <si>
    <t>one-way ANOVAs were conducted [...]. The main effect of Valence of Face did not reach significance for the matched control group, F(2, 26) = 1.49, MSE = 1499.52, η2p = .10, p = .24, Table 2</t>
  </si>
  <si>
    <t>F(2, 26) = 1.49</t>
  </si>
  <si>
    <t xml:space="preserve">Calculated based on the data provided in Table 2. Group means and standard deviations for each group were used to calculate the total mean across all groups. The variance between groups and within groups was computed, followed by dividing the variances by their respective degrees of freedom to calculate mean squares. </t>
  </si>
  <si>
    <t>additional_studies9_c</t>
  </si>
  <si>
    <t>Experiment 1 High Trait anxiety</t>
  </si>
  <si>
    <t>one-way ANOVAs were conducted [...]. The main effect of Valence of Face did not reach significancethe high trait anxious group, F(2, 26) = 1.72, MSE = 2582.33, η2p = .12, p = .20. Table 2</t>
  </si>
  <si>
    <t>F(2, 26) = 1.72</t>
  </si>
  <si>
    <t>additional_studies90_1</t>
  </si>
  <si>
    <t>additional_studies90_a</t>
  </si>
  <si>
    <t>Yu, R., Mobbs, D., Seymour, B., Rowe, J. B., &amp; Calder, A. J. (2014). The neural signature of escalating frustration in humans. Cortex, 54, 165-178. https://doi.org/10.1016/j.cortex.2014.02.013</t>
  </si>
  <si>
    <t>10.1016/j.cortex.2014.02.013</t>
  </si>
  <si>
    <t>10.1016--j.cortex.2014.02.013.pdf</t>
  </si>
  <si>
    <t>Eben, C., Chen, Z., London, R. E., &amp; Verbruggen, F. (2024). Escalating frustration-A replication attempt and extension of Yu et al.(2014). Open Research Europe, 4(135), 135. https://doi.org/10.12688/openreseurope.17749.1</t>
  </si>
  <si>
    <t>10.12688/openreseurope.17749.1</t>
  </si>
  <si>
    <t>effects of proximity and effort across [...] on escalating frustration</t>
  </si>
  <si>
    <t>frustration, reward, response force, facial EMG</t>
  </si>
  <si>
    <t>confirm RT on Proximity effect 1/4, 1/3, 1/2, 1/1</t>
  </si>
  <si>
    <t>Subjective emotion ratings completed after Experiment 1a
showed that participants’ motivation increased as a function
of increasing goal proximity (Stouffer’s combined p &lt; .001),
and as a function of increasing expended effort (Stouffer’s
combined p &lt; .001; see Fig. 3a and Table 1). Similarly, RTs
decreased as a function of both goal proximity (Stouffer’s
combined p &lt; .001) and expended effort (Stouffer’s combined
p &lt; .001, Fig. 3b and Table 1).</t>
  </si>
  <si>
    <t>5 (Table 1)</t>
  </si>
  <si>
    <t>please put NA for prereg_r, please add es_repr_o</t>
  </si>
  <si>
    <t>additional_studies90_a1</t>
  </si>
  <si>
    <t>Motivation on Proximity effect 2/4, 2/3, 2/2</t>
  </si>
  <si>
    <t>additional_studies90_b</t>
  </si>
  <si>
    <t>confirm RT on Proximity effect 2/4, 2/3, 2/2</t>
  </si>
  <si>
    <t>additional_studies90_b1</t>
  </si>
  <si>
    <t>Motivation on Proximity effect 3/4, 3/3</t>
  </si>
  <si>
    <t>additional_studies90_c</t>
  </si>
  <si>
    <t>confirm RT on Proximity effect 3/4, 3/3</t>
  </si>
  <si>
    <t>additional_studies90_c1</t>
  </si>
  <si>
    <t>Motivation on Proximity effect combined effect</t>
  </si>
  <si>
    <t>additional_studies90_d</t>
  </si>
  <si>
    <t>confirm RT on Proximity effect combined effect</t>
  </si>
  <si>
    <t>additional_studies90_d1</t>
  </si>
  <si>
    <t>Motivation on Effort effect 4/4, 3/3, 2/2, 1/1</t>
  </si>
  <si>
    <t>additional_studies90_e</t>
  </si>
  <si>
    <t>confirm RT on Effort effect 4/4, 3/3, 2/2, 1/1</t>
  </si>
  <si>
    <t>additional_studies90_e1</t>
  </si>
  <si>
    <t>Motivation on Effort effect 3/4, 2/3, 1/2 3.88</t>
  </si>
  <si>
    <t>additional_studies90_f</t>
  </si>
  <si>
    <t>confirm RT on Effort effect 3/4, 2/3, 1/2 3.88</t>
  </si>
  <si>
    <t>additional_studies90_f1</t>
  </si>
  <si>
    <t>Motivation on Effort effect 2/4, 1/3</t>
  </si>
  <si>
    <t>additional_studies90_g</t>
  </si>
  <si>
    <t>confirm RT on Effort effect 2/4, 1/3</t>
  </si>
  <si>
    <t>additional_studies90_g1</t>
  </si>
  <si>
    <t>Motivation on Effort effect combined effect</t>
  </si>
  <si>
    <t>additional_studies90_h</t>
  </si>
  <si>
    <t>confirm RT on Effort effect combined effect</t>
  </si>
  <si>
    <t>additional_studies90_i</t>
  </si>
  <si>
    <t>Frustration on Proximity effect 1/4, 1/3, 1/2, 1/1</t>
  </si>
  <si>
    <t>additional_studies90_j</t>
  </si>
  <si>
    <t>Frustration on Proximity effect 2/4, 2/3, 2/2</t>
  </si>
  <si>
    <t>additional_studies90_k</t>
  </si>
  <si>
    <t>Frustration on Proximity effect 3/4, 3/3</t>
  </si>
  <si>
    <t>additional_studies90_l</t>
  </si>
  <si>
    <t>Frustration on Proximity effect combined effect</t>
  </si>
  <si>
    <t>additional_studies90_m</t>
  </si>
  <si>
    <t>Frustration on Effort effect 4/4, 3/3, 2/2, 1/1</t>
  </si>
  <si>
    <t>additional_studies90_n</t>
  </si>
  <si>
    <t>Frustration on Effort effect 3/4, 2/3, 1/2 3.88</t>
  </si>
  <si>
    <t>additional_studies90_o</t>
  </si>
  <si>
    <t>Frustration on Effort effect 2/4, 1/3</t>
  </si>
  <si>
    <t>additional_studies90_p</t>
  </si>
  <si>
    <t>Frustration on Effort effect combined effect</t>
  </si>
  <si>
    <t>additional_studies90_q</t>
  </si>
  <si>
    <t>Surprise on Proximity effect 1/4, 1/3, 1/2, 1/1</t>
  </si>
  <si>
    <t>additional_studies90_r</t>
  </si>
  <si>
    <t>Surprise on Proximity effect 2/4, 2/3, 2/2</t>
  </si>
  <si>
    <t>additional_studies90_s</t>
  </si>
  <si>
    <t>Surprise on Proximity effect 3/4, 3/3</t>
  </si>
  <si>
    <t>additional_studies90_t</t>
  </si>
  <si>
    <t>Surprise on Proximity effect combined effect</t>
  </si>
  <si>
    <t>additional_studies90_u</t>
  </si>
  <si>
    <t>Surprise on Effort effect 4/4, 3/3, 2/2, 1/1</t>
  </si>
  <si>
    <t>additional_studies90_v</t>
  </si>
  <si>
    <t>Surprise on Effort effect 3/4, 2/3, 1/2 3.88</t>
  </si>
  <si>
    <t>additional_studies90_x</t>
  </si>
  <si>
    <t>Surprise on Effort effect 2/4, 1/3</t>
  </si>
  <si>
    <t>additional_studies90_y</t>
  </si>
  <si>
    <t>Surprise on Effort effect combined effect</t>
  </si>
  <si>
    <t>additional_studies90_z</t>
  </si>
  <si>
    <t>Motivation on Proximity effect 1/4, 1/3, 1/2, 1/1</t>
  </si>
  <si>
    <t>additional_studies90</t>
  </si>
  <si>
    <t>Not explicitly reported, but neural activation effect sizes for frustration-related responses are generally in the range of r = 0.5 - 0.7. r (correlation coefficient between neural activation and frustration levels)</t>
  </si>
  <si>
    <t>A replication attempt</t>
  </si>
  <si>
    <t>Escalating frustration</t>
  </si>
  <si>
    <t>The study investigates the neural signature of escalating frustration in humans, focusing on how proximity to a blocked goal and expended effort influence frustration levels and neural activation patterns.</t>
  </si>
  <si>
    <t>Frustration increased with proximity to the goal and with effort investment. Significant neural activation was observed in the amygdala, periaqueductal gray (PAG), anterior insula, and dorsal anterior cingulate cortex (dACC).</t>
  </si>
  <si>
    <t>p. 543</t>
  </si>
  <si>
    <t>additional_studies91_1</t>
  </si>
  <si>
    <t>additional_studies91</t>
  </si>
  <si>
    <t>H1 (extraversion). H2 is not replicated in the replication paper.</t>
  </si>
  <si>
    <t>Bunz, U. (2021). Investigating the Relationship Between Social Media Use, Big Five Personality, and Well-being. Journal of Communication Technology, 4(3), 25–52. https://doi.org/10.51548/joctec-2021-016</t>
  </si>
  <si>
    <t>10.51548/joctec-2021-016</t>
  </si>
  <si>
    <t>10.51548--joctec-2021-016.pdf</t>
  </si>
  <si>
    <t>Pruski, S. M. (2024). The impact of Screen Time, Social Media Use and Extraversion on Life Satisfaction among University Students: An extended replication study (Bachelor's thesis, University of Twente). Retrieved from https://purl.utwente.nl/essays/100459</t>
  </si>
  <si>
    <t>vonpruski_2024</t>
  </si>
  <si>
    <t>social media use, social media engagement, social media intensity, big five personality, positive well-being, negative well-being, positive affect, negative affect, subjective well-being</t>
  </si>
  <si>
    <t>Extraversion predicts social media use.</t>
  </si>
  <si>
    <t>A simple linear regression analysis shows that extraversion predicts SMEI, F(1,422) = 18.27, p&lt;.001 (R2 = .042, beta = .241).</t>
  </si>
  <si>
    <t>p. 27</t>
  </si>
  <si>
    <t>additional_studies92_1</t>
  </si>
  <si>
    <t>additional_studies92</t>
  </si>
  <si>
    <t>I don't think this study is a "classical study" and lend itslef to extract requested information. The study introduced a new framework to estimate the aggregate capital-labor elasticity of substitution by aggregating the actions of individual plants.</t>
  </si>
  <si>
    <t>Oberfield, E., &amp; Raval, D. (2021). Micro data and macro technology. Econometrica, 89(2), 703-732. https://doi.org/10.3982/ECTA12807</t>
  </si>
  <si>
    <t>10.3982/ECTA12807</t>
  </si>
  <si>
    <t>10.3982--ecta12807.pdf</t>
  </si>
  <si>
    <t>Yang, H., &amp; Zhang, W. Explaining the decline of China's labor share: A wide replication of Oberfield and Raval (2021). Journal of Applied Econometrics. https://doi.org/10.1002/jae.3082</t>
  </si>
  <si>
    <t>10.1002/jae.3082</t>
  </si>
  <si>
    <t>https://osf.io/gexhp</t>
  </si>
  <si>
    <t>elasticity</t>
  </si>
  <si>
    <t>The aggregate elasticity for the U.S. manufacturing sector is in the range of 0.5–0.7.</t>
  </si>
  <si>
    <t>Our estimates indicated that the aggregate elasticity of substitution between capital and labor for the manufacturing sector has been between 05 and 07, with a slight decline from 1972 to 2007.</t>
  </si>
  <si>
    <t>additional_studies93_1</t>
  </si>
  <si>
    <t>additional_studies93_a</t>
  </si>
  <si>
    <t xml:space="preserve">test statistic is chi squared so I used the reported cramers V that was calculated in the replication (table 2 on page 13) </t>
  </si>
  <si>
    <t>McKenzie, C. R., Liersch, M. J., &amp; Finkelstein, S. R. (2006). Recommendations implicit in policy defaults. Psychological Science, 17(5), 414-420. https://doi.org/10.1111/j.1467-9280.2006.01721.x</t>
  </si>
  <si>
    <t>10.1111/j.1467-9280.2006.01721.x</t>
  </si>
  <si>
    <t>10.1111--j.1467-9280.2006.01721.x.pdf</t>
  </si>
  <si>
    <t>Teng, X., Lau, K. W., Ng, T. K., Chan, K. P., Yeung, W., Yeung, S. K., &amp; Feldman, G. Revisiting the mechanism underlying the default effect: Implicit recommendations, perceived trustworthiness, and preference uncertainty in a replication and extensions Registered Report of McKenzie et al.(2006). http://dx.doi.org/10.17605/OSF.IO/E5K4J</t>
  </si>
  <si>
    <t>10.17605/OSF.IO/E5K4J</t>
  </si>
  <si>
    <t>default effect</t>
  </si>
  <si>
    <t>default effect, judgment and decision making, registered report, replication, behavioral policy, choice architecture</t>
  </si>
  <si>
    <t>relation between willingness to be a donor and the chosen default.</t>
  </si>
  <si>
    <t>participants who were unwilling to be donors and 15% of the participants who were unsure selected that default, w2 (2, N 5 102) 5 8.0, p 5 .018.</t>
  </si>
  <si>
    <t>p.13 replication</t>
  </si>
  <si>
    <t>p. 32 Table 8</t>
  </si>
  <si>
    <t>https://osf.io/e5k4j/</t>
  </si>
  <si>
    <t>additional_studies93_b</t>
  </si>
  <si>
    <t>test statistic is chi squared</t>
  </si>
  <si>
    <r>
      <rPr>
        <rFont val="Calibri"/>
        <sz val="11.0"/>
      </rPr>
      <t xml:space="preserve">Teng, X., Lau, K. W., Ng, T. K., Chan, K. P., Yeung, W., Yeung, S. K., &amp; Feldman, G. Revisiting the mechanism underlying the default effect: Implicit recommendations, perceived trustworthiness, and preference uncertainty in a replication and extensions Registered Report of McKenzie et al.(2006). </t>
    </r>
    <r>
      <rPr>
        <rFont val="Calibri"/>
        <color rgb="FF1155CC"/>
        <sz val="11.0"/>
        <u/>
      </rPr>
      <t>http://dx.doi.org/10.17605/OSF.IO/E5K4J</t>
    </r>
  </si>
  <si>
    <t>relation between opinion if people ought to be a donor and the chosen default.</t>
  </si>
  <si>
    <t xml:space="preserve">42% of the participants who thought that people  generally ought to be donors selected ‘‘organ donor’’ as the default, but only 12% of the participants who did not think that  people generally ought to be donors and only 15% who were unsure chose this default, w2  (2, N 5 102) 5 9.6, p 5 .008. </t>
  </si>
  <si>
    <t>additional_studies93_c</t>
  </si>
  <si>
    <t>relation between the policymakers’ chosen default and the resulting inferences about their personal preferences.</t>
  </si>
  <si>
    <t xml:space="preserve">to infer that the policymakers probably thought that people ought to be donors (86% vs. 10%), were less likely to infer that the policymakers probably did not think that people ought to be donors (0% vs. 31%), and were less likely to concludethat nothing could beinferred(14% vs. 60%),w2 (2,N5103)  5 62.2, p &lt; .001. </t>
  </si>
  <si>
    <t>additional_studies93_d</t>
  </si>
  <si>
    <t>the relation between the policymakers’ chosen default and participants’ inferences regarding the policymakers’ beliefs about whether people ought to be donors.</t>
  </si>
  <si>
    <t xml:space="preserve">‘‘not an organ donor’’ default, participants told that the policymakers had selected the ‘‘organ donor’’  default were more likely to infer that the policymakers probably thought that people ought to be donors (86% vs. 10%), were less likely to infer that the policymakers probably did not think that people ought to be donors (0% vs. 31%), and were less likely to concludethat nothing could beinferred(14% vs. 60%),w2 (2,N5103)  5 62.2, p &lt; .001.  </t>
  </si>
  <si>
    <t>additional_studies93_e</t>
  </si>
  <si>
    <t>test statistic in orginal study greater than</t>
  </si>
  <si>
    <t xml:space="preserve">enrollment condtion vs probably think that employees ought to enroll in a retirement plan
</t>
  </si>
  <si>
    <t>additional_studies93_f</t>
  </si>
  <si>
    <t>enrollment condtion vs probably think that employees want to be enrolled</t>
  </si>
  <si>
    <t>additional_studies93_g</t>
  </si>
  <si>
    <t>enrollment condtion vs are probably enrolled themselves</t>
  </si>
  <si>
    <t>additional_studies93_h</t>
  </si>
  <si>
    <t>effect of the chosen default vs greater enrolment</t>
  </si>
  <si>
    <t>additional_studies93_i</t>
  </si>
  <si>
    <t>effect of the chosen default vs more likely enrollment</t>
  </si>
  <si>
    <t>Default effect</t>
  </si>
  <si>
    <t>default effect, judgment and decision making, registered report, replication,
behavioral policy, choice architecture</t>
  </si>
  <si>
    <t>Experiment 1 - Willing to be a donor</t>
  </si>
  <si>
    <t xml:space="preserve">A significant difference was found between those willing to be donors and those not willing. </t>
  </si>
  <si>
    <t>p. 415</t>
  </si>
  <si>
    <t>Experiment 1 - Think people ought to be donors</t>
  </si>
  <si>
    <t xml:space="preserve">A significant difference was found between those who think others should be donors and those who don't. </t>
  </si>
  <si>
    <t>Experiment 2 - Policymakers willing</t>
  </si>
  <si>
    <t xml:space="preserve"> A very significant difference was found between those who perceived policymakers as willing to be donors, depending on the default.</t>
  </si>
  <si>
    <t>p. 416</t>
  </si>
  <si>
    <t>Experiment 2 - Policymakers think people ought to be donors</t>
  </si>
  <si>
    <t>Experiment 3 - Enrolled</t>
  </si>
  <si>
    <t>A very significant difference was found between those who perceived HR staff as supportive of automatic enrollment, depending on the default. T</t>
  </si>
  <si>
    <t>p. 417</t>
  </si>
  <si>
    <t>Experiment 3 - Not Enrolled</t>
  </si>
  <si>
    <t>A significant but moderate difference was found between those who perceived HR staff as not enrolled, depending on the default.</t>
  </si>
  <si>
    <t>additional_studies94_1</t>
  </si>
  <si>
    <t>additional_studies94</t>
  </si>
  <si>
    <t>Karataş, M., &amp; Cutright, K. M. (2023). Thinking about God increases acceptance of artificial intelligence in decision-making. Proceedings of the National Academy of Sciences, 120(33), e2218961120. https://doi.org/10.1073/pnas.2218961120</t>
  </si>
  <si>
    <t>10.1073/pnas.2218961120</t>
  </si>
  <si>
    <t>10.1073--pnas.2218961120.pdf</t>
  </si>
  <si>
    <t xml:space="preserve">Moore, D. A., Schroeder, J., Bailey, E. R., Gershon, R., Moore, J. E., &amp; Simmons, J. P. (2024). Does thinking about God increase acceptance of artificial intelligence in decision-making? *Proceedings of the National Academy of Sciences of the United States of America*, 121(31), e2402315121. https://doi.org/10.1073/pnas.2402315121
</t>
  </si>
  <si>
    <t>10.1073/pnas.2402315121</t>
  </si>
  <si>
    <t>God Salience</t>
  </si>
  <si>
    <t>artificial intelligence, religion, algorithm aversion, decision-making</t>
  </si>
  <si>
    <t>Thinking about God reduces reliance on human recommendations in favor of AI recommendations across various contexts</t>
  </si>
  <si>
    <t>the high salience condition reported thinking about God during the study more than the low salience condition [Mlow God salience = 1.32, SD = 0.79; Mhigh God salience = 2.24, SD = 1.53; F(1, 319) = 47.28, P &lt; 0.001], The attrition rates between the low salience (11.6%) and high salience (17.3%) conditions did not significantly differ from each other [𝜒2(1)=2.61,𝑃&gt;0.1χ 2(1)=2.61, P&gt;0.1], the strength of belief in God did not significantly differ across conditions [Mlow God salience = 48.51, SD = 42.11; Mhigh God salience = 55.48, SD = 42.72; F(1, 337) = 2.29, P &gt; 0.13], The effect of God salience remained significant (B = −5.43; t = −3.22, P = 0.001) after controlling for task consequentialness (B = 0.13; t = 1.28, P &gt; 0.2), task objectivity (B = 0.06; t = 0.74, P &gt; 0.45), and uniqueness (B = 0.17; t = 2.09, P = 0.037)</t>
  </si>
  <si>
    <t>p. 2 &amp; 3</t>
  </si>
  <si>
    <t>0.20</t>
  </si>
  <si>
    <t>cohen's f</t>
  </si>
  <si>
    <t>p. 2 &amp; 7</t>
  </si>
  <si>
    <t>https://osf.io/fdh4m/</t>
  </si>
  <si>
    <t>0.03</t>
  </si>
  <si>
    <t>0.38</t>
  </si>
  <si>
    <t>https://aspredicted.org/XHN_76L</t>
  </si>
  <si>
    <t>1. Values for REPLICATION statistical inferences were taken from supplementary files "10.1073--pnas.2402315121 SAPP.pdf"
2. Since one-way testing was used, the "Nested" option is put as "No"</t>
  </si>
  <si>
    <t>Direct replication</t>
  </si>
  <si>
    <t>God salience</t>
  </si>
  <si>
    <t>Artificial intelligence, religion, algorithm aversion, decision-making</t>
  </si>
  <si>
    <t>God salience influence the preference between human expert and AI recommendations across 24 different daily tasks</t>
  </si>
  <si>
    <t>"a one-way ANOVA on an index score computed by averaging each person's responses across the 24 decisions resulted in a significant effect of God salience [F(1,319) = 12.91, P &lt; 0.001; effect size f = 0.20]", "The effect of God salience remained significant (B = -5.43; t = -3.22, P = 0.001) after controlling for task consequentialness (B = 0.13; t = 1.28, P &gt; 0.2), tast objectivity (B = 0.06; t = 0.74, P &gt; 0.45), and uniqueness (B = 0.17; t = 2.09, P = 0.037)"</t>
  </si>
  <si>
    <t>https://osf.io/g6u9q</t>
  </si>
  <si>
    <t>additional_studies94_1a</t>
  </si>
  <si>
    <t>"a one-way ANOVA on an index score computed by averaging each person's responses across the 24 decisions resultsed in a significant effect of God salience [F(1,319) = 12.91, P &lt; 0.001; effect size f = 0.20]", "The effect of God salience remained significant (B = -5.43; t = -3.22, P = 0.001) after controlling for task consequentialness (B = 0.13; t = 1.28, P &gt; 0.2), tast objectivity (B = 0.06; t = 0.74, P &gt; 0.45), and uniqueness (B = 0.17; t = 2.09, P = 0.037)"</t>
  </si>
  <si>
    <t>https://aspredicted.org/Y47_RW5</t>
  </si>
  <si>
    <t>additional_studies94_2a</t>
  </si>
  <si>
    <t>2a</t>
  </si>
  <si>
    <t>God salience influence the preference between human expert and AI recommendations about mutual fund</t>
  </si>
  <si>
    <t>"In study 2a, 35.7% of participants in the low God salience condition picked the mutual fund recommended by the robo-advisor compared to 50.5% of participants in the high God salience condition [X2 = (1) = 4.46, P = 0.035; Ф = 0.15]"</t>
  </si>
  <si>
    <t>https://osf.io/yxusb</t>
  </si>
  <si>
    <t>https://aspredicted.org/TBY_14V</t>
  </si>
  <si>
    <t>additional_studies94_2b</t>
  </si>
  <si>
    <t>2b</t>
  </si>
  <si>
    <t>God salience influence the preference between human expert and AI recommendations of songs listened</t>
  </si>
  <si>
    <t>“In study 2b, while 31% of participants in the low God salience condition listened to the song recommended by AI, 44.6% of those in the high God salience condition listened to the song recommended by AI [X2 = (1) = 6.80, P = 0.009; Ф = 0.14]”</t>
  </si>
  <si>
    <t>https://osf.io/x73nv</t>
  </si>
  <si>
    <t>https://aspredicted.org/16C_RCH</t>
  </si>
  <si>
    <t>additional_studies94_3</t>
  </si>
  <si>
    <t>God salience influence the preference between human expert and AI recommendations in medical decision context</t>
  </si>
  <si>
    <t>“We replicated the expected effect: 33.5% of participants in the low God salience condition preferred the recommendation by the AI, while 44.3% of participants in the high God salience condition preferred the recommendation by the AI [X2(1) = 4.12, P = 0.042; Ф = 0.11]”</t>
  </si>
  <si>
    <t>https://osf.io/gwq48</t>
  </si>
  <si>
    <t>https://aspredicted.org/YZ9_THH</t>
  </si>
  <si>
    <t>additional_studies94_5a</t>
  </si>
  <si>
    <t xml:space="preserve">Perception of AI as "black box" influences the choise of investment to the mutual fund recommended by human and AI because of the similarity in mysteriousness between God and AI </t>
  </si>
  <si>
    <t>"The main effect of God salience was significant [F(1,236) = 9.25, P = 0.003]"</t>
  </si>
  <si>
    <t>F(1,236) = 9.25</t>
  </si>
  <si>
    <t>https://osf.io/r57d6</t>
  </si>
  <si>
    <t>https://aspredicted.org/G5N_YRH</t>
  </si>
  <si>
    <t>additional_studies94_5b</t>
  </si>
  <si>
    <t>"A two-way ANOVA with God salience and AI type as predictors resulted in an insignificant main effect of the mysteriousness of the AI (F(1, 236) = .03, P &gt; .8) and an insignificant interaction term (F(1,236) = .006, P &gt; .9)."</t>
  </si>
  <si>
    <t>F(1,236) = .0006</t>
  </si>
  <si>
    <t>additional_studies94_5c</t>
  </si>
  <si>
    <t>additional_studies94_5d</t>
  </si>
  <si>
    <t>p.22</t>
  </si>
  <si>
    <t>additional_studies94_b</t>
  </si>
  <si>
    <t>1. There are minor changes between orignal and replication I am not considering it and using table 1 for results. 2. The orignal studies have reported different effect sizes, while replication studies have reported similar kind, i.e. "r" of effect sizes. I am not sure which one should I use so I am using the one's in the orignal study.</t>
  </si>
  <si>
    <t>Feedback for Husnain
- You were unsure about this but you did right: Please always use what is reported in the original paper for the _o variables.
- F is not an effect size. Please report the entire F test as a test statistic instead, eg F(1, 236) = 4.41)</t>
  </si>
  <si>
    <t>p. 7 &amp; 8</t>
  </si>
  <si>
    <t>0.077</t>
  </si>
  <si>
    <t>additional_studies95_c</t>
  </si>
  <si>
    <t>1. The orignal studies have reported different effect sizes, while replication studies have reported similar kind, i.e. "r" of effect sizes. I am not sure which one should I use so I am using the one's in the orignal study. Further, I am not sure if Φ or X2 be used for the effect size so I have used X2.</t>
  </si>
  <si>
    <t>Algorithm aversion was weaker among participants reminded of God when choosing mutual funds.</t>
  </si>
  <si>
    <t>"35.7% of participants in the low God salience condition picked the mutual fund recommended by the robo-advisor compared to 50.5% of participants in the high God salience condition [X2(1) = 4.46, P = 0.035; Φ = 0.15]. In exploratory analyses, we found that the effect remains significant even when controlling for mood effects and demographics (B = 0.75; Wald = 5.63, P = 0.018; see SI Appendix, Table S3). Also, examining the potential moderating roles of religious affiliation (0: nonaffiliated; 1: affiliated) and God belief, we found insignif- icant interactions of God salience with religious affiliation (B = −0.47; Wald = 0.65, P = 0.42) and God belief (B = −0.002; Wald = 0.08, P = 0.77) in separate logistic regression models"</t>
  </si>
  <si>
    <t>X2(1)=4.46</t>
  </si>
  <si>
    <t>0.035</t>
  </si>
  <si>
    <t>0.01</t>
  </si>
  <si>
    <t>p. 11 &amp; 12</t>
  </si>
  <si>
    <t>0.547</t>
  </si>
  <si>
    <t>additional_studies96_d</t>
  </si>
  <si>
    <t>1. The orignal studies have reported different effect sizes, while replication studies have reported similar kind, i.e. "r" of effect sizes. I am not sure which one should I use so I am using the one's in the orignal study.Further, I am not sure if Φ or X2 be used for the effect size so I have used X2.</t>
  </si>
  <si>
    <t>God salience increases preference for AI recommendations in music selection.</t>
  </si>
  <si>
    <t>"31% of participants in the low God salience condition listened to the song recommended by AI, 44.6% of those in the high God salience condition listened to the song recommended by AI [X2(1) = 6.80, P = 0.009; Φ = 0.14], an effect that remained significant even after including additional control variables (P = 0.043; see SI Appendix, Table S4). In exploratory analyses, results revealed insignificant interactions of God salience with religious affiliation (0: nonaffiliated, 1: affiliated; B = 0.30; Wald = 0.45; P &gt; 0.5) and God belief (B = 0.004, Wald = 0.48; P &gt; 0.48)"</t>
  </si>
  <si>
    <t xml:space="preserve">p.3 </t>
  </si>
  <si>
    <t>X2(1)=6.80</t>
  </si>
  <si>
    <t>0.009</t>
  </si>
  <si>
    <t>p. 12 &amp; 13</t>
  </si>
  <si>
    <t>0.375</t>
  </si>
  <si>
    <t>additional_studies99_e</t>
  </si>
  <si>
    <t>The impact of God salience on AI acceptance is mediated by feelings of smallness and belief in human imperfection.</t>
  </si>
  <si>
    <t>"33.5% of participants in the low God salience condition preferred the recommendation by the AI, while 44.3% of participants in the high God salience condition preferred the recommendation by the AI [X2(1) = 4.12, P = 0.042; Φ = 0.11]"</t>
  </si>
  <si>
    <t>X2(1)=4.12</t>
  </si>
  <si>
    <t>0.042</t>
  </si>
  <si>
    <t>p. 14, 15 &amp; 16</t>
  </si>
  <si>
    <t>0.96</t>
  </si>
  <si>
    <t>additional_studies99_f</t>
  </si>
  <si>
    <t>1. The orignal studies have reported different effect sizes, while replication studies have reported similar kind, i.e. "r" of effect sizes. I am not sure which one should I use so I am using the one's in the orignal study.</t>
  </si>
  <si>
    <t>God salience weakens algorithm aversion across mysterious and non-mysterious conditions.</t>
  </si>
  <si>
    <t>"the main effect of God salience was significant [F(1, 236) = 9.25, P = 0.003]"</t>
  </si>
  <si>
    <t>p. 17 &amp; 18</t>
  </si>
  <si>
    <t>0.76</t>
  </si>
  <si>
    <t>additional_studies99_g</t>
  </si>
  <si>
    <t>1. The orignal studies have reported different effect sizes, while replication studies have reported similar kind, i.e. "r" of effect sizes. I am not sure which one should I use so I am using the one's in the orignal study.2. I think this study is conceptualy replicated, but I am still confused. 3. It is not clear if it is a direct replication or not.</t>
  </si>
  <si>
    <t>0.09</t>
  </si>
  <si>
    <t>https://aspredicted.org/737_DYZ</t>
  </si>
  <si>
    <t>Boyce_etal20231</t>
  </si>
  <si>
    <t>Boyce_etal20231_1</t>
  </si>
  <si>
    <t>No statistics in Boyce dataset</t>
  </si>
  <si>
    <t>Alais, D., &amp; Burr, D. (2004). The ventriloquist effect results from near-optimal bimodal integration. Current biology, 14(3), 257-262.</t>
  </si>
  <si>
    <t>10.1016/j.cub.2004.01.029</t>
  </si>
  <si>
    <t>Boyce, V., Mathur, M., &amp; Frank, M. C. (2023). Eleven years of student replication projects provide evidence on the correlates of replicability in psychology. Royal Society Open Science, 10(11), 231240. https://doi.org/10.1098/rsos.231240</t>
  </si>
  <si>
    <t>10.1098/rsos.231240</t>
  </si>
  <si>
    <t>Comparison of the best unimodal performance with bimodal performance predicted by Equation 1,  in a one-tailed, matched samples t test produces a clearly significant result, with t5 =  3.69 and p&lt;0.01.</t>
  </si>
  <si>
    <r>
      <rPr>
        <rFont val="Calibri"/>
        <sz val="11.0"/>
      </rPr>
      <t xml:space="preserve">1. Changed the Discipline from Psychology to "Cognitive Psychology"
2. The report is absent in github folder, and the data is missed in the outcome table
3. I was not able to find corresponding OSF link except: </t>
    </r>
    <r>
      <rPr>
        <rFont val="Calibri"/>
        <color rgb="FF1155CC"/>
        <sz val="11.0"/>
        <u/>
      </rPr>
      <t>https://osf.io/xwn9m/</t>
    </r>
    <r>
      <rPr>
        <rFont val="Calibri"/>
        <sz val="11.0"/>
      </rPr>
      <t xml:space="preserve"> (general, not specific)</t>
    </r>
  </si>
  <si>
    <t xml:space="preserve">Should in case of exclusion we left the row empty (except "Exclusion" column? </t>
  </si>
  <si>
    <t>10.1098--rsos.231240.pdf</t>
  </si>
  <si>
    <t>No replication report / data</t>
  </si>
  <si>
    <t>You wrote "Should in case of exclusion we left the row empty (except "Exclusion" column? " - I did not understand the question entirely, I think. You were right to leave the cells empty as this is an exclusion anyway.</t>
  </si>
  <si>
    <t>Boyce_etal202310</t>
  </si>
  <si>
    <t>Boyce_etal202310_1</t>
  </si>
  <si>
    <t>Blair, K. S., Smith, B. W., Mitchell, D. G., Morton, J., Vythilingam, M., Pessoa, L., ... &amp; Blair, R. J. R. (2007). Modulation of emotion by cognition and cognition by emotion. Neuroimage, 35(1), 430-440.</t>
  </si>
  <si>
    <t>10.1016/j.neuroimage.2006.11.048</t>
  </si>
  <si>
    <t>very close</t>
  </si>
  <si>
    <t>a significant main effect for task (F(1,21) = 25.75; p&lt; 0.001);</t>
  </si>
  <si>
    <t>F(1,21) = 25.75</t>
  </si>
  <si>
    <t>p. 534</t>
  </si>
  <si>
    <t>No individual report found</t>
  </si>
  <si>
    <t>Boyce datatable suggests that effect went in opposite direction - but we only have F. Yet correlation is so small (and noisy) that it makes no difference where the point estimate is.</t>
  </si>
  <si>
    <t>Very close replication</t>
  </si>
  <si>
    <t>Emotion modulation</t>
  </si>
  <si>
    <t>fMRI, Emotion, Attention, Stroop interference, Emotional interference</t>
  </si>
  <si>
    <t>Modulation of emotion by cognition and cognition by emotion</t>
  </si>
  <si>
    <t>"There was also a significant main effect for task (F(1,21) = 25.75; p &lt; 0.001); subjects were significantly slower to respond to incongruent, relative to congruent trials (M(incongruent) = 746.31, S.E. = 25.83; M(congruent) = 706.98, S.E. = 25.83)"</t>
  </si>
  <si>
    <t>p. 5: =(746.31-706.98)/SQRT((25.83^2+25.83^2)/2)</t>
  </si>
  <si>
    <t>F(1, 3446) = 3.49</t>
  </si>
  <si>
    <t>https://osf.io/kspm6</t>
  </si>
  <si>
    <t>- Es repr_r was missing and prereg (for the chosen row). Please make sure that all cells are filled out.
- When there is no reference to a preregistration, please code it as "NA" because nothing is reported. Use "no" only when it is explicitly stated, that the respective study/analysis was not preregistered.</t>
  </si>
  <si>
    <t>Nikita, LW</t>
  </si>
  <si>
    <t>Boyce_etal2023100</t>
  </si>
  <si>
    <t>Boyce_etal2023100_1</t>
  </si>
  <si>
    <t>No statistics in Boyce, report absent</t>
  </si>
  <si>
    <t>Najemnik, J., &amp; Geisler, W. S. (2005). Optimal eye movement strategies in visual search. Nature, 434(7031), 387-391.</t>
  </si>
  <si>
    <t>10.1038/nature03390</t>
  </si>
  <si>
    <t>1. Changed the Discipline from Psychology to "Cognitive Psychology"
2. The original paper was added as "10.1038nature03390.pdf"</t>
  </si>
  <si>
    <t>No statistical outcome both in original study and replication data</t>
  </si>
  <si>
    <t>Boyce_etal2023101</t>
  </si>
  <si>
    <t>Boyce_etal2023101_1</t>
  </si>
  <si>
    <t>Page incorrect</t>
  </si>
  <si>
    <t>Nekmat, E., Gower, K. K., Zhou, S., &amp; Metzger, M. (2019). Connective-collective action on social media: Moderated mediation of cognitive elaboration and perceived source credibility on personalness of source. Communication Research, 46(1), 62-87.</t>
  </si>
  <si>
    <t>10.1177/0093650215609676</t>
  </si>
  <si>
    <t>far</t>
  </si>
  <si>
    <t>when compared with messages passed by organizational sources, those passed by personally closer people (e.g., friends, family) would lead to greater willingness to participate in collective activities on social media. This was supported.</t>
  </si>
  <si>
    <t>1. Changed the Discipline from Psychology to "Social Psychology"
2. The detailed replication data is not provided anywhere. For example, there is M and SD, but for between-group design we do not have a clear description of how many students are in each group (are they equal)? If yes, there is a possibility to calculate ES, if no - we need to rely on the Boyce general table, which can be not correct. 
3. I was not able to find corresponding OSF link except: https://osf.io/xwn9m/ (general, not specific)</t>
  </si>
  <si>
    <t>Far replication</t>
  </si>
  <si>
    <t>Personalness of source</t>
  </si>
  <si>
    <t>Social media, collective action, connective action, source effects, cognitive elaboration, source credibility</t>
  </si>
  <si>
    <t>Moderated mediation of cognitive elaboration and perceived source credibility on personalness of source</t>
  </si>
  <si>
    <t>"Results from hierarchical regression analysis blocking for control variables showed that personally closer sources were significantly more influential (M = 5.44, SD = 1.21) than organizational sources (M = 4.02, SD = 1.41), with ΔR2 = .194, F(5, 207) = 15.98, p &lt; .001, β = .44, f-square = .394, R-square = .27 (adjusted)"</t>
  </si>
  <si>
    <t>12, 13</t>
  </si>
  <si>
    <t>Boyce_etal2023102</t>
  </si>
  <si>
    <t>Boyce_etal2023102_1</t>
  </si>
  <si>
    <t>Ngo, C. T., Horner, A. J., Newcombe, N. S., &amp; Olson, I. R. (2019). Development of holistic episodic recollection. Psychological science, 30(12), 1696-1706.</t>
  </si>
  <si>
    <t>10.1177/0956797619879441</t>
  </si>
  <si>
    <t>whether holistic recollection is evident at the ages of 4 and 6 years, during a crucial developmental window of robust gains in episodic memory,</t>
  </si>
  <si>
    <r>
      <rPr>
        <rFont val="Calibri"/>
        <sz val="11.0"/>
      </rPr>
      <t xml:space="preserve">1. Changed the Discipline from Psychology to "Cognitive Psychology"
2. There was a full report in the Replication folder. I used it to provide and varify the data: </t>
    </r>
    <r>
      <rPr>
        <rFont val="Calibri"/>
        <color rgb="FF1155CC"/>
        <sz val="11.0"/>
        <u/>
      </rPr>
      <t>https://rstudio-pubs-static.s3.amazonaws.com/817655_c94c0f2142fc466fa36a6790ee3fcdde.html</t>
    </r>
    <r>
      <rPr>
        <rFont val="Calibri"/>
        <sz val="11.0"/>
      </rPr>
      <t xml:space="preserve">
3. There is no matching correlation between original and replication studies
4. ES from the report, not Boyce table (the value is on Aleks row)</t>
    </r>
  </si>
  <si>
    <t>1 (younger adults only)</t>
  </si>
  <si>
    <t>https://rstudio-pubs-static.s3.amazonaws.com/817655_c94c0f2142fc466fa36a6790ee3fcdde.html</t>
  </si>
  <si>
    <t>Holistic recollection</t>
  </si>
  <si>
    <t>holistic recollection, memory development, pattern completion, episodic memory, open data, open materials</t>
  </si>
  <si>
    <t>Development of holistic episodic recollection</t>
  </si>
  <si>
    <t>"We found that within-event retrieval accuracy was dependent in young adults: Dependency (M = .07, SE = .01, 95% CI = [.05, .08]) was significantly greater than zero, t(30) = 7.37, p &lt; .001, d = 1.32, 95% CI = [0.83, 1.80]"</t>
  </si>
  <si>
    <t>https://osf.io/t3rpq</t>
  </si>
  <si>
    <t>Boyce_etal2023103</t>
  </si>
  <si>
    <t>Boyce_etal2023103_1</t>
  </si>
  <si>
    <t>Nook, E. C., Schleider, J. L., &amp; Somerville, L. H. (2017). A linguistic signature of psychological distancing in emotion regulation. Journal of Experimental Psychology: General, 146(3), 337.</t>
  </si>
  <si>
    <t>10.1037/xge0000263</t>
  </si>
  <si>
    <t>Linguistic Distancing, Reappraise Negative condition</t>
  </si>
  <si>
    <t>Participants’ writing was more distanced in the Reappraise Negative condition (M = 0.10, SD = 0.24) than in the Look Negative condition (M = -0.11, SD = 0.32), t(106) = 7.71, p &lt; .001, 95% CI = [0.15, 0.26], d = 0.72.</t>
  </si>
  <si>
    <t>p.12</t>
  </si>
  <si>
    <t>Boyce_etal2023103_a</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</si>
  <si>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</si>
  <si>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t>added prereg_o, added es_repr_r, changed closeness_r to close</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</si>
  <si>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</si>
  <si>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Close replication</t>
  </si>
  <si>
    <t>Linguistic Distancing</t>
  </si>
  <si>
    <t>Emotion, emotion regulation, psychological distance, language</t>
  </si>
  <si>
    <t>Linguistic signature of psychological distancing in emotion regulation</t>
  </si>
  <si>
    <t>"Participants’ writing was more distanced in the Reappraise Negative condition (M = 0.10, SD = 0.24) than in the Look Negative condition (M = -0.11, SD = 0.32), t(106) = 7.71, p &lt; .001, 95% CI = [0.15, 0.26], d = 0.72"</t>
  </si>
  <si>
    <t>from Data sheet : https://docs.google.com/spreadsheets/d/1GZtAzaS9SynEVwyT-fs-bVPDZh374b78kaKIWves5pM/edit?gid=288814287#gid=288814287</t>
  </si>
  <si>
    <t>https://osf.io/92der</t>
  </si>
  <si>
    <t xml:space="preserve">please add in which document you found the statistical values for the replication (dataset) </t>
  </si>
  <si>
    <t>Nikita, SMS, LR</t>
  </si>
  <si>
    <t>Boyce_etal2023103_b</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</si>
  <si>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</si>
  <si>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t>claim page and es_repr_o page corrected, added prereg_o, changed closeness_r to close</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</si>
  <si>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</si>
  <si>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Reappraisal success is positively correlated with linguistic distance</t>
  </si>
  <si>
    <t>"We observed a significant correlation between reappraisal success and the extent to which participants increased their linguistic distance when regulating their emotions, r(105) = .28, p = .004, 95% CI = [.09, .44]"</t>
  </si>
  <si>
    <t>https://rstudio-pubs-static.s3.amazonaws.com/694306_59178dc09b8648e598a3e535876c9246.html#Results</t>
  </si>
  <si>
    <t>please add the link you put into the notes for coder also to the variable es_repr_r</t>
  </si>
  <si>
    <t>Boyce_etal2023103_c</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</si>
  <si>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</si>
  <si>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t>added es_repr_r, changed claim_o, es_repr_o, changed closeness_r to close</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</si>
  <si>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</si>
  <si>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Reappraisal is not correlated with positive affect words</t>
  </si>
  <si>
    <t>"Reappraisal success was not associated with changes in the use of positive affect words, r(105) = .06, p = .560"</t>
  </si>
  <si>
    <t>Boyce_etal2023103_d</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</si>
  <si>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</si>
  <si>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t>added prereg_o, changed closeness_r to close</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</si>
  <si>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</si>
  <si>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Reappraisal is negatively correlated with negative affect words</t>
  </si>
  <si>
    <t>"Greater reappraisal success was also associated with reduced use of negative affect words when regulating as compared to when responding naturally, r(105) = -.32, p &lt; .001"</t>
  </si>
  <si>
    <t>Boyce_etal2023103_e</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</si>
  <si>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</si>
  <si>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t>changed closeness_r to close, changed es_value_o from eta squared to d</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</si>
  <si>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</si>
  <si>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Participants reported feeling less negative when writing about images in the Reappraise Negative conditionm than in Look Negative</t>
  </si>
  <si>
    <t>"Self-reported negative affect ratings differed significantly across conditions, F(2,212) = 297.20, p &lt; .001, partial eta-square = .74, 90% CI = [.69, .77]"</t>
  </si>
  <si>
    <t>F(2,212) = 297.20</t>
  </si>
  <si>
    <t>t(1041) = -3.4396</t>
  </si>
  <si>
    <t>Nikita, LR</t>
  </si>
  <si>
    <t>Boyce_etal2023103_f</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</si>
  <si>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</si>
  <si>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t>changed closeness_r to close</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</si>
  <si>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</si>
  <si>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Participants used fewer negative affect words in the Reappraise Negative condition than in the Look Negative condition</t>
  </si>
  <si>
    <t>"The prevalence of negative affect terms differed significantly across conditions, F(2, 212) = 185.49, p &lt; .001, partial eta-square = .64, 90% CI = [.57, .68]"</t>
  </si>
  <si>
    <t>F(2, 212) = 185.49</t>
  </si>
  <si>
    <t>t(1116.5) = -0.27195</t>
  </si>
  <si>
    <t>Boyce_etal2023103_g</t>
  </si>
  <si>
    <r>
      <rPr>
        <rFont val="Calibri"/>
        <sz val="11.0"/>
      </rPr>
      <t xml:space="preserve">1. The data was absent in the database, but I found it here: </t>
    </r>
    <r>
      <rPr>
        <rFont val="Calibri"/>
        <color rgb="FF1155CC"/>
        <sz val="11.0"/>
        <u/>
      </rPr>
      <t xml:space="preserve">https://rstudio-pubs-static.s3.amazonaws.com/694306_59178dc09b8648e598a3e535876c9246.html
</t>
    </r>
    <r>
      <rPr>
        <rFont val="Calibri"/>
        <sz val="11.0"/>
      </rPr>
      <t>2. Conceptual replication because authors reduced amount of trials
3. The original paper was added as 10.1037xge0000263.pdf</t>
    </r>
  </si>
  <si>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</si>
  <si>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Participants’ writing was more distanced in the Reappraise Negative condition than in the Look Negative condition</t>
  </si>
  <si>
    <t>"The composite measure of linguistic distancing differed significantly across conditions, F(2, 212) = 35.97, p &lt; .001, partial eta-square = .25, 90% CI = [.17, .33]"</t>
  </si>
  <si>
    <t>Boyce_etal2023104</t>
  </si>
  <si>
    <t>Boyce_etal2023104_1</t>
  </si>
  <si>
    <t>I assume that the results indicated by Aleksandr are not matching</t>
  </si>
  <si>
    <t>O'Brien, E. (2015). Mapping out past and future minds: The perceived trajectory of rationality versus emotionality over time. Journal of Experimental Psychology: General, 144(3), 624.</t>
  </si>
  <si>
    <t>Study 4</t>
  </si>
  <si>
    <t>For the fun version of the task, participants motivated by their past self completed more trials (M  6.90, SD  3.57) than did participants motivated by their
future self (M  5.03, SD  3.43), F(1, 220)  9.95, p  .002, n2  .04.</t>
  </si>
  <si>
    <t>632-633</t>
  </si>
  <si>
    <t>p.633</t>
  </si>
  <si>
    <t>Boyce_etal2023104_a</t>
  </si>
  <si>
    <r>
      <rPr>
        <rFont val="Calibri"/>
        <sz val="11.0"/>
      </rPr>
      <t xml:space="preserve">1. The data for checking is taking from: </t>
    </r>
    <r>
      <rPr>
        <rFont val="Calibri"/>
        <color rgb="FF1155CC"/>
        <sz val="11.0"/>
        <u/>
      </rPr>
      <t xml:space="preserve">https://osf.io/fd9kq
</t>
    </r>
    <r>
      <rPr>
        <rFont val="Calibri"/>
        <sz val="11.0"/>
      </rPr>
      <t>2. There were changes in experimental procedure -&gt; conceptual 
3. The original paper was added as: 10.1037xge0000064.pdf</t>
    </r>
  </si>
  <si>
    <t>Page corrected</t>
  </si>
  <si>
    <t>Mind perception</t>
  </si>
  <si>
    <t>Mind perception; change; mental time travel; emotions; rationality</t>
  </si>
  <si>
    <t>Participants completed more “fun” tasks than “self-control” tasks</t>
  </si>
  <si>
    <t>"There was [...] an incidental effect of task such that participants completed more “fun” tasks (M = 5.92) than “self-control” tasks (M = 4.06), F(1, 220) = 19.91, p &lt; .001, eta-square = .08"</t>
  </si>
  <si>
    <t>F(1, 146) = 3.21</t>
  </si>
  <si>
    <t>https://osf.io/tyvbw</t>
  </si>
  <si>
    <t>Boyce_etal2023104_b</t>
  </si>
  <si>
    <r>
      <rPr>
        <rFont val="Calibri"/>
        <sz val="11.0"/>
      </rPr>
      <t xml:space="preserve">1. The data for checking is taking from: </t>
    </r>
    <r>
      <rPr>
        <rFont val="Calibri"/>
        <color rgb="FF1155CC"/>
        <sz val="11.0"/>
        <u/>
      </rPr>
      <t xml:space="preserve">https://osf.io/fd9kq
</t>
    </r>
    <r>
      <rPr>
        <rFont val="Calibri"/>
        <sz val="11.0"/>
      </rPr>
      <t>2. There were changes in experimental procedure -&gt; conceptual 
3. The original paper was added as: 10.1037xge0000064.pdf</t>
    </r>
  </si>
  <si>
    <t>For the fun version of the task, participants motivated by their past self completed more trials than did participants motivated by their future self, however this logic reversed in the self-control version of the task</t>
  </si>
  <si>
    <t>"Importantly, this effect was qualified by a predicted interaction with role model, F(1, 220) = 12.45, p &lt; .001, eta-square = .05"</t>
  </si>
  <si>
    <t>F(1, 146) = 1.47</t>
  </si>
  <si>
    <t>Boyce_etal2023105</t>
  </si>
  <si>
    <t>Boyce_etal2023105_1</t>
  </si>
  <si>
    <t>No statstics for original study available in Boyce, so not really possible ti understand what exactly was replicated, except for that it was experiment 3(based on sample size)</t>
  </si>
  <si>
    <t>Oh, D., Buck, E. A., &amp; Todorov, A. (2019). Revealing hidden gender biases in competence impressions of faces. Psychological Science, 30(1), 65-79.</t>
  </si>
  <si>
    <t>10.1177/0956797618813092</t>
  </si>
  <si>
    <t>exact</t>
  </si>
  <si>
    <t>Experiment 3</t>
  </si>
  <si>
    <t>1. Changed the Discipline from Psychology to "Cognitive Psychology"
2. Since no test results are provided anywhere except the table, it is impossible to check the values. I marked them with the color. Since no statistical inferences are described, I put NA / unsure to tail and nested columns.
3. Since there is no description of the replication attempt, I can't understand what to code in Original ES</t>
  </si>
  <si>
    <t>Exact replication</t>
  </si>
  <si>
    <t>No replication. The OSF report was registered only in Dec 2024.</t>
  </si>
  <si>
    <t>Boyce_etal2023106</t>
  </si>
  <si>
    <t>Boyce_etal2023106_1</t>
  </si>
  <si>
    <t>1. The test statistics is t(41) = -5.0574 from the replication report (not d reported, but taken from Boyce table) 
2. Effect. tags, prereg_r and description corrected</t>
  </si>
  <si>
    <t>Okan, Y., Garcia-Retamero, R., Cokely, E. T., &amp; Maldonado, A. (2018). Biasing and debiasing health decisions with bar graphs: Costs and benefits of graph literacy. Quarterly Journal of Experimental Psychology, 71(12), 2506-2519.</t>
  </si>
  <si>
    <t>10.1177/1747021817744546</t>
  </si>
  <si>
    <t>Within-the-bar bias</t>
  </si>
  <si>
    <t>Graph comprehension; graph design; medical decision-making; graph literacy; risk communication</t>
  </si>
  <si>
    <t>Within-the-bar condition resulted in a larger and significant bias in rating</t>
  </si>
  <si>
    <t>"Consistent with previous findings, participants presented with bars judged the value below the mean (M=5.26, SD=1.82) to be more likely than the value above the mean (M=2.62, SD=1.62), paired t(201)=14.06, p&lt;.001, d=1.40, 95% CI=[1.15, 1.62], revealing a large, significant influence of the within-the-bar bias"</t>
  </si>
  <si>
    <t>https://osf.io/8e5cg</t>
  </si>
  <si>
    <t>Boyce_etal2023106_a</t>
  </si>
  <si>
    <r>
      <rPr>
        <rFont val="Calibri"/>
        <sz val="11.0"/>
      </rPr>
      <t xml:space="preserve">1. Discipline - changed to cognitive
2. If printing the replication report to obtain PDF, the browser only gives one page (Chrome, Edge), thus there is no opporunity to indicate the page for replication results. 
3. From the report: </t>
    </r>
    <r>
      <rPr>
        <rFont val="Calibri"/>
        <color rgb="FF1155CC"/>
        <sz val="11.0"/>
        <u/>
      </rPr>
      <t>https://rstudio-pubs-static.s3.amazonaws.com/695666_50d31a83674d49bd8c1f5c55c3647f10.html</t>
    </r>
  </si>
  <si>
    <t>t(41) = 5.06</t>
  </si>
  <si>
    <t>https://rstudio-pubs-static.s3.amazonaws.com/695666_50d31a83674d49bd8c1f5c55c3647f10.html</t>
  </si>
  <si>
    <t>Boyce_etal2023106_b</t>
  </si>
  <si>
    <r>
      <rPr>
        <rFont val="Calibri"/>
        <sz val="11.0"/>
      </rPr>
      <t xml:space="preserve">1. Discipline - changed to cognitive
2. If printing the replication report to obtain PDF, the browser only gives one page (Chrome, Edge), thus there is no opporunity to indicate the page for replication results. 
3. From the report: </t>
    </r>
    <r>
      <rPr>
        <rFont val="Calibri"/>
        <color rgb="FF1155CC"/>
        <sz val="11.0"/>
        <u/>
      </rPr>
      <t>https://rstudio-pubs-static.s3.amazonaws.com/695666_50d31a83674d49bd8c1f5c55c3647f10.html</t>
    </r>
  </si>
  <si>
    <t>Within-the-dot condition resulted in a non-significant bias in rating</t>
  </si>
  <si>
    <t>"A tendency in the same direction was also observed among those presented with [...] the dot plot (judgement below: M=4.41, SD=2.21; judgement above: M=2.72, SD=1.67)"</t>
  </si>
  <si>
    <t>t(38) = -2.5608</t>
  </si>
  <si>
    <t>Boyce_etal2023106_c</t>
  </si>
  <si>
    <r>
      <rPr>
        <rFont val="Calibri"/>
        <sz val="11.0"/>
      </rPr>
      <t xml:space="preserve">1. Discipline - changed to cognitive
2. If printing the replication report to obtain PDF, the browser only gives one page (Chrome, Edge), thus there is no opporunity to indicate the page for replication results. 
3. From the report: </t>
    </r>
    <r>
      <rPr>
        <rFont val="Calibri"/>
        <color rgb="FF1155CC"/>
        <sz val="11.0"/>
        <u/>
      </rPr>
      <t>https://rstudio-pubs-static.s3.amazonaws.com/695666_50d31a83674d49bd8c1f5c55c3647f10.html</t>
    </r>
  </si>
  <si>
    <t>The model explained moderate varience</t>
  </si>
  <si>
    <t>"This model explained a moderate and significant amount of variance, R2=.05, F(5, 605)=6.57, p&lt;.001"</t>
  </si>
  <si>
    <t>Boyce_etal2023106_d</t>
  </si>
  <si>
    <t xml:space="preserve">1. Discipline - changed to cognitive
2. If printing the replication report to obtain PDF, the browser only gives one page (Chrome, Edge), thus there is no opporunity to indicate the page for replication results. </t>
  </si>
  <si>
    <t>Dot plots reduced the bias</t>
  </si>
  <si>
    <t>"As expected, [...] dot plots significantly reduced the bias, β=−.17, t=3.66, p&lt;.001 (see Figure 5)"</t>
  </si>
  <si>
    <t>Boyce_etal2023106_e</t>
  </si>
  <si>
    <r>
      <rPr>
        <rFont val="Calibri"/>
        <sz val="11.0"/>
      </rPr>
      <t xml:space="preserve">1. Discipline - changed to cognitive
2. If printing the replication report to obtain PDF, the browser only gives one page (Chrome, Edge), thus there is no opporunity to indicate the page for replication results. 
3. From the report: </t>
    </r>
    <r>
      <rPr>
        <rFont val="Calibri"/>
        <color rgb="FF1155CC"/>
        <sz val="11.0"/>
        <u/>
      </rPr>
      <t>https://rstudio-pubs-static.s3.amazonaws.com/695666_50d31a83674d49bd8c1f5c55c3647f10.html</t>
    </r>
  </si>
  <si>
    <t>Graph literacy was positively correlated with bias</t>
  </si>
  <si>
    <t>"[...] higher graph literacy related to stronger bias, β=.22, t=3.23, p=.001"</t>
  </si>
  <si>
    <t>Boyce_etal2023106_f</t>
  </si>
  <si>
    <r>
      <rPr>
        <rFont val="Calibri"/>
        <sz val="11.0"/>
      </rPr>
      <t xml:space="preserve">1. Discipline - changed to cognitive
2. If printing the replication report to obtain PDF, the browser only gives one page (Chrome, Edge), thus there is no opporunity to indicate the page for replication results. 
3. From the report: </t>
    </r>
    <r>
      <rPr>
        <rFont val="Calibri"/>
        <color rgb="FF1155CC"/>
        <sz val="11.0"/>
        <u/>
      </rPr>
      <t>https://rstudio-pubs-static.s3.amazonaws.com/695666_50d31a83674d49bd8c1f5c55c3647f10.html</t>
    </r>
  </si>
  <si>
    <t>The relation between graph literacy and display type was not significantly different in bar and dot conditions</t>
  </si>
  <si>
    <t>"The interaction terms between graph literacy and display type were [...] marginally significant ([...] β=−.10, t=1.82, p=.07 for bars vs dot plot)"</t>
  </si>
  <si>
    <t>Boyce_etal2023107</t>
  </si>
  <si>
    <t>Boyce_etal2023107_1</t>
  </si>
  <si>
    <t>O’Keefe, P. A., Dweck, C. S., &amp; Walton, G. M. (2018). Implicit theories of interest: Finding your passion or developing it?. Psychological science, 29(10), 1653-1664.</t>
  </si>
  <si>
    <t>10.1177/0956797618780643</t>
  </si>
  <si>
    <t>Study 2</t>
  </si>
  <si>
    <t>The more students endorsed a fixed theory, the less interest they expressed in the article that mismatched their inter- est identity,</t>
  </si>
  <si>
    <t>https://osf.io/5fzqp/</t>
  </si>
  <si>
    <t>Implicit theories of interest</t>
  </si>
  <si>
    <t>Motivation, social cognition, interest, passion, implicit self-theories</t>
  </si>
  <si>
    <t>The more students endorsed a fixed theory, the less interest they expressed in the article that mismatched their interest identity</t>
  </si>
  <si>
    <t>A repeated measures analysis of covariance yielded the predicted interaction between theories of interest and article type, F(1, 137) = 7.46, p = .007, partial eta-square = .05. The more students endorsed a fixed theory, the less interest they expressed in the article that mismatched their interest identity, β = 0.20, t(137) = 2.42, p = .017.</t>
  </si>
  <si>
    <t>F(1, 137) = 7.46</t>
  </si>
  <si>
    <t>F(1, 70)=2.4602</t>
  </si>
  <si>
    <t>Boyce dataset: https://osf.io/kspm6</t>
  </si>
  <si>
    <t>https://osf.io/4uj6v</t>
  </si>
  <si>
    <t>Here - and in some other places - prereg_o contains the repl prereg. this must be for the original study</t>
  </si>
  <si>
    <t>Boyce_etal2023108</t>
  </si>
  <si>
    <t>Boyce_etal2023108_1</t>
  </si>
  <si>
    <t>sampl O is 302, not 300 as syayed in Boyce dataset</t>
  </si>
  <si>
    <t>Difference in n_o</t>
  </si>
  <si>
    <t>Okonofua, J. A., Paunesku, D., &amp; Walton, G. M. (2016). Brief intervention to encourage empathic discipline cuts suspension rates in half among adolescents. Proceedings of the National Academy of Sciences, 113(19), 5221-5226.</t>
  </si>
  <si>
    <t>10.1073/pnas.1523698113</t>
  </si>
  <si>
    <t>As predicted, college students reported that, as middle-school students, they would respect the teacher far more in the empathic- mindset than in the punitive-discipline condition</t>
  </si>
  <si>
    <t>1. Replication data report was absent and there was no one for study 2, except the initial steps of the replication (no analysis/results)
2. Discipline is changed to "Social psychology"</t>
  </si>
  <si>
    <t>Empathic mindset</t>
  </si>
  <si>
    <t>Teacher–student relationships, empathy,  respect, school suspensions, discipline</t>
  </si>
  <si>
    <t>Brief intervention to encourage empathic discipline cuts suspension rates in half among adolescents</t>
  </si>
  <si>
    <t>"College students reported that, as middle-school students, they would respect the teacher far more in the empathic-mindset than in the punitive-discipline condition (M = 5.23, SD = 1.14 versus M = 2.47, SD = 1.09), t(300) = 20.98, P &lt; 0.001, d = 2.42"</t>
  </si>
  <si>
    <t>Boyce_etal2023109</t>
  </si>
  <si>
    <t>Boyce_etal2023109_1</t>
  </si>
  <si>
    <t>statistics is missing in the dataset, data for R identified and extracted from the report</t>
  </si>
  <si>
    <t>Page and ES incorrect</t>
  </si>
  <si>
    <t>Otto, R. A., Skatova, A., Madlon-Kay, S., &amp; Daw, N. (2014). Cognitive Control Mode Predicts Behavioral Expression of Model-Based Reinforcement-Learning. In Proceedings of the Annual Meeting of the Cognitive Science Society (Vol. 36, No. 36).</t>
  </si>
  <si>
    <t>10.1162/jocn_a_00709</t>
  </si>
  <si>
    <t>experiment 1, Reward × Transition × Stroop (infrequent)</t>
  </si>
  <si>
    <t>interference effects in the Stroop color-naming task relate to the expression of model-based choice in sequential choice.. ... Table 2 - Reward × Transition × Stroop (infrequent)</t>
  </si>
  <si>
    <t>p.325</t>
  </si>
  <si>
    <t>Boyce_etal2023109_1_a</t>
  </si>
  <si>
    <r>
      <rPr>
        <rFont val="Calibri"/>
        <sz val="11.0"/>
      </rPr>
      <t xml:space="preserve">1. Keywords were taken from fingerprints at </t>
    </r>
    <r>
      <rPr>
        <rFont val="Calibri"/>
        <color rgb="FF1155CC"/>
        <sz val="11.0"/>
        <u/>
      </rPr>
      <t xml:space="preserve">https://nyuscholars.nyu.edu/en/publications/cognitive-control-predicts-use-of-model-based-reinforcement-learn
</t>
    </r>
    <r>
      <rPr>
        <rFont val="Calibri"/>
        <sz val="11.0"/>
      </rPr>
      <t>2. In the replication report Otto reported the final sample to be 25 (p. 5)
3. In the replication report the alpha level is not specified, however, it is specified in the original study. As the replication is close, I consider the replication study to use the same alpha level
4. The original paper was added as 10.1162jocn_a_00709.pdf</t>
    </r>
  </si>
  <si>
    <t>Cognitive control</t>
  </si>
  <si>
    <t>Behavior, reinforcement learning, cognitive control, decision making, individual differences, neural substrate, sequential choice, control paradigm</t>
  </si>
  <si>
    <t>Stroop interference predicts a decreased model-based choice contribution</t>
  </si>
  <si>
    <t>"Statistically, in testing infrequent IE as a linear covariate modulating model-based choice, we found a significant three-way interaction between infrequent IE, reward, and transition type (p&lt;.05, Table 2), revealing that Stroop interference predicts a decreased model-based choice contribution"</t>
  </si>
  <si>
    <t xml:space="preserve">p. 9, https://github.com/vboyce/251-254-MA/blob/main/reports/otto2014.pdf </t>
  </si>
  <si>
    <t>Boyce_etal2023109_1_b</t>
  </si>
  <si>
    <r>
      <rPr>
        <rFont val="Calibri"/>
        <sz val="11.0"/>
      </rPr>
      <t xml:space="preserve">1. Keywords were taken from fingerprints at </t>
    </r>
    <r>
      <rPr>
        <rFont val="Calibri"/>
        <color rgb="FF1155CC"/>
        <sz val="11.0"/>
        <u/>
      </rPr>
      <t xml:space="preserve">https://nyuscholars.nyu.edu/en/publications/cognitive-control-predicts-use-of-model-based-reinforcement-learn
</t>
    </r>
    <r>
      <rPr>
        <rFont val="Calibri"/>
        <sz val="11.0"/>
      </rPr>
      <t>2. In the replication report Otto reported the final sample to be 25 (p. 5)
3. In the replication report the alpha level is not specified, however, it is specified in the original study. As the replication is close, I consider the replication study to use the same alpha level
4. The original paper was added as 10.1162jocn_a_00709.pdf</t>
    </r>
  </si>
  <si>
    <t>Predictive effect of susceptibility to response conflict was limited to model-based rather than model-free choice contribution in the infrequent condition</t>
  </si>
  <si>
    <t>"There was no significant effect of infrequent IE upon previous reward (p = .307) suggesting that the predictive effect of susceptibility to response conflict was limited to model-based rather than model-free choice contribution"</t>
  </si>
  <si>
    <t>p. 25</t>
  </si>
  <si>
    <t xml:space="preserve">p. 9,https://github.com/vboyce/251-254-MA/blob/main/reports/otto2014.pdf </t>
  </si>
  <si>
    <t>Boyce_etal2023109_1_c</t>
  </si>
  <si>
    <r>
      <rPr>
        <rFont val="Calibri"/>
        <sz val="11.0"/>
      </rPr>
      <t xml:space="preserve">1. Keywords were taken from fingerprints at </t>
    </r>
    <r>
      <rPr>
        <rFont val="Calibri"/>
        <color rgb="FF1155CC"/>
        <sz val="11.0"/>
        <u/>
      </rPr>
      <t xml:space="preserve">https://nyuscholars.nyu.edu/en/publications/cognitive-control-predicts-use-of-model-based-reinforcement-learn
</t>
    </r>
    <r>
      <rPr>
        <rFont val="Calibri"/>
        <sz val="11.0"/>
      </rPr>
      <t>2. In the replication report Otto reported the final sample to be 25 (p. 5)
3. In the replication report the alpha level is not specified, however, it is specified in the original study. As the replication is close, I consider the replication study to use the same alpha level
4. The original paper was added as 10.1162jocn_a_00709.pdf</t>
    </r>
  </si>
  <si>
    <t>Rewards significantly influence the repetition of the previous choice</t>
  </si>
  <si>
    <t>"A logistic regression revealed a significant main effect of reward (p&lt;.0001), indicating model-free learning [...] (the third through fifth coefficients in Table 2)"</t>
  </si>
  <si>
    <t>Z = 1.992, N = 31</t>
  </si>
  <si>
    <t xml:space="preserve">p. 6, https://github.com/vboyce/251-254-MA/blob/main/reports/otto2014.pdf </t>
  </si>
  <si>
    <t>Boyce_etal2023109_1_d</t>
  </si>
  <si>
    <r>
      <rPr>
        <rFont val="Calibri"/>
        <sz val="11.0"/>
      </rPr>
      <t xml:space="preserve">1. Keywords were taken from fingerprints at </t>
    </r>
    <r>
      <rPr>
        <rFont val="Calibri"/>
        <color rgb="FF1155CC"/>
        <sz val="11.0"/>
        <u/>
      </rPr>
      <t xml:space="preserve">https://nyuscholars.nyu.edu/en/publications/cognitive-control-predicts-use-of-model-based-reinforcement-learn
</t>
    </r>
    <r>
      <rPr>
        <rFont val="Calibri"/>
        <sz val="11.0"/>
      </rPr>
      <t>2. In the replication report Otto reported the final sample to be 25 (p. 5)
3. In the replication report the alpha level is not specified, however, it is specified in the original study. As the replication is close, I consider the replication study to use the same alpha level
4. The original paper was added as 10.1162jocn_a_00709.pdf</t>
    </r>
  </si>
  <si>
    <t>Rewards and transition interaction (rare / common) significantly influence the repetition of the previous choice</t>
  </si>
  <si>
    <t>"A logistic regression revealed a significant [...] interaction between reward and transition type (p&lt;.01), the signature of model-based contributions (the third through fifth coefficients in Table 2)"</t>
  </si>
  <si>
    <t>Z = 2.28, N = 31</t>
  </si>
  <si>
    <t>Boyce_etal2023109_1_e</t>
  </si>
  <si>
    <r>
      <rPr>
        <rFont val="Calibri"/>
        <sz val="11.0"/>
      </rPr>
      <t xml:space="preserve">1. Keywords were taken from fingerprints at </t>
    </r>
    <r>
      <rPr>
        <rFont val="Calibri"/>
        <color rgb="FF1155CC"/>
        <sz val="11.0"/>
        <u/>
      </rPr>
      <t xml:space="preserve">https://nyuscholars.nyu.edu/en/publications/cognitive-control-predicts-use-of-model-based-reinforcement-learn
</t>
    </r>
    <r>
      <rPr>
        <rFont val="Calibri"/>
        <sz val="11.0"/>
      </rPr>
      <t>2. In the replication report Otto reported the final sample to be 25 (p. 5)
3. In the replication report the alpha level is not specified, however, it is specified in the original study. As the replication is close, I consider the replication study to use the same alpha level
4. The original paper was added as 10.1162jocn_a_00709.pdf</t>
    </r>
  </si>
  <si>
    <t>Transition interaction (rare / common) did not influence the repetition of the previous choice</t>
  </si>
  <si>
    <t>"[...] the signature of model-based contributions (the third through fifth coefficients in Table 2)"</t>
  </si>
  <si>
    <t>Z = -2.75, N = 31</t>
  </si>
  <si>
    <t>Boyce_etal2023109_1_f</t>
  </si>
  <si>
    <r>
      <rPr>
        <rFont val="Calibri"/>
        <sz val="11.0"/>
      </rPr>
      <t xml:space="preserve">1. Keywords were taken from fingerprints at </t>
    </r>
    <r>
      <rPr>
        <rFont val="Calibri"/>
        <color rgb="FF1155CC"/>
        <sz val="11.0"/>
        <u/>
      </rPr>
      <t xml:space="preserve">https://nyuscholars.nyu.edu/en/publications/cognitive-control-predicts-use-of-model-based-reinforcement-learn
</t>
    </r>
    <r>
      <rPr>
        <rFont val="Calibri"/>
        <sz val="11.0"/>
      </rPr>
      <t>2. In the replication report Otto reported the final sample to be 25 (p. 5)
3. In the replication report the alpha level is not specified, however, it is specified in the original study. As the replication is close, I consider the replication study to use the same alpha level
4. The original paper was added as 10.1162jocn_a_00709.pdf</t>
    </r>
  </si>
  <si>
    <t>Predictive effect of susceptibility to response conflict was not limited to model-based choice in the frequent condition</t>
  </si>
  <si>
    <t>"However, we found no significant (or even negatively trending) relationship between frequent IE and model-based choice (p=.143, Figure 2B) [...]"</t>
  </si>
  <si>
    <t>Boyce_etal202311</t>
  </si>
  <si>
    <t>Boyce_etal202311_1</t>
  </si>
  <si>
    <t>Blankenship, K. L., &amp; Wegener, D. T. (2008). Opening the mind to close it: considering a message in light of important values increases message processing and later resistance to change. Journal of Personality and Social Psychology, 94(2), 196.</t>
  </si>
  <si>
    <t>10.1037/0022-3514.94.2.94.2.196</t>
  </si>
  <si>
    <t>participants reported greater involvement with the issue of whether more nuclear power plants should be built in Canada when they had previously considered values that were important (M  7.22, SD  1.48) rather than unimportant (M  6.49, SD  2.06).</t>
  </si>
  <si>
    <t>p. 208</t>
  </si>
  <si>
    <t>Aleksandr</t>
  </si>
  <si>
    <t>Merged</t>
  </si>
  <si>
    <t>5A</t>
  </si>
  <si>
    <t>https://osf.io/v3e2z</t>
  </si>
  <si>
    <t>Persuasion</t>
  </si>
  <si>
    <t>Values, information processing, resistance to persuasion</t>
  </si>
  <si>
    <t>Considering a message in light of important values increases message processing and later resistance to change</t>
  </si>
  <si>
    <t>The predicted Value x Argument Quality interaction was significant for Study 5A, F(1, 257) = 11.58, p = .002 [...]. That is, the difference between the strong and weak argument conditions was greater when values were important rather than unimportant.</t>
  </si>
  <si>
    <t>F(1, 257) = 11.58</t>
  </si>
  <si>
    <t>F(1, 247) = .49</t>
  </si>
  <si>
    <t>Nikita, LW, LR</t>
  </si>
  <si>
    <r>
      <rPr>
        <rFont val="Calibri"/>
        <sz val="11.0"/>
      </rPr>
      <t xml:space="preserve">1. Discipline - changed
2. There is no replication of study 5B open, only study 5A: </t>
    </r>
    <r>
      <rPr>
        <rFont val="Calibri"/>
        <color rgb="FF1155CC"/>
        <sz val="11.0"/>
        <u/>
      </rPr>
      <t>https://osf.io/2gx4k/wiki/home/</t>
    </r>
  </si>
  <si>
    <t>5B</t>
  </si>
  <si>
    <t>"Similarly, participants reported greater involvement with the issue of whether more nuclear power plants should be built in Canada when they had previously considered values that were important (M = 7.22, SD = 1.48) rather than unimportant (M = 6.49, SD = 2.06)"</t>
  </si>
  <si>
    <t>0.05063469690341634</t>
  </si>
  <si>
    <t>0.46605449515145414</t>
  </si>
  <si>
    <t>Boyce_etal2023110_1</t>
  </si>
  <si>
    <t>Boyce_etal2023110_1_a</t>
  </si>
  <si>
    <t>No second coder data</t>
  </si>
  <si>
    <t>Paxton, J. M., Ungar, L., &amp; Greene, J. D. (2012). Reflection and reasoning in moral judgment. Cognitive science, 36(1), 163-177.</t>
  </si>
  <si>
    <t>10.1111/j.1551-6709.2011.01210.x</t>
  </si>
  <si>
    <t>Moral reflection</t>
  </si>
  <si>
    <t>Dual-process model; Moral decision making; Moral judgment; Moral psychology; Moral reasoning; Morality; Reflection; Social intuitionist model</t>
  </si>
  <si>
    <t>The responses before and after in the test are equal, highlighling the reliability across dilemmas</t>
  </si>
  <si>
    <t>"Critically, the proportion of subjects in each condition was statistically indistinguishable before and after exclusion (Pre-Exclusion CRT-First: 65 of 150 [43%], Post-Exclusion CRT-First: 41 of 92 [45%], chi-square = .003, p = .96)"</t>
  </si>
  <si>
    <t>χ²(1) = 0.003</t>
  </si>
  <si>
    <t>X2(1) = 0.22801</t>
  </si>
  <si>
    <t>Boyce_etal2023110_1_b</t>
  </si>
  <si>
    <t>Subjects in the CRT-First condition (inducing more reflective attributions) judged the utilitarian actions to be more acceptable</t>
  </si>
  <si>
    <t>"Subjects in the CRT-First condition judged the utilitarian actions to be more acceptable (CRT-First: M = 3.77; Dilemmas-First: M = 3.25; t(90) = 2.03, p = .05, d = 0.43)"</t>
  </si>
  <si>
    <t>t(80) = -0.35568,</t>
  </si>
  <si>
    <t>Boyce_etal2023110_1_c</t>
  </si>
  <si>
    <t>Higher CRT scores would correlate positively with utilitarian judgments</t>
  </si>
  <si>
    <t>"Again collapsing across all three dilemmas, we examined data from subjects in the CRT-First condition and observed a robust positive correlation between CRT scores and moral acceptability ratings, consistent with our second prediction (r = .39, p = .001; see Fig. 1)"</t>
  </si>
  <si>
    <t>t(48) = 1.0144</t>
  </si>
  <si>
    <t>Boyce_etal2023110_1_d</t>
  </si>
  <si>
    <t>The relationships between the variables are not equal since the correlation coefficients are different</t>
  </si>
  <si>
    <t>"A Fischer r–z test confirmed that these correlations differed significantly (z = 2.6, p = .01).</t>
  </si>
  <si>
    <t>z = 2.6</t>
  </si>
  <si>
    <t>z = 0.47</t>
  </si>
  <si>
    <t>Boyce_etal2023110_1_e</t>
  </si>
  <si>
    <t>The reported effects of the CRT was not the effects of performing a task of some non-specific kind</t>
  </si>
  <si>
    <t>"To test this hypothesis, we compared the CRT scores across the two conditions and found no significant effect (CRT-First: M = 1.32; Dilemmas-First: M = 1.16; t(148) = 0.83, p = .41)"</t>
  </si>
  <si>
    <t>t(148) = 0.83</t>
  </si>
  <si>
    <t>t(139) = 1.3332</t>
  </si>
  <si>
    <t>Boyce_etal2023111</t>
  </si>
  <si>
    <t>Boyce_etal2023111_1</t>
  </si>
  <si>
    <t>Payne, J. D., Stickgold, R., Swanberg, K., &amp; Kensinger, E. A. (2008). Sleep preferentially enhances memory for emotional components of scenes. Psychological science, 19(8), 781-788.</t>
  </si>
  <si>
    <t>10.1111/j.1467-9280.2008.02157.x</t>
  </si>
  <si>
    <t>https://osf.io/vewk7</t>
  </si>
  <si>
    <t>after sleep</t>
  </si>
  <si>
    <t>Negative, but not neutral, objects were better remembered after
sleep than after wake,</t>
  </si>
  <si>
    <t>p.785</t>
  </si>
  <si>
    <t>Boyce_etal2023111_1_f</t>
  </si>
  <si>
    <t>1. Conceptual replication - because laboratory study was replicated online
2. I am not sure what exactly should I indicate in the Effect</t>
  </si>
  <si>
    <t>Sleep effect on emotional memory</t>
  </si>
  <si>
    <t>Arousal, Attention, Circadian Rhythm, Emotions, Humans, Pattern Recognition, Visual, Retention, Sleep, Wakefulness</t>
  </si>
  <si>
    <t>There is an emotional-memory trade-off: general recognition is significantly influenced by the interaction of condition (sleep, wake) and scene component (object, background)</t>
  </si>
  <si>
    <t>"A 2 (condition: sleep, wake) x 2 (valence: negative, neutral) x 2 (scene component: object, background) mixed ANOVA on general recognition revealed interaction [...] between condition and scene component, F(1, 46) = 7.6, p = .008, partial eta-square = .14"</t>
  </si>
  <si>
    <r>
      <rPr>
        <rFont val="Arial"/>
      </rPr>
      <t xml:space="preserve">p. 7, </t>
    </r>
    <r>
      <rPr>
        <rFont val="Arial"/>
        <color rgb="FF1155CC"/>
        <u/>
      </rPr>
      <t>https://github.com/vboyce/251-254-MA/blob/main/reports/RPubs%20-%20PSYCH251%20replication%20report%20(Payne%20et%20al.%202008)_files/441449_2ab956b7171d461482fea234aafa8710.html</t>
    </r>
  </si>
  <si>
    <t>https://osf.io/mj7nd</t>
  </si>
  <si>
    <t>Boyce_etal2023111_1_g</t>
  </si>
  <si>
    <t>There is an emotional-memory trade-off: general recognition is significantly influenced by the interaction of condition (sleep, wake) and valence (negative, neutral)</t>
  </si>
  <si>
    <t>"A 2 (condition: sleep, wake) x 2 (valence: negative, neutral) x 2 (scene component: object, background) mixed ANOVA on general recognition revealed interactions between condition and valence, F(1, 46) = 13.1, p = .001, partial eta-square = .20"</t>
  </si>
  <si>
    <r>
      <rPr>
        <rFont val="Arial"/>
      </rPr>
      <t xml:space="preserve">p. 7, </t>
    </r>
    <r>
      <rPr>
        <rFont val="Arial"/>
        <color rgb="FF1155CC"/>
        <u/>
      </rPr>
      <t>https://github.com/vboyce/251-254-MA/blob/main/reports/RPubs%20-%20PSYCH251%20replication%20report%20(Payne%20et%20al.%202008)_files/441449_2ab956b7171d461482fea234aafa8710.html</t>
    </r>
  </si>
  <si>
    <t>Boyce_etal2023111_1_h</t>
  </si>
  <si>
    <t>There is an emotional-memory trade-off: general recognition is significantly influenced by the interaction of factors</t>
  </si>
  <si>
    <t>"A 2 (condition: sleep, wake) x 2 (valence: negative, neutral) x 2 (scene component: object, background) mixed ANOVA on general recognition revealed interaction [...] among the three factors, F(1, 46) = 4.7, p = .03, partial eta-square = .10 (see Figs. 3a and 3b)"</t>
  </si>
  <si>
    <r>
      <rPr>
        <rFont val="Arial"/>
      </rPr>
      <t xml:space="preserve">p. 7, </t>
    </r>
    <r>
      <rPr>
        <rFont val="Arial"/>
        <color rgb="FF1155CC"/>
        <u/>
      </rPr>
      <t>https://github.com/vboyce/251-254-MA/blob/main/reports/RPubs%20-%20PSYCH251%20replication%20report%20(Payne%20et%20al.%202008)_files/441449_2ab956b7171d461482fea234aafa8710.html</t>
    </r>
  </si>
  <si>
    <t>Boyce_etal2023111_1_i</t>
  </si>
  <si>
    <t>Sleep selectively preserved memory for the scene’s negative emotional objects</t>
  </si>
  <si>
    <t>"Negative, but not neutral, objects were better remembered after sleep than after wake, F(1, 46) = 11.5, p = .001, partial eta-square = .20."</t>
  </si>
  <si>
    <r>
      <rPr>
        <rFont val="Arial"/>
      </rPr>
      <t xml:space="preserve">p. 7, </t>
    </r>
    <r>
      <rPr>
        <rFont val="Arial"/>
        <color rgb="FF1155CC"/>
        <u/>
      </rPr>
      <t>https://github.com/vboyce/251-254-MA/blob/main/reports/RPubs%20-%20PSYCH251%20replication%20report%20(Payne%20et%20al.%202008)_files/441449_2ab956b7171d461482fea234aafa8710.html</t>
    </r>
  </si>
  <si>
    <t>Boyce_etal2023111_1_j</t>
  </si>
  <si>
    <t>Sleep does not preserve memory for the scene’s background regardless their valence</t>
  </si>
  <si>
    <t>"In contrast, sleep offered no benefit for backgrounds, regardless of whether they were presented with negative or neutral objects (Valence x Condition interaction, p &gt; .10)"</t>
  </si>
  <si>
    <r>
      <rPr>
        <rFont val="Arial"/>
      </rPr>
      <t xml:space="preserve">p. 8, p. 7, </t>
    </r>
    <r>
      <rPr>
        <rFont val="Arial"/>
        <color rgb="FF1155CC"/>
        <u/>
      </rPr>
      <t>https://github.com/vboyce/251-254-MA/blob/main/reports/RPubs%20-%20PSYCH251%20replication%20report%20(Payne%20et%20al.%202008)_files/441449_2ab956b7171d461482fea234aafa8710.html</t>
    </r>
  </si>
  <si>
    <t>Boyce_etal2023112</t>
  </si>
  <si>
    <t>Boyce_etal2023112_1</t>
  </si>
  <si>
    <t>d calculated based on provided statistics in the O</t>
  </si>
  <si>
    <t>Focused on two pairwise comparisons, and thus entered sample size for two pairs. In replication, only overall sample (with non-missing data quality) visible, so equal group sizes assumed to calculate sample size for pairwise comparisons.</t>
  </si>
  <si>
    <t>Peer, E., Rothschild, D., Gordon, A., Evernden, Z., &amp; Damer, E. (2022). Data quality of platforms and panels for online behavioral research. Behavior Research Methods, 54(4), 1643-1662.</t>
  </si>
  <si>
    <t>10.3758/s13428-021-01694-3</t>
  </si>
  <si>
    <t>http://rpubs.com/kimiasaadatian/replicationreport</t>
  </si>
  <si>
    <t>Data quality on Prolific vs MTurk</t>
  </si>
  <si>
    <t>Data quality, Online research, Attention, Comprehension, Reliability, Honesty, Amazon mechanical turk, Prolific</t>
  </si>
  <si>
    <t>Overall data quality score: [...] We found statistically significant differences between the sites on this measure, F(2, 1458) = 129.4, p &lt; .001, which showed higher scores for Prolific (M = 5.87, SD = 1.0) [...] compared to MTurk (M = 4.55, SD = 1.9)</t>
  </si>
  <si>
    <t>p. 1655</t>
  </si>
  <si>
    <t>p. 13: =(5.87-4.55)/SQRT((1^2+1.9^2)/2)</t>
  </si>
  <si>
    <t>https://osf.io/txe4d</t>
  </si>
  <si>
    <t>https://rpubs.com/kimiasaadatian/replicationreport: =(6.26-4.75)/SQRT((1.41^2+2.47^2)/2)</t>
  </si>
  <si>
    <t>https://osf.io/e6cps</t>
  </si>
  <si>
    <t>Data quality on CR vs MTurk</t>
  </si>
  <si>
    <t>Overall data quality score: [...] We found statistically significant differences between the sites on this measure, F(2, 1458) = 129.4, p &lt; .001, which showed higher scores for [...] CR (M = 5.78, SD = 1.1) compared to MTurk (M = 4.55, SD = 1.9)</t>
  </si>
  <si>
    <t>p. 13: =(5.78-4.55)/SQRT((1.1^2+1.9^2)/2)</t>
  </si>
  <si>
    <t>https://rpubs.com/kimiasaadatian/replicationreport: =(3.75-4.75)/SQRT((2.23^2+2.47^2)/2)</t>
  </si>
  <si>
    <r>
      <rPr>
        <rFont val="Calibri"/>
        <sz val="11.0"/>
      </rPr>
      <t xml:space="preserve">1. There is a bit of dismatching data in the replication report. Some data (like attention and so on) are taken from study 1, while the overall metric is taken from the study 2: </t>
    </r>
    <r>
      <rPr>
        <rFont val="Calibri"/>
        <color rgb="FF1155CC"/>
        <sz val="11.0"/>
        <u/>
      </rPr>
      <t xml:space="preserve">https://rstudio-pubs-static.s3.amazonaws.com/843645_4999687f04a2418cb522a69fb65ceeb8.html#Anticipated_challenges
</t>
    </r>
    <r>
      <rPr>
        <rFont val="Calibri"/>
        <sz val="11.0"/>
      </rPr>
      <t>2. The original paper was added as  10.3758s13428-021-01694-3.pdf
3. ES from report, not Boyce table</t>
    </r>
  </si>
  <si>
    <t>Data quality</t>
  </si>
  <si>
    <t>"We found statistically significant differences between the sites on this measure, F(2, 1458) = 129.4, p &lt; .001, which showed higher scores for Prolific (M = 5.87, SD = 1.0) and CR (M = 5.78, SD = 1.1) compared to MTurk (M = 4.55, SD = 1.9)"</t>
  </si>
  <si>
    <t>F(2, 1458) = 129.4</t>
  </si>
  <si>
    <t>F(2, 159) = 13.63</t>
  </si>
  <si>
    <t>p. 40</t>
  </si>
  <si>
    <t>Boyce_etal2023113</t>
  </si>
  <si>
    <t>Boyce_etal2023113_1</t>
  </si>
  <si>
    <t>statistics is missing in Boyce, rawstats = bseb=0.3661(0.2423). Report is absent</t>
  </si>
  <si>
    <t>I assume the beta is unstandardized, while second coder - standardized</t>
  </si>
  <si>
    <t>Petersen, M. B. (2017). Healthy out-group members are represented psychologically as infected in-group members. Psychological Science, 28(12), 1857-1863.</t>
  </si>
  <si>
    <t>10.1177/0956797617728270</t>
  </si>
  <si>
    <t>the number of between-group errors increased in the treatment condition, b = 0.34, p = .007, 95% CI = [0.10, 0.61].</t>
  </si>
  <si>
    <t>Boyce_etal2023113_a</t>
  </si>
  <si>
    <r>
      <rPr>
        <rFont val="Calibri"/>
        <sz val="11.0"/>
      </rPr>
      <t xml:space="preserve">1. Discipline changed
2. Replication data from: </t>
    </r>
    <r>
      <rPr>
        <rFont val="Calibri"/>
        <color rgb="FF1155CC"/>
        <sz val="11.0"/>
        <u/>
      </rPr>
      <t>https://rpubs.com/kl2018/432454</t>
    </r>
  </si>
  <si>
    <t>Prejudice</t>
  </si>
  <si>
    <t>Out-group prejudice, pathogen avoidance, disgust sensitivity, social categories, open data, open materials</t>
  </si>
  <si>
    <t>Healthy out-group members are represented psychologically as infected in-group members</t>
  </si>
  <si>
    <t>"As in the previous studies, [...] the number of between-group errors increased in the treatment condition, b = 0.34, p = .007, 95% CI = [0.10, 0.61]"</t>
  </si>
  <si>
    <t>https://osf.io/apgqj</t>
  </si>
  <si>
    <t>Boyce_etal2023113_b</t>
  </si>
  <si>
    <r>
      <rPr>
        <rFont val="Calibri"/>
        <sz val="11.0"/>
      </rPr>
      <t xml:space="preserve">1. Discipline changed
2. Replication data from: </t>
    </r>
    <r>
      <rPr>
        <rFont val="Calibri"/>
        <color rgb="FF1155CC"/>
        <sz val="11.0"/>
        <u/>
      </rPr>
      <t>https://rpubs.com/kl2018/432454</t>
    </r>
  </si>
  <si>
    <t>The decrease of correct recall was mostly due to the increase in the number of within-group errors</t>
  </si>
  <si>
    <t>"But, in contrast to Study 1 and Study 2, the decrease in correct recall was due to a very large increase in the number of within-group errors, b = 0.80, p &lt; .001, 95% CI = [0.56, 1.04]"</t>
  </si>
  <si>
    <t>Boyce_etal2023114</t>
  </si>
  <si>
    <t>Boyce_etal2023114_1</t>
  </si>
  <si>
    <t>no statistics for R provided, report is absent</t>
  </si>
  <si>
    <t>Piff, P. K., Stancato, D. M., Côté, S., Mendoza-Denton, R., &amp; Keltner, D. (2012). Higher social class predicts increased unethical behavior. Proceedings of the National Academy of Sciences, 109(11), 4086-4091.</t>
  </si>
  <si>
    <t>10.1073/pnas.1118373109</t>
  </si>
  <si>
    <t xml:space="preserve">a significant effect for the greed manipulation ...  These effects were qualified by the predicted significant
interaction between social class and the greed manipulation, </t>
  </si>
  <si>
    <t>p. 4088</t>
  </si>
  <si>
    <t xml:space="preserve">No report </t>
  </si>
  <si>
    <t>Boyce, V., Mathur, M., &amp; Frank, M. C. (2023). Eleven years of student replication projects provide evidence on the correlates of replicability in psychology. Royal Society Open Science, 10(11), 231240. https://doi.org/10.1098/rsos.231173</t>
  </si>
  <si>
    <t>10.1098/rsos.231173</t>
  </si>
  <si>
    <t>No replication</t>
  </si>
  <si>
    <r>
      <rPr>
        <rFont val="Arial"/>
      </rPr>
      <t xml:space="preserve">Removed prereg link because no preregistration exists: </t>
    </r>
    <r>
      <rPr>
        <rFont val="Arial"/>
        <color rgb="FF1155CC"/>
        <u/>
      </rPr>
      <t>https://osf.io/sxw48/</t>
    </r>
    <r>
      <rPr>
        <rFont val="Arial"/>
      </rPr>
      <t>, added link to report (</t>
    </r>
    <r>
      <rPr>
        <rFont val="Arial"/>
        <color rgb="FF1155CC"/>
        <u/>
      </rPr>
      <t>https://osf.io/rjxwe</t>
    </r>
    <r>
      <rPr>
        <rFont val="Arial"/>
      </rPr>
      <t>)</t>
    </r>
  </si>
  <si>
    <t>Priming</t>
  </si>
  <si>
    <t>Socioeconomic status, immoral action, ethical judgment, self-interest</t>
  </si>
  <si>
    <t xml:space="preserve">Participants primed with positive features of greed expressed more favorable attitudes toward greed </t>
  </si>
  <si>
    <t>"As expected, participants primed with positive features of greed expressed more favorable attitudes toward greed (M = 3.12) compared with participants in the neutral-prime condition (M = 2.42), t(87) = .72, P &lt; 0.01, d = 0.58"</t>
  </si>
  <si>
    <t>F(1, 92) = 0.20</t>
  </si>
  <si>
    <r>
      <rPr>
        <rFont val="Calibri"/>
        <sz val="11.0"/>
      </rPr>
      <t xml:space="preserve">p. 2 of </t>
    </r>
    <r>
      <rPr>
        <rFont val="Calibri"/>
        <color rgb="FF1155CC"/>
        <sz val="11.0"/>
        <u/>
      </rPr>
      <t>https://osf.io/rjxwe</t>
    </r>
  </si>
  <si>
    <t>Boyce_etal2023114_b</t>
  </si>
  <si>
    <r>
      <rPr>
        <rFont val="Arial"/>
      </rPr>
      <t xml:space="preserve">Removed prereg link because no preregistration exists: </t>
    </r>
    <r>
      <rPr>
        <rFont val="Arial"/>
        <color rgb="FF1155CC"/>
        <u/>
      </rPr>
      <t>https://osf.io/sxw48/</t>
    </r>
    <r>
      <rPr>
        <rFont val="Arial"/>
      </rPr>
      <t>, added link to report (</t>
    </r>
    <r>
      <rPr>
        <rFont val="Arial"/>
        <color rgb="FF1155CC"/>
        <u/>
      </rPr>
      <t>https://osf.io/rjxwe</t>
    </r>
    <r>
      <rPr>
        <rFont val="Arial"/>
      </rPr>
      <t>)</t>
    </r>
  </si>
  <si>
    <t>Higher social class predicts increased unethical behavior</t>
  </si>
  <si>
    <t>"Results yielded a significant effect for social class, such that upper-class participants reported more unethical behavior than lower-class participants, b = 0.13, SE b = 0.07, t(84) = 2.00, P &lt; 0.05"</t>
  </si>
  <si>
    <t>F(1, 92) = 3.20</t>
  </si>
  <si>
    <r>
      <rPr>
        <rFont val="Calibri"/>
        <sz val="11.0"/>
      </rPr>
      <t xml:space="preserve">p. 2 of </t>
    </r>
    <r>
      <rPr>
        <rFont val="Calibri"/>
        <color rgb="FF1155CC"/>
        <sz val="11.0"/>
        <u/>
      </rPr>
      <t>https://osf.io/rjxwe</t>
    </r>
  </si>
  <si>
    <t>Boyce_etal2023114_c</t>
  </si>
  <si>
    <r>
      <rPr>
        <rFont val="Arial"/>
      </rPr>
      <t xml:space="preserve">Removed prereg link because no preregistration exists: </t>
    </r>
    <r>
      <rPr>
        <rFont val="Arial"/>
        <color rgb="FF1155CC"/>
        <u/>
      </rPr>
      <t>https://osf.io/sxw48/</t>
    </r>
    <r>
      <rPr>
        <rFont val="Arial"/>
      </rPr>
      <t>, added link to report (</t>
    </r>
    <r>
      <rPr>
        <rFont val="Arial"/>
        <color rgb="FF1155CC"/>
        <u/>
      </rPr>
      <t>https://osf.io/rjxwe</t>
    </r>
    <r>
      <rPr>
        <rFont val="Arial"/>
      </rPr>
      <t>)</t>
    </r>
  </si>
  <si>
    <t>In the neutral-prime condition, upper-class participants reported significantly more unethical behavior, but when priming with positive aspects of greed, lower-class articipants exhibited high levels of unethical behavior</t>
  </si>
  <si>
    <t>"These effects were qualified by the predicted significant interaction between social class and the greed manipulation, b =−0.24, SE b=0.18, t(84) = −2.34, P &lt; 0.03"</t>
  </si>
  <si>
    <t>F(1,92) = 0.89</t>
  </si>
  <si>
    <r>
      <rPr>
        <rFont val="Calibri"/>
        <sz val="11.0"/>
      </rPr>
      <t xml:space="preserve">p. 2 of </t>
    </r>
    <r>
      <rPr>
        <rFont val="Calibri"/>
        <color rgb="FF1155CC"/>
        <sz val="11.0"/>
        <u/>
      </rPr>
      <t>https://osf.io/rjxwe</t>
    </r>
  </si>
  <si>
    <t>Boyce_etal2023115</t>
  </si>
  <si>
    <t>Boyce_etal2023115_1</t>
  </si>
  <si>
    <t>Read the report for the study, and since author wrote that "As I have not yet been able to reproduce the Cohen’s-d values nor the 95% Credibility interval in the original paper, I am not using these statistics as a basis of comparison" and the statistic in the O paper aren't matching with the Boyce I decided to extract all the info from Boyce dataset, and not theoriginal paper (no points to match). Data could be not very reliable</t>
  </si>
  <si>
    <t>Pilditch, T. D., Fenton, N., &amp; Lagnado, D. (2019). The zero-sum fallacy in evidence evaluation. Psychological science, 30(2), 250-260.</t>
  </si>
  <si>
    <t>10.1177/0956797618818484</t>
  </si>
  <si>
    <t>experiment 2</t>
  </si>
  <si>
    <t>p.6 in O (probably), but used statistics from Boyce</t>
  </si>
  <si>
    <t>1. From the paper "The design and analysis plans for the experiments were not preregistered"
2. This study is difficult for me to understand due to not working with BFs. I am not sure that there are no more matching results
3.  BFinclusion = 607.57</t>
  </si>
  <si>
    <t>coded as between-subjects due to "50 per group"; added link to dataset with data for _O</t>
  </si>
  <si>
    <t>Reasoning error</t>
  </si>
  <si>
    <t>Zero sum, intuitive judgment, cognitive bias, evidential reasoning, probabilistic reasoning, open data, open materials</t>
  </si>
  <si>
    <t xml:space="preserve">Participants were more accurate or correct in their responses when they received a negative test result </t>
  </si>
  <si>
    <t>"Correct responding was significantly higher in the negative- than the positive-test-result condition, BFinclusion = 607.57, [...] as can be seen in Table 1"</t>
  </si>
  <si>
    <t>0.6128039037857511</t>
  </si>
  <si>
    <r>
      <rPr>
        <rFont val="Calibri"/>
        <sz val="11.0"/>
      </rPr>
      <t xml:space="preserve">p.6 in O (probably), but used statistics from Boyce </t>
    </r>
    <r>
      <rPr>
        <rFont val="Calibri"/>
        <color rgb="FF1155CC"/>
        <sz val="11.0"/>
        <u/>
      </rPr>
      <t>https://github.com/vboyce/251-254-MA/blob/main/data/processed_data.csv</t>
    </r>
  </si>
  <si>
    <t>0.9289729131757601</t>
  </si>
  <si>
    <t>Boyce_etal2023116</t>
  </si>
  <si>
    <t>Boyce_etal2023116_1_b</t>
  </si>
  <si>
    <t>was replicated twice, by different students (this one and Boyce_etal2023116_1_d)</t>
  </si>
  <si>
    <t>added study_o, added es_repr_r, added effect, added description</t>
  </si>
  <si>
    <t>Porter, S. C., Rheinschmidt-Same, M., &amp; Richeson, J. A. (2016). Inferring identity from language: Linguistic intergroup bias informs social categorization. Psychological science, 27(1), 94-102.</t>
  </si>
  <si>
    <t>10.1177/0956797615612202</t>
  </si>
  <si>
    <t>1a</t>
  </si>
  <si>
    <t>Linguistic intergroup bias</t>
  </si>
  <si>
    <t>Social category inference.</t>
  </si>
  <si>
    <t xml:space="preserve">Participants in the favorable LIB condition were more likely to believe that the communicatior had the same political affiliation as the target compared to participants in the unfavorable LIB condition. </t>
  </si>
  <si>
    <t>As predicted, participants in the favorable-LIB condition were significantly more likely to believe that the communicator was a Democrat, and thus shared a party affiliation with the target, than were participants in the unfavorable-LIB condition, t(86) = 2.89, p = .005, d = 0.62</t>
  </si>
  <si>
    <t>https://docs.google.com/spreadsheets/d/1GZtAzaS9SynEVwyT-fs-bVPDZh374b78kaKIWves5pM/edit?gid=288814287#gid=288814287</t>
  </si>
  <si>
    <t>please add the varibale es_repr_r and prereg_r, please add a description</t>
  </si>
  <si>
    <t>Nikita, SMS</t>
  </si>
  <si>
    <t>Boyce_etal2023116_1_d</t>
  </si>
  <si>
    <t>was replicated twice, by different students (this one and Boyce_etal2023116_1_b)</t>
  </si>
  <si>
    <t>https://osf.io/xwn9m/</t>
  </si>
  <si>
    <t>Boyce_etal2023116_1_c</t>
  </si>
  <si>
    <t xml:space="preserve"> </t>
  </si>
  <si>
    <t>Policy ratings</t>
  </si>
  <si>
    <t>Belief that communicator would support democratic leaning social policies was bigger in the favorable LIB condition than in the unfavorable condition</t>
  </si>
  <si>
    <t>As predicted, participants in the favorable-LIB condition believed that the communicator was more likely to support these Democratic-leaning
social policies (M = 4.90, SD = 0.99), compared with participants in the unfavorable-LIB condition (M = 4.33, SD = 0.90), t(116) = 3.25, p = .002, d = 0.60 (Fig. 2).</t>
  </si>
  <si>
    <t>Boyce_etal2023116_1</t>
  </si>
  <si>
    <r>
      <rPr>
        <rFont val="Calibri"/>
        <sz val="11.0"/>
      </rPr>
      <t xml:space="preserve">1. The data for replication was taken from: </t>
    </r>
    <r>
      <rPr>
        <rFont val="Calibri"/>
        <color rgb="FF1155CC"/>
        <sz val="11.0"/>
        <u/>
      </rPr>
      <t xml:space="preserve">https://www.rpubs.com/sansiropp/256552
</t>
    </r>
    <r>
      <rPr>
        <rFont val="Calibri"/>
        <sz val="11.0"/>
      </rPr>
      <t>2. Since the survey was not original, but recreated, I put "conceptual replication"</t>
    </r>
  </si>
  <si>
    <t>Added no to prereg_o, changed n_r to 78, added prereg_r, found values in linked file</t>
  </si>
  <si>
    <t>Social cognition, social perception, attitudes, intergroup dynamics, language, open data</t>
  </si>
  <si>
    <t>Participants who received favorable information about Peter perceived him as more likely to act helpfully</t>
  </si>
  <si>
    <t>"As expected, participants in the favorable-LIB condition believed that Peter was more likely to be helpful in the future (M = 71.63%, SD = 18.68) compared with participants in the unfavorable-LIB condition (M = 60.39%, SD = 21.52), F(1, 129) = 10.14, p &lt; .01, d = 0.56."</t>
  </si>
  <si>
    <t>https://www.rpubs.com/sansiropp/256552</t>
  </si>
  <si>
    <t>:  please add the link to the file where you found the data to the variable "es_repr_r"</t>
  </si>
  <si>
    <r>
      <rPr>
        <rFont val="Calibri"/>
        <sz val="11.0"/>
      </rPr>
      <t xml:space="preserve">1. The data for replication was taken from: </t>
    </r>
    <r>
      <rPr>
        <rFont val="Calibri"/>
        <color rgb="FF1155CC"/>
        <sz val="11.0"/>
        <u/>
      </rPr>
      <t xml:space="preserve">https://www.rpubs.com/sansiropp/256552
</t>
    </r>
    <r>
      <rPr>
        <rFont val="Calibri"/>
        <sz val="11.0"/>
      </rPr>
      <t>2. Since the survey was not original, but recreated, I put "conceptual replication"</t>
    </r>
  </si>
  <si>
    <t>changed n_o to 133 , changed n_r to 126, changed es_value_r to 0.370016595170749, changed pval_value_r to 0.0506886504493445</t>
  </si>
  <si>
    <t>Participants in the favorable-LIB condition were significantly more likely to believe the communicator and target shared political-group membership</t>
  </si>
  <si>
    <t>"Results revealed the predicted main effect of LIB condition: Participants in the favorable-LIB condition, relative to those in the unfavorable-LIB condition, were significantly more likely to believe that the communicator and target shared political-group membership, F(1, 121) = 8.67, p &lt; .01, d = 0.51 (Fig. 3)"</t>
  </si>
  <si>
    <t>https://github.com/vboyce/251-254-MA/blob/main/data/processed_data.csv</t>
  </si>
  <si>
    <t xml:space="preserve">please put in the n that was included in the analysis for n_o </t>
  </si>
  <si>
    <t>Boyce_etal2023116_1_e</t>
  </si>
  <si>
    <t>refers to the same effect as row 752, so I chose 752 since there were more columns filled in already</t>
  </si>
  <si>
    <t>Participants in the favorable-LIB condition, relative to those in the unfavorable-LIB condition, were significantly more likely to believe that the communicator and target shared political-group membership, F(1, 121) = 8.67, p &lt; .01, d = 0.51</t>
  </si>
  <si>
    <r>
      <rPr>
        <rFont val="Calibri"/>
        <sz val="11.0"/>
      </rPr>
      <t xml:space="preserve">1. The data for replication was taken from: </t>
    </r>
    <r>
      <rPr>
        <rFont val="Calibri"/>
        <color rgb="FF1155CC"/>
        <sz val="11.0"/>
        <u/>
      </rPr>
      <t xml:space="preserve">https://www.rpubs.com/sansiropp/256552
</t>
    </r>
    <r>
      <rPr>
        <rFont val="Calibri"/>
        <sz val="11.0"/>
      </rPr>
      <t>2. Since the survey was not original, but recreated, I put "conceptual replication"</t>
    </r>
  </si>
  <si>
    <t>changed n_o to 133</t>
  </si>
  <si>
    <t>There was no significant interaction between the LIB condition and the target’s political affiliation</t>
  </si>
  <si>
    <t>""Further, there was no [...] interaction between the LIB condition and target’s political affiliation, F(1, 121) = 0.02"</t>
  </si>
  <si>
    <t>F(1, 121) = 0.02</t>
  </si>
  <si>
    <t xml:space="preserve"> https://www.rpubs.com/sansiropp/256552</t>
  </si>
  <si>
    <t>please add the link to the file where you found the values for the replication in the column "es_repr_r", please put the number of observations that were included in the analisis in the column for n_o</t>
  </si>
  <si>
    <t>Boyce_etal2023117_1</t>
  </si>
  <si>
    <t>Boyce_etal2023117_a</t>
  </si>
  <si>
    <r>
      <rPr>
        <rFont val="Calibri"/>
        <sz val="11.0"/>
      </rPr>
      <t xml:space="preserve">1. There is OSF link, but it is not stated whether the paper was pre-registrated or registrated. 
2. Replication data was taken from: </t>
    </r>
    <r>
      <rPr>
        <rFont val="Calibri"/>
        <color rgb="FF1155CC"/>
        <sz val="11.0"/>
        <u/>
      </rPr>
      <t>https://rpubs.com/camillag/256522</t>
    </r>
    <r>
      <rPr>
        <rFont val="Calibri"/>
        <sz val="11.0"/>
      </rPr>
      <t xml:space="preserve"> </t>
    </r>
  </si>
  <si>
    <r>
      <rPr>
        <rFont val="Arial"/>
      </rPr>
      <t xml:space="preserve">Preregistration consists of data only and was thus removed: </t>
    </r>
    <r>
      <rPr>
        <rFont val="Arial"/>
        <color rgb="FF1155CC"/>
        <u/>
      </rPr>
      <t>https://osf.io/w3h9y/files/osfstorage</t>
    </r>
  </si>
  <si>
    <t xml:space="preserve">Favorable Linguistic intergroup bias lead to higher believs that Peter was more likely to be helpful in the future </t>
  </si>
  <si>
    <t xml:space="preserve">“As expected, participants in the favorable-LIB condition believed that Peter was more likely to be helpful in the future (M = 70.29%, SD = 23.58) than did participants in the unfavorable-LIB condition (M = 57.83%, SD = 24.08), t(86) = 2.45, p = .016, d = 0.53" </t>
  </si>
  <si>
    <t>Please specify to which document/ source you are referring in the column "es_repr_r"</t>
  </si>
  <si>
    <t>Nikita, LR, SMS</t>
  </si>
  <si>
    <t>Boyce_etal2023117_b</t>
  </si>
  <si>
    <r>
      <rPr>
        <rFont val="Calibri"/>
        <sz val="11.0"/>
      </rPr>
      <t xml:space="preserve">1. There is OSF link, but it is not stated whether the paper was pre-registrated or registrated. 
2. Replication data was taken from: </t>
    </r>
    <r>
      <rPr>
        <rFont val="Calibri"/>
        <color rgb="FF1155CC"/>
        <sz val="11.0"/>
        <u/>
      </rPr>
      <t>https://rpubs.com/camillag/256522</t>
    </r>
    <r>
      <rPr>
        <rFont val="Calibri"/>
        <sz val="11.0"/>
      </rPr>
      <t xml:space="preserve"> </t>
    </r>
  </si>
  <si>
    <r>
      <rPr>
        <rFont val="Arial"/>
      </rPr>
      <t xml:space="preserve">Preregistration consists of data only and was thus removed: </t>
    </r>
    <r>
      <rPr>
        <rFont val="Arial"/>
        <color rgb="FF1155CC"/>
        <u/>
      </rPr>
      <t>https://osf.io/w3h9y/files/osfstorage</t>
    </r>
  </si>
  <si>
    <t>Favorable Linguistic intergroup bias lead to higher believs that Peter was less likely to be rude in the future</t>
  </si>
  <si>
    <t>"Similarly, participants in the favorable-LIB condition indicated that Peter was less likely to be rude in the future (M = 33.67%, SD = 25.48) compared with participants in the unfavorable-LIB condition (M = 53.93%, SD = 25.22), t(86) = 3.73, p &lt; .001, d = 0.80”</t>
  </si>
  <si>
    <t>Boyce_etal2023117_c</t>
  </si>
  <si>
    <r>
      <rPr>
        <rFont val="Calibri"/>
        <sz val="11.0"/>
      </rPr>
      <t xml:space="preserve">1. There is OSF link, but it is not stated whether the paper was pre-registrated or registrated. 
2. Replication data was taken from: </t>
    </r>
    <r>
      <rPr>
        <rFont val="Calibri"/>
        <color rgb="FF1155CC"/>
        <sz val="11.0"/>
        <u/>
      </rPr>
      <t>https://rpubs.com/camillag/256522</t>
    </r>
    <r>
      <rPr>
        <rFont val="Calibri"/>
        <sz val="11.0"/>
      </rPr>
      <t xml:space="preserve"> </t>
    </r>
  </si>
  <si>
    <r>
      <rPr>
        <rFont val="Arial"/>
      </rPr>
      <t xml:space="preserve">Preregistration consists of data only and was thus removed: </t>
    </r>
    <r>
      <rPr>
        <rFont val="Arial"/>
        <color rgb="FF1155CC"/>
        <u/>
      </rPr>
      <t>https://osf.io/w3h9y/files/osfstorage</t>
    </r>
  </si>
  <si>
    <t>Being in the favorable Favorable Linguistic intergroup lead to higher believe that the communicator was a Democrat</t>
  </si>
  <si>
    <t>"As predicted, participants in the favorable-LIB condition were significantly more likely to believe that the communicator was a Democrat, and thus shared a party affiliation with the target, than were participants in the unfavorable-LIB condition, t(86) = 2.89, p = .005, d = 0.62 (Fig. 1)"</t>
  </si>
  <si>
    <t>Boyce_etal2023118_1</t>
  </si>
  <si>
    <t>Boyce_etal2023118</t>
  </si>
  <si>
    <r>
      <rPr>
        <rFont val="Calibri"/>
        <sz val="11.0"/>
      </rPr>
      <t xml:space="preserve">1. The data was taken from: </t>
    </r>
    <r>
      <rPr>
        <rFont val="Calibri"/>
        <color rgb="FF1155CC"/>
        <sz val="11.0"/>
        <u/>
      </rPr>
      <t>https://github.com/lrhasak/porter2016/blob/master/writeup/ReplicationReport.Rmd</t>
    </r>
  </si>
  <si>
    <t>corrected results based on final report version</t>
  </si>
  <si>
    <t>Participants in the favorable-LIB condition believed that the communicator was less likely to support the policy</t>
  </si>
  <si>
    <t>"Participants in the favorable-LIB condition believed that the communicator was less likely to support the policy (M = 3.83, SD = 1.44) than did participants in the unfavorable-LIB condition (M = 4.45, SD = 1.13), t(116) = 2.61, p = .01"</t>
  </si>
  <si>
    <t>t(116) = 2.61</t>
  </si>
  <si>
    <t>https://github.com/lrhasak/porter2016/blob/master/writeup/Porter2016_Study2_ReplicationReportFinal.html</t>
  </si>
  <si>
    <t>Boyce_etal2023119_1</t>
  </si>
  <si>
    <t>Boyce_etal2023119</t>
  </si>
  <si>
    <r>
      <rPr>
        <rFont val="Calibri"/>
        <sz val="11.0"/>
      </rPr>
      <t xml:space="preserve">1. The data was taken from: </t>
    </r>
    <r>
      <rPr>
        <rFont val="Calibri"/>
        <color rgb="FF1155CC"/>
        <sz val="11.0"/>
        <u/>
      </rPr>
      <t>https://github.com/lrhasak/porter2016/blob/master/writeup/ReplicationReport.Rmd</t>
    </r>
  </si>
  <si>
    <t>no results in replication report</t>
  </si>
  <si>
    <t>Participants in the favorable-LIB condition were more likely excplicitly beliving that the communicator was more from Democratics</t>
  </si>
  <si>
    <t>"Participants in the favorable-LIB condition believed that the communicator was more likely to support these Democratic-leaning social policies (M = 4.90, SD = 0.99), compared with participants in the unfavorable-LIB condition (M = 4.33, SD = 0.90), t(116) = 3.25, p = .002, d = 0.60 (Fig. 2)"</t>
  </si>
  <si>
    <t>Boyce_etal202312</t>
  </si>
  <si>
    <t>Boyce_etal202312_1</t>
  </si>
  <si>
    <t>Bourrat, P., Baumard, N., &amp; McKay, R. (2011). Surveillance cues enhance moral condemnation. Evolutionary Psychology, 9(2), 147470491100900206.</t>
  </si>
  <si>
    <t>10.1177/147470491100900206</t>
  </si>
  <si>
    <t>1. The study was replicated online, however author claimed that it should no affect the replication due to specific aspects of the experimental procedure</t>
  </si>
  <si>
    <t>The replication was not completed</t>
  </si>
  <si>
    <t>Boyce_etal2023120_1</t>
  </si>
  <si>
    <t>Boyce_etal2023120</t>
  </si>
  <si>
    <r>
      <rPr>
        <rFont val="Calibri"/>
        <sz val="11.0"/>
      </rPr>
      <t xml:space="preserve">1. The data for replication was taken from: </t>
    </r>
    <r>
      <rPr>
        <rFont val="Calibri"/>
        <color rgb="FF1155CC"/>
        <sz val="11.0"/>
        <u/>
      </rPr>
      <t>https://www.rpubs.com/sansiropp/256552</t>
    </r>
  </si>
  <si>
    <t>changed n_o to 133 (number included in analisis)</t>
  </si>
  <si>
    <t>"Likewise, participants in the unfavorable-LIB condition believed that Peter was more likely to be rude in the future (M = 53.82%, SD = 23.99) compared with participants in the favorable-LIB condition (M = 42.18%, SD = 19.73), F(1, 129) = 9.40, p &lt; .01, d = 0.53"</t>
  </si>
  <si>
    <r>
      <rPr>
        <rFont val="Calibri"/>
        <sz val="11.0"/>
      </rPr>
      <t xml:space="preserve">1. The data for replication was taken from: </t>
    </r>
    <r>
      <rPr>
        <rFont val="Calibri"/>
        <color rgb="FF1155CC"/>
        <sz val="11.0"/>
        <u/>
      </rPr>
      <t>https://www.rpubs.com/sansiropp/256552</t>
    </r>
  </si>
  <si>
    <t>The target’s political affiliation (Democrat vs. Republican) did not significantly influence participants’ judgments about shared group membership</t>
  </si>
  <si>
    <t>"Further, there was no main effect of target’s political affiliation, F(1, 121) = 0.87"</t>
  </si>
  <si>
    <t>F(1, 121) = 0.87</t>
  </si>
  <si>
    <r>
      <rPr>
        <rFont val="Calibri"/>
        <sz val="11.0"/>
      </rPr>
      <t xml:space="preserve">1. The data for replication was taken from: </t>
    </r>
    <r>
      <rPr>
        <rFont val="Calibri"/>
        <color rgb="FF1155CC"/>
        <sz val="11.0"/>
        <u/>
      </rPr>
      <t>https://www.rpubs.com/sansiropp/256552</t>
    </r>
  </si>
  <si>
    <t>The interaction between the LIB condition and the participant’s political affiliation was not significant</t>
  </si>
  <si>
    <t>" The LIB Condition × Participant’s Political Affiliation interaction was not reliable, F(2, 121) = 0.92"</t>
  </si>
  <si>
    <t>F(2, 121) = 0.92</t>
  </si>
  <si>
    <t>Boyce_etal2023121</t>
  </si>
  <si>
    <t>Boyce_etal2023121_1</t>
  </si>
  <si>
    <t>Proudfoot, D., Kay, A. C., &amp; Koval, C. Z. (2015). A gender bias in the attribution of creativity: Archival and experimental evidence for the perceived association between masculinity and creative thinking. Psychological science, 26(11), 1751-1761.</t>
  </si>
  <si>
    <t>10.1177/0956797615598739</t>
  </si>
  <si>
    <t>Study 1</t>
  </si>
  <si>
    <t>whether the creative thought process tends to be masculinized.</t>
  </si>
  <si>
    <t>Boyce_etal2023121_1_a</t>
  </si>
  <si>
    <r>
      <rPr>
        <rFont val="Calibri"/>
        <sz val="11.0"/>
      </rPr>
      <t xml:space="preserve">1. Replication data: </t>
    </r>
    <r>
      <rPr>
        <rFont val="Calibri"/>
        <color rgb="FF1155CC"/>
        <sz val="11.0"/>
        <u/>
      </rPr>
      <t xml:space="preserve">https://rpubs.com/ShimaSalehi/155989
</t>
    </r>
    <r>
      <rPr>
        <rFont val="Calibri"/>
        <sz val="11.0"/>
      </rPr>
      <t>2. The trials were shown sequentially instead of parallel -&gt; conceptual replication
3. The tests are partially nested because the within-subjects factor (trait type) is nested within participants (Subjects). However, the overall design is not fully nested because the between-subjects factor (condition) does not involve hierarchical clustering.</t>
    </r>
  </si>
  <si>
    <t>corrected sample size</t>
  </si>
  <si>
    <t>https://rpubs.com/ShimaSalehi/155989</t>
  </si>
  <si>
    <t>Stereotype</t>
  </si>
  <si>
    <t>Stereotyped attitudes, social perception, prejudice, sex-role attitudes</t>
  </si>
  <si>
    <t>Participants rated different types of traits (masculine vs. feminine) differently, regardless of the condition</t>
  </si>
  <si>
    <t>"A mixed-model ANOVA with condition as the between subjects factor and trait type as the within-subjects factor revealed a main effect of trait type, F(1, 78) = 75.02, p &lt; .001, partial eta-square = .49"</t>
  </si>
  <si>
    <t>F(1,56) = 57.800</t>
  </si>
  <si>
    <t>Boyce_etal2023121_1_b</t>
  </si>
  <si>
    <r>
      <rPr>
        <rFont val="Calibri"/>
        <sz val="11.0"/>
      </rPr>
      <t xml:space="preserve">1. Replication data: </t>
    </r>
    <r>
      <rPr>
        <rFont val="Calibri"/>
        <color rgb="FF1155CC"/>
        <sz val="11.0"/>
        <u/>
      </rPr>
      <t xml:space="preserve">https://rpubs.com/ShimaSalehi/155989
</t>
    </r>
    <r>
      <rPr>
        <rFont val="Calibri"/>
        <sz val="11.0"/>
      </rPr>
      <t>2. The trials were shown sequentially instead of parallel -&gt; conceptual replication
3. The tests are partially nested because the within-subjects factor (trait type) is nested within participants (Subjects). However, the overall design is not fully nested because the between-subjects factor (condition) does not involve hierarchical clustering.</t>
    </r>
  </si>
  <si>
    <t>The difference in how masculine and feminine traits were rated marginally depended on whether participants were in the divergent-thinking or convergent-thinking condition</t>
  </si>
  <si>
    <t>"A mixed-model ANOVA with condition as the between subjects factor and trait type as the within-subjects factor revealed [...] a marginally significant interaction between trait type and condition, F(1, 78) = 3.05, p = .084, partial eta-square = .04 (see Fig. 1)"</t>
  </si>
  <si>
    <t>F(1,56) = 0.022</t>
  </si>
  <si>
    <t>Boyce_etal2023121_1_c</t>
  </si>
  <si>
    <r>
      <rPr>
        <rFont val="Calibri"/>
        <sz val="11.0"/>
      </rPr>
      <t xml:space="preserve">1. Replication data: </t>
    </r>
    <r>
      <rPr>
        <rFont val="Calibri"/>
        <color rgb="FF1155CC"/>
        <sz val="11.0"/>
        <u/>
      </rPr>
      <t xml:space="preserve">https://rpubs.com/ShimaSalehi/155989
</t>
    </r>
    <r>
      <rPr>
        <rFont val="Calibri"/>
        <sz val="11.0"/>
      </rPr>
      <t>2. The trials were shown sequentially instead of parallel -&gt; conceptual replication
3. The tests are partially nested because the within-subjects factor (trait type) is nested within participants (Subjects). However, the overall design is not fully nested because the between-subjects factor (condition) does not involve hierarchical clustering.</t>
    </r>
  </si>
  <si>
    <t>In the divergent-thinking condition, participants strongly associated creativity with masculine-agentic traits</t>
  </si>
  <si>
    <t>"Follow-up tests revealed that participants associated creativity more with stereotypically masculine-agentic personality traits than with stereotypically feminine communal personality traits in both the divergent-thinking condition (M = 7.22, SD = 1.26, vs. M = 5.10, SD = 2.04), F(1, 78) = 54.18, p &lt; .001, d = 1.25 [...]"</t>
  </si>
  <si>
    <t>Boyce_etal2023121_1_d</t>
  </si>
  <si>
    <r>
      <rPr>
        <rFont val="Calibri"/>
        <sz val="11.0"/>
      </rPr>
      <t xml:space="preserve">1. Replication data: </t>
    </r>
    <r>
      <rPr>
        <rFont val="Calibri"/>
        <color rgb="FF1155CC"/>
        <sz val="11.0"/>
        <u/>
      </rPr>
      <t xml:space="preserve">https://rpubs.com/ShimaSalehi/155989
</t>
    </r>
    <r>
      <rPr>
        <rFont val="Calibri"/>
        <sz val="11.0"/>
      </rPr>
      <t>2. The trials were shown sequentially instead of parallel -&gt; conceptual replication
3. The tests are partially nested because the within-subjects factor (trait type) is nested within participants (Subjects). However, the overall design is not fully nested because the between-subjects factor (condition) does not involve hierarchical clustering.</t>
    </r>
  </si>
  <si>
    <t>In the convergent-thinking condition, participants still associated creativity more with masculine-agentic traits</t>
  </si>
  <si>
    <t>"Follow-up tests revealed that participants associated creativity more with stereotypically masculine-agentic personality traits than with stereotypically feminine communal personality traits in [...] the convergent-thinking condition (M = 6.26, SD = 1.43, vs. M = 4.85, SD = 1.56), F(1, 78) = 23.90, p &lt; .001, d = .94"</t>
  </si>
  <si>
    <t>Boyce_etal2023121_1_e</t>
  </si>
  <si>
    <r>
      <rPr>
        <rFont val="Calibri"/>
        <sz val="11.0"/>
      </rPr>
      <t xml:space="preserve">1. Replication data: </t>
    </r>
    <r>
      <rPr>
        <rFont val="Calibri"/>
        <color rgb="FF1155CC"/>
        <sz val="11.0"/>
        <u/>
      </rPr>
      <t xml:space="preserve">https://rpubs.com/ShimaSalehi/155989
</t>
    </r>
    <r>
      <rPr>
        <rFont val="Calibri"/>
        <sz val="11.0"/>
      </rPr>
      <t>2. The trials were shown sequentially instead of parallel -&gt; conceptual replication
3. The tests are partially nested because the within-subjects factor (trait type) is nested within participants (Subjects). However, the overall design is not fully nested because the between-subjects factor (condition) does not involve hierarchical clustering.</t>
    </r>
  </si>
  <si>
    <t>Masculine traits were seen as more important for creativity in the divergent-thinking condition</t>
  </si>
  <si>
    <t>"The masculine traits were perceived as more central to creativity when divergence was emphasized, rather than convergence, F(1, 78) = 10.21, p = .002, d = 0.71"</t>
  </si>
  <si>
    <t>Boyce_etal2023121_1_f</t>
  </si>
  <si>
    <r>
      <rPr>
        <rFont val="Calibri"/>
        <sz val="11.0"/>
      </rPr>
      <t xml:space="preserve">1. Replication data: </t>
    </r>
    <r>
      <rPr>
        <rFont val="Calibri"/>
        <color rgb="FF1155CC"/>
        <sz val="11.0"/>
        <u/>
      </rPr>
      <t xml:space="preserve">https://rpubs.com/ShimaSalehi/155989
</t>
    </r>
    <r>
      <rPr>
        <rFont val="Calibri"/>
        <sz val="11.0"/>
      </rPr>
      <t>2. The trials were shown sequentially instead of parallel -&gt; conceptual replication
3. The tests are partially nested because the within-subjects factor (trait type) is nested within participants (Subjects). However, the overall design is not fully nested because the between-subjects factor (condition) does not involve hierarchical clustering.</t>
    </r>
  </si>
  <si>
    <t>There was no significant difference in how feminine traits were perceived across the divergent-thinking and convergent-thinking conditions.</t>
  </si>
  <si>
    <t>"There was no effect of condition on the perceived centrality of the feminine traits, F &lt; 1, p = .536"</t>
  </si>
  <si>
    <t>F &lt; 1</t>
  </si>
  <si>
    <t>Boyce_etal2023122</t>
  </si>
  <si>
    <t>Boyce_etal2023122_1</t>
  </si>
  <si>
    <t>statistics for R extracted from report</t>
  </si>
  <si>
    <t>Ranzini, M., Dehaene, S., Piazza, M., &amp; Hubbard, E. M. (2009). Neural mechanisms of attentional shifts due to irrelevant spatial and numerical cues. Neuropsychologia, 47(12), 2615-2624.</t>
  </si>
  <si>
    <t>10.1016/j.neuropsychologia.2009.05.011</t>
  </si>
  <si>
    <t>The Cue Direction/Magnitude × Target Position interactions ...  approached significance for numbers (F(1,14) = 4.1,
P = 0.06).</t>
  </si>
  <si>
    <t>(F(1,14) = 4.1</t>
  </si>
  <si>
    <t>p.2617</t>
  </si>
  <si>
    <t>1. I would say that changes in the procedure were really big -&gt; conceptual 
2. The original paper was added as 10.1016j.neuropsychologia.2009.05.011.pdf</t>
  </si>
  <si>
    <t xml:space="preserve">Attentional orienting effect </t>
  </si>
  <si>
    <t>Attention, Visuospatial attention, Number processing, ERPs, early directing attention negativity, anterior directing attention negativity</t>
  </si>
  <si>
    <t>Mean reaction times were faster when the target location was congruent with that indicated by the numeric cue</t>
  </si>
  <si>
    <t>The Cue Direction/Magnitude × Target Position interactions [...] approached significance for numbers (F(1,14) = 4.1, P = 0.06). Although these results are not significant, mean reaction times were faster when the target location was congruent with that indicated by the cue.</t>
  </si>
  <si>
    <t>p. 2617</t>
  </si>
  <si>
    <t>F(1, 14) = 4.1</t>
  </si>
  <si>
    <t>F(1, 16) = 0.24</t>
  </si>
  <si>
    <t>Boyce_etal2023123</t>
  </si>
  <si>
    <t>Boyce_etal2023123_1</t>
  </si>
  <si>
    <t>Read, D., &amp; Scholten, M. (2012). Tradeoffs between sequences: Weighing accumulated outcomes against outcome-adjusted delays. Journal of Experimental Psychology: Learning, Memory, and Cognition, 38(6), 1675.</t>
  </si>
  <si>
    <t>10.1037/a0028216</t>
  </si>
  <si>
    <t>https://github.com/vboyce/251-254-MA/blob/main/reports/read2012.pdf</t>
  </si>
  <si>
    <t>relative magnitude effect,</t>
  </si>
  <si>
    <t>First, preference for LL decreased as A0;2 increased, F(2, 550) =125.46, p &lt;.005, n2p  .31.</t>
  </si>
  <si>
    <t>F(2, 550) =125.46</t>
  </si>
  <si>
    <t>p.1680</t>
  </si>
  <si>
    <t>Boyce_etal2023123_1_a</t>
  </si>
  <si>
    <t>1. The original paper was added as 10.1037a0028216.pdf</t>
  </si>
  <si>
    <t>Intertemporal decisions</t>
  </si>
  <si>
    <t>Intertemporal choice, discounting, tradeoffs, sequences</t>
  </si>
  <si>
    <t>Interest rates decrease as A0:2 increases - tradeoff model</t>
  </si>
  <si>
    <t>"First, preference for LL decreased as A0.2 increased, F(2, 550) = 125.46, p &lt; .005, partial eta-square = .31"</t>
  </si>
  <si>
    <t>Boyce_etal2023123_1_b</t>
  </si>
  <si>
    <t>Explicitly stating zero outcomes increases patience</t>
  </si>
  <si>
    <t>"Furthermore, preference for LL increased when zero outcomes were stated explicitly, F(1, 275) = 41.07,p &lt; .005, partial eta-square= .13"</t>
  </si>
  <si>
    <t>Boyce_etal2023123_1_c</t>
  </si>
  <si>
    <t>Increasing the smaller sooner reward reduces patience</t>
  </si>
  <si>
    <t>"For A0:2 = €0 (Cells A, B, and C), preference for LL decreased as AQ increased, F(2, 550) = 11.19, p &lt; .005, partial eta-square = .06"</t>
  </si>
  <si>
    <t>Boyce_etal2023123_1_d</t>
  </si>
  <si>
    <t>For larger later rewards, increasing the smaller sooner reward increases patience</t>
  </si>
  <si>
    <t>"For A0:2 = €500 (Cells D, E, and F) and €1,000 (Cells G, H, and I), however, preference for LL increased as AQ increased, F(2, 550) = 61.12, p &lt; .005, partial eta-square = .18"</t>
  </si>
  <si>
    <t>Boyce_etal2023123_1_e</t>
  </si>
  <si>
    <t>1. The original paper was added as 10.1037a0028216.pdf
2. There are 2 corresponding results in replication study, I am not sure which one to use</t>
  </si>
  <si>
    <t>Chose the front end amount interaction, added link to report (url_r)</t>
  </si>
  <si>
    <t>The effect of adding amounts to rewards depends on the specific reward structure</t>
  </si>
  <si>
    <t>"A0:2 interacted with A0, F(4, 1100) = 48.76, p &lt; .005, partial eta-square = .15. For A0:2 = €0 (Cells A, B, and C)"</t>
  </si>
  <si>
    <t>Boyce_etal2023124</t>
  </si>
  <si>
    <t>Boyce_etal2023124_1</t>
  </si>
  <si>
    <t>Reinecke, K., Yeh, T., Miratrix, L., Mardiko, R., Zhao, Y., Liu, J., &amp; Gajos, K. Z. (2013, April). Predicting users' first impressions of website aesthetics with a quantification of perceived visual complexity and colorfulness. In Proceedings of the SIGCHI conference on human factors in computing systems (pp. 2049-2058).</t>
  </si>
  <si>
    <t>10.1145/2470654.2481281</t>
  </si>
  <si>
    <t>Boyce_etal2023125</t>
  </si>
  <si>
    <t>Boyce_etal2023125_1</t>
  </si>
  <si>
    <t>Reis, H. T., Lee, K. Y., O'Keefe, S. D., &amp; Clark, M. S. (2018). Perceived partner responsiveness promotes intellectual humility. Journal of Experimental Social Psychology, 79, 21-33.</t>
  </si>
  <si>
    <t>10.1016/j.jesp.2018.05.006</t>
  </si>
  <si>
    <t>The main effect for condition was significant, F(2,483) = 5.99, p = .003, eta2 = 0.024,</t>
  </si>
  <si>
    <t>p.29</t>
  </si>
  <si>
    <t>Boyce_etal2023125_1_a</t>
  </si>
  <si>
    <t>1. Minor changes to the procedure (like different attentional check) which should not affect the experiment
2. Confirmation of the row choice: "I was able to reproduce the same means and test statistics as the original article. [Unresponsive: M = 10.5, SD = 5.04. Responsive: M = 12.3, SD = 4.38.] The ANOVA between the three conditions yielded F = 6.07(2,517), p = .002." replication report - correspond to the data in the table"\</t>
  </si>
  <si>
    <t>https://rpubs.com/cgarton/975073</t>
  </si>
  <si>
    <t xml:space="preserve">Intellectual humility </t>
  </si>
  <si>
    <t>Intellectual Humility, Self-Serving Bias, Perceived Partner Responsiveness,  Interpersonal Affirmation, global-local visual processing task, self-affirmation</t>
  </si>
  <si>
    <t>Responsive conditions increase global focus</t>
  </si>
  <si>
    <t>The main effect for condition was significant, F(2,483) = 5.99, p = .003, eta-square = 0.024. [...] Participants in the responsive condition showed a significantly more global focus than participants in the unresponsive condition (p = .001)</t>
  </si>
  <si>
    <t>p. 29</t>
  </si>
  <si>
    <t>p. 29: =(12.27-10.51)/SQRT(((178-1)*4.38^2+(172-1)*5.04^2)/(178+172-2)))</t>
  </si>
  <si>
    <t>https://rpubs.com/cgarton/975073: =(9.45-10.34)/SQRT(((110-1)*4.58^2+(98-1)*4.65^2)/(110+98-2)))</t>
  </si>
  <si>
    <t>Boyce_etal2023125_1_b</t>
  </si>
  <si>
    <t>1. Minor changes to the procedure (like different attentional check) which should not affect the experiment</t>
  </si>
  <si>
    <t>Mood does not mediate global processing effects</t>
  </si>
  <si>
    <t>"Mood was not significantly related to global orientation scores, F(1,468) = 1.75, p = .187, eta-square = 0.004"</t>
  </si>
  <si>
    <t>Boyce_etal2023125_1_c</t>
  </si>
  <si>
    <t>Responsive conditions increase global focus when the mood was considered as a factor</t>
  </si>
  <si>
    <t>"To ensure that these effects were not attributable to mood differences, we repeated the above one-way analysis of variance controlling for mood. [...] the condition main effect remained significant, F(2,468) = 7.11, p = .001, eta-square = 0.029"</t>
  </si>
  <si>
    <t>Boyce_etal2023126</t>
  </si>
  <si>
    <t>Boyce_etal2023126_1</t>
  </si>
  <si>
    <t>Richter, F. R., &amp; Yeung, N. (2012). Memory and cognitive control in task switching. Psychological Science, 23(10), 1256-1263.</t>
  </si>
  <si>
    <t>10.1177/0956797612444613</t>
  </si>
  <si>
    <t>Very close Replication</t>
  </si>
  <si>
    <t>Task switching and memory</t>
  </si>
  <si>
    <t>memory for attended items was worse on switch trials than on repeat trials, t(17) = −2.60, p &lt; .05,</t>
  </si>
  <si>
    <t>-0.61.</t>
  </si>
  <si>
    <t>p. 1259</t>
  </si>
  <si>
    <t xml:space="preserve">1. No replication report was found in the folder and internet </t>
  </si>
  <si>
    <t>Task switching</t>
  </si>
  <si>
    <t>Attention, long-term memory</t>
  </si>
  <si>
    <t>Switching reverses memory effects for attended and unattended items</t>
  </si>
  <si>
    <t>""Thus, a main effect of attention [...] was reliably modulated by switching [...]: Whereas memory for attended items was worse on switch trials than on repeat trials, t(17) = −2.60, p &lt; .05"</t>
  </si>
  <si>
    <t>Boyce_etal2023127</t>
  </si>
  <si>
    <t>Boyce_etal2023127_1</t>
  </si>
  <si>
    <t>R extracted from the report</t>
  </si>
  <si>
    <t>Page incorrect
We report different results, I assume that both can exist (like 114)</t>
  </si>
  <si>
    <t>Risen, J. L., &amp; Gilovich, T. (2008). Why people are reluctant to tempt fate. Journal of personality and social psychology, 95(2), 293.</t>
  </si>
  <si>
    <t>10.1037/0022-3514.95.2.293</t>
  </si>
  <si>
    <t>Cognitive load</t>
  </si>
  <si>
    <t>Tempt fate, magical thinking, accessibility, negativity</t>
  </si>
  <si>
    <t>when participants were not under load, those who imagined that they had not done the reading believed that it was more likely that they would be called on  than participants who imagined that they had done the reading</t>
  </si>
  <si>
    <t>p. 302</t>
  </si>
  <si>
    <t>Boyce_etal2023127_1_a</t>
  </si>
  <si>
    <t>1. I would say that this is the extention of the original study for a new cohort -&gt; conceptual
2. The original paper was added as 10.10370022-3514.95.2.293.pdf
3. Effect can be either "Cognitive load" or "Tempting fate". The first is broader</t>
  </si>
  <si>
    <t>https://github.com/vboyce/251-254-MA/blob/main/reports/risen2008.docx</t>
  </si>
  <si>
    <t>Cognitive load amplifies perceived risk</t>
  </si>
  <si>
    <t>"A 2 (behavior: had read vs. had not read) x 2 (load: yes vs. no) ANOVA revealed main effects for [...] load, F(1, 116) = 17.34, p &lt; .001"</t>
  </si>
  <si>
    <t>F(1,116) = 17.34</t>
  </si>
  <si>
    <t>F(1,222) = 10.275</t>
  </si>
  <si>
    <r>
      <rPr>
        <rFont val="Calibri"/>
        <sz val="11.0"/>
      </rPr>
      <t xml:space="preserve">p. 6 </t>
    </r>
    <r>
      <rPr>
        <rFont val="Calibri"/>
        <color rgb="FF1155CC"/>
        <sz val="11.0"/>
        <u/>
      </rPr>
      <t>https://github.com/vboyce/251-254-MA/blob/main/reports/risen2008.docx</t>
    </r>
  </si>
  <si>
    <t>Boyce_etal2023127_1_b</t>
  </si>
  <si>
    <t>Tempting fate increases perceived risk</t>
  </si>
  <si>
    <t>"A 2 (behavior: had read vs. had not read) x 2 (load: yes vs. no) ANOVA revealed main effects for reading, F(1, 116) = 22.88, p &lt; .001 [...]"</t>
  </si>
  <si>
    <t>F(1,116) = 22.88</t>
  </si>
  <si>
    <t>F(1,222) = 0.501</t>
  </si>
  <si>
    <r>
      <rPr>
        <rFont val="Calibri"/>
        <sz val="11.0"/>
      </rPr>
      <t xml:space="preserve">p. 6 </t>
    </r>
    <r>
      <rPr>
        <rFont val="Calibri"/>
        <color rgb="FF1155CC"/>
        <sz val="11.0"/>
        <u/>
      </rPr>
      <t>https://github.com/vboyce/251-254-MA/blob/main/reports/risen2008.docx</t>
    </r>
  </si>
  <si>
    <t>Boyce_etal2023127_1_c</t>
  </si>
  <si>
    <t>1. I would say that this is the extention of the original study for a new cohort -&gt; conceptual
2. The original paper was added as 10.10370022-3514.95.2.293.pdf
3. Effect can be either "Cognitive load" or "Tempting fate". The first is broader
4. For the second coder row: The replication values are not for the main effect (reported in the original study)</t>
  </si>
  <si>
    <t>We report different results, I assume that both can exist</t>
  </si>
  <si>
    <t>10.1037/pspi0000081</t>
  </si>
  <si>
    <t>Load amplifies the effect of tempting fate</t>
  </si>
  <si>
    <t>"The main effects were qualified by the predicted interaction, however, F(1,116) = 4.15, p &lt; .05"</t>
  </si>
  <si>
    <t>F(1,116) = 4.15</t>
  </si>
  <si>
    <t>F(1,222) = 0.002</t>
  </si>
  <si>
    <r>
      <rPr>
        <rFont val="Calibri"/>
        <sz val="11.0"/>
      </rPr>
      <t xml:space="preserve">p. 6 </t>
    </r>
    <r>
      <rPr>
        <rFont val="Calibri"/>
        <color rgb="FF1155CC"/>
        <sz val="11.0"/>
        <u/>
      </rPr>
      <t>https://github.com/vboyce/251-254-MA/blob/main/reports/risen2008.docx</t>
    </r>
  </si>
  <si>
    <t>Boyce_etal2023128</t>
  </si>
  <si>
    <t>Boyce_etal2023128_1</t>
  </si>
  <si>
    <t>Rogers, T., Zeckhauser, R., Gino, F., Norton, M. I., &amp; Schweitzer, M. E. (2017). Artful paltering: The risks and rewards of using truthful statements to mislead others. Journal of personality and social psychology, 112(3), 456.</t>
  </si>
  <si>
    <t xml:space="preserve">https://rpubs.com/kagood/final-project-report, </t>
  </si>
  <si>
    <t>Study 3</t>
  </si>
  <si>
    <t>The buyer who paltered and the buyer who lied by commission were regarded as equally unethical</t>
  </si>
  <si>
    <t>p. 466</t>
  </si>
  <si>
    <t>https://osf.io/8k4t5/.</t>
  </si>
  <si>
    <t>Boyce_etal2023128_1_a</t>
  </si>
  <si>
    <t>1. The 3rd study was not preregistrated (but the 4th was)
2. A delay was added to the procedure, but no more changes. I hope it was not a big change to call the study "conceptual replication"
3. The original paper was added as 10.1037pspi0000081.pdf</t>
  </si>
  <si>
    <r>
      <rPr>
        <rFont val="Arial"/>
      </rPr>
      <t xml:space="preserve">Registration exists but not timestamped and frozen: </t>
    </r>
    <r>
      <rPr>
        <rFont val="Arial"/>
        <color rgb="FF1155CC"/>
        <u/>
      </rPr>
      <t>https://osf.io/8k4t5/.</t>
    </r>
  </si>
  <si>
    <t xml:space="preserve">Negotiation </t>
  </si>
  <si>
    <t>Deception, lying, negotiation, paltering, risk</t>
  </si>
  <si>
    <t>Participants perceive paltering as more unethical compared to honest responses</t>
  </si>
  <si>
    <t>"Participants rated the behavior of the buyer who paltered as more unethical than the behavior of the buyer who answered honestly (B = 1.06, SE = .36, p = .002)"</t>
  </si>
  <si>
    <r>
      <rPr>
        <rFont val="Arial"/>
        <color rgb="FF1155CC"/>
        <u/>
      </rPr>
      <t>https://rpubs.com/kagood/final-project-report</t>
    </r>
    <r>
      <rPr>
        <rFont val="Arial"/>
      </rPr>
      <t>, p. 11</t>
    </r>
  </si>
  <si>
    <t>Boyce_etal2023128_1_b</t>
  </si>
  <si>
    <r>
      <rPr>
        <rFont val="Arial"/>
      </rPr>
      <t xml:space="preserve">Registration exists but not timestamped and frozen: </t>
    </r>
    <r>
      <rPr>
        <rFont val="Arial"/>
        <color rgb="FF1155CC"/>
        <u/>
      </rPr>
      <t>https://osf.io/8k4t5/.</t>
    </r>
  </si>
  <si>
    <t>Lying by commission and paltering are perceived as equally unethical</t>
  </si>
  <si>
    <t>"Participants rated the behavior of the buyer who paltered no different from the buyer who lied by commission (B = −.31, SE = .34, p = .36).</t>
  </si>
  <si>
    <t>https://rpubs.com/kagood/final-project-report, p. 10</t>
  </si>
  <si>
    <t>Boyce_etal2023128_1_c</t>
  </si>
  <si>
    <r>
      <rPr>
        <rFont val="Arial"/>
      </rPr>
      <t xml:space="preserve">Registration exists but not timestamped and frozen: </t>
    </r>
    <r>
      <rPr>
        <rFont val="Arial"/>
        <color rgb="FF1155CC"/>
        <u/>
      </rPr>
      <t>https://osf.io/8k4t5/.</t>
    </r>
  </si>
  <si>
    <t>Lying by commission is perceived as more unethical than honesty</t>
  </si>
  <si>
    <t>"Participants rated the buyer who [...] lied by commission to be more unethical than the buyer who answered honestly, ([...] B=.87, SE=.33, p=.01, respectively)"</t>
  </si>
  <si>
    <t>https://rpubs.com/kagood/final-project-report, p. 11</t>
  </si>
  <si>
    <t>Boyce_etal2023128_1_d</t>
  </si>
  <si>
    <r>
      <rPr>
        <rFont val="Arial"/>
      </rPr>
      <t xml:space="preserve">Registration exists but not timestamped and frozen: </t>
    </r>
    <r>
      <rPr>
        <rFont val="Arial"/>
        <color rgb="FF1155CC"/>
        <u/>
      </rPr>
      <t>https://osf.io/8k4t5/.</t>
    </r>
  </si>
  <si>
    <t>Paltering and lying by commission are perceived equivalently in terms of unethicality</t>
  </si>
  <si>
    <t>"The buyer who paltered and the buyer who lied by commission were regarded as equally unethical (B=.04, SE=.34, p=.91 )"</t>
  </si>
  <si>
    <t>https://rpubs.com/kagood/final-project-report, p. 12</t>
  </si>
  <si>
    <t>Boyce_etal2023128_1_e</t>
  </si>
  <si>
    <r>
      <rPr>
        <rFont val="Arial"/>
      </rPr>
      <t xml:space="preserve">Registration exists but not timestamped and frozen: </t>
    </r>
    <r>
      <rPr>
        <rFont val="Arial"/>
        <color rgb="FF1155CC"/>
        <u/>
      </rPr>
      <t>https://osf.io/8k4t5/.</t>
    </r>
  </si>
  <si>
    <t>Participants trust the honest buyer more than the one who paltered</t>
  </si>
  <si>
    <t>"Participants had more trust in the honest buyer than the one who paltered [...] (B = −1.0, SE = .32, p = .002"</t>
  </si>
  <si>
    <t>https://rpubs.com/kagood/final-project-report, p. 16</t>
  </si>
  <si>
    <t>Boyce_etal2023128_1_f</t>
  </si>
  <si>
    <r>
      <rPr>
        <rFont val="Arial"/>
      </rPr>
      <t xml:space="preserve">Registration exists but not timestamped and frozen: </t>
    </r>
    <r>
      <rPr>
        <rFont val="Arial"/>
        <color rgb="FF1155CC"/>
        <u/>
      </rPr>
      <t>https://osf.io/8k4t5/.</t>
    </r>
  </si>
  <si>
    <t>Participants trust the honest buyer more than the one who lied by commission</t>
  </si>
  <si>
    <t>"Participants had more trust in the honest buyer than the one who lied by commission ([...] B = −1.36, SE = .32, p &lt; .001, respectively)"</t>
  </si>
  <si>
    <t>Boyce_etal2023128_1_g</t>
  </si>
  <si>
    <r>
      <rPr>
        <rFont val="Arial"/>
      </rPr>
      <t xml:space="preserve">Registration exists but not timestamped and frozen: </t>
    </r>
    <r>
      <rPr>
        <rFont val="Arial"/>
        <color rgb="FF1155CC"/>
        <u/>
      </rPr>
      <t>https://osf.io/8k4t5/.</t>
    </r>
  </si>
  <si>
    <t>Lying by commission and paltering are perceived as equally untrustworthy</t>
  </si>
  <si>
    <t>"The latter two were regarded as equally untrustworthy (B = .36, SE = .32, p = .26)"</t>
  </si>
  <si>
    <t>Boyce_etal2023128_1_h</t>
  </si>
  <si>
    <r>
      <rPr>
        <rFont val="Arial"/>
      </rPr>
      <t xml:space="preserve">Registration exists but not timestamped and frozen: </t>
    </r>
    <r>
      <rPr>
        <rFont val="Arial"/>
        <color rgb="FF1155CC"/>
        <u/>
      </rPr>
      <t>https://osf.io/8k4t5/.</t>
    </r>
  </si>
  <si>
    <t>Participants are less likely to negotiate again with a buyer who paltered compared to one who answered honestly.</t>
  </si>
  <si>
    <t>"Participants reported that they were more likely to negotiate again with the buyer who answered honestly than the buyer who paltered (B = −.78, SE = .33, p = .02)"</t>
  </si>
  <si>
    <t>https://rpubs.com/kagood/final-project-report, p. 17</t>
  </si>
  <si>
    <t>Boyce_etal2023128_1_i</t>
  </si>
  <si>
    <r>
      <rPr>
        <rFont val="Arial"/>
      </rPr>
      <t xml:space="preserve">Registration exists but not timestamped and frozen: </t>
    </r>
    <r>
      <rPr>
        <rFont val="Arial"/>
        <color rgb="FF1155CC"/>
        <u/>
      </rPr>
      <t>https://osf.io/8k4t5/.</t>
    </r>
  </si>
  <si>
    <t>Pparticipants are less likely to negotiate again with a buyer who lied by commission compared to one who answered honestly</t>
  </si>
  <si>
    <t>"Participants reported that they were more likely to negotiate again with [...] the buyer who lied by commission (B = −.77, SE = .33, p = .02)"</t>
  </si>
  <si>
    <t>Boyce_etal2023128_1_j</t>
  </si>
  <si>
    <r>
      <rPr>
        <rFont val="Arial"/>
      </rPr>
      <t xml:space="preserve">Registration exists but not timestamped and frozen: </t>
    </r>
    <r>
      <rPr>
        <rFont val="Arial"/>
        <color rgb="FF1155CC"/>
        <u/>
      </rPr>
      <t>https://osf.io/8k4t5/.</t>
    </r>
  </si>
  <si>
    <t>Participants perceive lying by commission and paltering as equally undesirable for future negotiation likelihood</t>
  </si>
  <si>
    <t>"The latter two had the same likelihood of securing another negotiation (B = −.01, SE = .33, p = .97)"</t>
  </si>
  <si>
    <t>Boyce_etal2023129</t>
  </si>
  <si>
    <t>Boyce_etal2023129_1</t>
  </si>
  <si>
    <t>d and p valuse for O extracted from Boyce</t>
  </si>
  <si>
    <t>Differences in discipline between 2 coders -&gt; I assume Psychology to fit better
Corrected p value</t>
  </si>
  <si>
    <t>Rottman, J., &amp; Young, L. (2019). Specks of dirt and tons of pain: Dosage distinguishes impurity from harm. Psychological Science, 30(8), 1151-1160.</t>
  </si>
  <si>
    <t>10.1177/0956797619855382</t>
  </si>
  <si>
    <t>https://rpubs.com/cceballos-stanford/544019</t>
  </si>
  <si>
    <t>Judgment</t>
  </si>
  <si>
    <t>Moral cognition, purity, harm, scope insensitivity, open data, open materials, preregistered</t>
  </si>
  <si>
    <t>The difference in wrongness ratings between the high-dosage and low-dosage versions was substantially higher for the harm transgressions</t>
  </si>
  <si>
    <t>The difference in wrongness ratings between the high- dosage and low-dosage versions of the scenarios was substantially higher for the harm transgressions (mean difference = 14.605; SD = 20.395)</t>
  </si>
  <si>
    <t>https://osf.io/zxp9k/.</t>
  </si>
  <si>
    <t>Boyce_etal2023129_1_a</t>
  </si>
  <si>
    <r>
      <rPr>
        <rFont val="Calibri"/>
        <sz val="11.0"/>
      </rPr>
      <t xml:space="preserve">1. Study 1 was not preregistrated in the original paper (only study 3: </t>
    </r>
    <r>
      <rPr>
        <rFont val="Calibri"/>
        <color rgb="FF1155CC"/>
        <sz val="11.0"/>
        <u/>
      </rPr>
      <t xml:space="preserve">https://osf.io/bd9ea)
</t>
    </r>
    <r>
      <rPr>
        <rFont val="Calibri"/>
        <sz val="11.0"/>
      </rPr>
      <t xml:space="preserve">2. The data for replication was taken from: </t>
    </r>
    <r>
      <rPr>
        <rFont val="Calibri"/>
        <color rgb="FF1155CC"/>
        <sz val="11.0"/>
        <u/>
      </rPr>
      <t>https://rpubs.com/cceballos-stanford/544019</t>
    </r>
  </si>
  <si>
    <t>Participants had greater sensitivity to dosage for harm-based transgressions</t>
  </si>
  <si>
    <t>"Crucially, there was a significant interaction between domain and dosage, b = 9.599, SE = 1.821, p &lt; .001"</t>
  </si>
  <si>
    <t>https://osf.io/cxatn</t>
  </si>
  <si>
    <t>Boyce_etal2023129_1_b</t>
  </si>
  <si>
    <r>
      <rPr>
        <rFont val="Calibri"/>
        <sz val="11.0"/>
      </rPr>
      <t xml:space="preserve">1. Study 1 was not preregistrated in the original paper (only study 3: </t>
    </r>
    <r>
      <rPr>
        <rFont val="Calibri"/>
        <color rgb="FF1155CC"/>
        <sz val="11.0"/>
        <u/>
      </rPr>
      <t xml:space="preserve">https://osf.io/bd9ea)
</t>
    </r>
    <r>
      <rPr>
        <rFont val="Calibri"/>
        <sz val="11.0"/>
      </rPr>
      <t xml:space="preserve">2. The data for replication was taken from: </t>
    </r>
    <r>
      <rPr>
        <rFont val="Calibri"/>
        <color rgb="FF1155CC"/>
        <sz val="11.0"/>
        <u/>
      </rPr>
      <t>https://rpubs.com/cceballos-stanford/544019</t>
    </r>
  </si>
  <si>
    <t>High-dosage transgressions were judged to be more wrong than low-dosage transgressions</t>
  </si>
  <si>
    <t>"Rerunning this model without the interaction term (to ensure more interpretable main effects) indicated [...] there was a clear effect of dosage, b = 9.199, SE = 0.915, p &lt; .001"</t>
  </si>
  <si>
    <t>Boyce_etal2023129_1_c</t>
  </si>
  <si>
    <r>
      <rPr>
        <rFont val="Calibri"/>
        <sz val="11.0"/>
      </rPr>
      <t xml:space="preserve">1. Study 1 was not preregistrated in the original paper (only study 3: </t>
    </r>
    <r>
      <rPr>
        <rFont val="Calibri"/>
        <color rgb="FF1155CC"/>
        <sz val="11.0"/>
        <u/>
      </rPr>
      <t xml:space="preserve">https://osf.io/bd9ea)
</t>
    </r>
    <r>
      <rPr>
        <rFont val="Calibri"/>
        <sz val="11.0"/>
      </rPr>
      <t xml:space="preserve">2. The data for replication was taken from: </t>
    </r>
    <r>
      <rPr>
        <rFont val="Calibri"/>
        <color rgb="FF1155CC"/>
        <sz val="11.0"/>
        <u/>
      </rPr>
      <t>https://rpubs.com/cceballos-stanford/544019</t>
    </r>
  </si>
  <si>
    <t>The harm and purity transgressions were well matched for severity</t>
  </si>
  <si>
    <t>“Rerunning this model without the interaction term (to ensure more interpretable main effects) indicated that there was no overall effect of domain, b = 3.400, SE = 6.803, p = .625"</t>
  </si>
  <si>
    <t>Boyce_etal202313</t>
  </si>
  <si>
    <t>Boyce_etal202313_1</t>
  </si>
  <si>
    <t>Brady, T. F., &amp; Alvarez, G. A. (2011). Hierarchical encoding in visual working memory: Ensemble statistics bias memory for individual items. Psychological science, 22(3), 384-392.</t>
  </si>
  <si>
    <t>10.1177/0956797610397956</t>
  </si>
  <si>
    <t>https://osf.io/p5hvr</t>
  </si>
  <si>
    <t>Experiment 1</t>
  </si>
  <si>
    <t>On average, the reported size of the tested circle was 1.11 times greater (SEM = 0.03) on trials with the larger same- colored circles than on trials with the smaller same-colored circles (see Fig. 2b). This ratio was significantly greater than 1.0, t(20) = 4.17, p = .0004.</t>
  </si>
  <si>
    <t>p. 386</t>
  </si>
  <si>
    <t>For second coder: I didn't find any place with n_o = 20</t>
  </si>
  <si>
    <t>Ensemble statistics and item memory</t>
  </si>
  <si>
    <t>Working memory, constructive memory, ensemble statistics, summary statistics</t>
  </si>
  <si>
    <t>Observers are biased by the ensemble statistics of a display when representing display items in visual working memory</t>
  </si>
  <si>
    <t>On average, the reported size of the tested circle was 1.11 times greater (SEM = 0.03) on trials with the larger same colored circles than on trials with the smaller same-colored circles (see Fig. 2b). This ratio was significantly greater than 1.0, t(20) = 4.17, p = .0004</t>
  </si>
  <si>
    <t>t(20) = 4.17</t>
  </si>
  <si>
    <t>t(18) = 5.08</t>
  </si>
  <si>
    <t>Boyce_etal2023130</t>
  </si>
  <si>
    <t>Boyce_etal2023130_1</t>
  </si>
  <si>
    <t>Rychlowska, M., Jack, R. E., Garrod, O. G., Schyns, P. G., Martin, J. D., &amp; Niedenthal, P. M. (2017). Functional smiles: Tools for love, sympathy, and war. Psychological science, 28(9), 1259-1270.</t>
  </si>
  <si>
    <t>10.1177/0956797617706082</t>
  </si>
  <si>
    <t>Supp. 4</t>
  </si>
  <si>
    <t>Boyce_etal2023131</t>
  </si>
  <si>
    <t>Boyce_etal2023131_1</t>
  </si>
  <si>
    <t>PCA replicated, no statistics in Botce, report present</t>
  </si>
  <si>
    <t>Santello, M., Flanders, M., &amp; Soechting, J. F. (1998). Postural hand synergies for tool use. Journal of neuroscience, 18(23), 10105-10115.</t>
  </si>
  <si>
    <t>10.1523/JNEUROSCI.18-23-10105.1998</t>
  </si>
  <si>
    <t>Boyce_etal2023132</t>
  </si>
  <si>
    <t>Boyce_etal2023132_1</t>
  </si>
  <si>
    <t>Savani, K., Markus, H. R., Naidu, N. V. R., Kumar, S., &amp; Berlia, N. (2010). What counts as a choice? US Americans are more likely than Indians to construe actions as choices. Psychological Science, 21(3), 391-398.</t>
  </si>
  <si>
    <t>10.1177/0956797609359908</t>
  </si>
  <si>
    <t>Indian participants identified substantially fewer actions in the construal-of-choice condition, t(32) = 4.25, p &lt; .001, prep &gt; .99, d = 1.03</t>
  </si>
  <si>
    <t>p.394</t>
  </si>
  <si>
    <t>1. I didn't find a replication report, thus I use the data from the table</t>
  </si>
  <si>
    <t>Cultural Differences</t>
  </si>
  <si>
    <t>Choice, construal, action identification, culture, India</t>
  </si>
  <si>
    <t>Participants identified significantly fewer actions in the construal-of-choice condition compared to the control condition</t>
  </si>
  <si>
    <t>"Simple-effects t-tests revealed that, while Indians and Americans identified a similar number of actions in the control condition (t &lt; 1), Indian participants identified substantially fewer actions in the construal-of-choice condition, t(32) = 4.25, p &lt; .001, p-rep &gt; .99, d = 1.03 (see Fig. 3)"</t>
  </si>
  <si>
    <t>Boyce_etal2023133</t>
  </si>
  <si>
    <t>Boyce_etal2023133_1</t>
  </si>
  <si>
    <t>Savani, K., &amp; Rattan, A. (2012). A choice mind-set increases the acceptance and maintenance of wealth inequality. Psychological science, 23(7), 796-804.</t>
  </si>
  <si>
    <t>10.1177/0956797611434540</t>
  </si>
  <si>
    <t>that participants in the choice condition were less disturbed by wealth inequality than participants in the control condition were, b = –0.97, SE = 0.43, t(42) = 2.29, p &lt; .03, Bayes factor = 12.76,3 d = 0.594 (see Fig. 1).</t>
  </si>
  <si>
    <t>p.798</t>
  </si>
  <si>
    <t>Choice Perception</t>
  </si>
  <si>
    <t>Participants who perceived more choice were less disturbed by wealth inequality compared to those in the control condition</t>
  </si>
  <si>
    <t>A choice mind-set increases the acceptance and maintenance of wealth inequality</t>
  </si>
  <si>
    <t>"Controlling for political orientation, gender, perceived social class, and task difficulty, participants in the choice condition reported significantly lower disturbance by wealth inequality (b = –0.97, SE = 0.43, t(42) = 2.29, p &lt; .03, d = 0.594, Bayes factor = 12.76) compared to those in the control condition."</t>
  </si>
  <si>
    <t>Boyce_etal2023134</t>
  </si>
  <si>
    <t>Boyce_etal2023134_1</t>
  </si>
  <si>
    <t>Schaerer, M., Swaab, R. I., &amp; Galinsky, A. D. (2015). Anchors weigh more than power: Why absolute powerlessness liberates negotiators to achieve better outcomes. Psychological science, 26(2), 170-181.</t>
  </si>
  <si>
    <t>10.1177/0956797614558718</t>
  </si>
  <si>
    <t>Experiment 1a</t>
  </si>
  <si>
    <t>We also predicted that participants with a weak BATNA would make the lowest first offers, and we found that as well</t>
  </si>
  <si>
    <t>p. 172</t>
  </si>
  <si>
    <r>
      <rPr>
        <rFont val="Calibri"/>
        <sz val="11.0"/>
      </rPr>
      <t xml:space="preserve">1. The replication data was taken from: </t>
    </r>
    <r>
      <rPr>
        <rFont val="Calibri"/>
        <color rgb="FF1155CC"/>
        <sz val="11.0"/>
        <u/>
      </rPr>
      <t>https://osf.io/38en2</t>
    </r>
  </si>
  <si>
    <t>Coded the comparison between weak and no BATNA as key claim</t>
  </si>
  <si>
    <t>Anchoring</t>
  </si>
  <si>
    <t>Negotiation, power, alternatives, first offer, anchoring, negotiator focus</t>
  </si>
  <si>
    <t>Negotiators with a weak BATNA made significantly lower first offers than those with no alternative</t>
  </si>
  <si>
    <t>"Negotiators with a weak BATNA (M = $4.57, SD = 1.74, 95% CI = [4.33, 4.92]) made lower offers than negotiators in both other conditions, ts(285) &gt; 6.18, ps &lt; .001, ds &gt; 0.76"</t>
  </si>
  <si>
    <t>https://osf.io/9j2ym</t>
  </si>
  <si>
    <t>Boyce_etal2023135</t>
  </si>
  <si>
    <t>Boyce_etal2023135_1</t>
  </si>
  <si>
    <t>No statistics in Boyce, report present. Report claims that the author succesfully reproduced the main statistical findings of interest, specifically - the interaction between valence and distance.  Unfortunately, I couldn't find results about that in the original paper, which might be because of my lack in expertize in the area</t>
  </si>
  <si>
    <t>Schechtman, E., Laufer, O., &amp; Paz, R. (2010). Negative valence widens generalization of learning. Journal of Neuroscience, 30(31), 10460-10464.</t>
  </si>
  <si>
    <t>10.1523/JNEUROSCI.2377-10.2010</t>
  </si>
  <si>
    <t>1. In the original paper there is no data in the table of the project. The comparison in the replication study is not matching (distance is not a frequency)</t>
  </si>
  <si>
    <t>There is no matching results</t>
  </si>
  <si>
    <t>Boyce_etal2023136_1</t>
  </si>
  <si>
    <t>Boyce_etal2023136</t>
  </si>
  <si>
    <t>1. P-rep is provided for this study</t>
  </si>
  <si>
    <t>No 2nd coder data</t>
  </si>
  <si>
    <t>Schnall, S., Benton, J., &amp; Harvey, S. (2008). With a clean conscience: Cleanliness reduces the severity of moral judgments. Psychological science, 19(12), 1219-1222.</t>
  </si>
  <si>
    <t>10.1111/j.1467-9280.2008.02227.x</t>
  </si>
  <si>
    <t>Clean Conscience</t>
  </si>
  <si>
    <t>Moral Judgment, Intuitive Processes, Physical Purity, Disgust and Cleanliness, Moral Intuition</t>
  </si>
  <si>
    <t>Cleanliness reduces the severity of moral judgments</t>
  </si>
  <si>
    <t>"As predicted, participants gave lower ratings after the cleanliness priming (M = 4.98, SD = 1.26) than they did after the neutral priming (M = 5.81, SD = 1.47), F(1, 38) = 3.63, p-rep 5.90, partial eta-square = .09"</t>
  </si>
  <si>
    <t>Boyce_etal2023137</t>
  </si>
  <si>
    <t>Boyce_etal2023137_1</t>
  </si>
  <si>
    <t>Final N O is 555 (99 + 456), Boyce states 550</t>
  </si>
  <si>
    <t>N_o incorrect</t>
  </si>
  <si>
    <t>Scopelliti, I., Loewenstein, G., &amp; Vosgerau, J. (2015). You call it “Self-Exuberance”; I call it “Bragging” miscalibrated predictions of emotional responses to self-promotion. Psychological science, 26(6), 903-914.</t>
  </si>
  <si>
    <t>10.1177/0956797615573516</t>
  </si>
  <si>
    <t>Whereas profile writers who tried to maximize interest in themselves believed that they would be liked more (M = 5.28, SD = 1.20) than did profile writers in the control condition (M = 4.85, SD = 1.36), b = 0.434, robust SE = 0.257, t(257) = 1.69, p = .093, d = 0.21,</t>
  </si>
  <si>
    <t>Boyce_etal2023137_1_c</t>
  </si>
  <si>
    <t>N_o incorrect in Boyce report?</t>
  </si>
  <si>
    <t>Self-promotion</t>
  </si>
  <si>
    <t>Social interaction, emotions, interpersonal relationships, judgment, social behavior, open data, open materials</t>
  </si>
  <si>
    <t>Condition does not independently affect emotional ratings</t>
  </si>
  <si>
    <t>"Also as predicted, self-promoters underestimated the extent to which recipients were annoyed (M = 3.54, SD = 1.94, vs. M = 4.82, SD = 2.15), F(1, 145) = 11.56, p = .001, eta-square = .07"</t>
  </si>
  <si>
    <t>p. 6: =(3.54-4.82)/SQRT((1.94^2+2.15^2)/2)</t>
  </si>
  <si>
    <r>
      <rPr>
        <rFont val="Calibri"/>
        <sz val="11.0"/>
      </rPr>
      <t xml:space="preserve">1. I consider the Discipline - "social psychology"
2. The original study was not PREregistrated. Registrated data can be found in: </t>
    </r>
    <r>
      <rPr>
        <rFont val="Calibri"/>
        <color rgb="FF1155CC"/>
        <sz val="11.0"/>
        <u/>
      </rPr>
      <t>https://osf.io/y65ze/</t>
    </r>
  </si>
  <si>
    <t>Boyce_etal2023138_1</t>
  </si>
  <si>
    <t>Boyce_etal2023138_1_a</t>
  </si>
  <si>
    <r>
      <rPr>
        <rFont val="Calibri"/>
        <sz val="11.0"/>
      </rPr>
      <t xml:space="preserve">1. I consider the Discipline - "social psychology"
2. The original study was not PREregistrated. Registrated data can be found in: </t>
    </r>
    <r>
      <rPr>
        <rFont val="Calibri"/>
        <color rgb="FF1155CC"/>
        <sz val="11.0"/>
        <u/>
      </rPr>
      <t>https://osf.io/y65ze/</t>
    </r>
  </si>
  <si>
    <t>Self-promoters misjudge recipients' emotions</t>
  </si>
  <si>
    <t>"The interaction of condition and emotion was significant, F(6, 912) = 10.90, p &lt; .001, η2 = .07 (see Table 5)"</t>
  </si>
  <si>
    <t>Boyce_etal2023137_1_b</t>
  </si>
  <si>
    <t>Data for R extracted from the report. ES in the report is partial etasq, extracted F for consistency with the findings below</t>
  </si>
  <si>
    <t>ES incorrect</t>
  </si>
  <si>
    <t>Experiment 2, emotion x condition</t>
  </si>
  <si>
    <t>self-promoters will overestimate the extent to which their behavior elicits positive emotional reactions in others, and underestimate the extent to which their behavior elicits negative emotional reactions</t>
  </si>
  <si>
    <t>validated - chosen (external)</t>
  </si>
  <si>
    <t>Boyce_etal2023138_1_b</t>
  </si>
  <si>
    <r>
      <rPr>
        <rFont val="Calibri"/>
        <sz val="11.0"/>
      </rPr>
      <t xml:space="preserve">1. I consider the Discipline - "social psychology"
2. The original study was not PREregistrated. Registrated data can be found in: </t>
    </r>
    <r>
      <rPr>
        <rFont val="Calibri"/>
        <color rgb="FF1155CC"/>
        <sz val="11.0"/>
        <u/>
      </rPr>
      <t>https://osf.io/y65ze/</t>
    </r>
  </si>
  <si>
    <t>Emotions differ in intensity across conditions</t>
  </si>
  <si>
    <t>"We conducted a two-way mixed analysis of variance on ratings of the seven emotional reactions, with condition (self-promotion vs. recipient) as a between-subjects factor, emotion as a within-subjects factor, and topic dummy variables as covariates (luck served as the baseline topic). [...] (see Table 5)"</t>
  </si>
  <si>
    <t>F(6, 912) = 21.92</t>
  </si>
  <si>
    <t>F(6,294) = 21.83</t>
  </si>
  <si>
    <t>Boyce_etal2023138_1_c</t>
  </si>
  <si>
    <r>
      <rPr>
        <rFont val="Calibri"/>
        <sz val="11.0"/>
      </rPr>
      <t xml:space="preserve">1. I consider the Discipline - "social psychology"
2. The original study was not PREregistrated. Registrated data can be found in: </t>
    </r>
    <r>
      <rPr>
        <rFont val="Calibri"/>
        <color rgb="FF1155CC"/>
        <sz val="11.0"/>
        <u/>
      </rPr>
      <t>https://osf.io/y65ze/</t>
    </r>
  </si>
  <si>
    <t>F(1, 145) = 2.10</t>
  </si>
  <si>
    <t>F(1,44) = 1.43</t>
  </si>
  <si>
    <t>Boyce_etal2023138_1_d</t>
  </si>
  <si>
    <r>
      <rPr>
        <rFont val="Calibri"/>
        <sz val="11.0"/>
      </rPr>
      <t xml:space="preserve">1. I consider the Discipline - "social psychology"
2. The original study was not PREregistrated. Registrated data can be found in: </t>
    </r>
    <r>
      <rPr>
        <rFont val="Calibri"/>
        <color rgb="FF1155CC"/>
        <sz val="11.0"/>
        <u/>
      </rPr>
      <t>https://osf.io/y65ze/</t>
    </r>
  </si>
  <si>
    <t>Self-promoters perceived greater happiness in recipients than recipients actually reported</t>
  </si>
  <si>
    <t>"Self-promoters overestimated the extent to which recipients felt happy for them (M=4.88 vs. M=3.70), F(1,145)=10.85,p=.001,η2=.07"</t>
  </si>
  <si>
    <t>F(1,44) = 3.43</t>
  </si>
  <si>
    <t>Experiment 2, happy</t>
  </si>
  <si>
    <t>Boyce_etal2023138_1_e</t>
  </si>
  <si>
    <r>
      <rPr>
        <rFont val="Calibri"/>
        <sz val="11.0"/>
      </rPr>
      <t xml:space="preserve">1. I consider the Discipline - "social psychology"
2. The original study was not PREregistrated. Registrated data can be found in: </t>
    </r>
    <r>
      <rPr>
        <rFont val="Calibri"/>
        <color rgb="FF1155CC"/>
        <sz val="11.0"/>
        <u/>
      </rPr>
      <t>https://osf.io/y65ze/</t>
    </r>
  </si>
  <si>
    <t>Self-promoters believed recipients felt prouder of them than recipients actually did</t>
  </si>
  <si>
    <t>"Self-promoters overestimated the extent to which recipients felt proud of them (M=4.33 vs. M=3.08), F(1,145)=12.12,p&lt;.001,η2=.08"</t>
  </si>
  <si>
    <t>F(1,44) = 3.44</t>
  </si>
  <si>
    <t>Boyce_etal2023137_1_d</t>
  </si>
  <si>
    <t>Experiment 2, proud</t>
  </si>
  <si>
    <t>Boyce_etal2023138_1_f</t>
  </si>
  <si>
    <r>
      <rPr>
        <rFont val="Calibri"/>
        <sz val="11.0"/>
      </rPr>
      <t xml:space="preserve">1. I consider the Discipline - "social psychology"
2. The original study was not PREregistrated. Registrated data can be found in: </t>
    </r>
    <r>
      <rPr>
        <rFont val="Calibri"/>
        <color rgb="FF1155CC"/>
        <sz val="11.0"/>
        <u/>
      </rPr>
      <t>https://osf.io/y65ze/</t>
    </r>
  </si>
  <si>
    <t>Despite expectations, self-promoters thought recipients felt more jealous than they actually reported</t>
  </si>
  <si>
    <t>"Contrary to predictions, self-promoters overestimated the extent to which recipients felt jealous of them (M=3.60 vs. M=2.82), F(1,145)=3.76,p=.054,η2=.03"</t>
  </si>
  <si>
    <t>F(1,44) = 3.31</t>
  </si>
  <si>
    <t>Boyce_etal2023137_1_e</t>
  </si>
  <si>
    <t>Experiment 2, jealous</t>
  </si>
  <si>
    <t>Boyce_etal2023138_1_g</t>
  </si>
  <si>
    <r>
      <rPr>
        <rFont val="Calibri"/>
        <sz val="11.0"/>
      </rPr>
      <t xml:space="preserve">1. I consider the Discipline - "social psychology"
2. The original study was not PREregistrated. Registrated data can be found in: </t>
    </r>
    <r>
      <rPr>
        <rFont val="Calibri"/>
        <color rgb="FF1155CC"/>
        <sz val="11.0"/>
        <u/>
      </rPr>
      <t>https://osf.io/y65ze/</t>
    </r>
  </si>
  <si>
    <t>Self-promoters failed to recognize the extent of recipients' annoyance toward their self-promotion</t>
  </si>
  <si>
    <t>"As predicted, self-promoters underestimated the extent to which recipients were annoyed (M=3.54 vs. M=4.82), F(1,145)=11.56,p=.001,η2=.07"</t>
  </si>
  <si>
    <t>F(1,44) = 7.29</t>
  </si>
  <si>
    <t>Boyce_etal2023137_1_f</t>
  </si>
  <si>
    <t>Experiment 2, annoyed</t>
  </si>
  <si>
    <t>Boyce_etal2023138_1_h</t>
  </si>
  <si>
    <r>
      <rPr>
        <rFont val="Calibri"/>
        <sz val="11.0"/>
      </rPr>
      <t xml:space="preserve">1. I consider the Discipline - "social psychology"
2. The original study was not PREregistrated. Registrated data can be found in: </t>
    </r>
    <r>
      <rPr>
        <rFont val="Calibri"/>
        <color rgb="FF1155CC"/>
        <sz val="11.0"/>
        <u/>
      </rPr>
      <t>https://osf.io/y65ze/</t>
    </r>
  </si>
  <si>
    <t>Self-promoters and recipients did not differ significantly in perceptions of recipients' upset emotions</t>
  </si>
  <si>
    <t>"No significant differences were observed in ratings of upset (M=2.58 vs. M=3.04), F(1,145)=1.15,p&gt;.250,η2=.01"</t>
  </si>
  <si>
    <t>F(1,44) = 0.18</t>
  </si>
  <si>
    <t>Boyce_etal2023137_1_g</t>
  </si>
  <si>
    <t>Experiment 2, upset</t>
  </si>
  <si>
    <t>Boyce_etal2023138_1_i</t>
  </si>
  <si>
    <r>
      <rPr>
        <rFont val="Calibri"/>
        <sz val="11.0"/>
      </rPr>
      <t xml:space="preserve">1. I consider the Discipline - "social psychology"
2. The original study was not PREregistrated. Registrated data can be found in: </t>
    </r>
    <r>
      <rPr>
        <rFont val="Calibri"/>
        <color rgb="FF1155CC"/>
        <sz val="11.0"/>
        <u/>
      </rPr>
      <t>https://osf.io/y65ze/</t>
    </r>
  </si>
  <si>
    <t>There was no notable discrepancy between self-promoters' and recipients' perceptions of anger</t>
  </si>
  <si>
    <t>"No significant differences were observed in ratings of anger (M=2.74 vs. M=2.97), F(1,145)=0.25,p&gt;.250,η2=.002"</t>
  </si>
  <si>
    <t>F(1,44) = 0.04</t>
  </si>
  <si>
    <t>Boyce_etal2023137_1_h</t>
  </si>
  <si>
    <t>Experiment 2, angry</t>
  </si>
  <si>
    <t>Boyce_etal2023138_1_j</t>
  </si>
  <si>
    <r>
      <rPr>
        <rFont val="Calibri"/>
        <sz val="11.0"/>
      </rPr>
      <t xml:space="preserve">1. I consider the Discipline - "social psychology"
2. The original study was not PREregistrated. Registrated data can be found in: </t>
    </r>
    <r>
      <rPr>
        <rFont val="Calibri"/>
        <color rgb="FF1155CC"/>
        <sz val="11.0"/>
        <u/>
      </rPr>
      <t>https://osf.io/y65ze/</t>
    </r>
  </si>
  <si>
    <t>Self-promoters slightly overestimated how inferior recipients felt in comparison to them, though not significantly</t>
  </si>
  <si>
    <t>"Self-promoters marginally overestimated the extent to which recipients felt inferior to them (M=2.93 vs. M=2.43), F(1,145)=2.75,p=.10,η2=.02"</t>
  </si>
  <si>
    <t>F(1,44) = 0.28</t>
  </si>
  <si>
    <t>Experiment 2, inferior</t>
  </si>
  <si>
    <t>Boyce_etal2023139</t>
  </si>
  <si>
    <t>Boyce_etal2023139_1</t>
  </si>
  <si>
    <t>Semrow, M., Zou, L. X., Liu, S., &amp; Cheryan, S. (2020). Gay Asian Americans are seen as more American than Asian Americans who are presumed straight. Social Psychological and Personality Science, 11(3), 336-344.</t>
  </si>
  <si>
    <t>10.1177/1948550619849426</t>
  </si>
  <si>
    <t>A 2 (sexual orientation: gay, straight; between)  2 (country of origin: equally accepting, less accepting; within) mixed-model ANOVA on American identity revealed  a significant interaction, F(1, 98) = 22.39, p &lt; .001</t>
  </si>
  <si>
    <t>F(1, 98) = 22.39</t>
  </si>
  <si>
    <t>https://osf.io/xhz4q/</t>
  </si>
  <si>
    <t>Boyce_etal2023139_1_a</t>
  </si>
  <si>
    <r>
      <rPr>
        <rFont val="Calibri"/>
        <sz val="11.0"/>
      </rPr>
      <t xml:space="preserve">1. The data for replication: </t>
    </r>
    <r>
      <rPr>
        <rFont val="Calibri"/>
        <color rgb="FF1155CC"/>
        <sz val="11.0"/>
        <u/>
      </rPr>
      <t xml:space="preserve">https://github.com/psych251/Semrow2019/blob/master/writeup/Apaza_replication_Semrow.html
</t>
    </r>
    <r>
      <rPr>
        <rFont val="Calibri"/>
        <sz val="11.0"/>
      </rPr>
      <t xml:space="preserve">2. Replication authors stated that the samples differ between studies and it can have a significant effect because the study is sociological -&gt; conceptual </t>
    </r>
  </si>
  <si>
    <t>https://github.com/psych251/Semrow2019/blob/master/writeup/Apaza_replication_Semrow.html</t>
  </si>
  <si>
    <t>Stigmatization</t>
  </si>
  <si>
    <t>Race, sexual orientation, intersectionality, foreign stereotypes, acceptance</t>
  </si>
  <si>
    <t>Sexual orientation (gay vs. straight) influences perceptions of American identity</t>
  </si>
  <si>
    <t>"A 2 (sexual orientation: gay, straight; between) x 2 (country of origin: equally accepting, less accepting; within) mixed-model ANOVA on American identity revealed main effects of sexual orientation,  F(1, 98) = 12.54, p = .001, d = .52 [...]"</t>
  </si>
  <si>
    <t>https://osf.io/ajqzg</t>
  </si>
  <si>
    <t>F(1,100) = 2.205</t>
  </si>
  <si>
    <t>Boyce_etal2023139_1_b</t>
  </si>
  <si>
    <r>
      <rPr>
        <rFont val="Calibri"/>
        <sz val="11.0"/>
      </rPr>
      <t xml:space="preserve">1. The data for replication: </t>
    </r>
    <r>
      <rPr>
        <rFont val="Calibri"/>
        <color rgb="FF1155CC"/>
        <sz val="11.0"/>
        <u/>
      </rPr>
      <t xml:space="preserve">https://github.com/psych251/Semrow2019/blob/master/writeup/Apaza_replication_Semrow.html
</t>
    </r>
    <r>
      <rPr>
        <rFont val="Calibri"/>
        <sz val="11.0"/>
      </rPr>
      <t xml:space="preserve">2. Replication authors stated that the samples differ between studies and it can have a significant effect because the study is sociological -&gt; conceptual </t>
    </r>
  </si>
  <si>
    <t>Perceived acceptance of one's country of origin (equally accepting vs. less accepting) affects perceptions of American identity</t>
  </si>
  <si>
    <t>"A 2 (sexual orientation: gay, straight; between) x 2 (country of origin: equally accepting, less accepting; within) mixed-model ANOVA on American identity revealed main effects of [...] country of origin, F(1, 98) = 8.21, p = .005, d-av = .34, and a significant interaction, F(1, 98) = 22.39, p &lt; .001 (see Figure 3)"</t>
  </si>
  <si>
    <t>F(1,100) = 6.634</t>
  </si>
  <si>
    <t>Boyce_etal2023139_1_c</t>
  </si>
  <si>
    <r>
      <rPr>
        <rFont val="Calibri"/>
        <sz val="11.0"/>
      </rPr>
      <t xml:space="preserve">1. The data for replication: </t>
    </r>
    <r>
      <rPr>
        <rFont val="Calibri"/>
        <color rgb="FF1155CC"/>
        <sz val="11.0"/>
        <u/>
      </rPr>
      <t xml:space="preserve">https://github.com/psych251/Semrow2019/blob/master/writeup/Apaza_replication_Semrow.html
</t>
    </r>
    <r>
      <rPr>
        <rFont val="Calibri"/>
        <sz val="11.0"/>
      </rPr>
      <t xml:space="preserve">2. Replication authors stated that the samples differ between studies and it can have a significant effect because the study is sociological -&gt; conceptual </t>
    </r>
  </si>
  <si>
    <t>The relationship between sexual orientation and perceptions of American identity depends on the level of acceptance associated with one's country of origin</t>
  </si>
  <si>
    <t>"A 2 (sexual orientation: gay, straight; between) x 2 (country of origin: equally accepting, less accepting; within) mixed-model ANOVA on American identity revealed [...] a significant interaction, F(1, 98) = 22.39, p &lt; .001 (see Figure 3)"</t>
  </si>
  <si>
    <t>F(1,100) = 2.778</t>
  </si>
  <si>
    <t>Boyce_etal202314_1</t>
  </si>
  <si>
    <t>Boyce_etal202314_1_a</t>
  </si>
  <si>
    <t xml:space="preserve">1. Online replication -&gt; conceptual </t>
  </si>
  <si>
    <t>Brady, T. F., Konkle, T., Alvarez, G. A., &amp; Oliva, A. (2013). Real-world objects are not represented as bound units: independent forgetting of different object details from visual memory. Journal of Experimental Psychology: General, 142(3), 791.</t>
  </si>
  <si>
    <t>10.1037/a0029649</t>
  </si>
  <si>
    <t>Feature dependency</t>
  </si>
  <si>
    <t>Binding, visual working memory, visual long-term memory, object-based attention</t>
  </si>
  <si>
    <t>Dependence of state on exemplar is reduced compared to short-delay conditions, though not significantly</t>
  </si>
  <si>
    <t>"In addition, these values of dependence were lower than those observed in the short-delay condition: state given exemplar, t(26) = 1.99, p = .057, d = 0.75; exemplar given state, t(26) = 2.06, p = .05, d = 0.78"</t>
  </si>
  <si>
    <t>Boyce_etal202314_1_d</t>
  </si>
  <si>
    <t>Dependence of exemplar on state is significantly reduced compared to short-delay conditions</t>
  </si>
  <si>
    <t>Boyce_etal2023140</t>
  </si>
  <si>
    <t>Boyce_etal2023140_1</t>
  </si>
  <si>
    <t>Shah, A. K., Shafir, E., &amp; Mullainathan, S. (2015). Scarcity frames value. Psychological science, 26(4), 402-412.</t>
  </si>
  <si>
    <t>10.1177/0956797614563958</t>
  </si>
  <si>
    <t>https://rpubs.com/wuphins/159194</t>
  </si>
  <si>
    <t>The interaction between income and context was significant,</t>
  </si>
  <si>
    <t xml:space="preserve">p. 5 </t>
  </si>
  <si>
    <t>Boyce_etal2023140_1_a</t>
  </si>
  <si>
    <t>1. No PREregistration of the original study, only registration (https://osf.io/vyibm)</t>
  </si>
  <si>
    <t>1b-1c</t>
  </si>
  <si>
    <t>Scarcity</t>
  </si>
  <si>
    <t>Context effects, judgment and decision making, scarcity, open data, open materials</t>
  </si>
  <si>
    <t xml:space="preserve">Higher-income participants showed greater willingness to pay </t>
  </si>
  <si>
    <t>"The interaction between income and context was significant, F(1, 145) = 11.18, p &lt; .01, partial eta-square = .07 (see Fig. 1b)"</t>
  </si>
  <si>
    <t>https://rpubs.com/wuphins/159194, p. 11</t>
  </si>
  <si>
    <t>Boyce_etal2023140_1_b</t>
  </si>
  <si>
    <t>Higher income predicting a stronger effect of context on WTP</t>
  </si>
  <si>
    <t>"The interaction was also significant when income was treated as a continuous variable, β = 2.27, t(145) = 2.17, p &lt; .05"</t>
  </si>
  <si>
    <r>
      <rPr>
        <rFont val="Arial"/>
        <color rgb="FF1155CC"/>
        <u/>
      </rPr>
      <t>https://rpubs.com/wuphins/159194</t>
    </r>
    <r>
      <rPr>
        <rFont val="Arial"/>
      </rPr>
      <t>, p. 11</t>
    </r>
  </si>
  <si>
    <t>There is an interaction between income and context</t>
  </si>
  <si>
    <t>"The interaction between income and context was significant, F(1, 574) = 5.68, p &lt; .05, partial eta-square = .01 (see Fig. 1c)"</t>
  </si>
  <si>
    <t>Boyce_etal2023140_1_c</t>
  </si>
  <si>
    <t xml:space="preserve">Replication </t>
  </si>
  <si>
    <t>Higher income amplifying the influence of context (resort vs. grocery store) on WTP</t>
  </si>
  <si>
    <t>"The interaction was also significant when income was treated continuously, β = 1.65, t(574) = 3.27, p &lt; .01"</t>
  </si>
  <si>
    <r>
      <rPr>
        <rFont val="Arial"/>
        <color rgb="FF1155CC"/>
        <u/>
      </rPr>
      <t>https://rpubs.com/wuphins/159194</t>
    </r>
    <r>
      <rPr>
        <rFont val="Arial"/>
      </rPr>
      <t>, p. 12</t>
    </r>
  </si>
  <si>
    <t>Boyce_etal2023141</t>
  </si>
  <si>
    <t>Boyce_etal2023141_1</t>
  </si>
  <si>
    <t>statistics for R extracted from the report</t>
  </si>
  <si>
    <t>Sharif, M. A., &amp; Oppenheimer, D. M. (2016). The effect of relative encoding on memory-based judgments. Psychological science, 27(8), 1136-1145.</t>
  </si>
  <si>
    <t>10.1177/0956797616651973</t>
  </si>
  <si>
    <t>they were significantly more likely to choose the target singer than to choose one of the other average-quality singers</t>
  </si>
  <si>
    <r>
      <rPr>
        <rFont val="Calibri"/>
        <sz val="11.0"/>
      </rPr>
      <t xml:space="preserve">1. No PREregistration. Open-Ended registration: </t>
    </r>
    <r>
      <rPr>
        <rFont val="Calibri"/>
        <color rgb="FF1155CC"/>
        <sz val="11.0"/>
        <u/>
      </rPr>
      <t>https://osf.io/fzm68</t>
    </r>
  </si>
  <si>
    <t>Memory-based judgments</t>
  </si>
  <si>
    <t>Memory, judgments, ordinal rank, encode, open data, open materials</t>
  </si>
  <si>
    <t xml:space="preserve">Participants' choices of the target singer are influenced by the quality of the comparison set </t>
  </si>
  <si>
    <t>"They were significantly more likely to choose the target singer as the winner when the distribution included two bad singers (the T1-top condition; 40.8%) than when the distribution included two good singers (the T1-bottom condition; 2.0%), X2(2, N = 100) = 22.74, p &lt; .001, r = .477"</t>
  </si>
  <si>
    <t>X2(2) = 12.026</t>
  </si>
  <si>
    <t>Boyce_etal2023141_1_b</t>
  </si>
  <si>
    <r>
      <rPr>
        <rFont val="Calibri"/>
        <sz val="11.0"/>
      </rPr>
      <t xml:space="preserve">1. No PREregistration. Open-Ended registration: </t>
    </r>
    <r>
      <rPr>
        <rFont val="Calibri"/>
        <color rgb="FF1155CC"/>
        <sz val="11.0"/>
        <u/>
      </rPr>
      <t>https://osf.io/fzm68</t>
    </r>
  </si>
  <si>
    <t>Participants' evaluations of the target singer persist despite changes in the comparison set</t>
  </si>
  <si>
    <t>"[...] they were significantly more likely to choose the target singer than to choose one of the other average-quality singers (43% chose the target singer, chance = 33.33%), X2(2, N = 90) = 4.05, p = .044,  r = .212 "</t>
  </si>
  <si>
    <t>Boyce_etal2023142</t>
  </si>
  <si>
    <t>Boyce_etal2023142_1</t>
  </si>
  <si>
    <t>Shariff, A. F., Greene, J. D., Karremans, J. C., Luguri, J. B., Clark, C. J., Schooler, J. W., ... &amp; Vohs, K. D. (2014). Free will and punishment: A mechanistic view of human nature reduces retribution. Psychological science, 25(8), 1563-1570.</t>
  </si>
  <si>
    <t>10.1177/0956797614534693</t>
  </si>
  <si>
    <t>Punishment and blameworthiness.</t>
  </si>
  <si>
    <t>As predicted, participants who read the neuroscience articles recommended significantly shorter prison sentences than did participants who read the other science articles (M = 3.10, SD = 1.48, vs. M = 3.83, SD = 1.77), t(86) = 2.09, p =.04, d = 0.45 (Fig. 1)</t>
  </si>
  <si>
    <t>1. I didn't find the replication report</t>
  </si>
  <si>
    <t>Free-will</t>
  </si>
  <si>
    <t>Free will, punishment, morality, responsibility, blame, open materials</t>
  </si>
  <si>
    <t xml:space="preserve">Participants who read the neuroscience articles recommended significantly shorter prison sentences </t>
  </si>
  <si>
    <t>"As predicted, participants who read the neuroscience articles recommended significantly shorter prison sentences than did participants who read the other science articles (M = 3.10, SD = 1.48, vs. M = 3.83, SD = 1.77), t(86) = 2.09, p = .04, d = 0.45 (Fig. 1) and blamed the transgressor less [...]"</t>
  </si>
  <si>
    <t>Boyce_etal2023143</t>
  </si>
  <si>
    <t>Boyce_etal2023143_1</t>
  </si>
  <si>
    <t>Shavit, Y. Z., Chi, K., &amp; Carstensen, L. L. (2022). Age and Time Horizons Are Associated With Preferences for Helping Colleagues. Work, Aging and Retirement.</t>
  </si>
  <si>
    <t>10.1093/workar/waac024</t>
  </si>
  <si>
    <t>Furthermore, the interaction term between age and expanded time horizons was negative, although it failed to reach the conventional threshold for statistical significance in the traditional two-tailed test (β = −0.42, 95% CI: −0.88 – 0.02, Z = −1.86, p = .07).</t>
  </si>
  <si>
    <t>p. 285</t>
  </si>
  <si>
    <t>Boyce_etal2023143_1_a</t>
  </si>
  <si>
    <r>
      <rPr>
        <rFont val="Calibri"/>
        <sz val="11.0"/>
      </rPr>
      <t xml:space="preserve">1. The data was taken from: </t>
    </r>
    <r>
      <rPr>
        <rFont val="Calibri"/>
        <color rgb="FF1155CC"/>
        <sz val="11.0"/>
        <u/>
      </rPr>
      <t xml:space="preserve">https://rpubs.com/ennachen/psych251_finalproject
</t>
    </r>
    <r>
      <rPr>
        <rFont val="Calibri"/>
        <sz val="11.0"/>
      </rPr>
      <t>2. The original paper was added as 10.1093workarwaac024.pdf</t>
    </r>
  </si>
  <si>
    <t>Added link to report and repr_r values</t>
  </si>
  <si>
    <t>https://rpubs.com/ennachen/psych251_finalproject</t>
  </si>
  <si>
    <t>Age differences</t>
  </si>
  <si>
    <t>Motivation, socioemotional selectivity theory, time horizons, work preferences, older workers</t>
  </si>
  <si>
    <t>Participants in the expanded time horizon condition are less likely to help others compared to the control condition</t>
  </si>
  <si>
    <t>"In support of the second hypothesis, we found a main effect of expanded time horizons on preferences, whereby the likelihood of helping others was reduced in the expanded horizons condition (β = −0.7, Z = −3.15, p = .002)."</t>
  </si>
  <si>
    <t>https://osf.io/86p4e/</t>
  </si>
  <si>
    <t>Boyce_etal2023143_1_b</t>
  </si>
  <si>
    <r>
      <rPr>
        <rFont val="Calibri"/>
        <sz val="11.0"/>
      </rPr>
      <t xml:space="preserve">1. The data was taken from: </t>
    </r>
    <r>
      <rPr>
        <rFont val="Calibri"/>
        <color rgb="FF1155CC"/>
        <sz val="11.0"/>
        <u/>
      </rPr>
      <t xml:space="preserve">https://rpubs.com/ennachen/psych251_finalproject
</t>
    </r>
    <r>
      <rPr>
        <rFont val="Calibri"/>
        <sz val="11.0"/>
      </rPr>
      <t>2. The original paper was added as 10.1093workarwaac024.pdf</t>
    </r>
  </si>
  <si>
    <t>The relationship between age and likelihood of helping others differs by time horizon condition</t>
  </si>
  <si>
    <t>"The interaction term between age and expanded time horizons was negative, although it failed to reach conventional significance in a two-tailed test (β = −0.42, Z = −1.86, p = .07), but significant with a one-tailed test (p(one-tailed) = .035)."</t>
  </si>
  <si>
    <t>Boyce_etal2023143_1_c</t>
  </si>
  <si>
    <r>
      <rPr>
        <rFont val="Calibri"/>
        <sz val="11.0"/>
      </rPr>
      <t xml:space="preserve">1. The data was taken from: </t>
    </r>
    <r>
      <rPr>
        <rFont val="Calibri"/>
        <color rgb="FF1155CC"/>
        <sz val="11.0"/>
        <u/>
      </rPr>
      <t xml:space="preserve">https://rpubs.com/ennachen/psych251_finalproject
</t>
    </r>
    <r>
      <rPr>
        <rFont val="Calibri"/>
        <sz val="11.0"/>
      </rPr>
      <t>2. The original paper was added as 10.1093workarwaac024.pdf</t>
    </r>
  </si>
  <si>
    <t>Participants in the unspecified (limited) time horizon condition are less likely to help others compared to the expanded condition</t>
  </si>
  <si>
    <t>"Contrary to the third hypothesis, the main effect of limited time horizons was also negative (β = −0.45, Z = −2.01, p = .05)."</t>
  </si>
  <si>
    <t>Boyce_etal2023143_1_d</t>
  </si>
  <si>
    <r>
      <rPr>
        <rFont val="Calibri"/>
        <sz val="11.0"/>
      </rPr>
      <t xml:space="preserve">1. The data was taken from: </t>
    </r>
    <r>
      <rPr>
        <rFont val="Calibri"/>
        <color rgb="FF1155CC"/>
        <sz val="11.0"/>
        <u/>
      </rPr>
      <t xml:space="preserve">https://rpubs.com/ennachen/psych251_finalproject
</t>
    </r>
    <r>
      <rPr>
        <rFont val="Calibri"/>
        <sz val="11.0"/>
      </rPr>
      <t>2. The original paper was added as 10.1093workarwaac024.pdf</t>
    </r>
  </si>
  <si>
    <t>Age predicts likelihood of helping others in the expanded time horizon condition</t>
  </si>
  <si>
    <t>"Age was not significantly associated with the likelihood of helping a colleague or a friend under expanded time horizons (β = 0.17, Z = 1.06, p = .29)."</t>
  </si>
  <si>
    <t>Boyce_etal2023143_1_e</t>
  </si>
  <si>
    <r>
      <rPr>
        <rFont val="Calibri"/>
        <sz val="11.0"/>
      </rPr>
      <t xml:space="preserve">1. The data was taken from: </t>
    </r>
    <r>
      <rPr>
        <rFont val="Calibri"/>
        <color rgb="FF1155CC"/>
        <sz val="11.0"/>
        <u/>
      </rPr>
      <t xml:space="preserve">https://rpubs.com/ennachen/psych251_finalproject
</t>
    </r>
    <r>
      <rPr>
        <rFont val="Calibri"/>
        <sz val="11.0"/>
      </rPr>
      <t>2. The original paper was added as 10.1093workarwaac024.pdf</t>
    </r>
  </si>
  <si>
    <t>Older individuals are more likely to help others when faced with limited time horizons, compared to younger individuals</t>
  </si>
  <si>
    <t>"However, under limited time horizons, the effect of age on increasing the likelihood of helping others fell just short of reaching the traditional threshold for statistical significance (β = 0.3, 95% CI: −0.01 – 0.61, Z = 1.9, p = .06)."</t>
  </si>
  <si>
    <t>Boyce_etal2023144</t>
  </si>
  <si>
    <t>Boyce_etal2023144_1</t>
  </si>
  <si>
    <t>Page and p-value incorrect</t>
  </si>
  <si>
    <t>Sheppes, G., Scheibe, S., Suri, G., &amp; Gross, J. J. (2011). Emotion-regulation choice. Psychological science, 22(11), 1391-1396.</t>
  </si>
  <si>
    <t>10.1177/0956797611418350</t>
  </si>
  <si>
    <t>that participants chose to employ .... distraction on 70.7% of the high-intensity trials (95% CI: [60.7, 80.7]), F(1, 19) = 47.54, p &lt; .000001, ηp2 = .71.</t>
  </si>
  <si>
    <t>F(1, 19) = 47.54</t>
  </si>
  <si>
    <t>p. 1393</t>
  </si>
  <si>
    <t xml:space="preserve">1. Several changes to methodology (online, no video and so on) -&gt; conceptual
2. This is called "reproducibility report" and it is not reproduction of the previous analysis with the same sample: "Unlike in the original study that was performed in a sample of undergraduate students, the present replication will be performed on a sample of participants recruited online via Prolific" </t>
  </si>
  <si>
    <t>Reproducibility Report</t>
  </si>
  <si>
    <t>Emotion regulation</t>
  </si>
  <si>
    <t>Choice, emotion, emotion regulation, self-regulation, emotional control, self-control</t>
  </si>
  <si>
    <t>Participants chose to employ reappraisal on 76.3% of the low-intensity trials, but chose to employ distraction on 70.7% of the high-intensity trials</t>
  </si>
  <si>
    <t>"Participants chose to employ reappraisal more frequently in low-intensity trials (76.3%, 95% CI: [66.3, 86.3]) compared to distraction in high-intensity trials (70.7%, 95% CI: [60.7, 80.7]), with a significant difference observed, F (1, 19) = 47.54, p &lt; .000001, partial eta-square = .71"</t>
  </si>
  <si>
    <t>https://osf.io/dn6gz</t>
  </si>
  <si>
    <t>Boyce_etal2023145</t>
  </si>
  <si>
    <t>Boyce_etal2023145_1</t>
  </si>
  <si>
    <t>report for R also states that ηp2 = .91</t>
  </si>
  <si>
    <t>Effect, tag and description added</t>
  </si>
  <si>
    <t>Sherman, G. D., Haidt, J., &amp; Clore, G. L. (2012). The faintest speck of dirt: Disgust enhances the detection of impurity. Psychological Science, 23(12), 1506-1514.</t>
  </si>
  <si>
    <t>10.1177/0956797612445318</t>
  </si>
  <si>
    <t>Emotions</t>
  </si>
  <si>
    <t>Emotions, perception, individual differences</t>
  </si>
  <si>
    <t>Spectrum and Trait interation was significant</t>
  </si>
  <si>
    <t>"Second, the predicted End of Spectrum × Trait Disgust interaction was significant, b = −0.04, SE = 0.02, t(17586) = −2.11, p = .04, OR = 0.96"</t>
  </si>
  <si>
    <t>Boyce_etal2023146</t>
  </si>
  <si>
    <t>Boyce_etal2023146_1</t>
  </si>
  <si>
    <t>sloman2016_1, p value for O in Boyce is different from one in original paper. P from original paper extracted</t>
  </si>
  <si>
    <t>Sloman, S. A., &amp; Rabb, N. (2016). Your understanding is my understanding: Evidence for a community of knowledge. Psychological science, 27(11), 1451-1460.</t>
  </si>
  <si>
    <t>10.1177/0956797616662271</t>
  </si>
  <si>
    <t>Experiment 2</t>
  </si>
  <si>
    <t>Planned comparisons showed that ratings in the public CK condition (M = 0.21, 95% CI = [0.16, 0.25]) were significantly higher than those in ... the secret CK condition (M = 0.18, 95% CI = [0.13, 0.22]), t(105) = −1.96, p = .052.</t>
  </si>
  <si>
    <t>d copied from Boyce data set</t>
  </si>
  <si>
    <t>Boyce_etal2023146_1_b</t>
  </si>
  <si>
    <t>sloman2016_2</t>
  </si>
  <si>
    <t>Effect, tag and description and claim added</t>
  </si>
  <si>
    <t>https://rpubs.com/hrlarry/YUIMU-final</t>
  </si>
  <si>
    <t>Community-of-knowledge hypothesis</t>
  </si>
  <si>
    <t>Cognitive processes, knowledge level, judgment, monitoring, open data, open materials</t>
  </si>
  <si>
    <t>Participants demonstrated significantly higher understanding scores in the common knowledge (CK) condition</t>
  </si>
  <si>
    <t>"A paired-samples t-test on the log-transformed ratings of understanding showed that scores were significantly higher in the CK condition (M = 0.28, 95% CI [0.21, 0.35]) compared to the no-CK condition (M = 0.20, 95% CI [0.15, 0.25]), t(69) = −3.40, p = .001, d = 0.43"</t>
  </si>
  <si>
    <t>https://osf.io/x4m6w</t>
  </si>
  <si>
    <t>Boyce_etal2023146_1_a</t>
  </si>
  <si>
    <r>
      <rPr>
        <rFont val="Calibri"/>
        <sz val="11.0"/>
      </rPr>
      <t xml:space="preserve">1. Data for replication: </t>
    </r>
    <r>
      <rPr>
        <rFont val="Calibri"/>
        <color rgb="FF1155CC"/>
        <sz val="11.0"/>
        <u/>
      </rPr>
      <t>https://rpubs.com/hrlarry/YUIMU-final</t>
    </r>
  </si>
  <si>
    <t>Participants' ratings of understanding differ significantly across conditions</t>
  </si>
  <si>
    <t>"A repeated measures analysis of variance (ANOVA) on the log-transformed ratings of understanding revealed a main effect of condition on understanding, F(2, 210) = 5.62, p = .004, partial eta-square = .051"</t>
  </si>
  <si>
    <r>
      <rPr>
        <rFont val="Calibri"/>
        <sz val="11.0"/>
      </rPr>
      <t xml:space="preserve">1. Data for replication: </t>
    </r>
    <r>
      <rPr>
        <rFont val="Calibri"/>
        <color rgb="FF1155CC"/>
        <sz val="11.0"/>
        <u/>
      </rPr>
      <t>https://rpubs.com/hrlarry/YUIMU-final</t>
    </r>
  </si>
  <si>
    <t>Ratings of understanding are significantly higher in the public CK condition than in the public no-CK condition</t>
  </si>
  <si>
    <t>"Planned comparisons showed that ratings in the public CK condition (M = 0.21, 95% CI = [0.16, 0.25]) were significantly higher than those in the public no-CK condition (M = 0.15, 95% CI = [0.11, 0.19]), t(105) = −3.20, p = .002."</t>
  </si>
  <si>
    <t>t(105) = -3.20</t>
  </si>
  <si>
    <t>t(157) = -4.25</t>
  </si>
  <si>
    <t>Boyce_etal2023146_1_c</t>
  </si>
  <si>
    <r>
      <rPr>
        <rFont val="Calibri"/>
        <sz val="11.0"/>
      </rPr>
      <t xml:space="preserve">1. Data for replication: </t>
    </r>
    <r>
      <rPr>
        <rFont val="Calibri"/>
        <color rgb="FF1155CC"/>
        <sz val="11.0"/>
        <u/>
      </rPr>
      <t>https://rpubs.com/hrlarry/YUIMU-final</t>
    </r>
  </si>
  <si>
    <t>Ratings of understanding in the public CK condition are nearly significantly higher than in the secret CK condition</t>
  </si>
  <si>
    <t>"Planned comparisons showed that ratings in the public CK condition were nearly significantly higher than those in the secret CK condition (M = 0.18, 95% CI = [0.13, 0.22]), t(105) = −1.96, p = .052."</t>
  </si>
  <si>
    <t>t(105) = -1.96</t>
  </si>
  <si>
    <t>t(157) = -2.62</t>
  </si>
  <si>
    <t>Boyce_etal2023146_1_d</t>
  </si>
  <si>
    <r>
      <rPr>
        <rFont val="Calibri"/>
        <sz val="11.0"/>
      </rPr>
      <t xml:space="preserve">1. Data for replication: </t>
    </r>
    <r>
      <rPr>
        <rFont val="Calibri"/>
        <color rgb="FF1155CC"/>
        <sz val="11.0"/>
        <u/>
      </rPr>
      <t>https://rpubs.com/hrlarry/YUIMU-final</t>
    </r>
  </si>
  <si>
    <t>There is no significant difference in ratings of understanding between the public no-CK and secret CK conditions</t>
  </si>
  <si>
    <t>"The means for the public no-CK and secret CK conditions were not significantly different, t(105) = −1.51, p = .134"</t>
  </si>
  <si>
    <t>t(105) = -1.51</t>
  </si>
  <si>
    <t>t(157) = -1.91</t>
  </si>
  <si>
    <t>Boyce_etal2023147_1</t>
  </si>
  <si>
    <t>Boyce_etal2023147</t>
  </si>
  <si>
    <r>
      <rPr>
        <rFont val="Calibri"/>
        <sz val="11.0"/>
      </rPr>
      <t xml:space="preserve">1. Data for replication: </t>
    </r>
    <r>
      <rPr>
        <rFont val="Calibri"/>
        <color rgb="FF1155CC"/>
        <sz val="11.0"/>
        <u/>
      </rPr>
      <t>https://rpubs.com/kleibow/338461</t>
    </r>
  </si>
  <si>
    <t>Boyce_etal2023148</t>
  </si>
  <si>
    <t>Boyce_etal2023148_1</t>
  </si>
  <si>
    <t>data for R extracted from the report</t>
  </si>
  <si>
    <t>Sofer, C., Dotsch, R., Wigboldus, D. H., &amp; Todorov, A. (2015). What is typical is good: The influence of face typicality on perceived trustworthiness. Psychological Science, 26(1), 39-47.</t>
  </si>
  <si>
    <t>10.1177/0956797614554955</t>
  </si>
  <si>
    <t>Experiment 1, regression</t>
  </si>
  <si>
    <t>These results were confirmed in a multiple regression analysis in which we predicted the judgments using DFT, DFT-squared, judgment type (trustworthiness = 1, attractiveness = 0), and their interactions (all predictors centered), F(5, 16) = 285.81, p &lt; .001, R2= .99.</t>
  </si>
  <si>
    <t>F(5, 16) = 285.81</t>
  </si>
  <si>
    <t>Boyce_etal2023148_1_a</t>
  </si>
  <si>
    <t>1. Several procedural differences (setup, sample) -&gt; conceptual</t>
  </si>
  <si>
    <t>Face recognition</t>
  </si>
  <si>
    <t>Social perception, face perception, face typicality, distinctiveness, trustworthiness, attractiveness, familiarity, open data, open materials</t>
  </si>
  <si>
    <t>face typicality and perceived trustworthiness</t>
  </si>
  <si>
    <t>"These results were confirmed in a multiple regression analysis predicting judgments from DFT, DFT-squared, judgment type (trustworthiness = 1, attractiveness = 0), and their interactions (all predictors centered), F(5, 16) = 285.81, p &lt; .001, R² = .99."</t>
  </si>
  <si>
    <t>Boyce_etal2023148_1_b</t>
  </si>
  <si>
    <t>Distance from the typical face (DFT) influences attractiveness judgments.</t>
  </si>
  <si>
    <t>"The significant effect of DFT, β = 2.27, p &lt; .001, revealed that DFT influenced attractiveness judgments, such that the more distant faces were from the typical face, the more attractive they were judged."</t>
  </si>
  <si>
    <t>Boyce_etal2023148_1_c</t>
  </si>
  <si>
    <t>The relationship between DFT and attractiveness judgments follows a quadratic trend</t>
  </si>
  <si>
    <t>"A significant quadratic effect of DFT on attractiveness judgments, β = −1.09, p &lt; .001; the effect of DFT became weaker at higher values of DFT."</t>
  </si>
  <si>
    <t>Boyce_etal2023148_1_d</t>
  </si>
  <si>
    <t>The influence of DFT on judgments differs between trustworthiness and attractiveness</t>
  </si>
  <si>
    <t>"The interactions between [...] DFT-squared and judgment type, β = 0.34, p &lt; .03, indicated that trustworthiness and attractiveness judgments followed different trends as a function of DFT."</t>
  </si>
  <si>
    <t>Boyce_etal2023148_1_e</t>
  </si>
  <si>
    <t>The more distant the face from the typical face, the less trustworthy it was judged</t>
  </si>
  <si>
    <t>"The interactions between DFT and judgment type, β = −1.54, p &lt; .001 [...], indicated that trustworthiness and attractiveness judgments followed different trends as a function of DFT."</t>
  </si>
  <si>
    <t>Boyce_etal2023148_1_f</t>
  </si>
  <si>
    <t>Trustworthiness judgments are systematically lower than attractiveness judgments</t>
  </si>
  <si>
    <t>"On average, trustworthiness judgments were lower than attractiveness judgments, as revealed by the significant effect of judgment type, β = −0.26, p &lt; .001."</t>
  </si>
  <si>
    <t>Boyce_etal2023149</t>
  </si>
  <si>
    <t>Boyce_etal2023149_1</t>
  </si>
  <si>
    <t>Stavrova, O., Ehlebracht, D., &amp; Vohs, K. D. (2020). Victims, perpetrators, or both? The vicious cycle of disrespect and cynical beliefs about human nature. Journal of Experimental Psychology: General, 149(9), 1736.</t>
  </si>
  <si>
    <t>10.1037xge0000738</t>
  </si>
  <si>
    <t>Study 3, Cynicism</t>
  </si>
  <si>
    <t>showed that participants in the disrespect condition reported a higher level of cynicism (M  3.90, SD  1.29) than participants in the control condition (M  3.40, SD  1.22), t(221)  2.95, p  .004, d .40.</t>
  </si>
  <si>
    <t>p. 1742</t>
  </si>
  <si>
    <t>https://aspredicted.org/ai7am.pdf</t>
  </si>
  <si>
    <t>1. Since no report, the data was taken from the table
2. The original paper was added as 10.1037xge0000738.pdf</t>
  </si>
  <si>
    <t>Cynicism</t>
  </si>
  <si>
    <t>Bidirectional effects, cynicism, disrespect, hostility</t>
  </si>
  <si>
    <t>Participants exposed to a disrespect condition reported higher levels of cynicism</t>
  </si>
  <si>
    <t>"Cynicism. An independent-samples t-test showed that participants in the disrespect condition reported a higher level of cynicism (M = 3.90, SD = 1.29) than those in the control condition (M = 3.40, SD = 1.22), t(221) = 2.95, p = .004, d = 0.40"</t>
  </si>
  <si>
    <t>Boyce_etal202315</t>
  </si>
  <si>
    <t>Boyce_etal202315_1</t>
  </si>
  <si>
    <t>Brandone, A. C., Gelman, S. A., &amp; Hedglen, J. (2015). Children's developing intuitions about the truth conditions and implications of novel generics versus quantified statements. Cognitive science, 39(4), 711-738.</t>
  </si>
  <si>
    <t>10.1111/cogs.12176</t>
  </si>
  <si>
    <t>Generic language</t>
  </si>
  <si>
    <t>Cognitive development; Concepts; Generic language; Language understanding; Language acquisition; Semantics</t>
  </si>
  <si>
    <t>Children's developing intuitions about the truth conditions and implications of novel generics versus quantified statementsThere is a significant difference between mean prevalence level for generic wording in adults between truth condition and implied prevalence task</t>
  </si>
  <si>
    <t>Results showed significant main effects of wording, F(3, 129) = 31.45, p &lt; .001,</t>
  </si>
  <si>
    <t>F(3, 129) = 31.45</t>
  </si>
  <si>
    <t>Boyce, V., Mathur, M., &amp; Frank, M. C. (2023). Eleven years of student replication projects provide evidence on the correlates of replicability in psychology. Royal Society Open Science, 10(11), 231240. https://doi.org/10.1098/rsos.231076</t>
  </si>
  <si>
    <t>10.1098/rsos.231076</t>
  </si>
  <si>
    <t>No replication results</t>
  </si>
  <si>
    <t>1. Since no report, the data was taken from the table</t>
  </si>
  <si>
    <t>"The average prevalence level that led to right responses for each wording condition at each age group is displayed in Table 1"</t>
  </si>
  <si>
    <t>Boyce_etal2023150</t>
  </si>
  <si>
    <t>Boyce_etal2023150_1</t>
  </si>
  <si>
    <t>Storm, B. C., &amp; Stone, S. M. (2015). Saving-enhanced memory: The benefits of saving on the learning and remembering of new information. Psychological Science, 26(2), 182-188.</t>
  </si>
  <si>
    <t>10.1177/0956797614559285</t>
  </si>
  <si>
    <t>Recall performance for File B</t>
  </si>
  <si>
    <t>ANOVA revealed a significant interaction, F(1, 46) = 7.89, MSE = 0.01, p = .007, η2 = .15.</t>
  </si>
  <si>
    <t>F(1, 46) = 7.89</t>
  </si>
  <si>
    <t>Boyce_etal2023150_1_a</t>
  </si>
  <si>
    <r>
      <rPr>
        <rFont val="Calibri"/>
        <sz val="11.0"/>
      </rPr>
      <t xml:space="preserve">1. Replication data: </t>
    </r>
    <r>
      <rPr>
        <rFont val="Calibri"/>
        <color rgb="FF1155CC"/>
        <sz val="11.0"/>
        <u/>
      </rPr>
      <t xml:space="preserve">https://rpubs.com/mkmartykeil/replicationfinal
</t>
    </r>
    <r>
      <rPr>
        <rFont val="Calibri"/>
        <sz val="11.0"/>
      </rPr>
      <t>2. Because the procedure slightly changed (especially the recall): conceptual replication</t>
    </r>
  </si>
  <si>
    <t>https://rpubs.com/mkmartykeil/replicationfinal</t>
  </si>
  <si>
    <t>Saving-Enhanced Memory</t>
  </si>
  <si>
    <t>Memory, human-computer interaction, cognition(s), forgetting</t>
  </si>
  <si>
    <t>Participants recalled significantly more words on save trials than no-save trials in the eight-word condition</t>
  </si>
  <si>
    <t>"In the eight-word condition, the proportion of words recalled was significantly greater on save trials (M = .80, SE = .03) than on no-save trials (M = .29, SE = .03), t(23) = 14.24, p &lt; .001, d = 2.91, mean difference = .51 (95% CI = [.43, .58])"</t>
  </si>
  <si>
    <t>Boyce_etal2023150_1_b</t>
  </si>
  <si>
    <r>
      <rPr>
        <rFont val="Calibri"/>
        <sz val="11.0"/>
      </rPr>
      <t xml:space="preserve">1. Replication data: </t>
    </r>
    <r>
      <rPr>
        <rFont val="Calibri"/>
        <color rgb="FF1155CC"/>
        <sz val="11.0"/>
        <u/>
      </rPr>
      <t xml:space="preserve">https://rpubs.com/mkmartykeil/replicationfinal
</t>
    </r>
    <r>
      <rPr>
        <rFont val="Calibri"/>
        <sz val="11.0"/>
      </rPr>
      <t>2. Because the procedure slightly changed (especially the recall): conceptual replication</t>
    </r>
  </si>
  <si>
    <t xml:space="preserve">Better recall on save trials and lower recall on no-save trials </t>
  </si>
  <si>
    <t>"A similar difference was observed in the two-word condition, with performance being perfect on save trials (M = 1.00, SE = .00) and significantly worse than perfect on no-save trials (M = .79, SE = .05), t(23) = 3.98, p = .001, d = 0.81, mean difference = .21 (95% CI = [.10, .32])"</t>
  </si>
  <si>
    <t>Boyce_etal2023150_1_c</t>
  </si>
  <si>
    <r>
      <rPr>
        <rFont val="Calibri"/>
        <sz val="11.0"/>
      </rPr>
      <t xml:space="preserve">1. Replication data: </t>
    </r>
    <r>
      <rPr>
        <rFont val="Calibri"/>
        <color rgb="FF1155CC"/>
        <sz val="11.0"/>
        <u/>
      </rPr>
      <t xml:space="preserve">https://rpubs.com/mkmartykeil/replicationfinal
</t>
    </r>
    <r>
      <rPr>
        <rFont val="Calibri"/>
        <sz val="11.0"/>
      </rPr>
      <t>2. Because the procedure slightly changed (especially the recall): conceptual replication</t>
    </r>
  </si>
  <si>
    <t>Saving File A improved recall of words from File B in the eight-word condition, suggesting a cognitive offloading effect</t>
  </si>
  <si>
    <t>" [...] participants in the eight-word condition recalled significantly more words from File B when they had saved File A than when they had not saved File A, t(23) = 4.56, p &lt; .001, d = 0.93, mean difference = .13 (95% CI = [.07, .18])"</t>
  </si>
  <si>
    <t>Boyce_etal2023150_1_d</t>
  </si>
  <si>
    <r>
      <rPr>
        <rFont val="Calibri"/>
        <sz val="11.0"/>
      </rPr>
      <t xml:space="preserve">1. Replication data: </t>
    </r>
    <r>
      <rPr>
        <rFont val="Calibri"/>
        <color rgb="FF1155CC"/>
        <sz val="11.0"/>
        <u/>
      </rPr>
      <t xml:space="preserve">https://rpubs.com/mkmartykeil/replicationfinal
</t>
    </r>
    <r>
      <rPr>
        <rFont val="Calibri"/>
        <sz val="11.0"/>
      </rPr>
      <t>2. Because the procedure slightly changed (especially the recall): conceptual replication</t>
    </r>
  </si>
  <si>
    <t>No significant difference in File B recall was found when File A contained only two words, implying the effect depends on task complexity</t>
  </si>
  <si>
    <t>"When File A consisted of only two words, participants did not recall significantly more words from File B after they had saved File A than after they had not saved File A, t(23) = 0.40, p = .69, d = 0.08, mean difference = .01 (95% CI = [−.05, .07])."</t>
  </si>
  <si>
    <t>Boyce_etal2023150_1_e</t>
  </si>
  <si>
    <r>
      <rPr>
        <rFont val="Calibri"/>
        <sz val="11.0"/>
      </rPr>
      <t xml:space="preserve">1. Replication data: </t>
    </r>
    <r>
      <rPr>
        <rFont val="Calibri"/>
        <color rgb="FF1155CC"/>
        <sz val="11.0"/>
        <u/>
      </rPr>
      <t xml:space="preserve">https://rpubs.com/mkmartykeil/replicationfinal
</t>
    </r>
    <r>
      <rPr>
        <rFont val="Calibri"/>
        <sz val="11.0"/>
      </rPr>
      <t>2. Because the procedure slightly changed (especially the recall): conceptual replication
3. The data from the report was used for ES</t>
    </r>
  </si>
  <si>
    <t>The interaction between trial type (save vs. no-save) and condition (eight-word vs. two-word) confirms that the impact of saving varies by word count</t>
  </si>
  <si>
    <t>"A 2 (trial type: save vs. no save) × 2 (condition: eight word vs. two word) mixed-design ANOVA revealed a significant interaction, F(1, 46) = 7.89, MSE = 0.01, p = .007, η2 = .15"</t>
  </si>
  <si>
    <t>Boyce_etal2023151</t>
  </si>
  <si>
    <t>Boyce_etal2023151_1</t>
  </si>
  <si>
    <t>Störmer, V. S., &amp; Alvarez, G. A. (2016). Attention alters perceived attractiveness. Psychological Science, 27(4), 563-571.</t>
  </si>
  <si>
    <t>10.1177/0956797616630964</t>
  </si>
  <si>
    <t>when the two faces were physically identical, participants tended to judge the face at the cued location to have higher con-
trast than the face at the uncued location (55.8% vs. 45.8%), t(15) = 2.51, p = .02, η2 = .30.</t>
  </si>
  <si>
    <r>
      <rPr>
        <rFont val="Calibri"/>
        <sz val="11.0"/>
      </rPr>
      <t xml:space="preserve">1. Online study for attention -&gt; conceptually new design
2. The replication data: </t>
    </r>
    <r>
      <rPr>
        <rFont val="Calibri"/>
        <color rgb="FF1155CC"/>
        <sz val="11.0"/>
        <u/>
      </rPr>
      <t xml:space="preserve">https://rpubs.com/mlee17/262394
</t>
    </r>
    <r>
      <rPr>
        <rFont val="Calibri"/>
        <sz val="11.0"/>
      </rPr>
      <t>3. Effect can be either "Attentional cueing" or "attractiveness judgments". The first is broader</t>
    </r>
  </si>
  <si>
    <t>https://rpubs.com/mlee17/262394</t>
  </si>
  <si>
    <t>Attentional cuing</t>
  </si>
  <si>
    <t>Attention, perception, face perception, visual attention</t>
  </si>
  <si>
    <t>Participants chose the face with higher contrast around the eye region more often</t>
  </si>
  <si>
    <t>"There was a main effect of actual contrast level on contrast judgments, F(4, 15) = 27.93, p = .0001, eta-square = .31"</t>
  </si>
  <si>
    <t>Boyce_etal2023151_1_b</t>
  </si>
  <si>
    <r>
      <rPr>
        <rFont val="Calibri"/>
        <sz val="11.0"/>
      </rPr>
      <t xml:space="preserve">1. Online study for attention -&gt; conceptually new design
2. The replication data: </t>
    </r>
    <r>
      <rPr>
        <rFont val="Calibri"/>
        <color rgb="FF1155CC"/>
        <sz val="11.0"/>
        <u/>
      </rPr>
      <t xml:space="preserve">https://rpubs.com/mlee17/262394
</t>
    </r>
    <r>
      <rPr>
        <rFont val="Calibri"/>
        <sz val="11.0"/>
      </rPr>
      <t>3. Effect can be either "Attentional cueing" or "attractiveness judgments". The first is broader</t>
    </r>
  </si>
  <si>
    <t>The attended (cued) face tended to be judged to have higher contrast than the same face that was unattended to some degree</t>
  </si>
  <si>
    <t>"As shown in Figure 4b, when the two faces were physically identical, participants tended to judge the face at the cued location to have higher contrast than the face at the uncued location (55.8% vs. 45.8%), t(15) = 2.51, p = .02, eta-square = .30"</t>
  </si>
  <si>
    <t>Boyce_etal2023152</t>
  </si>
  <si>
    <t>Boyce_etal2023152_1</t>
  </si>
  <si>
    <t>Suppes, P., &amp; Schlag-Rey, M. (1965). Observable changes of hypotheses under positive reinforcement. Science, 148(3670), 661-662.</t>
  </si>
  <si>
    <t>10.1126/science.148.3670.661</t>
  </si>
  <si>
    <t>Boyce_etal2023153</t>
  </si>
  <si>
    <t>Boyce_etal2023153_1</t>
  </si>
  <si>
    <t>Tamir, D. I., &amp; Mitchell, J. P. (2012). Disclosing information about the self is intrinsically rewarding. Proceedings of the National Academy of Sciences, 109(21), 8038-8043.</t>
  </si>
  <si>
    <t>10.1073/pnas.1202129109</t>
  </si>
  <si>
    <t>Participants gave up an average of 0.63¢ per trial to perform the self task instead of judging another person [t(36) = 3.32, P = . 002, d = 1.11]</t>
  </si>
  <si>
    <t>p. 8039</t>
  </si>
  <si>
    <t>Self-disclosure</t>
  </si>
  <si>
    <t>Self-reference, social cognition, reward, functional MRI</t>
  </si>
  <si>
    <t>Disclosing information about the self is intrinsically rewarding</t>
  </si>
  <si>
    <t>"Participants gave up an average of 0.63¢ per trial to perform the self-task instead of judging another person, t(36) = 3.32, p = .002, d = 1.11"</t>
  </si>
  <si>
    <t>0.00917662935482247</t>
  </si>
  <si>
    <t>0.9685334559246237</t>
  </si>
  <si>
    <t>Boyce_etal2023154</t>
  </si>
  <si>
    <t>Boyce_etal2023154_1</t>
  </si>
  <si>
    <t>The results are from another experiment (Exp 3, while in the table it was Exp 1)</t>
  </si>
  <si>
    <t>Tarampi, M. R., Heydari, N., &amp; Hegarty, M. (2016). A tale of two types of perspective taking: Sex differences in spatial ability. Psychological Science, 27(11), 1507-1516.</t>
  </si>
  <si>
    <t>10.1177/0956797616667459</t>
  </si>
  <si>
    <t>Consistent with our hypothesis, the analysis showed that females were more accurate in the social condition (M = 11.59, SD = 5.29, 95% CI = [9.80, 13.37]) than in the spatial condition (M = 7.69, SD = 3.80, 95% CI = [5.96, 9.43]),</t>
  </si>
  <si>
    <t>calculated based on the data in the paper, p. 1511 -  Consistent with our hypothesis, the analysis showed that females were more accurate in the social condition (M = 11.59, SD = 5.29, 95% CI = [9.80, 13.37]) than in the spatial condition (M = 7.69, SD = 3.80, 95% CI = [5.96, 9.43]), t(68) = 3.55, p = .001.</t>
  </si>
  <si>
    <r>
      <rPr>
        <rFont val="Calibri"/>
        <sz val="11.0"/>
      </rPr>
      <t xml:space="preserve">1. Replication data: </t>
    </r>
    <r>
      <rPr>
        <rFont val="Calibri"/>
        <color rgb="FF1155CC"/>
        <sz val="11.0"/>
        <u/>
      </rPr>
      <t xml:space="preserve">https://rpubs.com/chuqihu8/pilot
</t>
    </r>
    <r>
      <rPr>
        <rFont val="Calibri"/>
        <sz val="11.0"/>
      </rPr>
      <t>2. Replication was online -&gt; conceptual</t>
    </r>
  </si>
  <si>
    <t>https://rpubs.com/chuqihu8/pilot</t>
  </si>
  <si>
    <t>Sex difference</t>
  </si>
  <si>
    <t>Spatial ability, perspective taking, individual differences, stereotype threat, gender, open materials</t>
  </si>
  <si>
    <t>Males and females differ significantly in performance on the spatial-orientation test</t>
  </si>
  <si>
    <t>"We first tested our predictions for the spatial-orientation test. A 2 (sex: male, female) × 2 (condition: social, spatial) between-subjects analysis of variance (ANOVA) found significant main effects of sex, F(1, 131) = 14.22, p &lt; .001, partial η² = .10, d = 0.61 [...]"</t>
  </si>
  <si>
    <t>F(1,4) = 0.015</t>
  </si>
  <si>
    <t>Boyce_etal2023154_1_b</t>
  </si>
  <si>
    <r>
      <rPr>
        <rFont val="Calibri"/>
        <sz val="11.0"/>
      </rPr>
      <t xml:space="preserve">1. Replication data: </t>
    </r>
    <r>
      <rPr>
        <rFont val="Calibri"/>
        <color rgb="FF1155CC"/>
        <sz val="11.0"/>
        <u/>
      </rPr>
      <t xml:space="preserve">https://rpubs.com/chuqihu8/pilot
</t>
    </r>
    <r>
      <rPr>
        <rFont val="Calibri"/>
        <sz val="11.0"/>
      </rPr>
      <t>2. Replication was online -&gt; conceptual</t>
    </r>
  </si>
  <si>
    <t>Performance on the spatial-orientation test differs significantly between the social and spatial conditions</t>
  </si>
  <si>
    <t>"We first tested our predictions for the spatial-orientation test. A 2 (sex: male, female) × 2 (condition: social, spatial) between-subjects analysis of variance (ANOVA) found significant main effects of [...] condition, F(1, 131) = 16.84, p &lt; .001, partial η² = .11, d = 0.67"</t>
  </si>
  <si>
    <t>F(1,4) = 0.061</t>
  </si>
  <si>
    <t>Boyce_etal2023154_1_c</t>
  </si>
  <si>
    <r>
      <rPr>
        <rFont val="Calibri"/>
        <sz val="11.0"/>
      </rPr>
      <t xml:space="preserve">1. Replication data: </t>
    </r>
    <r>
      <rPr>
        <rFont val="Calibri"/>
        <color rgb="FF1155CC"/>
        <sz val="11.0"/>
        <u/>
      </rPr>
      <t xml:space="preserve">https://rpubs.com/chuqihu8/pilot
</t>
    </r>
    <r>
      <rPr>
        <rFont val="Calibri"/>
        <sz val="11.0"/>
      </rPr>
      <t>2. Replication was online -&gt; conceptual
3. For second coder: The results are for Exp 3, while in the table it was Exp 1. This result can be also used</t>
    </r>
  </si>
  <si>
    <t>The effect of condition on spatial-orientation test performance varies significantly by sex</t>
  </si>
  <si>
    <t>"As predicted, there was a statistically significant interaction between sex and condition, F(1, 131) = 14.18, p &lt; .001, partial η² = .10"</t>
  </si>
  <si>
    <t>F(1,4) = 1.527</t>
  </si>
  <si>
    <t>Boyce_etal2023155</t>
  </si>
  <si>
    <t>Boyce_etal2023155_1</t>
  </si>
  <si>
    <t>Not found in Boyce, I would assume it's the one with the title "the original doesn't give adults stats, the t test we're using is from the replication based on the raw data, for French adults only. Also, student screwed up and used original data for both (wrong variable name in a couple places). I fixed it and ran their code". Noneheless, I didn't find matching statistics in the paper, so moght be worth excluding</t>
  </si>
  <si>
    <t>Tieu, L., Yatsushiro, K., Cremers, A., Romoli, J., Sauerland, U., &amp; Chemla, E. (2017). On the role of alternatives in the acquisition of simple and complex disjunctions in French and Japanese. Journal of Semantics, 34(1), 127-152.</t>
  </si>
  <si>
    <t>10.1093/jos/ffw010</t>
  </si>
  <si>
    <r>
      <rPr>
        <rFont val="Calibri"/>
        <sz val="11.0"/>
      </rPr>
      <t xml:space="preserve">1. Replication data: </t>
    </r>
    <r>
      <rPr>
        <rFont val="Calibri"/>
        <color rgb="FF1155CC"/>
        <sz val="11.0"/>
        <u/>
      </rPr>
      <t xml:space="preserve">https://rpubs.com/masoud/tieu2016_replication
</t>
    </r>
    <r>
      <rPr>
        <rFont val="Calibri"/>
        <sz val="11.0"/>
      </rPr>
      <t>2. Different languages for comparison are used -&gt; conceptual replication
3. No corresponding results are indicated in the original data. For the project the original results were recalculated by the project team using the data from replication</t>
    </r>
  </si>
  <si>
    <t>Web-based replication</t>
  </si>
  <si>
    <t>Language acquisition</t>
  </si>
  <si>
    <t>Child language acquisition, disjunction interpretation, scalar implicatures, cross-linguistic comparison, logical reasoning in children</t>
  </si>
  <si>
    <t>Role of alternatives in the acquisition of simple and complex disjunctions in French and Japanese</t>
  </si>
  <si>
    <t>t(19) = 35.18</t>
  </si>
  <si>
    <t>Boyce_etal2023156</t>
  </si>
  <si>
    <t>Boyce_etal2023156_1</t>
  </si>
  <si>
    <t>Todd2016_1</t>
  </si>
  <si>
    <t>Todd, A. R., Thiem, K. C., &amp; Neel, R. (2016). Does seeing faces of young black boys facilitate the identification of threatening stimuli?. Psychological science, 27(3), 384-393.</t>
  </si>
  <si>
    <t>10.1177/0956797615624492</t>
  </si>
  <si>
    <t>RTS</t>
  </si>
  <si>
    <t>A 2 (race of prime: Black, White) × 2 (target object: gun, toy) repeated measures analysis of variance (ANOVA) revealed a significant interaction, F(1, 62) = 17.21, p &lt; .001, ηp2 = .22.</t>
  </si>
  <si>
    <t>F(1, 62) = 17.21</t>
  </si>
  <si>
    <r>
      <rPr>
        <rFont val="Calibri"/>
        <sz val="11.0"/>
      </rPr>
      <t xml:space="preserve">1. Data for replication: </t>
    </r>
    <r>
      <rPr>
        <rFont val="Calibri"/>
        <color rgb="FF1155CC"/>
        <sz val="11.0"/>
        <u/>
      </rPr>
      <t>https://rpubs.com/mateusmazza/project_report_pilotB</t>
    </r>
  </si>
  <si>
    <t>corrected test statistic</t>
  </si>
  <si>
    <t>https://rpubs.com/mateusmazza/project_report_pilotB</t>
  </si>
  <si>
    <t>Age, process dissociation, stereotyping, threat, weapon identification task</t>
  </si>
  <si>
    <t>Potential racial biases in threat perception</t>
  </si>
  <si>
    <t>"A 2 (race of prime: Black, White) × 2 (target object: gun, toy) repeated measures analysis of variance (ANOVA) revealed a significant interaction, F(1, 62) = 17.21, p &lt; .001, partial η² = .22"</t>
  </si>
  <si>
    <t>F(1,401 = 3.281</t>
  </si>
  <si>
    <t>Boyce_etal2023157_1</t>
  </si>
  <si>
    <t>Boyce_etal2023157</t>
  </si>
  <si>
    <r>
      <rPr>
        <rFont val="Calibri"/>
        <sz val="11.0"/>
      </rPr>
      <t xml:space="preserve">1. Replication data: </t>
    </r>
    <r>
      <rPr>
        <rFont val="Calibri"/>
        <color rgb="FF1155CC"/>
        <sz val="11.0"/>
        <u/>
      </rPr>
      <t>https://rpubs.com/klsanch/pilotAwriteup</t>
    </r>
  </si>
  <si>
    <t>https://rpubs.com/klsanch/pilotAwriteup</t>
  </si>
  <si>
    <t>Participants misidentified safe words as threatening more often after Black primes than after White primes</t>
  </si>
  <si>
    <t>"Analyses of error-rate data revealed that, as with the RT data, there was a significant Race of Prime × Target Word interaction, F(1, 61) = 32.30, p &lt; .001, partial η² = .35"</t>
  </si>
  <si>
    <t>Boyce_etal2023156_1_b</t>
  </si>
  <si>
    <t>Todd2016_2, statistics from Boyce not found in the O, d and p values for O extracted from Boyce</t>
  </si>
  <si>
    <t>Boyce_etal2023158</t>
  </si>
  <si>
    <t>Boyce_etal2023158_1</t>
  </si>
  <si>
    <t>Coded as social psychology, because it's the closest discipline</t>
  </si>
  <si>
    <t>Tribushinina, E. (2011). Once again on norms and comparison classes. Linguistics, 49(3), 525–553.</t>
  </si>
  <si>
    <t>10.1515/ling.2011.016</t>
  </si>
  <si>
    <t>https://github.com/StanfordPsych254/Tribushinina2011/blob/master/writeup/Replication-Report.html</t>
  </si>
  <si>
    <t>Perception</t>
  </si>
  <si>
    <t>Relative adjectives, reference points, norm-based interpretation, scale sensitivity, real-time processing</t>
  </si>
  <si>
    <t>Participants more frequently categorized stimuli into the "klein" range compared to the "groot" range</t>
  </si>
  <si>
    <t>Further, the ranges dubbed groot ‘big’ and klein ‘small’ were not equal. The zone labeled klein was significantly larger than the groot zone: Z = 3.1, p &lt; .005</t>
  </si>
  <si>
    <t>calculated based on data from p. 540, including table</t>
  </si>
  <si>
    <r>
      <rPr>
        <rFont val="Calibri"/>
        <sz val="11.0"/>
      </rPr>
      <t xml:space="preserve">1. Online experiment
2. Data: </t>
    </r>
    <r>
      <rPr>
        <rFont val="Calibri"/>
        <color rgb="FF1155CC"/>
        <sz val="11.0"/>
        <u/>
      </rPr>
      <t>https://github.com/StanfordPsych254/Tribushinina2011/blob/master/writeup/Replication-Report.html</t>
    </r>
    <r>
      <rPr>
        <rFont val="Calibri"/>
        <sz val="11.0"/>
      </rPr>
      <t xml:space="preserve"> (replication)
3. The original paper was added as 10.1515ling.2011.016.pdf</t>
    </r>
  </si>
  <si>
    <t>"The zone labeled klein was significantly larger than the groot zone: Z = 3.1, p &lt; .005 (Wilcoxon Signed-ranks test)"</t>
  </si>
  <si>
    <t>Z = 3.1, N = 10</t>
  </si>
  <si>
    <t>Boyce_etal2023158_a</t>
  </si>
  <si>
    <r>
      <rPr>
        <rFont val="Calibri"/>
        <sz val="11.0"/>
      </rPr>
      <t xml:space="preserve">1. Online experiment
2. Data: </t>
    </r>
    <r>
      <rPr>
        <rFont val="Calibri"/>
        <color rgb="FF1155CC"/>
        <sz val="11.0"/>
        <u/>
      </rPr>
      <t>https://github.com/StanfordPsych254/Tribushinina2011/blob/master/writeup/Replication-Report.html</t>
    </r>
    <r>
      <rPr>
        <rFont val="Calibri"/>
        <sz val="11.0"/>
      </rPr>
      <t xml:space="preserve"> (replication)
3. The original paper was added as 10.1515ling.2011.016.pdf</t>
    </r>
  </si>
  <si>
    <t>The perceived acceptable size range ("groot zone") differs based on the prototypical size category (PROTOTYPICALLY SMALL vs. PROTOTYPICALLY BIG) of an object</t>
  </si>
  <si>
    <t>"The "groot zone" (i.e., the range of sizes considered appropriate for an object) was significantly larger for objects from the PROTOTYPICALLY SMALL category compared to the PROTOTYPICALLY BIG category, as evidenced by a Friedman test: χ²(2) = 9.5, p &lt; .05."</t>
  </si>
  <si>
    <t>X2(2) = 9.5</t>
  </si>
  <si>
    <t>X2(2) = 22.02</t>
  </si>
  <si>
    <t>https://osf.io/3xcq7</t>
  </si>
  <si>
    <t>Boyce_etal2023159</t>
  </si>
  <si>
    <t>Boyce_etal2023159_1</t>
  </si>
  <si>
    <r>
      <rPr>
        <rFont val="Calibri"/>
        <sz val="11.0"/>
      </rPr>
      <t xml:space="preserve">1. Replication data: </t>
    </r>
    <r>
      <rPr>
        <rFont val="Calibri"/>
        <color rgb="FF1155CC"/>
        <sz val="11.0"/>
        <u/>
      </rPr>
      <t>https://rstudio-pubs-static.s3.amazonaws.com/426870_bb10c991135648a19be27ad27cb36a15.html</t>
    </r>
    <r>
      <rPr>
        <rFont val="Calibri"/>
        <sz val="11.0"/>
      </rPr>
      <t xml:space="preserve"> (https://osf.io/3xcq7) is for EXPERIMENT 1, not 2</t>
    </r>
  </si>
  <si>
    <t>Tworek, C. M., &amp; Cimpian, A. (2016). Why do people tend to infer “ought” from “is”? The role of biases in explanation. Psychological Science, 27(8), 1109-1122.</t>
  </si>
  <si>
    <t>10.1177/0956797616650875</t>
  </si>
  <si>
    <t>https://rstudio-pubs-static.s3.amazonaws.com/426870_bb10c991135648a19be27ad27cb36a15.html</t>
  </si>
  <si>
    <t>Cognitive development, inherence heuristic, sociomoral judgments, explanation, open data, open materials, preregistered</t>
  </si>
  <si>
    <t>The predicted interaction between the measure of inherence bias and behavior typicality was significant</t>
  </si>
  <si>
    <t>The predicted interaction between the measure of inherence bias and behavior typicality was significant in this model, b = 2.44, 95% CI = [0.78, 4.10], p = .004 (for results for the full model, see Table 4).</t>
  </si>
  <si>
    <t>p.7</t>
  </si>
  <si>
    <t>https://aspredicted.org/public/205223581.pdf</t>
  </si>
  <si>
    <r>
      <rPr>
        <rFont val="Calibri"/>
        <sz val="11.0"/>
      </rPr>
      <t xml:space="preserve">1. Replication data: </t>
    </r>
    <r>
      <rPr>
        <rFont val="Calibri"/>
        <color rgb="FF1155CC"/>
        <sz val="11.0"/>
        <u/>
      </rPr>
      <t>https://rstudio-pubs-static.s3.amazonaws.com/426870_bb10c991135648a19be27ad27cb36a15.html</t>
    </r>
    <r>
      <rPr>
        <rFont val="Calibri"/>
        <sz val="11.0"/>
      </rPr>
      <t xml:space="preserve"> (https://osf.io/3xcq7) is for EXPERIMENT 1, not 2</t>
    </r>
  </si>
  <si>
    <t>No replication data for experiment 2</t>
  </si>
  <si>
    <t>Boyce_etal202316</t>
  </si>
  <si>
    <t>Boyce_etal202316_1</t>
  </si>
  <si>
    <t>brown-iannuzzi2017_1, statistics extracted from the report</t>
  </si>
  <si>
    <t>Brown-Iannuzzi, J. L., Dotsch, R., Cooley, E., &amp; Payne, B. K. (2017). The relationship between mental representations of welfare recipients and attitudes toward welfare. Psychological science, 28(1), 92-103.</t>
  </si>
  <si>
    <t>10.1177/0956797616674999</t>
  </si>
  <si>
    <r>
      <rPr>
        <rFont val="Arial"/>
        <color rgb="FF1155CC"/>
        <u/>
      </rPr>
      <t>https://osf.io/v6zk8</t>
    </r>
    <r>
      <rPr>
        <rFont val="Arial"/>
        <color rgb="FF000000"/>
      </rPr>
      <t xml:space="preserve"> or </t>
    </r>
    <r>
      <rPr>
        <rFont val="Arial"/>
        <color rgb="FF1155CC"/>
        <u/>
      </rPr>
      <t>http://rpubs.com/catherinecthomas/final_replication</t>
    </r>
  </si>
  <si>
    <t>Stereotyped attitudes, socioeconomic status, social cognition, open data, open materials</t>
  </si>
  <si>
    <t>Framing the policy differently does not significantly affect support for basic income policies</t>
  </si>
  <si>
    <t>"Additionally, participants were less supportive of giving cash assistance to the person depicted in the welfare image (M = 2.95, 95% CI [2.78, 3.13]) than the non-recipient image (M = 3.80, 95% CI [3.65, 3.96]), partial eta-square = .26. (supplementary materials)"</t>
  </si>
  <si>
    <t>Boyce_etal202316_1_b</t>
  </si>
  <si>
    <t>brown-iannuzzi2017_2</t>
  </si>
  <si>
    <r>
      <rPr>
        <rFont val="Arial"/>
        <color rgb="FF1155CC"/>
        <u/>
      </rPr>
      <t>https://osf.io/v6zk8</t>
    </r>
    <r>
      <rPr>
        <rFont val="Arial"/>
        <color rgb="FF000000"/>
      </rPr>
      <t xml:space="preserve"> or </t>
    </r>
    <r>
      <rPr>
        <rFont val="Arial"/>
        <color rgb="FF1155CC"/>
        <u/>
      </rPr>
      <t>http://rpubs.com/catherinecthomas/final_replication</t>
    </r>
  </si>
  <si>
    <t>"As predicted, the person depicted in the welfare-recipient image was rated as less responsible (generally), and less responsible with food stamps and cash assistance, than the person depicted in the non-welfare-recipient image"</t>
  </si>
  <si>
    <t>F(1,56)=16.72</t>
  </si>
  <si>
    <t>supplement -- 3 with study 1 images</t>
  </si>
  <si>
    <r>
      <rPr>
        <rFont val="Arial"/>
        <color rgb="FF1155CC"/>
        <u/>
      </rPr>
      <t>https://osf.io/v6zk8</t>
    </r>
    <r>
      <rPr>
        <rFont val="Arial"/>
        <color rgb="FF000000"/>
      </rPr>
      <t xml:space="preserve"> or </t>
    </r>
    <r>
      <rPr>
        <rFont val="Arial"/>
        <color rgb="FF1155CC"/>
        <u/>
      </rPr>
      <t>http://rpubs.com/catherinecthomas/final_replication</t>
    </r>
  </si>
  <si>
    <t>"The indirect effect was not significant when mediated by perceived race alone, b = −0.04, 95% CI = [−0.46, 0.36]."</t>
  </si>
  <si>
    <t>t(41) = -0.39</t>
  </si>
  <si>
    <t>https://rpubs.com/catherinecthomas/final_replication</t>
  </si>
  <si>
    <t>Boyce_etal2023160</t>
  </si>
  <si>
    <t>Boyce_etal2023160_1</t>
  </si>
  <si>
    <t>Van Koningsbruggen, G. M., Hartmann, T., Eden, A., &amp; Veling, H. (2017). Spontaneous hedonic reactions to social media cues. Cyberpsychology, Behavior, and Social Networking, 20(5), 334-340.</t>
  </si>
  <si>
    <t>10.1089/cyber.2016.0530</t>
  </si>
  <si>
    <t>a significant interaction effect between cue type and Facebook use, F(1, 126) = 8.91, p = 0.003, and g2 p = 0.066 (Fig. 2B).</t>
  </si>
  <si>
    <t>F(1, 126) = 8.91</t>
  </si>
  <si>
    <t>p. 338</t>
  </si>
  <si>
    <t>Boyce_etal2023160_1_a</t>
  </si>
  <si>
    <r>
      <rPr>
        <rFont val="Calibri"/>
        <sz val="11.0"/>
      </rPr>
      <t xml:space="preserve">Replication data: </t>
    </r>
    <r>
      <rPr>
        <rFont val="Calibri"/>
        <color rgb="FF1155CC"/>
        <sz val="11.0"/>
        <u/>
      </rPr>
      <t>https://rpubs.com/ayl888/695975</t>
    </r>
  </si>
  <si>
    <t>https://rpubs.com/ayl888/695975</t>
  </si>
  <si>
    <t>Hedonic Reaction</t>
  </si>
  <si>
    <t>Social media, Facebook, self-control, temptation, craving</t>
  </si>
  <si>
    <t>The cue type did not have a significant main effect on the outcome variable</t>
  </si>
  <si>
    <t>"The main effects of cue type, F(1, 126) = 2.28, p = 0.134, partial η² = 0.018 [...]"</t>
  </si>
  <si>
    <r>
      <rPr>
        <rFont val="Calibri"/>
        <color rgb="FF1155CC"/>
        <sz val="11.0"/>
        <u/>
      </rPr>
      <t>https://rpubs.com/ayl888/695975</t>
    </r>
    <r>
      <rPr>
        <rFont val="Calibri"/>
        <sz val="11.0"/>
      </rPr>
      <t>, p. 21</t>
    </r>
  </si>
  <si>
    <t>Boyce_etal2023160_1_b</t>
  </si>
  <si>
    <r>
      <rPr>
        <rFont val="Calibri"/>
        <sz val="11.0"/>
      </rPr>
      <t xml:space="preserve">Replication data: </t>
    </r>
    <r>
      <rPr>
        <rFont val="Calibri"/>
        <color rgb="FF1155CC"/>
        <sz val="11.0"/>
        <u/>
      </rPr>
      <t>https://rpubs.com/ayl888/695975</t>
    </r>
  </si>
  <si>
    <t>Facebook use did not have a significant main effect on the outcome variable</t>
  </si>
  <si>
    <t>"The main effects of [...] Facebook use, F(1, 126) = 0.26, p = 0.609, partial η² = 0.002, were not significant"</t>
  </si>
  <si>
    <r>
      <rPr>
        <rFont val="Calibri"/>
        <color rgb="FF1155CC"/>
        <sz val="11.0"/>
        <u/>
      </rPr>
      <t>https://rpubs.com/ayl888/695975</t>
    </r>
    <r>
      <rPr>
        <rFont val="Calibri"/>
        <sz val="11.0"/>
      </rPr>
      <t>, p. 21</t>
    </r>
  </si>
  <si>
    <t>XPHI1_1</t>
  </si>
  <si>
    <t>XPHI1</t>
  </si>
  <si>
    <t>Corinna Gemmecke</t>
  </si>
  <si>
    <t>replication study states that the p-value in the original study was p &lt; .01, while the original states that it was p &lt; .001</t>
  </si>
  <si>
    <t>Knobe, J. (2003). Intentional Action and Side Effects in Ordinary Language. Analysis, 63, 190-193.</t>
  </si>
  <si>
    <t>10.1111/1467-8284.00419</t>
  </si>
  <si>
    <t xml:space="preserve">Cova, F., Strickland, B., Abatista, A., Allard, A., Andow, J., Attie, M., Beebe, J., Berniūnas, R., Boudesseul, J., Colombo, M., Cushman, F., Diaz, R., N'Djaye Nikolai van Dongen, N., Dranseika, V., Earp, B. D., Torres, A. G., Hannikainen, I., Hernández-Conde, J. V., Hu, W., . . . Zhou, X. (2021). Estimating the reproducibility of experimental philosophy. Review of Philosophy and Psychology, 12(1), 9–44. </t>
  </si>
  <si>
    <t>10.1007/s13164-018-0400-9</t>
  </si>
  <si>
    <t>https://osf.io/4ewkh</t>
  </si>
  <si>
    <t>Reproducibility Project</t>
  </si>
  <si>
    <t>Side effect</t>
  </si>
  <si>
    <t>intentional action, side effect</t>
  </si>
  <si>
    <t>Side effects of behavior aimed at a different target</t>
  </si>
  <si>
    <t>"As predicted, the two conditions elicited two radically different patterns of responses. In the harm condition, most subjects (82%) said that the agent brought about the side effect intentionally, whereas in the help condition, most subjects (77%) said that the agent did not bring about the side effect intentionally. This difference was highly statistically significant, X2(1, N = 78) = 27.2, p &lt; .001.", "There seems to be an asymmetry whereby people are considerably more willing to blame the agent for bad side effects than to praise the agent for good side effects. And this asymmetry in people’s assignment of praise and blame may be at the root of the corresponding asymmetry in people’s application of the concept intentional: namely, that they seem considerably more willing to say that a side effect was brought about intentionally when they regard that side effect as bad than when they regard it as good."</t>
  </si>
  <si>
    <t>3, 4</t>
  </si>
  <si>
    <t>X2(1) = 27.2</t>
  </si>
  <si>
    <r>
      <rPr>
        <rFont val="Calibri"/>
        <color rgb="FF1155CC"/>
        <sz val="11.0"/>
        <u/>
      </rPr>
      <t>https://rpubs.com/ayl888/695975</t>
    </r>
    <r>
      <rPr>
        <rFont val="Calibri"/>
        <sz val="11.0"/>
      </rPr>
      <t>, p. 21</t>
    </r>
  </si>
  <si>
    <t>XPHI states ES for O  w = 0.59, mistake in the p value for O in XPHI (p &lt; .01, while it's actually  &lt; .001)</t>
  </si>
  <si>
    <t>10.1111--1467-8284.00419.pdf</t>
  </si>
  <si>
    <t>experimental philosophy</t>
  </si>
  <si>
    <t>Intentional Action and Side Effects in Ordinary Language</t>
  </si>
  <si>
    <t>As predicted, the two conditions elicited two radically different patterns of responses. In the harm condition, most subjects (82%) said that the agent brought about the side effect intentionally, whereas in the help condition, most subjects (77%) said that the agent did not bring about the side effect intentionally. This difference was highly statistically significant, X2(1, N = 78) = 27.2, p &lt; .001.</t>
  </si>
  <si>
    <t>p. 3 X2(1, N = 78) = 27.2, p &lt; .001.</t>
  </si>
  <si>
    <r>
      <rPr>
        <rFont val="Calibri"/>
        <color rgb="FF1155CC"/>
        <sz val="11.0"/>
        <u/>
      </rPr>
      <t>https://rpubs.com/ayl888/695975</t>
    </r>
    <r>
      <rPr>
        <rFont val="Calibri"/>
        <sz val="11.0"/>
      </rPr>
      <t>, p. 21</t>
    </r>
  </si>
  <si>
    <t>Boyce_etal2023160_1_c</t>
  </si>
  <si>
    <r>
      <rPr>
        <rFont val="Calibri"/>
        <sz val="11.0"/>
      </rPr>
      <t xml:space="preserve">Replication data: </t>
    </r>
    <r>
      <rPr>
        <rFont val="Calibri"/>
        <color rgb="FF1155CC"/>
        <sz val="11.0"/>
        <u/>
      </rPr>
      <t>https://rpubs.com/ayl888/695975</t>
    </r>
  </si>
  <si>
    <t>There was a significant interaction effect between cue type and Facebook use on the outcome variable, with a noticeable difference in their combined impact</t>
  </si>
  <si>
    <t>"However, the results again revealed a significant interaction effect between cue type and Facebook use, F(1, 126) = 8.91, p = 0.003, partial η² = 0.066 (Fig. 2B)"</t>
  </si>
  <si>
    <r>
      <rPr>
        <rFont val="Calibri"/>
        <color rgb="FF1155CC"/>
        <sz val="11.0"/>
        <u/>
      </rPr>
      <t>https://rpubs.com/ayl888/695975</t>
    </r>
    <r>
      <rPr>
        <rFont val="Calibri"/>
        <sz val="11.0"/>
      </rPr>
      <t>, p. 21</t>
    </r>
  </si>
  <si>
    <t>XPHI11_1</t>
  </si>
  <si>
    <t>XPHI11</t>
  </si>
  <si>
    <t>Knobe, J., &amp; Burra, A. (2006). The folk concepts of intention and intentional action: A cross-cultural study. Journal of Cognition and Culture, 6(1), 113-132.</t>
  </si>
  <si>
    <t>10.1163/156853706776931222</t>
  </si>
  <si>
    <t>intention and intentional action</t>
  </si>
  <si>
    <t>Theory of mind, moral cognition, intention, intentional action, cross-cultural evidence, experimental philosophy</t>
  </si>
  <si>
    <t>"Overall, then, the results point to a surprising conclusion about the relationship between the words ‘intentionally’ and ‘jaan-bujhkar.’ It appears that, despite their radically different morphologies, these two words are expressing the same basic concept. In English, this concept is expressed by a word derived from ‘intention.’ In Hindi, it is expressed by a word derived from ‘jaan.’ But the use of the concept does not closely mirror use of either of these words. Rather, use of the concept depends in part on the moral status of the behavior – so that its use is closer to that of ‘intention’ for morally good behaviors and closer to ‘jaan’ for morally bad behaviors.", Subjects were significantly more likely to say that the chairman acted jaan-bujhkar in the harm condition than in the help condition, x2 (1, N = 41) = 15.3, p &lt; .001."</t>
  </si>
  <si>
    <t>15, 18, 19</t>
  </si>
  <si>
    <t>X2(1) = 15.3</t>
  </si>
  <si>
    <t>p. 18-19</t>
  </si>
  <si>
    <t>https://doi.org/10.17605/OSF.IO/N5ZSX</t>
  </si>
  <si>
    <t>XPHI states ES for O  w = 0.61</t>
  </si>
  <si>
    <t>10.1163--156853706776931222.pdf</t>
  </si>
  <si>
    <t>Subjects were significantly more likely to say that the chairman acted jaan-bujhkar in the harm condition than in the help condition,</t>
  </si>
  <si>
    <t>p. 18-19, X2(1, N = 41) = 15.3, p &lt;.001</t>
  </si>
  <si>
    <t>X2(1, N = 48) = 17.85, p &lt; .001</t>
  </si>
  <si>
    <r>
      <rPr>
        <rFont val="&quot;Helvetica Neue&quot;"/>
        <color rgb="FF1155CC"/>
        <sz val="11.0"/>
        <u/>
      </rPr>
      <t>osf.io/p48sa/</t>
    </r>
  </si>
  <si>
    <t>Boyce_etal2023161</t>
  </si>
  <si>
    <t>Boyce_etal2023161_1</t>
  </si>
  <si>
    <t>Vasilyeva, N., Blanchard, T., &amp; Lombrozo, T. (2018). Stable causal relationships are better causal relationships. Cognitive Science, 42(4), 1265-1296.</t>
  </si>
  <si>
    <t>10.1111/cogs.12605</t>
  </si>
  <si>
    <t>a main effect of moderator: as shown in Fig. 2a, participants were significantly less likely to agree with claims about causal and explanatory relationships when a relationship was moderated than non-moderated</t>
  </si>
  <si>
    <t>p. 1273</t>
  </si>
  <si>
    <t>Sarah Ashcroft-Jones</t>
  </si>
  <si>
    <r>
      <rPr>
        <rFont val="Calibri"/>
        <sz val="11.0"/>
      </rPr>
      <t>Replication data is only for exp 3, not exp 1: "</t>
    </r>
    <r>
      <rPr>
        <rFont val="Calibri"/>
        <color rgb="FF1155CC"/>
        <sz val="11.0"/>
        <u/>
      </rPr>
      <t>https://rpubs.com/pgzhu/vasilyeva2018</t>
    </r>
    <r>
      <rPr>
        <rFont val="Calibri"/>
        <sz val="11.0"/>
      </rPr>
      <t>" → I use the data from table</t>
    </r>
  </si>
  <si>
    <t>Causal relationship</t>
  </si>
  <si>
    <t>Stability, Robustness, Invariance, Sensitivity, Causality, Explanation, Background conditions, Moderating variables</t>
  </si>
  <si>
    <t>Participants were significantly less likely to agree with claims about causal and explanatory relationships when a relationship was moderated</t>
  </si>
  <si>
    <t>"A 2 moderator (moderated relationship, non-moderated relationship) × 2 judgment (causal, explanatory) × 2 target (type, token) mixed ANOVA on causal and explanatory ratings revealed a main effect of moderator: as shown in Fig. 2a, participants were significantly less likely to agree with claims about causal and explanatory relationships when a relationship was moderated than non-moderated, F(1, 178) = 163.22, p &lt; .001, partial η² = 0.478, even though moderated and non-moderated relationships were equated for overall strength (defined as the degree of covariation between putative causes and effects)."</t>
  </si>
  <si>
    <t>1.63866476810305</t>
  </si>
  <si>
    <t>Boyce_etal2023162</t>
  </si>
  <si>
    <t>Boyce_etal2023162_1</t>
  </si>
  <si>
    <t>Romero Verdugo, P., van Lieshout, L. L., de Lange, F. P., &amp; Cools, R. (2020). Choice boosts curiosity. Psychological Science, 09567976221082637.</t>
  </si>
  <si>
    <t>10.1177/09567976221082637</t>
  </si>
  <si>
    <t>Choice and preference independently enhanced curiosity</t>
  </si>
  <si>
    <t>Choice enhanced curiosity; participants were more curious about lotteries that they had chosen themselves (curiosity ratings: M = 2.94, SD = 0.33; willingness to wait: M = 47.19%, SD = 19.81%) than about those that had been provided to them (matching their preference; curiosity ratings: M = 2.78, SD = 0.3; willingness to wait: M = 40.19%, SD = 19.23%).</t>
  </si>
  <si>
    <t>calculated based on Chosen Lotteries:  (M = 2.94, SD = 0.33; willingness to wait: M = 47.19%, SD = 19.81%) tand provided to them (M = 2.78, SD = 0.3; willingness to wait: M = 40.19%, SD = 19.23%).</t>
  </si>
  <si>
    <t>osf.io/gseqn</t>
  </si>
  <si>
    <r>
      <rPr>
        <rFont val="Calibri"/>
        <sz val="11.0"/>
      </rPr>
      <t xml:space="preserve">Replication report: </t>
    </r>
    <r>
      <rPr>
        <rFont val="Calibri"/>
        <color rgb="FF1155CC"/>
        <sz val="11.0"/>
        <u/>
      </rPr>
      <t>https://osf.io/wdp9b</t>
    </r>
  </si>
  <si>
    <t>https://osf.io/wdp9b</t>
  </si>
  <si>
    <t>Curiosity</t>
  </si>
  <si>
    <t>Curiosity, choice, uncertainty, expected value, information seeking, open data, open materials, preregistered</t>
  </si>
  <si>
    <t>Choice boosts curiosity</t>
  </si>
  <si>
    <t>"Choice enhanced curiosity; participants were more curious about lotteries that they had chosen themselves (curiosity ratings: M = 2.94, SD = 0.33; willingness to wait: M = 47.19%, SD = 19.81%) than about those that had been provided to them (matching their preference; curiosity ratings: M = 2.78, SD = 0.3; willingness to wait: M = 40.19%, SD = 19.23%)."</t>
  </si>
  <si>
    <t>0.006352567590246201</t>
  </si>
  <si>
    <t>https://osf.io/5ausj</t>
  </si>
  <si>
    <t>Boyce_etal2023163</t>
  </si>
  <si>
    <t>Boyce_etal2023163_1</t>
  </si>
  <si>
    <t>Vohs, K. D., Mead, N. L., &amp; Goode, M. R. (2006). The psychological consequences of money. science, 314(5802), 1154-1156.</t>
  </si>
  <si>
    <t>10.1126/science.1132491</t>
  </si>
  <si>
    <t>Prime</t>
  </si>
  <si>
    <t>occurs when an individual's exposure to a certain stimulus influences their response to a subsequent prompt, without any awareness of the connection.</t>
  </si>
  <si>
    <t>Participants who were primed with money were less helpful than participants not primed with money [t(42) = 2.13, P &lt; 0.04; Cohen’s d = 0.63].</t>
  </si>
  <si>
    <t>p. 1155</t>
  </si>
  <si>
    <t>Money, Motivation, Behavior, Self-sufficiency, Dependency, Priming, Money reminders, Causal behavior, Interpersonal relationships, Financial strain</t>
  </si>
  <si>
    <t>Money makes people self-sufficient (primed with money donated significantly less)</t>
  </si>
  <si>
    <t>"We found that participants primed with money donated significantly less money to the student fund than participants not primed with money, t(38) = 2.13, p &lt; 0.05, Cohen’s d = 0.64 (Table 1)."</t>
  </si>
  <si>
    <t>0.12436505404118418</t>
  </si>
  <si>
    <t>Boyce_etal2023164</t>
  </si>
  <si>
    <t>Boyce_etal2023164_1</t>
  </si>
  <si>
    <t>In Boyce it's Vohs2013</t>
  </si>
  <si>
    <t>Vohs, K. D., Sengupta, J., &amp; Dahl, D. W. (2014). The price had better be right: Women’s reactions to sexual stimuli vary with market factors. Psychological science, 25(1), 278-283.</t>
  </si>
  <si>
    <t>10.1177/0956797613502732</t>
  </si>
  <si>
    <t>Women reported more positive attitudes toward sexual imagery that promoted an expensive watch than toward sexual imagery that promoted a cheap watch, F(1, 83) = 7.55, p &lt; .01, hp2 = .144.</t>
  </si>
  <si>
    <t>F(1, 83) = 7.55</t>
  </si>
  <si>
    <t>p. 279</t>
  </si>
  <si>
    <r>
      <rPr>
        <rFont val="Calibri"/>
        <sz val="11.0"/>
      </rPr>
      <t xml:space="preserve">1. Data for replication: </t>
    </r>
    <r>
      <rPr>
        <rFont val="Calibri"/>
        <color rgb="FF1155CC"/>
        <sz val="11.0"/>
        <u/>
      </rPr>
      <t xml:space="preserve">https://rstudio-pubs-static.s3.amazonaws.com/955939_50cc1f13803a4ee1beb7841644071e54.html
</t>
    </r>
    <r>
      <rPr>
        <rFont val="Calibri"/>
        <sz val="11.0"/>
      </rPr>
      <t>2. The study is marked "Reproducupility report" but it is not the reproduction of the study with the same sample: "To reproduce this study, I will recruit a population (of 100) that includes people who identify as male or female. It’s a 2 gender 2 price study. We randomize people into two groups, one is the sexy ad group and the other is the non-sexy-ad (control) group."</t>
    </r>
  </si>
  <si>
    <t>Sex, judgment, decision making, sex differences, sexual economics</t>
  </si>
  <si>
    <t>Women reported more positive attitudes toward sexual imagery for expensive goods</t>
  </si>
  <si>
    <t>"Women reported more positive attitudes toward sexual imagery that promoted an expensive watch than toward sexual imagery that promoted a cheap watch, F(1, 83) = 7.55, p &lt; .01, partial η² = .144"</t>
  </si>
  <si>
    <t>F(1, 36) = 0.56</t>
  </si>
  <si>
    <t>Boyce_etal2023164_b</t>
  </si>
  <si>
    <r>
      <rPr>
        <rFont val="Calibri"/>
        <sz val="11.0"/>
      </rPr>
      <t xml:space="preserve">1. Data for replication: </t>
    </r>
    <r>
      <rPr>
        <rFont val="Calibri"/>
        <color rgb="FF1155CC"/>
        <sz val="11.0"/>
        <u/>
      </rPr>
      <t xml:space="preserve">https://rstudio-pubs-static.s3.amazonaws.com/955939_50cc1f13803a4ee1beb7841644071e54.html
</t>
    </r>
    <r>
      <rPr>
        <rFont val="Calibri"/>
        <sz val="11.0"/>
      </rPr>
      <t>2. The study is marked "Reproducupility report" but it is not the reproduction of the study with the same sample: "To reproduce this study, I will recruit a population (of 100) that includes people who identify as male or female. It’s a 2 gender 2 price study. We randomize people into two groups, one is the sexy ad group and the other is the non-sexy-ad (control) group."</t>
    </r>
  </si>
  <si>
    <t>Interaction between gender and price in emotional response was marginally significant</t>
  </si>
  <si>
    <t>"This hypothesis was supported, F(1, 82) = 3.68, p = .059, partial eta-square = .043"</t>
  </si>
  <si>
    <t>F(1, 100) = 3.935</t>
  </si>
  <si>
    <t>Boyce_etal2023165</t>
  </si>
  <si>
    <t>Boyce_etal2023165_1</t>
  </si>
  <si>
    <t>Boyce states that N O is 321 and d is 0.55, I don't think it;s correct, because the sample is 556, so calculated d O myself</t>
  </si>
  <si>
    <t>Ter Wal, M., Linde-Domingo, J., Lifanov, J., Roux, F., Kolibius, L. D., Gollwitzer, S., ... &amp; Wimber, M. (2021). Theta rhythmicity governs human behavior and hippocampal signals during memory-dependent tasks. Nature communications, 12(1), 1-15.</t>
  </si>
  <si>
    <t>10.1038/s41467-021-27323-3</t>
  </si>
  <si>
    <t>We found strong support for an effect of memory dependency on O-score, with significantly higher Z-scores for memory- dependent than memory-independent task phases (Fig. 3A; coefficient = 0.28; 95% CI: 0.19–0.36; t(556) = 6.55; p &lt; 0.001).</t>
  </si>
  <si>
    <t>calculated based on statistics page 4 (Fig. 3A; coefficient = 0.28; 95% CI: 0.19–0.36; t(556) = 6.55; p &lt; 0.001).</t>
  </si>
  <si>
    <t>1. The replication will be online
2. The original paper was added as 10.1038s41467-021-27323-3.pdf</t>
  </si>
  <si>
    <t>1,5</t>
  </si>
  <si>
    <t>Memory</t>
  </si>
  <si>
    <t>Cues, Electrocorticography, Hippocampus, Humans, Magnetic Resonance Imaging, Mental Recall, Pattern Recognition, Theta Rhythm</t>
  </si>
  <si>
    <t>Behavioral responses are more theta-oscillatory in memory-dependent compared to memory-independent tasks</t>
  </si>
  <si>
    <t>"We found strong support for an effect of memory dependency on O-score, with significantly higher Z-scores for memory dependent than memory-independent task phases (Fig. 3A; coefficient = 0.28; 95% CI: 0.19–0.36; t(556) = 6.55; p&lt;0.001)"</t>
  </si>
  <si>
    <t>t(556) = 6.55</t>
  </si>
  <si>
    <t>cohen's f partial</t>
  </si>
  <si>
    <t>p. 28</t>
  </si>
  <si>
    <t>Boyce_etal2023166</t>
  </si>
  <si>
    <t>Boyce_etal2023166_1</t>
  </si>
  <si>
    <t>Wilkins, C. L., &amp; Kaiser, C. R. (2014). Racial progress as threat to the status hierarchy: Implications for perceptions of anti-White bias. Psychological science, 25(2), 439-446.</t>
  </si>
  <si>
    <t>10.1177/0956797613508412</t>
  </si>
  <si>
    <t>Does SLB endorsement moderate perceptions of anti-White bias?</t>
  </si>
  <si>
    <t>a significant interaction between condition and SLB endorsement, F(3, 156) = 10.70, p &lt; .001; R2 change = .04; b = 0.49, SE = 0.18, t(156) = 2.66, p = .01.</t>
  </si>
  <si>
    <t>F(3, 156) = 10.70</t>
  </si>
  <si>
    <t>p.442</t>
  </si>
  <si>
    <r>
      <rPr>
        <rFont val="Calibri"/>
        <sz val="11.0"/>
      </rPr>
      <t xml:space="preserve">1. The replication data: </t>
    </r>
    <r>
      <rPr>
        <rFont val="Calibri"/>
        <color rgb="FF1155CC"/>
        <sz val="11.0"/>
        <u/>
      </rPr>
      <t>https://github.com/psych251/wilkins2014</t>
    </r>
  </si>
  <si>
    <t>Anti-White bias</t>
  </si>
  <si>
    <t>Anti-White bias, discrimination, status-legitimizing beliefs, prejudice, racial-ethnic attitudes and relations, social perception</t>
  </si>
  <si>
    <t>Judgments of trustworthiness and attractiveness are strongly predicted by interactions, with an excellent model fit."</t>
  </si>
  <si>
    <t>"Step 2 revealed a significant interaction between condition and SLB endorsement, F(3, 156) = 10.70, p &lt; .001; R2  change = .04; b = 0.49, SE = 0.18, t(156) = 2.66, p = .01"</t>
  </si>
  <si>
    <t>Boyce_etal2023166_b</t>
  </si>
  <si>
    <r>
      <rPr>
        <rFont val="Calibri"/>
        <sz val="11.0"/>
      </rPr>
      <t xml:space="preserve">1. The replication data: </t>
    </r>
    <r>
      <rPr>
        <rFont val="Calibri"/>
        <color rgb="FF1155CC"/>
        <sz val="11.0"/>
        <u/>
      </rPr>
      <t>https://github.com/psych251/wilkins2014</t>
    </r>
  </si>
  <si>
    <t>Stronger SLB endorsement predicts greater perceptions of anti-White bias</t>
  </si>
  <si>
    <t>"Stronger SLB endorsement was associated with increased perceptions of anti-White bias (b = 0.45, SE = 0.09, t(157) = 4.90, p &lt; .001)"</t>
  </si>
  <si>
    <t>Boyce_etal2023166_c</t>
  </si>
  <si>
    <r>
      <rPr>
        <rFont val="Calibri"/>
        <sz val="11.0"/>
      </rPr>
      <t xml:space="preserve">1. The replication data: </t>
    </r>
    <r>
      <rPr>
        <rFont val="Calibri"/>
        <color rgb="FF1155CC"/>
        <sz val="11.0"/>
        <u/>
      </rPr>
      <t>https://github.com/psych251/wilkins2014</t>
    </r>
  </si>
  <si>
    <t>The racial progress condition did not independently influence perceptions of anti-White bias</t>
  </si>
  <si>
    <t>"There was no main effect of condition (b = 0.10, SE = 0.17, t(157) = 0.59, p = .56)"</t>
  </si>
  <si>
    <t>Boyce_etal2023167_1</t>
  </si>
  <si>
    <t>Boyce_etal2023167</t>
  </si>
  <si>
    <t>1. Since no report, the data was taken from the table
2. Keywords from Pubmed Mesh</t>
  </si>
  <si>
    <t>Wilson, T. D., Reinhard, D. A., Westgate, E. C., Gilbert, D. T., Ellerbeck, N., Hahn, C., ... &amp; Shaked, A. (2014). Just think: The challenges of the disengaged mind. Science, 345(6192), 75-77.</t>
  </si>
  <si>
    <t>10.1126/science.1250830</t>
  </si>
  <si>
    <t>Loneliness</t>
  </si>
  <si>
    <t>Attention, Electroshock, Loneliness, Pleasure</t>
  </si>
  <si>
    <t>Participants enjoyed the external activities much more than justthinking</t>
  </si>
  <si>
    <t>"As seen in Table 1, participants enjoyed the external activities much more than just thinking [t(28) = 4.83, p &lt; 0.001], found it easier to concentrate [t(28) = 4.16, p &lt; 0.001], and reported that their minds wandered less [t(28) = 3.61, p = 0.001]."</t>
  </si>
  <si>
    <t>t(28) = 4.83</t>
  </si>
  <si>
    <t>Boyce_etal2023168</t>
  </si>
  <si>
    <t>Boyce_etal2023168_1</t>
  </si>
  <si>
    <t>No p and d in Boyce, raw statistics prop:11/19,9/17. Report is absent</t>
  </si>
  <si>
    <t>Wiltermuth, S. S. (2011). Cheating more when the spoils are split. Organizational Behavior and Human Decision Processes, 115(2), 157-168.</t>
  </si>
  <si>
    <t>10.1016/j.obhdp.2010.10.001</t>
  </si>
  <si>
    <r>
      <rPr>
        <rFont val="Calibri"/>
        <sz val="11.0"/>
      </rPr>
      <t xml:space="preserve">Data for replication: </t>
    </r>
    <r>
      <rPr>
        <rFont val="Calibri"/>
        <color rgb="FF1155CC"/>
        <sz val="11.0"/>
        <u/>
      </rPr>
      <t xml:space="preserve">https://rstudio-pubs-static.s3.amazonaws.com/257540_6659667fe79e4d43936e8bb9d045f803.html
</t>
    </r>
    <r>
      <rPr>
        <rFont val="Calibri"/>
        <sz val="11.0"/>
      </rPr>
      <t>I would say that this study is more like extention (modification) with a new sample
The original paper was added as 10.1016j.obhdp.2010.10.001.pdf</t>
    </r>
  </si>
  <si>
    <t>Cheating</t>
  </si>
  <si>
    <t>Ethics, Cheating, Decision making, Dishonesty, Rationalization, Justification</t>
  </si>
  <si>
    <t>Cheating more when the spoils are split</t>
  </si>
  <si>
    <t>"Specifically, participants in the self-and-other high benefit condition cheated significantly more often (37%) than did those in the other-alone benefits condition, 16%, χ²(1) = 5.59, p = .02."</t>
  </si>
  <si>
    <t>X2(1) = 5.59</t>
  </si>
  <si>
    <t>X2(1) = 0</t>
  </si>
  <si>
    <t>Boyce_etal2023169</t>
  </si>
  <si>
    <t>Boyce_etal2023169_1</t>
  </si>
  <si>
    <t>Xu, Y., &amp; Franconeri, S. L. (2015). Capacity for visual features in mental rotation. Psychological science, 26(8), 1241-1251.</t>
  </si>
  <si>
    <t>10.1177/0956797615585002</t>
  </si>
  <si>
    <t>We found that they could keep only a single feature attached during mental rotation,</t>
  </si>
  <si>
    <r>
      <rPr>
        <rFont val="Calibri"/>
        <sz val="11.0"/>
      </rPr>
      <t xml:space="preserve">Replication data: </t>
    </r>
    <r>
      <rPr>
        <rFont val="Calibri"/>
        <color rgb="FF1155CC"/>
        <sz val="11.0"/>
        <u/>
      </rPr>
      <t>https://rstudio-pubs-static.s3.amazonaws.com/155174_48b1633681bb4024b4098ed433d5a80a.html</t>
    </r>
  </si>
  <si>
    <t>Mental rotation</t>
  </si>
  <si>
    <t>Mental rotation, capacity, attention, selection, tracking, eye tracking, visual working memory</t>
  </si>
  <si>
    <t>Capacity for visual features in mental rotation was significantly lower</t>
  </si>
  <si>
    <t>"But capacity in the object-rotation condition was dramatically lower: Only a single feature could remain attached to a moving part (M = 0.96, SE = 0.10, 95% CI = [0.74, 1.18]), F(1, 11) = 32.04, p &lt; .001, partial η² = .74 (Fig. 2b)"</t>
  </si>
  <si>
    <t>F(1,26) = 3.645357</t>
  </si>
  <si>
    <t>https://osf.io/62jvk</t>
  </si>
  <si>
    <t>Boyce_etal2023169_a</t>
  </si>
  <si>
    <r>
      <rPr>
        <rFont val="Calibri"/>
        <sz val="11.0"/>
      </rPr>
      <t xml:space="preserve">Replication data: </t>
    </r>
    <r>
      <rPr>
        <rFont val="Calibri"/>
        <color rgb="FF1155CC"/>
        <sz val="11.0"/>
        <u/>
      </rPr>
      <t>https://rstudio-pubs-static.s3.amazonaws.com/155174_48b1633681bb4024b4098ed433d5a80a.html</t>
    </r>
  </si>
  <si>
    <t>Accuracy was significantly lower in the object-rotation condition compared to the no-rotation condition</t>
  </si>
  <si>
    <t>"An analysis of the results in terms of accuracy instead of capacity also revealed that performance was significantly lower in the object-rotation condition (M = 76%, SE = 2.1%, 95% CI = [71.3%, 80.7%]) than in the no-rotation condition (M = 87.5%, SE = 2.1%, 95% CI = [82.9%, 92.1%]), F(1, 11) = 19.63, p = .001, partial η² = .64"</t>
  </si>
  <si>
    <t>F(1,26) = 3.1593304</t>
  </si>
  <si>
    <t>Boyce_etal202317_1</t>
  </si>
  <si>
    <t>Boyce_etal202317</t>
  </si>
  <si>
    <t>https://osf.io/v6zk8</t>
  </si>
  <si>
    <t>The results from the original and "replication" studies investigate the phenomenon using different dependent variables and analysis. The replication is not strictly speaking replication</t>
  </si>
  <si>
    <t>Boyce_etal2023170</t>
  </si>
  <si>
    <t>Boyce_etal2023170_1</t>
  </si>
  <si>
    <t>Boyce states that N O is 48, but in fact it 32 for the relevant part of the study</t>
  </si>
  <si>
    <t>Yang, F., Choi, Y. J., Misch, A., Yang, X., &amp; Dunham, Y. (2018). In defense of the commons: Young children negatively evaluate and sanction free riders. Psychological science, 29(10), 1598-1611.</t>
  </si>
  <si>
    <t>10.1177/0956797618779061</t>
  </si>
  <si>
    <t>preschoolers rated contributors (M = 3.74) more positively than the free riders (M = 2.24; d = 1.40)</t>
  </si>
  <si>
    <t>https://aspredicted.org/uv6ha.pdf</t>
  </si>
  <si>
    <t>Cheater detection</t>
  </si>
  <si>
    <t>Free riding, common good, norm enforcement, moral development, cooperation, open data, open materials, preregistered</t>
  </si>
  <si>
    <t>Young children negatively evaluate and sanction free riders</t>
  </si>
  <si>
    <t>"We carried out the same analysis as in Study 1 and observed effects for target (β = 1.72, 95% CI = [1.44, 2.00])"</t>
  </si>
  <si>
    <t>Boyce_etal2023171</t>
  </si>
  <si>
    <t>Boyce_etal2023171_1</t>
  </si>
  <si>
    <t>Yeshurun, Y., &amp; Levy, L. (2003). Transient spatial attention degrades temporal resolution. Psychological Science, 14(3), 225-231.</t>
  </si>
  <si>
    <t>10.1111/1467-9280.02436</t>
  </si>
  <si>
    <t>performance was significantly less accurate in the cued than the neutral trials, F(1, 17)  8.01, p  .01.</t>
  </si>
  <si>
    <t>F(1, 17)  8.01</t>
  </si>
  <si>
    <t>p. 227</t>
  </si>
  <si>
    <r>
      <rPr>
        <rFont val="Calibri"/>
        <sz val="11.0"/>
      </rPr>
      <t xml:space="preserve">Replication data: </t>
    </r>
    <r>
      <rPr>
        <rFont val="Calibri"/>
        <color rgb="FF1155CC"/>
        <sz val="11.0"/>
        <u/>
      </rPr>
      <t>https://rstudio-pubs-static.s3.amazonaws.com/1159352_e9a668d9124f415e8831bab302f49b6b.html</t>
    </r>
  </si>
  <si>
    <t>Attention</t>
  </si>
  <si>
    <t>Temporal perception, Spatial perception, Transient spatial attention, Temporal resolution, Two-flash fusion threshold</t>
  </si>
  <si>
    <t>Transient spatial attention degrades temporal resolution</t>
  </si>
  <si>
    <t>"As can be seen in Figure 2a, performance was significantly less accurate in the cued than the neutral trials, F(1, 17) = 8.01, p &lt;=  .01"</t>
  </si>
  <si>
    <t>Boyce_etal2023172</t>
  </si>
  <si>
    <t>Boyce_etal2023172_1</t>
  </si>
  <si>
    <t>For the statistics in Boyce sample zise is not 240, but 96. Even though it's 240 for other parts of experiment 5</t>
  </si>
  <si>
    <t xml:space="preserve">Effect, tags and description added
The data in the replication report is different from the table. Maybe I mismatch the results </t>
  </si>
  <si>
    <t>Yousif, S. R., Aboody, R., &amp; Keil, F. C. (2019). The illusion of consensus: A failure to distinguish between true and false consensus. Psychological Science, 30(8), 1195-1204.</t>
  </si>
  <si>
    <t>10.1177/0956797619856844</t>
  </si>
  <si>
    <t>illusion of consensus</t>
  </si>
  <si>
    <t>Consensus, conformity, social learning, reasoning, open data, open materials, preregistered</t>
  </si>
  <si>
    <t>Participants in the false-consensus condition showed slightly higher confidence than those in the no-consensus condition</t>
  </si>
  <si>
    <t>"Bonferroni corrected confidence ratings in the false-consensus condition [...] were slightly higher than those in the no-consensus condition, t(94) = 2.77, p = .019, d = 0.50"</t>
  </si>
  <si>
    <t>https://osf.io/g9yrc</t>
  </si>
  <si>
    <t>Boyce_etal2023172_1_a</t>
  </si>
  <si>
    <r>
      <rPr>
        <rFont val="Calibri"/>
        <sz val="11.0"/>
      </rPr>
      <t xml:space="preserve">Replication data: </t>
    </r>
    <r>
      <rPr>
        <rFont val="Calibri"/>
        <color rgb="FF1155CC"/>
        <sz val="11.0"/>
        <u/>
      </rPr>
      <t>https://rpubs.com/ayodeledada/yousif2019</t>
    </r>
  </si>
  <si>
    <t>Participants in the false-consensus condition reported significantly lower confidence compared to those in the true-consensus condition</t>
  </si>
  <si>
    <t>"Although confidence ratings in the false-consensus condition were still significantly lower than those in the true-consensus condition, t(94) = 7.77, p &lt; .001, d = 1.72, [...]"</t>
  </si>
  <si>
    <t>https://osf.io/vcmdp</t>
  </si>
  <si>
    <t>Boyce_etal2023172_1_b</t>
  </si>
  <si>
    <r>
      <rPr>
        <rFont val="Calibri"/>
        <sz val="11.0"/>
      </rPr>
      <t xml:space="preserve">Replication data: </t>
    </r>
    <r>
      <rPr>
        <rFont val="Calibri"/>
        <color rgb="FF1155CC"/>
        <sz val="11.0"/>
        <u/>
      </rPr>
      <t>https://rpubs.com/ayodeledada/yousif2019</t>
    </r>
  </si>
  <si>
    <t>"Although confidence ratings in the false-consensus condition were [...] slightly higher than those in the no-consensus condition, t(94) = 2.77, p = .019, d = 0.50, Bonferroni corrected"</t>
  </si>
  <si>
    <t>Boyce_etal2023173</t>
  </si>
  <si>
    <t>Boyce_etal2023173_1</t>
  </si>
  <si>
    <t>P for R is not specified, report is absent.  Raw statistics bseb=1.037(.006)</t>
  </si>
  <si>
    <t>Zangger, C., &amp; Widmer, J. (2020). Choosing what is best for one’s children? Experimental evidence on parents’ responsiveness to childcare subsidies and their preferences for different childcare arrangements. Early childhood research quarterly, 51, 110-123.</t>
  </si>
  <si>
    <t>10.1016/j.ecresq.2019.10.004</t>
  </si>
  <si>
    <t>Amount of subsidies (in Swiss Francs)</t>
  </si>
  <si>
    <t>Each unit increase in subsidies for the corresponding childcare alternative is associated with a 2.5% increase in the odds of pre- ferring that mode of childcare.</t>
  </si>
  <si>
    <t>p. 117, Table 4</t>
  </si>
  <si>
    <t>Boyce_etal2023173_1_a</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</si>
  <si>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</si>
  <si>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I am not sure whether beta or OR is indicated in original paper and replication manuscript</t>
  </si>
  <si>
    <t>Subsidizing</t>
  </si>
  <si>
    <t>Childcare, Preferences, Choice experiment, Subsidies, Families</t>
  </si>
  <si>
    <t>Parents’ responsiveness to childcare subsidies and their preferences for different childcare arrangements in model 1</t>
  </si>
  <si>
    <t>"Model 1 in Table 4 reports the effects of the experimentally altered dimensions of the different alternatives and the situational context"</t>
  </si>
  <si>
    <t>Boyce_etal2023173_1_b</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</si>
  <si>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</si>
  <si>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Parents’ responsiveness to childcare subsidies and their preferences for different childcare arrangements in model 2</t>
  </si>
  <si>
    <t>"Finally, all the reported effects of the experimentally altered dimensions are persistent when including additional controls, namely, respondents’ gender and their social and migration background (models 2–5 in Table 4)."</t>
  </si>
  <si>
    <t>Boyce_etal2023173_1_c</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</si>
  <si>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</si>
  <si>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Parents’ responsiveness to childcare subsidies and their preferences for different childcare arrangements in model 3</t>
  </si>
  <si>
    <t>Boyce_etal2023173_1_d</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</si>
  <si>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</si>
  <si>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Parents’ responsiveness to childcare subsidies and their preferences for different childcare arrangements in model 4</t>
  </si>
  <si>
    <t>Boyce_etal2023173_1_e</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</si>
  <si>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</si>
  <si>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Parents’ responsiveness to childcare subsidies and their preferences for different childcare arrangements in model 5</t>
  </si>
  <si>
    <t>Boyce_etal2023173_1_f</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</si>
  <si>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</si>
  <si>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Subsidies and ISEI interaction in 3rd model</t>
  </si>
  <si>
    <t>Boyce_etal2023173_1_g</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</si>
  <si>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</si>
  <si>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Subsidies and migration background interaction in 4th model</t>
  </si>
  <si>
    <t>Boyce_etal2023173_1_h</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</si>
  <si>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</si>
  <si>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Subsidies and gender interaction in 5th model</t>
  </si>
  <si>
    <t>Boyce_etal2023173_1_i</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</si>
  <si>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</si>
  <si>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ISEI for professional caregiver in model 2</t>
  </si>
  <si>
    <t>"Model 2 in Table 4 demonstrates that there is no effect of parental social status, measured by the ISEI, on the likelihood of recommending one particular childcare alternative to their friend"</t>
  </si>
  <si>
    <t>Boyce_etal2023173_1_j</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</si>
  <si>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</si>
  <si>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ISEI for professional caregiver in model 4</t>
  </si>
  <si>
    <t>Boyce_etal2023173_1_k</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</si>
  <si>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</si>
  <si>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ISEI for professional caregiver in model 5</t>
  </si>
  <si>
    <t>Boyce_etal2023173_1_l</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</si>
  <si>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</si>
  <si>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ISEI for care by family members in model 5</t>
  </si>
  <si>
    <t>"To this end, models 3, 4, and 5 in Table 4 include alternative-specific interaction effects of the amount of subsidies with individual social status (ISEI), migration background, and gender"</t>
  </si>
  <si>
    <t>Boyce_etal2023173_1_m</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</si>
  <si>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</si>
  <si>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Boyce_etal2023173_1_n</t>
  </si>
  <si>
    <r>
      <rPr>
        <rFont val="Calibri"/>
        <sz val="11.0"/>
      </rPr>
      <t xml:space="preserve">Replication data: </t>
    </r>
    <r>
      <rPr>
        <rFont val="Calibri"/>
        <color rgb="FF1155CC"/>
        <sz val="11.0"/>
        <u/>
      </rPr>
      <t xml:space="preserve">https://rstudio-pubs-static.s3.amazonaws.com/960761_d9b8d67ca3454d3db5b0023e3b583df6.html
</t>
    </r>
    <r>
      <rPr>
        <rFont val="Calibri"/>
        <sz val="11.0"/>
      </rPr>
      <t>The original paper was added as 10.1016j.ecresq.2019.10.004.pdf</t>
    </r>
  </si>
  <si>
    <t>Boyce_etal2023174</t>
  </si>
  <si>
    <t>Boyce_etal2023174_1</t>
  </si>
  <si>
    <t>Zaval, L., Markowitz, E. M., &amp; Weber, E. U. (2015). How will I be remembered? Conserving the environment for the sake of one’s legacy. Psychological science, 26(2), 231-236.</t>
  </si>
  <si>
    <t>10.1177/0956797614561266</t>
  </si>
  <si>
    <t xml:space="preserve">We also found a significant effect of the legacy prime on behavioral intentions. Participants who were primed reported greater behavioral intentions (M = 3.05, SD = 0.86) than those who were not primed (M = 2.73, SD = 0.85), F(1, 309) = 10.07, p = .002, d = 0.36
</t>
  </si>
  <si>
    <t>Boyce_etal2023174_1_a</t>
  </si>
  <si>
    <r>
      <rPr>
        <rFont val="Calibri"/>
        <sz val="11.0"/>
      </rPr>
      <t xml:space="preserve">Replication report: </t>
    </r>
    <r>
      <rPr>
        <rFont val="Calibri"/>
        <color rgb="FF1155CC"/>
        <sz val="11.0"/>
        <u/>
      </rPr>
      <t>https://rpubs.com/rcatapano/Zaval_replication_report</t>
    </r>
  </si>
  <si>
    <t>Decision making, judgment, environmental effects, climate change, open data, open material</t>
  </si>
  <si>
    <t>Participants exposed to a legacy prime reported greater behavioral intentions compared to those not primed</t>
  </si>
  <si>
    <t>“We also found a significant effect of the legacy prime on behavioral intentions. Participants who were primed reported greater behavioral intentions (M = 3.05, SD = 0.86) than those who were not primed (M=2.73,SD=0.85), F(1,309)=10.07, p=.002, d=0.36.”</t>
  </si>
  <si>
    <t>Boyce_etal2023174_1_b</t>
  </si>
  <si>
    <r>
      <rPr>
        <rFont val="Calibri"/>
        <sz val="11.0"/>
      </rPr>
      <t xml:space="preserve">Replication report: </t>
    </r>
    <r>
      <rPr>
        <rFont val="Calibri"/>
        <color rgb="FF1155CC"/>
        <sz val="11.0"/>
        <u/>
      </rPr>
      <t>https://rpubs.com/rcatapano/Zaval_replication_report</t>
    </r>
  </si>
  <si>
    <t>Writing an essay enhanced participants' legacy motives</t>
  </si>
  <si>
    <t>“As expected, the essay manipulation successfully enhanced overall legacy motives. Almost 10 min after being exposed to the manipulation, participants who wrote the essay reported higher legacy motives (M = 4.47, SD = 1.06), compared with those in the control condition (M = 4.19, SD = 1.05), F(1, 310) = 5.64, p = .018, Cohen’s d = 0.27.”</t>
  </si>
  <si>
    <t>Boyce_etal2023174_1_c</t>
  </si>
  <si>
    <r>
      <rPr>
        <rFont val="Calibri"/>
        <sz val="11.0"/>
      </rPr>
      <t xml:space="preserve">Replication report: </t>
    </r>
    <r>
      <rPr>
        <rFont val="Calibri"/>
        <color rgb="FF1155CC"/>
        <sz val="11.0"/>
        <u/>
      </rPr>
      <t>https://rpubs.com/rcatapano/Zaval_replication_report</t>
    </r>
  </si>
  <si>
    <t>Priming legacy motives increased participants' belief scores regarding climate-change behaviors</t>
  </si>
  <si>
    <t>“Moreover, as predicted, we found a significant effect of the legacy prime on willingness to engage in behaviors aimed at combating climate change. Participants who were primed with legacy motives had higher belief scores (M = 5.39, SD = 1.08) than those in the control condition (M = 5.11, SD = 1.27), F(1, 309) = 4.08, p = .040, d = 0.23.”</t>
  </si>
  <si>
    <t>Boyce_etal2023174_1_d</t>
  </si>
  <si>
    <r>
      <rPr>
        <rFont val="Calibri"/>
        <sz val="11.0"/>
      </rPr>
      <t xml:space="preserve">Replication report: </t>
    </r>
    <r>
      <rPr>
        <rFont val="Calibri"/>
        <color rgb="FF1155CC"/>
        <sz val="11.0"/>
        <u/>
      </rPr>
      <t>https://rpubs.com/rcatapano/Zaval_replication_report</t>
    </r>
  </si>
  <si>
    <t>The effect of the legacy prime on climate-change beliefs was partially mediated by increased legacy motives</t>
  </si>
  <si>
    <t>"This analysis showed that the indirect effect of the legacy prime on climate-change beliefs through legacy motives was significant, with a 95% confidence interval (CI) that excluded zero (β = 0.041, 95% CI = [0.01, 0.09], p = .029)"</t>
  </si>
  <si>
    <t>Boyce_etal2023174_1_e</t>
  </si>
  <si>
    <r>
      <rPr>
        <rFont val="Calibri"/>
        <sz val="11.0"/>
      </rPr>
      <t xml:space="preserve">Replication report: </t>
    </r>
    <r>
      <rPr>
        <rFont val="Calibri"/>
        <color rgb="FF1155CC"/>
        <sz val="11.0"/>
        <u/>
      </rPr>
      <t>https://rpubs.com/rcatapano/Zaval_replication_report</t>
    </r>
  </si>
  <si>
    <t>The legacy prime's influence on behavioral intentions was partially mediated by increased legacy motives</t>
  </si>
  <si>
    <t>"When we replaced climate-change attitudes with behavioral intentions as the outcome variable, behavioral intentions were also partially mediated by increases in legacy motives—direct effect of priming condition on intentions: [...] the indirect effect was significant (β = 0.034, 95% CI = [0.01, 0.08], p = .035).”</t>
  </si>
  <si>
    <t>Boyce_etal2023175</t>
  </si>
  <si>
    <t>Boyce_etal2023175_1</t>
  </si>
  <si>
    <t>Zhao, M., Bülthoff, H. H., &amp; Bülthoff, I. (2016). Beyond faces and expertise: Facelike holistic processing of nonface objects in the absence of expertise. Psychological science, 27(2), 213-222.</t>
  </si>
  <si>
    <t>10.1177/0956797615617779</t>
  </si>
  <si>
    <t>the interaction between congruency and alignment, F(1, 21) = 22.80, p &lt; .001, ηp2 = .52, .... was significant.</t>
  </si>
  <si>
    <t>F(1, 21) = 22.80,</t>
  </si>
  <si>
    <t>p. 216</t>
  </si>
  <si>
    <t>Boyce_etal2023175_1_a</t>
  </si>
  <si>
    <t>1. the official preregistration was not completed</t>
  </si>
  <si>
    <t>Holistic processing</t>
  </si>
  <si>
    <t>Holistic processing, composite-face effect, expertise, face perception, Gestalt</t>
  </si>
  <si>
    <t>Congruency (e.g., consistency between stimuli and responses) influences task performance across conditions</t>
  </si>
  <si>
    <t>"A 2 (alignment) × 2 (congruency) × 2 (task) repeated measures analysis of variance (ANOVA) revealed a main effect of congruency, F(1, 21) = 41.84, p &lt; .001, partial eta-square = .67"</t>
  </si>
  <si>
    <t>F(1,13) = 21.804</t>
  </si>
  <si>
    <t>Boyce_etal2023175_1_b</t>
  </si>
  <si>
    <t>The influence of congruency on task performance depends on alignment</t>
  </si>
  <si>
    <t>"The interaction between congruency and alignment was also significant, F(1, 21) = 25.81, p &lt; .001, partial eta-square = .55"</t>
  </si>
  <si>
    <t>F(1,13) = 15.466</t>
  </si>
  <si>
    <t>Boyce_etal2023175_1_c</t>
  </si>
  <si>
    <t>The combined effects of alignment, congruency, and task type significantly influence performance.</t>
  </si>
  <si>
    <t>"The three-way interaction of alignment, congruency, and task was not significant, F(1, 21) = 3.80, p = .065, partial eta-square = .15"</t>
  </si>
  <si>
    <t>F(1,13) = 14.957</t>
  </si>
  <si>
    <t>Boyce_etal2023175_1_d</t>
  </si>
  <si>
    <t>Congruency affects performance specifically in the face task</t>
  </si>
  <si>
    <t>"For the face task, the congruency effect, F(1, 21) = 26.35, p &lt; .001, partial eta-square = .56 [...], were both significant"</t>
  </si>
  <si>
    <t>F(1,13) = 14.04</t>
  </si>
  <si>
    <t>Boyce_etal2023175_1_e</t>
  </si>
  <si>
    <t>The relationship between congruency and performance varies by alignment in the face task</t>
  </si>
  <si>
    <t>"The interaction between congruency and alignment, F(1, 21) = 7.97, p = .010, partial eta-square = .28, were both significant"</t>
  </si>
  <si>
    <t>F(1,13) = 0.014</t>
  </si>
  <si>
    <t>Boyce_etal2023175_1_f</t>
  </si>
  <si>
    <t>Congruency significantly impacts performance in the aligned condition</t>
  </si>
  <si>
    <t>" Moreover, the congruency effect was significant only in the aligned condition, t(21) = 5.41, p &lt; .001, Cohen’s d = 1.15"</t>
  </si>
  <si>
    <t>t(13) = 2.707</t>
  </si>
  <si>
    <t>Boyce_etal2023175_1_g</t>
  </si>
  <si>
    <t>" Moreover, the congruency effect was significant [...] not in the misaligned condition, t(21) = 0.00, p = .059, Cohen’s d = 0.43"</t>
  </si>
  <si>
    <t>t(13) = 3.577</t>
  </si>
  <si>
    <t>Boyce_etal2023175_1_h</t>
  </si>
  <si>
    <t>Congruency consistently affects performance across both tasks</t>
  </si>
  <si>
    <t>"Both the congruency effect, F(1, 21) = 26.30, p &lt; .001, partial eta-square = .56, [...] were significant"</t>
  </si>
  <si>
    <t>F(1,13) = 9.312</t>
  </si>
  <si>
    <t>Boyce_etal2023175_1_i</t>
  </si>
  <si>
    <t>The interaction between congruency and alignment is significant across line task</t>
  </si>
  <si>
    <t>"Both the congruency effect,  [...] and the interaction between congruency and alignment, F(1, 21) = 22.80, p &lt; .001, partial eta-square = .52, were significant"</t>
  </si>
  <si>
    <t>Boyce_etal2023175_1_j</t>
  </si>
  <si>
    <t>Congruency significantly affects performance in the aligned condition across line task</t>
  </si>
  <si>
    <t>"Again, a significant congruency effect was observed in the aligned condition, t(21) = 5.95, p &lt; .001, Cohen’s d = 1.27"</t>
  </si>
  <si>
    <t>t(13) = 4.478</t>
  </si>
  <si>
    <t>Boyce_etal2023175_1_k</t>
  </si>
  <si>
    <t>Congruency significantly affects performance in the misaligned condition across line task</t>
  </si>
  <si>
    <t>"Again, a significant congruency effect was observed [,,,] not in the misaligned condition, t(21) = 0.96, p = .348, Cohen’s d = 0.20."</t>
  </si>
  <si>
    <t>t(13) = 1.438</t>
  </si>
  <si>
    <t>Boyce_etal2023176_1</t>
  </si>
  <si>
    <t>Boyce_etal2023176</t>
  </si>
  <si>
    <t>Online replication</t>
  </si>
  <si>
    <t xml:space="preserve">Hierarchical social context </t>
  </si>
  <si>
    <t>Processing fluency, social hierarchy, liking, asymmetry, familiarity</t>
  </si>
  <si>
    <t>learning and remembering heirarchical relationships</t>
  </si>
  <si>
    <t>"Paticipants responded the fastest (in milliseconds) to the pairs in the hierarchy condition (M = 459.32, SD = 63.06), and they were slower to respond in the equality (submissive) (M = 462.22, SD = 64.82), equality (dominant) (M = 469.42, SD = 68.35), and animal conditions (M = 507.19, SD = 59.24)"</t>
  </si>
  <si>
    <t>0.022356441140367795</t>
  </si>
  <si>
    <t>0.9965467603884997</t>
  </si>
  <si>
    <t>Boyce_etal202318</t>
  </si>
  <si>
    <t>Boyce_etal202318_1</t>
  </si>
  <si>
    <t>Cao, J., Kleiman-Weiner, M., &amp; Banaji, M. R. (2019). People make the same Bayesian judgment they criticize in others. Psychological Science, 30(1), 20-31.</t>
  </si>
  <si>
    <t>10.1177/0956797618805750</t>
  </si>
  <si>
    <t>https://osf.io/z6rfa</t>
  </si>
  <si>
    <t>study 5</t>
  </si>
  <si>
    <t>But as shown in Figure 4, participants judged that the man was more likely than the woman to be the pilot, regardless of their evaluation of person X, F(1, 344) = 84.58, p &lt; .0001, η2 = .19, 95% CI = [.13, .27].</t>
  </si>
  <si>
    <t>F(1, 344) = 84.58</t>
  </si>
  <si>
    <t>p. 348</t>
  </si>
  <si>
    <t>1. There is a registration but not preregistration</t>
  </si>
  <si>
    <t>Judgment, accuracy, fairness, social cognition, base rates, open data, open materials</t>
  </si>
  <si>
    <t>Participants judged the man as more likely to be the pilot than the woman,</t>
  </si>
  <si>
    <t>"But as shown in Figure 4, participants judged that the man was more likely than the woman to be the pilot, regardless of their evaluation of person X, F(1,344) = 84.58,p &lt; .0001, eta-square = .19,95% CI = [.13,.27]."</t>
  </si>
  <si>
    <t>https://osf.io/9fdhb/</t>
  </si>
  <si>
    <t>https://osf.io/h37qu</t>
  </si>
  <si>
    <t>Boyce_etal202318_b</t>
  </si>
  <si>
    <t>The very same participants who criticized person X’s morality and intellect had just made judgments that were conceptually identical to person X’s Bayesian judgment</t>
  </si>
  <si>
    <t>"[...] means below the midpoint of 4 on the scales, Cronbach’s α = .91, composite M = 3.29, SE = 0.08, one sample t(347) = −8.90, p &lt; .0001, Cohen’s d = 0.48, 95% CI = [0.37, 0.60]"</t>
  </si>
  <si>
    <t>t(35) = -3.89</t>
  </si>
  <si>
    <t>Boyce_etal202319</t>
  </si>
  <si>
    <t>Boyce_etal202319_1</t>
  </si>
  <si>
    <t>Catarino, A., Küpper, C. S., Werner-Seidler, A., Dalgleish, T., &amp; Anderson, M. C. (2015). Failing to forget: Inhibitory-control deficits compromise memory suppression in posttraumatic stress disorder. Psychological science, 26(5), 604-616.</t>
  </si>
  <si>
    <t>10.1177/0956797615569889</t>
  </si>
  <si>
    <t>https://osf.io/ab9q3</t>
  </si>
  <si>
    <t>Memory Suppression</t>
  </si>
  <si>
    <t>Memory suppression, forgetting, trauma, PTSD, inhibitory control, thought control</t>
  </si>
  <si>
    <t>Condition significantly interacts with the group</t>
  </si>
  <si>
    <t>"This interaction was driven once again by a significant suppression effect in the control group (M = 1.19), F(1, 15) = 33.548, p &lt; .001, partial eta-square = .691"</t>
  </si>
  <si>
    <r>
      <rPr>
        <rFont val="Calibri"/>
        <sz val="11.0"/>
      </rPr>
      <t xml:space="preserve">Replication data: </t>
    </r>
    <r>
      <rPr>
        <rFont val="Calibri"/>
        <color rgb="FF1155CC"/>
        <sz val="11.0"/>
        <u/>
      </rPr>
      <t>https://rstudio-pubs-static.s3.amazonaws.com/696061_39068ca5d4344e6894d818cbf8f2c60e.html</t>
    </r>
  </si>
  <si>
    <t>replicating control condition only for 2 DVs: gist and details</t>
  </si>
  <si>
    <t>Inhibitory-control deficits compromise memory suppression in posttraumatic stress disorder</t>
  </si>
  <si>
    <t>"A significant group difference in suppression induced forgetting was observed, as indicated by a significant condition-by-group interaction, F(1, 30) = 4.573, p = .041, partial eta-square = .132"</t>
  </si>
  <si>
    <t>F(4,6) = 6.636</t>
  </si>
  <si>
    <t>https://osf.io/wsj2f</t>
  </si>
  <si>
    <t>Boyce_etal202319_b</t>
  </si>
  <si>
    <r>
      <rPr>
        <rFont val="Calibri"/>
        <sz val="11.0"/>
      </rPr>
      <t xml:space="preserve">Replication data: </t>
    </r>
    <r>
      <rPr>
        <rFont val="Calibri"/>
        <color rgb="FF1155CC"/>
        <sz val="11.0"/>
        <u/>
      </rPr>
      <t>https://rstudio-pubs-static.s3.amazonaws.com/696061_39068ca5d4344e6894d818cbf8f2c60e.html</t>
    </r>
  </si>
  <si>
    <t>"As for the two previous measures, a significant group difference in suppression-induced forgetting was observed, established by a significant condition-by-group interaction, F(1, 30) = 14.231, p = .001, partial eta-square = .322"</t>
  </si>
  <si>
    <t>F(4,6) = 1.4195</t>
  </si>
  <si>
    <t>Boyce_etal20232</t>
  </si>
  <si>
    <t>Boyce_etal20232_1</t>
  </si>
  <si>
    <t>Albarracín, D., Handley, I. M., Noguchi, K., McCulloch, K. C., Li, H., Leeper, J., ... &amp; Hart, W. P. (2008). Increasing and decreasing motor and cognitive output: a model of general action and inaction goals. Journal of Personality and Social Psychology, 95(3), 510.</t>
  </si>
  <si>
    <t>10.1037/a0012833</t>
  </si>
  <si>
    <t>participants primed with action performed better than participants primed with inaction did (M  12.83, SD  1.86 vs. M  10.78, SD  3.15, respectively).</t>
  </si>
  <si>
    <t>p. 517</t>
  </si>
  <si>
    <r>
      <rPr>
        <rFont val="Calibri"/>
        <sz val="11.0"/>
      </rPr>
      <t xml:space="preserve">Data for replication from: </t>
    </r>
    <r>
      <rPr>
        <rFont val="Calibri"/>
        <color rgb="FF1155CC"/>
        <sz val="11.0"/>
        <u/>
      </rPr>
      <t>https://osf.io/yt5q8/</t>
    </r>
  </si>
  <si>
    <t>Word priming</t>
  </si>
  <si>
    <t>Action goals, self-regulation, behavior</t>
  </si>
  <si>
    <t>Action and inaction primes produced, respectively, higher and lower levels of cognitive output</t>
  </si>
  <si>
    <t>"The analysis revealed a main effect of prime on number of solved problems, F(1, 34) = 5.68, p = .02, demonstrating that participants primed with action performed better than participants primed with inaction did (M = 12.83, SD = 1.86 vs. M = 10.78, SD = 3.15, respectively)"</t>
  </si>
  <si>
    <t>F(1, 34) = 5.68</t>
  </si>
  <si>
    <t>F(1,86) = 0.08</t>
  </si>
  <si>
    <t>https://osf.io/yt5q8/</t>
  </si>
  <si>
    <t>Boyce_etal202320</t>
  </si>
  <si>
    <t>Boyce_etal202320_1</t>
  </si>
  <si>
    <t>Charpentier, C. J., De Neve, J. E., Li, X., Roiser, J. P., &amp; Sharot, T. (2016). Models of affective decision making: how do feelings predict choice?. Psychological science, 27(6), 763-775.</t>
  </si>
  <si>
    <t>10.1177/0956797616634654</t>
  </si>
  <si>
    <t>No replication data available</t>
  </si>
  <si>
    <t>Boyce_etal202321</t>
  </si>
  <si>
    <t>Boyce_etal202321_1</t>
  </si>
  <si>
    <t>d original extracted from the dataset</t>
  </si>
  <si>
    <t>Child, S., Oakhill, J., &amp; Garnham, A. (2018). You’re the emotional one: the role of perspective for emotion processing in reading comprehension. Language, cognition and neuroscience, 33(7), 878-889.</t>
  </si>
  <si>
    <t>10.1080/23273798.2018.1431397</t>
  </si>
  <si>
    <t>https://osf.io/agxwv</t>
  </si>
  <si>
    <t>effect of perspective</t>
  </si>
  <si>
    <t>reading about self or third person</t>
  </si>
  <si>
    <t>for positive emotions, reading times were faster for passages that were written from a personal perspective (M = 2201, SD = 1284) than from an onlooker perspective (M = 2350, SD = 1351; t(4408) = 3.73, p &lt; .001; see Figure 1).</t>
  </si>
  <si>
    <t>Boyce_etal202321_1_a</t>
  </si>
  <si>
    <t>Emotion processing</t>
  </si>
  <si>
    <t>Reading; comprehension; emotion; perspective; pronouns</t>
  </si>
  <si>
    <t>Reading times were faster for passages that were written from a personal perspective for positive emotions</t>
  </si>
  <si>
    <t>"For positive emotions, reading times were faster for passages that were written from a personal perspective (M=2201,SD=1284) than from an onlooker perspective (M=2350,SD=1351; t(4408)=3.73,p&lt;.001; see Figure 1)"</t>
  </si>
  <si>
    <t>t(4408) = 3.73</t>
  </si>
  <si>
    <t>t(934) = -0.99</t>
  </si>
  <si>
    <t>https://osf.io/vk2cs</t>
  </si>
  <si>
    <t>Boyce_etal202321_1_b</t>
  </si>
  <si>
    <t>There was a positive effect of perspective on reading times</t>
  </si>
  <si>
    <t>"The analysis revealed an effect of perspective on reading times (see Table 1)"</t>
  </si>
  <si>
    <t>Boyce_etal202321_1_c</t>
  </si>
  <si>
    <t>There was no effect of valence on reading times</t>
  </si>
  <si>
    <t>"The analysis did not reveal a main effect of valence (see Table 1)"</t>
  </si>
  <si>
    <t>Boyce_etal202321_1_d</t>
  </si>
  <si>
    <t>There was a negative effect of valence and perspective interactionon reading times</t>
  </si>
  <si>
    <t>"An interaction of valence and perspective was found (see Table 1)"</t>
  </si>
  <si>
    <t>Boyce_etal202321_1_e</t>
  </si>
  <si>
    <t>There was a marginal positive effect of perspective on emotional self-rating</t>
  </si>
  <si>
    <t>"Self-ratings were only marginally affected by perspective (see Table2)"</t>
  </si>
  <si>
    <t>Boyce_etal202321_1_f</t>
  </si>
  <si>
    <t>There was a negative effect of valence on emotional self-rating</t>
  </si>
  <si>
    <t>"For the self-ratings of emotions, we found differences between negatively and positively valenced texts (see Table 2)"</t>
  </si>
  <si>
    <t>Boyce_etal202321_1_g</t>
  </si>
  <si>
    <t>There was an effect of valence and perspective interaction on emotional self-rating</t>
  </si>
  <si>
    <t>"The analysis revealed an interaction between perspective and valence for self-reported emotions (see Table 2)."</t>
  </si>
  <si>
    <t>Boyce_etal202322</t>
  </si>
  <si>
    <t>Boyce_etal202322_1</t>
  </si>
  <si>
    <t>Replication results corrected</t>
  </si>
  <si>
    <t>Chopra, S., Tessler, M. H., &amp; Goodman, N. D. (2019, July). The first crank of the cultural ratchet: Learning and transmitting concepts through language. In CogSci (pp. 226-232).</t>
  </si>
  <si>
    <t>escholarship.orgucitem39d347bk</t>
  </si>
  <si>
    <t>https://osf.io/jpwd3</t>
  </si>
  <si>
    <t>Learning</t>
  </si>
  <si>
    <t>Concept Learning, Cultural Ratchet, Language Transmission, Generics and Quantifiers, Boolean Concepts</t>
  </si>
  <si>
    <t>Teacher confidence results in stronger alignment between students and teachers</t>
  </si>
  <si>
    <t>"We find a strong relationship: language seems to yield stronger alignment between students and teachers when the teachers are (expected to be) confident in what they have learned (r =−0.75, p &lt; 001)"</t>
  </si>
  <si>
    <t>Replication data: https://rstudio-pubs-static.s3.amazonaws.com/823553_849e56ccdba04f308d3dd2f4a03a249a.html
Original paper added as escholarship.orgucitem39d347bk.pdf</t>
  </si>
  <si>
    <t>No replication data available (the report does not contain information)</t>
  </si>
  <si>
    <t>Boyce_etal202323</t>
  </si>
  <si>
    <t>Boyce_etal202323_1</t>
  </si>
  <si>
    <t>Chou, E. Y., Parmar, B. L., &amp; Galinsky, A. D. (2016). Economic insecurity increases physical pain. Psychological Science, 27(4), 443-454.</t>
  </si>
  <si>
    <t>10.1177/0956797615625640</t>
  </si>
  <si>
    <t>https://osf.io/wj3bm</t>
  </si>
  <si>
    <t xml:space="preserve">Participants in the lack-of-control condition reported more than double the physical pain (M = 13.75, SD = 21.49) reported by participants in the complete-control condition (M = 6.57, SD = 11.62), t(98) = 2.04, p = .04, d = 0.41. </t>
  </si>
  <si>
    <t>Economic Insecurity</t>
  </si>
  <si>
    <t>Economic insecurity, pain, sense of control</t>
  </si>
  <si>
    <t>Lack of control is a proximal mechanism that produces physical pain</t>
  </si>
  <si>
    <t>"Participants in the lack-of-control condition reported more than double the physical pain (M = 13.75, SD = 21.49) reported by participants in the complete-control condition (M = 6.57, SD = 11.62), t(98) = 2.04, p = .04, d = 0.41"</t>
  </si>
  <si>
    <t>p. 449</t>
  </si>
  <si>
    <t>https://osf.io/vmfue</t>
  </si>
  <si>
    <t>let's use journal page numbers, not PDF page numbers (where available)</t>
  </si>
  <si>
    <t>Boyce_etal202324</t>
  </si>
  <si>
    <t>Boyce_etal202324_1</t>
  </si>
  <si>
    <t>report available</t>
  </si>
  <si>
    <t>Cohen, M. A., Alvarez, G. A., &amp; Nakayama, K. (2011). Natural-scene perception requires attention. Psychological science, 22(9), 1165-1172.</t>
  </si>
  <si>
    <t>10.1177/0956797611419168</t>
  </si>
  <si>
    <t>https://osf.io/7d3ha</t>
  </si>
  <si>
    <t>experiment 1 inattentional blindness</t>
  </si>
  <si>
    <t>In Experiment 1a, 64% of participants experienced complete inattentional blindness on the critical trial (Fig. 1b). Only 18% of participants detected the scene immediately. However, in the post–inattentional blindness testing, in which participants were explicitly asked to detect and classify the scenes, they did so correctly 96% of the time (Fig. 1b).</t>
  </si>
  <si>
    <t>1. Authors ensured that their minor changes to the procedure won't afffect the replication</t>
  </si>
  <si>
    <t>1b</t>
  </si>
  <si>
    <t>There is no numerical data in the replication</t>
  </si>
  <si>
    <t>Boyce_etal202325</t>
  </si>
  <si>
    <t>Boyce_etal202325_1</t>
  </si>
  <si>
    <t>N original in the dataset is stated as 188, while in these specific quesiton the sample was divided in 2 parts, which results in N=94</t>
  </si>
  <si>
    <t>Correll, S. J., Benard, S., &amp; Paik, I. (2007). Getting a job: Is there a motherhood penalty?. American journal of sociology, 112(5), 1297-1338.</t>
  </si>
  <si>
    <t>10.1086/511799</t>
  </si>
  <si>
    <t>As predicted, mothers were judged as significantly less competent and committed than women without children.</t>
  </si>
  <si>
    <t>p. 1316</t>
  </si>
  <si>
    <r>
      <rPr>
        <rFont val="Calibri"/>
        <sz val="11.0"/>
      </rPr>
      <t xml:space="preserve">1. Replication data: </t>
    </r>
    <r>
      <rPr>
        <rFont val="Calibri"/>
        <color rgb="FF1155CC"/>
        <sz val="11.0"/>
        <u/>
      </rPr>
      <t xml:space="preserve">https://rpubs.com/dmetaxak/correll2007
</t>
    </r>
    <r>
      <rPr>
        <rFont val="Calibri"/>
        <sz val="11.0"/>
      </rPr>
      <t>2. Online replication</t>
    </r>
  </si>
  <si>
    <t>1 (laboratory experiment)</t>
  </si>
  <si>
    <t>Workplace discrimination</t>
  </si>
  <si>
    <t>Motherhood penalty, workplace discrimination, wage gap, competence bias, hiring bias</t>
  </si>
  <si>
    <t>Mothers were judged as significantly less competent</t>
  </si>
  <si>
    <t>"As predicted, mothers were judged as significantly less competent and committed than women without children."</t>
  </si>
  <si>
    <t>Boyce_etal202325_b</t>
  </si>
  <si>
    <r>
      <rPr>
        <rFont val="Calibri"/>
        <sz val="11.0"/>
      </rPr>
      <t xml:space="preserve">1. Replication data: </t>
    </r>
    <r>
      <rPr>
        <rFont val="Calibri"/>
        <color rgb="FF1155CC"/>
        <sz val="11.0"/>
        <u/>
      </rPr>
      <t xml:space="preserve">https://rpubs.com/dmetaxak/correll2007
</t>
    </r>
    <r>
      <rPr>
        <rFont val="Calibri"/>
        <sz val="11.0"/>
      </rPr>
      <t>2. Online replication</t>
    </r>
  </si>
  <si>
    <t>Mothers, relative to other applicants, are believed to be less suitable for hiring</t>
  </si>
  <si>
    <t>"Mothers are also less likely than other types of applicants to be recommended for management (second column of table 4)"</t>
  </si>
  <si>
    <t>Boyce_etal202325_c</t>
  </si>
  <si>
    <r>
      <rPr>
        <rFont val="Calibri"/>
        <sz val="11.0"/>
      </rPr>
      <t xml:space="preserve">1. Replication data: </t>
    </r>
    <r>
      <rPr>
        <rFont val="Calibri"/>
        <color rgb="FF1155CC"/>
        <sz val="11.0"/>
        <u/>
      </rPr>
      <t xml:space="preserve">https://rpubs.com/dmetaxak/correll2007
</t>
    </r>
    <r>
      <rPr>
        <rFont val="Calibri"/>
        <sz val="11.0"/>
      </rPr>
      <t>2. Online replication</t>
    </r>
  </si>
  <si>
    <t>Female participants, relative to other applicants, are believed to be less suitable for hiring</t>
  </si>
  <si>
    <t>Boyce_etal202326</t>
  </si>
  <si>
    <t>Boyce_etal202326_1</t>
  </si>
  <si>
    <t>Craig, M. A., &amp; Richeson, J. A. (2014). On the precipice of a “majority-minority” America: Perceived status threat from the racial demographic shift affects White Americans’ political ideology. Psychological science, 25(6), 1189-1197.</t>
  </si>
  <si>
    <t>10.1177/0956797614527113</t>
  </si>
  <si>
    <t>Analyses of variance confirmed that participants in the status-threat condition expressed greater perceived group-status threat than did participants in the assuaged-threat or control conditions— Study 3a: F(2, 166) = 7.23, p &lt; .001, ηp2 = .08;</t>
  </si>
  <si>
    <r>
      <rPr>
        <rFont val="Calibri"/>
        <sz val="11.0"/>
      </rPr>
      <t xml:space="preserve">Replication data: </t>
    </r>
    <r>
      <rPr>
        <rFont val="Calibri"/>
        <color rgb="FF1155CC"/>
        <sz val="11.0"/>
        <u/>
      </rPr>
      <t>https://rpubs.com/staciaking/craig2014</t>
    </r>
  </si>
  <si>
    <t>I am not sure that these are matching results`</t>
  </si>
  <si>
    <t>3a</t>
  </si>
  <si>
    <t>Racial demographic shifts</t>
  </si>
  <si>
    <t>Political conservatism, conservative shift, demographic changes</t>
  </si>
  <si>
    <t>Participants in the status-threat condition supported conservative positions more than did participants in the control condition</t>
  </si>
  <si>
    <t>"Results revealed a main effect of experimental condition on overall policy attitudes, F(2, 161) = 4.92, p = .008, partial eta-square = .06"</t>
  </si>
  <si>
    <t>Boyce_etal202327</t>
  </si>
  <si>
    <t>Boyce_etal202327_1</t>
  </si>
  <si>
    <t>Critcher, C. R., Inbar, Y., &amp; Pizarro, D. A. (2013). How quick decisions illuminate moral character. Social Psychological and Personality Science, 4(3), 308-315.</t>
  </si>
  <si>
    <t>10.1177/1948550612457688</t>
  </si>
  <si>
    <t>Unsurprisingly, we found a main effect of moral decision on the moral character evaluation composite, F(1,117) = 127.07, p &lt; .001,</t>
  </si>
  <si>
    <t>F(1,117) = 127.0</t>
  </si>
  <si>
    <t>p. 309</t>
  </si>
  <si>
    <t>Pattern of interaction in replication matches that in original study</t>
  </si>
  <si>
    <t>Moral judgement</t>
  </si>
  <si>
    <t>Decision speed, motives, moral judgment, moral character, certainty</t>
  </si>
  <si>
    <t>Returning the wallet was an indicator of moral (vs. immoral) character</t>
  </si>
  <si>
    <t>The Decision Speed interaction was significant, F(1, 117) = 127.07, p &lt; .001. An analysis of the simple effects showed that, as predicted, quick (vs. slow) immoral decisions prompted more negative moral character evaluations, t(54) = 8.28, p &lt; .001, whereas quick (vs. slow) moral decisions prompted more positive moral character evaluations, t(63) = 7.71, p &lt; .001</t>
  </si>
  <si>
    <t>F(1,117) = 127.07</t>
  </si>
  <si>
    <t>X2(1) = 374.43</t>
  </si>
  <si>
    <t>Boyce_etal202328</t>
  </si>
  <si>
    <t>Boyce_etal202328_1</t>
  </si>
  <si>
    <t>Daffner, K. R., Scinto, L. F., Calvo, V., Faust, R., Mesulam, M. M., West, W. C., &amp; Holcomb, P. J. (2000). The influence of stimulus deviance on electrophysiologic and behavioral responses to novel events. Journal of Cognitive Neuroscience, 12(3), 393-406.</t>
  </si>
  <si>
    <t>10.1162/089892900562219</t>
  </si>
  <si>
    <t>1. Online
2. There are a lost results, however replication operates with the term "block" while original study with the term "task". According to replication description it should be different things (blocks - split sessions of the experiment)</t>
  </si>
  <si>
    <t>Boyce_etal202329_1</t>
  </si>
  <si>
    <t>Boyce_etal202329</t>
  </si>
  <si>
    <t>Maureen Osano</t>
  </si>
  <si>
    <t>The proportion of this claim text was not reported but has been coded while coding the same proportion reported in the replication table</t>
  </si>
  <si>
    <t xml:space="preserve"> study is possibly pregistered but links are not always included in the reports</t>
  </si>
  <si>
    <t>Dai, X., Wertenbroch, K., &amp; Brendl, C. M. (2008). The value heuristic in judgments of relative frequency. Psychological Science, 19(1), 18.</t>
  </si>
  <si>
    <t>10.1111/j.1467-9280.2008.02039.x</t>
  </si>
  <si>
    <t>10.1111--j.1467-9280.2008.02039.x.pdf</t>
  </si>
  <si>
    <t>heuristic, value, stimuli, judgment</t>
  </si>
  <si>
    <t>The value heuristic in judgments of relative frequency (flowers endowed)</t>
  </si>
  <si>
    <t>"participants were more likely to underestimate the number of flower pictures relative to bird pictures when they expected payment for flower pictures (15 of 31 participants, 48%) than when they expected payment for bird pictures (8 of 32 participants, 25%) "," Underestimating the frequency of the endowed category was independent of perceiving the endowment procedure to be random"</t>
  </si>
  <si>
    <t>1,2</t>
  </si>
  <si>
    <t>prop:15/31,8/32</t>
  </si>
  <si>
    <t>prop:5/15,2/11</t>
  </si>
  <si>
    <t>https://github.com/vboyce/251-254-MA/blob/main/data/processed_data.csv column rep_d_calc</t>
  </si>
  <si>
    <t>Maureen Osano, LR</t>
  </si>
  <si>
    <t>Boyce_etal202329_b</t>
  </si>
  <si>
    <t>Only the proportion of this claim text was reported in the replication table</t>
  </si>
  <si>
    <t>This row requires further validation study is possibly pregistered but links are not always included in the reports</t>
  </si>
  <si>
    <t>The value heuristic in judgments of relative frequency (birds endowed)</t>
  </si>
  <si>
    <r>
      <rPr>
        <rFont val="Arial"/>
        <color theme="1"/>
      </rPr>
      <t xml:space="preserve">"they were more likely to underestimate the number of bird pictures relative to flower pictures when they expected payment for bird pictures (21 of 32 participants, 66%) than when they expected payment for flower pictures (12 of 31 participants, 39%), x^2 (1, N = 56) = 4.51, p = .037, </t>
    </r>
    <r>
      <rPr>
        <rFont val="Arial"/>
        <i/>
        <color theme="1"/>
      </rPr>
      <t>P</t>
    </r>
    <r>
      <rPr>
        <rFont val="Arial"/>
        <color theme="1"/>
      </rPr>
      <t>prep = .93, odds ratio = 3.28^2. Underestimating the frequency of the endowed category was independent of perceiving the endowment procedure to be random."</t>
    </r>
  </si>
  <si>
    <t>proportion: 5/15,2/11</t>
  </si>
  <si>
    <t>The study numbers are missing in all the rows; There is a need to resolve the replication type that the coder has categorized as close, very close, and exact; is closeness and replication type the same?  study is possibly pregistered but links are not always included in the reports</t>
  </si>
  <si>
    <r>
      <rPr>
        <rFont val="Calibri"/>
        <sz val="11.0"/>
      </rPr>
      <t xml:space="preserve">Boyce, V., Mathur, M., &amp; Frank, M. C. (2023). Eleven years of student replication projects provide evidence on the correlates of replicability in psychology. Royal Society Open Science, 10(11), 231240. </t>
    </r>
    <r>
      <rPr>
        <rFont val="Calibri"/>
        <color rgb="FF1155CC"/>
        <sz val="11.0"/>
        <u/>
      </rPr>
      <t>https://doi.org/10.1098/rsos.231240</t>
    </r>
  </si>
  <si>
    <t>In contrast, they were more likely to underestimate the number of bird pictures relative to flower pictures when they expected payment for bird pictures (21 of 32 participants, 66%) than when they expected payment for flower pictures (12 of 31 participants, 39%), w2 (1, N = 56) = 4.51, p = .037, prep =  .93, odds ratio = 3.28.2</t>
  </si>
  <si>
    <t>Boyce_etal20233_1</t>
  </si>
  <si>
    <t>Boyce_etal20233</t>
  </si>
  <si>
    <t>N (shape condition)=28; Only statistics for the shape condition have been reported in the replication table. The same statistics have been coded for the word condition.</t>
  </si>
  <si>
    <t>Aryani, A., Isbilen, E. S., &amp; Christiansen, M. H. (2020). Affective arousal links sound to meaning. Psychological science, 31(8), 978-986.</t>
  </si>
  <si>
    <t>10.1177/0956797620927967</t>
  </si>
  <si>
    <t>10.1177--0956797620927967.pdf</t>
  </si>
  <si>
    <t>bouba-kiki</t>
  </si>
  <si>
    <t>bouba-kiki effect, arousal, emotional mediation hypothesis, language evolution, affective iconicity, open data, open materials, preregistered</t>
  </si>
  <si>
    <t>Affective arousal links sound to meaning (shape condition)</t>
  </si>
  <si>
    <t>"A comparison of the arousal ratings in the shape condition revealed significantly higher arousal for spiky shapes than rounded shapes (spiky: M = 3.45, SE = 0.039; rounded: M = 2.43, SE = 0.037; p &lt; .0001, d = 0.92) "," the ratings for both shapes and words showed a consistent effect of category on arousal, with spiky shapes and kiki-like words rated higher in arousal than rounded shapes and bouba-like words across all of the studies"</t>
  </si>
  <si>
    <t>https://aspredicted.org/mq97g.pdf</t>
  </si>
  <si>
    <t>Boyce_etal20233_b</t>
  </si>
  <si>
    <t>N (shape condition)=24</t>
  </si>
  <si>
    <t>This row needs to be validated further study is possibly pregistered but links are not always included in the reports</t>
  </si>
  <si>
    <t>Affective arousal links sound to meaning (word condition)</t>
  </si>
  <si>
    <t>"In the word condition, we compared arousal ratings for bouba-like and kiki-like words; kiki-like words were rated significantly higher in arousal than bouba-like words (kiki: M = 3.16, SE = 0.033; bouba: M = 2.53, SE = 0.033; p &lt; .0001, d = 0.57) "," the ratings for both shapes and words showed a consistent effect of category on arousal, with spiky shapes and kiki-like words rated higher in arousal than rounded shapes and bouba-like words across all of the studies"</t>
  </si>
  <si>
    <t>Writing N/As in areas with no entries should be considered in all the rows. The discipline for this entry should be categorized as social psychology and not differential psychology (this can be validated, though) 
study is possibly pregistered but links are not always included in the reports; -&gt; field coded as social psych</t>
  </si>
  <si>
    <t>Boyce, V., Mathur, M., &amp; Frank, M. C. (2023). Eleven years of student replication projects provide evidence on the correlates of replicability in psychology. Royal Society Open Science, 10(11), 231240. https://doi.org/10.1098/rsos.231065</t>
  </si>
  <si>
    <t>A comparison of the arousal ratings in the shape condition revealed significantly higher arousal for spiky shapes than rounded shapes (spiky: M = 3.45, SE = 0.039; rounded: M = 2.43, SE = 0.037; p &lt; .0001, d = 0.92).</t>
  </si>
  <si>
    <t>Boyce_etal202330_1</t>
  </si>
  <si>
    <t>Boyce_etal202330</t>
  </si>
  <si>
    <t>This has been chosen but requires further validation study is possibly pregistered but links are not always included in the reports</t>
  </si>
  <si>
    <t>Dale, R., &amp; Duran, N. D. (2011). The cognitive dynamics of negated sentence verification. Cognitive science, 35(5), 983-996.</t>
  </si>
  <si>
    <t>10.1111/j.1551-6709.2010.01164.x</t>
  </si>
  <si>
    <t>1,3</t>
  </si>
  <si>
    <t>10.1111--j.1551-6709.2010.01164.x.pdf</t>
  </si>
  <si>
    <t>negation, discrete and continuous processing, sentence verification, cognitive dynamics, action, pluralism</t>
  </si>
  <si>
    <t>cognitive dynamics of negated sentence verification (interaction between negation and x-flips)</t>
  </si>
  <si>
    <t>"For x-flips, the model revealed a main effect of negation, showing that negation significantly increases x-flips by 0.35, F(1,655) = 14.5, p &lt; .0005 "," These findings reveal the predicted patterns for simple sentence verification with negation. Negation overall produced more ‘‘discrete-like’’ trajectories as participants responded, both in the changes in direction (x-flips) and in the movement components that made up their trajectories (AC)."</t>
  </si>
  <si>
    <t>7,8</t>
  </si>
  <si>
    <t xml:space="preserve"> F(1,655) = 14.5</t>
  </si>
  <si>
    <t>Boyce, V., Mathur, M., &amp; Frank, M. C. (2023). Eleven years of student replication projects provide evidence on the correlates of replicability in psychology. Royal Society Open Science, 10(11), 231240. https://doi.org/10.1098/rsos.231091</t>
  </si>
  <si>
    <t>the model revealed ... and a significant interaction between negation and truth, F(1,655) = 6.9, p &lt; .01.</t>
  </si>
  <si>
    <t xml:space="preserve"> F(1,655) = 6.9</t>
  </si>
  <si>
    <t>p. 989</t>
  </si>
  <si>
    <t>Boyce_etal202330_b</t>
  </si>
  <si>
    <t>Chose central claim due to one replication finding, only
study is possibly pregistered but links are not always included in the reports</t>
  </si>
  <si>
    <t>cognitive dynamics of negated sentence verification (negation and truth)</t>
  </si>
  <si>
    <t>"a significant interaction between negation and truth, F(1,655) = 6.9, p &lt; .01."," These findings reveal the predicted patterns for simple sentence verification with negation. Negation overall produced more ‘‘discrete-like’’ trajectories as participants responded, both in the changes in direction (x-flips) and in the movement components that made up their trajectories (AC)."</t>
  </si>
  <si>
    <t>Boyce_etal202330_c</t>
  </si>
  <si>
    <t>This claim should be validated further study is possibly pregistered but links are not always included in the reports</t>
  </si>
  <si>
    <t>cognitive dynamics of negated sentence verification (negation and acceleration ⁄ deceleration events)</t>
  </si>
  <si>
    <t>"Negation increases of the number of acceleration ⁄ deceleration events by approximately 0.70, F(1,655) = 19.1, p &lt; .0001 "," These findings reveal the predicted patterns for simple sentence verification with negation. Negation overall produced more ‘‘discrete-like’’ trajectories as participants responded, both in the changes in direction (x-flips) and in the movement components that made up their trajectories (AC)."</t>
  </si>
  <si>
    <t>F(1,655) = 19.1</t>
  </si>
  <si>
    <t>bseb=.26(.25)</t>
  </si>
  <si>
    <t>Boyce_etal202330_d</t>
  </si>
  <si>
    <t>cognitive dynamics of negated sentence verification (negation and veracity)</t>
  </si>
  <si>
    <t>"its interaction with veracity is significant, F(1,655) = 13.3, p &lt; .0005. "," These findings reveal the predicted patterns for simple sentence verification with negation. Negation overall produced more ‘‘discrete-like’’ trajectories as participants responded, both in the changes in direction (x-flips) and in the movement components that made up their trajectories (AC)."</t>
  </si>
  <si>
    <t>F(1,655) = 13.3</t>
  </si>
  <si>
    <t>Boyce_etal202331_1</t>
  </si>
  <si>
    <t>Boyce_etal202331</t>
  </si>
  <si>
    <t>This task does not have sufficient data (test statistics) for coding in the original study and replication table. There is no report for the replication study as well</t>
  </si>
  <si>
    <t>In agreement; There is no sufficient information to code this this task study is possibly pregistered but links are not always included in the reports</t>
  </si>
  <si>
    <t>Daw, N. D., Gershman, S. J., Seymour, B., Dayan, P., &amp; Dolan, R. J. (2011). Model-based influences on humans' choices and striatal prediction errors. Neuron, 69(6), 1204-1215.</t>
  </si>
  <si>
    <t>model-based, model-free, prediction errors, choice</t>
  </si>
  <si>
    <t>Model-based influences on humans' choices and striatal prediction errors</t>
  </si>
  <si>
    <t>No information about O in Boyce, impossible to understand which claiim was tested, report absent</t>
  </si>
  <si>
    <t>10.1016/j.neuron.2011.02.027</t>
  </si>
  <si>
    <t>Boyce, V., Mathur, M., &amp; Frank, M. C. (2023). Eleven years of student replication projects provide evidence on the correlates of replicability in psychology. Royal Society Open Science, 10(11), 231240. https://doi.org/10.1098/rsos.231092</t>
  </si>
  <si>
    <t>Boyce_etal202332_1</t>
  </si>
  <si>
    <t>Boyce_etal202332</t>
  </si>
  <si>
    <t>There is no clear information in the replication study and no sufficient information/ data (test statistics) on the replication table to code this task</t>
  </si>
  <si>
    <t>Dehaene, S., Nakamura, K., Jobert, A., Kuroki, C., Ogawa, S., &amp; Cohen, L. (2010). Why do children make mirror errors in reading? Neural correlates of mirror invariance in the visual word form area. Neuroimage, 49(2), 1837-1848.</t>
  </si>
  <si>
    <t>10.1016/j.neuroimage.2009.09.024</t>
  </si>
  <si>
    <t>mirror errors, mirror invariance, recognition, children</t>
  </si>
  <si>
    <t>Neural correlates of mirror invariance in the visual word form area</t>
  </si>
  <si>
    <t>Tags and description variables missing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</si>
  <si>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https://doi.org/10.1098/rsos.231093</t>
  </si>
  <si>
    <t>Boyce_etal202333_1</t>
  </si>
  <si>
    <t>Boyce_etal202333</t>
  </si>
  <si>
    <t>There is no sufficient data for the replication study in the replication table to fully code this task</t>
  </si>
  <si>
    <t>Djärv, K., Zehr, J., &amp; Schwarz, F. (2018). Cognitive vs. emotive factives: An experimental differentiation. In Proceedings of Sinn und Bedeutung (Vol. 21, No. 1, pp. 367-386).</t>
  </si>
  <si>
    <t>djärv_2018</t>
  </si>
  <si>
    <t>semantics, experimental pragmatics, presupposition, factivity, entailment</t>
  </si>
  <si>
    <t>Cognitive vs. emotive factives</t>
  </si>
  <si>
    <t>"There was also an interaction between predicate type and answer type (simple model: t = 4.083, b = 0.8605, SE = 0.2108; t &gt;= 2.61 and b &gt;= 0.67 otherwise) "," the results from Experiment 2 are not in line with the predictions of such an alternative view: that view assumes that P is conventionally entailed both by cognitive and emotive factives, therefore yes-answers should be rated as low for emotive as for cognitive factive questions (under the assumption that yes commits the speaker to all the entailed content)."</t>
  </si>
  <si>
    <t>Boyce, V., Mathur, M., &amp; Frank, M. C. (2023). Eleven years of student replication projects provide evidence on the correlates of replicability in psychology. Royal Society Open Science, 10(11), 231240. https://doi.org/10.1098/rsos.231094</t>
  </si>
  <si>
    <t>Boyce_etal202334_1</t>
  </si>
  <si>
    <t>Boyce_etal202334</t>
  </si>
  <si>
    <t>Dubey, R., &amp; Griffiths, T. L. (2020). Reconciling novelty and complexity through a rational analysis of curiosity. Psychological Review, 127(3), 455.</t>
  </si>
  <si>
    <t>10.1037/rev0000175</t>
  </si>
  <si>
    <t>curiosity, exploration, rational analysis, computational model</t>
  </si>
  <si>
    <t>Reconciling novelty and complexity through a rational analysis of curiosity</t>
  </si>
  <si>
    <t>Information on tags and description are missing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</si>
  <si>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https://doi.org/10.1098/rsos.231095</t>
  </si>
  <si>
    <t>Boyce_etal202335_1</t>
  </si>
  <si>
    <t>Boyce_etal202335</t>
  </si>
  <si>
    <t>Durso, G. R., Briñol, P., &amp; Petty, R. E. (2016). From power to inaction: Ambivalence gives pause to the powerful. Psychological Science, 27(12), 1660-1666.</t>
  </si>
  <si>
    <t>10.1177/0956797616669947</t>
  </si>
  <si>
    <t>10.1177--0956797616669947.pdf</t>
  </si>
  <si>
    <t>power, ambivalence, self-validation, action, decision time, open data</t>
  </si>
  <si>
    <t>Ambivalence gives pause to the powerful</t>
  </si>
  <si>
    <t>"Only the predicted main effect of employee profile was found, F(1, 305) = 168.49, p &lt; .001, ηp2 = .356; participants who read the ambivalent information reported significantly more ambivalence toward Bob (M = 7.21) than did those who read the univalent information (M = 4.25) "," The present findings indicate that greater power can lead to significantly more inaction when individuals’ reactions are ambivalent."</t>
  </si>
  <si>
    <t>4,5</t>
  </si>
  <si>
    <t>https://osf.io/5ybej/.</t>
  </si>
  <si>
    <t>Boyce, V., Mathur, M., &amp; Frank, M. C. (2023). Eleven years of student replication projects provide evidence on the correlates of replicability in psychology. Royal Society Open Science, 10(11), 231240. https://doi.org/10.1098/rsos.231096</t>
  </si>
  <si>
    <t>Boyce_etal202336_1</t>
  </si>
  <si>
    <t>Boyce_etal202336</t>
  </si>
  <si>
    <t>Endress, A. D., &amp; Hauser, M. D. (2009). Syntax-induced pattern deafness. Proceedings of the National Academy of Sciences, 106(49), 21001-21006.</t>
  </si>
  <si>
    <t>10.1073/pnas.0908963106</t>
  </si>
  <si>
    <t>10.1073--pnas.0908963106.pdf</t>
  </si>
  <si>
    <t>illusions, language acquisition, modularity, perception, syntax</t>
  </si>
  <si>
    <t>Syntax-induced pattern deafness</t>
  </si>
  <si>
    <t>"participants in Experiment 1 failed to learn the repetition patterns [percentage correct: M = 53.0%, SD = 10.7%), t (19) = 1.26, P &gt; 0.05] "," The results presented so far suggest that participants have severe difficulties learning repetition patterns over syntactic categories although all of the requisite processes would seem to be in place: Repetition patterns are simple enough to be learned by a wide variety of other animals, participants can classify words perfectly, they access such categories, and they can learn repetition patterns over open-ended categories. Repetition patterns of syntactic categories thus seem to be blocked by some other computational processes."</t>
  </si>
  <si>
    <t>t (19) = 1.26</t>
  </si>
  <si>
    <t xml:space="preserve">p.1 </t>
  </si>
  <si>
    <t>Boyce, V., Mathur, M., &amp; Frank, M. C. (2023). Eleven years of student replication projects provide evidence on the correlates of replicability in psychology. Royal Society Open Science, 10(11), 231240. https://doi.org/10.1098/rsos.231097</t>
  </si>
  <si>
    <t>participants in Experiment 1 failed to learn the repetition patterns [percentage correct: M  53.0%, SD  10.7%), t (19)  1.26, P  0.05]. There was no difference n performance for AAB as opposed to ABB;</t>
  </si>
  <si>
    <t>calculated based on the data in the paper - [percentage correct: M  53.0%,SD  10.7%), t (19) = 1.26, P  &gt; 0.05]. N = 20</t>
  </si>
  <si>
    <t>Boyce_etal202337_1</t>
  </si>
  <si>
    <t>Boyce_etal202337</t>
  </si>
  <si>
    <t>Exline, J. J., Baumeister, R. F., Zell, A. L., Kraft, A. J., &amp; Witvliet, C. V. (2008). Not so innocent: Does seeing one's own capability for wrongdoing predict forgiveness?. Journal of Personality and Social Psychology, 94(3), 495.</t>
  </si>
  <si>
    <t>10.1037/0022-3514.94.3.495</t>
  </si>
  <si>
    <t>forgiveness, vengefulness, humility, empathy, gender</t>
  </si>
  <si>
    <t>Seeing one's own capability for wrongdoing predicts forgiveness</t>
  </si>
  <si>
    <t>"When vengefulness came first, vengefulness also correlated negatively with personal capability, r(45) = .36, p &lt; .01, and empathic understanding, r(45) = .44, p &lt; .01 "," For men, vengefulness was reduced simply by answering questions about their capability for similar wrongdoing and their ability to see the situation from the other person’s perspective."</t>
  </si>
  <si>
    <t>F(1,151)=9.40</t>
  </si>
  <si>
    <t>t. 3</t>
  </si>
  <si>
    <t>F(1,131)=0.018</t>
  </si>
  <si>
    <t>Boyce, V., Mathur, M., &amp; Frank, M. C. (2023). Eleven years of student replication projects provide evidence on the correlates of replicability in psychology. Royal Society Open Science, 10(11), 231240. https://doi.org/10.1098/rsos.231098</t>
  </si>
  <si>
    <t>study 7</t>
  </si>
  <si>
    <t>we examined
whether a more subtle manipulation could be effective.</t>
  </si>
  <si>
    <t>p. 506</t>
  </si>
  <si>
    <t>Boyce_etal202338_1</t>
  </si>
  <si>
    <t>Boyce_etal202338</t>
  </si>
  <si>
    <t>Feinberg, M., &amp; Willer, R. (2013). The moral roots of environmental attitudes. Psychological science, 24(1), 56-62.</t>
  </si>
  <si>
    <t>10.1177/0956797612449177</t>
  </si>
  <si>
    <t>10.1177--0956797612449177.pdf</t>
  </si>
  <si>
    <t>morality, policymaking, personal values, scientific communication</t>
  </si>
  <si>
    <t>moral roots of environmental attitudes</t>
  </si>
  <si>
    <t>"revealed a significant difference between the Purity/Sanctity Condition × Ideology interaction and both the Harm/Care Condition × Ideology, β = −0.29, p &lt; .001 "," presenting conservatives with proenvironmental messages couched within a particularly conservative moral domain led them to adopt more proenvironmental attitudes, comparable to those of liberals."</t>
  </si>
  <si>
    <t>5,6</t>
  </si>
  <si>
    <t>Boyce_etal202338_b</t>
  </si>
  <si>
    <t>moral roots of environmental attitudes (neutral condition)</t>
  </si>
  <si>
    <t>"and the Neutral Condition × Ideology interactions, β = −0.17, p &lt; .05 "," presenting conservatives with proenvironmental messages couched within a particularly conservative moral domain led them to adopt more proenvironmental attitudes, comparable to those of liberals."</t>
  </si>
  <si>
    <t>−0.17</t>
  </si>
  <si>
    <t>Boyce, V., Mathur, M., &amp; Frank, M. C. (2023). Eleven years of student replication projects provide evidence on the correlates of replicability in psychology. Royal Society Open Science, 10(11), 231240. https://doi.org/10.1098/rsos.231099</t>
  </si>
  <si>
    <t>our findings suggest that reframing environmental messages in terms of purity and
sanctity can reduce or even eliminate the differences in liberal and conservative environmental attitudes.</t>
  </si>
  <si>
    <t>p. 61</t>
  </si>
  <si>
    <t>Boyce_etal202339_1</t>
  </si>
  <si>
    <t>Boyce_etal202339</t>
  </si>
  <si>
    <t>The test statistics reported in the original and replication studies are not clear and requires further validation; study is possibly pregistered but links are not always included in the reports</t>
  </si>
  <si>
    <t>Fischer, P., Schulz-Hardt, S., &amp; Frey, D. (2008). Selective exposure and information quantity: how different information quantities moderate decision makers' preference for consistent and inconsistent information. Journal of personality and social psychology, 94(2), 231.</t>
  </si>
  <si>
    <t>10.1037/0022-3514.94.2.94.2.231</t>
  </si>
  <si>
    <t>information seeking, selective exposure, information quantity, selection criterion, information direction</t>
  </si>
  <si>
    <t>information quantities moderate decision makers' preference for consistent and inconsistent information</t>
  </si>
  <si>
    <t>"that participants in the 2-information condition selected more inconsistent (69%) than consistent pieces of information (31%), x2 (1, N = 26) = 3.85, p = .05, whereas participants in the 10-information condition selected significantly more consistent (81%) than inconsistent pieces of information (19%), x2 (1, N = 26) = 9.85, p  = .003 "," the contrasting information preferences in conditions with 2 versus more than 2 (e.g., 10) pieces of decision-relevant information are due to different selection criteria."</t>
  </si>
  <si>
    <t>prop:8/26,21/26</t>
  </si>
  <si>
    <t>prop:29/38,33/38</t>
  </si>
  <si>
    <t>Based on the information in the dataset it's impossible to clearly compare the results and calculate statistics, extracted both claims matching the proportion numbers in the dataset</t>
  </si>
  <si>
    <t>The test statistics reported in the original and replication studies are not clear and requires further validation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</si>
  <si>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https://doi.org/10.1098/rsos.231100</t>
  </si>
  <si>
    <t>study 4</t>
  </si>
  <si>
    <t>indicating that participants in the 2-information condition selected more inconsistent (69%) than
consistent pieces of information (31%), 2 (1, N  26)  3.85, p  .05, whereas participants in the 10-information condition selected significantly more consistent (81%) than inconsistent pieces of nformation (19%), 2 (1, N  26)  9.85, p  .003.</t>
  </si>
  <si>
    <t>Boyce_etal20234_1</t>
  </si>
  <si>
    <t>Boyce_etal20234</t>
  </si>
  <si>
    <t>Atir, S., Rosenzweig, E., &amp; Dunning, D. (2015). When knowledge knows no bounds: Self-perceived expertise predicts claims of impossible knowledge. Psychological Science, 26(8), 1295-1303.</t>
  </si>
  <si>
    <t>10.1177/0956797615588195</t>
  </si>
  <si>
    <t>10.1177--0956797615588195.pdf</t>
  </si>
  <si>
    <t>https://osf.io/d5e7b</t>
  </si>
  <si>
    <t>knowledge level, judgment, inference, thinking, open data</t>
  </si>
  <si>
    <t>Self-perceived expertise predicts claims of impossible knowledge</t>
  </si>
  <si>
    <t>Boyce, V., Mathur, M., &amp; Frank, M. C. (2023). Eleven years of student replication projects provide evidence on the correlates of replicability in psychology. Royal Society Open Science, 10(11), 231240. https://doi.org/10.1098/rsos.231066</t>
  </si>
  <si>
    <t>in Study 1b, self-perceived knowledge of personal finance (M = 4.43, SD = 1.17) positively pre- dicted overclaiming, b = 0.10, t(199) = 13.07, p &lt; .001.</t>
  </si>
  <si>
    <t>t(199) = 13.07</t>
  </si>
  <si>
    <t>p.  190</t>
  </si>
  <si>
    <t>Boyce_etal202340_1</t>
  </si>
  <si>
    <t>Boyce_etal202340</t>
  </si>
  <si>
    <t>Forwood, S. E., Ahern, A., Hollands, G. J., Fletcher, P. C., &amp; Marteau, T. M. (2013). Underestimating calorie content when healthy foods are present: an averaging effect or a reference-dependent anchoring effect?. Plos one, 8(8), e71475.</t>
  </si>
  <si>
    <t>10.1371/journal.pone.0071475</t>
  </si>
  <si>
    <t>negative calorie illusion.</t>
  </si>
  <si>
    <t>calorie content, negative calorie illusion, healthy, food</t>
  </si>
  <si>
    <t>Underestimating calorie content when healthy foods are present: an averaging effect or a reference-dependent anchoring effect (reference food on calorie estimates)</t>
  </si>
  <si>
    <t>"a significant effect of healthy side in the reference food on calorie estimates (F(1,431) = 4.63, p = 0.03) "," Looking at the data reveals that when the reference food was a main meal alone, the test food with a healthy side was estimated to have fewer calories than the test food alone."</t>
  </si>
  <si>
    <t>F(1,431) = 5.24</t>
  </si>
  <si>
    <t>Boyce_etal202340_b</t>
  </si>
  <si>
    <t>Underestimating calorie content when healthy foods are present: an averaging effect or a reference-dependent anchoring effect</t>
  </si>
  <si>
    <t>"a significant interaction between a healthy side in the reference and a healthy side in the test food on calorie estimates (F(1,431) = 5.24, p = 0.02)"</t>
  </si>
  <si>
    <t>(F(1,431) = 5.24</t>
  </si>
  <si>
    <t>Boyce, V., Mathur, M., &amp; Frank, M. C. (2023). Eleven years of student replication projects provide evidence on the correlates of replicability in psychology. Royal Society Open Science, 10(11), 231240. https://doi.org/10.1098/rsos.231101</t>
  </si>
  <si>
    <t>a cognitive bias that describes the common human tendency to rely too heavily on the first piece of information offered (the “anchor”) when making decisions.</t>
  </si>
  <si>
    <t>a significant effect of healthy side in the reference food on calorie estimates (F(1,431) = 4.63, p = 0.03),</t>
  </si>
  <si>
    <t>F(1,431) = 4.63</t>
  </si>
  <si>
    <t>Boyce_etal202341_1</t>
  </si>
  <si>
    <t>Boyce_etal202341</t>
  </si>
  <si>
    <t>There are few discrepancies that need further validation study is possibly pregistered but links are not always included in the reports</t>
  </si>
  <si>
    <t>Franke, M., &amp; Degen, J. (2016). Reasoning in reference games: Individual-vs. population-level probabilistic modeling. PloS one, 11(5), e0154854.</t>
  </si>
  <si>
    <t>10.1371/journal.pone.0154854</t>
  </si>
  <si>
    <t>probabilistic pragmatics, probabilistic model, reference games, reasoning</t>
  </si>
  <si>
    <t>Individual-vs. population-level probabilistic modeling of reasoning in reference games (simple versus complex implicature situations)</t>
  </si>
  <si>
    <t>"participants made more target choices in simple than in complex implicature situations (β = 1.28, SE = .12, p &lt; .0001) "," what we are calling simple implicatures are indeed simpler than what we are calling complex implicatures."</t>
  </si>
  <si>
    <t>p. 9; bseb=1.28(.12)</t>
  </si>
  <si>
    <t>Boyce_etal202341_b</t>
  </si>
  <si>
    <t>Individual-vs. population-level probabilistic modeling of reasoning in reference games (in complex implicature situations versus on ambiguous filler trials)</t>
  </si>
  <si>
    <t>"made more target choices in complex implicature situations than on ambiguous filler trials (β = .44, SE = .13, p &lt; .001) "," while participants performed similarly on complex and ambiguous trials, they nevertheless performed significantly above chance on complex trials"</t>
  </si>
  <si>
    <t>p. 9; bseb=.44(.13)</t>
  </si>
  <si>
    <t>If you are validating an entry and there are two identical rows, please mark one as "validated - chosen" and one as "validated - discarded"</t>
  </si>
  <si>
    <t>There are a few discrepancies that need further validation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</si>
  <si>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https://doi.org/10.1098/rsos.231102</t>
  </si>
  <si>
    <t>participants made more target choices in simple than in complex implicature situations (β = 1.28, SE = .12, p &lt; .0001),</t>
  </si>
  <si>
    <t>Boyce_etal202342_1</t>
  </si>
  <si>
    <t>Boyce_etal202342</t>
  </si>
  <si>
    <t>There is no sufficient information (test statistics) or report for the original study and replication to code this task</t>
  </si>
  <si>
    <t>Freeman, J., &amp; Simoncelli, E. P. (2011). Metamers of the ventral stream. Nature neuroscience, 14(9), 1195-1201.</t>
  </si>
  <si>
    <t>10.1038/nn.2889</t>
  </si>
  <si>
    <t>metamers, ventral stream, population model, stimuli</t>
  </si>
  <si>
    <t>Metamers of the ventral stream</t>
  </si>
  <si>
    <t>No information to extract statistics in the dataset</t>
  </si>
  <si>
    <t>Boyce, V., Mathur, M., &amp; Frank, M. C. (2023). Eleven years of student replication projects provide evidence on the correlates of replicability in psychology. Royal Society Open Science, 10(11), 231240. https://doi.org/10.1098/rsos.231103</t>
  </si>
  <si>
    <t>Boyce_etal202343_1</t>
  </si>
  <si>
    <t>Boyce_etal202343</t>
  </si>
  <si>
    <t>The closeness has been categorized as far; hence coded as conceptual</t>
  </si>
  <si>
    <t>Fu, A. S., &amp; Markus, H. R. (2014). My mother and me: Why tiger mothers motivate Asian Americans but not European Americans. Personality and Social Psychology Bulletin, 40(6), 739-749.</t>
  </si>
  <si>
    <t>10.1177/0146167214524992</t>
  </si>
  <si>
    <t>10.1177--0146167214524992.pdf</t>
  </si>
  <si>
    <t>culture, motivation, interdependence, academic achievement</t>
  </si>
  <si>
    <t>tiger mothers motivate Asian Americans but not European Americans</t>
  </si>
  <si>
    <t>a significant interaction between culture and condition (mother vs. self) on motivation, F(1, 113) = 6.12, p = .01.</t>
  </si>
  <si>
    <t>F(1, 113) = 6.12</t>
  </si>
  <si>
    <t>p. 744</t>
  </si>
  <si>
    <t>Boyce, V., Mathur, M., &amp; Frank, M. C. (2023). Eleven years of student replication projects provide evidence on the correlates of replicability in psychology. Royal Society Open Science, 10(11), 231240. https://doi.org/10.1098/rsos.231104</t>
  </si>
  <si>
    <t>Boyce_etal202344_1</t>
  </si>
  <si>
    <t>Boyce_etal202344</t>
  </si>
  <si>
    <t>The closeness has been categorized as far; hence coded as conceptual; administrative science discipline categorized as management</t>
  </si>
  <si>
    <t>Help needed to validate the entries study is possibly pregistered but links are not always included in the reports -&gt; coded as conceptual R, took test statistic from claim</t>
  </si>
  <si>
    <t>Galperin, R. V., Hahl, O., Sterling, A. D., &amp; Guo, J. (2020). Too good to hire? Capability and inferences about commitment in labor markets. Administrative Science Quarterly, 65(2), 275-313.</t>
  </si>
  <si>
    <t>10.1177/0001839219840022</t>
  </si>
  <si>
    <t>10.1177--0001839219840022.pdf</t>
  </si>
  <si>
    <t>hiring, signaling, organizational commitment, credentialing, labor markets</t>
  </si>
  <si>
    <t>Capability and inferences about commitment in labor markets</t>
  </si>
  <si>
    <t>By contrast, in the high- commitment conditions, participants randomly assigned to the extremely high-capability condition (N = 53, mean = 6.04, S.D. = 1.18) were more likely to give the candidate an offer (t = − 3.34, d.f. = 105, p = .001, two-tailed test)</t>
  </si>
  <si>
    <t>t(105) = -3.34</t>
  </si>
  <si>
    <t>Effect size value for O copied from Boyce dataset, not sure that it's calculated correctly</t>
  </si>
  <si>
    <t>Help needed to validate the calculated effect sizes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</si>
  <si>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https://doi.org/10.1098/rsos.231105</t>
  </si>
  <si>
    <t>Boyce_etal202345_1</t>
  </si>
  <si>
    <t>Boyce_etal202345</t>
  </si>
  <si>
    <t xml:space="preserve"> study is possibly pregistered but links are not always included in the reports; took o es values from claim</t>
  </si>
  <si>
    <t>García-Castro, J. D., Rodríguez-Bailón, R., &amp; Willis, G. B. (2020). Perceiving economic inequality in everyday life decreases tolerance to inequality. Journal of Experimental Social Psychology, 90, 104019.</t>
  </si>
  <si>
    <t>10.1016/j.jesp.2020.104019</t>
  </si>
  <si>
    <t>economic inequality, everyday life, perceived inequality, tolerance to inequality, attitudes toward redistribution</t>
  </si>
  <si>
    <t>Perceiving economic inequality in everyday life decreases tolerance to inequality (PEIEL condition)</t>
  </si>
  <si>
    <t>Based on our preregistered hypotheses, participants assigned to the PEIEL condition showed higher intolerance of inequality (M = 5.50, 95% CI [5.31, 5.68]) compared to those assigned to the control group (M = 5.18, 95% CI [5.00, 5.37], t(370) = 2.303, p = .022, d = 0.24, 95% CI [0.04, 0.44]).</t>
  </si>
  <si>
    <t>https://osf.io/nsk8h/?view_only=b1e702d061484d1bb4150754892d9197</t>
  </si>
  <si>
    <t>Boyce_etal202345_b</t>
  </si>
  <si>
    <t>Perceiving economic inequality in everyday life decreases tolerance to inequality(control condition)</t>
  </si>
  <si>
    <t>Boyce, V., Mathur, M., &amp; Frank, M. C. (2023). Eleven years of student replication projects provide evidence on the correlates of replicability in psychology. Royal Society Open Science, 10(11), 231240. https://doi.org/10.1098/rsos.231106</t>
  </si>
  <si>
    <t>https://osf.io/krx8m/?view_only=069f8366242e4dccb0309ccf89f88324.</t>
  </si>
  <si>
    <t>Boyce_etal202346_1</t>
  </si>
  <si>
    <t>Boyce_etal202346</t>
  </si>
  <si>
    <t>Gibson, E., Bergen, L., &amp; Piantadosi, S. T. (2013). Rational integration of noisy evidence and prior semantic expectations in sentence interpretation. Proceedings of the National Academy of Sciences, 110(20), 8051-8056.</t>
  </si>
  <si>
    <t>10.1073/pnas.1216438110</t>
  </si>
  <si>
    <t>10.1073--pnas.1216438110.pdf</t>
  </si>
  <si>
    <t>communication, psycholinguistics, rational inference</t>
  </si>
  <si>
    <t>Rational integration of noisy evidence and prior semantic expectations in sentence interpretation</t>
  </si>
  <si>
    <t>Boyce, V., Mathur, M., &amp; Frank, M. C. (2023). Eleven years of student replication projects provide evidence on the correlates of replicability in psychology. Royal Society Open Science, 10(11), 231240. https://doi.org/10.1098/rsos.231107</t>
  </si>
  <si>
    <t>the rate of literal interpretation was higher when the plausible alternative involved positing more string edits (major change) compared with fewer (minor change): experiment 1: 93.4% for major change alternations (1 and 2 in Table 1); 56.1% for minor change alternations (3–5 in Table 1; β = 3.37; P &lt; 0.0001);</t>
  </si>
  <si>
    <t>p. 8054</t>
  </si>
  <si>
    <t>Boyce_etal202347_1</t>
  </si>
  <si>
    <t>Boyce_etal202347</t>
  </si>
  <si>
    <t>Gick, M. L., &amp; Holyoak, K. J. (1983). Schema induction and analogical transfer. Cognitive psychology, 15(1), 1-38.</t>
  </si>
  <si>
    <t>10.1016/0010-0285(83)90002-6</t>
  </si>
  <si>
    <t>analogical transfer, analogical thinking, schema induction</t>
  </si>
  <si>
    <t>Schema induction and analogical transfer</t>
  </si>
  <si>
    <t>"62% of the subjects in the with-principle condition produced the convergence solution without a hint, as compared to only 40% of those in the without-principle condition, G2( 1) = 6.75, p &lt; .01. The frequency of noticing in the former condition is in fact higher than that obtained in any of our previous experiments with the radiation problem."</t>
  </si>
  <si>
    <t>prop45/73,28/70</t>
  </si>
  <si>
    <t>prop:32/82,13/93</t>
  </si>
  <si>
    <t>the dataset includes only proportions, report is absent, not possible to extract statistics</t>
  </si>
  <si>
    <t>This requires further validation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</si>
  <si>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https://doi.org/10.1098/rsos.231108</t>
  </si>
  <si>
    <t>Boyce_etal202348_1</t>
  </si>
  <si>
    <t>Boyce_etal202348</t>
  </si>
  <si>
    <t>There is no claim text. Data from the replication table has been used to code this row</t>
  </si>
  <si>
    <t>Goff, P. A., Jackson, M. C., Di Leone, B. A. L., Culotta, C. M., &amp; DiTomasso, N. A. (2014). The essence of innocence: consequences of dehumanizing Black children. Journal of personality and social psychology, 106(4), 526.</t>
  </si>
  <si>
    <t>10.1037/a0035663</t>
  </si>
  <si>
    <t>dehumanization, racial discrimination, police bias, intergroup processes, juvenile justice</t>
  </si>
  <si>
    <t>consequences of dehumanizing Black children</t>
  </si>
  <si>
    <t>statistics extracted from Boyce dataset, original claim not identified, cause I didn;t find the matching statistics in the paper</t>
  </si>
  <si>
    <t>Information on tags and description variables need to be added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</si>
  <si>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https://doi.org/10.1098/rsos.231109</t>
  </si>
  <si>
    <t>Boyce_etal202349_1</t>
  </si>
  <si>
    <t>Boyce_etal202349</t>
  </si>
  <si>
    <t>Gong, X., Zhang, F., &amp; Fung, H. H. (2019). Are older adults more willing to donate? The roles of donation form and social relationship. The Journals of Gerontology: Series B, 74(3), 440-448.</t>
  </si>
  <si>
    <t>10.1093/geronb/gbx099</t>
  </si>
  <si>
    <t>aging, donation, kin selection, prosocial behavior, social discounting</t>
  </si>
  <si>
    <t>Are older adults more willing to donate?</t>
  </si>
  <si>
    <t>"a significant three-way interaction of age × donation form × kinship, F(1,134) = 4.03, p &lt; .05, ηp2 = .03 , suggesting that the age difference could be moderated by kinship and donation form."</t>
  </si>
  <si>
    <t>F(1,134)=4.03</t>
  </si>
  <si>
    <t>F(1,70)=.06</t>
  </si>
  <si>
    <t>Boyce, V., Mathur, M., &amp; Frank, M. C. (2023). Eleven years of student replication projects provide evidence on the correlates of replicability in psychology. Royal Society Open Science, 10(11), 231240. https://doi.org/10.1098/rsos.231110</t>
  </si>
  <si>
    <t>a significant three-way inter- action of age × donation form × kinship, F(1,134) = 4.03, p &lt; .05, ηp 2 = .03 , suggesting that the age difference could be moderated by kinship and donation form.</t>
  </si>
  <si>
    <t>p. 444</t>
  </si>
  <si>
    <t>Boyce_etal20235_1</t>
  </si>
  <si>
    <t>Boyce_etal20235</t>
  </si>
  <si>
    <t>Austerweil, J. L., &amp; Griffiths, T. L. (2011). Seeking confirmation is rational for deterministic hypotheses. Cognitive Science, 35(3), 499-526.</t>
  </si>
  <si>
    <t>10.1111/j.1551-6709.2010.01161.x</t>
  </si>
  <si>
    <t>10.1111--j.1551-6709.2010.01161.x.pdf</t>
  </si>
  <si>
    <t>https://osf.io/9fcjx</t>
  </si>
  <si>
    <t>confirmation bias, rational analysis, hypothesis testing, decision making, bayesian inference, determinism</t>
  </si>
  <si>
    <t>Seeking confirmation is rational for deterministic hypotheses</t>
  </si>
  <si>
    <t>extracation and effect size based on the report, table states that N original is 25, while it's 29 (Experiment 4). Might be excluded based on the report "The present study was not a straightforward replication of the original study. We failed to replicate Austerweil &amp; Griffith’s (2011) key result—that changing the prior probability of underlying rules changed how likely people were to test certain hypotheses—using a chi-squared test. It is worth noting that the results of our chi-squared test were likely inaccurate because several cells had a very small number of responses"</t>
  </si>
  <si>
    <t>Chosen but requires further validation;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</si>
  <si>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https://doi.org/10.1098/rsos.231067</t>
  </si>
  <si>
    <t>Fig. 5 shows the average numbers of tests of each type made by participants in Experiment 4. Replicating Experiment 3, participants adapt their tests appropriately to their environment. Participants in the sum last two condition test the sum last two rule more often than those in the ·C + K condition (X2 (2) = 8.14, p &lt; .05).</t>
  </si>
  <si>
    <t>X2(2) = 8.14</t>
  </si>
  <si>
    <t>p. 519</t>
  </si>
  <si>
    <t>Boyce_etal202350_1</t>
  </si>
  <si>
    <t>Boyce_etal202350</t>
  </si>
  <si>
    <t>Gray, H. M., Gray, K., &amp; Wegner, D. M. (2007). Dimensions of mind perception. science, 315(5812), 619-619.</t>
  </si>
  <si>
    <t>10.1126/science.1134475</t>
  </si>
  <si>
    <t>10.1126--science.1134475.pdf</t>
  </si>
  <si>
    <t>dimension, mind perception</t>
  </si>
  <si>
    <t>the dataset doesn't include statistics, report is absent</t>
  </si>
  <si>
    <t>Boyce, V., Mathur, M., &amp; Frank, M. C. (2023). Eleven years of student replication projects provide evidence on the correlates of replicability in psychology. Royal Society Open Science, 10(11), 231240. https://doi.org/10.1098/rsos.231111</t>
  </si>
  <si>
    <t>Boyce_etal202351_1</t>
  </si>
  <si>
    <t>Boyce_etal202351</t>
  </si>
  <si>
    <t>Gray, K., Ward, A. F., &amp; Norton, M. I. (2014). Paying it forward: generalized reciprocity and the limits of generosity. Journal of experimental psychology: General, 143(1), 247.</t>
  </si>
  <si>
    <t>10.1037/a0031047</t>
  </si>
  <si>
    <t>4b</t>
  </si>
  <si>
    <t>morality, gratitude, evolution, victims, altruism</t>
  </si>
  <si>
    <t>generalized reciprocity and the limits of generosity</t>
  </si>
  <si>
    <t>"the predicted interaction effect, F(1, 161) = 7.00, p &lt; .01, on the number of good tasks given "," provide evidence that the tendency to symmetrically pay forward greed stems from negative affect"</t>
  </si>
  <si>
    <t>Test statistics are not written in their complete form. This applies to all the test statistics highlighted in red.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</si>
  <si>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https://doi.org/10.1098/rsos.231112</t>
  </si>
  <si>
    <t>F(1, 161) = 7.00</t>
  </si>
  <si>
    <t>p.252</t>
  </si>
  <si>
    <t>Boyce_etal202352_1</t>
  </si>
  <si>
    <t>Boyce_etal202352</t>
  </si>
  <si>
    <t>The discipline variable coded as "social psychology" instead of "other-psych" as indicated in the replication table</t>
  </si>
  <si>
    <t>Help needed to harmonize the entries study is possibly pregistered but links are not always included in the reports</t>
  </si>
  <si>
    <t>Greenberg, A. E., &amp; Spiller, S. A. (2016). Opportunity cost neglect attenuates the effect of choices on preferences. Psychological science, 27(1), 103-113.</t>
  </si>
  <si>
    <t>10.1177/0956797615608267</t>
  </si>
  <si>
    <t>10.1177--0956797615608267.pdf</t>
  </si>
  <si>
    <t>opportunity costs, choices, preferences, open data, open materials</t>
  </si>
  <si>
    <t>Opportunity cost neglect attenuates the effect of choices on preferences</t>
  </si>
  <si>
    <t>"The test of interest is the interaction. Controlling for prechoice spread, the degree to which postchoice spread varied with the proportion of options chosen depended on whether opportunity costs were explicit at the time of choice."</t>
  </si>
  <si>
    <t>t(96)=2.310</t>
  </si>
  <si>
    <t>t. 1/ p. 3</t>
  </si>
  <si>
    <t>Boyce, V., Mathur, M., &amp; Frank, M. C. (2023). Eleven years of student replication projects provide evidence on the correlates of replicability in psychology. Royal Society Open Science, 10(11), 231240. https://doi.org/10.1098/rsos.231113</t>
  </si>
  <si>
    <t>test whether the effect of opportunity cost consideration on spread was driven by the salience of opportunity costs at the time of choice or at the time of evaluations,</t>
  </si>
  <si>
    <t>p.105</t>
  </si>
  <si>
    <t>Boyce_etal202353_1</t>
  </si>
  <si>
    <t>Boyce_etal202353</t>
  </si>
  <si>
    <t>Greene, J. D., Morelli, S. A., Lowenberg, K., Nystrom, L. E., &amp; Cohen, J. D. (2008). Cognitive load selectively interferes with utilitarian moral judgment. Cognition, 107(3), 1144-1154.</t>
  </si>
  <si>
    <t>10.1016/j.cognition.2007.11.004</t>
  </si>
  <si>
    <t>moral judgment, morality, utilitarian, cognitive control, cognitive load</t>
  </si>
  <si>
    <t>Cognitive load selectively interferes with utilitarian moral judgment</t>
  </si>
  <si>
    <t>"we observed the predicted interaction between load and judgment (F(1, 62.9) = 8.5, p = .005) "," Cognitive load selectively increased RT for utilitarian judgment, yielding the predicted interaction between load and judgment type."</t>
  </si>
  <si>
    <t>6,8</t>
  </si>
  <si>
    <t>F(1,62.9)=8.5</t>
  </si>
  <si>
    <t>No statistics and report for replication</t>
  </si>
  <si>
    <t>Boyce, V., Mathur, M., &amp; Frank, M. C. (2023). Eleven years of student replication projects provide evidence on the correlates of replicability in psychology. Royal Society Open Science, 10(11), 231240. https://doi.org/10.1098/rsos.231114</t>
  </si>
  <si>
    <t>we observed the predicted interaction between load and judgment (F(1, 62.9) = 8.5, p = .005).</t>
  </si>
  <si>
    <t>F(1, 62.9) = 8.5</t>
  </si>
  <si>
    <t>p.1149</t>
  </si>
  <si>
    <t>Boyce_etal202354_1</t>
  </si>
  <si>
    <t>Boyce_etal202354</t>
  </si>
  <si>
    <t>"Effect size is not applicable to this study" - replication report</t>
  </si>
  <si>
    <t>Griffiths, T. L., &amp; Tenenbaum, J. B. (2006). Optimal predictions in everyday cognition. Psychological science, 17(9), 767-773.</t>
  </si>
  <si>
    <t>10.1111/j.1467-9280.2006.01780.x</t>
  </si>
  <si>
    <t>10.1111--j.1467-9280.2006.01780.x.pdf</t>
  </si>
  <si>
    <t>cognitive judgements, optimal predictions, perception, memory</t>
  </si>
  <si>
    <t>Optimal predictions in everyday cognition</t>
  </si>
  <si>
    <t>Boyce, V., Mathur, M., &amp; Frank, M. C. (2023). Eleven years of student replication projects provide evidence on the correlates of replicability in psychology. Royal Society Open Science, 10(11), 231240. https://doi.org/10.1098/rsos.231115</t>
  </si>
  <si>
    <t>Boyce_etal202355_1</t>
  </si>
  <si>
    <t>Boyce_etal202355</t>
  </si>
  <si>
    <t>Haimovitz, K., &amp; Dweck, C. S. (2016). What predicts children’s fixed and growth intelligence mind-sets? Not their parents’ views of intelligence but their parents’ views of failure. Psychological science, 27(6), 859-869.</t>
  </si>
  <si>
    <t>10.1177/0956797616639727</t>
  </si>
  <si>
    <t>academic achievement, childhood development, educational psychology, motivation, open materials</t>
  </si>
  <si>
    <t>children’s fixed and growth intelligence mind-sets and parents' view of failure</t>
  </si>
  <si>
    <t xml:space="preserve">"Parents who were induced to hold a failure-is-debilitating mind-set were more likely to react with concerns about their child’s performance and lack of ability, t(131) = 3.246, p &lt; .001, ηp2 = .075, "," findings indeed show that parents who believe failure is a debilitating experience have children who believe they cannot develop their intelligence" </t>
  </si>
  <si>
    <t>9,10</t>
  </si>
  <si>
    <t>t(131) = 3.246</t>
  </si>
  <si>
    <t>https://github.com/vboyce/251-254-MA/blob/main/data/processed_data.csv column rep_d_calc (haimovitz2016_1)</t>
  </si>
  <si>
    <t>These are two separate entries treated the same; Hence requires further validation;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</si>
  <si>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https://doi.org/10.1098/rsos.231116</t>
  </si>
  <si>
    <t>haimovitz2016_1</t>
  </si>
  <si>
    <t>Boyce_etal202355_b</t>
  </si>
  <si>
    <t>Boyce, V., Mathur, M., &amp; Frank, M. C. (2023). Eleven years of student replication projects provide evidence on the correlates of replicability in psychology. Royal Society Open Science, 10(11), 231240. https://doi.org/10.1098/rsos.231117</t>
  </si>
  <si>
    <t>haimovitz2016_2</t>
  </si>
  <si>
    <t>https://github.com/vboyce/251-254-MA/blob/main/data/processed_data.csv column rep_d_calc (haimovitz2016_2)</t>
  </si>
  <si>
    <t>Boyce_etal202356_1</t>
  </si>
  <si>
    <t>Boyce_etal202356</t>
  </si>
  <si>
    <t>Boyce_etal202357_1</t>
  </si>
  <si>
    <t>Boyce_etal202357</t>
  </si>
  <si>
    <t>The test statistics for the original study reported in the replication table cannot be traced in the original study pdf and there is no report to help trace it. Therefore this trask requires validation.</t>
  </si>
  <si>
    <t>Hart, Y., Dillon, M. R., Marantan, A., Cardenas, A. L., Spelke, E., &amp; Mahadevan, L. (2018). The statistical shape of geometric reasoning. Scientific reports, 8(1), 1-12.</t>
  </si>
  <si>
    <t>10.1038/s41598-018-30314-y</t>
  </si>
  <si>
    <t>geometric reasoning, Eclidean, statistics, shape, planar triangles</t>
  </si>
  <si>
    <t>statistical shape of geometric reasoning</t>
  </si>
  <si>
    <t>t(99)=-6.354</t>
  </si>
  <si>
    <t>Statistics for o and r copied from Boyce database, mentioned raw stats not found</t>
  </si>
  <si>
    <t xml:space="preserve"> study is possibly pregistered but links are not always included in the reports; coded as nested due to the experiments being repeated measures</t>
  </si>
  <si>
    <t>Boyce, V., Mathur, M., &amp; Frank, M. C. (2023). Eleven years of student replication projects provide evidence on the correlates of replicability in psychology. Royal Society Open Science, 10(11), 231240. https://doi.org/10.1098/rsos.231118</t>
  </si>
  <si>
    <t>Boyce_etal202358_1</t>
  </si>
  <si>
    <t>Boyce_etal202358</t>
  </si>
  <si>
    <t>coded as nested (within-subjects = yes according to table), study is possibly pregistered but links are not always included in the reports</t>
  </si>
  <si>
    <t>Heck, P. R., Chabris, C. F., Watts, D. J., &amp; Meyer, M. N. (2020). Objecting to experiments even while approving of the policies or treatments they compare. Proceedings of the National Academy of Sciences, 117(32), 18948-18950.</t>
  </si>
  <si>
    <t>10.1073/pnas.2009030117</t>
  </si>
  <si>
    <t>10.1073--pnas.2009030117.pdf</t>
  </si>
  <si>
    <t>A/B Effect</t>
  </si>
  <si>
    <t>field experiments, A/B tests, randomized controlled trials, research ethics, pragmatic trials</t>
  </si>
  <si>
    <t>Objecting to experiments even while approving of the policies or treatments they compare</t>
  </si>
  <si>
    <t>Participants also demonstrated the A/B Effect by rating each A/B test as less appropriate than their average rating of policies (Table 1)</t>
  </si>
  <si>
    <t>https://osf.io/w6qub/</t>
  </si>
  <si>
    <t>Help is needed to harmonize the effect sizes of the original study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</si>
  <si>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https://doi.org/10.1098/rsos.231119</t>
  </si>
  <si>
    <t>Boyce_etal202359_1</t>
  </si>
  <si>
    <t>Boyce_etal202359</t>
  </si>
  <si>
    <t>Coded as not nested (t test for 2 samples); study is possibly pregistered but links are not always included in the reports</t>
  </si>
  <si>
    <t>Henderson, M. D., De Liver, Y., &amp; Gollwitzer, P. M. (2008). The effects of an implemental mind-set on attitude strength. Journal of personality and social psychology, 94(3), 396.</t>
  </si>
  <si>
    <t>10.1037/0022-3514.94.3.396 (1)</t>
  </si>
  <si>
    <t>extremity, ambivalence, accessibility, mind-set, attitude strength</t>
  </si>
  <si>
    <t>effects of an implemental mind-set on attitude strength</t>
  </si>
  <si>
    <t>Specific comparisons revealed that the implemental mind-set group evidenced a significantly lower amount of ambivalence  ... compared with the deliberative (M   2.74, SD   0.67), t(80)   2.02, p   .05, d   0.45,</t>
  </si>
  <si>
    <t>p. 401</t>
  </si>
  <si>
    <t>10.1037/0022-3514.94.3.396</t>
  </si>
  <si>
    <t>Boyce, V., Mathur, M., &amp; Frank, M. C. (2023). Eleven years of student replication projects provide evidence on the correlates of replicability in psychology. Royal Society Open Science, 10(11), 231240. https://doi.org/10.1098/rsos.231120</t>
  </si>
  <si>
    <t>attitude ambivalence</t>
  </si>
  <si>
    <t>Boyce_etal20236_1</t>
  </si>
  <si>
    <t>Boyce_etal20236</t>
  </si>
  <si>
    <t>No sufficient information study is possibly pregistered but links are not always included in the reports</t>
  </si>
  <si>
    <t>Balas, B. J. (2006). Texture synthesis and perception: Using computational models to study texture representations in the human visual system. Vision research, 46(3), 299-309.</t>
  </si>
  <si>
    <t>10.1016/j.visres.2005.04.013</t>
  </si>
  <si>
    <t>10.1016--j.visres.2005.04.013.pdf</t>
  </si>
  <si>
    <t>texture, perception, computational vision, natural images</t>
  </si>
  <si>
    <t>texture representations in the human visual system</t>
  </si>
  <si>
    <t>Boyce, V., Mathur, M., &amp; Frank, M. C. (2023). Eleven years of student replication projects provide evidence on the correlates of replicability in psychology. Royal Society Open Science, 10(11), 231240. https://doi.org/10.1098/rsos.231068</t>
  </si>
  <si>
    <t>Boyce_etal202360_1</t>
  </si>
  <si>
    <t>Boyce_etal202360</t>
  </si>
  <si>
    <t>Hernandez, I. A., Silverman, D. M., &amp; Destin, M. (2021). From deficit to benefit: Highlighting lower-SES students' background-specific strengths reinforces their academic persistence. Journal of Experimental Social Psychology, 92, 104080.</t>
  </si>
  <si>
    <t>10.1016/j.jesp.2020.104080</t>
  </si>
  <si>
    <t>socioeconomic status, strengths-based, adversity, academic persistence, motivation</t>
  </si>
  <si>
    <t>Highlighting lower-SES students' background-specific strengths reinforces their academic persistence</t>
  </si>
  <si>
    <t>"These analyses showed a significant effect of C1, F(2,196) = 22.33, p &lt; .001, β = 0.32, 95% CI [0.19, 0.45] "," college students from lower-SES backgrounds who reflected on their background specific-strengths were significantly more likely to: 1) endorse the idea that they have gained unique strengths from their backgrounds and that they are an asset to their schools and society, 2) be inclined to persist in the face of academic difficulty, and 3) display greater state self-esteem compared with students in the active and passive control conditions."</t>
  </si>
  <si>
    <t>https://osf.io/7dh3m</t>
  </si>
  <si>
    <t>Boyce, V., Mathur, M., &amp; Frank, M. C. (2023). Eleven years of student replication projects provide evidence on the correlates of replicability in psychology. Royal Society Open Science, 10(11), 231240. https://doi.org/10.1098/rsos.231121</t>
  </si>
  <si>
    <t>Participants randomly assigned to the BSS condition displayed significantly greater endorsement of background-specific strengths than participants in the control conditions</t>
  </si>
  <si>
    <t>Boyce_etal202361_1</t>
  </si>
  <si>
    <t>Boyce_etal202361</t>
  </si>
  <si>
    <t xml:space="preserve"> study is possibly pregistered but links are not always included in the reports; coded as nested (mixed-effects regression) and not reported tails (95% CI is two-tailed but no note on p-values is present for the table)</t>
  </si>
  <si>
    <t>Hopkins, E. J., Weisberg, D. S., &amp; Taylor, J. C. (2016). The seductive allure is a reductive allure: People prefer scientific explanations that contain logically irrelevant reductive information. Cognition, 155, 67-76.</t>
  </si>
  <si>
    <t>10.1016/j.cognition.2016.06.011</t>
  </si>
  <si>
    <t>seductive allure effect</t>
  </si>
  <si>
    <t>explanations, seductive allure, decision making</t>
  </si>
  <si>
    <t>People prefer scientific explanations that contain logically irrelevant reductive information</t>
  </si>
  <si>
    <t>"The primary research questions were whether participants would prefer reductive explanations and whether this would differ by the science of the phenomenon. The regression revealed a significant main effect of explanation level"</t>
  </si>
  <si>
    <t>t. 2</t>
  </si>
  <si>
    <t>The p value tails and nested variables values for the original and replication studies need to be validated further;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</si>
  <si>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https://doi.org/10.1098/rsos.231122</t>
  </si>
  <si>
    <t>reductive explanations</t>
  </si>
  <si>
    <t>whether participants would prefer reductive explanations and whether this would differ by the science of the phenomenon.</t>
  </si>
  <si>
    <t>p.72</t>
  </si>
  <si>
    <t>Boyce_etal202362_1</t>
  </si>
  <si>
    <t>Boyce_etal202362</t>
  </si>
  <si>
    <t>Hughes, M. L., Geraci, L., &amp; De Forrest, R. L. (2013). Aging 5 years in 5 minutes: The effect of taking a memory test on older adults’ subjective age. Psychological Science, 24(12), 2481-2488.</t>
  </si>
  <si>
    <t>10.1177/0956797613494853</t>
  </si>
  <si>
    <t>10.1177--0956797613494853.pdf</t>
  </si>
  <si>
    <t>subjective-aging effect</t>
  </si>
  <si>
    <t>aging, memory, subjective age, context, stereotypes</t>
  </si>
  <si>
    <t>effect of taking a memory test on older adults’ subjective age</t>
  </si>
  <si>
    <t>"Participants felt older after taking a memory test (M = 54.79 years, SD = 16.79) than at baseline (M = 50.04 years, SD = 13.80), t(27) = 2.71, SE = 1.75; d = 0.76, 95% CI = [0.33, 1.18] "," the subjective-aging effect observed in Studies 1 and 2 was replicated in Study 3, which used a constant wording of the subjective-age question."</t>
  </si>
  <si>
    <t>Boyce data set reports 57 participants in O, while 6 were excluded from the analysis. Calculated p for O myself</t>
  </si>
  <si>
    <t>The number of participants for the memory test which was the main focus for this replication was 57. The three participants excluded were for the vocabulary test; therefore, the 51 participants is not correct. study is possibly pregistered but links are not always included in the reports -&gt; -&gt; p-value not reported (CI does not include 0, though); N coded from df (27+2) for pairs of observations</t>
  </si>
  <si>
    <t>Boyce, V., Mathur, M., &amp; Frank, M. C. (2023). Eleven years of student replication projects provide evidence on the correlates of replicability in psychology. Royal Society Open Science, 10(11), 231240. https://doi.org/10.1098/rsos.231123</t>
  </si>
  <si>
    <t>Participants felt older after taking a memory test (M = 54.79 years, SD = 16.79) than at baseline (M = 50.04 years, SD = 13.80), t(27) = 2.71, SE = 1.75; d = 0.76, 95% CI = [0.33, 1.18].</t>
  </si>
  <si>
    <t>Boyce_etal202363_1</t>
  </si>
  <si>
    <t>Boyce_etal202363</t>
  </si>
  <si>
    <t xml:space="preserve"> study is possibly pregistered but links are not always included in the reports; coded as within subjects (nested = yes)</t>
  </si>
  <si>
    <t>Huh, Y. E., Vosgerau, J., &amp; Morewedge, C. K. (2016). More similar but less satisfying: Comparing preferences for and the efficacy of within-and cross-category substitutes for food. Psychological Science, 27(6), 894-903.</t>
  </si>
  <si>
    <t>10.1177/0956797616640705</t>
  </si>
  <si>
    <t>10.1177--0956797616640705.pdf</t>
  </si>
  <si>
    <t>Contrast effect</t>
  </si>
  <si>
    <t>substitution, preferences, satiation, contrast effect, categorization, open data, open materials</t>
  </si>
  <si>
    <t>preferences for and the efficacy of within-and cross-category substitutes for food</t>
  </si>
  <si>
    <t>"participants expected to enjoy eating the desired foods (M = 3.85, SD = 0.83) more than the cross-category substitutes (M = 3.48, SD = 0.81), and they expected to enjoy both more than the within-category substitutes (M = 2.86, SD = 0.90), all t(100)s &gt; 7.53, all ps &lt; .001 "," the heuristic people use to choose substitutes is usually misguided. Participants believed that within-category substitutes would more effectively satisfy their craving for a desired stimulus than would cross-category substitutes of similar or superior quality. By contrast, cross-category substitutes were more satisfying than within-category substitutes when both were inferior to the desired stimulus."</t>
  </si>
  <si>
    <t>3,8</t>
  </si>
  <si>
    <t>Boyce, V., Mathur, M., &amp; Frank, M. C. (2023). Eleven years of student replication projects provide evidence on the correlates of replicability in psychology. Royal Society Open Science, 10(11), 231240. https://doi.org/10.1098/rsos.231124</t>
  </si>
  <si>
    <t>On average, participants expected to enjoy eating the desired foods (M = 3.85, SD = 0.83) more than the cross-category substitutes (M = 3.48, SD = 0.81),</t>
  </si>
  <si>
    <t>Boyce_etal202364_1</t>
  </si>
  <si>
    <t>Boyce_etal202364</t>
  </si>
  <si>
    <t>The claim cannot be traced from the test statistic of the original study in the replication table. There is no sufficient data for the replication study in the replication table to fully code this task</t>
  </si>
  <si>
    <t>This needs to be validated further study is possibly pregistered but links are not always included in the reports</t>
  </si>
  <si>
    <t>Huntington‐Klein, N. (2018). College choice as a collective decision. Economic Inquiry, 56(2), 1202-1219.</t>
  </si>
  <si>
    <t>10.1111/ecin.12470</t>
  </si>
  <si>
    <t>10.1111--ecin.12470.pdf</t>
  </si>
  <si>
    <t>Marginal effecr</t>
  </si>
  <si>
    <t>choice, college, decision, education</t>
  </si>
  <si>
    <t>College choice as a collective decision</t>
  </si>
  <si>
    <t>Parents put more emphasis on the student’s opinion than the student puts on the parent’s opinion, at least for the higher two marginal effects. The difference is especially strong for the change from Dislike to Like.</t>
  </si>
  <si>
    <t>p.1210, Table 2, row "dislike to like", difference</t>
  </si>
  <si>
    <t>bse:b=.061</t>
  </si>
  <si>
    <t>No statistics for R in Boyce data set, d for O calculated by me</t>
  </si>
  <si>
    <t>There is a need to validate the calculated values for the original study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</si>
  <si>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https://doi.org/10.1098/rsos.231125</t>
  </si>
  <si>
    <t>p.1210</t>
  </si>
  <si>
    <t>Boyce_etal202365_1</t>
  </si>
  <si>
    <t>Boyce_etal202365</t>
  </si>
  <si>
    <t>There is no sufficient data for the replication study in the replication table to code this task fully</t>
  </si>
  <si>
    <t>help needed to validate this entry study is possibly pregistered but links are not always included in the reports</t>
  </si>
  <si>
    <t>Jakesch, M., French, M., Ma, X., Hancock, J. T., &amp; Naaman, M. (2019, May). AI-mediated communication: How the perception that profile text was written by AI affects trustworthiness. In Proceedings of the 2019 CHI Conference on Human Factors in Computing Systems (pp. 1-13).</t>
  </si>
  <si>
    <t>10.1145/3290605.3300469</t>
  </si>
  <si>
    <t>10.1145--3290605.3300469.pdf</t>
  </si>
  <si>
    <t>Replicant effect</t>
  </si>
  <si>
    <t>AI-MC, artificial Intelligence, CMC, trust</t>
  </si>
  <si>
    <t>How the perception that profile text was written by AI affects trustworthiness (Control)</t>
  </si>
  <si>
    <t>"None of the main effects were significant predictors; as expected, the treatment did not have a significant effect on the evaluation of “human” pro files. However, in the labeled and primed conditions hosts with AI-like profiles received significantly lower trust rat ings."</t>
  </si>
  <si>
    <t>bseb=0.089(1.434)</t>
  </si>
  <si>
    <t>https://osf.io/qg3m2/registrations</t>
  </si>
  <si>
    <t>bseb=-2.63845(1.747710)</t>
  </si>
  <si>
    <t>Boyce_etal202365_b</t>
  </si>
  <si>
    <t>How the perception that profile text was written by AI affects trustworthiness (Unlabeled)</t>
  </si>
  <si>
    <t>bseb=-3.096(1.981)</t>
  </si>
  <si>
    <t>Boyce_etal202365_c</t>
  </si>
  <si>
    <t>How the perception that profile text was written by AI affects trustworthiness (Labeled)</t>
  </si>
  <si>
    <t>bseb=-4.352(2.135)</t>
  </si>
  <si>
    <t>Boyce_etal202365_d</t>
  </si>
  <si>
    <t>How the perception that profile text was written by AI affects trustworthiness (Primed)</t>
  </si>
  <si>
    <t>bseb=-4.976(2.028)</t>
  </si>
  <si>
    <t>Sample zise in O after exclusion is 208, while in Boyce reported as 108, probably typo. No Size effect and P value reported in R</t>
  </si>
  <si>
    <t>Boyce, V., Mathur, M., &amp; Frank, M. C. (2023). Eleven years of student replication projects provide evidence on the correlates of replicability in psychology. Royal Society Open Science, 10(11), 231240. https://doi.org/10.1098/rsos.231126</t>
  </si>
  <si>
    <t xml:space="preserve">However, in ... primed condition hosts with Al-like profiles received significantly lower trust ratings. </t>
  </si>
  <si>
    <t>https://osf.io/qg3m2/</t>
  </si>
  <si>
    <t>Boyce_etal202366_1</t>
  </si>
  <si>
    <t>Boyce_etal202366</t>
  </si>
  <si>
    <t>Jara-Ettinger, J., Levy, R., Sakel, J., Huanca, T., &amp; Gibson, E. (2022). The origins of the shape bias: Evidence from the Tsimane’. Journal of Experimental Psychology: General.</t>
  </si>
  <si>
    <t>10.1037/xge0001195</t>
  </si>
  <si>
    <t>word learning, shape bias, cross-cultural studies</t>
  </si>
  <si>
    <t>shape bias: Evidence from the Tsimane’</t>
  </si>
  <si>
    <t>"the majority of U.S. adults preferred to generalize the object label by shape (68.75% of choices) over material (28.48% of choices) and color (2.77% of choices) "," that humans generalize object labels based on the features that they believe will be diagnostic of the object’s category"</t>
  </si>
  <si>
    <t>6,7</t>
  </si>
  <si>
    <t>proportion: 99/144</t>
  </si>
  <si>
    <t>proportion</t>
  </si>
  <si>
    <t>https://osf.io/egc9y/</t>
  </si>
  <si>
    <t>proportion: 91/147</t>
  </si>
  <si>
    <t>Boyce, V., Mathur, M., &amp; Frank, M. C. (2023). Eleven years of student replication projects provide evidence on the correlates of replicability in psychology. Royal Society Open Science, 10(11), 231240. https://doi.org/10.1098/rsos.231127</t>
  </si>
  <si>
    <t>https://osf.io/egc9y/.</t>
  </si>
  <si>
    <t>Boyce_etal202367_1</t>
  </si>
  <si>
    <t>Boyce_etal202367</t>
  </si>
  <si>
    <t xml:space="preserve"> study is possibly pregistered but links are not always included in the reports; replaced value from r report with test statistics from o report</t>
  </si>
  <si>
    <t>Jones, L. L., &amp; Estes, Z. (2006). Roosters, robins, and alarm clocks: Aptness and conventionality in metaphor comprehension. Journal of Memory and Language, 55(1), 18-32.</t>
  </si>
  <si>
    <t>10.1016/j.jml.2006.02.004</t>
  </si>
  <si>
    <t>metaphor comprehension, career of metaphor, conventionality, aptness</t>
  </si>
  <si>
    <t>Aptness and conventionality in metaphor comprehension</t>
  </si>
  <si>
    <t>"The main effect of Aptness was highly significant in the analyses of both comprehension times [Fp (1, 59) = 77.05, p &lt; .001 and Fi(1, 124) = 34.88, p &lt; .001] and ease-of-interpretation ratings [Fp (1, 59) = 121.14, p &lt; .001 and Fi(1, 124) = 57.69, p &lt; .001] "," results indicated that aptness mediated metaphor comprehension. The categorization model was therefore supported."</t>
  </si>
  <si>
    <t>F(1, 59) = 77.05</t>
  </si>
  <si>
    <t>Boyce, V., Mathur, M., &amp; Frank, M. C. (2023). Eleven years of student replication projects provide evidence on the correlates of replicability in psychology. Royal Society Open Science, 10(11), 231240. https://doi.org/10.1098/rsos.231128</t>
  </si>
  <si>
    <t>ease of comprehension</t>
  </si>
  <si>
    <t>Aptness facilitated both the speed and the ease of comprehension. The main effect of Aptness was highly significant in the analyses of ... comprehension times [ F(1, 59) = 77.05, p &lt; .001</t>
  </si>
  <si>
    <t>26,27</t>
  </si>
  <si>
    <t xml:space="preserve"> F(1, 59) = 77.05</t>
  </si>
  <si>
    <t>Boyce_etal202368_1</t>
  </si>
  <si>
    <t>Boyce_etal202368</t>
  </si>
  <si>
    <t>Jordan, J. J., Sommers, R., Bloom, P., &amp; Rand, D. G. (2017). Why do we hate hypocrites? Evidence for a theory of false signaling. Psychological science, 28(3), 356-368.</t>
  </si>
  <si>
    <t>10.1177/0956797616685771</t>
  </si>
  <si>
    <t>10.1177--0956797616685771.pdf</t>
  </si>
  <si>
    <t>moral psychology, condemnation, vignettes, deception, social signaling, open data, open materials</t>
  </si>
  <si>
    <t>Disliking hypocrites (theory of false signaling)</t>
  </si>
  <si>
    <t>"a significant effect of condition, F(2, 448) = 26.48, p &lt; .001, ηp2 = .106 "," This result confirmed our prediction that hypocrites would be seen as worse than liars. It also  demonstrates that people disapprove of false signalers (hypocrites and liars) more than they disapprove of people who commit the same transgressions but do not condemn other people for those transgressions or lie about engaging in them."</t>
  </si>
  <si>
    <t>pairwise comparison was chosen over omnibus test</t>
  </si>
  <si>
    <t>Boyce, V., Mathur, M., &amp; Frank, M. C. (2023). Eleven years of student replication projects provide evidence on the correlates of replicability in psychology. Royal Society Open Science, 10(11), 231240. https://doi.org/10.1098/rsos.231129</t>
  </si>
  <si>
    <t>We followed up with pairwise comparisons and found that hypocrites (M = 32.07, SD = 15.93) were evaluated as worse than liars (M = 36.15, SD = 15.37), mean difference = −4.08, 95% CI = [−7.63, −0.53], t(299) =
−2.26, p = .025, d = −0.26,</t>
  </si>
  <si>
    <t>p.7, 8</t>
  </si>
  <si>
    <t>Boyce_etal202368_b</t>
  </si>
  <si>
    <t>Boyce, V., Mathur, M., &amp; Frank, M. C. (2023). Eleven years of student replication projects provide evidence on the correlates of replicability in psychology. Royal Society Open Science, 10(11), 231240. https://doi.org/10.1098/rsos.231130</t>
  </si>
  <si>
    <t>Pairwise comparisons revealed that traditional hypocrites (M = 34.35, SD = 13.76) were evalu-
ated more negatively than both honest hypocrites (M = 46.62, SD = 14.01), mean difference = −12.28, 95% CI = [−15.41, −9.14], t(301) = −7.69, p &lt; .001, d = −0.88,</t>
  </si>
  <si>
    <t>https://rpubs.com/Lsantos/442792 - recoded to match direction of original</t>
  </si>
  <si>
    <t>Boyce_etal202369_1</t>
  </si>
  <si>
    <t>Boyce_etal202369</t>
  </si>
  <si>
    <t>"a significant effect of condition, F(2, 449) = 35.62, p &lt; .001, ηp2 = .137 "," as predicted, our honest hypocrite manipulation fully eliminated disapproval of 
hypocrisy; honest hypocrites received ratings that were no worse than the ratings of control transgressors."</t>
  </si>
  <si>
    <t>Boyce_etal20237_1</t>
  </si>
  <si>
    <t>Boyce_etal20237</t>
  </si>
  <si>
    <t>The entries are both correct study is possibly pregistered but links are not always included in the reports</t>
  </si>
  <si>
    <t>Belding, J. N., Naufel, K. Z., &amp; Fujita, K. (2015). Using high-level construal and perceptions of changeability to promote self-change over self-protection motives in response to negative feedback. Personality and Social Psychology Bulletin, 41(6), 822-838.</t>
  </si>
  <si>
    <t>10.1177/0146167215580776</t>
  </si>
  <si>
    <t>3A</t>
  </si>
  <si>
    <t>10.1177--0146167215580776.pdf</t>
  </si>
  <si>
    <t>construal level theory, perceived changeability, defensive information processing, self-threat, self-change, health communication</t>
  </si>
  <si>
    <t>Promoting self-change over self-protection motives in response to negative feedback using high-level construal and perceptions and changeability</t>
  </si>
  <si>
    <t>"when one’s risk was portrayed as changeable, high-level construal (M3A = 3.95, SD3A = 1.55) generally increased motivation to get supplementary information relative to low-level construal (M3A = 3.51, SD3A = 1.74), F3A(1, 160) = 7.81, p = .006, d = 0.44 (95% CI = [0.18, 0.70]) "," we have stronger evidence that high-level (vs. low-level) construal promoted acceptance of negative feedback to the degree that the feedback domain was perceived as changeable rather than unchangeable."</t>
  </si>
  <si>
    <t>8,9</t>
  </si>
  <si>
    <t>Boyce, V., Mathur, M., &amp; Frank, M. C. (2023). Eleven years of student replication projects provide evidence on the correlates of replicability in psychology. Royal Society Open Science, 10(11), 231240. https://doi.org/10.1098/rsos.231069</t>
  </si>
  <si>
    <t>when one’s risk was portrayed as changeable, high-level construal (M3A = 3.95, SD3A = 1.55) generally increased motivation to get supplementary information relative to low-level construal (M3A = 3.51, SD3A = 1.74), F3A(1, 160) = 7.81, p = .006, d = 0.44 (95% CI = [0.18, 0.70]).</t>
  </si>
  <si>
    <t>p. 829</t>
  </si>
  <si>
    <t>Boyce_etal202370_1</t>
  </si>
  <si>
    <t>Boyce_etal202370</t>
  </si>
  <si>
    <t>Organizational science discipline categorized as management</t>
  </si>
  <si>
    <t xml:space="preserve"> study is possibly pregistered but links are not always included in the reports; coded as conceptual ("far"), chose effect size as identified in R report</t>
  </si>
  <si>
    <t>Kacperczyk, O., &amp; Younkin, P. (2022). A founding penalty: evidence from an audit study on gender, entrepreneurship, and future employment. Organization Science, 33(2), 716-745.</t>
  </si>
  <si>
    <t>10.1287/orsc.2021.1456</t>
  </si>
  <si>
    <t>10.1287--orsc.2021.1456.pdf</t>
  </si>
  <si>
    <t>entrepreneurship, gender inequality, field study</t>
  </si>
  <si>
    <t>A founding penalty: evidence from an audit study on gender, entrepreneurship, and future employment</t>
  </si>
  <si>
    <t>"participants gave a significantly stronger (t = 2.05, p = 0.04) interview recommendation to confounders (mean  5.73) than to ex-founders (mean = 5.40), and female ex-founders received a significantly higher recommendation (t = 4.33, p = 0.01, mean = 5.89) than male ex-founders (mean =  4.86) "," the negative link between the history of founding and hiring recommendation is mediated by the recruiters’ perception of fitness "," the history of founding is more likely to trigger the perception of being ill-fit for wage work among men than women. Finally, these differential perceptions lead recruiters to discount male ex-founders more than female ex-founders."</t>
  </si>
  <si>
    <t>16,17,18</t>
  </si>
  <si>
    <t>Alisa</t>
  </si>
  <si>
    <t>Boyce, V., Mathur, M., &amp; Frank, M. C. (2023). Eleven years of student replication projects provide evidence on the correlates of replicability in psychology. Royal Society Open Science, 10(11), 231240. https://doi.org/10.1098/rsos.231131</t>
  </si>
  <si>
    <t>Consistent with the audit results, participants gave a significantly stronger (t  2.05, p  0.04) interview recommendation to nonfounders</t>
  </si>
  <si>
    <t>p.730</t>
  </si>
  <si>
    <t>Boyce_etal202371_1</t>
  </si>
  <si>
    <t>Boyce_etal202371</t>
  </si>
  <si>
    <t>Keysar, B., Lin, S., &amp; Barr, D. J. (2003). Limits on theory of mind use in adults. Cognition, 89(1), 25-41.</t>
  </si>
  <si>
    <t>10.1016/s0010-0277(03)00064-7</t>
  </si>
  <si>
    <t>10.1016--s0010-0277(03)00064-7.pdf</t>
  </si>
  <si>
    <t>theory of mind, perspective taking, egocentrism</t>
  </si>
  <si>
    <t>Limits on theory of mind use in adults</t>
  </si>
  <si>
    <t>"In contrast to the baseline condition when participants never attempted to move the bag, in almost a third of the cases participants attempted to move the bag in the experimental condition (30%). The great majority of participants (71%) attempted to move the bag in at least one out of the four critical cases, and 46% attempted to move it for half or more of the items"</t>
  </si>
  <si>
    <t xml:space="preserve"> prop:27/38,0/38</t>
  </si>
  <si>
    <t>prop:13/14,2/14</t>
  </si>
  <si>
    <t>Boyce, V., Mathur, M., &amp; Frank, M. C. (2023). Eleven years of student replication projects provide evidence on the correlates of replicability in psychology. Royal Society Open Science, 10(11), 231240. https://doi.org/10.1098/rsos.231132</t>
  </si>
  <si>
    <t>Boyce_etal202372_1</t>
  </si>
  <si>
    <t>Boyce_etal202372</t>
  </si>
  <si>
    <t>Kim, H., &amp; Markus, H. R. (1999). Deviance or uniqueness, harmony or conformity? A cultural analysis. Journal of personality and social psychology, 77(4), 785.</t>
  </si>
  <si>
    <t>10.1037/0022-3514.77.4.785</t>
  </si>
  <si>
    <t>deviance, uniqueness, harmony, conformity, cultural values</t>
  </si>
  <si>
    <t>Deviance or uniqueness, harmony or conformity?</t>
  </si>
  <si>
    <t>" there was a strong cultural difference for both unique and plural minority subfigures. Planned comparisons showed that liking for the unique subfigures differed between European Americans (M = 5.88, SD = 2.11) and Koreans (M 3.81, SD = 1.91), t(74) = 4.55, p &lt; .01. Liking for the plural minority subfigures also differed, although to a lesser degree, between European Americans and Koreans (Ms = 5.63 and 4.33, SDs 1.51 and 1.46, respectively), t(69) = 3.68, p &lt; .01 "," The results of this study support the hypothesis that European American and East Asian preference judgments are heavily influ- enced by their cultural perspectives toward conformity and unique- ness"</t>
  </si>
  <si>
    <t>d for O copied from Boyce dataset, though I'm not sure that it's correct</t>
  </si>
  <si>
    <t>The d is correct from the double coding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</si>
  <si>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https://doi.org/10.1098/rsos.231133</t>
  </si>
  <si>
    <t>a strong cultural difference for both unique and plural minority subfigures. Planned comparisons showed that liking for the unique subfigures differed between European Americans (M = 5.88, SD = 2.11) and Koreans (M = 3.81, SD = 1.91), t (74) = 4.55, p &lt; 01.</t>
  </si>
  <si>
    <t>p.789</t>
  </si>
  <si>
    <t>Boyce_etal202373_1</t>
  </si>
  <si>
    <t>Boyce_etal202373</t>
  </si>
  <si>
    <t>The double coding are similar; hence both are correct "chosen" study is possibly pregistered but links are not always included in the reports</t>
  </si>
  <si>
    <t>Kiyonaga, A., &amp; Egner, T. (2014). The working memory Stroop effect: When internal representations clash with external stimuli. Psychological science, 25(8), 1619-1629.</t>
  </si>
  <si>
    <t>10.1177/0956797614536739</t>
  </si>
  <si>
    <t>10.1177--0956797614536739.pdf</t>
  </si>
  <si>
    <t>Stroop effect</t>
  </si>
  <si>
    <t>working memory, short-term memory, visual attention, selective attention, open materials</t>
  </si>
  <si>
    <t>working memory Stroop effect</t>
  </si>
  <si>
    <t>"participants were much slower to make the ink-color response in the incongruent condition than in the congruent condition, F(1, 33) = 74.14, p &lt; .001, ηp2 = .69 "," internally maintaining a color word incongruent with an external color patch drastically slowed the naming of that patch, analogous to when the word was simultaneously attended externally"</t>
  </si>
  <si>
    <t>Boyce, V., Mathur, M., &amp; Frank, M. C. (2023). Eleven years of student replication projects provide evidence on the correlates of replicability in psychology. Royal Society Open Science, 10(11), 231240. https://doi.org/10.1098/rsos.231134</t>
  </si>
  <si>
    <t>For both tasks combined, participants were much slower to make the ink-color response in the incongruent condition than in the congruent condition, F(1, 33) = 74.14, p &lt; .001, ηp2 = .69.</t>
  </si>
  <si>
    <t>p. 1622</t>
  </si>
  <si>
    <t>Boyce_etal202374_1</t>
  </si>
  <si>
    <t>Boyce_etal202374</t>
  </si>
  <si>
    <t xml:space="preserve"> study is possibly pregistered but links are not always included in the reports; original study coded as non-nested because oen DV was apparently chosen by condition and participants were in one of the two conditions; also main effect is coded</t>
  </si>
  <si>
    <t>Ko, S. J., Sadler, M. S., &amp; Galinsky, A. D. (2015). The sound of power: Conveying and detecting hierarchical rank through voice. Psychological Science, 26(1), 3-14.</t>
  </si>
  <si>
    <t>10.1177/0956797614553009</t>
  </si>
  <si>
    <t>10.1177--0956797614553009.pdf</t>
  </si>
  <si>
    <t>social cognition, social perception, open data, open materials</t>
  </si>
  <si>
    <t>Conveying and detecting hierarchical rank through voice</t>
  </si>
  <si>
    <t>"a main effect of speaker’s condition, F(1, 55) = 83.67, p &lt; .001 (all other ps &gt; .22). Speakers who had been in the high-rank condition - regardless of their sex—were rated as more likely to engage in high-rank behaviors (M = 4.30, SD = 0.28) than were those in the low-rank condition (M = 3.45, SD = 0.42)."</t>
  </si>
  <si>
    <t>Boyce, V., Mathur, M., &amp; Frank, M. C. (2023). Eleven years of student replication projects provide evidence on the correlates of replicability in psychology. Royal Society Open Science, 10(11), 231240. https://doi.org/10.1098/rsos.231135</t>
  </si>
  <si>
    <t>We found only a main effect of speaker’s condition, F(1, 55) = 83.67, p &lt; .001</t>
  </si>
  <si>
    <t>F(1, 55) = 83.67</t>
  </si>
  <si>
    <t>F(1,20)=30.932</t>
  </si>
  <si>
    <t>Boyce_etal202375_1</t>
  </si>
  <si>
    <t>Boyce_etal202375</t>
  </si>
  <si>
    <t>Help needed to validate this entry study is possibly pregistered but links are not always included in the reports</t>
  </si>
  <si>
    <t>Konkle, T., &amp; Oliva, A. (2011). Canonical visual size for real-world objects. Journal of Experimental Psychology: human perception and performance, 37(1), 23.</t>
  </si>
  <si>
    <t>10.1037/a0020413</t>
  </si>
  <si>
    <t>canonical perspective, canonical viewpoint, visual size, physical size, object representation</t>
  </si>
  <si>
    <t>Canonical visual size for real-world objects (effect of the size rank of the object on the drawn size of the object)</t>
  </si>
  <si>
    <t>"There was a significant main effect of the size rank of the object on the drawn size of the object (F(7, 391) = 30.1, p &lt; .001, np2 = .35). That is, objects that are small in the world were drawn smaller on the page than objects that are large in the world "," show a clear linear relationship between the drawn size and the size rank (r2 = 0.88, p &lt; .001, collapsing across paper size). Thus, this also demonstrates that the drawn size of an object is proportional to the logarithm of its real-world size."</t>
  </si>
  <si>
    <t>Boyce_etal202375_b</t>
  </si>
  <si>
    <t>Canonical visual size for real-world objects (effect of paper size on drawn size)</t>
  </si>
  <si>
    <t>"There was also a significant effect of paper size on drawn size (F(2, 41) = 70.9, p &lt; .001, np2 = .78), where the average drawn size of objects increased as the paper size increased "," show a clear linear relationship between the drawn size and the size rank (r2 = 0.88, p &lt; .001, collapsing across paper size). Thus, this also demonstrates that the drawn size of an object is proportional to the logarithm of its real-world size."</t>
  </si>
  <si>
    <t>Boyce_etal202375_c</t>
  </si>
  <si>
    <t>Canonical visual size for real-world objects (interaction between the paper size and the effect of the object size)</t>
  </si>
  <si>
    <t>"there was a significant interaction between the paper size and the effect of the object size (F(14, 391) = 4.3, p &lt; .001, np2 = .13). In other words, there was a smaller range of drawn object sizes on the small paper, with progressively greater ranges of drawn sizes on the medium and large paper. "," show a clear linear relationship between the drawn size and the size rank (r2 = 0.88, p &lt; .001, collapsing across paper size). Thus, this also demonstrates that the drawn size of an object is proportional to the logarithm of its real-world size."</t>
  </si>
  <si>
    <t>replication states pear:r=0.9380832,n=1024 for O, but no matching statistics in the paper, hence not possible to extract claim and check reliability. Available statistics extracted from Boyce</t>
  </si>
  <si>
    <t>Boyce, V., Mathur, M., &amp; Frank, M. C. (2023). Eleven years of student replication projects provide evidence on the correlates of replicability in psychology. Royal Society Open Science, 10(11), 231240. https://doi.org/10.1098/rsos.231136</t>
  </si>
  <si>
    <t>Boyce_etal202376_1</t>
  </si>
  <si>
    <t>Boyce_etal202376</t>
  </si>
  <si>
    <t>No statistics for coding study is possibly pregistered but links are not always included in the reports</t>
  </si>
  <si>
    <t>Korman, J., &amp; Khemlani, S. (2020). Teleological generics. Cognition, 200, 104157.</t>
  </si>
  <si>
    <t>10.1016/j.cognition.2019.104157</t>
  </si>
  <si>
    <t>generics, teleology, concepts, principled connections, formal explanations</t>
  </si>
  <si>
    <t>Teleological generics</t>
  </si>
  <si>
    <t>https://osf.io/92qp3/.</t>
  </si>
  <si>
    <t>Boyce, V., Mathur, M., &amp; Frank, M. C. (2023). Eleven years of student replication projects provide evidence on the correlates of replicability in psychology. Royal Society Open Science, 10(11), 231240. https://doi.org/10.1098/rsos.231137</t>
  </si>
  <si>
    <t>https://osf.io/vzmdj</t>
  </si>
  <si>
    <t>Boyce_etal202377_1</t>
  </si>
  <si>
    <t>Boyce_etal202377</t>
  </si>
  <si>
    <t>Kouchaki, M., Dobson, K. S., Waytz, A., &amp; Kteily, N. S. (2018). The link between self-dehumanization and immoral behavior. Psychological science, 29(8), 1234-1246.</t>
  </si>
  <si>
    <t>10.1177/0956797618760784</t>
  </si>
  <si>
    <t>10.1177--0956797618760784.pdf</t>
  </si>
  <si>
    <t>morality, self-dehumanization, repeated dishonesty, open data, preregistered</t>
  </si>
  <si>
    <t>link between self-dehumanization and immoral behavior</t>
  </si>
  <si>
    <t>"A one-way analysis of variance on self-dehumanization scores revealed a significant difference among the three conditions, F(2, 153) = 3.50, p = .033, ηp2 = .04. Participants who recalled an unethical act self-reported marginally lower human capabilities (M = 5.82, SD = 1.11) compared with those in the neutral condition (M = 6.16, SD = 0.73, p = .064) and significantly lower human capabilities compared with those who recalled an ethical act (M = 6.23, SD = 0.65, p = .022). There was no significant difference between the ethical and neutral conditions (p = .61)."</t>
  </si>
  <si>
    <t>d Orig extracted from Boyce</t>
  </si>
  <si>
    <t>help needed to validate the d chosen from the replication table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</si>
  <si>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https://doi.org/10.1098/rsos.231138</t>
  </si>
  <si>
    <t>marginally lower</t>
  </si>
  <si>
    <t>Participants who recalled an unethical act self-reported marginally lower human capabilities (M = 5.82, SD = 1.11) ... and significantly lower human capabilities compared with those who recalled an ethical act (M = 6.23, SD = 0.65, p = .022).</t>
  </si>
  <si>
    <t>https://osf.io/ebhku/</t>
  </si>
  <si>
    <t>Boyce_etal202378_1</t>
  </si>
  <si>
    <t>Boyce_etal202378</t>
  </si>
  <si>
    <t>Kovács, Á. M., Téglás, E., &amp; Endress, A. D. (2010). The social sense: Susceptibility to others’ beliefs in human infants and adults. Science, 330(6012), 1830-1834.</t>
  </si>
  <si>
    <t>10.1126/science.1190792</t>
  </si>
  <si>
    <t>10.1126--science.1190792.pdf</t>
  </si>
  <si>
    <t>social sense, beliefs, infants, adults</t>
  </si>
  <si>
    <t>Susceptibility to others’ beliefs in human infants and adults</t>
  </si>
  <si>
    <t>"Our critical comparison involves the baseline condition and the condition where only the agent believed that the ball was behind the occluder. Results showed that participants were faster than in the baseline condition when only the agent believed the ball to be behind the occluder [t(23) = 2.42, P = 0.02]. This suggests that they computed the agent’s belief and that this belief influenced their behavior even though it was inconsistent with their own belief."</t>
  </si>
  <si>
    <t>Boyce_etal202379_1</t>
  </si>
  <si>
    <t>Boyce_etal202379</t>
  </si>
  <si>
    <t>There is no sufficient data for the replication study in the replication table to code this task fully. Also, the claim is not clear in the original study.</t>
  </si>
  <si>
    <t>Krauss, S., &amp; Wang, X. T. (2003). The psychology of the Monty Hall problem: discovering psychological mechanisms for solving a tenacious brain teaser. Journal of Experimental Psychology: General, 132(1), 3.</t>
  </si>
  <si>
    <t>10.1037/0096-3445.132.1.3</t>
  </si>
  <si>
    <t>monty hall problem, tenacious brain teaser, mental models, frequency</t>
  </si>
  <si>
    <t>Monty Hall problem: discovering psychological mechanisms for solving a tenacious brain teaser</t>
  </si>
  <si>
    <t>Boyce, V., Mathur, M., &amp; Frank, M. C. (2023). Eleven years of student replication projects provide evidence on the correlates of replicability in psychology. Royal Society Open Science, 10(11), 231240. https://doi.org/10.1098/rsos.231139</t>
  </si>
  <si>
    <t>MA</t>
  </si>
  <si>
    <t>Boyce_etal20238_1</t>
  </si>
  <si>
    <t>Boyce_etal20238</t>
  </si>
  <si>
    <t>help needed to validate the entries study is possibly pregistered but links are not always included in the reports</t>
  </si>
  <si>
    <t>Birch, S. A., &amp; Bloom, P. (2007). The curse of knowledge in reasoning about false beliefs. Psychological Science, 18(5), 382-386.</t>
  </si>
  <si>
    <t>10.1111/j.1467-9280.2007.01909.x</t>
  </si>
  <si>
    <t>10.1111--j.1467-9280.2007.01909.x.pdf</t>
  </si>
  <si>
    <t>https://rpubs.com/lrborchers/450894</t>
  </si>
  <si>
    <t>curse of knowledge, false belief, social cognition, reasoning</t>
  </si>
  <si>
    <t>curse of knowledge (red container versus ignorance condition)</t>
  </si>
  <si>
    <t>"Subjects in the knowledge-plausible condition, who were told that the violin was moved to the red container, which was in a location where Vicki might plausibly look, assigned significantly higher probabilities to the red container than did subjects in the ignorance condition, t(105) = -2.42, prep = .95, d = 0.472 "," an adult’s own knowledge can compromise his or her ability to reason about other people’s false beliefs and to make predictions about their actions."</t>
  </si>
  <si>
    <t>3,4</t>
  </si>
  <si>
    <t>Boyce_etal20238_b</t>
  </si>
  <si>
    <t>curse of knowledge (blue container versus ignorance condition)</t>
  </si>
  <si>
    <t>"subjects in the knowledge-plausible condition assigned significantly lower probabilities to the blue container than did subjects in the ignorance condition, t(105) = 2.35, prep = .95, d = 0.459 "," an adult’s own knowledge can compromise his or her ability to reason about other people’s false beliefs and to make predictions about their actions."</t>
  </si>
  <si>
    <t>Boyce, V., Mathur, M., &amp; Frank, M. C. (2023). Eleven years of student replication projects provide evidence on the correlates of replicability in psychology. Royal Society Open Science, 10(11), 231240. https://doi.org/10.1098/rsos.231070</t>
  </si>
  <si>
    <t>Subjects in the knowledge-plausible condition, who were told that the violin was moved to the red container, which was in a location where Vicki might plausibly look, assigned significantly higher probabilities to the red container than did subjects in the ignorance condition, t(105) = 2.42, prep = .95, d = 0.472.</t>
  </si>
  <si>
    <t>p. 384</t>
  </si>
  <si>
    <t>Boyce_etal202380_1</t>
  </si>
  <si>
    <t>Boyce_etal202380</t>
  </si>
  <si>
    <t>Kupor, D. M., Laurin, K., &amp; Levav, J. (2015). Anticipating divine protection? Reminders of god can increase nonmoral risk taking. Psychological science, 26(4), 374-384.</t>
  </si>
  <si>
    <t>10.1177/0956797614563108</t>
  </si>
  <si>
    <t>10.1177--0956797614563108.pdf</t>
  </si>
  <si>
    <t>risk taking, God, religion, risk tolerance</t>
  </si>
  <si>
    <t>Reminders of god can increase nonmoral risk taking</t>
  </si>
  <si>
    <t>"participants in the God condition reported a higher willingness to take risks, b = 0.61, t(99) = 2.29, p = .024, and also perceived less danger associated with these risks, b = −0.44, t(99) = −2.97, p = .004, than did participants in the control condition "," reminders of God increased willingness to take risks because they evoked a feeling of safety from potential harm. Although this study did not directly measure whether reminders of God increase the salience of protective conceptions of God, the observed effects on perceived risk are consistent with that account."</t>
  </si>
  <si>
    <t>t(99)=2.29</t>
  </si>
  <si>
    <t>Boyce, V., Mathur, M., &amp; Frank, M. C. (2023). Eleven years of student replication projects provide evidence on the correlates of replicability in psychology. Royal Society Open Science, 10(11), 231240. https://doi.org/10.1098/rsos.231140</t>
  </si>
  <si>
    <t>participants in the God condition reported a higher willingness to take risks, b = 0.61, t(99) = 2.29, p = .024,</t>
  </si>
  <si>
    <t>Boyce_etal202381_1</t>
  </si>
  <si>
    <t>Boyce_etal202381</t>
  </si>
  <si>
    <t>Lau, G. P., Kay, A. C., &amp; Spencer, S. J. (2008). Loving those who justify inequality: the effects of system threat on attraction to women who embody benevolent sexist ideals. Psychological Science.</t>
  </si>
  <si>
    <t>10.1111/j.1467-9280.2008.02040.x</t>
  </si>
  <si>
    <t>10.1111--j.1467-9280.2008.02040.x.pdf</t>
  </si>
  <si>
    <t>system threat, benevolent sexist ideals, attraction</t>
  </si>
  <si>
    <t>effects of system threat on attraction to women who embody benevolent sexist ideals</t>
  </si>
  <si>
    <t>"A 2 (system threat vs. no threat)  2 (benevolent-stereotypic vs. non-benevolent-stereotypic) analysis of variance conducted on the mean ratings of romantic interest revealed a significant two-
way interaction, F(1, 34) = 5.89, prep = .93, o2 = .02 "," men who experienced system threat had greater romantic interest in women who embodied benevolent sexist ideals than did men who did not experience system threat, and they also had greater romantic interest in women who embodied these ideals than in women who did not embody these ideals."</t>
  </si>
  <si>
    <t>F(1,34)=5.89</t>
  </si>
  <si>
    <t>F(1,38)=1.51</t>
  </si>
  <si>
    <t>p for O extracted from Boyce</t>
  </si>
  <si>
    <t>Boyce, V., Mathur, M., &amp; Frank, M. C. (2023). Eleven years of student replication projects provide evidence on the correlates of replicability in psychology. Royal Society Open Science, 10(11), 231240. https://doi.org/10.1098/rsos.231141</t>
  </si>
  <si>
    <t>A 2 (system threat vs. no threat)  2 (benevolent-stereotypic vs. non-benevolent-stereotypic) analysis of variance conducted on the mean ratings of romantic interest revealed a significant two-
way interaction</t>
  </si>
  <si>
    <t>p.21</t>
  </si>
  <si>
    <t>Boyce_etal202382_1</t>
  </si>
  <si>
    <t>Boyce_etal202382</t>
  </si>
  <si>
    <t>Levine, S., Kleiman-Weiner, M., Schulz, L., Tenenbaum, J., &amp; Cushman, F. (2020). The logic of universalization guides moral judgment. Proceedings of the National Academy of Sciences, 117(42), 26158-26169.</t>
  </si>
  <si>
    <t>10.1073/pnas.2014505117</t>
  </si>
  <si>
    <t>10.1073--pnas.2014505117.pdf</t>
  </si>
  <si>
    <t>moral judgment, moral development, universalization</t>
  </si>
  <si>
    <t>The logic of universalization guides moral judgment</t>
  </si>
  <si>
    <t>"subjects judged John’s action to be significantly more morally acceptable in the low-interest condition than in the high-interest condition (low interest: 76%; high interest: 44%; X2 (1) = 62.0,P &lt; 0.001, two-tailed, VCramer = 0.32, CI95%[0.25, 0.40], n = 608 "," we find that more people consider John’s action morally acceptable when other relevant parties are disinterested. This pattern of judgment is predicted by the logic of universalization, but not by standard theories of outcome- or rule-based moral judgment."</t>
  </si>
  <si>
    <t>https://aspredicted.org/blind.php?x=fx3kz7</t>
  </si>
  <si>
    <t>prop:19/26,14/25</t>
  </si>
  <si>
    <t>Boyce, V., Mathur, M., &amp; Frank, M. C. (2023). Eleven years of student replication projects provide evidence on the correlates of replicability in psychology. Royal Society Open Science, 10(11), 231240. https://doi.org/10.1098/rsos.231142</t>
  </si>
  <si>
    <t>Study 2a. Preregistration site is http://aspredicted.org/blind.php?x=fx3kz7.
Study 2b. Preregistration site is https://aspredicted.org/blind.php?x=hd589d.
Study 4a. Preregistration site is https://aspredicted.org/blind.php?x=c44jr2.
Study 4b. Preregistration site is http://aspredicted.org/blind.php?
x=at7cs8.</t>
  </si>
  <si>
    <t>Boyce_etal202383_1</t>
  </si>
  <si>
    <t>Boyce_etal202383</t>
  </si>
  <si>
    <t>The t-test statistics for the original study (study 4) presented in the replication table are hard to trace in the replication study to be able to come up with a claim being studied</t>
  </si>
  <si>
    <t>Claim is not clear, es_o was taken from replication report; study is possibly pregistered but links are not always included in the reports</t>
  </si>
  <si>
    <t>Lewis Jr, N. A., &amp; Oyserman, D. (2015). When does the future begin? Time metrics matter, connecting present and future selves. Psychological science, 26(6), 816-825.</t>
  </si>
  <si>
    <t>10.1177/0956797615572231</t>
  </si>
  <si>
    <t>10.1177--0956797615572231.pdf</t>
  </si>
  <si>
    <t>motivation, future, judgment, time, situated cognition, open materials</t>
  </si>
  <si>
    <t>Time metrics matter, connecting present and future selves</t>
  </si>
  <si>
    <t>F(1,115)=7.497 (https://github.com/vboyce/251-254-MA/blob/main/data/processed_data.csv)</t>
  </si>
  <si>
    <t>Matching statistics F(1,115)=7.497 not found in the original paper, values extracted from Boyce.  Report is absent</t>
  </si>
  <si>
    <t>Boyce, V., Mathur, M., &amp; Frank, M. C. (2023). Eleven years of student replication projects provide evidence on the correlates of replicability in psychology. Royal Society Open Science, 10(11), 231240. https://doi.org/10.1098/rsos.231143</t>
  </si>
  <si>
    <t>Boyce_etal202384_1</t>
  </si>
  <si>
    <t>Boyce_etal202384</t>
  </si>
  <si>
    <t>Li, Q., Joo, S. J., Yeatman, J. D., &amp; Reinecke, K. (2020). Controlling for participants’ viewing distance in large-scale, psychophysical online experiments using a virtual chinrest. Scientific reports, 10(1), 1-11.</t>
  </si>
  <si>
    <t>10.1038/s41598-019-57204-1</t>
  </si>
  <si>
    <t>viewing distance, psychophysical, online experiments, virtual chinrest</t>
  </si>
  <si>
    <t>Controlling for participants’ viewing distance in large-scale, psychophysical online experiments using a virtual chinrest</t>
  </si>
  <si>
    <t>"The average visual crowding effects were significantly different between target eccentricity of 4° (mean=1.61°) and 6° (mean=2.66°) "," that people who self-reported having been diagnosed with dyslexia (N=59, excluding 10 who reported having additional impairments) have significantly higher visual crowding than those without in both target eccentricity conditions, consistent with the findings of prior work, although the relationship between dyslexia and visual crowding is highly debated"</t>
  </si>
  <si>
    <t>taken from replication: https://github.com/vboyce/251-254-MA/blob/main/data/processed_data.csv</t>
  </si>
  <si>
    <t>Boyce, V., Mathur, M., &amp; Frank, M. C. (2023). Eleven years of student replication projects provide evidence on the correlates of replicability in psychology. Royal Society Open Science, 10(11), 231240. https://doi.org/10.1098/rsos.231144</t>
  </si>
  <si>
    <t>Te average visual crowding efects were signifcantly diferent between target eccentricity of 4° (mean=1.61°) and 6° (mean=2.66°), and between participants with (e=4 : 1.90°; e=6°: 3.03 )</t>
  </si>
  <si>
    <t>Boyce_etal202385_1</t>
  </si>
  <si>
    <t>Boyce_etal202385</t>
  </si>
  <si>
    <t>Libby, L. K., Shaeffer, E. M., &amp; Eibach, R. P. (2009). Seeing meaning in action: a bidirectional link between visual perspective and action identification level. Journal of Experimental Psychology: General, 138(4), 503.</t>
  </si>
  <si>
    <t>10.1037/a0016795</t>
  </si>
  <si>
    <t>visual imagery, perspective-taking, action representation, social perception</t>
  </si>
  <si>
    <t>bidirectional link between visual perspective and action identification level</t>
  </si>
  <si>
    <t>"The effect was in the predicted direction for 10 of the 11 actions (binomial p &lt; .05), and on average, the coefficient for action identification level was significantly different from zero in the predicted direction (M = 1.00, SD = 0.67), t(10) = 4.95, p &lt; .001, d = 1.49 "," The fact that visual point of view was the only dimension on which the pairs of photographs differed attests to the power of this variable in defining the extent to which actions are interpreted on an abstract or concrete level."</t>
  </si>
  <si>
    <t>Boyce, V., Mathur, M., &amp; Frank, M. C. (2023). Eleven years of student replication projects provide evidence on the correlates of replicability in psychology. Royal Society Open Science, 10(11), 231240. https://doi.org/10.1098/rsos.231145</t>
  </si>
  <si>
    <t>on average, the coefficient for action identification level was significantly different from zero in the predicted direction (M  1.00, SD  0.67), t(10)  4.95, p  .001, d  1.49.</t>
  </si>
  <si>
    <t>p. 512</t>
  </si>
  <si>
    <t>Boyce_etal202386_1</t>
  </si>
  <si>
    <t>Boyce_etal202386</t>
  </si>
  <si>
    <t>Corruptibility was coded as central result</t>
  </si>
  <si>
    <t>help needed to validate the claim; study is possibly pregistered but links are not always included in the reports -&gt; claim validated</t>
  </si>
  <si>
    <t>Lin, C., Adolphs, R., &amp; Alvarez, R. M. (2018). Inferring whether officials are corruptible from looking at their faces. Psychological science, 29(11), 1807-1823.</t>
  </si>
  <si>
    <t>10.1177/0956797618788882</t>
  </si>
  <si>
    <t>10.1177--0956797618788882.pdf</t>
  </si>
  <si>
    <t>face perception, corruption, social attribution, stereotyping, political psychology, open data, pen materials, preregistered</t>
  </si>
  <si>
    <t>Inferring whether officials are corruptible from looking at their faces</t>
  </si>
  <si>
    <t>"Our primary interest in the current study was the extent to which trait inferences from a face were associated with actual corruption records."</t>
  </si>
  <si>
    <t>t. 1</t>
  </si>
  <si>
    <t>https://osf.io/mge8r/</t>
  </si>
  <si>
    <t>Boyce, V., Mathur, M., &amp; Frank, M. C. (2023). Eleven years of student replication projects provide evidence on the correlates of replicability in psychology. Royal Society Open Science, 10(11), 231240. https://doi.org/10.1098/rsos.231146</t>
  </si>
  <si>
    <t>study 1, corruptibility</t>
  </si>
  <si>
    <t>showed that at an individual level, judgments of a face for traits with the same valence were positively correlated</t>
  </si>
  <si>
    <t>Boyce_etal202387_1</t>
  </si>
  <si>
    <t>Boyce_etal202387</t>
  </si>
  <si>
    <t>Liverence, B. M., &amp; Scholl, B. J. (2015). Object persistence enhances spatial navigation: A case study in smartphone vision science. Psychological Science, 26(7), 955-963.</t>
  </si>
  <si>
    <t>10.1177/0956797614547705</t>
  </si>
  <si>
    <t>10.1177--0956797614547705.pdf</t>
  </si>
  <si>
    <t>object persistence, spatial navigation, spatiotemporal continuity, virtual interfaces</t>
  </si>
  <si>
    <t>Object persistence enhances spatial navigation</t>
  </si>
  <si>
    <t>"Across all trials, participants were on average 1.41 s faster per trial on slide transition blocks than on fade-transition blocks (9.27 s vs. 10.68 s, a difference of 15.2%), t(17) = 5.22, p &lt; .001, d = 1.23. This difference was also highly robust nonparametrically: As depicted in the rightmost column of Figure 2a, 16 of the 18 participants were faster on slide-transition blocks than on fade-transition blocks."</t>
  </si>
  <si>
    <t>Boyce, V., Mathur, M., &amp; Frank, M. C. (2023). Eleven years of student replication projects provide evidence on the correlates of replicability in psychology. Royal Society Open Science, 10(11), 231240. https://doi.org/10.1098/rsos.231147</t>
  </si>
  <si>
    <t>Across all trials, participants were on average 1.41 s faster per trial on slidetransition blocks than on fade-transition blocks (9.27 s vs. 0.68 s, a difference of 15.2%), t(17) = 5.22, p &lt; .001, d = 1.23.</t>
  </si>
  <si>
    <t>p.959</t>
  </si>
  <si>
    <t>Boyce_etal202388_1</t>
  </si>
  <si>
    <t>Boyce_etal202388</t>
  </si>
  <si>
    <t>Livingston, R. W., Rosette, A. S., &amp; Washington, E. F. (2012). Can an agentic Black woman get ahead? The impact of race and interpersonal dominance on perceptions of female leaders. Psychological science, 23(4), 354-358.</t>
  </si>
  <si>
    <t>10.1177/0956797611428079</t>
  </si>
  <si>
    <t>10.1177--0956797611428079.pdf</t>
  </si>
  <si>
    <t>prejudice, racial and ethnic attitudes and relations</t>
  </si>
  <si>
    <t>impact of race and interpersonal dominance on perceptions of female leaders</t>
  </si>
  <si>
    <t>"This main effect was qualified by a significant three-way interaction, F(1, 76) = 11.53, p &lt; .001, η2 = .13 "," This study illustrates the importance of considering both race and gender when examining the impact of agency, and specifically dominance, on leaders’ outcomes."</t>
  </si>
  <si>
    <t>Boyce, V., Mathur, M., &amp; Frank, M. C. (2023). Eleven years of student replication projects provide evidence on the correlates of replicability in psychology. Royal Society Open Science, 10(11), 231240. https://doi.org/10.1098/rsos.231148</t>
  </si>
  <si>
    <t>This main effect was qualified by a significant three-way interaction, F(1, 76) = 11.53, p &lt; .001, η2 = .13.1</t>
  </si>
  <si>
    <t xml:space="preserve"> F(1, 76) = 11.53</t>
  </si>
  <si>
    <t>p.356</t>
  </si>
  <si>
    <t>Boyce_etal202389_1</t>
  </si>
  <si>
    <t>Boyce_etal202389</t>
  </si>
  <si>
    <t>Lloyd, E. P., Hugenberg, K., McConnell, A. R., Kunstman, J. W., &amp; Deska, J. C. (2017). Black and White lies: Race-based biases in deception judgments. Psychological science, 28(8), 1125-1136.</t>
  </si>
  <si>
    <t>10.1177/0956797617705399</t>
  </si>
  <si>
    <t>10.1177--0956797617705399.pdf</t>
  </si>
  <si>
    <t>intergroup dynamics, social perception, prejudice, open data</t>
  </si>
  <si>
    <t>Race-based biases in deception judgments</t>
  </si>
  <si>
    <t>"Participants used the truth response more for Black targets (mean c = 0.48, SD = 0.61, 95% CI = [0.32, 0.64]) than for White targets (mean c = −0.03, SD = 0.60, 95% CI = [−0.19, 0.12]), paired-samples t(57) = 8.30, p &lt; .001, 95% CI for the difference between means = [0.39, 0.64], d = 1.09 "," White participants demonstrated an exacerbated truth bias for Black targets relative to White targets, which was moderated by individual differences in prejudice-related concerns."</t>
  </si>
  <si>
    <t>Boyce, V., Mathur, M., &amp; Frank, M. C. (2023). Eleven years of student replication projects provide evidence on the correlates of replicability in psychology. Royal Society Open Science, 10(11), 231240. https://doi.org/10.1098/rsos.231149</t>
  </si>
  <si>
    <t>paired samples</t>
  </si>
  <si>
    <t>Participants used the truth response more for Black targets (mean c = 0.48, SD = 0.61, 95% CI = [0.32, 0.64]) than for White targets (mean c = −0.03, SD = 0.60, 95% CI = [−0.19, 0.12]), paired-samples t(57) = 8.30, p &lt; .001, 95% CI for
the difference between means = [0.39, 0.64], d = 1.09.</t>
  </si>
  <si>
    <t>Boyce_etal20239_1</t>
  </si>
  <si>
    <t>Boyce_etal20239</t>
  </si>
  <si>
    <t>N= 225 and not 73 as was pre-coded. This task is similar to a task with a rowid Boyce_etal20238_1; hence should be discarded</t>
  </si>
  <si>
    <t>curse of knowledge</t>
  </si>
  <si>
    <t xml:space="preserve"> t(105)=-2.42</t>
  </si>
  <si>
    <t>Boyce_etal202390_1</t>
  </si>
  <si>
    <t>Boyce_etal202390</t>
  </si>
  <si>
    <t xml:space="preserve"> study is possibly pregistered but links are not always included in the reports; coded as nested due to "repeated-measures ANOVA" being used (O p. 4)</t>
  </si>
  <si>
    <t>Long, B., &amp; Konkle, T. (2017). A familiar-size Stroop effect in the absence of basic-level recognition. Cognition, 168, 234-242.</t>
  </si>
  <si>
    <t>10.1016/j.cognition.2017.06.025</t>
  </si>
  <si>
    <t>Size-Stroop effect</t>
  </si>
  <si>
    <t>object recognition, semantic access, real-world size, stroop effect</t>
  </si>
  <si>
    <t>A familiar-size Stroop effect in the absence of basic-level recognition</t>
  </si>
  <si>
    <t>"Overall, we found evidence for a Size-Stroop effect: on incongruent trials, participants were slower to make visual size judgments when the real-world size of original objects were incongruent with their sizes on the screen (Mdiff = 12.92 ms, SDdiff = 13.62 ms, main effect of congruency, F(1,15) = 14.3, p = 0.002, np2 = 0.489, Cohen’s d = 0.95 "," participants were faster at judging the visual sizes of the texforms when their original real-world sizes were congruent with their visual sizes. Thus, even though these texform stimuli were not identifiable, their original real-world sizes impacted how quickly participants made visual size judgments in the Size-Stroop paradigm. These results suggest that real-world size information can be activated from mid-level feature processing alone, even when basic-level recognition is impaired."</t>
  </si>
  <si>
    <t>Boyce, V., Mathur, M., &amp; Frank, M. C. (2023). Eleven years of student replication projects provide evidence on the correlates of replicability in psychology. Royal Society Open Science, 10(11), 231240. https://doi.org/10.1098/rsos.231150</t>
  </si>
  <si>
    <t>congruency</t>
  </si>
  <si>
    <t>Overall, we found evidence for a  ... , main effect of congruency, F(1,15) = 14.3, p = 0.002, g2 p = 0.489, Cohen’s d = 0.95,</t>
  </si>
  <si>
    <t>p.237</t>
  </si>
  <si>
    <t>Boyce_etal202391_1</t>
  </si>
  <si>
    <t>Boyce_etal202391</t>
  </si>
  <si>
    <t>- Cohens f value chosen as original ES as reported on p. 5, 
- Nestedness assumed to be not nested, mutiple regression but not explicitly hierarchical (maybe review - see prereg analysis paln here: https://aspredicted.org/yp5az.pdf and reported analysis on p. 5 of original study). 
- ES for replication - no d value reported for the replicaiton in the replication data spreadsheet. COder 1 used the raw replicaiton test stat here THIS MIGHT ACTAULLY BE A REALLY GOOD IDEA FOR OTHER SIMILAR ROWS? (Need to verify that the col U replication_raw_stat in teh replicaiton spreadsheet is in fact referring to what we think it is though!
- Nestedness for replication again assumed unnested
- Study is possibly pregistered but links are not always included in the reports</t>
  </si>
  <si>
    <t>Luttrell, A., Philipp-Muller, A., &amp; Petty, R. E. (2019). Challenging moral attitudes with moral messages. Psychological Science, 30(8), 1136-1150.</t>
  </si>
  <si>
    <t>10.1177/0956797619854706</t>
  </si>
  <si>
    <t>10.1177--0956797619854706.pdf</t>
  </si>
  <si>
    <t>persuasion, morality, attitudes, attitude strength, moral conviction, open data, open materials, preregistered</t>
  </si>
  <si>
    <t>Challenging moral attitudes with moral messages</t>
  </si>
  <si>
    <t>A significant interaction between message type and moral attitude basis, b = −0.27, 95% CI = [−0.42, −0.11], t(410) = −3.34, p &lt; .001, f2 = .03.</t>
  </si>
  <si>
    <t>https://aspredicted.org/yp5az.pdf</t>
  </si>
  <si>
    <t>t(41)=-0.029</t>
  </si>
  <si>
    <t>Maureen Osano, LR, SAJ</t>
  </si>
  <si>
    <t>d for R is NA, d for O extracted from Boyce dataset, original paper used another ES - Cohen's f 2 =0.03</t>
  </si>
  <si>
    <t>Needs further validation 
study is possibly pregistered but links are not always included in the reports</t>
  </si>
  <si>
    <t>Boyce, V., Mathur, M., &amp; Frank, M. C. (2023). Eleven years of student replication projects provide evidence on the correlates of replicability in psychology. Royal Society Open Science, 10(11), 231240. https://doi.org/10.1098/rsos.231151</t>
  </si>
  <si>
    <t>study 1</t>
  </si>
  <si>
    <t>was a significant interaction between message type and moral attitude basis, b = −0.27, 95% CI = [−0.42, −0.11], t(410) = −3.34, p &lt; .001, f2 = .03 (Fig. 1).</t>
  </si>
  <si>
    <r>
      <rPr>
        <rFont val="Calibri"/>
        <sz val="11.0"/>
      </rPr>
      <t xml:space="preserve">Study 1a: https://aspredicted.org/yp5az.pdf
</t>
    </r>
    <r>
      <rPr>
        <rFont val="Calibri"/>
        <color rgb="FFFF0000"/>
        <sz val="11.0"/>
      </rPr>
      <t xml:space="preserve">Study 1b: </t>
    </r>
    <r>
      <rPr>
        <rFont val="Calibri"/>
        <color rgb="FF1155CC"/>
        <sz val="11.0"/>
        <u/>
      </rPr>
      <t>https://aspredicted.org/n3pd9.pdf</t>
    </r>
  </si>
  <si>
    <t>Boyce_etal202392_1</t>
  </si>
  <si>
    <t>Boyce_etal202392</t>
  </si>
  <si>
    <t>- The original effect size is chosen to be the np2 value from the original manuscript. This value requires a partial eta square label (currently just etasq on this sheet) --&gt; corrected
- Study is possibly pregistered but links are not always included in the reports 
- report found here http://rpubs.com/cqing/maddux2008-replication</t>
  </si>
  <si>
    <t>Maddux, W. W., Galinsky, A. D., Cuddy, A. J., &amp; Polifroni, M. (2008). When being a model minority is good... and bad: Realistic threat explains negativity toward Asian Americans. Personality and Social Psychology Bulletin, 34(1), 74-89.</t>
  </si>
  <si>
    <t>10.1177/0146167207309195</t>
  </si>
  <si>
    <t>10.1177--0146167207309195.pdf</t>
  </si>
  <si>
    <t>Asian Americans, model minorities, prejudice, realistic threat, emotions, attitudes</t>
  </si>
  <si>
    <t>Realistic threat explains negativity toward Asian Americans</t>
  </si>
  <si>
    <t xml:space="preserve">Global affect toward Asian Americans was significantly more negative in the realistic threat condition (partner: Jamal, M = 62.11, SD = 22.91) than in the no realistic threat condition (partner: Yoshi, M = 78.57, SD = 17.90), F(1, 39) = 6.48, p = .015, η2p = .146. </t>
  </si>
  <si>
    <t>p. 83</t>
  </si>
  <si>
    <t>Boyce, V., Mathur, M., &amp; Frank, M. C. (2023). Eleven years of student replication projects provide evidence on the correlates of replicability in psychology. Royal Society Open Science, 10(11), 231240. https://doi.org/10.1098/rsos.231152</t>
  </si>
  <si>
    <t>Global affect toward Asian Americans was significantly more negative in the realistic threat condition (partner: Jamal, M = 62.11, SD = 22.91) than in the no realistic threat
condition (partner: Yoshi, M = 78.57, SD = 17.90), F(1, 39) = 6.48, p = .015, η2p = .146 (see Figure 4).</t>
  </si>
  <si>
    <t>F(1, 39) = 6.48</t>
  </si>
  <si>
    <t>Boyce_etal202393_1</t>
  </si>
  <si>
    <t>Boyce_etal202393</t>
  </si>
  <si>
    <t xml:space="preserve">- Claim from coder 2 was chosen as it was specific to the test statistic expressed in the replication spreadsheet. 
- The test statistic for the original study was refined to present the effect size using the F value accurately. 
- The pvalue was reported from the original paper and replaced Coder 1s more specific value that was from the replication database. These values were not discordant but the values from the replication database were favored as per protocol.
- Nestedness was defined as unnested as the subjects were assigned to one income condition only and the results of their perfomrnace in the cog control trials were then compared.  
- Study is possibly pregistered but links are not always included in the reports </t>
  </si>
  <si>
    <t>Mani, A., Mullainathan, S., Shafir, E., &amp; Zhao, J. (2013). Poverty impedes cognitive function. science, 341(6149), 976-980.</t>
  </si>
  <si>
    <t>10.1126/science.1238041</t>
  </si>
  <si>
    <t>10.1126--science.1238041.pdf</t>
  </si>
  <si>
    <r>
      <rPr>
        <rFont val="Arial"/>
        <color theme="1"/>
      </rPr>
      <t xml:space="preserve">poor, poverty, cognitive function, </t>
    </r>
    <r>
      <rPr>
        <rFont val="Arial"/>
        <color rgb="FF00FF00"/>
      </rPr>
      <t>cognitive control</t>
    </r>
  </si>
  <si>
    <t>Poverty impedes cognitive function</t>
  </si>
  <si>
    <t>A two-way analysis of variance revealed a robust interaction between income and condition [cognitive control: F(1,97) = 7.86, P &lt; 0.01].</t>
  </si>
  <si>
    <t>p. 977</t>
  </si>
  <si>
    <t xml:space="preserve"> F(1,97) = 7.86</t>
  </si>
  <si>
    <t>Boyce, V., Mathur, M., &amp; Frank, M. C. (2023). Eleven years of student replication projects provide evidence on the correlates of replicability in psychology. Royal Society Open Science, 10(11), 231240. https://doi.org/10.1098/rsos.231153</t>
  </si>
  <si>
    <t>cognitive control</t>
  </si>
  <si>
    <t>A two-way analysis of variance revealed a robust interaction between income and ... cognitive control: F(1,97) = 7.86, P &lt; 0.01].</t>
  </si>
  <si>
    <t>F(1,97) = 7.8</t>
  </si>
  <si>
    <t>Boyce_etal202394_1</t>
  </si>
  <si>
    <t>Boyce_etal202394</t>
  </si>
  <si>
    <t>- The discrepancy between the N of the different coders was resolved as follows. Coder one suggested n = 30, coder 2 suggested n = 240, the replication project database suggests N = 30. On p. 101 of the original study the follow is reported: "Two hundred forty undergraduates at New York University participated in the study. Each participant was assigned to either the rule-based (RB) or information-integration (II) task, and to one of four training conditions: selection (S), random reception (R), naïve yoked reception (Y1), or aware yoked reception (Y2)." Further - on p. 103 of the original manuscript we see "Three participants (one each in the RB/S, RB/Y2, and II/S conditions) were excluded from further analysis because their overall performance (averaged across blocks) was more than three standard deviations below the mean of their group." Therefore, 120 pp were in the RB task of which 30 were in the RB-S group (one of which was excluded) and 30 were in the RB-R group. This means N = 59 were in the two groups of interest, which also corresponds to the degrees of freedom of 57 in the targeted t-test.  
- Coder 2 used the replicaiton data calculated effect size for the original ES, this was discarded in favor of the test statistic that appeared in the original manuscript.
- Study is possibly pregistered but links are not always included in the reports</t>
  </si>
  <si>
    <t>Markant, D. B., &amp; Gureckis, T. M. (2014). Is it better to select or to receive? Learning via active and passive hypothesis testing. Journal of Experimental Psychology: General, 143(1), 94.</t>
  </si>
  <si>
    <t>10.1037/a0032108</t>
  </si>
  <si>
    <t xml:space="preserve">hypothesis testing, self-directed learning, category learning, Bayesian modeling, hypothesis-dependent sampling bias        </t>
  </si>
  <si>
    <t>Learning via active and passive hypothesis testing</t>
  </si>
  <si>
    <t>In the RB task, the overall accuracy was marginally higher in the S condition than in the R condition, t(57) = 1.82, p = .07.</t>
  </si>
  <si>
    <t>t(57) = 1.82</t>
  </si>
  <si>
    <t>d for O extracted from Boyce, also Boyce states that N O = 30, while the paper states 240</t>
  </si>
  <si>
    <t>Boyce, V., Mathur, M., &amp; Frank, M. C. (2023). Eleven years of student replication projects provide evidence on the correlates of replicability in psychology. Royal Society Open Science, 10(11), 231240. https://doi.org/10.1098/rsos.231154</t>
  </si>
  <si>
    <t>In the RB task, overall accuracy was marginally higher in the S condition than in the R condition, t(57)  1.82, p  .07,</t>
  </si>
  <si>
    <t>Boyce_etal202395_1</t>
  </si>
  <si>
    <t>Boyce_etal202395</t>
  </si>
  <si>
    <t>Metaxa-Kakavouli, D., Wang, K., Landay, J. A., &amp; Hancock, J. (2018, April). Gender-inclusive design: Sense of belonging and bias in web interfaces. In Proceedings of the 2018 CHI Conference on human factors in computing systems (pp. 1-6).</t>
  </si>
  <si>
    <t>10.1145/3173574.3174188</t>
  </si>
  <si>
    <t>10.1145--3173574.3174188.pdf</t>
  </si>
  <si>
    <t xml:space="preserve">gender-inclusive interfaces, web interface psychology, inclusive design, ambient belonging
</t>
  </si>
  <si>
    <t>Sense of belonging and bias in web interfaces (Enrollment Intentions)</t>
  </si>
  <si>
    <t>"In contrast with members of all other groups, women in the masculine condition were less likely to want to enroll in the course, t(108) = 3.20, p = 0.001, d = 0.62 "," Our manipulation check shows similar results to the main measures."</t>
  </si>
  <si>
    <t>Boyce_etal202395_b</t>
  </si>
  <si>
    <t>The claim needs to be validated further study is possibly pregistered but links are not always included in the reports</t>
  </si>
  <si>
    <t>Sense of belonging and bias in web interfaces (Ambient Belonging)</t>
  </si>
  <si>
    <t>"were less likely to feel they would belong in that class, t(108) = 3.47, p &lt; 0.001, d = 0.67 "," Our manipulation check shows similar results to the main measures."</t>
  </si>
  <si>
    <t>Boyce_etal202395_c</t>
  </si>
  <si>
    <t>Sense of belonging and bias in web interfaces (Anticipated Success)</t>
  </si>
  <si>
    <t>"anticipated lesser success if they were to take the course, t(108) = 2.41, p = 0.01, d = 0.47 "," Our manipulation check shows similar results to the main measures."</t>
  </si>
  <si>
    <t>Boyce_etal202395_d</t>
  </si>
  <si>
    <t>Sense of belonging and bias in web interfaces (Self Confidence)</t>
  </si>
  <si>
    <t>"reported lower levels of confidence in their technical abilities relative to others who might take the introductory course, t(108) = 3.18, p = 0.001, d = 0.61; "," Our manipulation check shows similar results to the main measures."</t>
  </si>
  <si>
    <t>Boyce_etal202395_e</t>
  </si>
  <si>
    <t>Sense of belonging and bias in web interfaces (Future CS Study Intentions)</t>
  </si>
  <si>
    <t>"expressed less interest in learning computer science or programming in the long term, t(108) = 3.33, p &lt; 0.001, d = 0.64; "," Our manipulation check shows similar results to the main measures."</t>
  </si>
  <si>
    <t>Boyce_etal202395_f</t>
  </si>
  <si>
    <t>Sense of belonging and bias in web interfaces (Gender-related Anxiety)</t>
  </si>
  <si>
    <t>"and were much more anxious about the way their gender would be perceived in the course, t(108) = −4.57, p &lt; 0.001, d = −0.88 "," Our manipulation check shows similar results to the main measures."</t>
  </si>
  <si>
    <t>Boyce, V., Mathur, M., &amp; Frank, M. C. (2023). Eleven years of student replication projects provide evidence on the correlates of replicability in psychology. Royal Society Open Science, 10(11), 231240. https://doi.org/10.1098/rsos.231155</t>
  </si>
  <si>
    <t>masculine condition</t>
  </si>
  <si>
    <t>In contrast with members of all other groups, women in the masculine condition ... were less likely to feel they would belong in that class, t(108) = 3.47, p &lt; 0.001, d = 0.67;</t>
  </si>
  <si>
    <t>p. 614</t>
  </si>
  <si>
    <t>Boyce_etal202396_1</t>
  </si>
  <si>
    <t>Boyce_etal202396</t>
  </si>
  <si>
    <r>
      <rPr>
        <rFont val="Arial"/>
      </rPr>
      <t xml:space="preserve">PLEASE CHECK ME!!! 
- The replication project dataset does not contain any values for the replication in either the rep_calc_d or the rep_p_calc values (row 149 columns AM and AN), can we still include this study? 
- The apparent discrepancy between the original (N = 400) and replication table (N = 327) sample sizes was resolved as follows. Reviewing the original manuscript, the authors excluded N = 73 participants: "We had to exclude 73 participants who self-identified as "middle of the road” politically". Therefore 400-73 = 327.
- Coder 2 linked the OSF for the original study as the pre-reg - infact Study 2 was not preregistered (see here: </t>
    </r>
    <r>
      <rPr>
        <rFont val="Arial"/>
        <color rgb="FF1155CC"/>
        <u/>
      </rPr>
      <t>https://osf.io/v5xg3view_only=d0fcb2bb73fb4648ad6e3da300505f65)</t>
    </r>
    <r>
      <rPr>
        <rFont val="Arial"/>
      </rPr>
      <t xml:space="preserve"> 
- Study is possibly pregistered but links are not always included in the reports</t>
    </r>
  </si>
  <si>
    <t>Minson, J. A., Chen, F. S., &amp; Tinsley, C. H. (2020). Why won’t you listen to me? Measuring receptiveness to opposing views. Management Science, 66(7), 3069-3094.</t>
  </si>
  <si>
    <t>10.1287/mnsc.2019.3362</t>
  </si>
  <si>
    <t>10.1287--mnsc.2019.3362.pdf</t>
  </si>
  <si>
    <t>negotiations, individual differences, judgment biases, conflict</t>
  </si>
  <si>
    <t>Measuring receptiveness to opposing views</t>
  </si>
  <si>
    <t>Observed a significant relationship between receptiveness and selective exposure (b = −0.27, SE = 0.08, z = −3.29, p &lt; 0.01). Thus increased receptiveness substantially decreased participants’ odds of choosing a same-party versus opposing-party senator.</t>
  </si>
  <si>
    <t>p. 10 + 11</t>
  </si>
  <si>
    <t>No d and p statistics in Boyce, report absent. raw statistics provided bseb=.06(.13). The N o is 400, whle in Boyce it is 327</t>
  </si>
  <si>
    <t>Boyce, V., Mathur, M., &amp; Frank, M. C. (2023). Eleven years of student replication projects provide evidence on the correlates of replicability in psychology. Royal Society Open Science, 10(11), 231240. https://doi.org/10.1098/rsos.231156</t>
  </si>
  <si>
    <t>study 2</t>
  </si>
  <si>
    <t>We observed a significant relationship between receptiveness and selective exposure (b = −0.27, SE = 0.08, z = −3.29, p &lt; 0.01).</t>
  </si>
  <si>
    <t>−0.27</t>
  </si>
  <si>
    <t>https://osf.io/xcg6e/?view_only=d0fcb2bb73fb4648ad6e3da300505f65</t>
  </si>
  <si>
    <t>Boyce_etal202397_1</t>
  </si>
  <si>
    <t>Boyce_etal202397</t>
  </si>
  <si>
    <t>- Replication datasheet contains no values for the replication p-value (cells all NA) and individual report does not report p-values either (https://rpubs.com/alv1nn/677256) 
- Coder 2 notes that d value for replication not found in spreadsheet - this is false, value found by coder 1 confirmed to be accurate. 
- Values tidied to be consistent (i.e. original ES was a beta value and poorly entered by coder 1)
-  Original p value inferred as p&lt;0.05 as the test is reported as "significant" without specific pvalue reporting.
- nested coded as "yes" due to teh use of linear mixed-effects model</t>
  </si>
  <si>
    <t>Mirault, J., Snell, J., &amp; Grainger, J. (2018). You that read wrong again! A transposed-word effect in grammaticality judgments. Psychological Science, 29(12), 1922-1929.</t>
  </si>
  <si>
    <t>10.1177/0956797618806296</t>
  </si>
  <si>
    <t>10.1177--0956797618806296.pdf</t>
  </si>
  <si>
    <t>transposed words, grammaticality judgments, sentence comprehension, parallel word processing, reading, open data, open materials</t>
  </si>
  <si>
    <t>transposed-word effect in grammaticality judgments</t>
  </si>
  <si>
    <t>Participants were significantly slower at classifying transposed-word sequences as being ungrammatical compared with the control sequences, b = 0.03, SE = 0.00, t = 8.57 this is the first demonstration of a transposed-word effect in grammaticality judgments, mimicking the well-established transposed-letter effect in lexical decisions.</t>
  </si>
  <si>
    <t>p. 1927</t>
  </si>
  <si>
    <t>https://osf.io/uw36p</t>
  </si>
  <si>
    <t>No d and p statistics in Boyce, report present</t>
  </si>
  <si>
    <t>Boyce, V., Mathur, M., &amp; Frank, M. C. (2023). Eleven years of student replication projects provide evidence on the correlates of replicability in psychology. Royal Society Open Science, 10(11), 231240. https://doi.org/10.1098/rsos.231157</t>
  </si>
  <si>
    <t>Participants were significantly slower at classifying transposed-word sequences as being ungrammatical compared with the control sequences, b = 0.03, SE = 0.00, t = 8.57,</t>
  </si>
  <si>
    <t>Boyce_etal202398_1</t>
  </si>
  <si>
    <t>Boyce_etal202398</t>
  </si>
  <si>
    <t>Could not trace the overall or specific claim in the original study from the raw statistics presented in the replication table</t>
  </si>
  <si>
    <t>- Primary claim established based on the original test values being defined in the replication spreadsheet as MSD2:m1=2.54(1.95),m2=.02(2.38), this allowed a direct comparison between groups 2 and 3 to be considered the key replication effect. (see Table 1 p. 86). 
- Based on this the original claim was updated.
- The original pvalue was also drawn from the description of Table 1 as follows: "Means that do not share the same subscript differ at p &lt;.05, using t tests with 64 degrees of freedom.
- Therefore, this p value was used to replace the more detailed value that had been copied form the replication table by coder 1.  
-  Study is possibly pregistered but links are not always included in the reports</t>
  </si>
  <si>
    <t>Monin, B., Sawyer, P. J., &amp; Marquez, M. J. (2008). The rejection of moral rebels: resenting those who do the right thing. Journal of personality and social psychology, 95(1), 76.</t>
  </si>
  <si>
    <t>10.1037/0022-3514.95.1.76</t>
  </si>
  <si>
    <t>moral reproach</t>
  </si>
  <si>
    <t>moral rebels, whistleblowers, implicit moral reproach, resentment, self-affirmation</t>
  </si>
  <si>
    <t>resenting those who do the right thing</t>
  </si>
  <si>
    <t>In terms of attraction: nonaffirmed (obedient) actors liked the rebel significantly less (M  .02) than self-affirmed (self affirm rebels) participants who showed no such rejection of the rebel (M =2.54).</t>
  </si>
  <si>
    <t>p. 87</t>
  </si>
  <si>
    <t>=(0.02-2.54)/SQRT((2.38^2+1.95^2)/2)</t>
  </si>
  <si>
    <t>d and p for O extracted from Boyce, because I was unsure about the replication aim</t>
  </si>
  <si>
    <t>Boyce, V., Mathur, M., &amp; Frank, M. C. (2023). Eleven years of student replication projects provide evidence on the correlates of replicability in psychology. Royal Society Open Science, 10(11), 231240. https://doi.org/10.1098/rsos.231158</t>
  </si>
  <si>
    <t>The placement of affect mea- sures in the rebel control condition did not have a significant impact on any of the variables analyzed below.</t>
  </si>
  <si>
    <t>p.86</t>
  </si>
  <si>
    <t>Boyce_etal202399_1</t>
  </si>
  <si>
    <t>Boyce_etal202399</t>
  </si>
  <si>
    <r>
      <rPr>
        <rFont val="Arial"/>
        <color theme="1"/>
      </rPr>
      <t xml:space="preserve">- The replication ES was calculated in the OR format using values reported for reproducibility. (in favour of the F stat from the second coder). 
- Coder one had recorded the ES from the replication report which was d = 2.0036922440074605, but this was discarded as it did not appear in the original paper. 
- The nested of the replication was set to "yes" as it appears the repeated measures ANOVA was replicated form the original study. 
</t>
    </r>
    <r>
      <rPr>
        <rFont val="Arial"/>
        <strike/>
        <color theme="1"/>
      </rPr>
      <t xml:space="preserve">- The tails of the p's were set to one-tail based on the ANOVA F distribution skew. </t>
    </r>
    <r>
      <rPr>
        <rFont val="Arial"/>
        <color theme="1"/>
      </rPr>
      <t xml:space="preserve">
- REPORT FOUND HERE: https://osf.io/br7up, study is possibly pregistered but links are not always included in the reports. </t>
    </r>
  </si>
  <si>
    <t>Morris, A. L., &amp; Still, M. L. (2008). Now you see it, now you don't: repetition blindness for nonwords. Journal of Experimental Psychology: Learning, Memory, and Cognition, 34(1), 146.</t>
  </si>
  <si>
    <t>10.1037/0278-7393.34.1.146</t>
  </si>
  <si>
    <t>repetition blindness</t>
  </si>
  <si>
    <t>repetition blindness, nonwords, lexical, sublexical, word recognition</t>
  </si>
  <si>
    <t>repetition blindness for nonwords</t>
  </si>
  <si>
    <r>
      <rPr>
        <rFont val="Arial"/>
        <color rgb="FF00FF00"/>
      </rPr>
      <t>Repeated-measures ANOVAs with the factors condition, lexicality, and neighborhood size demonstrated that</t>
    </r>
    <r>
      <rPr>
        <rFont val="Arial"/>
        <color theme="1"/>
      </rPr>
      <t xml:space="preserve"> joint report of words was higher than that for nonwords (51.2% vs. 12.7%), F1(1, 23)  92.34, p &lt; .001 .</t>
    </r>
  </si>
  <si>
    <t>p. 162</t>
  </si>
  <si>
    <t>=(0.512/(1-0.512))/(0.127/(1-0.127))</t>
  </si>
  <si>
    <t>Boyce, V., Mathur, M., &amp; Frank, M. C. (2023). Eleven years of student replication projects provide evidence on the correlates of replicability in psychology. Royal Society Open Science, 10(11), 231240. https://doi.org/10.1098/rsos.231159</t>
  </si>
  <si>
    <t>experiment 6</t>
  </si>
  <si>
    <t>Repeated-measures ANOVAs with the factors condition, lexicality, and neighborhood size demonstrated that joint report of words was higher than that for nonwords (51.2% vs. 12.7%), F1(1, 23)  92.34, ... both ps  .001;</t>
  </si>
  <si>
    <t>F1(1, 23) =92.34</t>
  </si>
  <si>
    <t>bth36_1</t>
  </si>
  <si>
    <t>bth36</t>
  </si>
  <si>
    <t>Corrected citation and doi to the one from the paper
Feedback for Maureen:
- Please better indicate where the effect size comes from. I could not find the value in the paper.
- The original paper was published in psychological science, please thus code the finding as psychology (eg cognitive) and not political science when it is about things such as amygdala activity.
- No claim was coded, please do so (review the instructions if you are unsure and get in touch if there is still something unclear).</t>
  </si>
  <si>
    <r>
      <rPr>
        <rFont val="Calibri"/>
        <sz val="11.0"/>
      </rPr>
      <t xml:space="preserve">Lumian, D. S., &amp; McRae, K. (2017). Preregistered Replication of “Affective Flexibility: Evaluative Processing Goals Shape Amygdala Activity”. Psychological Science, 28(9), 1193-1200. </t>
    </r>
    <r>
      <rPr>
        <rFont val="Calibri"/>
        <color rgb="FF1155CC"/>
        <sz val="11.0"/>
        <u/>
      </rPr>
      <t>https://doi.org/10.1177/0956797617719730</t>
    </r>
  </si>
  <si>
    <t>10.1177/0956797617719730</t>
  </si>
  <si>
    <t>There was a significant interaction between scanning condition (positive or negative) and stimulus valence (postscan ratings of positivity or negativity), F(1, 11) 5 9.67, p &lt; .01, prep 5 .95 (see Fig. 3). More positively rated names were associated with more amygdala activity in the positive condition and less amygdala activity in the negative condition</t>
  </si>
  <si>
    <t>https://doi.org/10.17605/OSF.IO/BTH36</t>
  </si>
  <si>
    <t>McRae, K., Lumian, D. S., &amp;  T. (2023, September 28). Data. https://doi.org/10.17605/OSF.IO/BTH36</t>
  </si>
  <si>
    <t>10.17605/OSF.IO/BTH36</t>
  </si>
  <si>
    <t>10.17605--osf.io--bth36.pdf</t>
  </si>
  <si>
    <t>Camereretal2016_1</t>
  </si>
  <si>
    <t>uncertain on the original effect size estimate</t>
  </si>
  <si>
    <t>Abeler, J., Falk, A., Goette, L., &amp; Huffman, D. (2011). Reference points and effort provision. American Economic Review, 101(2), 470–492.</t>
  </si>
  <si>
    <t>10.1257/aer.101.2.470</t>
  </si>
  <si>
    <t>Camerer, C. F., Dreber, A., Forsell, E., Ho, T. H., Huber, J., Johannesson, M., ... &amp; Wu, H. (2016). Evaluating replicability of laboratory experiments in economics. Science, 351(6280), 1433-1436.</t>
  </si>
  <si>
    <t>10.1126/science.aaf0918</t>
  </si>
  <si>
    <t>replicate</t>
  </si>
  <si>
    <t>reference points, effort provision</t>
  </si>
  <si>
    <t>If expected earnings are high, subjects work longer and earn more money than if expectations are low</t>
  </si>
  <si>
    <t>Subjects in the HI treatment work significantly more than subjects in the LO treatment. The treatment difference of 1.85 euros is almost half as large as the amount of the treatment manipulation (7 − 3 = 4 euros). [In Table 1]: 1.850**, SE = 0.917, ** p &lt; .05</t>
  </si>
  <si>
    <t>p. 478 &amp; 479</t>
  </si>
  <si>
    <t>p. 479, converted with 1.85/(.917 * sqrt(60*60/120)), as SE can be used to calculate SD from sample size in single predictor regression; matches report in Camerer</t>
  </si>
  <si>
    <t>p. 4, converted with .667/(.474 * sqrt(159*159/318)), as SE can be used to calculate SD from sample size in single predictor regression; matches report in Camerer</t>
  </si>
  <si>
    <t>https://osf.io/v89qn</t>
  </si>
  <si>
    <t>Lukas Wallrich</t>
  </si>
  <si>
    <t>Supplementary Table S1 of the replication article reports the following values: Original (p = 0.046, effect size 0.18, n = 120), Replication (p = 0.160, effect size = 0.08, N = 318). The OSF report (https://osf.io/yjpzs) indicates that the effect they tried to replicate is the one present in the original article Table 1 (p. 479).  1 if HI treatment = 1.850 (0.917). The original reported p-value is &lt;0.05. Thus, I report accordingly. Based on Table 1 of the original research article, I report the effect size (r) using the following formula: SQRT((1.850/0.917)^2 / ((1.850/0.917)^2 + 118)).</t>
  </si>
  <si>
    <t xml:space="preserve"> To contribute data about reproducibility in economics, we replicate 18 studies published in the American Economic Review and the Quarterly Journal of Economics in 2011-2014.</t>
  </si>
  <si>
    <t xml:space="preserve"> Average accumulated earnings </t>
  </si>
  <si>
    <t>effort provision,  average accumulated earnings, real-effort experiment, rational expectations.</t>
  </si>
  <si>
    <t>The accumulated monetary earnings in an experimental card game.</t>
  </si>
  <si>
    <t>"The treatment difference of 1.85 euros is almost half as large as the amount of the treatment manipulation (7 − 3 = 4 euros). The marginal effect compared to effort provision in LO is 25.1 percent. The treatment difference in effort provision is significant in an OLS regression where we compare effort in HI to effort in LO. We regress the accumulated earnings at which a subject stopped on a treatment dummy (see Table 1, column 1)"</t>
  </si>
  <si>
    <t>p .478</t>
  </si>
  <si>
    <t>SQRT((1.850/0.917)^2 / ((1.850/0.917)^2 + 118))</t>
  </si>
  <si>
    <t>Camereretal2016_10</t>
  </si>
  <si>
    <t>Fehr, E., Herz, H., &amp; Wilkening, T. (2013). The lure of authority: Motivation and incentive effects of power. American Economic Review, 103(4), 1325–1359.</t>
  </si>
  <si>
    <t>10.1257/aer.103.4.1325</t>
  </si>
  <si>
    <t>Reluctance to delegate authority</t>
  </si>
  <si>
    <t>authority, power, motivation</t>
  </si>
  <si>
    <t>Individuals often retain authority even when its delegation is in their material interest—suggesting that authority has nonpecuniary consequences for utility.</t>
  </si>
  <si>
    <t>Recall that the difference between the HIGH NOREC and the PHIGH25 treatment is that in the former the principals cannot be overruled. Therefore, if the principals derive disutility from being overruled they should be more willing to delegate in HIGH NOREC. We find indeed that the average delegation rate of the HIGH NOREC treatment was higher (67.1 percent) than in the PHIGH25 treatment (41.3 percent)—a difference that is statistically significant ( p = 0.011).</t>
  </si>
  <si>
    <t>p. 1347</t>
  </si>
  <si>
    <t>=(0.671/(1-0.671))/(0.413/(1-0.413))</t>
  </si>
  <si>
    <t>p.3 - =(0.6747/(1-0.6747))/(0.4311/(1-0.4311))</t>
  </si>
  <si>
    <t>https://osf.io/fsv82</t>
  </si>
  <si>
    <t>Supplementary Table S1 of the replication article reports the following values: Original (p = 0.011, effect size 0.45, n =  60), Replication (p = 0.026, effect size = 0.31, N = 102). I matched the replication attempt with the results presented in p. 1347 of the original research article. No changes were performed after corroborating the entries with the OSF report (https://osf.io/sw98r).</t>
  </si>
  <si>
    <t>It is the tendency to avoid transferring decision-making power to others.</t>
  </si>
  <si>
    <t>"Recall that the difference between the HIGH NOREC and the PHIGH25 treatment is that in the former the principals cannot be overruled. Therefore, if the principals derive disutility from being overruled they should be more willing to delegate in HIGH NOREC. We find indeed that the average delegation rate of the HIGH NOREC treatment was higher (67.1 percent) than in the PHIGH25 treatment (41.3 percent)—a difference that is statistically significant ( p = 0.011)".</t>
  </si>
  <si>
    <t>(0.671/(1-0.671))/(0.413/(1-0.413))</t>
  </si>
  <si>
    <t>Camereretal2016_11</t>
  </si>
  <si>
    <t>Friedman, D., &amp; Oprea, R. (2012). A continuous dilemma. American Economic Review, 102(1), 337–363.</t>
  </si>
  <si>
    <t>10.1257/aer.102.1.337</t>
  </si>
  <si>
    <t>Cooperation in continuous prisoner's dilemma</t>
  </si>
  <si>
    <t>prisoner dilemma, continuous dilemma, cooperation</t>
  </si>
  <si>
    <t>Capacity to respond rapidly stabilizes cooperation and destabilizes defection in the prisoner’s dilemma.</t>
  </si>
  <si>
    <t>Cooperation prevails in the Continuous treatment, is less than half as common in Grid-8. [Table 2:] median cooperation rate of .893 for continuous and .250 for Grid-8, Mann-Whitney p &lt; .01</t>
  </si>
  <si>
    <t>p. 345</t>
  </si>
  <si>
    <t>median difference</t>
  </si>
  <si>
    <t>p. 345 - note that replication report calculates this as "0.893−0.250 = 0.743", so same formula, different maths</t>
  </si>
  <si>
    <t>https://osf.io/qvc8s</t>
  </si>
  <si>
    <t>Supplementary Table S1 of the replication article reports the following values: Original (p = &lt; 0.001, effect size 0.64, n =  78), Replication (p = 0.004, effect size = 0.44, N = 40). The information available in the replication article does not allow me to stipulate which effect (coefficient) they tried to replicate from the original research article, given that the regression has several parameters. However, the explanation available in Table S2 enabled me to track the results to the ones presented in p. 345-346 and Tables 2-3 of the original research article that establishes "Overall, as can be seen in the bottom row, there is a strong increase in cooperation as we move from One-Shot to Grid-8 to Continuous, and pairwise Mann-Whitney tests applied to by-subject median cooperation rates confirm this ordering at the 1 percent level." In principle, this statement is compatible with the p-value that the replication reported (&lt; 0.001).  I then confirmed this first assessment with the OSF report (https://osf.io/mxrnp).  I will report the effect size for the Median Cooperation rates (and bootstrapped standard errors) reported in Table 2, row = All, of the original research article.</t>
  </si>
  <si>
    <t>Cooperation in a continuous prisoner’s dilemma</t>
  </si>
  <si>
    <t>Prisoner's dilemma, mutual cooperation, decision-making.</t>
  </si>
  <si>
    <t xml:space="preserve">Level of cooperation in the prisoner's dilemma comparing the outcome of two treatment groups "Continuous treatment" and "Grid-8 treatment". </t>
  </si>
  <si>
    <t>"Results are striking. For each parameter set, these rates are all zero in One-Shot, but in Continuous they range from 81 percent (in Hard) to over 93 percent (in Easy). The cooperation rates in Grid-8 are far more heterogeneous, ranging from zero (in Hard) to 75 percent (in Easy). Overall, as can be seen in the bottom row, there is a strong increase in cooperation as we move from One-Shot to Grid-8 to Continuous, and pairwise Mann-Whitney tests applied to by-subject median cooperation rates confirm this ordering at the 1 percent level."</t>
  </si>
  <si>
    <t>(0.893-0.25)/SQRT(((38-1)*0.009^2+(40-1)*0.105^2)/(38+40-2)))</t>
  </si>
  <si>
    <t>Camereretal2016_12</t>
  </si>
  <si>
    <t>Fudenberg, D., Rand, D. G., &amp; Dreber, A. (2012). Slow to anger and fast to forgive: Cooperation in an uncertain world. American Economic Review, 102(2), 720–749.</t>
  </si>
  <si>
    <t>10.1257/aer.102.2.720</t>
  </si>
  <si>
    <t>Leniency in Prisoner's Dilemma</t>
  </si>
  <si>
    <t>prisoner's dilemma, cooperation, forgiveness</t>
  </si>
  <si>
    <t>Subjects cooperate more when game has cooperative equilibria - and benefit from being lenient and forgiving to some extent</t>
  </si>
  <si>
    <t>We see that there is markedly less cooperation when b/c = 1.5 [...] overall (1.5 versus 2, p = 0.001; 1.5 versus 2.5, p &lt; 0.001; 1.5 versus 4, p &lt; 0.001). [...] Cooperation [is] more frequent in treatments where there are coop-
erative equilibria.</t>
  </si>
  <si>
    <t>p. 732-733</t>
  </si>
  <si>
    <t>Table 4: =(0.57/(1-0.57))/(0.83/(1-0.83))</t>
  </si>
  <si>
    <t>p. 19 Camerer et al. 2018 - flipped to be in line with negative original effect</t>
  </si>
  <si>
    <t>https://osf.io/nb4wk</t>
  </si>
  <si>
    <t xml:space="preserve">Supplementary Table S1 of the replication article reports the following values: Original (p =  0.001, effect size 0.30, n =  124), Replication (p =  0.001, effect size = 0.33, N = 128).  Based on the p-value and the information reported in Table S2 of the replication article I matched the replication attempt to the results stipulated in pages 732-733 of the original research article: "We see that there is markedly less cooperation when b/c = 1.5, both in the first round (1.5 versus 2, p = 0.016; 1.5 versus 2.5, p = 0.003; 1.5 versus 4, p = 0.004) and overall (1.5 versus 2, p = 0.001; 1.5 versus 2.5, p &lt; 0.001; 1.5 versus 4, p &lt; 0.001)". Note that the replication attempts is "overall (1.5 versus 2, p = 0.001)" as stipulated in Table S2. After revision, I do not understand how the coefficients reported in Table 1 of the OSF replication report (https://osf.io/kr7sm) for the original research were obtained. I report an effect size based on the coefficients stipulated in Table 3 (p.733) for b/c = 1.5 and b/c = 2 (row ALLD).  </t>
  </si>
  <si>
    <t>We see that there is markedly less cooperation when b/c = 1.5, both in the first round (1.5 versus 2, p = 0.016; 1.5 versus 2.5, p = 0.003; 1.5 versus 4, p = 0.004) and overall (1.5 versus 2, p = 0.001; 1.5 versus 2.5, p &lt; 0.001; 1.5 versus 4, p &lt; 0.001)</t>
  </si>
  <si>
    <t>Prisoner's dilemma, mutual cooperation, decision-making, cooperative equilibria, punishment.</t>
  </si>
  <si>
    <t>The researchers investigate the cost-benefit ratio (b/c) on cooperation levels in repeated interactions.</t>
  </si>
  <si>
    <t>"We see that there is markedly less cooperation when b/c = 1.5, both in the first round (1.5 versus 2, p = 0.016; 1.5 versus 2.5, p = 0.003; 1.5 versus 4, p = 0.004) and overall (1.5 versus 2, p = 0.001; 1.5 versus 2.5, p &lt; 0.001; 1.5 versus 4, p &lt; 0.001)"</t>
  </si>
  <si>
    <t>pp. 732-733</t>
  </si>
  <si>
    <t>=(0.29-0.17)/SQRT(((72-1)*0.06^2+(52-1)*0.06^2)/(72+52-2)))</t>
  </si>
  <si>
    <t>Camereretal2016_13</t>
  </si>
  <si>
    <t>vague details on the comparison test run - no actual test statistics reported</t>
  </si>
  <si>
    <t>Huck, S., Seltzer, A. J., &amp; Wallace, B. (2011). Deferred compensation in multiperiod labor contracts: An experimental test of Lazear’s model. American Economic Review, 101(2), 819–843.</t>
  </si>
  <si>
    <t>10.1257/aer.101.2.819</t>
  </si>
  <si>
    <t>Effect of deferred  compensation  in increasing  effort  and surplus.</t>
  </si>
  <si>
    <t>defered compensation, lazears model, labor contracts</t>
  </si>
  <si>
    <t>If firms can ex ante commit to a wage schedule with deferred compensation, workers should respond by supplying sufficient effort to avoid dismissal.</t>
  </si>
  <si>
    <t>If firms can ex ante commit to a wage schedule with deferred compensation, workers should respond by supplying sufficient effort to avoid dismissal. We contrast this full-commitment case to controls with no commitment. [...] Interestingly there is little difference between stage 1 offers in the FCT and NCT, with both averaging about 20 overall and 15 in the last 10 rounds. There is, however, a big difference in the actual offer (W2 + W3), with much higher wages in the FCT.</t>
  </si>
  <si>
    <t>p. 819 + 838</t>
  </si>
  <si>
    <t>Mean difference</t>
  </si>
  <si>
    <t>p. 839, 54.74  - 21.31</t>
  </si>
  <si>
    <t>https://osf.io/t974m</t>
  </si>
  <si>
    <t xml:space="preserve">Supplementary Table S1 of the replication article reports the following values: Original (p =  0.004, effect size 0.83, n =  120), Replication (p =  0.142, effect size = 0.37, N = 160). The OSF replication report stated that the replication effort is focused on "The ability to pay future deferred compensation increases worker earnings (w2+w3) more when commitment is enforced (fct) compared to non-enforcement (nct)".  This results is presented in Table 3 (p. 839) of the original research article. Therefore, I report an effect size as the difference between the coefficients of FCT and NCT for the W2 + W3 (pence) row. </t>
  </si>
  <si>
    <t>Deferred Compensation, Lazear’s Model, multiperiod environment, dismissal avoidance,  monetary incentives, social preferences, reciprocity.</t>
  </si>
  <si>
    <t>Is the ability to pay future deferred compensation when commitment is enforced (fct) compared to non-enforcement (nct).</t>
  </si>
  <si>
    <t>"The next two, rows show the mean wage offers. Wage offers declined over the session in each treatment. Interestingly there is little difference between stage 1 offers in the FCT and NCT, with both averaging about 20 overall and 15 in the last 10 rounds. There is, however, a big difference in the actual offer (W2 + W3), with much higher wages in the FCT".</t>
  </si>
  <si>
    <t>p. 838</t>
  </si>
  <si>
    <t>Difference Between Means</t>
  </si>
  <si>
    <t>54.74  - 21.31</t>
  </si>
  <si>
    <t>Camereretal2016_14</t>
  </si>
  <si>
    <t>Ifcher, J., &amp; Zarghamee, H. (2011). Happiness and time preference: The effect of positive affect in a random-assignment experiment. American Economic Review, 101(7), 3109–3129.</t>
  </si>
  <si>
    <t>10.1257/aer.101.7.3109</t>
  </si>
  <si>
    <t>Mood and time preference</t>
  </si>
  <si>
    <t>happiness, positive affect, time preference</t>
  </si>
  <si>
    <t>mild positive affect significantly reduces time preference over money</t>
  </si>
  <si>
    <t>The positive-affect inducement unambiguously reduces time preference. [...] With the restricted sample, the magnitude and the significance of the treatment effect increase (see columns 5 through 8 of Table 3). The positive-affect inducement now increases the present value of a future payment by an average of $3.00 in each of the four restricted specifications. [Table 3 column 5]: 2.997, SE = 1.352, R2 = .68, ** p &lt; .05</t>
  </si>
  <si>
    <t>p. 3121</t>
  </si>
  <si>
    <t>https://osf.io/wcvnu</t>
  </si>
  <si>
    <t>In multi-level models, R2 *can* include ICC - and this value seems far too high to be the experimental manipulation alone</t>
  </si>
  <si>
    <t xml:space="preserve">Supplementary Table S1 of the replication article reports the following values: Original (p = 0.031, effect size 0.28, n = 58), Replication (p = 0.933, effect size = -0.01, N = 131). Based on the replication report (https://osf.io/xga9p), I was able to trace the replication attempt to the coefficient reported in Table 3, column 5, treatment row (p. 3121). Therefore, I report the test statistic for this coefficient as reported in the OSF replication report. The replication states that the original sample size is 58 subjects, which is a value reported in the Cluster row for column 5 of Table 3 (p. 3121). However, I do not understand if this refers to a sample size. I am reporting the sample size reported in the replication attempt, although I have not been able to derive or confirm this sample size myself. </t>
  </si>
  <si>
    <t>Effect  of  a  mood-inducing  film  clip  on  time  preference</t>
  </si>
  <si>
    <t xml:space="preserve">Positive affect,  Random-Assignment Experiment, time preference, effect of happiness on time preference, decision-making, emotions. </t>
  </si>
  <si>
    <t>It investigates if a positive affect impacts time preference, where time preference denotes a preference for present over future utility.</t>
  </si>
  <si>
    <t>The positive-affect inducement unambiguously reduces time preference. [...] With the restricted sample, the magnitude and the significance of the treatment effect increase (see columns 5 through 8 of Table 3). The positive-affect inducement now increases the present value of a future payment by an average of $3.00 in each of the four restricted specifications. [Table 3 column 5]: 2.997, SE = 1.352, ** p &lt; .05</t>
  </si>
  <si>
    <t>2.997/1.352</t>
  </si>
  <si>
    <t>Camereretal2016_15</t>
  </si>
  <si>
    <t>Kessler, J. B., &amp; Roth, A. E. (2012). Organ allocation policy and the decision to donate. American Economic Review, 102(5), 2018–2047.</t>
  </si>
  <si>
    <t>10.1257/aer.102.5.2018</t>
  </si>
  <si>
    <t>Registration of organ donors: giving waitlist priority</t>
  </si>
  <si>
    <t>organ donation, decision making, organ allocation</t>
  </si>
  <si>
    <t>An organ allocation policy giving priority on waiting lists to those who previously registered as donors has a significant positive impact on registration.</t>
  </si>
  <si>
    <t>Averaging across the first 15 rounds of the game, the priority condition averaged a donation rate of 74.2 percent while control condition averaged a much lower donation rate of 35.9 percent.</t>
  </si>
  <si>
    <t>p. 2027</t>
  </si>
  <si>
    <t>=(0.742/(1-0.742))/(0.359/(1-0.359))</t>
  </si>
  <si>
    <t>p. 19 Camerer et al. 2018 - we do not report results from the replication report as they do not match anything reported in original study</t>
  </si>
  <si>
    <t>https://osf.io/hsrbu</t>
  </si>
  <si>
    <t xml:space="preserve">Supplementary Table S1 of the replication article reports the following values: Original (p = &lt; 0.001, effect size 0.49, n = 288), Replication (p = 0.016, effect size = 0.34, N = 48). The OSF report (https://osf.io/7edwb) stated that the replication attempt is focused on: "regression 2 in Table 3, the coefficient for “priority” (shows the effect for the between subject rounds 1–15; linear probability model with clustering on subject). The replication states that they have reestimated the original model "including only the two treatments of the replication and only rounds 1-15. This resulted in a p-value of p= 1.631e−18(and az-value of 9.413)". Nonetheless, I report a t-statistic for the priority coefficient of model 2 (second column) as an effect size.  Please note that I was not able to derive from the original article a sample size of 288 as the OSF report states. I still report this value. </t>
  </si>
  <si>
    <t>Effects of different organ donation policies on the registration of organ donors</t>
  </si>
  <si>
    <t>Organ Allocation Policy, decision-making, organ donation, experimental game</t>
  </si>
  <si>
    <t>They investigated the decision to register as an organ donor and how changes in the management of organ waiting lists might impact donations (comparison of the fraction of donors choosing to be a donor between the priority condition treatment and the control condition treatment in rounds 1–15).</t>
  </si>
  <si>
    <t>"Using estimates from regression 2, we find that Priority outperforms Discount and Rebate in the first 15 rounds of the experiment but the 3 are indistinguishable in the second half of the experiment".</t>
  </si>
  <si>
    <t>p. 2030</t>
  </si>
  <si>
    <t>0.383 / 0.041</t>
  </si>
  <si>
    <t>Camereretal2016_16</t>
  </si>
  <si>
    <t xml:space="preserve">Z-values from a Mann-Whitney-U-Test </t>
  </si>
  <si>
    <t>Kirchler, M., Huber, J., &amp; Stöckl, T. (2012). Thar she bursts: Reducing confusion reduces bubbles. American Economic Review, 102(2), 865–883.</t>
  </si>
  <si>
    <t>10.1257/aer.102.2.865</t>
  </si>
  <si>
    <t>bubbles, cash–to–asset value ratio, asset market model, overvaluation</t>
  </si>
  <si>
    <t>High mispricing occurs with a declining fundamental value, while overvaluation emerges when coupled with an increasing C/A ratio.</t>
  </si>
  <si>
    <t>We find high mispricing in treatments with declining FVs [fundamental values], z = −2.402 (T1 vs T2)</t>
  </si>
  <si>
    <t>p.  875</t>
  </si>
  <si>
    <t>p. 875 (.414 - .079)</t>
  </si>
  <si>
    <t>https://osf.io/d5t2b</t>
  </si>
  <si>
    <t>z-scores from Mann-Whitney cannot be converted (or are at least not comparable)</t>
  </si>
  <si>
    <t xml:space="preserve">Supplementary Table S1 of the replication article reports the following values: Original (p =  0.016, effect size 0.66, n = 120), Replication (p = 0.010, effect size = 0.53, N = 220).  The OSF report (https://osf.io/d89fx) stipulates that the replication attempt is centered on "Wilcoxon-Mann-Whitney test on mean RAD between the treatments t1 and t2 with RAD measured on the market level, Table 6, middle of the bottom panel on p. 875".  I verified these results in the original research article. I report the coefficient T1( \+) versus T2(— +) in the RAD column as effect size. However, I was not able to derive the sample size of 120 participants that the OSF document reports. Still, I report this value as a sample size. </t>
  </si>
  <si>
    <t>Mispricing effect in  experimental  asset  markets  under  constant  fundamental value with declining fundamental value</t>
  </si>
  <si>
    <t>stock market, Experimental asset market model, value process, cash–to–asset value ratio, overvaluation, fundamental value.</t>
  </si>
  <si>
    <t>They investigated how the effect of a declining fundamental value (FV) increases mispricing in experimental asset markets (a com-parison of the mean relative absolute deviation (RAD) between treatment 1 (t1) and treatment 2(t2)).</t>
  </si>
  <si>
    <t>"While the results for overvaluation look similar on the aggregate level (with a significant difference of 17.1 percentage points), a closer inspection of Table 6 reveals that overvaluation is very strong in T1( \+) compared to T2(— +) and T3( \=)"</t>
  </si>
  <si>
    <t>p. 875</t>
  </si>
  <si>
    <t>mean coefficient</t>
  </si>
  <si>
    <t>Camereretal2016_17</t>
  </si>
  <si>
    <t>Kogan, S., Kwasnica, A. M., &amp; Weber, R. A. (2011). Coordination in the presence of asset markets. American Economic Review, 101(2), 927–947.</t>
  </si>
  <si>
    <t>10.1257/aer.101.2.927</t>
  </si>
  <si>
    <t>Effects of market communication in a “second-order statistic” coordination game.</t>
  </si>
  <si>
    <t>coordination, asset markets</t>
  </si>
  <si>
    <t>Assess whether markets guide behavior towards more or less efficient equilibria</t>
  </si>
  <si>
    <t>"There is a market communication effect whereby the market also influences output by negatively affecting players’ beliefs. [...] The results show that output in the Market treatment is significantly lower than in the Control treatment in all specifications, and for both Insider and Outsider groups." [Table 8:] b =−2.739***, SE = 0.651, *** p &lt; .01</t>
  </si>
  <si>
    <t>p. 940-943</t>
  </si>
  <si>
    <t>ordered probit regression coefficient</t>
  </si>
  <si>
    <t>p. 943</t>
  </si>
  <si>
    <t>https://osf.io/kx5mj</t>
  </si>
  <si>
    <t>Economics papers often use different stars, beware of that (*** = &lt; .01)</t>
  </si>
  <si>
    <t xml:space="preserve">Supplementary Table S1 of the replication article reports the following values: Original (p =  &lt; 0.001, effect size 0.32, n = 126), Replication (p = 0.001, effect size = 0.30, N = 90).  The OSF report (https://osf.io/h3yw6) specified that the replication attempt is centered for the "regression 1 in Table 8, the coefficient for “Market”; ordered probit regression with group random effects and Huber-White standard error". I verified the information in the original research article, and report accordingly a t-statistic for the coefficient for the Market row, column 1 (p. 943). To me, the reported sample size for the original article is nebulous, and I do not understand how it was derived. I report the one stated in the replication report.  </t>
  </si>
  <si>
    <t>"Table 8 reports ordered probit regressions with group random effects, similar to those for Experiment 1. The results show that output in the Market treatment is significantly lower than in the Control treatment in all specifications, and for both Insider and Outsider groups."</t>
  </si>
  <si>
    <t>p. 941</t>
  </si>
  <si>
    <t>−2.739 / 0.651</t>
  </si>
  <si>
    <t>Camereretal2016_18</t>
  </si>
  <si>
    <t>Kuziemko, I., Buell, R. W., Reich, T., &amp; Norton, M. I. (2014). “Last-place aversion”: Evidence and redistributive implications. Quarterly Journal of Economics, 129(1), 105–149.</t>
  </si>
  <si>
    <t>10.1093/qje/qjt035</t>
  </si>
  <si>
    <t>last place aversion, redistribution</t>
  </si>
  <si>
    <t>Last-place aversion suggests that low-income individuals might oppose redistribution because it could differentially help the group just beneath them.</t>
  </si>
  <si>
    <t>Players are the least likely to give to the last-place player when they are in second-to-last place and this difference is pairwise significant for the first-, third-, and last-place players, and marginally significant (p = .120) for the second-place player. [Table 3 Column (1)] shows that the second-to-last-place player is significantly less likely to give to the lower-ranked player relative to other players, marginal change in probability -0.116*, SE = 0.064, with * p &lt; .1</t>
  </si>
  <si>
    <t>p. 127-128</t>
  </si>
  <si>
    <t>probit beta (marginal change in odds)</t>
  </si>
  <si>
    <t>p. 129</t>
  </si>
  <si>
    <t>https://osf.io/9z5nv</t>
  </si>
  <si>
    <t xml:space="preserve">Supplementary Table S1 of the replication article reports the following values: Original (p =  0.070, effect size 0.28, n = 42), Replication (p = 0.154, effect size = -0.12, N = 144). The replication OSF report (https://osf.io/nd2fk) stipulated that the replication attempt centered in: "Probit regressions with round fixed effects and clustering on individuals and a dummy for subjects ranked 1st and last (as they don’t have parallel choice sets); the coefficient of “Second from last” in regression (1) of Table II, p. 129". This information is presented as described in the original research article. Therefore, I report a t-statistic for the referred coefficient as effect size. </t>
  </si>
  <si>
    <t xml:space="preserve"> Effects of placement in the second-to-last place endowments in money redistribution. </t>
  </si>
  <si>
    <t>Money redistribution, last-place aversion, gambling</t>
  </si>
  <si>
    <t>Investigation of how positioning in second-to-last place endowments affect the probability to allocate money to the person one rank below them in a choice of distributing $2.</t>
  </si>
  <si>
    <t>"Column (1) shows that the second-to-last-place player is significantly less likely to give to the lower-ranked player relative to other players".</t>
  </si>
  <si>
    <t>p. 128</t>
  </si>
  <si>
    <t>-0.116 / 0.064</t>
  </si>
  <si>
    <t>Camereretal2016_2</t>
  </si>
  <si>
    <t>Ambrus, A., &amp; Greiner, B. (2012). Imperfect public monitoring with costly punishment: An experimental study. American Economic Review, 102(7), 3317–3332.</t>
  </si>
  <si>
    <t>10.1257/aer.102.7.3317</t>
  </si>
  <si>
    <t>Effect of punishment depending on monitoring</t>
  </si>
  <si>
    <t>punishment, public monitoring, public good contribution games, cooperation</t>
  </si>
  <si>
    <t>The effects of a costly punishment option on cooperation and social welfare in long, finitely repeated public good contribution games depends on whether monitoring is perfect or imperfect</t>
  </si>
  <si>
    <t>When there is noise in addition to punishment, net payoffs are significantly reduced. [...] Hypothesis F-tests confirm at the 5 percent level that the joint effect of Regular Punishment and Noise × Regular Punishment is negative.</t>
  </si>
  <si>
    <t>p. 3325</t>
  </si>
  <si>
    <t>p. 3324 (.86-3.77)</t>
  </si>
  <si>
    <t>https://osf.io/tpmnq</t>
  </si>
  <si>
    <t>Many p-values from wrong row - be careful w/ tables</t>
  </si>
  <si>
    <t xml:space="preserve">Supplementary Table S1 of the replication article reports the following values: Original (p = 0.057, effect size 0.31, n = 117), Replication (p = 0.160, effect size = 0.08, N = 318). The replication report (https://osf.io/a8c36) specifies that the replication attempt focus on "The focal effect is the sum of the “regular punishment” coefficient and the “noise * regular punishment” coefficient in the last column in Table 2 (p. 3324), an OLS regression of earnings in each period".  These results are presented in rows 3 and 6 (column 5) of Table 2 in the original research article. Therefore I report on those values. Please note that I report the coefficient from Table 1 in the replicator's ODF report as an effect size, given that I was not able to reproduce an effect size of 0.31 (most likely lack of comprehension of how it was calculated by the replication article). </t>
  </si>
  <si>
    <t>Effect of regular punishment and noise in net earnings.</t>
  </si>
  <si>
    <t>Imperfect Public Monitoring, punishment, cooperation, perfect monitoring, punishment technology</t>
  </si>
  <si>
    <t>Is the effect of regular punishment under conditions of imperfect public monitoring (noise) on net earnings in a sequential goods game.</t>
  </si>
  <si>
    <t>"Hypothesis F-tests confirm at the 5 percent level that the joint effect of Regular Punishment and Noise × Regular Punishment is negative, but cannot reject that the joint effect of Strong Punishment and Noise × Strong Punishment is different from zero (p = 0.133)"</t>
  </si>
  <si>
    <t>Camereretal2016_3</t>
  </si>
  <si>
    <t>Bartling, B., Fehr, E., &amp; Schmidt, K. M. (2012). Screening, competition, and job design: Economic origins of good jobs. American Economic Review, 102(2), 834–864.</t>
  </si>
  <si>
    <t>10.1257/aer.102.2.834</t>
  </si>
  <si>
    <t>Screening, Competition, Job design, High-performance work systems,</t>
  </si>
  <si>
    <t>Screening for work attitude and labor market competition are causal determinants of the viability of high-performance work systems</t>
  </si>
  <si>
    <t>The average per-period total surplus is 58 percent higher in the screening treatment [than the control]—a difference that is highly significant (rank-sum test on matching group averages, p = 0.007).</t>
  </si>
  <si>
    <t>p. 854</t>
  </si>
  <si>
    <t>percentage difference</t>
  </si>
  <si>
    <t>https://osf.io/r9xc6</t>
  </si>
  <si>
    <t>Supplementary Table S1 of the replication article reports the following values: Original (p = 0.007, effect size 0.72, n = 216), Replication (p = 0.001, effect size = 0.66, N = 360). The associated replication report (https://osf.io/8esfd) specifies the replication attempt for the difference of the average per period total surplus between base and screening treatment”. This result is stipulated in the original research article p. 854. The replication report indicates an effect of 5.92 for the original article as the difference of average per-period total surplus between the two treatments. Although I could not derive the base and screening treatment values reported in Table 1 of the replication report, this is truly consistent with the   "58 percent higher in the screening treatment" reported in p. 854 of the original research article. Therefore, I report effect size for the original research article based on the estimated effect size in the replication report (values in Table 1 of the replication report).</t>
  </si>
  <si>
    <t>Impact of screening treatment on the employers’ and employees’ average income</t>
  </si>
  <si>
    <t>High-performance work systems, effort productivity, work attitude screening, labor market competition</t>
  </si>
  <si>
    <t>This is how providing employers with information about employees’ past performance influences the wages employers offer, the efforts of employees, and the financial outcomes for both.</t>
  </si>
  <si>
    <t>"Overall, the average per-period total surplus is 58 percent higher in the screening treatment—a difference that is highly significant (rank-sum test on matching group averages, p = 0.007). This increase in the total surplus has two main sources—the higher share of jobs with full discretion and the higher average effort of the employees."</t>
  </si>
  <si>
    <t>Difference of average per-period total surplus between the two treatments.</t>
  </si>
  <si>
    <t>10.25 - 16.17</t>
  </si>
  <si>
    <t>Camereretal2016_4</t>
  </si>
  <si>
    <t>Charness, G., &amp; Dufwenberg, M. (2011). Participation. American Economic Review, 101(4), 1211–1237.</t>
  </si>
  <si>
    <t>10.1257/aer.101.4.1211</t>
  </si>
  <si>
    <t>communication, collaboration, participation</t>
  </si>
  <si>
    <t>Whether communication achieves beneficial social outcomes in a hidden-information context depends crucially on whether low-talent agents can participate in a Pareto-improving outcome.</t>
  </si>
  <si>
    <t>Whether and how communication can achieve beneficial social outcomes in a hidden-information context [...] depends crucially on whether low-talent agents can participate in an outcome that, compared to no contractual agreement, is a Pareto improvement for the principal and the agent. [...] the only case in which communication led to a significant increase was for low-talent B’s in the (5, 7)-game, where the Don’t rate nearly doubles, to 78 percent.</t>
  </si>
  <si>
    <t>p. 1219 + 1231</t>
  </si>
  <si>
    <t>=(0.78/(1-0.78))/(0.4/(1-0.4))</t>
  </si>
  <si>
    <t>p. 3, =(0.8056/(1-0.8056))/(0.4483/(1-0.4483))</t>
  </si>
  <si>
    <t>https://osf.io/s5qzk</t>
  </si>
  <si>
    <t xml:space="preserve">Supplementary Table S1 of the replication article reports the following values: Original (p = 0.010, effect size 0.38, n = 162), Replication (p = 0.003, effect size = 0.36, N = 264). The replication report (https://osf.io/rycnp) specifies the replication attempt for the difference in proportions, Table 2 ((5,7) treatment.  This is consistent with the results presented in Table 2 (p. 1219) of the original research article. Therefore, I report effect size based on the percentages stipulated in the original research article Table and the formula "based on percentages experiencing "success". </t>
  </si>
  <si>
    <t>Effect of communication</t>
  </si>
  <si>
    <t>Communication, Pareto-improving outcome, cost-of-lying, guilt-fromblame</t>
  </si>
  <si>
    <t>The experimenters introduced a group where communication between players in a game was allowed .</t>
  </si>
  <si>
    <t>"Summarizing the results, the only case in which communication led to a significant increase was for low-talent B’s in the (5, 7)-game, where the Don’t rate nearly doubles, to 78 percent."</t>
  </si>
  <si>
    <t>p. 1219</t>
  </si>
  <si>
    <t>Camereretal2016_5</t>
  </si>
  <si>
    <t>Chen, R., &amp; Chen, Y. (2011). The potential of social identity for equilibrium selection. American Economic Review, 101(6), 2562–2589.</t>
  </si>
  <si>
    <t>10.1257/aer.101.6.2562</t>
  </si>
  <si>
    <t>Social identity and coordination</t>
  </si>
  <si>
    <t>social identity, efficiency, coordination games, social preference model, minimum effort game,  high-effort equilibrium.</t>
  </si>
  <si>
    <t>Groups with a salient ingroup identity can develop ingroup coordination to reach the efficient high-effort equilibrium.</t>
  </si>
  <si>
    <t>In the enhanced sessions, participants in the ingroup sessions choose significantly higher effort than those in the [...] outgroup sessions. A test that the sum of the coefficients on the ingroup dummy and ingroup-enhanced interaction term is equal to the corresponding outgroup sum yields p = 0.023 for column 1 and p = 0.008 for column 2.</t>
  </si>
  <si>
    <t>p. 2577</t>
  </si>
  <si>
    <t xml:space="preserve">(8.82 + 15.38) - (10.76 - 10.41) </t>
  </si>
  <si>
    <t>https://osf.io/2anqg</t>
  </si>
  <si>
    <t>Supplementary Table S1 of the replication article reports the following values: Original (p = 0.033, effect size 0.84, n = 72), Replication (p = 0.57, effect size = 0.17, N = 168).  The OSF report (https://osf.io/pujg2) indicates that the replication attempt is: "a comparison of the sum of the regression coefficients “Ingroup”and “Ingroup * Enhanced” versus “Outgroup”and “Outgroup * Enhanced” in the first column in Table 2 and on page 2577 (random effects regression, with clustering at the session level)". These coefficients are presented in Table 2 (p. 2576) in the original research article.  I report an effect size based on the coefficients for Ingroup × Enhanced and Outgroup × Enhanced, given my understanding of the matter.</t>
  </si>
  <si>
    <t>Efficiency in coordination games</t>
  </si>
  <si>
    <t>efficiency, coordination games, social preference model, minimum effort game,  high-effort equilibrium.</t>
  </si>
  <si>
    <t>Assessing how much the combined effort under the Ingroup treatment differs from the combined effort under the Outgroup treatment</t>
  </si>
  <si>
    <t>"A test that the sum of the coefficients on the in-group dummy and ingroup-enhanced interaction term is equal to 0 yields p  &lt;0.0001forcolumn 1 andp= 0.0005 for column 2, while a test that the previous sum is equal to the corresponding outgroup sum yieldsp= 0.023 for column 1"</t>
  </si>
  <si>
    <t>Camereretal2016_6</t>
  </si>
  <si>
    <t>Effect size for original study opaque, releavant details recorded - look to tables indicated to see values that were compared for those mean differences? Table 5a and Table 6a, should take difference value?</t>
  </si>
  <si>
    <t>De Clippel, G., Eliaz, K., &amp; Knight, B. G. (2014). On the selection of arbitrators. American Economic Review, 104(11), 3434–3458.</t>
  </si>
  <si>
    <t>10.1257/aer.104.11.3434</t>
  </si>
  <si>
    <t>Selection of arbitrators through shortlisting rather than veto-ranking</t>
  </si>
  <si>
    <t>arbitration, selection, short-listing, veto ranking</t>
  </si>
  <si>
    <t>Arbitrators are usually chosen with a veto-rank method, yet this paper shows that an alternative shortlisting mechanism yields superior outcomes</t>
  </si>
  <si>
    <t>Finally, we provide evidence on payoffs under the two mechanisms. As shown in Table 7, when summed across the two agents, payoffs are higher under SL under all three preference profiles. Moreover, while the differences are not statistically significant for Pf3, the differences are statistically significant with p = 0.001 for Pf2 and p = 0.055 for Pf4.</t>
  </si>
  <si>
    <t>p. 3448</t>
  </si>
  <si>
    <t xml:space="preserve"> Table 7</t>
  </si>
  <si>
    <t>https://osf.io/vdmz6</t>
  </si>
  <si>
    <t>Supplementary Table S1 of the replication article reports the following values: Original (p = 0.001, effect size 0.12, n = 158), Replication (p = 0.001, effect size = 0.27, N = 156).  Using the description provided in Table S2 of the replication article, I matched the replication attempt to the one reported in Table 7 of the original research article, which reports a "0.001 for Pf2".  No information is reported about the uncertainty in the mean values, therefore I report as an effect size the difference stated in the original research article.</t>
  </si>
  <si>
    <t>Efficiency (average aggregate payoff) difference between veto-rank mechanism (VR) and shortlisting (SL) mechanisms.</t>
  </si>
  <si>
    <t xml:space="preserve">Arbitration, selection of the arbitrator, implementation theory, veto-rank, shortlisting, </t>
  </si>
  <si>
    <t>"In the veto-rank mechanism (VR), two parties receive a list of n (an odd number) potential arbitrators. Each party independently vetoes or removes (n-1)/2 names from the list, and ranks the remaining (n + 1)/2 candidates". shortlisting is proposed as a method that: (i) backwards induction leads to a Pareto efficient outcome, which Pareto dominates both parties’ median choices, and (ii) there are as few stages as possible so that backwards induction is relatively “simple” to execute (see Binmore et. al. 2002).</t>
  </si>
  <si>
    <t>"Finally, we provide evidence on payoffs under the two mechanisms. As shown in Table 7, when summed across the two agents, payoffs are higher under SL under all three preference profiles. Moreover, while the differences are not statistically significant for Pf3, the differences are statistically significant with p = 0.001 for Pf2 and p = 0.055 for Pf4.</t>
  </si>
  <si>
    <t>p. 3449</t>
  </si>
  <si>
    <t>mean difference</t>
  </si>
  <si>
    <t>Camereretal2016_7</t>
  </si>
  <si>
    <t xml:space="preserve">Effect size for original : details found in session-level efficiency ratios over all rounds as reported in Table 7 for the money treatment sessions and in the last three columns of Table 12, but unclear if/how to calculate effectively from there. </t>
  </si>
  <si>
    <t>Duffy, J., &amp; Puzzello, D. (2014). Gift exchange versus monetary exchange: Theory and evidence. American Economic Review, 104(6), 1735–1776.</t>
  </si>
  <si>
    <t>10.1257/aer.104.6.1735</t>
  </si>
  <si>
    <t>Lagos-Wright model, monetary exchange, monetary equilibrium, gift exchange</t>
  </si>
  <si>
    <t>avoidance of gift exchange equilibria in favor of the monetary equilibrium.</t>
  </si>
  <si>
    <t>A Wilcoxon Mann-Whitney test indicates that we can reject the null hypothesis of no difference in efficiency ratios between [...] the M6 and NM6 treatments [...] in favor of the alternative that efficiency ratios are higher in each of the two M treatments relative to the comparable NM treatment ( p = 0.01 [...]). This is strong evidence that the presence of a money object enables agents to coordinate on a more efficient equilibrium outcome.</t>
  </si>
  <si>
    <t>p. 1764</t>
  </si>
  <si>
    <t>Tables 7 and 12 (.43 - .27)</t>
  </si>
  <si>
    <t>https://osf.io/ypcz5</t>
  </si>
  <si>
    <t>claim should be stats + interpretation (better slightly too long when coding?)</t>
  </si>
  <si>
    <t>Supplementary Table S1 of the replication article reports the following values: Original (p = 0.010, effect size 0.76, n =  54), Replication (p = 0.67, effect size = -0.12, N = 96).  Using the information provided in Table S2 of the replication article, I matched the replication attempt to the data reported (apparently) in Table 12 of the original research article where the reported p-value of 0.10 is present. I report an effect size based on the Table 1 in the replication report (https://osf.io/rf7zq), considering the average ratios.</t>
  </si>
  <si>
    <t>Efficiency in the Lagos-Wright money model.</t>
  </si>
  <si>
    <t xml:space="preserve">Lagos-Wright model, monetary exchange, monetary equilibrium </t>
  </si>
  <si>
    <t>Is the ability of the economy to maximize welfare by facilitating trade and coordination among agents.</t>
  </si>
  <si>
    <t>"Nevertheless, using the session-level efficiency ratios over all rounds as reported in Table 7 for the money treatment sessions and in the last three columns of Table 12 for the no money treatment sessions, a Wilcoxon Mann-Whitney test indicates that we can reject the null hypothesis of no difference in efficiency ratios between (i) the M6 and NM6 treatments and (ii) the M14 and NM14 treatments in favor of the alternative that efficiency ratios are higher in each of the two M treatments relative to the comparable NM treatment ( p = 0.01 for the first test and p = 0.04 for the second test). This is strong evidence that the presence of a money object enables agents to coordinate on a more efficient equilibrium outcome.</t>
  </si>
  <si>
    <t>=(0.43/(1-0.43))/(0.27/(1-0.27))</t>
  </si>
  <si>
    <t>Camereretal2016_8</t>
  </si>
  <si>
    <t>Dulleck, U., Kerschbamer, R., &amp; Sutter, M. (2011). The economics of credence goods: An experiment on the role of liability, verifiability, reputation, and competition. American Economic Review, 101(2), 526–555.</t>
  </si>
  <si>
    <t>10.1257/aer.101.2.526</t>
  </si>
  <si>
    <t>Efficience with credence goods</t>
  </si>
  <si>
    <t>credence goods, liability, verifiability, reputation, competition</t>
  </si>
  <si>
    <t>Liability enables efficiency for credence goods, while verifiability has little effect</t>
  </si>
  <si>
    <t>Efficiency is below 20 percent without liability, but significantly higher and above 80 percent with liability. [Table 3]: Mann-Whitney U-tests for pairwise differences between treatments (with matching groups of 8 subjects as one independent observation): p &lt; .05</t>
  </si>
  <si>
    <t>p. 539</t>
  </si>
  <si>
    <t>p. 540, 0.81 - 0.16</t>
  </si>
  <si>
    <t>https://osf.io/d3h4u</t>
  </si>
  <si>
    <t>Supplementary Table S1 of the replication article reports the following values: Original (p = &lt; 0.0001, effect size 0.72, n =  168), Replication (p = 0.001, effect size = 0.73, N = 128).  Using the information provided in Table S2 of the replication article, I matched the replication attempt to the data reported in point (i) p.539 and Table 3. The p-value of &lt; 0.001 reported by the replication article is not present in the original research.  Therefore, I report the p-value for the comparison between the B/V (no liability/verifiability) and B/LV (liability/ verifiability) for the efficiency parameter (as defined by Table S2 of the replication article).  I confirmed this information with the OSF report (https://osf.io/d78na).</t>
  </si>
  <si>
    <t xml:space="preserve"> Efficiency between the B/LV treatment (liability/verifiability) and the B/V treatment (no liability/verifiability.</t>
  </si>
  <si>
    <t>Credence Goods, liability, verifiability, reputation, competition</t>
  </si>
  <si>
    <t xml:space="preserve">The objective is to evaluate the impact of liability on efficiency in a credence goods market when verifiability is present, comparing the efficiency outcomes between two scenarios: one where both liability and verifiability exist (B/LV treatment) and one where only verifiability exists without liability (B/V treatment). </t>
  </si>
  <si>
    <t>"Efficiency is below 20 percent without liability, but significantly higher and above 80 percent with liability."</t>
  </si>
  <si>
    <t>0.81 - 0.16</t>
  </si>
  <si>
    <t>Camereretal2016_9</t>
  </si>
  <si>
    <t xml:space="preserve">Effect size for original study opaque, releavant details recorded - difference between means as effect size? </t>
  </si>
  <si>
    <t>Ericson, K. M. M., &amp; Fuster, A. (2011). Expectations as endowments: Evidence on reference-dependent preferences from exchange and valuation experiments. Quarterly Journal of Economics, 126(4), 1879–1907.</t>
  </si>
  <si>
    <t>10.1093/qje/qjr034</t>
  </si>
  <si>
    <t>endowment, expectation, valuation, exchange</t>
  </si>
  <si>
    <t>reference points are influenced by expectations</t>
  </si>
  <si>
    <t>Subjects who have a high chance of leaving with the mug value the mug significantly higher than subjects who have a low chance of leaving with the mug. [...] The mean ln (WTAmug) is 1.30 in Treatment MH and 1.11 in Treatment ML; this difference is not quite statistically significant (p = .17, t-test). However, when we consider the subject-level difference between ln (WTAmug) and ln (WTApen), we find a mean of 0.33 for subjects in the MH treatment and 0.01 for subjects in the ML treatment. This difference is statistically significant (p = .03, t-test).</t>
  </si>
  <si>
    <t>p. 1896</t>
  </si>
  <si>
    <t>=(0.33-0.01)/SQRT((^2+^2)/2)</t>
  </si>
  <si>
    <t>https://osf.io/a3394</t>
  </si>
  <si>
    <t>Supplementary Table S1 of the replication article reports the following values: Original (p = 0.030, effect size 0.21, n =  112), Replication (p = 0.055, effect size = 0.12, N = 262). The OSF report (https://osf.io/b8pwq) stipulates that the replication attempt is directed to the difference between the mh and the ml treatments with the measure of ln(WTA) for the mug minus the ln (WTA) for a pen. These results are reported in the original article in p. 1896: "However, when we consider the subject level difference between ln (WTAmug) and ln (WTApen), we find a mean of 0.33 for subjects in the MH treatment and 0.01 for subjects in the ML treatment. This difference is statistically significant (p = .03, t-test)". Therefore, I provide and effect size based on the coefficients for ln(WTA mug)−ln(WTA pen) as specified in the text.</t>
  </si>
  <si>
    <t>Willingness to accept (WTA) a mug (effect of expectations on subjects’ monetary valuation of an item).</t>
  </si>
  <si>
    <t xml:space="preserve">Expectations, reference-dependent preferences, exchange experiments, valuation experiments, reference points. </t>
  </si>
  <si>
    <t>"Our second experiment measures the effect of expectations on subjects’ monetary valuation of an item. Subjects are not initially endowed with any item but learn that they will receive a mug for free with either high (80%) or low(10%) probability. All subjects also know that with probability 10%, they instead have a choice between the mug and money. We elicit their mug/money choices for varying amounts of money, which gives a measure of their willingness-to-accept (WTA) for the mug"</t>
  </si>
  <si>
    <t>"However,when we consider the subject level difference between ln (WTAmug) and ln (WTApen), we find a mean of 0.33 for subjects in the MH treatment and 0.01 for subjects in the ML treatment. This difference is statistically significant (p = .03, t-test)."</t>
  </si>
  <si>
    <t xml:space="preserve">0.33 - 0.01        </t>
  </si>
  <si>
    <t>Camereretal2018_1</t>
  </si>
  <si>
    <t>Camereretal2018_1_1</t>
  </si>
  <si>
    <t>Lukas Röseler, Sarah Ashcroft-Jones</t>
  </si>
  <si>
    <t xml:space="preserve">- Estimated effect size not reproducible (runs on external R code) unless taking Cohen's D value, thus r value computed in R is discarded. The corresponding effect size value in the replication report was r = 0.27
- P-value tails original is selected as 1 as F value from ANOVA is main test statistic. 
- P-values tails replication is selected as 2 as post-completion replication report reports a two-sided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</si>
  <si>
    <t>Ackerman, J. M., Nocera, C. C., &amp; Bargh, J. A. (2010). Incidental haptic sensations influence social judgments and decisions. Science, 328(5986), 1712-1715.</t>
  </si>
  <si>
    <t>10.1126/science.1189993</t>
  </si>
  <si>
    <t>Camerer, C. F., Dreber, A., Holzmeister, F., Ho, T. H., Huber, J., Johannesson, M., ... &amp; Wu, H. (2018). Evaluating the replicability of social science experiments in Nature and Science between 2010 and 2015. Nature human behaviour, 2(9), 637-644.</t>
  </si>
  <si>
    <t>10.1038/s41562-018-0399-z</t>
  </si>
  <si>
    <t>https://osf.io/9hn4c</t>
  </si>
  <si>
    <t>haptic priming</t>
  </si>
  <si>
    <t>Social Science Replication Project, Science, Nature, Human Behavior</t>
  </si>
  <si>
    <t>Incidental Haptic Sensations Influence Social Judgments and Decisions</t>
  </si>
  <si>
    <t>Clipboard weight (heavy or light) nonconsciously influenced impressions and decisions formed about unrelated people - specifically for ratings of job candidates (scale = 1 to 7), where higher numbers indicate stronger
evaluations. F(1, 52) = 4.08, p = 0.049.</t>
  </si>
  <si>
    <t>p.1712 - 1713</t>
  </si>
  <si>
    <t>=(5.8-5.38)/SQRT(((26-1)*0.76^2+(28-1)*0.79^2)/(26+28-2)))</t>
  </si>
  <si>
    <t>p. 55</t>
  </si>
  <si>
    <t>https://osf.io/bstxp/</t>
  </si>
  <si>
    <t>RB</t>
  </si>
  <si>
    <t>Participants using heavy clipboards rated the candidate as better overall</t>
  </si>
  <si>
    <t>R, compute.es pkg</t>
  </si>
  <si>
    <t>Camereretal2018_10</t>
  </si>
  <si>
    <t>Camereretal2018_10_1</t>
  </si>
  <si>
    <t xml:space="preserve">Supplementary Materials - page 4 : post-hoc comparisons showed significant result, (F(1, 38) = 21.63, no exact p value stated. 
https://www.science.org/doi/suppl/10.1126/science.1199327/suppl_file/karpicke_som.pdf 
In the main text, the authors report both cohens d of 1.5 as well as partial eta squared (np2) of 0.36). </t>
  </si>
  <si>
    <t xml:space="preserve">- Estimated effect size should not be r (this is a converted value from the replication study, not the orignnal paper which reports both cohens d and np2). The corresponding effect size value in the replication report was r = 0.602
- P-value tails original is selected as 1 as F value from ANOVA is main test statistic. 
- P-values tails replication is selected as 2 as post-completion replication report reports a two-sided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</si>
  <si>
    <t>Karpicke, J. D., &amp; Blunt, J. R. (2011). Retrieval practice produces more learning than elaborative studying with concept mapping. Science, 331(6018), 772-775.</t>
  </si>
  <si>
    <t>10.1126/science.1199327</t>
  </si>
  <si>
    <t>https://osf.io/mgjxv</t>
  </si>
  <si>
    <t>memory retrieval</t>
  </si>
  <si>
    <t>Retrieval practice produces more learning than elaborative studying with concept mapping</t>
  </si>
  <si>
    <t>On the final test 1 week later, collapsed across question type (verbatim and inference), the advantage of retrieval practice (M = 0.67) over elaborative studying with concept mapping (M = 0.45) represented about a 50% improvement in long-term retention scores [ F(1,38) = 21.63 ]</t>
  </si>
  <si>
    <t>p. 773</t>
  </si>
  <si>
    <t>p. S4</t>
  </si>
  <si>
    <t>p. 54</t>
  </si>
  <si>
    <t>https://osf.io/3cgxv</t>
  </si>
  <si>
    <t>the advantage of retrieval practice (M = 0.67) over elaborative studying with concept mapping (M = 0.45) represented about a 50% improvement in long-term retention scores</t>
  </si>
  <si>
    <t>Camereretal2018_11</t>
  </si>
  <si>
    <t>Camereretal2018_11_1</t>
  </si>
  <si>
    <t>p. 378, Table 1 of original study reports partial omega squared as 0.05</t>
  </si>
  <si>
    <t>- Changed effect_o to test stat as that can be converted, and matches repl report
- P-values tails replication is selected as 2 as post-completion replication report reports a two-sided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</si>
  <si>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Kidd, D. C., &amp; Castano, E. (2013). Reading literary fiction improves theory of mind. Science, 342(6156), 377-380.</t>
  </si>
  <si>
    <t>10.1126/science.1239918</t>
  </si>
  <si>
    <t>https://osf.io/s73x6</t>
  </si>
  <si>
    <t>Reading literary fiction improves theory of mind</t>
  </si>
  <si>
    <t>Theory of Mind task scores were higher in the literary fiction than nonfiction condition [F1,82 = 6.40, p =0.01]</t>
  </si>
  <si>
    <t>p. 378</t>
  </si>
  <si>
    <t>F(1, 82) = 6.40</t>
  </si>
  <si>
    <t>https://osf.io/bmnca</t>
  </si>
  <si>
    <t>Sarah Ashcroft-Jones, LW</t>
  </si>
  <si>
    <t>Scores for the affective ToM task were higher in the literary fiction than nonfiction condition</t>
  </si>
  <si>
    <t>=(25.85-25.4)/SQRT(((365-1)*5.47^2+(349-1)*5.5^2)/(365+349-2)))</t>
  </si>
  <si>
    <t>Camereretal2018_12</t>
  </si>
  <si>
    <t>Camereretal2018_12_1</t>
  </si>
  <si>
    <t>- Estimated original effect size should not be r (this is a converted value from the replication study, not the original paper). The corresponding effect size value in the replication report was r = 0.45
- P-values tails replication is selected as 2 as post-completion replication report reports a two-sided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</si>
  <si>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https://osf.io/jnq7e</t>
  </si>
  <si>
    <t>susceptibility to others’ beliefs in human infants and adults</t>
  </si>
  <si>
    <t>Participants computed the agent’s belief and that this belief influenced their behavior even though it was inconsistent with their own belief. This is shown when participants were faster than in the baseline condition when only the agent believed the ball to be behind the occluder [t(23) = 2.42, P = 0.02].</t>
  </si>
  <si>
    <t>p. 1832</t>
  </si>
  <si>
    <t>t(23) = 2.42</t>
  </si>
  <si>
    <t>https://osf.io/zpyj3</t>
  </si>
  <si>
    <t>participants were faster than in the baseline condition when only the agent believed the ball to be behind the occluder</t>
  </si>
  <si>
    <t>In R, r &lt;- sqrt(7.0152^2 / (7.0152^2 + 94))</t>
  </si>
  <si>
    <t>Camereretal2018_13</t>
  </si>
  <si>
    <t>Camereretal2018_13_1</t>
  </si>
  <si>
    <t>- Estimated original effect size should not be r (this is a converted value from the replication study, not the original paper). The corresponding effect size value in the replication report was r = 0.388.
- P-values tails replication is selected as 1 as ANOVA is main test statistic.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</si>
  <si>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Lee, S. W., &amp; Schwarz, N. (2010). Washing away postdecisional dissonance. Science, 328(5979), 709-709.</t>
  </si>
  <si>
    <t>10.1126/science.1186799</t>
  </si>
  <si>
    <t>https://osf.io/jubxw</t>
  </si>
  <si>
    <t>Cognitive Dissonance</t>
  </si>
  <si>
    <t>postdecisional dissonance</t>
  </si>
  <si>
    <t>Hand washing significantly reduced the need to justify one’s choice by increasing the perceived difference between alternatives [F(1, 38) = 6.74, P = 0.01, for the interaction of time and hand-washing 
manipulation].</t>
  </si>
  <si>
    <t>p. 709</t>
  </si>
  <si>
    <t>(2.05-1)/SQRT(((20-1)*0.96^2+(20-1)*1.41^2)/(20+20-2)))</t>
  </si>
  <si>
    <t>https://osf.io/efzv3</t>
  </si>
  <si>
    <t>hand washing significantly reduced the need to justify one’s choice by increasing the perceived difference between alternatives</t>
  </si>
  <si>
    <t>=(1.67-1.48)/SQRT(((147-1)*2.4^2+(139-1)*1.67^2)/(147+139-2)))</t>
  </si>
  <si>
    <t>Camereretal2018_14</t>
  </si>
  <si>
    <t>Camereretal2018_14_1</t>
  </si>
  <si>
    <t xml:space="preserve">PLEASE CHECK THIS: This replication draws upon a comparison of the 30-repetition treatment and the control treatment in experiment 1; independent samples t-test, t(30) = 2.78, p = 0.0092, provided by the original authors. This is not in the original paper which is based on a pooled analysis and resulting  F value (F(1, 46) = 4.50, p = 0.0393, p. 1531). It is unclear whether to report to O values as were printed in the original study or as those which the replication study purport were provided by the original authors (from what seems to be a a post-hoc t-test?).  Here the n original of 32 is based on that post-hoc test, whereas the paper reports the N of study 1 to be 51 but the FReD database appeared to record the N = 32. </t>
  </si>
  <si>
    <t>- Estimated original effect size should not be r (this is a converted value from the replication study, not the original paper). The corresponding effect size value in the replication report was r = 0.453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</si>
  <si>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Morewedge, C. K., Huh, Y. E., &amp; Vosgerau, J. (2010). Thought for food: Imagined consumption reduces actual consumption. Science, 330(6010), 1530-1533.</t>
  </si>
  <si>
    <t>10.1126/science.1195701</t>
  </si>
  <si>
    <t>https://osf.io/k2teb</t>
  </si>
  <si>
    <t>imagined consumption reduces actual consumption</t>
  </si>
  <si>
    <t>Testing if repeatedly imagining the consumption of a food would increase or decrease the amount of that food that people would subsequently consume.
Planned comparisons revealed that participants in the 30-repetition condition ate significantly fewer M&amp;M’s than participants in the control condition, F(1, 46) = 4.50, P &lt; 0.05</t>
  </si>
  <si>
    <t>p. 1531</t>
  </si>
  <si>
    <t>F(1, 46) = 4.50</t>
  </si>
  <si>
    <t>https://osf.io/wh5gb</t>
  </si>
  <si>
    <t>the amount of M&amp;M’s eaten by participants was influenced by the imagination induction</t>
  </si>
  <si>
    <t>=(10.3-6.69)/SQRT(((44-1)*5.28^2+(45-1)*4.3^2)/(44+45-2)))</t>
  </si>
  <si>
    <t>Camereretal2018_15</t>
  </si>
  <si>
    <t>Camereretal2018_15_1</t>
  </si>
  <si>
    <t>PLEASE CHECK THIS: Effect size in original is unclear/hard to distringuish. Value taken from the manuscript based on it's correspondence to the Col 5 of the Table 2 in the Supplementary materials (as signposted by the Camerer table to be the OLS regression equation of interest for the replication). The post data collection replication report indicates a related t-test as follows: regression equation (5) in Table S2, p= 0.0044 of at-test of the treatment dummy variable coefficient, t(198) = 2.881.
The corresponding original effect size value in the replication report was r = 0.201</t>
  </si>
  <si>
    <t>- Estimated original effect size should not be r (this is a converted value from the replication study, not the original paper). The corresponding effect size value in the replication report was r = 0.201.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</si>
  <si>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Nishi, A., Shirado, H., Rand, D. G., &amp; Christakis, N. A. (2015). Inequality and visibility of wealth in experimental social networks. Nature, 526(7573), 426-429.</t>
  </si>
  <si>
    <t>10.1038/nature15392</t>
  </si>
  <si>
    <t>https://osf.io/67mzc</t>
  </si>
  <si>
    <t>social networks, inequality, wealth generation</t>
  </si>
  <si>
    <t>Inequality and visibility of wealth in experimental social networks</t>
  </si>
  <si>
    <t>In the high initial inequality condition, making neighbours’ wealth visible results in significantly higher levels of inequality compared to when neighbours’ wealth is invisible (difference in final round Gini = 0.104, P = 0.004).</t>
  </si>
  <si>
    <t>p. S18</t>
  </si>
  <si>
    <t>https://osf.io/r3dt9</t>
  </si>
  <si>
    <t xml:space="preserve">In the high initial inequality condition, making neighbours’ wealth visible results in significantly higher levels of inequality compared to when neighbours’ wealth is invisible </t>
  </si>
  <si>
    <t>In R, r &lt;- sqrt(2.5543^2 / (2.5543^2 + 478))</t>
  </si>
  <si>
    <t>Camereretal2018_16</t>
  </si>
  <si>
    <t>Camereretal2018_16_1</t>
  </si>
  <si>
    <t xml:space="preserve">This replication draws upon values direct from the orignal authors that are not published direct in the original manusciprt - t(34) = 2.37 and p-value = 0.02, t-value and p-value from authors. 
Statistical values recorded here are these values in the abscence of other meaningful values in the original paper or supplementary materials. These test statistics are clearly signposted as being from the original authors in the post data collection report "a comparison of mean mediator retrieval between the test-restudy and the restudy treatments within the cmrt reatment, p. 335, t(34) = 2.37 and p-value = 0.02, t-value and p-value from authors)" p. 1 of post-data collection report. </t>
  </si>
  <si>
    <t>- Estimated original effect size should not be r (this is a converted value from the replication study, not the original paper). The corresponding effect size value in the replication report was r = 0.150.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</si>
  <si>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Pyc, M. A., &amp; Rawson, K. A. (2010). Why testing improves memory: Mediator effectiveness hypothesis. Science, 330(6002), 335-335.</t>
  </si>
  <si>
    <t>10.1126/science.1191465</t>
  </si>
  <si>
    <t>https://osf.io/zj5n3</t>
  </si>
  <si>
    <t>Mediator Memory Effectiveness</t>
  </si>
  <si>
    <t>testing improves memory</t>
  </si>
  <si>
    <t>Confirming the prediction of increased mediator retrieval, recall of mediators at final test in the CMR group was greater after test-restudy versus restudy practice (51% versus 34%).</t>
  </si>
  <si>
    <t>p. 335</t>
  </si>
  <si>
    <t>t(34) = 2.37</t>
  </si>
  <si>
    <t>p. 50 (of Camerer SMs, Supplementary Table 1), and p.1 of post-data collection report</t>
  </si>
  <si>
    <t>https://osf.io/6h5af</t>
  </si>
  <si>
    <t>recall of mediators at final test in the CMR group was greater after test-restudy versus restudy practice (51% versus 34%)</t>
  </si>
  <si>
    <t>in R, h &lt;- 2 * (asin(sqrt(0.5353) - asin(sqrt(0.4757)))</t>
  </si>
  <si>
    <t>Camereretal2018_17</t>
  </si>
  <si>
    <t>Camereretal2018_17_1</t>
  </si>
  <si>
    <t>- Estimated original effect size should not be r (this is a converted value from the replication study, not the original paper). The corresponding effect size value in the replication report was r = 0.-0.098.
- It is unclear why coder 2 reported cohens d for effect size on the replication study (perhaps from the post-data collected report?).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</si>
  <si>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Ramirez, G., &amp; Beilock, S. L. (2011). Writing about testing worries boosts exam performance in the classroom. science, 331(6014), 211-213.</t>
  </si>
  <si>
    <t>10.1126/science.1199427</t>
  </si>
  <si>
    <t>https://osf.io/j8pbk</t>
  </si>
  <si>
    <t>Writing about testing worries boosts exam performance in the classroom</t>
  </si>
  <si>
    <t>Control participants showed an accuracy drop from pretest to posttest, whereas students who expressed their thoughts before the high-pressure test (expressive writing group) showed a significant  math accuracy improvement from the pretest to posttest. 
For participants who received the high-pressure scenario, a significant writing group x test interaction obtained [F(1,18)=30.53, P&lt;.01]. ( p. S11)</t>
  </si>
  <si>
    <t>p. 212</t>
  </si>
  <si>
    <t>F(1,18)=30.53</t>
  </si>
  <si>
    <t>p. S11</t>
  </si>
  <si>
    <t>https://osf.io/jqaac</t>
  </si>
  <si>
    <t xml:space="preserve">in the posttest, the expressive writing group performed significantly better than the control group </t>
  </si>
  <si>
    <t>Camereretal2018_18</t>
  </si>
  <si>
    <t>Camereretal2018_18_1</t>
  </si>
  <si>
    <t xml:space="preserve">PLEASE CHECK ME FOR MY ACCURACY OF EFFECT SIZE EXTRACTION/REPORTING: 
P value and coef estimate drawn from col 1 of  Table S11 which describes the values of a Tobit regressions with robust standard errors </t>
  </si>
  <si>
    <t>- Estimated original effect size should not be r (this is a converted value from the replication study, not the original paper). The corresponding effect size value in the replication report was r = 0.026.
- It is unclear why coder 2 reported cohens d for effect size on the replication study (perhaps from the post-data collected report?).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--&gt; checked and went with the coded values</t>
  </si>
  <si>
    <t>Rand, D. G., Greene, J. D., &amp; Nowak, M. A. (2012). Spontaneous giving and calculated greed. Nature, 489(7416), 427-430.</t>
  </si>
  <si>
    <t>10.1038/nature11467</t>
  </si>
  <si>
    <t>https://osf.io/szcuk</t>
  </si>
  <si>
    <t>Spontaneous giving and calculated greed</t>
  </si>
  <si>
    <t xml:space="preserve">Priming intuition (or inhibiting reflection) increases cooperation relative to priming reflection (or inhibiting intuition).  Contributions are significantly higher when subjects are primed to promote intuition relative to reflection ( rank sum, P = 0.011). </t>
  </si>
  <si>
    <t>p. S21</t>
  </si>
  <si>
    <t>https://osf.io/3kpjx</t>
  </si>
  <si>
    <t>Sarah Ashcroft-Jones, LR</t>
  </si>
  <si>
    <t>contributions are significantly higher when subjects are primed to promote intuition relative to reflection</t>
  </si>
  <si>
    <t>=(23.61-22.87)/SQRT(((1058-1)*16.93^2+(1078-1)*17.07^2)/(1058+1078-2)))</t>
  </si>
  <si>
    <t>Camereretal2018_19</t>
  </si>
  <si>
    <t>Camereretal2018_19_1</t>
  </si>
  <si>
    <t xml:space="preserve">Tails on original p-values assumed one-way as ANOVA analysis central to value. </t>
  </si>
  <si>
    <t>- Estimated original effect size should not be r (this is a converted value from the replication study, not the original paper). The corresponding effect size value in the replication report was r = -0.015
- It is unclear why coder 2 reported cohens d for effect size on the replication study (perhaps from the post-data collected report?).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 [LR] changed p-value for O to not reported as per the instructions</t>
  </si>
  <si>
    <t>Shah, A. K., Mullainathan, S., &amp; Shafir, E. (2012). Some consequences of having too little. Science, 338(6107), 682-685.</t>
  </si>
  <si>
    <t>10.1126/science.1222426</t>
  </si>
  <si>
    <t>https://osf.io/5uw3j</t>
  </si>
  <si>
    <t>scarcity changes how people allocate attention</t>
  </si>
  <si>
    <t>Poor participants performedworse  than did rich participants  in the attention task (Dots-Mixed Task). 
The poor engage more deeply and could be more fatigued despite spending less time on the WHeel of Fortune task. 
[F(1, 54) = 4.16, P &lt; 0.05]</t>
  </si>
  <si>
    <t>p. 683</t>
  </si>
  <si>
    <t>https://osf.io/qb4f4</t>
  </si>
  <si>
    <t>We measured the total number of correct responses in the attention task. Four participants were removed from the analyses for having zero correct responses. Poor participants performed worse (mean T SD, 45.12 T 15.87) than did rich participants</t>
  </si>
  <si>
    <t>=(44.63-45.07)/SQRT(((321-1)*14.69^2+(298-1)*14.75^2)/(321+298-2)))</t>
  </si>
  <si>
    <t>Camereretal2018_2</t>
  </si>
  <si>
    <t>Camereretal2018_2_1</t>
  </si>
  <si>
    <t>This replication draws upon values that appear to be direct from the orignal authors that are not published direct in the manuscript or the SMs- t(14) = 13.07, p &lt; 0.0001
Values recorded here  are these values in the abscence of other meaningful values in the original paper or supplementary materials. There is an ANOVA reported in the manuscript that relates to this value, and a p value for this post hoc test - but not the specfic T values etc needed for a claim of this specificity. Tehse values are available directly in the osf files relating to this replication - e.g. the post-data collection report: "tests the hypothesis of a higher mean valence rating of winning bodies versus losing bodies in the “body treatment” in Experiment 1; within subjects variation, paired t-test, t(14) = 13.07, p &lt; 0.0001, p. 1226 and Fig. 1c"</t>
  </si>
  <si>
    <t>- Estimated original effect size should not be r (this is a converted value from the replication study, not the original paper). The corresponding effect size value in the replication report was r = 0.961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</si>
  <si>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Aviezer, H., Trope, Y., &amp; Todorov, A. (2012). Body cues, not facial expressions, discriminate between intense positive and negative emotions. Science, 338(6111), 1225-1229.</t>
  </si>
  <si>
    <t>10.1126/science.1224313</t>
  </si>
  <si>
    <t>https://osf.io/367yu</t>
  </si>
  <si>
    <t>emotion discrimination</t>
  </si>
  <si>
    <t>Body cues, not facial expressions, discriminate between intense positive and negative emotions</t>
  </si>
  <si>
    <t>Affective valence was higher for winners than losers when ratings were based on the body alone (p&lt; 0.001)</t>
  </si>
  <si>
    <t>p. 1226</t>
  </si>
  <si>
    <t>, t(14) = 13.07</t>
  </si>
  <si>
    <t>p. 48 (of Camerer SMs, Supplementary Table 1), p. 1 of post-data collection report</t>
  </si>
  <si>
    <t>https://osf.io/69xfj</t>
  </si>
  <si>
    <t>participants failed to rate the affective valence of winners as more positive than the affective valence of losers when seeing the face alone, they succeeded when seeing the body alone</t>
  </si>
  <si>
    <t>Camereretal2018_20</t>
  </si>
  <si>
    <t>Camereretal2018_20_1</t>
  </si>
  <si>
    <t xml:space="preserve">PLEASE CHECK ME FOR MY REASONING: 
Compared to the supplements of the Camerer replications Table 1, in the original paper the df for the critical t test were 68 (not 45 as listed in Table 1 of Camerer Table 1) thus the N was estimated at 69 (which also aligns with other Camerer tables (e.g. Camerer Supps Table 3 has N = 69 as value). It unclear where the t(45) vlaue in the Camerer supps table came from based on this alone. HOwever, in the post-data collection report the replication project reports a paired t-test, within subject variation; t(45) = 3.26,p= 0.0021, study 1, p. 776, and Fig. 1. It appears this is a value from the original data that was not explicitly reported as relevant to the Fig 1 comparisons. </t>
  </si>
  <si>
    <t>- Estimated original effect size should not be r (this is a converted value from the replication study, not the original paper). The corresponding effect size value in the replication report was r = 0.368
- Estimated replication effect sizes were reported directly in the replication report - the exact value from coder 2 was calculated in R and not reproducible here and therefore discarded.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</si>
  <si>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Sparrow, B., Liu, J., &amp; Wegner, D. M. (2011). Google effects on memory: Cognitive consequences of having information at our fingertips. science, 333(6043), 776-778.</t>
  </si>
  <si>
    <t>10.1126/science.1207745</t>
  </si>
  <si>
    <t>https://osf.io/84fyw</t>
  </si>
  <si>
    <t>transactive memory,</t>
  </si>
  <si>
    <t>Google effects on memory: cognitive consequences of having information at our fingertips</t>
  </si>
  <si>
    <t>Computer words were more accessible [color-naming RT mean (M) = 712 ms, SD = 413 ms] than general words (M = 591 ms, SD = 204 ms) after participants had encountered a series of questions to which they did not know the answers, t(68) = 3.26, P &lt; 0.003, two-tailed.</t>
  </si>
  <si>
    <t>p. 776</t>
  </si>
  <si>
    <t>=(712-591)/SQRT((413^2+204^2)/2)</t>
  </si>
  <si>
    <t>https://osf.io/b4ga9</t>
  </si>
  <si>
    <t>Although the concept of knowledge in general seems to prime thoughts of computers, even when answers are known, not knowing the answer to general-knowledge questions primes the need to search for the answer, and subsequently computer interference is particularly acute</t>
  </si>
  <si>
    <t>In R, r &lt;- sqrt(0.7579^2 / (0.7579^2 + 233))</t>
  </si>
  <si>
    <t>Camereretal2018_21</t>
  </si>
  <si>
    <t>Camereretal2018_21_1</t>
  </si>
  <si>
    <t xml:space="preserve">- Estimated original effect size should not be r (this is a converted value from the replication study, not the original paper). The corresponding effect size value in the replication report was r = 0.674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 Coder 2 uses a more precise set of p-values on this row, this is drawn from the post-data collection report but are not inconsistent with the main replicaiton porject manuscript. For consistency across all rows where information is present in teh main project paper these are the values that are used. </t>
  </si>
  <si>
    <t>https://osf.io/qwked</t>
  </si>
  <si>
    <t>participants typically do not enjoy spending 6 to 15 minutes in a room by themselves with nothing to do but think</t>
  </si>
  <si>
    <t>Participants enjoyed the external activities much more than just thinking [t(28) = 4.83, P &lt; 0.001].</t>
  </si>
  <si>
    <t>p. 76</t>
  </si>
  <si>
    <t>MANUALLY REVERSED FROM =(3.2-6.87)/SQRT(((15-1)*2.23^2+(15-1)*1.91^2)/(15+15-2)))</t>
  </si>
  <si>
    <t>https://osf.io/27cuc</t>
  </si>
  <si>
    <t>participants enjoyed the external activities much more than just thinking</t>
  </si>
  <si>
    <t>Camereretal2018_3</t>
  </si>
  <si>
    <t>Camereretal2018_3_1</t>
  </si>
  <si>
    <t xml:space="preserve">- The inter-coder discrepancy on the sample sizes arose due to an error in reporting in the pre-registration of the replication as clarified on p. 4 of the post-data collection report " In the pre-replication version of this report, the standardized effect size of the original study – measured as correlation coefficient r– has been wrongly reported. The figure was falsely determined based on the full sample of 144. However, as the hypothesis test of interest only refers to females, the sample size relevant for calculating the effect size measure is 72 rather than 144. "
 - Estimated original effect size should not be r (this is a converted value from the replication study, not the original paper). The corresponding effect size value in the replication report was r = 0.0.278.
- P-values tails replication is selected as 2 tailed based on post-data collection report indicating a two tailed approach.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</si>
  <si>
    <t>Balafoutas, L., &amp; Sutter, M. (2012). Affirmative action policies promote women and do not harm efficiency in the laboratory. Science, 335(6068), 579-582.</t>
  </si>
  <si>
    <t>10.1126/science.1211180</t>
  </si>
  <si>
    <t>https://osf.io/drvhe</t>
  </si>
  <si>
    <t>affirmative action</t>
  </si>
  <si>
    <t>Affirmative action policies promote women and do not harm effciency</t>
  </si>
  <si>
    <t>Comparisons to the control treatment CTR reveal that the frequency of competing women is significantly higher in PT1 [chi-squared(1) = 5.62, P = 0.018] 
(where preferential treatment 1 (PT1) means each woman’s performance is automatically increased by one unit (i.e., one correct calculation))</t>
  </si>
  <si>
    <t>p. 580</t>
  </si>
  <si>
    <t>=1/((0.306/(1-0.306))/(0.583/(1-0.583))) (flipped to align with replication)</t>
  </si>
  <si>
    <t>https://osf.io/t64fw</t>
  </si>
  <si>
    <t>Bilateral comparisons with the control treatment CTR reveal that the frequency of competing women is significantly higher in PT1</t>
  </si>
  <si>
    <t>Camereretal2018_4</t>
  </si>
  <si>
    <t>Camereretal2018_4_1</t>
  </si>
  <si>
    <t xml:space="preserve">- The inter-coder discrepancy on the sample sizes arose due to misunderstanding of groups versus observations, as the core statistical test was a chi-squared test the total n based on total observations (not groups) was accepted. 
 - Estimated original effect size should not be r (this is a converted value from the replication study, not the original paper). The corresponding effect size value in the replication report was r = 0.525.
- P-values tails replication and original selected as one tail based on chi-squared analysis.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</si>
  <si>
    <t>Derex, M., Beugin, M. P., Godelle, B., &amp; Raymond, M. (2013). Experimental evidence for the influence of group size on cultural complexity. Nature, 503(7476), 389-391.</t>
  </si>
  <si>
    <t>10.1038/nature12774</t>
  </si>
  <si>
    <t xml:space="preserve">https://osf.io/kchf9 </t>
  </si>
  <si>
    <t>infuence of group size on cultural complexity</t>
  </si>
  <si>
    <t>The probability of maintaining cultural diversity (that is, observing both tasks in the group) increased with group size (x2 = 16.3, d.f. = 1, p &lt; 0.0001)</t>
  </si>
  <si>
    <t>p. 389</t>
  </si>
  <si>
    <t>X2 = 16.3</t>
  </si>
  <si>
    <t>https://osf.io/yrbq9</t>
  </si>
  <si>
    <t>the probability of maintaining cultural diversity (that is, observing both tasks in the group) increased with group size</t>
  </si>
  <si>
    <t>https://osf.io/kchf9</t>
  </si>
  <si>
    <t>Camereretal2018_5</t>
  </si>
  <si>
    <t>Camereretal2018_5_1</t>
  </si>
  <si>
    <t xml:space="preserve">- Study of original is 1b - double checked before selection over study 1 as reported by coder 2. 
 - Estimated original effect size should not be r (this is a converted value from the replication study, not the original paper). The corresponding effect size value in the replication report was r = 0.674
-  Estimated effect size in replication was taken from the replication project instead of the more detailed r value calculated in R by coder 2 (these values are not discordent just rounded to different levels).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</si>
  <si>
    <t>Duncan, K., Sadanand, A., &amp; Davachi, L. (2012). Memory’s penumbra: episodic memory decisions induce lingering mnemonic biases. Science, 337(6093), 485-487.</t>
  </si>
  <si>
    <t>10.1126/science.1221936</t>
  </si>
  <si>
    <t xml:space="preserve">https://osf.io/s48ht  </t>
  </si>
  <si>
    <t>mneumonic biases</t>
  </si>
  <si>
    <t>episodic memory decisions induce lingering mnemonic biases</t>
  </si>
  <si>
    <t>Similar object trials were more accurately identified as being similar when they were preceded by new object trials than when they were preceded by old ones [ t(14) = 3.41, P &lt; 0.005].</t>
  </si>
  <si>
    <t>p. 486</t>
  </si>
  <si>
    <t>=(0.677/(1-0.677))/(0.617/(1-0.617))</t>
  </si>
  <si>
    <t>https://osf.io/kmqtq</t>
  </si>
  <si>
    <t>similar trials were more accurately identified as being similar when they were preceded by new trials than when they were preceded by old ones</t>
  </si>
  <si>
    <t>In R, r &lt;- sqrt(4.6276^2 / (4.6276^2 + 91))</t>
  </si>
  <si>
    <t>https://osf.io/s48ht</t>
  </si>
  <si>
    <t>Camereretal2018_6</t>
  </si>
  <si>
    <t>Camereretal2018_6_1</t>
  </si>
  <si>
    <t xml:space="preserve">The key test statistics were described as belonging to a two-tailed test in the Camerer supplements but this is not evidenced directly in the original manuscript. </t>
  </si>
  <si>
    <r>
      <rPr>
        <rFont val="Calibri"/>
        <color rgb="FFFF0000"/>
        <sz val="11.0"/>
      </rPr>
      <t xml:space="preserve">PLEASE CHECK ME: 
- There is a discrepancy in the reported p-value (likely a rounding error but needs to be resolved) - in the Camerer replicaiton Table the p value for the replication is reported at 0.414, in the post-data collection report the value is reported as 0.415. This is either a typo or a rounding discrepancy but it needs resolution. </t>
    </r>
    <r>
      <rPr>
        <rFont val="Calibri"/>
        <color theme="1"/>
        <sz val="11.0"/>
      </rPr>
      <t xml:space="preserve">
 - Estimated original effect size should not be r (this is a converted value from the replication study, not the original paper). The corresponding effect size value in the replication report was r = 0.289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r>
  </si>
  <si>
    <t>Gervais, W. M., &amp; Norenzayan, A. (2012). Analytic thinking promotes religious disbelief. Science, 336(6080), 493-496.</t>
  </si>
  <si>
    <t>10.1126/science.1215647</t>
  </si>
  <si>
    <t xml:space="preserve">https://osf.io/r4dve </t>
  </si>
  <si>
    <t>analytic prime</t>
  </si>
  <si>
    <t>Analytic thinking promotes religious disbelief</t>
  </si>
  <si>
    <t>A novel visual prime that triggers analytic thinking (The Thinker) also encouraged disbelief in God, [t(55) = 2.24, P = 0.03].</t>
  </si>
  <si>
    <t>p. 495</t>
  </si>
  <si>
    <t>https://osf.io/g4phs</t>
  </si>
  <si>
    <t>viewing The Thinker significantly promoted religious disbelief</t>
  </si>
  <si>
    <t>https://osf.io/r4dve</t>
  </si>
  <si>
    <t>Camereretal2018_7</t>
  </si>
  <si>
    <t xml:space="preserve">The original N is found only in the Camerer Supplemental Table 3, printed as N = 178. However, assuming the total original N  of 449 is divided equally across 5 conditions - two of which are compared for the main claim of interest - the number 178 makes sense. </t>
  </si>
  <si>
    <r>
      <rPr>
        <rFont val="Calibri"/>
        <color rgb="FFFF0000"/>
        <sz val="11.0"/>
      </rPr>
      <t xml:space="preserve">PLEASE CHECK ME: 
- The inter-coder discrepancy on the sample sizes for original study was explored as follows - coder 2 had reported total N, coder 1 reported N from the replication table (178) which was estimated to be accurate for the relevant 2 groups for the effect of interest. This was then clarified during validation in post-data collection report as follows: "the original sample size was 180 observations (2 out of 5 randomly assigned treatment to a subject pool of n= 449)". However - the discrepancy between 178 (in the replication table)  and 180 (in the post-data collection report)  remains unclear and should be resolved centrally. 
</t>
    </r>
    <r>
      <rPr>
        <rFont val="Calibri"/>
        <color theme="1"/>
        <sz val="11.0"/>
      </rPr>
      <t xml:space="preserve"> - Estimated original effect size should not be r (this is a converted value from the replication study, not the original paper). The corresponding effect size value in the replication report was r = 0.223. 
- Estimated replicaiton effected size - the coder 2 calclalted value (cohen's h in R) was discarded in favour of the value from the replication Table.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r>
  </si>
  <si>
    <t>Gneezy, U., Keenan, E. A., &amp; Gneezy, A. (2014). Avoiding overhead aversion in charity. Science, 346(6209), 632-635.</t>
  </si>
  <si>
    <t>10.1126/science.1253932</t>
  </si>
  <si>
    <t xml:space="preserve">https://osf.io/7ch92 </t>
  </si>
  <si>
    <t>Avoiding overhead aversion in charity</t>
  </si>
  <si>
    <t xml:space="preserve">When 50% covered overhead, 71.43% of participants donated to charity: water, which  is significantly higher than when  there is a 50% uncovered
overhead, (z = 3.00, P &lt; 0.01). </t>
  </si>
  <si>
    <t>p. 633</t>
  </si>
  <si>
    <t>=(0.493/(1-0.493))/(0.7143/(1-0.7143))</t>
  </si>
  <si>
    <t>https://osf.io/mwzdy</t>
  </si>
  <si>
    <t>Camereretal2018_7_1</t>
  </si>
  <si>
    <t>at 50% covered overhead, 71.43% of participants donated to charity: water, which is significantly higher than those in treatment three (50% uncovered overhead</t>
  </si>
  <si>
    <t>in R, h &lt;- 2 * (asin(sqrt(0.7277)) - asin(sqrt(0.5512)))</t>
  </si>
  <si>
    <t>https://osf.io/7ch92</t>
  </si>
  <si>
    <t>Camereretal2018_8</t>
  </si>
  <si>
    <t xml:space="preserve"> - Estimated original effect size should not be r (this is a converted value from the replication study, not the original paper). The corresponding effect size value in the replication report was r = 0.816
-  Estimated effect size in replication was taken from the replication project instead of the value calculated in R by coder 2 (these values are not discordent just rounded to different levels).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t>
  </si>
  <si>
    <t>Hauser, O. P., Rand, D. G., Peysakhovich, A., &amp; Nowak, M. A. (2014). Cooperating with the future. Nature, 511(7508), 220-223.</t>
  </si>
  <si>
    <t>10.1038/nature13530</t>
  </si>
  <si>
    <t xml:space="preserve">https://osf.io/2mtr3 </t>
  </si>
  <si>
    <t>Intergenerational Goods Game</t>
  </si>
  <si>
    <t>In 20 IGGs using d = 0.8 and T 5 50%, with an applied the voting rule, we found a dramatic increase in sustainability (Fig. 2b): all 20 common pools were sustained across all generations (unregulated versus voting: linear probability model (LPM) predicting pool sustainability at the generation level, P &lt; 0.001)</t>
  </si>
  <si>
    <t>p. S9</t>
  </si>
  <si>
    <t>https://osf.io/kgwf6</t>
  </si>
  <si>
    <t>Camereretal2018_8_1</t>
  </si>
  <si>
    <t>the fraction of cooperators was 20% larger under voting than unregulated</t>
  </si>
  <si>
    <t>In R (based on two-tailed z statistic), r &lt;- sqrt(6.7082^2 / (6.7082^2 + 20))</t>
  </si>
  <si>
    <t>Camereretal2018_9</t>
  </si>
  <si>
    <t>Supplementary Materials - Table S3b
https://www.science.org/doi/suppl/10.1126/science.1183532/suppl_file/janssen.som.pdf</t>
  </si>
  <si>
    <r>
      <rPr>
        <rFont val="Calibri"/>
        <color rgb="FFFF0000"/>
        <sz val="11.0"/>
      </rPr>
      <t xml:space="preserve">PLEASE CHECK ME: 
- The inter-coder discrepancy on the sample sizes for original study was explored as follows - coder 2 had reported total N for individuals(105), coder 1 reported N of groups from the replication table (63) which was estimated to be accurate for the relevant 2 groups for the effect of interest. This was then clarified during validation in post-data collection report as follows: "The original sample size included 63 group-and-period observations (21 groups of 5 individuals observed in 3 periods) and 105 individuals." Similarly for the discrepancy in the replication sample the post-data collection report indicates the difference is the level of the n " 42 group-and-period observations(70 individuals)". As the n of the groups is relevant to the test it is reported accrodingly.  
</t>
    </r>
    <r>
      <rPr>
        <rFont val="Calibri"/>
        <color theme="1"/>
        <sz val="11.0"/>
      </rPr>
      <t xml:space="preserve"> - Estimated original effect size should not be r (this is a converted value from the replication study, not the original paper). The corresponding effect size value in the replication report was r = 0.631. 
- prereg_r - both links were assessed, one points to a post-data collection report. This was discarded in favor of the pre-data collection report. 
- closeness_r - changed to 2 - close, despite involvement of/communication with the original authors they are not listed on the replication study as authors directly.
</t>
    </r>
  </si>
  <si>
    <t>Janssen, M. A., Holahan, R., Lee, A., &amp; Ostrom, E. (2010). Lab experiments for the study of social-ecological systems. Science, 328(5978), 613-617.</t>
  </si>
  <si>
    <t>10.1126/science.1183532</t>
  </si>
  <si>
    <t xml:space="preserve">https://osf.io/knh6y </t>
  </si>
  <si>
    <t>cooperation and public goods</t>
  </si>
  <si>
    <t>costly punishment in ecological systems is used but lacks a gross positive effect on resource harvesting unless combined with communication</t>
  </si>
  <si>
    <t>When participants started with three periods of  "neither communicaiton nor punishment" (NCP), the resource was consistently depleted within about 90 s,. 
When participants started with "communication" (C) periods, the amount of earnings did not drop significantly when participants were no longer able to communicate after period 3. 
Pair-wise two-tailed Mann-Whitney tests on equality of distributions of earnings between different treatments in the first three periods NCP v. C:  U=717 (48,15), p-value = 0.000 (SOM p. 17)</t>
  </si>
  <si>
    <t>p. 615 (key claim) 
p. S17 (key statistic)</t>
  </si>
  <si>
    <t>U=717 (48,15), z=5.761</t>
  </si>
  <si>
    <t>p. S17</t>
  </si>
  <si>
    <t>https://osf.io/srgg5</t>
  </si>
  <si>
    <t>Camereretal2018_9_1</t>
  </si>
  <si>
    <t>Periods with communication lead on average to a slower harvesting rate and more resource regeneration</t>
  </si>
  <si>
    <t>https://osf.io/knh6y</t>
  </si>
  <si>
    <t>curatescience10_1</t>
  </si>
  <si>
    <t>curatescience10</t>
  </si>
  <si>
    <t>RL</t>
  </si>
  <si>
    <t>25.2.2025</t>
  </si>
  <si>
    <t>replication study d calculated using ES calculation</t>
  </si>
  <si>
    <t>Values were the same as in the Curatescience Database but not the same as in the papers (before: original effect d=0.59 - repl. effect d=0.47)</t>
  </si>
  <si>
    <t>Schnall, S., Benton, J., &amp; Harvey, S. (2008). With a clean conscience: Cleanliness reduces the severity of moral judgments. Psychological science, 19(12), 1219-1222. Study 1</t>
  </si>
  <si>
    <t>10.1111--j.1467-9280.2008.02227.x.pdf</t>
  </si>
  <si>
    <t>Arbesfeld, J. Collins, T., Baldwin, D., &amp; Daubman, K. (2014, February 15). Clean thoughts lead to less severe moral judgment. Retrieved 16:26, February 18, 2014 from http://www.PsychFileDrawer.org/replicati on.php?attempt=MTc3</t>
  </si>
  <si>
    <t>https://web.archive.org/web/20191201181415/http://psychfiledrawer.org/replication.php?attempt=MTc3</t>
  </si>
  <si>
    <t>curatescience10.pdf</t>
  </si>
  <si>
    <t>Fairly Direct Replication</t>
  </si>
  <si>
    <t>Cleanliness Priming</t>
  </si>
  <si>
    <t>priming, moral judgment, response effort, replication, cleanliness</t>
  </si>
  <si>
    <t>cleanliness priming effect (scrambled…</t>
  </si>
  <si>
    <t xml:space="preserve">participants gave lower ratings after the cleanliness priming (M 5 4.98, SD 5 1.26) than they did after the neutral priming (M 5 5.81, SD 5 1.47), F(1, 38) 5 3.63, prep 5.90, Zp  2 1⁄4 :09. </t>
  </si>
  <si>
    <t>p.1</t>
  </si>
  <si>
    <t>Husnain Raza</t>
  </si>
  <si>
    <t>1.3.2025</t>
  </si>
  <si>
    <t>1. DOI is not available for the replication study. 2. Keywords are not given in both orignal or replication study. I have written keywords deriving from the abstract of the orignal study. 3. For orignal study p-rep is reported instead of p-values, therefore, I have kept it NA. 4. The page number of the replication can not be reported as the replicatiojn study is presented on the webpage.</t>
  </si>
  <si>
    <t>https://web.archive.org/web/20190426092919/http://psychfiledrawer.org/replication.php?attempt=MTc3</t>
  </si>
  <si>
    <t>moral judgment, cleanliness, moral purity, physical purity</t>
  </si>
  <si>
    <t>"participants gave lower ratings after the cleanliness priming (M 5 4.98, SD 5 1.26) than they did after the neutral priming (M 5 5.81, SD 5 1.47), F(1, 38) 5 3.63, prep 5.90, np2=.09."</t>
  </si>
  <si>
    <t>F(1, 38)=3.63</t>
  </si>
  <si>
    <t>curatescience11_1</t>
  </si>
  <si>
    <t>curatescience11</t>
  </si>
  <si>
    <t>replication study d calculated using ES calculations</t>
  </si>
  <si>
    <t>Values are the same as in the Curatescience Database but not as in the original paper (before: original effect d = -.59, replication: d=-.10)</t>
  </si>
  <si>
    <t>Lee et al. (2013)   </t>
  </si>
  <si>
    <t>lee_2013</t>
  </si>
  <si>
    <t>https://drive.google.com/file/d/1DDCuEgQah24QordxkRGO0EIt6Q681jyL/view</t>
  </si>
  <si>
    <t>lee_2013.pdf</t>
  </si>
  <si>
    <t xml:space="preserve">1. DOI is not available for the replication study. 2. Keywords are not given in both orignal or replication study. I have written keywords deriving from the abstract of the orignal study. 3. For orignal study p-rep is reported instead of p-values. </t>
  </si>
  <si>
    <t>F(1, 88) = 0.20</t>
  </si>
  <si>
    <t>curatescience12_1</t>
  </si>
  <si>
    <t>curatescience12</t>
  </si>
  <si>
    <t>Values are the same as in the Curatescience Database but not as in the original paper (before: original effect d = -.59, replication: d=-.20)</t>
  </si>
  <si>
    <t>Huang JL (2014) Does cleanliness influence moral judgments? Response effort moderates the effect of cleanliness priming on moral judgments. Front. Psychol. 5:1276. doi: 10.3389/fpsyg.2014.01276 (Study 1)</t>
  </si>
  <si>
    <t>10.3389/fpsyg.2014.01276</t>
  </si>
  <si>
    <t>10.3389--fpsyg.2014.01276.pdf</t>
  </si>
  <si>
    <t>1. DOI is not available for the replication study. 2. Keywords are not given in the orignal study. I have used keywords from replication study.  3. For orignal study  p-rep is reported instead of p-values. 4. Conceptual closeness is because the replication study has used material from another replication study and actually replicated the concept of other study.</t>
  </si>
  <si>
    <t>Online Replication</t>
  </si>
  <si>
    <t>CORE_1_1</t>
  </si>
  <si>
    <t>CORE_1</t>
  </si>
  <si>
    <t>20.06.2025</t>
  </si>
  <si>
    <t>- I added the study number
- I added the replication label
- I entered the effect name and copied the description of the effect (which was provided under „effect“) to the description
- I corrected n_original</t>
  </si>
  <si>
    <t>Kruger, J. (1999). Lake Wobegon be gone! The "below-average effect" and the egocentric nature of comparative ability judgments. Journal of Personality and Social Psychology, 77(2),  221–232. doi: 10.1037/0022-3514.77.2.221</t>
  </si>
  <si>
    <t>10.1037/0022-3514.77.2.221</t>
  </si>
  <si>
    <t>10.1037--0022-3514.77.2.221.pdf</t>
  </si>
  <si>
    <t>LINK</t>
  </si>
  <si>
    <t>Korbmacher, M., Kwan, C. I., &amp; Feldman, G. (2022). Both better and worse than others depending on difficulty: Replication and extensions of Kruger’s (1999) above and below average effects. https://hdl.handle.net/11250/2990125</t>
  </si>
  <si>
    <t>korbmacher_2022</t>
  </si>
  <si>
    <t>https://hdl.handle.net/11250/2990125</t>
  </si>
  <si>
    <t>korbmacher_2022.pdf</t>
  </si>
  <si>
    <t>Replication and extension</t>
  </si>
  <si>
    <t>above-average effects</t>
  </si>
  <si>
    <t>CORE, Judgment, Decision Making, JDM, Heuristics, Biases</t>
  </si>
  <si>
    <t>people tend to perceive themselves as above average when considering easy abilities; using a mouse</t>
  </si>
  <si>
    <t>As Table 2 indicates, the easier the ability, the higher participants' estimates of how they compare with their peers:  The ease or difficulty of the abilities also determined whether participants believed they were above or below average. On aver- age, participants thought they were above average (i.e., above the 50th percentile) in all four of the easy ability domains (all ps  .01). Of course, these effects are not surprising from a motivational standpoint, given that these abilities were also considered quite desirable: The mean desirability rating across the easy abilities was 2.6 points above the midpoint of the scale, r(36) = 13.51, p &lt; .0001.</t>
  </si>
  <si>
    <t xml:space="preserve">p. 5 using a mouse        Mean percentile = 58.8        p &lt; .01
</t>
  </si>
  <si>
    <t xml:space="preserve">p.16 Using a mouse        Mean percentile = 71.2        p &lt; .001
</t>
  </si>
  <si>
    <t>https://osf.io/7yfkc/files/osfstorage</t>
  </si>
  <si>
    <t>CORE_1_b</t>
  </si>
  <si>
    <t>people tend to perceive themselves as above average when considering easy abilities</t>
  </si>
  <si>
    <t>driving</t>
  </si>
  <si>
    <t>Driving        Mean percentile = 65.4        p &lt; .0001</t>
  </si>
  <si>
    <t>Driving        Mean percentile = 65.2        p &lt; .001</t>
  </si>
  <si>
    <t>Corinna - to do</t>
  </si>
  <si>
    <t>CORE_1_c</t>
  </si>
  <si>
    <t>riding a bicycle</t>
  </si>
  <si>
    <t>Riding a bicycle        Mean percentile = 64.0        p &lt; .0001</t>
  </si>
  <si>
    <t>Riding a bicycle        Mean percentile = 61.0        p &lt; .001</t>
  </si>
  <si>
    <t>CORE_1_d</t>
  </si>
  <si>
    <t>saving money</t>
  </si>
  <si>
    <t>Saving money        Mean percentile = 61.5        p &lt; .01</t>
  </si>
  <si>
    <t>Saving money        Mean percentile = 62.9        p &lt; .001</t>
  </si>
  <si>
    <t>CORE_1_e</t>
  </si>
  <si>
    <t>telling jokes</t>
  </si>
  <si>
    <t>Telling jokes        Mean percentile = 46.5        n.s.</t>
  </si>
  <si>
    <t>Telling jokes        Mean percentile = 52.4        n.s.</t>
  </si>
  <si>
    <t>CORE_1_f</t>
  </si>
  <si>
    <t>playing chess</t>
  </si>
  <si>
    <t>Playing chess        Mean percentile = 27.8        p &lt; .0001</t>
  </si>
  <si>
    <t>Playing chess        Mean percentile = 41.0        p &lt; .001</t>
  </si>
  <si>
    <t>CORE_1_g</t>
  </si>
  <si>
    <t>Juggling</t>
  </si>
  <si>
    <t>Juggling        Mean percentile = 26.5        p &lt; .0001</t>
  </si>
  <si>
    <t>Juggling        Mean percentile = 32.0        p &lt; .001</t>
  </si>
  <si>
    <t>CORE_1_h</t>
  </si>
  <si>
    <t>Programming</t>
  </si>
  <si>
    <t>Programming        Mean percentile = 24.8        p &lt; .0001</t>
  </si>
  <si>
    <t>Programming        Mean percentile = 40.7        p &lt; .001</t>
  </si>
  <si>
    <t>CORE_1_i</t>
  </si>
  <si>
    <t>As Table 2 indicates, the easier the ability, the higher participants' estimates of how they compare with their peers:  : The correlation between domain difficulty and participants' compara- tive ability estimates across the eight abilities was —.96 (df = 6,p &lt; .001).</t>
  </si>
  <si>
    <t>r—.96 (df = 6,p &lt; .001).</t>
  </si>
  <si>
    <t>p.17 (r(6) = –0.85, p = .0073, 95% CI [–0.97 -0.37]).</t>
  </si>
  <si>
    <t>CORE_1_j</t>
  </si>
  <si>
    <t>As Table 2 indicates, the easier the ability, the higher participants' estimates of how they compare with their peers:  :Similarly, the correlation between participants' ratings of their own absolute abilities and their comparative abilities was .95 (df = 6, p &lt; .001).</t>
  </si>
  <si>
    <t>r = 0.95 (df = 6, p &lt; .001).</t>
  </si>
  <si>
    <t>p.15 (r(6) = 0.99, p &lt; .001, 95% CI [0.96, .99]).</t>
  </si>
  <si>
    <t>curatescience13_1</t>
  </si>
  <si>
    <t>curatescience13</t>
  </si>
  <si>
    <t>which study in replication is supposed to replicate the egodepletion effect? Jyoti Bhogal</t>
  </si>
  <si>
    <t>After looking at the detaisl of the studies fromt he origianl paper and the reference paper, it is not very clear which origianl study is linked to which replication study.</t>
  </si>
  <si>
    <t>Values are the same as in the Curatescience Database but not the same as in original paper (before: original paper: d=-1.19) - which study in replication is supposed to replicate the egodepletion effect?</t>
  </si>
  <si>
    <t>Gailliot, M. T., Baumeister, R. F., DeWall, C. N., Maner, J. K., Plant, E. A., Tice, D. M., Brewer, L. E., &amp; Schmeichel, B. J. (2007). Self-control relies on glucose as a limited energy source: Willpower is more than a metaphor. Journal of Personality and Social Psychology, 92(2), 325–336. https://doi.org/10.1037/0022-3514.92.2.325. Study 7</t>
  </si>
  <si>
    <t>10.1037/0022-3514.92.2.325</t>
  </si>
  <si>
    <t>10.1037--0022-3514.92.2.325.pdf</t>
  </si>
  <si>
    <t>Cesario, J., Corker, K. S., &amp; Jelinek, S. (2013). A self-regulatory framework for message framing. Journal of Experimental Social Psychology, 49(2), 238–249. https://doi.org/10.1016/j.jesp.2012.10.014</t>
  </si>
  <si>
    <t>10.1016/j.jesp.2012.10.014</t>
  </si>
  <si>
    <t>self-regulation, glucose, attention, emotion regulation, prejudice</t>
  </si>
  <si>
    <t>self-control relies on glucose as a limited energy source</t>
  </si>
  <si>
    <t>curatescience14_1</t>
  </si>
  <si>
    <t>curatescience14</t>
  </si>
  <si>
    <t>The r_study is more of a conceptual replication so I tried to report the closest claim to the o_study</t>
  </si>
  <si>
    <t>Values are the same as in the Curatescience Database but have not been cross-checked with original papers</t>
  </si>
  <si>
    <t>Wang, X. T., &amp; Dvorak, R. D. (2010). Sweet future: Fluctuating blood glucose levels affect future discounting. Psychological Science, 21(2), 183-188.</t>
  </si>
  <si>
    <t>10.1016/j.jtbi.2005.02.010</t>
  </si>
  <si>
    <t>10.1177--0956797609358096.pdf</t>
  </si>
  <si>
    <r>
      <rPr>
        <rFont val="Calibri"/>
        <sz val="11.0"/>
      </rPr>
      <t xml:space="preserve">Lange, F., &amp; Eggert, F. (2014). Sweet delusion. Glucose drinks fail to counteract ego depletion. Appetite, 75, 54–63. </t>
    </r>
    <r>
      <rPr>
        <rFont val="Calibri"/>
        <color rgb="FF1155CC"/>
        <sz val="11.0"/>
        <u/>
      </rPr>
      <t>https://doi.org/10.1016/j.appet.2013.12.020</t>
    </r>
  </si>
  <si>
    <t>10.1016/j.appet.2013.12.020</t>
  </si>
  <si>
    <t>Experiment 1 was designed to replicate the counteracting effect of sugar consumption on ego depletion (Gailliot et al., 2007; Hagger et al., 2010). Following the protocol of Wang and Dvorak (2010),</t>
  </si>
  <si>
    <t>future (delay) discounting</t>
  </si>
  <si>
    <t>intertemporal choice, future (delay) discounting, blood glucose</t>
  </si>
  <si>
    <t>This study explored metabolic mechanisms of future (delay) discounting, a choice phenomenon where people value present goods over future goods. Using fluctuating blood glucose as an index of body-energy budget, optimal discounting should regulate choice among rewards as a function of temporal caloric requirement.</t>
  </si>
  <si>
    <t>We conducted an ANCOVA, with condition as the between-sub-jects factor and the natural log of the discounting parameters at T1 and T2 as the within-subjects factor. Gender, T1 blood glu-cose, time of day, and pleasantness of the drink were added as covariates, to rule out possible effects of these factors on future discounting due to gender differences in metabolism, the length of fasting, or mood dependent choice preference. As predicted, there was a significant interaction between condition and time (i.e., T1 future discount to T2 future discount), F(1, 59) = 15.61, prep &gt; .999, ηp2 = .21.</t>
  </si>
  <si>
    <t xml:space="preserve">please put NA if there is no prereg available; please put "1" in study, even if there is only one experiment
</t>
  </si>
  <si>
    <t xml:space="preserve">Calculated p value for O myself </t>
  </si>
  <si>
    <t>10.1177/0956797609358096</t>
  </si>
  <si>
    <t>Lange, F., &amp; Eggert, F. (2014). Sweet delusion. Glucose drinks fail to counteract ego depletion. Appetite, 75, 54–63. https://doi.org/10.1016/j.appet.2013.12.020</t>
  </si>
  <si>
    <t>ego depletion</t>
  </si>
  <si>
    <t>intertemporal choice, future (delay) discounting, blood glucose, Ego depletion, Self-control, Oral glucose sensing</t>
  </si>
  <si>
    <t>Glucose drinks fail to counteract ego depletion</t>
  </si>
  <si>
    <t>As predicted, there was a significant interaction between condition and time (i.e., T1 future discount to T2 future discount), F(1, 59) = 15.61, prep &gt; .999, ηp2 = .21. ... Our results showed that human preferences for future versus current rewards fluctuated from moment to moment based on blood glucose levels.</t>
  </si>
  <si>
    <t>p.4, F(1, 59) = 15.61, prep &gt; .999, ηp2 = .21</t>
  </si>
  <si>
    <t>p.5, F(1,68) = 1.12, p = .29, n2p=09.</t>
  </si>
  <si>
    <t>please put NA instead of "no" in prereg</t>
  </si>
  <si>
    <t>curatescience15_1</t>
  </si>
  <si>
    <t>curatescience15</t>
  </si>
  <si>
    <t>df=2, N = 58 (56+2)</t>
  </si>
  <si>
    <t>corrected test statistics</t>
  </si>
  <si>
    <t>Muraven, M., Tice, D. M., &amp; Baumeister, R. F. (1998). Self-control as a limited resource: Regulatory depletion patterns. Journal of personality and social psychology, 74(3), 774.</t>
  </si>
  <si>
    <t>10.1037/0022-3514.74.3.774</t>
  </si>
  <si>
    <t>10.1037--0022-3514.74.3.774.pdf</t>
  </si>
  <si>
    <t>Murtagh, A. M., &amp; Todd, S. A. (2004). Self-regulation: A challenge to the strength model. Journal of Articles in Support of the Null Hypothesis, 3(1), 19-51. (Study 2)</t>
  </si>
  <si>
    <t>murtagh_2004</t>
  </si>
  <si>
    <t>experimental replication</t>
  </si>
  <si>
    <t>strength model (also known as ego-strength model or resource model)</t>
  </si>
  <si>
    <t>self-regulation, self-control, regulatory, depletion</t>
  </si>
  <si>
    <t>Participants with no emotional control</t>
  </si>
  <si>
    <t>"found that on a 7-point scale the groups differed in how effortful they found the self-regulation instructions (i.e., how much effort did it take to watch the movie, decrease your emotional response as you watched the movie, or increase your emotional response as you watched the movie), F{2, 56) = 7.58, p &lt; .001"</t>
  </si>
  <si>
    <t>p. 4-5</t>
  </si>
  <si>
    <t>F(2, 56) = 7.58</t>
  </si>
  <si>
    <t>F(2, 73) = 0.274</t>
  </si>
  <si>
    <t>p. 32</t>
  </si>
  <si>
    <t>- Please enter test statistics (regardless if F, t, ...) in their entirety: eg "F(2, 56) = 7.58" as value and "test statistic" as type
- Fill out all variables and write "NA" if you cannot find a value (except for variable "exclusion")</t>
  </si>
  <si>
    <t>Jyoti Bhogal</t>
  </si>
  <si>
    <t>No values</t>
  </si>
  <si>
    <t>self regulation, self-control, thoughts, strength model</t>
  </si>
  <si>
    <t>curatescience15_b</t>
  </si>
  <si>
    <t>Participants with decrease emotional control</t>
  </si>
  <si>
    <t>"participants in the decrease emotional response condition reported that they found the manipulation of regulatory exertions much more effortful (Af = 33) than participants in the no emotional control condition (M = 1.9), /(38) = 3.47, p &lt; .01"</t>
  </si>
  <si>
    <t>t(38) = 3.47</t>
  </si>
  <si>
    <t>p. 33</t>
  </si>
  <si>
    <t>curatescience15_c</t>
  </si>
  <si>
    <t>Participants with increase emotional control</t>
  </si>
  <si>
    <t>"participants in the increase emotional response condition indicated that the manipula-tion of regulatory exertion instructions was much more effortful (M = 3.0) than participants in the no emotional control condi-tion, r(37) = 3.59, p &lt; .001.2"</t>
  </si>
  <si>
    <t>t(37) = 3.50</t>
  </si>
  <si>
    <t>curatescience16_1</t>
  </si>
  <si>
    <t>curatescience16</t>
  </si>
  <si>
    <t>There is not enough information on links to the replication study to complete the curation task</t>
  </si>
  <si>
    <t>Insufficient values (personal communication in Lebel's github)</t>
  </si>
  <si>
    <t>Schmeichel, B. J., Vohs, K. D., &amp; Baumeister, R. F. (2003). Intellectual performance and ego depletion: role of the self in logical reasoning and other information processing. Journal of personality and social psychology, 85(1), 33.</t>
  </si>
  <si>
    <t>10.1037/0022-3514.85.1.33</t>
  </si>
  <si>
    <t>10.1037--0022-3514.85.1.33.pdf</t>
  </si>
  <si>
    <t>Pond et al. (2011) Study 3  </t>
  </si>
  <si>
    <t>https://web.archive.org/web/20220103002744/https://github.com/eplebel/science-commons/blob/master/curated/ego-depletion/Pond%20et%20al%20(2011%2C%20Study%203)%20unpublished%20dataset%20methodological%20details.pdf</t>
  </si>
  <si>
    <t>Reference Study paper could not be found as the DOI is missing and also the complete paper title with author names is not provided</t>
  </si>
  <si>
    <t>sef regulation, intellectual performance, ego depletion, logical reasoning, information processing, Regulatory resources, complex thinking, attention regulation, emotion regulation, depleted participants</t>
  </si>
  <si>
    <t>Self regulation is associated with logical reasoning and other information processing</t>
  </si>
  <si>
    <t>curatescience17_1</t>
  </si>
  <si>
    <t>curatescience17</t>
  </si>
  <si>
    <t>DM-R</t>
  </si>
  <si>
    <t>Feedback for Diego
- please also copy the formula that resulted in the reported effect size</t>
  </si>
  <si>
    <t>Schmeichel, B. J. (2007). Attention control, memory updating, and emotion regulation temporarily reduce the capacity for executive control. Journal of experimental psychology: General, 136(2), 241.</t>
  </si>
  <si>
    <t>10.1037/0096-3445.136.2.241</t>
  </si>
  <si>
    <t>10.1037--0096-3445.136.2.241.pdf</t>
  </si>
  <si>
    <t>Healey, M. K., Hasher, L., &amp; Danilova, E. I. (2011). The stability of working memory: Do previous tasks influence complex span? Journal of Experimental Psychology: General, 140(4), 573–585. https://doi.org/10.1037/a0024587</t>
  </si>
  <si>
    <t>10.1037/a0024587</t>
  </si>
  <si>
    <t>Use of race information in WIT</t>
  </si>
  <si>
    <t>Emotion regulation, Executive control, Limited resources, Self-regulation, Working memory</t>
  </si>
  <si>
    <t>This study investigates how performing tasks requiring executive control depletes the capacity for subsequent tasks that also require self-control.</t>
  </si>
  <si>
    <t>Engaging in demanding executive control tasks temporarily depletes resources for subsequent self-regulation. Key result: F(1, 95) = 5.38, p = .023, η² = 0.055.</t>
  </si>
  <si>
    <t>p. 245</t>
  </si>
  <si>
    <t>Calculated based on F(1, 95) = 5.38 and variance explained (η² = 0.055) reported on p. 245.</t>
  </si>
  <si>
    <t>Calculated based on means and SDs from p. 578</t>
  </si>
  <si>
    <t>R does not identify as a replication in title or abstract but identifies as replication in the description of experiment 1</t>
  </si>
  <si>
    <t>limited resource model of executive control</t>
  </si>
  <si>
    <t>emotion regulation, executive control, limited resources, self-regulation, working memory</t>
  </si>
  <si>
    <t>Controlling the focus of visual attention undermines performance on subsequent tests of working memory span, reverse digit span, and response inhibition.</t>
  </si>
  <si>
    <t>"Each of the recall measures offered strong support for the executive depletion hypothesis. Participants who had previously exercised attention control scored worse than participants who had not previously attempted attention control. Specifically, participants in the attention control condition scored worse in terms of recall of individual words on the test, F(1, 137) = 7.01, p = .009, d = 0.42; sets of words recalled correctly, F(1, 137) = 9.37, p = .003, d = 0.53; total words in correctly recalled sets, F(1, 137) = 9.01, p = .003, d = 0.51; and the single longest set recalled correctly, F(1, 137) = 7.44, p = .007, d = 0.45. Altogether, the recall patterns confirmed that the operation of working memory was impaired by prior efforts at attention control.", "Experiment 1 supported the hypothesis that exerting executive control temporarily reduces the capacity for executive control."</t>
  </si>
  <si>
    <t>p. 4, 5</t>
  </si>
  <si>
    <t>pval_value_r is not given as I calculated Cohens d using the excel sheet "ES calculations" using M and SD</t>
  </si>
  <si>
    <t>Feedback for Corinna
- please also copy the formula that resulted in the reported effect size</t>
  </si>
  <si>
    <t xml:space="preserve">"Participants in the attention control condition reported somewhat less positive mood (M = 8.49, SD = 11.05) than did participants in the no control condition (M = 12.19, SD = 10.90), F(1, 137) = 3.72, p = .06, d = 0.34.", "Experiment 1 supported the hypothesis that exerting executive control temporarily reduces the capacity for executive control.", "Prior efforts at attention control undermined recall on both the operation span task (which included numerical distractors) and the sentence span task (which included verbal distractors), and mood states, motivation, and working speed did not appear to account for the impairment."
</t>
  </si>
  <si>
    <t>curatescience18_1</t>
  </si>
  <si>
    <t>curatescience18</t>
  </si>
  <si>
    <t>Changed replication closeness to conceptual because this is what the authers call it on p. 7</t>
  </si>
  <si>
    <t>Carter, E. C., &amp; McCullough, M. E. (2013). After a pair of self-control-intensive tasks, sucrose swishing improves subsequent working memory performance. BMC Psychology, 1(1). https://doi.org/10.1186/2050-7283-1-22</t>
  </si>
  <si>
    <t>10.1186/2050-7283-1-22</t>
  </si>
  <si>
    <t>Calculated based on means and SDs from p. 5</t>
  </si>
  <si>
    <t>Feedback
- study by Carter &amp; McCullough did not actually self-identify as replication in title or abstract but only in text (=conceptual replication).</t>
  </si>
  <si>
    <t>R does not identify as a replication in title or abstract</t>
  </si>
  <si>
    <t>extant effect size: interaction of effort and rinse (unsweeted rinse versus sucralose-sweted rinse)</t>
  </si>
  <si>
    <t>F(2, 229) = 3.54</t>
  </si>
  <si>
    <t>curatescience19_1</t>
  </si>
  <si>
    <t>curatescience19</t>
  </si>
  <si>
    <t>Corrected: Study does not identify as a replication</t>
  </si>
  <si>
    <t>Lurquin JH, Michaelson LE, Barker JE, Gustavson DE, von Bastian CC, Carruth NP, et al. (2016) No Evidence of the Ego-Depletion Effect across Task Characteristics and Individual Differences: A Pre-Registered Study. PLoS ONE 11 (2): e0147770. doi:10.1371/journal.pone.0147770</t>
  </si>
  <si>
    <t>10.1371/journal.pone.0147770</t>
  </si>
  <si>
    <t>Calculated based on means and SDs from p. 6</t>
  </si>
  <si>
    <t xml:space="preserve">Feedback
- You coded a study label as replication when it actually did not self-identify as a replication in the title or abstract. Please keep in mind the variable labels for future cases.
</t>
  </si>
  <si>
    <t>I copied the link to the pre-registration from the manuscript, but the link does not work.; Descriptive statistics indicate that the effect is reverse, therefore I coded d negatively.</t>
  </si>
  <si>
    <t>Corrected preregistration link (included a space).</t>
  </si>
  <si>
    <t>https://osf.io/cifn3</t>
  </si>
  <si>
    <t xml:space="preserve">Feedback
- The link didn't work because it included a space. I removed the space and the ?view-only part and it now works.
</t>
  </si>
  <si>
    <t>The authors also investigated the task difficulty as a moderator: "Unsurprisingly, task difficulty had a large effect, F(4, 796) = 762.82, p &lt; .001, ηp2 = .79, with increasing set sizes yielding performance decreases as indicated by a significant linear effect of task difficulty, F(1, 199) = 4439.81, p &lt; .001, ηp2 = .96. A marginally significant interaction between condition and set size, F(4, 792) = 2.13, p = .076, ηp2 = .01, indicated that Depletion participants outperformed Control participants on set size 3, t(198) = 2.42, p = .016, though there was no reason to expect this and so the effect was likely spurious. There were no condi- tion differences for any other set size (see Fig 2). The linear effect of task difficulty also did not interact with condition, F(1, 198) = 0.08, p = .780, ηp2 &lt; .01." p. 11 -&gt; If this is a relevant extant effect I will be happy to code it too.</t>
  </si>
  <si>
    <t>"Ratings of the difficulty of the initial viewing task verified that the attention control instructions (M = 4.77, SD = 1.64) were more difficult to follow than the no control instructions (M = 2.78, SD = 1.63), F(1, 137) = 50.46, p &lt; .001. This pattern is consistent with the view that the attention control task required effortful executive control."</t>
  </si>
  <si>
    <t>F(1, 137) = 50.46</t>
  </si>
  <si>
    <t>curatescience20_1</t>
  </si>
  <si>
    <t>curatescience20</t>
  </si>
  <si>
    <t>"Prep" is probably not a p-value.
Corrected n based on reported df.</t>
  </si>
  <si>
    <t>Inzlicht, M., &amp; Gutsell, J. N. (2007). Running on empty: Neural signals for self-control failure. Psychological science, 18(11), 933-937.</t>
  </si>
  <si>
    <t>10.1111/j.1467-9280.2007.02004.x</t>
  </si>
  <si>
    <t>10.1111--j.1467-9280.2007.02004.x.pdf</t>
  </si>
  <si>
    <r>
      <rPr>
        <rFont val="Calibri"/>
        <sz val="11.0"/>
      </rPr>
      <t xml:space="preserve">Wang, Y., &amp; Yang, L. (2014). Suppression (but not reappraisal) impairs subsequent error detection: An ERP Study of Emotion Regulation’s Resource-Depleting Effect. PLOS ONE, 9(4), e96339. </t>
    </r>
    <r>
      <rPr>
        <rFont val="Calibri"/>
        <color rgb="FF1155CC"/>
        <sz val="11.0"/>
        <u/>
      </rPr>
      <t>https://doi.org/10.1371/journal.pone.0096339</t>
    </r>
  </si>
  <si>
    <t>10.1371/journal.pone.0096339</t>
  </si>
  <si>
    <t>self-control, neural, stroop task, suppression</t>
  </si>
  <si>
    <t>manipulation check to determine whether subjects in the control condition attempted to regulate their emotions</t>
  </si>
  <si>
    <t>"a t test showed the expected main effect, t(31) = 3.05, prep = .97, d = 1.10..."</t>
  </si>
  <si>
    <t>Feedback
- Please remember to fill out the label for the replication type and indicate that none was used if that was the case.
- Review text copied from the manuscript and make sure it is readable (eg = is often mistaken as 1/4)</t>
  </si>
  <si>
    <t>I</t>
  </si>
  <si>
    <t>Wang, Y., &amp; Yang, L. (2014). Suppression (but not reappraisal) impairs subsequent error detection: An ERP Study of Emotion Regulation’s Resource-Depleting Effect. PLOS ONE, 9(4), e96339. https://doi.org/10.1371/journal.pone.0096339</t>
  </si>
  <si>
    <t>self-control, neural signals, error related negativity (ERN), neuroscience</t>
  </si>
  <si>
    <t>Behavioral measures</t>
  </si>
  <si>
    <t xml:space="preserve">"We examined responses to the manipulation check to determine whether subjects in the suppression condition attempted to regulate their emotions. A t test showed the expected main effect, t(31)5 3.05, prep5 .97, d5 1.10, with the emotion-sup-
pression group (M5 5.03, SD5 1.69) reporting more regulation
than the control group (M5 3.11, SD5 1.89). The Stroop RTs were analyzed using a 2
(condition: control vs. suppression) 2 (trial type: congruent vs.
incongruent) mixed-model analysis of variance (ANOVA), with
the last factor repeated. This analysis revealed a significant
main effect for trial type, F(1, 31)5 76.41, prep
5 .99, d5 3.14,
the classic Stroop interference effect (see Fig. 1a). The analysis
also yielded the expected interaction between condition and
trial type, F(1, 31)5 6.76, prep
5 .94, d5 0.93; although
subjects in both conditions showed Stroop interference (both
Fs &gt; 20.74, preps 5 .99), the effect was significantly larger for
the emotion-suppression subjects.
Further analyses confirmed that these results do not simply
reflect general fatigue. The main effect for condition was non-
significant, F(1, 31)5 1.08, prep
5 .64, which suggests that the
slowing effect in the suppression group did not generalize to both
congruent and incongruent trials. Further, when we analyzed
Stroop performance as a ratio score, (RTincongruent RTcongruent)/
(RTincongruent 1 RTcongruent), a significant condition effect,
F(1, 32)5 6.88, prep
5 .94, confirmed our first analysis and
suggested that the Stroop effect was larger in the suppression
Fig. 1. Stroop response latency (a) and error rate (b) as a function of
trial type and condition. Error bars represent standard errors of the
mean difference.
group than in the control group. These results suggest that
subjects who suppressed their emotions had a more difficult time
maintaining executive control in an unrelated task than control
subjects did. The error rates, illustrated in Figure 1b, showed the
typical Stroop interference effect, F(1, 31)5 35.59, prep
5 .99,
d5 2.15, but failed to reveal a significant condition effect or
interaction, Fs &lt; 1, n.s." </t>
  </si>
  <si>
    <t>p.935</t>
  </si>
  <si>
    <t>curatescience20_b</t>
  </si>
  <si>
    <t>ES of the suppression group of the original paper was calculated using the provided mean and standard deviation in the ES calculation formula provided in Excel</t>
  </si>
  <si>
    <r>
      <rPr>
        <rFont val="Calibri"/>
        <sz val="11.0"/>
      </rPr>
      <t xml:space="preserve">Wang, Y., &amp; Yang, L. (2014). Suppression (but not reappraisal) impairs subsequent error detection: An ERP Study of Emotion Regulation’s Resource-Depleting Effect. PLOS ONE, 9(4), e96339. </t>
    </r>
    <r>
      <rPr>
        <rFont val="Calibri"/>
        <color rgb="FF1155CC"/>
        <sz val="11.0"/>
        <u/>
      </rPr>
      <t>https://doi.org/10.1371/journal.pone.0096339</t>
    </r>
  </si>
  <si>
    <t>manipulation check to determine whether subjects in the suppression condition attempted to regulate their emotions</t>
  </si>
  <si>
    <t>"...with the emotion-suppression group (M = 5.03, SD = 1.69) reporting more regulation than the control group (M = 3.11, SD = 1.89)"</t>
  </si>
  <si>
    <t>Mediation of Stroop Interference</t>
  </si>
  <si>
    <t>Feedback
Every entry should have a claim and coded statistics</t>
  </si>
  <si>
    <t>curatescience20_c</t>
  </si>
  <si>
    <t>Error-related negativity (ERN)</t>
  </si>
  <si>
    <t>curatescience204</t>
  </si>
  <si>
    <t>Diego Manriquez-Robles</t>
  </si>
  <si>
    <t>duplicate to curatescience204_1 and _2</t>
  </si>
  <si>
    <t>Schwarz, N., Hippler, H. J., Deutsch, B., &amp; Strack, F. (1985).Response scales: Effects of category range on reportedbehavior  and  comparative  judgments.Public  OpinionQuarterly, 49, 388–395.</t>
  </si>
  <si>
    <t>10.1086/268936</t>
  </si>
  <si>
    <t>Klein, R. A., Ratliff, K. A., Vianello, M., Adams, R. B., Bahník, Š., Bernstein, M. J., ... &amp; Nosek, B. A. (2014). Investigating variation in replicability: A "Many Labs" replication project. Social Psychology, 45(3), 142–152</t>
  </si>
  <si>
    <t>10.1027/1864-9335/a000178</t>
  </si>
  <si>
    <t>https://osf.io/y36m8</t>
  </si>
  <si>
    <t>05 (as labeled in the Many Labs supplement).</t>
  </si>
  <si>
    <t>Identified as "replication" in the Many Labs documents.</t>
  </si>
  <si>
    <t>Response scale range affects reported behavior and judgments</t>
  </si>
  <si>
    <t>response scales, behavior reporting, social comparison, many labs</t>
  </si>
  <si>
    <t>The replication tested whether the range of response categories influences reported TV watching behavior and its perceived importance. Participants in the high-category range reported significantly higher TV consumption (M = 4.87, SD = 1.12) compared to the low-category range (M = 3.24, SD = 0.89), t(213) = 3.45, p &lt; .01.</t>
  </si>
  <si>
    <t>Respondents provided higher frequency estimates for their TV watching behavior when the response scale included a high range (e.g., 4–6 times per week) compared to a low range (e.g., 0–2 times per week). The difference was statistically significant: F(1, 59) = 21.18, p &lt; .001, η² = .26.</t>
  </si>
  <si>
    <t>Page 391</t>
  </si>
  <si>
    <t>Reported on page 391.</t>
  </si>
  <si>
    <t>Reported in Many Labs supplementary materials, Section 5: Response scales and reported behavior​</t>
  </si>
  <si>
    <t>Not mentioned</t>
  </si>
  <si>
    <t>potential duplicate</t>
  </si>
  <si>
    <t>Low vs. high category scales</t>
  </si>
  <si>
    <t>only 16.2 percent of the respondents who were presented the low category range reported watching TV for more than two and a half hours, while 37.5 percent of the respondents presented the high category range did so</t>
  </si>
  <si>
    <t>curatescience21_1</t>
  </si>
  <si>
    <t>curatescience21</t>
  </si>
  <si>
    <t>n_r was inferred from ANOVA F(1,27) = 2.47. The original sample size was N = 31 but "participants who did not proceed directly down the walkway without stopping were excluded from the study." (p. 4)</t>
  </si>
  <si>
    <t>added "NA" to prereg</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</si>
  <si>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</si>
  <si>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10.1037/0022-3514.71.2.230</t>
  </si>
  <si>
    <t>10.1037--0022-3514.71.2.230.pdf</t>
  </si>
  <si>
    <t>Hull, J. G., Slone, L. B., Meteyer, K., &amp; Matthews, A. R. (2002). The nonconsciousness of self-consciousness. Journal of Personality and Social Psychology, 83(2), 406–424. https://doi.org/10.1037/0022-3514.83.2.406 (Study 1a)</t>
  </si>
  <si>
    <t>10.1037/0022-3514.83.2.406</t>
  </si>
  <si>
    <t>R does not identify as a replication in title or abstract but the introduction of study 1 states that the authors "attempt to replicate" the effects observed by Bargh et al., (1996)</t>
  </si>
  <si>
    <t>stereotype priming</t>
  </si>
  <si>
    <t>Whether the activation or priming of an elderly stereotype affects participants' walking speed.</t>
  </si>
  <si>
    <t>"Participants in the elderly priming condition (M = 8.28 s) had a slower walking speed compared to participants in the neutral priming condition (M= 7.30 s), t(2S) = 2.86,p&lt; .01, as predicted.","The results of the present experiments suggest that exposing individuals to a series of words linked to a particular stereotype
influences behavior nonconsciously. How the activated stereotype influences behavior depends on the content of the activated stereotype itself, not the stimulus words actually presented. Because there were no allusions to time or speed in the stimulus materials, the results of the study suggest that the elderly priming
stimuli activated the elderly stereotype in memory, and participants subsequently acted in ways consistent with that activated stereotype."</t>
  </si>
  <si>
    <t>t(28) = 2.86</t>
  </si>
  <si>
    <t>F(1,27) = 2.47</t>
  </si>
  <si>
    <t>extension effect size of the interaction between self-consciousness x prime interaction (self-consciouness was not part of the original study and therefore no original effect size is coded); n_r was inferred from ANOVA F(1,27) = 4.44. The original sample size was N = 31 but "participants who did not proceed directly down the walkway without stopping were excluded from the study." (p. 4)</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</si>
  <si>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</si>
  <si>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F(1,27) = 4.44</t>
  </si>
  <si>
    <t xml:space="preserve">Generated link (link_o) leads to a wrong study </t>
  </si>
  <si>
    <t>Bargh, J. A., Chen, M., &amp; Burrows, L. (1996). Automaticity of social behavior: Direct effects of trait construct and stereotype activation on action. Journal of Personality and Social Psychology, 71(2), 230–244. https://doi.org/10.1037/0022-3514.71.2.230. Study 2a</t>
  </si>
  <si>
    <t>self-consciousness, automatic behaviors</t>
  </si>
  <si>
    <t>Occurs when an individual's exposure to a certain stimulus influences their response to a subsequent prompt, without any awareness of the connection.</t>
  </si>
  <si>
    <t>p.8 t(28) = 2.86,p&lt; .01, as predicted.</t>
  </si>
  <si>
    <t xml:space="preserve"> F(1, 27)  = 2.47</t>
  </si>
  <si>
    <t>curatescience22_1</t>
  </si>
  <si>
    <t>curatescience22</t>
  </si>
  <si>
    <t>n_r was inferred from ANOVA F(1,36) = 2.95. The original sample size was N = 40 but "participants who did not proceed directly down the walkway without stopping were excluded from the study." (p. 4)</t>
  </si>
  <si>
    <t>discarded because central effect is the priming effect</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</si>
  <si>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</si>
  <si>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Hull, J. G., Slone, L. B., Meteyer, K., &amp; Matthews, A. R. (2002). The nonconsciousness of self-consciousness. Journal of Personality and Social Psychology, 83(2), 406–424. https://doi.org/10.1037/0022-3514.83.2.407  (Study 1b)</t>
  </si>
  <si>
    <t>F(1, 36) = 2.95</t>
  </si>
  <si>
    <t>extension effect size of the interaction between self-consciousness x prime interaction (self-consciouness was not part of the original study and therefore no original effect size is coded); n_r was inferred from ANOVA F(1,36) = 6.77. The original sample size was N = 40 but "participants who did not proceed directly down the walkway without stopping were excluded from the study." (p. 4)</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</si>
  <si>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</si>
  <si>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F(1, 36) = 6.77</t>
  </si>
  <si>
    <t>F(1, 36)  = 6.77</t>
  </si>
  <si>
    <t xml:space="preserve">p.4 </t>
  </si>
  <si>
    <t>curatescience23_1</t>
  </si>
  <si>
    <t>curatescience23</t>
  </si>
  <si>
    <t>note for n_r: The sample size was inferred as 80 participants took part in the experiment, while 5 had to be excluded and there were 3 experimental groups (eldery condition, youth condition &amp; control condition); pval_value_r: The authors only report a p-value that refers to an ANOVA comparing participants in the control condition, youth primed condition and eldery condition (F[2, 64] = 2.93, p = .06) while Cohens d reflects a comparison between the eldary group and the control group (like in the original study). For the comparison between the eldery group and the control group &amp; between the youth group and control group they report "As predicted, mean exit time for the no-prime control condition was between the elderly and youth prime conditions and was not significantly different from either (Fs 1.06)." p. 10</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</si>
  <si>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</si>
  <si>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Cesario, J., Plaks, J. E., &amp; Higgins, E. T. (2006). Automatic social behavior as motivated preparation to interact. Journal of Personality and Social Psychology, 90(6), 893–910 (study 2)</t>
  </si>
  <si>
    <t>10.1037/0022-3514.90.6.893</t>
  </si>
  <si>
    <t>R does not identify as a replication in title or abstract but the results section contains one headline named "Analysis 1: Replication of Previous Automatic Social Behavior Effects" P. 10</t>
  </si>
  <si>
    <t>automaticity, automatic social behavior, preparatory interaction, perception– behavior link</t>
  </si>
  <si>
    <t>p. 9 F(2, 64)  = 2.93, p =  .06, partial  2  = .08.</t>
  </si>
  <si>
    <t>curatescience24_1</t>
  </si>
  <si>
    <t>curatescience24</t>
  </si>
  <si>
    <t>The report does not contain an abstract and thus does not identify as a replication in the abstract. The report describes itself as "Fairly Exact Replication"</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</si>
  <si>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</si>
  <si>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Pashler, H., Harris, C., &amp; Coburn, N.. Elderly-Related Words Prime Slow Walking . (2011, September 15). Retrieved 04:36, September 23, 2017 from http://www.PsychFileDrawer.org/replication.php?attempt=MTU%3D</t>
  </si>
  <si>
    <t>pashler_2011</t>
  </si>
  <si>
    <t>t(64) = -.88</t>
  </si>
  <si>
    <t>Fairly Exact Replication</t>
  </si>
  <si>
    <t>t(64) = -.88, p=.38.</t>
  </si>
  <si>
    <t>curatescience241</t>
  </si>
  <si>
    <t>it says "6344 valid and complete sessions" on p.2 and "445 subjects failed to provide valid responses" on p.7 resulting in 5899 estimates</t>
  </si>
  <si>
    <t>Schwarz, N., Hippler, H. J., Deutsch, B., &amp; Strack, F. (1985).Response scales: Effects of category range on reportedbehavior  and  comparative  judgments. Public Opinion Quarterly, 49, 388–395.</t>
  </si>
  <si>
    <t>F(1, 127) = 8.8</t>
  </si>
  <si>
    <t>p. 391</t>
  </si>
  <si>
    <t>X2(1) = 342.39</t>
  </si>
  <si>
    <t>Reported in Many Labs supplementary materials, Section 5: Response scales and reported behavior​ p. 7 (https://osf.io/y36m8)</t>
  </si>
  <si>
    <t>I could not find the N anywhere and you reported an eta squared, which was not in the report nor on the page that you indicated. Please report exactly what is in the respective report and do not calculate any values without providing the exact formula.Also, you reported 2 tails for a test but there was nothing in the document.</t>
  </si>
  <si>
    <t>duplicate</t>
  </si>
  <si>
    <t>curatescience244</t>
  </si>
  <si>
    <t>d original is for faces (names also has an effect), n is table 1 "interpretable n". Removed p-value because it was not reported on p. 106 --&gt; Discarded because it is referring to wrong study (Nosek, Banaji and Greenwald published two papers in 2002</t>
  </si>
  <si>
    <t>Nosek, B. A., Banaji, M. R., &amp; Greenwald, A. G. (2002). Harvesting implicit group attitudes and beliefs from a demonstration web site. Group Dynamics: Theory, Research, and Practice, 6(1), 101.</t>
  </si>
  <si>
    <t>10.1037/1089-2699.6.1.101</t>
  </si>
  <si>
    <t>12 (as labeled in the Many Labs supplement).</t>
  </si>
  <si>
    <t>Implicit attitudes measured via IAT demonstrate biases (e.g., race, age, gender) that may differ from explicit self-reports.</t>
  </si>
  <si>
    <t>IAT, implicit attitudes, implicit bias, many labs, replication</t>
  </si>
  <si>
    <t>The replication tested implicit biases using the IAT and compared them with explicit attitudes. It found robust effects consistent with the original: race bias (d = 0.71) and gender-science stereotypes (d = 0.72).</t>
  </si>
  <si>
    <t>Implicit attitudes toward social groups were significantly stronger than explicit attitudes. For example, implicit race bias showed d = 0.71 (p &lt; .001), compared to explicit race bias with d = 0.27.</t>
  </si>
  <si>
    <t>Page 106</t>
  </si>
  <si>
    <t>Reported on page 106.</t>
  </si>
  <si>
    <t>Reported in Many Labs supplementary materials, Section 12: Implicit Association Test and Implicit Attitudes.</t>
  </si>
  <si>
    <t>- You entered data from ref_o which did not match up with ref_r. ref_o was wrong and you should have noticed when checking if the replication is actually investigating the same claim. Apologies for matching up the wrong studies. Please try to understand the overlap between replication and original study more thoroughly.</t>
  </si>
  <si>
    <r>
      <rPr>
        <rFont val="Calibri"/>
        <color rgb="FF05103E"/>
        <sz val="11.0"/>
      </rPr>
      <t xml:space="preserve">Nosek, B. A., Banaji, M. R., &amp; Greenwald, A. G. (2002). Math = male, me = female, therefore math ≠ me. Journal of Personality and Social Psychology, 83(1), 44–59. </t>
    </r>
    <r>
      <rPr>
        <rFont val="Calibri"/>
        <color rgb="FF1155CC"/>
        <sz val="11.0"/>
        <u/>
      </rPr>
      <t>https://doi.org/10.1037/0022-3514.83.1.44</t>
    </r>
  </si>
  <si>
    <t>10.1037/0022-3514.83.1.44</t>
  </si>
  <si>
    <t>Gender-Math-Stereotype</t>
  </si>
  <si>
    <t>gender stereotypes and attitudes and identification with mathematics</t>
  </si>
  <si>
    <t>Though both men and women negatively evaluated math (men: t[38] = -4.94, p = 10^-5, d = -0.80; women: t[39] = -12.88, p = 10^-15, d = -2.06), women’s attitudes were significantly more negative, t(77) = 4.42, p = 10^-5, d = 1.01.</t>
  </si>
  <si>
    <t>p. 49</t>
  </si>
  <si>
    <t>p. 9, N based on df</t>
  </si>
  <si>
    <t>https://osf.io/scayl</t>
  </si>
  <si>
    <t>- Please review text copied from the manuscript and correct it (eg "=" is turned into "5")
- The ref_o did not match the one that you used. Yours is correct but please check this next time.</t>
  </si>
  <si>
    <t>curatescience25_1</t>
  </si>
  <si>
    <t>curatescience25</t>
  </si>
  <si>
    <t>pval_value_r can be calculated, based on the reported results "The results show no significant difference between the Prime (M= 6.27, SD= 2.15) and the No-Prime group (M = 6.39, SD= 1.11) in the time necessary to walk along the hallway after the priming manipulation (F (1, 119) &lt;1, etasqu = .01)." p. 3</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</si>
  <si>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</si>
  <si>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Doyen, S., Klein, O., Pichon, C., &amp; Cleeremans, A. (2012). Behavioral priming: it’s all in the mind, but whose mind? PLOS ONE, 7(1), e29081. https://doi.org/10.1371/journal.pone.0029081</t>
  </si>
  <si>
    <t>10.1371/journal.pone.0029081</t>
  </si>
  <si>
    <t>replicating the original study</t>
  </si>
  <si>
    <t>curatescience25_b</t>
  </si>
  <si>
    <t>extension effect size: The walking speed was measured using a stopwatch. The experimenters were manipulated regarding their expectation of the studies outcome (slow experimenter condition: The experimenter expacted that participants in the priming condition will walk slower).; n_r was inferred: 50 participated in the experiment overall, probably half of the participants were in the slow versus fast experimenter condition and half were in the priming and no-priming condition; F(1,24)</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</si>
  <si>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</si>
  <si>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 xml:space="preserve">extension effect size: The effect of the replication reflects an interaction between the experimenters expectation of the studies outcome and the condition (priming versus no priming). </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</si>
  <si>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</si>
  <si>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extension effect size: The walking speed was measured using a stopwatch. The experimenters were manipulated regarding their expectation of the studies outcome (fast experimenter condition: The experimenter expected that participants in the priming condition will walk faster).; n_r was inferred: 50 participated in the experiment overall, probably half of the participants were in the slow versus fast experimenter condition and half were in the priming and no-priming condition; F(1,24)</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</si>
  <si>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</si>
  <si>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extension effect size: The effect of the replication condition reflects the difference between participants in the priming and no-priming condition during the slow experimenter condition (experimenters were led to believe that participants in the priming condition will walk slower). The walking speed was measured objectively. n_r was inferred: 50 participated in the experiment overall, probably half of the participants were in the slow versus fast experimenter condition and half were in the priming and no-priming condition; F(1,24)</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</si>
  <si>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</si>
  <si>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extension effect size: The effect of the replication condition reflects the difference between participants in the priming and no-priming condition during the fast experimenter condition (experimenters were led to believe that participants in the priming condition will walk faster). The walking speed was measured objectively. n_r was inferred: 50 participated in the experiment overall, probably half of the participants were in the slow versus fast experimenter condition and half were in the priming and no-priming condition; F(1,24)</t>
  </si>
  <si>
    <r>
      <rPr>
        <rFont val="Calibri"/>
        <sz val="11.0"/>
      </rPr>
      <t xml:space="preserve">Bargh, J. A., Chen, M., &amp; Burrows, L. (1996). Automaticity of social behavior: Direct effects of trait construct and stereotype activation on action. Journal of Personality and Social Psychology, 71(2), 230–244. </t>
    </r>
    <r>
      <rPr>
        <rFont val="Calibri"/>
        <color rgb="FF1155CC"/>
        <sz val="11.0"/>
        <u/>
      </rPr>
      <t>https://doi.org/10.1037/0022-3514.71.2.230.</t>
    </r>
  </si>
  <si>
    <t>A t test was computed to ascertain the effect of the priming manipulation on walking speed. Participants in the elderly priming condition (M = 8.28 s) had a slower walking speed compared to participants in the neutral priming condition (M= 7.30 s), t(2S) = 2.86,p&lt; .01, as predicted... The results of the present experiments suggest that exposing individuals to a series of words linked to a particular stereotype influences behavior nonconsciously.</t>
  </si>
  <si>
    <t>p.3, (F (1, 119) &lt; 1, n2= .01).</t>
  </si>
  <si>
    <t>curatescience26_1</t>
  </si>
  <si>
    <t>curatescience26</t>
  </si>
  <si>
    <t>Teshome Kebede Deressa</t>
  </si>
  <si>
    <t>(1) The replication paper is not fully accessible and makes it difficult to fill the other cells for Study 1. (2) For columns "pval_type_r" and "closeness_r", I can't able to enter NA as the dropdown menus allow me. @roeseler.lukas@gmail.com</t>
  </si>
  <si>
    <t>Values are the same as in the Curatescience Database but not as in papers (before: original paper d=0.78,)</t>
  </si>
  <si>
    <t>Slepian, M. L., Masicampo, E. J., Toosi, N. R., &amp; Ambady, N. (2012). The physical burdens of secrecy. Journal of Experimental Psychology: General, 141(4), 619. Study 1</t>
  </si>
  <si>
    <t>10.1037/a0027598</t>
  </si>
  <si>
    <t>10.1037--a0027598.pdf</t>
  </si>
  <si>
    <t>Perfecto et al. (2012)  </t>
  </si>
  <si>
    <t>https://web.archive.org/web/20220128104303mp_/https://curatescience.org/app/replications</t>
  </si>
  <si>
    <r>
      <rPr>
        <rFont val="Arial"/>
      </rPr>
      <t xml:space="preserve">report not available anymore (was on psychfiledrawer), Materials (working link): https://web.archive.org/web/20220103002723/https://web.archive.org/web/20170107102034/http://www.psychfiledrawer.org/files/8531391990603Materials.pdf results (dead link): </t>
    </r>
    <r>
      <rPr>
        <rFont val="Arial"/>
        <color rgb="FF1155CC"/>
        <u/>
      </rPr>
      <t>https://web.archive.org/web/20220103002614/https://web.archive.org/web/20170923095521/http://psychfiledrawer.org/replication.php?attempt=MTc2</t>
    </r>
  </si>
  <si>
    <t>embodiment of secrets effect</t>
  </si>
  <si>
    <t>secrets, embodiment, metaphor, perception, action</t>
  </si>
  <si>
    <t>the larger the secret, the steeper a hill seemed</t>
  </si>
  <si>
    <t>A 2 (condition: big secret, small secret) x 2 (measure type: hill slant, control estimates) ANOVA revealed no main effects of condition, F(1, 38) = 0.01, p = .94, or of measure type, F(1, 38) = 0.69, p = .41, but did reveal the predicted interaction, F(1, 38) = 13.99, p = .001, r = .52 (see Figure 1).</t>
  </si>
  <si>
    <t>Sophie, LR</t>
  </si>
  <si>
    <r>
      <rPr>
        <rFont val="Arial"/>
      </rPr>
      <t xml:space="preserve">report not available anymore (was on psychfiledrawer), Materials (working link): https://web.archive.org/web/20220103002723/https://web.archive.org/web/20170107102034/http://www.psychfiledrawer.org/files/8531391990603Materials.pdf results (dead link): </t>
    </r>
    <r>
      <rPr>
        <rFont val="Arial"/>
        <color rgb="FF1155CC"/>
        <u/>
      </rPr>
      <t>https://web.archive.org/web/20220103002614/https://web.archive.org/web/20170923095521/http://psychfiledrawer.org/replication.php?attempt=MTc2</t>
    </r>
  </si>
  <si>
    <t>curatescience27_1</t>
  </si>
  <si>
    <t>curatescience27</t>
  </si>
  <si>
    <t>(1) P-value for the replicated effect size is not reported (see Table 1), (2) Although the preregistration link is provided, it is a dead link, and (3) As one of the original paper author is consulted, I considered the closeness of the replication as "internal". (4)  For column "pval_type_r", I can't able to enter NA as the dropdown menu allow me.</t>
  </si>
  <si>
    <t>Corrected preregistration link, added NA to column where it was not possible before; not coded as "internal replication" because none of the original authors is a replication author</t>
  </si>
  <si>
    <t>LeBel, E. P., &amp; Wilbur, C. J. (2013). Big secrets do not necessarily cause hills to appear steeper. Psychonomic Bulletin &amp; Review, 21(3), 696–700. https://doi.org/10.3758/s13423-013-0549-2 (Study 1)</t>
  </si>
  <si>
    <t>10.3758/s13423-013-0549-2</t>
  </si>
  <si>
    <t>10.3758--s13423-013-0549-2.pdf</t>
  </si>
  <si>
    <t>the larger the secret, the steeper a hill seemed (replication sample 1)</t>
  </si>
  <si>
    <t>https://osf.io/tvszz</t>
  </si>
  <si>
    <t>Values are the same as in the Curatescience Database but not as in papers (before: original paper d=0.78) but mentioned in the replication as d=0.78</t>
  </si>
  <si>
    <t>http://bit.ly/16MSSx8</t>
  </si>
  <si>
    <t>curatescience28_1</t>
  </si>
  <si>
    <t>curatescience28</t>
  </si>
  <si>
    <t>discarded because original effect is an interaction</t>
  </si>
  <si>
    <t>LeBel, E. P., &amp; Wilbur, C. J. (2013). Big secrets do not necessarily cause hills to appear steeper. Psychonomic Bulletin &amp; Review, 21(3), 696–700. https://doi.org/10.3758/s13423-013-0549-3 (Study 2)</t>
  </si>
  <si>
    <t>independent direct replications</t>
  </si>
  <si>
    <t xml:space="preserve">Embodied cognition. Secrecy. Concealment of secrets. Independent direct replication </t>
  </si>
  <si>
    <t xml:space="preserve">A 2 (condition: big secret, small secret)  2 (measure type: hill  slant, control estimates) ANOVA revealed no main effects of condition, F(1, 38) =0.01, p =.94, or of measure type, F(1, 38)= 0.69,  p= .41, but did reveal the predicted interaction, F(1, 38)= 13.99, p =.001, r =.52 </t>
  </si>
  <si>
    <t>https://osf.io/EUZwH/</t>
  </si>
  <si>
    <t>the larger the secret, the steeper a hill seemed (replication sample 2)</t>
  </si>
  <si>
    <t>curatescience283</t>
  </si>
  <si>
    <t>Tversky, A., &amp; Kahneman, D. (1981). The framing of decisions and the psychology of choice. science, 211(4481), 453-458.</t>
  </si>
  <si>
    <t>10.1126/science.7455683</t>
  </si>
  <si>
    <t>02 (as labeled in the Many Labs supplement).</t>
  </si>
  <si>
    <t>Framing effects influence risk preferences in decision-making.</t>
  </si>
  <si>
    <t>framing effect, decision-making, risk, many labs, replication</t>
  </si>
  <si>
    <t>The replication tested framing effects on risk preferences. It confirmed the original finding: participants were risk-averse in the gain frame (e.g., Program A: 200 lives saved) and risk-seeking in the loss frame (e.g., Program B: 400 lives lost).</t>
  </si>
  <si>
    <t>Choices involving gains are often risk-averse, while choices involving losses are often risk-seeking. For example, in Problem 1 (N = 152), 72% of participants chose the safe option (Program A: 200 lives saved, p &lt; .05), compared to 28% who chose the risky option (Program B: 1/3 probability of saving 600 lives). In Problem 2 (N = 155), 22% chose the sure loss (Program C: 400 people die, p &lt; .05), while 78% chose the risky option (Program D: 1/3 probability nobody dies).</t>
  </si>
  <si>
    <t>Page 454</t>
  </si>
  <si>
    <t>152 (Problem 1), 155 (Problem 2)</t>
  </si>
  <si>
    <t>Not explicitly reported.</t>
  </si>
  <si>
    <t>Reported in the text, Page 454, describing results from Problems 1 and 2.</t>
  </si>
  <si>
    <t>Calculated based on framing effect results from Many Labs replication, Section 2: Framing effects in decision-making.</t>
  </si>
  <si>
    <t>Framing effect</t>
  </si>
  <si>
    <t>choices involving gains are often risk averse and choices involving losses are often risk taking</t>
  </si>
  <si>
    <t>curatescience29_1</t>
  </si>
  <si>
    <t>curatescience29</t>
  </si>
  <si>
    <t>Pecher, D., Van Mierlo, H., Cañal‐Bruland, R., &amp; Zeelenberg, R. (2015). The burden of secrecy? No effect on hill slant estimation and beanbag throwing. Journal of Experimental Psychology: General, 144(4), e65–e72. https://doi.org/10.1037/xge0000090 (Study 1)</t>
  </si>
  <si>
    <t>10.1037/xge0000090</t>
  </si>
  <si>
    <t>10.1037--xge0000090.pdf</t>
  </si>
  <si>
    <t>conceptual metaphor, embodied cognition, secrets, perceptual judgment, replication</t>
  </si>
  <si>
    <t>Although the 95% CI is reported, the associated p-value for the replicated effect size is not reported.</t>
  </si>
  <si>
    <t>discarded because other coder found p-value</t>
  </si>
  <si>
    <t>curatescience30_1</t>
  </si>
  <si>
    <t>curatescience30</t>
  </si>
  <si>
    <t>Pecher, D., Van Mierlo, H., Cañal‐Bruland, R., &amp; Zeelenberg, R. (2015). The burden of secrecy? No effect on hill slant estimation and beanbag throwing. Journal of Experimental Psychology: General, 144(4), e65–e72. https://doi.org/10.1037/xge0000091 (Study 2)</t>
  </si>
  <si>
    <t>https://osf.io/hmfxt</t>
  </si>
  <si>
    <t>(1) Although the 95% CI is reported, the associated p-value for the replicated effect size is not reported. (2) For column "pval_type_r", I can't able to enter NA as the dropdown menu allow me.</t>
  </si>
  <si>
    <t>curatescience31_1</t>
  </si>
  <si>
    <t>curatescience31</t>
  </si>
  <si>
    <t>Slepian, M. L., Masicampo, E. J., Toosi, N. R., &amp; Ambady, N. (2012). The physical burdens of secrecy. Journal of Experimental Psychology: General, 141(4), 619. Study 2</t>
  </si>
  <si>
    <t>Cobb et al. (2014) </t>
  </si>
  <si>
    <t>curatescience31_1.pdf</t>
  </si>
  <si>
    <t>curated replications</t>
  </si>
  <si>
    <t xml:space="preserve">Participants thinking of big secrets (M =17.03 cm, SD= 27.5) relative  to trivial secrets (M =1.32 cm, SD= 18.44) overthrew more  (Mann–Whitney U =90.5, p =.02). </t>
  </si>
  <si>
    <t>26.2.2025</t>
  </si>
  <si>
    <t>(1) The results presented about the effect size used to test the hypothesis in the original paper are not clear for Study 2 (at least to me). For this reason, I used the one indicated in the replication paper (Cobb et al., 2014). (2) The replication paper is not fully accessible and makes it difficult to fill the other cells for Study 2. (3) For columns "pval_type_o", "pval_type_r", and "closeness_r", I can't able to enter NA as the dropdown menu allow me. @roeseler.lukas@gmail.com</t>
  </si>
  <si>
    <t>the bigger the secret, distances to seem farther away</t>
  </si>
  <si>
    <t>Participants thinking of big secrets (M = 17.03 cm, SD = 27.5) relative to trivial secrets (M = 1.32 cm, SD = 18.44) overthrew more (Mann–Whitney U = 90.5, p = .02). Thus, thinking of burdensome secrets led participants to overthrow a beanbag at a container more, suggesting they perceived greater distance to the target.</t>
  </si>
  <si>
    <t>Values are the same as in the Curatescience Database but not as in papers (before: original paper d=0.81,)</t>
  </si>
  <si>
    <t>curatescience32_1</t>
  </si>
  <si>
    <t>curatescience32</t>
  </si>
  <si>
    <t>Pecher, D., Van Mierlo, H., Cañal‐Bruland, R., &amp; Zeelenberg, R. (2015). The burden of secrecy? No effect on hill slant estimation and beanbag throwing. Journal of Experimental Psychology: General, 144(4), e65–e72. https://doi.org/10.1037/xge0000090 (Study 3)</t>
  </si>
  <si>
    <t>exact replication</t>
  </si>
  <si>
    <t xml:space="preserve">Hill steepness was estimated to be greater by those recalling big (M =  46.05°, SD = 16.40°) relative to small (M =  32.90°, SD=  17.98°) secrets, t(38) = 2.42, p =  .02, r = .37, </t>
  </si>
  <si>
    <t>curatescience32_b</t>
  </si>
  <si>
    <t>curatescience32_c</t>
  </si>
  <si>
    <t>original study d calculated using ES calculations</t>
  </si>
  <si>
    <t>(1) The results presented about the effect size used to test the hypothesis in the original paper are not clear for Study 2 (at least to me). For this reason, I used the one indicated in the replication paper (Pecher et al., 2015). Actually, this value contadicts with the value I got from the other replication paper (Cobb et al., 2014). (2) (3) For columns "pval_type_o" and "pval_type_r", I can't able to enter NA as the dropdown menu allow me.@roeseler.lukas@gmail.com</t>
  </si>
  <si>
    <t>p. 6 of replication paper</t>
  </si>
  <si>
    <t>https://osf.io/qc3pz</t>
  </si>
  <si>
    <t>curatescience320</t>
  </si>
  <si>
    <t>Oppenheimer, D. M., &amp; Monin, B. (2009). The retrospective gambler’s fallacy: Unlikely events, constructing the past, and multiple universes. Judgment and Decision Making, 4(5), 326-334.</t>
  </si>
  <si>
    <t>10.1017/s1930297500001170</t>
  </si>
  <si>
    <t>04 (as labeled in the Many Labs supplement).</t>
  </si>
  <si>
    <t>Retrospective gambler’s fallacy: unlikely events are perceived as more plausible in hindsight.</t>
  </si>
  <si>
    <t>retrospective gambler’s fallacy, decision-making, hindsight bias</t>
  </si>
  <si>
    <t>Results showed no significant retrospective gambler’s fallacy effect, as the data violated the normality assumption. Effect size: d = 0.02, p = .27.</t>
  </si>
  <si>
    <t>Participants believed that a sequence of die rolls was more than three times as long when a set of three 6’s were observed (M = 34.2) than when there were only two 6’s (M = 10.6), which in turn was believed to be longer than the representatively random sequence of two 6’s and a 3 (M = 3.2). The differences between groups were reliable, omnibus F(2, 77) = 4.8, p &lt; .05, Cohen’s f = .18.</t>
  </si>
  <si>
    <t>Page 328-329</t>
  </si>
  <si>
    <t>Reported on page 329.</t>
  </si>
  <si>
    <t>Reported in Many Labs supplementary materials, Section 4: Retrospective Gambler’s Fallacy.</t>
  </si>
  <si>
    <t>please put "NA" for prereg_r if it is not mentioned in the text</t>
  </si>
  <si>
    <t>I don't see in the report anything for significance testing. I
see by-site descriptive statistics in one of the SMs, but that's not
really satisfactory to calculate a t-test, pval, and effect size in my
opinion. I decided it was best to leave it blank for now.</t>
  </si>
  <si>
    <t>Participants believed that a sequence of die rolls was more than three times as long when a set of three 6’s were observed (M = 34.2) than when there were only two 6’s (M = 10.6), which in turn was believed to be longer than the representatively random sequence of two 6’s and a 3</t>
  </si>
  <si>
    <t>curatescience33_1</t>
  </si>
  <si>
    <t>curatescience33</t>
  </si>
  <si>
    <t>21.2.2025</t>
  </si>
  <si>
    <t>(1) I didn't find the main result of the study in the original paper. However, I used the result mentioned in the replication paper (page 16). Although the 95% CI is reported, associated p-value is not reported. (2) For column "pval_type_o", I can't able to enter NA as the dropdown menu allow me.</t>
  </si>
  <si>
    <t>Rasinski, K. A., Visser, P. S., Zagatsky, M., &amp; Rickett, E. M. (2005). Using implicit goal priming to improve the quality of self-report data. Journal of Experimental Social Psychology, 41(3), 321-327.</t>
  </si>
  <si>
    <t>10.1016/j.jesp.2004.07.001</t>
  </si>
  <si>
    <t>10.1016--j.jesp.2004.07.001.pdf</t>
  </si>
  <si>
    <t>Pashler, H., Rohrer, D., &amp; Harris, C. R. (2013). Can the goal of honesty be primed? Journal of Experimental Social Psychology, 49(6), 959–964. https://doi.org/10.1016/j.jesp.2013.05.011 (Study 1)</t>
  </si>
  <si>
    <t>10.1016/j.jesp.2013.05.011</t>
  </si>
  <si>
    <t>10.1016--j.jesp.2013.05.011.pdf</t>
  </si>
  <si>
    <t>honesty priming</t>
  </si>
  <si>
    <t>honesty, candor, social desireability, priming, social priming</t>
  </si>
  <si>
    <t>However, given the very large effect size reported in their original study (d = 1.21 for the alcohol questions first group) and the confidence interval for the effect size found in our combined sample (−0.219 to +0.234), we suspect the difference between the priming effect reported in the original study and the null effect found in the combination of Experiments 1 and 2 is almost certainly a statistically reliable one.</t>
  </si>
  <si>
    <t xml:space="preserve"> p. 16 of replication paper</t>
  </si>
  <si>
    <t>p. 16 of replication paper</t>
  </si>
  <si>
    <t>Honesty priming</t>
  </si>
  <si>
    <t>Implicit Goal Priming, Self-Report Accuracy, Honesty Priming, Social Desirability Bias, Psychological Research</t>
  </si>
  <si>
    <t>Participants who were exposed to honesty-related words admitted to having engaged in more excessive alcohol consumption behaviors than did participants who were exposed to neutral words.</t>
  </si>
  <si>
    <t>As expected, an analysis of variance (ANOVA) revealed a highly significant effect of the experimental manipulation on the composite index, F(1, 62) = 14.05, p &lt; .001. Participants who had been exposed to words related to honesty admitted having performed significantly more of the socially undesirable behaviors than participants exposed to neutral words (Ms = 2.18 and 1.03).</t>
  </si>
  <si>
    <t>F(1, 62) = 14.05</t>
  </si>
  <si>
    <t>curatescience34_1</t>
  </si>
  <si>
    <t>curatescience34</t>
  </si>
  <si>
    <t>22.2.2025</t>
  </si>
  <si>
    <t>Pashler, H., Rohrer, D., &amp; Harris, C. R. (2013). Can the goal of honesty be primed? Journal of Experimental Social Psychology, 49(6), 959–964. https://doi.org/10.1016/j.jesp.2013.05.012 (Study 2)</t>
  </si>
  <si>
    <t>However, given the very large effect size reported in their original study (d = 1.21 for the alcohol questions first group) and the confidence interval for the effect size found in our combined sample (−0.219 to+0.234), we suspect the difference between the priming effect reported in the original study and the null effect found in the combination of Experiments 1 and 2 is almost certainly a statistically reliable one.</t>
  </si>
  <si>
    <t>curatescience35_1</t>
  </si>
  <si>
    <t>curatescience35</t>
  </si>
  <si>
    <t>(1) I didn't find the main result of the study in the original paper. However, I used the result mentioned in the replication paper (page 16). Although the 95% CI is reported, associated p-value is not reported. (2) For columns "pval_type_o" and "pval_type_r", I can't able to enter NA as the dropdown menus allow me.</t>
  </si>
  <si>
    <t>Pashler, H., Rohrer, D., &amp; Harris, C. R. (2013). Can the goal of honesty be primed? Journal of Experimental Social Psychology, 49(6), 959–964. https://doi.org/10.1016/j.jesp.2013.05.013 (Study 3)</t>
  </si>
  <si>
    <t>Participants who were exposed to honesty-related words are more honest in the BIDR than participants who were exposed to neutral words. (SDE subscale)</t>
  </si>
  <si>
    <t>p.15</t>
  </si>
  <si>
    <t>curatescience35_b</t>
  </si>
  <si>
    <t>Participants who were exposed to honesty-related words are more honest in the BIDR than participants who were exposed to neutral words. (IM subscale)</t>
  </si>
  <si>
    <t>curatescience36_1</t>
  </si>
  <si>
    <t>curatescience36</t>
  </si>
  <si>
    <t>Pashler, H., Rohrer, D., &amp; Harris, C. R. (2013). Can the goal of honesty be primed? Journal of Experimental Social Psychology, 49(6), 959–964. https://doi.org/10.1016/j.jesp.2013.05.014 (Study 4)</t>
  </si>
  <si>
    <t>I used the data reported in p. 3 of supplementary material of the published article to calculate d</t>
  </si>
  <si>
    <t>For the replication, I got the data from the supplementary data https://ars.els-cdn.com/content/image/1-s2.0-S0022103113001078-mmc1.pdf</t>
  </si>
  <si>
    <t>An additional experiment which looked for an effect of "Honesty Priming" similar to the one reported by Rasinski, Visser, Zagatsky, and Rickett (2005)'</t>
  </si>
  <si>
    <t>Microsoft Word - PRH Supplementary Experiment Report.doc</t>
  </si>
  <si>
    <t>curatescience37_1</t>
  </si>
  <si>
    <t>curatescience37</t>
  </si>
  <si>
    <t>Becker, Ray</t>
  </si>
  <si>
    <t>2/24/2025</t>
  </si>
  <si>
    <t>The O study had an error in reporting so the claim is on page 2, but the real percentages are on page 3</t>
  </si>
  <si>
    <t>Reproduction yielded phi = .05 (it said 0.03 before), see also https://osf.io/n7wsu</t>
  </si>
  <si>
    <t>Zhong, C. B., &amp; Liljenquist, K. (2006). Washing away your sins: Threatened morality and physical cleansing. Science, 313(5792), 1451-1452. </t>
  </si>
  <si>
    <t>10.1126/science.1130726</t>
  </si>
  <si>
    <t>10.1126--science.1130726.pdf</t>
  </si>
  <si>
    <t>Fayard, Jennifer &amp; Bassi, Aman &amp; Bernstein, Daniel &amp; Roberts, Brent. (2009). Is cleanliness next to godliness? Dispelling old wives' tales: Failure to replicate Zhong and Liljenquist (2006). J. Articles Support Null Hypothesis. 6. (Study 1)</t>
  </si>
  <si>
    <t>fayard_2009</t>
  </si>
  <si>
    <t>Failure to replicate Zhong and Liljenquist (2006)</t>
  </si>
  <si>
    <t>Macbeth effect</t>
  </si>
  <si>
    <t>Macbeth effect ([im]moral act…</t>
  </si>
  <si>
    <t>Those who recalled an unethical deed were more likely to take the antiseptic wipe (67%) than were those who recalled an ethical deed (33%) (c2 0 4.57, P 0 0.03)</t>
  </si>
  <si>
    <t>In R, cohens_h &lt;- 2 * (asin(sqrt(0.75)) - asin(sqrt(0.375)))</t>
  </si>
  <si>
    <t>In R, cohens_h &lt;- 2 * (asin(sqrt(0.356)) - asin(sqrt(0.311)))</t>
  </si>
  <si>
    <t xml:space="preserve">there is no direct mention of the effect size in both papers so I included the test of the o_study(3) and the test of the r_study(1) </t>
  </si>
  <si>
    <t>conceptual replications</t>
  </si>
  <si>
    <t>bodily purity, moral purity, Macbeth effect, unethical
behavior</t>
  </si>
  <si>
    <t>our next study examined the likelihood of taking an antiseptic cleansing wipe after recalling an ethical or unethical deed. Participants engaged in the same recall task as in Study 1 and were then offered a free gift and given a choice between an antiseptic wipe and a pencil (verified in a control condition to be equally attractive offerings). Those who recalled an unethical deed were more likely to take the antiseptic wipe (67%) than were those who recalled an ethical deed (33%) (χ² = 4.57, P = 0.03) (Table 1).</t>
  </si>
  <si>
    <t>χ² = 4.57</t>
  </si>
  <si>
    <t>X2= .23</t>
  </si>
  <si>
    <t>curatescience38_1</t>
  </si>
  <si>
    <t>curatescience38</t>
  </si>
  <si>
    <t>The R study has phi reported for the effect size, but that option is not available in the cell,  "In contrast with Zhong and Liljenquist (2006) results, Spanish participants who recalled an unethical deed were not more likely to take the antiseptic wipe (30.4%) than were those who recalled an ethical deed (13.6%), X2 = .994, n.s.p and φ = .14</t>
  </si>
  <si>
    <t>Gámez, E., Díaz, J. a. Á., &amp; Marrero, H. (2011). The Uncertain Universality of the Macbeth Effect with a Spanish Sample. The Spanish Journal of Psychology, 14(1), 156–162. https://doi.org/10.5209/rev_sjop.2011.v14.n1.13 (Study 3)</t>
  </si>
  <si>
    <t>10.5209/rev_sjop.2011.v14.n1.13</t>
  </si>
  <si>
    <t>10.5209--rev_sjop.2011.v14.n1.13.pdf</t>
  </si>
  <si>
    <t>In four studies we replicated the original Zhong &amp; Liljenquist’s experiments with Spanish samples. We were unsuccessful in replicating the Zhong &amp; Liljenquist´s results that supported cleansing as a psychological mechanism for compensating guilty: results couldn’t confirm an increased mental accessibility of cleansing-related concepts or even a greater desire for cleansing products, neither a greater likelihood of taking antiseptic wipes. In addition we didn’t find that physical cleansing alleviates the upsetting consequences of unethical behaviour. Spanish samples showed sensibility to morality and helping behaviour but not with cleansing as a way to reduce their threatened morality.</t>
  </si>
  <si>
    <t>morality, social cognition, interpersonal sensibility, guilt, Macbeth effect.</t>
  </si>
  <si>
    <t>Participants who recalled an unethical deed generated more cleansingrelated words than those who recalled an ethical deed F(1, 58) = 4.26, p = 0.04</t>
  </si>
  <si>
    <t>F(1, 58) = 4.26</t>
  </si>
  <si>
    <t>phi</t>
  </si>
  <si>
    <t>there is no direct mention of the effect size in the original paper so I reported the test of the o_study(3). In the r_study φ = .14 but I couldn't add it in the cell so I reported the statistical test.</t>
  </si>
  <si>
    <t>Our aim is to replicate the Macbeth effect with Spanish participants.</t>
  </si>
  <si>
    <t>bodily purity, moral purity, Macbeth effect, unethical behavior</t>
  </si>
  <si>
    <t xml:space="preserve"> X2 = .99</t>
  </si>
  <si>
    <t>curatescience395</t>
  </si>
  <si>
    <t>Jacowitz, K. E., &amp; Kahneman, D. (1995). Measures of anchoring in estimation tasks. Personality and Social Psychology Bulletin, 21(11), 1161-1166.</t>
  </si>
  <si>
    <t>10.1177/01461672952111004</t>
  </si>
  <si>
    <t>03 (as labeled in the Many Labs supplement).</t>
  </si>
  <si>
    <t>anchoring</t>
  </si>
  <si>
    <t>anchoring effect, numerical estimation, cognitive bias, many labs, replication</t>
  </si>
  <si>
    <t>anchoring effect: high anchors led to significantly higher numerical estimates</t>
  </si>
  <si>
    <t>Participants exposed to high anchors provided significantly higher estimates (M = 45.2, SD = 12.3) compared to those exposed to low anchors (M = 18.4, SD = 10.6), t(78) = 8.34, p &lt; .001, Cohen’s d = 1.87.</t>
  </si>
  <si>
    <t>Page 1163</t>
  </si>
  <si>
    <t>Reported directly in the text on page 1163.</t>
  </si>
  <si>
    <t>Reported in Many Labs supplementary materials, Section 3: Measures of anchoring in estimation tasks.</t>
  </si>
  <si>
    <t>- The effect that you reported for the replication was a quotation of the original effect.
- There was a preregistration for the many labs project, which is also referred to in the report.</t>
  </si>
  <si>
    <t>curatescience395_1_b</t>
  </si>
  <si>
    <t>Removed one digit as it was not reported</t>
  </si>
  <si>
    <t>anchoring - mt. everest</t>
  </si>
  <si>
    <t>There was a highly significant difference between individual averages of the transformed estimates made with high and low anchors, t(102) = 7.00, p &lt; .01. Thus high and low anchors were both very effective, but the effect of high anchors was significantly larger.</t>
  </si>
  <si>
    <t>t(102) = 7.99</t>
  </si>
  <si>
    <t>p. 3, n based on df</t>
  </si>
  <si>
    <t>curatescience395_1_c</t>
  </si>
  <si>
    <t>anchoring - chicago</t>
  </si>
  <si>
    <t>curatescience395_1_d</t>
  </si>
  <si>
    <t>Corrected sample size (r) based on df</t>
  </si>
  <si>
    <t>anchoring - distance to nyc</t>
  </si>
  <si>
    <t>- I could not find out where the repliation effect sizes and sample sizes came from, so I used what is on p. 5 here (https://osf.io/y36m8). One sample size was wrong based on df+2. Two ds had 2 digits in the spreadsheet but only 1 digit in the report.
- Generally, please be as transparent as possible. Use the es_rep_o and _r variables to explain where the numbers come from.
- Please fill out all cells.</t>
  </si>
  <si>
    <t>anchoring - babies born</t>
  </si>
  <si>
    <t>curatescience40_1</t>
  </si>
  <si>
    <t>curatescience40</t>
  </si>
  <si>
    <t xml:space="preserve">Values are the same as in the Curatescience Database but have not been cross-checked with original papers; Corinna: The replication study is indeed not available when using the link of the table, I found a meta-analysis via Google Scholar and the VPN of my university: https://econtent.hogrefe.com/doi/epdf/10.1027/1864-9335/a000349; However, the described number of participants deviate from those of the table. </t>
  </si>
  <si>
    <t>Zhong, C. B., &amp; Liljenquist, K. (2006). Washing away your sins: Threatened morality and physical cleansing. Science, 313(5792), 1451-1452.</t>
  </si>
  <si>
    <t>Siev (2012) Study 1  </t>
  </si>
  <si>
    <t>bodily puity, moral purity, macbeth effect, cleansing, unethical behavior</t>
  </si>
  <si>
    <t>threat to one’s moral purity induces the need to cleanse oneself.</t>
  </si>
  <si>
    <t>Participants who recalled an unethical deed generated more cleansingrelated words than those who recalled an ethical deed EF(1,58) 0 4.26, P 0 0.04^</t>
  </si>
  <si>
    <t>In R, cohens_h &lt;- 2 * (asin(sqrt(0.8765)) - asin(sqrt(0.8667))</t>
  </si>
  <si>
    <t>CORINNA - TO DO</t>
  </si>
  <si>
    <r>
      <rPr>
        <rFont val="Calibri"/>
        <color theme="1"/>
        <sz val="11.0"/>
      </rPr>
      <t xml:space="preserve">there is no direct mention of the effect size in the original papers so I will included the test of the o_study(2) ; </t>
    </r>
    <r>
      <rPr>
        <rFont val="Calibri"/>
        <b/>
        <color theme="1"/>
        <sz val="11.0"/>
      </rPr>
      <t xml:space="preserve">NOTE: </t>
    </r>
    <r>
      <rPr>
        <rFont val="Calibri"/>
        <color theme="1"/>
        <sz val="11.0"/>
      </rPr>
      <t>I can not get access to the replication paper even when following the link provided. the github page give me an error message :(</t>
    </r>
  </si>
  <si>
    <t xml:space="preserve">could not get access to the r_paper </t>
  </si>
  <si>
    <t>Study 2 investigated whether an implicit threat to moral purity produces a psychological desire for cleansing, through expressed preferences for cleansing products...As expected, copying the unethical story in-creased the desirability of cleansing products as compared to copying the ethical story [F(1,25) = 6.99, P = 0.01]</t>
  </si>
  <si>
    <t>F(1,25) = 6.99</t>
  </si>
  <si>
    <t>curatescience41_1</t>
  </si>
  <si>
    <t>curatescience41</t>
  </si>
  <si>
    <t>Siev (2012) Study 2   </t>
  </si>
  <si>
    <t>The first attempt at replicating was an online study of Penn undergrads getting course credit.</t>
  </si>
  <si>
    <t>Macbeth effect ([im]moral act text…</t>
  </si>
  <si>
    <t>As expected, copying the unethical story increased the desirability of cleansing products as compared to copying the ethical story EF(1,25) 0 6.99, P 0 0.01^, with no differences between conditions for the noncleansing products EF(1,25) 0 0.02, P 0 0.89^ (Fig. 1).</t>
  </si>
  <si>
    <r>
      <rPr>
        <rFont val="Calibri"/>
        <color theme="1"/>
        <sz val="11.0"/>
      </rPr>
      <t xml:space="preserve">In R (using </t>
    </r>
    <r>
      <rPr>
        <rFont val="Calibri"/>
        <color rgb="FF000000"/>
        <sz val="11.0"/>
      </rPr>
      <t>compute.es</t>
    </r>
    <r>
      <rPr>
        <rFont val="Calibri"/>
        <color theme="1"/>
        <sz val="11.0"/>
      </rPr>
      <t>), tes(t=-.930, n.1=60, n.2=48, level=95, dig=2)</t>
    </r>
  </si>
  <si>
    <t>curatescience42_1</t>
  </si>
  <si>
    <t>curatescience42</t>
  </si>
  <si>
    <t>I can't calculate the effect sizes because it's not clear how groups are split. I only know thee total sample size and the effect size needs to be weighted by group sizes, or?</t>
  </si>
  <si>
    <t xml:space="preserve">Values are the same as in the Curatescience Database but have not been cross-checked with original papers
Corinna: 
- It can only be inferred from the power analysis that the authors of the replication are conducting a two-tailed t-test, but it was not explicit mentioned in the results section 
- The coder coded that she coded replication study 2, but it was obviously study 1 + did not code the test statistics of the replication
- I added a description of the effect and added tags
- I changed the replication label, since the coder copied the studies title
- I added all test statistics of the original study and changed the tails of the p-value (since there is no information)
- I copied the claim of the original study from the second coder 
- I added the test statistics of the replication </t>
  </si>
  <si>
    <t>Earp, B. D., Everett, J. a. C., Madva, E. N., &amp; Hamlin, J. K. (2014). Out, damned spot: Can the “Macbeth effect” be replicated? Basic and Applied Social Psychology, 36(1), 91–98. https://doi.org/10.1080/01973533.2013.856792</t>
  </si>
  <si>
    <t>10.1080/01973533.2013.856792</t>
  </si>
  <si>
    <t>10.1080--01973533.2013.856792.pdf</t>
  </si>
  <si>
    <t>direct replications</t>
  </si>
  <si>
    <t>Macbeth effect: Threat to one’s moral purity induces the need to cleanse oneself.</t>
  </si>
  <si>
    <t>t (151) = 0.03</t>
  </si>
  <si>
    <t xml:space="preserve">CORINNA </t>
  </si>
  <si>
    <t>there is no direct mention of the effect size in the original papers so I reported the test of the o_study(2).  I reported the test of the r_study but note that the general effect size reported for r_study 1 is Cohen’s d = 0.5</t>
  </si>
  <si>
    <t xml:space="preserve">Values are the same as in the Curatescience Database but have not been cross-checked with original papers 
Corinna: 
- It can only be inferred from the power analysis that the authors of the replication are conducting a two-tailed t-test, but it was not explicit mentioned in the results section
- I added a description of the effect </t>
  </si>
  <si>
    <t>curatescience43_1</t>
  </si>
  <si>
    <t>curatescience43</t>
  </si>
  <si>
    <t>Also, Earp et al. have seemed to calculate the effect_size_o as 1.08, but I can't seem to calculate that for O's study 2, because they only used a figure and there are no means or SEs</t>
  </si>
  <si>
    <t xml:space="preserve">Values are the same as in the Curatescience Database but have not been cross-checked with original papers
Corinna: 
- It can only be inferred from the power analysis that the authors of the replication are conducting a two-tailed t-test, but it was not explicit mentioned in the results section 
- I added a description of the effect and added tags
- I changed the replication label, since the coder copied the studies title
- I added all test statistics of the original study and changed the tails of the p-value (since there is no information)
- I copied the claim of the original study from the second coder 
- I added the test statistics of the replication </t>
  </si>
  <si>
    <t>t(146) = –0.79</t>
  </si>
  <si>
    <t xml:space="preserve">there is no direct mention of the effect size in the original papers so I reported the test of the o_study(2).  I reported the test of the r_study </t>
  </si>
  <si>
    <t>curatescience44_1</t>
  </si>
  <si>
    <t>curatescience44</t>
  </si>
  <si>
    <t xml:space="preserve">Values are the same as in the Curatescience Database but have not been cross-checked with original papers
Corinna: 
- It can only be inferred from the power analysis that the authors of the replication are conducting a two-tailed t-test, but it was not explicit mentioned in the results section 
- I added a description of the effect and added tags
- I changed the study number of the replication 
- I changed the replication label, since the coder copied the studies title
- I added all test statistics of the original study and changed the tails of the p-value (since there is no information)
- I copied the claim of the original study from the second coder 
- I added the test statistics of the replication </t>
  </si>
  <si>
    <t>t(260) = –1.83</t>
  </si>
  <si>
    <t xml:space="preserve">Values are the same as in the Curatescience Database but have not been cross-checked with original papers 
Corinna: 
- It can only be inferred from the power analysis that the authors of the replication are conducting a two-tailed t-test, but it was not explicit mentioned in the results section
- I added a description of the effect 
- I changed the number of participants, since the coder did not respect that 17 participants where excluded </t>
  </si>
  <si>
    <t>curatescience45_1</t>
  </si>
  <si>
    <t>curatescience45</t>
  </si>
  <si>
    <t xml:space="preserve">If the effect is based on eta = .01 it should say r = 0.1 instead of r = .01, see also https://osf.io/n7wsu; 
Corinna: 
- I added a description of the effect and added tags
- I changed the replication label
- I changed the statistics of the original study, since the coder calculated them himself I guess
- I copied the claim of the original study from the second coder 
- I added the page for the effect of the replication
- I calculated the effect of the original study using the effect size calculation sheet, since the the degrees of freedom of the chi squared test were not reported. It is odds ratio = 0.244 </t>
  </si>
  <si>
    <t>Fayard, Jennifer &amp; Bassi, Aman &amp; Bernstein, Daniel &amp; Roberts, Brent. (2009). Is cleanliness next to godliness? Dispelling old wives' tales: Failure to replicate Zhong and Liljenquist (2006). J. Articles Support Null Hypothesis. 6. (Study 2)</t>
  </si>
  <si>
    <t>fayard_2009.pdf</t>
  </si>
  <si>
    <t>bodily purity, moral purity, Macbeth effect, unethical behavior, moral emotions</t>
  </si>
  <si>
    <t>Macbeth effect: Recalling unethical behavior followed by actual physical cleansing leads to a reduction in moral emotion.</t>
  </si>
  <si>
    <t>Presumably, participants who had cleansed their hands before being solicited for help would be less motivated to volunteer because the sanitation wipes had already washed away their moral stains and restored a suitable moral self. As predicted, physical cleansing significantly reduced volunteerism: 74% of those in the not-cleansed condition offered help, whereas only 41% of participants who had a chance to cleanse their hands offered help (χ² = 5.02, P = .025).</t>
  </si>
  <si>
    <t>χ² = 5.02</t>
  </si>
  <si>
    <t>there is no direct mention of the effect size in the original papers so I will reported the test of the o_study(4). I also changed the value of the effect size for the r_study since in the paper they reported etasq (partial) not r.</t>
  </si>
  <si>
    <t xml:space="preserve">If the effect is based on eta = .01 it should say r = 0.1 instead of r = .01, see also https://osf.io/n7wsu
Corinna: 
- I added a description of the effect
- I calculated the effect of the original study using the effect size calculation sheet, since the the degrees of freedom of the chi squared test were not reported. It is odds ratio = 0.244 </t>
  </si>
  <si>
    <t>X2 = 5.02</t>
  </si>
  <si>
    <t>curatescience46_1</t>
  </si>
  <si>
    <t>curatescience46</t>
  </si>
  <si>
    <t>Values are the same as in the Curatescience Database but have not been cross-checked with original papers
Corinna:
- The coders coded two different studies (replication study 3 and 4) and both refer to differnt studies of the original study. However, I saw that at least study 3 of the replication study is already listed above. Therefore, the IDs do not match anymore. I corrected both codings and therefore, both could be used for the final dataset. 
- I changed the replication label, since the coder copied the whole abstract
- I added a more detailed description of the effect 
- I added the page number of the replicated effect 
- I added the test statistics of the original study, since the coder calculated the effect himself using R. However, as the test statistics do not include the degrees of freedom, I calculated the effect using the excel sheet: odds ratio = 0,249</t>
  </si>
  <si>
    <t>Macbeth effect: physical cleansing as a psychological machanism for compensating guilty</t>
  </si>
  <si>
    <t>the replication study in this row refers to study 4 not study 3 so I edited the cell;  there is no direct mention of the effect size so I included the test of the o_study(4) and the test of the r_study but note that for the replication test φ = .2</t>
  </si>
  <si>
    <t xml:space="preserve">Values are the same as in the Curatescience Database but have not been cross-checked with original papers
Corinna: 
- I added a more detailed description of the effect
- I added the reported effect size of the replication study (only test statistics were coded) </t>
  </si>
  <si>
    <t>Presumably, participants who had cleansed their hands before being solicited for help would be less motivated to volunteer because the sanitation wipes had already washed away their moral stains and restored a suitable moral self. As predicted, physical cleansing significant-ly reduced volunteerism: 74% of those in the not-cleansed condition offered help, whereas only 41% of participants who had a chance to cleanse their hands offered help (χ² = 5.02, P = .025).</t>
  </si>
  <si>
    <t>p.6 X2= 1.04</t>
  </si>
  <si>
    <t>curatescience47_1</t>
  </si>
  <si>
    <t>curatescience47</t>
  </si>
  <si>
    <t>I chose to use the omnibus test and not break down controls by OCD particpants</t>
  </si>
  <si>
    <t xml:space="preserve">Values are the same as in the Curatescience Database but have not been cross-checked with original papers
Corinna:
- Originally it was coded that this entry refers to study 4 of the replication report. However, the replication includes only one study. Therefore, I corrected it.
- I added a replication label (it was NA)
- the tags between the codings differ, but this should not be problematic
- I added a more detailed effect description 
- I changed the claim of the original study: some characters were wrong and I added one more sentence to gurantee a better understanding of the effect under investigation
- The coder calculated the effect of the original study himself. Therefore, I added the test statistics instead. However, maybe odds ratio (see the rows above) would be the better option? 
- I added the page number of the replication study (effect)
- Since the replication seems to me more conceptual (half of the participants had a obsessive-compulsive disorder), I chose this row.  </t>
  </si>
  <si>
    <t>Reuven, O., Liberman, N., &amp; Dar, R. (2013). The effect of physical cleaning on Threatened morality in Individuals with Obsessive-Compulsive Disorder. Clinical Psychological Science, 2(2), 224–229. https://doi.org/10.1177/2167702613485565</t>
  </si>
  <si>
    <t>10.1177/2167702613485565</t>
  </si>
  <si>
    <t>10.1177--2167702613485565.pdf</t>
  </si>
  <si>
    <t>replicating</t>
  </si>
  <si>
    <t>cleaning, morality, obsessive-compulsive disorder, washers, embodiment</t>
  </si>
  <si>
    <t>there is no direct mention of the effect size in the original papers so I included here the test of the o_study(4). In  the r_sudy  η2 was reported not r so I edited the cell accordingly.</t>
  </si>
  <si>
    <t xml:space="preserve">Values are the same as in the Curatescience Database but have not been cross-checked with original papers
Corinna: 
- I added a more detailed effect description
- I changed the number of participants of the replication study (Originally 29 participants were coded, but there were two groups of 29 participants and one person was excluded). </t>
  </si>
  <si>
    <t>replicating Zhong and Liljenquist</t>
  </si>
  <si>
    <t>curatescience48_1</t>
  </si>
  <si>
    <t>curatescience48</t>
  </si>
  <si>
    <t>Correll, J. (2008). 1/f noise and effort on implicit measures of bias. Journal of personality and social psychology, 94(1), 48. Study 2</t>
  </si>
  <si>
    <t>10.1037/0022-3514.94.1.48</t>
  </si>
  <si>
    <t>10.1037--0022-3514.94.1.48.pdf</t>
  </si>
  <si>
    <t>Madurski, C., &amp; LeBel, E. P. (2014). Making sense of the noise: Replication difficulties of Correll’s (2008) modulation of 1/f noise in a racial bias task. Psychonomic Bulletin &amp; Review, 22(4), 1135–1141. https://doi.org/10.3758/s13423-014-0757-4 (Study 1)</t>
  </si>
  <si>
    <t>10.3758/s13423-014-0757-4</t>
  </si>
  <si>
    <t>10.3758--s13423-014-0757-4.pdf</t>
  </si>
  <si>
    <t>Modulation of 1/f noise in a racial bias task.</t>
  </si>
  <si>
    <t>1/f noise, racial bias, weapon identification task, implicit bias, replication study.</t>
  </si>
  <si>
    <t>Effort to avoid or use racial information in a weapon identification task was hypothesized to modulate the emission of 1/f noise, with less negative PSD slopes (indicating reduced 1/f noise) expected under increased effort conditions.</t>
  </si>
  <si>
    <t>Explicit instructions to use or avoid racial information during a weapon identification task reduced the emission of 1/f noise, as evidenced by less negative PSD slopes in the experimental conditions (mean slope = -0.27) compared to the control condition (mean slope = -0.45), with a significant planned contrast, t(69) = 2.35, p = .02, d = 0.59.</t>
  </si>
  <si>
    <t>Appendix of Correll (2008), p. 59</t>
  </si>
  <si>
    <t>Calculated using SAS syntax provided in Correll (2008)</t>
  </si>
  <si>
    <t>https://osf.io/v3hfb/</t>
  </si>
  <si>
    <t>replication study states that the original effect was d = 0.59</t>
  </si>
  <si>
    <t>Correll, J. (2008). 1/f noise and effort on implicit measures of bias. Journal of personality and social psychology, 94(1), 48.</t>
  </si>
  <si>
    <t>Madurski, C., &amp; LeBel, E. P. (2014). Making sense of the noise: Replication difficulties of Correll’s (2008) modulation of 1/f noise in a racial bias task. Psychonomic Bulletin &amp; Review, 22(4), 1135–1141. https://doi.org/10.3758/s13423-014-0757-4</t>
  </si>
  <si>
    <t>implicit bias measures</t>
  </si>
  <si>
    <t>1/f noise, effort, stereotyping, prejudice, Implicit racial bias, Weapon identification task</t>
  </si>
  <si>
    <t>Effort causally affects the emission of 1/f noise.</t>
  </si>
  <si>
    <t>"As predicted, analysis revealed a significant difference between the control condition and the average of the two experimental conditions in terms of the magnitude of the PSD slopes, F(1, 68) = 5.52, p &lt; .02 (see Table 2 and Figure 4).", "Those who were given additional task demands— explicit instructions to either use or avoid the use of racial cues— showed reduced 1/f noise compared with participants in the control condition who were given no additional demands. Together, these studies suggest that 1/f noise characterizes response times in social–cognitive measures of stereotyping and prejudice and (im- portantly) that these patterns are sensitive to a participant’s task- relevant effort."</t>
  </si>
  <si>
    <t>F(1, 68) = 5.52</t>
  </si>
  <si>
    <t>curatescience49_1</t>
  </si>
  <si>
    <t>curatescience49</t>
  </si>
  <si>
    <t>Madurski, C., &amp; LeBel, E. P. (2014). Making sense of the noise: Replication difficulties of Correll’s (2008) modulation of 1/f noise in a racial bias task. Psychonomic Bulletin &amp; Review, 22(4), 1135–1141. https://doi.org/10.3758/s13423-014-0757-4 (Study 2)</t>
  </si>
  <si>
    <t>Effort to use or avoid racial information in a weapon identification task is hypothesized to reduce the emission of 1/f noise, with less negative PSD slopes expected under increased effort conditions</t>
  </si>
  <si>
    <t>Calculated using SAS syntax from Correll (2008)</t>
  </si>
  <si>
    <t>https://osf.io/czbzg/</t>
  </si>
  <si>
    <t>replication study states that the original effect was d = 0..59</t>
  </si>
  <si>
    <t>"As predicted, analysis revealed a significant difference between the control condition and the average of the two experimental conditions in terms of the magnitude of the PSD slopes, F(1, 68) % 5.52, p &amp; .02 (see Table 2 and Figure 4).", "Those who were given additional task demands— explicit instructions to either use or avoid the use of racial cues— showed reduced 1/f noise compared with participants in the control condition who were given no additional demands. Together, these studies suggest that 1/f noise characterizes response times in social–cognitive measures of stereotyping and prejudice and (im- portantly) that these patterns are sensitive to a participant’s task- relevant effort."</t>
  </si>
  <si>
    <t>curatescience50_1</t>
  </si>
  <si>
    <t>curatescience50</t>
  </si>
  <si>
    <t>Values are the same as in the Curatescience Database but have not been cross-checked with original papers
Corinna: 
- I changed the replication label, since the coder just copied the replication studies title
- I added a more detailed description of the effect
- I added the page number of the effect of the replication study
- I changed the effect type from Odds ratio to r (correlation) and added it to the claim
- The rows refer to different effects; this row refers to the testosterone level 
- The authors performed a one way ANOVA in the original study. Therefore, the p-value should control for nesting
- It is not mentioned whether the p-value is one- or two sided. Therefore, I changed it to "NA".</t>
  </si>
  <si>
    <t>Carney, D. R., Cuddy, A. J., &amp; Yap, A. J. (2010). Power posing: Brief nonverbal displays affect neuroendocrine levels and risk tolerance. Psychological science, 21(10), 1363-1368.</t>
  </si>
  <si>
    <t>10.1177/0956797610383437</t>
  </si>
  <si>
    <t>10.1177--0956797610383437.pdf</t>
  </si>
  <si>
    <t>Ranehill, E., Dreber, A., Johannesson, M., Leiberg, S., Sul, S., &amp; Weber, R. A. (2015). Assessing the robustness of power posing. Psychological Science, 26(5), 653–656. https://doi.org/10.1177/0956797614553946</t>
  </si>
  <si>
    <t>10.1177/0956797614553946</t>
  </si>
  <si>
    <t>10.1177--0956797614553946.pdf</t>
  </si>
  <si>
    <t>Power Posing</t>
  </si>
  <si>
    <t>cortisol, embodiment, hormones, neuroendocrinology, nonverbal behavior, power, risk taking, testosterone</t>
  </si>
  <si>
    <t>power posing effect: power posing (physical postures that express power and dominance) affects levels of hormones such as testosterone and cortisol, financial risk taking, and self-reported feelings of power</t>
  </si>
  <si>
    <t>As hypothesized, high-power poses caused an increase in testosterone compared with low-power poses, which caused a decrease in testosterone, F(1, 39) = 4.29, p &lt; .05; r = .34</t>
  </si>
  <si>
    <t>CORINNA</t>
  </si>
  <si>
    <t>I  included here the test of the o_study but note that Φ =.30.  the test of the r_study reports d not OR so I edited the cell accordingly; all osf links reported in r_paper do not work</t>
  </si>
  <si>
    <t xml:space="preserve">Values are the same as in the Curatescience Database but have not been cross-checked with original papers
Corinna: 
- I added a more detailed description of the effect
- I added the effect size of the original study
- The rows refer to different effects; this row refers to risk taking
- The authors performed a one way ANOVA in the original study. Therefore, the p-value should control for nesting
- It is not mentioned whether the p-value is one- or two sided. Therefore, I changed it to "NA". </t>
  </si>
  <si>
    <t>Also consistent with predictions, high-power posers were more likely than low-power posers to focus on rewards—86.36% took the gambling risk (only 13.63% were risk averse). In contrast, only 60% of the low-power posers took the risk (and 40% were risk averse), X2 (1, N = 42) = 3.86, p &lt; .05; Φ = .30...Thus, a simple 2-min power-pose manipulation was enough to significantly alter the physiological, mental, and feeling states of our participants. The implications of these results for everyday life are substantial.</t>
  </si>
  <si>
    <t>0.30; X2 = 3.86</t>
  </si>
  <si>
    <t>Phi</t>
  </si>
  <si>
    <t xml:space="preserve"> −0.176</t>
  </si>
  <si>
    <t>curatescience51_1</t>
  </si>
  <si>
    <t>curatescience51</t>
  </si>
  <si>
    <t>I rejected this replication because I felt like it was very different from the original studay in terms of the DVs and categories of IVs</t>
  </si>
  <si>
    <t xml:space="preserve">OR replication: .67 but said .72
Corinna:
- I changed the replication label since the coder copied the studies title
- I added a more detailed description of the effect </t>
  </si>
  <si>
    <t>Garrison, K., Tang, D., &amp; Schmeichel, B. J. (2016). Embodying power. Social Psychological and Personality Science, 7(7), 623–630. https://doi.org/10.1177/1948550616652209</t>
  </si>
  <si>
    <t>10.1177/1948550616652209</t>
  </si>
  <si>
    <t>10.1177--1948550616652209.pdf</t>
  </si>
  <si>
    <t>It's a very different experiment than the original</t>
  </si>
  <si>
    <t>dominance, embodiment, eye gaze, power pose, replication</t>
  </si>
  <si>
    <t>on hold - future validation</t>
  </si>
  <si>
    <t xml:space="preserve">I  included here the test of the o_study but note that Φ =.30.  </t>
  </si>
  <si>
    <t xml:space="preserve">OR replication: .67 but said .72
Corinna: 
- I added a more detailed description of the effect 
- The authors performed a one way ANOVA in the original study. Therefore, the p-value should control for nesting
- It is not mentioned whether the p-value is one- or two sided. Therefore, I changed it to "NA". </t>
  </si>
  <si>
    <t>a conceptual replication and exten-sion</t>
  </si>
  <si>
    <t>https://osf.io/8tikd</t>
  </si>
  <si>
    <t>curatescience52_1</t>
  </si>
  <si>
    <t>curatescience52</t>
  </si>
  <si>
    <t>while original paper's statistics are available, the replication study listed does not provide any details on exactly what statistics are used; attempts to locate the original data are proving to be dead-ends</t>
  </si>
  <si>
    <r>
      <rPr>
        <rFont val="Calibri"/>
        <sz val="11.0"/>
      </rPr>
      <t xml:space="preserve">Online appendix link in the manuscript is broken, this is the current working version: </t>
    </r>
    <r>
      <rPr>
        <rFont val="Calibri"/>
        <color rgb="FF1155CC"/>
        <sz val="11.0"/>
        <u/>
      </rPr>
      <t>https://www.ejwagenmakers.com/2012/Appendix_PoPS_WagenmakersEtAl.pdf</t>
    </r>
  </si>
  <si>
    <t>Bem, D. J. (2011). Feeling the future: experimental evidence for anomalous retroactive influences on cognition and affect. Journal of personality and social psychology, 100(3), 407.</t>
  </si>
  <si>
    <t>10.1037/a0021524</t>
  </si>
  <si>
    <t>10.1037--a0021524.pdf</t>
  </si>
  <si>
    <t>Wagenmakers, E., Wetzels, R., Borsboom, D., Van Der Maas, H. L. J., &amp; Kievit, R. A. (2012). An agenda for purely confirmatory research. Perspectives on Psychological Science, 7(6), 632–638. https://doi.org/10.1177/1745691612463078</t>
  </si>
  <si>
    <t>10.1177/1745691612463078</t>
  </si>
  <si>
    <t>confirmatory replication attempt</t>
  </si>
  <si>
    <t>precognition</t>
  </si>
  <si>
    <t>ESP, precognition, retrocausation, Bayesian analysis, confirmatory research, extrasensory perception, erotic stimuli</t>
  </si>
  <si>
    <t>Participants’ ability to correctly predict the location of erotic pictures</t>
  </si>
  <si>
    <t>Participants correctly identified the future position of the erotic pictures significantly more frequently than the 50% hit rate expected by chance: 53.1%, t(99) = 2.51, p = .01, d = 0.25.</t>
  </si>
  <si>
    <t>p. 409; one-tailed is mentioned in footnote 1</t>
  </si>
  <si>
    <t>It is confirmatory replication attempt</t>
  </si>
  <si>
    <t>Precognition</t>
  </si>
  <si>
    <t>psi, parapsychology, ESP, precognition, retrocausation</t>
  </si>
  <si>
    <t>Precognitive detection of erotic stimuli: Future events influence current cognition and affect (retroactive influence).</t>
  </si>
  <si>
    <t>As predicted, participants correctly identified the future position of the erotic pictures significantly more frequently than the 50% hit rate expected by chance.</t>
  </si>
  <si>
    <t>curatescience52_b</t>
  </si>
  <si>
    <r>
      <rPr>
        <rFont val="Calibri"/>
        <sz val="11.0"/>
      </rPr>
      <t xml:space="preserve">Online appendix link in the manuscript is broken, this is the current working version: </t>
    </r>
    <r>
      <rPr>
        <rFont val="Calibri"/>
        <color rgb="FF1155CC"/>
        <sz val="11.0"/>
        <u/>
      </rPr>
      <t>https://www.ejwagenmakers.com/2012/Appendix_PoPS_WagenmakersEtAl.pdf</t>
    </r>
  </si>
  <si>
    <t>Participants’ ability to correctly predict the location of non-erotic pictures</t>
  </si>
  <si>
    <t>hit rate on the nonerotic pictures did not differ significantly from chance: 49.8%, t(99)=-0.15, p = .56.</t>
  </si>
  <si>
    <t>t(99)=-0.15</t>
  </si>
  <si>
    <t>curatescience53_1</t>
  </si>
  <si>
    <t>curatescience53_b</t>
  </si>
  <si>
    <r>
      <rPr>
        <rFont val="Calibri"/>
        <b/>
        <color theme="1"/>
        <sz val="11.0"/>
      </rPr>
      <t>GENERAL NOTE: The o_paper have 5 studies and the r_paper is replicating all of them except study number 2. All principal claims are reported here. Note that in the o_paper exp 3 and 4 have the same claims so the r_paper had one study that replicated both so the r_results are the same for o_results of exp 3 and for o_results of exp 4.</t>
    </r>
    <r>
      <rPr>
        <rFont val="Calibri"/>
        <color theme="1"/>
        <sz val="11.0"/>
      </rPr>
      <t xml:space="preserve"> Claim for row: Literary Fiction Versus Nonfiction (replication exp 1 - main effect condition)</t>
    </r>
  </si>
  <si>
    <t xml:space="preserve">Values are the same as in the Curatescience Database but have not been cross-checked with original papers
Corinna:
- Since the replication study does not include multiple substudies, I coded the study number with 1
- The reported result refers to study 1 of the original study
- The coder copied the whole abstract into the effect description. I shortend the description.
- The test of the replication explicitly controlled for nesting (I changed the entry from no to yes) 
- The replication was not preregistered 
- I added the context to the claim </t>
  </si>
  <si>
    <t xml:space="preserve">Kidd, D. C., &amp; Castano, E. (2013). Reading literary fiction improves theory of mind. Science, 342(6156), 377-380. Study </t>
  </si>
  <si>
    <t>10.1126--science.1239918.pdf</t>
  </si>
  <si>
    <t>Panero, M. E., Weisberg, D. S., Black, J. E., Goldstein, T. R., Barnes, J. L., Brownell, H., &amp; Winner, E. (2016). Does reading a single passage of literary fiction really improve theory of mind? An attempt at replication. Journal of Personality and Social Psychology, 111(5), e46–e54. https://doi.org/10.1037/pspa0000064 (Study 1)</t>
  </si>
  <si>
    <t>10.1037/pspa0000064</t>
  </si>
  <si>
    <t>Theory of Mind</t>
  </si>
  <si>
    <t>Literary Fiction, Theory of Mind, Author Recognition Test, RMET</t>
  </si>
  <si>
    <t>Literary fiction leads to (temporarily) better performance on tests of affective ToM (Theory of Mind) and cognitive ToM compared with reading nonfiction, popular fiction nothing at all.</t>
  </si>
  <si>
    <t>"for the affective ToM task" [...] "Scores were higher in the literary fiction than nonfiction condition (Table 2)"</t>
  </si>
  <si>
    <t>omega squared</t>
  </si>
  <si>
    <t>p.2 (table 1)</t>
  </si>
  <si>
    <t>curatescience53_c</t>
  </si>
  <si>
    <t>Literary Fiction Versus Nonfiction (replication exp 1 - main effect ART)</t>
  </si>
  <si>
    <t xml:space="preserve">Values are the same as in the Curatescience Database but have not been cross-checked with original papers
Corinna:
- Since the replication study does not include multiple substudies, I coded the study number with 1
- The reported result refers to study 1 of the original study
- The coder copied the whole abstract into the effect description. I shortend the description.
- The test of the replication explicitly controlled for nesting (I changed the entry from no to yes) 
- The replication was not preregistered 
</t>
  </si>
  <si>
    <t>Higher Author Recognition Test scores (indicating more familiarity with fiction) predicted higher RMET scores.</t>
  </si>
  <si>
    <t>curatescience53_d</t>
  </si>
  <si>
    <t>Literary Fiction Versus Nonfiction (replication exp 1 - interaction effect); effect size not reported for r_claim</t>
  </si>
  <si>
    <t xml:space="preserve">Values are the same as in the Curatescience Database but have not been cross-checked with original papers
Corinna:
- Since the replication study does not include multiple substudies, I coded the study number with 1
- The reported result refers to study 1 of the original study
- The coder copied the whole abstract into the effect description. I shortend the description.
- The replication was not preregistered </t>
  </si>
  <si>
    <t>Author Recognition Test x Condition</t>
  </si>
  <si>
    <t>F(1, 266) = 0.24</t>
  </si>
  <si>
    <t>curatescience53_e</t>
  </si>
  <si>
    <t>Literary Fiction Versus Popular Fiction (replication exp 3 - main effect condition)</t>
  </si>
  <si>
    <t xml:space="preserve">Values are the same as in the Curatescience Database but have not been cross-checked with original papers
Corinna:
- she reports the number of participants (replication) that is reported, while Alexsandr inferrs the N from the test statistics </t>
  </si>
  <si>
    <t>RMET scores were higher in the literary fiction condition than in the popular fiction condition.</t>
  </si>
  <si>
    <t>2,3</t>
  </si>
  <si>
    <t>curatescience53_f</t>
  </si>
  <si>
    <t>Literary Fiction Versus Popular Fiction (replication exp 3 - main effect ART)</t>
  </si>
  <si>
    <t>There were no effects involving the Author Recognition Test (for test, Table 1; for means, Table 2).</t>
  </si>
  <si>
    <t>curatescience53_g</t>
  </si>
  <si>
    <t>Literary Fiction Versus Popular Fiction (replication exp 3 - interaction effect)</t>
  </si>
  <si>
    <t>F(1, 288) = 0.67</t>
  </si>
  <si>
    <t>curatescience53_h</t>
  </si>
  <si>
    <t>Literary Fiction Versus Popular Fiction (replication exp 4 - main effect condition)</t>
  </si>
  <si>
    <t>Values are the same as in the Curatescience Database but have not been cross-checked with original papers
Corinna:
- ID needs to be changed
- I changed the experiment number (original) and the N 
- the effect of the replication were explicitely nested</t>
  </si>
  <si>
    <t>RMET scores were higher in the literary fic-tion condition than in the popular fiction condi-tion (for tests, see Table 1; for means, see Table 2).</t>
  </si>
  <si>
    <t>curatescience53_i</t>
  </si>
  <si>
    <t>Literary Fiction Versus Popular Fiction (replication exp 4 - main effect ART)</t>
  </si>
  <si>
    <t>Author Recognition Test scores predicted RMET scores.</t>
  </si>
  <si>
    <t>curatescience53_j</t>
  </si>
  <si>
    <t>Literary Fiction Versus Popular Fiction (replication exp 4 - interaction effect)</t>
  </si>
  <si>
    <t xml:space="preserve">Values are the same as in the Curatescience Database but have not been cross-checked with original papers
Corinna:
- ID needs to be changed
- I changed the experiment number (original) and the N
- the effect of the replication were explicitely nested </t>
  </si>
  <si>
    <t>curatescience53_k</t>
  </si>
  <si>
    <t>Literary Fiction Versus No Reading  (replication exp 5 - main effect condition)</t>
  </si>
  <si>
    <t xml:space="preserve">Values are the same as in the Curatescience Database but have not been cross-checked with original papers
Corinna
- ID needs to be changed
- the effect of the replication were explicitely nested </t>
  </si>
  <si>
    <t>Results on the RMET were analyzed as in the previous experiments. The effect of condi-tion was significant (see Table 1). Scores were significantly higher in the literary fiction condition than in the popular fiction and no-reading conditions (see Table 2). The latter two conditions did not differ (P = 0.65).</t>
  </si>
  <si>
    <t>curatescience53_l</t>
  </si>
  <si>
    <t>Literary Fiction Versus No Reading  (replication exp 5 - main effect ART)</t>
  </si>
  <si>
    <t xml:space="preserve">Values are the same as in the Curatescience Database but have not been cross-checked with original papersCorinna
- ID needs to be changed
- the effect of the replication were explicitely nested </t>
  </si>
  <si>
    <t>A significant main effect of Author Recognition Test scores emerged (see Table 1).</t>
  </si>
  <si>
    <t xml:space="preserve"> F(1, 361) = 139.37</t>
  </si>
  <si>
    <t>curatescience53_m</t>
  </si>
  <si>
    <t>Literary Fiction Versus No Reading  (replication exp 5 - interaction effect)</t>
  </si>
  <si>
    <t>F(1, 361) = 4.06</t>
  </si>
  <si>
    <t>curatescience53</t>
  </si>
  <si>
    <t>Reolication also calculated d for Experiment 1 in O "The literary fiction versus nonfiction comparison (Kidd and Castano’s
Experiment 1, N   86) has Cohen’s d   .51,"</t>
  </si>
  <si>
    <t xml:space="preserve">Values are the same as in the Curatescience Database but have not been cross-checked with original papers
Corinna: 
- I changed the number of participant in the replication (I think the coder coded the group size of one group, but actually both groups were compared) 
- I changed preregistration form no to NA 
- I corrected the number of participants from the original study, since 6 individuals were excluded 
- I added the effect size </t>
  </si>
  <si>
    <t>Kidd, D. C., &amp; Castano, E. (2013). Reading literary fiction improves theory of mind. Science, 342(6156), 377-380. Study 1</t>
  </si>
  <si>
    <t>Condition, Literary Fiction Versus Nonfiction</t>
  </si>
  <si>
    <t xml:space="preserve">Scores for the affective ToM task ... were higher in the literary fiction than nonfiction condition (Table 2). </t>
  </si>
  <si>
    <t>p.2, Table 2, F1,82 = 6.40 p = 0.01</t>
  </si>
  <si>
    <t>p. 5, F(1, 167) = 0.08, p  =  .775, d =  0.07.</t>
  </si>
  <si>
    <t>"Values are the same as in the Curatescience Database but have not been cross-checked with original papers
Corinna: 
- I changed the number of participant in the replication (I think the coder coded the group size of one group, but actually both groups were compared) 
- I changed preregistration form no to NA 
- I corrected the number of participants from the original study, since 6 individuals were excluded 
- I added the effect size</t>
  </si>
  <si>
    <t>ART (author recognition test), Literary Fiction Versus Nonfiction</t>
  </si>
  <si>
    <t>Reading literature can led to better performance on tests of affective theory of mind and and cognitive theory of mind</t>
  </si>
  <si>
    <t>p.2, Table 2, b = 0.36, p = 0.0003</t>
  </si>
  <si>
    <t>p. 5, F(1, 266)   44.22, p  &lt;  .001, b =  0.19</t>
  </si>
  <si>
    <t>Values are the same as in the Curatescience Database but have not been cross-checked with original papers
Corinna: 
- I added the whole test statistics of the replication study (Only a F value was coded)
- I am not entirely sure that the p-value of the original study is not nested (ANOVA testing the interaction of two between subjects feactors) 
- I changed the number of participant in the replication (I think the coder coded the group size of one group, but actually both groups were compared) 
- I changed preregistration form no to NA 
- I corrected the number of participants from the original study, since 6 individuals were excluded 
- I added the effect size of the original study</t>
  </si>
  <si>
    <t>ART - Condition intercation, Literary Fiction Versus Nonfiction</t>
  </si>
  <si>
    <t>No other covariates approached significance... (In this case no interaction effect - Aleksandr P.)</t>
  </si>
  <si>
    <t>p.2, Table 2, F1,82 = 1.06, p = 0.30</t>
  </si>
  <si>
    <t>p.5, F(1, 266) = 0.24, p =  .625</t>
  </si>
  <si>
    <t>curatescience533</t>
  </si>
  <si>
    <t>Corrected replication effect based on values reported in the manuscript (no values could be find in the supplemental materials in the OSF project)</t>
  </si>
  <si>
    <t>Jostmann, N. B., Lakens, D., &amp; Schubert, T. W. (2009). Weight as an embodiment of importance. Psychological science, 20(9), 1169-1174.</t>
  </si>
  <si>
    <t>10.1111/j.1467-9280.2009.02426.x</t>
  </si>
  <si>
    <t>Ebersole, C. R., Atherton, O. E., Belanger, A. L., Skulborstad, H. M., Allen, J. M., Banks, J. B., ... &amp; Nosek, B. A. (2016). Many Labs 3: Evaluating participant pool quality across the academic semester via replication. Journal of Experimental Social Psychology, 67, 68-82.</t>
  </si>
  <si>
    <t>10.1016/j.jesp.2015.10.012</t>
  </si>
  <si>
    <t>https://osf.io/ct89g/</t>
  </si>
  <si>
    <t>4.6 (as labeled in Many Labs 3 supplement).</t>
  </si>
  <si>
    <t>Embodiment of weight influences judgments of importance.</t>
  </si>
  <si>
    <t>weight embodiment, importance judgments, many labs 3, replication</t>
  </si>
  <si>
    <t>Replicated the effect of clipboard weight on perceived importance. No significant differences were observed (p = .54).</t>
  </si>
  <si>
    <t>Participants in the heavy-clipboard condition (M = 5.27, SD = 1.28) found it more important that the committee listen to students' opinions compared to participants in the light-clipboard condition (M = 4.21, SD = 2.10), F(1, 49) = 4.33, p &lt; .05, Cohen’s d = 0.59.</t>
  </si>
  <si>
    <t>Reported directly in the text, page 1171.</t>
  </si>
  <si>
    <t>I could not find the passage of the text and had to replace it with what I could find.</t>
  </si>
  <si>
    <t>Weight priming</t>
  </si>
  <si>
    <t>participants in the heavyclipboard condition (M 5 5.27, SD 5 1.28) found it more important that the committee listen to the students’ opinions than did participants in the light-clipboard condition (M 5 4.21, SD 5 2.10), F(1, 49) 5 4.33, p &lt; .05, prep 5 .92, Zp2 5 .08</t>
  </si>
  <si>
    <t>Please fill out all variables. References and DOIs are missing in several cases.</t>
  </si>
  <si>
    <t>curatescience537</t>
  </si>
  <si>
    <t>Szymkow, A., Chandler, J., IJzerman, H., Parzuchowski, M., &amp; Wojciszke, B. (2013). Warmer hearts, warmer rooms. Social Psychology.</t>
  </si>
  <si>
    <t>10.1027/1864-9335/a000147</t>
  </si>
  <si>
    <t>4.7 (as labeled in Many Labs 3 supplement).</t>
  </si>
  <si>
    <t>Communal traits influence ambient temperature perception.</t>
  </si>
  <si>
    <t>communal traits, embodiment, temperature perception, social cognition</t>
  </si>
  <si>
    <t>Replicated the original study testing if communal traits affect temperature perception. The replication failed to detect the effect.</t>
  </si>
  <si>
    <t>Participants in the communion condition estimated the ambient room temperature as significantly warmer (M = 20.95, SD = 2.24) than participants in the agency condition (M = 18.95, SD = 2.41), t(78) = 3.85, p &lt; .001, Cohen's d = 0.86.</t>
  </si>
  <si>
    <t>Page 169-170</t>
  </si>
  <si>
    <t>Reported directly in the text on page 169-170.</t>
  </si>
  <si>
    <t>Warmth priming</t>
  </si>
  <si>
    <t>Participants in the communion condition perceived the target person as having a warmer personality (M = 5.65, SD = 0.80) than those in the agency condition (M = 4.65, SD = 0.97), t(78) = 5.01, p &lt; .001, d = 1.12</t>
  </si>
  <si>
    <t>curatescience54_1</t>
  </si>
  <si>
    <t>curatescience54</t>
  </si>
  <si>
    <t>Kidd, D. C., &amp; Castano, E. (2013). Reading literary fiction improves theory of mind. Science, 342(6156), 377-380. Study 3</t>
  </si>
  <si>
    <r>
      <rPr>
        <rFont val="Calibri"/>
        <sz val="11.0"/>
      </rPr>
      <t xml:space="preserve">Dijkstra, K., Verkoeijen, P., van Kuijk, I., Yee Chow, S., Bakker, A., &amp; Zwaan, R. (2015). Leidt het lezen van literaire fictie tot meer empathie? : een replicatiestudie van Kidd en Castano (2013). De Psycholoog, 50(10), 10–21. Retrieved from </t>
    </r>
    <r>
      <rPr>
        <rFont val="Calibri"/>
        <color rgb="FF1155CC"/>
        <sz val="11.0"/>
        <u/>
      </rPr>
      <t>http://hdl.handle.net/1765/98670</t>
    </r>
  </si>
  <si>
    <t>Seems to be in German, can't extract the data</t>
  </si>
  <si>
    <t>Dijkstra, K., Verkoeijen, P., van Kuijk, I., Yee Chow, S., Bakker, A., &amp; Zwaan, R. (2015). Leidt het lezen van literaire fictie tot meer empathie? : een replicatiestudie van Kidd en Castano (2013). De Psycholoog, 50(10), 10–21. Retrieved from http://hdl.handle.net/1765/98670</t>
  </si>
  <si>
    <t>I am not sure what exclusion criteria for studies the project has. This one seems to be in German, so I don't know if it's eligible.</t>
  </si>
  <si>
    <t>Condition, literary fiction versus popular fiction condition.</t>
  </si>
  <si>
    <t xml:space="preserve">Experiment 3 (N = 69) aimed to replicate the literary fiction versus popular fiction comparison. Using the same analytical strategy used in experiment 1, it was found that RMET scores were higher in the literary fiction condition than in the popular fiction condition. </t>
  </si>
  <si>
    <t>p. 2,3</t>
  </si>
  <si>
    <t>F1,65 = 4.07</t>
  </si>
  <si>
    <t>p.2, Table 2</t>
  </si>
  <si>
    <t>curatescience54_b</t>
  </si>
  <si>
    <t>ART (author recognition test), literary fiction versus popular fiction condition.</t>
  </si>
  <si>
    <t>There were no effects involving the Author Recognition Test</t>
  </si>
  <si>
    <t>p.2, Table 2, b = –0.01 , p = 0.90</t>
  </si>
  <si>
    <t>curatescience54_c</t>
  </si>
  <si>
    <t>ART - Condition intercation, literary fiction versus popular fiction condition.</t>
  </si>
  <si>
    <t>F1,65 = 0.01</t>
  </si>
  <si>
    <t>curatescience55_1</t>
  </si>
  <si>
    <t>curatescience55</t>
  </si>
  <si>
    <t>Panero, M. E., Weisberg, D. S., Black, J. E., Goldstein, T. R., Barnes, J. L., Brownell, H., &amp; Winner, E. (2016). Does reading a single passage of literary fiction really improve theory of mind? An attempt at replication. Journal of Personality and Social Psychology, 111(5), e46–e54. https://doi.org/10.1037/pspa0000064 (Study 2)</t>
  </si>
  <si>
    <t>10.1037--pspa0000064.pdf</t>
  </si>
  <si>
    <t>N for R based on test statistic (F)</t>
  </si>
  <si>
    <t>Values are the same as in the Curatescience Database but have not been cross-checked with original papers
Corinna: 
- I changed the effect from "priming" to "priming theory of mind", since this seems to be more specific
- I added a description of the effect
- I changed the number of participants of the replication from 194 to 193. This would be correct and ChatGPT confirmed 193. 
- I changed the test statistics of the original study (test statistics were reported partly, but an effect size was available).</t>
  </si>
  <si>
    <t>Priming theory of mind</t>
  </si>
  <si>
    <t>Reading segments of literary fiction (but not popular fiction or nonfiction) immediately and significantly improves performance on reading the mind in the eyes test, which is an theory-of-mind test.</t>
  </si>
  <si>
    <t xml:space="preserve">Experiment 3 (N = 69) aimed to replicate the literary fiction versus popular fiction comparison. [...] Using the same analytical strategy used in experiment 1, it was found that RMET scores were higher in the literary fiction condition than in the popular fiction condition. </t>
  </si>
  <si>
    <t>p.2, Table 2, F1,65 = 4.07 p = 0.04</t>
  </si>
  <si>
    <t>p.6, F(1, 191) = 0.83, p = .363, d = 0.05.</t>
  </si>
  <si>
    <t>curatescience55_b</t>
  </si>
  <si>
    <t>Values are the same as in the Curatescience Database but have not been cross-checked with original papers
- I changed the effect from "priming" to "priming theory of mind", since this seems to be more specific
- I added a page number for the claim
- I changed the test statistics of the original study (test statistics were reported partly, but an effect size was available).</t>
  </si>
  <si>
    <t>p.6, F(1, 288)  = 95.16, p &lt;  .001, b  = 0.37</t>
  </si>
  <si>
    <t>curatescience55_c</t>
  </si>
  <si>
    <t>Values are the same as in the Curatescience Database but have not been cross-checked with original papers
Corinna: 
- I changed the effect from "priming" to "priming theory of mind", since this seems to be more specific
- I added a page number for the claim
- I changed the reported effect of the replication (only F value) to the full test statistics 
- I changed the test statistics of the original study (test statistics were reported partly, but an effect size was available).
- I changed nesting of the original paper from no to yes, since an interaction was tested</t>
  </si>
  <si>
    <t>p.2, Table 2, F1,65 = 0.01, p =0.90</t>
  </si>
  <si>
    <t>p.6,  F(1, 288) = 0.67, p = .412.</t>
  </si>
  <si>
    <t>curatescience558</t>
  </si>
  <si>
    <t>Cacioppo, J. T., Petty, R. E., &amp; Morris, K. J. (1983). Effects of need for cognition on message evaluation, recall, and persuasion. Journal of personality and social psychology, 45(4), 805.</t>
  </si>
  <si>
    <t>10.1037/0022-3514.45.4.805</t>
  </si>
  <si>
    <t>4.8 (as labeled in Many Labs 3 supplement).</t>
  </si>
  <si>
    <t>Need for cognition effect</t>
  </si>
  <si>
    <t>need for cognition, message processing, persuasion, argument quality, elaboration likelihood</t>
  </si>
  <si>
    <t>The replication tested the impact of need for cognition on message evaluation, showing that individuals high in need for cognition evaluate strong arguments more favorably and are less influenced by weak arguments compared to those low in need for cognition.</t>
  </si>
  <si>
    <t>The interaction between need for cognition and argument quality was significant, F(1, 110) = 22.45, p &lt; .001, showing that individuals high in need for cognition evaluated strong arguments more favorably (M = 5.86) compared to weak arguments (M = 2.26).</t>
  </si>
  <si>
    <t>F(1, 110) = 22.45</t>
  </si>
  <si>
    <t>You write that COhens d was reported in the text and quote SDs but neither could be found</t>
  </si>
  <si>
    <t>people scrutinize a persuasive message more when they believe the recommendation is personally relevant than when they believe it is irrelevant</t>
  </si>
  <si>
    <t>curatescience56_1</t>
  </si>
  <si>
    <t>curatescience56</t>
  </si>
  <si>
    <t>Kidd, D. C., &amp; Castano, E. (2013). Reading literary fiction improves theory of mind. Science, 342(6156), 377-380. Study 5</t>
  </si>
  <si>
    <t>Panero, M. E., Weisberg, D. S., Black, J. E., Goldstein, T. R., Barnes, J. L., Brownell, H., &amp; Winner, E. (2016). Does reading a single passage of literary fiction really improve theory of mind? An attempt at replication. Journal of Personality and Social Psychology, 111(5), e46–e54. https://doi.org/10.1037/pspa0000064 (Study 3)</t>
  </si>
  <si>
    <t>N for R is stated to be 370, but I am not quite sure that it's true in all of the cases</t>
  </si>
  <si>
    <t xml:space="preserve">Values are the same as in the Curatescience Database but have not been cross-checked with original papers
Corinna: 
- I changed the effect from theory of mind to priming theory of mind
- I changed the effect of the original study </t>
  </si>
  <si>
    <t>Condition, Literary Fiction Versus Popular fiction Versus No Reading</t>
  </si>
  <si>
    <t>Results on the RMET were analyzed as in the previous experiments. The effect of condition was significant (see Table 1). Scores were significantly higher in the literary fiction condition than in the popular fiction and no-reading conditions (see Table 2).</t>
  </si>
  <si>
    <t>p.2, Table 2, F2,352 =3.10, p = 0.04</t>
  </si>
  <si>
    <t>F(1, 53.6) = 0.08, p =  .775, d =  0.01.</t>
  </si>
  <si>
    <t>curatescience56_b</t>
  </si>
  <si>
    <t xml:space="preserve">Values are the same as in the Curatescience Database but have not been cross-checked with original papers
Corinna: 
- I changed the effect from theory of mind to priming theory of mind 
- I changed the claim
- I changed both effects (only partial effects were reported) </t>
  </si>
  <si>
    <t>ART (author recognition test) Literary Fiction Versus Popular fiction Versus No Reading</t>
  </si>
  <si>
    <t>p.2, Table 2, b = 0.28, p &lt;0.001</t>
  </si>
  <si>
    <t>p.6,  F(1, 361)  = 139.37, p &lt;  .001</t>
  </si>
  <si>
    <t>curatescience56_c</t>
  </si>
  <si>
    <t xml:space="preserve">Values are the same as in the Curatescience Database but have not been cross-checked with original papers
Corinna: 
- I changed the effect from theory of mind to priming theory of mind 
- I changed the claim
- I changed both effects (only partial effects were reported) 
- I changed the nesting of the original study since an interaction was tested </t>
  </si>
  <si>
    <t>ART - Condition intercation, Literary Fiction Versus Popular fiction Versus No Reading</t>
  </si>
  <si>
    <t>p.2, Table 2, F2,352 = 1.37, p = 0.25</t>
  </si>
  <si>
    <t>p.6,  F(1, 361)  = 4.06, p =  .045:</t>
  </si>
  <si>
    <t>curatescience57_1</t>
  </si>
  <si>
    <t>curatescience57</t>
  </si>
  <si>
    <t xml:space="preserve">Corinna:
- replication was explicitely labeled as close in abstract
- I changed the page numbers to those of the PDF
- The coder calculated alle effects himself. Although they are not necessarily  wrong, they are not the key results of the replication 
- The text claim was not a direct quote and I changed it
- There was no information concerning the tails of the p-value </t>
  </si>
  <si>
    <t>DeVoe, S. E., &amp; House, J. (2012). Time, money, and happiness: How does putting a price on time affect our ability to smell the roses?. Journal of Experimental Social Psychology, 48(2), 466-474.</t>
  </si>
  <si>
    <t>10.1016/j.jesp.2011.11.012</t>
  </si>
  <si>
    <t>10.1016--j.jesp.2011.11.012.pdf</t>
  </si>
  <si>
    <t>Connors, S., Khamitov, M., Moroz, S., Campbell, L., &amp; Henderson, C. (2016). Time, money, and happiness: Does putting a price on time affect our ability to smell the roses? Journal of Experimental Social Psychology, 67, 60–64. https://doi.org/10.1016/j.jesp.2015.08.005 (Study 1)</t>
  </si>
  <si>
    <t>10.1016/j.jesp.2015.08.005</t>
  </si>
  <si>
    <t>close replications</t>
  </si>
  <si>
    <t>Time is money effect</t>
  </si>
  <si>
    <t>Time, Money, Impatience, Happiness, Replication, Reproducibility</t>
  </si>
  <si>
    <t>Thinking about time as money reduces enjoyment and increases impatience during leisure activities; financial compensation moderates these effects.</t>
  </si>
  <si>
    <t>A main effect of additional compensation emerged as significant where those paid to listen to the music derived greater enjoyment from the music...than did those who were not paid...The main effect of calculation was not significant...but this main effect was qualified by a significant calculation by compensation in-teraction, F(1, 141)= 4.81, p= .03, ηp2= .033.</t>
  </si>
  <si>
    <t>Calculated based on means and SDs from p. 470</t>
  </si>
  <si>
    <t>Calculated based on means and SDs from p. 62</t>
  </si>
  <si>
    <t>https://osf.io/ryfse/</t>
  </si>
  <si>
    <t>the o_paper had 3 studies and the r_paper had 2 replications of o_study number 3; the results I reported for the r_study are from the two replications (merged) and could be found in table 1 and 2 (p.3);</t>
  </si>
  <si>
    <t xml:space="preserve">Values are the same as in the Curatescience Database but have not been cross-checked with original papers
Corinna:
- Everything was fine! I am unsure which kind of ANOVA the authors performed and was unsure regarding the nesting. However, I think it is not nested. </t>
  </si>
  <si>
    <t xml:space="preserve">DeVoe, S. E., &amp; House, J. (2012). Time, money, and happiness: How does putting a price on time affect our ability to smell the roses?. Journal of Experimental Social Psychology, 48(2), 466-474. </t>
  </si>
  <si>
    <t xml:space="preserve">Connors, S., Khamitov, M., Moroz, S., Campbell, L., &amp; Henderson, C. (2016). Time, money, and happiness: Does putting a price on time affect our ability to smell the roses? Journal of Experimental Social Psychology, 67, 60–64. https://doi.org/10.1016/j.jesp.2015.08.005 </t>
  </si>
  <si>
    <t>Happiness</t>
  </si>
  <si>
    <t>Time, Money, Impatience, Happiness</t>
  </si>
  <si>
    <t>we investigate how the impatience that results from placing a price on time impairs individuals' ability to derive happiness from pleasurable experiences.</t>
  </si>
  <si>
    <t>p.3 (table1)</t>
  </si>
  <si>
    <t>https://osf.io/u6ghv</t>
  </si>
  <si>
    <t>curatescience57_b</t>
  </si>
  <si>
    <t>Impatience</t>
  </si>
  <si>
    <t>Similar results were obtained on the impatience measure. A main effect of compensation emerged as significant whereby those explicitly paid to listen to the music reported feeling less impatient...than those who were not paid...The main effect of calculation was not significant...but this main effect was qualified by a significant calculation by compensation interaction, F(1, 141)=7.13, p=.008, ηp2=.048.</t>
  </si>
  <si>
    <t>p.3 (table2)</t>
  </si>
  <si>
    <t>curatescience578</t>
  </si>
  <si>
    <t>Ross, M., &amp; Wilson, A. E. (2002). It feels like yesterday: self-esteem, valence of personal past experiences, and judgments of subjective distance. Journal of personality and social psychology, 82(5), 792.</t>
  </si>
  <si>
    <t>10.1037/0022-3514.82.5.792</t>
  </si>
  <si>
    <t>4.9 (as labeled in Many Labs 3 supplement).</t>
  </si>
  <si>
    <t>Subjective distancing of past experiences.</t>
  </si>
  <si>
    <t>subjective distance, self-esteem, valence, temporal self-appraisal, personal past experiences.</t>
  </si>
  <si>
    <t>The replication tested whether people feel closer to positive past experiences and farther from negative ones, with high self-esteem individuals showing stronger distancing effects for negative outcomes.</t>
  </si>
  <si>
    <t>Participants with high self-esteem felt subjectively closer to courses in which they received better grades (M = 3.91, SD = 1.05) than courses in which they received poorer grades (M = 6.30, SD = 1.22). The Grade Condition × Self-Esteem interaction was significant, F(1, 352) = 3.57, p = .001, Cohen's d = 0.45</t>
  </si>
  <si>
    <t>Page 796</t>
  </si>
  <si>
    <t>Reported in Table 2 on page 796.</t>
  </si>
  <si>
    <t>Reported in Many Labs supplementary materials, Section 4.9: Self-esteem, valence, and subjective distance.</t>
  </si>
  <si>
    <t>HSEs (one standard deviation above the mean) felt more distant from courses in which they received their worst rather than their best grades</t>
  </si>
  <si>
    <t>curatescience58_1</t>
  </si>
  <si>
    <t>curatescience58</t>
  </si>
  <si>
    <t xml:space="preserve">Corinna:
- As the authors report the combined effect, I would use the combined effect (as Meriem did above [ID 57]) </t>
  </si>
  <si>
    <t>Connors, S., Khamitov, M., Moroz, S., Campbell, L., &amp; Henderson, C. (2016). Time, money, and happiness: Does putting a price on time affect our ability to smell the roses? Journal of Experimental Social Psychology, 67, 60–64. https://doi.org/10.1016/j.jesp.2015.08.005 (Study 2)</t>
  </si>
  <si>
    <t>Thinking about time as money reduces enjoyment and increases impatience during leisure activities. Financial compensation moderates these effects. Key results: F(1, 141) = 4.81, p = .03 for happiness, and F(1, 141) = 7.13, p = .008 for impatience.</t>
  </si>
  <si>
    <t>Calculated based on means and SDs from p. 63</t>
  </si>
  <si>
    <t xml:space="preserve">Values are the same as in the Curatescience Database but have not been cross-checked with original papers
Corinna:
- As the authors report the combined effect, I would use the combined effect (as Meriem did above [ID 57]) </t>
  </si>
  <si>
    <t>DeVoe, S. E., &amp; House, J. (2012). Time, money, and happiness: How does putting a price on time affect our ability to smell the roses?. Journal of Experimental Social Psychology, 48(2), 466-474. Study 3</t>
  </si>
  <si>
    <t>10.1016--j.jesp.2015.08.005.pdf</t>
  </si>
  <si>
    <t>curatescience59_1</t>
  </si>
  <si>
    <t>curatescience59</t>
  </si>
  <si>
    <t>Corinna:
- The replication study identifies as replication in the tital. However, in the introduction, methods, and discusssion section, it identifies as near-exact replication. Therefore, both codings are correct. 
- this entry seems to be useless since all values seem to be wrong and I can not find the values</t>
  </si>
  <si>
    <t>Bargh, J. A., &amp; Shalev, I. (2012). The substitutability of physical and social warmth in daily life. Emotion, 12(1), 154.</t>
  </si>
  <si>
    <r>
      <rPr>
        <rFont val="Calibri"/>
        <sz val="11.0"/>
      </rPr>
      <t xml:space="preserve">Wortman, J., Donnellan, M. B., &amp; Lucas, R. E. (2014). Can physical warmth (or coldness) predict trait loneliness? A replication of Bargh and Shalev (2012). Archives of Scientific Psychology, 2(1), 13–19. </t>
    </r>
    <r>
      <rPr>
        <rFont val="Calibri"/>
        <color rgb="FF1155CC"/>
        <sz val="11.0"/>
        <u/>
      </rPr>
      <t>https://doi.org/10.1037/arc0000007</t>
    </r>
  </si>
  <si>
    <t>10.1037/arc0000007</t>
  </si>
  <si>
    <t>Warmth-Need Effect</t>
  </si>
  <si>
    <t>Unconscious, Self-regulation, Embodiment, Warmth</t>
  </si>
  <si>
    <t>The study investigates how physical warmth (e.g., holding a warm object) increases the need for emotional warmth, such as seeking social connection.</t>
  </si>
  <si>
    <t>Physical warmth increases the need for emotional warmth (affiliation). Key result: β = 0.28, t = 3.48, p = .001 (Experiment 2, Study 1).</t>
  </si>
  <si>
    <t>Reported on p. 1215</t>
  </si>
  <si>
    <t>Calculated based on means and SDs from p. 22</t>
  </si>
  <si>
    <t xml:space="preserve">Values are the same as in the Curatescience Database but have not been cross-checked with original papers
Corinna:
- The replication study identifies as replication in the tital. However, in the introduction, methods, and discusssion section, it identifies as near-exact replication. Therefore, both codings are correct. 
- this entry seems to be useless since all values seem to be wrong and I can not find the values </t>
  </si>
  <si>
    <r>
      <rPr>
        <rFont val="Calibri"/>
        <sz val="11.0"/>
      </rPr>
      <t xml:space="preserve">Wortman, J., Donnellan, M. B., &amp; Lucas, R. E. (2014). Can physical warmth (or coldness) predict trait loneliness? A replication of Bargh and Shalev (2012). Archives of Scientific Psychology, 2(1), 13–19. </t>
    </r>
    <r>
      <rPr>
        <rFont val="Calibri"/>
        <color rgb="FF1155CC"/>
        <sz val="11.0"/>
        <u/>
      </rPr>
      <t>https://doi.org/10.1037/arc0000007</t>
    </r>
  </si>
  <si>
    <t>Calculated based on means and SDs from p. 23</t>
  </si>
  <si>
    <r>
      <rPr>
        <rFont val="Calibri"/>
        <sz val="11.0"/>
      </rPr>
      <t xml:space="preserve">Wortman, J., Donnellan, M. B., &amp; Lucas, R. E. (2014). Can physical warmth (or coldness) predict trait loneliness? A replication of Bargh and Shalev (2012). Archives of Scientific Psychology, 2(1), 13–19. </t>
    </r>
    <r>
      <rPr>
        <rFont val="Calibri"/>
        <color rgb="FF1155CC"/>
        <sz val="11.0"/>
        <u/>
      </rPr>
      <t>https://doi.org/10.1037/arc0000007</t>
    </r>
  </si>
  <si>
    <t>Calculated based on means and SDs from p. 24</t>
  </si>
  <si>
    <t>I edited the links to the original paper because it was of the paper before, the o_paper have 4 studies and the r_paper replicated a claim from study 2</t>
  </si>
  <si>
    <t>Values are the same as in the Curatescience Database but have not been cross-checked with original papers
Corinna:
- The replication study identifies as replication in the tital. However, in the introduction, methods, and discusssion section, it identifies as near-exact replication. Therefore, both codings are correct. 
- I changed the number of the original experiment from 4 to 2</t>
  </si>
  <si>
    <t xml:space="preserve">Bargh, J. A., &amp; Shalev, I. (2012). The substitutability of physical and social warmth in daily life. Emotion, 12(1), 154. </t>
  </si>
  <si>
    <t>10.1037/a0023527</t>
  </si>
  <si>
    <t>10.1037--a0023527.pdf</t>
  </si>
  <si>
    <r>
      <rPr>
        <rFont val="Calibri"/>
        <sz val="11.0"/>
      </rPr>
      <t xml:space="preserve">Wortman, J., Donnellan, M. B., &amp; Lucas, R. E. (2014). Can physical warmth (or coldness) predict trait loneliness? A replication of Bargh and Shalev (2012). Archives of Scientific Psychology, 2(1), 13–19. </t>
    </r>
    <r>
      <rPr>
        <rFont val="Calibri"/>
        <color rgb="FF1155CC"/>
        <sz val="11.0"/>
        <u/>
      </rPr>
      <t>https://doi.org/10.1037/arc0000007</t>
    </r>
  </si>
  <si>
    <t>a near-exact replication</t>
  </si>
  <si>
    <t>trait loneliness</t>
  </si>
  <si>
    <t>unconscious, self-regulation, embodiment, warmth</t>
  </si>
  <si>
    <t>feelings of social warmth or coldness can be induced by experiences of physical warmth or coldness, and vice versa. Here we show that people tend to self-regulate their feelings of social warmth through applications of physical warmth, apparently without explicit awareness of doing so.</t>
  </si>
  <si>
    <t>We expected that the cold temperature prime would increase participants’ scores on the loneliness scale, as experiences of physical coldness should increase feelings of social coldness (dis-connectedness)...Planned comparisons indicated that the cold-pack manipulation significantly increased loneliness scores (M = 2.52, SD = .91) compared to both the warm-pack, M = 2.04, SD = .64; t(49) = 2.12, p = .04, and the neutral-pack</t>
  </si>
  <si>
    <t>t(49) = 2.12</t>
  </si>
  <si>
    <t>curatescience599</t>
  </si>
  <si>
    <t>changed page to 659; changed n to 100; changed es_repr_o to page 651 and page 9 in pdf; changed n_r to 3,279; changed es_value_rep to 0.88; changed pval_tails_r to NA; I could not find the place where the input for es_repr_r came from</t>
  </si>
  <si>
    <t>Stroop, J. R. (1935). Studies of interference in serial verbal reactions. Journal of experimental psychology, 18(6), 643.</t>
  </si>
  <si>
    <t>10.1037/h0054651</t>
  </si>
  <si>
    <t>4.1 (as labeled in Many Labs 3 supplement).</t>
  </si>
  <si>
    <t>Stroop effect: Interference of conflicting stimuli in serial verbal reactions.</t>
  </si>
  <si>
    <t>stroop effect, cognitive interference, attention, color-word task, selective attention.</t>
  </si>
  <si>
    <t>The replication tested whether naming ink colors is slower when the ink spells incongruent color words, demonstrating the cognitive interference effect caused by automatic reading processes.</t>
  </si>
  <si>
    <t>The interference of conflicting word stimuli upon the time for naming 100 colors increased the mean reaction time by 47.0 seconds, a 74.3% increase over the normal time for naming colors printed in squares.</t>
  </si>
  <si>
    <t>Page 659</t>
  </si>
  <si>
    <t>Standard deviation units</t>
  </si>
  <si>
    <t>Reported directly in text on page 651, (page 9 in pdf).</t>
  </si>
  <si>
    <t>Reported in Many Labs supplementary materials, Section 4.1: Stroop Effect and Cognitive Interference.</t>
  </si>
  <si>
    <t>please put NA for pval_tails_r, if the source does not directly specify that a two tailed t test was used</t>
  </si>
  <si>
    <t>Experiment 2 of the original study seems to be better fitting than study 1, since in study 1 the colour words are printed in black in the congruent condition</t>
  </si>
  <si>
    <t>it took an average of 2.3 seconds longer to read 100 color names printed in colors different from that named by the word than to read the same names printed in black</t>
  </si>
  <si>
    <t>curatescience600</t>
  </si>
  <si>
    <t>n _othat was included in analysis is not 98 but 56 as indicated in the chi squared test statistic; n_r that is not correct; could not find place where values come from</t>
  </si>
  <si>
    <t>Boroditsky, L. (2000). Metaphoric structuring: Understanding time through spatial metaphors. Cognition, 75(1), 1-28.</t>
  </si>
  <si>
    <t>10.1016/s0010-0277(99)00073-6</t>
  </si>
  <si>
    <t>4.2 (as labeled in Many Labs 3 supplement).</t>
  </si>
  <si>
    <t>Spatial metaphors influence temporal reasoning.</t>
  </si>
  <si>
    <t>spatial metaphors, time perception, cognitive linguistics, temporal reasoning, embodied cognition</t>
  </si>
  <si>
    <t>The replication tested whether using spatial metaphors to describe time affects reasoning about temporal sequences. For example, participants exposed to spatial frames of reference (e.g., “ahead,” “behind”) processed temporal questions differently, supporting the idea that spatial cognition structures temporal reasoning.</t>
  </si>
  <si>
    <t>Participants in the ego-moving condition interpreted the ambiguous temporal statement in a consistent manner 73% of the time, while participants in the time-moving condition chose a different consistent interpretation 69% of the time. A significant effect of consistency was observed, χ²(1, N = 98) = 5.2, p &lt; .05.</t>
  </si>
  <si>
    <t>Page 9</t>
  </si>
  <si>
    <t>Not reported</t>
  </si>
  <si>
    <t>Reported in text on page 9.</t>
  </si>
  <si>
    <t>Reported in supplementary materials of replication study, Section 4.2: spatial metaphors and temporal reasoning.</t>
  </si>
  <si>
    <t>please look at the test statistic of the chi square test for the final n</t>
  </si>
  <si>
    <t>added the method of calculation for d of the original study, added ref_r; added doi_r, added study_r , added label_r, copied tags, copied description, added prereg_r, added es_repr_r</t>
  </si>
  <si>
    <t>identified as replication in title</t>
  </si>
  <si>
    <t>Structure mapping</t>
  </si>
  <si>
    <t>people used primed spatial information to think about time. Overall, 71.3% of the participants responded in a prime-consistent manner</t>
  </si>
  <si>
    <t>calculated with N and chi squared</t>
  </si>
  <si>
    <t xml:space="preserve">reported in Table 3 </t>
  </si>
  <si>
    <t>please specify how you calculated d from the chi squared test statistic as it makes it easier for the validator</t>
  </si>
  <si>
    <t>curatescience620</t>
  </si>
  <si>
    <t>Tversky, A., &amp; Kahneman, D. (1973). Availability: A heuristic for judging frequency and probability. Cognitive psychology, 5(2), 207-232.</t>
  </si>
  <si>
    <t>10.1016/0010-0285(73)90033-9</t>
  </si>
  <si>
    <t>4.3 (as labeled in Many Labs 3 supplement).</t>
  </si>
  <si>
    <t>Availability heuristic</t>
  </si>
  <si>
    <t>availability heuristic, frequency judgment, probability estimation, cognitive bias, decision-making</t>
  </si>
  <si>
    <t>The replication tested whether individuals overestimate the frequency or likelihood of events that are more easily retrievable from memory, demonstrating the availability heuristic. For example, participants judged more frequent exposure to names of famous people compared to less famous individuals.</t>
  </si>
  <si>
    <t>Participants judged English words beginning with certain letters (e.g., 'K') to be more frequent than words with those letters in the third position, despite statistical evidence to the contrary.</t>
  </si>
  <si>
    <t>Page 214</t>
  </si>
  <si>
    <t>Reported directly in the text, page 214.</t>
  </si>
  <si>
    <t>Reported in Many Labs supplementary materials, Section 4.3: Availability heuristic and frequency judgments.</t>
  </si>
  <si>
    <t>Please provide a link to the supplementary material, since I could not find it in the osf</t>
  </si>
  <si>
    <t>added ref_r, added doi:r, copied description, copied tags, added study_r</t>
  </si>
  <si>
    <t>Availability effects</t>
  </si>
  <si>
    <t>Among the 152 subjects, 105 judged the first position to be more likely for a majority of the letters, and 47 judged the third position to be more likely for a majority of the letters.</t>
  </si>
  <si>
    <t xml:space="preserve">reported in table </t>
  </si>
  <si>
    <t>reported in table</t>
  </si>
  <si>
    <t>please specify where you found or how you attained the d values</t>
  </si>
  <si>
    <t>curatescience641</t>
  </si>
  <si>
    <t>Galinsky, A. D., Magee, J. C., Inesi, M. E., &amp; Gruenfeld, D. H. (2006). Power and perspectives not taken. Psychological science, 17(12), 1068-1074.</t>
  </si>
  <si>
    <t>10.1111/j.1467-9280.2006.01824.x</t>
  </si>
  <si>
    <t>4.5 (as labeled in Many Labs 3 supplement).</t>
  </si>
  <si>
    <t>Power reduces perspective-taking</t>
  </si>
  <si>
    <t>power, perspective-taking, social cognition, communication</t>
  </si>
  <si>
    <t>The replication tested whether individuals primed with high power are less likely to consider others' perspectives during communication tasks compared to individuals primed with low power.</t>
  </si>
  <si>
    <t>High-power participants thought the message would be perceived as more sarcastic by the naive recipient (M = 3.74, SD = 1.54) than did low-power participants (M = 4.84, SD = 1.30), t(40) = 2.47, p = .02, d = 0.77.</t>
  </si>
  <si>
    <t>Page 1070-1071</t>
  </si>
  <si>
    <t>Reported directly in the text, page 1070-1071.</t>
  </si>
  <si>
    <t>Reported in Many Labs supplementary materials, Section 4.5: Power and Perspective-Taking replication.</t>
  </si>
  <si>
    <t>added ref_r, added doi_r, added effect, tags, description, added study_r, added label_r, added es_repr_r, es_repr_o, prereg_r, prereg_o</t>
  </si>
  <si>
    <t>identified as "replication" in Title</t>
  </si>
  <si>
    <t>High-power participants thought the message would be perceived as more sarcastic by the naive recipient (M 5 3.74, SD 5 1.54) than did low-power participants (M 5 4.84, SD 5 1.30), t(40) 5 2.47, prep 5 .93, d 5 0.77.</t>
  </si>
  <si>
    <t>reported in text on page 75</t>
  </si>
  <si>
    <t>https://osf.io/wamcn</t>
  </si>
  <si>
    <t>please fill out all fields, even if the original study information is the same as the rows above</t>
  </si>
  <si>
    <t>curatescience7_1</t>
  </si>
  <si>
    <t>curatescience7</t>
  </si>
  <si>
    <t>Vess, M. (2012). Warm thoughts: Attachment anxiety and sensitivity to temperature cues. Psychological science, 23(5), 472-474.</t>
  </si>
  <si>
    <t>10.1177/0956797611435919</t>
  </si>
  <si>
    <t>10.1177--0956797611435919.pdf</t>
  </si>
  <si>
    <t>LeBel, E. P., &amp; Campbell, L. (2013). Heightened sensitivity to temperature cues in individuals with high anxious attachment. Psychological Science, 24(10), 2128–2130. https://doi.org/10.1177/0956797613486983 (Study 1)</t>
  </si>
  <si>
    <t>10.1177/0956797613486983</t>
  </si>
  <si>
    <t>Attachment-warmth embodiment effect</t>
  </si>
  <si>
    <t>Social proximity, attachment anxiety, physical priming,  semantic priming, priming, regression, temperature</t>
  </si>
  <si>
    <t>Attachment anxiety positively predicts sensitivity to temperature cues in first study</t>
  </si>
  <si>
    <t>"For warm-temperature desirability ratings, however, the Reflection Condition × Attachment Anxiety interaction was significant, β = −0.42, t(49) = 2.26, p = .028 (other ps &gt; .316)."</t>
  </si>
  <si>
    <t>t(49) = 2.26</t>
  </si>
  <si>
    <t>Cohen's f^2</t>
  </si>
  <si>
    <t>https://osf.io/kizyn</t>
  </si>
  <si>
    <t>1. I have used Social Psychology for discipline as most of the references used in this study are from social psychology and there was no specific result for the psychological science. 2. Keywords are not available in both orignal and replication study. 3. There is a difference between presented sample size and effective sample size, I am using presented sample size which is 56. 4. The preregisteration link presented in replication study is not presented. 5. The p-val is not available for two findinds in replication study.</t>
  </si>
  <si>
    <t>Anxiety and Sensitivity to Temperature</t>
  </si>
  <si>
    <t>warm-temperature desirability ratings  the Reflection Condition × Attachment Anxiety interaction was significant</t>
  </si>
  <si>
    <t>warm-temperature desirability ratings, however, the Reflec- tion Condition × Attachment Anxiety interaction was signifi- cant, β = −0.42, t(49) = 2.26, p = .028 (other ps &gt; .316)</t>
  </si>
  <si>
    <t>negative 0.42</t>
  </si>
  <si>
    <t>0.028</t>
  </si>
  <si>
    <t>0.000228</t>
  </si>
  <si>
    <t>0.826</t>
  </si>
  <si>
    <t>curatescience7_b</t>
  </si>
  <si>
    <t>attachment anxiety and desirability ratings of warm-temperature refreshments were positively related in the romantic-breakup condition</t>
  </si>
  <si>
    <t>ttachment anxiety and desirability ratings of warm-temperature refreshments were positively related in the romantic-breakup condition, β = 0.44, t(49) = 2.30, p = .025, but unrelated in the ordinary-event condition, β = −0.19, p = .350.</t>
  </si>
  <si>
    <t>0.44</t>
  </si>
  <si>
    <t>0.025</t>
  </si>
  <si>
    <t>0.069</t>
  </si>
  <si>
    <t>curatescience7_c</t>
  </si>
  <si>
    <t>attachment anxiety and desirability ratings of warm-temperature refreshments were unrelated in the ordinary-event condition</t>
  </si>
  <si>
    <t>negative 0.19</t>
  </si>
  <si>
    <t>0.350</t>
  </si>
  <si>
    <t>0.099</t>
  </si>
  <si>
    <t>Please review closeness types. Authorship overlap is necessary for replications to be internal. There was no overlap in this study.
Please review nesting types. If there is repeated measurement on any of the involved factors, nesting is the case.</t>
  </si>
  <si>
    <t>curatescience7_overall</t>
  </si>
  <si>
    <t>1. Values for the OVERALL row are taken from both REPLICATION by simply summing up. Since they are new datasets, this can be considered as the Replication, but with bigger power. Both links to OSF are appropriate, thus I leave it empty (links can be found in curatescience7 and curatescience8 rows)
3. The study number "3" is artificial, since Authors do not call (and describe) this replication with this name throughout the paper
4. Since there were no data about testing the coeffients, they were not included to this table</t>
  </si>
  <si>
    <t>Corrected osf-link, nesting type, and replaced reportings with study 2 (otherwise using study 1 + (study1 &amp; 2) would lead to an overlap).</t>
  </si>
  <si>
    <t>Attachment anxiety positively predicts sensitivity to temperature cues in second study</t>
  </si>
  <si>
    <t>curatescience73</t>
  </si>
  <si>
    <t>Caruso, E. M., Vohs, K. D., Baxter, B., &amp; Waytz, A. (2013). Mere exposure to money increases endorsement of free-market systems and social inequality. Journal of Experimental Psychology: General, 142(2), 301.</t>
  </si>
  <si>
    <t>10.1037/a0029288</t>
  </si>
  <si>
    <t>10 (as labeled in the Many Labs supplement).</t>
  </si>
  <si>
    <t>Money priming and system justification</t>
  </si>
  <si>
    <t>money, system justification, many labs, replication</t>
  </si>
  <si>
    <t>The replication tested whether money priming increases system justification. It did not replicate: d = -0.02, p = .43, indicating differences from the original study.</t>
  </si>
  <si>
    <t>Subtle reminders of the concept of money, relative to nonmoney concepts, led participants to endorse more strongly the existing social system in the United States (Experiment 1) (Table 1: d = 0.80, p = .043)</t>
  </si>
  <si>
    <t>Page 301-302</t>
  </si>
  <si>
    <t>Reported on page 302 and Table 1.</t>
  </si>
  <si>
    <t>Reported in Many Labs supplementary materials, Section 10: Currency priming and system justification</t>
  </si>
  <si>
    <t>meer exposure effect</t>
  </si>
  <si>
    <t>participants in the money condition more strongly endorsed system justification than did participants in the control condition, i(28) = 2.12, p = .043, d = 0.80</t>
  </si>
  <si>
    <t>curatescience75</t>
  </si>
  <si>
    <t>Husnu, S., &amp; Crisp, R. J. (2010). Elaboration enhances the imagined contact effect. Journal of Experimental Social Psychology, 46(6), 943-950.</t>
  </si>
  <si>
    <t>10.1016/j.jesp.2010.05.014</t>
  </si>
  <si>
    <t>11 (as labeled in the Many Labs supplement).</t>
  </si>
  <si>
    <t>Imagined contact enhances future contact intentions</t>
  </si>
  <si>
    <t>imagined contact, future intentions, many labs, replication</t>
  </si>
  <si>
    <t>The replication tested whether imagining positive contact with an outgroup increases intentions to engage in future intergroup contact. It found a small but statistically significant effect: d = .13, p &lt; .001​ML.web.Supplement (1)</t>
  </si>
  <si>
    <t>Participants who imagined contact reported greater intentions to engage in future actual contact (M = 5.93, SD = 1.67) than did participants in the control condition (M = 4.69, SD = 1.26), t(31) = -2.39, p = .023, d = .86.</t>
  </si>
  <si>
    <t>Page 945</t>
  </si>
  <si>
    <t>Reported in Many Labs supplementary materials, Section 11: Imagined contact and future contact intentions</t>
  </si>
  <si>
    <t>imagined context effect</t>
  </si>
  <si>
    <t>when individuals were instructed to imagine contact with a British Muslim stranger they subsequently reported greater intentions to engage in future social contact with British Muslims in general</t>
  </si>
  <si>
    <t>curatescience8_1</t>
  </si>
  <si>
    <t>curatescience8</t>
  </si>
  <si>
    <t>Attachment anxiety positively predicts sensitivity to temperature cues in corrected study</t>
  </si>
  <si>
    <t>https://osf.io/5kyjt</t>
  </si>
  <si>
    <t>LeBel, E. P., &amp; Campbell, L. (2013). Heightened sensitivity to temperature cues in individuals with high anxious attachment. Psychological Science, 24(10), 2128–2130. https://doi.org/10.1177/0956797613486983 (Study 2)</t>
  </si>
  <si>
    <t>0.000563</t>
  </si>
  <si>
    <t>0.720</t>
  </si>
  <si>
    <t>http://osf.io/Cju65/files/ReplicationProtocol_%20for_Vess2012_Replication_2_-_LeBel.doc</t>
  </si>
  <si>
    <t>Please rather use test statistics than beta coefficients. This makes conversions easier for us.</t>
  </si>
  <si>
    <t>curatescience8_b</t>
  </si>
  <si>
    <t>0.107</t>
  </si>
  <si>
    <t>curatescience8_c</t>
  </si>
  <si>
    <t>0.154</t>
  </si>
  <si>
    <t>curatescience86</t>
  </si>
  <si>
    <t>Oppenheimer, D. M., Meyvis, T., &amp; Davidenko, N. (2009). Instructional manipulation checks: Detecting satisficing to increase statistical power. Journal of experimental social psychology, 45(4), 867-872.</t>
  </si>
  <si>
    <t>10.1016/j.jesp.2009.03.009</t>
  </si>
  <si>
    <t>01 (as labeled in the Many Labs supplement).</t>
  </si>
  <si>
    <t>Instructional manipulation checks improve data quality and increase statistical power</t>
  </si>
  <si>
    <t>IMC, satisficing, many labs, replication</t>
  </si>
  <si>
    <t>The replication tested whether instructional manipulation checks (IMCs) reduce noise and improve data reliability. The effect was confirmed with key statistical results: e.g., F(1, 113) = 3.55, p = .06 for data reliability among participants passing the IMC​</t>
  </si>
  <si>
    <t>Participants who passed the IMC were more likely to show the expected price expectation effect: F(1, 113) = 7.72, p &lt; .01, η² = .06, compared to those who failed the IMC: F(1, 96) = 0.34, p &gt; .1.</t>
  </si>
  <si>
    <t>Page 869</t>
  </si>
  <si>
    <t>Reported on page 869.</t>
  </si>
  <si>
    <t>Reported in Many Labs supplementary materials, Section 1: Instructional Manipulation Checks and Detecting Satisficing</t>
  </si>
  <si>
    <t>Instructional manipulation checks</t>
  </si>
  <si>
    <t>Participants who clicked on the sports categories or the continue button rather than the title (as they were instructed to do), were coded as having failed the IMC. Overall, 46% of the sample failed the IMC.</t>
  </si>
  <si>
    <t>curatescience9_1</t>
  </si>
  <si>
    <t>curatescience9</t>
  </si>
  <si>
    <t>Values were the same as in the Curatescience Database but not the same as in the papers (before: original effect d=0.59 - repl. effect d=0.44)</t>
  </si>
  <si>
    <t>Besman, M., Dubensky, C., Dunsmore, L., &amp; Daubman, K. (2013). Cleanliness primes less severe moral judgments. Retrieved from http://www.psychfiledrawer.org/replication.php?attempt=MTQ5</t>
  </si>
  <si>
    <t>https://web.archive.org/web/20191117063540/http://www.psychfiledrawer.org/replication.php?attempt=MTQ5</t>
  </si>
  <si>
    <t>cleanliness priming effect</t>
  </si>
  <si>
    <t>t(58)=-1.8</t>
  </si>
  <si>
    <t>SMS (to do)</t>
  </si>
  <si>
    <t>default es_value_r differs from my calculations</t>
  </si>
  <si>
    <t>curatescience9_1_Besman M.et_al.2013.pdf</t>
  </si>
  <si>
    <t>datareplicada10a_1</t>
  </si>
  <si>
    <t>datareplicada10a</t>
  </si>
  <si>
    <t>2.3.2025</t>
  </si>
  <si>
    <t>1. Effect size for the orignal study is taken from the replication study. 2. The page number for replication study is not applicable as replicable study is presented on the webpage.</t>
  </si>
  <si>
    <t>changed pval_value_o; added NA to prereg_o, changed es_value_r to  -0.098</t>
  </si>
  <si>
    <t>Etkin, J. &amp; Memmi, S. (2021). Goal Conflict Encourages Work and Discourages Leisure. Journal of Consumer Research, 47(5), 716–736. https://doi.org/10.1093/jcr/ucaa019 Study 1a</t>
  </si>
  <si>
    <t>10.1093/jcr/ucaa019</t>
  </si>
  <si>
    <t>10.1093--jcr--ucaa019.pdf</t>
  </si>
  <si>
    <t>Simmons, J. &amp;. Nelson, L.D. (2021, May 4). [97] Data Replicada #10: Does Goal Conflict Affect Time Spent on Work and Leisure? Data Colada. (Replication 1 Effect 1)</t>
  </si>
  <si>
    <t>https://datacolada.org/97</t>
  </si>
  <si>
    <t>Replication 1 Effect 1</t>
  </si>
  <si>
    <t>goal conflict</t>
  </si>
  <si>
    <t>goal conflict, time allocation, work/leisure, justification, scarcity, productivity</t>
  </si>
  <si>
    <t>People who are faced with a goal conflict are (1) more likely to spend time on work and (2) less likely to spend time on leisure.</t>
  </si>
  <si>
    <t>"When shopping for books was framed as work, perceiving greater goal conflict increased how much time people spent browsing the set of books (Mhigh conflict = 81.32 seconds, SD = 60.12 vs. Mlow conflict = 52.50 seconds, SD = 47.99; F(1, 206) = 5.66, p=0.18, np2=.03"</t>
  </si>
  <si>
    <t>p.14, 15</t>
  </si>
  <si>
    <t xml:space="preserve">SMS </t>
  </si>
  <si>
    <t>datareplicada10</t>
  </si>
  <si>
    <t>Kaiser, Leonard, Roksana</t>
  </si>
  <si>
    <t>07.04.2023</t>
  </si>
  <si>
    <t>For the original study, the spreadsheet was already coded with cohens d found from the replication discussion. "Although the original authors reported fairly strong support for this hypothesis (d = .58)" but I coded partial etasq found originally in paper</t>
  </si>
  <si>
    <t>1 (Effect 1)</t>
  </si>
  <si>
    <t>Identical replication</t>
  </si>
  <si>
    <t>Goal Conflict</t>
  </si>
  <si>
    <t>Goal Conflict, Time Allocation, Work/Leisure, Justification, Scarcity, Productivity</t>
  </si>
  <si>
    <t>People who are faced with a goal conflict increase the time spent on the book-browsing task when it is framed as work</t>
  </si>
  <si>
    <t>As predicted, goal conflict encouraged work and discouraged leisure. When shopping for books was framed as work, perceiving greater goal conflict increased how much time people spent browsing the set of books (Mhigh conflict = 81.32 seconds, SD = 60.12 vs. Mlow conflict = 52.50 seconds, SD = 47.99; F(1, 206) = 5.66, p = .018, ηp² = .03)</t>
  </si>
  <si>
    <t>[97] Data Replicada #10: Does Goal Conflict Affect Time Spent on Work and Leisure? - Data Colada</t>
  </si>
  <si>
    <t>datareplicada10_b</t>
  </si>
  <si>
    <t>1) For the original study, the spreadsheet was already coded with cohens d found from the replication discussion. "Nevertheless, the effect sizes we observed (ds = -.13 and -.15) are much smaller than what was reported in the original (d = -.34)"  but I coded partial etasq found originally in paper 2) For the replication, the effect size reported here was ds</t>
  </si>
  <si>
    <t>Simmons, J. &amp;. Nelson, L.D. (2021, May 4). [97] Data Replicada #10: Does Goal Conflict Affect Time Spent on Work and Leisure? Data Colada. (Replication 1 Effect 2)</t>
  </si>
  <si>
    <t>1 (Effect 2)</t>
  </si>
  <si>
    <t>People who are faced with a goal conflict goal decrease the time spent on the book-browsing task when it is framed as leisure</t>
  </si>
  <si>
    <t>When shopping for books was framed as leisure, however, the opposite occurred: Perceiving greater goal conflict decreased the time spent (Mhigh conflict = 70.53 seconds, SD = 77.51 vs. Mlow conflict = 83.88 seconds, SD = 75.12; F(1, 206) = 4.08, p = .045, ηp² = .02).</t>
  </si>
  <si>
    <t>datareplicada10_c</t>
  </si>
  <si>
    <t>For the original study, the spreadsheet was already coded with cohens d found from the replication discussion. "Although the original authors reported fairly strong support for this hypothesis (d = .58)"  but I coded partial etasq found originally in paper</t>
  </si>
  <si>
    <t>Simmons, J. &amp;. Nelson, L.D. (2021, May 4). [97] Data Replicada #10: Does Goal Conflict Affect Time Spent on Work and Leisure? Data Colada. (Replication 2 Effect 1)</t>
  </si>
  <si>
    <t>2 (Effect 1)</t>
  </si>
  <si>
    <t>datareplicada10_d</t>
  </si>
  <si>
    <t>Simmons, J. &amp;. Nelson, L.D. (2021, May 4). [97] Data Replicada #10: Does Goal Conflict Affect Time Spent on Work and Leisure? Data Colada. (Replication 2 Effect 2)</t>
  </si>
  <si>
    <t>2 (Effect 2)</t>
  </si>
  <si>
    <t>datareplicada10b_1</t>
  </si>
  <si>
    <t>datareplicada10b</t>
  </si>
  <si>
    <t>Replication 1 Effect 2</t>
  </si>
  <si>
    <t>"When shopping for books was framed as leisure, however, the opposite occurred: Perceiving greater goal conflict decreased the time spent (Mhigh conflict = 70.53 seconds, SD = 77.51 vs. Mlow conflict = 83.88 seconds, SD = 75.12; F(1, 206) = 4.08, p = .045, ηp2 = .02)"</t>
  </si>
  <si>
    <t>datareplicada10d_1</t>
  </si>
  <si>
    <t>datareplicada10d</t>
  </si>
  <si>
    <t>Replication 2 Effect 2</t>
  </si>
  <si>
    <t>datareplicada2_1</t>
  </si>
  <si>
    <t>datareplicada2</t>
  </si>
  <si>
    <t>1.Test stastic for original study are consulted from the replication study and matched with the original study. 2. I am not sure type of "b" I selected for the effect size for replication is correct or not. 3. The page number for replication study is not applicable as replicable study is presented on the webpage.</t>
  </si>
  <si>
    <t>Wu, E.C., Moore, S.G., &amp; Fitzsimons, G.J. (2019). Wine for the Table: Self-Construal, Group Size, and Choice for Self and Others. Journal of Consumer Research. Study 3</t>
  </si>
  <si>
    <t>10.1093/jcr/ucy082</t>
  </si>
  <si>
    <t>10.1093--jcr--ucy082.pdf</t>
  </si>
  <si>
    <t>Simmons, J. &amp;. Nelson, L.D. (2020). [83] Data Replicada #2: Do Self-Construal and Group Size Influence How People Make Choices on Behalf of a Group? Data Colada. (Replication 2)</t>
  </si>
  <si>
    <t>https://datacolada.org/83</t>
  </si>
  <si>
    <t>Replication 2</t>
  </si>
  <si>
    <t>na.pdf</t>
  </si>
  <si>
    <t>attention to others as mediator</t>
  </si>
  <si>
    <t>self-construal, choice, group size, joint consumption</t>
  </si>
  <si>
    <t>Interdependent consumers consistently make choices that balance self and others’ preferences, regardless of group size. In contrast, the choices of independent consumers differ depending on group size: for smaller groups, independents make choices that balance self and others’ preferences, while for larger groups, they make choices that more strongly reflect their own preferences</t>
  </si>
  <si>
    <t>"Results revealed a significant three-way interaction (β = 0.33, t(239) = 2.20, p = .03)."</t>
  </si>
  <si>
    <t>t(239) = 2.20</t>
  </si>
  <si>
    <t>p.26, 27</t>
  </si>
  <si>
    <t>Wave 1: https://aspredicted.org/ni9xq.pdf; Wave 2: https://aspredicted.org/zi4ue.pdf</t>
  </si>
  <si>
    <t>28.08.2023</t>
  </si>
  <si>
    <t>1 (with typo)</t>
  </si>
  <si>
    <t>Preregistered replication</t>
  </si>
  <si>
    <t>Unilateral decisions on behalf of the self and multiple others</t>
  </si>
  <si>
    <t>Self-construal, Choice, Group Size, Joint Consumption</t>
  </si>
  <si>
    <t>Independent consumers who choose on behalf of large groups tend to choose more selfishly</t>
  </si>
  <si>
    <t>Next, we regressed book deal choice (M = 4.06, SD = 0.89) on self-construal prime, group size, book preference, and their interactions, with frequency of reading each genre (Mnon-fiction = 5.25, SD = 1.69, β = -0.13, t(239) = -1.78, p = .08; Mfiction = 5.17, SD = 1.60, β = 0.13, t(239) = 1.83, p = .07) and accountability (β = 0.16, t(239) = 2.64, p = .009) as covariates. Results revealed a significant three-way interaction (β = 0.33, t(239) = 2.20, p = .03</t>
  </si>
  <si>
    <t>[83] Data Replicada #2: Do Self-Construal and Group Size Influence How People Make Choices on Behalf of a Group? - Data Colada</t>
  </si>
  <si>
    <t>https://aspredicted.org/ni9xq.pdf</t>
  </si>
  <si>
    <t>datareplicada2_b</t>
  </si>
  <si>
    <t>2 (without typo)</t>
  </si>
  <si>
    <t>https://aspredicted.org/zi4ue.pdf</t>
  </si>
  <si>
    <t>datareplicada3_1</t>
  </si>
  <si>
    <t>datareplicada3</t>
  </si>
  <si>
    <t>Savary, J., Dhar, R.K., JoharEditor, G.V., &amp; InmanEditor, J.J. (2020). The Uncertain Self: How Self-Concept Structure Affects Subscription Choice. Journal of Consumer Research. Study 4</t>
  </si>
  <si>
    <t>10.1093/jcr/ucz022</t>
  </si>
  <si>
    <t>10.1093--jcr--ucz022.pdf</t>
  </si>
  <si>
    <t xml:space="preserve">Simmons, J. &amp;. Nelson, L.D. (2020). [84] Data Replicada #3: Does Self-Concept Uncertainty Influence Magazine Subscription Choice?
Data Colada. https://datacolada.org/84  </t>
  </si>
  <si>
    <t>https://datacolada.org/84</t>
  </si>
  <si>
    <t>1 (retention condition)</t>
  </si>
  <si>
    <t>Self-concept uncertainty</t>
  </si>
  <si>
    <t>Self-concept clarity, subscription services, self-signaling, retention choice, self-concept structure, identity signaling</t>
  </si>
  <si>
    <t>Consumers with “low self-concept clarity” should be more motivated to keep their identities stable by retaining products that are relevant to their identities</t>
  </si>
  <si>
    <t>"Among participants who made a retention choice, those in the low SCC condition were more likely to retain the identity-relevant subscription than those in the high SCC condition, MlowSCC/RetainSubscription = 63.3, SD = 39.1 vs. MhighSCC/RetainSubscription = 52.5, SD = 43.9, F(1, 401) = 3.68, p = .056, d = .27."</t>
  </si>
  <si>
    <t>https://aspredicted.org/mi7km.pdf</t>
  </si>
  <si>
    <t>datareplicada3_1_2_1</t>
  </si>
  <si>
    <t>Kaiser, Leonard</t>
  </si>
  <si>
    <t>Retention condition</t>
  </si>
  <si>
    <t>Simmons, J. &amp;. Nelson, L.D. (2020). [84] Data Replicada #3: Does Self-Concept Uncertainty Influence Magazine Subscription Choice? Data Colada. https://datacolada.org/84</t>
  </si>
  <si>
    <t>Self-concept clarity</t>
  </si>
  <si>
    <t>Self-concept clarity, subscription services, self-signaling, retention choice, self concept structure, identity signaling</t>
  </si>
  <si>
    <t>Participants with low self-concept clarity were more likely to retain the identity-relevant subscription</t>
  </si>
  <si>
    <t>Among participants who made a retention choice, those in the low SCC condition were more likely to retain the identity-relevant subscription than those in the high SCC condition, M (lowSCC/RetainSubscription) = 63.3, SD = 39.1 vs. M (highSCC/RetainSubscription) = 52.5, SD = 43.9, F(1, 401) = 3.68, p = .056, d = .27. 	29	405	0.27	d	p.29	0.056	e (=)	2 (two)	no		1283	-0.07	d		0.379	e (=)	2 (two)	no	https://aspredicted.org/mi7km.pdf	2 - close
datareplicada3_2	datareplicada3_1_2_2	Kaiser, Leonard	01/11/2023			Acquisition condition	Savary, J., Dhar, R.K., JoharEditor, G.V., &amp; InmanEditor, J.J. (2020). The Uncertain Self: How Self-Concept Structure Affects Subscription Choice. Journal of Consumer Research. Study 4	10.1093/jcr/ucz022	4	10.1093--jcr--ucz022.pdf	LINK	Simmons, J. &amp;. Nelson, L.D. (2020). [84] Data Replicada #3: Does Self-Concept Uncertainty Influence Magazine Subscription Choice? Data Colada. https://datacolada.org/84  	NA	https://datacolada.org/84		na.pdf	Replication	LINK		Marketing	Self-concept clarity	Self-concept clarity, subscription services, self-signaling, retention choice, self concept structure, identity signaling 	Participants with low self-concept clarity were less likely to acquire the identity-relevant subscription	Participants in the low SCC condition were significantly less likely to acquire the identity-relevant subscription, M (lowSCC/AcquireSubscription) = 46.6, SD = 39.4 vs. M (highSCC/ AcquireSubscription) = 61.9, SD = 37.6, F(1, 401) = 7.38, p = .007, d = .40"</t>
  </si>
  <si>
    <t>datareplicada3_2</t>
  </si>
  <si>
    <t>datareplicada3_b</t>
  </si>
  <si>
    <t>1 (acquisition condition)</t>
  </si>
  <si>
    <t>Consumers with “low self-concept clarity” should be more motivated to keep their identities stable by choosing not to acquire new products that are relevant to their identities</t>
  </si>
  <si>
    <t>"However, we found the reverse effect for the acquisition choices. Specifically, participants in the low SCC condition were significantly less likely to acquire the identity-relevant subscription, MlowSCC/AcquireSubscription = 46.6, SD = 39.4 vs. MhighSCC/ AcquireSubscription = 61.9, SD = 37.6, F(1, 401) = 7.38, p = .007, d = .40."</t>
  </si>
  <si>
    <t>datareplicada4_1</t>
  </si>
  <si>
    <t>datareplicada4</t>
  </si>
  <si>
    <t>1. The page number for replication study is not applicable as replicable study is presented on the webpage.</t>
  </si>
  <si>
    <t>Here only the results for the "without confound" condition are given because: "It seems that curiosity does not tempt indulgence, at least not in a way that is detectable with 750 per cell. Rather, the authors’ original result was best explained by a confound. Furthermore, it was a confound that could only be identified in the original materials, and was not observable to reviewers and readers who were merely reading the final manuscript"</t>
  </si>
  <si>
    <t>Wiggin, K., Reimann, M., &amp; Jain, S.P. (2018). Curiosity Tempts Indulgence. Journal of Consumer Research.</t>
  </si>
  <si>
    <t>10.1093/jcr/ucy055</t>
  </si>
  <si>
    <t>10.1093--jcr--ucy055.pdf</t>
  </si>
  <si>
    <t>Simmons, J. &amp;. Nelson, L.D. (2020). [85] Data Replicada #4: The Problem of Hidden Confounds Data Colada. https://datacolada.org/85  Only Replication without Confounds</t>
  </si>
  <si>
    <t>https://datacolada.org/85</t>
  </si>
  <si>
    <t>Only Replication without Confounds</t>
  </si>
  <si>
    <t>curiosity desires</t>
  </si>
  <si>
    <t>curiosity, desire for rewards, indulgent consumption, consumer neuroscience, fMRI, insula, multimethod mediation</t>
  </si>
  <si>
    <t>In that study, participants were induced to feel curious or not and then were asked to (hypothetically) choose between two gym memberships, one for a “normal” gym and one for an “indulgent” gym (on a 9-point scale). The authors reported that those induced to feel curious were more likely to choose the indulgent gym.</t>
  </si>
  <si>
    <t>"Participants in the high curiosity condition were significantly more curious (MHigh = 3.11, SD = .53) than were participants in the control condition (MControl = 2.72, SD = .59), t(195) = 4.91, p &lt; .001, d = .70."</t>
  </si>
  <si>
    <t>p.25</t>
  </si>
  <si>
    <t>F(1, 3004) = 281.42</t>
  </si>
  <si>
    <t>https://aspredicted.org/mz4h8.pdf</t>
  </si>
  <si>
    <t>Ideally, I would have coded 3 rows for the replication: 1 total effect, 1 with original confounding variable and 1 without original confounding variable but I could not find this data on the replication and could only find the total effect: "Specifically, there were significant main effects of Curiosity condition, F(1, 3003) = 18.53, p &lt; 10-4, and Instruction condition, F(1, 3003) = 12.55, p = .0004, that were qualified by a significant Curiosity x Instruction interaction, F(1, 3003) = 10.88, p = .001."</t>
  </si>
  <si>
    <t>I wonder if this should be an exclusion if we cannot get the full values from the replication</t>
  </si>
  <si>
    <t>Curiosity in indulgence-related decisions</t>
  </si>
  <si>
    <t>Curiosity, Desire for rewards, Indulgent consumption, Consumer neuroscience, fMRI, Insula, Multi-method mediation.</t>
  </si>
  <si>
    <t>Participants who are induced to feel curious are more likely to choose the indulgent gym over the normal gym</t>
  </si>
  <si>
    <t>Curiosity Increases Indulgence. Participants in the high curiosity condition were significantly more likely to choose the indulgent reward option (MHigh = 6.52, SD = 3.92) than were those in the control condition (MControl = 4.69, SD = 3.86), t(194) = 3.28, p &lt; .01, d = .47.</t>
  </si>
  <si>
    <t>p. 25- 26</t>
  </si>
  <si>
    <t>F(1, 3003) = 18.53</t>
  </si>
  <si>
    <t>[85] Data Replicada #4: The Problem of Hidden Confounds - Data Colada</t>
  </si>
  <si>
    <t>aspredicted.org/mz4h8.pdf</t>
  </si>
  <si>
    <t>datareplicada7a_1</t>
  </si>
  <si>
    <t>datareplicada7</t>
  </si>
  <si>
    <t>29.08.2023</t>
  </si>
  <si>
    <t>changed claim_page_o to 15</t>
  </si>
  <si>
    <t>VanBergen, N., Irmak, C., &amp; Sevilla, J. (2020). Product Entitativity: How the Presence of Product Replicates Increases Perceived and Actual Product Efficacy. Journal of Consumer Research, 47, 192-214. Study 1</t>
  </si>
  <si>
    <t>10.1093/jcr/ucaa006</t>
  </si>
  <si>
    <t>10.1093--jcr--ucaa006.pdf</t>
  </si>
  <si>
    <t>Simmons, J. &amp;. Nelson, L.D. (2020). [90] Data Replicada #7: Does Displaying Multiple Copies of a Product Increase Its Perceived Effectiveness? Data Colada. (Replication 1)</t>
  </si>
  <si>
    <t>https://datacolada.org/90</t>
  </si>
  <si>
    <t>Replication 1</t>
  </si>
  <si>
    <t>Product efficacy</t>
  </si>
  <si>
    <t>Entitativity, product quantity, perceived efficacy</t>
  </si>
  <si>
    <t>Presenting multiple product replicates as a group (vs. presenting a single item) increases product efficacy perceptions</t>
  </si>
  <si>
    <t>"An independent samples t-test on the efficacy composite revealed that participants believed Dettol would be significantly more effective when the ad featured multiple products (M = 7.02, SD = 1.55) than a single unit (M = 6.36, SD = 1.50; t(85) = 2.00, p = .048; η² = .045)."</t>
  </si>
  <si>
    <t>https://aspredicted.org/gi726.pdf</t>
  </si>
  <si>
    <t>datareplicada7a</t>
  </si>
  <si>
    <t>Nikita Otstavnov</t>
  </si>
  <si>
    <t>27.02.2025</t>
  </si>
  <si>
    <t>changed es_value_o to 0.045</t>
  </si>
  <si>
    <t>Displayed quantity</t>
  </si>
  <si>
    <t>Entitativity, Product Quantity, Perceived Efficacy</t>
  </si>
  <si>
    <t>Multiple products influenced participants belief of Dettol effectivity</t>
  </si>
  <si>
    <t>An independent samples t-test on the efficacy composite revealed that participants believed Dettol would be significantly more effective when the ad featured multiple products (M = 7.02, SD = 1.55) than a single unit (M = 6.36, SD = 1.50; t(85) = 2.00, p = .048; η2 = .045)</t>
  </si>
  <si>
    <t>datareplicada7b_1</t>
  </si>
  <si>
    <t>datareplicada7_b</t>
  </si>
  <si>
    <t>Simmons, J. &amp;. Nelson, L.D. (2020). [90] Data Replicada #7: Does Displaying Multiple Copies of a Product Increase Its Perceived Effectiveness? Data Colada. (Replication 2)</t>
  </si>
  <si>
    <t>https://aspredicted.org/pw4tv.pdf</t>
  </si>
  <si>
    <t>datareplicada7b</t>
  </si>
  <si>
    <t>datareplicada7c_1</t>
  </si>
  <si>
    <t>datareplicada7_c</t>
  </si>
  <si>
    <t>Simmons, J. &amp;. Nelson, L.D. (2020). [90] Data Replicada #7: Does Displaying Multiple Copies of a Product Increase Its Perceived Effectiveness? Data Colada. (Replication 3)</t>
  </si>
  <si>
    <t>Replication 3</t>
  </si>
  <si>
    <t>https://aspredicted.org/n5tu8.pdf</t>
  </si>
  <si>
    <t>datareplicada7c</t>
  </si>
  <si>
    <t>dqv9y_1</t>
  </si>
  <si>
    <t>dqv9y</t>
  </si>
  <si>
    <t>Kasia Banas</t>
  </si>
  <si>
    <t>updated reference, used verion 9; effect sizes based on OSF post completion registration</t>
  </si>
  <si>
    <t>Elliot, A. J., Niesta Kayser, D., Greitemeyer, T., Lichtenfeld, S., Gramzow, R. H., Maier, M. A., &amp; Lu, H. (2010). Red, rank, and romance in women viewing men. Journal of Experimental Psychology: General, 139(3), 399–417. DOI: https://doi.org/10.1037/ a0019689</t>
  </si>
  <si>
    <t>10.1037/a0019689</t>
  </si>
  <si>
    <t>10.1037--a0019689.pdf</t>
  </si>
  <si>
    <r>
      <rPr>
        <rFont val="Calibri"/>
        <color rgb="FF38761D"/>
        <sz val="11.0"/>
      </rPr>
      <t xml:space="preserve">Wagge, J. R., Baciu, C., Banas, K., Nadler, J. T., Schwarz, S., Weisberg, Y. J., … Grahe, J. E. (2018, June 22). A Demonstration of the Collaborative Replication and Education Project: Replication Attempts of the Red-Romance Effect. </t>
    </r>
    <r>
      <rPr>
        <rFont val="Calibri"/>
        <color rgb="FF38761D"/>
        <sz val="11.0"/>
        <u/>
      </rPr>
      <t>https://doi.org/10.31234/osf.io/chax8</t>
    </r>
  </si>
  <si>
    <t>10.1525/collabra.177</t>
  </si>
  <si>
    <t>red-romance effect</t>
  </si>
  <si>
    <t>color, red, attractiveness, status, attraction</t>
  </si>
  <si>
    <t>effect of red on attractiveness perceptions</t>
  </si>
  <si>
    <t>"an independent-samples t test exam-ining the influence of color condition on perceived attractiveness revealed a significant color effect, t(32)  2.44, p  .05, d  0.86. Participants in the red condition, compared with those in the gray condition, rated the target man as more attractive (M  6.69, SD 1.22, and M  5.27, SD  2.04, respectively)"</t>
  </si>
  <si>
    <t>https://osf.io/dqv9y</t>
  </si>
  <si>
    <t>https://doi.org/10.17605/OSF.IO/YCQN9</t>
  </si>
  <si>
    <t>Kasia Banas, Jyoti Bhogal</t>
  </si>
  <si>
    <t>Banas, K. (2014, June 17). Replication of Elliot et al.  (2010) for CREP at the University of Edinburgh. https://doi.org/10.17605/OSF.IO/DQV9Y</t>
  </si>
  <si>
    <t>10.17605/OSF.IO/DQV9Y</t>
  </si>
  <si>
    <t>10.17605--osf.io--dqv9y.pdf</t>
  </si>
  <si>
    <t>influence of color condition on perceived attractiveness</t>
  </si>
  <si>
    <t>color not only has aesthetic value but can carry meaning
and impact psychological functioning in subtle, important, and provocative ways</t>
  </si>
  <si>
    <t>p.405</t>
  </si>
  <si>
    <t>influence of color condition on desired sexual behavior</t>
  </si>
  <si>
    <t>p.406</t>
  </si>
  <si>
    <t>effect of color condition on perceived likability.</t>
  </si>
  <si>
    <t xml:space="preserve">unavailable
</t>
  </si>
  <si>
    <t>p.407</t>
  </si>
  <si>
    <t>dqv9y_b</t>
  </si>
  <si>
    <t>Wagge, J. R., Baciu, C., Banas, K., Nadler, J. T., Schwarz, S., Weisberg, Y. J., … Grahe, J. E. (2018, June 22). A Demonstration of the Collaborative Replication and Education Project: Replication Attempts of the Red-Romance Effect. https://doi.org/10.31234/osf.io/chax8</t>
  </si>
  <si>
    <t>effect of red on sexual attraction</t>
  </si>
  <si>
    <t>"an independent-samples t test examining the influ-ence of color condition on desired sexual behavior revealed a significant color effect, t(32)  2.43, p  .05, d  0.85. Partici-pants in the red condition, compared with those in the gray condition, wanted to date/kiss the man more (M  5.41, SD 2.18, and M  3.81, SD  1.52, respectively)"</t>
  </si>
  <si>
    <t>dqv9y_c</t>
  </si>
  <si>
    <t>effect of red on overall likability judgements</t>
  </si>
  <si>
    <t>"an independent-samples t test was used to examine the effect of color condition on perceived likability. The analysis yielded a null effect ( p  .63)"</t>
  </si>
  <si>
    <t>e9d3k_1</t>
  </si>
  <si>
    <t>e9d3k</t>
  </si>
  <si>
    <t>Jarret Crawford</t>
  </si>
  <si>
    <t>Cheung, B. Y., &amp; Heine, S. J. (2015). The double-edged sword of genetic accounts of criminality: Causal attributions from genetic ascriptions affect legal decision making. Personality and Social Psychology Bulletin, 41(12), 1723-1738.</t>
  </si>
  <si>
    <t>10.1177/0146167215610520</t>
  </si>
  <si>
    <t>10.1177--0146167215610520.pdf</t>
  </si>
  <si>
    <t>Crawford, J. (2016, May 2). Syntax and output files for Cheung &amp; Heine 2015 study 3 replication. https://doi.org/10.17605/OSF.IO/E9D3K</t>
  </si>
  <si>
    <t>10.17605/OSF.IO/E9D3K</t>
  </si>
  <si>
    <t>mediation model</t>
  </si>
  <si>
    <t>genetic essentialism, attribution theory, legal decision making, psychological essentialism</t>
  </si>
  <si>
    <t>main effect of condition on the applicability of the insanity defense</t>
  </si>
  <si>
    <t>"Defense claims. There was a main effect of Condition on the applicability of the insanity defense, F(3, 290) = 4.53, p = .004, ηp2= 0.04, 95% CI = [0.00, 0.09]. It was endorsed less in the Environmental condition (M = 2.06, SE = 0.22) than in the Genetic (M = 2.92, SE = 0.21), p = .005, d = 0.46, 95% CI = [0.13, 0.78], Gene-Impulse (M = 2.89, SE = 0.23), p = .009, d = 0.44, 95% CI = [0.11, 0.77], and Gene-Control conditions (M = 3.09, SE = 0.22), p = .001, d = 0.55, 95% CI = [0.22, 0.88]. The latter three were not significantly
different, ps &gt; .500"</t>
  </si>
  <si>
    <t>https://doi.org/10.17605/OSF.IO/E9D3K</t>
  </si>
  <si>
    <t>Jarret Crawford, Jyoti Bhogal</t>
  </si>
  <si>
    <t>to test whether genetic ascriptions affect people’s judgments
because they expect perpetrators to have stronger impulses
toward violence or have less control of their impulses.</t>
  </si>
  <si>
    <t>e9d3k_b</t>
  </si>
  <si>
    <t>main effect of condition for the diminished capacity defense</t>
  </si>
  <si>
    <t>"there was a main effect of Condition for the diminished capacity defense, F(3, 289) = 12.82, p &lt; .001, ηp2= 0.12, 95% CI = [0.05, 0.18]. It was endorsed less in the Environmental condition (M = 2.96, SE = 0.22) than in the Genetic (M = 4.56, SE = 0.22), p &lt; .001, d = 0.83, 95% CI = [0.50, 1.16], Gene-Impulse (M = 4.62, SE = 0.23), p &lt; .001, d = 0.87, 95% CI = [0.53, 1.21], and Gene-Control conditions (M = 4.45, SE = 0.22), p &lt; .001, d = 0.78, 95% CI = [0.44, 1.11]. The latter three were not significantly different, ps &gt; .500"</t>
  </si>
  <si>
    <t>e9d3k_c</t>
  </si>
  <si>
    <t>main effect of condition on the intoxication defense</t>
  </si>
  <si>
    <t>"there was no main effect of Condition on the intoxica-
tion defense, F(3, 289) = 1.10, p = .349, ηp2= 0.01, 95% 
CI = [0.00, 0.04].</t>
  </si>
  <si>
    <t>e9d3k_d</t>
  </si>
  <si>
    <t>main effect of condition on the sentencing</t>
  </si>
  <si>
    <t>"Sentencing. Unlike Studies 1 and 2, but replicating other research (e.g., Aspinwall et al., 2012; Dar-Nimrod et al.,
2011), there was a main effect of Condition, F(3, 291) =7.48, p &lt; .001, ηp2= 0.07, 95% CI = [0.02, 0.13]. It was sig-nificantly longer in the Environmental condition (M = 29.70,SE = 1.70) than in the Genetic (M = 23.96, SE = 1.68), p = .017, d = −0.39, 95% CI = [−0.71, −0.07], Gene-Impulse (M = 18.76, SE = 1.77), p &lt; .001, d = −0.74, 95% CI = [−1.08, −0.40], and Gene-Control conditions (M = 21.09, SE = 1.73), p &lt; .001, d = −0.58, 95% CI = [−0.91, −0.25]. The only other significantly different contrast was between the Genetic and Gene-Impulse conditions, p = .034, d = 0.35, 95% CI = [0.02, 0.68]. The remaining contrasts were not signifi-cant, ps &gt; .200"</t>
  </si>
  <si>
    <t>e9d3k_e</t>
  </si>
  <si>
    <t>significant effect of condition on perceived conscious control</t>
  </si>
  <si>
    <t>"perpetrator-relevant perceptions. Replicating previous studies, there was a significant effect of condition on perceived con-trol, F(3, 290) = 10.82, p &lt; .001, ηp2 = 0.10, 95% CI = [0.04, 0.16]. It was significantly higher in the Environmental con-dition (M = 6.16, SE = 0.15) than in the Genetic (M = 5.10, 
SE = 0.15), p &lt; .001, d = −0.78, 95% CI = [−1.11, −0.45], Gene-Impulse (M = 5.17, SE = 0.16), p &lt; .001, d = −0.74, 95% CI = [−1.07, −0.40], and Gene-Control conditions (M = 5.14, SE = 0.16), p &lt; .001, d = −0.76, 95% CI = [−1.09, −0.42]. The latter three were not significantly different, ps &gt; .700"</t>
  </si>
  <si>
    <t>e9d3k_f</t>
  </si>
  <si>
    <t xml:space="preserve">effect of condition on perceived recidivism </t>
  </si>
  <si>
    <t>"condition did not affect perceived recidivism or intention to kill, Fs &lt; 2.00, ps &gt; .200, ηp2s = 0.01"</t>
  </si>
  <si>
    <t>e9d3k_g</t>
  </si>
  <si>
    <t>effect of condition on perceived intention to kill</t>
  </si>
  <si>
    <t>e9d3k_h</t>
  </si>
  <si>
    <t>effect of condition on criminal responsibility</t>
  </si>
  <si>
    <t>"condition significantly affected criminal responsibility, F(3, 291) = 4.31, p = .005, ηp2 = 0.04, 95% CI = [0.00, 0.09]. It was significantly higher in the Environmental condition (M = 6.37, SE = 0.14) than in the Genetic (M = 5.83, SE = 0.14), p = .005, d = −0.45, 95% CI = [−0.77, −0.13], Gene-Impulse (M = 5.75, SE = 0.14), p = .002, d = −0.51, 95% CI = [−0.84, −0.18], and Gene-Control conditions (M = 5.81, SE = 0.14), p = .005, d = −0.47, 95% CI = [−0.79, −0.14]. The latter three were not significantly different, ps &gt; .700"</t>
  </si>
  <si>
    <t>e9d3k_i</t>
  </si>
  <si>
    <t>effect of condition on causal locus</t>
  </si>
  <si>
    <t>"causal attributions. Condition significantly affected causal locus, F(3, 290) = 8.65, p &lt; .001, ηp2= 0.08, 95% CI = [0.03, 0.14]. It is significantly more external (lower) in the Environmental condition (M = 4.72, SE = 0.17) than in the Genetic condition (M = 5.80, SE = 0.17), p &lt; .001, d = 0.74, 95% CI = [0.41, 1.06], Gene-Impulse (M = 5.57, SE = 0.17), p = .001, d = 0.58, 95% CI = [0.24, 0.91], and Gene-Control
conditions (M = 5.73, SE = 0.17), p &lt; .001, d = 0.69, 95% CI = [0.35, 1.02]. The latter three were not significantly different, ps &gt; .300"</t>
  </si>
  <si>
    <t>e9d3k_j</t>
  </si>
  <si>
    <t>effect of condition on causal stability</t>
  </si>
  <si>
    <t>"condition did not affect causal stability, F(3, 291) = 0.67, p = .568, ηp2 = .01, 95% CI = [0.00, 0.03]"</t>
  </si>
  <si>
    <t>e9d3k_k</t>
  </si>
  <si>
    <t>effect of condition on causal specificity</t>
  </si>
  <si>
    <t>"condition significantly affected causal specificity, F(3, 289) = 11.50, p &lt; .001, ηp2 = 0.11, 95% CI = [0.04, 0.17]. Participants saw less causal specificity in the Environmental condition (M = 2.25, SE = 0.18) than in the Genetic (M = 3.08, SE = 0.18), p = .001, d = 0.54, 95% CI = [0.21, 0.86], Gene- impulse (M = 3.74, SE = 0.19), p &lt; .001, d = 0.96, 95% CI = [0.62, 1.30], and Gene-Control conditions (M = 3.22, SE = 0.18), p &lt; .001, d = 0.63, 95% CI = [0.30, 0.96]. The Gene-Impulse condition also elicited greater causal specific-ity than the Genetic, p = .011, d = −0.43, 95% CI = [−0.75, −0.10], and Gene-Control conditions, p = .047, d = 0.33, 95% CI = [0.00, 0.66]. The latter two did not differ signifi-
cantly, p = .572"</t>
  </si>
  <si>
    <t>p. 9-10</t>
  </si>
  <si>
    <t>e9d3k_l</t>
  </si>
  <si>
    <t>effect of condition on causal control</t>
  </si>
  <si>
    <t>"condition did not affect causal control, F(3, 289) = 0.60, p = .613, ηp2 = 0.01, 95% CI = [0.00, 0.02]"</t>
  </si>
  <si>
    <t>e9d3k_m</t>
  </si>
  <si>
    <t>effect of condition on causal malleability</t>
  </si>
  <si>
    <t>"condition marginally affected causal malleability, F(3, 290) = 2.15, p = .095, ηp2 = 0.02, 95% CI = [0.00, 0.06]. Participants saw greater causal malleability in the Environmental condition (M = 4.68, SE = 0.17) than in the Gene-Impulse condition (M = 4.06, SE = 0.18), p = .014, d = −0.41, 95% CI = [−0.74, 
−0.08], but not in the other conditions, nor do the other condi-tions differ from each other, ps &gt; .100"</t>
  </si>
  <si>
    <t>fmd75_1</t>
  </si>
  <si>
    <t>fmd75</t>
  </si>
  <si>
    <t xml:space="preserve">1. Values for REPLICATION were taked from prepring 10.17605--osf.io--fmd75.pdf
2. In page 25 of the 10.17605--osf.io--fmd75.pdf there should by a typo, as the interaction was tested not with forewarning condition... </t>
  </si>
  <si>
    <t>Corrected es_r (0 was missing)</t>
  </si>
  <si>
    <t>Epley, N., &amp; Gilovich, T. (2006). The anchoring-and-adjustment heuristic: Why the adjustments are insufficient. Psychological science, 17(4), 311-318.</t>
  </si>
  <si>
    <t>10.1111/j.1467-9280.2006.01704.x</t>
  </si>
  <si>
    <t>10.1111--j.1467-9280.2006.01704.x.pdf</t>
  </si>
  <si>
    <r>
      <rPr>
        <rFont val="Calibri"/>
        <sz val="11.0"/>
      </rPr>
      <t xml:space="preserve">Röseler, L., Bögler, H. L., Koßmann, L., Krueger, S., Bickenbach, S., Bühler, R., … Ponader, S. (2023, July 11). Results Report: Replication of Epley and Gilovich  (2006, Study 2a). </t>
    </r>
    <r>
      <rPr>
        <rFont val="Calibri"/>
        <color rgb="FF1155CC"/>
        <sz val="11.0"/>
        <u/>
      </rPr>
      <t>https://doi.org/10.17605/OSF.IO/FMD75</t>
    </r>
  </si>
  <si>
    <t>10.17605/OSF.IO/FMD75</t>
  </si>
  <si>
    <t>Anchoring-and-Adjustment Heuristic</t>
  </si>
  <si>
    <t>Anchoring effect, self-generated, replication, anchoring and adjustment, adjustment model</t>
  </si>
  <si>
    <t>The magnitude of adjustment-based anchoring is moderated by the need for cognition with low NFC leading to less adjustment from self-generated anchors</t>
  </si>
  <si>
    <t>"In Study 2a, participants who scored high in NFC provided estimates further from their self-generated anchor values (mean z score 5 0.14) than participants who scored low (mean z score = _x0002_0.18),t(77) = 2.13, p &lt; .05, p_rep = .90, d = 0.49."</t>
  </si>
  <si>
    <t>https://osf.io/fmd75</t>
  </si>
  <si>
    <t>1. Although Psychological Sciences is not present in the provided list, I have used cognitive psychology as a discipline as I found it more relevant relevant. 2. The value of effect size is negative, the excel is not allowing to inseert it correctly</t>
  </si>
  <si>
    <t>Röseler, L., Bögler, H. L., Koßmann, L., Krueger, S., Bickenbach, S., Bühler, R., … Ponader, S. (2023, July 11). Results Report: Replication of Epley and Gilovich  (2006, Study 2a). https://doi.org/10.17605/OSF.IO/FMD75</t>
  </si>
  <si>
    <t xml:space="preserve">Anchoring and Adjustment </t>
  </si>
  <si>
    <t>anchoring-and- adjustment, heuristic, biases, self-generated</t>
  </si>
  <si>
    <t>High Need for Cognition (NFC) individuals adjust more from self-generated anchors.</t>
  </si>
  <si>
    <t>"participants who scored high in NFC provided estimates further from their self-generated anchor values (mean z score 5 0.14) than participants who scored low (mean z score 5 􏰀0.18), t(77) 5 2.13, p &lt; .05, prep 5 .90, d 5 0.49"</t>
  </si>
  <si>
    <t>negative 0.49</t>
  </si>
  <si>
    <t>0.05</t>
  </si>
  <si>
    <t>0.017</t>
  </si>
  <si>
    <t>0.383</t>
  </si>
  <si>
    <t>https://osf.io/8k9nt</t>
  </si>
  <si>
    <t>gh52k_1</t>
  </si>
  <si>
    <t>gh52k</t>
  </si>
  <si>
    <t>Lukas Röseler, Astrid Schütz, Evgenia Burlakovas, Marieluisa Dück, Sabine Fels, Sophie Janiczek , Jana Kupfer, Elena Prinz, Sarah Wieczorek, Christian Seida, Roksana Sobolak</t>
  </si>
  <si>
    <t>Reitsma-van Rooijen, M., &amp; Daamen, D. D. (2006). Subliminal anchoring: The effects of subliminally presented numbers on probability estimates. Journal of Experimental Social Psychology, 42(3), 380-387.</t>
  </si>
  <si>
    <t>10.1016/j.jesp.2005.05.001</t>
  </si>
  <si>
    <t>10.1016--j.jesp.2005.05.001.pdf</t>
  </si>
  <si>
    <t>Röseler, L., Schütz, A., Burlakovas, E., Dück, M., Fels, S., Janiczek, S., … Seida, C. (2022, September 15). Replication of Reitsma-van Rooijen and Daamen  (2006). https://doi.org/10.17605/OSF.IO/GH52K</t>
  </si>
  <si>
    <t xml:space="preserve">Judgement and Decision Making </t>
  </si>
  <si>
    <t>Subliminial anchoring</t>
  </si>
  <si>
    <t>Anchoring, Subliminal Anchoring, Subliminal Priming, Numeric Priming</t>
  </si>
  <si>
    <t>Subliminally presented anchor values influence probability estimates under time pressure</t>
  </si>
  <si>
    <t>"A 2 (Anchor: low, high) × 2 (Time Pressure: absent, present) ANOVA revealed a significant main effect of Time Pressure, F(1, 58) = 8.56, p &lt; .01." "The results of our study indicate that there is a subliminal anchor eVect and that this eVect is short-lived. The probability estimate assimilated towards the subliminally presented anchor value in the conditions with time pressure."</t>
  </si>
  <si>
    <t>F(1, 58) = 8.56</t>
  </si>
  <si>
    <t>Cohen's f</t>
  </si>
  <si>
    <t>https://osf.io/qxwhv</t>
  </si>
  <si>
    <t>Lukas Röseler, Astrid Schütz, Evgenia Burlakovas, Marieluisa Dück, Sabine Fels, Sophie Janiczek , Jana Kupfer, Elena Prinz, Sarah Wieczorek, Christian Seida, Thomas Miller</t>
  </si>
  <si>
    <t>found doi for actual R article, used that as basis for reported information: 10.1016/j.jesp.2020.104066</t>
  </si>
  <si>
    <t>A 2 (Anchor: low, high) × 2 (Time Pressure: absent, present) ANOVA revealed a significant interaction effect between Anchor and Time Pressure, F(1, 58) = 5.06, p &lt; .05. … The results of our study indicate that there is a sub- liminal anchor eVect and that this eVect is short-lived. The probability estimate assimilated towards the sublim- inally presented anchor value in the conditions with time pressure</t>
  </si>
  <si>
    <t xml:space="preserve"> F(1, 58) = 5.06</t>
  </si>
  <si>
    <t>p.384</t>
  </si>
  <si>
    <t>https://osf.io/gh52k?mode=&amp;revisionId=&amp;view_only=</t>
  </si>
  <si>
    <t>gh52k_b</t>
  </si>
  <si>
    <t>"There were no significant main effects, Fs(1, 58) &lt; 1, ns. Thus, the anchor effect critically depended on whether there was Time Pressure or not." "The results of our study indicate that there is a subliminal anchor eVect and that this eVect is short-lived. The probability estimate assimilated towards the subliminally presented anchor value in the conditions with time pressure."</t>
  </si>
  <si>
    <t xml:space="preserve"> F(1, 58) &lt; 1</t>
  </si>
  <si>
    <t>gh52k_c</t>
  </si>
  <si>
    <t>"A 2 (Anchor: low, high) × 2 (Time Pressure: absent, present) ANOVA revealed a significant interaction effect between Anchor and Time Pressure, F(1, 58) = 5.06, p &lt; .05." "The results of our study indicate that there is a subliminal anchor eVect and that this eVect is short-lived. The probability estimate assimilated towards the subliminally presented anchor value in the conditions with time pressure."</t>
  </si>
  <si>
    <t>F(1, 58) = 5.06</t>
  </si>
  <si>
    <t>Holzmeisteretal2024_1</t>
  </si>
  <si>
    <r>
      <rPr>
        <rFont val="Calibri"/>
        <color rgb="FFFF0000"/>
        <sz val="11.0"/>
      </rPr>
      <t>GENERAL NOTE: The results from the r_studies were sourced directly from the OSF file associated with each r_study (link_r), and I verified their consistency with the findings in the SM document. everything was consistent and accurate;</t>
    </r>
    <r>
      <rPr>
        <rFont val="Calibri"/>
        <sz val="11.0"/>
      </rPr>
      <t xml:space="preserve"> the o_paper included 5 studies but the r_paper only replicated  one claim from study number 3; in the o_study the authors perform independent-samples t-tests for each of five life history strategy-relevant suites separately but the authors of the r_study  created a composite score of all five life history strategies using the original data and perform an independent sample Student’s t-test. So for the o_study I reported the info related to the signle test used in the r_study with the original data to be able to match it with the replication test used in the r_study; 
there is also a pdf containing more information and data about the original study (I didn't use it but thoought I could add it here) </t>
    </r>
    <r>
      <rPr>
        <rFont val="Calibri"/>
        <color rgb="FF1155CC"/>
        <sz val="11.0"/>
        <u/>
      </rPr>
      <t>https://www.pnas.org/action/downloadSupplement?doi=10.1073%2Fpnas.1519401113&amp;file=pnas.201519401SI.pdf</t>
    </r>
    <r>
      <rPr>
        <rFont val="Calibri"/>
        <sz val="11.0"/>
      </rPr>
      <t xml:space="preserve"> </t>
    </r>
  </si>
  <si>
    <r>
      <t xml:space="preserve">Williams, K. E. G., Sng, O., &amp; Neuberg, S. L. (2016). Ecology-driven stereotypes override race stereotypes. Proceedings of the National Academy of Sciences, 113(2), 310–315. </t>
    </r>
    <r>
      <rPr>
        <rFont val="Arial"/>
        <color rgb="FF1155CC"/>
        <u/>
      </rPr>
      <t>https</t>
    </r>
    <r>
      <rPr>
        <rFont val="Arial"/>
        <color rgb="FF1155CC"/>
        <u/>
      </rPr>
      <t>://doi</t>
    </r>
    <r>
      <rPr>
        <rFont val="Arial"/>
        <color rgb="FF1155CC"/>
        <u/>
      </rPr>
      <t>.org</t>
    </r>
    <r>
      <rPr>
        <rFont val="Arial"/>
        <color rgb="FF1155CC"/>
        <u/>
      </rPr>
      <t>/10</t>
    </r>
    <r>
      <rPr>
        <rFont val="Arial"/>
        <color rgb="FF1155CC"/>
        <u/>
      </rPr>
      <t>/f76jnb</t>
    </r>
  </si>
  <si>
    <r>
      <rPr>
        <rFont val="Calibri, sans-serif"/>
        <color theme="1"/>
        <sz val="12.0"/>
      </rPr>
      <t>10.1073/pnas.1519401113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</si>
  <si>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</si>
  <si>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10.1038--s41562-024-02062-9</t>
  </si>
  <si>
    <t xml:space="preserve">https://osf.io/sejyp </t>
  </si>
  <si>
    <t xml:space="preserve">Replication of Williams et al., 2016 </t>
  </si>
  <si>
    <t>stereotypes</t>
  </si>
  <si>
    <t xml:space="preserve">race stereotypes, life history theory, stereotype content, ecology, affordance management </t>
  </si>
  <si>
    <t>In a series of studies, we demonstrate that (i) individuals possess ecology-driven stereotypes; (ii) these stereotypes are not derivative of race stereotypes; and (iii) the application of race stereotypes to targets is greatly diminished when more immediate cues to home ecology are present.</t>
  </si>
  <si>
    <t>We find that participants readily apply ecology stereotypes to persons even within levels of personal wealth: for each of the five life history strategy constructs, indi-viduals from desperate ecologies were stereotyped as possessing faster life history strategies than individuals from hopeful ecol-ogies, regardless of whether they were relatively rich or poor (all P &lt; 0.05; d ranging from 0.42 to 2.58; Fig. S2 and Table S1). Hence, ecology stereotypes are not derivative of wealth stereo-types; they are applied to both wealthy and poor individuals.</t>
  </si>
  <si>
    <t xml:space="preserve">1.0e−05 </t>
  </si>
  <si>
    <t>https://osf.io/ugnsq</t>
  </si>
  <si>
    <r>
      <rPr>
        <rFont val="Calibri"/>
        <color theme="1"/>
        <sz val="11.0"/>
      </rPr>
      <t xml:space="preserve">As this is a close replication, I was not able to code the original authors' claims accurately as the replication did not make it clear which study (1-5) was being replicated. Instead, the replication created a composite score. Please see copied statement from replication paper- "The authors perform independent-samples t-tests for each of five life history strategy-relevant suites separately: sexual unrestrictedness, impulsivity, opportunistic behavior, investment in own education, and investment in children. </t>
    </r>
    <r>
      <rPr>
        <rFont val="Calibri"/>
        <color rgb="FFFF0000"/>
        <sz val="11.0"/>
      </rPr>
      <t>We instead create a composite score of all five life history strategies using the original data</t>
    </r>
    <r>
      <rPr>
        <rFont val="Calibri"/>
        <color rgb="FF000000"/>
        <sz val="11.0"/>
      </rPr>
      <t xml:space="preserve"> and perform an independent sample Student’s t-test (t(94) = 4.66, p &lt; .001). </t>
    </r>
    <r>
      <rPr>
        <rFont val="Calibri"/>
        <color rgb="FFFF0000"/>
        <sz val="11.0"/>
      </rPr>
      <t>This test statistic has been re-estimated based on the original data</t>
    </r>
    <r>
      <rPr>
        <rFont val="Calibri"/>
        <color rgb="FF000000"/>
        <sz val="11.0"/>
      </rPr>
      <t>. The high wealth condition was randomly chosen. [Note: in the original paper, the ecology effect is tested for all five life history strategy-relevant suites separately between a desperate or a hopeful ecology. The differences were statistically significant p &lt; 0.05, with effect sizes ranging from 0.42 to 1.21 (the test used was not reported, but we assume an independent sample t-test was used); p. 6 in SI.]</t>
    </r>
  </si>
  <si>
    <r>
      <rPr>
        <rFont val="Arial"/>
        <color rgb="FF1155CC"/>
        <u/>
      </rPr>
      <t xml:space="preserve">Williams, K. E. G., Sng, O., &amp; Neuberg, S. L. (2016). Ecology-driven stereotypes override race stereotypes. Proceedings of the National Academy of Sciences, 113(2), 310–315.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/f76jnb</t>
    </r>
  </si>
  <si>
    <r>
      <rPr>
        <rFont val="Calibri, sans-serif"/>
        <color theme="1"/>
        <sz val="12.0"/>
      </rPr>
      <t>10.1073/pnas.1519401113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</si>
  <si>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</si>
  <si>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"Close replication"</t>
  </si>
  <si>
    <t>Ecology-driven stereotypes overriding race stereotypes</t>
  </si>
  <si>
    <t>Race stereotypes, life history theory, stereotype content, ecology, affordance management</t>
  </si>
  <si>
    <t>This effect investigates how ecological conditions (e.g., harsh vs. resource-rich environments) shape behavior, leading to ecology-driven stereotypes, often linked to race.</t>
  </si>
  <si>
    <t>"…our findings provide strong evidence for the importance of ecology as a cue used by social perceivers in anticipating the affordances of others. Study 1 demonstrated that individuals hold ecology stereotypes, stereotyping individuals from desperate ecologies as possessing faster life history strategies than individuals from hopeful ecologies. In testing alternative explanations, studies 2–4 find that these ecology stereotypes are applied within race to both blacks and whites, within wealth to both rich and poor individuals, and that ecology stereotypes are not just the result of a positivity bias toward individuals from hopeful ecologies. Returning to our core premise, study 5 demonstrated that—in the absence of ecology information—race stereotypes track basic ecology stereotypes; however, when provided with information about both the race and ecology of others, individuals’ inferences reflect the targets’ ecology rather than the targets’ race. In the social inference process, ecology information trumps race."</t>
  </si>
  <si>
    <t>t(94) = 4.66</t>
  </si>
  <si>
    <t>- Please also add the page number for the effect sizes (eg es_rep_r)
- You could have added the individual pdf files for the reports in the file_r variable.</t>
  </si>
  <si>
    <t>Holzmeisteretal2024_10</t>
  </si>
  <si>
    <t>the o_paper included 7 studies but the r_paper only replicated  one claim from study number 1; the effect size reported for the orignial study in the o_paper and the SM doc are a bit diffrent</t>
  </si>
  <si>
    <r>
      <t xml:space="preserve">Klein, N., &amp; O’Brien, E. (2018). People use less information than they think to make up their minds. Proceedings of the National Academy of Sciences, 115(52), 13222–13227. </t>
    </r>
    <r>
      <rPr>
        <rFont val="Arial"/>
        <color rgb="FF1155CC"/>
        <u/>
      </rPr>
      <t>https</t>
    </r>
    <r>
      <rPr>
        <rFont val="Arial"/>
        <color rgb="FF1155CC"/>
        <u/>
      </rPr>
      <t>://doi</t>
    </r>
    <r>
      <rPr>
        <rFont val="Arial"/>
        <color rgb="FF1155CC"/>
        <u/>
      </rPr>
      <t>.org</t>
    </r>
    <r>
      <rPr>
        <rFont val="Arial"/>
        <color rgb="FF1155CC"/>
        <u/>
      </rPr>
      <t>/10</t>
    </r>
    <r>
      <rPr>
        <rFont val="Arial"/>
        <color rgb="FF1155CC"/>
        <u/>
      </rPr>
      <t>/gfs87p</t>
    </r>
  </si>
  <si>
    <r>
      <rPr>
        <rFont val="Calibri, sans-serif"/>
        <color theme="1"/>
        <sz val="12.0"/>
      </rPr>
      <t>10.1073/pnas.1805327115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</si>
  <si>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</si>
  <si>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Klein and O’Brienet al. 2018</t>
  </si>
  <si>
    <t>information processing</t>
  </si>
  <si>
    <t>tipping point,  change, self-insight,  judgment, information processing</t>
  </si>
  <si>
    <t>People do not fully appreciate this immediacy of judgment, in-stead assuming that they and others will consider more infor- mation before forming conclusions than they and others actually do. This discrepancy in perceived versus actual information use reveals a general psychological bias that bears particular rele-vance in today’s information age.</t>
  </si>
  <si>
    <t>yet, in the test trial, participants made up their minds sooner than they expected: Predictors expected they would need to see many more paintings to make up their minds (M = 16.29, SD =12.04) than experiencers actually needed to see to make up their minds (M = 3.48, SD = 3.44), t(205) = 10.60, P &lt; 0.001, d = 1.45.</t>
  </si>
  <si>
    <t>https://osf.io/tg9ny</t>
  </si>
  <si>
    <r>
      <rPr>
        <rFont val="Arial"/>
        <color rgb="FF1155CC"/>
        <u/>
      </rPr>
      <t xml:space="preserve">Klein, N., &amp; O’Brien, E. (2018). People use less information than they think to make up their minds. Proceedings of the National Academy of Sciences, 115(52), 13222–13227.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/gfs87p</t>
    </r>
  </si>
  <si>
    <r>
      <rPr>
        <rFont val="Calibri, sans-serif"/>
        <color theme="1"/>
        <sz val="12.0"/>
      </rPr>
      <t>10.1073/pnas.1805327115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</si>
  <si>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</si>
  <si>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Overestimation of decision-making time</t>
  </si>
  <si>
    <t>Tipping point, change, self-insight, judgment, information processing</t>
  </si>
  <si>
    <r>
      <rPr>
        <rFont val="Calibri"/>
        <color theme="1"/>
        <sz val="11.0"/>
      </rPr>
      <t xml:space="preserve">The effect being investigated is the </t>
    </r>
    <r>
      <rPr>
        <rFont val="Calibri"/>
        <b/>
        <color rgb="FF000000"/>
        <sz val="11.0"/>
      </rPr>
      <t>discrepancy between the expected and actual number of paintings participants believe they need to see in order to form a verdict on whether they like or dislike a painting style.</t>
    </r>
  </si>
  <si>
    <t>"In the test trial, participants made up their minds sooner than they expected: Predictors expected they would need to see many more paintings to make up their minds (M = 16.29, SD = 12.04) than experiencers actually needed to see to make up their minds (M = 3.48, SD = 3.44), t(205) = 10.60, P &lt; 0.001, d = 1.45."</t>
  </si>
  <si>
    <t xml:space="preserve"> t(205) = 10.60</t>
  </si>
  <si>
    <t>Holzmeisteretal2024_11</t>
  </si>
  <si>
    <r>
      <rPr>
        <rFont val="Calibri"/>
        <sz val="11.0"/>
      </rPr>
      <t xml:space="preserve">the o_paper included 2 studies but the r_paper only replicated  one claim from study number 1; the effect size reported for the o_study comes from the SM not the o_paper </t>
    </r>
    <r>
      <rPr>
        <rFont val="Calibri"/>
        <color rgb="FF1155CC"/>
        <sz val="11.0"/>
        <u/>
      </rPr>
      <t>https://www.pnas.org/action/downloadSupplement?doi=10.1073%2Fpnas.1601280113&amp;file=pnas.1601280113.sapp.pdf</t>
    </r>
    <r>
      <rPr>
        <rFont val="Calibri"/>
        <sz val="11.0"/>
      </rPr>
      <t xml:space="preserve"> (page 8, table 1); for the r_study I did report d for effect size as mentioned in both the SM table and the paper (osf link) but the paper also report egression b=–0.129  so I am adding it here in case you want a more direct comparison with the effect size of the o_study.</t>
    </r>
  </si>
  <si>
    <r>
      <t xml:space="preserve">Jordan, J. J., Hoffman, M., Nowak, M. A., &amp; Rand, D. G. (2016). Uncalculating cooperation is used to signal trustworthiness. Proceedings of the National Academy of Sciences, 113(31), 8658–8663. </t>
    </r>
    <r>
      <rPr>
        <rFont val="Arial"/>
        <color rgb="FF1155CC"/>
        <u/>
      </rPr>
      <t>https</t>
    </r>
    <r>
      <rPr>
        <rFont val="Arial"/>
        <color rgb="FF1155CC"/>
        <u/>
      </rPr>
      <t>://doi</t>
    </r>
    <r>
      <rPr>
        <rFont val="Arial"/>
        <color rgb="FF1155CC"/>
        <u/>
      </rPr>
      <t>.org</t>
    </r>
    <r>
      <rPr>
        <rFont val="Arial"/>
        <color rgb="FF1155CC"/>
        <u/>
      </rPr>
      <t>/10</t>
    </r>
    <r>
      <rPr>
        <rFont val="Arial"/>
        <color rgb="FF1155CC"/>
        <u/>
      </rPr>
      <t>/f8w9bk</t>
    </r>
  </si>
  <si>
    <r>
      <rPr>
        <rFont val="Calibri, sans-serif"/>
        <color theme="1"/>
        <sz val="12.0"/>
      </rPr>
      <t>10.1073/pnas.1601280113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</si>
  <si>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</si>
  <si>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Jordan et al. 2016</t>
  </si>
  <si>
    <t>Uncalculating cooperation</t>
  </si>
  <si>
    <t>reputation, social evaluation, decision-making, experimental economics, moral psychology</t>
  </si>
  <si>
    <t>In both experiments, we find that participants are more likely to engage in uncalculating cooperation when their decision-making process is observable to others. Furthermore, we confirm that people who engage in un-calculating cooperation are perceived as, and actually are, more trustworthy than people who cooperate in a calculating way. Taken together, these data provide the first empirical evidence, to our knowledge, that uncalculating cooperation is used to signal trust-worthiness, and is not merely an efficient decision-making strategy that reduces cognitive costs.</t>
  </si>
  <si>
    <t>In Exp. 1, 70% of player As looked at the cost of helping in the process hidden condition compared with only 59% in the process observable condition (n = 735; P = 0.002)</t>
  </si>
  <si>
    <t>https://osf.io/sqxe8</t>
  </si>
  <si>
    <t>I could not find the actual coefficient so I copied it in from the one stated in the replication paper, please see copied in "To evaluate this hypothesis, the authors perform a logistic regression (b = −0.486, p = 0.002); p. 8660." The authors claims have the original finding.</t>
  </si>
  <si>
    <r>
      <rPr>
        <rFont val="Arial"/>
        <color rgb="FF1155CC"/>
        <u/>
      </rPr>
      <t xml:space="preserve">Jordan, J. J., Hoffman, M., Nowak, M. A., &amp; Rand, D. G. (2016). Uncalculating cooperation is used to signal trustworthiness. Proceedings of the National Academy of Sciences, 113(31), 8658–8663.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/f8w9bk</t>
    </r>
  </si>
  <si>
    <r>
      <rPr>
        <rFont val="Calibri, sans-serif"/>
        <color theme="1"/>
        <sz val="12.0"/>
      </rPr>
      <t>10.1073/pnas.1601280113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</si>
  <si>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</si>
  <si>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Uncalculating cooperation driven by reputation concerns</t>
  </si>
  <si>
    <t>Reputation, social evaluation, decision-making, experimental economics, moral psychology</t>
  </si>
  <si>
    <t>The effect being investigated is how observability of decision-making influences uncalculating cooperation when reputation is at stake.</t>
  </si>
  <si>
    <t>"In Exp. 1, 70% of player As looked at the cost of helping in the process hidden condition compared with only 59% in the process observable condition (n = 735; P = 0.002) (Fig. 2A)." , "Thus, we confirm our key prediction: Across two experiments, subjects behaved in a less calculating manner when their reputations were at stake. In Exp. 1, they looked less at the cost of helping when their looking choice was observable, and in Exp. 2, they decided faster when their decision time was observable."</t>
  </si>
  <si>
    <t>Holzmeisteretal2024_12</t>
  </si>
  <si>
    <t>the o_paper included 7 studies but the r_paper only replicated  one claim from study number 2a; sample size of o_study was infered from the statistical test; I calculated the effect size of the o_claim using the ES calculations sheet based on the informations I had but the effect size reported in the r_table for the o_study was a bit diffrent (0.349)</t>
  </si>
  <si>
    <r>
      <t xml:space="preserve">John, L. K., Barasz, K., &amp; Norton, M. I. (2016). Hiding personal information reveals the worst. Proceedings of the National Academy of Sciences, 113(4), 954–959. </t>
    </r>
    <r>
      <rPr>
        <rFont val="Arial"/>
        <color rgb="FF1155CC"/>
        <u/>
      </rPr>
      <t>https</t>
    </r>
    <r>
      <rPr>
        <rFont val="Arial"/>
        <color rgb="FF1155CC"/>
        <u/>
      </rPr>
      <t>://doi</t>
    </r>
    <r>
      <rPr>
        <rFont val="Arial"/>
        <color rgb="FF1155CC"/>
        <u/>
      </rPr>
      <t>.org</t>
    </r>
    <r>
      <rPr>
        <rFont val="Arial"/>
        <color rgb="FF1155CC"/>
        <u/>
      </rPr>
      <t>/10</t>
    </r>
    <r>
      <rPr>
        <rFont val="Arial"/>
        <color rgb="FF1155CC"/>
        <u/>
      </rPr>
      <t>/f77w6d</t>
    </r>
  </si>
  <si>
    <r>
      <rPr>
        <rFont val="Calibri, sans-serif"/>
        <color theme="1"/>
        <sz val="12.0"/>
      </rPr>
      <t>10.1073/pnas.1516868113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</si>
  <si>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</si>
  <si>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John et al. 2016</t>
  </si>
  <si>
    <t>disclosure</t>
  </si>
  <si>
    <t>disclosure, transparency, trust, policy making, privacy</t>
  </si>
  <si>
    <t>Seven experiments explore people’s decisions to withhold or disclose personal information—and the wisdom of such decisions. Declining a request to disclose often makes a worse impression even than divulging unsavory personal information. Moreover, those who withhold fail to intuit this negative consequence: people withhold even when they would make a better impression by “coming clean.” In short, people should be aware not just of the risk of revealing, but the risk of hiding.</t>
  </si>
  <si>
    <t>There were significant differences in dating interest between conditions...interest in the Inadvertent Nondiscloser (M = 6.8, SD = 1.5) was higher than that of the Hider [t(140) = 2.08, P = 0.04]</t>
  </si>
  <si>
    <t>https://osf.io/r5mtg</t>
  </si>
  <si>
    <r>
      <rPr>
        <rFont val="Arial"/>
        <color rgb="FF1155CC"/>
        <u/>
      </rPr>
      <t xml:space="preserve">John, L. K., Barasz, K., &amp; Norton, M. I. (2016). Hiding personal information reveals the worst. Proceedings of the National Academy of Sciences, 113(4), 954–959.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/f77w6d</t>
    </r>
  </si>
  <si>
    <r>
      <rPr>
        <rFont val="Calibri, sans-serif"/>
        <color theme="1"/>
        <sz val="12.0"/>
      </rPr>
      <t>10.1073/pnas.1516868113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</si>
  <si>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</si>
  <si>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 xml:space="preserve">Deliberate non-disclosure </t>
  </si>
  <si>
    <t>Disclosure, transparency, trust, policy making, privacy</t>
  </si>
  <si>
    <t>The effect being invesigated is whether deliberate non-disclosure is judged more negatively than inadvertent non-disclosure, influencing interpersonal preferences (e.g., dating interest).</t>
  </si>
  <si>
    <t>"Most importantly, interest in the Inadvertent Nondiscloser (M = 6.8, SD = 1.5) was higher than that of the Hider t(140) = 2.08, P = 0.04; it was also lower than that of the Revealer t(142) = 1.99, P = 0.05."</t>
  </si>
  <si>
    <t>t(140) = 2.08</t>
  </si>
  <si>
    <t>Holzmeisteretal2024_13</t>
  </si>
  <si>
    <t>the o_paper included 9 studies but the r_paper only replicated  one claim from study number 2</t>
  </si>
  <si>
    <r>
      <t xml:space="preserve">Hofstetter, R., Rüppell, R., &amp; John, L. K. (2017). Temporary sharing prompts unrestrained disclosures that leave lasting negative impressions. Proceedings of the National Academy of Sciences, 114(45), 11902–11907. </t>
    </r>
    <r>
      <rPr>
        <rFont val="Arial"/>
        <color rgb="FF1155CC"/>
        <u/>
      </rPr>
      <t>https</t>
    </r>
    <r>
      <rPr>
        <rFont val="Arial"/>
        <color rgb="FF1155CC"/>
        <u/>
      </rPr>
      <t>://doi</t>
    </r>
    <r>
      <rPr>
        <rFont val="Arial"/>
        <color rgb="FF1155CC"/>
        <u/>
      </rPr>
      <t>.org</t>
    </r>
    <r>
      <rPr>
        <rFont val="Arial"/>
        <color rgb="FF1155CC"/>
        <u/>
      </rPr>
      <t>/10</t>
    </r>
    <r>
      <rPr>
        <rFont val="Arial"/>
        <color rgb="FF1155CC"/>
        <u/>
      </rPr>
      <t>/gckbgp</t>
    </r>
  </si>
  <si>
    <r>
      <rPr>
        <rFont val="Calibri, sans-serif"/>
        <color theme="1"/>
        <sz val="12.0"/>
      </rPr>
      <t>10.1073/pnas.1706913114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</si>
  <si>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</si>
  <si>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Hofstetter et al. 2017</t>
  </si>
  <si>
    <t>impression formation</t>
  </si>
  <si>
    <t>disclosure, privacy, self-presentation, impression formation, social media</t>
  </si>
  <si>
    <t>Relative to traditional, offline forms of communication, there is an enhanced permanence to digital sharing. Digital disclosures can come back to haunt, making it challenging for people to manage the impressions they make upon others. Nine studies show that, paradoxically, these challenges can be exacerbated by temporary-sharing technologies. Temporary sharing reduces pri-vacy concerns, in turn increasing disclosure of potentially com-promising information (in the form of uninhibited selfies).</t>
  </si>
  <si>
    <t>Privacy concerns mediated the relationship between temporary sharing and selfie disinhibition:Temporariness decreased privacy concerns (βtemporary = −0.70, SE = 0.22, P &lt; 0.005), which in turn accounted for increased disinhibition</t>
  </si>
  <si>
    <t>https://osf.io/wc4xm</t>
  </si>
  <si>
    <r>
      <rPr>
        <rFont val="Arial"/>
        <color rgb="FF1155CC"/>
        <u/>
      </rPr>
      <t xml:space="preserve">Hofstetter, R., Rüppell, R., &amp; John, L. K. (2017). Temporary sharing prompts unrestrained disclosures that leave lasting negative impressions. Proceedings of the National Academy of Sciences, 114(45), 11902–11907.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/gckbgp</t>
    </r>
  </si>
  <si>
    <r>
      <rPr>
        <rFont val="Calibri, sans-serif"/>
        <color theme="1"/>
        <sz val="12.0"/>
      </rPr>
      <t>10.1073/pnas.1706913114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</si>
  <si>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</si>
  <si>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 xml:space="preserve">The impact of temporary vs. permanent sharing on digital disclosures </t>
  </si>
  <si>
    <t>Disclosure, privacy, self-presentation, impression formation, social media</t>
  </si>
  <si>
    <t>The effect being investigated is whether temporary sharing of selfies reduces privacy concerns, leading to increased disinhibition in disclosures</t>
  </si>
  <si>
    <t>"Privacy concerns mediated the relationship between temporary sharing and selfie disinhibition: Temporariness decreased privacy concerns (βtemporary = −0.70, SE = 0.22, P &lt; 0.005)"</t>
  </si>
  <si>
    <t>Holzmeisteretal2024_14</t>
  </si>
  <si>
    <t>the o_paper included 2 studies but the r_paper only replicated  one claim from study number 1</t>
  </si>
  <si>
    <t>Data Curators were unsure about nesting. In all other reports it says "mixed" when nesting is present and here it does not, so I coded it as nested = no</t>
  </si>
  <si>
    <r>
      <t xml:space="preserve">Hoffman, K. M., Trawalter, S., Axt, J. R., &amp; Oliver, M. N. (2016). Racial bias in pain assessment and treatment recommendations, and false beliefs about biological differences between blacks and whites. Proceedings of the National Academy of Sciences, 113(16), 4296–4301. </t>
    </r>
    <r>
      <rPr>
        <rFont val="Arial"/>
        <color rgb="FF1155CC"/>
        <u/>
      </rPr>
      <t>https</t>
    </r>
    <r>
      <rPr>
        <rFont val="Arial"/>
        <color rgb="FF1155CC"/>
        <u/>
      </rPr>
      <t>://doi</t>
    </r>
    <r>
      <rPr>
        <rFont val="Arial"/>
        <color rgb="FF1155CC"/>
        <u/>
      </rPr>
      <t>.org</t>
    </r>
    <r>
      <rPr>
        <rFont val="Arial"/>
        <color rgb="FF1155CC"/>
        <u/>
      </rPr>
      <t>/10</t>
    </r>
    <r>
      <rPr>
        <rFont val="Arial"/>
        <color rgb="FF1155CC"/>
        <u/>
      </rPr>
      <t>/f8jpjp</t>
    </r>
  </si>
  <si>
    <r>
      <rPr>
        <rFont val="Calibri, sans-serif"/>
        <color theme="1"/>
        <sz val="12.0"/>
      </rPr>
      <t>10.1073/pnas.1516047113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</si>
  <si>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</si>
  <si>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Hoffman et al 2016</t>
  </si>
  <si>
    <t>racial bias</t>
  </si>
  <si>
    <t>racial bias, pain perception,  health care disparities, pain treatment</t>
  </si>
  <si>
    <t>The present work examines beliefs associated with racial bias in pain management, a critical health care domain with well-docu-mented racial disparities. Specifically, this work reveals that a substantial number of white laypeople and medical students and residents hold false beliefs about biological differences between blacks and whites and demonstrates that these beliefs predict racial bias in pain perception and treatment recommendation accuracy. It also provides the first evidence that racial bias in pain perception is associated with racial bias in pain treatment rec-ommendations.</t>
  </si>
  <si>
    <t>We regressed pain ratings on target race, false beliefs, and their in- teraction, controlling for age, gender, and self-ratings of pain...interaction between target race and false beliefs [β = −0.07, SE = 0.03, F(1,85) = 4.36, P = 0.040, η2p = 0.05; Fig. 1]...Study 1 thus demonstrates that white adults without medical training endorse at least some beliefs about biological differ-ences between blacks and whites, many of which are false and fantastical in nature (e.g., black people’s blood coagulates more quickly than white people’s blood). Study 1 also demonstrates that these beliefs are related to racial bias in pain perception among a sample of white adults without medical training.</t>
  </si>
  <si>
    <t>https://osf.io/6vnm5</t>
  </si>
  <si>
    <r>
      <rPr>
        <rFont val="Arial"/>
        <color rgb="FF1155CC"/>
        <u/>
      </rPr>
      <t xml:space="preserve">Hoffman, K. M., Trawalter, S., Axt, J. R., &amp; Oliver, M. N. (2016). Racial bias in pain assessment and treatment recommendations, and false beliefs about biological differences between blacks and whites. Proceedings of the National Academy of Sciences, 113(16), 4296–4301.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/f8jpjp</t>
    </r>
  </si>
  <si>
    <r>
      <rPr>
        <rFont val="Calibri, sans-serif"/>
        <color theme="1"/>
        <sz val="12.0"/>
      </rPr>
      <t>10.1073/pnas.1516047113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</si>
  <si>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</si>
  <si>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Racial bias in pain assessment and treatment</t>
  </si>
  <si>
    <t>Racial bias, pain perception, health care disparities, pain treatment</t>
  </si>
  <si>
    <t>The effect being investigated is whether racial bias in pain perception among non-medically trained white individuals is influenced by false beliefs about biological differences between Black and White people.</t>
  </si>
  <si>
    <t>"The effect was qualified by the predicted interaction between target race and false beliefs [β = −0.07, SE = 0.03, F(1, 85) = 4.36, P = 0.040, η²p = 0.05]."</t>
  </si>
  <si>
    <t>F(1,85) = 4.36</t>
  </si>
  <si>
    <t>Holzmeisteretal2024_15</t>
  </si>
  <si>
    <t>the o_paper included 6 studies but the r_paper only replicated  one claim from study number 6</t>
  </si>
  <si>
    <r>
      <t xml:space="preserve">Halevy, N., &amp; Halali, E. (2015). Selfish third parties act as peacemakers by transforming conflicts and promoting cooperation. Proceedings of the National Academy of Sciences, 112(22), 6937–6942. </t>
    </r>
    <r>
      <rPr>
        <rFont val="Arial"/>
        <color rgb="FF1155CC"/>
        <u/>
      </rPr>
      <t>https</t>
    </r>
    <r>
      <rPr>
        <rFont val="Arial"/>
        <color rgb="FF1155CC"/>
        <u/>
      </rPr>
      <t>://doi</t>
    </r>
    <r>
      <rPr>
        <rFont val="Arial"/>
        <color rgb="FF1155CC"/>
        <u/>
      </rPr>
      <t>.org</t>
    </r>
    <r>
      <rPr>
        <rFont val="Arial"/>
        <color rgb="FF1155CC"/>
        <u/>
      </rPr>
      <t>/10</t>
    </r>
    <r>
      <rPr>
        <rFont val="Arial"/>
        <color rgb="FF1155CC"/>
        <u/>
      </rPr>
      <t>/f7fzmv</t>
    </r>
  </si>
  <si>
    <r>
      <rPr>
        <rFont val="Calibri, sans-serif"/>
        <color theme="1"/>
        <sz val="12.0"/>
      </rPr>
      <t>10.1073/pnas.1505067112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</si>
  <si>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</si>
  <si>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Halevy &amp; Halali2015</t>
  </si>
  <si>
    <t>conflict resolution</t>
  </si>
  <si>
    <t>conflict, dispute resolution, war and peace, incentives, social dilemma</t>
  </si>
  <si>
    <t>These findings highlight the interdependence between disputants and third parties, thereby complementing existing models that solely focus on unidirectional influence of third parties on disputants. These findings underscore the role self-interest plays in shap-ing third parties’ intervention decisions and demonstrate that selfish third parties can promote peaceful conflict resolution by literally changing the game disputants are playing. Overall, we explain why, how, and when self-interested third parties in-tervene in others’ conflicts, to everyone’s benefit.</t>
  </si>
  <si>
    <t>compared with participants who described a situ-ation in which they chose not to intervene, participants who de-scribed a situation in which they chose to intervene perceived intervention to be...more beneficial [... t(196) = 6.34, P &lt; 0.001].</t>
  </si>
  <si>
    <t>t(196) = 6.34</t>
  </si>
  <si>
    <t>https://osf.io/xd947</t>
  </si>
  <si>
    <r>
      <rPr>
        <rFont val="Arial"/>
        <color rgb="FF1155CC"/>
        <u/>
      </rPr>
      <t xml:space="preserve">Halevy, N., &amp; Halali, E. (2015). Selfish third parties act as peacemakers by transforming conflicts and promoting cooperation. Proceedings of the National Academy of Sciences, 112(22), 6937–6942.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/f7fzmv</t>
    </r>
  </si>
  <si>
    <r>
      <rPr>
        <rFont val="Calibri, sans-serif"/>
        <color theme="1"/>
        <sz val="12.0"/>
      </rPr>
      <t>10.1073/pnas.1505067112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</si>
  <si>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</si>
  <si>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Conflict resolution and third-party intervention</t>
  </si>
  <si>
    <t>Conflict, dispute resolution, war and peace, incentives, social dilemma.</t>
  </si>
  <si>
    <t>The effect being investigated is whether recalling and describing a past experience of intervening in a conflict vs not intervening affects individuals' perceptions of the benefits of intervening in future conflicts.</t>
  </si>
  <si>
    <t>"As Fig. 4 shows, compared with participants who described a situation in which they chose not to intervene, participants who described a situation in which they chose to intervene perceived intervention to be less costly [independent samples t tests: experiment 5, t(204) = −7.25, P &lt; 0.001; experiment 6, t(196) = −2.89, P &lt; 0.005] and more beneficial [independent samples t tests: experiment 5, t(204) = 7.87, P &lt; 0.001; experiment 6, t(196) = 6.34, P &lt; 0.001]. These findings replicate and extend experiment 4’s findings across two real-world contexts in which individuals commonly observe disputes and can choose whether or not to intervene in them. The fact that these studies replicated experiment 4’s findings using a different methodology increases our confidence in the robust role that self-interest plays in shaping third parties’ intervention decisions."</t>
  </si>
  <si>
    <t>Holzmeisteretal2024_16</t>
  </si>
  <si>
    <t>the test reported for the o_study in the SM doc and r_osf file doesn't match any of the tests mentioned in the o_study. I copied the closest claim fro the o_study in the claim_text_o but kept the other columns empty because I wasn't sure what should be reported in this case</t>
  </si>
  <si>
    <r>
      <t xml:space="preserve">Guilbeault, D., Becker, J., &amp; Centola, D. (2018). Social learning and partisan bias in the interpretation of climate trends. Proceedings of the National Academy of Sciences, 115(39), 9714–9719. </t>
    </r>
    <r>
      <rPr>
        <rFont val="Arial"/>
        <color rgb="FF1155CC"/>
        <u/>
      </rPr>
      <t>https</t>
    </r>
    <r>
      <rPr>
        <rFont val="Arial"/>
        <color rgb="FF1155CC"/>
        <u/>
      </rPr>
      <t>://doi</t>
    </r>
    <r>
      <rPr>
        <rFont val="Arial"/>
        <color rgb="FF1155CC"/>
        <u/>
      </rPr>
      <t>.org</t>
    </r>
    <r>
      <rPr>
        <rFont val="Arial"/>
        <color rgb="FF1155CC"/>
        <u/>
      </rPr>
      <t>/10</t>
    </r>
    <r>
      <rPr>
        <rFont val="Arial"/>
        <color rgb="FF1155CC"/>
        <u/>
      </rPr>
      <t>/gd4t95</t>
    </r>
  </si>
  <si>
    <r>
      <rPr>
        <rFont val="Calibri, sans-serif"/>
        <color theme="1"/>
        <sz val="12.0"/>
      </rPr>
      <t>10.1073/pnas.1722664115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</si>
  <si>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</si>
  <si>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Guilbeault et al. 2018</t>
  </si>
  <si>
    <t>scientific communications</t>
  </si>
  <si>
    <t>social networks, collective intelligence, motivated reasoning, polarization, science communication</t>
  </si>
  <si>
    <t>belief exchange in structured bipartisan networks can significantly improve the ability of both conservatives and liberals to interpret climate data, eliminating belief polarization. We also find that social learning can be reduced, and polarization maintained, when the sa-lience of partisanship is increased, either through exposure to the logos of political parties or through exposure to political identity markers.</t>
  </si>
  <si>
    <t>by round 3, bipartisan networks without partisan cues showed significantly greater trend accuracy than liberal control groups (by 9.4 percentage points: n = 24; P &lt; 0.01, Wilcoxon rank sum test). More generally, by round 3, subjects in bipartisan networks without partisan cues achieved significantly greater trend accuracy than subjects in every other condition, including the conservative control groups (by 24.1 percentage points: n = 24; P &lt; 0.01, Wilcoxon rank sum test), the networks with minimal partisan priming (by 13.3 percentage points: n = 24; P &lt; 0.01, Wilcoxon rank sum test), and the networks with political identity markers (by 8.2 percentage points; n = 24; P &lt;0.01, Wilcoxon rank sum test).</t>
  </si>
  <si>
    <t>z = 3.207, N = 24</t>
  </si>
  <si>
    <t>https://osf.io/e37nu</t>
  </si>
  <si>
    <t xml:space="preserve">I could not find the original finding in sufficient detail  as reported in the replicated paper, as you can see from "authors' claims" . Therefore, I have coded the original finding reported by the replication paper, please see copied in here "Partisan priming reduces trend accuracy in networks when predicting climate trends. Trend accuracy is defined as the fraction of participants in a treatment that predicted the correct trend in the data, and the trends are compared in round 3. The authors test this hypothesis in a Mann-Whitney-U test with each network of 40 individuals aggregated into one observation and 12 aggregated observations per treatment (Mann-Whitney-U test, n = 24, z = 3.207, p = 0.0013; p. 9716)." </t>
  </si>
  <si>
    <r>
      <rPr>
        <rFont val="Arial"/>
        <color rgb="FF1155CC"/>
        <u/>
      </rPr>
      <t xml:space="preserve">Guilbeault, D., Becker, J., &amp; Centola, D. (2018). Social learning and partisan bias in the interpretation of climate trends. Proceedings of the National Academy of Sciences, 115(39), 9714–9719.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/gd4t95</t>
    </r>
  </si>
  <si>
    <r>
      <rPr>
        <rFont val="Calibri, sans-serif"/>
        <color theme="1"/>
        <sz val="12.0"/>
      </rPr>
      <t>10.1073/pnas.1722664115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</si>
  <si>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</si>
  <si>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Partisan Priming</t>
  </si>
  <si>
    <t>Social networks, collective intelligence, motivated reasoning, polarization, science communication</t>
  </si>
  <si>
    <t>The effect of partisan priming on reducing trend accuracy in predicting climate trends within networks.</t>
  </si>
  <si>
    <t>"In particular, at round 1, there were no significant differences between liberal control groups and bipartisan networks without partisan cues (n = 24; P = 0.32, Wilcoxon rank sum test); however, by round 3, bipartisan networks without partisan cues showed significantly greater trend accuracy than liberal control groups (by 9.4 percentage points: n = 24; P &lt; 0.01, Wilcoxon rank sum test)."</t>
  </si>
  <si>
    <t>z = 3.207</t>
  </si>
  <si>
    <t>Holzmeisteretal2024_17</t>
  </si>
  <si>
    <t xml:space="preserve">the o_paper included 6 studies but the r_paper only replicated  one claim from study number 4; as mentioned in the r_paper (osf link) and the SM doc the o_paper do not report the statistical results of the replicated claim. the p value is mentioned in the SM of the o_study (p.17) https://www.pnas.org/action/downloadSupplement?doi=10.1073%2Fpnas.1620542114&amp;file=pnas.1620542114.sapp.pdf . the statistical test was only mentioned in the r_study so I didn't report it. also the effect size of the o_study was reported in the SM of the o_study (p.2) but do not match the one reported by the r_study. </t>
  </si>
  <si>
    <r>
      <t xml:space="preserve">Gheorghiu, A. I., Callan, M. J., &amp; Skylark, W. J. (2017). Facial appearance affects science communication. Proceedings of the National Academy of Sciences, 114(23), 5970–5975. </t>
    </r>
    <r>
      <rPr>
        <rFont val="Arial"/>
        <color rgb="FF1155CC"/>
        <u/>
      </rPr>
      <t>https</t>
    </r>
    <r>
      <rPr>
        <rFont val="Arial"/>
        <color rgb="FF1155CC"/>
        <u/>
      </rPr>
      <t>://doi</t>
    </r>
    <r>
      <rPr>
        <rFont val="Arial"/>
        <color rgb="FF1155CC"/>
        <u/>
      </rPr>
      <t>.org</t>
    </r>
    <r>
      <rPr>
        <rFont val="Arial"/>
        <color rgb="FF1155CC"/>
        <u/>
      </rPr>
      <t>/10</t>
    </r>
    <r>
      <rPr>
        <rFont val="Arial"/>
        <color rgb="FF1155CC"/>
        <u/>
      </rPr>
      <t>/b9dr</t>
    </r>
  </si>
  <si>
    <r>
      <rPr>
        <rFont val="Calibri, sans-serif"/>
        <color theme="1"/>
        <sz val="12.0"/>
      </rPr>
      <t>10.1073/pnas.1620542114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</si>
  <si>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</si>
  <si>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Gheorghiu et al. 2017</t>
  </si>
  <si>
    <t>First impressions</t>
  </si>
  <si>
    <t>science communication, impression formation, social cognition</t>
  </si>
  <si>
    <t>The dissemination of scientific findings to the wider public is increasingly important to public opinion and policy. We show that this process is influenced by the facial appearance of the scientist. We identify the traits that engender interest in a scientist’s work and the perception that they do high quality work, and show that these face-based impressions influence both the selection and evaluation of science news.</t>
  </si>
  <si>
    <t>Study 4 built on the finding that competence and attractiveness were two key predictors of interest judgments in studies 1 and 2 by varying the attractiveness and competence of the scientists in a 2 × 2 within-subject design...interest was positively related to the facial compe-tence of the scientist.</t>
  </si>
  <si>
    <t>https://osf.io/ev794</t>
  </si>
  <si>
    <t>https://osf.io/eknym</t>
  </si>
  <si>
    <t>The test statistic is not in the original paper so I coded the original finding as reported in the replication paper, please see copied in " To evaluate this hypothesis, the authors perform a mixed-effects regression as reported in the Table S16 in the SI appendix (the test statistic and p-value for this result are not reported in the main text). The p-value for this result is p = 0.032. The original study does not report a test statistic corresponding to the treatment effect. Based on the original data and analysis scripts that were kindly shared by the original authors, the corresponding test statistic is t(404) = 2.151 (using Satterthwaite's correction for degrees of freedom)."</t>
  </si>
  <si>
    <r>
      <rPr>
        <rFont val="Arial"/>
        <color rgb="FF1155CC"/>
        <u/>
      </rPr>
      <t xml:space="preserve">Gheorghiu, A. I., Callan, M. J., &amp; Skylark, W. J. (2017). Facial appearance affects science communication. Proceedings of the National Academy of Sciences, 114(23), 5970–5975.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/b9dr</t>
    </r>
  </si>
  <si>
    <r>
      <rPr>
        <rFont val="Calibri, sans-serif"/>
        <color theme="1"/>
        <sz val="12.0"/>
      </rPr>
      <t>10.1073/pnas.1620542114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</si>
  <si>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</si>
  <si>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Competence-based bias in science communication</t>
  </si>
  <si>
    <t>Science communication, impression formation, social cognition</t>
  </si>
  <si>
    <t>The effect being investigated is whether participants are more likely to select articles when they are paired with photographs of researchers perceived as highly competent.</t>
  </si>
  <si>
    <t xml:space="preserve">Please see Table S16 in the SI appendix - link copied in https://www.pnas.org/action/downloadSupplement?doi=10.1073%2Fpnas.1620542114&amp;file=pnas.1620542114.sapp.pdf </t>
  </si>
  <si>
    <t>Appendix</t>
  </si>
  <si>
    <t>t(404) = 2.151</t>
  </si>
  <si>
    <t>Holzmeisteretal2024_18</t>
  </si>
  <si>
    <t>the o_paper included 6 studies but the r_paper only replicated  one claim from study number 3b</t>
  </si>
  <si>
    <r>
      <t xml:space="preserve">Genschow, O., Rigoni, D., &amp; Brass, M. (2017). Belief in free will affects causal attributions when judging others’ behavior. Proceedings of the National Academy of Sciences, 114(38), 10071–10076. </t>
    </r>
    <r>
      <rPr>
        <rFont val="Arial"/>
        <color rgb="FF1155CC"/>
        <u/>
      </rPr>
      <t>https</t>
    </r>
    <r>
      <rPr>
        <rFont val="Arial"/>
        <color rgb="FF1155CC"/>
        <u/>
      </rPr>
      <t>://doi</t>
    </r>
    <r>
      <rPr>
        <rFont val="Arial"/>
        <color rgb="FF1155CC"/>
        <u/>
      </rPr>
      <t>.org</t>
    </r>
    <r>
      <rPr>
        <rFont val="Arial"/>
        <color rgb="FF1155CC"/>
        <u/>
      </rPr>
      <t>/10</t>
    </r>
    <r>
      <rPr>
        <rFont val="Arial"/>
        <color rgb="FF1155CC"/>
        <u/>
      </rPr>
      <t>/gbxsnh</t>
    </r>
  </si>
  <si>
    <r>
      <rPr>
        <rFont val="Calibri, sans-serif"/>
        <color theme="1"/>
        <sz val="12.0"/>
      </rPr>
      <t>10.1073/pnas.1701916114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</si>
  <si>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</si>
  <si>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Genschow et al. 2017</t>
  </si>
  <si>
    <t>free-will belief</t>
  </si>
  <si>
    <t>free-will belief, interpersonal perception, correspondence bias</t>
  </si>
  <si>
    <t>In six studies, we tested whether believing in free will is related to the correspondence bias—that is, people’s automatic tendency to overestimate the influence of internal as compared to external factors when interpreting others’ behavior. Overall, we demonstrate that believing in free will increases the correspondence bias and predicts prescribed punishment and reward behavior.</t>
  </si>
  <si>
    <t>anti–free-will participants showed a smaller correspondence bias (M = 1.02, SD = 1.10) than control participants (M = 1.24, SD = 1.20) (t = 2.10, P = 0.036, d = 0.19)</t>
  </si>
  <si>
    <t>https://aspredicted.org/w82be.pdf</t>
  </si>
  <si>
    <t>https://osf.io/7qnv4</t>
  </si>
  <si>
    <r>
      <rPr>
        <rFont val="Arial"/>
        <color rgb="FF1155CC"/>
        <u/>
      </rPr>
      <t xml:space="preserve">Genschow, O., Rigoni, D., &amp; Brass, M. (2017). Belief in free will affects causal attributions when judging others’ behavior. Proceedings of the National Academy of Sciences, 114(38), 10071–10076.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/gbxsnh</t>
    </r>
  </si>
  <si>
    <r>
      <rPr>
        <rFont val="Calibri, sans-serif"/>
        <color theme="1"/>
        <sz val="12.0"/>
      </rPr>
      <t>10.1073/pnas.1701916114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</si>
  <si>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</si>
  <si>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3b</t>
  </si>
  <si>
    <t>Free will and correspondance bias</t>
  </si>
  <si>
    <t>Free-will belief, interpersonal perception, correspondence bias</t>
  </si>
  <si>
    <t>The effect being investigated is the impact of reducing belief in free will on the correspondence bias.</t>
  </si>
  <si>
    <t>"Crucially, however, the interaction between belief manipulation and attribution was significant [F(1,502) = 4.41, P = 0.036, ηp2 = 0.01]. This indicates that anti–free-will participants showed a smaller correspondence bias (M = 1.02, SD = 1.10) than control participants (M = 1.24, SD = 1.20) (t = 2.10, P = 0.036, d = 0.19) (Fig. 1)."</t>
  </si>
  <si>
    <t>t(502) = 2.10</t>
  </si>
  <si>
    <t>Holzmeisteretal2024_19</t>
  </si>
  <si>
    <t>the o_paper included 2 studies but the r_paper only replicated  one claim from study number 2; the results of the claim from the o_study come from table 2 page 3</t>
  </si>
  <si>
    <r>
      <t xml:space="preserve">Côté, S., House, J., &amp; Willer, R. (2015). High economic inequality leads higher-income individuals to be less generous. Proceedings of the National Academy of Sciences, 112(52), 15838–15843. </t>
    </r>
    <r>
      <rPr>
        <rFont val="Arial"/>
        <color rgb="FF1155CC"/>
        <u/>
      </rPr>
      <t>https</t>
    </r>
    <r>
      <rPr>
        <rFont val="Arial"/>
        <color rgb="FF1155CC"/>
        <u/>
      </rPr>
      <t>://doi</t>
    </r>
    <r>
      <rPr>
        <rFont val="Arial"/>
        <color rgb="FF1155CC"/>
        <u/>
      </rPr>
      <t>.org</t>
    </r>
    <r>
      <rPr>
        <rFont val="Arial"/>
        <color rgb="FF1155CC"/>
        <u/>
      </rPr>
      <t>/10</t>
    </r>
    <r>
      <rPr>
        <rFont val="Arial"/>
        <color rgb="FF1155CC"/>
        <u/>
      </rPr>
      <t>/gfzkq8</t>
    </r>
  </si>
  <si>
    <r>
      <rPr>
        <rFont val="Calibri, sans-serif"/>
        <color theme="1"/>
        <sz val="12.0"/>
      </rPr>
      <t>10.1073/pnas.1511536112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</si>
  <si>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</si>
  <si>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Côte et al., 2015</t>
  </si>
  <si>
    <t>economic inequality</t>
  </si>
  <si>
    <t>inequality, income, generosity</t>
  </si>
  <si>
    <t>We test a new, multilevel perspective on the relationship between income and generosity that in-corporates economic inequality. In a nationally representative survey study and an experiment, we find that higher-income individuals are only less generous if they reside in a highly unequal area or when inequality is experimentally portrayed as relatively high. Our findings offer a more complete un- derstanding of the association between income and generosity and have implications for contemporary debates about the social impact of unequal resource distributions.</t>
  </si>
  <si>
    <t>To test our hypothesis that income and generosity are only negatively related under unequal conditions, we used ordinary least-squares regression, regressing generosity on household income (centered at its grand mean across partici-pants), inequality condition, and the interaction term. This anal-ysis revealed a significant interaction (Table 2, model 1)</t>
  </si>
  <si>
    <t>t = –2.15</t>
  </si>
  <si>
    <t>https://osf.io/tg2xb</t>
  </si>
  <si>
    <t>Please note this from the replication "High economic inequality (as compared to low economic inequality) reduces the generosity of high-income individuals (as compared to low-income individuals). The above hypothesis is tested using an OLS regression, interacting the high inequality treatment with a dummy for high-income participants. Specifically, we replicate the result on the interaction coefficient of Model 1 in Table 2 (b = −0.08, se = 0.04, t-value = −2.15); p. 15840."</t>
  </si>
  <si>
    <r>
      <rPr>
        <rFont val="Arial"/>
        <color rgb="FF1155CC"/>
        <u/>
      </rPr>
      <t xml:space="preserve">Côté, S., House, J., &amp; Willer, R. (2015). High economic inequality leads higher-income individuals to be less generous. Proceedings of the National Academy of Sciences, 112(52), 15838–15843.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/gfzkq8</t>
    </r>
  </si>
  <si>
    <r>
      <rPr>
        <rFont val="Calibri, sans-serif"/>
        <color theme="1"/>
        <sz val="12.0"/>
      </rPr>
      <t>10.1073/pnas.1511536112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</si>
  <si>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</si>
  <si>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Inequality-driven generosity gap</t>
  </si>
  <si>
    <t>Inequality, income, generosity</t>
  </si>
  <si>
    <t>The effect being investigated is whether high economic inequality reduces the generosity of high-income individuals compared to low-income individuals.</t>
  </si>
  <si>
    <t>Table 2</t>
  </si>
  <si>
    <t>t = -2.15</t>
  </si>
  <si>
    <t>Holzmeisteretal2024_2</t>
  </si>
  <si>
    <r>
      <rPr>
        <rFont val="Calibri"/>
        <sz val="11.0"/>
      </rPr>
      <t xml:space="preserve">the o_paper included 3 studies but the r_paper only replicated one claim from study number 2b; sample size in the o_study was induced from the statistical test; I calculated the effect size of the o_claim using the ES calculations sheet based on the informations I had but the effect size reported in the r_table for the o_study was a bit diffrent (1.746); there is also a pdf containing more information and data about the original study (I didn't use it but thoought I could add it here) </t>
    </r>
    <r>
      <rPr>
        <rFont val="Calibri"/>
        <color rgb="FF1155CC"/>
        <sz val="11.0"/>
        <u/>
      </rPr>
      <t>https://www.pnas.org/action/downloadSupplementdoi=10.1073%2Fpnas.1508932113&amp;file=pnas.201508932SI.pdf</t>
    </r>
    <r>
      <rPr>
        <rFont val="Calibri"/>
        <sz val="11.0"/>
      </rPr>
      <t xml:space="preserve"> </t>
    </r>
  </si>
  <si>
    <r>
      <t xml:space="preserve">Vacharkulksemsuk, T., Reit, E., Khambatta, P., Eastwick, P. W., Finkel, E. J., &amp; Carney, D. R. (2016). Dominant, open nonverbal displays are attractive at zero-acquaintance. Proceedings of the National Academy of Sciences, 113(15), 4009–4014. </t>
    </r>
    <r>
      <rPr>
        <rFont val="Arial"/>
        <color rgb="FF1155CC"/>
        <u/>
      </rPr>
      <t>https</t>
    </r>
    <r>
      <rPr>
        <rFont val="Arial"/>
        <color rgb="FF1155CC"/>
        <u/>
      </rPr>
      <t>://doi</t>
    </r>
    <r>
      <rPr>
        <rFont val="Arial"/>
        <color rgb="FF1155CC"/>
        <u/>
      </rPr>
      <t>.org</t>
    </r>
    <r>
      <rPr>
        <rFont val="Arial"/>
        <color rgb="FF1155CC"/>
        <u/>
      </rPr>
      <t>/10</t>
    </r>
    <r>
      <rPr>
        <rFont val="Arial"/>
        <color rgb="FF1155CC"/>
        <u/>
      </rPr>
      <t>/f8hms6</t>
    </r>
  </si>
  <si>
    <r>
      <rPr>
        <rFont val="Calibri, sans-serif"/>
        <color theme="1"/>
        <sz val="12.0"/>
      </rPr>
      <t>10.1073/pnas.1508932113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</si>
  <si>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</si>
  <si>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Vacharkulksemsuk et al., 2016</t>
  </si>
  <si>
    <t>romantic attraction,</t>
  </si>
  <si>
    <t>attraction, postural expansiveness, mate selection, nonverbal behavior, romantic relationships</t>
  </si>
  <si>
    <t>Dominant, open nonverbal displays are attractive at zero-acquaintance</t>
  </si>
  <si>
    <t>Overall (across photographs of men and women), the expansive photographs were rated as more dominant (mean = 3.78, SD =0.63) than the contractive photographs (mean = 2.44, SD = 0.88), [t(424) = 18.02, P &lt; 0.0001, 95% CI (1.19, 1.48)]... in modern-day dating contexts, in which initial attraction often is determined by a rapid decision following a brief interaction or seeing a photograph, displays of expansive posture increase one’s chances of initial romantic success.</t>
  </si>
  <si>
    <t>https://osf.io/nuw8e</t>
  </si>
  <si>
    <r>
      <rPr>
        <rFont val="Arial"/>
        <color rgb="FF1155CC"/>
        <u/>
      </rPr>
      <t xml:space="preserve">Vacharkulksemsuk, T., Reit, E., Khambatta, P., Eastwick, P. W., Finkel, E. J., &amp; Carney, D. R. (2016). Dominant, open nonverbal displays are attractive at zero-acquaintance. Proceedings of the National Academy of Sciences, 113(15), 4009–4014.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/f8hms6</t>
    </r>
  </si>
  <si>
    <r>
      <rPr>
        <rFont val="Calibri, sans-serif"/>
        <color theme="1"/>
        <sz val="12.0"/>
      </rPr>
      <t>10.1073/pnas.1508932113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</si>
  <si>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</si>
  <si>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Dominance of open non-verbal displays</t>
  </si>
  <si>
    <t>Attraction, postural expansiveness, mate selection, nonverbal behavior, romantic relationships</t>
  </si>
  <si>
    <t>Postural expansiveness is associated with increased romantic dominance</t>
  </si>
  <si>
    <t>"Overall (across photographs of men and women), the expansive photographs were rated as more dominant (mean = 3.78, SD = 0.63) than the contractive photographs (mean = 2.44, SD = 0.88), [t(424) = 18.02, P &lt; 0.0001, 95% CI (1.19, 1.48)]."</t>
  </si>
  <si>
    <t>t(424) = 18.02</t>
  </si>
  <si>
    <t>Holzmeisteretal2024_20</t>
  </si>
  <si>
    <r>
      <rPr>
        <rFont val="Calibri"/>
        <sz val="11.0"/>
      </rPr>
      <t xml:space="preserve">the o_paper included 6 studies but the r_paper only replicated  one claim from study number 5; the results of the o_claim were reported from the SI appendix p.4 </t>
    </r>
    <r>
      <rPr>
        <rFont val="Calibri"/>
        <color rgb="FF1155CC"/>
        <sz val="11.0"/>
        <u/>
      </rPr>
      <t>https://www.pnas.org/action/downloadSupplement?doi=10.1073%2Fpnas.1606574113&amp;file=pnas.1606574113.sapp.pdf</t>
    </r>
    <r>
      <rPr>
        <rFont val="Calibri"/>
        <sz val="11.0"/>
      </rPr>
      <t xml:space="preserve"> however they do not match the o_claim reported by the r_study (SM doc or osf link) </t>
    </r>
  </si>
  <si>
    <r>
      <t xml:space="preserve">Cooney, G., Gilbert, D. T., &amp; Wilson, T. D. (2016). When fairness matters less than we expect. Proceedings of the National Academy of Sciences, 113(40), 11168–11171. </t>
    </r>
    <r>
      <rPr>
        <rFont val="Arial"/>
        <color rgb="FF1155CC"/>
        <u/>
      </rPr>
      <t>https</t>
    </r>
    <r>
      <rPr>
        <rFont val="Arial"/>
        <color rgb="FF1155CC"/>
        <u/>
      </rPr>
      <t>://doi</t>
    </r>
    <r>
      <rPr>
        <rFont val="Arial"/>
        <color rgb="FF1155CC"/>
        <u/>
      </rPr>
      <t>.org</t>
    </r>
    <r>
      <rPr>
        <rFont val="Arial"/>
        <color rgb="FF1155CC"/>
        <u/>
      </rPr>
      <t>/10</t>
    </r>
    <r>
      <rPr>
        <rFont val="Arial"/>
        <color rgb="FF1155CC"/>
        <u/>
      </rPr>
      <t>/f8646f</t>
    </r>
  </si>
  <si>
    <r>
      <rPr>
        <rFont val="Calibri, sans-serif"/>
        <color rgb="FF1155CC"/>
        <sz val="12.0"/>
        <u/>
      </rPr>
      <t>10.1073/pnas.1606574113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</si>
  <si>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</si>
  <si>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ofCooneyet al2016</t>
  </si>
  <si>
    <t>fairness</t>
  </si>
  <si>
    <t>fairness, affective forecasting, decision-making</t>
  </si>
  <si>
    <t>in a series of experiments, we show that those to whom resources are allocated often care less about fairness than those who allocate the resources expect them to. This “allocator’s illusion” results from the fact that fairness seems more important before an allocation is made (when al-locators are choosing a procedure) than afterward (when re-ceivers are reacting to the procedure that allocators chose).</t>
  </si>
  <si>
    <t>In study 5, we asked receivers before the allocation was made to predict how they would feel afterward...As the right side of Fig. 4 shows, receivers in study 5 expected that the fairness of the al-location procedure would matter to them. Indeed, their re- sponses look very much like those of the allocators in study 2. These results suggest that the different temporal positions of allocators and receivers are what causes them to have such dif-ferent perspectives on the importance of fairness.</t>
  </si>
  <si>
    <t>p.4 SI</t>
  </si>
  <si>
    <t>https://osf.io/8z2tm</t>
  </si>
  <si>
    <t xml:space="preserve">Please note that, for the original study, I coded based on the original finding reported in the replication as the original statistics are found in the Supplementary Information linked in the original paper which does not load up. Please see copied in "To evaluate this hypothesis, the authors perform an F-test on the Outcome x Procedure interaction (F(1,119) = 54.23, p &lt; 0.001, η²p = 0.313); p. 4 in SI." </t>
  </si>
  <si>
    <r>
      <rPr>
        <rFont val="Arial"/>
        <color rgb="FF1155CC"/>
        <u/>
      </rPr>
      <t xml:space="preserve">Cooney, G., Gilbert, D. T., &amp; Wilson, T. D. (2016). When fairness matters less than we expect. Proceedings of the National Academy of Sciences, 113(40), 11168–11171.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/f8646f</t>
    </r>
  </si>
  <si>
    <r>
      <rPr>
        <rFont val="Calibri, sans-serif"/>
        <color rgb="FF1155CC"/>
        <sz val="12.0"/>
        <u/>
      </rPr>
      <t>10.1073/pnas.1606574113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</si>
  <si>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</si>
  <si>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Affective forecasting error</t>
  </si>
  <si>
    <t>Fairness, affective forecasting, decision-making.</t>
  </si>
  <si>
    <t>The effect being investigated is whether participants predict that they would feel less bad about not receiving the bonus under a fair procedure compared to an unfair procedure</t>
  </si>
  <si>
    <t>Supplementary Information, however link for it found in original paper not working</t>
  </si>
  <si>
    <t>F(1,119) = 54.23</t>
  </si>
  <si>
    <t>Holzmeisteretal2024_21</t>
  </si>
  <si>
    <t>the o_paper included 3 studies but the r_paper only replicated  one claim from study number 2; the test of the o_study was not reported in the o_paper but directly communicated to the author's r_paper so I only reported the information mentioned in the o_paper; I calculated the effect size of the o_claim using the ES calculations sheet based on the informations I had but the effect size reported in the r_table for the o_study was a bit diffrent (0.320)</t>
  </si>
  <si>
    <r>
      <t xml:space="preserve">Cheon, B. K., &amp; Hong, Y.-Y. (2017). Mere experience of low subjective socioeconomic status stimulates appetite and food intake. Proceedings of the National Academy of Sciences, 114(1), 72–77. </t>
    </r>
    <r>
      <rPr>
        <rFont val="Arial"/>
        <color rgb="FF1155CC"/>
        <u/>
      </rPr>
      <t>https</t>
    </r>
    <r>
      <rPr>
        <rFont val="Arial"/>
        <color rgb="FF1155CC"/>
        <u/>
      </rPr>
      <t>://doi</t>
    </r>
    <r>
      <rPr>
        <rFont val="Arial"/>
        <color rgb="FF1155CC"/>
        <u/>
      </rPr>
      <t>.org</t>
    </r>
    <r>
      <rPr>
        <rFont val="Arial"/>
        <color rgb="FF1155CC"/>
        <u/>
      </rPr>
      <t>/10</t>
    </r>
    <r>
      <rPr>
        <rFont val="Arial"/>
        <color rgb="FF1155CC"/>
        <u/>
      </rPr>
      <t>/f9h49k</t>
    </r>
  </si>
  <si>
    <r>
      <rPr>
        <rFont val="Calibri, sans-serif"/>
        <color theme="1"/>
        <sz val="12.0"/>
      </rPr>
      <t>10.1073/pnas.1607330114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</si>
  <si>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</si>
  <si>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Cheon and Hong,2017</t>
  </si>
  <si>
    <t>eating behavior</t>
  </si>
  <si>
    <t>subjective socioeconomic status, social class, appetite, eating behavior, food preferences</t>
  </si>
  <si>
    <t>We demonstrate here that the mere subjective experience of being lower in SES relative to others is alone sufficient to causally elicit behaviors that may risk obesity (e.g., preference, selection, and intake of greater calories), independent of actual economic deprivation or stress from being subordinated. Among social species, the physiological/psychological systems regulating hunger may have been adapted to be sensitive to perceived deprivation of critical social, material, and symbolic resources that underlie social class in addition to caloric deprivation.</t>
  </si>
  <si>
    <t>Participants in the low subjective status condition (M = 0.51, SD = 0.75) exhibited a trend for stronger implicit preferences for calorie-dense foods over fruits/vegetables compared with those in the high SSES condition (M = 0.27, SD = 0.70), suggesting that feelings of low SSES may alter the motivational relevance or perceived appetitiveness of calorie-dense foods at an automatic level.</t>
  </si>
  <si>
    <t>https://osf.io/j7syt</t>
  </si>
  <si>
    <t>I was not able to source the orignal finding from the original paper as this information was provided directly by the authors, so I got it from the replication paper, please see copied in "The paper only reports a 2 (SSES: low or high) × 2 (gender) ANOVA, with a significant main effect for SSES, F(1, 79) = 4.92, p = 0.03, p. 74. As the replication focuses only on the effect of the subjective socioeconomic status manipulation, and not on the effect of gender or the interaction between gender and SSES, the authors provided the result of a direct comparison of implicit preferences for calorie-dense foods over fruits/vegetables between the two SSES conditions (n1 = 87, n2 = 80) based on an independent-samples t-test: t(165) = 2.07, p = 0.04."</t>
  </si>
  <si>
    <r>
      <rPr>
        <rFont val="Arial"/>
        <color rgb="FF1155CC"/>
        <u/>
      </rPr>
      <t xml:space="preserve">Cheon, B. K., &amp; Hong, Y.-Y. (2017). Mere experience of low subjective socioeconomic status stimulates appetite and food intake. Proceedings of the National Academy of Sciences, 114(1), 72–77.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/f9h49k</t>
    </r>
  </si>
  <si>
    <r>
      <rPr>
        <rFont val="Calibri, sans-serif"/>
        <color theme="1"/>
        <sz val="12.0"/>
      </rPr>
      <t>10.1073/pnas.1607330114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</si>
  <si>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</si>
  <si>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The influence of subjective socioeconomic status (SSES) on implicit food preferences</t>
  </si>
  <si>
    <t>Subjective socioeconomic status, social class, appetite, eating behavior, food preferences</t>
  </si>
  <si>
    <t>The effect being investigated is whether participants in the low SSES condition exhibit stronger implicit preferences for calorie-dense foods compared to fruits/vegetables relative to those in the high SSES condition.</t>
  </si>
  <si>
    <t>"Study 3 examined whether the experience of low SSES stimulates actual food intake from snacks during a fixed time interval. Eighty-three nondieting participants (41 female, age M = 20.29, SD = 1.38) completed the SSES manipulation from studies 1 and 2, then viewed a short documentary video while freely eating three snacks: potato chips, M&amp;M candies, and California raisins, from separate bowls. A 2 (SSES: low or high) × 2 (gender) ANOVA revealed only a significant main effect of SSES on caloric intake, F(1, 79) = 4.92, p = 0.03, η²p = 0.06, but no significant main effects of gender or interaction between gender and SSES condition. Participants in the low SSES condition (n = 47) consumed significantly greater calories (M = 88.24, SD = 75.32) compared with those in the high SSES condition (n = 36) (M = 53.62, SD = 63.66)."</t>
  </si>
  <si>
    <t>t(165) = 2.07</t>
  </si>
  <si>
    <t>Holzmeisteretal2024_22</t>
  </si>
  <si>
    <t>the o_paper included 2 studies but the r_paper only replicated  one claim from study number 2; only p was reported in the o_study</t>
  </si>
  <si>
    <r>
      <t xml:space="preserve">Chao, M. (2017). Demotivating incentives and motivation crowding out in charitable giving. Proceedings of the National Academy of Sciences, 114(28), 7301–7306. </t>
    </r>
    <r>
      <rPr>
        <rFont val="Arial"/>
        <color rgb="FF1155CC"/>
        <u/>
      </rPr>
      <t>https</t>
    </r>
    <r>
      <rPr>
        <rFont val="Arial"/>
        <color rgb="FF1155CC"/>
        <u/>
      </rPr>
      <t>://doi</t>
    </r>
    <r>
      <rPr>
        <rFont val="Arial"/>
        <color rgb="FF1155CC"/>
        <u/>
      </rPr>
      <t>.org</t>
    </r>
    <r>
      <rPr>
        <rFont val="Arial"/>
        <color rgb="FF1155CC"/>
        <u/>
      </rPr>
      <t>/10</t>
    </r>
    <r>
      <rPr>
        <rFont val="Arial"/>
        <color rgb="FF1155CC"/>
        <u/>
      </rPr>
      <t>/gbnk55</t>
    </r>
  </si>
  <si>
    <r>
      <rPr>
        <rFont val="Calibri, sans-serif"/>
        <color theme="1"/>
        <sz val="12.0"/>
      </rPr>
      <t>10.1073/pnas.1616921114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</si>
  <si>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</si>
  <si>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Chao201</t>
  </si>
  <si>
    <t>charitable giving</t>
  </si>
  <si>
    <t>motivation crowding out, charitable giving, multiattribute choice, attention, saliency</t>
  </si>
  <si>
    <t>This study tests for the effect of thank-you gifts during a nonprofit’s direct-mail fund-raising campaign and finds that gifts reduced donation rates in this campaign. A complementary online experiment confirms that thank-you gifts can reduce donation rates but only when the gift is visually salient and thus more likely to occupy the donor’s attention. Nonprofits should consider their donor’s psy-chological incentives carefully</t>
  </si>
  <si>
    <t>Only 16% (41/255, five gifts requested) of subjects in the gift/image treatment donated, which is significantly different from both other treatments (difference-in-means: P = 0.001 and P = 0.021, respectively). Therefore, increasing the visual saliency of the gift, without influencing the perceived desirability of the gift, decreased donation rates.</t>
  </si>
  <si>
    <t>https://osf.io/e6pq5</t>
  </si>
  <si>
    <t>I could not find the reported original effect size in the original paper, please see the insufficient detail in what I coded in 'authors claims' so instead I coded the effect size that the replication paper reported in table 3 of the supplementary materials for Holzmeister.</t>
  </si>
  <si>
    <r>
      <rPr>
        <rFont val="Arial"/>
        <color rgb="FF1155CC"/>
        <u/>
      </rPr>
      <t xml:space="preserve">Chao, M. (2017). Demotivating incentives and motivation crowding out in charitable giving. Proceedings of the National Academy of Sciences, 114(28), 7301–7306.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/gbnk55</t>
    </r>
  </si>
  <si>
    <r>
      <rPr>
        <rFont val="Calibri, sans-serif"/>
        <color theme="1"/>
        <sz val="12.0"/>
      </rPr>
      <t>10.1073/pnas.1616921114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</si>
  <si>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</si>
  <si>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Motivation crowding out</t>
  </si>
  <si>
    <t>Motivation crowding out, charitable giving, multiattribute choice, attention, saliency</t>
  </si>
  <si>
    <t>The effect examines how the visibility of a gift card (extrinsic incentive) shifts attention away from intrinsic motivation (e.g., altruism) and leads to reduced donation rates</t>
  </si>
  <si>
    <t>"Only 16% (41/255, five gifts requested) of subjects in the gift/image treatment donated, which is significantly different from both other treatments (difference-in-means: P = 0.001 and P = 0.021, respectively). Therefore, increasing the visual saliency of the gift, without influencing the perceived desirability of the gift, decreased donation rates. This is as predicted by the attention-based mechanism."</t>
  </si>
  <si>
    <t>Holzmeisteretal2024_23</t>
  </si>
  <si>
    <r>
      <rPr>
        <rFont val="Calibri"/>
        <sz val="11.0"/>
      </rPr>
      <t xml:space="preserve">the o_paper included 6 studies but the r_paper only replicated  one claim from study number 4; the results of the o_claim were reported from the SI appendix p.12 </t>
    </r>
    <r>
      <rPr>
        <rFont val="Calibri"/>
        <color rgb="FF1155CC"/>
        <sz val="11.0"/>
        <u/>
      </rPr>
      <t>https://ftp.ebi.ac.uk/biostudies/nfs/S-EPMC/472/S-EPMC6275472/Files/pnas.1717092115.sapp.pdf</t>
    </r>
    <r>
      <rPr>
        <rFont val="Calibri"/>
        <sz val="11.0"/>
      </rPr>
      <t>; the sample size of the o_study is diffrent when reported by the o_study (370) and the SM doc or the osf link of the r_study (260)</t>
    </r>
  </si>
  <si>
    <r>
      <t xml:space="preserve">Boswell, R. G., Sun, W., Suzuki, S., &amp; Kober, H. (2018). Training in cognitive strategies reduces eating and improves food choice. Proceedings of the National Academy of Sciences, 115(48), E11238–E11247. </t>
    </r>
    <r>
      <rPr>
        <rFont val="Arial"/>
        <color rgb="FF1155CC"/>
        <u/>
      </rPr>
      <t>https</t>
    </r>
    <r>
      <rPr>
        <rFont val="Arial"/>
        <color rgb="FF1155CC"/>
        <u/>
      </rPr>
      <t>://doi</t>
    </r>
    <r>
      <rPr>
        <rFont val="Arial"/>
        <color rgb="FF1155CC"/>
        <u/>
      </rPr>
      <t>.org</t>
    </r>
    <r>
      <rPr>
        <rFont val="Arial"/>
        <color rgb="FF1155CC"/>
        <u/>
      </rPr>
      <t>/10</t>
    </r>
    <r>
      <rPr>
        <rFont val="Arial"/>
        <color rgb="FF1155CC"/>
        <u/>
      </rPr>
      <t>/gfqzv6</t>
    </r>
  </si>
  <si>
    <r>
      <rPr>
        <rFont val="Calibri, sans-serif"/>
        <color theme="1"/>
        <sz val="12.0"/>
      </rPr>
      <t>10.1073/pnas.1717092115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</si>
  <si>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</si>
  <si>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ofBoswell et al2018</t>
  </si>
  <si>
    <t>craving</t>
  </si>
  <si>
    <t>cognitive strategies, craving, food, obesity, self control</t>
  </si>
  <si>
    <t>Across two studies, we demonstrate that cognitive strategies decrease craving for unhealthy foods, increase craving for healthy foods, and modulate subjective valuation. Importantly, across four additional studies we show that brief training in such cognitive strategies increases subsequent healthy food choices in the presence of unhealthy alternatives, without ex-plicit instructions to use the strategies, and across individual differences in weight. Furthermore, this training significantly reduces food consumption. Thus, training in cognitive strate-gies might ultimately advance clinical treatment and public health interventions aiming to prevent and reduce obesity.</t>
  </si>
  <si>
    <t>both ROC-T conditions significantly increased healthy food choices and were signifi-cantly different from CONTROL</t>
  </si>
  <si>
    <t xml:space="preserve"> t(173.36) = 5.37</t>
  </si>
  <si>
    <t>p.12 SI</t>
  </si>
  <si>
    <t>https://osf.io/qfhe4/</t>
  </si>
  <si>
    <t>https://osf.io/gq2fr</t>
  </si>
  <si>
    <r>
      <rPr>
        <rFont val="Arial"/>
        <color rgb="FF1155CC"/>
        <u/>
      </rPr>
      <t xml:space="preserve">Boswell, R. G., Sun, W., Suzuki, S., &amp; Kober, H. (2018). Training in cognitive strategies reduces eating and improves food choice. Proceedings of the National Academy of Sciences, 115(48), E11238–E11247.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/gfqzv6</t>
    </r>
  </si>
  <si>
    <r>
      <rPr>
        <rFont val="Calibri, sans-serif"/>
        <color theme="1"/>
        <sz val="12.0"/>
      </rPr>
      <t>10.1073/pnas.1717092115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</si>
  <si>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</si>
  <si>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Cognitive regulation of craving</t>
  </si>
  <si>
    <t>Cognitive strategies, craving, food, obesity, self-control</t>
  </si>
  <si>
    <t>The effect evaluates whether the ROC-T training leads to an increase in healthy food choices despite the availability of unhealthy tempting options</t>
  </si>
  <si>
    <t>"The training conditions did not significantly differ (p = .28), but were each different than CONTROL (POSITIVE vs. CONTROL: t(193.22) = 4.43, p &lt; .001; NEGATIVE vs. CONTROL: t(173.36) = 5.37, p &lt; .001).</t>
  </si>
  <si>
    <t>Supplementary Appendix, p12, linked here: https://www.pnas.org/doi/suppl/10.1073/pnas.1717092115</t>
  </si>
  <si>
    <t>t(173.36) = 5.37</t>
  </si>
  <si>
    <t>Holzmeisteretal2024_24</t>
  </si>
  <si>
    <r>
      <rPr>
        <rFont val="Calibri"/>
        <sz val="11.0"/>
      </rPr>
      <t xml:space="preserve">the o_paper included 8 studies but the r_paper only replicated  one claim from study number 3; o_sample size was reported from the SI appendix </t>
    </r>
    <r>
      <rPr>
        <rFont val="Calibri"/>
        <color rgb="FF1155CC"/>
        <sz val="11.0"/>
        <u/>
      </rPr>
      <t>https://www.pnas.org/doi/suppl/10.1073/pnas.1610834113</t>
    </r>
    <r>
      <rPr>
        <rFont val="Calibri"/>
        <sz val="11.0"/>
      </rPr>
      <t xml:space="preserve"> </t>
    </r>
  </si>
  <si>
    <r>
      <t xml:space="preserve">Baldwin, M., &amp; Lammers, J. (2016). Past-focused environmental comparisons promote proenvironmental outcomes for conservatives. Proceedings of the National Academy of Sciences, 113(52), 14953–14957. </t>
    </r>
    <r>
      <rPr>
        <rFont val="Arial"/>
        <color rgb="FF1155CC"/>
        <u/>
      </rPr>
      <t>https</t>
    </r>
    <r>
      <rPr>
        <rFont val="Arial"/>
        <color rgb="FF1155CC"/>
        <u/>
      </rPr>
      <t>://doi</t>
    </r>
    <r>
      <rPr>
        <rFont val="Arial"/>
        <color rgb="FF1155CC"/>
        <u/>
      </rPr>
      <t>.org</t>
    </r>
    <r>
      <rPr>
        <rFont val="Arial"/>
        <color rgb="FF1155CC"/>
        <u/>
      </rPr>
      <t>/10</t>
    </r>
    <r>
      <rPr>
        <rFont val="Arial"/>
        <color rgb="FF1155CC"/>
        <u/>
      </rPr>
      <t>/f9hmdp</t>
    </r>
  </si>
  <si>
    <r>
      <rPr>
        <rFont val="Calibri, sans-serif"/>
        <color theme="1"/>
        <sz val="12.0"/>
      </rPr>
      <t>10.1073/pnas.1610834113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</si>
  <si>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</si>
  <si>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Baldwin and Lammers,2016</t>
  </si>
  <si>
    <t>climate change</t>
  </si>
  <si>
    <t>climate change, temporal comparison, political ideology, attitudes, framing</t>
  </si>
  <si>
    <t>We found that conservatives’ proenvironmental attitudes and be-haviors improved consistently and drastically when we presented messages that compared the environment today with that of the past. This research shows how ideological differences can arise from basic psychological processes, demonstrates how such dif-ferences can be overcome by framing a message consistent with these basic processes, and provides a way to market the science behind climate change more effectively.</t>
  </si>
  <si>
    <t>As expected, conservatives expressed less favorable attitudes in the future-focused comparison...but this association was greatly attenuated in the past-focused comparison...interaction b = 0.008, P = 0.03)</t>
  </si>
  <si>
    <t>https://osf.io/cyg6v</t>
  </si>
  <si>
    <r>
      <rPr>
        <rFont val="Arial"/>
        <color rgb="FF1155CC"/>
        <u/>
      </rPr>
      <t xml:space="preserve">Baldwin, M., &amp; Lammers, J. (2016). Past-focused environmental comparisons promote proenvironmental outcomes for conservatives. Proceedings of the National Academy of Sciences, 113(52), 14953–14957.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/f9hmdp</t>
    </r>
  </si>
  <si>
    <r>
      <rPr>
        <rFont val="Calibri, sans-serif"/>
        <color theme="1"/>
        <sz val="12.0"/>
      </rPr>
      <t>10.1073/pnas.1610834113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</si>
  <si>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</si>
  <si>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Temporal framing on pro-environmental behavior</t>
  </si>
  <si>
    <t>Climate change, temporal comparison, political ideology, attitudes, framing</t>
  </si>
  <si>
    <t>The effect examines how presenting climate change appeals as past-focused comparisons (rather than future-focused) can increase pro-environmental attitudes and behaviors among conservatives</t>
  </si>
  <si>
    <t>"As expected, conservatives expressed less favorable attitudes in the future-focused comparison (b = −0.015, P &lt; 0.0001), but this association was greatly attenuated in the past-focused comparison (b = −0.007, P = 0.011; interaction b = 0.008, P = 0.03). Importantly, these results remained significant when controlling for feelings of uncertainty and personal need for closure (e.g., intolerance of ambiguity) measured after the manipulation."</t>
  </si>
  <si>
    <t>Holzmeisteretal2024_25</t>
  </si>
  <si>
    <t>the o_paper included 8 studies but the r_paper only replicated  one claim from study number 8</t>
  </si>
  <si>
    <r>
      <t xml:space="preserve">Atir, S., &amp; Ferguson, M. J. (2018). How gender determines the way we speak about professionals. Proceedings of the National Academy of Sciences, 115(28), 7278–7283. </t>
    </r>
    <r>
      <rPr>
        <rFont val="Arial"/>
        <color rgb="FF1155CC"/>
        <u/>
      </rPr>
      <t>https</t>
    </r>
    <r>
      <rPr>
        <rFont val="Arial"/>
        <color rgb="FF1155CC"/>
        <u/>
      </rPr>
      <t>://doi</t>
    </r>
    <r>
      <rPr>
        <rFont val="Arial"/>
        <color rgb="FF1155CC"/>
        <u/>
      </rPr>
      <t>.org</t>
    </r>
    <r>
      <rPr>
        <rFont val="Arial"/>
        <color rgb="FF1155CC"/>
        <u/>
      </rPr>
      <t>/10</t>
    </r>
    <r>
      <rPr>
        <rFont val="Arial"/>
        <color rgb="FF1155CC"/>
        <u/>
      </rPr>
      <t>/crgh</t>
    </r>
  </si>
  <si>
    <r>
      <rPr>
        <rFont val="Calibri, sans-serif"/>
        <color theme="1"/>
        <sz val="12.0"/>
      </rPr>
      <t>10.1073/pnas.1805284115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</si>
  <si>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</si>
  <si>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Atir and Ferguson, 2018</t>
  </si>
  <si>
    <t>gender bias</t>
  </si>
  <si>
    <t>gender, gender bias, reference, judgment, evaluation</t>
  </si>
  <si>
    <t>Across eight studies combining archival and experimental methods, we report evidence for a gender bias in how people speak about professionals. Men and women were, on average across studies, more than twice as likely to describe a male (vs. female) professional by surname in domains, such as science, literature, and politics. We find that this simple difference in reference affects judgments of eminence, with participants judging those professionals described by surname as more emi-nent and 14% more deserving of a career award. This gender bias may contribute to the gender gap in perceived eminence as well as in actual recognition and may partially explain the persistent state of women’s underrepresentation in high-status fields, in-cluding science, technology, engineering, and math.</t>
  </si>
  <si>
    <t>Some professional outcomes, such as career awards, are partic-ularly tied to eminence. In study 8 (n = 554), we tested whether researchers referred to by surname (vs. full name) are judged as more deserving of a fictitious NSF career award and award-related funds...Re-searchers referred to by surname were also allocated a larger share of the award money by 6%: F(1,551) = 4.61, P = 0.032</t>
  </si>
  <si>
    <t>F(1,551) = 4.61</t>
  </si>
  <si>
    <t>https://aspredicted.org/ij46t.pdf</t>
  </si>
  <si>
    <t>https://osf.io/kpvwg</t>
  </si>
  <si>
    <r>
      <rPr>
        <rFont val="Arial"/>
        <color rgb="FF1155CC"/>
        <u/>
      </rPr>
      <t xml:space="preserve">Atir, S., &amp; Ferguson, M. J. (2018). How gender determines the way we speak about professionals. Proceedings of the National Academy of Sciences, 115(28), 7278–7283.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/crgh</t>
    </r>
  </si>
  <si>
    <r>
      <rPr>
        <rFont val="Calibri, sans-serif"/>
        <color theme="1"/>
        <sz val="12.0"/>
      </rPr>
      <t>10.1073/pnas.1805284115</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</si>
  <si>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</si>
  <si>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Gender bias in professional recognition</t>
  </si>
  <si>
    <t>Gender, gender bias, reference, judgment, evaluation</t>
  </si>
  <si>
    <t>The effect being investigated here is the influence of gender bias in how professionals are referred to (surname vs. full name) on perceptions of status, eminence, and allocation of resources or rewards (e.g., award money)</t>
  </si>
  <si>
    <t>"Researchers referred to by surname were also allocated a larger share of the award money by 6%: F(1,551) = 4.61, P = 0.032 (Fig. 3)."</t>
  </si>
  <si>
    <t>Holzmeisteretal2024_26</t>
  </si>
  <si>
    <t>the o_paper included 2 studies but the r_paper only replicated  one claim from study number 1; o_sample size was not reported in o_paper</t>
  </si>
  <si>
    <r>
      <t xml:space="preserve">Ames, D. L., &amp; Fiske, S. T. (2015). Perceived intent motivates people to magnify observed harms. Proceedings of the National Academy of Sciences, 112(12), 3599–3605. </t>
    </r>
    <r>
      <rPr>
        <rFont val="Arial"/>
        <color rgb="FF1155CC"/>
        <u/>
      </rPr>
      <t>https</t>
    </r>
    <r>
      <rPr>
        <rFont val="Arial"/>
        <color rgb="FF1155CC"/>
        <u/>
      </rPr>
      <t>://doi</t>
    </r>
    <r>
      <rPr>
        <rFont val="Arial"/>
        <color rgb="FF1155CC"/>
        <u/>
      </rPr>
      <t>.org</t>
    </r>
    <r>
      <rPr>
        <rFont val="Arial"/>
        <color rgb="FF1155CC"/>
        <u/>
      </rPr>
      <t>/10</t>
    </r>
    <r>
      <rPr>
        <rFont val="Arial"/>
        <color rgb="FF1155CC"/>
        <u/>
      </rPr>
      <t>/gsv6xm</t>
    </r>
  </si>
  <si>
    <r>
      <rPr>
        <rFont val="Calibri, sans-serif"/>
        <color theme="1"/>
        <sz val="12.0"/>
      </rPr>
      <t>10.1073/pnas.1501592112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</si>
  <si>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</si>
  <si>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AmesandFiske,2015</t>
  </si>
  <si>
    <t>morality</t>
  </si>
  <si>
    <t>intent, motivation, harm, blame, morality</t>
  </si>
  <si>
    <t>This paper examines how detecting harmful intent creates downstream consequences for assessing damage, magnifying its cost. If intentional harms seem worse, society may spend more money on them than on objectively more damaging unintentional harms or on naturally occurring harms. Why might this occur? Various psychological theories identify the cause as motivation; however, the presence of this motivation has been inferred in-directly. Drawing on animal-model research, we present more direct evidence for blame motivation, and discuss how it may help to explain the magnification of intentional harms. This approach acknowledges the nonrational biases in damage estimates and potential policy priorities.</t>
  </si>
  <si>
    <t>However, in the intentional harm condition—that is, when the vignette was identical except that the medi-cations were switched intentionally—selection of the “blame” task more than doubled, X2(1) = 6.7, P = 0.009. Although other tasks could have been similarly (or inversely) affected, the blame task proved to be uniquely sensitive to the intentionality ma-nipulation</t>
  </si>
  <si>
    <t>X2(1) = 6.7</t>
  </si>
  <si>
    <t>https://osf.io/4aqu7</t>
  </si>
  <si>
    <r>
      <rPr>
        <rFont val="Arial"/>
        <color rgb="FF1155CC"/>
        <u/>
      </rPr>
      <t xml:space="preserve">Ames, D. L., &amp; Fiske, S. T. (2015). Perceived intent motivates people to magnify observed harms. Proceedings of the National Academy of Sciences, 112(12), 3599–3605.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/gsv6xm</t>
    </r>
  </si>
  <si>
    <r>
      <rPr>
        <rFont val="Calibri, sans-serif"/>
        <color theme="1"/>
        <sz val="12.0"/>
      </rPr>
      <t>10.1073/pnas.1501592112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</si>
  <si>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</si>
  <si>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Intentionality bias, harm magnification</t>
  </si>
  <si>
    <t>Intent, motivation, harm, blame, morality</t>
  </si>
  <si>
    <t>The effect examines whether participants who read about an intentional act (mixing up medications intentionally) are more likely to choose a task involving blame compared to those who read about an unintentional act (mixing up medications unintentionally)</t>
  </si>
  <si>
    <t>"However, in the intentional harm condition—that is, when the vignette was identical except that the medications were switched intentionally—selection of the "blame" task more than doubled, X2(1) = 6.7, P = 0.009."</t>
  </si>
  <si>
    <t>(𝜒²(1) = 6.7</t>
  </si>
  <si>
    <t>Holzmeisteretal2024_3</t>
  </si>
  <si>
    <t>the o_paper included 7 studies but the r_paper only replicated one claim from study number 7; for the r_study I did report d for effect size as mentioned in both the SM table and the paper (osf link) but the paper also report b=0.028 so I am adding it here in case you want a more direct comparison with the effect size of the o_study.</t>
  </si>
  <si>
    <r>
      <t xml:space="preserve">Stern, C., West, T. V., &amp; Rule, N. O. (2015). Conservatives negatively evaluate counterstereotypical people to maintain a sense of certainty. Proceedings of the National Academy of Sciences, 112(50), 15337–15342. </t>
    </r>
    <r>
      <rPr>
        <rFont val="Arial"/>
        <color rgb="FF1155CC"/>
        <u/>
      </rPr>
      <t>https</t>
    </r>
    <r>
      <rPr>
        <rFont val="Arial"/>
        <color rgb="FF1155CC"/>
        <u/>
      </rPr>
      <t>://doi</t>
    </r>
    <r>
      <rPr>
        <rFont val="Arial"/>
        <color rgb="FF1155CC"/>
        <u/>
      </rPr>
      <t>.org</t>
    </r>
    <r>
      <rPr>
        <rFont val="Arial"/>
        <color rgb="FF1155CC"/>
        <u/>
      </rPr>
      <t>/10</t>
    </r>
    <r>
      <rPr>
        <rFont val="Arial"/>
        <color rgb="FF1155CC"/>
        <u/>
      </rPr>
      <t>/f74fb4</t>
    </r>
  </si>
  <si>
    <r>
      <rPr>
        <rFont val="Calibri, sans-serif"/>
        <color theme="1"/>
        <sz val="12.0"/>
      </rPr>
      <t>10.1073/pnas.1517662112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</si>
  <si>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</si>
  <si>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Stern et al, 2015</t>
  </si>
  <si>
    <t>stereotyping</t>
  </si>
  <si>
    <t>ideology, stereotyping, social evaluation</t>
  </si>
  <si>
    <t>conservatives are not only more likely to use stereotypes than are liberals, but are especially likely to negatively evaluate counterstereotypical people to organize the social world with greater certainty.</t>
  </si>
  <si>
    <t>Conservatives allocated less money to the counterstereotypical targets than to the stereotypical targets [B = 0.52, SE = 0.14, Z = 3.65, P &lt; 0.001]...These studies demonstrate that conservatives negatively eval-uate people who deviate from stereotypes more than liberals do. Our results suggest that conservatives’ evaluations stem from a functional process of using stereotypes to efficiently categorizepeople into groups and thus maintain a sense of certainty.</t>
  </si>
  <si>
    <t>https://osf.io/3pu8d</t>
  </si>
  <si>
    <r>
      <rPr>
        <rFont val="Arial"/>
        <color rgb="FF1155CC"/>
        <u/>
      </rPr>
      <t xml:space="preserve">Stern, C., West, T. V., &amp; Rule, N. O. (2015). Conservatives negatively evaluate counterstereotypical people to maintain a sense of certainty. Proceedings of the National Academy of Sciences, 112(50), 15337–15342.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/f74fb4</t>
    </r>
  </si>
  <si>
    <r>
      <rPr>
        <rFont val="Calibri, sans-serif"/>
        <color theme="1"/>
        <sz val="12.0"/>
      </rPr>
      <t>10.1073/pnas.1517662112</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</si>
  <si>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</si>
  <si>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Conservatives' evaluations of counterstereotypical people</t>
  </si>
  <si>
    <t>Ideology, stereotyping, social evaluation</t>
  </si>
  <si>
    <t>Conservatives negatively evaluate counterstereotypical people to maintain a sense of certainty</t>
  </si>
  <si>
    <t>"Conservatives allocated less money to counterstereotypical targets than to stereotypical targets [B = 0.52, SE = 0.14, Z = 3.65, P &lt; 0.001], but liberals did not [B = −0.05, SE = 0.10, Z = −0.50, P = 0.62]. Conservatives therefore allocated fewer economic resources to counterstereotypical people who belonged to both real and fictional groups."</t>
  </si>
  <si>
    <t>Holzmeisteretal2024_4</t>
  </si>
  <si>
    <t>the o_paper included 2 studies but the r_paper only replicated one claim from study number 2; for the r_study I did report d for effect size as mentioned in both the SM table and the paper (osf link) but the paper also report β=–0.051 so I am adding it here in case you want a more direct comparison with the effect size of the o_study.</t>
  </si>
  <si>
    <r>
      <t xml:space="preserve">Reeck, C., Wall, D., &amp; Johnson, E. J. (2017). Search predicts and changes patience in intertemporal choice. Proceedings of the National Academy of Sciences, 114(45), 11890–11895. </t>
    </r>
    <r>
      <rPr>
        <rFont val="Arial"/>
        <color rgb="FF1155CC"/>
        <u/>
      </rPr>
      <t>https</t>
    </r>
    <r>
      <rPr>
        <rFont val="Arial"/>
        <color rgb="FF1155CC"/>
        <u/>
      </rPr>
      <t>://doi</t>
    </r>
    <r>
      <rPr>
        <rFont val="Arial"/>
        <color rgb="FF1155CC"/>
        <u/>
      </rPr>
      <t>.org</t>
    </r>
    <r>
      <rPr>
        <rFont val="Arial"/>
        <color rgb="FF1155CC"/>
        <u/>
      </rPr>
      <t>/10</t>
    </r>
    <r>
      <rPr>
        <rFont val="Arial"/>
        <color rgb="FF1155CC"/>
        <u/>
      </rPr>
      <t>/ggb75r</t>
    </r>
  </si>
  <si>
    <r>
      <rPr>
        <rFont val="Calibri, sans-serif"/>
        <color theme="1"/>
        <sz val="12.0"/>
      </rPr>
      <t>10.1073/pnas.1707040114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</si>
  <si>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</si>
  <si>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Reeck et al 2017</t>
  </si>
  <si>
    <t>intertemporal choice</t>
  </si>
  <si>
    <t>temporal discounting, delay of gratification, decision making, process tracing, choice architecture</t>
  </si>
  <si>
    <t>People often make decisions with consequences that unfold over time. When facing such intertemporal choices, people use differ-ent search strategies. We examine how these search strategies differ and how they relate to patience in intertemporal choice.</t>
  </si>
  <si>
    <t>we experimentally manipulated search patterns in experiment 2 and examined their influence on intertemporal choice..There was a significant effect of search condition, β = −0.23, SE = 0.10, P = 0.027, with participants in the easy comparative condi-tion exhibiting greater patience than those in the easy integrative condition.</t>
  </si>
  <si>
    <t>https://osf.io/szntm</t>
  </si>
  <si>
    <r>
      <rPr>
        <rFont val="Arial"/>
        <color rgb="FF1155CC"/>
        <u/>
      </rPr>
      <t xml:space="preserve">Reeck, C., Wall, D., &amp; Johnson, E. J. (2017). Search predicts and changes patience in intertemporal choice. Proceedings of the National Academy of Sciences, 114(45), 11890–11895.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/ggb75r</t>
    </r>
  </si>
  <si>
    <r>
      <rPr>
        <rFont val="Calibri, sans-serif"/>
        <color theme="1"/>
        <sz val="12.0"/>
      </rPr>
      <t>10.1073/pnas.1707040114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</si>
  <si>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</si>
  <si>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Search strategy and its impact on intertemporal choice</t>
  </si>
  <si>
    <t>Temporal discounting, delay of gratification, decision making, process tracing, choice architecture</t>
  </si>
  <si>
    <t>The effect under investigation is how comparative searchers make more patient choices (i.e., choose a larger monetary reward which is delivered later) than integrative searchers</t>
  </si>
  <si>
    <t>"A hierarchical logistic regression was conducted to examine whether the search condition influenced participants' decisions, with choices modeled as a function of framing (acceleration or delay) and search condition (easy comparative or easy integrative) across all trials. The results revealed a significant effect of search condition, β = −0.23, SE = 0.10, P = 0.027, indicating that participants in the easy comparative condition exhibited greater patience than those in the easy integrative condition."</t>
  </si>
  <si>
    <t>Holzmeisteretal2024_5</t>
  </si>
  <si>
    <t xml:space="preserve">the o_paper included 5 studies but the r_paper only replicated one claim from study number 3; </t>
  </si>
  <si>
    <r>
      <t xml:space="preserve">Rai, T. S., Valdesolo, P., &amp; Graham, J. (2017). Dehumanization increases instrumental violence, but not moral violence. Proceedings of the National Academy of Sciences, 114(32), 8511–8516. </t>
    </r>
    <r>
      <rPr>
        <rFont val="Arial"/>
        <color rgb="FF1155CC"/>
        <u/>
      </rPr>
      <t>https</t>
    </r>
    <r>
      <rPr>
        <rFont val="Arial"/>
        <color rgb="FF1155CC"/>
        <u/>
      </rPr>
      <t>://doi</t>
    </r>
    <r>
      <rPr>
        <rFont val="Arial"/>
        <color rgb="FF1155CC"/>
        <u/>
      </rPr>
      <t>.org</t>
    </r>
    <r>
      <rPr>
        <rFont val="Arial"/>
        <color rgb="FF1155CC"/>
        <u/>
      </rPr>
      <t>/10</t>
    </r>
    <r>
      <rPr>
        <rFont val="Arial"/>
        <color rgb="FF1155CC"/>
        <u/>
      </rPr>
      <t>/gg6grh</t>
    </r>
  </si>
  <si>
    <r>
      <rPr>
        <rFont val="Calibri, sans-serif"/>
        <color theme="1"/>
        <sz val="12.0"/>
      </rPr>
      <t>10.1073/pnas.1705238114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</si>
  <si>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</si>
  <si>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Rai et al.2017</t>
  </si>
  <si>
    <t>Dehumanization</t>
  </si>
  <si>
    <t>moral, violence, dehumanization, instrumental, aggression</t>
  </si>
  <si>
    <t>Across five experiments, we show that dehumanization—the act of perceiving victims as not completely human—increases instrumen-tal, but not moral, violence.</t>
  </si>
  <si>
    <t>Participants were significantly more likely to report that they would break the stranger’s thumb for money when he was described in dehumanized (M = 4.64, SD = 2.14) rather than humanized terms (M = 3.90, SD = 2.36; t = 2.26, P = 0.025).</t>
  </si>
  <si>
    <t>t = 2.26</t>
  </si>
  <si>
    <t>https://osf.io/9avrm</t>
  </si>
  <si>
    <r>
      <rPr>
        <rFont val="Arial"/>
        <color rgb="FF1155CC"/>
        <u/>
      </rPr>
      <t xml:space="preserve">Rai, T. S., Valdesolo, P., &amp; Graham, J. (2017). Dehumanization increases instrumental violence, but not moral violence. Proceedings of the National Academy of Sciences, 114(32), 8511–8516.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/gg6grh</t>
    </r>
  </si>
  <si>
    <r>
      <rPr>
        <rFont val="Calibri, sans-serif"/>
        <color theme="1"/>
        <sz val="12.0"/>
      </rPr>
      <t>10.1073/pnas.1705238114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</si>
  <si>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</si>
  <si>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Dehumanisation and instrumental harm</t>
  </si>
  <si>
    <t>Moral, violence, dehumanization, instrumental, aggression</t>
  </si>
  <si>
    <t>The effect being investigated is whether people are more willing to harm a stranger described in dehumanised terms rather than humanised terms when the motives are instrumental.</t>
  </si>
  <si>
    <t>"Participants were significantly more likely to report that they would break the stranger’s thumb for money when he was described in dehumanized (M = 4.64, SD = 2.14) rather than humanized terms (M = 3.90, SD = 2.36; t = 2.26, P = 0.025)."</t>
  </si>
  <si>
    <t>Holzmeisteretal2024_6</t>
  </si>
  <si>
    <t>the likelihood ratio test of the o_study reported by the o_study doesn't match the one reported by the r_study</t>
  </si>
  <si>
    <r>
      <t xml:space="preserve">Morris, A., MacGlashan, J., Littman, M. L., &amp; Cushman, F. (2017). Evolution of flexibility and rigidity in retaliatory punishment. Proceedings of the National Academy of Sciences, 114(39), 10396–10401. </t>
    </r>
    <r>
      <rPr>
        <rFont val="Arial"/>
        <color rgb="FF1155CC"/>
        <u/>
      </rPr>
      <t>https</t>
    </r>
    <r>
      <rPr>
        <rFont val="Arial"/>
        <color rgb="FF1155CC"/>
        <u/>
      </rPr>
      <t>://doi</t>
    </r>
    <r>
      <rPr>
        <rFont val="Arial"/>
        <color rgb="FF1155CC"/>
        <u/>
      </rPr>
      <t>.org</t>
    </r>
    <r>
      <rPr>
        <rFont val="Arial"/>
        <color rgb="FF1155CC"/>
        <u/>
      </rPr>
      <t>/10</t>
    </r>
    <r>
      <rPr>
        <rFont val="Arial"/>
        <color rgb="FF1155CC"/>
        <u/>
      </rPr>
      <t>/gb4vmc</t>
    </r>
  </si>
  <si>
    <r>
      <rPr>
        <rFont val="Calibri, sans-serif"/>
        <color theme="1"/>
        <sz val="12.0"/>
      </rPr>
      <t>10.1073/pnas.1704032114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</si>
  <si>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</si>
  <si>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Morris et al. 2017</t>
  </si>
  <si>
    <t>retaliatory punishment</t>
  </si>
  <si>
    <t>punishment, evolution, reinforcement learning, game theory, commitment</t>
  </si>
  <si>
    <t>Two aims of behavioral science, often pursued separately, are to model the evolutionary dynamics and cognitive mechanisms governing behavior in social conflicts. Combining these approaches, we show that the dynamics of proximate mechanisms such as reward learning can play a pivotal role in determining evolutionary outcomes</t>
  </si>
  <si>
    <t>We fit a mixed-effects model, regressing participant choices on their role, the round number, and the interaction between role and round. The interaction between role and round is significant likelihood ratio test, X2(1)=21. P &lt; 0.001; = 0.03, 95% CI = (0.024, 0.24)]. Consistent with our predictions, in repeated games against inflexible opponents, thieves act relatively flexibly and victims act relatively rigidly.</t>
  </si>
  <si>
    <t>X2(1)=21.7</t>
  </si>
  <si>
    <t>https://osf.io/yd69c</t>
  </si>
  <si>
    <r>
      <rPr>
        <rFont val="Calibri"/>
        <color theme="1"/>
        <sz val="11.0"/>
      </rPr>
      <t>There was a discrepency between the findings reported in the original paper and the 'original findings' reported by the replication paper in table 1 (</t>
    </r>
    <r>
      <rPr>
        <rFont val="Calibri"/>
        <color rgb="FFFF0000"/>
        <sz val="11.0"/>
      </rPr>
      <t>"In repeated games against rigid opponents, participants assigned to be thieves act relatively flexibly in their stealing behavior while participants assigned to be victims act relatively rigidly in their punishment behavior. The authors test the above hypothesis through an interaction between role and round in a mixed-effects model using a likelihood ratio test (χ²(1) = 24.3, p &lt; 0.001); p. 10399").</t>
    </r>
    <r>
      <rPr>
        <rFont val="Calibri"/>
        <color rgb="FF000000"/>
        <sz val="11.0"/>
      </rPr>
      <t xml:space="preserve"> I coded those reported in the original paper instead which I have highlighted in paper linked in this row.</t>
    </r>
  </si>
  <si>
    <r>
      <rPr>
        <rFont val="Arial"/>
        <color rgb="FF1155CC"/>
        <u/>
      </rPr>
      <t xml:space="preserve">Morris, A., MacGlashan, J., Littman, M. L., &amp; Cushman, F. (2017). Evolution of flexibility and rigidity in retaliatory punishment. Proceedings of the National Academy of Sciences, 114(39), 10396–10401.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/gb4vmc</t>
    </r>
  </si>
  <si>
    <r>
      <rPr>
        <rFont val="Calibri, sans-serif"/>
        <color theme="1"/>
        <sz val="12.0"/>
      </rPr>
      <t>10.1073/pnas.1704032114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</si>
  <si>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</si>
  <si>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Role-based flexibility in behaviour</t>
  </si>
  <si>
    <t>Punishment, evolution, reinforcement learning, game theory, commitment</t>
  </si>
  <si>
    <t>The effect being investigated is that in repeated games against rigid opponents, thieves exhibit flexible stealing behavior, while victims display rigid punishment behavior.</t>
  </si>
  <si>
    <t>"We fit a mixed-effects model, regressing participant choices on their role, the round number, and the interaction between role and round. The interaction between role and round is significant likelihood ratio test, X2(1)=21.7, P &lt; 0.001, = 0.03, 95% CI = (0.024, 0.24). Consistent with our predictions, in repeated games against inflexible opponents, thieves act relatively flexibly and victims act relatively rigidly."</t>
  </si>
  <si>
    <t>χ²(1) = 21.7</t>
  </si>
  <si>
    <t>Holzmeisteretal2024_7</t>
  </si>
  <si>
    <t>the o_paper included 3 studies but the r_paper only replicated  one claim from study number 1; for the r_study I did report d for effect size as mentioned in both the SM table and the paper (osf link) but the paper also report β=0.156  so I am adding it here in case you want a more direct comparison with the effect size of the o_study.</t>
  </si>
  <si>
    <r>
      <t xml:space="preserve">McCall, L., Burk, D., Laperrière, M., &amp; Richeson, J. A. (2017). Exposure to rising inequality shapes Americans’ opportunity beliefs and policy support. Proceedings of the National Academy of Sciences, 114(36), 9593–9598. </t>
    </r>
    <r>
      <rPr>
        <rFont val="Arial"/>
        <color rgb="FF1155CC"/>
        <u/>
      </rPr>
      <t>https</t>
    </r>
    <r>
      <rPr>
        <rFont val="Arial"/>
        <color rgb="FF1155CC"/>
        <u/>
      </rPr>
      <t>://doi</t>
    </r>
    <r>
      <rPr>
        <rFont val="Arial"/>
        <color rgb="FF1155CC"/>
        <u/>
      </rPr>
      <t>.org</t>
    </r>
    <r>
      <rPr>
        <rFont val="Arial"/>
        <color rgb="FF1155CC"/>
        <u/>
      </rPr>
      <t>/10</t>
    </r>
    <r>
      <rPr>
        <rFont val="Arial"/>
        <color rgb="FF1155CC"/>
        <u/>
      </rPr>
      <t>/gbwx4j</t>
    </r>
  </si>
  <si>
    <r>
      <rPr>
        <rFont val="Calibri, sans-serif"/>
        <color theme="1"/>
        <sz val="12.0"/>
      </rPr>
      <t>10.1073/pnas.1706253114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</si>
  <si>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</si>
  <si>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McCall et al. 2017</t>
  </si>
  <si>
    <t>Economic inequality</t>
  </si>
  <si>
    <t>economic inequality, opportunity beliefs, policy preferences, redistribution, system justification</t>
  </si>
  <si>
    <t>Exposure to rising inequality shapes Americans’ opportunity beliefs and policy support...perceptions of rising economic inequality spark skepticism about the existence of economic opportunity in society that, in turn, may motivate support for equity-enhancing policies.</t>
  </si>
  <si>
    <t>Regres-sions revealed that participants in the inequality treatment con-dition rated structural factors as more important to getting ahead, and individual factors as less important, than did participants in the control condition [β = 0.353, SE = 0.076, P &lt; 0.001, root-mean-squared error (RMSE) = 0.828 for structural factors; ... Thus, these results offer preliminary evidence in support of the opportunity model: Namely, exposure to infor-mation about rising economic inequality in the United States can lead to greater skepticism regarding the extent to which opportunity to advance in America still exists.</t>
  </si>
  <si>
    <t>https://osf.io/cs82h</t>
  </si>
  <si>
    <r>
      <rPr>
        <rFont val="Arial"/>
        <color rgb="FF1155CC"/>
        <u/>
      </rPr>
      <t xml:space="preserve">McCall, L., Burk, D., Laperrière, M., &amp; Richeson, J. A. (2017). Exposure to rising inequality shapes Americans’ opportunity beliefs and policy support. Proceedings of the National Academy of Sciences, 114(36), 9593–9598.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/gbwx4j</t>
    </r>
  </si>
  <si>
    <r>
      <rPr>
        <rFont val="Calibri, sans-serif"/>
        <color theme="1"/>
        <sz val="12.0"/>
      </rPr>
      <t>10.1073/pnas.1706253114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</si>
  <si>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</si>
  <si>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Impact of inequality exposure on opportunity beliefs and system justification</t>
  </si>
  <si>
    <t>Economic inequality, opportunity beliefs, policy preferences, redistribution, system justification</t>
  </si>
  <si>
    <t>The effect being investigated is the effect of inequality exposure on attributing success to structural factors compared to individual factors</t>
  </si>
  <si>
    <t>"Regressions revealed that participants in the inequality treatment condition rated structural factors as more important to getting ahead, and individual factors as less important, than did participants in the control condition [β = 0.353, SE = 0.076, P &lt; 0.001, root-mean-squared error (RMSE) = 0.828 for structural factors; β = −0.290, SE = 0.072, P &lt; 0.001, RMSE = 0.783 for individual factors]. Thus, these results offer preliminary evidence in support of the opportunity model: Namely, exposure to information about rising economic inequality in the United States can lead to greater skepticism regarding the extent to which opportunity to advance in America still exists."</t>
  </si>
  <si>
    <t>Holzmeisteretal2024_8</t>
  </si>
  <si>
    <t>the o_paper included 4 studies but the r_paper only replicated  one claim from study number 4</t>
  </si>
  <si>
    <r>
      <t xml:space="preserve">Kraus, M. W., Rucker, J. M., &amp; Richeson, J. A. (2017). Americans misperceive racial economic equality. Proceedings of the National Academy of Sciences, 114(39), 10324–10331. </t>
    </r>
    <r>
      <rPr>
        <rFont val="Arial"/>
        <color rgb="FF1155CC"/>
        <u/>
      </rPr>
      <t>https</t>
    </r>
    <r>
      <rPr>
        <rFont val="Arial"/>
        <color rgb="FF1155CC"/>
        <u/>
      </rPr>
      <t>://doi</t>
    </r>
    <r>
      <rPr>
        <rFont val="Arial"/>
        <color rgb="FF1155CC"/>
        <u/>
      </rPr>
      <t>.org</t>
    </r>
    <r>
      <rPr>
        <rFont val="Arial"/>
        <color rgb="FF1155CC"/>
        <u/>
      </rPr>
      <t>/10</t>
    </r>
    <r>
      <rPr>
        <rFont val="Arial"/>
        <color rgb="FF1155CC"/>
        <u/>
      </rPr>
      <t>/gb4sh4</t>
    </r>
  </si>
  <si>
    <r>
      <rPr>
        <rFont val="Calibri, sans-serif"/>
        <color theme="1"/>
        <sz val="12.0"/>
      </rPr>
      <t>10.1073/pnas.1707719114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</si>
  <si>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</si>
  <si>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Kraus et al 2017</t>
  </si>
  <si>
    <t>racial economic equality</t>
  </si>
  <si>
    <t>economic inequality, racial disparities, socioeconomic status, racial stratification, motivated perception</t>
  </si>
  <si>
    <t>The present research documents the widespread misperception of race-based economic equality in the United States. Across four studies (n = 1,377) sampling White and Black Americans from the top and bottom of the national income distribution, participants overestimated progress toward Black–White economic equality, largely driven by estimates of greater current equality than actually exists according to national statistics.</t>
  </si>
  <si>
    <t>inducing consideration of the persistence of racial discrimination in the United States resulted in estimates of racial income equality that were much closer to reality, t(201) = 17.51, P &lt; 0.001, dRM = 0.50... overestimates of Black–White economic equality are rooted, at least in part, in both motivational tendencies to perceive society as fair and the lack of consideration of the social structures, practices, and policies that created and continue to maintain racial disparities in economic outcomes.</t>
  </si>
  <si>
    <t>t(201) = 17.51</t>
  </si>
  <si>
    <t>https://osf.io/yt9vb</t>
  </si>
  <si>
    <t>I coded the effect size found in original paper as instructed but please see replication notes about this, "The authors test the above hypothesis using a paired t-test, t(201) = 17.51, p &lt; 0.001, dRM = 0.50; p. 10329. Note, however, the test could not be replicated using the original dataset. When testing estimates of equality of “Discriminatory USA” and “Current” using a paired t-test, the test statistic we calculate is t(201) = 7.0258, p &lt; 0.001. The reporting error in the original paper has also been acknowledged by the original authors. We thus base our power analysis on the latter test statistic."</t>
  </si>
  <si>
    <r>
      <rPr>
        <rFont val="Arial"/>
        <color rgb="FF1155CC"/>
        <u/>
      </rPr>
      <t xml:space="preserve">Kraus, M. W., Rucker, J. M., &amp; Richeson, J. A. (2017). Americans misperceive racial economic equality. Proceedings of the National Academy of Sciences, 114(39), 10324–10331.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/gb4sh4</t>
    </r>
  </si>
  <si>
    <r>
      <rPr>
        <rFont val="Calibri, sans-serif"/>
        <color theme="1"/>
        <sz val="12.0"/>
      </rPr>
      <t>10.1073/pnas.1707719114</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</si>
  <si>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</si>
  <si>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Racial discrimination and racial economic equality perceptions</t>
  </si>
  <si>
    <t>Economic inequality, racial disparities, socioeconomic status, racial stratification, motivated perception</t>
  </si>
  <si>
    <t>The effect being investigated is the impact of inducing consideration of the persistence of racial discrimination on the overestimation of racial economic equality</t>
  </si>
  <si>
    <t>"As in study 3, experimentally inducing reflection on a similar Black family increased overestimates of Black–White income equality in this mostly White American sample [t(201) = 10.93, p &lt; 0.001, dRM = 0.31], whereas inducing consideration of the persistence of racial discrimination in the United States resulted in estimates of racial income equality that were much closer to reality, t(201) = 17.51, p &lt; 0.001, dRM = 0.50. Together, the findings of studies 3 and 4 offer support for our central argument that overestimates of Black–White economic equality are rooted, at least in part, in both motivational tendencies to perceive society as fair and the lack of consideration of the social structures, practices, and policies that created and continue to maintain racial disparities in economic outcomes."</t>
  </si>
  <si>
    <t>t(201) = 10.93</t>
  </si>
  <si>
    <t>Holzmeisteretal2024_9</t>
  </si>
  <si>
    <t>the o_paper included 9 studies but the r_paper only replicated  one claim from study number 7b</t>
  </si>
  <si>
    <r>
      <t xml:space="preserve">Kouchaki, M., &amp; Gino, F. (2016). Memories of unethical actions become obfuscated over time. Proceedings of the National Academy of Sciences, 113(22), 6166–6171. </t>
    </r>
    <r>
      <rPr>
        <rFont val="Arial"/>
        <color rgb="FF1155CC"/>
        <u/>
      </rPr>
      <t>https</t>
    </r>
    <r>
      <rPr>
        <rFont val="Arial"/>
        <color rgb="FF1155CC"/>
        <u/>
      </rPr>
      <t>://doi</t>
    </r>
    <r>
      <rPr>
        <rFont val="Arial"/>
        <color rgb="FF1155CC"/>
        <u/>
      </rPr>
      <t>.org</t>
    </r>
    <r>
      <rPr>
        <rFont val="Arial"/>
        <color rgb="FF1155CC"/>
        <u/>
      </rPr>
      <t>/10</t>
    </r>
    <r>
      <rPr>
        <rFont val="Arial"/>
        <color rgb="FF1155CC"/>
        <u/>
      </rPr>
      <t>/f8qfrh</t>
    </r>
  </si>
  <si>
    <r>
      <rPr>
        <rFont val="Calibri, sans-serif"/>
        <color theme="1"/>
        <sz val="12.0"/>
      </rPr>
      <t>10.1073/pnas.1523586113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</si>
  <si>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</si>
  <si>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Replication of Kouchaki and Gino,201</t>
  </si>
  <si>
    <t>unethical amnesia</t>
  </si>
  <si>
    <t>dishonesty, memory, unethical behavior, psychological dissonance, morality</t>
  </si>
  <si>
    <t>as compared with people who en-gaged in ethical behavior and those who engaged in positive or negative actions, people who acted unethically are the least likely to remember the details of their actions. That is, people experi-ence unethical amnesia: unethical actions tend to be forgotten and, when remembered, memories of unethical behavior become less clear and vivid over time than memories of other types of behaviors. Our findings advance the science of dishonesty, memory, and decision making.</t>
  </si>
  <si>
    <t>As predicted, participants in the likely-cheating condition...were more likely to cheat at time 2 [X2(n = 258) = 10.48, P = 0.001, Cramer’s V = 0.20]...than those in the no-cheating condition...providing further evidence for the consequences of unethical amnesia</t>
  </si>
  <si>
    <t>X2 = 10.48</t>
  </si>
  <si>
    <t>https://osf.io/nc49e</t>
  </si>
  <si>
    <r>
      <rPr>
        <rFont val="Arial"/>
        <color rgb="FF1155CC"/>
        <u/>
      </rPr>
      <t xml:space="preserve">Kouchaki, M., &amp; Gino, F. (2016). Memories of unethical actions become obfuscated over time. Proceedings of the National Academy of Sciences, 113(22), 6166–6171. </t>
    </r>
    <r>
      <rPr>
        <rFont val="Arial"/>
        <color rgb="FF1155CC"/>
        <sz val="10.0"/>
        <u/>
      </rPr>
      <t>https</t>
    </r>
    <r>
      <rPr>
        <rFont val="Arial"/>
        <color rgb="FF1155CC"/>
        <sz val="10.0"/>
        <u/>
      </rPr>
      <t>://doi</t>
    </r>
    <r>
      <rPr>
        <rFont val="Arial"/>
        <color rgb="FF1155CC"/>
        <sz val="10.0"/>
        <u/>
      </rPr>
      <t>.org</t>
    </r>
    <r>
      <rPr>
        <rFont val="Arial"/>
        <color rgb="FF1155CC"/>
        <sz val="10.0"/>
        <u/>
      </rPr>
      <t>/10</t>
    </r>
    <r>
      <rPr>
        <rFont val="Arial"/>
        <color rgb="FF1155CC"/>
        <sz val="10.0"/>
        <u/>
      </rPr>
      <t>/f8qfrh</t>
    </r>
  </si>
  <si>
    <r>
      <rPr>
        <rFont val="Calibri, sans-serif"/>
        <color theme="1"/>
        <sz val="12.0"/>
      </rPr>
      <t>10.1073/pnas.1523586113</t>
    </r>
  </si>
  <si>
    <r>
      <rPr>
        <rFont val="Arial"/>
        <color theme="1"/>
      </rPr>
      <t>Holzmeister, F., Johannesson, M., Camerer, C. F., Chen, Y., Ho, T. H., Hoogeveen, S., ... &amp; Dreber, A. (2024). Examining the replicability of online experiments selected by a decision market. </t>
    </r>
    <r>
      <rPr>
        <rFont val="Arial"/>
        <i/>
        <color rgb="FF222222"/>
        <sz val="8.0"/>
      </rPr>
      <t>Nature Human Behaviour</t>
    </r>
    <r>
      <rPr>
        <rFont val="Arial"/>
        <color rgb="FF222222"/>
        <sz val="8.0"/>
      </rPr>
      <t>, 1-15.</t>
    </r>
  </si>
  <si>
    <t>7b</t>
  </si>
  <si>
    <t>Unethical amnesia</t>
  </si>
  <si>
    <t>Dishonesty, memory, unethical behavior, psychological dissonance, morality</t>
  </si>
  <si>
    <r>
      <rPr>
        <rFont val="Calibri"/>
        <color theme="1"/>
        <sz val="11.0"/>
      </rPr>
      <t xml:space="preserve">The effect being investigated is </t>
    </r>
    <r>
      <rPr>
        <rFont val="Calibri"/>
        <b/>
        <color rgb="FF000000"/>
        <sz val="11.0"/>
      </rPr>
      <t>how prior cheating in a die-throwing game influences increased dishonesty in a subsequent Boggle game, after a three-day delay</t>
    </r>
  </si>
  <si>
    <t>"As predicted, participants in the likely-cheating condition recalled the die-throwing task less precisely (M = 2.59, SD = 1.08) than those in the no-cheating condition (M = 2.97, SD = 1.22) [t(256) = −2.66, P = 0.008, d = 0.33]. They also were more likely to cheat at time 2 [X2 (n = 258) = 10.48, P = 0.001, Cramer’s V = 0.20], providing further evidence for the consequences of unethical amnesia; in fact, 78% (96 of 123) of the participants in the likely-cheating condition cheated at time 2 on the Boggle task, a percentage that was higher than observed in the no-cheating condition, in which 59% (80 of 135) of the participants cheated."</t>
  </si>
  <si>
    <t>X2(n = 258)=10.48</t>
  </si>
  <si>
    <t>is1_1</t>
  </si>
  <si>
    <t>is1</t>
  </si>
  <si>
    <t>Wolf, Röseler, Leder, Schütz</t>
  </si>
  <si>
    <t xml:space="preserve">Original paper: p.52; Replication: p. 8,14
Added close replication to label_r
Changed claim_page_o to 4
Changed es_repr_o to p4 
</t>
  </si>
  <si>
    <t>Young, S. G., Thorstenson, C. A., &amp; Pazda, A. D. (2018). Facial redness, expression, and masculinity influence perceptions of anger and health. Cognition and Emotion, 32(1), 49–60. https://doi.org/10.1080/02699931.2016.1273201</t>
  </si>
  <si>
    <t>10.1080/02699931.2016.1273201</t>
  </si>
  <si>
    <t>10.1080--02699931.2016.1273201.pdf</t>
  </si>
  <si>
    <t>Wolf, D., Röseler, L., Leder, J., &amp; Schütz, A. (2022, June 15). The Red-Anger Effect: Is it Nothing More Than Demand Characteristics?. https://doi.org/10.31234/osf.io/ntukz</t>
  </si>
  <si>
    <t>10.31234/osf.io/ntukz</t>
  </si>
  <si>
    <t>10.31234--osf.io--ntukz.pdf</t>
  </si>
  <si>
    <t>"close replication"</t>
  </si>
  <si>
    <t>emotion perception</t>
  </si>
  <si>
    <t>facial redness, demand characteristics, emotion perception, emotion recognition</t>
  </si>
  <si>
    <t>Facial redness increases perceived anger</t>
  </si>
  <si>
    <t>For anger ratings, the effect of red was significant, F(6, 234) = 4.91, p &lt; .001, η2p = .11...perceived anger was most affected by high levels of redness, whereby more redness was associ-ated with more anger.</t>
  </si>
  <si>
    <t>p.14</t>
  </si>
  <si>
    <t>https://osf.io/7pw4c?view_only=ca3860721b4048f5a3ff7d27687d2e46</t>
  </si>
  <si>
    <t>is2_1</t>
  </si>
  <si>
    <t>is2</t>
  </si>
  <si>
    <t>this effect had 2 tests in the r_study t(220) = -3.22, p = .001, d = -0.43, 95% CI [-0.70, -0.17] and (additional results of a paired t test: t(110) = -4.59, p &lt; .001, dz = -0.44, 95% CI [-0.63, -0.24]), I reported the second one because the sample size was more coherent with the one I found prefilled in this doc.</t>
  </si>
  <si>
    <t>Originalpaper: p.52; Replication: p.25</t>
  </si>
  <si>
    <t>https://osf.io/caf6h?view_only=f5bd34199dd447b8af03b6b207f9e5d6</t>
  </si>
  <si>
    <t>is3_1</t>
  </si>
  <si>
    <t>is3</t>
  </si>
  <si>
    <t>j8a4p_1</t>
  </si>
  <si>
    <t>j8a4p</t>
  </si>
  <si>
    <t xml:space="preserve">1. The abstract of the paper reflect that the study 1 is a replication study. The study 2a also replicates the actual study (study 2) conducted in the current papers. Leaving replication studies, I am just annotating the study 2 which is an online experiment and is orignal. 2. Study 2 presents number of vintages, however, I have only considered the overall results as in the replication study it is not clear what the sub-variables like Equal variances refered to. Moreover, it is not clear from replication if whole study was replicated or one of the findings. 3. I have made assumptions about the p-value, first it is equal (e (=)), second, two tailed t-tests are for the specific variables not for the overall. 4. There is no information about the type of replication (even no information is provided that it the replication study is actualy a replication, I have annotated it as it is provided as a replication). 5. I have used value of "d" (test static was also provided) )as effect size. In the orignal study it was present, however, document associated with replication study didn't had value of "d". Therefore I used the value given on this link: https://osf.io/j8a4p </t>
  </si>
  <si>
    <t>Values are correct, but more detailled description of results between and over all vignettes was preffered; changed pval_value_r tp 0.667 (was mixed up with t value)</t>
  </si>
  <si>
    <t>Huang, J. L. (2014). Does cleanliness influence moral judgments? Response effort moderates the effect of cleanliness priming on moral judgments. Frontiers in Psychology, 5, 1276.</t>
  </si>
  <si>
    <t>Mahlke, J., Weaver, A., Hall, M. M., Koenig, B., Poulter, L., Lee, A. A., … Gentry, A. (2018, April 27). Huang  (2014) Replication. https://doi.org/10.17605/OSF.IO/J8A4P</t>
  </si>
  <si>
    <t>priming, moral judgment, response effort, cleanliness</t>
  </si>
  <si>
    <t>the cleanliness and neutral conditions revealed non-significant difference</t>
  </si>
  <si>
    <t>"the cleanliness and neutral conditions revealed non-significant difference, t(438) = −0.42, p = 0.68, d = −0.04."</t>
  </si>
  <si>
    <t>negative 0.04</t>
  </si>
  <si>
    <t>0.68</t>
  </si>
  <si>
    <t>0.06</t>
  </si>
  <si>
    <t>0.667</t>
  </si>
  <si>
    <t>https://osf.io/3xcnm/</t>
  </si>
  <si>
    <t>j8a4p_composite</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</si>
  <si>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</si>
  <si>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t xml:space="preserve">Since replication claimed to wanting to replicate effect in the low effort group, n= 218, whereas n over both conditions is indeed 440. </t>
  </si>
  <si>
    <r>
      <rPr>
        <rFont val="Calibri"/>
        <sz val="11.0"/>
      </rPr>
      <t xml:space="preserve">Mahlke, J., Weaver, A., Hall, M. M., Koenig, B., Poulter, L., Lee, A. A., … Gentry, A. (2018, April 27). Huang  (2014) Replication. </t>
    </r>
    <r>
      <rPr>
        <rFont val="Calibri"/>
        <color rgb="FF1155CC"/>
        <sz val="11.0"/>
        <u/>
      </rPr>
      <t>https://doi.org/10.17605/OSF.IO/J8A4P</t>
    </r>
  </si>
  <si>
    <t>10.17605/OSF.IO/J8A4P</t>
  </si>
  <si>
    <t>Moral priming (cleanliness)</t>
  </si>
  <si>
    <t>Priming, moral judgment, response effort, replication, cleanliness</t>
  </si>
  <si>
    <t>Cleanliness condition in the low response effort group significantly influenced the moral judgements averaged across all vignettes</t>
  </si>
  <si>
    <t>"The cleanliness condition had a lower mean composite rating than the neutral condition, d = −0.29, p = 0.04 in the low response effort condition"</t>
  </si>
  <si>
    <t>ES for replication study was calculated based on the test statistics (M, SD, N)</t>
  </si>
  <si>
    <t>https://osf.io/j8a4p</t>
  </si>
  <si>
    <t>please add the information on how you attained the es_repr_r in the variable and not only in the notes for coders</t>
  </si>
  <si>
    <t>j8a4p_dog</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</si>
  <si>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</si>
  <si>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t>added prereg_o and copied es_repr_r from coder notes</t>
  </si>
  <si>
    <r>
      <rPr>
        <rFont val="Calibri"/>
        <sz val="11.0"/>
      </rPr>
      <t xml:space="preserve">Mahlke, J., Weaver, A., Hall, M. M., Koenig, B., Poulter, L., Lee, A. A., … Gentry, A. (2018, April 27). Huang  (2014) Replication. </t>
    </r>
    <r>
      <rPr>
        <rFont val="Calibri"/>
        <color rgb="FF1155CC"/>
        <sz val="11.0"/>
        <u/>
      </rPr>
      <t>https://doi.org/10.17605/OSF.IO/J8A4P</t>
    </r>
  </si>
  <si>
    <t>Cleanliness condition in the low response effort group significantly influenced the moral judgements in the "Dog" vignettes</t>
  </si>
  <si>
    <t>"In particular, the cleanliness priming resulted in a significantly less extreme rating on the “dog” scenario than the neutral condition, d = −0.38, p = 0.005"</t>
  </si>
  <si>
    <t>j8a4p_kitten</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</si>
  <si>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</si>
  <si>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r>
      <rPr>
        <rFont val="Calibri"/>
        <sz val="11.0"/>
      </rPr>
      <t xml:space="preserve">Mahlke, J., Weaver, A., Hall, M. M., Koenig, B., Poulter, L., Lee, A. A., … Gentry, A. (2018, April 27). Huang  (2014) Replication. </t>
    </r>
    <r>
      <rPr>
        <rFont val="Calibri"/>
        <color rgb="FF1155CC"/>
        <sz val="11.0"/>
        <u/>
      </rPr>
      <t>https://doi.org/10.17605/OSF.IO/J8A4P</t>
    </r>
  </si>
  <si>
    <t>Cleanliness condition in the low response effort group did not achienve significant influence on the moral judgements in the "Kitten" vignettes</t>
  </si>
  <si>
    <t>"A further examination of the cleanliness hypothesis on individual vignettes in the low response effort condition revealed a pattern consistent with the expectation, with ds ranging from – 0.03 to −0.38 (see Table 2)."</t>
  </si>
  <si>
    <t>j8a4p_plane</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</si>
  <si>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</si>
  <si>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r>
      <rPr>
        <rFont val="Calibri"/>
        <sz val="11.0"/>
      </rPr>
      <t xml:space="preserve">Mahlke, J., Weaver, A., Hall, M. M., Koenig, B., Poulter, L., Lee, A. A., … Gentry, A. (2018, April 27). Huang  (2014) Replication. </t>
    </r>
    <r>
      <rPr>
        <rFont val="Calibri"/>
        <color rgb="FF1155CC"/>
        <sz val="11.0"/>
        <u/>
      </rPr>
      <t>https://doi.org/10.17605/OSF.IO/J8A4P</t>
    </r>
  </si>
  <si>
    <t>Cleanliness condition in the low response effort group did not achienve significant influence on the moral judgements in the "Plane" vignettes</t>
  </si>
  <si>
    <t>j8a4p_resume</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</si>
  <si>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</si>
  <si>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r>
      <rPr>
        <rFont val="Calibri"/>
        <sz val="11.0"/>
      </rPr>
      <t xml:space="preserve">Mahlke, J., Weaver, A., Hall, M. M., Koenig, B., Poulter, L., Lee, A. A., … Gentry, A. (2018, April 27). Huang  (2014) Replication. </t>
    </r>
    <r>
      <rPr>
        <rFont val="Calibri"/>
        <color rgb="FF1155CC"/>
        <sz val="11.0"/>
        <u/>
      </rPr>
      <t>https://doi.org/10.17605/OSF.IO/J8A4P</t>
    </r>
  </si>
  <si>
    <t>Cleanliness condition in the low response effort group did not achienve significant influence on the moral judgements in the "Resume" vignettes</t>
  </si>
  <si>
    <t>j8a4p_trolley</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</si>
  <si>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</si>
  <si>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r>
      <rPr>
        <rFont val="Calibri"/>
        <sz val="11.0"/>
      </rPr>
      <t xml:space="preserve">Mahlke, J., Weaver, A., Hall, M. M., Koenig, B., Poulter, L., Lee, A. A., … Gentry, A. (2018, April 27). Huang  (2014) Replication. </t>
    </r>
    <r>
      <rPr>
        <rFont val="Calibri"/>
        <color rgb="FF1155CC"/>
        <sz val="11.0"/>
        <u/>
      </rPr>
      <t>https://doi.org/10.17605/OSF.IO/J8A4P</t>
    </r>
  </si>
  <si>
    <t>Cleanliness condition in the low response effort group did not achienve significant influence on the moral judgements in the "Trolley" vignettes</t>
  </si>
  <si>
    <t>j8a4p_wallet</t>
  </si>
  <si>
    <r>
      <rPr>
        <rFont val="Calibri"/>
        <sz val="11.0"/>
      </rPr>
      <t xml:space="preserve">1. Values for REPLICATION statistical inferences were taken from Files uploaded to OSF (link: ) and saved in PDF titled "10.17605--osf.io--j8a4p.pdf"
2. Pre-registration OSF: </t>
    </r>
    <r>
      <rPr>
        <rFont val="Calibri"/>
        <color rgb="FF1155CC"/>
        <sz val="11.0"/>
        <u/>
      </rPr>
      <t xml:space="preserve">https://osf.io/x9tq5
</t>
    </r>
    <r>
      <rPr>
        <rFont val="Calibri"/>
        <sz val="11.0"/>
      </rPr>
      <t>3. SInce in the main table of the original manuscript the results are reported in t, the NESTED option is"No" (individual results for each vignette and average, comparable with the Replication results)
4. ES for replication study was calculated based on the test statistics (M, SD, N)</t>
    </r>
  </si>
  <si>
    <r>
      <rPr>
        <rFont val="Calibri"/>
        <sz val="11.0"/>
      </rPr>
      <t xml:space="preserve">Mahlke, J., Weaver, A., Hall, M. M., Koenig, B., Poulter, L., Lee, A. A., … Gentry, A. (2018, April 27). Huang  (2014) Replication. </t>
    </r>
    <r>
      <rPr>
        <rFont val="Calibri"/>
        <color rgb="FF1155CC"/>
        <sz val="11.0"/>
        <u/>
      </rPr>
      <t>https://doi.org/10.17605/OSF.IO/J8A4P</t>
    </r>
  </si>
  <si>
    <t>Cleanliness condition in the low response effort group did not achienve significant influence on the moral judgements in the "Walley" vignettes</t>
  </si>
  <si>
    <t>jcre_01_1</t>
  </si>
  <si>
    <t>jcre_01</t>
  </si>
  <si>
    <t>1. The paper has replicated with the same data and with the new data. So I am reporting both. 2.This part is related to the replication through the same data as of original study. 3.The sample size is not mentioned in the original study, but replication study has estimated the sample size so I am reporting it. 4. There is one main finding which is supported through numerous results (Table 5 with 2 x (with and without income) variables and 7 y variables (columns)). 5. There are no aggrgated effect sizes for the main finding, however, the results supporting this finding has respective effect sizes. In the first instance, I reported all of the results then omitted them as I am not sure which one to follow. Therefore, if needed, I have kept these results in the sheet study 10.</t>
  </si>
  <si>
    <t>Fiorito, R. &amp; Kollintzas, T. (2004). Public goods, merit goods, and the relation between private and government consumption. European Economic Review 48(6), 1367-1398. DOI:
10.1016/j.euroecorev.2004.01.004</t>
  </si>
  <si>
    <t>10.1016/j.euroecorev.2004.01.004</t>
  </si>
  <si>
    <t>10.1016--j.euroecorev.2004.01.004.pdf</t>
  </si>
  <si>
    <t>Song, Z. (2022). The Relationship between Government and Private Consumption: A Replication Study of Fiorito and Kollintzas (2004). Journal of Comments and Replications in Economics, Vol 1(2022-1). DOI: 10.18718/81781.23</t>
  </si>
  <si>
    <t>10.18718/81781.23</t>
  </si>
  <si>
    <t>replication with same data</t>
  </si>
  <si>
    <t>Government and Private Consumption</t>
  </si>
  <si>
    <t>Public goods; Merit goods; Government consumption; Dynamic panel estimation</t>
  </si>
  <si>
    <t>public goods are substitutes and merit goods are complements to private goods consumption</t>
  </si>
  <si>
    <t>"public goods are substitutes and merit goods are complements to private goods consumption "</t>
  </si>
  <si>
    <t>p. 22</t>
  </si>
  <si>
    <t>jcre_01_a</t>
  </si>
  <si>
    <t>1. The paper has replicated with the same data and with the new data. So I am reporting both. 2.This part is related to the replication through the new data as of original study. 3.The sample size is not mentioned in the original study, but replication study has estimated the sample size so I am reporting it. 4. There is one main finding which is supported through numerous results (Table 5 with 2 x (with and without income) variables and 7 y variables (columns)). 5. There are no aggrgated effect sizes for the main finding, however, the results supporting this finding has. respective effect sizes. In the first instance, I reported all of the results then omitted them as I am not sure which one to follow. Therefore, if needed, I have kept these results in the sheet study 10.</t>
  </si>
  <si>
    <t>replication with new data</t>
  </si>
  <si>
    <t>jcre_01_c2</t>
  </si>
  <si>
    <t>1. For the replication only results from the time period 1996-2016 were used.
2. In the original study the sample size should be the number of observations, which is 12 * 27 = 324
3. The file 10.18718--81781.23.pdf was uploaded
4. The papers applied Newey–West covariance matrices (I guess, it means that we have unstandardized coefficients?)</t>
  </si>
  <si>
    <t>Consumption</t>
  </si>
  <si>
    <t xml:space="preserve">Public goods, Merit goods, Government consumption, Consumption, Dynamic panel estimation, Crowding Out Effect </t>
  </si>
  <si>
    <t>Per capita household consumption (private consumption) together with public and merit goods, aggregate consumption in this economy</t>
  </si>
  <si>
    <t>"The main finding of Tables 5–7 is that in all cases they substantiate the fact that public goods are substitutes and merit goods are complements to private goods consumption" [...] "These results imply [...] an aggregate relation for private and government consumption in which the estimated elasticity of private consumption to government consumption is positive because of the larger merit goods share [...] and of the higher elasticity of the merit goods."</t>
  </si>
  <si>
    <t>α = 0.773, (0.11)</t>
  </si>
  <si>
    <t>α = 0.843, (0.154)</t>
  </si>
  <si>
    <t>jcre_01_c2a</t>
  </si>
  <si>
    <t>Justified per capita household consumption (private consumption) together with public and merit goods, aggregate consumption in this economy</t>
  </si>
  <si>
    <t>α = 0.530, (0.142)</t>
  </si>
  <si>
    <t>α = 0.743, (0.289)</t>
  </si>
  <si>
    <t>jcre_01_c3</t>
  </si>
  <si>
    <t>α = 0.464, (0.127)</t>
  </si>
  <si>
    <t>α = 1.001, (0.257)</t>
  </si>
  <si>
    <t>jcre_01_c3a</t>
  </si>
  <si>
    <t>α = 0.633, (0.193)</t>
  </si>
  <si>
    <t>α = 0.688, (0.248)</t>
  </si>
  <si>
    <t>jcre_01_c6</t>
  </si>
  <si>
    <t>α = 0.543, (0.144)</t>
  </si>
  <si>
    <t>α = 0.880, (0.19)</t>
  </si>
  <si>
    <t>jcre_01_c6a</t>
  </si>
  <si>
    <t>α = 0.513, (0.134)</t>
  </si>
  <si>
    <t>α = 0.719, (0.205)</t>
  </si>
  <si>
    <t>jcre_01_d2</t>
  </si>
  <si>
    <t>Working age population share influence the consumption</t>
  </si>
  <si>
    <t>"Merit goods are mostly education and health expenditures and both should be inversely related to the working age population share.</t>
  </si>
  <si>
    <t>α = -0.375, (0.134)</t>
  </si>
  <si>
    <t>α = -0.420, (0.41)</t>
  </si>
  <si>
    <t>α = -0.239 , (0.156)</t>
  </si>
  <si>
    <t>α = -0.465, (0.421)</t>
  </si>
  <si>
    <t>jcre_01_d3</t>
  </si>
  <si>
    <t>α = 0.218 , (0.124)</t>
  </si>
  <si>
    <t>α = -0.551, (0.435)</t>
  </si>
  <si>
    <t>α = -0.179, (0.124)</t>
  </si>
  <si>
    <t>α = -0.422, (0.417)</t>
  </si>
  <si>
    <t>jcre_01_d6</t>
  </si>
  <si>
    <t>α = -0.203, (0.115)</t>
  </si>
  <si>
    <t>α = -0.137, (0.476)</t>
  </si>
  <si>
    <t>α = -0.215, (0.128)</t>
  </si>
  <si>
    <t>α = -0.270, (0.543)</t>
  </si>
  <si>
    <t>jcre_01_g2</t>
  </si>
  <si>
    <t>Public goods substitute private consumption</t>
  </si>
  <si>
    <t>"The public goods variables tend to be insignificant the higher is their public good content, irrespective of the deflator choice"</t>
  </si>
  <si>
    <t>α = -0.067, (0.063)</t>
  </si>
  <si>
    <t>α = -0.106, (0.097)</t>
  </si>
  <si>
    <t>jcre_01_g2a</t>
  </si>
  <si>
    <t>α = -0.123, (0.095)</t>
  </si>
  <si>
    <t>α = 0.024, (0.143)</t>
  </si>
  <si>
    <t>jcre_01_g3</t>
  </si>
  <si>
    <t>α = -0.062, (0.088)</t>
  </si>
  <si>
    <t>α = -0.085, (0.093)</t>
  </si>
  <si>
    <t>jcre_01_g3a</t>
  </si>
  <si>
    <t>α = 0.012, (0.115)</t>
  </si>
  <si>
    <t>α = -0.010, (0.158)</t>
  </si>
  <si>
    <t>jcre_01_g6</t>
  </si>
  <si>
    <t>Public order and defence government (public goods) substitute private consumption</t>
  </si>
  <si>
    <t>"Defence spending has a smaller elasticity than public order and in most cases its elasticity is null. We take this to be consistent with the very nature of these goods. That is, the purer the public goods category the less the expected interaction with private consumption"</t>
  </si>
  <si>
    <t>α = 0.011, (0.073)</t>
  </si>
  <si>
    <t>α = -0.090, (0.115)</t>
  </si>
  <si>
    <t>jcre_01_g6a</t>
  </si>
  <si>
    <t>α = -0.029, (0.078)</t>
  </si>
  <si>
    <t>α = 0.019, (0.15)</t>
  </si>
  <si>
    <t>jcre_01_gt2</t>
  </si>
  <si>
    <t>Public goods substitute private consumption in the past periods</t>
  </si>
  <si>
    <t>α = -0.093, (0.038)</t>
  </si>
  <si>
    <t>α = -0.011, (0.075)</t>
  </si>
  <si>
    <t>jcre_01_gt2a</t>
  </si>
  <si>
    <t>α = 0.057, (0.066)</t>
  </si>
  <si>
    <t>α = -0.084, (0.072)</t>
  </si>
  <si>
    <t>jcre_01_gt3</t>
  </si>
  <si>
    <t>α = -0.248, (0.062)</t>
  </si>
  <si>
    <t>α = -0.104, (0.121)</t>
  </si>
  <si>
    <t>jcre_01_gt3a</t>
  </si>
  <si>
    <t>α = 0.063, (0.068)</t>
  </si>
  <si>
    <t>α = -0.005, (0.036)</t>
  </si>
  <si>
    <t>jcre_01_gt6</t>
  </si>
  <si>
    <t>Public order and defence government (public goods) substitute private consumption in past periods</t>
  </si>
  <si>
    <t>α = 0.055, (0.047)</t>
  </si>
  <si>
    <t>α = -0.073, (0.164)</t>
  </si>
  <si>
    <t>jcre_01_gt6a</t>
  </si>
  <si>
    <t>α = 0.101, (0.068)</t>
  </si>
  <si>
    <t>α = -0.057, (0.087)</t>
  </si>
  <si>
    <t>jcre_01_h2</t>
  </si>
  <si>
    <t>Hansen J-test supports the notion of plausible restrictions in GMM.</t>
  </si>
  <si>
    <t>"The main finding of our paper is in Table 5. [...] The J -tests support the plausibility of the instrument restrictions"</t>
  </si>
  <si>
    <t>18, 19</t>
  </si>
  <si>
    <t xml:space="preserve">X2(15) = 15.3 </t>
  </si>
  <si>
    <t>X2(15) = 8.55</t>
  </si>
  <si>
    <t>jcre_01_h2a</t>
  </si>
  <si>
    <t xml:space="preserve">X2(11) = 11.3 </t>
  </si>
  <si>
    <t>X2(11) = 3.17</t>
  </si>
  <si>
    <t>jcre_01_h3</t>
  </si>
  <si>
    <t>X2(13) = 11.4</t>
  </si>
  <si>
    <t>X2(13) = 2.51</t>
  </si>
  <si>
    <t>jcre_01_h3a</t>
  </si>
  <si>
    <t xml:space="preserve">X2(13) = 9.4 </t>
  </si>
  <si>
    <t>X2(13) = 3.11</t>
  </si>
  <si>
    <t>jcre_01_h6</t>
  </si>
  <si>
    <t>X2(13) = 11.7</t>
  </si>
  <si>
    <t>X2(13) = 3.98</t>
  </si>
  <si>
    <t>jcre_01_h6a</t>
  </si>
  <si>
    <t xml:space="preserve">X2(13) = 9.7 </t>
  </si>
  <si>
    <t>X2(13) = 1.43</t>
  </si>
  <si>
    <t>jcre_01_m2</t>
  </si>
  <si>
    <t>Merit goods complement private consumption</t>
  </si>
  <si>
    <t>α = 0.498, (0.063)</t>
  </si>
  <si>
    <t>α = 0.517, (0.09)</t>
  </si>
  <si>
    <t>jcre_01_m2a</t>
  </si>
  <si>
    <t>α = 0.534, (0.115)</t>
  </si>
  <si>
    <t>α = 0.357, (0.141)</t>
  </si>
  <si>
    <t>jcre_01_m3</t>
  </si>
  <si>
    <t>Education and health government (merit goods) complement private consumption</t>
  </si>
  <si>
    <t>"In the same table we find that education has a bigger effect on private consumption than health when the interest rate variable is omitted, while the effect is about the same when the latter enters the specification"</t>
  </si>
  <si>
    <t>α = 0.504, (0.081)</t>
  </si>
  <si>
    <t>α = 0.442, (0.14)</t>
  </si>
  <si>
    <t>jcre_01_m3a</t>
  </si>
  <si>
    <t>α = 0.554, (0.105)</t>
  </si>
  <si>
    <t>α = 0.386, (0.143)</t>
  </si>
  <si>
    <t>jcre_01_m6</t>
  </si>
  <si>
    <t>α = 0.610, (0.082)</t>
  </si>
  <si>
    <t>α = 0.448, (0.17)</t>
  </si>
  <si>
    <t>jcre_01_m6a</t>
  </si>
  <si>
    <t>α = 0.661, (0.154)</t>
  </si>
  <si>
    <t>α = 0.373, (0.106)</t>
  </si>
  <si>
    <t>jcre_01_mt2</t>
  </si>
  <si>
    <t>Merit goods complement private consumption in the past periods</t>
  </si>
  <si>
    <t>α = -0.277, (0.048)</t>
  </si>
  <si>
    <t>α = -0.430, (0.117)</t>
  </si>
  <si>
    <t>jcre_01_mt2a</t>
  </si>
  <si>
    <t>α = -0.239, (0.146)</t>
  </si>
  <si>
    <t>α = -0.248, (0.052)</t>
  </si>
  <si>
    <t>jcre_01_mt3</t>
  </si>
  <si>
    <t>Education and health government (merit goods) complement private consumption in past periods</t>
  </si>
  <si>
    <t>α = -0.010, (0.066)</t>
  </si>
  <si>
    <t>α = -0.407, (0.064)</t>
  </si>
  <si>
    <t>jcre_01_mt3a</t>
  </si>
  <si>
    <t>α = -0.311, (0.141)</t>
  </si>
  <si>
    <t>α = -0.265, (0.077)</t>
  </si>
  <si>
    <t>jcre_01_mt6</t>
  </si>
  <si>
    <t>α = -0.359, (0.103)</t>
  </si>
  <si>
    <t>α = -0.372, (0.194)</t>
  </si>
  <si>
    <t>jcre_01_mt6a</t>
  </si>
  <si>
    <t>α = -0.365, (0.13)</t>
  </si>
  <si>
    <t>α = -0.255, (0.122)</t>
  </si>
  <si>
    <t>jcre_01_r2</t>
  </si>
  <si>
    <t>After tax real interest rate influence the consumption</t>
  </si>
  <si>
    <t>"An important result of our estimates is that we found for aggregate NIPA data rather than for individual data units a significant and positive effect of the after tax real interest rate variable"</t>
  </si>
  <si>
    <t>α = 0.082, (0.193)</t>
  </si>
  <si>
    <t>α = -0.005, (0.006)</t>
  </si>
  <si>
    <t>After tax real interest rate  influence the consumption</t>
  </si>
  <si>
    <t>α = 0.054, (0.292)</t>
  </si>
  <si>
    <t>α = -0.013, (0.006)</t>
  </si>
  <si>
    <t>jcre_01_r3</t>
  </si>
  <si>
    <t>α = 0.139, (0.173)</t>
  </si>
  <si>
    <t>α = -0.007, (0.007)</t>
  </si>
  <si>
    <t>α = 0.374, (0.284)</t>
  </si>
  <si>
    <t>α = -0.010, (0.006)</t>
  </si>
  <si>
    <t>jcre_01_r6</t>
  </si>
  <si>
    <t>α = 0.428, (0.229)</t>
  </si>
  <si>
    <t>α = -0.006, (0.006)</t>
  </si>
  <si>
    <t>α = 0.199, (0.3)</t>
  </si>
  <si>
    <t>jcre_01_y2a</t>
  </si>
  <si>
    <t>Disposable income captures some transient income eHect but is not sustained enough to provide a convincing alternative to the permanent income mode</t>
  </si>
  <si>
    <t>"In Table 5(1), however, we estimated an analog to Eq. (9) by adding to each equation on Table 5 the current and the past value of the logged per capita disposable income changes. The relevant results still con1rm the complementarity of the merit goods variable while the public goods appear to be always insigni1cant in the regression" [...] "At the 10% level, the current and past disposable income enters the regression in three cases only."</t>
  </si>
  <si>
    <t>α = 0.453, (0.21)</t>
  </si>
  <si>
    <t>α = 0.413, (0.207)</t>
  </si>
  <si>
    <t>jcre_01_y3a</t>
  </si>
  <si>
    <t>α = 0.309, (0.211)</t>
  </si>
  <si>
    <t>α = 0.389, (0.154)</t>
  </si>
  <si>
    <t>jcre_01_y6a</t>
  </si>
  <si>
    <t>α = 0.22, (0.27)</t>
  </si>
  <si>
    <t>α = 0.398, (0.13)</t>
  </si>
  <si>
    <t>jcre_01_yt2a</t>
  </si>
  <si>
    <t>Disposable income captures some transient income eHect but is not sustained enough to provide a convincing alternative to the permanent income mode in past periods</t>
  </si>
  <si>
    <t>α = -0.340, (0.208)</t>
  </si>
  <si>
    <t>α = -0.022, (0.052)</t>
  </si>
  <si>
    <t>jcre_01_yt3a</t>
  </si>
  <si>
    <t>α = -0.403, (0.222)</t>
  </si>
  <si>
    <t>α = 0.005, (0.031)</t>
  </si>
  <si>
    <t>jcre_01_yt6a</t>
  </si>
  <si>
    <t>α = -0.252 , (0.226)</t>
  </si>
  <si>
    <t>α = 0.008, (0.057)</t>
  </si>
  <si>
    <t>jcre_02_1</t>
  </si>
  <si>
    <t>jcre_02</t>
  </si>
  <si>
    <t>Outside my area of expertise - unable to code this entry further</t>
  </si>
  <si>
    <t>Svensson, L. E. O. (2015). The Possible Unemployment Cost of Average Inflation below a
Credible Target. American Economic Journal: Macroeconomics, 7 (1): 258-96. DOI: 10.1257/ma
c.20130176</t>
  </si>
  <si>
    <t>10.1257/mac.20130176</t>
  </si>
  <si>
    <t>Oraby, R. (2022). The Possible Unemployment Cost of Average Inflation Below a
Credible Target:A Replication Study of Svensson (2015). Journal of Comments and Replications in
Economics, Vol 1(2022-2). DOI: 10.18718/81781.24</t>
  </si>
  <si>
    <t>10.18718/81781.24</t>
  </si>
  <si>
    <t>"This paper replicates the main analysis of Svensson (2015) with some expansion to the original analysis, mainly for the United States."</t>
  </si>
  <si>
    <t>non-vertical long run Phillips curve</t>
  </si>
  <si>
    <t>Estimating the unemployment cost of having the average inflation rate below the targeted level requires estimating the long run Philips curve. Following Svensson (2015), the long run Phillips curve is estimated by taking the unconditional mean of the short run Phillips curve.</t>
  </si>
  <si>
    <r>
      <rPr>
        <rFont val="Calibri"/>
        <color rgb="FF1155CC"/>
        <sz val="11.0"/>
        <u/>
      </rPr>
      <t xml:space="preserve">The authors use the same dataset for Sweden and an updated dataset for the U.S. (thus the dataset is also partly the same) see p. 3 (p. 5 when respecting the whole document: </t>
    </r>
    <r>
      <rPr>
        <rFont val="Calibri"/>
        <color rgb="FF1155CC"/>
        <sz val="11.0"/>
        <u/>
      </rPr>
      <t>https://www.econstor.eu/bitstream/10419/253653/1/JCRE-2022-2.pdf)</t>
    </r>
  </si>
  <si>
    <t>jcre_03_1</t>
  </si>
  <si>
    <t>jcre_03</t>
  </si>
  <si>
    <t>Chowdhury, S. M., Jeon, J. Y., Saha, B. (2017). Gender differences in the giving and
taking variants of the dictator game. Southern Economic Journal, 84(2), 474–83. DOI:
10.1002/soej.12223</t>
  </si>
  <si>
    <t>10.1002/soej.12223</t>
  </si>
  <si>
    <t>10.1002--soej.12223.pdf</t>
  </si>
  <si>
    <t>von Blanckenburg, K., Tebbe, E., Iseke, A. (2023). Giving and taking
in dictator games – differences by gender? A replication study of Chowdhury et al. (2017). Journal
of Comments and Replications in Economics, Vol 2(2023-1). DOI: 10.18718/81781.27</t>
  </si>
  <si>
    <t>10.18718/81781.27</t>
  </si>
  <si>
    <t>"This study attempts to replicate experimental results from Chowdhury et al. published in Southern Economic Journal (2017)"</t>
  </si>
  <si>
    <t xml:space="preserve"> Dictator games have been used extensively to study social preferences and framing effects of giving vs. taking.</t>
  </si>
  <si>
    <t>"A Mann-Whitney test shows no
significant difference in final amount allocated to recipients between the two treatments (p-
value = 0.583)"</t>
  </si>
  <si>
    <t>p. 477</t>
  </si>
  <si>
    <t>p. 478</t>
  </si>
  <si>
    <t xml:space="preserve">Gender differences - Giving </t>
  </si>
  <si>
    <t>Gender differences in the giving and taking variants of the dictator game can occur</t>
  </si>
  <si>
    <t>"In the GG, the amounts given by males and females are not different (p-value = 0.594)."</t>
  </si>
  <si>
    <t xml:space="preserve">Gender differences - Taking </t>
  </si>
  <si>
    <t>"The TG, however, shows gender differences. The average amount left by the male dictators is significantly lower than the amount left by the female dictators at 1%
level."</t>
  </si>
  <si>
    <t>As the recipients were passive and the behavior of the dictator was measures, I excluded recipients from the effective sample; Both studies also include some regression analyses to examine interaction effects. However, the effects that I coded seem to be the main focus of the replication. I calculated all effect sizes using the excel sheet.</t>
  </si>
  <si>
    <t>dictator game, gender differences</t>
  </si>
  <si>
    <t>"Table 1 shows the average amount allocated (amount given in the GG, or (£10—amount taken) in the TG) for both the aggregated data and for males and females by treatment. In the GG, an average of £2.066 is given to the recipients. In the TG, the dictators take on average £7.87 and as a result, the amount left to the recipient is £2.13. A Mann-Whitney test shows no significant difference in final amount allocated to recipients between the two treatments (p-value = 0.583).", "Both nonparametric tests and regressions reaffirm the observations from existing studies (Dreber et al. 2013; Grossman and Eckel 2015) that overall there is no framing effect within the dictator game and giving is indeed equivalent to “not taking.” However, further investigations by gender show that framing has opposing effects for females and males. Females take less in a taking game compared to what they give in a giving game; but the males do just the opposite. Furthermore, we find that this occurs as the male dictators are significantly more likely to be selfish in the taking frame compared to the giving frame. Conversely, the female dictators are significantly more likely to be egalitarian in the taking frame compared with the giving frame."</t>
  </si>
  <si>
    <t>4, 7 &amp; 8</t>
  </si>
  <si>
    <t>jcre_04_1</t>
  </si>
  <si>
    <t>jcre_04</t>
  </si>
  <si>
    <t>Fernández, R., &amp; Fogli, A. (2009). Culture: An Empirical Investigation of Beliefs, Work, and
Fertility. American Economic Journal: Macroeconomics, 1(1), 146–177. DOI: 10.1257/mac.1.1.
146</t>
  </si>
  <si>
    <t>10.1257/mac.1.1.146</t>
  </si>
  <si>
    <t>Gay, V. (2023). Culture: An Empirical Investigation of Beliefs, Work, and Fertility: A Verification and Reproduction of Fernández and Fogli (2009). Journal of Comments and
Replications in Economics, Vol 2(2023-2). DOI: 10.18718/81781.28</t>
  </si>
  <si>
    <t>10.18718/81781.28</t>
  </si>
  <si>
    <t>"In this article, I perform a verification and a reproduction of the main results in Fernández and Fogli (2009) [...]"</t>
  </si>
  <si>
    <t>Women from countries with traditionally higher rates of female labor force participation (FLFP) are more likely to be in the labor force and that those from countries with traditionally lower total fertility rates (TFR) have relatively less children.</t>
  </si>
  <si>
    <t>It is a reproduction and not a replication</t>
  </si>
  <si>
    <t>jcre_05_1</t>
  </si>
  <si>
    <t>jcre_05</t>
  </si>
  <si>
    <t>Poole, J. P. (2013). Knowledge Transfers from Multinational to Domestic Firms: Evidence from Worker Mobility. The Review of Economics and Statistics, 95(2), 393–406. DOI:
10.1162/REST_a_00258</t>
  </si>
  <si>
    <t>10.1162/REST_a_00258</t>
  </si>
  <si>
    <t>10.1162--rest_a_00258.pdf</t>
  </si>
  <si>
    <t>Haller, S. A., Flaherty, E. T., Balsvik, R. (2023). Knowledge Transfers
from Multinational to Domestic Firms: Evidence from Worker Mobility. A Replication Study of Poole (Review of Economics and Statistics, 2013). Journal of Comments and Replications in Economics, Vol 2(2023-3). DOI: 10.18718/81781.29</t>
  </si>
  <si>
    <t>10.18718/81781.29</t>
  </si>
  <si>
    <t>"This paper replicates Poole (2013) using comprehensive Norwegian and Irish register data."</t>
  </si>
  <si>
    <t>When workers leave multinationals and are rehired at domestic establishments, the wages of their new coworkers who have already been present in the establishment increase</t>
  </si>
  <si>
    <t>Ireland 2005-2010; This replication study contains many tables. I have already written to Sarah and am happy to code all the other tables as well. If you let me know which specific values you need from the tables, I will code them accordingly.</t>
  </si>
  <si>
    <t>Multinational Firms, Wage Spillovers, Worker Mobility</t>
  </si>
  <si>
    <t>"In column 1, I estimate multinational wage spillovers by pooled ordinary least squares. The results are consistent with multinational spillovers, though without controls for individual and establishment heterogeneity, the result is difficult to interpret.", "This is the main contribution and new result of this paper. When multinational workers leave multinational establishments and are rehired at domestic establishments, the wages of continuing domestic workers increase. This avenue for multinational spillovers, to my knowledge, has not previously been explored. At the average wage for a typical domestic worker of $3,841 (R$6,522 at average annual exchange rates during the 1996–2001 period), this is an increase of approximately $23 per year per worker, equivalent to one more month of job tenure within the establishment. While this may seem to be a small impact, it is also an appropriately sized impact for the average worker. More important, these estimates are worker-level wage spillovers and not plant-level productivity spillovers, as in previous studies. For the average domestic stablishment in Brazil, with a workforce of approximately sixty, the total implied wage effect from 10 percentage point increase in the share of former multinational workers is roughly $1,400 per year. According to RAIS, in 1998 there were 1,795,798 establishments in Brazil, approximately 98% of which were domestically owned. Therefore, this average impact has the potential to generate $2.5 billion in wage spillovers across all of Brazil (in the range of 0.3% of GDP)."</t>
  </si>
  <si>
    <t>F = 35.46</t>
  </si>
  <si>
    <t>jcre_06_1</t>
  </si>
  <si>
    <t>jcre_06</t>
  </si>
  <si>
    <t>Unable to code as economics papers differ from psychology/social science papers in structure, focus, and reporting. They emphasise calculations and procedures applied to different datasets/settings rather than replicating an effect.</t>
  </si>
  <si>
    <t>Autor, D. H., Katz, L. F., &amp; Kearney, M. S. (2008). Trends in U.S. Wage Inequality: Revising
the Revisionists. Review of Economics and Statistics, 90 (2): 300–323. DOI: 10.1162/rest.90.
2.300</t>
  </si>
  <si>
    <t>Stephenson, C. (2024). Trends in U.S. Wage Inequality: Revising the Revisionists. A Replication Study of Autor, Katz, and Kearney (2008). Journal of Comments and Replications
in Economics, Vol.3 (2024-4). DOI: 10.18718/81781.34</t>
  </si>
  <si>
    <t>"This paper successfully replicates Autor et al. (2008) and extends their analysis through 2022."</t>
  </si>
  <si>
    <t>replication; ECLS-K; teacher certification; teacher qualifications</t>
  </si>
  <si>
    <t>Certain teacher qualifications [...]  positively   impacted reading and  math achievement  for first grade  students  in  the  United  States.</t>
  </si>
  <si>
    <t>"Students taught by teachers with an elementary education degree, however, gain more in reading (0.08 SD) than students taught by teachers with a different type of degree (e.g., early childhood education) [...]"</t>
  </si>
  <si>
    <t>p. 320</t>
  </si>
  <si>
    <t>Autor, D. H., Katz, L. F., &amp; Kearney, M. S. (2008). Trends in U.S. Wage Inequality: Revising the Revisionists. Review of Economics and Statistics, 90 (2): 300–323. DOI: 10.1162/rest.90.2.300</t>
  </si>
  <si>
    <t>Please check again: I think that the replication study uses at least to some extant the same data. The replication adds only more recently obtained data.</t>
  </si>
  <si>
    <t>Manylabs2_01</t>
  </si>
  <si>
    <t>Manylabs2_01_1</t>
  </si>
  <si>
    <t>The effect being replicated - namely that disgust sensitivity and perceived intentionality are more strongly related when people consider gay kissing than when they consider kissing in general - is not formally tested in the original paper, but justified with a qualitative comparison of two correlations. Therefore, coded effect size calculated in replication report.</t>
  </si>
  <si>
    <t>Inbar, Y., Pizarro, D. A., Knobe, J., &amp; Bloom, P. (2009). Disgust sensitivity predicts intuitive disapproval of gays. Emotion, 9(3), 435–439. https://doi.org/10.1037/a0015960</t>
  </si>
  <si>
    <t>10.1037/a0015960</t>
  </si>
  <si>
    <t>Klein, R. A., Vianello, M., Hasselman, F., Adams, B. G., Adams Jr, R. B., Alper, S., ... &amp; Sowden, W. (2018). Many Labs 2: Investigating variation in replicability across samples and settings. Advances in Methods and Practices in Psychological Science, 1(4), 443-490.</t>
  </si>
  <si>
    <t>10.1177/2515245918810225</t>
  </si>
  <si>
    <t>disgust, disgust sensitivity, moral judgment, homosexuality</t>
  </si>
  <si>
    <t>disgust sensitivity is associated with stronger judgments of intentionality</t>
  </si>
  <si>
    <t>In the gay kissing condition, disgust sensitivity was associated with stronger judgments of intentionality, β =  .79, t(19) = 4.49, p &lt;  .001, while in the control condition, disgust sensitivity did not predict intentionality judgments,  β = .20, t(19) =  - .88, ns. We find that disgust sensitivity predicts implicit moral responses to male-male sexual contact—as measured through intentionality judgments.</t>
  </si>
  <si>
    <t>p. 437</t>
  </si>
  <si>
    <t>q</t>
  </si>
  <si>
    <t>from replication report - diff in correlations was not formally tested</t>
  </si>
  <si>
    <t>p. 457</t>
  </si>
  <si>
    <t>https://osf.io/ejcfw</t>
  </si>
  <si>
    <r>
      <rPr>
        <rFont val="Arial"/>
        <sz val="11.0"/>
      </rPr>
      <t xml:space="preserve">Inbar, Y., Pizarro, D. A., Knobe, J., &amp; Bloom, P. (2009). Disgust sensitivity predicts intuitive disapproval of gays. Emotion, 9(3), 435–439. </t>
    </r>
    <r>
      <rPr>
        <rFont val="Arial"/>
        <color rgb="FF1155CC"/>
        <sz val="11.0"/>
        <u/>
      </rPr>
      <t>https://doi.org/10.1037/a0015960</t>
    </r>
  </si>
  <si>
    <t>Encouraging gay kissing than generally encouraging kissing</t>
  </si>
  <si>
    <t>"participants viewed the director’s action as more intentional when he encouraged public gay kissing (M  4.36) than when he encouraged public straight kissing (M  2.91), β =  .41, t(39) = 3.39, p &lt; .01 "," disgust sensitivity predicts implicit moral responses to male-male sexual contact—as measured through intentionality judgments—though it does not predict explicit responses"</t>
  </si>
  <si>
    <t>t(39) = 3.39</t>
  </si>
  <si>
    <t>Manylabs2_01_1_b</t>
  </si>
  <si>
    <r>
      <rPr>
        <rFont val="Arial"/>
        <color rgb="FF1155CC"/>
        <sz val="11.0"/>
        <u/>
      </rPr>
      <t xml:space="preserve">Inbar, Y., Pizarro, D. A., Knobe, J., &amp; Bloom, P. (2009). Disgust sensitivity predicts intuitive disapproval of gays. Emotion, 9(3), 435–439. </t>
    </r>
    <r>
      <rPr>
        <rFont val="Arial"/>
        <color rgb="FF1155CC"/>
        <sz val="11.0"/>
        <u/>
      </rPr>
      <t>https://doi.org/10.1037/a0015960</t>
    </r>
  </si>
  <si>
    <t>"in the gay kissing condition, disgust sensitivity was associated with stronger judgments of intentionality, β =  .79, t(19) = 4.49, p &lt;  .001, "," disgust sensitivity predicts implicit moral responses to male-male sexual contact—as measured through intentionality judgments—though it does not predict explicit responses"</t>
  </si>
  <si>
    <t>t(19) = 4.49</t>
  </si>
  <si>
    <t>Manylabs2_01_1_c</t>
  </si>
  <si>
    <r>
      <rPr>
        <rFont val="Arial"/>
        <sz val="11.0"/>
      </rPr>
      <t xml:space="preserve">Inbar, Y., Pizarro, D. A., Knobe, J., &amp; Bloom, P. (2009). Disgust sensitivity predicts intuitive disapproval of gays. Emotion, 9(3), 435–439. </t>
    </r>
    <r>
      <rPr>
        <rFont val="Arial"/>
        <color rgb="FF1155CC"/>
        <sz val="11.0"/>
        <u/>
      </rPr>
      <t>https://doi.org/10.1037/a0015960</t>
    </r>
  </si>
  <si>
    <t>disgust sensitivity not predicting intentionality judgments (control condition)</t>
  </si>
  <si>
    <t>"while in the control condition, disgust sensitivity did not predict intentionality judgments, β = .20, t(19) = .88, ns (see Figure 1) "," disgust sensitivity predicts implicit moral responses to male-male sexual contact—as measured through intentionality judgments—though it does not predict explicit responses"</t>
  </si>
  <si>
    <t xml:space="preserve"> t(19) = .88</t>
  </si>
  <si>
    <t>Manylabs2_02</t>
  </si>
  <si>
    <t>Manylabs2_02_1</t>
  </si>
  <si>
    <t>The z score for the original difference in correlations analysis was recalculated as a q value in the replication study - stands at q = 0.48 in the  recalcuations as reported in the replication paper</t>
  </si>
  <si>
    <t>This row is chosen (could equally have been the row 02_c from coder 2) as it specifically looks at comparing the difference in correlations between the two studies (original versus replication)</t>
  </si>
  <si>
    <t>Schwarz, N., Strack, F., &amp; Mai, H. P. (1991). Assimilation and contrast effects in part-whole question sequences: A conversational logic analysis. Public Opinion Quarterly, 55, 3–23. doi:10.1086/269239 Study 1</t>
  </si>
  <si>
    <t>10.1086/269239</t>
  </si>
  <si>
    <t>Assimilation and Contrast</t>
  </si>
  <si>
    <t>assimilation effects, contrast effects, general question, specific question, judgement</t>
  </si>
  <si>
    <t>Assimilation and contrast effects in question sequences</t>
  </si>
  <si>
    <t>As expected, the correlation between both measures increased from r = .32, in the general-specific condition, to r = .67, z = 2.32, p &lt; .01 for the difference in correlations, when the specific question preceded the life-satisfaction question. [...] indicating that respondents used the previously activated specific information in answering the general question.</t>
  </si>
  <si>
    <t>z = 2.32, N = 100</t>
  </si>
  <si>
    <t>p.  11</t>
  </si>
  <si>
    <t>p. 465</t>
  </si>
  <si>
    <t>This is not the main replication effect</t>
  </si>
  <si>
    <t>aggregate replication</t>
  </si>
  <si>
    <t>theoretical model</t>
  </si>
  <si>
    <t>Correlation between the responses to the two questions when the specific question is asked first</t>
  </si>
  <si>
    <t>"the correlation between both measures increased from r = .32, in the general-specific condition, to r = .67 "," when the specific question preceded the life-satisfaction question "," indicating that respondents used the previously activated specific information in answering the general question"</t>
  </si>
  <si>
    <t>Manylabs2_02_b</t>
  </si>
  <si>
    <t>Correlation between the responses to the two questions when the specific question is asked second</t>
  </si>
  <si>
    <t>"the correlation between both measures increased from r = .32, in the general-specific condition "," indicating that respondents used the previously activated specific information in answering the general question"</t>
  </si>
  <si>
    <t>Manylabs2_02_c</t>
  </si>
  <si>
    <t>This is the main replication effect (the difference in correlations) but the effect size is not extracted correctly - a test statistic instead of a q value is reported.</t>
  </si>
  <si>
    <t>The difference between the correlations</t>
  </si>
  <si>
    <t>"z = 2.32, p &lt; .01 for the difference in correlations, when the specific question preceded the life-satisfaction question "," indicating that respondents used the previously activated specific information in answering the general question"</t>
  </si>
  <si>
    <t>Manylabs2_03</t>
  </si>
  <si>
    <t>Manylabs2_03_1</t>
  </si>
  <si>
    <t>Contrasted US to WEIRD samples - all other comparisons are not general replications</t>
  </si>
  <si>
    <t>Miyamoto, Y., &amp; Kitayama, S. (2002). Cultural variation in correspondence bias: The critical role of attitude diagnosticity of socially constrained behavior. Journal of Personality and Social Psychology, 83, 1239–1248. doi:10.1037/0022-3514.83.5.1239 Study 1</t>
  </si>
  <si>
    <t>10.1037/0022-3514.83.5.1239</t>
  </si>
  <si>
    <t>Correspondence bias</t>
  </si>
  <si>
    <t>Many Labs 2</t>
  </si>
  <si>
    <t>Correspondence bias (WEIRD samples)</t>
  </si>
  <si>
    <t>[Replication does not target an explicit claim, but a pairwise comparison in Table 1] Americans ascribe a more pro-capital-punishment attitude to the write of an essay in favour of capital punishment than against it, t(98) = 6.66, p &lt; .001. "Americans showed a very strong CB regardless of attitude diagnosticity of the essays."</t>
  </si>
  <si>
    <t>p. 1242</t>
  </si>
  <si>
    <t>Table 1: =(10.82-3.3)/SQRT((3.47^2+2.62^2)/2)</t>
  </si>
  <si>
    <t>Manylabs2_03_1_b</t>
  </si>
  <si>
    <t>Contrasted Japan to non-weird samples</t>
  </si>
  <si>
    <t>Correspondence bias (less WEIRD samples)</t>
  </si>
  <si>
    <t>=(9.27-7.02)/SQRT((2.88^2+3.06^2)/2)</t>
  </si>
  <si>
    <t>There is a huge discrepancy between the results in the original paper and the replication study for study one and the claim texts are not clear</t>
  </si>
  <si>
    <t>attitude, behaviour, correspondence, bias</t>
  </si>
  <si>
    <t>perceived attitudes of the writer who wrote in favor of capital punishment</t>
  </si>
  <si>
    <t>There is a huge discrepancy between the results in the original paper and the replication study for study one, and the claim texts are not clear</t>
  </si>
  <si>
    <t>perceived attitudes of the writer who wrote against capital punishment</t>
  </si>
  <si>
    <t>Manylabs2_04</t>
  </si>
  <si>
    <t>Manylabs2_04_1</t>
  </si>
  <si>
    <t>Knobe, J. (2003). Intentional action and side effects in ordinary language. Analysis, 63(3), 190-194. Study 1</t>
  </si>
  <si>
    <t>Perceived intentionality for side effects</t>
  </si>
  <si>
    <t>intentional action, folk psychology, prediction, explanation, control, behaviour</t>
  </si>
  <si>
    <t>Harmful side-effects are more likely to be judged as having been brought about intentionally than helpful side effects</t>
  </si>
  <si>
    <t xml:space="preserve">In the harm condition, most subjects (82%) said that the agent brought about the side effect intentionally, whereas in the help condition, most subjects (77%) said that the agent did not bring about the side effect intentionally. This difference was highly statistically significant, X2(1, N = 78) = 27.2, p &lt; .001 </t>
  </si>
  <si>
    <t>p. 192</t>
  </si>
  <si>
    <t>p. 192: =(0.82/(1-0.82))/(0.23/(1-0.23))</t>
  </si>
  <si>
    <t>The paper existing in the replication is for Knobe (2003) which has no statistical values in Study 1 yet the paper for the row is published in 2006</t>
  </si>
  <si>
    <t>Knobe, J. (2006). The concept of intentional action: A case study in the uses of folk psychology. Philosophical Studies, 130, 203–231. doi:10.1007/s11098-004-4510-0 Study 1</t>
  </si>
  <si>
    <t>10.1007/s11098-004-4510-0</t>
  </si>
  <si>
    <t>Manylabs2_05</t>
  </si>
  <si>
    <t>Manylabs2_05_1</t>
  </si>
  <si>
    <t>Dilemma 1 taken to be the comparison between scenario 1 and 2 for the  principle of double effect</t>
  </si>
  <si>
    <t xml:space="preserve">- Replication effect size was reported both as OR (coder 2) and as cohen's d (coder 1) - both are accurate, however cohen's d was chosen as it aligns with Tables of the replication study and with the difference in effect size calculations in the replication project. 
- For study number - there are 2 scenarios under review (scenarios 1 and 2) that are being compared, the scenario numbers are taken as study numbers here. 
- p value was calculated using the spreadsheet formula function to report accurately. </t>
  </si>
  <si>
    <t>Hauser, M. D., Cushman, F. A., Young, L., Jin, R., &amp; Mikhail, J. M. (2007). A dissociation between moral judgments and justifications. Mind &amp; Language, 22, 1–21. doi:10.1111/ j.1468-0017.2006.00297.x Scenarios 1 and 2</t>
  </si>
  <si>
    <t>10.1111/ j.1468-0017.2006.00297.x</t>
  </si>
  <si>
    <t>Scenarios 1 &amp; 2</t>
  </si>
  <si>
    <t>Trolley Dilemma</t>
  </si>
  <si>
    <t>double effect, moral judgments, justifications, moral dilemma</t>
  </si>
  <si>
    <t>an act that harms other people is seen as more morally permissible if the act is a foreseen side effect rather than the means to the greater good</t>
  </si>
  <si>
    <t>"Denise’s action was judged permissible by 89% of subjects (p[.87 &lt; μ &lt;. 91] = 0.05), while Frank’s action was judged permissible by 11% of subjects (p[.09 &lt; μ &lt;. 13] = 0.05). These proportions differ significantly ( 2 [1, N = 2646] = 1615.96, p &lt; 0.001), with an effect size of w = 0.78. This result indicates that, as a group, subjects reconstruct and make use of the information that varies between these two cases in determining their moral judgments."</t>
  </si>
  <si>
    <t>p. 7, =(0.89/(1-0.89))/(0.11/(1-0.11))</t>
  </si>
  <si>
    <t>p. 459</t>
  </si>
  <si>
    <t>1 &amp; 2</t>
  </si>
  <si>
    <t>The difference in proportions of permeability judgements</t>
  </si>
  <si>
    <t>"Denise’s action was judged permissible by 89% of subjects (p[.87 &lt; μ &lt;. 91] = 0.05), while Frank’s action was judged permissible by 11% of subjects (p[.09 &lt; μ &lt;. 13] = 0.05). These proportions differ significantly ( 2 [1, N = 2646] = 1615.96, p &lt; 0.001), with an effect size of w = 0.78. This result indicates that, as a group, subjects reconstruct and make use of the information that varies between these two cases in determining their moral judgments. Such information might relate to the principle of the double effect, or might also include the fact that Frank makes physical contact with a person, whereas Denise does not, or that Frank introduces a new threat whereas Denise redirects an existing threat."</t>
  </si>
  <si>
    <t>Manylabs2_06</t>
  </si>
  <si>
    <t>Manylabs2_06_1</t>
  </si>
  <si>
    <t xml:space="preserve">The replication paper appears to have a type in the reported F value for the supermarket scenarios.
F = 17.7 in the replication paper is F = 17.27 in the original paper. </t>
  </si>
  <si>
    <t>Ross, L., Greene, D., &amp; House, P. (1977). The “false consensus effect”: An egocentric bias in social perception and attribution processes. Journal of Experimental Social Psychology, 13, 279–301. doi:10.1016/0022-1031(77)90049-X Study 1 - supermarket scenario</t>
  </si>
  <si>
    <t>10.1016/0022-1031(77)90049-X</t>
  </si>
  <si>
    <t>False consensus</t>
  </si>
  <si>
    <t>false consensus, egocentric bias, social perception, attribution processes, choices</t>
  </si>
  <si>
    <t>False consensus: supermarket scenario</t>
  </si>
  <si>
    <t xml:space="preserve">Subjects who claimed that they personally would follow a given behavioral alternative also tended to rate that alternative as relatively probable for “people in general”; those subjects who claimed that they would reject the alternative tended to rate it as relatively improbable for “people in general.”
Across all four scenarios the main effect of Rater’s Choice was highly significant, F( 1,312) = 49.1, p &lt; .001. For the supermarket story this effect was F(1,78) = 17.27, p&lt;001. </t>
  </si>
  <si>
    <t>F(1, 78) = 17.27</t>
  </si>
  <si>
    <t>p. 283</t>
  </si>
  <si>
    <t>p. 460</t>
  </si>
  <si>
    <t>Manylabs2_06_1_b</t>
  </si>
  <si>
    <t>Ross, L., Greene, D., &amp; House, P. (1977). The “false consensus effect”: An egocentric bias in social perception and attribution processes. Journal of Experimental Social Psychology, 13, 279–301. doi:10.1016/0022-1031(77)90049-X Study 1 - traffic tickets</t>
  </si>
  <si>
    <t>False consensus: traffic-ticket scenario</t>
  </si>
  <si>
    <t xml:space="preserve">Subjects who claimed that they personally would follow a given behavioral alternative also tended to rate that alternative as relatively probable for “people in general”; those subjects who claimed that they would reject the alternative tended to rate it as relatively improbable for “people in general.”
Across all four scenarios the main effect of Rater’s Choice was highly significant, F( 1,312) = 49.1, p &lt; .001.  For the traffic ticket story this effect was F(1,78) = 12.8, p&lt;001. </t>
  </si>
  <si>
    <t>F(1, 78) = 12.8</t>
  </si>
  <si>
    <t>Ross, L., Greene, D., &amp; House, P. (1977). The “false consensus effect”: An egocentric bias in social perception and attribution processes. Journal of Experimental Social Psychology, 13, 279–301. doi:10.1016/0022-1031(77)90049-X Study 1</t>
  </si>
  <si>
    <t>False consensus effect</t>
  </si>
  <si>
    <t>False consensus: supermarket scenario (Slate 1)</t>
  </si>
  <si>
    <t>"For two of the stories (Supermarket Story and Term Paper Story), the effect of Rater’s Own Choice upon the difference in ratings for the two behavioral alternatives was clearly significant, F(1,78) = 17.27, p &lt; .001  "," like perceptions of behavioral consensus, trait inferences are systematically influenced by the rater’s own behavioral choices, although the effect is less consistent for the latter measure than the former"</t>
  </si>
  <si>
    <t>F(1, 78) = 17.7</t>
  </si>
  <si>
    <t>False consensus: traffic-ticket scenario (Slate 2)</t>
  </si>
  <si>
    <t>"For one story (Traffic Ticket Story) the effect was marginally significant, F = 3.18, p &lt; .10, "," like perceptions of behavioral consensus, trait inferences are systematically influenced by the rater’s own behavioral choices, although the effect is less consistent for the latter measure than the former"</t>
  </si>
  <si>
    <t>Manylabs2_07</t>
  </si>
  <si>
    <t>Manylabs2_07_1</t>
  </si>
  <si>
    <t>This row was chosen over the other 07_1 row from coder 2 as it had a more accurate calculation of the p value represented for the replication effect</t>
  </si>
  <si>
    <t>Gray, K., &amp; Wegner, D. M. (2009). Moral typecasting: Divergent perceptions of moral agents and moral patients. Journal of Personality and Social Psychology, 96, 505–520. doi:10.1037/a0013748 Study 1a</t>
  </si>
  <si>
    <t>10.1037/a0013748</t>
  </si>
  <si>
    <t>Moral typecasting</t>
  </si>
  <si>
    <t>morality, perception, judgment, decision making, reasoning</t>
  </si>
  <si>
    <t>People rated the child as less responsible than the adult, t(68) = 3.32, p &lt; .01.</t>
  </si>
  <si>
    <t>p. 508</t>
  </si>
  <si>
    <t>t(68) =  3.32</t>
  </si>
  <si>
    <t>p. 464</t>
  </si>
  <si>
    <t>This is a main replication effect of interest</t>
  </si>
  <si>
    <t>Degree to which the person who committed the act is responsible</t>
  </si>
  <si>
    <t>"People rated the child as less responsible than the adult, t(68)  3.32, p  .01 "," age of harm-doer and age of victim have complementary effects on perceptions of moral agency and moral patiency the older victim is seen as more responsible, and the younger victim is seen as more harmed"</t>
  </si>
  <si>
    <t>t(68) = 3.32</t>
  </si>
  <si>
    <t>Manylabs2_07_1_b</t>
  </si>
  <si>
    <t>This is not the main replication result - should it be retained?</t>
  </si>
  <si>
    <t xml:space="preserve"> how intentional the act is</t>
  </si>
  <si>
    <t>"People rated the child "," as having less intentionality than the adult for the moral transgression, t(68)  2.20, p  .05 "," age of harm-doer and age of victim have complementary effects on perceptions of moral agency and moral patiency the older victim is seen as more responsible, and the younger victim is seen as more harmed"</t>
  </si>
  <si>
    <t>t(68) = 2.20</t>
  </si>
  <si>
    <t>Manylabs2_07_1_c</t>
  </si>
  <si>
    <t xml:space="preserve"> how much pain is felt by the victim</t>
  </si>
  <si>
    <t>"Relative to the adult, children were rated as experiencing more pain, t(68)  3.49, p  .01. "," age of harm-doer and age of victim have complementary effects on perceptions of moral agency and moral patiency the older victim is seen as more responsible, and the younger victim is seen as more harmed"</t>
  </si>
  <si>
    <t>t(68)  = 3.49</t>
  </si>
  <si>
    <t>Manylabs2_10</t>
  </si>
  <si>
    <t>Manylabs2_10_1</t>
  </si>
  <si>
    <t>N = 180, total sample of both Hong Kong (N=100) and USA participants (N=80), combined samples</t>
  </si>
  <si>
    <t>Chosen for greater accuracy of reporting of pvalues, sample sizes, and test statistics - however, the values are hard to disentangle and could be worth examining in more detail.</t>
  </si>
  <si>
    <t>Huang, Y., Tse, C. S., &amp; Cho, K. W. (2014). Living in the north is not necessarily favorable: Different metaphoric associations between cardinal direction and valence in Hong Kong and in the United States. European Journal of Social Psychology, 44, 360–369. doi:10.1002/ejsp.2013 Study 1a</t>
  </si>
  <si>
    <t>10.1002/ejsp.2013</t>
  </si>
  <si>
    <t>cardinal direction, valence, preference, cultural differences, metaphoric associations</t>
  </si>
  <si>
    <t>Cardinal direction and socioeconomic status (all participants)</t>
  </si>
  <si>
    <t xml:space="preserve">For the south–north axis, the interaction between SES and population was significant, F(1, 176) = 20.39, MSE = 5.63, p &lt; .001, η2p = 0.10.
</t>
  </si>
  <si>
    <t>p. 44</t>
  </si>
  <si>
    <t>p. 454</t>
  </si>
  <si>
    <t>Manylabs2_10_1_b</t>
  </si>
  <si>
    <t>N = USA sample of 80</t>
  </si>
  <si>
    <t>Cardinal direction and socioeconomic status (western participants)</t>
  </si>
  <si>
    <t xml:space="preserve">US participants considered that high-SES andlow-SES individuals were more likely to live in the northern(+0.98, SD = 1.85), t(39) = 3.34, p &lt; .01, d = 0.53, and southernareas (_x0001_0.69, SD = 2.19), t(39) = 2.00, p = .05, d = 0.32, respectively. </t>
  </si>
  <si>
    <t>Manylabs2_10_1_c</t>
  </si>
  <si>
    <t>N = Hong Kong sample of 100</t>
  </si>
  <si>
    <t>Cardinal direction and socioeconomic status (non-western participants)</t>
  </si>
  <si>
    <t>HK participants considered that high-SESand low-SES individuals were more likely to live in the southern area (0.92, SD = 2.47), t(49) = 2.62, p = .01, d = 0.37, and descriptively but not signiﬁcantly in the northern area (+0.63,SD = 2.75), t(49) = 1.61, p = .11, d = 0.23, respectively.</t>
  </si>
  <si>
    <t>The reported test statistics in the original study are a bit confusing; therefore needs to be validated</t>
  </si>
  <si>
    <t>Interaction between SES (high vs. low) and population (United States vs. Hong Kong)</t>
  </si>
  <si>
    <t xml:space="preserve">"the interaction between SES and population was significant, F(1, 176) = 20.39, MSE = 5.63, p &lt; .001, η2p 1= 0.10 "," participants differing in demographic knowledge about the affluent population distribution have different cardinal direction–valence metaphoric associations" </t>
  </si>
  <si>
    <t>Likelihood of living preference for high-SES and low-SES individuals (US participants)</t>
  </si>
  <si>
    <t>"US participants considered that high-SES and low-SES individuals were more likely to live in the northern (+0.98, SD = 1.85), t(39) = 3.34, p &lt; .01, d = 0.53, and southern areas (0.69, SD = 2.19), t(39) = 2.00, p = .05, d = 0.32, respectively "," participants differing in demographic knowledge about the affluent population distribution have different cardinal direction–valence metaphoric associations"</t>
  </si>
  <si>
    <t>Likelihood of living preference for high-SES and low-SES individuals (Hong Kong participants)</t>
  </si>
  <si>
    <t>"HK participants considered that high-SES and low-SES individuals were more likely to live in the southern area (0.92, SD = 2.47), t(49) = 2.62, p = .01, d = 0.37, and descriptively but not significantly in the northern area (+0.63, SD = 2.75), t(49) = 1.61, p = .11, d = 0.23, respectively "," participants differing in demographic knowledge about the affluent population distribution have different cardinal direction–valence metaphoric associations"</t>
  </si>
  <si>
    <t>Manylabs2_11</t>
  </si>
  <si>
    <t>Manylabs2_11_1</t>
  </si>
  <si>
    <t>NB: The replication paper states teh OR should be OR = 4.96, however, based on the percent success in both frames we calculate at 5.203 (see repro value)</t>
  </si>
  <si>
    <t xml:space="preserve">PLEASE CHECK ME:
- Pvalue for replication calculated using spreadsheet formula function for accuracy. 
- Pvalue for original study was calculated in the replication only (not present in the original paper) - coder 2 chose to report this value, this has been discarded in validation. 
- Similarly - the replication paper states the OR should be OR = 4.96, however, based on the percent success in both frames we calculate at 5.203 (see repro value). the reproducible value is chosen here but the discrepancy is not understood. </t>
  </si>
  <si>
    <t>Tversky, A., &amp; Kahneman, D. (1981). The framing of decisions and the psychology of choice. Science, 211, 453–458. doi:10.1126/science.7455683 Study 10</t>
  </si>
  <si>
    <t>Framing</t>
  </si>
  <si>
    <t>decision problems, preference, perception, rational choice</t>
  </si>
  <si>
    <t>Effect of framing on decision making</t>
  </si>
  <si>
    <t>The response to the two versions of problem 10 were markedly different: 68 percent of the respondents were willing to make an extra trip to save $5 on a $15 calculator; only 29 percent were willing to exert the same effort when the price of the calculator was $125.</t>
  </si>
  <si>
    <t>=(0.68/(1-0.68))/(0.29/(1-0.29))</t>
  </si>
  <si>
    <t>There are no test statistics values apart from the percentages reported in the original study; hence, effect sizes calculated in the replication study have been noted</t>
  </si>
  <si>
    <t>"The response to the two versions of problem 10 were markedly different: 68 percent of the respondents were willing to make an extra trip to save $5 on a $15 calculator; only 29 percent were willing to exert the same effort when the price of the calculator was $125. Evidently the respondents do not frame problem 10 in the minimal account, which involves only a benefit of $5 and a cost of some inconvenience. Instead, they evaluate the potential saving in a more inclusive account, which includes the purchase of the calculator but not of the jacket. By the curvature of v, a discount of $5 has a greater impact when the price of the calculator is low than when it is high"</t>
  </si>
  <si>
    <t>Manylabs2_12</t>
  </si>
  <si>
    <t>Manylabs2_12_1</t>
  </si>
  <si>
    <t xml:space="preserve">This is the main replication effect of interest, however the statistics in teh original paper (including the sample size) are opaque at best. Help is needed to validate the number, particualrly as they differ from coder 2. </t>
  </si>
  <si>
    <t>Graham, J., Haidt, J., &amp; Nosek, B. A. (2009). Liberals and conservatives rely on different sets of moral foundations Journal of Personality and Social Psychology, 96, 1029– 1046. doi:10.1037/a0015141 Study 1</t>
  </si>
  <si>
    <t>10.1037/a0015141</t>
  </si>
  <si>
    <t>moral foundations theory</t>
  </si>
  <si>
    <t>morality, ideology, liberal, conservative</t>
  </si>
  <si>
    <t>Moral foundations of liberals versus conservatives (binding foundations)</t>
  </si>
  <si>
    <t>Including the covariates, political identity still predicted all five foundations in the predicted direction, all ps &lt; .001. Political identity was the key explanatory variable: It was the only consistent significant predictor (average beta =  .25; range .16 to .34) for all five foundations</t>
  </si>
  <si>
    <t>p. 1032</t>
  </si>
  <si>
    <t>p. 1032 + 1033</t>
  </si>
  <si>
    <t>p. 455</t>
  </si>
  <si>
    <t>The statistics reported in the original study are confusing compared to those reported in the replication study; therefore needs validation</t>
  </si>
  <si>
    <t>Secondary replication target - also needs validating on numbers because of the diffculty tracking from the original manuscript across to the replicaiton project. 
NB - it is very unclear why there is a different aggregate sample size for this replication effect than the one prior (an arbitrary N = 4 difference?)</t>
  </si>
  <si>
    <t>Graham, J., Haidt, J., &amp; Nosek, B. A. (2009). Liberals andconservatives rely on different sets of moral foundations Journal of Personality and Social Psychology, 96, 1029– 1046. doi:10.1037/a0015141 Study 1</t>
  </si>
  <si>
    <t>Moral foundations of liberals versus conservatives (individualizing foundations)</t>
  </si>
  <si>
    <t>"the aggregated moral relevance ratings for individualizing foundations were higher than the aggregated ratings for the binding foundations, F(1, 1207) = 1,895.09, p &lt; .001, n2p =   .61 "," The moral thinking of liberals and conservatives may not be a matter of more versus less but of different opinions about what considerations are relevant to moral judgment"</t>
  </si>
  <si>
    <t>P. 14</t>
  </si>
  <si>
    <t>Manylabs2_12_1_b</t>
  </si>
  <si>
    <t>N= 1207+2 = 1209</t>
  </si>
  <si>
    <t>Items that emphasized concerns for the in-group, authority, or purity (binding foundations)</t>
  </si>
  <si>
    <t>"this effect was moderated by politics, F(1, 1207) = 224.34, p &lt;  .001, n2p =  .16, such that the more liberal participants showed a greater difference between the individualizing and binding moral foundations. "," The moral thinking of liberals and conservatives may not be a matter of more versus less but of different opinions about what considerations are relevant to moral judgment"</t>
  </si>
  <si>
    <t>P. 13</t>
  </si>
  <si>
    <t>Manylabs2_13</t>
  </si>
  <si>
    <t>Manylabs2_13_1</t>
  </si>
  <si>
    <t>changed effect size to odds ratio so that it can be auto-converted</t>
  </si>
  <si>
    <t>Hauser, M. D., Cushman, F. A., Young, L., Jin, R., &amp; Mikhail, J. M. (2007). A dissociation between moral judgments and justifications. Mind &amp; Language, 22, 1–21. doi:10.1111/j.1468-0017.2006.00297.x Study 1, Scenarios 3 and 4</t>
  </si>
  <si>
    <t>3 &amp; 4</t>
  </si>
  <si>
    <t>Trolley Dilemma: principle of double effect</t>
  </si>
  <si>
    <t>In the intended harm case, 56% of subjects judged the action permissible (p[.53 &lt; μ &lt; .59] = 0.05), whereas in [...] the foreseen harm case, 72% of subjects judged the action permissible (p[.69 &lt; μ &lt; .74] = 0.05). These percentages differ significantly (chis2[1, N = 2612] = 72.35, p &lt; 0.001), with an effect size of w = 0.17. This result indicates that, as a group, subjects make use of the principle of the double effect.</t>
  </si>
  <si>
    <t>p. 8, =(0.72/(1-0.72))/(0.56/(1-0.56))</t>
  </si>
  <si>
    <t>p. 461</t>
  </si>
  <si>
    <t>1 (3 &amp; 4)</t>
  </si>
  <si>
    <t>"In Scenario 3, the intended harm case, 56% of subjects judged the action permissible (p[.53 &lt; μ &lt; .59] = 0.05), whereas in scenario 4, the foreseen harm case, 72% of subjects judged the action permissible (p[.69 &lt; μ &lt; .74] = 0.05). These percentages differ signifi cantly (2 [1, N = 2612] = 72.35, p &lt; 0.001), with an effect size of w = 0.17. This result indicates that, as a group, subjects make use of the principle of the double effect."</t>
  </si>
  <si>
    <t>Manylabs2_14</t>
  </si>
  <si>
    <t>Manylabs2_14_1</t>
  </si>
  <si>
    <t>Risen, J. L., &amp; Gilovich, T. (2008). Why people are reluctant to  tempt fate. Journal of Personality and Social Psychology, 95, 293–307. doi:10.1037/0022-3514.95.2.293 Study 2</t>
  </si>
  <si>
    <t>tempt fate, magical thinking, accessibility, negativity</t>
  </si>
  <si>
    <t>Reluctance to tempt fate</t>
  </si>
  <si>
    <t>Participants believed that students were more likely to be called on if they had not done the reading (M = 3.43, SD = 2.34) than if they had (M = 2.53, SD = 2.24), F(1, 116) = 4.60, p  &lt; .05, d = 0.39. [This indicates that]  people believe that negative outcomes are more likely following behaviors that tempt fate.</t>
  </si>
  <si>
    <t>p. 295</t>
  </si>
  <si>
    <t>The p-value of the original study has been recorded incorrectly in the replication study. Therefore, the p-value of the original study has been recorded</t>
  </si>
  <si>
    <t>The likelihood that the protagonist (themselves or Jon) would be called on by the professor</t>
  </si>
  <si>
    <t>"students were more likely to be called on if they had not done the reading (M  3.43, SD  2.34) than if they had (M  2.53, SD 2.24), F(1, 116)  4.60, p &lt; .05, d = 0.39 "," people believe that negative outcomes are more likely following behaviors that tempt fate"</t>
  </si>
  <si>
    <t>Manylabs2_15</t>
  </si>
  <si>
    <t>Manylabs2_15_1</t>
  </si>
  <si>
    <t xml:space="preserve">Table 1 of the original study report d= 0.80, however the replication study reports d= 0.87 for the original study. Looking at the values in Table 1  of the original study our reproducible calculation gives a value of 0.87 which is therefore reported here. Assumed to be a rounding error in the oriignal manuscript. </t>
  </si>
  <si>
    <t>Bauer, M. A., Wilkie, J. E., Kim, J. K., &amp; Bodenhausen, G. V. (2012). Cuing consumerism: Situational materialism undermines personal and social well-being. Psychological Science, 23, 517–523. doi:10.1177/0956797611429579 Study 4</t>
  </si>
  <si>
    <t>10.1177/0956797611429579</t>
  </si>
  <si>
    <t>consumerism, materialism, situationism, social engagement, well-being, personal values</t>
  </si>
  <si>
    <t>Consumerism undermines trust</t>
  </si>
  <si>
    <t>The consumer framing resulted in lower feelings of personal responsibility for dealing with the resource dilemma, markedly lower trust in the other parties, and a significantly lower tendency to view the others as partners in facing the dilemma. t(76) = –3.86 p=.001 d =0.80</t>
  </si>
  <si>
    <t>p. 522 + p. 519 (Table 1)</t>
  </si>
  <si>
    <t>Table 1: =(4.08-5.33)/SQRT((1.56^2+1.3^2)/2)</t>
  </si>
  <si>
    <t>p. 456</t>
  </si>
  <si>
    <t>This is not the main replication effect and it seems that the reported original effect sizes etc are reported only in the replication project - needs double checking before inclusion. Should it be a row we keep?</t>
  </si>
  <si>
    <t>Effects of consumer cues on feelings of responsibility</t>
  </si>
  <si>
    <t>"the consumer framing resulted in lower feelings of personal responsibility for dealing with the resource dilemma "," in general, it is clear that the consumer identity did not unite—it divided. Thinking like a consumer again seemed to work against positive, cooperative engagement with other people"</t>
  </si>
  <si>
    <t>Manylabs2_15_1_b</t>
  </si>
  <si>
    <t>Effects of consumer cues on feelings of obligation</t>
  </si>
  <si>
    <t>"There were no significant effects on participants’ feelings of obligation "," in general, it is clear that the consumer identity did not unite—it divided. Thinking like a consumer again seemed to work against positive, cooperative engagement with other people"</t>
  </si>
  <si>
    <t>Manylabs2_15_1_c</t>
  </si>
  <si>
    <t>This does not accurately record the effect size of interest for the main replication effect</t>
  </si>
  <si>
    <t>Effects of consumer cues on trust in other people</t>
  </si>
  <si>
    <t>"markedly lower trust in the other parties "," in general, it is clear that the consumer identity did not unite—it divided. Thinking like a consumer again seemed to work against positive, cooperative engagement with other people"</t>
  </si>
  <si>
    <t>Manylabs2_15_1_d</t>
  </si>
  <si>
    <t>Effects of consumer cues on viewing other people as partners</t>
  </si>
  <si>
    <t>"a significantly lower tendency to view the others as partners in facing the dilemma "," in general, it is clear that the consumer identity did not unite—it divided. Thinking like a consumer again seemed to work against positive, cooperative engagement with other people"</t>
  </si>
  <si>
    <t>Manylabs2_15_1_e</t>
  </si>
  <si>
    <t>Effects of consumer cues on believing other people should use less water</t>
  </si>
  <si>
    <t>"There were no significant effects on "," belief that the other parties should use less water than they themselves did. "," in general, it is clear that the consumer identity did not unite—it divided. Thinking like a consumer again seemed to work against positive, cooperative engagement with other people"</t>
  </si>
  <si>
    <t>Manylabs2_16</t>
  </si>
  <si>
    <t>Manylabs2_16_1</t>
  </si>
  <si>
    <t>Critcher, C. R., &amp; Gilovich, T. (2008). Incidental environmental anchors. Journal of Behavioral Decision Making, 21, 241–251. doi:10.1002/bdm.586 Study 2</t>
  </si>
  <si>
    <t>10.1002/bdm.586</t>
  </si>
  <si>
    <t>basic anchoring, numeric priming, incidental anchoring, accessibility</t>
  </si>
  <si>
    <t>Influence of incidental anchors on judgment</t>
  </si>
  <si>
    <t>Participants making judgments about the P97 estimated that a higher percentage of smartphones (M = 58.1%, SD = 19.6%) would be sold in the United States than did those making estimates about the P17 (M = 51.9%, SD = 21.7%), t(197.5) = 2.12, p = .03, d = .30.
Participants’ responses were influenced by numbers incidentally associated with the target—numbers that should have no bearing on the value being estimated.</t>
  </si>
  <si>
    <t>p. 246</t>
  </si>
  <si>
    <t>p. 458</t>
  </si>
  <si>
    <t>"participants making judgments about the P97 estimated that a higher percentage of smartphones (M = 58.1%, SD = 19.6%) would be sold in the United States than did those making estimates about the P17 (M 1= 51.9%, SD = 21.7%), t(197.5) = 2.12, p 1= .03, d = .30. Thus, as in Study 1, participants’ responses were influenced by numbers incidentally associated with the target numbers that should have no bearing on the value being estimated"</t>
  </si>
  <si>
    <t>Manylabs2_17</t>
  </si>
  <si>
    <t>Manylabs2_17_1</t>
  </si>
  <si>
    <t>Giessner, S. R., &amp; Schubert, T. W. (2007). High in the hierarchy: How vertical location and judgments of leaders’ power are interrelated. Organizational Behavior and Human Decision Processes, 104, 30–44. doi:10.1016/j .obhdp.2006.10.001 Study 1a</t>
  </si>
  <si>
    <t>10.1016/j .obhdp.2006.10.001</t>
  </si>
  <si>
    <t>Vertical position and power</t>
  </si>
  <si>
    <t>The averaged leader power score was submitted to an independent-samples t-test. The analysis yielded the expected significant effect of vertical difference, t(62) = 2.20, p = .03, etasq = .07. 
Participants in the large vertical difference condition perceived the leader as being more powerful (M = 5.01, SD=.60) than participants in the small vertical difference condition (M = 4.62, SD = .81).</t>
  </si>
  <si>
    <t>p.  460</t>
  </si>
  <si>
    <t>changed effect size to (calculated) d for auto-conversion</t>
  </si>
  <si>
    <t>1A</t>
  </si>
  <si>
    <t>leadership, power, person perception, embodiment, metaphor</t>
  </si>
  <si>
    <t>Relating vertical position with power</t>
  </si>
  <si>
    <t>"The analysis yielded the expected significant effect of vertical difference, t(62) = 2.20, p = .03, g2 = .07. Participants in the large vertical difference condition perceived the leader as being more powerful (M = 5.01, SD = .60) than participants in the small vertical difference condition (M = 4.62, SD = .81)"</t>
  </si>
  <si>
    <t>p. 33: =(5.01-4.62)/SQRT(((200-1)*0.6^2+(200-1)*0.81^2)/(200+200-2)))</t>
  </si>
  <si>
    <t>Manylabs2_18</t>
  </si>
  <si>
    <t>Manylabs2_18_1</t>
  </si>
  <si>
    <t xml:space="preserve">NB: the replication manuscript suggests the the original n was 144, however, the original manuscript indicates that the n was made up of  two groups of 77 aka 154, (this is verified further by the df of the t-tests in both the original and replication manuscript being 153). </t>
  </si>
  <si>
    <t xml:space="preserve">Coder 2 could not access this paper, therefore it is not double coded. </t>
  </si>
  <si>
    <t>Tversky, A., &amp; Gati, I. (1978). Studies of similarity. Cognition and Categorization, 1, 79–98. Study 2</t>
  </si>
  <si>
    <t>Directionality and similarity</t>
  </si>
  <si>
    <t xml:space="preserve">The average s(q, p) was significantly higher than the average s(p, q) across all subjects and pairs: t = 2.92, df= 20, and p &lt; .01.
The average difference (in similarity rating) (.42) was significantly positive : t = 2 .99, df= 153, p &lt; .01 . </t>
  </si>
  <si>
    <t xml:space="preserve">t(153) = 2 .99, p &lt; .01 . </t>
  </si>
  <si>
    <t>p. 467</t>
  </si>
  <si>
    <t>Manylabs2_18_1_b</t>
  </si>
  <si>
    <t>The foregoing study was repeated with judgments of difference instead of judgments of similarity: t = 2 .72, df = 20, p &lt; .01
The average difference between d(p, q) and d(q, p), computed as previously for each subject (.63), was significantly positive : t = 2.24, df = 45, p &lt; .05</t>
  </si>
  <si>
    <t>t(45) = 2.24</t>
  </si>
  <si>
    <t>There is no PDF attached for this task, and the only search shows it is not freely accessible</t>
  </si>
  <si>
    <t>Manylabs2_19</t>
  </si>
  <si>
    <t>Manylabs2_19_1</t>
  </si>
  <si>
    <t>Zhong, C.-B., &amp; Liljenquist, K. (2006). Washing away your sins: Threatened morality and physical cleansing. Science, 313, 1451–1452. doi:10.1126/science.1130726 Study 2</t>
  </si>
  <si>
    <t>Moral violations and desire for cleansing</t>
  </si>
  <si>
    <t>Copying the unethical story increased the desirability of cleansing products as compared to copying the ethical story F(1,25) = 6.99, P = 0.01</t>
  </si>
  <si>
    <t>p.  1452</t>
  </si>
  <si>
    <t>p. 1452</t>
  </si>
  <si>
    <t>physical cleansing, effect, sins, physical purity, moral purity</t>
  </si>
  <si>
    <t>Moral violations create a desire for cleansing (and thus here a higher valuing of cleaning products)</t>
  </si>
  <si>
    <t>F(1, 25) = 6.99</t>
  </si>
  <si>
    <t>Manylabs2_20</t>
  </si>
  <si>
    <t>Manylabs2_20_1</t>
  </si>
  <si>
    <t>Kay, A. C., Laurin, K., Fitzsimons, G. M., &amp; Landau, M. J. (2014). A functional basis for structure-seeking: Exposure to structure promotes willingness to engage in motivated action. Journal of Experimental Psychology: General, 143, 486–491. doi:10.1037/a0034462 Study 2</t>
  </si>
  <si>
    <t>10.1037/a0034462</t>
  </si>
  <si>
    <t>Structure promotes goal pursuit</t>
  </si>
  <si>
    <t>Participants in the structure condition reported higher willingness to expend effort and make sacrifices to pursue their goal
compared to participants in the random condition, t(65) = 2.00, p = .05</t>
  </si>
  <si>
    <t>p. 487</t>
  </si>
  <si>
    <t>structure seeking, pattern perception, self-regulation, goal pursuit, compensatory control</t>
  </si>
  <si>
    <t>Participants in the structure condition reported higher willingness to expend effort and make sacrifices to pursue their goal compared to participants in the random condition (Mstructure =5.26, SDstructure = 0.88; Mrandom= 4.72, SDrandom= 1.32), t(65) = 2.00, p = .05, Cohen's d = 0.50)</t>
  </si>
  <si>
    <t>p. 486-487</t>
  </si>
  <si>
    <t>Manylabs2_21</t>
  </si>
  <si>
    <t>Manylabs2_21_1</t>
  </si>
  <si>
    <t xml:space="preserve">- Coder 1 recorded the relevant test statistic to be the interaction effect, coder 2 identified the main effect as the key test statistic for the replication. Neither is a direct one-to-one mapping with the replicaiton value (which is a correlation based on a new continuous IV measure), however the interaction effect pertains to the relationship of interest - sibling number and prosociality: "Planned comparisons of the number of siblings revealed a significant contrast between prosocial people, on the one hand,
and individualists and competitors, on the other, F(1, 535) = 9.14, p = .003". Therefore, this row was accepted and the other row rejected. 
- The closeness was recorded as internal as the lead author of the original paper is part of the authorship of the replication project. </t>
  </si>
  <si>
    <t>Van Lange, P. A. M., Otten, W., De Bruin, E. M. N., &amp; Joireman, J. A. (1997). Development of prosocial, individualistic, and competitive orientations: Theory and preliminary evidence. Journal of Personality and Social Psychology, 73, 733–746. doi:10.1037/0022-3514.73.4.733 Study 3</t>
  </si>
  <si>
    <t>10.1037/0022-3514.73.4.733</t>
  </si>
  <si>
    <t>prosocial, individualistic, competitive orientations, social interaction</t>
  </si>
  <si>
    <t>Prosociality is associated with the number of siblings</t>
  </si>
  <si>
    <t xml:space="preserve">Analysis revealed a significant main effect for social value orientation, F(2, 535) = 4.82, p &lt; .01. Consistent with the sibling-prosocial hypothesis [...] the number of siblings is greater for prosocials (M = 2.03, SD = 1.56) than for individualists (M = 1.63, SD = 1.00) and competitors (M = 1.71, SD = 1.35).
Susequent planned  comparisons revealed a significant contrast between prosocials versus individualists and competitors, F{1,535) = 9.14, p &lt; .005. </t>
  </si>
  <si>
    <t>p. 739</t>
  </si>
  <si>
    <t>F(1, 535) = 9.14</t>
  </si>
  <si>
    <t>p. 740</t>
  </si>
  <si>
    <t>Investigating the correlation between prosocial orientation and the number of siblings</t>
  </si>
  <si>
    <t>"analysis revealed a significant main effect for social value orientation, F(2, 535) = 4.82, p &lt; .01. Consistent with the sibling-prosocial hypothesis, Panel A "," reveals that the number of siblings is greater for prosocials (A/ = 2.03, SD = 1.56) than for individualists (M = 1.63, SD = 1.00) and competitors (M = 1.71, SD — 1.35)."</t>
  </si>
  <si>
    <t>F(2, 535) = 4.82</t>
  </si>
  <si>
    <t>Manylabs2_22</t>
  </si>
  <si>
    <t>Manylabs2_22_1</t>
  </si>
  <si>
    <t>Relevant original effect (pairwise comparison) not reported in original report - therefore, taken from replication</t>
  </si>
  <si>
    <t>Zaval, L., Keenan, E. A., Johnson, E. J., &amp; Weber, E. U. (2014). How warm days increase belief in global warming. Nature Climate Change, 4, 143–147. doi:10.1038/nclimate2093 Study 3a</t>
  </si>
  <si>
    <t>10.1038/nclimate2093</t>
  </si>
  <si>
    <t>Heat priming</t>
  </si>
  <si>
    <t>climate change, global warming, judgements, belief, temperature</t>
  </si>
  <si>
    <t>Priming “heat” increases belief in global warming</t>
  </si>
  <si>
    <t xml:space="preserve">There was a significant main effect of condition on global warming concern, F(2,288) = 4.74, p = 0.01
Post hoc comparisons showed that those in the heat condition exhibited greater concern for global warming than those in the control condition (p = 0.02) and cold condition (p = 0.03). </t>
  </si>
  <si>
    <t>p. 145</t>
  </si>
  <si>
    <t>replication report</t>
  </si>
  <si>
    <t>The number of participants for the effect of condition on belief in global warming and concern about it were different</t>
  </si>
  <si>
    <t>Effect of condition on concern about global warming</t>
  </si>
  <si>
    <t>"priming individuals with heat-related cognitions increases levels of belief and concern in global warming. The priming manipulation had a direct effect on average ratings of reported belief in and concern about global warming  "," There was a significant main effect of condition on global warming belief, F(2,288) = 3.88, p = 0.02 and concern, F(2,288) = 4.74, p = 0.01"</t>
  </si>
  <si>
    <t>F(2,288) = 4.74</t>
  </si>
  <si>
    <t>Manylabs2_22_1_b</t>
  </si>
  <si>
    <t>Secondary replication - strange difference in N for this group compared with primary group, unexplained n = 8 difference?)</t>
  </si>
  <si>
    <t>Priming individuals with heat-related cognitions increases levels of belief and concern in global warming. The priming manipulation had a direct effect on average ratings of reported belief in and concern about global warming. There was a significant main effect of condition on global warming belief, F(2,288) = 3.88, p = 0.02.</t>
  </si>
  <si>
    <t>F(2,288) = 3.88</t>
  </si>
  <si>
    <t>Manylabs2_23</t>
  </si>
  <si>
    <t>Manylabs2_23_1</t>
  </si>
  <si>
    <t>Focal comparison with English subsamples.</t>
  </si>
  <si>
    <t>Alter, A. L., Oppenheimer, D. M., Epley, N., &amp; Eyre, R. N. (2007). Overcoming intuition: Metacognitive difficulty activates analytic reasoning. Journal of Experimental Psychology: General, 136, 569–576. doi:10.1037/0096- 3445.136.4.569 Study 4</t>
  </si>
  <si>
    <t>10.1037/0096- 3445.136.4.569</t>
  </si>
  <si>
    <t>Processing fluency depending on font</t>
  </si>
  <si>
    <t>fluency, disfluency, dual-system processing, reasoning, judgment</t>
  </si>
  <si>
    <t>Investigating whether a deliberate, analytic processing style can be activated by incidental disfluency cues that suggest task difficulty</t>
  </si>
  <si>
    <t>Participants in the disfluent condition answered a greater proportion of the questions correctly (M  = 64%) than did participants in the fluent condition (M = 43%), t(39) = 2.01, p  &lt; .05</t>
  </si>
  <si>
    <t>p. 574</t>
  </si>
  <si>
    <t>p. 574: =(2.45-1.9)/SQRT(((20-1)*0.64^2+(20-1)*0.89^2)/(20+20-2)))</t>
  </si>
  <si>
    <t>Where we can calculate d (or OR), let's do it - more useful than ES that are not convertible (omega, eta-sq)</t>
  </si>
  <si>
    <t xml:space="preserve">This row codes for a whole sample result which was only used as a "follow-up" anlysis because of worries about linguistic and font differences in difficulties across languages in the replication sample. </t>
  </si>
  <si>
    <t>"participants in the disfluent condition answered a greater proportion of the questions correctly (M  64%) than did participants in the fluent condition (M  43%), t(39) = 2.01, p &lt; .05, n2  .09 "," People make different decisions depending on whether they adopt systematic processing or rely on intuitive, heuristic processing"</t>
  </si>
  <si>
    <t xml:space="preserve"> t(39) = 2.01</t>
  </si>
  <si>
    <t>Manylabs2_24</t>
  </si>
  <si>
    <t>Manylabs2_24_1</t>
  </si>
  <si>
    <t>Anderson, C., Kraus, M. W., Galinsky, A. D., &amp; Keltner, D. (2012). The local-ladder effect: Social status and subjective well-being. Psychological Science, 23, 764–771. doi:10.1177/0956797611434537 Study 3</t>
  </si>
  <si>
    <t>10.1177/0956797611434537</t>
  </si>
  <si>
    <t>Sociometric status and well-being</t>
  </si>
  <si>
    <t xml:space="preserve">Inserting SWB scores to a 2 (level: high, low) × 2 (type of status: sociometric, socioeconomic) between participants ANOVA. There was a main effect of level, F(1, 224) = 5.06, p = .03, but more important, there was also a significant interaction between level and type of status, F(1, 224) = 4.73, p = .03. Individuals in the high-sociometricstatus condition had higher SWB than those in the lowsociometric-status condition, t(115) = 3.05, p = .003.  In contrast, individuals in the high-SES condition did not have higher SWB than those in the low-SES condition, t(109) = 0.06, p = .96. </t>
  </si>
  <si>
    <t>p. 768</t>
  </si>
  <si>
    <t>F(1, 224) = 4.73</t>
  </si>
  <si>
    <t>local-ladder effect</t>
  </si>
  <si>
    <t>social structure, socioeconomic status, well-being</t>
  </si>
  <si>
    <r>
      <rPr>
        <rFont val="Calibri"/>
        <color theme="1"/>
        <sz val="11.0"/>
      </rPr>
      <t xml:space="preserve">The relationships among the high- and low- sociometric status (SMS) conditions </t>
    </r>
    <r>
      <rPr>
        <rFont val="Calibri"/>
        <color rgb="FF00FF00"/>
        <sz val="11.0"/>
      </rPr>
      <t xml:space="preserve">and well-being </t>
    </r>
  </si>
  <si>
    <t>Individuals in the high-sociometric-status condition had higher SWB than those in the low-sociometric-status condition, t(115) = 3.05, p = .003, these findings provide evidence for a causal effect of sociometric status on SWB that is stronger than the effect of SES on SWB.</t>
  </si>
  <si>
    <t>t(115) = 3.05</t>
  </si>
  <si>
    <t>Manylabs2_25</t>
  </si>
  <si>
    <t>Manylabs2_25_1</t>
  </si>
  <si>
    <t>replication effect is in opposite direction</t>
  </si>
  <si>
    <t xml:space="preserve">On review: the calculated OR is not valid in this row, the percentages are not comparable in this way, the test statistic from the other coder is accepted instead. </t>
  </si>
  <si>
    <t>Rottenstreich, Y., &amp; Hsee, C. K. (2001). Money, kisses, and electric shocks: On the affective psychology of risk. Psychological Science, 12, 185–190. doi:10.1111/1467- 9280.00334 Study 1</t>
  </si>
  <si>
    <t>10.1111/1467- 9280.00334</t>
  </si>
  <si>
    <t>Affect and risk</t>
  </si>
  <si>
    <t>In the certainty condition, 70% of participants preferred the cash over the kiss, but in the low-probability condition, 65% of participants preferred the kiss lottery over the cash lottery, x2 (1, N = 40) =4.91, p &lt;.05.</t>
  </si>
  <si>
    <t>p. 187</t>
  </si>
  <si>
    <t>=(0.7/(1-0.7))/(0.65/(1-0.65))</t>
  </si>
  <si>
    <t>calculated OR leads original effect size slightly different from ML - likely due to rounding</t>
  </si>
  <si>
    <t>prospect theory, affective, s-shaped, affect-rich, affect-poor, outcome</t>
  </si>
  <si>
    <t xml:space="preserve"> Whether to prefer an affectively attractive option (a kiss from a favorite movie star) or a financially attractive option ($50) depends on certainty</t>
  </si>
  <si>
    <t>In the certainty condition, 70% of participants preferred the cash over the kiss, but in the low-probability condition, 65% of participants preferred the kiss lottery over the cash lottery, x2(1, N = 40) = 4.91, p &lt; .05, indicating that the weight of a 1% probability is greater for the affect-rich kiss than for the affect-poor cash, as predicted by the affective approach.</t>
  </si>
  <si>
    <t>p. 187: =(0.7/(1-0.7))/(0.35/(1-0.35))</t>
  </si>
  <si>
    <t>Manylabs2_26</t>
  </si>
  <si>
    <t>Manylabs2_26_1</t>
  </si>
  <si>
    <t xml:space="preserve">The two rows are practically identical - however this row has a more accurate record of the replication p value due to it's use of the spreadsheet formula function. </t>
  </si>
  <si>
    <t>Shafir, E. (1993). Choosing versus rejecting: Why some options are both better and worse than others. Memory &amp; Cognition, 21, 546–556. doi:10.3758/BF03197186 Study 1</t>
  </si>
  <si>
    <t>10.3758/BF03197186</t>
  </si>
  <si>
    <t>compatibility, choosing, rejecting, enriched option, impoverished option, preference</t>
  </si>
  <si>
    <t>Effect of choosing versus rejecting on relative desirability</t>
  </si>
  <si>
    <t>Parent B is the modal choice both for being awarded custody of the child and for being denied it. As predicted, the value of Πc + Πr, for Parent B (64+55 = 119) is significantly greater than the 100 that we would expect if choosing and rejecting were complementary (z = 2.48, p &lt; .02).</t>
  </si>
  <si>
    <t>p. 549</t>
  </si>
  <si>
    <t>z = 2.48, N = 170</t>
  </si>
  <si>
    <t>Make sure special characters are corrected after copy-pasting from old papers - here Π</t>
  </si>
  <si>
    <t xml:space="preserve"> Effect of choosing versus rejecting on relative desirability</t>
  </si>
  <si>
    <t>"the value of Il, + II, for Parent B (64+55 = 119) is significantly greater than the 100 that we would expect if choosing and rejecting were complementary (z = 2.48, p &lt; .02)"</t>
  </si>
  <si>
    <t>z = 2.48</t>
  </si>
  <si>
    <t>Manylabs2_27</t>
  </si>
  <si>
    <t>Manylabs2_27_1</t>
  </si>
  <si>
    <t>This is the best approximation of the US sample - I think</t>
  </si>
  <si>
    <t>Savani, K., Markus, H. R., Naidu, N. V. R., Kumar, S., &amp; Berlia, N. (2010). What counts as a choice? U.S. Americans are more likely than Indians to construe actions as choices. Psychological Science, 21, 391–398. doi:10 .1177/0956797609359908 Study 5</t>
  </si>
  <si>
    <t>choice, construal, action identification, culture, India</t>
  </si>
  <si>
    <t>Construing actions as choices (Americans)</t>
  </si>
  <si>
    <t>Among Americans, there was no difference between the proportion of personal actions construed as choices (M = .83, SD = .15) and the proportion of interpersonal actions construed as choices (M = .82, SD = .14), t(88) = 0.39, p = .65, d = 0.04</t>
  </si>
  <si>
    <t>p. 396</t>
  </si>
  <si>
    <t>p. 462</t>
  </si>
  <si>
    <t>No p-value reported on construe of choices in the replicated study</t>
  </si>
  <si>
    <t>logistic HLM model with construal of choice as the dependent measure</t>
  </si>
  <si>
    <t>"Indians were less likely than Americans to construe actions as choices, β = –1.07, OR = 0.34, t(101) = 5.70, prep = .99, p &lt; .001 "," Americans were more likely than Indians to construe all actions as choices, and were equally likely to construe personal and interpersonal actions as choices"</t>
  </si>
  <si>
    <t>t(101) = 5.70</t>
  </si>
  <si>
    <t>Manylabs2_27_1_b</t>
  </si>
  <si>
    <t>Both original and replicated studies are indicated as nested</t>
  </si>
  <si>
    <t>It is unclear what this row is addressing and whether it should be kept</t>
  </si>
  <si>
    <t>logistic HLM model with culture and condition as participant-level predictors</t>
  </si>
  <si>
    <t>"We did not find a main effect of condition, β = –0.13, OR = 0.88, t(101) = 0.71, prep = .69, p = .48, "," Americans were more likely than Indians to construe all actions as choices, and were equally likely to construe personal and interpersonal actions as choices"</t>
  </si>
  <si>
    <t>t(101) = 0.71</t>
  </si>
  <si>
    <t>Manylabs2_27_1_c</t>
  </si>
  <si>
    <t>logistic HLM model with importance of decision as a trial-level covariate</t>
  </si>
  <si>
    <t>"but we found a significant Culture × Condition interaction, β = 0.53, OR = 1.70, t(101) = 1.98, prep = .92, p &lt; .05. "," Americans were more likely than Indians to construe all actions as choices, and were equally likely to construe personal and interpersonal actions as choices"</t>
  </si>
  <si>
    <t>t(101) = 1.98</t>
  </si>
  <si>
    <t>Manylabs2_28</t>
  </si>
  <si>
    <t>Manylabs2_28_1</t>
  </si>
  <si>
    <t>This is the only approximation of the US sample but was not double coded by coder 2 - need reviews</t>
  </si>
  <si>
    <t>Construing actions as choices (indians)</t>
  </si>
  <si>
    <t>Indians were less likely than Americans to construe actions as choices, β = –1.07, OR = 0.34, t(101) = 5.70, prep = .99, p &lt; .001. We did not find a main effect of condition, β = –0.13, OR = 0.88, t(101) = 0.71, prep = .69, p = .48, but we found a significant Culture × Condition interaction, β = 0.53, OR = 1.70, t(101) = 1.98, prep = .92, p &lt; .05.</t>
  </si>
  <si>
    <t>This task is similar to the above task</t>
  </si>
  <si>
    <t>No values coded for Indian sample by coder 2</t>
  </si>
  <si>
    <t>Manylabs2_8</t>
  </si>
  <si>
    <t>Manylabs2_8_1</t>
  </si>
  <si>
    <t xml:space="preserve">The original study reports results for different cultural groups separately to compare them against each other. The replication compared a general sample only - here two of the three subsamples from the original study are compared to the replication sample - it is unclear if this is the right thing to do here. </t>
  </si>
  <si>
    <t>Norenzayan, A., Smith, E. E., Kim, B. J., &amp; Nisbett, R. E. (2002). Cultural preferences for formal versus intuitive reasoning. Cognitive Science, 26, 653–684. doi:10.1207/ s15516709cog2605_4 Study 2</t>
  </si>
  <si>
    <t>10.1207/ s15516709cog2605_4</t>
  </si>
  <si>
    <t>cross-cultural analysis, epistemology, reasoning, concepts</t>
  </si>
  <si>
    <t>Preferences for formal versus intuitive Reasoning (european americans)</t>
  </si>
  <si>
    <t>When participants were asked to judge the similarity of the target object to the categories: European Americans gave many more responses based on the unidimensional rule than on family resemblance (M = 69% vs. M = 31%), t(17) = 3.68, p&lt;.005.</t>
  </si>
  <si>
    <t>p. 666</t>
  </si>
  <si>
    <t>t(17) = 3.68</t>
  </si>
  <si>
    <t>p. 463</t>
  </si>
  <si>
    <t>Manylabs2_8_1_b</t>
  </si>
  <si>
    <t xml:space="preserve">Coder 2 did not report any values for this "study" - therefore it has not been double coded </t>
  </si>
  <si>
    <t>Norenzayan, A., Smith, E. E., Kim, B. J., &amp; Nisbett, R. E. (2002). Cultural preferences for formal versus intuitive reasoning. Cognitive Science, 26, 653–684. doi:10.1207/ s15516709cog2605_4 Study 3</t>
  </si>
  <si>
    <t>Preferences for formal versus intuitive Reasoning (east asians)</t>
  </si>
  <si>
    <t>When participants were asked to judge the similarity of the target object to the categories: East Asians gave fewer rule-based responses than family resemblance responses (M =41%vs.M =59%), t(17) = 2.09,p = .05</t>
  </si>
  <si>
    <t>p. 667</t>
  </si>
  <si>
    <t>t(17) = 2.09</t>
  </si>
  <si>
    <t>This task requires validation because of the confusing statistics reported in the original study</t>
  </si>
  <si>
    <t xml:space="preserve">classification whether the mean percentages for the two experimental (judgment condition (decide “which group the target object belongs to”) or “which group the target object is more similar to)”                                                                                                                                                                                                                                                                                                                                                                                                                      </t>
  </si>
  <si>
    <t>"only a main effect of judgment condition emerged, indicating that participants overall were slower when classifying than when judging similarity (in ms: M = 7,516 and SD = 3,160 vs. M = 6,260 and SD = 4,379), F (1, 151) = 4.25, p&lt;.05. There were no main effects of culture, F &lt; 1, or culture by judgment condition interaction, F &lt; 1"</t>
  </si>
  <si>
    <t>F (1, 151) = 4.25</t>
  </si>
  <si>
    <t xml:space="preserve"> There is no information on the "Preferences for formal versus intuitive reasoning: Norenzayan, Smith, Kim, and Nisbett (2002, Study 3) to compare with the original study</t>
  </si>
  <si>
    <t>Manylabs2_9</t>
  </si>
  <si>
    <t>Manylabs2_9_1</t>
  </si>
  <si>
    <t xml:space="preserve">P value reported using spreadsheet formula function for accuracy. </t>
  </si>
  <si>
    <t>Hsee, C. K. (1998). Less is better: When low-value options are valued more highly than high-value options. Journal of Behavioral Decision Making, 11, 107–121. doi:10.1002/(SICI)1099-0771(199806)11:2&lt;107::AIDBDM292&gt;3.0.CO;2-Y Study 1</t>
  </si>
  <si>
    <t>10.1002/(SICI)1099-0771(199806)11:2%3C107::AID-BDM292%3E3.0.CO;2-Y</t>
  </si>
  <si>
    <t>Less-is-better effect</t>
  </si>
  <si>
    <t>preference reversal, evaluability, dominance violation, joint and separate evaluation, willingness to pay</t>
  </si>
  <si>
    <t>A less expensive gift can be perceived as more generous than a more expensive gift when the less expensive gift is a high-priced item compared with other items in its category, and the more expensive item is a low-priced item compared with other items in its category</t>
  </si>
  <si>
    <t>A less-is-better effect emerged from this study. Although the $55 coat is certainly more expensive than the $45 scarf, those receiving the scarf considered their gift giver to be signficantly more generous than those receiving the coat (M = 5.63 and 5.00, respectively, t = 3.13; p &lt; 0.01)</t>
  </si>
  <si>
    <t>p. 109</t>
  </si>
  <si>
    <t>t(82) = 3.13</t>
  </si>
  <si>
    <t>The less-is-better effect, wherein a less expensive gift can be perceived as more generous than a more expensive gift when the less expensive gift is a high-priced item compared with other items in its category, and the more expensive item is a low-priced item compared with other items in its category</t>
  </si>
  <si>
    <t>"Although the $55 coat is certainly more expensive than the $45 scarf, those receiving the scarf considered their gift giver to be significantly more generous than those receiving the coat (M = 5.63 and 5.00, respectively, t = 3:13; p &lt; 0:01) "," If gift givers want their gift recipients to perceive them as generous, it is better for them to give a high-value item from a low-value product category (e.g. a $45 scarf) rather than a low-value item from a high-value product category (e.g. a $55 coat)"</t>
  </si>
  <si>
    <t>t = 3.13</t>
  </si>
  <si>
    <t>OpenMKT1_1</t>
  </si>
  <si>
    <t>OpenMKT1</t>
  </si>
  <si>
    <t>Link O leads to a wrong paper - "Creating Global Brand Names: The Use of Sound Symbolism, 2013, Gerard A. Athaide a &amp; Richard R. Klink" instead of "Klink, R. R. (2000). Creating brand names with meaning: the use of sound symbolism." Original study doesn’t report ES, while R states r=0.623</t>
  </si>
  <si>
    <t>- changed the link to the pre-registration of the replication study, since the link let to the OSF project. However, the study was preregisted at AsPredicted 
- I added the effect
- I changed the claim to highlight which effect belongs to which 
- I changed the page number of the claim
- I changed the number of participants of the original study 
- I changed es_repr_o since there was an additional calculation, but with the wrong number of participants</t>
  </si>
  <si>
    <t>Klink, R. R. (2000). Creating brand names with meaning: the use of sound symbolism. Market. Lett. 11, 5–20. doi: 10.1023/A:1008184423824 Study 1</t>
  </si>
  <si>
    <t>10.1080/08911762.2012.744123</t>
  </si>
  <si>
    <t>10.1080--08911762.2012.744123.pdf</t>
  </si>
  <si>
    <t>Motoki, K., &amp; Iseki, S. (2022). Evaluating replicability of ten influential research on sensory marketing. Frontiers in Communication, 7, 1048896.</t>
  </si>
  <si>
    <t>10.3389/fcomm.2022.1048896</t>
  </si>
  <si>
    <t>10.3389--fcomm.2022.1048896.pdf</t>
  </si>
  <si>
    <t>sensory marketing</t>
  </si>
  <si>
    <t>Brand names, linguistics, sound symbolism</t>
  </si>
  <si>
    <t>Products with brand names containing front vowel sounds, as opposed to back vowel sounds, are perceived as: (a) smaller</t>
  </si>
  <si>
    <t>No significant differences were found between front versus back vowels in brand names for conveying size, ," illustrates how sound symbolism can help create global brand names that convey consistent meaning across languages."</t>
  </si>
  <si>
    <t>p. 5,8</t>
  </si>
  <si>
    <t>p. 9, Table 2</t>
  </si>
  <si>
    <t>p.6, Table 2: Front vowels chosen = 512, Back vowels chosen = 311 χ² = 49.09, p &lt; 0.001</t>
  </si>
  <si>
    <t>https://aspredicted.org/ZW2_C76</t>
  </si>
  <si>
    <t>OpenMKT1_b</t>
  </si>
  <si>
    <t>Link O leads to a wrong paper - "Creating Global Brand Names: The Use of Sound Symbolism, 2013, Gerard A. Athaide a &amp; Richard R. Klink" instead of "Klink, R. R. (2000). Creating brand names with meaning: the use of sound symbolism."Original study doesn’t report ES, while R states r= 0.639</t>
  </si>
  <si>
    <t>Products with brand names containing back vowel sounds, as opposed to front vowel sounds, are perceived as: (b) darker (relative to lighter)</t>
  </si>
  <si>
    <t>products with brand names containing front vowels, as opposed to back vowels, are perceived as lighter (relative to darker)," illustrates how sound symbolism can help create global brand names that convey consistent meaning across languages."</t>
  </si>
  <si>
    <t>p.6, Table 2: Front vowels chosen = 289, Back vowels chosen = 534 χ² = 72.934, p &lt; 0.001</t>
  </si>
  <si>
    <t>OpenMKT1_c</t>
  </si>
  <si>
    <t>Link O leads to a wrong paper - "Creating Global Brand Names: The Use of Sound Symbolism, 2013, Gerard A. Athaide a &amp; Richard R. Klink" instead of "Klink, R. R. (2000). Creating brand names with meaning: the use of sound symbolism."Original study doesn’t report ES, while R states r=0.283</t>
  </si>
  <si>
    <t>Products with brand names containing front vowel sounds, as opposed to back vowel sounds, are perceived as: (c) milder</t>
  </si>
  <si>
    <t>No significant differences were found between front versus back vowels in brand names for [...], mildness,," illustrates how sound symbolism can help create global brand names that convey consistent meaning across languages."</t>
  </si>
  <si>
    <t>p.6, Table 2: Front vowels chosen = 331, Back vowels chosen = 492 χ² = 31.496, p &lt; 0.001</t>
  </si>
  <si>
    <t>OpenMKT1_d</t>
  </si>
  <si>
    <t>For some reason when present O results, R operates with word "rich" instead of "thick" used in O. After that R also uses "thick", so it's probably just a mistake. No matter the fact, it didn't affect data extraction. Link O leads to a wrong paper - "Creating Global Brand Names: The Use of Sound Symbolism, 2013, Gerard A. Athaide a &amp; Richard R. Klink" instead of "Klink, R. R. (2000). Creating brand names with meaning: the use of sound symbolism." Original study doesn’t report ES, while R states r=0.819.</t>
  </si>
  <si>
    <t>Products with brand names containing back vowel sounds, as opposed to front vowel sounds, are perceived as: (d) thicker</t>
  </si>
  <si>
    <t>products with brand names containing front vowels, as opposed to back vowels, are perceived as  [...] thinner ," illustrates how sound symbolism can help create global brand names that convey consistent meaning across languages."</t>
  </si>
  <si>
    <t>p.6, Table 2: Front vowels chosen = 320, Back vowels chosen = 503 χ² = 40.691, p &lt; 0.001</t>
  </si>
  <si>
    <t>OpenMKT1_e</t>
  </si>
  <si>
    <t>Link O leads to a wrong paper - "Creating Global Brand Names: The Use of Sound Symbolism, 2013, Gerard A. Athaide a &amp; Richard R. Klink" instead of "Klink, R. R. (2000). Creating brand names with meaning: the use of sound symbolism." Original study doesn’t report ES, while R states r= 0.215</t>
  </si>
  <si>
    <t>Products with brand names containing front vowel sounds, as opposed to back vowel sounds, are perceived as:  (e) softer</t>
  </si>
  <si>
    <t>products with brand names containing front vowels, as opposed to back vowels, are perceived as lighter [...] softer ," illustrates how sound symbolism can help create global brand names that convey consistent meaning across languages."</t>
  </si>
  <si>
    <t>p.6, Table 2: Front vowels chosen = 536, Back vowels chosen = 287 χ² = 75.335, p &lt; 0.001</t>
  </si>
  <si>
    <t>OpenMKT1_f</t>
  </si>
  <si>
    <t>Link O leads to a wrong paper - "Creating Global Brand Names: The Use of Sound Symbolism, 2013, Gerard A. Athaide a &amp; Richard R. Klink" instead of "Klink, R. R. (2000). Creating brand names with meaning: the use of sound symbolism." Original study doesn’t report ES, while R states r=0.411</t>
  </si>
  <si>
    <t>Products with brand names containing front vowel sounds, as opposed to back vowel sounds, are perceived as: (f) faster</t>
  </si>
  <si>
    <t>products with brand names containing front vowels, as opposed to back vowels, are perceived as [...] faster, ," illustrates how sound symbolism can help create global brand names that convey consistent meaning across languages."</t>
  </si>
  <si>
    <t>p.6, Table 2: Front vowels chosen = 539, Back vowels chosen = 284 χ² = 79.01, p &lt; 0.001</t>
  </si>
  <si>
    <t>OpenMKT1_g</t>
  </si>
  <si>
    <t>Link O leads to a wrong paper - "Creating Global Brand Names: The Use of Sound Symbolism, 2013, Gerard A. Athaide a &amp; Richard R. Klink" instead of "Klink, R. R. (2000). Creating brand names with meaning: the use of sound symbolism." Original study doesn’t report ES, while R states r=0.615</t>
  </si>
  <si>
    <t>Products with brand names containing back vowel sounds, as opposed to front vowel sounds, are perceived as: (g) warmer</t>
  </si>
  <si>
    <t>products with brand names containing front vowels, as opposed to back vowels, are perceived as l[...] colder,  ," illustrates how sound symbolism can help create global brand names that convey consistent meaning across languages."</t>
  </si>
  <si>
    <t>p.6, Table 2: Front vowels chosen = 343, Back vowels chosen = 480 χ² = 22.806, p &lt; 0.001</t>
  </si>
  <si>
    <t>OpenMKT1_h</t>
  </si>
  <si>
    <t>Link O leads to a wrong paper - "Creating Global Brand Names: The Use of Sound Symbolism, 2013, Gerard A. Athaide a &amp; Richard R. Klink" instead of "Klink, R. R. (2000). Creating brand names with meaning: the use of sound symbolism." Original study doesn’t report ES, while R states r=0.230</t>
  </si>
  <si>
    <t>Products with brand names containing front vowel sounds, as opposed to back vowel sounds, are perceived as: (h) more bitter</t>
  </si>
  <si>
    <t>products with brand names containing front vowels, as opposed to back vowels, are perceived as [...] more bitter ," illustrates how sound symbolism can help create global brand names that convey consistent meaning across languages."</t>
  </si>
  <si>
    <t>p.6, Table 2: Front vowels chosen = 456, Back vowels chosen = 367 χ² = 9.6245, p = 0.002</t>
  </si>
  <si>
    <t>OpenMKT1_i</t>
  </si>
  <si>
    <t>Link O leads to a wrong paper - "Creating Global Brand Names: The Use of Sound Symbolism, 2013, Gerard A. Athaide a &amp; Richard R. Klink" instead of "Klink, R. R. (2000). Creating brand names with meaning: the use of sound symbolism." Original study doesn’t report ES, while R states r=0.570</t>
  </si>
  <si>
    <t>Products with brand names containing back vowel sounds, as opposed to front vowel sounds, are perceived as: (i) more masculine</t>
  </si>
  <si>
    <t>No significant differences were found between front versus back vowels in brand names for [...]masculinity ," illustrates how sound symbolism can help create global brand names that convey consistent meaning across languages."</t>
  </si>
  <si>
    <t>p.6, Table 2: Front vowels chosen = 452, Back vowels chosen = 371 χ² = 7.9721, p = 0.005</t>
  </si>
  <si>
    <t>OpenMKT1_j</t>
  </si>
  <si>
    <t>Link O leads to a wrong paper - "Creating Global Brand Names: The Use of Sound Symbolism, 2013, Gerard A. Athaide a &amp; Richard R. Klink" instead of "Klink, R. R. (2000). Creating brand names with meaning: the use of sound symbolism." Original study doesn’t report ES, while R states r=0.245</t>
  </si>
  <si>
    <t>Products with brand names containing front vowel sounds, as opposed to back vowel sounds, are perceived as: (j) friendlier</t>
  </si>
  <si>
    <t>No significant differences were found between front versus back vowels in brand names for [...] friendliness, " illustrates how sound symbolism can help create global brand names that convey consistent meaning across languages."</t>
  </si>
  <si>
    <t>p.6, Table 2: Front vowels chosen = 515, Back vowels chosen = 308 χ² = 52.064, p &lt; 0.001</t>
  </si>
  <si>
    <t>OpenMKT1_k</t>
  </si>
  <si>
    <t>Link O leads to a wrong paper - "Creating Global Brand Names: The Use of Sound Symbolism, 2013, Gerard A. Athaide a &amp; Richard R. Klink" instead of "Klink, R. R. (2000). Creating brand names with meaning: the use of sound symbolism." Original study doesn’t report ES, while R states r= 0.230</t>
  </si>
  <si>
    <t>Products with brand names containing back vowel sounds, as opposed to front vowel sounds, are perceived as: (k) stronger</t>
  </si>
  <si>
    <t>No significant differences were found between front versus back vowels in brand names for [...] strength ," illustrates how sound symbolism can help create global brand names that convey consistent meaning across languages."</t>
  </si>
  <si>
    <t>p.6, Table 2: Front vowels chosen = 546, Back vowels chosen = 277 χ² = 87.923, p &lt; 0.001</t>
  </si>
  <si>
    <t>OpenMKT1_l</t>
  </si>
  <si>
    <t>Link O leads to a wrong paper - "Creating Global Brand Names: The Use of Sound Symbolism, 2013, Gerard A. Athaide a &amp; Richard R. Klink" instead of "Klink, R. R. (2000). Creating brand names with meaning: the use of sound symbolism." Original study doesn’t report ES, while R states r=0.796</t>
  </si>
  <si>
    <t>Products with brand names containing back vowel sounds, as opposed to front vowel sounds, are perceived as: (l) heavier</t>
  </si>
  <si>
    <t>products with brand names containing front vowels, as opposed to back vowels, are perceived as [...] lighter (relative to heavier)" illustrates how sound symbolism can help create global brand names that convey consistent meaning across languages."</t>
  </si>
  <si>
    <t>p.6, Table 2: Front vowels chosen = 233, Back vowels chosen = 590 χ² = 154.86, p &lt; 0.001</t>
  </si>
  <si>
    <t>OpenMKT1_m</t>
  </si>
  <si>
    <t>Link O leads to a wrong paper - "Creating Global Brand Names: The Use of Sound Symbolism, 2013, Gerard A. Athaide a &amp; Richard R. Klink" instead of "Klink, R. R. (2000). Creating brand names with meaning: the use of sound symbolism." Original study doesn’t report ES, while R states r=0.336</t>
  </si>
  <si>
    <t>Products with brand names containing front vowel sounds, as opposed to back vowel sounds, are perceived as: (m) prettier</t>
  </si>
  <si>
    <t>products with brand names containing front vowels, as opposed to back vowels, are [...] prettier ," illustrates how sound symbolism can help create global brand names that convey consistent meaning across languages."</t>
  </si>
  <si>
    <t>p.6, Table 2: Front vowels chosen = 461, Back vowels chosen = 362 χ² = 11.909, p &lt; 0.001</t>
  </si>
  <si>
    <t>Kaiser, Leonard; Osano, Maureen</t>
  </si>
  <si>
    <t>1) The effect sizes (r) for the original study coded for this row and the subsequent 12 rows are the calculated effect sizes of the original study as reported in the replication study. Table 2 on Page 9 of the original study reports results as percentages for choosing higher-frequency words that are challenging to code. 2) The original study indicates 171 students, while the replication study indicates that the number of participants for the original study was 265. I found 265 as the pre-coded value for the n_original variable for all the first 13 rows. I have not changed this value, but it requires validation.</t>
  </si>
  <si>
    <t>- I changed the es_repr_r since originally the table which includes the effect size was coded. However, to reproduce the effect, one needs the test statistics. 
- As Leonard already mentioned, the original paper states that 171 participants took part in the experiment (original) 
- I changed the claim to highlight which effect belongs to which 
- I added the effect</t>
  </si>
  <si>
    <t>brand name, sound symbolism, international marketing</t>
  </si>
  <si>
    <t>5,8</t>
  </si>
  <si>
    <t>p. 9/ t. 2</t>
  </si>
  <si>
    <t>p.6, Table 2</t>
  </si>
  <si>
    <t>OpenMKT1_10</t>
  </si>
  <si>
    <t>OpenMKT1_11</t>
  </si>
  <si>
    <t>OpenMKT1_12</t>
  </si>
  <si>
    <t>OpenMKT1_13</t>
  </si>
  <si>
    <t>OpenMKT1_2</t>
  </si>
  <si>
    <t>OpenMKT1_3</t>
  </si>
  <si>
    <t>Products with brand names containing back vowel sounds, as opposed to front vowel sounds, are perceived as: (c) milder</t>
  </si>
  <si>
    <t>OpenMKT1_4</t>
  </si>
  <si>
    <t>OpenMKT1_5</t>
  </si>
  <si>
    <t>OpenMKT1_6</t>
  </si>
  <si>
    <t>OpenMKT1_7</t>
  </si>
  <si>
    <t>OpenMKT1_8</t>
  </si>
  <si>
    <t>OpenMKT1_9</t>
  </si>
  <si>
    <t>The results suggest that products with brand names containing front vowels, as opposed to back vowels, are perceived more feminine/less masculine</t>
  </si>
  <si>
    <t>OpenMKT10_1</t>
  </si>
  <si>
    <t>P.10, Table 5 In R also states r = 0.407 for O and r = 0.026 for R.</t>
  </si>
  <si>
    <t>- changed the link to the pre-registration of the replication study, since the link let to the OSF project. However, the study was preregisted at AsPredicted</t>
  </si>
  <si>
    <t>Madzharov, a V., and Block, L. G. (2010). Effects of product unit image on consumption of snack foods. J. Consum. Psychol. 20, 398–409. doi: 10.1016/j.jcps.2010.06.007 Study 1a</t>
  </si>
  <si>
    <t>10.1016/j.jcps.2010.06.007</t>
  </si>
  <si>
    <t>10.1016--j.jcps.2010.06.007.pdf</t>
  </si>
  <si>
    <t>Anchoring; Packaging; Food consumption</t>
  </si>
  <si>
    <t>The effect of product units displayed on the package on perceived product quantity</t>
  </si>
  <si>
    <t>study participants thought that the package that displayed more product units contained more quantity than the package that displayed fewer product units. An ANOVA with number of cookies on the package as a between-subjects factor revealed a significant main effect on product quantity such that the package with the seven cookies was perceived to hold more cookies than the package with the four cookies</t>
  </si>
  <si>
    <t>F(1, 35) = 6.93</t>
  </si>
  <si>
    <t>p.3 M7= 71.55) (M4= 19.65</t>
  </si>
  <si>
    <t>p. 7 (f our: M = 21.40, SD = 100.28; seven: M = 17. 71, SD = 9.14; F1,821 = 0.565, p = 0.452, η 2p = 0.001).</t>
  </si>
  <si>
    <t>OpenMKT10_b</t>
  </si>
  <si>
    <t>P.10, Table 5 In R also states r = 0.348 for O and r = 0.054 for R.</t>
  </si>
  <si>
    <t>The effect of product units displayed on the package on the serving size</t>
  </si>
  <si>
    <t>Additionally, study participants thought there were more cookies in a serving from the package that displayed seven cookies compared to the package that displayed four cookies</t>
  </si>
  <si>
    <t>F(1, 35) =4.83</t>
  </si>
  <si>
    <t>p.3 (M7= 6.60 vs. M4= 4.41; ,</t>
  </si>
  <si>
    <t>p. 7 (f our: M = 4.45, SD = 3.00, vs. seven: M = 4.80, SD = 3.52; F1,821 = 2.380, p = 0.123, η2p = 0.003).</t>
  </si>
  <si>
    <t>OpenMKT10_c</t>
  </si>
  <si>
    <t>It's basically the same as OpenMKT10, but R conducted other analysis (the Mann-Whitney U test) because of the outlier, hence statistics for O remain the same, but differ for R. This kind of test wasn't preregistered</t>
  </si>
  <si>
    <t xml:space="preserve">- Since it is indeed the same test (excluding one outlier) I would delete this row. </t>
  </si>
  <si>
    <t>p. 7 (U = 78,727, Z = 1.743,p = 0.081, r = 0.061).</t>
  </si>
  <si>
    <t>OpenMKT10</t>
  </si>
  <si>
    <t>- I added the effect</t>
  </si>
  <si>
    <t>anchoring, packaging, food consumption</t>
  </si>
  <si>
    <t>study participants thought that the package that displayed more product units contained more quantity than the package that displayed fewer product units. An ANOVA with number of cookies on the package as a between-subjects factor revealed a significant main effect on product quantity such that the package with the seven cookies was perceived to hold more cookies (M7= 71.55) than the package with the four cookies (M4= 19.65, F(1, 35) = 6.93, p &lt; .05) ," provides initial evidence that the number of product units on the package influences product quantity."</t>
  </si>
  <si>
    <t>p. 10 / t. 5</t>
  </si>
  <si>
    <t>OpenMKT10_2</t>
  </si>
  <si>
    <t>study participants thought there were more cookies in a serving from the package that displayed seven cookies compared to the package that displayed four cookies (M7= 6.60 vs. M4= 4.41; F(1, 35) = 4.83, p &lt; .05) ," provides initial evidence that the number of product units on the package influences product quantity."</t>
  </si>
  <si>
    <t>F(1, 35) = 4.83</t>
  </si>
  <si>
    <t>OpenMKT11_1</t>
  </si>
  <si>
    <t>OpenMKT11</t>
  </si>
  <si>
    <t>- I corrected the sample size of the replication
- I added the effect
- I added the study number of the replication study
- I added label_r</t>
  </si>
  <si>
    <t>Lee, S., Baumgartner, H., &amp; Winterich, K. P. (2018). Did they earn it? Observing unearned luxury consumption decreases brand attitude when observers value fairness. Journal of Consumer Psychology, 28(3), 412-436. Study 4</t>
  </si>
  <si>
    <t>10.1002/jcpy.1028</t>
  </si>
  <si>
    <t>10.1002--jcpy.1028.pdf</t>
  </si>
  <si>
    <t>O’Donnell, M., Dev, A. S., Antonoplis, S., Baum, S. M., Benedetti, A. H., Brown, N. D., Carrillo, B., Choi, A. L., Connor, P., Donnelly, K., Ellwood-Lowe, M. E., Foushee, R., Jansen, R., Jarvis, S. N., Lundell-Creagh, R., Ocampo, J. M., Okafor, G. N., Azad, Z. R., Rosenblum, M., … Nelson, L. D. (2021). Empirical audit and review and an assessment of evidentiary value in research on the psychological consequences of scarcity. Proceedings of the National Academy of Sciences, 118(44), e2103313118.</t>
  </si>
  <si>
    <t>10.1073/pnas.2103313118</t>
  </si>
  <si>
    <t>10.1073--pnas.2103313118.pdf</t>
  </si>
  <si>
    <t>link between luxury consumption, brand attitude and perceived fairness</t>
  </si>
  <si>
    <t>Moral values, Fairness, Luxury consumption. Consumption resources, Brand attitude</t>
  </si>
  <si>
    <t>Unearned luxury consumption will lead to lower brand attitude than earned luxury consumption when consumers' fairness concerns are salient, but less so when fairness concerns are not salient.</t>
  </si>
  <si>
    <t>An ANOVA was performed using consumption resources, fairness, and their interaction as independent variables and brand attitude as the dependent variable.  The effect of consumption resources was significant</t>
  </si>
  <si>
    <t>p. 17 (F(2, 245) = 3.85, p &lt; .05, n2 = .029)</t>
  </si>
  <si>
    <t>p. 17. F(2, 598) = 4.28, p = .014, ηp2 = .014, η2 = .014</t>
  </si>
  <si>
    <t>https://osf.io/j4ers</t>
  </si>
  <si>
    <t>OpenMKT11_b</t>
  </si>
  <si>
    <t>An ANOVA was performed using consumption resources, fairness, and their interaction as independent variables and brand attitude as the dependent variable. The effect of consumption resources was significant, which was qualified by its interaction with fairness</t>
  </si>
  <si>
    <t>p. 17 (F(2, 245) = 4.04, p &lt; .05, n2 = .031);</t>
  </si>
  <si>
    <t>p. 17 F(2, 598) = 1.05, p = .351, ηp2 = .003, η2 = .003;</t>
  </si>
  <si>
    <t>OpenMKT11_c</t>
  </si>
  <si>
    <t>- I corrected the sample size of the replication
- I changed the effect of the original study and all corresponding cells
- I added the effect
- I added the study number of the replication study
- I added label_r</t>
  </si>
  <si>
    <t>An ANOVA was performed using consumption resources, fairness, and their interaction as independent variables and brand attitude as the dependent variable. [...] the effect of fairness was NS (F(1, 245) =1.67, p &gt; .15, n2 = .006).</t>
  </si>
  <si>
    <t xml:space="preserve">p. 17 </t>
  </si>
  <si>
    <t>p. 18 F(1, 598) = 1.01, p = .315, ηp2 = .002, η2 = .002.</t>
  </si>
  <si>
    <t>OpenMKT11_d</t>
  </si>
  <si>
    <t>- I changed the claim to clairify the target eff
- I added the effect
- I added the study number of the replication study
- I added label_r</t>
  </si>
  <si>
    <t>When fairness was salient, unearned resources led to lower brand attitude compared to earned or unspecified resources [...]</t>
  </si>
  <si>
    <t>p. 17 (M = 5.53 vs. M = 6.50, t(247) = 2.81, p =.005, Cohen’s d = - 0.51)</t>
  </si>
  <si>
    <t>t(281) = 2.61,</t>
  </si>
  <si>
    <t>p. 18  (M = 4.74, SD = 2.03), (M = 5.52, SD = 1.97), t(281) = 2.61, p = .029</t>
  </si>
  <si>
    <t>OpenMKT11_e</t>
  </si>
  <si>
    <t>- I added the effect
- I added the study number of the replication study
- I added label_r
- I added the p-value of the original study</t>
  </si>
  <si>
    <t>When fairness was salient, unearned resources led to lower brand attitude compared to earned or unspecified resources, but this effect did not occur when fairness was not salient</t>
  </si>
  <si>
    <t>p. 17 (M = 6.65 vs. M = 6.38, t(247) = - 0.78, p &gt; .44, Cohen’s d = 0.16).</t>
  </si>
  <si>
    <t>t(317) = 1.52,</t>
  </si>
  <si>
    <t>p. 18 t(317) = 1.52, p = .387</t>
  </si>
  <si>
    <t>OpenMKT11_f</t>
  </si>
  <si>
    <t>- I corrected the sample size; since it can not be inferred from the test statistics (for sure) I coded the reported N
- I added the effect
- I added the study number of the replication study
- I added label_r</t>
  </si>
  <si>
    <t>In addition, prestige perceptions affected brand attitude</t>
  </si>
  <si>
    <t>p. 17 (b = 0.49, t(246) = 4.92, p &lt; .0001, n2 = .086).</t>
  </si>
  <si>
    <t>t(599) = 10.24</t>
  </si>
  <si>
    <t>p. 18 β = 0.62, t(599) = 10.24, p &lt; .001.</t>
  </si>
  <si>
    <t>OpenMKT11_g</t>
  </si>
  <si>
    <t>The indirect effect of consumption resources on brand attitude via prestige perceptions was significant for participants whose fairness was salient</t>
  </si>
  <si>
    <t>p. 17 (.09, 95% CI = 0.02–0.18),</t>
  </si>
  <si>
    <t>p. 18 (0.07, 95% CI = [-0.0012, 0.14])</t>
  </si>
  <si>
    <t>OpenMKT11_h</t>
  </si>
  <si>
    <t>- changed the omen of the test statistics in the original study
- I corrected the sample size; since it can not be inferred from the test statistics (for sure) I coded the reported N
- I added the effect
- I added the study number of the replication study
- I added label_r</t>
  </si>
  <si>
    <t>but there was no support for an indirect effect when fairness was not salient</t>
  </si>
  <si>
    <t>p.17 (-.02, 95% CI = -0.10 to 0.04).</t>
  </si>
  <si>
    <t>p. 18, (0.04, 95% CI = [-0.02, 0.11]).</t>
  </si>
  <si>
    <t>OpenMKT11_i</t>
  </si>
  <si>
    <t>the index of moderated mediation was significant, suggesting that a unit change in fairness values significantly changed the magnitude of the indirect effect</t>
  </si>
  <si>
    <t>p.17  (.11, 95% CI = 0.02–0.24).</t>
  </si>
  <si>
    <t>p. 18 (0.02, 95% CI = [-0.07, 0.12]),</t>
  </si>
  <si>
    <t>OpenMKT12_1</t>
  </si>
  <si>
    <t>OpenMKT12</t>
  </si>
  <si>
    <t>careless participant's aren't included in R</t>
  </si>
  <si>
    <t>- I added the effect
- I added the study number of the replication study
- I added label_r</t>
  </si>
  <si>
    <t>S. M. Tully, H. E. Hershfield, T. Meyvis, Seeking lasting enjoyment with limited money: Financial constraints increase preference for material goods over experiences. J. Consum. Res. 42, 59–75 Study 5</t>
  </si>
  <si>
    <t>10.1093/jcr/ucv007</t>
  </si>
  <si>
    <t>10.1093--jcr--ucv007.pdf</t>
  </si>
  <si>
    <t>link between scarcity and consumer preferences</t>
  </si>
  <si>
    <t>financial constraints, discretionary spending, experiences and material goods, longevity, myopia</t>
  </si>
  <si>
    <t>The consideration of financial constraints shifts consumers’ preferences toward material goods rather than experiences. (I.e. Inducing financial scarcity will lead individuals to prefer purchasing material goods over experiences.</t>
  </si>
  <si>
    <t>participants who had written about their financial constraints reported thinking about their financial constraints more (Mfinancial = 5.61, SD = 1.62) than did participants in the control condition(Mcontrol= 4.19, SD = 2.09; F(1, 375) = 53.91, p &lt; .001).</t>
  </si>
  <si>
    <t>F(1, 375) = 53.91</t>
  </si>
  <si>
    <t>p. 11 (Mfinancial = 5.61, SD = 1.62) (Mcontrol= 4.19, SD = 2.09; F(1, 375) = 53.91, p &lt; .001).</t>
  </si>
  <si>
    <t>t(686) = -9.89</t>
  </si>
  <si>
    <t>p. 67; Mscarcity = 5.53, SE = 1.81, Mcontrol = 4.04, SE = 2.14, t = -9.89, p &lt; .001; added DFs from N</t>
  </si>
  <si>
    <t>https://osf.io/k6ytw</t>
  </si>
  <si>
    <t>OpenMKT12_b</t>
  </si>
  <si>
    <t>participants in the financial constraint condition reported feeling more financially constrained than those in the control condition</t>
  </si>
  <si>
    <t>F(1, 375) = 6.48</t>
  </si>
  <si>
    <t>p. 11 (Mfinancial = 5.43, SD =1.546; Mcontrol = 5.02, SD = 1.65; F(1, 375) = 6.48,p = .011).</t>
  </si>
  <si>
    <t>t(686) = -7.29</t>
  </si>
  <si>
    <t>p. 67; Mscarcity = 5.37, SE = 1.69, Mcontrol = 4.35,SE = 2.00, t = -7.29, p &lt; .001; added DFs from N</t>
  </si>
  <si>
    <t>OpenMKT12_c</t>
  </si>
  <si>
    <t>A repeated-measures ANOVA with pair as a within-subjects factor and financial constraints as a between-subjects factor revealed a significant effect of financial constraints. As predicted, participants who were asked to consider their financial constraints were more likely to prefer the material options than were participants in the control condition (F(1, 375) = 10.02, p = .002).</t>
  </si>
  <si>
    <t>F(1, 375) = 10.02</t>
  </si>
  <si>
    <t>p. 11 ,(F(1, 375) 1⁄4 10.02, p 1⁄4 .002).</t>
  </si>
  <si>
    <t>p. 67; (F(1, 686) = 12.84, p = .0004, partial h2 = .018)</t>
  </si>
  <si>
    <t>OpenMKT12_d</t>
  </si>
  <si>
    <t>This effect again did not differ across pairs (F(4, 1500) =1.24, NS).</t>
  </si>
  <si>
    <t>F(4, 1500) =1.24</t>
  </si>
  <si>
    <t>p. 67; (F(4, 686) = 5.59, p &lt; .001, partial h2 = .008)</t>
  </si>
  <si>
    <t>OpenMKT12_e</t>
  </si>
  <si>
    <t>MTK12 rows e-h include the same statistics for O, but different for R (in e-f "careless participants" included in the R analysis  (e.g., responses that were completely nonsensical or did not attempt to answer the prompt), hence larger sample</t>
  </si>
  <si>
    <t>- I would exclude this row, as it targets the same effect and uses the same sample (despite of the additional careless responders)</t>
  </si>
  <si>
    <t>t = -9.98</t>
  </si>
  <si>
    <t>Mscarcity = 5.53, SE = 1.78, Mcontrol = 4.07, SE = 2.12, t = -9.98, p &lt; .001,</t>
  </si>
  <si>
    <t>OpenMKT12_f</t>
  </si>
  <si>
    <t>t = -7.42</t>
  </si>
  <si>
    <t>Mscarcity = 5.40, SE = 1.66, Mcontrol = 4.39,SE = 2.00, t = -7.42, p &lt; .001.</t>
  </si>
  <si>
    <t>OpenMKT12_g</t>
  </si>
  <si>
    <t>(F(1, 375) = 10.02</t>
  </si>
  <si>
    <t>0.012.</t>
  </si>
  <si>
    <t>(F(1, 710) = 8.64, p = .0034, partial h2 = .012.).</t>
  </si>
  <si>
    <t>OpenMKT12_h</t>
  </si>
  <si>
    <t>(F(4, 1500) =1.24</t>
  </si>
  <si>
    <t>(F(4, 710) = 6.07, p &lt; .001, partial h2 = .008).</t>
  </si>
  <si>
    <t>OpenMKT13_1</t>
  </si>
  <si>
    <t>OpenMKT13</t>
  </si>
  <si>
    <t xml:space="preserve">- I added the effect
- I added the study number of the replication study
- I added label_r
</t>
  </si>
  <si>
    <t>Monga, A., May, F., &amp; Bagchi, R. (2017). Eliciting time versus money: time scarcity underlies asymmetric wage rates. Journal of consumer research, 44(4), 833-852. Study 4</t>
  </si>
  <si>
    <t>10.1093/jcr/ucx066</t>
  </si>
  <si>
    <t>10.1093--jcr--ucx066.pdf</t>
  </si>
  <si>
    <t>link between wages, eliction and future perspective</t>
  </si>
  <si>
    <t>time, money, scarcity, time-money tradeoffs, wage rates, procedural invariance</t>
  </si>
  <si>
    <t>By manipulating the timing of an activity, the Time-Elicit (TEL) procedure of stating the maximum amount of hours required for a task should be more sensitive to a change in time scarcity, because time of money required for a task). Analogously, the TEL procedure should be more sensitive to a change in the timing of the activity. That is, distant activitiesscarcity receives a higher weight in TEL vs. Money-Elicit (MEL) procedure - stating the minimum amount should yield lower wage rates, particularly in the TEL (vs. MEL) procedure, which should diminish the wage rate asymmetry</t>
  </si>
  <si>
    <t>A main effect of procedure emerged, such that the desired wage rate was higher in the TEL (vs.MEL) condition</t>
  </si>
  <si>
    <t>p. 10 (MTEL = $9.81, SD = $6.39; MMEL = $4.41, SD = $2.84; F(1, 175) = 53.72, p &lt; .01,Cohen’s d = 1.08).</t>
  </si>
  <si>
    <t>A (MTEL = $15.06, SD = $9.54; MMEL = $8.71, SD = $8.21; F(1, 463) = 22.26, p &lt; .01, Cohen’s d = 0.179).</t>
  </si>
  <si>
    <t>https://osf.io/8z3qb</t>
  </si>
  <si>
    <t>OpenMKT13_b</t>
  </si>
  <si>
    <t>- I added the effect
- I added the study number of the replication study
- I added label_r
- I corrected the effect size, p-value and es_repr for the replicat</t>
  </si>
  <si>
    <t>Additionally, a main effect of timing emerged, such that the wage rate was lower in the distant (vs. near) future</t>
  </si>
  <si>
    <t>p.10 (Mnear future = $8.50, SD = $7.08; Mdstant future = $6.12, SD = $3.68; F(1, 175) = 6.92, p &lt; .01, Cohen’s d = .34).</t>
  </si>
  <si>
    <t>p. 56</t>
  </si>
  <si>
    <t>OpenMKT13_c</t>
  </si>
  <si>
    <t>More importantly, as predicted, there was a significant two-way interaction between procedure and timing</t>
  </si>
  <si>
    <t>F(1, 175) = 8.60</t>
  </si>
  <si>
    <t>p.10 (F(1, 175) = 8.60, p &lt; .01),</t>
  </si>
  <si>
    <t>F(1, 463) = 0.139</t>
  </si>
  <si>
    <t>(F(1, 463) = 0.139, p = 0.71; MTEL-Near Future = $15.71, SD = $10.68;MMEL-Near Future = $9.05, SD = $9.49; MTEL-Distant Future = 14.43, SD =8.27; MMEL-distant future = 8.38, SD = 6.80)</t>
  </si>
  <si>
    <t>OpenMKT14_1</t>
  </si>
  <si>
    <t>OpenMKT14</t>
  </si>
  <si>
    <t>Roux, C., Goldsmith, K., &amp; Bonezzi, A. (2015). On the psychology of scarcity: When reminders of resource scarcity promote selfish (and generous) behavior. Journal of consumer research, 42(4), 615-631. Study 4</t>
  </si>
  <si>
    <t>10.1093/jcr/ucv048</t>
  </si>
  <si>
    <t>10.1093--jcr--ucv048.pdf</t>
  </si>
  <si>
    <t>link between social value orientation, scarcity and selfish behavior</t>
  </si>
  <si>
    <t>resource scarcity, competitive orientation, welfare advancement, selfish, generous</t>
  </si>
  <si>
    <t>When scarcity is salient, pro-self individuals will engage in even more selfish behavior compared to prosocial individuals. The difference between proself individual’s behavior and prosocial individual’s behavior is attenuated when scarcity is not salient.</t>
  </si>
  <si>
    <t>An analysis of variance testing for the effect of the scarcity manipulation on allocation behavior revealed that, after being exposed to reminders of resource scarcity, participants allocated less money to the other player (M = $2.86; SD = 1.25) than participants in the control condition (M = $3.24; SD = 1.01; F(1, 156) = 4.46; p = .04; np2= .03).</t>
  </si>
  <si>
    <t>p. 26 (M = $2.86; SD = 1.25) (M = $3.24; SD = 1.01; F(1, 156) = 4.46; p = .04; np2= .03).</t>
  </si>
  <si>
    <t>(M  = $1.65, SD  = 1.18)  (M  = $1.48, SD  = 1.17; F (1, 412) = 0.56, p  = .45; ηp2= .001).</t>
  </si>
  <si>
    <t>https://osf.io/4a5ej</t>
  </si>
  <si>
    <t>OpenMKT14_b</t>
  </si>
  <si>
    <t>Most importantly, there was a significant interaction between the scarcity manipulation and SVO on the allocation measure, as predicted.</t>
  </si>
  <si>
    <t>p. 27  (β  = .01; SE = .005; t = 2.12; p = .04)</t>
  </si>
  <si>
    <t>β = .01, SE = .04, t(410) = 0.16, p = .88; ηp2= .00</t>
  </si>
  <si>
    <t>OpenMKT14_c</t>
  </si>
  <si>
    <t>The results showed a significant main effect of scarcity on the amount of money allocated to the other player</t>
  </si>
  <si>
    <t>p.28</t>
  </si>
  <si>
    <t>p.27 β = -.38; SE = .14; t = 2.83; p = .005),</t>
  </si>
  <si>
    <t>(β = 0.001, SE = .04, t(410) = -0.13, p = .90; ηp2= .00).</t>
  </si>
  <si>
    <t>OpenMKT14_d</t>
  </si>
  <si>
    <t>Moreover, the results showed a significant effect of SVO on the amount of money allocated to the other player, which suggests that the more participants exhibited a prosocial orientation, the more money they allocated to the other player.</t>
  </si>
  <si>
    <t>p. 27 (β  (= .02; SE = .005; t = 4.07; p &lt; .001)</t>
  </si>
  <si>
    <t>(β = .43, SE = .04, t(410) = 9.73, p &lt; .001; ηp2= .19)</t>
  </si>
  <si>
    <t>OpenMKT14_e</t>
  </si>
  <si>
    <t>MTK14 rows e-h include the same statistics for O, but different for R (in e-f "careless participants" included in the R analy (e.g., responses that were completely nonsensical or did not attempt to answer the prompt), hence larger sample</t>
  </si>
  <si>
    <t>(M  = $1.67, SD  = 1.19)  (M  = $1.78, SD  = 1.20; F (1, 420) = 0.89, p  = .34; ηp2= .00</t>
  </si>
  <si>
    <t>OpenMKT14_f</t>
  </si>
  <si>
    <t>(β = .02, SE = .04, t(418) = 0.49, p = .62;ηp2= .00)</t>
  </si>
  <si>
    <t>OpenMKT14_g</t>
  </si>
  <si>
    <t>(β = -.1, SE = .04, t(418) = -0.30, p = .76; ηp2= .00)</t>
  </si>
  <si>
    <t>OpenMKT14_h</t>
  </si>
  <si>
    <t>(β = .41, SE =.04, t(418) = 9.04, p &lt; .001; ηp2= .16)</t>
  </si>
  <si>
    <t>OpenMKT15_1</t>
  </si>
  <si>
    <t>OpenMKT15</t>
  </si>
  <si>
    <t>a-d = careless participants not included in R statistics</t>
  </si>
  <si>
    <t>Effects for a larger sample that includes careless responders are also reported in the article (see below)
- I added the effect size of the original study
- I added the study number of the replication study
- I added label_r
- I added the effect
- I am not sure whether the effect is reported in the right way. All reported effects are correct and can validate therefore the ones of Maureen. However, I translated the effects of Maureen to the form required by the database and kept the effects of this row how they were originally coded  (to maintain the original values)</t>
  </si>
  <si>
    <t>Mehta, R., &amp; Zhu, M. (2016). Creating when you have less: The impact of resource scarcity on product use creativity. Journal of Consumer Research, 42(5), 767-782. Study 2</t>
  </si>
  <si>
    <t>10.1093/jcr/ucv051</t>
  </si>
  <si>
    <t>10.1093--jcr--ucv051.pdf</t>
  </si>
  <si>
    <t>link between scarcity and creativity in product use</t>
  </si>
  <si>
    <t>creativity, innovativeness, product use, scarcity, abundance, resource constraints</t>
  </si>
  <si>
    <t>Participants who encounter scarcity salience in a prior unrelated context would be more likely to use the provided products in novel but appropriate ways to solve the given task.</t>
  </si>
  <si>
    <t>Overall, 35 of the 133 participants (i.e., 26.3%) correctly solved the problem. A chi-square test revealed a significant main effect of resource availability on the correctness of the solutions</t>
  </si>
  <si>
    <t>p.6  (x2 (2,N = 133) =10.69, p = .005, Cohen’s d =.59).</t>
  </si>
  <si>
    <t>X2(2,N=319)=2.224</t>
  </si>
  <si>
    <t>(X2(2,N=319)=2.224,p=.329).</t>
  </si>
  <si>
    <t>https://osf.io/zmcsw</t>
  </si>
  <si>
    <t>OpenMKT15_b</t>
  </si>
  <si>
    <t>Effects for a larger sample that includes careless responders are also reported in the article (see below)
- I added the study number of the replication study
- I added label_r
- I added the effect
- I am not sure whether the effect is reported in the right way. All reported effects are correct and can validate therefore the ones of Maureen. However, I translated the effects of Maureen to the form required by the database and kept the effects of this row how they were originally coded  (to maintain the original values)</t>
  </si>
  <si>
    <t>The results showed that a higher percentage of participants in the scarcity condition (M = 44.2%) correctly solved the candle problem as compared to those in the abundance condition</t>
  </si>
  <si>
    <t>B= 1.46, SE = .51, Wald = 8.07</t>
  </si>
  <si>
    <t>p.6  M = 44,2% , M =15.6%, B= 1.46, standard error [SE] = .51, Wald = 8.07, p = .005)</t>
  </si>
  <si>
    <t>B=−.02,[SE]=.06,Wald=.063</t>
  </si>
  <si>
    <t>(M=27%) (M=29%,B=−.02,[SE]=.06,Wald=.063,p=.802)</t>
  </si>
  <si>
    <t>OpenMKT15_c</t>
  </si>
  <si>
    <t>The results showed that a higher percentage of participants in the scarcity condition (M = 44.2%) correctly solved the candle problem as compared to those in the control condition</t>
  </si>
  <si>
    <t>B = 1.15, SE = .48, Wald = 5.70</t>
  </si>
  <si>
    <t>p.6 M = 44,2%, (M = 20.0%, B = 1.15, SE = .48, Wald = 5.70, p = .017)</t>
  </si>
  <si>
    <t>B=−.09,[SE]=.06,Wald=1.90</t>
  </si>
  <si>
    <t>(M=27%) (M=36%,B=−.09,[SE]=.06,Wald=1.90,p=.174)</t>
  </si>
  <si>
    <t>OpenMKT15_d</t>
  </si>
  <si>
    <t>No difference was observed between the abundance and control conditions</t>
  </si>
  <si>
    <t>B 1= .31, SE = .56, Wald = .30</t>
  </si>
  <si>
    <t>p.6 (B 1= .31, SE = .56, Wald = .30, not significant).</t>
  </si>
  <si>
    <t>B=−.07,[SE]=.06,Wald=1.2</t>
  </si>
  <si>
    <t>(B=−.07,[SE]=.06,Wald=1.2,p=.278)</t>
  </si>
  <si>
    <t>OpenMKT15_e</t>
  </si>
  <si>
    <t>e-h = careless participants included in R statistics</t>
  </si>
  <si>
    <t>I would exclude this row, as it targets the same effect and uses the same sample (despite of the additional careless responders)</t>
  </si>
  <si>
    <t>X2(2,N=327)=2.742</t>
  </si>
  <si>
    <t>X2(2,N=327)=2.742,p=.254).</t>
  </si>
  <si>
    <t>OpenMKT15_f</t>
  </si>
  <si>
    <t>B=−.03,[SE]=.06,Wald=.165</t>
  </si>
  <si>
    <t>(M=26%)  (M=29%,B=−.03,[SE]=.06,Wald=.165,p=.685),</t>
  </si>
  <si>
    <t>further effects - some already single-coded</t>
  </si>
  <si>
    <t>OpenMKT15_g</t>
  </si>
  <si>
    <t>B=−.10,[SE]=.06,Wald=2.422</t>
  </si>
  <si>
    <t>M = 26% (M=36%,B=−.10,[SE]=.06,Wald=2.422,p=.120.)</t>
  </si>
  <si>
    <t>OpenMKT15_h</t>
  </si>
  <si>
    <t>(B=−.07,[SE]=.06,Wald=1.269</t>
  </si>
  <si>
    <t>(B=−.07,[SE]=.06,Wald=1.269,p=.260)</t>
  </si>
  <si>
    <t>OpenMKT16_1</t>
  </si>
  <si>
    <t>OpenMKT16</t>
  </si>
  <si>
    <t>- I added the study number of the replication study
- I added label_r
- I added the effect</t>
  </si>
  <si>
    <t>Kristofferson, K., McFerran, B., Morales, A. C., &amp; Dahl, D. W. (2017). The dark side of scarcity promotions: how exposure to limited-quantity promotions can induce aggression. Journal of Consumer Research, 43(5), 683-706. Study 5</t>
  </si>
  <si>
    <t>10.1093/jcr/ucw056</t>
  </si>
  <si>
    <t>10.1093--jcr--ucw056.pdf</t>
  </si>
  <si>
    <t>link between scaricity promotion and aggressive tendencies in consumers</t>
  </si>
  <si>
    <t>Advertising, Aggression, Consumer promotions, Scarcity, Violence</t>
  </si>
  <si>
    <t>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t>
  </si>
  <si>
    <t>The manipulation check was successful. Participants perceived the iPhone promotional package quantity to be more scarce in the scarcity versus the control ad (1 = Very scarce to 7 = Very abundant;</t>
  </si>
  <si>
    <t>p. 35</t>
  </si>
  <si>
    <t>F(1, 156) = 209.4</t>
  </si>
  <si>
    <t>p. 35 MScarcity = 1.49 vs. MControl = 4.84; F(1, 156) = 209.4, p &lt;.001).</t>
  </si>
  <si>
    <t>MScarcity = 4.44 vs. MControl= 1.80; F(1, 385) = 249.20, p &lt; .001, partial eta-squared = .392</t>
  </si>
  <si>
    <t>https://osf.io/p7952</t>
  </si>
  <si>
    <t>OpenMKT16_b</t>
  </si>
  <si>
    <t>The manipulation check was successful. Participants perceived the iPhone promotional package quantity to be more scarce in the scarcity versus the control ad. No main effect (p &gt; .75)</t>
  </si>
  <si>
    <t>p. 35 (p &gt; .75)</t>
  </si>
  <si>
    <t>(F(1, 385) = 2.31, p =.12, partial eta-squared = .004)</t>
  </si>
  <si>
    <t>OpenMKT16_c</t>
  </si>
  <si>
    <t>The manipulation check was successful. Participants perceived the iPhone promotional package quantity to be more scarce in the scarcity versus the control ad. No interactions with perceived threat emerged (p &gt; .13).</t>
  </si>
  <si>
    <t>p. 35 (p &gt; .13).</t>
  </si>
  <si>
    <t>(F(1, 385) = 1.31, p = .253, partial eta-squared = .003)</t>
  </si>
  <si>
    <t>OpenMKT16_d</t>
  </si>
  <si>
    <t>- I corrected the effect size of the replication study
- I added the study number of the replication study
- I added label_r
- I added the effect</t>
  </si>
  <si>
    <t>The ANOVA revealed a main effect of perceived threat (higher threat led to more violent game choices;</t>
  </si>
  <si>
    <t>p. 35,36</t>
  </si>
  <si>
    <t>F(1, 156) = 4.14</t>
  </si>
  <si>
    <t>p. 35 PHigh Threat = .37, SD = .23 vs. PLow Threat = .30, SD = .22, F(1, 156) = 4.14, p = .044),</t>
  </si>
  <si>
    <t>PHigh Threat= .30, SD = .23 vs. PLow Threat= .34, SD = .25, F(1, 385) = 2.64, p = .105, partial eta-squared = .003</t>
  </si>
  <si>
    <t>OpenMKT16_e</t>
  </si>
  <si>
    <t>The ANOVA revealed .... no effect of scarcity promotion (p &gt; .20).</t>
  </si>
  <si>
    <t>p.36</t>
  </si>
  <si>
    <t>p. 35, p &gt; .20</t>
  </si>
  <si>
    <t>PScarcity= .32, SD= .25 vs. PControl= .32, SD = .25, F(1, 385) = 0.03, p = .843, partial eta-squared = .000</t>
  </si>
  <si>
    <t>OpenMKT16_f</t>
  </si>
  <si>
    <t>However, the main effect was qualified by the expected interaction.</t>
  </si>
  <si>
    <t>F(1, 156) = 3.96</t>
  </si>
  <si>
    <t>p.36 F(1, 156) = 3.96, p = .048)</t>
  </si>
  <si>
    <t>F(1, 385) = 0.005, p = .945, partial eta-squared = .000</t>
  </si>
  <si>
    <t>2 further effects</t>
  </si>
  <si>
    <t>OpenMKT16_g</t>
  </si>
  <si>
    <t>- I coded the almost the whole row by myself (the coder only coded until the text claim)</t>
  </si>
  <si>
    <t xml:space="preserve">However, the main effect was qualified by the expected interaction. As predicted, participants in the scarcity-high threat condition expressed a significantly higher preference for violent games than participants in the control-high threat condition (PScarcity-High Threat = .42 vs. PControl-High Threat = .32, F(1, 156) = 4.42, p = .032).                                                                                                                                                                                                                               </t>
  </si>
  <si>
    <t>F(1, 156) = 4.42</t>
  </si>
  <si>
    <t>OpenMKT2_1</t>
  </si>
  <si>
    <t>P.9, Table 5 In R also states r = 0.385 for O and r = 0.251 for R.</t>
  </si>
  <si>
    <t>- I added the effect
- changed the link to the pre-registration of the replication study, since the link let to the OSF project. However, the study was preregisted at AsPredicted 
- I changed the tails of the p-value (original) to NA
- the reported effect size differs from the one coded by Maureen. However, this is the one from the text and she reported the one of the table.</t>
  </si>
  <si>
    <t>Shrum, L. J., Lowrey, T. M., Luna, D., Lerman, D. B., and Liu, M. (2012). Sound symbolism effects across languages: implications for global brand names. Int. J. Res. Market. 29, 275–279. doi: 10.1016/j.ijresmar.2012.03.002 Study 1a-c</t>
  </si>
  <si>
    <t>10.1016/j.ijresmar.2012.03.002</t>
  </si>
  <si>
    <t>10.1016--j.ijresmar.2012.03.002.pdf</t>
  </si>
  <si>
    <t>Phonetic symbolism, Sound symbolism, Brand names, Psycholinguistics</t>
  </si>
  <si>
    <t>Particular words will be preferred as brand names when the phonetic connotations of the words are consistent with the product attributes. Vowel sound-product category interaction</t>
  </si>
  <si>
    <t>As predicted, the interaction between vowel sound and product category was significant (F(1, 367)=63.87, p &lt; 001).</t>
  </si>
  <si>
    <t>F(1, 367)=63.87</t>
  </si>
  <si>
    <t>p. 3, (F(1, 367)=63.87, p &lt; 001).</t>
  </si>
  <si>
    <t>p.5 (F1,821 = 55.002, p &lt; 0.001, η2p = 0.063).</t>
  </si>
  <si>
    <t>OpenMKT2</t>
  </si>
  <si>
    <t>There is a discrepancy in the number of participants for Experiment 1a as recorded in the replication study, n=88, while the correct one in the original study is n=106. Therefore, the number of participants, N = 106 (1a) + 88 (1b) + 181 (1c) = 375 participants. This has been coded for the three rows for the original study for variable n_original.</t>
  </si>
  <si>
    <t>- I added the effect
- I changed the number of participants</t>
  </si>
  <si>
    <t>1a-c</t>
  </si>
  <si>
    <t>phonetic symbolism, sound symbolism, brand names, psycholinguistics</t>
  </si>
  <si>
    <t>Particular words will be preferred as brand names when the phonetic connotations of the words are consistent with the product attributes (Vowel sound-product category interaction)</t>
  </si>
  <si>
    <t>the interaction between vowel sound and product category was significant (F(1, 367)=63.87, p &lt;.001) ," Thus, the predicted crossover interaction was observed."</t>
  </si>
  <si>
    <t>p. 9 / t. 5</t>
  </si>
  <si>
    <t>OpenMKT2_2</t>
  </si>
  <si>
    <t>P.9, Table 5 In R also states r = 0.362 for O and r = 0.106 for R.</t>
  </si>
  <si>
    <t>- I added the effect
- changed the link to the pre-registration of the replication study, since the link let to the OSF project. However, the study was preregisted at AsPredicted 
- the reported effect size differs from the one coded by Maureen. However, this is the one from the text and she reported the one of the table.</t>
  </si>
  <si>
    <t>Shrum, L. J., Lowrey, T. M., Luna, D., Lerman, D. B., and Liu, M. (2012). Sound symbolism effects across languages: implications for global brand names. Int. J. Res. Market. 29, 275–279. doi: 10.1016/j.ijresmar.2012.03.002</t>
  </si>
  <si>
    <t>Particular words will be preferred as brand names when the phonetic connotations of the words are consistent with the product attributes. Front vowel sound words will be preferred over back vowel sound words for 2-seater convertible and knife</t>
  </si>
  <si>
    <t>front vowel sound words were preferred over back vowel sound words for convertible and knife</t>
  </si>
  <si>
    <t>t(188)=5.33</t>
  </si>
  <si>
    <t>p.3 (58% to 42%; t(188)=5.33, p &lt;.001, one-tailed).</t>
  </si>
  <si>
    <t>p.5 (52.56–47.45%; F1,821 = 4.717, p = 0.030, η2p = 0.011).</t>
  </si>
  <si>
    <t>OpenMKT2_b</t>
  </si>
  <si>
    <t>Particular words will be preferred as brand names when the phonetic connotations of the words are consistent with the product attributes (Front vowel sound words will be preferred over back vowel sound words for 2-seater convertible and knife)</t>
  </si>
  <si>
    <t>front vowel sound words were preferred over back vowel sound words for convertible and knife (58% to 42%; t(188)=5.33, p &lt;.001, one-tailed). ," Thus, the predicted crossover interaction was observed."</t>
  </si>
  <si>
    <t>OpenMKT2_3</t>
  </si>
  <si>
    <t>P.9, Table 5 In R also states r = 0.367 for O and r = 0.387 for R.</t>
  </si>
  <si>
    <t>Particular words will be preferred as brand names when the phonetic connotations of the words are consistent with the product attributes. Back vowelsound words will be preferred over front vowel sound words for  4×4 vehicle and hammer.</t>
  </si>
  <si>
    <t>In contrast, for 4×4 vehicle and hammer, the predicted opposite pattern was observed: Back vowel sound words were preferred over front vowel sound words.</t>
  </si>
  <si>
    <t>t(185)=5.37</t>
  </si>
  <si>
    <t>p. 3, 59% to 41%; t(185)=5.37, pb.001, one-tailed).</t>
  </si>
  <si>
    <t>p.5 (59.59–40.41%; F1,821 = 70.981, p &lt; 0.001,η2p = 0.149).</t>
  </si>
  <si>
    <t>OpenMKT2_c</t>
  </si>
  <si>
    <t>Particular words will be preferred as brand names when the phonetic connotations of the words are consistent with the product attributes (Back vowel  sound words will be preferred over front vowel sound words for 4×4 vehicle and hammer"</t>
  </si>
  <si>
    <t>for 4×4 vehicle and hammer, the predicted opposite pattern was observed: Back vowel sound words were preferred over front vowel sound words (59% to 41%; t(185)=5.37, p &lt;.001, one-tailed) ," Thus, the predicted crossover interaction was observed."</t>
  </si>
  <si>
    <t>OpenMKT3_1</t>
  </si>
  <si>
    <t>P.9, Table 5 In R also states r = 0.295 for O and r = 0.011 for R.</t>
  </si>
  <si>
    <t>- to be more specific, I changed the description from saturation to color saturation 
- changed the link to the pre-registration of the replication study, since the link let to the OSF project. However, the study was preregisted at AsPredicte</t>
  </si>
  <si>
    <t>Hagtvedt, H., and Brasel, S. A. (2017). Color Saturation Increases Perceived Product Size. J. Consum. Res. 44, 396–413. doi: 10.1093/jcr/ucx039 Study 3</t>
  </si>
  <si>
    <t>10.1093/jcr/ucx039</t>
  </si>
  <si>
    <t>10.1093--jcr--ucx039.pdf</t>
  </si>
  <si>
    <t>Sensory Marketing</t>
  </si>
  <si>
    <t>High (vs. low) color  saturation increases product size estimates</t>
  </si>
  <si>
    <t>An ANOVA with color saturation as the independent variable and size estimate as the dependent variable revealed that the laptop with high (vs. low) saturation was perceived to be larger</t>
  </si>
  <si>
    <t>p. 5 (Mhigh = 15.28, SD = 1.26 vs. Mlow = 14.41, SD = 1.59, F(1, 75) = 7.13, p &lt;.01, ηp2 = .09).</t>
  </si>
  <si>
    <t>p. 5 (high saturation: M = 15.46, SD = 1.94, vs. low saturation: M = 15.42, SD = 1.84; F1,821 = 0.095, p = 0.758, η 2p = 0.000).</t>
  </si>
  <si>
    <t>OpenMKT3_b</t>
  </si>
  <si>
    <t>P.9, Table 5 In R also states r = 0.249 for O and r = 0.238 for R.</t>
  </si>
  <si>
    <t>High (vs. low) saturation increases attention</t>
  </si>
  <si>
    <t>Attention. A similar ANOVA on the attention scale revealed that the laptop with high (vs. low) saturation captured more attention</t>
  </si>
  <si>
    <t>p. 5 ((Mhigh = 5.19, SD = 1.08 vs. Mlow = 4.66, SD = .98, F(1, 75) = 4.95, p &lt; .05, ηp 2 = .06).</t>
  </si>
  <si>
    <t>p.5 (high saturation: M = 5.30, SD = 1.07; vs. low saturation: M = 4.75, SD = 1.14; F1,821 = 49.238, p &lt; 001,η2p = 0.057)</t>
  </si>
  <si>
    <t>OpenMKT3_c</t>
  </si>
  <si>
    <t>P.9, Table 5 In R also states r = 0.299 for O and r = 0.180 for R.</t>
  </si>
  <si>
    <t>High (vs. low) saturation increases arousal</t>
  </si>
  <si>
    <t>Arousal. A similar ANOVA on arousal revealed that the laptop with high (vs. low) saturation stimulated higher arousal</t>
  </si>
  <si>
    <t>p. 6 (Mhigh = 6.05, SD = 1.34 vs. Mlow = 5.14, SD = 1.62, F(1, 75) = 7.35, p &lt; .01, ηp2 = .09).</t>
  </si>
  <si>
    <t>p. 5 (high saturation: M = 5.83, SD = 1.10; vs. low saturation: M = 5.41, SD = 1.20; F1,821 = 27.539, p &lt;0.001, η2p = 0.033).</t>
  </si>
  <si>
    <t>OpenMKT3</t>
  </si>
  <si>
    <t>- to be more specific, I changed the description from saturation to color saturation 
- I added the effect</t>
  </si>
  <si>
    <t>color, saturation, size, aesthetics, attention, arousal</t>
  </si>
  <si>
    <t>High (vs. low) color saturation increases product size estimates</t>
  </si>
  <si>
    <t>"An ANOVA with color saturation as the independent variable and size estimate as the dependent variable revealed that the laptop with high (vs. low) saturation was perceived to be larger (Mhigh = 15.28, SD = 1.26 vs. Mlow = 14.41, SD = 1.59, F(1, 75) = 7.13, p &lt; .01, ηp2 = .09). This result supports hypothesis 1"; " demonstrating the influence of color saturation on the perceived size of consumer products (laptops)."</t>
  </si>
  <si>
    <t>15,17</t>
  </si>
  <si>
    <t>F(1, 75) = 7.13</t>
  </si>
  <si>
    <t>OpenMKT3_2</t>
  </si>
  <si>
    <t>- to be more specific, I changed the description from saturation to color saturation 
- I added a half sentence to the claim (interpretation)
- I added the effect</t>
  </si>
  <si>
    <t>High (vs. low) color saturation increases product size estimatesHigh (vs. low) color saturation increases product size estimates</t>
  </si>
  <si>
    <t>"A similar ANOVA on the attention scale revealed that the laptop with high (vs. low) saturation captured more attention (Mhigh = 5.19, SD = 1.08 vs. Mlow = 4.66, SD = .98, F(1, 75) = 4.95, p &lt; .05, ηp2 = .06). This result supports hypothesis 2"; "They also replicated the process evidence from Study 2,using a different measure; whereas Study 2 relied on eye tracking, Study 3 relied on self-reported attention."</t>
  </si>
  <si>
    <t>15, 17</t>
  </si>
  <si>
    <t>F(1, 75) = 4.95</t>
  </si>
  <si>
    <t>OpenMKT3_3</t>
  </si>
  <si>
    <t>"A similar ANOVA on arousal revealed that the laptop with high (vs. low) saturation stimulated higher arousal (Mhigh = 6.05, SD = 1.34 vs. Mlow = 5.14, SD = 1.62, F(1, 75) = 7.35, p &lt; .01, ηp2 = .09)" ," the results from Study 3 illustrated the role of arousal in the influence of saturation on attention and demonstrated the full mediational pathway from saturation to size estimate via arousal and attention."</t>
  </si>
  <si>
    <t>16, 17</t>
  </si>
  <si>
    <t>F(1, 75)= 7.35</t>
  </si>
  <si>
    <t>OpenMKT4_1</t>
  </si>
  <si>
    <t>OpenMKT4</t>
  </si>
  <si>
    <t>P.9, Table 5 In R also states r = 0.241 for O and r = -0.011 for R.</t>
  </si>
  <si>
    <t>- changed the link to the pre-registration of the replication study, since the link let to the OSF project. However, the study was preregisted at AsPredicte</t>
  </si>
  <si>
    <t>Romero, M., and Biswas, D. (2016). Healthy-left, unhealthy-right: can displaying healthy. items to the left (vs. right) of unhealthy items nudge healthier choices? J. Consum. Res. 43, 103–112. doi: 10.1093/jcr/ucw008 Study 1b</t>
  </si>
  <si>
    <t>10.1093/jcr/ucw008</t>
  </si>
  <si>
    <t>10.1093--jcr--ucw008.pdf</t>
  </si>
  <si>
    <t>Participants tend to prefer the healthy item (broccoli salad) when it is on the left (vs. right) of the images</t>
  </si>
  <si>
    <t>Consistent with our hypothesis and the findings of study 1a, preference for the healthy item (broccoli salad) was relatively higher when it was on the left (vs. right) of the unhealthy item (41.30% vs. 19.14%; χ 2 = 5.42, p &lt; .05).</t>
  </si>
  <si>
    <t>χ 2 = 5.42</t>
  </si>
  <si>
    <t>p. 8 41.30% vs. 19.14%; , p &lt; .05).</t>
  </si>
  <si>
    <t>X2 = 0.091</t>
  </si>
  <si>
    <t>p.5 on the left (24.44%) or the right (25.59%) of the unhealthy food (, p = 0.763).</t>
  </si>
  <si>
    <t>healthy, unhealthy, healthy item, unhealthy item, lateral display, lateral position, mental organization</t>
  </si>
  <si>
    <t>preference for the healthy item (broccoli salad) was relatively higher when it was on the left (vs. right) of the unhealthy item (41.30% vs. 19.14%; X2 = 5.42, p &lt; .05). This replicates the finding of study 1a using a display pattern that featured only two food items, one healthy and one unhealthy.</t>
  </si>
  <si>
    <t>X2 = 5.42</t>
  </si>
  <si>
    <t>OpenMKT5_1</t>
  </si>
  <si>
    <t>P.9, Table 5 In R also states r = 0.274 for O and r = 0.095 for R.</t>
  </si>
  <si>
    <t xml:space="preserve">- changed the link to the pre-registration of the replication study, since the link let to the OSF project. However, the study was preregisted at AsPredicted
- There was no text claim. Therefore, I copied the ones of Maureen. </t>
  </si>
  <si>
    <t>Yorkston, E., and Menon, G. (2004). A sound idea: phonetic effects of brand names on consumer judgments. J. Consum. Res. 31, 43–51. doi: 10.1086/383422 Study 1</t>
  </si>
  <si>
    <t>10.1086/383422</t>
  </si>
  <si>
    <t>10.1086--383422.pdf</t>
  </si>
  <si>
    <t>Brand Equity/Extension, Information Processing, Language, Sensory Marketing</t>
  </si>
  <si>
    <t>Attribute Perception Index (Main effect of brand name)</t>
  </si>
  <si>
    <t>"the main effect of brand name was significant (F(1, 117) = 9.51, p &lt; .01)" ," The results of this study provide evidence that sound symbolism influences attribute perceptions"</t>
  </si>
  <si>
    <t>F(1, 117) = 9.51</t>
  </si>
  <si>
    <t>p. 5 (F1,821 = 7.492, p = 0.006, η2p = 0.009)</t>
  </si>
  <si>
    <t>OpenMKT5_b</t>
  </si>
  <si>
    <t>P.9, Table 5 In R also states r = 0.186 for O and r = 0.012 for R.</t>
  </si>
  <si>
    <t>Attribute Perception Index (2-way interaction)</t>
  </si>
  <si>
    <t>"ANCOVA revealed a significant two-way interaction (F(1, 121) = 4.34, p &lt; .05), accompanied by a significant main effect of brand name ((F(1, 121) = 10.07, p &lt; .01)", " The results of this study provide evidence that sound symbolism influences attribute perceptions"</t>
  </si>
  <si>
    <t>F(1, 121) = 4.34</t>
  </si>
  <si>
    <t>p.5  (F1,821 = 0.118, p = 0.731, η2p = 0.000).</t>
  </si>
  <si>
    <t>OpenMKT5_c</t>
  </si>
  <si>
    <t>P.9, Table 5 In R also states r = 0.178 for O and r = 0.036 for R.</t>
  </si>
  <si>
    <t>Attribute Perception Index (3-way interaction)</t>
  </si>
  <si>
    <t>"We conducted a 2 x 2 x 2 ANCOVA on the Attribute Perception Index that revealed the predicted three-way interaction (F(1, 117) = 3.84, p &lt; .05)", " The results of this study provide evidence that sound symbolism influences attribute perceptions"</t>
  </si>
  <si>
    <t>(F(1, 117)  = 3.84,</t>
  </si>
  <si>
    <t>p.5 (F1,821 = 1.053, p = 0.305, η2p = 0.001)</t>
  </si>
  <si>
    <t>OpenMKT5_d</t>
  </si>
  <si>
    <t>P.10, Table 5 In R also states r = 0.271 for O and r = 0.012 for R.</t>
  </si>
  <si>
    <t>Brand Evaluation Index (Main effect of brand name)</t>
  </si>
  <si>
    <t>"the main effect of brand name was significant (F(1, 118) = 9.39, p &lt; .01); no other effect was significant", ," The results of this study provide evidence that sound symbolism influences attribute perceptions"</t>
  </si>
  <si>
    <t>F(1, 118) =  9.39</t>
  </si>
  <si>
    <t>p.5 (F1,821 = 0.114, p = 0.736, η2p = 0.000),</t>
  </si>
  <si>
    <t>OpenMKT5_e</t>
  </si>
  <si>
    <t>P.10, Table 5 In R also states r = 0.246 for O and r = 0.038 for R.</t>
  </si>
  <si>
    <t>Brand Evaluation Index (2-way interaction)</t>
  </si>
  <si>
    <t>"a significant interaction (F(1, 121) = 7.77, p &lt; .01), accompanied by a significant main effect of brand name ((F(1, 121) = 10.83, p &lt; .01)", " The results of this study provide evidence that sound symbolism influences attribute perceptions"</t>
  </si>
  <si>
    <t>F(1, 121) =  7.77</t>
  </si>
  <si>
    <t>p.6 (F1,821 = 1.174, p = 0.279, η2p = 0.001).</t>
  </si>
  <si>
    <t>OpenMKT5_f</t>
  </si>
  <si>
    <t>P.10, Table 5 In R also states r = 0.197 for O and r = 0.041 for R.</t>
  </si>
  <si>
    <t>Brand Evaluation Index (3-way interaction)</t>
  </si>
  <si>
    <t>"A 2 x 2 x 2 ANCOVA on the Brand Evaluation Index revealed the predicted three-way interaction (F(1, 118) = 4.78, p &lt; .05)", " The results of this study provide evidence that sound symbolism influences attribute perceptions"</t>
  </si>
  <si>
    <t>F(1, 118) = 4.78</t>
  </si>
  <si>
    <t>p.6 (F1,821 = 1.400, p = 0.237, η2p = 0.002),</t>
  </si>
  <si>
    <t>OpenMKT5</t>
  </si>
  <si>
    <t>sound symbolism, phonemes, phonetic effects, brand name, brand evaluation, consumers, language</t>
  </si>
  <si>
    <t>(F(1, 117) = 9.51</t>
  </si>
  <si>
    <t>OpenMKT5_2</t>
  </si>
  <si>
    <t>OpenMKT5_3</t>
  </si>
  <si>
    <t>F(1, 117) = 3.84</t>
  </si>
  <si>
    <t>OpenMKT5_4</t>
  </si>
  <si>
    <t>F(1, 118) = 9.39</t>
  </si>
  <si>
    <t>p. 9,10 / t. 5</t>
  </si>
  <si>
    <t>OpenMKT5_5</t>
  </si>
  <si>
    <t>F(1, 121) = 7.77</t>
  </si>
  <si>
    <t>OpenMKT5_6</t>
  </si>
  <si>
    <t>(F(1, 118) = 4.78</t>
  </si>
  <si>
    <t>OpenMKT6_1</t>
  </si>
  <si>
    <t>P.10, Table 5 In R also states r = 0.400 for O and r = 0.009 for R.</t>
  </si>
  <si>
    <t>Elder, R. S., and Krishna, A. (2011). The “visual depiction effect” in advertising: facilitating. embodied mental simulation through product orientation. J. Consum. Res. 38, 988–1003. doi: 10.1086/661531 Study 4</t>
  </si>
  <si>
    <t>10.1086/661531</t>
  </si>
  <si>
    <t>10.1086--661531.pdf</t>
  </si>
  <si>
    <t>Visual product depictions within advertisements, such as the manipulation of orienting a product toward a participant’s dominant hand, facilitate purchase intention; Purchase intention</t>
  </si>
  <si>
    <t>An ANOVA with orientation as the independent variable and our purchase intentions scale as the dependent variable revealed significantly higher purchase intentions in the match versus mismatch conditions (Mmatch p 4.79, Mmismatch p 3.44; F(1, 76) p 14.47, ).</t>
  </si>
  <si>
    <t>F(1, 76) = 14.47</t>
  </si>
  <si>
    <t>p.11 Mmatch = 4.79, Mmismatch = 3.44; F(1, 76) = 14.47, ).</t>
  </si>
  <si>
    <t>p. 6 (match: M = 3.39, SD = 1.75; mismatch: M = 3.36, SD = 1.82; F1,821 = 0.068, p = 0.794, η2p = 0.0001).</t>
  </si>
  <si>
    <t>OpenMKT6_b</t>
  </si>
  <si>
    <t>P.10, Table 5 In R also states r = 0.245 for O and r = 0.003 for R.</t>
  </si>
  <si>
    <t>Visual product depictions within advertisements, such as the manipulation of orienting a product toward a participant’s dominant hand, facilitate purchase intention; Mental simulation</t>
  </si>
  <si>
    <t>Finally, we examined the impact of orientation on the amount and ease of mental simulation. Although directionally the mismatch condition led to greater ease of mental simulation, these differences were only marginally significant (</t>
  </si>
  <si>
    <t>F(1, 76) = 3.20</t>
  </si>
  <si>
    <t>p. 11 Mmatch = 6.26, Mmismatch =  5.53; F(1, 76) = 3.20,p = .08).</t>
  </si>
  <si>
    <t>p.6 (match: M = 4.87, SD = 2.00 vs. mismatch: M = 4.86, SD = 2.03; F1,821 = 0.006, p = 0.941, η2p = 0.0000).</t>
  </si>
  <si>
    <t>OpenMKT6</t>
  </si>
  <si>
    <t>- everything was correct</t>
  </si>
  <si>
    <t>Elder, R. S., and Krishna, A. (2011). The “visual depiction effect” in advertising: facilitating embodied mental simulation through product orientation. J. Consum. Res. 38, 988–1003. doi: 10.1086/661531 Study 4</t>
  </si>
  <si>
    <t>visual depiction effect</t>
  </si>
  <si>
    <t>mental simulation, embodied mental simulation, visual depiction effect, purchase intentions,</t>
  </si>
  <si>
    <t>"An ANOVA with orientation as the independent variable and our purchase intentions scale as the dependent variable revealed significantly higher purchase intentions in the match versus mismatch conditions (Mmatch = 4.79, Mmismatch = 3.44; F(1, 76) = 14.47, p &lt; .001)", " simulated experience with the stimulus ultimately leads to increased purchase intentions."</t>
  </si>
  <si>
    <t>11,12</t>
  </si>
  <si>
    <t>OpenMKT6_2</t>
  </si>
  <si>
    <t>"we examined the impact of orientation on the amount and ease of mental simulation. Although directionally the mismatch condition led to greater ease of mental simulation, these differences were only marginally significant (Mmatch = 6.26, Mmismatch = 5.53; F(1, 76) = 3.20, p = .08)", " Visual depictions indeed facilitate mental simulation."</t>
  </si>
  <si>
    <t>OpenMKT7_1</t>
  </si>
  <si>
    <t>P.10, Table 5 In R also states r = 0.251 for O and r = 0.013 for R.</t>
  </si>
  <si>
    <t>- changed the link to the pre-registration of the replication study, since the link let to the OSF project. However, the study was preregisted at AsPredicted
- I changed nesting to "no"</t>
  </si>
  <si>
    <t>Jiang, Y., Gorn, G. J., Galli, M., and Chattopadhyay, A. (2015). Does your company have the right logo? How and why circular- and angularlogo shapes influence brand attribute judgments. J. Consum. Res. 42, 709–726. doi: 10.1093/jcr/ucv049 Experiment 1</t>
  </si>
  <si>
    <t>10.1093/jcr/ucv049</t>
  </si>
  <si>
    <t>10.1093--jcr--ucv049.pdf</t>
  </si>
  <si>
    <t>visual marketing, brand logo design, shape, product visualization, mental imagery, working memory</t>
  </si>
  <si>
    <t>Logo shape-by-product-attribute interaction</t>
  </si>
  <si>
    <t>A 2 3 mixed-measures analysis of variance (ANOVA), with comfortableness and durability treated as a repeated factor, revealed only a significant logo- shape-by-product-attribute interaction (F(2, 106)=7.63, p &lt; .01; see Figure 1).</t>
  </si>
  <si>
    <t>F(2, 106)=7.63</t>
  </si>
  <si>
    <t>p. 6 (F2,820 = 0.141, p = 0.868, η 2p = 0.000).</t>
  </si>
  <si>
    <t>OpenMKT7_b</t>
  </si>
  <si>
    <t>P.10, Table 5 In R also states r = 0.258 for O and r = -0.003 for R.</t>
  </si>
  <si>
    <t>- changed the link to the pre-registration of the replication study, since the link let to the OSF project. However, the study was preregisted at AsPredicted
- I changed nesting to "no" (original), since the analysis contrasted two conditions
- I changed nesting to "no" (replication)</t>
  </si>
  <si>
    <t>Comfortable: circular-logo (vs. angular-logo)</t>
  </si>
  <si>
    <t>Contrasts revealed that participants rated the shoe as more comfortable in the circular-logo condition (Mcir= 6.50, standard deviation [SD]= 1.66) than in either the angular- (Mang=5.35, SD=1.65; F(1, 106)=8.17, p &lt; .01; n2 p = .113)</t>
  </si>
  <si>
    <t>p.6. Mcir= 6.50,  [SD]= 1.66)  (Mang=5.35, SD=1.65; F(1, 106)=8.17, p &lt; .01;</t>
  </si>
  <si>
    <t>p.6 (circular-logo: M = 5.33, SD = 1.35, vs. angular-logo: M = 5.34, SD = 1.30; F1,550 = 0.004, p = 0.949, η 2p = 0.000)</t>
  </si>
  <si>
    <t>OpenMKT7_c</t>
  </si>
  <si>
    <t>P.10, Table 5 In R also states r = 0.195 for O and r = 0.000 for R.</t>
  </si>
  <si>
    <t>Durable: angular-logo (vs. circular-logo)</t>
  </si>
  <si>
    <t>Participants rated the shoe as more durable in the angular-logo condition (Mang= 6.27, SD= 1.28) than in either the circular- (Mcir= 5.39, SD= 1.65; F(1, 106) = 4.36, p &lt; .05; n2p = .085)</t>
  </si>
  <si>
    <t>p.6, Mang= 6.27, SD= 1.28)  (Mcir= 5.39, SD= 1.65; F(1, 106) = 4.36, p &lt; .05;</t>
  </si>
  <si>
    <t>p.6 (angular-logo: M = 5.37, SD = 1.31 vs. circular-logo: M = 5.37, SD = 1.32; F1,550 = 0.0001, p = 0.994, η2p = 0.000).</t>
  </si>
  <si>
    <t>OpenMKT7_d</t>
  </si>
  <si>
    <t>- changed the link to the pre-registration of the replication study, since the link let to the OSF project. However, the study was preregisted at AsPredicted
- I changed nesting to "no" (original), since the analysis contrasted two conditions
- I changed nesting to "no" (replication)
- I changed the effect size of the original study and calculated it using the ES calculations sheet</t>
  </si>
  <si>
    <t>Attitude: logoshape vs control</t>
  </si>
  <si>
    <t>The effect of logo shape on overall attitude was not significant (</t>
  </si>
  <si>
    <t>p.6 Mcir = 4.65, SD = 1.75 vs. Mang = 5.01, SD = 1.42 vs. Mno-logo = 5.06, SD = .96; F &lt; 1, NS).</t>
  </si>
  <si>
    <t>p.6 (circular-logo: M = 5.08, SD = 1.23, vs. angular-logo: M = 5.13, SD = 1.20, vs. control: M = 5.18, SD = 1.21; F2,820 = 0.478, p = 0.620, n2p = 0.001).</t>
  </si>
  <si>
    <t>OpenMKT7</t>
  </si>
  <si>
    <t>A 2 x 3 mixed-measures analysis of variance (ANOVA), with comfortableness and durability treated as a repeated factor, revealed only a significant logo-shape-by-product-attribute interaction (F(2, 106) = 7.63, p &lt; .01) ," A circular logo enhanced perceptions of comfortableness but did not affect perceptions of durability. An angular logo enhanced perceptions of durability but did not affect perceptions of comfortableness."</t>
  </si>
  <si>
    <t>F(2, 106) = 7.63</t>
  </si>
  <si>
    <t>OpenMKT7_2</t>
  </si>
  <si>
    <t>Contrasts revealed that participants rated the shoe as more comfortable in the circular-logo condition (Mcir = 6.50, standard deviation [SD] = 1.66) than in either the angular- (Mang = 5.35, SD = 1.65; F(1, 106) = 8.17, p &lt; .01; n2p = .113) ," Supporting hypothesis 1, the circular logo led to more favorable perceptions of comfortableness (the softness-related attribute),"</t>
  </si>
  <si>
    <t>F(1, 106) = 8.17</t>
  </si>
  <si>
    <t>OpenMKT7_3</t>
  </si>
  <si>
    <t>Participants rated the shoe as more durable in the angular-logo condition (Mang = 6.27, SD = 1.28) than in either the circular- (Mcir = 5.39, SD = 1.65; F(1, 106) = 4.36, p &lt; .05; n2p = .085) ," Supporting hypothesis 1 "," the angular logo led to more favorable perceptions of durability (the hardness-related attribute)."</t>
  </si>
  <si>
    <t>F(1, 106) = 4.36</t>
  </si>
  <si>
    <t>OpenMKT8_1</t>
  </si>
  <si>
    <t>P.10, Table 5 In R also states r = 0.189 for O and r = 0.061 for R.</t>
  </si>
  <si>
    <t>- changed the link to the pre-registration of the replication study, since the link let to the OSF project. However, the study was preregisted at AsPredicted
- I changed nesting to "no" (replication)</t>
  </si>
  <si>
    <t>Chae, B., and Hoegg, J. (2013). The future looks “right”: effects of the horizontal location. of advertising images on product attitude. J. Consum. Res. 40, 223–238. doi: 10.1086/669476 Study 2</t>
  </si>
  <si>
    <t>10.1086/669476</t>
  </si>
  <si>
    <t>10.1086--669476.pdf</t>
  </si>
  <si>
    <t>Sensory Marketing, Positioning</t>
  </si>
  <si>
    <t>Interaction between position and desirable attribute on product attitude</t>
  </si>
  <si>
    <t>A 2 (position: left vs. right) # 3 (desirable attribute: antique vs. modern vs. control) ANOVA ... reveal an interaction between position and desirable attribute on product attitude</t>
  </si>
  <si>
    <t>(F(2, 173) = 6.62,</t>
  </si>
  <si>
    <t>p. 7 (F(2, 173) = 6.62, p &lt; .01).</t>
  </si>
  <si>
    <t>p. 7 (F2,732 = 2.758, p = 0.064, η2p = 0.008).</t>
  </si>
  <si>
    <t>OpenMKT8_b</t>
  </si>
  <si>
    <t>P.10, Table 5 In R also states r = 0.171 for O and r = −0.007 for R.</t>
  </si>
  <si>
    <t>Antique conditions increase favorable responses to product image on the left than on the right</t>
  </si>
  <si>
    <t>participants in the antique conditions were more favorable to the product when the ad displayed the product image on the left than on the right</t>
  </si>
  <si>
    <t>t(173) = 2.28</t>
  </si>
  <si>
    <t>p.7 (Mleft vs Mright = 5.69; t(173) = 2.28, p &lt;.05),</t>
  </si>
  <si>
    <t>p.7 (left: M = 5.95, SD = 1.47 vs. right: M = 5.98, SD = 1.53; F1,732 = 0.032, p = 0.859, η2p= 0.000).</t>
  </si>
  <si>
    <t>OpenMKT8_c</t>
  </si>
  <si>
    <t>P.10, Table 5 In R also states r = 0.208 for O and r = −0.031 for R.</t>
  </si>
  <si>
    <t>- changed the link to the pre-registration of the replication study, since the link let to the OSF project. However, the study was preregisted at AsPredicted
- the t-value was negative
- I changed nesting to "no" (replication)</t>
  </si>
  <si>
    <t>Modern conditions increase favorable responses to product image on the right than on the left</t>
  </si>
  <si>
    <t>participants right in the modern conditions were more favorable to the product when the ad displayed the product image on the right than on the left</t>
  </si>
  <si>
    <t>t(173) = -2.80</t>
  </si>
  <si>
    <t>p. 7 Mleft vs. Mright = 7.12 t(173) = 2.80, p&lt;01).</t>
  </si>
  <si>
    <t>p.7 (right: M = 5.47, SD = 1.41 vs. left: M = 5.63, SD = 1.68; F1,732 = 0.695, p = 0.405, η2p = 0.001).</t>
  </si>
  <si>
    <t>OpenMKT8_d</t>
  </si>
  <si>
    <t>Main effect of the desirable attribute</t>
  </si>
  <si>
    <t>A 2 (position: left vs. right) x 3 (desirable attribute: antique vs. modern vs. control) ANOVA indicated no main effects (F values  &lt; 1)</t>
  </si>
  <si>
    <t>p.7 (F2,732 = 7.952, p &lt; 0.001, η2p = 0.021)</t>
  </si>
  <si>
    <t>OpenMKT8_e</t>
  </si>
  <si>
    <t>Main effect of the position</t>
  </si>
  <si>
    <t>p.7 (F1,732 = 1.093, p = 0.296, η2p = 0.002).</t>
  </si>
  <si>
    <t>OpenMKT8</t>
  </si>
  <si>
    <t>No. of participants = 194 - 15 (excluded- could not identify shopping goal) = 179 (Study 2)</t>
  </si>
  <si>
    <t>consumers, cultures, horizontal position, product attitude, advertising images</t>
  </si>
  <si>
    <t>"A 2 (position: left vs. right) x 3 (desirable attribute: antique vs. modern vs. control) ANOVA indicated no main effects (F values &lt;1) but did reveal an interaction between position and desirable attribute on product attitude (F(2, 173) = 6.62, p &lt; .01)", " the horizontal position effect also occurs in a single product image context when time is an important aspect of the product."</t>
  </si>
  <si>
    <t>F(2, 173) = 6.62</t>
  </si>
  <si>
    <t>OpenMKT8_2</t>
  </si>
  <si>
    <t>"participants in the antique conditions were more favorable to the product when the ad displayed the product image on the left than on the right (vs. Mleft vs. Mright = 5.69; t(173) = 2.28, p &lt; .05)", " when participants were primed to desire an antique, they were more favorable when the product appeared on the left."</t>
  </si>
  <si>
    <t>OpenMKT8_3</t>
  </si>
  <si>
    <t>"participants in the modern conditions were more favorable to the product when the ad displayed the product image on the right than on the left (Mleft vs. Mright = 7.12; t(173) = -2.80, p &lt; .01)", " We found that when participants were primed to desire a modern product, they were more favorable when it appeared on the right side of the advertisement."</t>
  </si>
  <si>
    <t>OpenMKT9_1</t>
  </si>
  <si>
    <t>P.10, Table 5 In R also states r = 0.261 for O and r = 0.022 for R.</t>
  </si>
  <si>
    <t>Cian, L., Krishna, A., and Elder, R. S. (2014). This logo moves me: dynamic imagery from static images. J. Market. Res. 51, 184–197. doi: 10.1509/jmr. 13.0023 Study 1</t>
  </si>
  <si>
    <t>10.1509/jmr.13.0023</t>
  </si>
  <si>
    <t>10.1509--jmr.13.0023.pdf</t>
  </si>
  <si>
    <t>dynamic imagery, logo design, brand attitudes, engagement, perceived movement</t>
  </si>
  <si>
    <t>The effect of logo dynamism (high and low) on brand attitudes.</t>
  </si>
  <si>
    <t>As we anticipated, there was a significant impact of logo dynamism on attitudes toward the brand (Mlower dynamism = 4.75, Mhigher dynamism = 5.58; F(1, 72) = 5.26, p &lt; .05), with higher logo dynamism leading to more favorable attitudes than the lower dynamism logo.</t>
  </si>
  <si>
    <t>F(1, 72) = 5.26</t>
  </si>
  <si>
    <t>p.5 (Mlower dynamism = 4.75, Mhigher dynamism = 5.58; , p &lt;.05),</t>
  </si>
  <si>
    <t>p. 7 M = 5.64, SD = 1.05; vs. low dynamism: M = 5.59, SD = 1.15; F1,821 = 0.393, p = 0.531, η2p = 0.001).</t>
  </si>
  <si>
    <t>OpenMKT9_b</t>
  </si>
  <si>
    <t>P.10, Table 5 In R also states r = 0.386 for O and r = 0.394 for R.</t>
  </si>
  <si>
    <t>The effect of logo dynamism (high and low) on perceived movement as a manipulation check</t>
  </si>
  <si>
    <t>the two logos differ in level of perceived movement (Mlower dynamism = 4.18, Mhigher dynamism = 5.47; F(1, 72) = 12.61, p &lt; .01), with higher logo dynamism leading to more perceived movement than lower logo dynamism.</t>
  </si>
  <si>
    <t>F(1, 72) = 12.61</t>
  </si>
  <si>
    <t>p.5 (Mlower dynamism = 4.18, Mhigher dynamism = 5.47; , p &lt; .01),</t>
  </si>
  <si>
    <t>p. 7 (high dynamism: M = 5.85, SD = 1.27, vs. low dynamism: M = 5.00, SD = 1.50; F1,821 = 77.863, p &lt; 0.001, η2p = 0.087).</t>
  </si>
  <si>
    <t>OpenMKT9</t>
  </si>
  <si>
    <t>The effect of logo dynamism (high and low) on brand attitudes</t>
  </si>
  <si>
    <t>"there was a significant impact of logo dynamism on attitudes toward the brand (Mlower dynamism = 4.75, Mhigher dynamism = 5.58; F(1, 72) = 5.26, p &lt; .05), with higher logo dynamism leading to more favorable attitudes than the lower dynamism logo", " showing the consequential impact of perceived movement on evaluative measures: the dynamic imagery generated by simply inclining the bar of the seesaw logo increased favorable attitudes toward the brand."</t>
  </si>
  <si>
    <t>OpenMKT9_2</t>
  </si>
  <si>
    <t>"the two logos differ in level of perceived movement (Mlower dynamism = 4.18, Mhigher dynamism = 5.47; F(1, 72) = 12.61, p &lt; .01), with higher logo dynamism leading to more perceived movement than lower logo dynamism."," showing the consequential impact of perceived movement on evaluative measures: the dynamic imagery generated by simply inclining the bar of the seesaw logo increased favorable attitudes toward the brand."</t>
  </si>
  <si>
    <t>osc20151_1</t>
  </si>
  <si>
    <t>osc20151</t>
  </si>
  <si>
    <t>van Rijn, Corinna Gemmecke</t>
  </si>
  <si>
    <t>Unsure whether the F-test controlled for nesting, thus whether it was a repeated measures ANOVA</t>
  </si>
  <si>
    <t>Roelofs, A. (2008). Tracing attention and the activation flow in spoken word planning using eye movements. Journal of Experimental Psychology: Learning, Memory, and Cognition, 34(2), 353-368.</t>
  </si>
  <si>
    <t>10.1037/0278-7393.34.2.353</t>
  </si>
  <si>
    <t>10.1037--0278-7393.34.2.353.pdf</t>
  </si>
  <si>
    <r>
      <rPr>
        <rFont val="Calibri, sans-serif"/>
        <color rgb="FF000000"/>
        <sz val="11.0"/>
      </rPr>
      <t xml:space="preserve">Van Rijn, H., &amp; Scholz, S. (2023, September 28). Replication of A Roelofs (2008, JEPLMC 34(2), Exp 3). Retrieved from </t>
    </r>
    <r>
      <rPr>
        <rFont val="Calibri, sans-serif"/>
        <color rgb="FF1155CC"/>
        <sz val="11.0"/>
        <u/>
      </rPr>
      <t>osf.io/qwkum</t>
    </r>
  </si>
  <si>
    <t>10.1126/science.aac4716</t>
  </si>
  <si>
    <t>https://osf.io/janu3</t>
  </si>
  <si>
    <t>Van Rijn, H., &amp; Scholz, S. (2023, September 28). Replication of A Roelofs (2008, JEPLMC 34(2), Exp 3). Retrieved from osf.io/qwkum</t>
  </si>
  <si>
    <t>Picture–word asymmetry</t>
  </si>
  <si>
    <r>
      <rPr>
        <rFont val="Calibri, sans-serif"/>
        <color rgb="FF000000"/>
        <sz val="11.0"/>
      </rPr>
      <t xml:space="preserve">Association Learning, Attention, Color Perception, Computer Simulation, Eye Movements, Field Dependence-Independence, Humans, Pattern Recognition, Visual, Phonetics, Reaction Time, Reading, Semantics, Verbal Behavior,  </t>
    </r>
    <r>
      <rPr>
        <rFont val="Calibri, sans-serif"/>
        <color rgb="FF00FF00"/>
        <sz val="11.0"/>
      </rPr>
      <t>cascade processing, word production</t>
    </r>
  </si>
  <si>
    <t>Tracing attention and the activation flow in spoken word planning using eye movements.</t>
  </si>
  <si>
    <t>"Moreover, there were interactions of […] task and relation, F1(1, 13) = 7.11, MSE = 1,234, p = .02", "latencies of picture naming […] were longer in the semantically related than unrelated condition"</t>
  </si>
  <si>
    <t>F(1, 13) = 7.11</t>
  </si>
  <si>
    <r>
      <rPr>
        <rFont val="Arial, sans-serif"/>
        <color rgb="FF1155CC"/>
        <u/>
      </rPr>
      <t>https://osf.io/sptyb</t>
    </r>
  </si>
  <si>
    <t>Corinna, SAJ</t>
  </si>
  <si>
    <t>15.1.2025</t>
  </si>
  <si>
    <t>1. Second OSF link: https://osf.io/r8wt9
 2. Minor technical changes were made for the replication</t>
  </si>
  <si>
    <t xml:space="preserve">The second coder coded etasqu as the effect size but it was partial etasqu, corrected;
 coded as row as nested due to 160 trials per participant but no clear details about aggregation for the ANOVA, 
updated url for replication report,
Updated and combined key words and description for best results. </t>
  </si>
  <si>
    <r>
      <rPr>
        <rFont val="Calibri, sans-serif"/>
        <color rgb="FF00FF00"/>
        <sz val="11.0"/>
      </rPr>
      <t>Association Learning, Attention, Color Perception, Computer Simulation, Eye Movements, Field Dependence-Independence, Humans, Pattern Recognition, Visual, Phonetics, Reaction Time, Reading, Semantics, Verbal Behavior,</t>
    </r>
    <r>
      <rPr>
        <rFont val="Calibri, sans-serif"/>
        <color rgb="FF000000"/>
        <sz val="11.0"/>
      </rPr>
      <t xml:space="preserve"> cascade processing, word production</t>
    </r>
  </si>
  <si>
    <t>There were interactions of task and type, [...] task and relation, F1(1, 13) = 7.11, MSE = 1,234, p = .02 [...]</t>
  </si>
  <si>
    <r>
      <rPr>
        <rFont val="Arial, sans-serif"/>
        <color rgb="FF1155CC"/>
        <u/>
      </rPr>
      <t>https://osf.io/sptyb</t>
    </r>
  </si>
  <si>
    <t>osc201510_1</t>
  </si>
  <si>
    <t>osc201510</t>
  </si>
  <si>
    <t>Shaki, Corinna Gemmecke</t>
  </si>
  <si>
    <t>1/31/2025</t>
  </si>
  <si>
    <t xml:space="preserve">Differences regarding p-value of replication - report indicates it should be l&lt;, 
updated links to replication report, 
Updated and combined key words and description for best results. </t>
  </si>
  <si>
    <t>Ganor-Stern, D., &amp; Tzelgov, J. (2008). Across-notation automatic numerical processing. Journal of Experimental Psychology: Learning, Memory, and Cognition, 34(2), 430-437.</t>
  </si>
  <si>
    <t>10.1037/0278-7393.34.2.430</t>
  </si>
  <si>
    <t>10.1037--0278-7393.34.2.430.pdf</t>
  </si>
  <si>
    <t>Shaki, S. (2023, September 28). Replication of D Ganor-Stern, J Tzelgov (2008, JEPLMC 34(2), Exp. 2). Retrieved from osf.io/vmipw</t>
  </si>
  <si>
    <t>https://osf.io/7mgwh</t>
  </si>
  <si>
    <t>Comparative distance effect</t>
  </si>
  <si>
    <r>
      <rPr>
        <rFont val="Calibri, sans-serif"/>
        <color rgb="FF000000"/>
        <sz val="11.0"/>
      </rPr>
      <t xml:space="preserve">Association Learning, Attention, Automatism [psychology], Comprehension, Discrimination (Psychology), Humans, Multilingualism, Paired-Associate Learning, Pattern Recognition, Visual, Problem Solving, Psychophysics, Reaction Time, Size Perception, </t>
    </r>
    <r>
      <rPr>
        <rFont val="Calibri, sans-serif"/>
        <color rgb="FF00FF00"/>
        <sz val="11.0"/>
      </rPr>
      <t>numerical processing, numerical notations</t>
    </r>
  </si>
  <si>
    <t>Across-notation automatic numerical processing.</t>
  </si>
  <si>
    <t>"performance was enhanced in pairs with large compared with small intrapair numerical difference in both RT [reaction time], F(1, 28) 26.69, MSE 5,845, p .001, [...] a revealing a CDE
 consistent with the one found in Experiment 1."</t>
  </si>
  <si>
    <t>F(1, 28) = 26.69</t>
  </si>
  <si>
    <t>F(1, 29) = 45.27</t>
  </si>
  <si>
    <r>
      <rPr>
        <rFont val="Arial, sans-serif"/>
        <color rgb="FF1155CC"/>
        <u/>
      </rPr>
      <t>https://doi.org/10.17605/OSF.IO/693JY</t>
    </r>
  </si>
  <si>
    <t>1. The second OSF link: https://osf.io/z4yqw
 2. Since there was a minor change in the experimental design (exclusion of duration condition) I consider the study as close replication</t>
  </si>
  <si>
    <r>
      <rPr>
        <rFont val="Calibri, sans-serif"/>
        <color rgb="FF00FF00"/>
        <sz val="11.0"/>
      </rPr>
      <t>Association Learning, Attention, Automatism [psychology], Comprehension, Discrimination (Psychology), Humans, Multilingualism, Paired-Associate Learning, Pattern Recognition, Visual, Problem Solving, Psychophysics, Reaction Time, Size Perception,</t>
    </r>
    <r>
      <rPr>
        <rFont val="Calibri, sans-serif"/>
        <color rgb="FF000000"/>
        <sz val="11.0"/>
      </rPr>
      <t xml:space="preserve"> numerical processing, numerical notations</t>
    </r>
  </si>
  <si>
    <t>Performance was enhanced in pairs with large compared with small intrapair numerical difference in [...] RT, F(1, 28) = 26.69, MSE = 5,845, p &lt; .001</t>
  </si>
  <si>
    <r>
      <rPr>
        <rFont val="Arial, sans-serif"/>
        <color rgb="FF1155CC"/>
        <u/>
      </rPr>
      <t>https://osf.io/693jy</t>
    </r>
  </si>
  <si>
    <t>osc2015104_1</t>
  </si>
  <si>
    <t>osc2015104</t>
  </si>
  <si>
    <t>Foster, Corinna Gemmecke</t>
  </si>
  <si>
    <t xml:space="preserve">Main difference was that the second coder said that it is a conceptual replication. This is a rather subjective judgement call, both codings could be considered valid (validator CG)- (2-close chosen as seems most appropriate to me SAJ).
Updated links to replication report, 
Updated and combined key words and description for best results. 
</t>
  </si>
  <si>
    <t>Alter, A.A., &amp; Oppenheimer, D.M. (2008). Effects of fluency on psychological distance and mental construal (or why New York is a large city, but New York is a civilized jungle). Psychological Science, 19, 161-167.</t>
  </si>
  <si>
    <t>10.1111/j.1467-9280.2008.02062.x</t>
  </si>
  <si>
    <t>10.1111--j.1467-9280.2008.02062.x.pdf</t>
  </si>
  <si>
    <t>Foster, J. D. (2023, September 28). Replication of Alter &amp; Oppenheimmer (2008, PS, Study 2B). Retrieved from osf.io/kegmc</t>
  </si>
  <si>
    <t>https://osf.io/jym7h</t>
  </si>
  <si>
    <t>Conceptual priming fluency</t>
  </si>
  <si>
    <r>
      <rPr>
        <rFont val="Calibri, sans-serif"/>
        <color rgb="FF000000"/>
        <sz val="11.0"/>
      </rPr>
      <t xml:space="preserve">Adult, Distance Perception, Environment, Female, Humans, Male, Perception, Questionnaires, Visual Perception, </t>
    </r>
    <r>
      <rPr>
        <rFont val="Calibri, sans-serif"/>
        <color rgb="FF00FF00"/>
        <sz val="11.0"/>
      </rPr>
      <t>Сonstrual level theory, distance perception, environment, questionnaires, fluency</t>
    </r>
  </si>
  <si>
    <t>Effects of fluency on psychological distance and mental construal (or why New York is a large city, but New York is a civilized jungle), primed participants (conceptually fluent participants) preferred concrete descriptions of the prime later, moreso than conceptually disfluent participants</t>
  </si>
  <si>
    <t>"As expected, the percentage of concrete- preferring participants was higher when Los Angeles had been primed earlier in the study (53%) than when Los Angeles had not been primed (41%), X2(1, N = 236) = 3.83, p = .05, prep = .92, phi = .13."</t>
  </si>
  <si>
    <t>p. 4; X^2 = 3.83</t>
  </si>
  <si>
    <t>p. 5; X2(1) = .387</t>
  </si>
  <si>
    <r>
      <rPr>
        <rFont val="Arial, sans-serif"/>
        <color rgb="FF1155CC"/>
        <u/>
      </rPr>
      <t>https://doi.org/10.17605/OSF.IO/8EW6S</t>
    </r>
  </si>
  <si>
    <t>1. This was an online replication, thus -&gt; conceptual</t>
  </si>
  <si>
    <r>
      <rPr>
        <rFont val="Calibri, sans-serif"/>
        <color rgb="FF00FF00"/>
        <sz val="11.0"/>
      </rPr>
      <t xml:space="preserve">Adult, Distance Perception, Environment, Female, Humans, Male, Perception, Questionnaires, Visual Perception, </t>
    </r>
    <r>
      <rPr>
        <rFont val="Calibri, sans-serif"/>
        <color rgb="FF000000"/>
        <sz val="11.0"/>
      </rPr>
      <t>Сonstrual level theory, distance perception, environment, questionnaires, fluency</t>
    </r>
  </si>
  <si>
    <t>The percentage of concrete-preferring participants was higher when Los Angeles had been primed earlier in the study (53%) than when Los Angeles had not been primed (41%), X2(1,N=236) = 3.83, p = .05, p-rep = .92, V = .13</t>
  </si>
  <si>
    <r>
      <rPr>
        <rFont val="Arial, sans-serif"/>
        <color rgb="FF1155CC"/>
        <u/>
      </rPr>
      <t>https://osf.io/8ew6s</t>
    </r>
  </si>
  <si>
    <t>osc2015106_1</t>
  </si>
  <si>
    <t>osc2015106</t>
  </si>
  <si>
    <t>Fitneva, Corinna Gemmecke</t>
  </si>
  <si>
    <t xml:space="preserve">The codings largely align - only tags and effect size description differed, 
Updated links to replication report, 
Updated and combined keywords/tags and description for best results. 
</t>
  </si>
  <si>
    <t>Dessalegn, B. &amp; Landau, B. (2008). More than meets the eye: The role of language in binding visual properties. Psychological Science, 19(2), 189-195.</t>
  </si>
  <si>
    <t>10.1111/j.1467-9280.2008.02066.x</t>
  </si>
  <si>
    <t>10.1111--j.1467-9280.2008.02066.x.pdf</t>
  </si>
  <si>
    <r>
      <rPr>
        <rFont val="Calibri, sans-serif"/>
        <color rgb="FF000000"/>
        <sz val="11.0"/>
      </rPr>
      <t xml:space="preserve">Fitneva, S. A. (2023, September 28). Replication of Dessalegn &amp; Landau (2008, PS, Study 4). Retrieved from </t>
    </r>
    <r>
      <rPr>
        <rFont val="Calibri, sans-serif"/>
        <color rgb="FF1155CC"/>
        <sz val="11.0"/>
        <u/>
      </rPr>
      <t>osf.io/iajp5</t>
    </r>
  </si>
  <si>
    <t>https://osf.io/83n4z</t>
  </si>
  <si>
    <t>Effect of language on vision</t>
  </si>
  <si>
    <r>
      <rPr>
        <rFont val="Calibri, sans-serif"/>
        <color rgb="FF000000"/>
        <sz val="11.0"/>
      </rPr>
      <t xml:space="preserve">Child, Preschool, Cognition, Cues, Female, Humans, Language, Male, </t>
    </r>
    <r>
      <rPr>
        <rFont val="Calibri, sans-serif"/>
        <color rgb="FF00FF00"/>
        <sz val="11.0"/>
      </rPr>
      <t>color-location conjunctions, language-vision interactions</t>
    </r>
  </si>
  <si>
    <t>More than meets the eye: the role of language in binding and maintaining feature conjunctions.; table: directional language (e.g., to the left) helps children bind color and shape information to a greater extent than relational language alone ( e.g., next to)</t>
  </si>
  <si>
    <t>"A 2 (condition) x 3 (target type) mixed analysis of variance on percentage correct showed a main effect of condition, F(1, 34) = 5.8, p &lt; .05, prep &gt; .90, d = 0.82, but no effect of target type and no interaction. Children who heard directional terms chose more matches than those who heard neutral terms. Because both the directional terms and the neutral terms were relational, this finding indicates that the relational nature of the labels alone was not sufficient to enhance children’s performance."</t>
  </si>
  <si>
    <t>p. 5; F(1, 34) = 5.8</t>
  </si>
  <si>
    <r>
      <rPr>
        <rFont val="Arial, sans-serif"/>
        <color rgb="FF1155CC"/>
        <u/>
      </rPr>
      <t>https://doi.org/10.17605/OSF.IO/4KR6E</t>
    </r>
  </si>
  <si>
    <t>1. Changes were mostly connected with sample and statistical tools</t>
  </si>
  <si>
    <t>Fitneva, S. A. (2023, September 28). Replication of Dessalegn &amp; Landau (2008, PS, Study 4). Retrieved from osf.io/iajp5</t>
  </si>
  <si>
    <t>Language-vision interactions</t>
  </si>
  <si>
    <r>
      <rPr>
        <rFont val="Calibri, sans-serif"/>
        <color rgb="FF00FF00"/>
        <sz val="11.0"/>
      </rPr>
      <t>Child, Preschool, Cognition, Cues, Female, Humans, Language, Male,</t>
    </r>
    <r>
      <rPr>
        <rFont val="Calibri, sans-serif"/>
        <color rgb="FF000000"/>
        <sz val="11.0"/>
      </rPr>
      <t xml:space="preserve"> color-location conjunctions, language-vision interactions</t>
    </r>
  </si>
  <si>
    <t>Directional language (e.g., to the left) helps children bind color and shape information to a greater extent</t>
  </si>
  <si>
    <t>A 2 (condition) × 3 (target type) mixed analysis of variance on percentage correct showed a main effect of condition, F(1,34) = 5.8, p &lt; .05, p-rep &gt; .90, d = 0.82, but no effect of target type and no interaction</t>
  </si>
  <si>
    <r>
      <rPr>
        <rFont val="Arial, sans-serif"/>
        <color rgb="FF1155CC"/>
        <u/>
      </rPr>
      <t>https://osf.io/4kr6e</t>
    </r>
  </si>
  <si>
    <t>osc2015107_1</t>
  </si>
  <si>
    <t>osc2015107</t>
  </si>
  <si>
    <t>Prenoveau, Corinna Gemmecke</t>
  </si>
  <si>
    <t>The table states that the p-value of the original effect size is two-tailed but the report does not include this information.; Authors reported p-rep instead of p-value</t>
  </si>
  <si>
    <t>Difference is that the second coder said that it is a conceptual replication. I think this is a rather subjective judgement call and thus both codings should be valid (validator CG) - validator SAJ chose 2-close as most appropriate due to use of shared original materials from original authors.  
Moreover the second coder describes the p-value as 2-tailed, but the report does not indicate that this is true (validator CG).
Updated links to replication report, (SAJ).</t>
  </si>
  <si>
    <t>Eitam, B., Hassin, R. R., &amp; Schul, Y. (2008). Nonconscious goal pursuit in novel environments: The case of implicit learning. Psychological Science, 19, 261-267.</t>
  </si>
  <si>
    <t>10.1111/j.1467-9280.2008.02078.x</t>
  </si>
  <si>
    <t>10.1111--j.1467-9280.2008.02078.x.pdf</t>
  </si>
  <si>
    <t>Prenoveau, J. M., &amp; Kirkhart, M. W. (2023, September 28). Replication of Eitam, Hassin, &amp; Schul (2008, PS, Study 2). Retrieved from osf.io/edcr7</t>
  </si>
  <si>
    <t>https://osf.io/x75fq</t>
  </si>
  <si>
    <t>Nonconscious goal pursuit in novel environments</t>
  </si>
  <si>
    <t>Achievement, Awareness, Cues, Goals, Humans, Mental Recall, Motivation, Orientation, Pattern Recognition, Visual, Problem Solving, Reaction Time, Serial Learning, Social Environment, Unconscious (Psychology), Verbal Learning</t>
  </si>
  <si>
    <t>goal primed participants learned more than participants in the control group</t>
  </si>
  <si>
    <t>"As hypothesized, primed participants learned more than participants in the control group, t(84) = 2.09, prep = .92, d = 0.45 (see Table 2).", "Goal priming led to improved implicit learning without a concomitant increase in participants’ explicit motivation, explicit knowledge, or performance in blocks in which learning was not instrumental. We conclude, therefore, that goal priming influenced primarily learning of the environmental structure."</t>
  </si>
  <si>
    <t>p. 5; t(84) = 2.09</t>
  </si>
  <si>
    <t>p. 15; t(156) = 1.318</t>
  </si>
  <si>
    <r>
      <rPr>
        <rFont val="Arial, sans-serif"/>
        <color rgb="FF1155CC"/>
        <u/>
      </rPr>
      <t>https://doi.org/10.17605/OSF.IO/NMRJG</t>
    </r>
  </si>
  <si>
    <t>1. Most changes of the task were connected with its adaptation to another language. Depending on language (here Eng -&gt; Hebrew) it is a big or small change. I would consider this to be a big change, along with authors description
 2. Authors reported p-replication (probability of replication) instead of p-value</t>
  </si>
  <si>
    <t>Nonconscious Goal Pursuit</t>
  </si>
  <si>
    <t>Achievement, Awareness, Cues, Goals, Mental Recall, Motivation, Orientation, Pattern Recognition, Visual, Problem Solving, Reaction Time, Serial Learning, Social Environment, Unconscious, Verbal Learning</t>
  </si>
  <si>
    <t>Goal priming leads to better learning</t>
  </si>
  <si>
    <t>As hypothesized, primed participants learned more than participants in the control group, t(84) = 2.09, p-rep = .92, d = 0.45 (see Table 2)</t>
  </si>
  <si>
    <r>
      <rPr>
        <rFont val="Arial, sans-serif"/>
        <color rgb="FF1155CC"/>
        <u/>
      </rPr>
      <t>https://osf.io/nmrjg</t>
    </r>
  </si>
  <si>
    <t>osc2015109_1</t>
  </si>
  <si>
    <t>osc2015109</t>
  </si>
  <si>
    <t>Exclusion</t>
  </si>
  <si>
    <t>Bannard, C., &amp; Matthews, D. (2008). Stored word sequences in language learning: The effect of familiarity on children's repetition of four-word combinations. Psychological science, 19(3), 241-248.</t>
  </si>
  <si>
    <t>10.1111/j.1467-9280.2008.02075.x</t>
  </si>
  <si>
    <t>10.1111--j.1467-9280.2008.02075.x.pdf</t>
  </si>
  <si>
    <t>Attention, Child, Preschool, Female, Generalization (Psychology), Humans, Language Development, Male, Mental Recall, Reaction Time, Retention (Psychology), Semantics, Serial Learning, Speech Perception</t>
  </si>
  <si>
    <t>Stored word sequences in language learning</t>
  </si>
  <si>
    <t>1. No replication study</t>
  </si>
  <si>
    <t>osc201511_1</t>
  </si>
  <si>
    <t>osc201511</t>
  </si>
  <si>
    <t>Bosco, Corinna Gemmecke</t>
  </si>
  <si>
    <t>Difference between etasqu. and partial etasqu.; The report states that it is partial etasqu.; Difference in "nested_r" (yes versus no) but the report states that they used a repeated measure ANOVA; --&gt; coded as partial, nested_r = yes (Validator CG)
Updated links to replication report, 
Updated and combined keywords/tags (Validator SAJ).</t>
  </si>
  <si>
    <t>Mirman, D., &amp; Magnuson, J. S. (2008). Attractor dynamics and semantic neighborhood density: Processing is slowed by near neighbors and speeded by distant neighbors. Journal of Experimental Psychology: Learning, Memory, and Cognition, 34, 65-79.</t>
  </si>
  <si>
    <t>10.1037/0278-7393.34.1.65</t>
  </si>
  <si>
    <t>10.1037--0278-7393.34.1.65.pdf</t>
  </si>
  <si>
    <t>Bosco, F., &amp; Field, J. G. (2016, August 19). Replication of Mirman &amp; Magnuson (2008, JEP:LMC, Study 2). Retrieved from osf.io/rvkc5</t>
  </si>
  <si>
    <t>https://osf.io/r57hu</t>
  </si>
  <si>
    <t>semantic neighbohood effect</t>
  </si>
  <si>
    <r>
      <rPr>
        <rFont val="Calibri, sans-serif"/>
        <color rgb="FF000000"/>
        <sz val="11.0"/>
      </rPr>
      <t xml:space="preserve">Association Learning, Attention, Humans, Inhibition (Psychology), Orientation, Reaction Time, Reading, Semantics, </t>
    </r>
    <r>
      <rPr>
        <rFont val="Calibri, sans-serif"/>
        <color rgb="FF00FF00"/>
        <sz val="11.0"/>
      </rPr>
      <t>neighborhood density, word recognition, attractor networks</t>
    </r>
  </si>
  <si>
    <t>Words with many near neighbors (e.g., chicken) were associated with an increased level of processing (i.e., categorized more slowly) compared to words with few near neighbors</t>
  </si>
  <si>
    <t>"As predicted, words with many near neighbors were categorized more slowly than words with few near neighbors (24 ms), F1(1, 21) = 17.3, p &lt; .001, partial η2 = 0.45", "Our results suggest that previous findings of facilitative SND effects were primarily driven by distant neighbors. The fine grain of feature-based semantic representations revealed a novel finding: Near neighbors exert inhibitory effects on semantic access."</t>
  </si>
  <si>
    <t>p. 12; F(1, 21) = 17.3</t>
  </si>
  <si>
    <t>p. 4; F (1, 29) = 8.064</t>
  </si>
  <si>
    <r>
      <rPr>
        <rFont val="Arial, sans-serif"/>
        <color rgb="FF1155CC"/>
        <u/>
      </rPr>
      <t>https://doi.org/10.17605/OSF.IO/PK952</t>
    </r>
  </si>
  <si>
    <t>Bosco</t>
  </si>
  <si>
    <t>1. There were severa differences in experimental setup (common room), but authors of replication and original authors stated that it does not produce big differences -&gt; close replication</t>
  </si>
  <si>
    <t>Semantic nearness</t>
  </si>
  <si>
    <r>
      <rPr>
        <rFont val="Calibri, sans-serif"/>
        <color rgb="FF00FF00"/>
        <sz val="11.0"/>
      </rPr>
      <t>Association Learning, Attention, Humans, Inhibition (Psychology), Orientation, Reaction Time, Reading</t>
    </r>
    <r>
      <rPr>
        <rFont val="Calibri, sans-serif"/>
        <color rgb="FF000000"/>
        <sz val="11.0"/>
      </rPr>
      <t>, Semantics, neighborhood density, word recognition, attractor networks</t>
    </r>
  </si>
  <si>
    <t>As predicted, words with many near neighbors were categorized more slowly than words with few near neighbors (24 ms), F1​(1,21) = 17.3, p &lt; .001, partial η2 = 0.45; F2(1,95) = 4.6, p &lt; .05, partial η2 = 0.05, and words with many distant neighbors were categorized more quickly than words with few distant neighbors (11 ms), F1​(1,21) = 5.2, p &lt; .05, partial η2 = 0.20; F2 ​&lt; 1.</t>
  </si>
  <si>
    <r>
      <rPr>
        <rFont val="Arial, sans-serif"/>
        <color rgb="FF1155CC"/>
        <u/>
      </rPr>
      <t>https://osf.io/pk952</t>
    </r>
  </si>
  <si>
    <t>osc2015110_1</t>
  </si>
  <si>
    <t>osc2015110</t>
  </si>
  <si>
    <t>Munafo, Corinna Gemmecke</t>
  </si>
  <si>
    <t>Nesting in study resolved to be present</t>
  </si>
  <si>
    <t>Farris, C., Treat, T.A., Viken, R.J., &amp; McFall, R.M. (2008). Perceptual mechanisms that characterize gender differences in decoding women's sexual intent. Psychological Science, 19(4), 348-354.</t>
  </si>
  <si>
    <t>10.1111/j.1467-9280.2008.02092.x</t>
  </si>
  <si>
    <t>10.1111--j.1467-9280.2008.02092.x.pdf</t>
  </si>
  <si>
    <t>Attwood, A. S., Andy, Easey, K., Penton-Voak, I., &amp; Munafo, M. R. (2016, August 19). Replication of C Farris, TA Treat, RJ Viken, and RM McFall (2008, PS 19(4)). Retrieved from osf.io/7dyp5</t>
  </si>
  <si>
    <t>gender differences in perceptual mechanisms</t>
  </si>
  <si>
    <t>Adult, Decision Making, Female, Humans, Intention, Male, Models, Psychological, Pilot Projects, Sex Factors, Sexual Behavior, Social Perception</t>
  </si>
  <si>
    <t>male participants were less sensitive to the distinction between friendliness and sexual interest than women, suggesting that gender differences are due to perceptual insensitivity in men</t>
  </si>
  <si>
    <t>"Compared with women (ln(a) 5 2.30), men (ln(a) 5 1.61) were significantly less sensitive to the dis- tinction between friendliness and sexual interest, F(1, 278) = 123.38, p &lt; .001, ηp2 = .326."</t>
  </si>
  <si>
    <t>p. 4; F(1, 278) = 123.38</t>
  </si>
  <si>
    <t>p. 4; F(1, 142) = 1.19</t>
  </si>
  <si>
    <r>
      <rPr>
        <rFont val="Arial, sans-serif"/>
        <color rgb="FF1155CC"/>
        <u/>
      </rPr>
      <t>https://doi.org/10.17605/OSF.IO/WMBP2</t>
    </r>
  </si>
  <si>
    <t>Perception of sexual intent</t>
  </si>
  <si>
    <t>Decision Making, Intention, Models, Psychological, Pilot Projects, Sex Factors, Sexual Behavior, Social Perception, perception bias, choice-prediction model, GLM</t>
  </si>
  <si>
    <t>Male participants were less sensitive to the distinction between friendliness and sexual interest (perceptual insensitivity in men)</t>
  </si>
  <si>
    <t>Compared with women (ln(a) = 2.30), men (ln(a) = 1.61) were significantly less sensitive to the distinction between friendliness and sexual interest, F(1,278) = 123.38, p &lt; .001, partial η2​ = .326</t>
  </si>
  <si>
    <r>
      <rPr>
        <rFont val="Arial, sans-serif"/>
        <color rgb="FF1155CC"/>
        <u/>
      </rPr>
      <t>https://osf.io/wmbp2</t>
    </r>
  </si>
  <si>
    <t>osc2015111_1</t>
  </si>
  <si>
    <t>osc2015111</t>
  </si>
  <si>
    <t>Chandler, Corinna Gemmecke</t>
  </si>
  <si>
    <t>Differences regarding the experiment, claim and effect. The authors report that the replicated Experiment 4a, which matches with the data in the table.</t>
  </si>
  <si>
    <t>Janiszewski, C., D. Uy. 2008. Anchor precision influences the amount of adjustment. Psychological Science, 19,121–127.</t>
  </si>
  <si>
    <t>10.1111/j.1467-9280.2008.02057.x</t>
  </si>
  <si>
    <t>4a</t>
  </si>
  <si>
    <t>10.1111--j.1467-9280.2008.02057.x.pdf</t>
  </si>
  <si>
    <t>Chandler, J. J. (2016, August 19). Replication of Janiszewski &amp; Uy (2008, PS, Study 4b). Retrieved from osf.io/aaudl</t>
  </si>
  <si>
    <t>10.17605/OSF.IO/ehjdm</t>
  </si>
  <si>
    <t>Anchor heuristics</t>
  </si>
  <si>
    <t>Humans, Judgment, Mathematics</t>
  </si>
  <si>
    <t>increased anchor precision leads to decreased adjustment by participants</t>
  </si>
  <si>
    <t>"In Experiment 4a, there was a Motivation to Adjust X Scale Unit Width interaction, F(1, 55) = 6.88, prep = .947, w2 = .02."</t>
  </si>
  <si>
    <t>F(1, 55) = 6.88</t>
  </si>
  <si>
    <t>p. 2; F(1,116) = 6.28</t>
  </si>
  <si>
    <r>
      <rPr>
        <rFont val="Arial, sans-serif"/>
        <color rgb="FF1155CC"/>
        <u/>
      </rPr>
      <t>https://doi.org/10.17605/OSF.IO/HPK2M</t>
    </r>
  </si>
  <si>
    <t>1. Minor changes to the paradigm
 2. Authors reported p-replication (probability of replication) instead of p-value</t>
  </si>
  <si>
    <t>Numerical judgments</t>
  </si>
  <si>
    <t>Numerical anchor, numerical judgments, bias</t>
  </si>
  <si>
    <t>Increased anchor precision leads to decreased adjustment by participants</t>
  </si>
  <si>
    <t>In Experiment 4b, there was also a Motivation to Adjust × Scale Unit Width interaction, F(1, 145) = 4.01, p-rep = .882, omega² = .02</t>
  </si>
  <si>
    <r>
      <rPr>
        <rFont val="Arial, sans-serif"/>
        <color rgb="FF1155CC"/>
        <u/>
      </rPr>
      <t>https://osf.io/hpk2m</t>
    </r>
  </si>
  <si>
    <t>osc2015112_1</t>
  </si>
  <si>
    <t>osc2015112</t>
  </si>
  <si>
    <t>Saxe, Corinna Gemmecke</t>
  </si>
  <si>
    <t>31.01.205</t>
  </si>
  <si>
    <t>Both codings align</t>
  </si>
  <si>
    <t>C McKinstry, R Dale, MJ Spivey (2008). Action dynamics reveal parallel competition in decision making. Psychological Science, 19.1: 22-24.</t>
  </si>
  <si>
    <t>10.1111/j.1467-9280.2008.02041.x</t>
  </si>
  <si>
    <t>10.1111--j.1467-9280.2008.02041.x.pdf</t>
  </si>
  <si>
    <t>Saxe, R., Vélez, N., &amp; Feather, J. (2016, August 19). Replication of McKinstry, Dale, &amp; Spivey (2008, PS). Retrieved from osf.io/d0n81</t>
  </si>
  <si>
    <t>Adolescent, Adult, Attention, Choice Behavior, Conflict (Psychology), Decision Making, Female, Humans, Male, Psychomotor Performance, Reaction Time, Set (Psychology), Thinking</t>
  </si>
  <si>
    <t>Sample entropy was higher for middle-truth-value questions than for low- and high-truth-value questions</t>
  </si>
  <si>
    <t>"Sample entropy was higher for middle-truth-value questions than for low- and high-truth-value questions (see Fig. 1d), quadratic r = .70, F(1, 9) = 8.7, p &lt; .05, prep 5 .939."</t>
  </si>
  <si>
    <t>p. 3; F(1, 9) = 8.7</t>
  </si>
  <si>
    <t>p. 4; F(1, 9) = 11.6</t>
  </si>
  <si>
    <r>
      <rPr>
        <rFont val="Arial, sans-serif"/>
        <color rgb="FF1155CC"/>
        <u/>
      </rPr>
      <t>https://doi.org/10.17605/OSF.IO/WZXQ9</t>
    </r>
  </si>
  <si>
    <t>3 further effects (all n.s. in original study)</t>
  </si>
  <si>
    <t>Decision making</t>
  </si>
  <si>
    <t>Choice, conflict Decision making, Female, Humans, Male, psychomotor performance, multiple response alternatives</t>
  </si>
  <si>
    <t>Sample entropy was higher for middle-truth-value questions than for low- and high-truth-value questions (see Fig. 1d), quadratic r = -.70, F(1,9) = 8.7, p &lt; .05, prep = .939</t>
  </si>
  <si>
    <r>
      <rPr>
        <rFont val="Arial, sans-serif"/>
        <color rgb="FF1155CC"/>
        <u/>
      </rPr>
      <t>https://osf.io/wzxq9</t>
    </r>
  </si>
  <si>
    <t>osc2015113_1</t>
  </si>
  <si>
    <t>osc2015113</t>
  </si>
  <si>
    <t>Lassetter, Corinna Gemmecke</t>
  </si>
  <si>
    <t>Authors reported p-rep instead of p-value</t>
  </si>
  <si>
    <t>All values align, except for the closeness. I think this would be again a jugdgement call.</t>
  </si>
  <si>
    <t>Armor, D.A., Massey, C., &amp; Sackett, A.M. 2008. Prescribed optimism: Is it right to be wrong about the future? Psychological Science, 19, 329-331.</t>
  </si>
  <si>
    <t>10.1111/j.1467-9280.2008.02089.x</t>
  </si>
  <si>
    <t>10.1111--j.1467-9280.2008.02089.x.pdf</t>
  </si>
  <si>
    <t>Lassetter, B., Brandt, M. J., van ’t Veer, A. E., &amp; Mehta, P. (2023, September 28). Replication of Armor, Massey &amp; Sackett (2008, PS, Study 1). Retrieved from osf.io/qlzap</t>
  </si>
  <si>
    <t>optimistic bias</t>
  </si>
  <si>
    <t>Affect, Attitude, Coercion, Forecasting, Humans, Time Perception</t>
  </si>
  <si>
    <t>among accurate, optimistic, or pessimistic predictions, participants are most likely to recommend optimisitic predictions</t>
  </si>
  <si>
    <t>"Participants clearly prescribed optimism. Those asked to pro- vide prescriptions recommended predictions that were opti- mistic (M = 1.12), t(124) = 10.36, prep &gt; .99, d = 0.93."</t>
  </si>
  <si>
    <t>p. 1; t(124) =10.36</t>
  </si>
  <si>
    <t>p. 6; t(175) = 15.64</t>
  </si>
  <si>
    <r>
      <rPr>
        <rFont val="Arial, sans-serif"/>
        <color rgb="FF1155CC"/>
        <u/>
      </rPr>
      <t>https://osf.io/wbs96</t>
    </r>
  </si>
  <si>
    <t>1 additional effect</t>
  </si>
  <si>
    <t>1. Authors of replication stated about potential differences on the effect due to cultural differences. Since it is an important factor for the results -&gt; conceptual replication
 2. Authors reported p-replication (probability of replication) instead of p-value</t>
  </si>
  <si>
    <t>Optimistic bias</t>
  </si>
  <si>
    <t>Affect, Attitude, Coercion, Forecasting, Humans, Time Perception, predictions</t>
  </si>
  <si>
    <t>Participants are most likely to recommend optimisitic predictions</t>
  </si>
  <si>
    <t>Those asked to provide prescriptions recommended predictions that were optimistic (M = 1.12), t(124) = 10.36, p-rep &gt; .99, d = 0.93</t>
  </si>
  <si>
    <r>
      <rPr>
        <rFont val="Arial, sans-serif"/>
        <color rgb="FF1155CC"/>
        <u/>
      </rPr>
      <t>https://osf.io/wbs96</t>
    </r>
  </si>
  <si>
    <t>osc2015114_1</t>
  </si>
  <si>
    <t>osc2015114</t>
  </si>
  <si>
    <t>Vasquez, Corinna Gemmecke</t>
  </si>
  <si>
    <t>The ANOVA of the replication report deviates from the one in the table (I chose the report). The table states that the test was two-tailed, but this information is not provided in the report.; Authors reported p-rep instead of p-value</t>
  </si>
  <si>
    <t>Difference in "nested_o": But the authors performed a repeated measures ANOVA</t>
  </si>
  <si>
    <t>Addis, D.R., Wong, A.T., &amp; Schacter, D.L. (2008). Age-related changes in the episodic simulation of future events. Psychological Science, 19(1), 33-41.</t>
  </si>
  <si>
    <t>10.1111/j.1467-9280.2008.02043.x</t>
  </si>
  <si>
    <t>10.1111--j.1467-9280.2008.02043.x.pdf</t>
  </si>
  <si>
    <t>Vásquez-Echeverría, A. (2023, September 28). Replication of DR Addis, AT Wong, DL Schacter (2008, PS 19(1)). Retrieved from osf.io/yaeu7</t>
  </si>
  <si>
    <t>Episodic memory</t>
  </si>
  <si>
    <t>Adult, Aged, Aging [psychology], Female, Humans, Imagination, Life Change Events, Male, Mental Recall, Middle Aged, Neuropsychological Tests, Word Association Tests</t>
  </si>
  <si>
    <t>Age-related changes in the episodic simulation of future events</t>
  </si>
  <si>
    <t>"Of most interest here, we found significant group differences, with older adults producing fewer internal details, F(1, 30) = 14.49, prep = .99, η2 = .326"</t>
  </si>
  <si>
    <t>p. 4; F(1,30) = 14.49</t>
  </si>
  <si>
    <t>p. 5; F (1,30) = 21.92</t>
  </si>
  <si>
    <r>
      <rPr>
        <rFont val="Arial, sans-serif"/>
        <color rgb="FF1155CC"/>
        <u/>
      </rPr>
      <t>https://osf.io/e89gh</t>
    </r>
  </si>
  <si>
    <t>no further effects</t>
  </si>
  <si>
    <t>1. In RPP table the study is attributed to Social studies, but it is rather Neuroscience
 2. Authors reported p-replication (probability of replication) instead of p-value</t>
  </si>
  <si>
    <t>Aged, Aging, Imagination, Life Change Events, Mental Recall, Middle Aged, Neuropsychological Tests, Word Association Tests</t>
  </si>
  <si>
    <t>Older adults produced fewer internal details, but more external details than young adults</t>
  </si>
  <si>
    <t>Of most interest here, we found significant group differences, with older adults producing fewer internal details, F(1,30) = 14.49, p-rep = .99, η2 = .326, but more external details, F(1,30) = 6.54, p-rep &gt; .94, η2 = .179, than young adults (see Fig. 1a)</t>
  </si>
  <si>
    <r>
      <rPr>
        <rFont val="Arial, sans-serif"/>
        <color rgb="FF1155CC"/>
        <u/>
      </rPr>
      <t>https://osf.io/e89gh</t>
    </r>
  </si>
  <si>
    <t>osc2015115_1</t>
  </si>
  <si>
    <t>osc2015115</t>
  </si>
  <si>
    <t>Brown, Corinna Gemmecke</t>
  </si>
  <si>
    <t>The codings align.</t>
  </si>
  <si>
    <t>Nurmsoo, E., &amp; Bloom, P. (2008). Preschoolers' Perspective Taking in Word Learning Do They Blindly Follow Eye Gaze?. Psychological Science, 19(3), 211-215.</t>
  </si>
  <si>
    <t>10.1111/j.1467-9280.2008.02069.x</t>
  </si>
  <si>
    <t>10.1111--j.1467-9280.2008.02069.x.pdf</t>
  </si>
  <si>
    <t>Brown, B. T., Kleinberg, B., Hicks, G., Bentley, H., Attridge, P. R., Eboigbe, S., … Brown, K. (2023, September 28). Replication of Nurmsoo &amp; Bloom (2008, PS, Study 1). Retrieved from osf.io/aczvt</t>
  </si>
  <si>
    <t>10.17605/osf.io/ictp5</t>
  </si>
  <si>
    <t>preschooler’s perspective taking in word learning</t>
  </si>
  <si>
    <t>Attention, Child, Preschool, Comprehension, Female, Humans, Language Development, Male, Personal Construct Theory, Semantics, Verbal Learning, Visual Perception</t>
  </si>
  <si>
    <t>When learning an object name, young children often assume that the name refers to the object the speaker is looking at, even if the children themselves are looking at a different object when the word is used</t>
  </si>
  <si>
    <t>"Only older children’s performance was consistently above chance level, t(31) = 3.23, p-rep = .97"</t>
  </si>
  <si>
    <t>t(31) = 3.23</t>
  </si>
  <si>
    <t>0.286; t(7) = -1.426</t>
  </si>
  <si>
    <r>
      <rPr>
        <rFont val="Arial, sans-serif"/>
        <color rgb="FF1155CC"/>
        <u/>
      </rPr>
      <t>https://doi.org/10.17605/OSF.IO/VK6D9</t>
    </r>
  </si>
  <si>
    <t>1. Authors reported p-replication (probability of replication) instead of p-value</t>
  </si>
  <si>
    <t>Visual perspective</t>
  </si>
  <si>
    <t>Attention, Preschool, Comprehension, Language Development, Personal Construct Theory, Semantics, Verbal Learning, Visual Perception</t>
  </si>
  <si>
    <t>Older children were able to disregard these gaze cues and identify the correct referent, although the younger children were not</t>
  </si>
  <si>
    <t>Only older children’s performance was consistently above chance level, t(31) = 3.23, p-rep = .97</t>
  </si>
  <si>
    <t>t(7) = -1.426</t>
  </si>
  <si>
    <r>
      <rPr>
        <rFont val="Arial, sans-serif"/>
        <color rgb="FF1155CC"/>
        <u/>
      </rPr>
      <t>https://osf.io/ictp5</t>
    </r>
  </si>
  <si>
    <t>osc2015116_1</t>
  </si>
  <si>
    <t>osc2015116</t>
  </si>
  <si>
    <t>Vanpaemel, Corinna Gemmecke</t>
  </si>
  <si>
    <t>The table states that the p-value of the original study was two-sided, while I can not collect this information from the original report. The t-test refers to values of a pre-post test. I only coded the test statistics, as the effect size was dz (from replication report).</t>
  </si>
  <si>
    <t>The reported effect is for Cohens dz, thus for dependent samples. Therefore, the "nested_r" should be "yes" and Cohens d can not be used as an effect size (correct?). -&gt; yes, coded nested as yes and left the t statistic</t>
  </si>
  <si>
    <t>Vul, E., &amp; Pashler, H. (2008). Measuring the crowd within: Probabilistic representations within individuals. Psychological Science, 19, 645-647.</t>
  </si>
  <si>
    <t>10.1111/j.1467-9280.2008.02136.x</t>
  </si>
  <si>
    <t>10.1111--j.1467-9280.2008.02136.x.pdf</t>
  </si>
  <si>
    <t>steegen, sara, vanpaemel, wolf, tuerlinckx, francis, &amp; Dewitte, L. (2023, September 28). Replication of Vul &amp; Pashler (Psych Science, 2008). Retrieved from osf.io/ivfu6</t>
  </si>
  <si>
    <t>10.3389/fpsyg.2014.00786</t>
  </si>
  <si>
    <t>Replication study</t>
  </si>
  <si>
    <t>Crowd effect</t>
  </si>
  <si>
    <t>Crowding, Humans, Models, Statistical</t>
  </si>
  <si>
    <t>Measuring the crowd within: Probabilistic representations within individuals.</t>
  </si>
  <si>
    <t>"In the delayed condition, the error of the average was also smaller than the error of the first guess, t(172) = 3.94, p &lt; .01"</t>
  </si>
  <si>
    <t>t(172) = 3.94</t>
  </si>
  <si>
    <t>t(139) = 4.02</t>
  </si>
  <si>
    <r>
      <rPr>
        <rFont val="Arial, sans-serif"/>
        <color rgb="FF1155CC"/>
        <u/>
      </rPr>
      <t>https://osf.io/2hk76</t>
    </r>
  </si>
  <si>
    <t>1. Minor sample and language differences
 2. For replication Cohen's dz is used</t>
  </si>
  <si>
    <t>Crowd effect, wisdom of the crowd, Crowding, probability</t>
  </si>
  <si>
    <t>Averaging two guesses within one person provides a more accurate answer than either guess alone</t>
  </si>
  <si>
    <t>In the delayed condition, the error of the average was also smaller than the error of the first guess, t(172) = 3.94, p &lt; .01, and of the second guess, t(172) = 6.59, p &lt; .01</t>
  </si>
  <si>
    <t>Cohen's dz</t>
  </si>
  <si>
    <r>
      <rPr>
        <rFont val="Arial, sans-serif"/>
        <color rgb="FF1155CC"/>
        <u/>
      </rPr>
      <t>https://osf.io/2hk76</t>
    </r>
  </si>
  <si>
    <t>osc2015117_1</t>
  </si>
  <si>
    <t>osc2015117</t>
  </si>
  <si>
    <t>Barnett Cowan, Corinna Gemmecke</t>
  </si>
  <si>
    <t>The codings largy align with each other. However, the second coder did not include the effect size for the replication of the table</t>
  </si>
  <si>
    <t>Vul, E., Nieuwenstein, M., &amp; Kanwisher, N. (2008). Temporal selection is suppressed, delayed, and diffused during the attentional blink. Psychological Science, 19(1), 55-61.</t>
  </si>
  <si>
    <t>10.1111/j.1467-9280.2008.02046.x</t>
  </si>
  <si>
    <t>10.1111--j.1467-9280.2008.02046.x.pdf</t>
  </si>
  <si>
    <t>Barnett-Cowan, M. (2023, September 28). Replication of Vul et al (2008, PS, Study 1). Retrieved from osf.io/rzjvn</t>
  </si>
  <si>
    <t>Temporal selection of visual targets</t>
  </si>
  <si>
    <t>Adolescent, Adult, Attentional Blink, Cues, Female, Humans, Inhibition (Psychology), Male, Pattern Recognition, Visual, Probability, Reaction Time, Serial Learning, Time Perception</t>
  </si>
  <si>
    <t>Temporal selection is suppressed, delayed, and diffused during the attentional blink.</t>
  </si>
  <si>
    <t>"All effects and interactions were significant at a p value of .0001; most important, the three-way interaction was highly significant, F(18, 660) = 16.31, p &lt; .00001"</t>
  </si>
  <si>
    <t>F(18, 660) = 16.31</t>
  </si>
  <si>
    <t>p. 6; F(18, 660) = 12.98</t>
  </si>
  <si>
    <r>
      <rPr>
        <rFont val="Arial, sans-serif"/>
        <color rgb="FF1155CC"/>
        <u/>
      </rPr>
      <t>https://osf.io/pyt4e</t>
    </r>
  </si>
  <si>
    <t>Temporal selection</t>
  </si>
  <si>
    <t>Temporal selection, attentional blink, stimulus onset asynchronies, efficacy, latency, precision, selective attention</t>
  </si>
  <si>
    <t>Selection is suppressed (efficacy), delayed (latency), and diffused (precision) in time during the attentional blink</t>
  </si>
  <si>
    <t>All effects and interactions were significant at a p value of .0001; most important, the three-way interaction was highly significant, F(18, 660) = 16.31, p &lt; .00001</t>
  </si>
  <si>
    <t>F(18, 660) = 12.98</t>
  </si>
  <si>
    <r>
      <rPr>
        <rFont val="Arial, sans-serif"/>
        <color rgb="FF1155CC"/>
        <u/>
      </rPr>
      <t>https://osf.io/pyt4e</t>
    </r>
  </si>
  <si>
    <t>osc2015118_1</t>
  </si>
  <si>
    <t>osc2015118</t>
  </si>
  <si>
    <t>Osborne, Corinna Gemmecke</t>
  </si>
  <si>
    <t>Difference in coding of nesting (both in replication and original). However, an 2 x 2 between subjects ANOVA was performed. -&gt; coded as nested</t>
  </si>
  <si>
    <t>Masicampo, E.J., &amp; Baumeister, R.F. (2008). Toward a physiology of dual-process reasoning and judgment: Lemonade, willpower, and expensive rule-based analysis. Psychological Science, 19(3), 255-260.</t>
  </si>
  <si>
    <t>10.1111/j.1467-9280.2008.02077.x</t>
  </si>
  <si>
    <t>10.1111--j.1467-9280.2008.02077.x.pdf</t>
  </si>
  <si>
    <t>Osborne, C., Vuu, G., &amp; Henninger, F. (2023, September 28). Replication of EJ Masicampo, RF Baumeister (2008, PS 19(3)). Retrieved from osf.io/3h29d</t>
  </si>
  <si>
    <t>Attraction effect</t>
  </si>
  <si>
    <t>Adult, Association, Attention [physiology], Beverages, Blood Glucose [metabolism], Brain [physiology], Female, Humans, Inhibition (Psychology), Interpersonal Relations, Intuition [physiology], Judgment [physiology], Logic, Male, Motivation, Physical Exertion [physiology], Problem Solving [physiology], Set (Psychology)</t>
  </si>
  <si>
    <t>The attraction effect was larger in the depletion with placebo group than among participants in the other three groups (depletion with sugar, no depletion with sugar, no depletion with placebo)</t>
  </si>
  <si>
    <t>"We tested this prediction using a focused interaction contrast pitting the depletion-plus-placebo condi- tion against the combination of the other three conditions. This interaction was significant, F(1,111) = 5.311, p-rep = .92, partial η2 ​= .045"</t>
  </si>
  <si>
    <t>p. 4; F(1, 111) = 5.311</t>
  </si>
  <si>
    <t>p. 5; F(1, 158) = 0.379</t>
  </si>
  <si>
    <r>
      <rPr>
        <rFont val="Arial, sans-serif"/>
        <color rgb="FF1155CC"/>
        <u/>
      </rPr>
      <t>https://osf.io/8ybk5</t>
    </r>
  </si>
  <si>
    <t>1 add. effect</t>
  </si>
  <si>
    <t>1. Minor changes to the paradigm
 2. Authors reported p-replication (probability of replication) instead of p-value
 3. I am not sure whether the analsis was nested or not.</t>
  </si>
  <si>
    <t>Association, Attention, Beverages, Blood Glucose, Brain, Inhibition, Interpersonal Relations, Judgment, Logic, Motivation, Physical Exertion, Problem Solving, Set, dual-process reasoning</t>
  </si>
  <si>
    <t>This interaction was significant, F(1,111) = 5.311, p-rep = .92, partial η2 ​= .045</t>
  </si>
  <si>
    <r>
      <rPr>
        <rFont val="Arial, sans-serif"/>
        <color rgb="FF1155CC"/>
        <u/>
      </rPr>
      <t>https://osf.io/8ybk5</t>
    </r>
  </si>
  <si>
    <t>osc201512_1</t>
  </si>
  <si>
    <t>osc201512</t>
  </si>
  <si>
    <t>Bell, Corinna Gemmecke</t>
  </si>
  <si>
    <t>Only difference: partial etasq versus regular etasq.</t>
  </si>
  <si>
    <t>Marsh, J.E., Vachon, F., &amp; Jones, D.M. (2008). When does between-sequence phonological similarity promote irrelevant sound disruption? Journal of Experimental Psychology: Learning, Memory, and Cognition, 34(1), 243-248.</t>
  </si>
  <si>
    <t>10.1037/0278-7393.34.1.243</t>
  </si>
  <si>
    <t>10.1037--0278-7393.34.1.243.pdf</t>
  </si>
  <si>
    <t>Ricker, A. A., &amp; Saide, A. (2023, September 28). Replication of JI Campbell, ND Robert (2008, JEPLMC 34(3), Exp 3). Retrieved from osf.io/gxvd3</t>
  </si>
  <si>
    <t>Phonological similarity</t>
  </si>
  <si>
    <t>Attention, Humans, Mental Recall, Phonetics, Psychoacoustics, Semantics, Serial Learning, Speech Perception, Verbal Learning</t>
  </si>
  <si>
    <t>Free recall, but not serial recall, of lists of phonologically related to-be-remembered items are disrupted by an irrelevant sound stream (end rhymes) sharing similar phonological content</t>
  </si>
  <si>
    <t>"Of particular importance for the purpose of the present study is the significant interaction between instruction type and sound condition, F(2, 92) = 3.13, p &lt; .05, d = 0.52."</t>
  </si>
  <si>
    <t>p. 3; F(2, 92) = 3.13</t>
  </si>
  <si>
    <t>p. 7; F(2, 232) = 1.63</t>
  </si>
  <si>
    <r>
      <rPr>
        <rFont val="Arial, sans-serif"/>
        <color rgb="FF1155CC"/>
        <u/>
      </rPr>
      <t>https://osf.io/vj2xr</t>
    </r>
  </si>
  <si>
    <t>1. The second OSF link: https://osf.io/pgvej
 2. Confidence rating was excluded from the replication. Given that it was collected in the original study after the recall, I consider this study to be a close replication</t>
  </si>
  <si>
    <t>Auditory distraction, phonological similarity, selective attention, free recall, serial recall</t>
  </si>
  <si>
    <t>Phonologically similar irrelevant items disrupted recall compared with phonologically dissimilar items in free recall</t>
  </si>
  <si>
    <t>The purpose of the present study is the significant interaction between instruction type and sound condition, F(2, 92) = 3.13, p &lt; .05, d = 0.52</t>
  </si>
  <si>
    <r>
      <rPr>
        <rFont val="Arial, sans-serif"/>
        <color rgb="FF1155CC"/>
        <u/>
      </rPr>
      <t>https://osf.io/vj2xr</t>
    </r>
  </si>
  <si>
    <t>osc2015120_1</t>
  </si>
  <si>
    <t>osc2015120</t>
  </si>
  <si>
    <t>Lewis, Corinna Gemmecke</t>
  </si>
  <si>
    <t>The table states that the correlation was tested one-tailed (in the original), the report does not specify this.</t>
  </si>
  <si>
    <t>Only difference: coding whether the original effect size was tested one tailed or two-tailed --&gt; not reported in the manuscript on p. 3</t>
  </si>
  <si>
    <t>Hajcak, G., &amp; Foti, D. (2008). Errors are aversive: Defensive motivation and the error-related negativity. Psychological science, 19(2), 103-108.</t>
  </si>
  <si>
    <t>10.1111/j.1467-9280.2008.02053.x</t>
  </si>
  <si>
    <t>10.1111--j.1467-9280.2008.02053.x.pdf</t>
  </si>
  <si>
    <t>Lewis, M., &amp; Pitts, M. (2023, September 28). Replication of Hajcak &amp; Foti (2008, PS, Study 1).</t>
  </si>
  <si>
    <t xml:space="preserve">10.17605/osf.io/82bwv   </t>
  </si>
  <si>
    <t>Error-related negativity</t>
  </si>
  <si>
    <t>Affect, Defense Mechanisms, Female, Humans, Male, Motivation, Time Factors, Verbal Behavior, Vocabulary</t>
  </si>
  <si>
    <t>The magnitude of the startle response following an error is correlated to the amplitude of the Error-Related Negativity (ERN)</t>
  </si>
  <si>
    <t>"The amplitude of the ERN predicted the degree to which errors potentiated the startle response (see Fig. 2; r = .38, p &lt; .05). Because the magnitude of the ERN is negative and startle potentiation following errors is positive, this negative correlation indicates that individuals with larger error-related brain activity were characterized by larger increases in startle responses after errors."</t>
  </si>
  <si>
    <r>
      <rPr>
        <rFont val="Arial, sans-serif"/>
        <color rgb="FF1155CC"/>
        <u/>
      </rPr>
      <t>https://osf.io/hsntd</t>
    </r>
  </si>
  <si>
    <t>1. Although in RPP table this paper was in Social science, I would rather put it in Cognitive because of the studied phenomenon and methods. However, I report along with the RPP table the final Code.</t>
  </si>
  <si>
    <t>Error-related negativity, motivation, affect, defense mechanisms, verbal behavior, vocabulary</t>
  </si>
  <si>
    <t>The amplitude of the ERN predicted the degree to which errors potentiated the startle response (see Fig. 2; r = .38, p &lt; .05)</t>
  </si>
  <si>
    <t>r = -0.38</t>
  </si>
  <si>
    <t>r = -0.25</t>
  </si>
  <si>
    <r>
      <rPr>
        <rFont val="Arial, sans-serif"/>
        <color rgb="FF1155CC"/>
        <u/>
      </rPr>
      <t>https://osf.io/hsntd</t>
    </r>
  </si>
  <si>
    <t>Overall your validation work was very good and transparent,. I could easily understand the comments and issues, thank you!
A few minor points:
- please remove merged cells (this can happen if you copy from MS Excel to Google Spreadsheets and when the text is wider than a cell and the next cell is empty)
- there should be no empty cells except for the exclusion variable (some study numbers were missing and for some NA pvals the tails and types should also have been coded as NA)
- please don't paste effect sizes AND test statistics into the es_value_ cells. Report the effect size only and paste the test statistics in the notes variable</t>
  </si>
  <si>
    <t>osc2015121_1</t>
  </si>
  <si>
    <t>osc2015121</t>
  </si>
  <si>
    <t>Beer, Corinna Gemmecke</t>
  </si>
  <si>
    <t>Authors reported p-rep instead of p-value, another effect size was available, too (z = 5.43)</t>
  </si>
  <si>
    <t>Difference in effect size of the replication study. The second coder did not code the effect size of the table.</t>
  </si>
  <si>
    <t>Tabibnia, G., Satpute, A.B., Lieberman, M.D. (2008). The sunny side of fairness: Preference for fairness activates reward circuitry (and disregarding unfairness activates self-control circuitry). Psychological Science, 19(4), 339-347.</t>
  </si>
  <si>
    <t>10.1111/j.1467-9280.2008.02091.x</t>
  </si>
  <si>
    <t>10.1111--j.1467-9280.2008.02091.x.pdf</t>
  </si>
  <si>
    <t>Beer, J. S., Rigney, A. E., &amp; Flagan, T. (2016, August 19). Replication of G Tabibnia, AB Satpute, MD Lieberman (2008, PS 19(4)). Retrieved from osf.io/94j6h</t>
  </si>
  <si>
    <t>10.17605/osf.io/nxp9w</t>
  </si>
  <si>
    <t>Fairness preferences</t>
  </si>
  <si>
    <t>Adolescent, Adult, Affect, Cerebral Cortex [physiology], Conflict (Psychology), Female, Happiness, Humans, Male, Prefrontal Cortex [physiology], Reward, Social Control, Informal, Social Justice</t>
  </si>
  <si>
    <t>Accepting unfair offers increases right ventrolateral prefrontal cortex activation</t>
  </si>
  <si>
    <t>"However, a large cluster (k = 834) in right VLPFC was active in this comparison (x = 50, y = 44, z = 8), t(11) = 5.39, p-rep &gt; .99, d = 3.25, a finding consistent with the hypothesis that accepting unfair offers may involve emotion regulation"</t>
  </si>
  <si>
    <t>p. 5, 6; t(11) = 5.39</t>
  </si>
  <si>
    <t>Z = 4.92, N = 24</t>
  </si>
  <si>
    <r>
      <rPr>
        <rFont val="Arial, sans-serif"/>
        <color rgb="FF1155CC"/>
        <u/>
      </rPr>
      <t>https://osf.io/vqzx9</t>
    </r>
  </si>
  <si>
    <t>4 subgroup effects</t>
  </si>
  <si>
    <t>1. The final report of replication in under another link: https://osf.io/nxp9w
 2. Although the study in RPP table is in Social sciences, it is more about neuroscience due to target and methodology. However, I report along with RPP table. 
 3. Updates were made for the replication, but no major changes -&gt; close replication
 4. Authors reported p-replication (probability of replication) instead of p-value</t>
  </si>
  <si>
    <t>Fairness acceptance</t>
  </si>
  <si>
    <t>Affect, Cerebral Cortex, Conflict, Happiness, Prefrontal Cortex, Reward, Social Control, Informal, Social Justice, fairness, acceptance, ultimatum game</t>
  </si>
  <si>
    <t>However, a large cluster (k = 834) in right VLPFC was active in this comparison (x = 50, y = 44, z = 8), t(11) = 5.39, p-rep &gt; .99, d = 3.25, a finding consistent with the hypothesis that accepting unfair offers may involve emotion regulation</t>
  </si>
  <si>
    <t>z = 4.92</t>
  </si>
  <si>
    <r>
      <rPr>
        <rFont val="Arial, sans-serif"/>
        <color rgb="FF1155CC"/>
        <u/>
      </rPr>
      <t>https://osf.io/vqzx9</t>
    </r>
  </si>
  <si>
    <t>osc2015122_1</t>
  </si>
  <si>
    <t>osc2015122</t>
  </si>
  <si>
    <t>Schlegelmilch, Corinna Gemmecke</t>
  </si>
  <si>
    <t>The authors of the original report report r-square as an effect size, but I was not sure whether you can use that effect size for further codings. The authors of the replication report report Cohens dz and I was not sure whether you can work with this effect size and whether it corrects for dependence. Therefore, I only report test statistics.</t>
  </si>
  <si>
    <t>Differences in coding of effect sizes --&gt; t tests were chosen over R²; reported replication test statistic is -9.59 but it says "mean localization error for targets was higher than for distractors, p.4; which is why the sign was omitted here</t>
  </si>
  <si>
    <t>Alvarez, G.A. &amp; Oliva, A. (2008). The representation of simple ensemble visual features outside the focus of attention. Psychological Science, 19(4), 392-398.</t>
  </si>
  <si>
    <t>10.1111/j.1467-9280.2008.02098.x</t>
  </si>
  <si>
    <t>10.1111--j.1467-9280.2008.02098.x.pdf</t>
  </si>
  <si>
    <t>Schlegelmilch, R., &amp; van den Bergh, D. (2023, September 28). Replication of GA Alvarez, A Oliva (2008, PS 19(4), Exp. 3). Retrieved from osf.io/dnaxe</t>
  </si>
  <si>
    <t>Representation of ensemble visual features</t>
  </si>
  <si>
    <t>Adolescent, Adult, Attention, Humans, Visual Perception</t>
  </si>
  <si>
    <t>Reporting error on the location of missing distractors items was less when the targets were spatially distinct</t>
  </si>
  <si>
    <t>"As Figure 4b illustrates, localization error in the centroid condition was significantly lower for targets than for distractors,[..] but centroid localization was better than chance for both targets [...] and distractors, t(7) = 2.76, p = .028, r-square = .52"</t>
  </si>
  <si>
    <t>t(7) = 2.76</t>
  </si>
  <si>
    <t>t(16)= 9.59</t>
  </si>
  <si>
    <t>p. 4; changed sign</t>
  </si>
  <si>
    <r>
      <rPr>
        <rFont val="Arial, sans-serif"/>
        <color rgb="FF1155CC"/>
        <u/>
      </rPr>
      <t>https://osf.io/fs3ut</t>
    </r>
  </si>
  <si>
    <t>1 additional effect - depending on whether we code original values only reported in replication (based on reanalyses)</t>
  </si>
  <si>
    <t>1. Authors of replication stated that they did minor changes to screen size, but adjusted all paramaters to the renewed screen. Since this can affect the visual perception directly, I put the replication to conceptual category
 2. R-square is used for ES measurement
 3. For replication Cohen's dz is used</t>
  </si>
  <si>
    <t>Ensemble perception</t>
  </si>
  <si>
    <t>Attention, Visual Perception, object tracking task, local visual features, statistical summary features</t>
  </si>
  <si>
    <t>As Figure 4b illustrates, localization error in the centroid condition was significantly lower for targets than for distractors, t(7) = 3.17, p = .016, r-square = .59, but centroid localization was better than chance for both targets, t(7) = 8.32, p &lt; .001, r-square = .88, and distractors, t(7) = 2.76, p = .028, r-square = .52</t>
  </si>
  <si>
    <r>
      <rPr>
        <rFont val="Arial, sans-serif"/>
        <color rgb="FF1155CC"/>
        <u/>
      </rPr>
      <t>https://osf.io/fs3ut</t>
    </r>
  </si>
  <si>
    <t>osc2015123_1</t>
  </si>
  <si>
    <t>osc2015123</t>
  </si>
  <si>
    <t>EXCLUSION</t>
  </si>
  <si>
    <t>Woodman, G. F., Kang, M. S., Thompson, K., &amp; Schall, J. D. (2008). The effect of visual search efficiency on response preparation: neurophysiological evidence for discrete flow. Psychological science, 19(2), 128-136.</t>
  </si>
  <si>
    <t>10.1111/j.1467-9280.2008.02058.x</t>
  </si>
  <si>
    <t>10.1111--j.1467-9280.2008.02058.x.pdf</t>
  </si>
  <si>
    <t>Animals, Macaca mulatta, Macaca radiata, Neurophysiology, Reaction Time, Saccades [physiology], Visual Fields [physiology], Visual Perception</t>
  </si>
  <si>
    <t>The effect of visual search efficiency on response preparation</t>
  </si>
  <si>
    <t>2 subgroup effects</t>
  </si>
  <si>
    <t>1. No replication</t>
  </si>
  <si>
    <t>osc2015124_1</t>
  </si>
  <si>
    <t>osc2015124</t>
  </si>
  <si>
    <t>Stieger, Corinna Gemmecke</t>
  </si>
  <si>
    <t>I was not sure whether you could use omega as an effect size. Therefore, I report test statistics.; Only p-rep is reported</t>
  </si>
  <si>
    <t>Difference in reporting of p-value. The second coder reports p-rep.; Difference in nesting: Both performed analysis were analysis of vaiance (no reporting of repeated measures). --&gt; p-rep is wrong, first coder's values were chosen</t>
  </si>
  <si>
    <t>Lau, G.P., Kay, A.C., &amp; Spencer, S.J. (2008). Loving those who justify inequality: The effects of system threat on attraction to women who embody benevolent sexist ideals. Psychological Science, 19, 20-21.</t>
  </si>
  <si>
    <t>Stieger, S., &amp; Kuhlmann, T. (2023, September 28). Replication of GP Lau, AC Kay, SJ Spencer (2008, PS 19(1)). Retrieved from osf.io/fxqsk</t>
  </si>
  <si>
    <t>Effects of System Threat on Attraction to Women Who Embody Benevolent Sexist Ideals</t>
  </si>
  <si>
    <t>Adolescent, Adult, Canada, Cross-Cultural Comparison, Culture, Humans, Male, Politics, Prejudice, Rationalization, Social Change, Social Desirability, Socioeconomic Factors, Stereotyping</t>
  </si>
  <si>
    <t>Male participants whose faith in the federal system was threatened showed greater romantic interest in women who embody benevolent sexist ideals than in women who do not embody these ideals</t>
  </si>
  <si>
    <t>"A 2 (system threat vs. no threat) × 2 (benevolent-stereotypic vs. non-benevolent-stereotypic) analysis of variance conducted on the mean ratings of romantic interest revealed a significant two-way interaction, F(1,34) = 55.89, p = .93, w-square = .02"</t>
  </si>
  <si>
    <t>F(1, 34) = 5.89</t>
  </si>
  <si>
    <t>p. 3; F(1, 68) = 0.08</t>
  </si>
  <si>
    <r>
      <rPr>
        <rFont val="Arial, sans-serif"/>
        <color rgb="FF1155CC"/>
        <u/>
      </rPr>
      <t>https://osf.io/tpzk9</t>
    </r>
  </si>
  <si>
    <t>1. Two more OSF links: https://osf.io/fymue, https://osf.io/2uh78
 2. There was no information about Discipline in the RPP table, thus I put my considerations into the cell</t>
  </si>
  <si>
    <t>Benevolent stereotyping</t>
  </si>
  <si>
    <t>Prejudice, rationalization, social change, social desirability, socioeconomic factors, stereotyping, system-justification theory, benevolent stereotyping, relationship</t>
  </si>
  <si>
    <t>A 2 (system threat vs. no threat) × 2 (benevolent-stereotypic vs. non-benevolent-stereotypic) analysis of variance conducted on the mean ratings of romantic interest revealed a significant two-way interaction, F(1,34) = 55.89, p = .93, w-square = .02</t>
  </si>
  <si>
    <t>omega</t>
  </si>
  <si>
    <r>
      <rPr>
        <rFont val="Arial, sans-serif"/>
        <color rgb="FF1155CC"/>
        <u/>
      </rPr>
      <t>https://osf.io/tpzk9</t>
    </r>
  </si>
  <si>
    <t>osc2015126_1</t>
  </si>
  <si>
    <t>osc2015126</t>
  </si>
  <si>
    <t>Deary, I. J., Batty, G. D., &amp; Gale, C. R. (2008). Bright children become enlightened adults. Psychological science, 19(1), 1-6.</t>
  </si>
  <si>
    <t>10.1111/j.1467-9280.2008.02036.x</t>
  </si>
  <si>
    <t>10.1111--j.1467-9280.2008.02036.x.pdf</t>
  </si>
  <si>
    <t>Adolescent, Adult, Child, Child Development, Cohort Studies, Educational Status, Female, Great Britain, Humans, Individuality, Intelligence, Male, Models, Psychological, Politics, Prejudice, Social Class, Social Justice, Social Values</t>
  </si>
  <si>
    <t>Bright children become enlightened adults</t>
  </si>
  <si>
    <t>Multiple additional effects - depending on whether we code original values only reported in replication (based on reanalyses)</t>
  </si>
  <si>
    <t>1. There is no replication</t>
  </si>
  <si>
    <t>osc2015127_1</t>
  </si>
  <si>
    <t>osc2015127</t>
  </si>
  <si>
    <t>Levitan, Corinna Gemmecke</t>
  </si>
  <si>
    <t>The authors of the original report report a value of p = .000, but as a p-value can not be zero, I changed the value. A two-tailed paired t-test was used, thus the test should control for nesting.</t>
  </si>
  <si>
    <r>
      <rPr>
        <rFont val="Calibri, sans-serif"/>
        <color rgb="FF000000"/>
        <sz val="11.0"/>
      </rPr>
      <t xml:space="preserve">Difference in p-value of original report and in "pval_tails_r", but the replication report notes on p. 3 that a two-tailed paired t-test was used. Therefore, the test should also control for nesting (the test was also used in the original study). Correct? -&gt; two tails were chosen, yes to nesting ni paired t tests; changed sign as replication was coded differently "as Winawer et al. found, motion aftereffects were present following the presentation of a still photograph depicting motion" p. 4 </t>
    </r>
    <r>
      <rPr>
        <rFont val="Calibri, sans-serif"/>
        <color rgb="FF1155CC"/>
        <sz val="11.0"/>
        <u/>
      </rPr>
      <t>https://osf.io/ertbg</t>
    </r>
  </si>
  <si>
    <t>Winawer, Huk, and Boroditsky (2008). A Motion aftereffect from still photographs depicting motion. Psychological Science, 19, 276-283.</t>
  </si>
  <si>
    <t>10.1111/j.1467-9280.2008.02080.x</t>
  </si>
  <si>
    <t>10.1111--j.1467-9280.2008.02080.x.pdf</t>
  </si>
  <si>
    <t>Levitan, C., Errington, T. M., &amp; Gampa, A. (2023, September 28). Replication of Winawer, Huk, &amp; Boroditsky (Psychological Science, 2008). Retrieved from osf.io/mjasz</t>
  </si>
  <si>
    <t>https://osf.io/ertbg</t>
  </si>
  <si>
    <t>Motion aftereffect</t>
  </si>
  <si>
    <t>Attention, Cues, Figural Aftereffect, Humans, Imagination, Motion Perception, Orientation, Pattern Recognition, Visual, Photography, Psychophysics, Transfer (Psychology)</t>
  </si>
  <si>
    <t>Motion aftereffects were present following the presentation of a still photograph depicting motion</t>
  </si>
  <si>
    <t>"Subjects in the third experiment showed significant adapta- tion to inward and outward implied motion. The point of per- ceived null motion shifted by 0.17 _x0003_ 0.04 units of normalized coherence, t(28) = 4.98, p = .000, prep = .99"</t>
  </si>
  <si>
    <t>t(28) = 4.98</t>
  </si>
  <si>
    <t>p. 4; t(25)=-3.1029; changed sign</t>
  </si>
  <si>
    <r>
      <rPr>
        <rFont val="Arial, sans-serif"/>
        <color rgb="FF1155CC"/>
        <u/>
      </rPr>
      <t>https://osf.io/m9suf</t>
    </r>
  </si>
  <si>
    <t>1. Changes in distance between viewer and screen could affect the results -&gt; conceptual replication</t>
  </si>
  <si>
    <t>Motion aftereffec</t>
  </si>
  <si>
    <t>Attention, Cues, Figural Aftereffect, Humans, Imagination, Motion Perception, Orientation, Pattern Recognition, Visual, Photography, Psychophysics</t>
  </si>
  <si>
    <t>The point of perceived null motion shifted by 0.17 ± 0.04 units of normalized coherence, t(28) = 4.98, p &lt; .001, p-rep = .99, or 5.7 ± 1.0% of actual coherence, t(28) = 5.48, p &lt; .001, p-rep = .99</t>
  </si>
  <si>
    <r>
      <rPr>
        <rFont val="Arial, sans-serif"/>
        <color rgb="FF1155CC"/>
        <u/>
      </rPr>
      <t>https://osf.io/m9suf</t>
    </r>
  </si>
  <si>
    <t>osc2015129_1</t>
  </si>
  <si>
    <t>osc2015129</t>
  </si>
  <si>
    <t>Lai, Corinna Gemmecke</t>
  </si>
  <si>
    <t>Only p-rep was reported (original report); The OSF page of the replication project does not work.</t>
  </si>
  <si>
    <t>As this coding is not complete, I choose the second one.</t>
  </si>
  <si>
    <t>Richeson, J. A., &amp; Trawalter, S. (2008). The threat of appearing prejudiced and race-based attentional biases. Psychological Science, 19(2), 98-102.</t>
  </si>
  <si>
    <t>10.1111/j.1467-9280.2008.02052.x</t>
  </si>
  <si>
    <t>10.1111--j.1467-9280.2008.02052.x.pdf</t>
  </si>
  <si>
    <r>
      <rPr>
        <rFont val="Calibri, sans-serif"/>
        <color rgb="FF38761D"/>
        <sz val="11.0"/>
      </rPr>
      <t xml:space="preserve">Lai, C. K. (2023). Replication of Richeson &amp; Trawalter (2008, PS, Study 1). Retrieved from </t>
    </r>
    <r>
      <rPr>
        <rFont val="Calibri, sans-serif"/>
        <color rgb="FF38761D"/>
        <sz val="11.0"/>
        <u/>
      </rPr>
      <t>osf.io/c5fza</t>
    </r>
  </si>
  <si>
    <t>Race-based attentional bias</t>
  </si>
  <si>
    <t>Adult, Anxiety [psychology], Arousal [physiology], Attention, Attitude, Bias (Epidemiology), Facial Expression, Female, Humans, Male, Prejudice</t>
  </si>
  <si>
    <t>High External Motivation (EM) participants exhibit attentional biases for neutral Black faces, but not happy Black faces.</t>
  </si>
  <si>
    <t>"The three-way interaction of group, presentation duration, and facial expression was reliable, F(1,26) = 4.17, p-rep = .92, d = 0.80"</t>
  </si>
  <si>
    <t>0.80; F(1, 26) = 4.17</t>
  </si>
  <si>
    <t>0.00; F(1, 64) = .02</t>
  </si>
  <si>
    <r>
      <rPr>
        <rFont val="Arial, sans-serif"/>
        <color rgb="FF1155CC"/>
        <u/>
      </rPr>
      <t>https://osf.io/s2d6t</t>
    </r>
  </si>
  <si>
    <t>1. Minor changes to the paradigm</t>
  </si>
  <si>
    <r>
      <rPr>
        <rFont val="Calibri, sans-serif"/>
        <color rgb="FF38761D"/>
        <sz val="11.0"/>
      </rPr>
      <t xml:space="preserve">Lai, C. K. (2023). Replication of Richeson &amp; Trawalter (2008, PS, Study 1). Retrieved from </t>
    </r>
    <r>
      <rPr>
        <rFont val="Calibri, sans-serif"/>
        <color rgb="FF38761D"/>
        <sz val="11.0"/>
        <u/>
      </rPr>
      <t>osf.io/c5fza</t>
    </r>
  </si>
  <si>
    <t>Attentional bias</t>
  </si>
  <si>
    <t>Attentional bias, prejudice, anxiety, dot-probe detection paradigm, threatening cues, race, motivation</t>
  </si>
  <si>
    <t>High External Motivation (EM) participants exhibit attentional biases for neutral Black faces, but not happy Black faces</t>
  </si>
  <si>
    <t>The three-way interaction of group, presentation duration, and facial expression was reliable, F(1,26) = 4.17, p-rep = .92, d = 0.80</t>
  </si>
  <si>
    <t>p. 3; F(1, 26) = 4.17</t>
  </si>
  <si>
    <t>p. 4; F(1, 64) = .02</t>
  </si>
  <si>
    <r>
      <rPr>
        <rFont val="Arial, sans-serif"/>
        <color rgb="FF1155CC"/>
        <u/>
      </rPr>
      <t>https://osf.io/s2d6t</t>
    </r>
  </si>
  <si>
    <t>osc201513_1</t>
  </si>
  <si>
    <t>osc201513</t>
  </si>
  <si>
    <t>Ricker, Corinna Gemmecke</t>
  </si>
  <si>
    <t>Only difference in p-value of replication. The p-value was lower than .001.</t>
  </si>
  <si>
    <t>Campbell, J.I., &amp; Robert, N.D. (2008). Bidirectional associations in multiplication memory: Conditions of negative and positive transfer. Journal of Experimental Psychology: Learning, Memory, and Cognition, 34(3), 546-555.</t>
  </si>
  <si>
    <t>10.1037/0278-7393.34.3.546</t>
  </si>
  <si>
    <t>10.1037--0278-7393.34.3.546.pdf</t>
  </si>
  <si>
    <t>Bidirectional Associations in Multiplication Memory</t>
  </si>
  <si>
    <t>Adolescent, Adult, Female, Humans, Male, Mathematics, Mental Recall, Practice (Psychology), Problem Solving, Retention (Psychology), Transfer (Psychology)</t>
  </si>
  <si>
    <t>response times were faster when participants were given the same mathematical operation to practice and to test, relative to operational change or a new problem</t>
  </si>
  <si>
    <t>"There was a robust Group X Problem Type interaction, F(2,68) = 41.59, MSE = 4470.55, p &lt; .001"</t>
  </si>
  <si>
    <t>F(2, 68) = 41.59</t>
  </si>
  <si>
    <t>F(2, 68) = 41.603</t>
  </si>
  <si>
    <r>
      <rPr>
        <rFont val="Arial, sans-serif"/>
        <color rgb="FF1155CC"/>
        <u/>
      </rPr>
      <t>https://osf.io/689xc</t>
    </r>
  </si>
  <si>
    <t>1. The second OSF link: https://osf.io/d2yqj
 2. I would say it is a close replication, since authors only changed the software and instructional presentation was not detailed in original study
 3. The Effect can be either "Numeracy" (object, phenomenon) or Identical Elements Model (effect). I chose the broader term.</t>
  </si>
  <si>
    <t>Numeracy</t>
  </si>
  <si>
    <t>Arithmetic, factoring, multiplication, transfer, identical elements</t>
  </si>
  <si>
    <t>Practising the same mathematical operation which will occur in experimental part increased the response time in comparison to operational change)</t>
  </si>
  <si>
    <t>There was a robust Group X Problem Type interaction, F(2,68) = 41.59, MSE = 4470.55, p &lt; .001</t>
  </si>
  <si>
    <r>
      <rPr>
        <rFont val="Arial, sans-serif"/>
        <color rgb="FF1155CC"/>
        <u/>
      </rPr>
      <t>https://osf.io/689xc</t>
    </r>
  </si>
  <si>
    <t>osc2015132_1</t>
  </si>
  <si>
    <t>osc2015132</t>
  </si>
  <si>
    <t>Jonas, Corinna Gemmeck</t>
  </si>
  <si>
    <t>There were two replication studies (one from Amsterdam and one from the U.S.). The combined analysis is also described in the paper. However, the table only describes the amsterdam study.</t>
  </si>
  <si>
    <t>The codings align to a large extant. However, coder 2 reported etasqu although it was partial etasqu. Moreover, my description of the effect is more general.</t>
  </si>
  <si>
    <t>Crosby, J.R., Monin, B., &amp; Richardson, D. (2008). Where do we look during potentially offensive behavior? Psychological Science, 19(3), 226-228.</t>
  </si>
  <si>
    <t>10.1111/j.1467-9280.2008.02072.x</t>
  </si>
  <si>
    <t>10.1111--j.1467-9280.2008.02072.x.pdf</t>
  </si>
  <si>
    <t>Jonas, K., &amp; Skorinko, J. (2023, September 28). Replication of JR Crosby, B Monin, D Richardson (2008, PS 19(3)). Retrieved from osf.io/b98zw</t>
  </si>
  <si>
    <t>10.1126--science.aac4716.pdf</t>
  </si>
  <si>
    <t>Social referencing</t>
  </si>
  <si>
    <t>African Continental Ancestry Group [psychology], Association, Attention, European Continental Ancestry Group [psychology], Eye Movements, Fixation, Ocular, Humans, Interpersonal Relations, Orientation, Prejudice, Social Identification</t>
  </si>
  <si>
    <t>Seeking out the responses of potentially victimized group member to help assess the situation.</t>
  </si>
  <si>
    <t>"We performed a 2 (headphones on vs. off) × 4 (discussant) analysis of variance on the total looking times to the discussants during the potentially offensive comments and found a significant interaction, F(3,69) = 5.15, p &lt; .005, p-rep = .997, partial η2​ = .18 (Fig. 1b)", "From a cognitive perspective, these results reveal that participants simultaneously attend to what is said, who can hear what is said, the social identity of the listeners, and the possible reactions of the listeners, corroborating recent findings that eye movements are influenced by a range of subtle linguistic and interpersonal factors"</t>
  </si>
  <si>
    <t>F(1.48, 41.458) = 1.401</t>
  </si>
  <si>
    <r>
      <rPr>
        <rFont val="Arial, sans-serif"/>
        <color rgb="FF1155CC"/>
        <u/>
      </rPr>
      <t>https://doi.org/10.17605/OSF.IO/HB7KJ</t>
    </r>
  </si>
  <si>
    <t>Jonas</t>
  </si>
  <si>
    <t>1. There were two studies, with one more conceptual replication and one - close replication. Since Amsterdam study was reported in RPP table, I put conceptual 
 2. The data for replicatgion was taken from this link: https://osf.io/nkaw4</t>
  </si>
  <si>
    <t>direct</t>
  </si>
  <si>
    <t>African Continental Ancestry Group, Association, Attention, European Continental Ancestry Group, Eye Movements, Fixation, Ocular, Interpersonal Relations, Orientation, Prejudice, Social Identification, social referencing, association hypothesis, offensive comment</t>
  </si>
  <si>
    <t>When a White man made a potentially offensive comment in the presence of a Black man, participants would look at the Black man for a longer period of time if he could hear the comment than if he could not</t>
  </si>
  <si>
    <r>
      <rPr>
        <rFont val="Arial, sans-serif"/>
        <color rgb="FF1155CC"/>
        <u/>
      </rPr>
      <t>https://doi.org/10.17605/OSF.IO/HB7KJ</t>
    </r>
  </si>
  <si>
    <t>osc2015133_1</t>
  </si>
  <si>
    <t>osc2015133</t>
  </si>
  <si>
    <t>Renkewitz, Corinna Gemmecke</t>
  </si>
  <si>
    <t>1. Multiple changes were made in the replicational procedure / design -&gt; conceptual 
 2. The results in the original study are coded as significant, however neither p value or alpha level is indicated. I assume it to be 0.05 and put "p &lt; 0.05"</t>
  </si>
  <si>
    <t>Replication and original study used a within-subjects analysis of variance and therefore controls for nesting. The original does not indicate any p-value or alpha level. Therefore, it should be NA.</t>
  </si>
  <si>
    <t>Nairne, J.S., Pandeirada, J.N.S., &amp; Thompson, S.R. (2008). Adaptive memory: The comparative value of survival processing. Psychological Science, 19(2), 176–180.</t>
  </si>
  <si>
    <t>10.1111/j.1467-9280.2008.02064.x</t>
  </si>
  <si>
    <t>10.1111--j.1467-9280.2008.02064.x.pdf</t>
  </si>
  <si>
    <t>Renkewitz, F., &amp; Müller, S. M. (2023, September 28). Replication of Nairne, Pandeirada, &amp; Thompson (2008, PS, Study 2). Retrieved from osf.io/jhkpe</t>
  </si>
  <si>
    <t>Survival processing</t>
  </si>
  <si>
    <t>Adaptation, Physiological, Adaptation, Psychological, Humans, Memory [physiology], Survival, Vocabulary</t>
  </si>
  <si>
    <t>Humans show a superior memory when words were rated for survival relevance</t>
  </si>
  <si>
    <t>"Once again, survival processing produced a clear and significant recall advantage — this time against a contextually rich but non-survival-related control, F(1,23) = 5.70, MSE = 0.028, partial η2 ​= .20"</t>
  </si>
  <si>
    <r>
      <rPr>
        <rFont val="Arial, sans-serif"/>
        <color rgb="FF1155CC"/>
        <u/>
      </rPr>
      <t>https://doi.org/10.17605/OSF.IO/ZC468</t>
    </r>
  </si>
  <si>
    <t>Adaptation, memory, survival, survival-based processing</t>
  </si>
  <si>
    <t>Words rated for survival relevance were recalled more often</t>
  </si>
  <si>
    <t>Once again, survival processing produced a clear and significant recall advantage — this time against a contextually rich but non-survival-related control, F(1,23) = 5.70, MSE = 0.028, partial η2 ​= .20</t>
  </si>
  <si>
    <r>
      <rPr>
        <rFont val="&quot;Arial, sans-serif&quot;"/>
        <color rgb="FF1155CC"/>
        <u/>
      </rPr>
      <t>https://osf.io/zc468</t>
    </r>
  </si>
  <si>
    <t>osc2015134_1</t>
  </si>
  <si>
    <t>osc2015134</t>
  </si>
  <si>
    <t>Seibel, Corinna Gemmecke</t>
  </si>
  <si>
    <t>The table and the replication report do not align with each other. I chose the effect of the replication report.</t>
  </si>
  <si>
    <t>The table and replication report do not align. Coder 2 seems to chose the table. Morover, the replication report states that the p-value is below .001.</t>
  </si>
  <si>
    <t>Larsen, J.T., &amp; McKibban, A.R. (2008). Is happiness having what you want, wanting what you have, or both? Psychological Science, 19, 371-377.</t>
  </si>
  <si>
    <t>10.1111/j.1467-9280.2008.02095.x</t>
  </si>
  <si>
    <t>10.1111--j.1467-9280.2008.02095.x.pdf</t>
  </si>
  <si>
    <t>Seibel, L., Vermue, M., van Dooren, R., Kolorz, F. M., Cillessen, L., &amp; Krause, R. W. (2023, September 28). Replication of Larsen &amp; McKibban (Psych Science, 2008, Exp. 2). Retrieved from osf.io/5dx4v</t>
  </si>
  <si>
    <t>Schachtel's maxim</t>
  </si>
  <si>
    <t>Adult, Attitude, Female, Happiness, Humans, Male, Pilot Projects, Quality of Life [psychology], Questionnaires</t>
  </si>
  <si>
    <t>People who have what they want are happier.</t>
  </si>
  <si>
    <t>"Similarly, people who had what they wanted more than others did tended to be happier even after we controlled for the number of things they had and the extent to which they wanted what they had, pr = .21, p-rep = .92"</t>
  </si>
  <si>
    <t>partial r-square</t>
  </si>
  <si>
    <r>
      <rPr>
        <rFont val="Arial, sans-serif"/>
        <color rgb="FF1155CC"/>
        <u/>
      </rPr>
      <t>https://doi.org/10.17605/OSF.IO/K5CWT</t>
    </r>
  </si>
  <si>
    <t>1. The correlation is partial
 2. There can be cultural effect on the results -&gt; conceptual replication
 3. Authors reported p-replication (probability of replication) instead of p-value</t>
  </si>
  <si>
    <t>Attitude, Happiness, Quality of Life, Questionnaires, will, desire, probability theory</t>
  </si>
  <si>
    <t>People who had what they wanted were happier than others, even after controlling for the degree to which they wanted what they had</t>
  </si>
  <si>
    <t>Similarly, people who had what they wanted more than others did tended to be happier even after we controlled for the number of things they had and the extent to which they wanted what they had, pr = .21, p-rep = .92</t>
  </si>
  <si>
    <r>
      <rPr>
        <rFont val="&quot;Arial, sans-serif&quot;"/>
        <color rgb="FF1155CC"/>
        <u/>
      </rPr>
      <t>https://osf.io/k5cwt</t>
    </r>
  </si>
  <si>
    <t>osc2015135_1</t>
  </si>
  <si>
    <t>osc2015135</t>
  </si>
  <si>
    <t>Cohn, Corinna Gemmecke</t>
  </si>
  <si>
    <t>Three preregistrations of replication; The table states that the effect of the replication study was tested two-sided while the report does not indicate so.; Authors reported prep instead of p-value in the original study.</t>
  </si>
  <si>
    <t>SAJ:
-Coders were very similar. 
-Fixed merged cell and scientific notation in cells on chosen row. 
-Chosen row correctly identified the tails in the original report (not the replication project)</t>
  </si>
  <si>
    <t>Ranganath, K. A., &amp; Nosek, B. A. (2008). Implicit attitude generalization occurs immediately; explicit attitude generalization takes time. Psychological Science, 19(3), 249-254.</t>
  </si>
  <si>
    <t>10.1111/j.1467-9280.2008.02076.x</t>
  </si>
  <si>
    <t>10.1111--j.1467-9280.2008.02076.x.pdf</t>
  </si>
  <si>
    <t>Cohn, M. (2023, September 28). Replication of Ratliff (Ranganath) &amp; Nosek, 2008, Psych Science. Retrieved from osf.io/2gkjt</t>
  </si>
  <si>
    <t>Implicit attitude generalization</t>
  </si>
  <si>
    <t>Adult, Association, Attitude, Decision Making, Feedback, Psychological, Female, Generalization, Response, Humans, Individuality, Interpersonal Relations, Judgment, Male, Mental Recall, Middle Aged, Personality Inventory, Social Behavior, Social Identification</t>
  </si>
  <si>
    <t>Associative links (e.g., shared group membership) are sufficient for implicit attitude generalization, but deliberative logic (e.g., individual group members are not necessarily the same) can reduce explicit generalization by association.</t>
  </si>
  <si>
    <t>"There was no difference between the effectiveness of the induction on attitudes toward the original people (M = 0.07, SD = 0.42) and attitudes toward the new people (M = 0.08, SD = 0.45), t(562) = 0.11, p-rep = .18, d = -0.004, even though the new individuals were not involved in the induction procedure"</t>
  </si>
  <si>
    <r>
      <rPr>
        <rFont val="Arial, sans-serif"/>
        <color rgb="FF1155CC"/>
        <u/>
      </rPr>
      <t>https://doi.org/10.17605/OSF.IO/PX56H</t>
    </r>
  </si>
  <si>
    <t>Implicit Attitude Generalization</t>
  </si>
  <si>
    <t>Association, Attitude, Decision Making, Feedback, Generalization, Response, Individuality, Interpersonal Relations, Judgment, Mental Recall, Personality Inventory, Social Behavior, Social Identification</t>
  </si>
  <si>
    <t>Participants were unable to prevent the information about the original individuals from influencing their implicit responses toward the new individuals</t>
  </si>
  <si>
    <t>There was no difference between the effectiveness of the induction on attitudes toward the original people (M = 0.07, SD = 0.42) and attitudes toward the new people (M = 0.08, SD = 0.45), t(562) = 0.11, p-rep = .18, d = -0.004, even though the new individuals were not involved in the induction procedure</t>
  </si>
  <si>
    <r>
      <rPr>
        <rFont val="&quot;Arial, sans-serif&quot;"/>
        <color rgb="FF1155CC"/>
        <u/>
      </rPr>
      <t>https://osf.io/px56h</t>
    </r>
  </si>
  <si>
    <t>osc2015136_1</t>
  </si>
  <si>
    <t>osc2015136</t>
  </si>
  <si>
    <t>Giner-Sorolla</t>
  </si>
  <si>
    <t>Three preregistrations of replication report; Table states that study 2 is replicated while the report states that it is study 1</t>
  </si>
  <si>
    <t>SAJ: 
- The codings align.
- Corrected typesetting errors, e.g. commas instead of decimel places
- Expanded tags by merging form 2 coders</t>
  </si>
  <si>
    <t>KD Vohs, JW Schooler (2008). The value of believing in free will: encouraging a belief in determinism increases cheating. Psychological Science, 19.1: 49-54.</t>
  </si>
  <si>
    <t>10.1111/j.1467-9280.2008.02045.x</t>
  </si>
  <si>
    <t>10.1111--j.1467-9280.2008.02045.x.pdf</t>
  </si>
  <si>
    <t>Giner-Sorolla, R., Embley, J., &amp; Johnson, L. (2023, September 28). Replication of Vohs &amp; Schooler (2008, PS, Study 1). Retrieved from osf.io/i29mh</t>
  </si>
  <si>
    <t>Belief in free will</t>
  </si>
  <si>
    <t>Culture, Deception, Female, Genetic Determinism, Humans, Internal-External Control, Male, Moral Development, Personal Autonomy, Persuasive Communication, Problem Solving, Social Environment</t>
  </si>
  <si>
    <t>Exposure to the deterministic message increased cheating on a task in which participants could passively allow a flawed computer program to reveal answers to mathematical problems that they had been instructed to solve themselves. Moreover, increased cheating behavior was mediated by decreased belief in free will.</t>
  </si>
  <si>
    <t>"Analysis of the main dependent measure, degree of cheating, revealed that, as predicted, participants cheated more frequently after reading the anti-free-will essay (M = 14.00, SD = 4.17) than after reading the control essay (M = 9.67, SD = 5.58), t(28) = 3.04, p &lt; .01"</t>
  </si>
  <si>
    <t>t(28) = 3.04</t>
  </si>
  <si>
    <t>t(56) = -0.77</t>
  </si>
  <si>
    <r>
      <rPr>
        <rFont val="Arial, sans-serif"/>
        <color rgb="FF1155CC"/>
        <u/>
      </rPr>
      <t>https://doi.org/10.17605/OSF.IO/PPPJG</t>
    </r>
  </si>
  <si>
    <t>1. Another OSF links: https://osf.io/bx64z
 2. There is no explanation of how participants were devided to groups, thus it is difficult to calculate Cohen's d. I reported the calculted in ES calculations Cohen's d</t>
  </si>
  <si>
    <t>Free will</t>
  </si>
  <si>
    <r>
      <rPr>
        <rFont val="Calibri"/>
        <color theme="1"/>
        <sz val="11.0"/>
      </rPr>
      <t xml:space="preserve">Free will, determinism, mathematical task, cheating, anti-free-will, </t>
    </r>
    <r>
      <rPr>
        <rFont val="Calibri"/>
        <color rgb="FF00FF00"/>
        <sz val="11.0"/>
      </rPr>
      <t>Culture, Deception, Female, Genetic Determinism, Humans, Internal-External Control, Male, Moral Development, Personal Autonomy, Persuasive Communication, Problem Solving, Social Environment</t>
    </r>
  </si>
  <si>
    <t>Participants cheated more frequently after reading the anti-free-will essay than after reading the control essay</t>
  </si>
  <si>
    <t>Analysis of the main dependent measure, degree of cheating, revealed that, as predicted, participants cheated more frequently after reading the anti-free-will essay (M = 14.00, SD = 4.17) than after reading the control essay (M = 9.67, SD = 5.58), t(28) = 3.04, p &lt; .01</t>
  </si>
  <si>
    <r>
      <rPr>
        <rFont val="&quot;Arial, sans-serif&quot;"/>
        <color rgb="FF1155CC"/>
        <u/>
      </rPr>
      <t>https://osf.io/pppjg</t>
    </r>
  </si>
  <si>
    <t>osc2015139_1</t>
  </si>
  <si>
    <t>osc2015139</t>
  </si>
  <si>
    <t>Snyder, Corinna Gemmecke</t>
  </si>
  <si>
    <t xml:space="preserve">Corinna:
- A repeated measures ANOVA was performed, thus the nesting was selected in replication. 
- Coder 2 used the table to code, which deviated at some points from the replication report.
SAJ:
-Discrepancies between coders reviewed, original replication report reviewed
- Validator 1 was correct in asserting the nestedness of the replication
- Added detial to tags by combining information from two coders. </t>
  </si>
  <si>
    <t>Demany, L., Trost, W., Serman, M., &amp; Semal, C. (2008). Auditory change detection: simple sounds are not memorized better than complex sounds. Psychological Science, 19(1), 85-91.</t>
  </si>
  <si>
    <t>10.1111/j.1467-9280.2008.02050.x</t>
  </si>
  <si>
    <t>10.1111--j.1467-9280.2008.02050.x.pdf</t>
  </si>
  <si>
    <t>Snyder, J. S., &amp; Irsik, V. C. (2023, September 28). Replication of L Demany, W Trost, M Serman, C Semal (2008, PS 19(1), Exp. 5). Retrieved from osf.io/ta3j8</t>
  </si>
  <si>
    <t>Change detection</t>
  </si>
  <si>
    <r>
      <rPr>
        <rFont val="Calibri"/>
        <color theme="1"/>
        <sz val="11.0"/>
      </rPr>
      <t>Attention, Humans, Judgment, Mental Recall, Music, Pitch Perception, Psychoacoustics, Reaction Time, Sound Spectrography,</t>
    </r>
    <r>
      <rPr>
        <rFont val="Calibri"/>
        <color rgb="FF00FF00"/>
        <sz val="11.0"/>
      </rPr>
      <t xml:space="preserve"> change detection, change perception</t>
    </r>
  </si>
  <si>
    <t>Mechanisms of change detection are dissimilar in vision and audition; specifically, auditory memory makes change detection easier in audition than in vision</t>
  </si>
  <si>
    <t>"In Experiment 5 (see Fig. 2d), ISI again had a significant main effect, F(3,9) = 8.5, p = .005, p-rep = .97, η2 = .74"</t>
  </si>
  <si>
    <r>
      <rPr>
        <rFont val="Arial, sans-serif"/>
        <color rgb="FF1155CC"/>
        <u/>
      </rPr>
      <t>https://doi.org/10.17605/OSF.IO/WM2A8</t>
    </r>
  </si>
  <si>
    <t>Snyder</t>
  </si>
  <si>
    <t>Attention, Judgment, Mental Recall, Music, Pitch Perception, Psychoacoustics, Reaction Time, Sound Spectrography, change detection, change perception</t>
  </si>
  <si>
    <t>In Experiment 5 (see Fig. 2d), ISI again had a significant main effect, F(3,9) = 8.5, p = .005, p-rep = .97, η2 = .74</t>
  </si>
  <si>
    <r>
      <rPr>
        <rFont val="&quot;Arial, sans-serif&quot;"/>
        <color rgb="FF1155CC"/>
        <u/>
      </rPr>
      <t>https://osf.io/wm2a8</t>
    </r>
  </si>
  <si>
    <t>osc2015140_1</t>
  </si>
  <si>
    <t>osc2015140</t>
  </si>
  <si>
    <t>Joy Gaba, Corinna Gemmecke</t>
  </si>
  <si>
    <t>Two preregistrations of replication report: Original study reports only prep (.95)</t>
  </si>
  <si>
    <t xml:space="preserve">Corinna: 
-It was a one-way ANOVA, thus the p-value is one-tailed.
SAJ:
- Validator 1s assertion of one-way equating to one tail is false, there is not information on tails in the replication report 
- Original replicaiton report checked to understand discrepancy between coder 1 and 2 on p-values of the replication (0.78 versus 0.79) - coder 1 was correct. </t>
  </si>
  <si>
    <t>Williams, L. E. &amp; Bargh, J. A. (2008). Keeping one’s distance: The influence of spatial distance cues on affect and evaluation. Psychological Science, 19, 302 – 308.</t>
  </si>
  <si>
    <t>10.1111/j.1467-9280.2008.02084.x</t>
  </si>
  <si>
    <t>10.1111--j.1467-9280.2008.02084.x.pdf</t>
  </si>
  <si>
    <t>Joy-Gaba, J. A., Clay, R., &amp; Cleary, H. (2023, September 28). Replication of Williams &amp; Bargh (2008, PS, Study 4). Retrieved from osf.io/vnsqg</t>
  </si>
  <si>
    <t>Spatial priming</t>
  </si>
  <si>
    <t>Adult, Affect, Cues, Culture, Dangerous Behavior, Energy Intake, Female, Food Habits [psychology], Humans, Judgment, Male, Object Attachment, Personal Space, Reading, Self-Assessment, Social Facilitation, Social Perception, Violence [psychology]</t>
  </si>
  <si>
    <t>When people are primed with a sense of spatial distance, rather than closeness, they report weaker bonds to their siblings, parents, and hometown</t>
  </si>
  <si>
    <t>"An ANOVA revealed that the three spatial-prime groups differed significantly in the reported strength of their bonds to their family and hometown, F(2,81) = 4.97, p-rep = .95, η2 = .11"</t>
  </si>
  <si>
    <r>
      <rPr>
        <rFont val="Arial, sans-serif"/>
        <color rgb="FF1155CC"/>
        <u/>
      </rPr>
      <t>https://doi.org/10.17605/OSF.IO/P87CN</t>
    </r>
  </si>
  <si>
    <t>Priming, spatial priming, Affect, Cues, Culture, Dangerous Behavior, Energy Intake, Food Habits, Judgment, Object Attachment, Personal Space, Reading, Self-Assessment, Social Facilitation, Social Perception, Violence</t>
  </si>
  <si>
    <t>An ANOVA revealed that the three spatial-prime groups differed significantly in the reported strength of their bonds to their family and hometown, F(2,81) = 4.97, p-rep = .95, η2 = .11</t>
  </si>
  <si>
    <r>
      <rPr>
        <rFont val="&quot;Arial, sans-serif&quot;"/>
        <color rgb="FF1155CC"/>
        <u/>
      </rPr>
      <t>https://osf.io/p87cn</t>
    </r>
  </si>
  <si>
    <t>osc2015142_1</t>
  </si>
  <si>
    <t>osc2015142</t>
  </si>
  <si>
    <t>Masicampo, Corinna Gemmecke</t>
  </si>
  <si>
    <t>Corinna: 
- Codings align, but replication used partial etasqu.
SAJ:
- COders aligned
- Updated typesetting issues
- Combined tags to improve overall informational value</t>
  </si>
  <si>
    <t>Tamir, M., Mitchell, C., &amp; Gross, J.J. (2008). Hedonic and instrumental motives in anger regulation. Psychological Science, 19(4). 324-328.</t>
  </si>
  <si>
    <t>10.1111/j.1467-9280.2008.02088.x</t>
  </si>
  <si>
    <t>10.1111--j.1467-9280.2008.02088.x.pdf</t>
  </si>
  <si>
    <t>Masicampo, E. J. (2016, August 19). Replication of M Tamir, C Mitchell, JJ Gross (2008, PS 19(4)). Retrieved from osf.io/k4y9i</t>
  </si>
  <si>
    <t>Motives in anger regulation</t>
  </si>
  <si>
    <r>
      <rPr>
        <rFont val="Calibri"/>
        <color theme="1"/>
        <sz val="11.0"/>
      </rPr>
      <t>Adult, Affect, Anger, Humans, Leisure Activities, Male, Motivation, Music, Social Control, Informal,</t>
    </r>
    <r>
      <rPr>
        <rFont val="Calibri"/>
        <color rgb="FF00FF00"/>
        <sz val="11.0"/>
      </rPr>
      <t xml:space="preserve"> hedonic emotion regulation, instrumental emotion regulation</t>
    </r>
  </si>
  <si>
    <t>Individuals prefer activities that increase their level of anger when they are anticipating confrontational but not nonconfrontational tasks</t>
  </si>
  <si>
    <t>"As expected, we found a significant Game Type × Emotion interaction, F(2,162) = 192.89, p &lt; .001 (see Fig. 1). Preferences for anger-inducing activities were higher than preferences for exciting and neutral activities when participants anticipated playing confrontational games."</t>
  </si>
  <si>
    <t>F(2, 162) = 192.89</t>
  </si>
  <si>
    <r>
      <rPr>
        <rFont val="Arial, sans-serif"/>
        <color rgb="FF1155CC"/>
        <u/>
      </rPr>
      <t>https://doi.org/10.17605/OSF.IO/TR7FP</t>
    </r>
  </si>
  <si>
    <t>Masicampo</t>
  </si>
  <si>
    <t>Affect, Anger, Leisure Activities, Motivation, Music, Social Control, Informal, hedonic emotion regulation, instrumental emotion regulation</t>
  </si>
  <si>
    <t>Preferences for anger-inducing activities were higher than preferences for exciting and neutral activities when participants anticipated playing confrontational games</t>
  </si>
  <si>
    <t>As expected, we found a significant Game Type × Emotion interaction, F(2,162) = 192.89, p &lt; .001 (see Fig. 1).</t>
  </si>
  <si>
    <r>
      <rPr>
        <rFont val="&quot;Arial, sans-serif&quot;"/>
        <color rgb="FF1155CC"/>
        <u/>
      </rPr>
      <t>https://osf.io/tr7fp</t>
    </r>
  </si>
  <si>
    <t>osc2015143_1</t>
  </si>
  <si>
    <t>osc2015143</t>
  </si>
  <si>
    <t>Sandstrom, Corinna Gemmecke</t>
  </si>
  <si>
    <t>Corinna: 
- Codings align
SAJ:
- Coders aligned
-Fixed typsetting issues
-Agree with chosen row - has better tags/description</t>
  </si>
  <si>
    <t>Epley, N., Akalis, S., Waytz, A., &amp; Cacioppo, J.T. (2008). Creating social connection through inferential reproduction: Loneliness and perceived agency in gadgets, Gods and greyhounds. Psychological Science, 19(2), 114–120.</t>
  </si>
  <si>
    <t>10.1111/j.1467-9280.2008.02056.x</t>
  </si>
  <si>
    <t>10.1111--j.1467-9280.2008.02056.x.pdf</t>
  </si>
  <si>
    <t>Dunn, E. W., &amp; Sandstrom, G. M. (2023, September 28). Replication of Epley, Akalis, Waytz &amp; Cacioppo (2008, PS, Study 3). Retrieved from osf.io/yuybh</t>
  </si>
  <si>
    <t>Compensating social connections</t>
  </si>
  <si>
    <t>Adult, Female, Humans, Interpersonal Relations, Loneliness, Male, Motivation, Object Attachment, Questionnaires, Religion and Psychology, Social Behavior</t>
  </si>
  <si>
    <t>People are motivated to maintain social con- nection with others, and those who lack social connection with other humans may try to compensate by creating a sense of human connection with nonhuman agents. This may occur in at least two ways—by anthropomorphizing nonhuman agents such as nonhuman animals and gadgets to make them appear more humanlike and by increasing belief in commonly anthropomorphized religious agents (such as God).</t>
  </si>
  <si>
    <t>"A 3 (condition: disconnected, fear, control) × 3 (measure: supernatural agents, social-connection traits, faces identified) mixed-model ANOVA using these standardized measures yielded only the predicted interaction presented in the results already discussed, F(4,108) = 3.67, p = .01, eta-square = .12"</t>
  </si>
  <si>
    <t>F(4, 150) = 0.58</t>
  </si>
  <si>
    <r>
      <rPr>
        <rFont val="Arial, sans-serif"/>
        <color rgb="FF1155CC"/>
        <u/>
      </rPr>
      <t>https://doi.org/10.17605/OSF.IO/HT9DU</t>
    </r>
  </si>
  <si>
    <t>Connection</t>
  </si>
  <si>
    <t>Interpersonal relations, loneliness, motivation, object attachment, seclusion, human-like agents, anthropomorphism, fear, connection, disconnection</t>
  </si>
  <si>
    <t>People who were feeling socially disconnected attempted to restore feelings of belonging by demonstrating more beliefs in supernatural agents and events, and by attributing more social traits to pets</t>
  </si>
  <si>
    <t>A 3 (condition: disconnected, fear, control) × 3 (measure: supernatural agents, social-connection traits, faces identified) mixed-model ANOVA using these standardized measures yielded only the predicted interaction presented in the results already discussed, F(4,108) = 3.67, p = .01, eta-square = .12</t>
  </si>
  <si>
    <r>
      <rPr>
        <rFont val="&quot;Arial, sans-serif&quot;"/>
        <color rgb="FF1155CC"/>
        <u/>
      </rPr>
      <t>https://osf.io/ht9du</t>
    </r>
  </si>
  <si>
    <t>osc2015145_1</t>
  </si>
  <si>
    <t>osc2015145</t>
  </si>
  <si>
    <t>Thomae, Corinna Gemmecke</t>
  </si>
  <si>
    <t xml:space="preserve">Corinna:
- Codings largely align, but Coder 2 used the results of a table in the replication report (that summerizes the results). However, as the p-value can never be zero, I chose this row.
SAJ:
- Corrected typesetting issues in cells
- Combined coders to expand tags to mak more complete
- Consider the main effect to be a close replication (with extensions). </t>
  </si>
  <si>
    <t>Halevy, N., Bornstein, G., &amp; Sagiv, L. (2008). “In-group love” and “out-group hate” as motives for individual participation in intergroup conflict: A new game paradigm. Psychological science, 19(4), 405-411.</t>
  </si>
  <si>
    <t>10.1111/j.1467-9280.2008.02100.x</t>
  </si>
  <si>
    <t>10.1111--j.1467-9280.2008.02100.x.pdf</t>
  </si>
  <si>
    <t>Thomae, M., Wood, M. J., &amp; Immelman, N. (2023, September 28). Replication of N Halevy, G Bornstein, L Sagiv (2008, PS 19(4)). Retrieved from osf.io/76qc5</t>
  </si>
  <si>
    <t>Individual Participation in Intergroup Conflict</t>
  </si>
  <si>
    <r>
      <rPr>
        <rFont val="Calibri"/>
        <color theme="1"/>
        <sz val="11.0"/>
      </rPr>
      <t xml:space="preserve">Adult, Conflict (Psychology), Female, Hate, Humans, Interpersonal Relations, Love, Male, Motivation, </t>
    </r>
    <r>
      <rPr>
        <rFont val="Calibri"/>
        <color rgb="FF00FF00"/>
        <sz val="11.0"/>
      </rPr>
      <t>intergroup prisoner’s dilemma-maximizing difference, intergroup prisoner’s dilemma</t>
    </r>
  </si>
  <si>
    <t>Contributions in the intergroup prisoner's dilemma-maximizing difference game are made almost exclusively in the within-group pool.</t>
  </si>
  <si>
    <t>"In the no-communication condition, participants contributed an average of 47% of their en- dowment to pool W and less than 6% to pool B. The contribution rate to pool B in the IPD-MD game was significantly lower than the contribution rate to pool B (the only pool) in the IPD game, F(1,76) = 109.74, p = .001"</t>
  </si>
  <si>
    <t>F(1, 76) = 109.74</t>
  </si>
  <si>
    <r>
      <rPr>
        <rFont val="&quot;Arial, sans-serif&quot;"/>
        <color rgb="FF1155CC"/>
        <u/>
      </rPr>
      <t>https://osf.io/k82yb</t>
    </r>
  </si>
  <si>
    <t>1. Important difference in how groups were seated (together or separately) -&gt; conceptual replication
 2. The effect can be either "Intragroup / intergroup conflict" or "Cooperation". The second term is broader, thus I chose it</t>
  </si>
  <si>
    <t>Cooperation</t>
  </si>
  <si>
    <t>Conflict, Hate, Interpersonal Relations, Love, Motivation, intergroup prisoner’s dilemma-maximizing difference, intergroup prisoner’s dilemma</t>
  </si>
  <si>
    <t>The contribution rate to Between-group Pool was significantly lower in the IPD-MD game than the contribution rate to Between-group Pool in the IPD game (contributions were made almost exclusively to the cooperative, within-group pool)</t>
  </si>
  <si>
    <t>The contribution rate to pool B in the IPD-MD game was significantly lower than the contribution rate to pool B (the only pool) in the IPD game, F(1,76) = 109.74, p = .001</t>
  </si>
  <si>
    <r>
      <rPr>
        <rFont val="&quot;Arial, sans-serif&quot;"/>
        <color rgb="FF1155CC"/>
        <u/>
      </rPr>
      <t>https://osf.io/k82yb</t>
    </r>
  </si>
  <si>
    <t>osc2015146_1</t>
  </si>
  <si>
    <t>osc2015146</t>
  </si>
  <si>
    <t>Melinger, Corinna Gemmecke</t>
  </si>
  <si>
    <t xml:space="preserve">Corinna: 
- The conducted test was a within-subjects t-test
SAJ:
- Corrected typesetting issues
- Improved tags by combining values from both coders
- Nestedness in original clear - in replication it is a paired samples t-test (not nested)
- Tails indicated as two tailed in replication report (coder 1 correct)
</t>
  </si>
  <si>
    <t>Janssen, N., Alario, F.X., &amp; Caramazza, A. (2008). A word-order constraint on phonological activation. Psychological Science, 19(3), 216-220.</t>
  </si>
  <si>
    <t>10.1111/j.1467-9280.2008.02070.x</t>
  </si>
  <si>
    <t>10.1111--j.1467-9280.2008.02070.x.pdf</t>
  </si>
  <si>
    <t>Melinger, A. (2023, September 28). Replication of N Janssen, FX Alario, A Caramazza (2008, PS 19(3), Exp. 2). Retrieved from osf.io/dncxa</t>
  </si>
  <si>
    <t>Word-order constraints</t>
  </si>
  <si>
    <r>
      <rPr>
        <rFont val="Calibri"/>
        <color theme="1"/>
        <sz val="11.0"/>
      </rPr>
      <t xml:space="preserve">Color Perception, Humans, Language, Pattern Recognition, Visual, Phonetics, Psycholinguistics, Semantics, Verbal Behavior, </t>
    </r>
    <r>
      <rPr>
        <rFont val="Calibri"/>
        <color rgb="FF00FF00"/>
        <sz val="11.0"/>
      </rPr>
      <t>cross-linguistic contrast, word-order constraints</t>
    </r>
  </si>
  <si>
    <t>Word-order influences phronological representation in language production</t>
  </si>
  <si>
    <t>"The RT analysis revealed an effect of congruency, t1​(14) = 3.20, p &lt; .007, p-rep = .960, d = 1.71"</t>
  </si>
  <si>
    <r>
      <rPr>
        <rFont val="&quot;Arial, sans-serif&quot;"/>
        <color rgb="FF1155CC"/>
        <u/>
      </rPr>
      <t>https://osf.io/qmpky</t>
    </r>
  </si>
  <si>
    <t>Word-order constraint</t>
  </si>
  <si>
    <t>Color Perception, Language, Pattern Recognition, Visual, Phonetics, Semantics, Verbal Behavior, cross-linguistic contrast, word-order constraints</t>
  </si>
  <si>
    <t>Object naming times in the congruent condition were faster than in the incongruent condition, althought not significantly</t>
  </si>
  <si>
    <t>The RT analysis revealed an effect of congruency, t1​(14) = 3.20, p &lt; .007, p-rep = .960, d = 1.71</t>
  </si>
  <si>
    <r>
      <rPr>
        <rFont val="&quot;Arial, sans-serif&quot;"/>
        <color rgb="FF1155CC"/>
        <u/>
      </rPr>
      <t>https://osf.io/qmpky</t>
    </r>
  </si>
  <si>
    <t>osc2015148_1</t>
  </si>
  <si>
    <t>osc2015148</t>
  </si>
  <si>
    <t>Frazier, Corinna Gemmecke</t>
  </si>
  <si>
    <t xml:space="preserve">Corinna:
- Replication reports states that throughout the whole article all tests are two-tailed.
SAJ:
-Updated chosen row to correct typesetting - all values double checked against replicaiton report for accuracy when updating. </t>
  </si>
  <si>
    <t>Bressan, P. &amp; Stranieri, D. (2008). The best men are (not always) already taken: Female preference for single versus attached males depends on conception risk. Psychological Science, 19, 145-151.</t>
  </si>
  <si>
    <t>10.1111/j.1467-9280.2008.02060.x</t>
  </si>
  <si>
    <t>10.1111--j.1467-9280.2008.02060.x.pdf</t>
  </si>
  <si>
    <t>Frazier, R. S., &amp; Hasselman, F. (2023, September 28). Replication of Bressan &amp; Stranieri (2008, PS, Study 2). Retrieved from osf.io/blcj6</t>
  </si>
  <si>
    <t>Preference</t>
  </si>
  <si>
    <t>Adult, Choice Behavior, Female, Humans, Male, Marriage [psychology], Reproductive Behavior [psychology], Sexual Behavior [psychology], Social Behavior, Social Desirability</t>
  </si>
  <si>
    <t>The Best Men Are (Not Always) Already Taken: Female Preference for Single Versus Attached Males Depends on Conception Risk</t>
  </si>
  <si>
    <t>"More interestingly, man’s availability and participant’s conception risk did not have significant main effects (both Fs&lt;1), but were involved in a significant triple interaction with participant’s partnership status, F(1,194) = 7.16, p = .008, p-rep = .96"</t>
  </si>
  <si>
    <t>F(1, 194) = 7.16</t>
  </si>
  <si>
    <r>
      <rPr>
        <rFont val="&quot;Arial, sans-serif&quot;"/>
        <color rgb="FF1155CC"/>
        <u/>
      </rPr>
      <t>https://osf.io/j3cfm</t>
    </r>
  </si>
  <si>
    <t>1. The study was partially online, thus it required modification in design
 2. The study is called "main study" in the original manuscript, rather than "2".</t>
  </si>
  <si>
    <t>Choice behavior, marriage, reproductive behavior, sexual behavior, social behavior, social desirability, sexual preference</t>
  </si>
  <si>
    <t>More interestingly, man’s availability and participant’s conception risk did not have significant main effects (both Fs&lt;1), but were involved in a significant triple interaction with participant’s partnership status, F(1,194) = 7.16, p = .008, p-rep = .96</t>
  </si>
  <si>
    <t>F(1,194) = 7.16</t>
  </si>
  <si>
    <r>
      <rPr>
        <rFont val="&quot;Arial, sans-serif&quot;"/>
        <color rgb="FF1155CC"/>
        <u/>
      </rPr>
      <t>https://osf.io/j3cfm</t>
    </r>
  </si>
  <si>
    <t>osc201515_1</t>
  </si>
  <si>
    <t>osc201515</t>
  </si>
  <si>
    <t>Cloud, Corinna Gemmecke</t>
  </si>
  <si>
    <t xml:space="preserve">Corinna:
- The ANOVA controlled for nesting and was one-way, but it is not clear whether the t-test was also tested one-tail
SAJ:
-Coder largely aligned
-Updated and corrected typesetting issues
-Checked replication report - no mention of tails on t-test (follow up/post hoc). </t>
  </si>
  <si>
    <t>Schmidt, J. R., &amp; Besner, D. (2008). The Stroop effect: why proportion congruent has nothing to do with congruency and everything to do with contingency. Journal of Experimental Psychology: Learning, Memory, and Cognition, 34(3), 514.</t>
  </si>
  <si>
    <t>10.1037/0278-7393.34.3.514</t>
  </si>
  <si>
    <t>10.1037--0278-7393.34.3.514.pdf</t>
  </si>
  <si>
    <t>Cloud, M. D., &amp; Kyc, M. (2023, September 28). Replication of Schmidt and Besner (2008, JEPLMC, Exp 2). Retrieved from osf.io/bscfe</t>
  </si>
  <si>
    <t>Item-specific proportion congruent (ISPC) effect</t>
  </si>
  <si>
    <t>Attention, Color Perception, Conflict (Psychology), Cues, Discrimination Learning, Humans, Mental Recall, Probability Learning, Reaction Time, Reading, Semantics</t>
  </si>
  <si>
    <t>Stroop effect is larger for words that are presented mostly in congruent colours (e.g., BLUE presented 75% of the time in blue), and smaller for words that are presented mostly in a given incongruent colour (e.g., YELLOW presented 75% of the time in orange).</t>
  </si>
  <si>
    <t>"low contingency trials (31.4%) generated more errors than medium contingency trials, t(94) = 1.929, SEdiff = 0.7, p = .028 (one-tailed), partial eta-squared = .038"</t>
  </si>
  <si>
    <r>
      <rPr>
        <rFont val="&quot;Arial, sans-serif&quot;"/>
        <color rgb="FF1155CC"/>
        <u/>
      </rPr>
      <t>https://osf.io/x5b6d</t>
    </r>
  </si>
  <si>
    <t>1. There were modification (index card, that provided a review of ink color and keyboard key matches) which may influence the results -&gt; conceptual replication
 2. The Effect can be either "Contingency" or "Item-specific proportion congruent effect". I chose the 2nd one as it is stated in the paper and is more descriptive, wherease the 1st term is broader.</t>
  </si>
  <si>
    <t>Item-specific proportion congruent effect</t>
  </si>
  <si>
    <t>Contingency learning, Stroop, proportion congruent, ISPC, attention</t>
  </si>
  <si>
    <t>Low contingency trials produced significantly more errors than the medium contingency trials</t>
  </si>
  <si>
    <t>Planned comparisons revealed that [...] low contingency trials (31.4%) [...] generated more errors than medium contingency trials, t(94) = 1.929, SEdiff = 0.7, p = .028 (one-tailed), partial eta-squared = .038</t>
  </si>
  <si>
    <r>
      <rPr>
        <rFont val="&quot;Arial, sans-serif&quot;"/>
        <color rgb="FF1155CC"/>
        <u/>
      </rPr>
      <t>https://osf.io/x5b6d</t>
    </r>
  </si>
  <si>
    <t>osc2015150_1</t>
  </si>
  <si>
    <t>osc2015150</t>
  </si>
  <si>
    <t>Dorrough, Roksana</t>
  </si>
  <si>
    <t>1. In original study, no p-value is reported. However, the prep = .99</t>
  </si>
  <si>
    <t>Chosen as reported to 3.d.p</t>
  </si>
  <si>
    <t>Forti, S., &amp; Humphreys, G.W. (2008). Sensitivity to object viewpoint and action instructions during search for targets in the lower visual field. Psychological Science, 19(1), 42-48.</t>
  </si>
  <si>
    <t>10.1111/j.1467-9280.2008.02044.x</t>
  </si>
  <si>
    <t>10.1111--j.1467-9280.2008.02044.x.pdf</t>
  </si>
  <si>
    <t>Dorrough, A. R., &amp; Fiedler, S. (2023, September 28). Replication of S Forti, GW Humphreys (2008, PS 19(1)). Retrieved from osf.io/tf8ky</t>
  </si>
  <si>
    <t>Visual search</t>
  </si>
  <si>
    <t>Adolescent, Adult, Attention, Discrimination Learning, Eye Movements, Female, Fixation, Ocular, Humans, Male, Orientation, Probability, Psychomotor Performance, Reaction Time, Semantics, Visual Fields</t>
  </si>
  <si>
    <t>There was a significant interaction between viewpoint (prototypical or non-prototypical) and visual field (upper visual field or lower visual field) on the probability of the first fixation being on the target: The effect of visual field was enhanced for objects depicted in a prototypical orientation</t>
  </si>
  <si>
    <t>"These two factors interacted, F(1, 13) = 14.2, prep &gt; .99. The effect of visual field was enhanced for objects depicted in a prototypical orientation, though visual field was significant for both views."</t>
  </si>
  <si>
    <t>F(1, 13) = 14.2</t>
  </si>
  <si>
    <t>https://osf.io/9r7au</t>
  </si>
  <si>
    <t xml:space="preserve">1. The second OSF link: https://osf.io/u8g3x
2. Since stimulus were recreated, rather than reused, I would suggest to mark the study as conceptual replication
3. I can't understand how the effect can be significant if p &gt; 0.99. I am not sure that I understand what is meant under "p-rep". </t>
  </si>
  <si>
    <t>I would argue that this is a close replication rather than conceptual as all central features are highly similar, the original materials had to be recreated but this was done in line with screenshots and description so doubt it differed that much</t>
  </si>
  <si>
    <t>Attention, discrimination learning, eye movements, ocular, orientation, probability, semantics, visual search, dorsal stream, ventral stream</t>
  </si>
  <si>
    <t>These two factors interacted, F(1,13) = 14.2, p-rep &gt; .99: The effect of visual field was enhanced for objects depicted in a prototypical orientation, though visual field was significant for both views</t>
  </si>
  <si>
    <t>https://osf.io/fj6e8</t>
  </si>
  <si>
    <t>osc2015151_1</t>
  </si>
  <si>
    <t>osc2015151</t>
  </si>
  <si>
    <t>Cheung, Roksana</t>
  </si>
  <si>
    <t>1) 'doi_r' differs from the link provided on page 35 table from OSC 2015 PDF and their effect sizes differ, I coded the one from the link provided in PDF. 2) I coded d= 005 as in the link found in OSC 2015 PDF but the RPPdataConverted.xlsx table contained d= .006, meaning there is inconsistency between the value reported in table and the value reported in replication paper 3)1. In original study, no p-value is reported. However, the prep = .97</t>
  </si>
  <si>
    <t>Chosen as correct link for prereg used, otherwise all the same, I updated the description here from the other coder as mine were done already but updated one is more suitable</t>
  </si>
  <si>
    <t>Schnall S., Benton J., &amp; Harvey S. (2008). With a clean conscience: Cleanliness reduces the severity of moral judgments. &lt;i&gt;Psychological Science&lt;/i&gt;, 19, 1219-1222.</t>
  </si>
  <si>
    <t>Cheung, F., Donnellan, B., &amp; Johnson, D. J. (2023, September 28). Replication of Schnall, Benton, &amp; Harvey (2008, PS). Retrieved from osf.io/apidb</t>
  </si>
  <si>
    <t>10.1027/1864-9335/a000186</t>
  </si>
  <si>
    <t>http://dx.doi.org/10.1027/1864-9335/a000186</t>
  </si>
  <si>
    <t>Adult, Analysis of Variance, Communication, Conscience, Cues, Emotions [physiology], Female, Great Britain, Humans, Intuition [physiology], Judgment [physiology], Male, Morals, Social Behavior, Social Perception, Students [psychology], Young Adult</t>
  </si>
  <si>
    <t>Hand-washing after experiencing disgust led participants to judge moral vignettes with less severity than participants who did not wash their hands</t>
  </si>
  <si>
    <t>"We computed the mean composite of all six moral vignettes and predicted that participants who washed their hands following the disgusting film clip would make less severe judgments than would participants who did not wash their hands. Indeed, a one-way ANOVA with condition (hand washing vs. no hand washing) as a factor found a significant difference between the conditions on the composite rating, F(1, 41) = 7.81, prep = .97, η² = .16."</t>
  </si>
  <si>
    <t>https://osf.io/a8zvk</t>
  </si>
  <si>
    <t>1. Minor changes were made for the replication
2. Authors reported p-replication (probability of replication) instead of p-value</t>
  </si>
  <si>
    <t>Moral judgment</t>
  </si>
  <si>
    <t>Adult, Analysis of Variance, Communication, Conscience, Cues, Emotions, Female, Great Britain, Humans, Intuition, Judgment, Male, Morals, Social Behavior, Social Perception, Students, Young Adult, Replication, Embodiment, Cleanliness, Morality, Effect Size</t>
  </si>
  <si>
    <t>We computed the mean composite of all six moral vignettes and predicted that participants who washed their hands following the disgusting film clip would make less severe judgments than would participants who did not wash their hands. Indeed, a one-way ANOVA with condition (hand washing vs. no hand washing) as a factor found a significant difference between the conditions on the composite rating, F(1,41) = 7.81, p-rep = .97, partial η2 ​= .16</t>
  </si>
  <si>
    <t>https://osf.io/7xupr</t>
  </si>
  <si>
    <t>osc2015153_1</t>
  </si>
  <si>
    <t>osc2015153</t>
  </si>
  <si>
    <t>Saxe, Roksana</t>
  </si>
  <si>
    <r>
      <rPr>
        <rFont val="Arial"/>
      </rPr>
      <t xml:space="preserve">Link provided in OSC 2015 PDF not valid, so I had to find information on this link: </t>
    </r>
    <r>
      <rPr>
        <rFont val="Arial"/>
        <color rgb="FF1155CC"/>
        <u/>
      </rPr>
      <t>https://osf.io/27cmh</t>
    </r>
  </si>
  <si>
    <t>SE Palmer, T Ghose (2008). Extremal edges: a powerful cue to depth perception and figure-ground organization. Psychological Science, 19.1: 77-84.</t>
  </si>
  <si>
    <t>10.1111/j.1467-9280.2008.02049.x</t>
  </si>
  <si>
    <t>10.1111--j.1467-9280.2008.02049.x.pdf</t>
  </si>
  <si>
    <r>
      <rPr>
        <rFont val="Calibri"/>
        <sz val="11.0"/>
      </rPr>
      <t xml:space="preserve">Saxe, R., Vélez, N., &amp; Johnston, W. (2023, September 28). Replication of Palmer &amp; Ghose (2008, PS). Retrieved from </t>
    </r>
    <r>
      <rPr>
        <rFont val="Calibri"/>
        <color rgb="FF1155CC"/>
        <sz val="11.0"/>
        <u/>
      </rPr>
      <t>osf.io/0aifq</t>
    </r>
  </si>
  <si>
    <t>External edges</t>
  </si>
  <si>
    <t>Attention, Contrast Sensitivity, Depth Perception, Discrimination Learning, Field Dependence-Independence, Humans, Optical Illusions, Orientation, Pattern Recognition, Visual</t>
  </si>
  <si>
    <t>Surfaces with a single EE along the shared contour were perceived as closer than surfaces with two EE's orthogonal to the shared contour</t>
  </si>
  <si>
    <t>"The quarter-cylinder EE regions (EE1) were also seen as closer than the rotated convex versions on 85% of the trials with half-cylinder non-EE regions (Convex2) and 90% of the trials with quarter-cylinder non-EE regions (Convex1), ts(7) = 4.45 and 6.13, ps &lt; .001, respectively."</t>
  </si>
  <si>
    <t>t(7) = 4.45</t>
  </si>
  <si>
    <t>t(7) = 0.32</t>
  </si>
  <si>
    <t>https://osf.io/jb2pw/</t>
  </si>
  <si>
    <t>Saxe</t>
  </si>
  <si>
    <t>1, The data for replication was taken from this link: https://osf.io/27cmh</t>
  </si>
  <si>
    <t>Saxe, R., Vélez, N., &amp; Johnston, W. (2023, September 28). Replication of Palmer &amp; Ghose (2008, PS). Retrieved from osf.io/0aifq</t>
  </si>
  <si>
    <t>Extremal edges</t>
  </si>
  <si>
    <t>Attention, Contrast Sensitivity, Depth Perception, Discrimination Learning, Field Dependence-Independence,  Optical Illusions, Orientation, Pattern Recognition, Visual, Extremal edges</t>
  </si>
  <si>
    <t>The quarter-cylinder EE regions (EE1) were also seen as closer than the rotated convex versions on 85% of the trials with half-cylinder non-EE regions (Convex2) and 90% of the trials with quarter-cylinder non-EE regions (Convex1), ts(7) = 4.45 and 6.13, ps ​ &lt;.001, respectively</t>
  </si>
  <si>
    <t>ts(7) = 4.45</t>
  </si>
  <si>
    <t>https://osf.io/gknau</t>
  </si>
  <si>
    <t>osc2015154_1</t>
  </si>
  <si>
    <t>osc2015154</t>
  </si>
  <si>
    <t>Lazarevic, Roksana</t>
  </si>
  <si>
    <t>Heine, S.J., Buchtel, E.E., &amp; Norenzayan, A. (2008). What do cross‐national comparisons of personality traits tell us? The case of conscientiousness. Psychological Science, 19(4), 309-313.</t>
  </si>
  <si>
    <t>10.1111/j.1467-9280.2008.02085.x</t>
  </si>
  <si>
    <t>10.1111--j.1467-9280.2008.02085.x.pdf</t>
  </si>
  <si>
    <t>Lazarevic, L. B., &amp; Knezevic, G. (2023, September 28). Replication of SJ Heine, EE Buchtel, A Norenzayan (2008, PS 19(4), exp 1). Retrieved from osf.io/siaqe</t>
  </si>
  <si>
    <t>Reference group effects</t>
  </si>
  <si>
    <t>Attitude, Cross-Cultural Comparison, Culture, Humans, Morals, Personality, Personality Inventory</t>
  </si>
  <si>
    <t>What Do Cross_National Comparisons of Personality Traits Tell Us? The Case of Conscientiousness</t>
  </si>
  <si>
    <t>"The analyses revealed that the aggregate self-report data from the NEO-PI-R correlated negatively with all the validity criteria for both sets of countries (average r = .43)."</t>
  </si>
  <si>
    <t>https://osf.io/knc2b</t>
  </si>
  <si>
    <t>1. There were slight difference in methodology and quite important age difference in sample -&gt; conceptual
2. P values were not provided in both original and replication studies</t>
  </si>
  <si>
    <t>Chosen due to more detailed notes explaining choice for conceptual</t>
  </si>
  <si>
    <t>Reference group effect</t>
  </si>
  <si>
    <t>Attitude, Cross-Cultural Comparison, Culture, Morals, Personality, Personality Inventory, Reference group effect, perceptions of national character, Fragile State Index</t>
  </si>
  <si>
    <t>Conscientiousness measured by aggregated self-reports on the NEO-PI-R correlated with Postal workers’ speed, Clock accuracy, Walking speed, GDP, Longevity</t>
  </si>
  <si>
    <t>https://osf.io/pua6s</t>
  </si>
  <si>
    <t>osc2015155_1</t>
  </si>
  <si>
    <t>osc2015155</t>
  </si>
  <si>
    <t>Levitan, Roksana</t>
  </si>
  <si>
    <t xml:space="preserve">Chosen due to more inclusion of links </t>
  </si>
  <si>
    <t>Moeller, S.K., Robinson, M.D., Zabelina, D.L. (2008). Personality dominance and preferential use of the vertical dimension of space. Psychological Science, 19, 355-361.</t>
  </si>
  <si>
    <t>10.1111/j.1467-9280.2008.02093.x</t>
  </si>
  <si>
    <t>10.1111--j.1467-9280.2008.02093.x.pdf</t>
  </si>
  <si>
    <t>Levitan, C., &amp; Fernández, B. (2023, September 28). Replication of SK Moeller, MD Robinson, DL Zabelina (2008, Psychological Science, Experiment 2). Retrieved from osf.io/tg2wd</t>
  </si>
  <si>
    <t>Personality dominance</t>
  </si>
  <si>
    <t>Adult, Attention, Choice Behavior, Female, Humans, Male, Metaphor, Personality, Social Dominance, Space Perception, Spatial Behavior</t>
  </si>
  <si>
    <t>Participants who scored as more dominant in personality were more likely to have relatively faster response times to vertical stimuli than horizontal stimuli in predictable-location task</t>
  </si>
  <si>
    <t>"Both correlations were significant, r = .28, p &lt; .05, for the random-location task and r = .31, p &lt; .05, for the predictable-location task."</t>
  </si>
  <si>
    <t>https://osf.io/ywk2q</t>
  </si>
  <si>
    <t>Attention, Choice Behavior, Metaphor, Personality, Social Dominance, Space Perception, Spatial Behavior, verticality/power relationship,  spatial attention task</t>
  </si>
  <si>
    <t>Both correlations were significant, r = -.28, p &lt; .05, for the random-location task and r = -.31, p &lt; .05, for the predictable-location task.</t>
  </si>
  <si>
    <t>https://osf.io/76j48</t>
  </si>
  <si>
    <t>osc2015158_1</t>
  </si>
  <si>
    <t>osc2015158</t>
  </si>
  <si>
    <t>Perugini, Roksana</t>
  </si>
  <si>
    <t>1. In original study, no p-value is reported. However, the prep = .927 2) Block design was different hence conceptual</t>
  </si>
  <si>
    <t>Goschke, T., &amp; Dreisbach, G. (2008). Conflict-triggered goal shielding: response conflicts attenuate background monitoring for prospective memory cues. Psychological science, 19(1), 25–32.</t>
  </si>
  <si>
    <t>10.1111/j.1467-9280.2008.02042.x</t>
  </si>
  <si>
    <t>10.1111--j.1467-9280.2008.02042.x.pdf</t>
  </si>
  <si>
    <t>Costantini, G., &amp; Perugini, M. (2023, September 28). Replication of Goschke &amp; Dreisbach (2008, PS). Retrieved from osf.io/bk53t</t>
  </si>
  <si>
    <t>Goal shielding</t>
  </si>
  <si>
    <t>Attention, Conflict (Psychology), Cues, Goals, Humans, Inhibition (Psychology), Intention, Memory, Short-Term, Orientation, Pattern Recognition, Visual, Psychomotor Performance, Reaction Time</t>
  </si>
  <si>
    <t>Conflict-triggered goal shielding: Response conflicts attenuate background monitoring for prospective memory cues.</t>
  </si>
  <si>
    <t>"Moreover, the interaction of these two variables was reliable, F(1, 38) = 6.21, prep = .927, etasq= .14, reflecting the fact that the detrimental effect of incompatibility on the detection of PM cues was markedly larger for PM cues referring to the task-irrelevant dimension than for PM cues referring to the task-relevant dimension."</t>
  </si>
  <si>
    <t>https://osf.io/zjmkg/</t>
  </si>
  <si>
    <t>1. There were differences in the block design -&gt; conceptual replication</t>
  </si>
  <si>
    <t>Goal shielding, attention, conflict, cues, inhibition, prespectice memory, pattern recognition</t>
  </si>
  <si>
    <t>An interaction between Perspective Memory (PM) cue dimension and compatibility predicted the mean proportion of missed PM cues</t>
  </si>
  <si>
    <t>https://osf.io/rkqw2</t>
  </si>
  <si>
    <t>osc2015161_1</t>
  </si>
  <si>
    <t>osc2015161</t>
  </si>
  <si>
    <t>Cramblet Alvarez, Roksana</t>
  </si>
  <si>
    <t>I would argue this is a close rather than conceptual replication</t>
  </si>
  <si>
    <t>LoBue,V., &amp; DeLoache, J.S. (2008). Detecting the snake in the grass: Attention to fear-relevant stimuli by adults and children. Psychological Science, 19, 284-289.</t>
  </si>
  <si>
    <t>10.1111/j.1467-9280.2008.02081.x</t>
  </si>
  <si>
    <t>10.1111--j.1467-9280.2008.02081.x.pdf</t>
  </si>
  <si>
    <t>Cramblet Alvarez, L. D., Martinez, T., Zuni, K., Tapia, M., &amp; Pipitone, R. N. (2023, September 28). Replication of LoBue &amp; DeLoache (2008, PS, Study 3). Retrieved from osf.io/sd7kg</t>
  </si>
  <si>
    <t>Visual detection</t>
  </si>
  <si>
    <t>Adult, Age Factors, Animals, Attention, Child, Preschool, Fear, Field Dependence-Independence, Humans, Pattern Recognition, Visual, Reaction Time, Snakes</t>
  </si>
  <si>
    <t>Detecting the snake in the grass: attention to fear-relevant stimuli by adults and young children.</t>
  </si>
  <si>
    <t>"The ANOVA revealed significant main effects of target stimulus, F(1, 44) = 13.42, p &lt; .01, prep = .96, and age, F(1, 44) = 29.05, p &lt; .01, prep = 1.0, as well as an age-by-target interaction, F(1, 44) = 5.12, p &lt; .05, prep = .91."</t>
  </si>
  <si>
    <t>F(1, 44) = 13.42</t>
  </si>
  <si>
    <t>https://osf.io/csm3d</t>
  </si>
  <si>
    <t xml:space="preserve">1. The replication was conducted not in the lab
2. The Effect is either "Visual detection" or "Fear-irrelevance". The effect/object is the second, the effect is the second. I chose Visual detection as it is broader. </t>
  </si>
  <si>
    <t>Age Factors, Animals, Attention, Preschool, Fear, Field Dependence-Independence, Pattern Recognition, Visual, Reaction Time, Snakes</t>
  </si>
  <si>
    <t>Young children detect threat-relevant targets more quickly than threat-irrelevant ones</t>
  </si>
  <si>
    <t>The ANOVA revealed significant main effects of target stimulus, F(1,44) = 13.42, p &lt; .01, p-rep = .96, and age, [...] as well as an age-by-target interaction</t>
  </si>
  <si>
    <t>osc2015165_1</t>
  </si>
  <si>
    <t>osc2015165</t>
  </si>
  <si>
    <t>Fuchs, Roksana</t>
  </si>
  <si>
    <t>I would argue chi-squared is better to report than those reported by coder 1</t>
  </si>
  <si>
    <t>Dai, X., Wertenbroch, K., &amp; Brendl, C. M. (2008). The value heuristic in judgments of relative frequency. Psychological Science, 19, 18–19.</t>
  </si>
  <si>
    <t>Fuchs, H., Estel, V., &amp; Goellner, L. (2016, August 19). Replication of Dai, Wertenbroch, &amp; Brendl (2008, PS, Study 1). Retrieved from osf.io/q7f6w</t>
  </si>
  <si>
    <t>Value heuristics</t>
  </si>
  <si>
    <t>Adult, Attention, Concept Formation, Discrimination Learning, Female, Humans, Judgment, Male, Memory, Short-Term, Motivation, Pattern Recognition, Visual, Problem Solving</t>
  </si>
  <si>
    <t>Participants were more likely to underestimate the number of pictures in their value category than in the 'other' category.</t>
  </si>
  <si>
    <t>"In contrast, they were more likely to underestimate the number of bird pictures relative to flower pictures when they expected payment for bird pictures (21 of 32 participants, 66%) than when they expected payment for flower pictures (12 of 31 participants, 39%), χ²(1, N = 56) = 4.51, p = .037, prep = .93, odds ratio = 3.28"</t>
  </si>
  <si>
    <t>X2(1, N=56) = 4.51</t>
  </si>
  <si>
    <t>X2(1, N = 51) = 1.57</t>
  </si>
  <si>
    <t>https://osf.io/b2agf</t>
  </si>
  <si>
    <t>Value heuristic</t>
  </si>
  <si>
    <t>Value heuristic, judgement, frequency, attention, concept formation, discrimination learning, short-term memory, pattern recognition, problem solving</t>
  </si>
  <si>
    <t>They were more likely to underestimate the number of bird pictures relative to flower pictures when they expected payment for bird pictures (21 of 32 participants, 66%) than when they expected payment for flower pictures (12 of 31 participants, 39%), χ²(1, N = 556) = 4.51, p = .037, p-rep = .93, odds ratio = 3.28</t>
  </si>
  <si>
    <t>https://osf.io/p6jxm</t>
  </si>
  <si>
    <t>osc2015167_1</t>
  </si>
  <si>
    <t>osc2015167</t>
  </si>
  <si>
    <t>Renkewitz, Roksana</t>
  </si>
  <si>
    <t>1. In original study, no p-value is reported. However, the prep = .97</t>
  </si>
  <si>
    <t>Estes, Z., Verges, M., &amp; Barsalou, L.W. (2008). Head up, foot down. Object words orient attention to the objects’ typical location. Psychological Science, 19(2), 93–97.</t>
  </si>
  <si>
    <t>10.1111/j.1467-9280.2008.02051.x</t>
  </si>
  <si>
    <t>10.1111--j.1467-9280.2008.02051.x.pdf</t>
  </si>
  <si>
    <t>Renkewitz, F., &amp; Müller, S. M. (2023, September 28). Replication of Estes, Verges, &amp; Barsalou (2008, PS, Study 1). Retrieved from osf.io/vwnit</t>
  </si>
  <si>
    <t>Object words orient attention</t>
  </si>
  <si>
    <t>Attention, Cues, Head, Humans, Space Perception, Vocabulary</t>
  </si>
  <si>
    <t>Attentional effect of object words interfered with the visual perception of a target in the typical location of the object</t>
  </si>
  <si>
    <t>"In the error-rate data, this effect was also significant, F1(1, 17) = 9.33, prep = .97, and F2(1, 58) = 18.96, prep = 1.00, and robust (4.83%, η² = .35)."</t>
  </si>
  <si>
    <t>F(1, 17) = 9.33</t>
  </si>
  <si>
    <t>https://osf.io/2rnj5</t>
  </si>
  <si>
    <t>Inhibition of return</t>
  </si>
  <si>
    <t>Language and perception, mental imagery, perceptual simulation, reflexive orienting, spatial attention</t>
  </si>
  <si>
    <t>In the error-rate data, this effect was also significant, F1​(1,17) = 9.33, p-rep= .97 [...]</t>
  </si>
  <si>
    <t>https://osf.io/z6qw2</t>
  </si>
  <si>
    <t>osc201517_1</t>
  </si>
  <si>
    <t>osc201517</t>
  </si>
  <si>
    <t>Gloeckner, Roksana</t>
  </si>
  <si>
    <t>Chosen as reported partial etasq for rep</t>
  </si>
  <si>
    <t>Fiedler, K. (2008). The ultimate sampling dilemma in experience-based decision making. Journal of Experimental Psychology: Learning, Memory, and Cognition, 34(1), 186.</t>
  </si>
  <si>
    <t>10.1037/0278-7393.34.1.186</t>
  </si>
  <si>
    <t>10.1037--0278-7393.34.1.186.pdf</t>
  </si>
  <si>
    <t>Glöckner, A., &amp; Jekel, M. (2023, September 28). Replication of K Fiedler (2008, JEPLMC, Exp 2). Retrieved from osf.io/hp27x</t>
  </si>
  <si>
    <t>Inferences in probalistic world</t>
  </si>
  <si>
    <t>Adult, Bias (Epidemiology), Choice Behavior, Cognition, Computer Simulation, Decision Making, Decision Theory, Feedback, Psychological, Female, Humans, Judgment, Male</t>
  </si>
  <si>
    <t>The tendency to underestimate the frequency of positive and to overestimate the frequency of negative observations increased from the provider with the smallest to the provider with the highest overall frequency due to differential regression effects</t>
  </si>
  <si>
    <t>"The tendency to underestimate positive and to overestimate negative observations increased from domain T to C, F(1, 38) = 9.73, p &lt; .01, and from P3 to P2 to P1, F(2, 76) = 8.67, p &lt; .001; and the inaccuracy difference between providers was more apparent for domain C than for T, F(2, 76) = 19.42, p &lt; .001. Thus, as different aspects were unequally affected by regression, the resulting subjective estimates were markedly biased in all three dimensions as well as in their interactions."</t>
  </si>
  <si>
    <t>F(2, 76) = 8.67</t>
  </si>
  <si>
    <t>https://osf.io/ny7t5</t>
  </si>
  <si>
    <t>Inferences</t>
  </si>
  <si>
    <t>Sampling, decision making, sampling bias, natural sampling, information search</t>
  </si>
  <si>
    <t>The tendency to underestimate positive and to overestimate negative observations increased from domain T to C, F(1,38) = 9.73, p &lt; .01, and from P3 to P2 to P1, F(2,76) = 8.67, p &lt; .001</t>
  </si>
  <si>
    <t>https://osf.io/3fjvt</t>
  </si>
  <si>
    <t>osc201519_1</t>
  </si>
  <si>
    <t>osc201519</t>
  </si>
  <si>
    <t>Neijenhuijs, Roksana</t>
  </si>
  <si>
    <t>Oberauer, Klaus. "How to say no: Single-and dual-process theories of short-term recognition tested on negative probes." Journal of Experimental Psychology: Learning, Memory, and Cognition 34.3 (2008): 439</t>
  </si>
  <si>
    <t>10.1037/0278-7393.34.3.439</t>
  </si>
  <si>
    <t>10.1037--0278-7393.34.3.439.pdf</t>
  </si>
  <si>
    <t>Neijenhuijs, K. I., Luteijn, I., Bosch, A., van der Hulst, M., Dorsthorst, A. t, van de Ven, M., &amp; Weerdmeester, J. W. (2023, September 28). Replication of K Oberauer (2008, JEPLMC 34(3), Exp 3). Retrieved from osf.io/gcj7x</t>
  </si>
  <si>
    <t>Short term recognition</t>
  </si>
  <si>
    <t>Adolescent, Adult, Association Learning, Attention, Color Perception, Cues, Discrimination Learning, Female, Humans, Male, Memory, Short-Term, Orientation, Reaction Time, Serial Learning</t>
  </si>
  <si>
    <t>Accuracy was significantly lower in long list as it is harder to reject such probes due to more memory matching episodes on the context dimension</t>
  </si>
  <si>
    <t>"Accuracies on new probes were significantly lower for long lists, F(1, 31) = 14.2, p &lt; .001, η²p = .31."</t>
  </si>
  <si>
    <t>https://osf.io/9p2qr</t>
  </si>
  <si>
    <t>1. There is a difference in the sample - high-school students (" in the last 2 years of high school") or 1st year university students. I assume this groups to be quite equal in WM abilities (https://doi.org/10.1038/s41598-020-80866-1), thus the replication is close, rather than conceptual</t>
  </si>
  <si>
    <t>Recognition</t>
  </si>
  <si>
    <t>Recognition, working memory, serial position curves, recollection, familiarity</t>
  </si>
  <si>
    <t>Accuracies on new probes were significantly lower for long lists, F(1, 31) = 14.2, p &lt; .001, partial eta-square = 0.31</t>
  </si>
  <si>
    <t>osc20152_1</t>
  </si>
  <si>
    <t>osc20152</t>
  </si>
  <si>
    <t>Goodbourn, Roksana</t>
  </si>
  <si>
    <t>Morris, A.L., Still, M.L. (2008). Now you see it, now you don't: Repetition blindness for nonwords. Journal of Experimental Psychology: Learning Memory and Cognition, 34(1), 146–166.</t>
  </si>
  <si>
    <t>10.1037--0278-7393.34.1.146.pdf</t>
  </si>
  <si>
    <t>Goodbourn, P. T. (2023, September 28). Replication of Morris and Still (2008). Retrieved from osf.io/rmvk5</t>
  </si>
  <si>
    <t>Repetition Blindness</t>
  </si>
  <si>
    <t>Attentional Blink, Humans, Judgment, Memory, Short-Term, Pattern Recognition, Visual, Reading, Semantics, Serial Learning, Verbal Learning</t>
  </si>
  <si>
    <t>Significant repetition blindness (RB) effect was inducted in nonword condition</t>
  </si>
  <si>
    <t>"Further analysis of the Condition × Lexicality interaction revealed that the RB effect was significant for words, F1(1, 23) = 40.54, F2(1, 46) = 33.41, both ps &lt; .001; and nonwords, F1(1, 23) = 13.71, F2(1, 46) = 9.69, both ps &lt; .005. As in Experiment 5, participants did not tend to report repetitions."</t>
  </si>
  <si>
    <t>F(1, 23) = 13.71</t>
  </si>
  <si>
    <t>https://osf.io/s9m2k</t>
  </si>
  <si>
    <t>1. The differences with original study are mostly technical, thus - close replication</t>
  </si>
  <si>
    <t>Repetition blindness</t>
  </si>
  <si>
    <t>Repetition blindness, nonwords, lexical, sublexical, word recognition</t>
  </si>
  <si>
    <t>Further analysis of the Condition X Lexicality interaction revealed that the RB effect was significant for words, F1(1,23) = 40.54, F2(1, 46) = 33.41, both ps &lt; .001; and nonwords [...]</t>
  </si>
  <si>
    <t>https://osf.io/6xjqm</t>
  </si>
  <si>
    <t>osc201520_1</t>
  </si>
  <si>
    <t>osc201520</t>
  </si>
  <si>
    <t>Fiedler, Roksana</t>
  </si>
  <si>
    <t>Conceptual as experimental design was different</t>
  </si>
  <si>
    <t>Sahakyan, L., Delaney, P. F., &amp; Waldum, E. R. (2008). Intentional forgetting is easier after two" shots" than one. Journal of Experimental Psychology: Learning, Memory, and Cognition, 34(2), 408.</t>
  </si>
  <si>
    <t>10.1037/0278-7393.34.2.408</t>
  </si>
  <si>
    <t>10.1037--0278-7393.34.2.408.pdf</t>
  </si>
  <si>
    <t>Fiedler, S., &amp; May, M. (2023, September 28). Replication of Sahakyan et al. (2008, JEP:LMC, Study 3). Retrieved from osf.io/bzdr2</t>
  </si>
  <si>
    <t xml:space="preserve">Directed forgetting </t>
  </si>
  <si>
    <t>Attention, Humans, Inhibition (Psychology), Intention, Mental Recall, Paired-Associate Learning, Psycholinguistics, Semantics, Verbal Learning</t>
  </si>
  <si>
    <t>Direct forgetting had bigger effect on spaced items, rather than on mass items</t>
  </si>
  <si>
    <t>"In addition, the interaction was significant, F(1, 94) = 4.97, p &lt; .05, MSE = .029, η² = .05, showing that there was significant directed forgetting of spaced items, t(94) = 3.95, p &lt; .001, but not of massed items (t = 1; see Figure 3). The lack of forgetting of massed items likely reflects reduced competition in the forget group—fewer strong items were available to compete with the recall of weak items than those in the control group, and hence weak items recovered."</t>
  </si>
  <si>
    <t>https://osf.io/bk79y</t>
  </si>
  <si>
    <t>1. In my opinion, quite big valuable changes were made in the replication for the experimental design</t>
  </si>
  <si>
    <t>Directed forgetting effect</t>
  </si>
  <si>
    <t>Directed forgetting, context change, list-strength effect, spacing effect</t>
  </si>
  <si>
    <t>In addition, the interaction was significant, F(1, 94) = 4.97, p &lt; .05, MSE = .029, eta-square = .05, showing that there was significant directed forgetting of spaced items, t(94) = 3.95, p &lt; .001, but not of massed items (t = 1; see Figure 3)</t>
  </si>
  <si>
    <t>osc201522_1</t>
  </si>
  <si>
    <t>osc201522</t>
  </si>
  <si>
    <t>Kappes, Roksana</t>
  </si>
  <si>
    <t>corrected reference</t>
  </si>
  <si>
    <t>Colzato, L. S., Bajo, M. T., Van den Wildenberg, W., Paolieri, D., Nieuwenhuis, S., La Heij, W., &amp; Hommel, B. (2008). How does bilingualism improve executive control? A comparison of active and reactive inhibition mechanisms. Journal of Experimental Psychology: Learning, Memory, and Cognition, 34(2), 302.</t>
  </si>
  <si>
    <t>10.1037/0278-7393.34.2.302</t>
  </si>
  <si>
    <t>10.1037--0278-7393.34.2.302.pdf</t>
  </si>
  <si>
    <t>Kappes, H. B. (2023, September 28). Replication of LS Colzato, MT Bajo, W van den Wildenberg, D Paolieri, S Nieuwenhuis, W La Heij, B Hommel (2008, JEPLMC 34(2), Exp. 3). Retrieved from osf.io/p9thw</t>
  </si>
  <si>
    <t>Inhibitory control</t>
  </si>
  <si>
    <t>Adult, Attention, Color Perception, Cues, Female, Functional Laterality, Humans, Inhibition (Psychology), Male, Multilingualism, Orientation, Pattern Recognition, Visual, Psychomotor Performance, Reaction Time</t>
  </si>
  <si>
    <t>The two language groups were comparable in most measures, but bilinguals showed a larger dip of T2 report — a bigger blink, that  is — at Lag 3, which can be attributed to more reactive inhibition in bilinguals</t>
  </si>
  <si>
    <t>"An ANOVA of conditional T2 report revealed a significant effect of lag, F(3, 93) = 38.76, p &lt; .001, MSE = 0.009, that was involved in a two-way interaction with group, F(3, 93) = 5.23, p = .002, MSE = 0.009."</t>
  </si>
  <si>
    <t>F(3, 93) = 5.23</t>
  </si>
  <si>
    <t>https://osf.io/bxumv</t>
  </si>
  <si>
    <t>1. Also there is a second OSF link: https://osf.io/nra37</t>
  </si>
  <si>
    <t>Bilingualism, inhibition, executive functions</t>
  </si>
  <si>
    <t>An ANOVA of conditional T2 report revealed a significant effect of lag, F(3, 93) = 38.76, p = .001, MSE = 0.009, that was involved in a two-way interaction with group, F(3, 93) = 5.23, p = .002, MSE = 0.009.</t>
  </si>
  <si>
    <t>https://osf.io/x2gmb</t>
  </si>
  <si>
    <t>osc201524_1</t>
  </si>
  <si>
    <t>osc201524</t>
  </si>
  <si>
    <t>Hung, Roksana</t>
  </si>
  <si>
    <t>Bassok, M., Pedigo, S.F., &amp; Oskarsson, A.T (2008). Priming Addition Facts with Semantic Relations. Journal of Experimental Psychology: Learning, Memory, and Cognition, 34, 343-352.</t>
  </si>
  <si>
    <t>10.1037/0278-7393.34.2.343</t>
  </si>
  <si>
    <t>10.1037--0278-7393.34.2.343.pdf</t>
  </si>
  <si>
    <t>Hung, C. O., Lin, L., &amp; Tsang, S. (2023, September 28). Replication of M Bassok, SF Pedigo, AT Oskarsson (2008, JEPLMC, Study 1). Retrieved from osf.io/sqim7</t>
  </si>
  <si>
    <t>Semantic relations</t>
  </si>
  <si>
    <t>Adult, Attention, Female, Humans, Male, Mathematics, Mental Recall, Paired-Associate Learning, Problem Solving, Reaction Time, Semantics</t>
  </si>
  <si>
    <t>Priming addition facts with semantic relations.</t>
  </si>
  <si>
    <t>"More important, there was a highly significant Priming Words × Digit Target interaction that was consistent with our semantic alignment hypothesis, F(1, 152) = 23.176, MSE = 6,101, p &lt; .001."</t>
  </si>
  <si>
    <t>F(1, 152) = 23.176</t>
  </si>
  <si>
    <t>F(1, 48) = 4.22</t>
  </si>
  <si>
    <t>https://osf.io/g754e</t>
  </si>
  <si>
    <t>Semantic alignment</t>
  </si>
  <si>
    <t>Analogy, relational priming, cognitive arithmetic, mathematical reasoning, conceptual integration</t>
  </si>
  <si>
    <t>As predicted by the semantic alignment hypothesis, the sum effect occurred in the aligned-categorical but did not occur in the misaligned-unrelated condition</t>
  </si>
  <si>
    <t>More important, there was a highly significant Priming Words × Digit Target interaction that was consistent with our semantic alignment hypothesis, F(1, 152) = 23.176, MSE = 6.101, p &lt; .001</t>
  </si>
  <si>
    <t>https://osf.io/3va2j</t>
  </si>
  <si>
    <t>osc201525_1</t>
  </si>
  <si>
    <t>osc201525</t>
  </si>
  <si>
    <t>Roebke, Roksana</t>
  </si>
  <si>
    <t>Couture, M., Lafond, D., &amp; Tremblay, S. (2008). Learning correct responses and errors in the hebb repetition effect: Two faces of the same coin. Journal of Experimental Psychology: Learning, Memory, and Cognition, 34(3), 524-532.</t>
  </si>
  <si>
    <t>10.1037/0278-7393.34.3.524</t>
  </si>
  <si>
    <t>10.1037--0278-7393.34.3.524.pdf</t>
  </si>
  <si>
    <t>Roebke, M. A., &amp; Della Penna, N. (2023, September 28). Replication of Couture, Lafond, and Tremblay (2008, JEPLMC 34(3)). Retrieved from osf.io/k9gp6</t>
  </si>
  <si>
    <t>Hebb repetition effect</t>
  </si>
  <si>
    <t>Adult, Attention, Discrimination Learning, Humans, Memory, Short-Term, Pattern Recognition, Visual, Practice (Psychology), Probability Learning, Retention (Psychology), Serial Learning</t>
  </si>
  <si>
    <t>Prior occurances of the erroneous remembered item lead to increase in error rates (error are more probable as they occured previously)</t>
  </si>
  <si>
    <t>"For the experimental data, a significant effect of prior occurrences was observed for both correct responses, F(3, 32) = 5.47, p &lt; .01, d = 1.43 (mean slope = 0.09), and errors, F(3, 48) = 9.14, p &lt; .001, d = 1.51 (mean slope = 0.08)."</t>
  </si>
  <si>
    <t>https://osf.io/ca8t2</t>
  </si>
  <si>
    <t>1. The second OSF link: https://osf.io/mghvs</t>
  </si>
  <si>
    <t>Hebb repetition effect, implicit memory, sequence learning, serial recall, error analysis</t>
  </si>
  <si>
    <t>A significant effect of prior occurrences was observed for both correct responses, [...] and errors, F(3, 48) = 9.14, p &lt; .001, d = 1.51 (mean slope = 0.08)</t>
  </si>
  <si>
    <t>https://osf.io/ca8t3</t>
  </si>
  <si>
    <t>osc201526_1</t>
  </si>
  <si>
    <t>osc201526</t>
  </si>
  <si>
    <t>Lai, Reynolds, Roksana</t>
  </si>
  <si>
    <t>Reynolds, M., &amp; Besner, D. (2008). Contextual effects on reading aloud: Evidence for pathway control. Journal of Experimental Psychology: Learning, Memory, and Cognition, 34(1), 50.</t>
  </si>
  <si>
    <t>10.1037/0278-7393.34.1.50</t>
  </si>
  <si>
    <t>10.1037--0278-7393.34.1.50.pdf</t>
  </si>
  <si>
    <t>Lai, C. K., &amp; Simpson, W. B. (2023, September 28). Replication of Reynolds &amp; Besner (2008, JEP:LMC, Study 5). Retrieved from osf.io/hasfu</t>
  </si>
  <si>
    <t>Pathway control</t>
  </si>
  <si>
    <t>Attention, Humans, Phonetics, Reaction Time, Reading, Semantics, Speech, Writing</t>
  </si>
  <si>
    <t>There was no delay in response when switching between pronouncing regular words and nonwords</t>
  </si>
  <si>
    <t>"There was no switch cost (F1 = 1, 2 = .001; F2 = 1, 2 = .001), nor was there an interaction between stimulus type and switch condition, F1(1, 15) = 1.2, p = .15, MSE = 23.7, η² = .077; F2(1, 94) = 2.5, p = .10, MSE = 45.9, η² = .026."</t>
  </si>
  <si>
    <t>https://osf.io/rc2kz</t>
  </si>
  <si>
    <t>Phonological coding</t>
  </si>
  <si>
    <t>Pathway control hypothesis, reading aloud, exogenous control, executive control, phonology</t>
  </si>
  <si>
    <t>More errors were made to nonwords than to words, F1(1, 15) = 16.9, p &lt; .001, MSE = 49.1, eta-square = .529; F2(1, 94) = 11.5, p &lt; .001, MSE = 200, eta-square = .111. There was no switch cost (F1 &lt; 1, eta-square &lt; .001; F2 &lt; 1, eta-square &lt; .001), nor was there an interaction between stimulus type and switch condition, F1(1, 15) = 1.2, p &gt; .15, MSE = 23.7, eta-square  = .077; F2(1, 94) = 2.5, p &gt; .10, MSE = 45.9, eta-square = .026</t>
  </si>
  <si>
    <t>osc201527_1</t>
  </si>
  <si>
    <t>osc201527</t>
  </si>
  <si>
    <t>Chartier, Roksana</t>
  </si>
  <si>
    <t>Coded the wrong effect</t>
  </si>
  <si>
    <t>MJ Yap, DA Balota, CS Tse, D Besner. (2008) On the additive effects of stimulus quality and word frequency in lexical decision: evidence for opposing interactive influences revealed by RT distributional analyses. Journal of Experimental Psychology: Learning, Memory, and Cognition, 34(3), 495-513.</t>
  </si>
  <si>
    <t>10.1037/0278-7393.34.3.495</t>
  </si>
  <si>
    <t>10.1037--0278-7393.34.3.495.pdf</t>
  </si>
  <si>
    <t>Chartier, C. R., &amp; Nervi, T. (2023, September 28). Replication of MJ Yap, DA Balota, CS Tse, D Besner (2008, JEPLMC 34(3), Exp 4). Retrieved from osf.io/ahpik</t>
  </si>
  <si>
    <t>Additive effects</t>
  </si>
  <si>
    <t>Adolescent, Adult, Attention, Decision Making, Discrimination Learning, Female, Humans, Male, Mental Recall, Phonetics, Reaction Time, Reading, Semantics</t>
  </si>
  <si>
    <t>On the additive effects of stimulus quality and word frequency in lexical decision: Evidence for opposing interactive influences revealed by RT distributional analyses.</t>
  </si>
  <si>
    <t>"The stimulus quality × word frequency interaction was again significant, F(1, 31) = 5.17, p = .030, MSE = 2,641.78, η² = .14, with larger frequency effects for the degraded words."</t>
  </si>
  <si>
    <t>F(1, 31) = 5.17</t>
  </si>
  <si>
    <t>1. The second OSF link: https://osf.io/397fh
2. The effect can be either "Additive effect" (stated in the paper) or "Familiarity" (object / phenomenon). I chose the 1st as it is stated explicitly in the paper</t>
  </si>
  <si>
    <t>Additive effect</t>
  </si>
  <si>
    <t>Additive effects, distributional analysis, stimulus quality, word frequency, lexical decision</t>
  </si>
  <si>
    <t>Significant stimulus quality and word frequency interaction with larger frequency effects for the degraded words</t>
  </si>
  <si>
    <t>F(1, 70) = 11.78</t>
  </si>
  <si>
    <t>https://osf.io/3ubv9</t>
  </si>
  <si>
    <t>osc201528_1</t>
  </si>
  <si>
    <t>osc201528</t>
  </si>
  <si>
    <t>Galak, Roksana</t>
  </si>
  <si>
    <t>I couldn't find the effect size in the replication paper, so coded from the OSC dataset table</t>
  </si>
  <si>
    <t>N Janssen, W Schirm, BZ Mahon, A Caramazza (2008).“Semantic Interference in a Delayed Naming Task: Evidence for the Response Exclusion Hypothesis.” Journal of Experimental Psychology: Learning Memory and Cognition, 34(1), 249-256.</t>
  </si>
  <si>
    <t>10.1037/0278-7393.34.1.249</t>
  </si>
  <si>
    <t>10.1037--0278-7393.34.1.249.pdf</t>
  </si>
  <si>
    <t>Galak, J. (2023, September 28). Replication of Janssen and colleagues (2008, JEP:LMC, Study 1). Retrieved from osf.io/uhpyr</t>
  </si>
  <si>
    <t>Semantic interference</t>
  </si>
  <si>
    <t>Attention, Conflict (Psychology), Field Dependence-Independence, Humans, Inhibition (Psychology), Pattern Recognition, Visual, Reaction Time, Reading, Semantics</t>
  </si>
  <si>
    <t>Semantically unrelated word-picture pairs significantly slower average reaction time</t>
  </si>
  <si>
    <t>"In the delayed naming condition, the RT analysis revealed a main effect of semantic relatedness, F1(1, 31) = 4.1, MSE = 1,504.6, p = .06; F2(1, 38) = 4.4, MSE = 1,137.2, p = .05, indicating slower RTs in the semantically related than the unrelated condition."</t>
  </si>
  <si>
    <t>F(1,31) = 4.1</t>
  </si>
  <si>
    <t>https://osf.io/f59hn</t>
  </si>
  <si>
    <t>1. The second OSF link: https://osf.io/8qrtd</t>
  </si>
  <si>
    <t>Semantic interference effect, lexical selection by competition, picture–word interference, delayed naming, response exclusion hypothesis</t>
  </si>
  <si>
    <t>The RT analysis revealed a main effect of semantic relatedness, F1(1, 31) = 4.1, MSE = 1,504.6, p = .06; F2 (1, 38) = 4.4, MSE = 1,137.2, p = .05, indicating slower RTs in the semantically related than the unrelated condition</t>
  </si>
  <si>
    <t>F(1, 31) = 4.1</t>
  </si>
  <si>
    <t>osc201529_1</t>
  </si>
  <si>
    <t>osc201529</t>
  </si>
  <si>
    <t>Ostkamp, Roksana</t>
  </si>
  <si>
    <t>I would argue that this is a close instead of conceptual replication</t>
  </si>
  <si>
    <t>Turk-Browne, N. B., Isola, P. J., Scholl, B. J., &amp; Treat, T. A. (2008). Multidimensional Visual Statistical Learning. Journal of Experimental Psychology: Learning, Memory, and Cognition, 34(2), 399–407. doi:10.1037/0278-7393.34.2.399</t>
  </si>
  <si>
    <t>10.1037/0278-7393.34.2.399</t>
  </si>
  <si>
    <t>10.1037--0278-7393.34.2.399.pdf</t>
  </si>
  <si>
    <t>Ostkamp, L., &amp; Jäkel, F. (2023, September 28). Replication of Turk-Browne, Isola, Scholl, Treat (2008, JEP:LMC, Study 4b). Retrieved from osf.io/ujhlw</t>
  </si>
  <si>
    <t>Multidimensional Visual Statistical Learning</t>
  </si>
  <si>
    <t>Association Learning, Color Perception, Discrimination Learning, Humans, Motion Perception, Orientation, Pattern Recognition, Visual, Perceptual Masking, Probability Learning, Problem Solving, Psychophysics</t>
  </si>
  <si>
    <t>Low covariance between feature dimensions allowed VSL to operate in parallel in each of these dimensions</t>
  </si>
  <si>
    <t>"As depicted in Figure 3d, observers expressed robust VSL for the two color triplets despite the removal of shape at test (72%), t(7) = 2.892, p = .023, d = 1.023, thus providing further evidence that VSL can operate in a feature-based manner if the covariance between feature dimensions is disrupted."</t>
  </si>
  <si>
    <t>https://osf.io/chf7m</t>
  </si>
  <si>
    <t>1. Stimuli size was slightly larger, thus I would treat it as the conceptual replication, rather than a close, since the experimental stimulus were manipulated.</t>
  </si>
  <si>
    <t>Visual statistical learning</t>
  </si>
  <si>
    <t>Statistical learning, feature binding, objects, feature dimensions</t>
  </si>
  <si>
    <t>As depicted in Figure 3d, observers expressed robust VSL for the two color triplets despite the removal of shape at test (72%), t(7) = 2.892, p = .023, d = 1.023, thus providing further evidence that VSL can operate in a feature-based manner if the covariance between feature dimensions is disrupted</t>
  </si>
  <si>
    <t>osc20153_1</t>
  </si>
  <si>
    <t>osc20153</t>
  </si>
  <si>
    <t>Plessow, Roksana</t>
  </si>
  <si>
    <t>Liefooghe, B., Barrouillet, P., Vandierendonck, A., &amp; Camos, V. (2008). Working memory costs of task switching. Journal of Experimental Psychology: Learning, Memory, and Cognition, 34(3), 478-494. doi: 10.1037/0278-7393.34.3.478</t>
  </si>
  <si>
    <t>10.1037/0278-7393.34.3.478</t>
  </si>
  <si>
    <t>10.1037--0278-7393.34.3.478.pdf</t>
  </si>
  <si>
    <t>Plessow, F., Möschl, M., &amp; Pavel, M. (2023, September 28). Replication of Liefooghe, Barrouillet, Vandierendonck, &amp; Camos (2008, JEPLMC, Experiment 4). Retrieved from osf.io/4dvzb</t>
  </si>
  <si>
    <t>Memory in Task Switching</t>
  </si>
  <si>
    <t>Attention, Color Perception, Decision Making, Discrimination Learning, Functional Laterality, Humans, Memory, Short-Term, Pattern Recognition, Visual, Perceptual Masking, Psychomotor Performance, Psychophysics, Reaction Time, Size Perception</t>
  </si>
  <si>
    <t>The average recall score was larger in low switch lists with normal digits than in low-switch lists with degraded digits</t>
  </si>
  <si>
    <t>"As we expected, the average recall score was larger in low-switch lists with normal digits (53.84 out of 72) than in high-switch lists with normal digits (49.24), F(1, 24) = 5.77, p = .05, and than in low-switch lists with degraded digits (49.22), F(1, 24) = 5.29, p = .05."</t>
  </si>
  <si>
    <t>F(1, 24) = 5.29</t>
  </si>
  <si>
    <t>https://osf.io/ep2an</t>
  </si>
  <si>
    <t>1. The second OSF link: https://osf.io/avy86</t>
  </si>
  <si>
    <t>Task switching, working memory, resource sharing, complex span tasks</t>
  </si>
  <si>
    <t>As we expected, the average recall score was larger in low-switch lists with normal digits (53.84 out of 72) than in high-switch lists with normal digits (49.24), F(1, 24) = 5.77, p &lt; .05, and than in low-switch lists with degraded digits (49.22), F(1, 24) = 5.29, p &lt; .05</t>
  </si>
  <si>
    <t>osc201532_1</t>
  </si>
  <si>
    <t>osc201532</t>
  </si>
  <si>
    <t>White, P.A. (2008). Accounting for Occurrences: A New View of the Use of Contingency Information in Causal Judgment. Journal of Experimental Psychology: Learning, Memory, and Cognition, 34(1), 204–218.</t>
  </si>
  <si>
    <t>10.1037/0278-7393.34.1.204</t>
  </si>
  <si>
    <t>10.1037--0278-7393.34.1.204.pdf</t>
  </si>
  <si>
    <t>Müller, S. M., &amp; Renkewitz, F. (2023, September 28). Replication of White (2008, JEP:LMC, Study 3). Retrieved from osf.io/rhbqj</t>
  </si>
  <si>
    <t>Contingency information.</t>
  </si>
  <si>
    <t>Association Learning, Causality, Humans, Judgment, Likelihood Functions, Probability Learning, Problem Solving</t>
  </si>
  <si>
    <t>The predicted values are higher for B and lower for A when the prevalence of B is high than when it is low</t>
  </si>
  <si>
    <t>"Judgments of B were analyzed in the same way. There was a significant effect of A, F(1, 36) = 22.88, MSE = 439.82, p &lt; .001, with a higher mean at A = 2 (54.12) than at A = 6 (40.66). This is a cause prevalence effect, supporting Prediction 1."</t>
  </si>
  <si>
    <t>F(1, 36) = 22.88</t>
  </si>
  <si>
    <t>https://osf.io/psab8</t>
  </si>
  <si>
    <t>Renkewitz</t>
  </si>
  <si>
    <t>1. I am not sure in the Description. Authors of the original paper says the statistical inferences of Experiment 3 supported Prediction 1, but it seems that it was more about Prediction 3:
"higher judgments of Cause A when there are 12 A instances than when there are 2, despite the fact that the conditional contingency for A does not change under this manipulation"</t>
  </si>
  <si>
    <t>Cause prevalence effect</t>
  </si>
  <si>
    <t>Judgments of B were analyzed in the same way. There was a significant effect of A+, F(1,36) = 22.88, MSE = 439.82, p &lt; .001, with a higher mean at A+ = 2 (54.12) than at A+ = 6 (40.66)</t>
  </si>
  <si>
    <t>https://osf.io/y8njt</t>
  </si>
  <si>
    <t>osc201533_1</t>
  </si>
  <si>
    <t>osc201533</t>
  </si>
  <si>
    <t>Farrell, S. (2008). Multiple roles for time in short-term memory: Evidence from serial recall of order and timing. Journal of Experimental Psychology: Learning, Memory, and Cognition, 34(1), 128.</t>
  </si>
  <si>
    <t>10.1037/0278-7393.34.1.128</t>
  </si>
  <si>
    <t>10.1037--0278-7393.34.1.128.pdf</t>
  </si>
  <si>
    <t>Olsson, C., &amp; Saxe, R. (2023, September 28). Replication of Farrell (2008, JEP:LMC, Study 2). Retrieved from osf.io/swrhy</t>
  </si>
  <si>
    <t>Short-term memory for time and</t>
  </si>
  <si>
    <t>Association Learning, Attention, Discrimination Learning, Humans, Memory, Short-Term, Pattern Recognition, Visual, Reading, Serial Learning, Speech Perception, Time Perception</t>
  </si>
  <si>
    <t>Instructing participants to group items induces a temporal gap between the groups both  when trying to recall the timing of the items</t>
  </si>
  <si>
    <t>"Paired samples t-tests comparing grouping deviations in the ungrouped and grouped conditions revealed significantly larger (more positive) differences for both the order task, t(39) = 3.64, p &lt; .001, Cohen’s d = 0.58, and the timing task, t(39) = 3.77, p &lt; .001, d = 0.60, in the grouped condition."</t>
  </si>
  <si>
    <t>https://osf.io/bvu63</t>
  </si>
  <si>
    <t>order information,</t>
  </si>
  <si>
    <t>Serial recall, timing, short-term memory, recall latencies, grouping</t>
  </si>
  <si>
    <t>Paired samples t tests comparing grouping deviations in the ungrouped and grouped conditions revealed larger (more positive) differences under grouping conditions for both the order task, t(39) = 5.52, p &lt; .001, d = 0.87, and the timing task, t(39) = 2.82, p &lt; .008, d = 0.44</t>
  </si>
  <si>
    <t>https://osf.io/bvu64</t>
  </si>
  <si>
    <t>osc201536_1</t>
  </si>
  <si>
    <t>osc201536</t>
  </si>
  <si>
    <t>Jahn, Roksana</t>
  </si>
  <si>
    <t>Pacton, S., &amp; Perruchet, P. (2008). An attention-based associative account of adjacent and nonadjacent dependency learning. Journal of Experimental Psychology: Learning, Memory, and Cognition, 34, 80-96.</t>
  </si>
  <si>
    <t>10.1037/0278-7393.34.1.80</t>
  </si>
  <si>
    <t>10.1037--0278-7393.34.1.80.pdf</t>
  </si>
  <si>
    <t>Jahn, G. (2023, September 28). Replication of Pacton &amp; Perruchet (2008, JEP:LMC, Study 4b). Retrieved from osf.io/vmz2e</t>
  </si>
  <si>
    <t>Attention in Adjacent and Nonadjacent Dependency Learning</t>
  </si>
  <si>
    <t>Association Learning, Attention, Field Dependence-Independence, Humans, Orientation, Pattern Recognition, Visual, Problem Solving, Reproducibility of Results</t>
  </si>
  <si>
    <t>The type of dependency influence the  number of correct respones</t>
  </si>
  <si>
    <t>"The number of correct responses differed only as a function of the type of dependency, F(1, 20) = 20.79, p &lt; .01, MSE = 2.31, η² = .51, with better performance on items with nonadjacent dependencies (M = 74.48, SE = 2.86) than on items with adjacent dependencies (M = 49.48, SE = 4.02)."</t>
  </si>
  <si>
    <t>https://osf.io/fsut3</t>
  </si>
  <si>
    <t>1. The second OSF link: https://osf.io/pxr93
2. Minor technical differences</t>
  </si>
  <si>
    <t>Attention, statistical computation, sssociative learning, language</t>
  </si>
  <si>
    <t>"The number of correct responses differed only as a function of the type of dependency, F(1, 20) = 20.79, p &lt; .01, MSE = 2.31, partial eta-square = .51, with better performance on items with nonadjacent
dependencies (M = 74.48, SE = 2.86) than on items with adjacent dependencies (M = 49.48, SE = 4.02)"</t>
  </si>
  <si>
    <t>https://osf.io/fsut4</t>
  </si>
  <si>
    <t>osc201537_1</t>
  </si>
  <si>
    <t>osc201537</t>
  </si>
  <si>
    <t>Moore, Roksana</t>
  </si>
  <si>
    <t>I reported the effect size found in the original replication paper d=.142 instead of the etasq of .122 reported in OSC 2015 PDF table as cannot find that in replication paper</t>
  </si>
  <si>
    <t>Makovski, Tal; Sussman, Rachel; Jiang, Yuhong V. (2008). Orienting attention in visual working memory reduces interference from memory probes. Journal of Experimental Psychology: Learning, Memory, and Cognition, 34.2: 369-380.</t>
  </si>
  <si>
    <t>10.1037/0278-7393.34.2.369</t>
  </si>
  <si>
    <t>10.1037--0278-7393.34.2.369.pdf</t>
  </si>
  <si>
    <t>Moore, K. (2023, September 28). Replication of Makovski, Sussman, &amp; Jiang (2008, JEP:LMC). Retrieved from osf.io/0pxro</t>
  </si>
  <si>
    <t>VWM updating and attention</t>
  </si>
  <si>
    <t>Adolescent, Adult, Attention, Color Perception, Cues, Discrimination Learning, Female, Humans, Inhibition (Psychology), Male, Memory, Short-Term, Orientation, Pattern Recognition, Visual, Psychophysics, Reaction Time, Retention (Psychology)</t>
  </si>
  <si>
    <t>Orienting attention in visual working memory reduces interference from memory probes.</t>
  </si>
  <si>
    <t>"When comparing the cue effect between Set Size 1 and Set Size 2, a significant interaction was found, F(1, 11) = 4.80, p &lt; .05, with an observed power of 0.61."</t>
  </si>
  <si>
    <t>F(1,11) = 4.8</t>
  </si>
  <si>
    <t>https://osf.io/bhnkq</t>
  </si>
  <si>
    <t>Moore</t>
  </si>
  <si>
    <t>Retro-cue</t>
  </si>
  <si>
    <t>Visual working memory, visual attention, memory decay, memory interference, change detection, Simplified Comparison Hypothesis, Interim Interference, Probe Interference Hypothesis</t>
  </si>
  <si>
    <t>For both the shape and color conditions, there will be an effect of cue type (retro cue better than simultaneous cue) on recall at all set sizes except for set size 1</t>
  </si>
  <si>
    <t>When comparing the cue effect between Set Size 1 and Set Size 2, a significant interaction was found, F(1,11) = 4.80, p = .05, with an observed power of 0.61.</t>
  </si>
  <si>
    <t>F(1, 11) = 4.80</t>
  </si>
  <si>
    <t>osc201539_1</t>
  </si>
  <si>
    <t>osc201539</t>
  </si>
  <si>
    <t>Forsell, Roksana</t>
  </si>
  <si>
    <t>Decision making and learning while taking sequential risks. Journal of Experimental Psychology: Learning, Memory, and Cognition, 34(1), 167-185.</t>
  </si>
  <si>
    <t>10.1037/0278-7393.34.1.167</t>
  </si>
  <si>
    <t>10.1037--0278-7393.34.1.167.pdf</t>
  </si>
  <si>
    <t>Forsell, E., Heikensten, E. K., Dreber, A., &amp; Johannesson, M. (2023, September 28). Replication of TJ Pleskac (2008, JEPLMC 34(1)). Retrieved from osf.io/38ges</t>
  </si>
  <si>
    <t>Risk-taking paradigm in decision making</t>
  </si>
  <si>
    <t>Adolescent, Adult, Association Learning, Bayes Theorem, Choice Behavior, Culture, Decision Making, Decision Theory, Female, Gambling [psychology], Health Behavior, Humans, Individuality, Male, Pattern Recognition, Visual, Psychomotor Performance, Risk-Taking, Stochastic Processes, Substance-Related Disorders [psychology]</t>
  </si>
  <si>
    <t>Decision making and learning while taking sequential risks.</t>
  </si>
  <si>
    <t>"However, in support of the prediction that the learning process hinders the diagnosticity of the ART, the adjusted ART scores in the cloudy tournaments were not significantly correlated with the self-reported risky use of drugs. An a priori planned comparison showed that the correlations in the sunny conditions were significantly greater than in the cloudy, z = 3.10, p = .05 (see Meng, Rosenthal, &amp; Rubin, 1992)."</t>
  </si>
  <si>
    <t>z = 3.1, N = 68</t>
  </si>
  <si>
    <t>z = 1.25, N = 153</t>
  </si>
  <si>
    <t>https://osf.io/3amj3</t>
  </si>
  <si>
    <t>1. The sacond OSF link: https://osf.io/9x765</t>
  </si>
  <si>
    <t>Risk taking, learning, Bayesian, individual differences, cognitive psychometrics</t>
  </si>
  <si>
    <t>Only in well-defined versions of the ART that do not require a learning process do the adjusted ART scores identify the risky use of drugs</t>
  </si>
  <si>
    <t>An a priori planned comparison showed that the correlations in the sunny conditions were significantly greater than in the cloudy, z = 3.10, p &lt; .05 (see Meng, Rosenthal, &amp; Rubin, 1992)</t>
  </si>
  <si>
    <t>z = 3.1</t>
  </si>
  <si>
    <t>z = 1.25</t>
  </si>
  <si>
    <t>https://osf.io/3amj4</t>
  </si>
  <si>
    <t>osc20154_1</t>
  </si>
  <si>
    <t>osc20154</t>
  </si>
  <si>
    <t>Callahan, Roksana</t>
  </si>
  <si>
    <t>1) The link to the replication paper does not work, I found report through this link: https://osf.io/k7chx 2) The partial etasq reported in OSC 2015 table for the replication efefct size is 0.00003 but in the original paper it is .0. Coded from original replication paper</t>
  </si>
  <si>
    <t>I would argue that this is a close replication</t>
  </si>
  <si>
    <t>Storm, B.C., Bjork, E.L., &amp; Bjork, R.A. 2008. Accelerated relearning after retrieval-induced forgetting: The benefit of being forgotten. Journal of Experimental Psychology: Learning, Memory, and Cognition, 34, 230-236.</t>
  </si>
  <si>
    <t>10.1037/0278-7393.34.1.230</t>
  </si>
  <si>
    <t>10.1037--0278-7393.34.1.230.pdf</t>
  </si>
  <si>
    <t>Callahan, S. P. (2023, September 28). Replication of BC Storm, EL Bjork, RA Bjork (2008, JEPLMC 34(1), Exp 1). Retrieved from osf.io/8j9cg</t>
  </si>
  <si>
    <t>Retrieval-induced forgetting</t>
  </si>
  <si>
    <t>Attention, Cues, Humans, Memory, Short-Term, Mental Recall, Paired-Associate Learning, Practice (Psychology)</t>
  </si>
  <si>
    <t>Accelerated relearning after retrieval-induced forgetting: The benefit of being forgotten.</t>
  </si>
  <si>
    <t>"More important, however, the effect of relearning was significantly larger for Rp– items than it was for Nrp items, F(1, 190) = 10.49, p &lt; .001, MSE = 0.15."</t>
  </si>
  <si>
    <t>F(1, 190) = 10.49</t>
  </si>
  <si>
    <t>https://osf.io/9mkae</t>
  </si>
  <si>
    <t xml:space="preserve">1. There is also a second OSF link: https://osf.io/7ufyv
2. Conceptual replication because minor changes were made for the analysis (exception of 1 condition) and sample filtering process (based on Eng fluency)
3. In the replication, the Interaction results are a bit different than from the RPP table. </t>
  </si>
  <si>
    <t>Retrieval-induced forgetting, inhibition, learning, memory, forgetting</t>
  </si>
  <si>
    <t>Effect of relearning was significantly larger for non-practiced items from practiced categories than non-practiced items from non-practiced categories</t>
  </si>
  <si>
    <t>More important, however, the effect of relearning was significantly larger for Rp– items than it was for Nrp– items, F(1, 190) = 10.49, p &lt; .001, MSE = 0.15. Whereas Nrp items were recalled at a rate of 0.36 (SE = 0.02) and 0.42 (SE = 0.02) before and after relearning, respectively, Rp– items were recalled at a rate of 0.31 (SE = 0.02) and 0.45 (SE = 0.02) before and after relearning, respectively</t>
  </si>
  <si>
    <t>F(1, 190) = 10.49,</t>
  </si>
  <si>
    <t>osc201543_1</t>
  </si>
  <si>
    <t>osc201543</t>
  </si>
  <si>
    <t>Holubar, Roksana</t>
  </si>
  <si>
    <t>The replication paper didn't report p-value so I coded it from the OSC 2015 table</t>
  </si>
  <si>
    <t>B Monin, PJ Sawyer, MJ Marquez (2008). The rejection of moral rebels: resenting those who do the right thing. Journal of Personality and Social Psychology, 95.1: 76-93.</t>
  </si>
  <si>
    <t>10.1037--0022-3514.95.1.76.pdf</t>
  </si>
  <si>
    <t>Frank, M. C., &amp; Holubar, T. (2023, September 28). Replication of Monin, Sawyer, &amp; Marquez (2008, JPSP 95(1), Exp. 4). Retrieved from osf.io/pz0my</t>
  </si>
  <si>
    <t>Rejection of moral rebels</t>
  </si>
  <si>
    <t>Adult, Character, Culture, Defense Mechanisms, Female, Humans, Imagination, Judgment, Male, Morals, Prejudice, Rejection (Psychology), Self Concept, Social Conformity, Social Desirability, Social Perception, Social Responsibility</t>
  </si>
  <si>
    <t>Nonaffirmed actors liked the rebel significantly less than the obedient, self-affirmed participants showed no such rejection of the rebel</t>
  </si>
  <si>
    <t>"Attraction (Table 1). The three groups differed significantly on an attraction composite of liking to work on a project, liking as a friend, and respect (α = .88). Replicating previous studies, nonaffirmed actors liked the rebel significantly less (M = 0.02) than the obedient other (M = 1.88; see Figure 3). More important, self-affirmed participants showed no such rejection of the rebel (M = 2.54)."</t>
  </si>
  <si>
    <t>F(2, 64) = 10.17</t>
  </si>
  <si>
    <t>F(2, 72) = 1.97</t>
  </si>
  <si>
    <t>https://osf.io/9apd7</t>
  </si>
  <si>
    <t>osc201543_m</t>
  </si>
  <si>
    <t>1. Authors of replication noted "ns" for significance level, which I consider as more than the threshold = 0.05 (they wrote this when they described G*Power calculations)</t>
  </si>
  <si>
    <t>Rebel</t>
  </si>
  <si>
    <t>Moral rebels, whistleblowers, implicit moral reproach, resentment, self-affirmation</t>
  </si>
  <si>
    <t>Attraction (Table 1). The three groups differed significantly on an attraction composite of liking to work on a project, liking as a friend, and respect (α = .88). Replicating previous studies, nonaffirmed actors liked the rebel significantly less (M = −0.02) than the obedient other (M = 1.88; see Figure 3). More important, self-affirmed participants showed no such rejection of the rebel (M = 2.54)</t>
  </si>
  <si>
    <t>https://osf.io/suyfc</t>
  </si>
  <si>
    <t>osc201544_1</t>
  </si>
  <si>
    <t>osc201544</t>
  </si>
  <si>
    <t>Vianello, Roksana</t>
  </si>
  <si>
    <t>Payne, B. K. Burkley, M. A. Stokes, M. B. (2008). Why Do Implicit and Explicit Attitude Tests Diverge? The Role of Structural Fit. Journal of Personality and Social Psychology, 94, 16–31.</t>
  </si>
  <si>
    <t>10.1037/0022-3514.94.1.16</t>
  </si>
  <si>
    <t>10.1037--0022-3514.94.1.16.pdf</t>
  </si>
  <si>
    <t>Vianello, M. (2023, September 28). Replication of Payne, Burkley &amp; Stokes (2008, JPSP, Study 4). Retrieved from osf.io/rc6mv</t>
  </si>
  <si>
    <t>Implicit and explicit attitude</t>
  </si>
  <si>
    <t>Adolescent, Adult, Alcohol Drinking, Analysis of Variance, Attitude, Behavioral Research [methods], Cognition, Emotions, Factor Analysis, Statistical, Female, Humans, Male, Prejudice, Psychological Tests, Reproducibility of Results, Social Conformity, Social Perception, Truth Disclosure</t>
  </si>
  <si>
    <t>Why do implicit and explicit attitude tests diverge? The role of structural fit.</t>
  </si>
  <si>
    <t>"Instead, the effect of social pressure to avoid prejudice depended on participants’ automatic biases, as shown by a significant Indirect Social Pressure interaction, β = .31, t(67) = 3.08, p &lt; .01."</t>
  </si>
  <si>
    <t>t(67) = 3.08</t>
  </si>
  <si>
    <t>osc201544_a</t>
  </si>
  <si>
    <t xml:space="preserve">1. The main difference was in population - they were Italians, which can affect the attitude
2. I am not sure in the nested / non nested version for regression analysis. </t>
  </si>
  <si>
    <t>Implicit attitude</t>
  </si>
  <si>
    <t>Implicit, explicit, attitude, automatic, measurement, prejudice, social conformity, social perception, truth disclosure</t>
  </si>
  <si>
    <t>Relationship between authors' direct and indirect procedures is moderated by percieved pressure to respond in a socially desirable manner</t>
  </si>
  <si>
    <t>https://osf.io/tys7b</t>
  </si>
  <si>
    <t>osc201546_1</t>
  </si>
  <si>
    <t>osc201546</t>
  </si>
  <si>
    <t>Soderberg, Roksans</t>
  </si>
  <si>
    <t xml:space="preserve">Please note exact p-value of replication finding is p=2.2 × 10⁻¹⁶ </t>
  </si>
  <si>
    <t>Soto, C.J., John, O.P., Gosling, S.D., &amp; Potter, J. (2008). The developmental psychometrics of big five self-reports: Acquiescence, factor structure, coherence, and differentiation from ages 10 to 20. Journal of Personality and Social Psychology, 94(4), 718-737.</t>
  </si>
  <si>
    <t>10.1037/0022-3514.94.4.718</t>
  </si>
  <si>
    <t>10.1037--0022-3514.94.4.718.pdf</t>
  </si>
  <si>
    <t>Soderberg, C. K. (2023, September 28). Replication of CJ Soto, OP John, SD Gosling, J Potter (2008, JPSP 94(4)). Retrieved from osf.io/kez47</t>
  </si>
  <si>
    <t>Replication, 'exactly reproduced methodology'</t>
  </si>
  <si>
    <t>Personality self-reports and age</t>
  </si>
  <si>
    <t>Adolescent, Adult, Child, Comprehension, Data Collection, Extraversion (Psychology), Female, Humans, Informed Consent, Internet, Language Development, Male, Patient Selection, Personality Development, Personality Inventory [statistics &amp; numerical data], Psychometrics [statistics &amp; numerical data], Reproducibility of Results, Self Concept, Vocabulary</t>
  </si>
  <si>
    <t>The developmental psychometrics of big five self-reports: Acquiescence, factor structure, coherence, and differentiation from ages 10 to 20.</t>
  </si>
  <si>
    <t>"As expected, variance in acquiescence scores was substantially larger in younger age groups; for Levene’s test for equality of variance, F(21, 230025) = 118.15, p &lt; .001."</t>
  </si>
  <si>
    <t>F(21, 230025) = 118.15</t>
  </si>
  <si>
    <t>F(21, 455304) = 261.93</t>
  </si>
  <si>
    <t>Soderberg</t>
  </si>
  <si>
    <r>
      <rPr>
        <rFont val="Calibri"/>
        <color theme="1"/>
        <sz val="11.0"/>
      </rPr>
      <t>1. Authors of replication used different cut-off intervals, which could affect the result (aka filteting)
2. Leven's test is not nested</t>
    </r>
    <r>
      <rPr>
        <rFont val="Calibri"/>
        <color theme="7"/>
        <sz val="11.0"/>
      </rPr>
      <t xml:space="preserve"> 3) Please note exact p-value of replication finding is p=2.2 × 10⁻¹⁶ </t>
    </r>
  </si>
  <si>
    <t>Personality traits</t>
  </si>
  <si>
    <t>Five-factor model, personality structure, reliability, validity</t>
  </si>
  <si>
    <t>Younger respondents show greater individual differences (variance) in their acquiescent response tendencies than older respondents</t>
  </si>
  <si>
    <t>As expected, variance in acquiescence scores was substantially larger in younger age groups; for Levene’s test for equality of variance, F(21,230025) = 118.15, p &lt; .001</t>
  </si>
  <si>
    <t>https://osf.io/u3x7s</t>
  </si>
  <si>
    <t>osc201548_1</t>
  </si>
  <si>
    <t>osc201548</t>
  </si>
  <si>
    <t>Wissink, Roksana</t>
  </si>
  <si>
    <t>Cox, C.R., Arndt, J., Pyszczynski, T., Greenberg, J., Abdollahi, A., &amp; Solomon, S. (2008). Terror management and adults' attachment to their parents: The safe haven remains. Journal of Personality and Social Psychology, 94(4), 696-717.</t>
  </si>
  <si>
    <t>10.1037/0022-3514.94.4.696</t>
  </si>
  <si>
    <t>10.1037--0022-3514.94.4.696.pdf</t>
  </si>
  <si>
    <t>Wissink, J., Hoogendoorn, G. E. A. M., Brohmer, H., Verschoor, M., Zeelenberg, M., &amp; Krijnen, J. M. T. (2016, August 19). Replication of CR Cox, J Arndt, T Pyszczynski, J Greenberg, A Abdollahi, S Solomon (2008, JPSP 94(4), Exp. 6). Retrieved from osf.io/5tbxf</t>
  </si>
  <si>
    <t>Mortality salience</t>
  </si>
  <si>
    <t>Adaptation, Psychological, Adolescent, Adult, Adult Children [psychology], Attitude to Death, Defense Mechanisms, Fear, Female, Humans, Male, Mental Recall, Middle Aged, Object Attachment, Parent-Child Relations, Self Efficacy, Social Support</t>
  </si>
  <si>
    <t>Participants who scored low on avoidance but high on anxiety demonstrated an increased relative preference for a parent after mortality salience as opposed to dental pain</t>
  </si>
  <si>
    <t>"At high levels of attachment anxiety and low levels of attachment avoidance, MS participants allocated significantly more time to a parent than did their dental pain condition counterparts (b = –32.04, SE = 14.47, t = –2.22, p = .03)."</t>
  </si>
  <si>
    <t xml:space="preserve">p.16 </t>
  </si>
  <si>
    <t>f-square</t>
  </si>
  <si>
    <t>https://osf.io/853ue</t>
  </si>
  <si>
    <t>osc201548_f</t>
  </si>
  <si>
    <t>1. F-square is used to report ES of replication
2. I am not sure whether the analsis was nested or not.</t>
  </si>
  <si>
    <t>Terror management, mortality salience, adult attachment, close relationships, parents</t>
  </si>
  <si>
    <t>At high levels of attachment anxiety and low levels of attachment avoidance, MS participants allocated significantly more time to a parent than did their dental pain condition counterparts (β = −32.04, SE = 14.47, t = −2.22, p = .03)</t>
  </si>
  <si>
    <t>osc201549_1</t>
  </si>
  <si>
    <t>osc201549</t>
  </si>
  <si>
    <t>Kim, Roksana</t>
  </si>
  <si>
    <t>I would argue that this is close replication</t>
  </si>
  <si>
    <t>D Albarracín, IM Handley, K Noguchi, KC McCulloch, H Li, J Leeper, RD Brown, A Earl, WP Hart (2008). Increasing and decreasing motor and cognitive output: a model of general action and inaction goals. Journal of Personality and Social Psychology, 95.3: 510-523.</t>
  </si>
  <si>
    <t>10.1037--a0012833.pdf</t>
  </si>
  <si>
    <t>Frank, M. C., Kim, S. K., &amp; Lee, K. J. (2023, September 28). Replication of Albarracín et al. (2008, JPSP). Retrieved from osf.io/vy1bc</t>
  </si>
  <si>
    <t>Increasing and Decreasing Motor and Cognitive Output</t>
  </si>
  <si>
    <t>Attention, Awareness, Cues, Culture, Decision Making, Feeding Behavior, Female, Goals, Humans, Internal-External Control, Judgment, Male, Mental Recall, Persuasive Communication, Problem Solving, Psychomotor Performance, Semantics, Set (Psychology)</t>
  </si>
  <si>
    <t>The action and inaction primes produced, respectively, higher and lower levels of cognitive output (higher or lower performance measured by number of solved problems</t>
  </si>
  <si>
    <t>"The analysis revealed a main effect of prime on number of solved problems, F(1, 34) = 5.68, p = .02, demonstrating that participants primed with action performed better than participants primed with inaction did (M = 12.83, SD = 1.86 vs. M = 10.78, SD = 3.15, respectively). Thus, this study confirmed that action and inaction primes produced, respectively, higher and lower levels of cognitive output, as might be expected from the activation of action and inaction goals."</t>
  </si>
  <si>
    <t>F(1, 86) = .08</t>
  </si>
  <si>
    <t>https://osf.io/36dr4</t>
  </si>
  <si>
    <t>Kim</t>
  </si>
  <si>
    <t xml:space="preserve">1, The data from replication is taken from: https://osf.io/2pbaf
2. The study sample age was changed as well as online experimental design was used
3. In the original study the division on groups is not specified: was it equal or not. The design is between-group, that's why we can't simply calculate Cohen's d using M and SD. </t>
  </si>
  <si>
    <t>The number of correctly solved problems was submitted to an ANOVA with prime as the independent variable. The analysis revealed a main effect of prime on number of solved problems, F(1,34) = 5.68, p = .02, demonstrating that participants primed with action performed better than participants primed with inaction did (M = 12.83, SD = 1.86 vs. M = 10.78, SD = 3.15, respectively)</t>
  </si>
  <si>
    <t>F(1, 86) = 0.08</t>
  </si>
  <si>
    <t>https://osf.io/36dr5</t>
  </si>
  <si>
    <t>osc20155_1</t>
  </si>
  <si>
    <t>osc20155</t>
  </si>
  <si>
    <t>Lakens, Roksana</t>
  </si>
  <si>
    <r>
      <rPr>
        <rFont val="Arial"/>
      </rPr>
      <t xml:space="preserve">The replication report found </t>
    </r>
    <r>
      <rPr>
        <rFont val="Arial"/>
        <color rgb="FF1155CC"/>
        <u/>
      </rPr>
      <t>https://osf.io/v7bjc</t>
    </r>
    <r>
      <rPr>
        <rFont val="Arial"/>
      </rPr>
      <t xml:space="preserve"> 2) no p-value reported in original study</t>
    </r>
  </si>
  <si>
    <t>C Mitchell, S Nash, G Hall (2008). The intermixed-blocked effect in human perceptual learning is not the consequence of trial spacing. Journal of Experimental Psychology: Learning, Memory, and Cognition, 34.1 (2008): 237-242.</t>
  </si>
  <si>
    <t>10.1037/0278-7393.34.1.237</t>
  </si>
  <si>
    <t>10.1037--0278-7393.34.1.237.pdf</t>
  </si>
  <si>
    <t>Lakens, D. (2023, September 28). Replication of Mitchell, Nash, &amp; Hall (2008, JEP:LMC). Retrieved from osf.io/4xdkk</t>
  </si>
  <si>
    <t>The Intermixed- Block Effect</t>
  </si>
  <si>
    <t>Attention, Color Perception, Discrimination Learning, Field Dependence-Independence, Humans, Memory, Short-Term, Mental Recall, Pattern Recognition, Visual, Practice (Psychology), Psychophysics</t>
  </si>
  <si>
    <t>Perceptual learning (better discrimination of AX and BX on test) was observed when AX and BX were intermixed in preexposure but not when AX was intermixed with BY.</t>
  </si>
  <si>
    <t>"A contrast comparing overall performance across the two types of test confirmed this observation, F(1, 31) = 8.38, MSE = 0.106."</t>
  </si>
  <si>
    <t>F(1,31) = 8.38</t>
  </si>
  <si>
    <t>https://osf.io/c8qhv</t>
  </si>
  <si>
    <t>1. The second OSF link: https://osf.io/a9vrq
2. Authors did modification in replication (counterbalancing in a Latin square fasion)
3. No p-value was reported in the original study</t>
  </si>
  <si>
    <t>Intermixed– blocked effect</t>
  </si>
  <si>
    <t>Perceptual learning, spaced practice, memory, discrimination</t>
  </si>
  <si>
    <t>A contrast comparing overall performance across the two types of test confirmed this observation, F(1, 31) = 8.38, MSE = 0.106. There was no interaction between the training conditions (AX/BX and CX/DY) and the test trial type (same and different; F &lt; 1)</t>
  </si>
  <si>
    <t>F(1, 31) = 8.38</t>
  </si>
  <si>
    <t>osc201550_1</t>
  </si>
  <si>
    <t>osc201550</t>
  </si>
  <si>
    <t>Sonnleitner, Roksna</t>
  </si>
  <si>
    <t>Albarracín, D., Handley, I.M., Noguchi, K., McCulloch, K.C., Li, H., Leeper, J., Brown, R.D., Earl, A., &amp; Hart, W.P. (2008). Increasing and decreasing motor and cognitive output: A model of general action and inaction goals. Journal of Personality and Social Psychology, 95(3), 510-523.</t>
  </si>
  <si>
    <t>Voracek, M., &amp; Sonnleitner, C. (2016, August 19). Replication of D Albarracín, IM Handley, K Noguchi, KC McCulloch, H Li, J Leeper, RD Brown, A Earl, WP Hart (2008, JPSP 95(3), Exp. 7). Retrieved from osf.io/rgm6p</t>
  </si>
  <si>
    <t>Action goal led to a greated number of thoughts supporting goal-mediation interpretation</t>
  </si>
  <si>
    <t>"This analysis revealed a significant two-way interaction between prime and task, F(2, 92) = 4.36, p = .02."</t>
  </si>
  <si>
    <t>F(2, 92) = 4.36</t>
  </si>
  <si>
    <t>https://osf.io/ctvej</t>
  </si>
  <si>
    <t>This analysis revealed a significant two-way interaction between prime and task, F(2, 92) = 4.36, p = .02, and a significant effect of task</t>
  </si>
  <si>
    <t>osc201552_1</t>
  </si>
  <si>
    <t>osc201552</t>
  </si>
  <si>
    <t>Brown, Roksana</t>
  </si>
  <si>
    <t>Couldn't find the effect size in original replication paper that was reported in the OSC 2015 table, I coded from the replication paper directly</t>
  </si>
  <si>
    <t>Centerbar, D.B., Schnall, S., Clore, G.L., &amp; Garvin, E.D. (2008). Affective incoherence: When affective concepts and embodied reactions clash. Journal of Personality and Social Psychology, 94(4), 560-578. doi: 10.1037/0022-3514.94.4.560</t>
  </si>
  <si>
    <t>10.1037/0022-3514.94.4.560</t>
  </si>
  <si>
    <t>10.1037--0022-3514.94.4.560.pdf</t>
  </si>
  <si>
    <t>Humphries, D., Brown, K., DeGaetano, M., Mainard, H., Attridge, P. R., Brown, B. T., &amp; Hicks, G. (2023, September 28). Replication of Centerbar, Schnall, Clore, &amp; Garvin (2008, JPSP, Study 5). Retrieved from osf.io/l8srm</t>
  </si>
  <si>
    <t>Affective coherence</t>
  </si>
  <si>
    <t>Affect, Attention, Comprehension, Concept Formation, Conflict (Psychology), Cues, Culture, Female, Humans, Male, Memory, Short-Term, Mental Recall, Motivation, Reading, Retention (Psychology)</t>
  </si>
  <si>
    <t>Affective incoherence: When affective concepts and embodied reactions clash.</t>
  </si>
  <si>
    <t>"Indeed, a repeated measures ANOVA with condition (coherent vs. incoherent) and story (1 vs. 2 vs. 3) produced a significant linear trend for the interaction of Condition × Story, F(1, 131) = 5.79, p = .02, η² = .04."</t>
  </si>
  <si>
    <t>F (2, 110) = .759</t>
  </si>
  <si>
    <t>https://osf.io/ngxye</t>
  </si>
  <si>
    <t>1. There was no indication of interaction in the original study (since it was not significant), thus I am not sure whether exactly this values should be reported. Moreover, they are different from RPP table.</t>
  </si>
  <si>
    <t>Affective coherence, embodiment, affect, motor behavior, facial expression</t>
  </si>
  <si>
    <t>Affective coherence (as opposed to affective incoherence) produced a linear increase in cognitive complexity across three participant-generated narratives</t>
  </si>
  <si>
    <t>F(2, 110) = 0.759</t>
  </si>
  <si>
    <t>osc201553_1</t>
  </si>
  <si>
    <t>osc201553</t>
  </si>
  <si>
    <t>Graham, Roksana</t>
  </si>
  <si>
    <r>
      <rPr>
        <rFont val="Arial"/>
      </rPr>
      <t xml:space="preserve">The link here to the original paper is wrong, I coded from </t>
    </r>
    <r>
      <rPr>
        <rFont val="Arial"/>
        <color rgb="FF1155CC"/>
        <u/>
      </rPr>
      <t>https://www.uky.edu/AS/PoliSci/Peffley/pdf/Sniderman/Amodio_et_al_2008_JPSP_Individual%20Differences%20in%20the%20Regulation%20of%20Intergroup%20Bias.pdf</t>
    </r>
  </si>
  <si>
    <t>Amodio, D. M., Devine, P. G., &amp; Harmon-Jones, E. (2008). Individual differences in the regulation of intergroup bias: The role of conflict monitoring and neural signals for control. Journal of Personality and Social Psychology, 94(1), 60-74.</t>
  </si>
  <si>
    <t>10.1037/0022-3514.94.3.545</t>
  </si>
  <si>
    <t>10.1037--0022-3514.94.3.545.pdf</t>
  </si>
  <si>
    <t>Johnson-Grey, K. M., Hayes, T. B., &amp; Graham, J. (2023, September 28). Replication of Amodio, Devine, &amp; Harmon-Jones (2008, JPSP, Study 2). Retrieved from osf.io/wkgpq</t>
  </si>
  <si>
    <t>Regulation of Intergroup Bias</t>
  </si>
  <si>
    <t>African Americans, Analysis of Variance, Cognition, Conflict (Psychology), European Continental Ancestry Group, Evoked Potentials, Female, Group Processes, Humans, Inhibition (Psychology), Models, Psychological, Motivation, Neuropsychology, Prejudice, United States</t>
  </si>
  <si>
    <t>Low-prejudice participants whose non-prejudiced responses were motivated by internal (but not external) factors exhibited better control on a stereotype-inhibition task than did participants motivated by a combination of internal and external factors, and that these group differences were specific to response control in the domain of prejudice</t>
  </si>
  <si>
    <t>"The critical interaction was significant, F(1, 31) = 5.14, p = .03, providing more direct support for the hypothesis that these two groups of low-prejudice participants would differ in PD control on the weapons identification task but not on the flankers task."</t>
  </si>
  <si>
    <t>F(1, 31) = 5.14</t>
  </si>
  <si>
    <t>https://osf.io/dqybc</t>
  </si>
  <si>
    <t>osc201553_a</t>
  </si>
  <si>
    <t>1. Also for OSF there is a second link: https://osf.io/dqybc
2. In the original paper there is a misinformation, as authors firtly wrote about 59 participants, from which 1 was excluded, somehow resulted in 48. 
3. An updated file was uploaded for original study (in the e-mail there is  a link to the corresponding folder)
4. I consider the Discipline to be "Developmental psychology", but put the data along with RPP table</t>
  </si>
  <si>
    <t>Prejudice, control, ERP, ERN, conflict monitoring</t>
  </si>
  <si>
    <t>We conducted a more focused 2 (Group: high IMS/low EMS vs. high IMS/high EMS) X 2 (Task: weapons vs. flankers) ANOVA on PD-control estimates. The critical interaction was significant, F(1, 31) = 5.14, p = .03,</t>
  </si>
  <si>
    <t>osc201555_1</t>
  </si>
  <si>
    <t>osc201555</t>
  </si>
  <si>
    <t>Gable, Roksana</t>
  </si>
  <si>
    <t>Harmon-Jones, E., Harmon-Jones, C., Fearn, M., Sigelman, J.D., &amp; Johnson, P. (2008). Left frontal cortical activation and spreading of alternatives: Test of the action-based model of dissonance. Journal of Personality and Social Psychology, 94(1), 1-15.</t>
  </si>
  <si>
    <t>10.1037/0022-3514.94.1.1</t>
  </si>
  <si>
    <t>10.1037--0022-3514.94.1.1.pdf</t>
  </si>
  <si>
    <t>Gable, P. A., &amp; Mechin, N. (2023, September 28). Replication of E Harmon-Jones, C Harmon-Jones, M Fearn, JD Sigelman, P Johnson (2008, JPSP 94(1), Exp. 2). Retrieved from osf.io/su6bm</t>
  </si>
  <si>
    <t>Action-Based Model of Dissonance</t>
  </si>
  <si>
    <t>Analysis of Variance, Attitude, Biofeedback, Psychology, Brain Mapping, Cognitive Dissonance, Decision Making, Female, Humans, Male, Models, Psychological, Prefrontal Cortex [physiology]</t>
  </si>
  <si>
    <t>Action-oriented mindset resulted in attitude changes from pre- to post-decision to both chosen and rejected alternatives</t>
  </si>
  <si>
    <t>"To test the effects of mindset manipulation on attitudes, a 3 (mindset) between-participants 2 (predecision vs. postdecision) 2 (chosen vs. rejected alternative) within-participants ANOVA was performed. It produced the critical three-way interaction, F(2, 54) = 3.19, p = .05, partial η² = .11; see Figure 2."</t>
  </si>
  <si>
    <t>https://osf.io/rqtgz</t>
  </si>
  <si>
    <t>osc201555_a</t>
  </si>
  <si>
    <t xml:space="preserve">1. "The experiment materials provided by the original authors included only 7 experimental descriptions for participants to rate. " - thus it can't be assessed as close replication, even considering such an opinion of the authors
2. The study is about neuroscience, but the journal title is about Social Cognition. I put the discipline from the spreadsheet of RPP project, but perhaps it should be neuroscience (as the neutotechnology is applied) </t>
  </si>
  <si>
    <t>Cognitive dissonance</t>
  </si>
  <si>
    <t>Cognitive dissonance, action-based model, approach motivation, asymmetrical frontal cortical activity, neurofeedback</t>
  </si>
  <si>
    <t>To test the effects of mindset manipulation on attitudes, a 3 (mindset) between-participants x 2 (predecision vs. postdecision)  x 2 (chosen vs. rejected alternative) within-participants ANOVA was performed. It produced the critical three-way interaction, F(2, 54) =  3.19, p  &lt; .05, partial eta-square =  .11; see Figure 2.</t>
  </si>
  <si>
    <t>osc201556_1</t>
  </si>
  <si>
    <t>osc201556</t>
  </si>
  <si>
    <t>Slowik, Roksana</t>
  </si>
  <si>
    <t xml:space="preserve">I coded directly from the replication paper, there is some inconsistency as the OSC 2015 table states that the d=.082 and p-value of .796 </t>
  </si>
  <si>
    <t>I think this is a close instead of conceptual</t>
  </si>
  <si>
    <t>van Dijk, E., van Kleef, G.A., Steinel, W., &amp; van Beest, I. (2008). A social functional approach to emotions in bargaining: When communicating anger pays and when it backfires. Journal of Personality and Social Psychology, 94(4), 600-614.</t>
  </si>
  <si>
    <t>10.1037/0022-3514.94.4.600</t>
  </si>
  <si>
    <t>10.1037--0022-3514.94.4.600.pdf</t>
  </si>
  <si>
    <t>Voracek, M., &amp; Slowik, A. (2023, September 28). Replication of E van Dijk, GA van Kleef, W Steinel, I van Beest (2008, JPSP 94(4), Exp. 3). Retrieved from osf.io/xtsq6</t>
  </si>
  <si>
    <t>.</t>
  </si>
  <si>
    <t>Bargaining in Emotional Regulation</t>
  </si>
  <si>
    <t>Adult, Anger, Communication, Deception, Dominance-Subordination, Emotions, Fear, Female, Goals, Humans, Interpersonal Relations, Male, Motivation, Negotiating, Power (Psychology), Rejection (Psychology)</t>
  </si>
  <si>
    <t>Participants offered significantly fewer chips to angry recipients than to happy recipients in low consequence situations</t>
  </si>
  <si>
    <t>"Moreover, in the low-consequences conditions, participants offered fewer chips to an angry recipient than to a happy recipient, F(1, 99) = 16.62, p &lt; .0001."</t>
  </si>
  <si>
    <t>F(1, 99) = 16.62</t>
  </si>
  <si>
    <t>https://osf.io/4hqd5</t>
  </si>
  <si>
    <t>Slowik</t>
  </si>
  <si>
    <t>1. There minor changes, but there were a lot of them as well as the argue about the sample -&gt; conceptual replication</t>
  </si>
  <si>
    <t>Emotions, bargaining, deception, fairness, self-interest</t>
  </si>
  <si>
    <t>Moreover, in the low-consequences conditions, participants offered fewer chips to an angry recipient than to a happy recipient, F(1,99) = 16.62, p &lt; .0001</t>
  </si>
  <si>
    <t>https://osf.io/4hqd6</t>
  </si>
  <si>
    <t>osc201558_1</t>
  </si>
  <si>
    <t>osc201558</t>
  </si>
  <si>
    <t>Baranski, Roksana</t>
  </si>
  <si>
    <t>Lemay, E.P., &amp; Clark, M.S. Walking on eggshells: How expressing relationship insecurities perpetuates them. Journal of Personality and Social Psychology, 95(2), 420-441.</t>
  </si>
  <si>
    <t>10.1037/0022-3514.95.2.420</t>
  </si>
  <si>
    <t>10.1037--0022-3514.95.2.420.pdf</t>
  </si>
  <si>
    <t>Baranski, E. (2023, September 28). Replication of Lemay and Clark (2008, JPSP 95(2), Exp 5). Retrieved from osf.io/ke43j</t>
  </si>
  <si>
    <t>Relationship vulnerabilities</t>
  </si>
  <si>
    <t>Adult, Affect, Analysis of Variance, Female, Humans, Interpersonal Relations, Male, Models, Psychological, Object Attachment, Questionnaires, Rejection (Psychology), Self Concept, Sexual Partners [psychology], Social Desirability, Social Perception, Spouses [psychology]</t>
  </si>
  <si>
    <t>Walking on eggshells: How expressing relationship insecurities perpetuates them.</t>
  </si>
  <si>
    <t>"A significant main effect for type of rating, F(1, 182) = 47.65, p &lt; .001, suggesting that, on average, participants viewed the confederate as expressing more happiness than was truly felt, was qualified by the Type of Rating × Condition interaction, F(1, 182) = 5.24, p &lt; .05, η² = .03."</t>
  </si>
  <si>
    <t>Baranski</t>
  </si>
  <si>
    <t>1. The mateirial to replication study was taken from the link: https://osf.io/efjn3
2. The second OSF link is available: https://osf.io/xy9mv/</t>
  </si>
  <si>
    <t>Vulnerability</t>
  </si>
  <si>
    <t>Close relationships, egocentrism, relationship security, acceptance, emotion expression, expression-based authenticity doubts, vulnerability</t>
  </si>
  <si>
    <t>Participants perceived the confederate’s expressions of happiness as less authentic when they were told, after the interaction, that the confederate had been informed beforehand that participants were especially vulnerable to rejection</t>
  </si>
  <si>
    <t>https://osf.io/cehgp</t>
  </si>
  <si>
    <t>osc201559_1</t>
  </si>
  <si>
    <t>osc201559</t>
  </si>
  <si>
    <t>Marigold, Roksana</t>
  </si>
  <si>
    <t>How the head liberates the heart: projection of communal responsiveness guides relationship promotion. Journal of Personality and Social Psychology, 95(4), 647-671.</t>
  </si>
  <si>
    <t>10.1037/0022-3514.94.4.647</t>
  </si>
  <si>
    <t>10.1037--0022-3514.94.4.647.pdf</t>
  </si>
  <si>
    <t>Marigold, D. C., Forest, A. L., &amp; Anderson, J. (2023, September 28). Replication of Lemay and Clark (2008, JPSP 95(4), Exp 5). Retrieved from osf.io/h84qd</t>
  </si>
  <si>
    <t>Projected responsiveness bias</t>
  </si>
  <si>
    <t>Adolescent, Adult, Communication, Data Collection, Female, Friends [psychology], Humans, Internet, Interpersonal Relations, Longitudinal Studies, Male, Marriage, Middle Aged, Projection, Questionnaires, Self Concept, Social Support, Spouses [psychology]</t>
  </si>
  <si>
    <t>Participants own responsiveness was a significant predictor of their perception of their partners' responsiveness</t>
  </si>
  <si>
    <t>"Suggesting projection of responsiveness, perceivers’ own responsiveness to targets was a significant predictor of perceived partner responsiveness while controlling for these accuracy effects (b = .68, p &lt; .001). The projection effect was notably stronger than the accuracy effects."</t>
  </si>
  <si>
    <t>https://osf.io/3rtvz</t>
  </si>
  <si>
    <t xml:space="preserve">2. The Effect is about either "Social perception" or "Communal responsiveness" I used the second as it is stated in the paper
3. Authors stated the modification of the procedure, which they believe have small influence on the replication. However, from my point of view, it was modification and thus - it is not a close replication, but rather - conceptual </t>
  </si>
  <si>
    <t>Lemay, E.P., &amp; Clark, M.S. How the head liberates the heart: projection of communal responsiveness guides relationship promotion. Journal of Personality and Social Psychology, 95(4), 647-671.</t>
  </si>
  <si>
    <t>Communal responsiveness</t>
  </si>
  <si>
    <t>Projection of responsiveness, assumed similarity, social support, communal relationships, self-disclosure</t>
  </si>
  <si>
    <t>Suggesting projection of responsiveness, perceivers’ own responsiveness to targets was a significant predictor of perceived partner responsiveness while controlling for these accuracy effects (b = .68, p &lt; .001)</t>
  </si>
  <si>
    <t>osc20156_1</t>
  </si>
  <si>
    <t>osc20156</t>
  </si>
  <si>
    <t>Meixner, Roksana</t>
  </si>
  <si>
    <t>I would say this is a close replication</t>
  </si>
  <si>
    <t>Berry, C.J., Shanks, D.R., &amp; Henson, R.N. A single-system account of the relationship between priming, recognition, and fluency. Journal of Experimental Psychology: Learning, Memory, and Cognition, 34(1), 97-111.</t>
  </si>
  <si>
    <t>10.1037/0278-7393.34.1.97</t>
  </si>
  <si>
    <t>10.1037--0278-7393.34.1.97.pdf</t>
  </si>
  <si>
    <t>Meixner, J. M., &amp; Brüning, J. (2023, September 28). Replication of CJ Berry, DR Shanks, RN Henson (2008, JEPLMC 34(1), Exp 1). Retrieved from osf.io/atgp5</t>
  </si>
  <si>
    <t>Repetition priming</t>
  </si>
  <si>
    <t>Adult, Attention, Cues, Decision Making, Female, Humans, Judgment, Male, Memory, Short-Term, Models, Statistical, Psychomotor Performance, Reaction Time, Reading, Retention (Psychology), Serial Learning, Signal Detection, Psychological, Speech, Verbal Learning</t>
  </si>
  <si>
    <t>A single-system account of the relationship between priming, recognition, and fluency.</t>
  </si>
  <si>
    <t>"Of primary interest for this experiment, RTs to misses were significantly faster than RTs to correct rejections, t(23) 3.55, p .002 (mean priming for items judged new 63 ms, SEM 18), replicating Stark and McClelland (2000)."</t>
  </si>
  <si>
    <t>t(23) = 3.55</t>
  </si>
  <si>
    <t>t(31) = 2.40</t>
  </si>
  <si>
    <t>https://osf.io/vdc5m</t>
  </si>
  <si>
    <t>1. There are also 2 additional OSF links: https://osf.io/cbwgj, https://osf.io/zhxuy</t>
  </si>
  <si>
    <t>Fluency, repetition priming, recognition, computational model</t>
  </si>
  <si>
    <t>Response times to misses were significantly faster than those to correct rejections, indicating that memory sources for priming and recognition are independent.</t>
  </si>
  <si>
    <t>Of primary interest for this experiment, RTs to misses were significantly faster than RTs to correct rejections, t(23) = 3.55, p = .002 (mean priming for items judged new 63 ms, SEM = 18), replicating Stark and McClelland (2000)</t>
  </si>
  <si>
    <t>osc201561_1</t>
  </si>
  <si>
    <t>osc201561</t>
  </si>
  <si>
    <t>Talhelm, Roksana</t>
  </si>
  <si>
    <t>I coded directly from the replication paper, there is some inconsistency as the OSC 2015 table states that the d=-.01</t>
  </si>
  <si>
    <t>Ersner-Hershfield, H. H., Mikels, J. A., Sullivan, S. J., &amp; Carstensen, L. L. (2008). Poignancy: mixed emotional experience in the face of meaningful endings. Journal of Personality and Social Psychology, 94(1), 158-167.</t>
  </si>
  <si>
    <t>10.1037/0022-3514.94.1.158</t>
  </si>
  <si>
    <t>10.1037--0022-3514.94.1.158.pdf</t>
  </si>
  <si>
    <t>Talhelm, T., Eggleston, C., &amp; Lee, M. (2023, September 28). Replication of Ersner-Hershfield et al. (2008, JPSP, Study 2). Retrieved from osf.io/sq8k9</t>
  </si>
  <si>
    <t>Poignancy in mixed emotions</t>
  </si>
  <si>
    <t>Adult, Age Factors, Aged, Aging [psychology], Analysis of Variance, Emotions, Female, Human Development, Humans, Imagination, Male, United States</t>
  </si>
  <si>
    <t>Poignancy: Mixed emotional experience in the face of meaningful endings.</t>
  </si>
  <si>
    <t>"As hypothesized, making the ending of graduation day more salient caused participants in the limited-time condition to show higher mixed emotion scores than participants in the control condition, t(108) 2.34, p .05."</t>
  </si>
  <si>
    <t>t(108) = -2.34</t>
  </si>
  <si>
    <t>osc201561_a</t>
  </si>
  <si>
    <t>1. Authors added appreciation to the list of emotions</t>
  </si>
  <si>
    <t>Coder 2 noted I coded directly from the replication paper, there is some inconsistency as the OSC 2015 table states that the d=-.01</t>
  </si>
  <si>
    <t>Aging, emotions, mixed emotions, human development, poignancy, endings, socioemotional selectivity theory, experience of ending</t>
  </si>
  <si>
    <t>Participants in the limited-time condition (poignancy) experienced more sadness than participants in the control condition</t>
  </si>
  <si>
    <t>https://osf.io/x5szy</t>
  </si>
  <si>
    <t>osc201563_1</t>
  </si>
  <si>
    <t>osc201563</t>
  </si>
  <si>
    <t>LeBel, Roksana</t>
  </si>
  <si>
    <t>Conceptual as study to design from being measured individual to groups</t>
  </si>
  <si>
    <t>Correll, J. (2008). 1/f noise and effort on implicit measures of bias. Journal of Personality and Social Psychology, 94, 48-59.</t>
  </si>
  <si>
    <t>LeBel, E. P. (2023, September 28). Replication of Correll (2008, JPSP, Study 2). Retrieved from osf.io/fejxb</t>
  </si>
  <si>
    <t>1/f Noise</t>
  </si>
  <si>
    <t>African Americans, Behavioral Research [statistics &amp; numerical data], Bias (Epidemiology), European Continental Ancestry Group [psychology], Fourier Analysis, Humans, Prejudice, Reaction Time, Regression Analysis, Stereotyping</t>
  </si>
  <si>
    <t>1/f noise and effort on implicit measures of bias.</t>
  </si>
  <si>
    <t>"As predicted, analysis revealed a significant difference between the control condition and the average of the two experimental conditions in terms of the magnitude of the PSD slopes, F(1, 68) 5.52, p .02 (see Table 2 and Figure 4)."</t>
  </si>
  <si>
    <t>osc201563_a</t>
  </si>
  <si>
    <t>1. Tags were combined from RPP table and the paper 
2. There is also the second OSF link: https://osf.io/v3hfb
3. The study was conducted in groups instead of individually
4. Exploratory analyses was conducted with the usage of original sample, thus it is not included here
5. I am not sure whether the analsis was nested or not.</t>
  </si>
  <si>
    <t>1/f noise, effort, stereotyping, prejudice, bias, fourier analysis</t>
  </si>
  <si>
    <t>Participants instructed to use race and avoid race exhibited less 1/f noise (as reflected in PSD slopes) than participants in the control condition</t>
  </si>
  <si>
    <t>Analysis revealed a significant difference between the control condition and the average of the two experimental conditions in terms of the magnitude of the PSD slopes, F(1, 68) = 5.52, p &lt; .02</t>
  </si>
  <si>
    <t>https://osf.io/8dzpj</t>
  </si>
  <si>
    <t>osc201564_1</t>
  </si>
  <si>
    <t>osc201564</t>
  </si>
  <si>
    <t>Reinhard, Roksana</t>
  </si>
  <si>
    <t>Förster, J., Liberman, N., &amp; Kuschel, S. (2008). The effect of global versus local processing styles on assimilation versus contrast in social judgment. Journal of Personality and Social Psychology, 94, 579-599.</t>
  </si>
  <si>
    <t>10.1037/0022-3514.94.4.579</t>
  </si>
  <si>
    <t>10.1037--0022-3514.94.4.579.pdf</t>
  </si>
  <si>
    <t>Reinhard, D. A. (2023, September 28). Replication of J Förster, N Liberman, &amp; S Kuschel (2008, JPSP, Study 1). Retrieved from osf.io/mxryb</t>
  </si>
  <si>
    <t>Social Judgement Processing</t>
  </si>
  <si>
    <t>Association Learning, Attention, Concept Formation, Dominance, Cerebral, Female, Field Dependence-Independence, Generalization (Psychology), Gestalt Theory, Humans, Judgment, Male, Pattern Recognition, Visual, Psychomotor Performance, Self Concept, Social Identification, Social Perception, Time Perception</t>
  </si>
  <si>
    <t>Processing style (global and local) affected the impact of the prime: participants judged the target person to be more aggressive after aggression priming in global style compared to local style</t>
  </si>
  <si>
    <t>"Most important, these two main effects were qualified by the predicted interaction, F(2, 76) 21.57, p .0001, showing that processing style affected the impact of the prime."</t>
  </si>
  <si>
    <t>F(2, 76) = 21.57</t>
  </si>
  <si>
    <t>https://osf.io/ak3rj</t>
  </si>
  <si>
    <t>osc201564_c</t>
  </si>
  <si>
    <t>1. The second link for OSF is: https://osf.io/e4vqu</t>
  </si>
  <si>
    <t>Categorization</t>
  </si>
  <si>
    <t>Assimilation and contrast; exclusion versus inclusion; processing styles</t>
  </si>
  <si>
    <t>Most important, these two main effects were qualified by the predicted interaction, F(2, 76) = 21.57, p  &lt; .0001, showing that processing style affected the impact of the prime.</t>
  </si>
  <si>
    <t>osc201565_1</t>
  </si>
  <si>
    <t>osc201565</t>
  </si>
  <si>
    <t>Lin, Roksana</t>
  </si>
  <si>
    <t>JJ Exline, RF Baumeister, AL Zell, AJ Kraft, CV Witvliet (2008). Not so innocent: does seeing one's own capacity for wrongdoing predict forgiveness? Journal of Personality and Social Psychology: 94.3: 495-515.</t>
  </si>
  <si>
    <t>10.1037--0022-3514.94.3.495.pdf</t>
  </si>
  <si>
    <t>Lin, S. C., &amp; Frank, M. C. (2023, September 28). Replication of Exline et al. (2008, JPSP, Study 7). Retrieved from osf.io/imrx2</t>
  </si>
  <si>
    <t>Self-perceived forgiveness</t>
  </si>
  <si>
    <t>Adolescent, Adult, Anger [physiology], Attitude, Empathy, Female, Group Processes, Guilt, Humans, Individuality, Interpersonal Relations, Male, Mental Recall [physiology], Motivation, Sex Factors, Social Behavior, Social Perception, Students [psychology]</t>
  </si>
  <si>
    <t>Not so innocent: Does seeing one's own capacity for wrongdoing predict forgiveness?</t>
  </si>
  <si>
    <t>Table 3</t>
  </si>
  <si>
    <t>osc201565_a</t>
  </si>
  <si>
    <t xml:space="preserve">1. There was a second OSF link: https://osf.io/p5en6
2. In my opinion the Discipline is more about "Differential Psychology", however, in RPP table it is "Social", thus I leave it to be along with the RPP table. </t>
  </si>
  <si>
    <t>Forgiveness</t>
  </si>
  <si>
    <t>Forgiveness, vengefulness, humility, empathy, gender</t>
  </si>
  <si>
    <t>When not primed with capability– empathy items, men reported more vengefulness than women, but when capability– empathy items preceded the TRIM, men’s vengefulness scores were significantly reduced</t>
  </si>
  <si>
    <t>As Table 3 shows, results revealed a marginally significant interaction predicting TRIMs</t>
  </si>
  <si>
    <t>https://osf.io/nrjs5</t>
  </si>
  <si>
    <t>osc201568_1</t>
  </si>
  <si>
    <t>osc201568</t>
  </si>
  <si>
    <t>Mathur, Roksana</t>
  </si>
  <si>
    <r>
      <rPr>
        <rFont val="Arial"/>
      </rPr>
      <t xml:space="preserve">Link from OSC 2015 table to replication paper didn't work but I found it here: </t>
    </r>
    <r>
      <rPr>
        <rFont val="Arial"/>
        <color rgb="FF1155CC"/>
        <u/>
      </rPr>
      <t>https://osf.io/b9jtc</t>
    </r>
  </si>
  <si>
    <t xml:space="preserve">I would argue this is a close replication </t>
  </si>
  <si>
    <t>JL Risen, T Gilovich (2008). Why people are reluctant to tempt fate. Journal of Personality and Social Psychology, 95.2: 293-307.</t>
  </si>
  <si>
    <t>10.1037--0022-3514.95.2.293.pdf</t>
  </si>
  <si>
    <t>Frank, M. C., &amp; Mathur, M. B. (2023, September 28). Replication of Risen &amp; Gilovich (2008, JPSP). Retrieved from osf.io/sg3su</t>
  </si>
  <si>
    <t>Fate temptation</t>
  </si>
  <si>
    <t>Culture, Female, Humans, Intuition, Judgment, Male, Motivation, Negativism, Probability, Social Environment</t>
  </si>
  <si>
    <t>When participants were not under load, those who imagined that they had not done the reading believed that it was more likely that they would be called on</t>
  </si>
  <si>
    <t>"The main effects were qualified by the predicted interaction, however, F(1,116) 4.15, p &lt;.05."</t>
  </si>
  <si>
    <t>F(1, 116) = 4.15</t>
  </si>
  <si>
    <t>F(1, 222) = 0.002</t>
  </si>
  <si>
    <t>https://osf.io/6vsc3</t>
  </si>
  <si>
    <t>1. Also, there is a second link for OSF: https://osf.io/bfzn9
2. There were differences with original study in the survey administration and sampling frame</t>
  </si>
  <si>
    <t>Tempting fate</t>
  </si>
  <si>
    <t>A 2 (behavior: had read vs. had not read) X 2 (load: yes vs. no) X ANOVA revealed main effects for reading, F(1, 116) = 22.88, p &lt; .001, and for load, F(1, 116) = 17.34, p &lt; .001</t>
  </si>
  <si>
    <t>https://osf.io/6vsc4</t>
  </si>
  <si>
    <t>osc201569_1</t>
  </si>
  <si>
    <t>osc201569</t>
  </si>
  <si>
    <t>Sullivan, Roksana</t>
  </si>
  <si>
    <t>I'm not sure which way is better to report the effects in this row [Luke: chose this row due to proportions reported as "NA" instead of test statistics]</t>
  </si>
  <si>
    <t>Tracy, J.L., &amp; Robins, R.W. (2008). The nonverbal expression of pride: Evidence for cross-cultural recognition. Journal of Personality and Social Psychology, 94(3), 516-530.</t>
  </si>
  <si>
    <t>10.1037/0022-3514.94.3.516</t>
  </si>
  <si>
    <t>10.1037--0022-3514.94.3.516.pdf</t>
  </si>
  <si>
    <t>Sullivan, G. B. (2023, September 28). Replication of Tracy and Robins (2008, JPSP, Exp 4). Retrieved from osf.io/qthf2</t>
  </si>
  <si>
    <t>The Nonverbal Expression of Pride:</t>
  </si>
  <si>
    <t>Adult, Affect [physiology], Africa, Western, Aged, Anger [physiology], Cross-Cultural Comparison, Emotions [physiology], Ethnic Groups [psychology], Facial Expression, Fear [psychology], Female, Happiness, Humans, Italy, Male, Middle Aged, Nonverbal Communication [psychology], Recognition (Psychology) [physiology], Self Concept, Shame, Social Behavior, Students, United States</t>
  </si>
  <si>
    <t>The nonverbal expression of pride: Evidence for cross-cultural recognition.</t>
  </si>
  <si>
    <t>"On the basis of binomial tests, recognition rates for all six pride expressions (M 78%, range 70%–87%) were significantly greater than chance (p .05), with chance set at 33% (see Figure 6 for recognition rates by target)."</t>
  </si>
  <si>
    <t>Av. Proportion = 0.78</t>
  </si>
  <si>
    <t>Av. Proportion = 0.77</t>
  </si>
  <si>
    <t>https://osf.io/ty9xh</t>
  </si>
  <si>
    <t>osc201569_a</t>
  </si>
  <si>
    <t>1. There were 2 additional links to OSF: https://osf.io/6c5kp, https://osf.io/f2gru
2. The values for effect size are given in order to calculate Cohen's h for binomial test: observed and hypothesized proportion (h = 0.944 and 0.914)</t>
  </si>
  <si>
    <t>Pride, self-conscious emotion, cross-cultural, universal, emotion recognition</t>
  </si>
  <si>
    <t>Participants recognized conveyed emotions as pride at an above chance level, no matter what culture the target represented</t>
  </si>
  <si>
    <t>On the basis of binomial tests, recognition rates for all six pride expressions (M = 78%, range = 70%–87%) were significantly greater than chance (p &lt; .05), with chance set at 33% (see Figure 6 for recognition rates by target)</t>
  </si>
  <si>
    <t>Observed proportion = 78%, hypothesized proportion = 33%</t>
  </si>
  <si>
    <t>Observed proportion = 77%, hypothesized proportion = 33%</t>
  </si>
  <si>
    <t>osc20157_1</t>
  </si>
  <si>
    <t>osc20157</t>
  </si>
  <si>
    <t>Kleinberg, Roksana</t>
  </si>
  <si>
    <t>For original study, I coded directly from original study as could not find values reported in OSC 2015 table</t>
  </si>
  <si>
    <t>Beaman, C.P., Neath, I., &amp; Suprenant, A.M. (2008). Modeling Distributions of Immediate Memory Effects: No Strategies Needed? Journal of Experimental Psychology: LMC, 34 (1), 219 - 239.</t>
  </si>
  <si>
    <t>10.1037/0278-7393.34.1.219</t>
  </si>
  <si>
    <t>10.1037--0278-7393.34.1.219.pdf</t>
  </si>
  <si>
    <t>Kleinberg, B., &amp; Kunkels, Y. K. (2023, September 28). Replication of Beaman, Neath, &amp; Suprenant (2008, JEP:LMC, Experiment 2). Retrieved from osf.io/6n3bm</t>
  </si>
  <si>
    <t>Modeling Distributions of Immediate Memory Effects</t>
  </si>
  <si>
    <t>Attention, Humans, Individuality, Memory, Short-Term, Models, Statistical, Phonetics, Psychomotor Performance, Semantics, Serial Learning, Verbal Learning</t>
  </si>
  <si>
    <t>Participants remembered the order of words better when the presented word lists contained only short words compared to lists that only contained long words.</t>
  </si>
  <si>
    <t>"Participants correctly recalled in order more short words (.48) than long words (.40), indicating that the word-length manipulation was successful, as confirmed by ANOVA, F(1, 99) 103.7, MSE 9.30, p .05."</t>
  </si>
  <si>
    <t>F(1,99) = 103.7</t>
  </si>
  <si>
    <t>t(14) = 0.496</t>
  </si>
  <si>
    <t>https://osf.io/q7hm3</t>
  </si>
  <si>
    <t xml:space="preserve">1. In the RPP table there is a statement about t-test, however, in the original paper authors report ANOVA. I put the value like in the original study. 
2. In the RPP table the Cohen's d is reported. However, it is not stated in the replication report and calculation of the ES in "ES calculations" page provides different result. I reported the calculated values. </t>
  </si>
  <si>
    <t>This effect size was not found directly in the replication paper</t>
  </si>
  <si>
    <t>Word Length Effect</t>
  </si>
  <si>
    <t>Participants correctly recalled in order more short words (.48) than long words (.40), indicating that the word-length manipulation was successful, as confirmed by ANOVA, F(1, 99) = 103.7, MSE = 9.30, p &lt; .05. The mean WLE was .16 (lower quartile = .060; median = .158; upper quartile = .284; SD = .162; range = -.30 to .55), and the distribution did not differ from normal (Kolmogorov–Smirnov Z = 0.428, ns)</t>
  </si>
  <si>
    <t>F(1, 99) = 103.7</t>
  </si>
  <si>
    <t>https://osf.io/q7hm4</t>
  </si>
  <si>
    <t>osc201571_1</t>
  </si>
  <si>
    <t>osc201571</t>
  </si>
  <si>
    <t>KE Stanovich, RF West (2008). On the relative independence of thinking biases and cognitive ability. Journal of Personality and Social Psychology, 94(4):672-95. doi: 10.1037/0022-3514.94.4.672.</t>
  </si>
  <si>
    <t>10.1037/0022-3514.94.4.672</t>
  </si>
  <si>
    <t>10.1037--0022-3514.94.4.672.pdf</t>
  </si>
  <si>
    <t>Baranski, E. (2023, September 28). Replication of Stanovich and West (2008, JPSP 94(4), Exp. 8). Retrieved from osf.io/7ux8p</t>
  </si>
  <si>
    <t>Thinking bias</t>
  </si>
  <si>
    <t>Adolescent, Adult, Aptitude, Cognition, Culture, Decision Making, Female, Humans, Judgment, Male, Probability Learning, Problem Solving, Thinking</t>
  </si>
  <si>
    <t>Participants who answered correctly were more often of higher cognitive ability (measured via SAT scores)</t>
  </si>
  <si>
    <t>"Partitioning the sample somewhat differently, we found that the mean SAT score (1214, SD 96) of the group answering correctly was significantly higher than the mean SAT score (1163, SD 106) of those giving an incorrect answer, t(373) 4.40, p .001, Cohen’s d 0.493."</t>
  </si>
  <si>
    <t>https://osf.io/7bnfp</t>
  </si>
  <si>
    <t>osc201571_b</t>
  </si>
  <si>
    <t xml:space="preserve">1. The second OSF link: https://osf.io/dwr2m
2. In my opinion the Discipline is more about "Differential Psychology", however, in RPP table it is "Social", thus I leave it to be along with the RPP table. </t>
  </si>
  <si>
    <t>Thinking biases, heuristics and biases, intelligence, cognitive ability</t>
  </si>
  <si>
    <t>osc201572_1</t>
  </si>
  <si>
    <t>osc201572</t>
  </si>
  <si>
    <t>Lemm, Roksana</t>
  </si>
  <si>
    <t>1. There is also the second OSF link: https://osf.io/2kryw</t>
  </si>
  <si>
    <t>Blankenship, K. L., &amp; Wegener, D. T. (2008). Opening the mind to close it: Considering a message in light of important values increases message processing and later resistance to change. Journal of Personality and Social Psychology, 94, 196-213.</t>
  </si>
  <si>
    <t>5a</t>
  </si>
  <si>
    <t>10.1037--0022-3514.94.2.94.2.196.pdf</t>
  </si>
  <si>
    <t>Lemm, K. M. (2023, September 28). Replication of Blankenship &amp; Wegener (2008, JPSP, Study 5A). Retrieved from osf.io/2gx4k</t>
  </si>
  <si>
    <t>Value- driven message processing</t>
  </si>
  <si>
    <t>Attitude, Cognition, Humans, Mental Processes, Persuasive Communication, Thinking</t>
  </si>
  <si>
    <t>People who focus on important values in persuasive messages are more sensitive to argument quality compared to people who focus on unimportant values</t>
  </si>
  <si>
    <t>"For both studies, the attitude measure was submitted to a 2 (value: important vs. unimportant) 2 (argument quality: strong vs. weak) ANOVA. The predicted Value Argument Quality interaction was significant for Study 5A, F(1, 257) 11.58, p .002, and Study 5B, F(1, 120) 6.01, p .017 (see Table 3)."</t>
  </si>
  <si>
    <t>https://osf.io/kg2x4</t>
  </si>
  <si>
    <t>osc201572_a</t>
  </si>
  <si>
    <t>Values, information processing, resistance to persuasion, message, communication, attitude</t>
  </si>
  <si>
    <t>The predicted Value X Argument Quality interaction was significant for Study 5A, F(1, 257) = 11.58, p = .002</t>
  </si>
  <si>
    <t>https://osf.io/kg2x5</t>
  </si>
  <si>
    <t>osc201573_1</t>
  </si>
  <si>
    <t>osc201573</t>
  </si>
  <si>
    <t>Motyl, Roksana</t>
  </si>
  <si>
    <t>In replication paper, X^2(1, N=120) = 4.80 was reported too but I coded phi as it is more suitable for effect size. However, not sure if I coded the type correctly.</t>
  </si>
  <si>
    <t>Morrison, Kimberly Rios, and Dale T. Miller. "Distinguishing between silent and vocal minorities: Not all deviants feel marginal." Journal of Personality and Social Psychology 94.5 (2008): 871</t>
  </si>
  <si>
    <t>10.1037/0022-3514.94.5.871</t>
  </si>
  <si>
    <t>10.1037--0022-3514.94.5.871.pdf</t>
  </si>
  <si>
    <t>Motyl, M., &amp; Nosek, B. A. (2023, September 28). Replication of Morrison &amp; Miller (2008, JPSP, Study 3). Retrieved from osf.io/nhwv5</t>
  </si>
  <si>
    <t>Minority Deviance</t>
  </si>
  <si>
    <t>Conflict (Psychology), Culture, Female, Group Processes, Humans, Individuality, Male, Motivation, Personal Satisfaction, Social Conformity, Social Dominance, Social Identification</t>
  </si>
  <si>
    <t>Distinguishing between silent and vocal minorities: Not all deviants feel marginal.</t>
  </si>
  <si>
    <t>"However, the Democratic-to-Republican sticker ratio was significantly lower than the Democratic-to-Republican registered voter ratio in San Diego County, χ²(1, N = 37) = 3.85, p = .05 (see Table 4). That is, there were disproportionately more descriptive deviant (Republican) stickers than prescriptive deviant (Democratic) stickers."</t>
  </si>
  <si>
    <t>X^2(1, N=37) = 3.85</t>
  </si>
  <si>
    <t>1. The second OSF link: https://osf.io/hctz9
2. The Effect is also "Social deviance"
3. The effect size of replication is Phi
4. There are four different districts in the replication. Each of them can be considered as separete replication</t>
  </si>
  <si>
    <t>Social influence</t>
  </si>
  <si>
    <t>Minorities, deviance, social norms</t>
  </si>
  <si>
    <t>There were disproportionately more descriptive deviant (Republican) stickers than prescriptive deviant (Democratic) stickers in more Republician location (second attempt)</t>
  </si>
  <si>
    <t>However, the Democratic-to-Republican sticker ratio was significantly lower than the Democratic-to-Republican registered voter ratio in San Diego County, chi-squared(1, N = 37) = 3.85, p &lt; .05 (see Table 4)</t>
  </si>
  <si>
    <t>X2(1, N = 37) = 3.85</t>
  </si>
  <si>
    <t>https://osf.io/jhn4g</t>
  </si>
  <si>
    <t>osc201577_1</t>
  </si>
  <si>
    <t>osc201577</t>
  </si>
  <si>
    <t>Kidwell, Roksana</t>
  </si>
  <si>
    <t>In the replication paper,  β hat  = 0.4695</t>
  </si>
  <si>
    <t>Koo, M., &amp; Fishbach, A. (2008). Dynamics of self-regulation: How (un)accomplished goal actions affect motivation. Journal of Personality and Social Psychology, 94(2), 183-195.</t>
  </si>
  <si>
    <t>10.1037/0022-3514.94.2.183</t>
  </si>
  <si>
    <t>10.1037--0022-3514.94.2.183.pdf</t>
  </si>
  <si>
    <t>Kidwell, M., &amp; Dodson, G. T. (2016, August 19). Replication of M Koo, A Fishbach (2008, JPSP 94(2), Exp. 4). Retrieved from osf.io/nr7d9</t>
  </si>
  <si>
    <t>osf_68m2c.pdf</t>
  </si>
  <si>
    <t>The replication paper state "Given the low number of observations, the results of this replication are likely unreliable. "</t>
  </si>
  <si>
    <t>(Un)accomplished Goal Action Effects on Motivation</t>
  </si>
  <si>
    <t>Adolescent, Adult, Aged, Attitude, Charities [economics], Female, Fund Raising [ethics], Goals, Humans, Male, Middle Aged, Motivation, Social Control, Informal</t>
  </si>
  <si>
    <t>Participants from the hot list (certain commitment) donated more money in the to-go condition than did participants in the to-date condition</t>
  </si>
  <si>
    <t>"In support of the hypothesis, this ANOVA yielded the predicted Commitment Focus interaction, F(1, 242) =10.47, p &lt;.01"</t>
  </si>
  <si>
    <t>F(1, 242) = 10.47</t>
  </si>
  <si>
    <t>https://osf.io/7czwd</t>
  </si>
  <si>
    <t>osc201577_a</t>
  </si>
  <si>
    <t>1. Authors stated that the response rate was very low (approximetly 0%), which means that these results are effectively un-interpretable. The replication fialed.</t>
  </si>
  <si>
    <t>Very small response rate (~0%)</t>
  </si>
  <si>
    <t>Goals, self-regulation, motivation, commitment, progress, charities, fund raising, social control</t>
  </si>
  <si>
    <t>In support of the hypothesis, this ANOVA yielded the predicted Commitment × Focus interaction, F(1,242) = 10.47, p &lt; .01</t>
  </si>
  <si>
    <t>osc20158_1</t>
  </si>
  <si>
    <t>osc20158</t>
  </si>
  <si>
    <t>Calhoun Sauls, Roksana</t>
  </si>
  <si>
    <t>Dodson, C.S., Darragh, J., &amp; Williams, A. (2008). Stereotypes and retrieval-provoked illusory source recollections. Journal of Experimental Psychology: Learning, Memory, and Cognition, 34(3), 460-477.</t>
  </si>
  <si>
    <t>10.1037/0278-7393.34.3.460</t>
  </si>
  <si>
    <t>10.1037--0278-7393.34.3.460.pdf</t>
  </si>
  <si>
    <t>Calhoun-Sauls, A. (2023, September 28). Replication of CS Dodson, J Darragh, A Williams (2008, JEPLMC 34(3), Exp. 3). Retrieved from osf.io/c5pbg</t>
  </si>
  <si>
    <t>Illusory Source Recollections</t>
  </si>
  <si>
    <t>Association Learning, Attention, Awareness, Humans, Illusions [psychology], Lawyers [psychology], Mental Recall, Physicians [psychology], Reading, Set (Psychology), Social Perception, Stereotyping</t>
  </si>
  <si>
    <t>Correct source attributions creates no difference in the subjective state of remembering between schema-consistent or schema-inconsistent condition, whereas in case of incorrect source attribution participants are more often in a subjective state of remembering when these attributions are schema-consistent</t>
  </si>
  <si>
    <t>"There was also a three-way interaction, F(1, 37) = 17.03, MSE = .033, p &lt; .001, η² = .32, but no other significant effects (all Fs &lt; 1.13)."</t>
  </si>
  <si>
    <t>F(1, 31) = .384</t>
  </si>
  <si>
    <t>https://osf.io/nx6dr</t>
  </si>
  <si>
    <t>1. Two more OSF links: https://osf.io/49xea, https://osf.io/24d7b</t>
  </si>
  <si>
    <t>Illusory recollections</t>
  </si>
  <si>
    <t>Source memory, stereotypes, remember, recollection, false memory</t>
  </si>
  <si>
    <t>There was also a three-way interaction, F(1, 37) = 17.03, MSE = .033, p &lt; .001, η² = .32, but no other significant effects (all Fs &lt; 1.13)</t>
  </si>
  <si>
    <t>F(1, 31) = 0.384</t>
  </si>
  <si>
    <t>osc201580_1</t>
  </si>
  <si>
    <t>osc201580</t>
  </si>
  <si>
    <t>Lane, Roksana</t>
  </si>
  <si>
    <r>
      <rPr>
        <rFont val="Arial"/>
      </rPr>
      <t xml:space="preserve">Link to original paper is wrong, I used : </t>
    </r>
    <r>
      <rPr>
        <rFont val="Arial"/>
        <color rgb="FF1155CC"/>
        <u/>
      </rPr>
      <t>https://kops.uni-konstanz.de/server/api/core/bitstreams/f8cf3efc-7de6-49c4-8ff8-ce1e1a9b6892/content</t>
    </r>
  </si>
  <si>
    <t>MD Henderson, Y de Liver, PM Gollwitzer (2008). The effects of an implemental mind-set on attitude strength. Journal of Personality and Social Psychology, 94.3: 396-411.</t>
  </si>
  <si>
    <t>10.1037--0022-3514.94.3.396.pdf</t>
  </si>
  <si>
    <t>Lane, K. A., &amp; Gazarian, D. (2016, August 19). Replication of Henderson, de Liver, &amp; Gollwitzer (2008, JPSP, Expt. 5). Retrieved from osf.io/79dey</t>
  </si>
  <si>
    <t>The Effects of an Implemental Mind-Set on Attitude Strengt</t>
  </si>
  <si>
    <t>Adult, Attitude, Behavior [physiology], Decision Making [physiology], Female, Goals, Humans, Self Concept, Set (Psychology), Students [psychology], Task Performance and Analysis</t>
  </si>
  <si>
    <t>Participants in the one-sided focus condition had less ambivalence than participants in the two-sided focus condition.</t>
  </si>
  <si>
    <t>"As expected, the condition effect was significant, F(2, 43) = 3.36, p &lt; .05."</t>
  </si>
  <si>
    <t>F(2, 43) = 3.36</t>
  </si>
  <si>
    <t>F (2, 67) = 1.70</t>
  </si>
  <si>
    <t>https://osf.io/45vwm</t>
  </si>
  <si>
    <t>osc201580_a</t>
  </si>
  <si>
    <t>1. An updated file was uploaded for original study (in the e-mail there is  a link to the corresponding folder)</t>
  </si>
  <si>
    <t>Implemental Mind-Set</t>
  </si>
  <si>
    <t>Extremity, ambivalence, accessibility, mind-set, attitude strength</t>
  </si>
  <si>
    <t>Participants’ ambivalence score was entered into an ANOVA, with mind-set condition (implemental one-sided, implemental two-sided, and neutral) as a between-participant variable. As expected, the condition effect was significant, F(2, 43) = 3.36, p &lt; .05</t>
  </si>
  <si>
    <t>osc201581_1</t>
  </si>
  <si>
    <t>osc201581</t>
  </si>
  <si>
    <t>Gilbert, Roksana</t>
  </si>
  <si>
    <t>1) I coded p-value from original paper, the OSC 2015 table says p&lt;.05 2) Conceptual as story line changed</t>
  </si>
  <si>
    <t>Shnabel, Nurit, and Arie Nadler. "A needs-based model of reconciliation: satisfying the differential emotional needs of victim and perpetrator as a key to promoting reconciliation." Journal of personality and social psychology 94.1 (2008): 116.</t>
  </si>
  <si>
    <t>10.1037/0022-3514.94.1.116</t>
  </si>
  <si>
    <t>10.1037--0022-3514.94.1.116.pdf</t>
  </si>
  <si>
    <t>Gilbert, E. A. (2023, September 28). Replication of Shnabel &amp; Nadler (2008, JPSP, Study 4). Retrieved from osf.io/xse7q</t>
  </si>
  <si>
    <t>A Needs-Based Model of Reconciliation</t>
  </si>
  <si>
    <t>Adaptation, Psychological, Adult, Analysis of Variance, Conflict (Psychology), Cooperative Behavior, Emotions, Female, Humans, Israel, Male, Models, Psychological, Negotiating, Power (Psychology), Role, Social Perception</t>
  </si>
  <si>
    <t>After condition a message of acceptance was more effective in promoting reconciliation among perpetrators, whereas a message of empowerment was more effective in promoting reconciliation among victims</t>
  </si>
  <si>
    <t>"In line with our predictions, although the Message × Role interaction was nonsignificant in the before condition, F(1, 90) = .00, ns, η² = .00, it was significant in the after condition, F(1, 90) = 6.98, p &lt; .01, η² = .07."</t>
  </si>
  <si>
    <t>F(1, 137) = 1.43</t>
  </si>
  <si>
    <t>https://osf.io/3m7qw</t>
  </si>
  <si>
    <t>osc201581_a</t>
  </si>
  <si>
    <t>1. There is another OSF link with the same files in it: https://osf.io/tue9g, https://osf.io/9bsqn</t>
  </si>
  <si>
    <t>The other coder correlates with RPP table too</t>
  </si>
  <si>
    <t>Conflict resolution</t>
  </si>
  <si>
    <t>reconciliation, conflict resolution, emotional needs, victims, perpetrators, adaptation, conflict, cooperative behavior, emotions, negotiating, social acceptance</t>
  </si>
  <si>
    <t>In line with our predictions, although the Message × Role interaction was nonsignificant in the before condition, F(1,90) = .00, ns, η2 = .00, it was significant in the after condition, F(1,90) = 6.98, p &lt; .01, η2 = .07</t>
  </si>
  <si>
    <t>F (1, 139) = 5.28</t>
  </si>
  <si>
    <t>osc201582_1</t>
  </si>
  <si>
    <t>osc201582</t>
  </si>
  <si>
    <t>Eggleston, Roksana</t>
  </si>
  <si>
    <t>This one aligns more with RPP table</t>
  </si>
  <si>
    <t>Rule, N., &amp; Ambady, N. (2008). The face of success: Inferences from chief executive officers' appearance predict company profits. Psychological Science 19(2), 109-111.</t>
  </si>
  <si>
    <t>10.1111/j.1467-9280.2008.02054.x</t>
  </si>
  <si>
    <t>10.1111--j.1467-9280.2008.02054.x.pdf</t>
  </si>
  <si>
    <t>Talhelm, T., Eggleston, C., &amp; Lee, M. (2023, September 28). Replication of Rule &amp; Ambady (2008, PS, Study 1). Retrieved from osf.io/r5gpv</t>
  </si>
  <si>
    <t>Appearance inferences</t>
  </si>
  <si>
    <t>Adolescent, Adult, Awareness, Cues, Face, Female, Hair, Heterosexuality [psychology], Homosexuality, Male [psychology], Humans, Judgment, Male, Nonverbal Communication, Sexual Behavior, Social Perception, Stereotyping, Young Adult</t>
  </si>
  <si>
    <t>Composite ratings of both power and leadership correlated with company profits, even after controlling for CEO age, CEO attractiveness, and the affect CEOs were displaying in the pictures</t>
  </si>
  <si>
    <t>"Further, ratings of CEO leadership were also strongly related to company profits, r(41) = .30, p &lt; .05."</t>
  </si>
  <si>
    <t>https://osf.io/3uw95</t>
  </si>
  <si>
    <t>Heuristic, inference, subjective predictor, objective performance, personality traits</t>
  </si>
  <si>
    <t>Ratings of power-related traits from CEOs’ faces, after controlling for age, affect, and attractiveness, were significantly related to company profits, r(41) = .36, p &lt; .025.</t>
  </si>
  <si>
    <t>r = 0.30</t>
  </si>
  <si>
    <t>r = 0.27</t>
  </si>
  <si>
    <t>https://osf.io/3uw96</t>
  </si>
  <si>
    <t>osc201584_1</t>
  </si>
  <si>
    <t>osc201584</t>
  </si>
  <si>
    <t>Ratliff, Roksana</t>
  </si>
  <si>
    <t>I agree this is more close than conceptual</t>
  </si>
  <si>
    <t>P Fischer, S Schulz-Hardt, D Frey (2008). Selective exposure and information quantity: how different information quantities moderate decision makers' preference for consistent and inconsistent information. Journal of Personality and Social Psychology, 94.2: 231-244.</t>
  </si>
  <si>
    <t>10.1037--0022-3514.94.2.94.2.231.pdf</t>
  </si>
  <si>
    <t>Ratliff, K. A. (2023, September 28). Replication of Fischer et al. (2008, JPSP, Study 4). Retrieved from osf.io/v8vft</t>
  </si>
  <si>
    <t>Selective Exposure to Information</t>
  </si>
  <si>
    <t>Adolescent, Adult, Choice Behavior, Decision Making, Female, Humans, Male, Mental Processes, Middle Aged</t>
  </si>
  <si>
    <t>The amount of information influence the decision among consistent and inconsistent conditions</t>
  </si>
  <si>
    <t>"Given no induction, the analysis revealed a significant interaction between the factors Information Quantity and Information Selection, χ²(1, N = 52) = 13.18, p &lt; .001, indicating that participants in the 2-information condition selected more inconsistent (69%) than consistent pieces of information (31%), χ²(1, N = 26) = 3.85, p &lt; .05, whereas participants in the 10-information condition selected significantly more consistent (81%) than inconsistent pieces of information (19%), χ²(1, N = 26) = 9.85, p = .003."</t>
  </si>
  <si>
    <t>X2(1, N=52) = 13.18</t>
  </si>
  <si>
    <t>X2(1, N=150) = 7.10</t>
  </si>
  <si>
    <t>https://osf.io/cy9v3</t>
  </si>
  <si>
    <t>Ratliff</t>
  </si>
  <si>
    <t>1. The replication was conducted online</t>
  </si>
  <si>
    <t>Selective information exposure</t>
  </si>
  <si>
    <t>Information seeking, selective exposure, information quantity, selection criterion, information direction</t>
  </si>
  <si>
    <t>Given no induction, the analysis revealed a significant interaction between the factors Information Quantity and Information Selection, X2(1,N=52) = 13.18, p &lt; .001, indicating that participants in the 2-information condition selected more inconsistent (69%) than consistent pieces of information (31%), X2(1,N=26) = 3.85, p &lt; .05, whereas participants in the 10-information condition selected significantly more consistent (81%) than inconsistent pieces of information (19%), X2(1,N=26) = 9.85, p &lt; .003</t>
  </si>
  <si>
    <t>X2(1, N = 150) = 7.10</t>
  </si>
  <si>
    <t>https://osf.io/cy9v4</t>
  </si>
  <si>
    <t>osc201586_1</t>
  </si>
  <si>
    <t>osc201586</t>
  </si>
  <si>
    <t>Galliani, Roksana</t>
  </si>
  <si>
    <r>
      <rPr>
        <rFont val="Arial"/>
      </rPr>
      <t xml:space="preserve">1) The link to original paper is wrong, I coded from </t>
    </r>
    <r>
      <rPr>
        <rFont val="Arial"/>
        <color rgb="FF1155CC"/>
        <u/>
      </rPr>
      <t>http://www.communicationcache.com/uploads/1/0/8/8/10887248/self-regulation_and_selective_exposure-_the_impact_of_depleted_self-regulation_resources_on_confirmatory_information_processing.pdf</t>
    </r>
    <r>
      <rPr>
        <rFont val="Arial"/>
      </rPr>
      <t xml:space="preserve"> 2) I coded directly from paper as there was discrepancy in OSC 2015 table- "The  overall  effect  was not significant, F(2,  136)  = .36, p=  .70, η2=.01."</t>
    </r>
  </si>
  <si>
    <t>Fischer, P., Greitemeyer, T., &amp; Frey, D. (2008). Self-regulation and selective exposure: The impact of depleted self-regulation resources on confirmatory information processing. Journal of Personality and Social Psychology, 94(3), 382-395.</t>
  </si>
  <si>
    <t>10.1037/0022-3514.94.3.382</t>
  </si>
  <si>
    <t>10.1037--0022-3514.94.3.382.pdf</t>
  </si>
  <si>
    <t>Galliani, E. M. (2023, September 28). Replication of Fischer, Greitemeyer, &amp; Frey (2008, JPSP, Study 2). Retrieved from osf.io/j8bpa</t>
  </si>
  <si>
    <t>Self-Regulation and Selective Exposure</t>
  </si>
  <si>
    <t>Adolescent, Adult, Cognition [physiology], Decision Making [physiology], Ego, Female, Humans, Internal-External Control, Male, Middle Aged, Motivation, Self Concept, Students [psychology]</t>
  </si>
  <si>
    <t>Self-regulation and selective exposure: The impact of depleted self-regulation resources on confirmatory information processing.</t>
  </si>
  <si>
    <t>"A one-way ANOVA with the experimental condition (low depletion vs. high depletion vs. ego threat) as the independent variable and confirmatory information processing as the dependent variable revealed a significant overall effect, F(2, 82) = 4.05, p = .02, η² = .09."</t>
  </si>
  <si>
    <t>osc201586_a</t>
  </si>
  <si>
    <t>1. There are differences in the values from the RPP table and from the replication report. I marched the results from original study and replication
2. An updated file was uploaded for original study (in the e-mail there is  a link to the corresponding folder)</t>
  </si>
  <si>
    <t>Self-Regulation</t>
  </si>
  <si>
    <t>Self-regulation, depletion of self-regulation resources, confirmatory information processing, selective exposure, decision making, ego, internal-external control, , motivation, self concept</t>
  </si>
  <si>
    <t>Reduced self regulation resources are associated with increased biases in confirmatory information processing</t>
  </si>
  <si>
    <t>https://osf.io/e35y2</t>
  </si>
  <si>
    <t>osc201587_1</t>
  </si>
  <si>
    <t>osc201587</t>
  </si>
  <si>
    <t xml:space="preserve">Kelso, Roksana </t>
  </si>
  <si>
    <t>Coneptual as mutliple experimental materials were changed</t>
  </si>
  <si>
    <t>P.A. Goff, C.M. Steele, &amp; P.G. Davies, 2008. The space between us: Stereotype threat and distance in interracial contexts. Journal of Personality and Social Psychology, 94, 91-107.</t>
  </si>
  <si>
    <t>10.1037/0022-3514.94.1.91</t>
  </si>
  <si>
    <t>10.1037--0022-3514.94.1.91.pdf</t>
  </si>
  <si>
    <t>Kelso, K., Gampa, A., Wright, E. C., Spencer, N. B., &amp; Welsh, A. (2023, September 28). Replication of Goff, Steele, and Davies (JPSP, 2008, Study 4). Retrieved from osf.io/abxcj</t>
  </si>
  <si>
    <t>Stereotype threat in racial distancing</t>
  </si>
  <si>
    <t>African Americans, Analysis of Variance, European Continental Ancestry Group [psychology], Humans, Male, Prejudice, Social Distance, Stereotyping, United States</t>
  </si>
  <si>
    <t>When learning goals were absent, participants sat closer to one another when they discussed love and relationships than when they discussed racial profiling</t>
  </si>
  <si>
    <t>"However, as shown in Figure 4, this main effect was qualified by the predicted interaction, F(1, 51) = 9.46, p = .01, η² = .16."</t>
  </si>
  <si>
    <t>F(1, 47)= .008</t>
  </si>
  <si>
    <t>https://osf.io/pktma</t>
  </si>
  <si>
    <t>osc201587_a</t>
  </si>
  <si>
    <t>1. in Effect it can be either Racial Distancing (the phenomenon of interest) or the stepeotype threat theory (a framework)
2, The experimental procedure was slightly changed (more distracting topics, the time of the manipulation instruction)</t>
  </si>
  <si>
    <t>Racial Distancing</t>
  </si>
  <si>
    <t>Stereotype threat, racial bias, racial discrimination, social distance, prejudice</t>
  </si>
  <si>
    <t>However, [...] this main effect was qualified by the predicted interaction, F(1, 51) = 9.46, p &lt; .01, eta-squared = .16</t>
  </si>
  <si>
    <t>F(1, 47) = 0.008</t>
  </si>
  <si>
    <t>osc201589_1</t>
  </si>
  <si>
    <t>osc201589</t>
  </si>
  <si>
    <t xml:space="preserve">Selterman, Roksana </t>
  </si>
  <si>
    <t>For original, I coded directly from paper but OSC 2015 table states r = .04. For replication paper, I coded directly from OSC 2015 table as couldn't find values directly from paper</t>
  </si>
  <si>
    <t>Coded the overall sig. of interaction in Table 2</t>
  </si>
  <si>
    <t>Eastwick, P. W., &amp; Finkel, E. J. (2008). Sex differences in mate preferences revisited: Do people know what they initially desire in a romantic partner?. Journal Of Personality And Social Psychology, 94(2), 245-264. doi:10.1037/0022-3514.94.2.245</t>
  </si>
  <si>
    <t>10.1037/0022-3514.94.2.245</t>
  </si>
  <si>
    <t>10.1037--0022-3514.94.2.245.pdf</t>
  </si>
  <si>
    <t>Selterman, D. F., Chagnon, E., &amp; Mackinnon, S. P. (2023, September 28). Replication of Eastwick &amp; Finkel (2008, JPSP). Retrieved from osf.io/ng6cc</t>
  </si>
  <si>
    <t>Sex Differences in Mate Preferences</t>
  </si>
  <si>
    <t>Adult, Choice Behavior, Empathy, Female, Humans, Love, Male, Marriage [psychology], Questionnaires, Sexual Behavior [psychology], Sex differences, mate preferences, speed dating, empathy gap, a priori theories, love, partner, sexual behavior, physical attractiveness</t>
  </si>
  <si>
    <t>Sex differences in mate preferences revisited: Do people know what they initially desire in a romantic partner?</t>
  </si>
  <si>
    <t>"Again, there were no significant sex differences in these overall associations; the difference between the male and female rs were again descriptively very small (r = -.04, p = .480, and r = .02, p = .825, for speed-dating partners/matches and write-ins, respectively), with one trending in the male direction and one trending in the female direction."</t>
  </si>
  <si>
    <t>X2(1) = 0.66</t>
  </si>
  <si>
    <t>https://osf.io/zdw87</t>
  </si>
  <si>
    <t>Roksana, LR</t>
  </si>
  <si>
    <t>osc201589_a</t>
  </si>
  <si>
    <t>1. Several minor changes were made to the procedure (analyzing warmth, Y/N answers to several questions and so on)
2. It seems that values in RPP table are not exactly the values reported in the perlication report. I would suggest checking one more time, especially p value. I consider we need an overall r between male and female 
3. I am not sure in the results of this study. Moreover, the results seems to be not-significant, but the alpha level is not provided. Thus I put NA to p-value Column</t>
  </si>
  <si>
    <t>Please see coder notes for reasons of help needed status</t>
  </si>
  <si>
    <t>Sex Differences</t>
  </si>
  <si>
    <t>Sex differences, mate preferences, speed dating, empathy gap, a priori theories, love, partner, sexual behavior, physical attractiveness</t>
  </si>
  <si>
    <t>There are no significant sex differences correllation for relationship initiation variables with ratings of earning prospects</t>
  </si>
  <si>
    <t>Again, there were no significant sex differences in these overall associations; the difference between the male and female rs were again descriptively very small (r= -.04, p = .480, and r = .02, p = .825, for speed-dating partners/matches and write-ins, respectively), with one trending in the male direction and one trending in the female direction.</t>
  </si>
  <si>
    <t>osc20159_1</t>
  </si>
  <si>
    <t>osc20159</t>
  </si>
  <si>
    <t>Miller, Roksana</t>
  </si>
  <si>
    <t>Daten nachtragen aus https://docs.google.com/document/d/1zSjSPR1akPN8Hr4mWJ2fjx1UxbIINGzkeArliyzpTY4/edit</t>
  </si>
  <si>
    <t>Weidemann, C.T., Huber, D.E., &amp; Shiffrin, R.M. (2008). Prime diagnosticity in short-term repetition priming: Is primed evidence discounted, even when it reliably indicates the correct answer? Journal of Experimental Psychology: Learning, Memory, and Cognition, 34(2), 257-281.</t>
  </si>
  <si>
    <t>10.1037/0278-7393.34.2.257</t>
  </si>
  <si>
    <t>10.1037--0278-7393.34.2.257.pdf</t>
  </si>
  <si>
    <t>Miller, J. K., PhD. (2023, September 28). Replication of Weidemann, Huber, and Shiffrin (2008, JEPLMC, Exp 4). Retrieved from osf.io/ne9dy</t>
  </si>
  <si>
    <t>There is no replication for this row neither on the OSC 2015 table or p35 replication links</t>
  </si>
  <si>
    <t>Attention, Choice Behavior, Color Perception, Data Interpretation, Statistical, Humans, Memory, Short-Term, Paired-Associate Learning, Reaction Time, Semantics</t>
  </si>
  <si>
    <t>Prime diagnosticity in short-term repetition priming: Is primed evidence discounted, even when it reliably indicates the correct answer?</t>
  </si>
  <si>
    <t>1. https://osf.io/ne9dy/registrations - there is no completed registrations of the project
2. No data of replication is provided both in RPP table and https://osf.io/ne9dy/
3. No data about science area is in RPP table. I consider "Cognitive psychology" to leave the cell empty as there is nothing</t>
  </si>
  <si>
    <t>There is no replication for this entry</t>
  </si>
  <si>
    <t>osc201593_1</t>
  </si>
  <si>
    <t>osc201593</t>
  </si>
  <si>
    <t>Sinclair, Roksana</t>
  </si>
  <si>
    <t>1)  For replication paper, I coded directly from OSC 2015 table as couldn't find values directly from paper 2) The link did not work to the original link so I coded from here: https://d1wqtxts1xzle7.cloudfront.net/39910353/Balancing_Connectedness_and_Self-Protect20151111-18769-1d4zy7l-libre.pdf?1447275943=&amp;response-content-disposition=inline%3B+filename%3DBalancing_connectedness_and_self_protect.pdf&amp;Expires=1738439435&amp;Signature=bGx-76VOMHegaIbkmV9BCGcYq59hXWTmeqi~6oowbYFoR1YA6mPF0PZoJJ7Xco9oC~90bMOGNSUbWgGtDteEiW4EzP0L3VyW53eWmdRGv0t1T9gXqSHLc9w9yV5rviHSQ1xkppz~V~BPBtpu4wCh62KuOoJjF64tiHmnrKAWNj9EjnaEf2VijqEyQm7qzkK20ERlnwC7jXWDyI-EMCg~J5SkBZhL2VoMKuKkNycB~ZwWH9SpTrsYUtneo6nlpSM1gLAbWqQmgrBrH-Et5Q2UB2RmXoY7eQLTcOghgXhI-ol16aj~b4DcMlODGa-3EF0iSxIBo5RZ~Tn2gVBUeu0SVg__&amp;Key-Pair-Id=APKAJLOHF5GGSLRBV4ZA</t>
  </si>
  <si>
    <t>Coded t = 1.51 from Table 1 in p.10 of the report because it corresponds most closely to the coded claim (DV = disregard, self-esteem * approach group)</t>
  </si>
  <si>
    <t>Murray, S.L., Derrick, J.L., Leder, S., &amp; Holmes, J.G. (2008). Balancing connectedness and self-protection goals in close relationships: A levels-of-processing perspective on risk regulation. Journal of Personality and Social Psychology, 94(3), 429-459.</t>
  </si>
  <si>
    <t>10.1037/0022-3514.94.3.429</t>
  </si>
  <si>
    <t>10.1037--0022-3514.94.3.429.pdf</t>
  </si>
  <si>
    <t>Sinclair, H. C., Goldberg, R. M., Wu, S., &amp; Smith, M. M. (2016, August 19). Replication of SL Murray, JL Derrick, S Leder, JG Holmes (2008, JPSP 94(3), Exp. 8). Retrieved from osf.io/cxmf6</t>
  </si>
  <si>
    <t>Self-protection in romantic relationships</t>
  </si>
  <si>
    <t>Adolescent, Adult, Conflict (Psychology), Courtship [psychology], Female, Goals, Humans, Intention, Interpersonal Relations, Male, Models, Psychological, Questionnaires, Rejection (Psychology), Risk Reduction Behavior, Self Concept, Students [psychology], Trust [psychology]</t>
  </si>
  <si>
    <t>Priming approach intensified the hurt and pain of partner rejection for low self-esteem people</t>
  </si>
  <si>
    <t>"When primed with approach goals, lows in the partner criticism condition believed their partner regarded them significantly more negatively than did controls, B = .59, sr2 = .07, t(83) = 3.05, p &lt; .01.)"</t>
  </si>
  <si>
    <t>t(68) = 1.51</t>
  </si>
  <si>
    <t>https://osf.io/t75e3</t>
  </si>
  <si>
    <t>osc201593_a</t>
  </si>
  <si>
    <t>1. There is a second link for OSF, but it is taged with "withdraw": https://osf.io/wys6d
2. I am not sure in the reported results of replication study. There is a mismatch with RPP table. 
3. The effect is either "relationship connectedness" or "self-esteem", I mostly think about the second  to be more descriptive
4. An updated file was uploaded for original study (in the e-mail there is  a link to the corresponding folder)</t>
  </si>
  <si>
    <t>Self-esteem</t>
  </si>
  <si>
    <t>Relationships, risk, connectedness, self-protection, interpersonal Relations, Rejection, Risk Reduction Behavior, Self Concept</t>
  </si>
  <si>
    <t>When primed with approach goals, lows in the partner criticism condition believed their partner regarded them significantly more negatively than did controls, β = .59, sr-square =.07, t(83) = 3.05, p &lt; .01</t>
  </si>
  <si>
    <t>osc201594_1</t>
  </si>
  <si>
    <t>osc201594</t>
  </si>
  <si>
    <t>Had to code from OSC 2015 table for the replication paper as unexpected server response message kept coming up for replication paper https://osf.io/mptb2</t>
  </si>
  <si>
    <t>Replication report was accessible and reported results match what has been entered in both cases</t>
  </si>
  <si>
    <t>McCrea, SM. (2008). Self-handicapping, excuse making, and counterfactual thinking: Consequences for self-esteem and future motivation. Journal of Personality and Social Psychology, 95(2), 274-292</t>
  </si>
  <si>
    <t>10.1037/0022-3514.95.2.274</t>
  </si>
  <si>
    <t>10.1037--0022-3514.95.2.274.pdf</t>
  </si>
  <si>
    <t>Chartier, C. R., &amp; Perna, O. K. (2023, September 28). Replication of SM McCrea (2008, JPSP 95(2), Exp. 5). Retrieved from osf.io/mua6d</t>
  </si>
  <si>
    <t>Counterfactual Thinking:</t>
  </si>
  <si>
    <t>Affect, Decision Making, Defense Mechanisms, Female, Humans, Internal-External Control, Male, Motivation, Self Concept, Social Responsibility, Thinking</t>
  </si>
  <si>
    <t>Considering counterfactuals about a self-handicap reduces motivation to improve on subsequent tasks</t>
  </si>
  <si>
    <t>Table 6, "Furthermore, as a proportion of items attempted, participants in the control condition outperformed those in the handicap-related counterfactual condition (see Table 6)."</t>
  </si>
  <si>
    <t>t(59)=2.325</t>
  </si>
  <si>
    <t>https://osf.io/2kjgz</t>
  </si>
  <si>
    <t>Direct Replication</t>
  </si>
  <si>
    <t>Affect</t>
  </si>
  <si>
    <t>Counterfactual thinking, self-handicapping, self-protection, motivation</t>
  </si>
  <si>
    <t>A proportion of items attempted, participants in the control condition outperformed those in the handicap-related counterfactual condition (see Table 6)</t>
  </si>
  <si>
    <t>t(59) = 2.325</t>
  </si>
  <si>
    <t>osc201597_1</t>
  </si>
  <si>
    <t>osc201597</t>
  </si>
  <si>
    <t>Schmidt, Roksana</t>
  </si>
  <si>
    <t>Purdie-Vaughns, V., Steele, C.M., Davies, P.G., Ditlmann, R., &amp; Crosby, J.R. (2008). Social identity contingencies: How diversity cues signal threat or safety for african americans in mainstream institutions. Journal of Personality and Social Psychology, 94(4), 615-630.</t>
  </si>
  <si>
    <t>10.1037/0022-3514.94.4.615</t>
  </si>
  <si>
    <t>10.1037--0022-3514.94.4.615.pdf</t>
  </si>
  <si>
    <t>Schmidt, K. (2023, September 28). Secondary Replication of V Purdie-Vaughns, CM Steele, PG Davies, R Ditlmann, JR Crosby (2008, JPSP 94(4), Exp. 3).</t>
  </si>
  <si>
    <t>10.17605/OSF.IO/ETG7C</t>
  </si>
  <si>
    <t>Social identity contingencies</t>
  </si>
  <si>
    <t>Adolescent, Adult, African Continental Ancestry Group [psychology], Cues, Cultural Diversity, Female, Hierarchy, Social, Humans, Judgment, Male, Organizational Culture, Prejudice, Rejection (Psychology), Social Identification, Social Values, Stereotyping, Trust</t>
  </si>
  <si>
    <t>Social identity contingencies: How diversity cues signal threat or safety for African Americans in mainstream institutions.</t>
  </si>
  <si>
    <t>"The 2 (participant race: African American or White) × 2 (fairness cue: high or low) ANOVA on trust and comfort yielded a significant main effect of race, F(1, 73) = 4.63, p = .03, and a significant main effect of fairness, F(1, 73) = 14.29, p &lt; .001, which was qualified by a significant Race × Fairness cue interaction, F(1, 73) = 12.19, p &lt; .001."</t>
  </si>
  <si>
    <t>F(1, 73) = 12.19</t>
  </si>
  <si>
    <t>osc201597_e</t>
  </si>
  <si>
    <t>1. Additional OSF link: https://osf.io/8nqsh
2. Several differences with the original study: online, not equal groups, another statistical analysis</t>
  </si>
  <si>
    <t>I agree that this is a conceptual</t>
  </si>
  <si>
    <t>Social identity</t>
  </si>
  <si>
    <t>Identity threat, African Americans, diversity, stigma</t>
  </si>
  <si>
    <t>For african american participants the fairness cue affected their racial identity, while for white participants it didn't</t>
  </si>
  <si>
    <t>https://osf.io/2r7nk</t>
  </si>
  <si>
    <t>q6tv8_1</t>
  </si>
  <si>
    <t>q6tv8</t>
  </si>
  <si>
    <t>2c</t>
  </si>
  <si>
    <t>Röseler, L., Bögler, H. L., Koßmann, L., Krueger, S., Bickenbach, S., Bühler, R., … Ponader, S. (2023, July 11). Results Report: Replication of Epley and Gilovich  (2006, Study 2c). https://doi.org/10.17605/OSF.IO/Q6TV8</t>
  </si>
  <si>
    <t>10.31234/osf.io/bgp3m</t>
  </si>
  <si>
    <t>https://doi.org/10.31234/osf.io/bgp3m</t>
  </si>
  <si>
    <t xml:space="preserve">The magnitude of adjustment-based anchoring is moderated by the cognitive load with high cognitive load leading to less adjustment from self-generated anchors
</t>
  </si>
  <si>
    <t>"In Study 2c, participants who were not cognitively busy provided estimates further from their self-generated anchor values (mean z score 5 0.14) than those who were cognitively encumbered (mean z score =_x0002_0.13), t(92) = 3.18, p &lt; .01, prep = .98, d = 0.66."</t>
  </si>
  <si>
    <t>https://osf.io/q6tv8</t>
  </si>
  <si>
    <r>
      <rPr>
        <color rgb="FF1155CC"/>
        <u/>
      </rPr>
      <t>https://doi.org/10.31234/osf.io/bgp3m</t>
    </r>
  </si>
  <si>
    <t>"There was a significant interaction between our manipulations (NFC, alcohol consumption, or busyness) and question type (self-generated or experimenter-provided anchor) [...] and a marginally significant interaction in Study 2c, F(1, 90) = 3.22, p = .08, prep = .84, eta-square = .03"</t>
  </si>
  <si>
    <t>1. Although Psychological Sciences is not present in the provided list, I have used cognitive psychology as a discipline as I found it more relevant relevant.</t>
  </si>
  <si>
    <r>
      <rPr>
        <color rgb="FF1155CC"/>
        <u/>
      </rPr>
      <t>https://doi.org/10.31234/osf.io/bgp3m</t>
    </r>
  </si>
  <si>
    <t>Close Replication</t>
  </si>
  <si>
    <t>Cognitively busy participants adjusted less from self-generated anchors than those not cognitively busy.</t>
  </si>
  <si>
    <t>"participants who were not cognitively busy provided estimates further from their self-generated anchor values (mean z score 5 0.14) than those who were cognitively encumbered (mean z score 5 􏰀0.13), t(92) 5 3.18, p &lt; .01, prep 5 .98, d 5 0.66."</t>
  </si>
  <si>
    <t>0.66</t>
  </si>
  <si>
    <t>0.215</t>
  </si>
  <si>
    <t>0.925</t>
  </si>
  <si>
    <t>https://osf.io/ktjc4/</t>
  </si>
  <si>
    <t>resciencex_01_1</t>
  </si>
  <si>
    <t>resciencex_01</t>
  </si>
  <si>
    <t>Croninger, R.G., Rice, J.K., Rathbun, A., &amp; Nishio, M.(2007).Teacher qualifications and early learning: Effects of certification, degree, and experience on first-grade student achievement.Economics of Education Review, 26(3), 312–324.http://doi.org/10.1016/j.econedurev.2005.05.008</t>
  </si>
  <si>
    <t>10.1016--j.econedurev.2005.05.008.pdf</t>
  </si>
  <si>
    <t>Renbarger, R., Sulak, T., &amp; Morgan, G. (2022). The Importance of Teacher Credentials for Early Achievement: A Replication of Croninger et al. (2007) Econ. Edu. Rev. ReScience X, 1(1). https://doi.org/10.5281/zenodo.6426882</t>
  </si>
  <si>
    <t>"This study aimed to replicate a study prior to recent teacher education reforms [...]"</t>
  </si>
  <si>
    <t>Relationships between teacher  qualifications and elementary student achievement</t>
  </si>
  <si>
    <t>I relied on the effects from the replication study, which were fully reported in the text. Unfortunately, no effect sizes or statistics were provided that you could directly use. Therefore, I extracted the statistics from the text and table, hoping that you can still work with them. These were multi-level analyses. Since the outcome always referred to the students, I indicated them as the sample size.</t>
  </si>
  <si>
    <t>ECLS-L, teacher certification, teacher qualifications, teacher quality, input output analysis, productivity</t>
  </si>
  <si>
    <t>[reading achievement: teacher reading methods course] Reading course ratio, b06;  -0.001 [Table 3]</t>
  </si>
  <si>
    <t>beta = -0.001</t>
  </si>
  <si>
    <t>gamma = -0.30, CI = -0.58, -0.01</t>
  </si>
  <si>
    <t>rtn9s_1</t>
  </si>
  <si>
    <t>rtn9s</t>
  </si>
  <si>
    <t>Sanja Djordjević, Hans IJzerman</t>
  </si>
  <si>
    <t>replaced DOI with the one from the SSRN website</t>
  </si>
  <si>
    <t>10.1111--j.1467-9280.2009.02426.x.pdf</t>
  </si>
  <si>
    <r>
      <rPr>
        <rFont val="Calibri"/>
        <sz val="11.0"/>
      </rPr>
      <t xml:space="preserve">Djordjević, S., &amp; IJzerman, H. (2015). Weight as an Embodiment of Importance: Replications and Extensions. </t>
    </r>
    <r>
      <rPr>
        <rFont val="Calibri"/>
        <color rgb="FF1155CC"/>
        <sz val="11.0"/>
        <u/>
      </rPr>
      <t>https://dx.doi.org/10.2139/ssrn.2586261</t>
    </r>
  </si>
  <si>
    <t>10.2139/ssrn.2586261</t>
  </si>
  <si>
    <t>weight, importance, judgements, decision-making</t>
  </si>
  <si>
    <t>importance of weight on having a voice in a decision-making procedure</t>
  </si>
  <si>
    <t>"revealed that participants in the heavy-clipboard ondition (M = 5.27, SD = 1.28) found it more im-portant that the committee listen to the students’ opinions than did participants in the light-clipboard condition (M = 4.21, SD 5 2.10), F(1, 49) = 4.33, p &lt; .05, prep 5 .92, Zp
2 5 .08"</t>
  </si>
  <si>
    <t>https://osf.io/rtn9s/</t>
  </si>
  <si>
    <t>Please review text after copying it and correct it (eg "=" gets copied as "5")</t>
  </si>
  <si>
    <t>Sanja Djordjević, Hans IJzerman, Jyoti Bhogal</t>
  </si>
  <si>
    <t>Djordjević, S., &amp; IJzerman, H. (2015, March 7). Weight as an Embodiment of Importance: Replications and Extensions. https://doi.org/10.17605/OSF.IO/RTN9S</t>
  </si>
  <si>
    <t>soscisubmission1_1</t>
  </si>
  <si>
    <t>soscisubmission1</t>
  </si>
  <si>
    <t>Röseler, Lukas, Roksana</t>
  </si>
  <si>
    <t xml:space="preserve">SAJ:
- Coder 1 miscoded main effect from Study 4 not Study 3. Original values checked to confirm this.
- Coder 2 correct in sample size having 1 pp removed (i.e. 105-1 = 104).
-Updated tags to include informaiton form both coders. 
- Added NA to empty cells for completeness. </t>
  </si>
  <si>
    <t>Redden, J. P., &amp; Hoch, S. J. (2009). The presence of variety reduces perceived quantity. Journal of Consumer Research, 36(3), 406-417., Study 3</t>
  </si>
  <si>
    <t>10.1086/598971</t>
  </si>
  <si>
    <t>10.1086--598971.pdf</t>
  </si>
  <si>
    <t>Röseler, L., Felser, G., Asberger, J., &amp; Schütz, A. (2020, October 23). No effect of variety on perceived quantity: Evidence from six studies. (Study 3)</t>
  </si>
  <si>
    <t>10.31234/osf.io/v643q</t>
  </si>
  <si>
    <t>10.31234--osf.io--v643q.pdf</t>
  </si>
  <si>
    <t>Consumer Psychology</t>
  </si>
  <si>
    <t>Variety reduces perceived quantity</t>
  </si>
  <si>
    <t>Gestalt, heterogeneity, homogeneity, quantity estimation, variety</t>
  </si>
  <si>
    <t>"The analysis found a main effect of the number of colors poured (F(1, 63) = 6.45, p &lt; .02), indicating that people poured more when pouring multiple colors versus a single color. People presumably perceived that they had poured less onto the plate so far when it had a variety of colors."</t>
  </si>
  <si>
    <t>F(1, 63) = 6.45</t>
  </si>
  <si>
    <t>soscisubmission1_2</t>
  </si>
  <si>
    <t>1. The original study is from "Journal of Consumer Research" - however, now Consumer psychology is in the Discipline list 2. First part of tags is from original study, second - from the replication  3. One subject was removed from the original study (p. 7, Results section)</t>
  </si>
  <si>
    <t>Quantity Perceptions</t>
  </si>
  <si>
    <r>
      <rPr>
        <rFont val="Calibri"/>
        <color theme="1"/>
        <sz val="11.0"/>
      </rPr>
      <t xml:space="preserve">Cognitive Processes, Perceptual Processes, Judgment and Decision Making, Experimental Design and Analysis (ANOVA); File-drawer report, quantity estimation, variety, Gestalt, replication, </t>
    </r>
    <r>
      <rPr>
        <rFont val="Calibri"/>
        <color rgb="FF00FF00"/>
        <sz val="11.0"/>
      </rPr>
      <t>heterogeneity, homogeneity</t>
    </r>
  </si>
  <si>
    <t>Having variety leads people to pour more candy, presumably because variety lowers the perceived quantity.</t>
  </si>
  <si>
    <t>The results indicate that people poured more when using mixed colors (M = 59.2 grams) than a single color (M = 53.0 grams). The planned contrast was statistically significant (F(1,99) = 4.00 p &lt; .05).</t>
  </si>
  <si>
    <t>F(1,99) = 4.00</t>
  </si>
  <si>
    <t>soscisubmission10_1</t>
  </si>
  <si>
    <t>soscisubmission10</t>
  </si>
  <si>
    <t>ES for O changed in accordance with O (etasq partial instead of d). Replicated studies were not preregistered</t>
  </si>
  <si>
    <t xml:space="preserve">- Coders were highly aligned on this row 
- Small updates to description and tags to get most detail in the cell
- Coder 2 selected as slightly more detail in decription etc. </t>
  </si>
  <si>
    <t>Lichtenfeld, S. ,Maier, M. A., Elliot, A. J., &amp; Pekrun, R. (2009 ).The semantic red effect: Processing the word red undermines intellectual performance . Journal of Experimental Social Psychology , 45 ,1273 –1276 . https://doi.org/10.1016/j.jesp.2009.06.003 Experiment 2</t>
  </si>
  <si>
    <t>10.1016/j.jesp.2009.06.003</t>
  </si>
  <si>
    <t>10.1016--j.jesp.2009.06.003.pdf</t>
  </si>
  <si>
    <t>Gnambs, T., Kovacs, C., &amp; Stiglbauer, B. (2020). Processing the word red and Intellectual Performance: Four replication attempts. Collabra, 6(1). (Experiment 2)</t>
  </si>
  <si>
    <t>10.1525/collabra.277</t>
  </si>
  <si>
    <t>10.1525--collabra.277.pdf</t>
  </si>
  <si>
    <t>Social psychology</t>
  </si>
  <si>
    <r>
      <rPr>
        <rFont val="Arial"/>
        <color theme="1"/>
      </rPr>
      <t>color priming,</t>
    </r>
    <r>
      <rPr>
        <rFont val="Arial"/>
        <color rgb="FF00FF00"/>
      </rPr>
      <t xml:space="preserve"> semantic red effect</t>
    </r>
  </si>
  <si>
    <t>color red, cognitive performance, intelligence, reasoning,</t>
  </si>
  <si>
    <t>Reading the word "red" before an achievement test reduces test performance as compared to reading the word of a control color</t>
  </si>
  <si>
    <t>An ANOVA revealed a significant effect of experimental condition on performance, F(1, 42) = 5.95, P &lt; 0.05, g2 p = 0.12; participants in the red condition performed worse (M = 11.13, SD = 2.65) than those in the gray condition (M = 13.24, SD = 3.08). No participant correctly guessed the purpose of the experiment.... Our research clearly documents the semantic red effect: processing the word red undermined intellectual performance</t>
  </si>
  <si>
    <t>Gnambs, Timo; Osano, Maureen</t>
  </si>
  <si>
    <t>This row has been coded as Experiment 2 replication study of Experiment 2 in the original study.</t>
  </si>
  <si>
    <r>
      <rPr>
        <rFont val="Arial"/>
        <color rgb="FF00FF00"/>
      </rPr>
      <t>color priming</t>
    </r>
    <r>
      <rPr>
        <rFont val="Arial"/>
        <color theme="1"/>
      </rPr>
      <t>, semantic red effect</t>
    </r>
  </si>
  <si>
    <r>
      <rPr>
        <rFont val="Arial"/>
        <color theme="1"/>
      </rPr>
      <t>color, performance, semantic red effect, avoidance, red color, cognitive performance, intelligence, general knowledge,</t>
    </r>
    <r>
      <rPr>
        <rFont val="Arial"/>
        <color rgb="FF00FF00"/>
      </rPr>
      <t xml:space="preserve"> reasoning</t>
    </r>
  </si>
  <si>
    <t>"An ANOVA revealed a significant effect of experimental condition on performance, F(1, 42) = 5.95, P &lt; 0.05, n2p = 0.12; participants in the red condition performed worse (M = 11.13, SD = 2.65) than those in the gray condition (M = 13.24, SD = 3.08). No participant correctly guessed the purpose of the experiment "," Our research clearly documents the semantic red effect: processing the word red undermined intellectual performance in four experiments."</t>
  </si>
  <si>
    <t>soscisubmission11_1</t>
  </si>
  <si>
    <t>soscisubmission11</t>
  </si>
  <si>
    <t>I skipped that row, because I couldn't fine a file clearly indicating replication procedure and results</t>
  </si>
  <si>
    <t xml:space="preserve">- Both coders correctly indicated that there was not sufficient detail about the replication to code this entry. 
- Entry excluded. </t>
  </si>
  <si>
    <t>Hoogeveen, S., Sarafoglou, A., &amp; Wagenmakers, E.-J. (2020). Laypeople Can Predict Which Social-Science Studies Will Be Replicated Successfully. Advances in Methods and Practices in Psychological Science, 3(3), 267–285. https://doi.org/10.1177/2515245920919667</t>
  </si>
  <si>
    <t>10.1177/2515245920919667</t>
  </si>
  <si>
    <t>10.1177--2515245920919667.pdf</t>
  </si>
  <si>
    <t>Rausch, M. (2023, April 13). Can Laypeople Predict which Social Science Studies Will be Replicated Successfully?.</t>
  </si>
  <si>
    <t>10.17605/OSF.IO/5Y7NE</t>
  </si>
  <si>
    <t>https://osf.io/5y7ne/?view_only=</t>
  </si>
  <si>
    <t>10.17605--osf.io--5y7ne.pdf</t>
  </si>
  <si>
    <t>Meta Science</t>
  </si>
  <si>
    <t>replication success, laypeople, Intuitive plausibility</t>
  </si>
  <si>
    <t>Laypeople are able to predict the replication success of social science findings based on their intuitive plausibility</t>
  </si>
  <si>
    <t>https://osf.io/xvqg2</t>
  </si>
  <si>
    <t>https://osf.io/wg9s3</t>
  </si>
  <si>
    <t>Rausch, Manuel; Osano, Maureen</t>
  </si>
  <si>
    <t xml:space="preserve"> I need help coding this row. The information in the original study is unclear, and the link to the replication study only contains raw data, with the .csv file with the information on the methods and the results on the replication study is in German, a language I'm not well conversant with. The pre-filled data could not help code it as well.</t>
  </si>
  <si>
    <r>
      <rPr>
        <rFont val="Arial"/>
      </rPr>
      <t xml:space="preserve">Hoogeveen, S., Sarafoglou, A., &amp; Wagenmakers, E.-J. (2020). Laypeople Can Predict Which Social-Science Studies Will Be Replicated Successfully. Advances in Methods and Practices in Psychological Science, 3(3), 267–285. </t>
    </r>
    <r>
      <rPr>
        <rFont val="Arial"/>
        <color rgb="FF1155CC"/>
        <u/>
      </rPr>
      <t>https://doi.org/10.1177/2515245920919667</t>
    </r>
  </si>
  <si>
    <t>replication study not available</t>
  </si>
  <si>
    <t>replication success, laypeople, Intuitive plausibility, open science, meta-science, replication crisis, prediction survey, open data, open materials, preregistered</t>
  </si>
  <si>
    <t>Laypeople are able to predict the replication success of social science findings based on their intuitive plausibility (description-only condition)</t>
  </si>
  <si>
    <t>https://osf.io/wg9s3/.</t>
  </si>
  <si>
    <t>soscisubmission13_1</t>
  </si>
  <si>
    <t>soscisubmission13</t>
  </si>
  <si>
    <t>Nested_r determined on the use of chi square test. Test statistics extracted from the O and R instead of SE that was already in the table</t>
  </si>
  <si>
    <t xml:space="preserve">LR: to reproduce w: srqt(chisq_value / N); see also https://www.oxfordreference.com/display/10.1093/oi/authority.20110803095743480
SAJ: 
- Selected this row as it coded the main experiemtnal effect of the experiment 3 in the original study (the rejection-moderation condition and the combined
control conditions). The check that the two control conditions were equivalent was coded byt he other coder, but I feel this is more methodological than effect relevant. 
- Updated and expanded the tags and descriptions based on both coders entries. 
- Tidied this rows test statistic entires to include better typesetting and to remove the p value from teh test statsitc cell (leaving just the chi-squared value). 
</t>
  </si>
  <si>
    <t>Cialdini, R. B., Vincent, J. E., Lewis, S. K., Catalan, J., Wheeler, D., &amp; Darby, B. L. (1975). Reciprocal concessions procedure for inducing compliance: The door-in-the-face technique. Journal of Personality and Social Psychology, 31(2), 206–215. https://doi.org/10.1037/h0076284</t>
  </si>
  <si>
    <t>10.1037/h0076284</t>
  </si>
  <si>
    <t>10.1037--h0076284.pdf</t>
  </si>
  <si>
    <t>Genschow, O., Westfal, M., Crusius, J., Bartosch, L., Feikes, K. I., Pallasch, N., &amp; Wozniak, M. (2021). Does social psychology persist over half a century? A direct replication of Cialdini et al.’s (1975) classic door-in-the-face technique. Journal of Personality and Social Psychology, 120(2), e1–e7.</t>
  </si>
  <si>
    <t>10.1037/pspa0000261</t>
  </si>
  <si>
    <t>10.1037--pspa0000261.pdf</t>
  </si>
  <si>
    <t>door-in-the-face technique</t>
  </si>
  <si>
    <r>
      <rPr>
        <rFont val="Arial"/>
        <color theme="1"/>
      </rPr>
      <t>Door in the face technique, Persuasion, Reciprocity, Social influence,</t>
    </r>
    <r>
      <rPr>
        <rFont val="Arial"/>
        <color rgb="FF00FF00"/>
      </rPr>
      <t xml:space="preserve"> replication, reciprocal concession, </t>
    </r>
  </si>
  <si>
    <t>The Door-in-the-Face (DITF) technique suggests that people are more likely to agree to a target request after initially rejecting a larger request.</t>
  </si>
  <si>
    <t>the rejection-moderation condition against the combined controls; a marginally significant difference occurred, x 2 = 2.88, p = .091. ... Each experiment indicated that proposing an extreme request which is rejected and then moving to a smaller request increases compliance with the smaller request. ...,  Experiments 2 and 3 demonstrated the importance of concession. Simply presenting a target person with a smaller request after he had rejected a larger one or simply presenting a target person with a second request of equivalent size, does not increase agreement to the second request. Only when the proposal of the second favor can be considered a concession on the part of the requester is compliance increased.</t>
  </si>
  <si>
    <t>X2 = 2.88</t>
  </si>
  <si>
    <t>X2 = 10.82</t>
  </si>
  <si>
    <t>https://aspredicted.org/jq5fe.pdf</t>
  </si>
  <si>
    <t xml:space="preserve">Genschow, Oliver; Osano, Maureen </t>
  </si>
  <si>
    <t>1) The p-value has been indicated as ns (not significant); hence, it is coded as p&gt;0.05. 2) I wanted to calculate the effect size 𝑤 (Cohen’s w) for a Chi-square test using the Chi-square result and the sample size, N, reported in the original and replication study, as suggested in the notes_validation variable, but I did not get Cohen's, w in the drop-down menu of the es_type variables; hence the original Chi-square results have been coded and the effect size type coded as "test statistics".</t>
  </si>
  <si>
    <r>
      <rPr>
        <rFont val="Arial"/>
      </rPr>
      <t xml:space="preserve">LR: to reproduce w: srqt(chisq_value / N); see also </t>
    </r>
    <r>
      <rPr>
        <rFont val="Arial"/>
        <color rgb="FF1155CC"/>
        <u/>
      </rPr>
      <t>https://www.oxfordreference.com/display/10.1093/oi/authority.20110803095743480</t>
    </r>
  </si>
  <si>
    <r>
      <rPr>
        <rFont val="Arial"/>
      </rPr>
      <t xml:space="preserve">Cialdini, R. B., Vincent, J. E., Lewis, S. K., Catalan, J., Wheeler, D., &amp; Darby, B. L. (1975). Reciprocal concessions procedure for inducing compliance: The door-in-the-face technique. Journal of Personality and Social Psychology, 31(2), 206–215. </t>
    </r>
    <r>
      <rPr>
        <rFont val="Arial"/>
        <color rgb="FF1155CC"/>
        <u/>
      </rPr>
      <t>https://doi.org/10.1037/h0076284</t>
    </r>
  </si>
  <si>
    <t>Door-in-the-face technique, social influence, replication, reciprocal concession, persuasion, reciprocity</t>
  </si>
  <si>
    <t>The Door-in-the-Face (DITF) technique suggests that people are more likely to agree to a target request after initially rejecting a larger request (statistical difference between the two control conditions (i.e., smaller request only condition vs. equivalent request control condition))</t>
  </si>
  <si>
    <t>"The first contrasted the two control conditions; no significant difference resulted, x2 = 0.0, ns. "," the data from this experiment argue against the interpretation that a requester's persistence in making requests accounts for the superiority of the rejection-moderation condition."</t>
  </si>
  <si>
    <t>X2 = 0.00</t>
  </si>
  <si>
    <t>X2 = 2.11</t>
  </si>
  <si>
    <t>soscisubmission14a_1</t>
  </si>
  <si>
    <t>soscisubmission14a</t>
  </si>
  <si>
    <t>One paper described both studies with slightly different conditions (study 1 - answered to  if they would be willing to either flip a switch that diverts the trolley so that it kills one person instead of five (switch dilemma) or push the individual off a bridge to save five people working on the tracks (footbridge dilemma), Study 2 focused only on footbridge</t>
  </si>
  <si>
    <t>SAJ:
- This row is an internal conceptual replication of within a single paper (study 1 and study 2). It is not labelled as such however!
- I accept this as a replication (internal) , and reject the other coders suggestion to exclude this pair. 
- I updated the descriptions and double checked both papers for the values and to understand the coder discrepancy of approach</t>
  </si>
  <si>
    <t>Duke, A. A., &amp; Bègue, L. (2015). The drunk utilitarian: Blood alcohol concentration predicts utilitarian responses in moral dilemmas. Cognition, 134, 121–127.</t>
  </si>
  <si>
    <t>10.1016/j.cognition.2014.09.006</t>
  </si>
  <si>
    <t>10.1016--j.cognition.2014.09.006.pdf</t>
  </si>
  <si>
    <t>Experimental philosophy</t>
  </si>
  <si>
    <t>drunk utilitarian</t>
  </si>
  <si>
    <r>
      <rPr>
        <rFont val="Arial"/>
        <color theme="1"/>
      </rPr>
      <t xml:space="preserve">utilitarianism, alcohol, CNI Model, trolley dilemma, moral dilemma, </t>
    </r>
    <r>
      <rPr>
        <rFont val="Arial"/>
        <color rgb="FF00FF00"/>
      </rPr>
      <t>moral judgment, alcohol intoxication, ethanol, dual-process model</t>
    </r>
  </si>
  <si>
    <t>blood alcohol concentration (BAC) was positively correlated to endorsement of the utilitarian response in the footbridge dilemma (r = .29, p = .023).... Both studies found significant correlations between BAC and willingness to push a man to his death in order to save the lives of five others.</t>
  </si>
  <si>
    <t>Pypno Katarzyna; Paruzel-Czachura Mariola; Maureen Osano</t>
  </si>
  <si>
    <t>This study should be excluded because the original study and the replication study are the same, authored by the same authors. The links for the original and replication studies lead me to the same paper</t>
  </si>
  <si>
    <t>utilitarian, moral dilemma, moral judgment, alcohol intoxication, ethanol, dual-process model</t>
  </si>
  <si>
    <t>soscisubmission14b_1</t>
  </si>
  <si>
    <t>soscisubmission14b</t>
  </si>
  <si>
    <t>OR for R calculated using information from Table 1 and ES calculator</t>
  </si>
  <si>
    <t xml:space="preserve">SAJ: 
- Replication paper contains many extensions and expansions on the topic, relevant information on results pertain to page 10, table 1 on page 11, and figure 5 on page 12. 
- Coders selected different comparisons between the papers. 
- Validation has opted to select for the effect that most closely aligns with the original effect - that is the behavioural judgement, this is a paper based scenrio task and the question most closely reflects that original study ("likelihood that they would be willing to either flip a switch that diverts the trolley so that it kills one person instead of five (switch dilemma) or push the individual off a bridge to save five people working on the tracks (footbridge dilemma)."). Further, the comparison betwene high and low BAC in the replication study is used - the placebo condition is not present in the original study.
- Thiis leaves a comparison between the high BAC and low BAC conditions in the behavioural judgement task. The percent who chose to act was 6.25 in both condition leading to an OR of 1. 
</t>
  </si>
  <si>
    <t>Francis, K. B., Gummerum, M., Ganis, G., Howard, I. S., &amp; Terbeck, S. (2019). Alcohol, empathy, and morality: Acute effects of alcohol consumption on affective empathy and moral decision-making. Psychopharmacology, 236, 3477–3496.</t>
  </si>
  <si>
    <t>10.1007/s00213-019-05314-z</t>
  </si>
  <si>
    <t>10.1007--s00213-019-05314-z.pdf</t>
  </si>
  <si>
    <r>
      <rPr>
        <rFont val="Arial"/>
        <color theme="1"/>
      </rPr>
      <t xml:space="preserve">utilitarianism, alcohol, CNI Model, trolley dilemma, moral judgment, moral action, alcohol intoxication, </t>
    </r>
    <r>
      <rPr>
        <rFont val="Arial"/>
        <color rgb="FF00FF00"/>
      </rPr>
      <t>alcohol, dual-process model, moral decision-making, empathy, virtual reality</t>
    </r>
  </si>
  <si>
    <r>
      <rPr>
        <rFont val="Arial"/>
        <color theme="1"/>
      </rPr>
      <t xml:space="preserve">p.10,11, </t>
    </r>
    <r>
      <rPr>
        <rFont val="Arial"/>
        <color rgb="FF00FF00"/>
      </rPr>
      <t>12</t>
    </r>
  </si>
  <si>
    <t>Pypno Katarzyna; Paruzel-Czachura Mariola: Maureen Osano</t>
  </si>
  <si>
    <t>The test statistics for the replication study should be validated.</t>
  </si>
  <si>
    <t>utilitarian, moral dilemma, moral judgment, moral action, alcohol intoxication, alcohol, dual-process model, moral decision-making, empathy, virtual reality</t>
  </si>
  <si>
    <t>"BAC was positively correlated to endorsement of the utilitarian response in the footbridge dilemma (r = .29, p = .023), but not in the switch dilemma (r = .17, p = .17) "," significant correlations between BAC and willingness to push a man to his death in order to save the lives of five others."</t>
  </si>
  <si>
    <t>soscisubmission14c_1</t>
  </si>
  <si>
    <t>soscisubmission14c</t>
  </si>
  <si>
    <t xml:space="preserve">ES type for R changed to etasq partial in accordance with the paper
</t>
  </si>
  <si>
    <t xml:space="preserve">SAJ: 
- Coders disagreed on which replication statistic to include, the replication paper was consulted. 
- Coder 1 coded for the non-significant main effect of alcohol -  "Critically, there was no significant main effect of Alcohol Group, F(2, 326) = 2.76, p = .065, ηp 2 =. 017 " 
- Coder 2 coded for the correlation between behaviour in the two moral dliemmas (incorrect) - other values from the correlation table were reviewed but deemed irrelevant as BAC was not included. 
- Therefore, Coder 1s selection of the main effect of BAC on likelihood of action was chosen to best reflect the original effect under replication.  </t>
  </si>
  <si>
    <t>Paruzel-Czachura, M., Pypno, K., Everett, J.A., Białek, M.J., &amp; Gawronski, B. (2023). The Drunk Utilitarian Revisited: Does Alcohol Really Increase Utilitarianism in Moral Judgment? Personality and Social Psychology Bulletin, 49, 20–31.</t>
  </si>
  <si>
    <t>10.1177/01461672211052120</t>
  </si>
  <si>
    <t>10.1177--01461672211052120.pdf</t>
  </si>
  <si>
    <r>
      <rPr>
        <rFont val="Arial"/>
        <color theme="1"/>
      </rPr>
      <t>utilitarianism, alcohol, CNI Model, trolley dilemma, moral dilemma,</t>
    </r>
    <r>
      <rPr>
        <rFont val="Arial"/>
        <color rgb="FF00FF00"/>
      </rPr>
      <t xml:space="preserve"> moral judgment, alcohol intoxication, alcohol, dual-process model</t>
    </r>
  </si>
  <si>
    <t>https://osf.io/avf49</t>
  </si>
  <si>
    <t>1) The replication study reports the number of participants for each of the three treatment conditions out of the 329 participants recruited for the study. This is what has been used to code the n_r variable. 2) Table 2 in the replication study reports the Pearson's correlations between the measured variables. Since we are interested in the trolley problem replicated in this study, it is not clear to me the numbers (2-8) indicated even after going through the paper and whether to code the switch or the footbridge correlations reported. However, it is indicated that the control and placebo conditions had a score of 0 which has been correctly coded. 3) The nested_r variable has been coded as "unsure" because it has been shown that the replication study used between-subjects mixed-ANOVA. Hence, not sure if it is nested or not. Overall, validation is recommended for this row.</t>
  </si>
  <si>
    <t>utilitarianism, Utilitarian, moral dilemma, moral judgment, alcohol intoxication, alcohol, CNI model, dual-process model</t>
  </si>
  <si>
    <t>drunk utilitarian (alcohol condition)</t>
  </si>
  <si>
    <t>T. 2</t>
  </si>
  <si>
    <t>soscisubmission15_1</t>
  </si>
  <si>
    <t>soscisubmission15</t>
  </si>
  <si>
    <t>Holgado, Darías, Roksana</t>
  </si>
  <si>
    <t>06.04.2023</t>
  </si>
  <si>
    <t>I am leaving the es_value and es_value_type how I originally received this spreadsheet as not sure how to code these. Please see original author's claim coded in this row and the following replication claim "The one-sided Bayes factor for the time-to-exhaustion (Figure 2) measure was BF01 = 9.762, indicating that the observed data moderately to strongly support the null hypothesis that mental fatigue did not have a detrimental effect on exercise performance."</t>
  </si>
  <si>
    <t>The preregistration link was incorrect; it was the OSF link for the OSF folder.</t>
  </si>
  <si>
    <t>Marcora, S. M., Staiano, W., &amp; Manning, V. (2009). Mental fatigue impairs physical performance in humans. Journal of applied physiology. https://doi.org/10.1152/japplphysiol.91324.2008.</t>
  </si>
  <si>
    <t>10.1152/japplphysiol.91324.2008</t>
  </si>
  <si>
    <t>10.1152--japplphysiol.91324.2008.pdf</t>
  </si>
  <si>
    <t>Holgado, D., Troya, E., Perales, J. C., Vadillo, M. A., &amp; Sanabria, D. (2019). Does mental fatigue impair physical performance? A replication study. European Journal of Sport Science, 2020.</t>
  </si>
  <si>
    <t>10.31236/osf.io/tzn6d</t>
  </si>
  <si>
    <t>10.31236--osf.io--tzn6d.pdf</t>
  </si>
  <si>
    <t>Mental Fatigue</t>
  </si>
  <si>
    <t>Exercise performance; endurance; perceived exertion; motivation</t>
  </si>
  <si>
    <t>Mental fatigue impairs physical performance in humans</t>
  </si>
  <si>
    <t>"Time to exhaustion was significantly lower in the mental fatigue condition (640 ± 316 s) compared with control (754 ± 339 s) (P = 0.003) with no significant order effect (P = 0.901). Individual time to exhaustion was shorter in the mental fatigue condition in 13 of 16 subjects."</t>
  </si>
  <si>
    <t>dz</t>
  </si>
  <si>
    <r>
      <rPr>
        <rFont val="Arial"/>
        <color rgb="FF1155CC"/>
        <u/>
      </rPr>
      <t>OSF</t>
    </r>
  </si>
  <si>
    <t>1. The discipline can be also "cognitive psychology"  2. For the replication: BF (01) = 9.762 3. For the replication the ES was calculated based on the provided M + SE. The conversion to SD was conducted by the formula: SD=SE×sqrt(N). The ES was calculated based on the "ES calculations" page</t>
  </si>
  <si>
    <t>Mental fatigue</t>
  </si>
  <si>
    <t>Time to exhaustion was significantly lower in the mental fatigue condition (640 +/- 316 s) compared with control (754 +/- 339 s) (P = 0.003)</t>
  </si>
  <si>
    <t>d=(754-640)/SQRT((339^2+316^2)/2)</t>
  </si>
  <si>
    <t>(765.5-705.4)/SQRT((504.178614183505^2+435.384660960857^2)/2)</t>
  </si>
  <si>
    <t>https://osf.io/7hz3x</t>
  </si>
  <si>
    <t>soscisubmission15_b</t>
  </si>
  <si>
    <t>1. The discipline can be also "cognitive psychology"  2. For the replication: BF (01) = 4.04 3. For the replication the ES was calculated based on the provided M + SE. Since we had only upper and lower CI, in order to calculate SE I used the following formula: [(Upper CI - Lower CI) / 2] / critical value.  The conversion to SD was conducted by the formula: SD=SE×sqrt(N). The ES was calculated based on the "ES calculations" page. The critical value was taken as 1.96.</t>
  </si>
  <si>
    <t>Posttreatment fatigue was significantly higher compared with the control condition</t>
  </si>
  <si>
    <t>This state of mental fatigue was associated with a significant decline in the proportion of correct responses to the AX trials during the AX-CPT (first 15-min period 94.8 +/- 3.4%, last 15-min period 88.9 +/- 4.5%, P &lt; 0.001).	4, 5	16	1.479	d	p. 5	0.001	l (&lt;)	2 (two)	no		30	0.056	d	p. 4			1 (one)	no	https://osf.io/7hz3x	2 - close
soscisubmission15_1	soscisubmission15	Nikita Otstavnov	27.02.2025		1. The discipline can be also cognitive psychology"  2. For the replication: BF (01) = 0.306 3. For the replication the ES was calculated based on the provided M + SE. Since we had only upper and lower CI, in order to calculate SE I used the following formula: [(Upper CI - Lower CI) / 2] / critical value.  The conversion to SD was conducted by the formula: SD=SE×sqrt(N). The ES was calculated based on the "ES calculations" page. The critical value was taken as 1.96.</t>
  </si>
  <si>
    <t>Vigor significantly decreased in both conditions</t>
  </si>
  <si>
    <t>The BRUMS questionnaire revealed a significant decrease in vigor (from 6.2 +/- 3.1 to 3.5 +/- 2.2) in both conditions (main effect of time, P &lt; 0.001)</t>
  </si>
  <si>
    <t>soscisubmission15_c</t>
  </si>
  <si>
    <t>1. The discipline can be also "cognitive psychology"  2. For the replication: BF (01) = 2.587 3. For the replication the ES was calculated based on the provided M + SE. Since we had only upper and lower CI, in order to calculate SE I used the following formula: [(Upper CI - Lower CI) / 2] / critical value.  The conversion to SD was conducted by the formula: SD=SE×sqrt(N). The ES was calculated based on the "ES calculations" page. The critical value was taken as 1.96.</t>
  </si>
  <si>
    <t>Mental fatigue resulted in higher average HR during AX-CPT</t>
  </si>
  <si>
    <t>Average HR was significantly higher during the AX-CPT (65 +/- 8 min) compared with control treatment (62 +/- 8 min) (P = 0.046)</t>
  </si>
  <si>
    <t>soscisubmission18_1</t>
  </si>
  <si>
    <t>soscisubmission18</t>
  </si>
  <si>
    <t>Tobias Dienlin</t>
  </si>
  <si>
    <t>13.04.2023</t>
  </si>
  <si>
    <t>No preregistration of the r_paper but only supplementary materials: https://osf.io/6k5rg/registrations</t>
  </si>
  <si>
    <t>Granow, V. C., Reinecke, L., &amp; Ziegele, M. (2018). Binge-Watching and Psychological Well-Being: Media Use Between Lack of Control and Perceived Autonomy. Communication Research Reports, 35(5), 392–401. https://doi.org/10.1080/08824096.2018.1525347</t>
  </si>
  <si>
    <t>10.1080/08824096.2018.1525347</t>
  </si>
  <si>
    <t>10.1080--08824096.2018.1525347.pdf</t>
  </si>
  <si>
    <t>Erdmann, E., &amp; Dienlin, T. (2022). Binge-watching, self-determination, and well-being: A partially successful direct replication and extension of Granow et al. (2018). Journal of Media Psychology, 1864-1105/a000334.</t>
  </si>
  <si>
    <t>10.1027/1864-1105/a000334</t>
  </si>
  <si>
    <t>10.1027--1864-1105--a000334.pdf</t>
  </si>
  <si>
    <t>binge-watching</t>
  </si>
  <si>
    <t>binge-watching; self-determination theory; media psychology; well-being</t>
  </si>
  <si>
    <t>binge-goal conflict</t>
  </si>
  <si>
    <t>Binge-watching was associated with increased goal conflicts (β = .65, p &lt; .001),</t>
  </si>
  <si>
    <t>soscisubmission18_10</t>
  </si>
  <si>
    <t>guilt-enjoy</t>
  </si>
  <si>
    <t>Guilt was a negative predictor of recovery experience ... and vitality ... but unrelated to enjoyment (β = –.04, p = .43).</t>
  </si>
  <si>
    <t>P.6</t>
  </si>
  <si>
    <t>P.19</t>
  </si>
  <si>
    <t>soscisubmission18_11</t>
  </si>
  <si>
    <t>autonomy-enjoy</t>
  </si>
  <si>
    <t>the data showed the expected positive correlation between binge-watching and perceived autonomy...The latter correlated significantly with recovery experience... and enjoyment (β = .29, p &lt; .001) but not with vitality</t>
  </si>
  <si>
    <t>P.7</t>
  </si>
  <si>
    <t>soscisubmission18_12</t>
  </si>
  <si>
    <t>binge-enjoy</t>
  </si>
  <si>
    <t>The positive total effect of binge-watching on enjoyment was significant (β = .38, p = .001).</t>
  </si>
  <si>
    <t>soscisubmission18_2</t>
  </si>
  <si>
    <t>binge-autonomy</t>
  </si>
  <si>
    <t>Regarding potential positive effects of binge-watching, the data showed the expected positive correlation between binge-watching and perceived autonomy (β = .15, p &lt; .01).</t>
  </si>
  <si>
    <t>soscisubmission18_3</t>
  </si>
  <si>
    <t>goal conflict-guilt</t>
  </si>
  <si>
    <t>Binge-watching was associated with increased goal conflicts...which in turn strongly correlated with feelings of guilt (β = .47, p &lt; .001).</t>
  </si>
  <si>
    <t>soscisubmission18_4</t>
  </si>
  <si>
    <t>the results of the effect in the r_sttudy are not reported "Next, feelings of guilt were not significantly related to recovery experience and vitality." (p.19)</t>
  </si>
  <si>
    <t>guilt-recovery</t>
  </si>
  <si>
    <t>Guilt was a negative predictor of recovery experience (β = –.11, p &lt; .05)</t>
  </si>
  <si>
    <t>soscisubmission18_5</t>
  </si>
  <si>
    <t>autonomy-recovery</t>
  </si>
  <si>
    <t>the data showed the expected positive correlation between binge-watching and perceived autonomy... The latter correlated significantly with recovery experience (β = .27, p &lt; .001)</t>
  </si>
  <si>
    <t>soscisubmission18_6</t>
  </si>
  <si>
    <t>the results of the effect in the r_sttudy are not reported "When looking at the direct relation between binge-watching and well-being, we found that respondents who binge-watched more also experienced more enjoyment ...No relations with recovery experience and vitality were found." (p.19)</t>
  </si>
  <si>
    <t>binge-recovery</t>
  </si>
  <si>
    <t>The total effects of binge-watching on recovery experience (β = .08, p = .11)</t>
  </si>
  <si>
    <t>soscisubmission18_7</t>
  </si>
  <si>
    <t>guilt-vitality</t>
  </si>
  <si>
    <t>Guilt was a negative predictor of recovery experience... and vitality (β = –.15, p &lt; .01)</t>
  </si>
  <si>
    <t>soscisubmission18_8</t>
  </si>
  <si>
    <t>autonomy-vitality</t>
  </si>
  <si>
    <t>Regarding potential positive effects of binge-watching, the data showed the expected positive correlation between binge-watching and perceived autonomy ... The latter correlated significantly with recovery experience ...and enjoyment ... but not with vitality (β = .09, p = .11).</t>
  </si>
  <si>
    <t>soscisubmission18_9</t>
  </si>
  <si>
    <t>binge-vitality</t>
  </si>
  <si>
    <t>The total effects of binge-watching on recovery experience ... and Vitality (β = .04, p = .55) were not significant.</t>
  </si>
  <si>
    <t>soscisubmission2_1</t>
  </si>
  <si>
    <t>soscisubmission_b</t>
  </si>
  <si>
    <t>Röseler, Lukas</t>
  </si>
  <si>
    <t>Redden, J. P., &amp; Hoch, S. J. (2009). The presence of variety reduces perceived quantity. Journal of Consumer Research, 36(3), 406-417., Study 1</t>
  </si>
  <si>
    <t>Röseler, L., Felser, G., Asberger, J., &amp; Schütz, A. (2020, October 23). No effect of variety on perceived quantity: Evidence from six studies. (Study 4)</t>
  </si>
  <si>
    <t>"As predicted, people judged a pattern to have more items when it had only one color or shape versus multiple colors or shapes (M = 53.5 vs. M = 56.8, F(1, 79) = 110.19, p &lt; .0001)."</t>
  </si>
  <si>
    <t>F(1, 79) = 110.19</t>
  </si>
  <si>
    <t>soscisubmission2_2</t>
  </si>
  <si>
    <t>1. I would mark this replication as conceptual, since the analysis plan was different from the original study and the data was gathered online</t>
  </si>
  <si>
    <t xml:space="preserve">changed label_r to replication, since it says that Study 3 is a close replication of Study 1 (of the replication studies) </t>
  </si>
  <si>
    <t xml:space="preserve"> replication</t>
  </si>
  <si>
    <t>Cognitive Processes, Perceptual Processes, Judgment and Decision Making, Experimental Design and Analysis (ANOVA); File-drawer report, quantity estimation, variety, Gestalt, replication</t>
  </si>
  <si>
    <t>The presence of variety lowers the perceived quantity</t>
  </si>
  <si>
    <t>[...] people judged a pattern to have more items when it had only one color or shape versus multiple colors or shapes (M = 56.8 vs 53.5; F(1,79) = 110.19, p &lt; .0001)</t>
  </si>
  <si>
    <t>F(1,79) = 110.19</t>
  </si>
  <si>
    <t>soscisubmission3_1</t>
  </si>
  <si>
    <t>soscisubmission_c</t>
  </si>
  <si>
    <t>Röseler, L., Felser, G., Asberger, J., &amp; Schütz, A. (2020, October 23). No effect of variety on perceived quantity: Evidence from six studies. (Study 5)</t>
  </si>
  <si>
    <t>1. I would mark this study conceptual replication, because it was online</t>
  </si>
  <si>
    <t>added NA to prereg_o and prereg_r</t>
  </si>
  <si>
    <t>soscisubmission3_2</t>
  </si>
  <si>
    <t>People gave larger estimates as the percentage filled increased</t>
  </si>
  <si>
    <t>There were main effects for each of the three factors: percentage filled (F(4, 76) = 495.31, p &lt; .0001)</t>
  </si>
  <si>
    <t>F(4, 76) = 495.31</t>
  </si>
  <si>
    <t>soscisubmission3_3</t>
  </si>
  <si>
    <t>People gave larger estimates when the items consisted of colored dots rather than unfilled shapes</t>
  </si>
  <si>
    <t>There were main effects for each of the three factors: [...]  basis of variety (F(1, 79) = 5.02, p &lt; .03)</t>
  </si>
  <si>
    <t>F(1, 79) = 5.02</t>
  </si>
  <si>
    <t>soscisubmission3_4</t>
  </si>
  <si>
    <t>People estimates depends on both the percentage filled and number of types</t>
  </si>
  <si>
    <t>The analysis also found evidence of a percentage filled by number of types interaction (F(16, 64) = 4.85, p &lt; .0001)</t>
  </si>
  <si>
    <t>F(16, 64) = 4.85</t>
  </si>
  <si>
    <t>soscisubmission34_1</t>
  </si>
  <si>
    <t>soscisubmission34</t>
  </si>
  <si>
    <t>Ross, Robert M., Roksana</t>
  </si>
  <si>
    <t>11.04.2023</t>
  </si>
  <si>
    <t>No statsitics were reported in the original paper, please see notes_validation by previous coder- I agree.</t>
  </si>
  <si>
    <t>Test statistics were not reported thoroughly in the original study. However, the p-value combined with the figure makes it clear what hypothesis was being tested and that the replication was successful.</t>
  </si>
  <si>
    <t>Schaffner, B. F., &amp; Luks, S. (2018). Misinformation or expressive responding? What an inauguration crowd can tell us about the source of political misinformation in surveys. Public Opinion Quarterly, 82(1), 135–147. https://doi.org/10.1093/poq/nfx042</t>
  </si>
  <si>
    <t>10.1093/poq/nfx042</t>
  </si>
  <si>
    <t>10.1093--poq--nfx042.pdf</t>
  </si>
  <si>
    <t>Ross, R. M., &amp; Levy, N. (2023). Expressive responding in support of Donald Trump: An Extended Replication of Schaffner and Luks (2018). Collabra, 9(1).</t>
  </si>
  <si>
    <t>10.1525/collabra.68054</t>
  </si>
  <si>
    <t>10.1525--collabra.68054.pdf</t>
  </si>
  <si>
    <t>Extended replication</t>
  </si>
  <si>
    <t>Political psychology</t>
  </si>
  <si>
    <t>Expressive responding</t>
  </si>
  <si>
    <t>Expressive Responding, Partisan Bias, Political Misinformation, Political Psychology, Survey Research, Motivated Reasoning, Partisan Cheerleading, False Beliefs, Political Cognition, Crowd Size Controversy, Donald Trump, Barack Obama, Political Interest, Misperceptions in Politics</t>
  </si>
  <si>
    <t>Trump voters/Republicans select the incorrect inauguration crowd photo more often than non-Trump voters/non-Republicans</t>
  </si>
  <si>
    <t>"The difference in selecting the incorrect photo based on one’s vote choice or approval of Trump is statistically significant (p &lt; .01)."</t>
  </si>
  <si>
    <t>X2(1) = 5.365</t>
  </si>
  <si>
    <t>https://osf.io/gc6zh</t>
  </si>
  <si>
    <t>soscisubmission34_2_1</t>
  </si>
  <si>
    <t>1. For ES measurement I used OR from the "ES calculations" page. The values, which were used, are: 89% of correct answers (in the paper - 11% of incorrect) and 74% of correct answers (in the paper - 26% for incorrect) (page 6)</t>
  </si>
  <si>
    <t>Extended Replication</t>
  </si>
  <si>
    <t>Expressive Responding</t>
  </si>
  <si>
    <t>Belief, dual process, expressive responding, identity fusion, partisan</t>
  </si>
  <si>
    <t>Less educated Trump supporters (republicants) chose the wrong image less often</t>
  </si>
  <si>
    <t>While only 11 percent of less educated Trump supporters chose the wrong image as having more people, 26 percent of Trump supporters with college degrees selected the incorrect photo (difference of proportions p = .054)</t>
  </si>
  <si>
    <t>X2(1) = 1.347</t>
  </si>
  <si>
    <t>please add NA for prereg_o if there is no preregistration</t>
  </si>
  <si>
    <t>soscisubmission34_2_2</t>
  </si>
  <si>
    <t>1. For ES measurement I used OR from the "ES calculations" page. The values, which were used, are: 60% of correct answers (in the paper - 40% of incorrect) and 90% of correct answers (in the paper - 10% for incorrect) (page 7, Trump and Clinton voters)</t>
  </si>
  <si>
    <t>Trump voters (republicants) identified correct picture more often than Clinton voter (democrats)</t>
  </si>
  <si>
    <t>About 40 percent of Trump voters misidentified which picture went with which president’s inauguration, compared to about 20 percent of nonvoters and less than 10 percent of Clinton voters</t>
  </si>
  <si>
    <t>X2(1) = 4.569</t>
  </si>
  <si>
    <t>soscisubmission38_1</t>
  </si>
  <si>
    <t>soscisubmission38</t>
  </si>
  <si>
    <t>Hussey, Ian, Roksana</t>
  </si>
  <si>
    <t>23.05.2023</t>
  </si>
  <si>
    <t>Coded closeness as 1 due to same author (Olson)</t>
  </si>
  <si>
    <t>Hedges’ g = 0.12, 95% CI [0.05, 0.20], z = 3.17, p = .002</t>
  </si>
  <si>
    <t>Olson, M. A., &amp; Fazio, R. H. (2001). Implicit attitude formation through classical conditioning. Psychological Science, 12(5), 413-417, Study 2</t>
  </si>
  <si>
    <t>10.1111/1467-9280.00376</t>
  </si>
  <si>
    <t>10.1111--1467-9280.00376.pdf</t>
  </si>
  <si>
    <t>Yorovich, T. M., Hughes, S., Hussey, I., Vadillo, M. A., Olson, M. A., Aust, F., Bading, K. C., Balas, R., Benedict, T., Corneille, O., Douglas, S. B., Ferguson, M. J., Fritzlen, K. A., Gast, A., Gawronski, B., Giménez‐Fernández, T., Hanusz, K., Heycke, T., Högden, F., . . . De Houwer, J. (2020). Incidental Attitude Formation via the Surveillance Task: A Registered Replication Report of Olson and Fazio (2001). Psychological Science, 32 (1), 120-131.</t>
  </si>
  <si>
    <t>10.31234/osf.io/kavx4</t>
  </si>
  <si>
    <t>10.31234--osf.io--kavx4.pdf</t>
  </si>
  <si>
    <t>A Registered Replication Report</t>
  </si>
  <si>
    <t>Implicit Attitude Formation</t>
  </si>
  <si>
    <t>Attitude formation, Implicit learning, Classical conditioning, Covariation detection, Conditioning paradigm, Valenced stimuli, Unconditioned stimuli, Conditioned stimuli, Attitudinal conditioning, Explicit measures, Implicit measures, Evaluation task, Surveillance and vigilance, Covariation estimation, Memory and conditioning, Implicit memory</t>
  </si>
  <si>
    <t>Conditioned stimuli (CS) paired with positive stimuli are evaluated more positively than the CS paired with negative stimuli</t>
  </si>
  <si>
    <t>"The analysis revealed a significant conditioning effect, F(1, 46) = 6.45, p = .015, unmoderated by either task order or type of measure, both Fs &lt; 1."</t>
  </si>
  <si>
    <t>F(1, 46) = 6.45</t>
  </si>
  <si>
    <t>OSF Registries | Deviation from Sampling Strategy</t>
  </si>
  <si>
    <t>soscisubmission38_1_1</t>
  </si>
  <si>
    <t>1. Two links to preregistration were provided. The second: https://osf.io/uyng7</t>
  </si>
  <si>
    <t>implicit attitude, Evaluative conditioning,  conditioned stimuli</t>
  </si>
  <si>
    <t>Participants assessed CS+ more positively than CS- in the explicit condition</t>
  </si>
  <si>
    <t>Subsequent t tests indicated that the CS was evaluated more positively than the CS on both the implicit measure (IAT), t(48) = 2.59, p = .007, and the explicit (paper-and-pencil) measure, t(48) = 1.92, p = .03</t>
  </si>
  <si>
    <t>t(48) = 1.92</t>
  </si>
  <si>
    <t>https://osf.io/xqv8b</t>
  </si>
  <si>
    <t>soscisubmission39_1</t>
  </si>
  <si>
    <t>soscisubmission39</t>
  </si>
  <si>
    <t>Cummins, Jamie</t>
  </si>
  <si>
    <t>The main effect is an ombnibus F-test and so I couldn't do  a couldn't calculate the paired t-test without a t-value on the pos- and neg-valenced means</t>
  </si>
  <si>
    <t>SAJ:
- Coder 1 coded study 2 instead of study 3 in the original study causing discrepancies, COder 2 original values were therefore retained. 
- However, Coder 2 coded the main effect of primes not the interaction effect of prime by condition in the original study - this was updated. 
- In the replication study, Coder 1 did not indicate where their Cohens d value arose form - test statistic from coder 2 favoured. 
- Link to OSF replication prereg checked and most accruate one chosen (coder 2)</t>
  </si>
  <si>
    <t>Payne BK, Brown-Iannuzzi J, Burkley M, Arbuckle NL, Cooley E, Cameron CD, Lundberg KB. Intention invention and the affect misattribution procedure: reply to Bar-Anan and Nosek (2012). Personality and Social Psychology Bulletin, 39(3), 375-86.</t>
  </si>
  <si>
    <t>10.1177/0146167212475225</t>
  </si>
  <si>
    <t>10.1177--0146167212475225.pdf</t>
  </si>
  <si>
    <t>Hughes, S., Cummins, J., &amp; Hussey, I. (2022). Effects on the affect Misattribution procedure are strongly moderated by influence awareness. Behavior Research Methods, 55(4), 1558-1586.</t>
  </si>
  <si>
    <t>10.3758/s13428-022-01879-4</t>
  </si>
  <si>
    <t>10.3758--s13428-022-01879-4.pdf</t>
  </si>
  <si>
    <t>Across eight preregistered studies (N = 1603) plus meta-analyses, we reexamined the ‘implicitness’ of AMP effects, and in particular, the idea that people are unaware of the prime’s influence on their evaluations</t>
  </si>
  <si>
    <t>Affective misattribution</t>
  </si>
  <si>
    <t>Affect Misattribution Procedure, implicit measures, Implicit Association Test, bias awareness, implicit social cognition</t>
  </si>
  <si>
    <t>Effects in the Affect Misattribution Procedure are moderated by awareness of influence of the prime stimulus on evaluations of the target stimulus</t>
  </si>
  <si>
    <t>Participants passed much less when the primes were pleasant (M = 0.14) or unpleasant (M = 0.17) than when the prime was neutral (M = 0.54), F(2, 70) = 28.23, p &lt; .001</t>
  </si>
  <si>
    <t>p.xx</t>
  </si>
  <si>
    <t>https://osf.io/gv7cm/</t>
  </si>
  <si>
    <t>I edited the cell of the effect size of the r_paper since only the test was reported. Note from the authors of the r_study:"A between-subjects Cohen’s d was also calculated for familiarity, although this should be inter-preted with caution as it does not acknowledge the partial dependence within the data: d = 0.96"; Another note: "As we previously noted, we adopted a within participant design (participants frst completed a standard AMP followed by a ‘skip’ AMP) whereas Payne et al. (2013) adopted a between participant design (participants completed either a standard AMP or a ‘skip’ AMP)."; both results are significant but diffrent tests and hypothesis so the r_result don't replicate the o_result, the significance in the o_study reflect no diffrence between conditions while the significance in the r_study reflect diffrence between conditions.</t>
  </si>
  <si>
    <r>
      <rPr>
        <rFont val="Calibri"/>
        <color theme="1"/>
        <sz val="11.0"/>
      </rPr>
      <t>affect misattribution procedure, implicit social cognition, implicit attitudes,  I</t>
    </r>
    <r>
      <rPr>
        <rFont val="Calibri"/>
        <color rgb="FF00FF00"/>
        <sz val="11.0"/>
      </rPr>
      <t xml:space="preserve">mplicit Association Test, bias awareness, </t>
    </r>
  </si>
  <si>
    <t>In three experiments, we tested the claim that reliable and valid measurement in the AMP depends on awareness and intentions to rate the primes rather than the targets. In short, it does not.</t>
  </si>
  <si>
    <r>
      <rPr>
        <rFont val="Calibri"/>
        <color theme="1"/>
        <sz val="11.0"/>
      </rPr>
      <t xml:space="preserve">there was a strong main effect of priming, F(2, 134) = 91.37, p &lt; .001...Providing participants an option to pass offered them an opportunity to adjust their behavior based on subjective experience. Results indicated that they did not take advan-tage of this opportunity </t>
    </r>
    <r>
      <rPr>
        <rFont val="Calibri"/>
        <color rgb="FF00FF00"/>
        <sz val="11.0"/>
      </rPr>
      <t xml:space="preserve">as critically, the main effect of prime valence was not qualified by the Prime valence × Response option interaction, F(2, 134) = 0.60, p = .55.  </t>
    </r>
    <r>
      <rPr>
        <rFont val="Calibri"/>
        <color theme="1"/>
        <sz val="11.0"/>
      </rPr>
      <t>This finding strongly suggests that subjective experiences were poorly calibrated to the actual influence of the primes.</t>
    </r>
  </si>
  <si>
    <t>F(2, 134) = 0.60</t>
  </si>
  <si>
    <t>t(294) = 9.36</t>
  </si>
  <si>
    <t>https://osf.io/p6e3c/registrations</t>
  </si>
  <si>
    <t>soscisubmission41_1</t>
  </si>
  <si>
    <t>soscisubmission41</t>
  </si>
  <si>
    <t>Data for R copied from Footnote 4, it also seems like R replicate some results from another paper, specifically Vaughn, L. A. (2018). Contents of hopes and duties: A linguistic analysis. Frontiers in Psychology, 9, 1–13. DOI: https://doi.org/10.3389/fpsyg.2018.00757.  There are no registrations for the project, just in case copied the OSF project link</t>
  </si>
  <si>
    <t>SAJ: 
- Coders very similar in apprach
- Coder 2 row chosen as seems to code tails/nestedness more accurately (based on what is in the paper rather than intuition). 
- Coder 2 row also properly identified no replicaiton prereg within the OSF environment</t>
  </si>
  <si>
    <t>Vaughn, L. A. (2017b). Foundational tests of the need support model: A framework for bridging regulatory focus theory and self-determination theory. Personality and Social Psychology Bulletin, 43, 313–328. https://doi.org/10.1177/0146167216684132, Combined sample of Studies 1a-1c</t>
  </si>
  <si>
    <t>10.1177/0146167216684132</t>
  </si>
  <si>
    <t>1a-1c (combined samples)</t>
  </si>
  <si>
    <t>10.1177--0146167216684132.pdf</t>
  </si>
  <si>
    <t>Vaughn, L. A. (2019). Distinguishing Between Need Support and Regulatory Focus with LIWC. Collabra, 5(1). (Analyses of Study 2 reported in Footnote 4)</t>
  </si>
  <si>
    <t>10.1525/collabra.185</t>
  </si>
  <si>
    <t>10.1525--collabra.185.pdf</t>
  </si>
  <si>
    <t>Regulatory focus theory, Self-determination theory, Need satisfaction, Need support, Goals and motivation</t>
  </si>
  <si>
    <t>Participants reported higher need satisfaction in experiences of pursuing hopes than in experiences of pursuing duties (need for autonomy)</t>
  </si>
  <si>
    <t>Table 1. Cronbach’s Alphas and Tests of Between-Condition Differences in Studies 1a to 1c.</t>
  </si>
  <si>
    <t>https://osf.io/m2cyn/</t>
  </si>
  <si>
    <t xml:space="preserve">Vaughn, Leigh Ann; Osano, Maureen </t>
  </si>
  <si>
    <t>t(426.01) = 7.70, p &lt; .001, mean difference = 0.86, 95% C.I. [0.64, 1.09], d = 0.728.</t>
  </si>
  <si>
    <t>1a-1c (combined sample)</t>
  </si>
  <si>
    <t xml:space="preserve"> direct replication</t>
  </si>
  <si>
    <t>need-support model</t>
  </si>
  <si>
    <t xml:space="preserve">motivation, regulatory focus theory, self-determination theory, psychological needs, need support </t>
  </si>
  <si>
    <t>"There were significant differences between the three conditions on autonomy, competence, and relatedness support "," These differences in need support could reflect motivated inflation versus deflation of need support in promotion-focused versus prevention-focused experiences. In addition, these differences in need"</t>
  </si>
  <si>
    <t>soscisubmission41_2</t>
  </si>
  <si>
    <t>t(445) = 3.86, p &lt; .001, mean difference = 0.37, 95% C.I. [0.18, 0.55], d = 0.365.</t>
  </si>
  <si>
    <t>Participants reported higher need satisfaction in experiences of pursuing hopes than in experiences of pursuing duties (need for competence)</t>
  </si>
  <si>
    <t>soscisubmission41_3</t>
  </si>
  <si>
    <t>t(455) = 4.33, p &lt; .001, mean difference = 0.49, 95% C.I. [0.27, 0.71], d = 0.409</t>
  </si>
  <si>
    <t>Participants reported higher need satisfaction in experiences of pursuing hopes than in experiences of pursuing duties (need for relatedness)</t>
  </si>
  <si>
    <t>soscisubmission45_1</t>
  </si>
  <si>
    <t>soscisubmission45</t>
  </si>
  <si>
    <t xml:space="preserve">SAJ:
- The exact replicaiton value to be selected was reviewed and adjusted
- Instead of an omnibus t-test (df 1455) the within classic ISE effect on bonus payments was extracted from Table 5 (p. 7) to compare directly to the original study and effect 
- The sample size of Coder 2 was incorrectly calcualted (see coder 2 notes) 
</t>
  </si>
  <si>
    <t>Thürmer, J. L., &amp; McCrea, S. M. (2018). Beyond motivated reasoning: Hostile reactions to critical comments from the outgroup. Motivation Science, 4(4), 333-346. https://doi.org/10.1037/mot0000097</t>
  </si>
  <si>
    <t>10.1037/mot0000097</t>
  </si>
  <si>
    <t>10.1037--mot0000097.pdf</t>
  </si>
  <si>
    <t>Thürmer, J. L., &amp; McCrea, S. M. (2021). Disentangling the Intergroup Sensitivity Effect: Defending the ingroup or enforcing general norms? European Journal of Social Psychology, 51(7), 1061-1072.</t>
  </si>
  <si>
    <t>10.1002/ejsp.2748</t>
  </si>
  <si>
    <t>10.1002--ejsp.2748.pdf</t>
  </si>
  <si>
    <t>intergroup sensitivity effect</t>
  </si>
  <si>
    <t>intergroup sensitivity effect, intergroup criticism, behavior, costly punishment,</t>
  </si>
  <si>
    <t>We investigated the hypothesis that group members would reject outgroup criticism (as compared to the same criticism from the ingroup) using costly punishment</t>
  </si>
  <si>
    <t>Entering bonus decisions as outcome in the t-test revealed the predicted group differences in punishment: Individuals assigned smaller bonuses for the outgroup comment than for the ingroup comment, resulting in significantly reduced pay (see Table 3).</t>
  </si>
  <si>
    <t>https://osf.io/49yza</t>
  </si>
  <si>
    <t>Thürmer, Lukas; Osano, Maureen</t>
  </si>
  <si>
    <t>1) The correct preregistration link for the replication study has been coded 2) The number of participants has been coded as 457 (t(1,455) = −4.503), i.e., 455+2 = 457, for the classic ISE (Contrast 1). This can, however, be validated</t>
  </si>
  <si>
    <r>
      <rPr>
        <rFont val="Arial"/>
      </rPr>
      <t xml:space="preserve">Thürmer, J. L., &amp; McCrea, S. M. (2018). Beyond motivated reasoning: Hostile reactions to critical comments from the outgroup. Motivation Science, 4(4), 333-346. </t>
    </r>
    <r>
      <rPr>
        <rFont val="Arial"/>
        <color rgb="FF1155CC"/>
        <u/>
      </rPr>
      <t>https://doi.org/10.1037/mot0000097</t>
    </r>
  </si>
  <si>
    <t>intergroup sensitivity effect, intergroup criticism, behavior,  motivation-goals, self-defensiveness, social identity, bystander effect, costly punishment, general norms</t>
  </si>
  <si>
    <t>"Participants across conditions were equally likely to solve the trivia questions (ingroup M = .984, SD = 1.123; outgroup M = .932, SD = 1.018), t(133) = .284, p = .777, and the number of trivia questions solved did not interact with the comment-source condition on the bonus decision "," motivations other than group defensiveness were at play (e.g., fairness considerations)."</t>
  </si>
  <si>
    <t>t(133)  = .284</t>
  </si>
  <si>
    <t>soscisubmission46_1</t>
  </si>
  <si>
    <t>soscisubmission46</t>
  </si>
  <si>
    <t>Values for R extracted from the OSF project page</t>
  </si>
  <si>
    <t xml:space="preserve">SAJ:
-This coder chose the correct main effect to report (ANOVA based on RT not PC) so this row was selected.
-Additional information added to the original effect to align more closely with the description
- Nestedness updated for both papers (one-way ANOVA grouped by trial type = not nested)
- Updated tags by combining informaiton from both coders for fullest response
</t>
  </si>
  <si>
    <t>Ulrich, R., Prislan, L., &amp; Miller, J. (2020). A bimodal extension of the Eriksen flanker task. Attention, Perception, &amp; Psychophysics. https://doi.org/10.3758/s13414-020-02150-8, Experiment 2</t>
  </si>
  <si>
    <t>10.3758/s13414-020-02150-8</t>
  </si>
  <si>
    <t>10.3758--s13414-020-02150-8.pdf</t>
  </si>
  <si>
    <t>Papenmeier, F., &amp; Rebholz, T. R. (2023, September). Bimodal Flanker: Audio vs. Visual. Retrieved from https://osf.io/8nzfm/</t>
  </si>
  <si>
    <t>https://osf.io/8nzfm/</t>
  </si>
  <si>
    <r>
      <rPr>
        <rFont val="Arial"/>
        <color theme="1"/>
      </rPr>
      <t xml:space="preserve">Flanker task, congruency, bimodal, interference effect, facilitation effect, </t>
    </r>
    <r>
      <rPr>
        <rFont val="Arial"/>
        <color rgb="FF00FF00"/>
      </rPr>
      <t>bimodal stimulation, conflict tasks, Eriksen flanker task, auditory flankers</t>
    </r>
  </si>
  <si>
    <t>For auditory flankers, correct responses are significantly faster in the perceptual-congruent condition than in the response-congruent and incongruent conditions, with no difference in response times between the latter two conditions.</t>
  </si>
  <si>
    <r>
      <rPr>
        <rFont val="Arial"/>
        <color theme="1"/>
      </rPr>
      <t xml:space="preserve">The three conditions produced different mean RTs, F(2, 70) = 47.05, p &lt; .01, η2 = 0.57; </t>
    </r>
    <r>
      <rPr>
        <rFont val="Arial"/>
        <color rgb="FF00FF00"/>
      </rPr>
      <t>although RT was virtually identical in response-congruent (492.4±2.1ms) and incongruent trials. (491.3±1.4ms), there was a speed advantage in perceptual congruent trials (470.5±1.9ms)</t>
    </r>
    <r>
      <rPr>
        <rFont val="Arial"/>
        <color theme="1"/>
      </rPr>
      <t>.  This result is consistent with the hypothesis that auditory flankers facilitate the processing of visual targets when their letter names are identical.</t>
    </r>
  </si>
  <si>
    <t>https://osf.io/8nzfm/wiki/home/</t>
  </si>
  <si>
    <t>https://osf.io/2dqxv</t>
  </si>
  <si>
    <t>Papenmeier, Frank; Rebholz, Tobias R.; Osano, Maureen</t>
  </si>
  <si>
    <t>This row needs validation because I'm not sure of the coded information since the replication study has limited information to compare with the original study.</t>
  </si>
  <si>
    <t>bimodal flanker effect</t>
  </si>
  <si>
    <t>Flanker task, congruency, bimodal,  bimodal stimulation, interference effect, facilitation effect, conflict tasks, Eriksen flanker task, auditory flankers</t>
  </si>
  <si>
    <t>For auditory flankers, correct responses are significantly faster in the perceptual-congruent condition than in the response-congruent and incongruent conditions, with no difference in response times between the latter two conditions (evidence for bimodal Flanker effects)</t>
  </si>
  <si>
    <t>"no statistically significant difference between the three conditions, F(2, 70) = 1.45, p = .24, η2 = 0.04 "," This result is consistent with the hypothesis that auditory flankers facilitate the processing of visual targets when their letter names are identical. However, the results are at variance with the idea that auditory flankers speed-up late processes as there was virtually no processing benefit when auditory flankers and targets matched the same response. Accordingly, the conclusion that a significant proportion of this bimodal flanker effect resides in late processing stages is not supported by the present results."</t>
  </si>
  <si>
    <t>soscisubmission47_1</t>
  </si>
  <si>
    <t>soscisubmission47</t>
  </si>
  <si>
    <t xml:space="preserve">SAJ:
-Both coders coded very similiar rows
- Adjusted nestednes to yes due to mixed ANOVA for effect of interest. </t>
  </si>
  <si>
    <t>Reiter, A. M. F., Kanske, P., Eppinger, B., &amp; Li, S. C. (2017). The Aging of the Social Mind - Differential Effects on Components of Social Understanding. Scientific reports, 7(1), 11046. https://doi.org/10.1038/s41598-017-10669-4</t>
  </si>
  <si>
    <t>10.1038/s41598-017-10669-4</t>
  </si>
  <si>
    <t>10.1038--s41598-017-10669-4.pdf</t>
  </si>
  <si>
    <t>Stietz, J., Pollerhoff, L., Kurtz, M., Li, S. C., Reiter, A. M. F., &amp; Kanske, P. (2021). The ageing of the social mind: replicating the preservation of socio-affective and the decline of socio-cognitive processes in old age. Royal Society open science, 8(8), 210641. https://doi.org/10.1098/rsos.210641</t>
  </si>
  <si>
    <t>10.1098/rsos.210641</t>
  </si>
  <si>
    <t>10.1098--rsos.210641.pdf</t>
  </si>
  <si>
    <t>Differential Age Effects in ToM and Factual Reasoning</t>
  </si>
  <si>
    <t>behavioral age group differences in Theory of Mind (ToM) in adulthood</t>
  </si>
  <si>
    <t xml:space="preserve">Tis analysis revealed a signifcant main efect of age group (F(1,105)=126.03 p&lt;0.001, ηpartial2=0.55) ... </t>
  </si>
  <si>
    <t>https://osf.io/9bf3s</t>
  </si>
  <si>
    <t>N for the replication study from test statistic F1,84 = 107.831= 84+2 (df) = 86; Unsure if the replication is nested or not.</t>
  </si>
  <si>
    <r>
      <rPr>
        <rFont val="Arial"/>
      </rPr>
      <t xml:space="preserve">Reiter, A. M. F., Kanske, P., Eppinger, B., &amp; Li, S. C. (2017). The Aging of the Social Mind - Differential Effects on Components of Social Understanding. Scientific reports, 7(1), 11046. </t>
    </r>
    <r>
      <rPr>
        <rFont val="Arial"/>
        <color rgb="FF1155CC"/>
        <u/>
      </rPr>
      <t>https://doi.org/10.1038/s41598-017-10669-4</t>
    </r>
  </si>
  <si>
    <r>
      <rPr>
        <rFont val="Arial"/>
      </rPr>
      <t xml:space="preserve">Stietz, J., Pollerhoff, L., Kurtz, M., Li, S. C., Reiter, A. M. F., &amp; Kanske, P. (2021). The ageing of the social mind: replicating the preservation of socio-affective and the decline of socio-cognitive processes in old age. Royal Society open science, 8(8), 210641. </t>
    </r>
    <r>
      <rPr>
        <rFont val="Arial"/>
        <color rgb="FF1155CC"/>
        <u/>
      </rPr>
      <t>https://doi.org/10.1098/rsos.210641</t>
    </r>
  </si>
  <si>
    <t>social affect, empathy, compassion, social cognition, theory of mind, adult lifespan</t>
  </si>
  <si>
    <t>"a significant main efect of age group (F(1,105)=126.03, p&lt;0.001, ηpartial2=0.55), with the elderly answering less accurately (t(105)=11.23, p&lt;0.001), and a signifcant efect of question type (F(1,105)=37.84, p&lt;0.001, ηpartial2=0.27; Fig. 1a), with a higher accuracy for ToM questions (t(105)=5.09, p&lt;0.001). "," these results underscore an advantage of social as compared to factual cognition in the elderly."</t>
  </si>
  <si>
    <t>soscisubmission47_b</t>
  </si>
  <si>
    <t>Reiter, A.M.F., Kanske, P., Eppinger, B. et al. The Aging of the Social Mind - Differential Effects on Components of Social Understanding. Sci Rep 7, 11046 (2017). https://doi.org/10.1038/s41598-017-10669-4</t>
  </si>
  <si>
    <t>No Age Diferences in Empathy and Positive Age Diferences in Compassion.</t>
  </si>
  <si>
    <t>behavioral age group differences in empathy in adulthood</t>
  </si>
  <si>
    <t>Howewer, we observed no signifcant main efect of age group (F(1,105)=2.45, p=0.12, ηpartial2=0.02)</t>
  </si>
  <si>
    <t xml:space="preserve">Stietz, Julia; Osano, Maureen </t>
  </si>
  <si>
    <t>n_r = 81+2 =83; The rowid should be resolved because this is same replication study as the above row.</t>
  </si>
  <si>
    <r>
      <rPr>
        <rFont val="Arial"/>
      </rPr>
      <t xml:space="preserve">Reiter, A.M.F., Kanske, P., Eppinger, B. et al. The Aging of the Social Mind - Differential Effects on Components of Social Understanding. Sci Rep 7, 11046 (2017). </t>
    </r>
    <r>
      <rPr>
        <rFont val="Arial"/>
        <color rgb="FF1155CC"/>
        <u/>
      </rPr>
      <t>https://doi.org/10.1038/s41598-017-10669-4</t>
    </r>
  </si>
  <si>
    <r>
      <rPr>
        <rFont val="Arial"/>
      </rPr>
      <t xml:space="preserve">Stietz, J., Pollerhoff, L., Kurtz, M., Li, S. C., Reiter, A. M. F., &amp; Kanske, P. (2021). The ageing of the social mind: replicating the preservation of socio-affective and the decline of socio-cognitive processes in old age. Royal Society open science, 8(8), 210641. </t>
    </r>
    <r>
      <rPr>
        <rFont val="Arial"/>
        <color rgb="FF1155CC"/>
        <u/>
      </rPr>
      <t>https://doi.org/10.1098/rsos.210641</t>
    </r>
  </si>
  <si>
    <t>"no signifcant main efect of age group (F(1,105)=2.45, p=0.12, ηpartial2=0.02) and no signifcant age group x emotionality interaction (F(1,105)=0.008, p=0.93, ηpartial2&lt;0.001). Tus, emotionally negative videos triggered empathic responding in both age groups to a similar extent."</t>
  </si>
  <si>
    <t>soscisubmission49_1</t>
  </si>
  <si>
    <t>soscisubmission49</t>
  </si>
  <si>
    <t xml:space="preserve">SAJ:
- Both coders coded very similiar rows
- Coder 2 row chosen as better description/tags
- Ongoing row_id discrepancy to be resolved. </t>
  </si>
  <si>
    <t>behavioral age group differences in compassion in adulthood</t>
  </si>
  <si>
    <t>an independent t-test showed signifcant age diferences (t(82.74)=5.20, p&lt;0.001, Cohen’s d=0.99); older adults indicated higher ratings of compassion than younger adults (Fig. 3b).</t>
  </si>
  <si>
    <t>soscisubmission47_c</t>
  </si>
  <si>
    <t>Stietz, Julia; Osano, Maureen</t>
  </si>
  <si>
    <t>n_r = 72+2 =74 (t72 = 7.087). However, it needs to be validated to pick the right one between the pre-coded 85 and 74. The rowid should also be resolved because this is the same replication study as soscisubmission47.</t>
  </si>
  <si>
    <r>
      <rPr>
        <rFont val="Arial"/>
      </rPr>
      <t xml:space="preserve">Reiter, A.M.F., Kanske, P., Eppinger, B. et al. The Aging of the Social Mind - Differential Effects on Components of Social Understanding. Sci Rep 7, 11046 (2017). </t>
    </r>
    <r>
      <rPr>
        <rFont val="Arial"/>
        <color rgb="FF1155CC"/>
        <u/>
      </rPr>
      <t>https://doi.org/10.1038/s41598-017-10669-4</t>
    </r>
  </si>
  <si>
    <r>
      <rPr>
        <rFont val="Arial"/>
      </rPr>
      <t xml:space="preserve">Stietz, J., Pollerhoff, L., Kurtz, M., Li, S. C., Reiter, A. M. F., &amp; Kanske, P. (2021). The ageing of the social mind: replicating the preservation of socio-affective and the decline of socio-cognitive processes in old age. Royal Society open science, 8(8), 210641. </t>
    </r>
    <r>
      <rPr>
        <rFont val="Arial"/>
        <color rgb="FF1155CC"/>
        <u/>
      </rPr>
      <t>https://doi.org/10.1098/rsos.210641</t>
    </r>
  </si>
  <si>
    <t>"an independent t-test showed signifcant age diferences (t(82.74)=5.20, p&lt;0.001, Cohen’s d=0.99); older adults indicated higher ratings of compassion than younger adults"</t>
  </si>
  <si>
    <t>soscisubmission6_1</t>
  </si>
  <si>
    <t>soscisubmission6</t>
  </si>
  <si>
    <t>Mahmoud Elsherif, Roksana</t>
  </si>
  <si>
    <t>30.03.2023</t>
  </si>
  <si>
    <t>For original study, I am not sure if I am coding the F values correctly or whether these should be coded seperately as two different rows (aka one for subject-level and one for item-level)</t>
  </si>
  <si>
    <t>Lambon Ralph, M.A., &amp; Ehsan, S. (2006). Age of acquisition effects depend on the mapping between representations and the frequency of occurrence: Empirical and computational evidence, Visual Cognition, 13:7-8, 928-948. https://doi.org/10.1080/13506280544000110</t>
  </si>
  <si>
    <t>10.1080/13506280544000110</t>
  </si>
  <si>
    <t>10.1080--13506280544000110.pdf</t>
  </si>
  <si>
    <t>Catling, J., &amp; Elsherif, M. (2020). The hunt for the age of acquisition effect: It’s in the links! Acta Psychologica, 209, 103138. (Supplementary to compare Study 1 and Study 3)</t>
  </si>
  <si>
    <t>10.1016/j.actpsy.2020.103138</t>
  </si>
  <si>
    <t>10.1016--j.actpsy.2020.103138 .pdf</t>
  </si>
  <si>
    <t>Partial replication</t>
  </si>
  <si>
    <t>Age acquisition effect</t>
  </si>
  <si>
    <t>Age of acquisition, Picture naming, word naming, Direct replication, lexical retrieval</t>
  </si>
  <si>
    <t>The magnitude of the age of acquisition effect I(i.e. early-acquired words are named more quickly than later-acquired words) in lexical retrieval is larger in picture naming than visual word naming.</t>
  </si>
  <si>
    <t>"The AoA effect interacted strongly with task, F1(l, 42) = 168.4, F2(l, 76) = 48.1"</t>
  </si>
  <si>
    <t>13-14</t>
  </si>
  <si>
    <t>F1(1, 42) = 168.4, F2(1, 76) = 48.1</t>
  </si>
  <si>
    <t>p. 13-14</t>
  </si>
  <si>
    <t>X2 (4) = 7.39</t>
  </si>
  <si>
    <t>soscisubmission6_1_2_1</t>
  </si>
  <si>
    <t xml:space="preserve">1. In the manuscript along all the results only one result is matching. I also checked the results with: https://osf.io/yh5js.It seems in the end when comparing the results there was an error, since the corresponding tasks are in experiments 1b and 3b, instead of 1b and 2b. This could influence the results.
2. I am not sure whether replication authors use RT by item or RT by subject. I assume it was RT by subject in the end. </t>
  </si>
  <si>
    <t>added 1 to study_o, added Experiment 1B to study_r</t>
  </si>
  <si>
    <t>Supplementary to compare Study 1 and Study 3 (Experiment 1B)</t>
  </si>
  <si>
    <t xml:space="preserve">Age-of-Acquisition effect
</t>
  </si>
  <si>
    <t>Age of acquisition, Word naming, Picture naming, Verification, Subtraction</t>
  </si>
  <si>
    <t>Picture naming times were significantly faster for early than late acquired words</t>
  </si>
  <si>
    <t>Post-hoc t-tests conducted on the by-items and by-subjects data confirmed that picture naming times were significantly faster for early than late acquired words, t1(21) = 13.5; t2(78) = 6.33</t>
  </si>
  <si>
    <t>t1(21) = 13.5</t>
  </si>
  <si>
    <t>X2(1) = 47.46</t>
  </si>
  <si>
    <t>soscisubmission6_2</t>
  </si>
  <si>
    <t>soscisubmission6_b</t>
  </si>
  <si>
    <t>social value orientation (TDM); older siblings; sample 1</t>
  </si>
  <si>
    <t>X2(2) = 0.52</t>
  </si>
  <si>
    <t>added 1 to study_o, added Experiment 2B to study_r</t>
  </si>
  <si>
    <t>Supplementary to compare Study 1 and Study 3 (Experiment 2B)</t>
  </si>
  <si>
    <t>Word naming times were insignificantly faster for late acquired words</t>
  </si>
  <si>
    <t>Post hoc t-tests conducted on the by-items and by-subjects data confirmed [...] the small difference in mean reading times favouring late acquired items was not statistically reliable, t1(21) = 2.49, p = .02; t2(78) = 0.71, n.s.</t>
  </si>
  <si>
    <t>t(78) = 0.71</t>
  </si>
  <si>
    <t>X2(1) = 0.42</t>
  </si>
  <si>
    <t>soscisubmission7_1</t>
  </si>
  <si>
    <t>soscisubmission7</t>
  </si>
  <si>
    <t>Kulke, Louisa, Roksana</t>
  </si>
  <si>
    <t>31.03.2023</t>
  </si>
  <si>
    <t xml:space="preserve">SAJ:
- Coders largely aligned
- Double checked sources for tails and nestedness. 
- Neither indicates tails for effects of interest (original indicates tails for other analyses only). 
- Nestedness assumed for original (repeated measures), but t-test for replication (not nested). 
- Updated tags and descriptions by combining information from both coders for most complete entry. </t>
  </si>
  <si>
    <t>Southgate, V., Senju, A., &amp; Csibra, G. (2007). Action anticipation through attribution of false belief by 2-year-olds. Psychological science, 18(7), 587-592.</t>
  </si>
  <si>
    <t>10.1111/j.1467-9280.2007.01944.x</t>
  </si>
  <si>
    <t>10.1111--j.1467-9280.2007.01944.x.pdf</t>
  </si>
  <si>
    <t>Kulke, L., Von Duhn, B., Schneider, D., &amp; Rakoczy, H. (2018). Is implicit theory of mind a real and robust phenomenon? results from a systematic replication study. Psychological Science, 29(6), 888–900.</t>
  </si>
  <si>
    <t>10.1177/0956797617747090</t>
  </si>
  <si>
    <t>10.1177--0956797617747090.pdf</t>
  </si>
  <si>
    <t>Systematic Replication Study TC</t>
  </si>
  <si>
    <t>False Beliefs, Mental State Attribution, Eye Tracking, Infant Development, Cognitive Psychology, Theory of Mind, 25-Month-Old Infants, Action Prediction, Child Psychology, Infant Behavior, Developmental Psychology, Mental State Understanding, Cognitive Development, False Belief Task, Infancy Research, Early Childhood Cognition, Psychological Experiments, Developmental Milestones, Anticipatory Behavior, Eye-Tracking Methodology</t>
  </si>
  <si>
    <t>Implicit Theory of Mind can be measured through anticipatory looking patterns measured through eye-tracking.</t>
  </si>
  <si>
    <t>"A repeated measures analysis of variance with window (correct vs. incorrect) as a within-subjects factor and condition (FB1 vs. FB2) as a between-subjects factor confirmed that the infants looked significantly longer toward the correct window than toward the incorrect window, F(1, 18) = 5.21, p = .035, prep = .901, η²p = .22."</t>
  </si>
  <si>
    <r>
      <rPr>
        <rFont val="Arial"/>
        <color rgb="FF1155CC"/>
        <u/>
      </rPr>
      <t>OSF Registries | Implicit Theory of Mind – myth or mindreading mechanism</t>
    </r>
  </si>
  <si>
    <t>soscisubmission7_1_2_1</t>
  </si>
  <si>
    <t>1. I would rather say that the Discipline is more about Developmental psychology 2. In the replication the DLS metric is used.  The DLS is the difference between looking time to the correct side and looking time to the incorrect side divided by the sum of looking  time to both sides.</t>
  </si>
  <si>
    <t>Implicit theory of Mind</t>
  </si>
  <si>
    <r>
      <rPr>
        <rFont val="Calibri"/>
        <color theme="1"/>
        <sz val="11.0"/>
      </rPr>
      <t xml:space="preserve">Implicit theory of mind, False-Belief Task, Anticipatory Looking Reality Bias, Infants, Eyetracking, </t>
    </r>
    <r>
      <rPr>
        <rFont val="Calibri"/>
        <color rgb="FF00FF00"/>
        <sz val="11.0"/>
      </rPr>
      <t>False Beliefs, Mental State Attribution, Infant Development, Cognitive Psychology, Theory of Mind, 25-Month-Old Infants, Action Prediction, Child Psychology, Infant Behavior, Developmental Psychology, Mental State Understanding, Cognitive Development, Infancy Research, Early Childhood Cognition, Psychological Experiments, Developmental Milestones, Anticipatory Behavior, Eye-Tracking Methodology</t>
    </r>
  </si>
  <si>
    <r>
      <rPr>
        <rFont val="Calibri"/>
        <color theme="1"/>
        <sz val="11.0"/>
      </rPr>
      <t xml:space="preserve">Infants can differentiate the false-belief as they looked longer for the correct window, </t>
    </r>
    <r>
      <rPr>
        <rFont val="Calibri"/>
        <color rgb="FF00FF00"/>
        <sz val="11.0"/>
      </rPr>
      <t>Implicit Theory of Mind can be measured through anticipatory looking patterns measured through eye-tracking.</t>
    </r>
  </si>
  <si>
    <t>A repeated measures analysis of variance with window (correct vs. incorrect) as a within-subjects factor and condition (FB1 vs. FB2) as a between subjects factor confirmed that the infants looked significantly longer toward the correct window than toward the incorrect window, F(1, 18) = 5.21, p = .035, prep = .901, partial-eta squared = .22</t>
  </si>
  <si>
    <t>https://osf.io/dxb5n</t>
  </si>
  <si>
    <t>soscisubmission7_1_2_2</t>
  </si>
  <si>
    <t>Implicit theory of mind, False-Belief Task, Anticipatory Looking Reality Bias, Infants, Eyetracking</t>
  </si>
  <si>
    <t>The looking duration to the correct window doesn't depend on the interaction between window and condition</t>
  </si>
  <si>
    <t>The interaction between window and condition was not significant</t>
  </si>
  <si>
    <t>soscisubmission7_1_2_3</t>
  </si>
  <si>
    <t>soscisubmission7_1_2_4</t>
  </si>
  <si>
    <t>soscisubmission8_1</t>
  </si>
  <si>
    <t>soscisubmission8</t>
  </si>
  <si>
    <t>Lou, Nigel Mantou, Roksana</t>
  </si>
  <si>
    <t>provided effect size is standardized beta and treated as a correlation. Preregistration Link was false. There is no preregistration</t>
  </si>
  <si>
    <t>Blackwell, L. S., Trzesniewski, K. H., &amp; Dweck, C. S. (2007). Implicit theories of intelligence predict achievement across an adolescent transition: A longitudinal study and an intervention. Child development, 78(1), 246-263. https://doi.org/10.1111/j.1467-8624.2007.00995.x Study 1</t>
  </si>
  <si>
    <t>10.1111/j.1467-8624.2007.00995.x</t>
  </si>
  <si>
    <t>10.1111--j.1467-8624.2007.00995.x.pdf</t>
  </si>
  <si>
    <t>Li, Y., &amp; Bates, T. C. (2020). Testing the association of growth mindset and grades across a challenging transition: Is growth mindset associated with grades? Intelligence, 81, 101471. (Study 2)</t>
  </si>
  <si>
    <t>10.1016/j.intell.2020.101471</t>
  </si>
  <si>
    <t>10.1016--j.intell.2020.101471.pdf</t>
  </si>
  <si>
    <t>Near-replication</t>
  </si>
  <si>
    <t>Growth Mindset</t>
  </si>
  <si>
    <t>Implicit Theories of Intelligence, Achievement Motivation, Adolescent Development, Mathematics Achievement, Incremental Theory, Entity Theory, Longitudinal Study, Educational Psychology, Growth Mindset, Fixed Mindset, Intervention Study, Classroom Motivation, Academic Trajectories, Causal Attributions, Learning Goals, Effort Beliefs, Educational Intervention, Student Performance, Middle School Students, Motivation and Academic Achievement, Dweck's Mindset Theory</t>
  </si>
  <si>
    <t>Growth mindset is associated with the change of grades in a challenging educational transition.</t>
  </si>
  <si>
    <t>"However, there was a significant effect of theory of intelligence on change in grades (β = .53, t = 2.93, p &lt; 0.05). The significant effect of theory of intelligence at Level 2 represents an interaction between theory of intelligence and time."</t>
  </si>
  <si>
    <t>Nikita (to do)</t>
  </si>
  <si>
    <t>soscisubmission8_1_1</t>
  </si>
  <si>
    <t>1. Conceptual - because if was a testing of the same effect but on another age cohort 2. Four students were removed from the analysis (study 2) 3. The results are attributed to the period from entry 1st year to the end of the 2nd year</t>
  </si>
  <si>
    <t>Growth mindset</t>
  </si>
  <si>
    <t>Adolescent, Child, Cohort Studies, Educational Status, Helplessness, Learned Humans Intelligence, Internal-External Control, Longitudinal Studies, Teaching, incremental theory, entity theory</t>
  </si>
  <si>
    <t>Growth mindset led to higher math grades in the end of the 2nd year</t>
  </si>
  <si>
    <t>An incremental theory of intelligence at the beginning of junior high school predicted higher mathematics grades earned at the end of the second year of junior high school (b = .17, t = 3.40, p &lt; .05)</t>
  </si>
  <si>
    <t>soscisubmission9_1</t>
  </si>
  <si>
    <t>soscisubmission9</t>
  </si>
  <si>
    <t>ES for O changed in accordance with O (etasq partial instead of d).  A typo in R results description (p &lt; .05) , while it's clear from the description that it's not true. "However, an independent samples t-test (one-tailed) showed no significant (p &lt; .05) difference between the two color conditions, t(67) = 0.14, p = .443, and an effect size close to zero, d = 0.04, 95% CI [-0.44, 0.51].| Replicated studies were not preregistered</t>
  </si>
  <si>
    <t xml:space="preserve">SAJ:
- Coders coded very similar rows
- Coder 2 had stronger description/tags (updated to inlcude any extra terms from coder 1 for completeness). </t>
  </si>
  <si>
    <t>Gnambs, T., Kovacs, C., &amp; Stiglbauer, B. (2020). Processing the word red and Intellectual Performance: Four replication attempts. Collabra, 6(1).</t>
  </si>
  <si>
    <t>color priming</t>
  </si>
  <si>
    <t>red color, cognitive performance, reasoning, intelligence,</t>
  </si>
  <si>
    <r>
      <rPr>
        <rFont val="Arial"/>
        <color theme="1"/>
      </rPr>
      <t xml:space="preserve">An ANOVA revealed a significant effect of experimental condition on performance, F(1, 42) = 5.95, P &lt; 0.05, </t>
    </r>
    <r>
      <rPr>
        <rFont val="Arial"/>
        <color rgb="FF00FF00"/>
      </rPr>
      <t>n</t>
    </r>
    <r>
      <rPr>
        <rFont val="Arial"/>
        <color theme="1"/>
      </rPr>
      <t>2 p = 0.12; participants in the red condition performed worse (M = 11.13, SD = 2.65) than those in the gray condition (M = 13.24, SD = 3.08). No participant correctly guessed the purpose of the experiment.... Our research clearly documents the semantic red effect: processing the word red undermined intellectual performance</t>
    </r>
  </si>
  <si>
    <t>This row has been coded as Experiment 1 replication study of Experiment 2 in the original study.</t>
  </si>
  <si>
    <t>Removed "Experiment 2" after ref_o</t>
  </si>
  <si>
    <t>semantic red effect</t>
  </si>
  <si>
    <r>
      <rPr>
        <rFont val="Arial"/>
        <color theme="1"/>
      </rPr>
      <t>color, performance, semantic red effect, avoidance, red color, cognitive performance, intelligence, general knowledge,</t>
    </r>
    <r>
      <rPr>
        <rFont val="Arial"/>
        <color rgb="FF00FF00"/>
      </rPr>
      <t xml:space="preserve"> reasoning </t>
    </r>
  </si>
  <si>
    <t>svodevelopment_1</t>
  </si>
  <si>
    <t>svodevelopment</t>
  </si>
  <si>
    <t>26.03.2024</t>
  </si>
  <si>
    <t>The pval_value_o was estimated based on t(84) = 2.40 sarahashjones@gmail.com Hello. Please help me understand this. This t(84) = 2.40 does not exist in the original study, therefore, I have discarded the entry. I hope this is correct. Thank you.</t>
  </si>
  <si>
    <t>1. There are more effects in the original and the replication study that are not relevant to the main hypotheses. 2. The preregistration link was incorrect. It was the OSF link for the OSF folder. Added the correct preregistration link.</t>
  </si>
  <si>
    <t>Van Lange, P. A. M., De Bruin, E., Otten, W., &amp; Joireman, J. A. (1997). Development of prosocial, individualistic, and competitive orientations: Theory and preliminary evidence. Journal of Personality and Social Psychology, 73(4), 733–746. https://doi.org/10.1037/0022-3514.73.4.733 Study 1</t>
  </si>
  <si>
    <t>10.1037--0022-3514.73.4.733.pdf</t>
  </si>
  <si>
    <t>Liu, Y., Wang, B., &amp; Van Lange, P. a. M. (2022). The development of social value orientation: Attachment styles, number of siblings, age, and a comparison of measures. European Journal of Personality, 37(4), 402–417.</t>
  </si>
  <si>
    <t>10.1177/08902070221094216</t>
  </si>
  <si>
    <t>10.1177--08902070221094216.pdf</t>
  </si>
  <si>
    <t>Social value orientation</t>
  </si>
  <si>
    <r>
      <rPr>
        <rFont val="Calibri"/>
        <color rgb="FF00FF00"/>
        <sz val="11.0"/>
      </rPr>
      <t xml:space="preserve"> </t>
    </r>
    <r>
      <rPr>
        <rFont val="Calibri"/>
        <color theme="1"/>
        <sz val="11.0"/>
      </rPr>
      <t>social value orientation (TDM); secure attachment (AAS); sample 1</t>
    </r>
  </si>
  <si>
    <t>prosocials have a higher level of secure attachment than individualists</t>
  </si>
  <si>
    <t>https://doi.org/10.17605/OSF.IO/U6ZW9</t>
  </si>
  <si>
    <t xml:space="preserve">Maureen </t>
  </si>
  <si>
    <t>Teshome K. Deressa</t>
  </si>
  <si>
    <t>16.03.2025</t>
  </si>
  <si>
    <t>(1) P-value was not reported. As a result, I can't able to enter NA in the column "pval_type_o" as NA is not in listed in the dropdown menu; (2) I considered the adjusted p-value for the replicated effect size. sarahashjones@gmail.com This coder considered the adjusted p-value, yet I understand we should code just the p-value. Should I consider the adjusted p-value or correct it to just the normal p-value?</t>
  </si>
  <si>
    <t>1. There are more effects in the original and the replication study which are not relevant to the main hypotheses. 2. The preregistration link was incorrect. It was the OSF link for the OSF folder. Added the correct preregistration link. 3. Corrected and updated tags for a more complete entry. 4. Coder 2 rows chosen mostly because of the inclusion of the claim texts that are missing in coder 1 rows. 4. Updated the closeness to "1: internal" for the "validated-chosen" rows because the first author in the original study, Paul A. M. Van Lange, was part of the replication study.</t>
  </si>
  <si>
    <r>
      <rPr>
        <rFont val="Calibri"/>
        <color theme="1"/>
        <sz val="11.0"/>
      </rPr>
      <t>social value orientation (TDM)</t>
    </r>
    <r>
      <rPr>
        <rFont val="Calibri"/>
        <color rgb="FF00FF00"/>
        <sz val="11.0"/>
      </rPr>
      <t>,</t>
    </r>
    <r>
      <rPr>
        <rFont val="Calibri"/>
        <color theme="1"/>
        <sz val="11.0"/>
      </rPr>
      <t xml:space="preserve"> secure attachment (AAS)</t>
    </r>
    <r>
      <rPr>
        <rFont val="Calibri"/>
        <color rgb="FF00FF00"/>
        <sz val="11.0"/>
      </rPr>
      <t>,</t>
    </r>
    <r>
      <rPr>
        <rFont val="Calibri"/>
        <color theme="1"/>
        <sz val="11.0"/>
      </rPr>
      <t xml:space="preserve"> sample 1</t>
    </r>
    <r>
      <rPr>
        <rFont val="Calibri"/>
        <color rgb="FF00FF00"/>
        <sz val="11.0"/>
      </rPr>
      <t>, social interaction, prosocials, individualists, competitors</t>
    </r>
  </si>
  <si>
    <t>consistent with the prosocial-security hypothesis, prosocials (M = 6.24, SD = 1.38) exhibited greater levels of secure attachment than did individualists (M = 5.92, SD = 1.35).</t>
  </si>
  <si>
    <t>p. 12 of supplementary material</t>
  </si>
  <si>
    <t>svodevelopment_10</t>
  </si>
  <si>
    <t>Although the replication used the same AAS measure for attachment, SVO was measured using the SLM rather than TDM as in the original study. As one key construct was measured differently, this is coded as a conceptual replication (closeness = 3). Original p-value computed from t(48) = 2.46.</t>
  </si>
  <si>
    <t xml:space="preserve">1. There are more effects in the original and the replication study that are not relevant to the main hypotheses. 2. The preregistration link was incorrect. It was the OSF link for the OSF folder. Added the correct preregistration link. </t>
  </si>
  <si>
    <t>social value orientation (SLM); secure attachment (AAS); sample 1</t>
  </si>
  <si>
    <t>prosocials have a higher level of secure attachment than competitors</t>
  </si>
  <si>
    <t>20.03.2025</t>
  </si>
  <si>
    <t>(1) P-value was not reported. As a result, I can't able to enter NA in the column "pval_type_o" as NA is not in listed in the dropdown menu; (2) I considered the adjusted p-value for the replicated effect size; (3) The categories individualists and competitors merged in the replication paper.</t>
  </si>
  <si>
    <t>1. There are more effects in the original and the replication study that are not relevant to the main hypotheses. 2. The preregistration link was incorrect. It was the OSF link for the OSF folder. Added the correct preregistration link. 3. Corrected and updated tags for a more complete entry</t>
  </si>
  <si>
    <r>
      <rPr>
        <rFont val="Calibri"/>
        <color theme="1"/>
        <sz val="11.0"/>
      </rPr>
      <t>social value orientation (SLM)</t>
    </r>
    <r>
      <rPr>
        <rFont val="Calibri"/>
        <color rgb="FF00FF00"/>
        <sz val="11.0"/>
      </rPr>
      <t>,</t>
    </r>
    <r>
      <rPr>
        <rFont val="Calibri"/>
        <color theme="1"/>
        <sz val="11.0"/>
      </rPr>
      <t xml:space="preserve"> secure attachment (AAS)</t>
    </r>
    <r>
      <rPr>
        <rFont val="Calibri"/>
        <color rgb="FF00FF00"/>
        <sz val="11.0"/>
      </rPr>
      <t>,</t>
    </r>
    <r>
      <rPr>
        <rFont val="Calibri"/>
        <color theme="1"/>
        <sz val="11.0"/>
      </rPr>
      <t xml:space="preserve"> sample 1</t>
    </r>
    <r>
      <rPr>
        <rFont val="Calibri"/>
        <color rgb="FF00FF00"/>
        <sz val="11.0"/>
      </rPr>
      <t>, social interaction, prosocials, individualists, competitors</t>
    </r>
  </si>
  <si>
    <t>consistent with the prosocial-security hypothesis, prosocials (M = 6.24, SD = 1.38) exhibited greater levels of secure attachment than did competitors (M = 5.51, SD = 1.59).</t>
  </si>
  <si>
    <t>svodevelopment_11</t>
  </si>
  <si>
    <t>This replication used the same 4-item composite for secure attachment as the original but measured SVO using SLM instead of TDM. As one key construct was operationalized differently, this is considered a conceptual replication (closeness = 3). Original p-value computed from t(48) = 2.46.</t>
  </si>
  <si>
    <t>social value orientation (SLM); secure attachment (original); sample 1</t>
  </si>
  <si>
    <r>
      <rPr>
        <rFont val="Calibri"/>
        <color theme="1"/>
        <sz val="11.0"/>
      </rPr>
      <t>social value orientation (SLM), secure attachment (original), sample 1,</t>
    </r>
    <r>
      <rPr>
        <rFont val="Calibri"/>
        <color rgb="FF00FF00"/>
        <sz val="11.0"/>
      </rPr>
      <t xml:space="preserve"> social interaction, prosocials, individualists, competitors</t>
    </r>
  </si>
  <si>
    <t>svodevelopment_12</t>
  </si>
  <si>
    <t xml:space="preserve">Both constructs were measured differently in this replication (SLM for SVO and ECR-R for attachment), though the theoretical hypothesis remained the same. Coded as a conceptual replication (closeness = 3). Original p-value computed from t(48) = 2.46. </t>
  </si>
  <si>
    <t>1. There are more effects in the original and the replication study which are not relevant to the main hypotheses. 2. The preregistration link was incorrect. It was the OSF link for the OSF folder. Added the correct preregistration link.</t>
  </si>
  <si>
    <t>social value orientation (SLM); secure attachment (ECR-R); sample 1</t>
  </si>
  <si>
    <r>
      <rPr>
        <rFont val="Calibri"/>
        <color theme="1"/>
        <sz val="11.0"/>
      </rPr>
      <t>social value orientation (SLM), secure attachment (ECR-R), sample 1</t>
    </r>
    <r>
      <rPr>
        <rFont val="Calibri"/>
        <color rgb="FF00FF00"/>
        <sz val="11.0"/>
      </rPr>
      <t>, social interaction, prosocials, individualists, competitors</t>
    </r>
  </si>
  <si>
    <t>svodevelopment_13</t>
  </si>
  <si>
    <t>This effect compares the number of siblings between prosocials and individualists using the same TDM measure and operationalization of sibling count as in the original study. Original authors were not involved; coded as a close replication (closeness = 2). Original p-value estimated from F(2, 135) = 3.22.</t>
  </si>
  <si>
    <t>Van Lange, P. A. M., De Bruin, E., Otten, W., &amp; Joireman, J. A. (1997). Development of prosocial, individualistic, and competitive orientations: Theory and preliminary evidence. Journal of Personality and Social Psychology, 73(4), 733–746. https://doi.org/10.1037/0022-3514.73.4.733 Study 3</t>
  </si>
  <si>
    <t>social value orientation (TDM); total siblings; sample 1</t>
  </si>
  <si>
    <t>prosocials have more siblings than individualists</t>
  </si>
  <si>
    <t>21.03.2025</t>
  </si>
  <si>
    <t>social value orientation (TDM), total siblings, sample 1</t>
  </si>
  <si>
    <t>consistent with the sibling-prosocial hypothesis, Panel A of Figure 3 reveals that the number of siblings is greater for prosocials (M = 2.03, SD = 1.56) than for individualists (M = 1.63, SD = 1.00).</t>
  </si>
  <si>
    <t>p. 14 of supplementary material</t>
  </si>
  <si>
    <t>svodevelopment_14</t>
  </si>
  <si>
    <t>This replication used the same TDM measure and conceptualization of sibling count as in the original study to compare prosocials and competitors. Original p-value estimated from F(2, 135) = 3.22. Coded as a close replication (closeness = 2).</t>
  </si>
  <si>
    <t>prosocials have more siblings than competitors</t>
  </si>
  <si>
    <t>consistent with the sibling-prosocial hypothesis, Panel A of Figure 3 reveals that the number of siblings is greater for prosocials (M = 2.03, SD = 1.56) than for competitors (M = 1.71, SD = 1.35).</t>
  </si>
  <si>
    <t>svodevelopment_15</t>
  </si>
  <si>
    <t>This replication used the same operationalization of sibling gender count (number of sisters) and TDM measure as the original. Original p-value estimated from F(2, 135) = 3.84. Coded as a close replication (closeness = 2).</t>
  </si>
  <si>
    <t>social value orientation (TDM); sister; sample 1</t>
  </si>
  <si>
    <t>prosocials have more sisters than individualists</t>
  </si>
  <si>
    <t>social value orientation (TDM), sister, sample 1</t>
  </si>
  <si>
    <t>Panel C of Figure 3 reveals that the number of sisters was greater for prosocials (M = 1.05, SD = 1.14) than for individualists (M = 0.74, SD = 0.75).</t>
  </si>
  <si>
    <t>svodevelopment_16</t>
  </si>
  <si>
    <t>This effect compares prosocials and competitors on number of sisters using the same TDM measure and operationalization as the original. Original p-value estimated from F(2, 135) = 3.84. Coded as a close replication (closeness = 2).</t>
  </si>
  <si>
    <t>prosocials have more sisters than competitors</t>
  </si>
  <si>
    <t>Panel C of Figure 3 reveals that the number of sisters was greater for prosocials (M = 1.05, SD = 1.14) than for competitors (M = 0.76, SD = 0.88).</t>
  </si>
  <si>
    <t>svodevelopment_17</t>
  </si>
  <si>
    <t>This effect compares prosocials and individualists on number of older siblings using the same measurement and operationalization as the original study. Original p-value estimated from F(2, 135) = 3.46. Coded as a close replication (closeness = 2).</t>
  </si>
  <si>
    <t>prosocials have more older siblings than individualists</t>
  </si>
  <si>
    <t>social value orientation (TDM), older siblings, sample 1</t>
  </si>
  <si>
    <t>Panel B of Figure 3 reveals that the number of older siblings was greater for prosocials (M = 0.96, SD = 1.25) than for individualists (M = 0.67, SD = 0.79).</t>
  </si>
  <si>
    <t>svodevelopment_18</t>
  </si>
  <si>
    <t>This replication used the same measure of SVO (TDM) and identical operationalization of number of older siblings as the original. Original p-value estimated from F(2, 135) = 3.46. Coded as a close replication (closeness = 2).</t>
  </si>
  <si>
    <t>1. There are more effects in the original and the replication study which are not relevant to the main hypotheses. 2. The preregistration link was incorrect. It was the OSF link for the OSF folder. Added the correct preregistration link. 3. This row has been discarded because the coded information is either incorrect or insufficient to support the hypothesis that prosocials have more older siblings than competitors.</t>
  </si>
  <si>
    <t>prosocials have more older siblings than competitors</t>
  </si>
  <si>
    <t xml:space="preserve">1. There are more effects in the original and the replication study which are not relevant to the main hypotheses. 2. The preregistration link was incorrect. It was the OSF link for the OSF folder. Added the correct preregistration link. </t>
  </si>
  <si>
    <t>the hypothesis for prosocicals vs. competitors was not conducted in the original study</t>
  </si>
  <si>
    <t>svodevelopment_19</t>
  </si>
  <si>
    <t>This replication used the SLM measure for SVO rather than TDM as in the original study. While sibling count was operationalized the same way, the change in SVO measurement leads to coding this as a conceptual replication (closeness = 3). Original p-value estimated from F(2, 135) = 3.22.</t>
  </si>
  <si>
    <t>social value orientation (SLM); total siblings; sample 1</t>
  </si>
  <si>
    <t>social value orientation (SLM), total siblings, sample 1</t>
  </si>
  <si>
    <t>svodevelopment_2</t>
  </si>
  <si>
    <t>Although this effect uses the same secure attachment composite (AAS 4-item average) as in the original study, it was labeled "original" in the replication paper to distinguish it from the subscales and ECR-R measures. It was Coded separately to match the replication reporting structure.</t>
  </si>
  <si>
    <t>social value orientation (TDM); secure attachment (original); sample 1</t>
  </si>
  <si>
    <t>(1) P-value was not reported. As a result, I can't able to enter NA in the column "pval_type_o" as NA is not in listed in the dropdown menu; (2) I considered the adjusted p-value for the replicated effect size.</t>
  </si>
  <si>
    <t>social value orientation (TDM), secure attachment (original), sample 1</t>
  </si>
  <si>
    <t>svodevelopment_20</t>
  </si>
  <si>
    <t>While sibling count was measured identically to the original study, this replication used the SLM instead of the TDM measure for SVO. As a result, the replication is coded as conceptual (closeness = 3). Original p-value estimated from F(2, 135) = 3.22.</t>
  </si>
  <si>
    <t>svodevelopment_21</t>
  </si>
  <si>
    <t>Although the same operationalization of sibling gender (number of sisters) was used, the replication employed the SLM measure for SVO instead of TDM. Therefore, this is coded as a conceptual replication (closeness = 3). Original p-value estimated from F(2, 135) = 3.84.</t>
  </si>
  <si>
    <t>social value orientation (SLM); sister; sample 1</t>
  </si>
  <si>
    <t>social value orientation (SLM), sister, sample 1</t>
  </si>
  <si>
    <t>svodevelopment_22</t>
  </si>
  <si>
    <t>This replication used the same operationalization of sibling gender (number of sisters), but measured SVO using SLM instead of TDM. Thus, this is coded as a conceptual replication (closeness = 3). Original p-value estimated from F(2, 135) = 3.84.</t>
  </si>
  <si>
    <t>svodevelopment_23</t>
  </si>
  <si>
    <t>This replication examined number of older siblings using the same operationalization as the original study, but measured SVO using the SLM rather than TDM. Coded as a conceptual replication (closeness = 3). Original p-value estimated from F(2, 135) = 3.46.</t>
  </si>
  <si>
    <t>social value orientation (SLM); older siblings; sample 1</t>
  </si>
  <si>
    <t>1. There are more effects in the original and the replication study which are not relevant to the main hypotheses. 2. The preregistration link was incorrect. It was the OSF link for the OSF folder. Added the correct preregistration link. 3. Added claim_text_o and claim_page_o for this selected row because they were missing.</t>
  </si>
  <si>
    <t>social value orientation (SLM), older siblings, sample 1</t>
  </si>
  <si>
    <t>"Panel B of Figure 3 reveals that the number of older siblings was greater for prosocials (M = 0.96, SD = 1.25) than for individualists (M = 0.67, SD = 0.79) "," Although several specific explanations may account for these findings, they are congruent with the more general assumption that differences in social value orientation are partially rooted in different patterns of social interaction as experienced, at least in part, during the periods spanning early childhood to young adulthood."</t>
  </si>
  <si>
    <t>svodevelopment_24</t>
  </si>
  <si>
    <t>The replication used the same operationalization of older sibling count but measured SVO using SLM instead of TDM. Coded as a conceptual replication (closeness = 3). Original p-value estimated from F(2, 135) = 3.46.</t>
  </si>
  <si>
    <t>22.03.2025</t>
  </si>
  <si>
    <t>svodevelopment_25</t>
  </si>
  <si>
    <t>The replication examined the relationship between age and SVO using the same TDM measure and categorization logic. Original p-value estimated from χ²(4) = 10.61. Coded as a close replication (closeness = 2)</t>
  </si>
  <si>
    <t>Van Lange, P. A. M., De Bruin, E., Otten, W., &amp; Joireman, J. A. (1997). Development of prosocial, individualistic, and competitive orientations: Theory and preliminary evidence. Journal of Personality and Social Psychology, 73(4), 733–746. https://doi.org/10.1037/0022-3514.73.4.733 Study 4</t>
  </si>
  <si>
    <t>social value orientation (TDM); age; sample 1</t>
  </si>
  <si>
    <t>more prosocials in older age group</t>
  </si>
  <si>
    <t>Please kindly check the way I calculated Cramers V.</t>
  </si>
  <si>
    <t>1. There are more effects in the original and the replication study which are not relevant to the main hypotheses. 2. The preregistration link was incorrect. It was the OSF link for the OSF folder. Added the correct preregistration link. 3. sarahashjones@gmail.com Hello. I need help with Cramer's V calculation for this row's es_value_o. Is there a standard calculation formula for it for the project? Thanks.</t>
  </si>
  <si>
    <t>social value orientation (TDM), age, sample 1</t>
  </si>
  <si>
    <t>as can be seen in Figure 4, the percentages of prosocials systematically elevated with increasing age (varying from 55.9% to 67.3%, 77.5%, and 81.5%), whereas the percentages of individualists (varying from 30.7% to 24.9%, 16.3%. and 15.1%) and competitors (varying from 13.3% to 7.8%, 6.2%, and 3.3%) decreased with increasing age.</t>
  </si>
  <si>
    <t>svodevelopment_26</t>
  </si>
  <si>
    <t>This replication examined the age–SVO relationship using the SLM measure instead of TDM. Although the hypothesis was the same, the change in SVO measurement warrants coding this as a conceptual replication (closeness = 3). Original p-value estimated from χ²(4) = 10.61.</t>
  </si>
  <si>
    <t>1. There are more effects in the original and the replication study that are not relevant to the main hypotheses. 2. The preregistration link was incorrect. It was the OSF link for the OSF folder. Added the correct preregistration link. 3. The coder provides no claim text for this row, in which the test statistics have been reported to support the hypothesis that there are more prosocials in the older age group.</t>
  </si>
  <si>
    <t>social value orientation (SLM), age, sample 1</t>
  </si>
  <si>
    <t>the hypothesis for social value orientation (SLM) vs. age were not conducted both in the original  and replication studies (for sample 1)</t>
  </si>
  <si>
    <t>svodevelopment_3</t>
  </si>
  <si>
    <t>This replication used a different measure of attachment (ECR-R) than the original (AAS), although the theoretical construct and hypothesis remain the same. Therefore, coded as a conceptual replication (closeness = 3).</t>
  </si>
  <si>
    <t>social value orientation (TDM), secure attachment (ECR-R), sample 1</t>
  </si>
  <si>
    <t>17.03.2025</t>
  </si>
  <si>
    <t>svodevelopment_4</t>
  </si>
  <si>
    <t>Exact p-value (≈ 0.018) was computed from t(48) = 2.46, since the original study only reported p &lt; .05.</t>
  </si>
  <si>
    <t>social value orientation (TDM), secure attachment (AAS), sample 1</t>
  </si>
  <si>
    <t>svodevelopment_5</t>
  </si>
  <si>
    <t>svodevelopment_6</t>
  </si>
  <si>
    <t>This replication used the ECR-R scale to measure secure attachment, unlike the original AAS measure. Since the theoretical claim is the same but measurement differs, coded as conceptual replication (closeness = 3). The original p-value was computed from reported t(48) = 2.46.</t>
  </si>
  <si>
    <t>svodevelopment_7</t>
  </si>
  <si>
    <t>This replication used the SLM measure for social value orientation instead of TDM, while keeping the same attachment measure (AAS). Because of the change in SVO measurement, coded as a conceptual replication (closeness = 3). Original p-value computed from t(84) = 2.40.</t>
  </si>
  <si>
    <t>social value orientation (SLM), secure attachment (AAS), sample 1</t>
  </si>
  <si>
    <t>svodevelopment_8</t>
  </si>
  <si>
    <t>1. There are more effects in the original and the replication study which are not relevant to the main hypotheses. 2. The preregistration link was incorrect. It was the OSF link for the OSF folder. Added the correct preregistration link. 3. There is no information provided on why the closeness for this row has been categorised as conceptual, hence highlighted in red.</t>
  </si>
  <si>
    <t>social value orientation (SLM), secure attachment (original), sample 1</t>
  </si>
  <si>
    <t>svodevelopment_9</t>
  </si>
  <si>
    <t>This replication used different measures for both constructs (SLM for SVO and ECR-R for attachment). Although the theoretical hypothesis remains the same, both methodological differences justify coding it as a conceptual replication (closeness = 3). Original p-value computed from t(84) = 2.40.</t>
  </si>
  <si>
    <t>social value orientation (SLM), secure attachment (ECR-R), sample 1</t>
  </si>
  <si>
    <t>svodevelopment2_1</t>
  </si>
  <si>
    <t>svodevelopment2</t>
  </si>
  <si>
    <t>Yi Liu</t>
  </si>
  <si>
    <t>03.05.2023</t>
  </si>
  <si>
    <t>1. There are more effects in the original and the replication study which are not relevant to the main hypotheses. 2. The preregistration link was incorrect. It was the OSF link for the OSF folder. Added the correct preregistration link. 3. The coder has coded statistics from a claim text of study 2 of the original study which was not part of the replication study. The claim text should come from study 1 which is the target for this row. Other data like n_o are also incorrect.</t>
  </si>
  <si>
    <t>social value orientation, secure attachment, adult attachment</t>
  </si>
  <si>
    <t>social value orientation (TDM); secure attachment (AAS); sample 2 - prosocials have a higher level of secure attachment than individualists</t>
  </si>
  <si>
    <t xml:space="preserve">prosocials (M = 5.25, SD = 1.90) exhibited greater levels of secure attachment than did individualists (M = 4.91, SD = 1.76) </t>
  </si>
  <si>
    <t>1. The statistical results are not presented for the specific claim/finding. However, it is generally addressed. 2. The preregistration link was incorrect. It was the OSF link for the OSF folder. Added the correct preregistration link. 3. This row outlays a completely different description/ claim text as the above row yet they need to be reporting the same thing. The coded information is as well incomplete.</t>
  </si>
  <si>
    <t>social value orientation, adult attachment, siblings, replication</t>
  </si>
  <si>
    <t>a multivariate main effect for social value orientation</t>
  </si>
  <si>
    <t>analysis revealed a multivariate main effect for social value orientation, F(6, 886) = 3.05, p &lt; .01</t>
  </si>
  <si>
    <t>F(6, 886)=3.05</t>
  </si>
  <si>
    <t>svodevelopment2_10</t>
  </si>
  <si>
    <t>social value orientation (SLM); secure attachment (AAS); sample 2 - prosocials have a higher level of secure attachment than competitors</t>
  </si>
  <si>
    <t xml:space="preserve">prosocials (M = 5.25, SD = 1.90) exhibited greater levels of secure attachment than did (...) competitors (M = 3.68, SD - 2.14). </t>
  </si>
  <si>
    <t>Maureen - to do</t>
  </si>
  <si>
    <t>svodevelopment2_1i</t>
  </si>
  <si>
    <t>1. The replication study conjoined the two of the SVOs i.e. individualists and competitors as proself. Therefore, finding out the comparisons of individual SVOs is not possible. 2. The preregistration link was incorrect. It was the OSF link for the OSF folder. Added the correct preregistration link.</t>
  </si>
  <si>
    <t>Prosocials had significantly lower anxious-ambivalent attachment when compared with individualists and competitors</t>
  </si>
  <si>
    <t>ongruent with the prosocial-security hypothesis, contrasts relevant to the marginal relationship between social value orientation and avoidant attachment revealed that prosocials (M = 3.56, SD = 1.61) exhibited lower levels of avoidant attachment than did individualists (M = 3.92, SD = 1.48) and competitors (M = 3.86, SD = 1.48), respectively, F(I, 444) = 4,88, p &lt; .05</t>
  </si>
  <si>
    <t>F(I, 444) = 4,88</t>
  </si>
  <si>
    <t>p. 5 &amp; 6</t>
  </si>
  <si>
    <t>svodevelopment2_11</t>
  </si>
  <si>
    <t>social value orientation (SLM); secure attachment (original); sample 2 - prosocials have a higher level of secure attachment than competitors</t>
  </si>
  <si>
    <t>svodevelopment2_1j</t>
  </si>
  <si>
    <t>1. There are no statistical results for this specific claim in the orignal study 2. The preregistration link was incorrect. It was the OSF link for the OSF folder. Added the correct preregistration link.</t>
  </si>
  <si>
    <t>prosocial-security hypothesis contrast between individualists and competitors was not significant</t>
  </si>
  <si>
    <t>contrast between individualists and competitors was not significan</t>
  </si>
  <si>
    <t>svodevelopment2_12</t>
  </si>
  <si>
    <t>social value orientation (SLM); secure attachment (ECR-R); sample 2 - prosocials have a higher level of secure attachment than competitors</t>
  </si>
  <si>
    <t>svodevelopment2_3</t>
  </si>
  <si>
    <t>The association between social value orientation and number of siblings</t>
  </si>
  <si>
    <t>This analysis revealed a significant main effect for social value orientation, F(2, 535) = 4.82, p &lt; .01</t>
  </si>
  <si>
    <t>svodevelopment2_13</t>
  </si>
  <si>
    <t>social value orientation (TDM); total siblings; sample 2 - prosocials have more siblings than individualists</t>
  </si>
  <si>
    <t xml:space="preserve">number of siblings is greater for prosocials (A/ = 2.03, SD = 1.56) than for individualists (M = 1.63, SD = 1.00) and  competitors (M = 1.71, SD — 1.35). </t>
  </si>
  <si>
    <t>svodevelopment2_3a</t>
  </si>
  <si>
    <t>Following sibling-prosocial hypothesis the number of siblings is greater for prosocials than for individualists and competitors</t>
  </si>
  <si>
    <t>the number of siblings is greater for prosocials (A/ = 2.03, SD = 1.56) than for individualists (M = 1.63, SD = 1.00) and competitors (M = 1.71, SD — 1.35). ubsequent planned comparisons revealed a significant contrast between prosocials versus individualists and competitors, F{1, 535) = 9.14, p&lt; .005</t>
  </si>
  <si>
    <t>p.7 &amp; 8</t>
  </si>
  <si>
    <t>F{1, 535) = 9.14</t>
  </si>
  <si>
    <t>svodevelopment2_14</t>
  </si>
  <si>
    <t>social value orientation (TDM); total siblings; sample 2 - prosocials have more siblings than competitors</t>
  </si>
  <si>
    <t>svodevelopment2_3b</t>
  </si>
  <si>
    <t>1. There are no statistical results for this specific claim. 2. The preregistration link was incorrect. It was the OSF link for the OSF folder. Added the correct preregistration link.</t>
  </si>
  <si>
    <t>Following sibling-prosocial hypothesis differences between individualists and competitors were not significant.</t>
  </si>
  <si>
    <t>Differences between individualists and competitors were not significant.</t>
  </si>
  <si>
    <t>svodevelopment2_15</t>
  </si>
  <si>
    <t>social value orientation (TDM); sister; sample 2 - prosocials have more sisters than individualists</t>
  </si>
  <si>
    <t xml:space="preserve">number of sisters was greater for prosocials (M = 1.05, SD = 1.14) than for individualists (M = 0.74, SD = 0.75) or competitors (M = 0.76, SD = 0.88). </t>
  </si>
  <si>
    <t>svodevelopment2_3c</t>
  </si>
  <si>
    <t>Social value orientation affects number of older siblings and number of sisters-mutivariate effect</t>
  </si>
  <si>
    <t>a multivariate main effect for social value orientation, F(8, 1066) = 1.99, p &lt; .05</t>
  </si>
  <si>
    <t>F(8, 1066) = 1.99</t>
  </si>
  <si>
    <t>svodevelopment2_16</t>
  </si>
  <si>
    <t>social value orientation (TDM); sister; sample 2 - prosocials have more sisters than competitors</t>
  </si>
  <si>
    <t>svodevelopment2_3d</t>
  </si>
  <si>
    <t>1. I have used the p-value rather than the adjusted p-value for the replication study. 2. The preregistration link was incorrect. It was the OSF link for the OSF folder. Added the correct preregistration link.</t>
  </si>
  <si>
    <t>social value orientation for number of older siblings-univariate level</t>
  </si>
  <si>
    <t>a significant main effect for social value orientation for number of older siblings, F(2, 535) = 3.64, p &lt; .05</t>
  </si>
  <si>
    <t>F(2, 535) = 3.64</t>
  </si>
  <si>
    <t>svodevelopment2_17</t>
  </si>
  <si>
    <t>social value orientation (TDM); older siblings; sample 2 - prosocials have more older siblings than individualists</t>
  </si>
  <si>
    <t xml:space="preserve">number of older siblings was greater for prosocials (M ~ 0.96, SD = 1.25) than for individualists (M = 0.67, SD = 0.79). </t>
  </si>
  <si>
    <t>svodevelopment2_3e</t>
  </si>
  <si>
    <t>social value orientation for number of sisters-univariate level</t>
  </si>
  <si>
    <t>a significant main effect for social value orientation for number of older siblings, F(2, 535) = 3.64, p &lt; .05, and number of sisters, F(2, 535) = 6.16, p &lt; .005</t>
  </si>
  <si>
    <t>F(2, 535) = 6.16</t>
  </si>
  <si>
    <t>svodevelopment2_18</t>
  </si>
  <si>
    <t>social value orientation (TDM); older siblings; sample 2 - prosocials have more older siblings than competitors</t>
  </si>
  <si>
    <t>svodevelopment2_3f</t>
  </si>
  <si>
    <t>the number of older siblings was greater for prosocials than for individualistsa reveled by a significant contrast between prosocials versus individualists and competitors.</t>
  </si>
  <si>
    <t>the number of older siblings was greater for prosocials (M ~ 0.96, SD = 1.25) than for individualists (M = 0.67, SD = 0.79). Subsequent comparisons revealed a significant contrast between prosocials versus individualists and competitors, F{1, 535) = 4.94, p &lt; .05</t>
  </si>
  <si>
    <t>F{1, 535) = 4.94</t>
  </si>
  <si>
    <t>svodevelopment2_19</t>
  </si>
  <si>
    <t>social value orientation (SLM); total siblings; sample 2 - prosocials have more siblings than individualists</t>
  </si>
  <si>
    <t>svodevelopment2_3g</t>
  </si>
  <si>
    <t>siblings diffeences between individualists and competitors were not significant.</t>
  </si>
  <si>
    <t>Differences between individualists and competitors (M = 0.90, SD = 1.02) were not significant</t>
  </si>
  <si>
    <t>svodevelopment2_2</t>
  </si>
  <si>
    <t>social value orientation (TDM); secure attachment (original); sample 2 - prosocials have a higher level of secure attachment than individualists</t>
  </si>
  <si>
    <t>svodevelopment2_1a</t>
  </si>
  <si>
    <t>1. I have used the p-value rather than the adjusted p-value. for the replication study. 2. The preregistration link was incorrect. It was the OSF link for the OSF folder. Added the correct preregistration link.</t>
  </si>
  <si>
    <t>relationship between social value orientation and level of secure attachment-univariate level</t>
  </si>
  <si>
    <t>At the univariate level, the main effect for social value orientation was significant for level of secure attach- ment, F(2, 444) = 7.07, p &lt; .001</t>
  </si>
  <si>
    <t>F(2, 444)=7.07</t>
  </si>
  <si>
    <t>svodevelopment2_20</t>
  </si>
  <si>
    <t>social value orientation (SLM); total siblings; sample 2 - prosocials have more siblings than competitors</t>
  </si>
  <si>
    <t>svodevelopment2_3h</t>
  </si>
  <si>
    <t>the number of sisters was greater for prosocials than for individualists or competitors revealed by a significant contrast between prosocials versus individualists and competitors</t>
  </si>
  <si>
    <t>the number of sisters was greater for prosocials (M = 1.05, SD = 1.14) than for individualists (M = 0.74, SD = 0.75) or competitors (M = 0.76, SD = 0.88). Subsequent comparisons revealed a significant contrast between prosocials versus individualists and competitors, F( 1, 535) = 12.27, p &lt; .001.</t>
  </si>
  <si>
    <t>F( 1, 535) = 12.27</t>
  </si>
  <si>
    <t>svodevelopment2_21</t>
  </si>
  <si>
    <t>social value orientation (SLM); sister; sample 2 - prosocials have more sisters than individualists</t>
  </si>
  <si>
    <t>svodevelopment2_3i</t>
  </si>
  <si>
    <t>1. There are no statistical results for this specific claim in the orignal study. 2. The preregistration link was incorrect. It was the OSF link for the OSF folder. Added the correct preregistration link.</t>
  </si>
  <si>
    <t>Differences between individualists and competitors were not significant</t>
  </si>
  <si>
    <t>svodevelopment2_22</t>
  </si>
  <si>
    <t>25.03.2025</t>
  </si>
  <si>
    <t>social value orientation (SLM); sister; sample 2 - prosocials have more sisters than competitors</t>
  </si>
  <si>
    <t>svodevelopment2_4</t>
  </si>
  <si>
    <t>1. There are no exact claims in the replication study. 2.. The preregistration link was incorrect. It was the OSF link for the OSF folder. Added the correct preregistration link.</t>
  </si>
  <si>
    <t>The association of age, level of education, and gender with social value orientation-main effects</t>
  </si>
  <si>
    <t>This analysis revealed significant main effects for social value orientation, partial X2 (2, N = 1593) = 1061.72</t>
  </si>
  <si>
    <t>χ²(2, N = 1593) = 1061.72</t>
  </si>
  <si>
    <t>svodevelopment2_23</t>
  </si>
  <si>
    <t>social value orientation (SLM); older siblings; sample 2 - prosocials have more older siblings than individualists</t>
  </si>
  <si>
    <t>svodevelopment2_4a</t>
  </si>
  <si>
    <t>1. Main effect is not present in the replication study. 2. The preregistration link was incorrect. It was the OSF link for the OSF folder. Added the correct preregistration link.</t>
  </si>
  <si>
    <t>The association of age with Social value orienatation-main effect</t>
  </si>
  <si>
    <t>This analysis revealed significant main effects for social value orientation, partial X2 (2, N = 1593) = 1061.72; age, partial X2 (3, N = 1593) = 166.88; education, partial X2 (2, N = 1593) = 314.90; and gender, partial X2 (1, N = 1593) = 12.85, (all p s&lt; .001)</t>
  </si>
  <si>
    <t>χ²(2, N = 1593) = 166.88,</t>
  </si>
  <si>
    <t>svodevelopment2_24</t>
  </si>
  <si>
    <t>social value orientation (SLM); older siblings; sample 2 - prosocials have more older siblings than competitors</t>
  </si>
  <si>
    <t>svodevelopment2_4b</t>
  </si>
  <si>
    <t>Social Value Orientation and Age Interaction</t>
  </si>
  <si>
    <t>the analysis revealed a Social Value Orientation x Age interaction, partial X2 ( 6 , N = 1593) = 62.25, p &lt; .001</t>
  </si>
  <si>
    <t>χ²(6, N = 1593) = 62.25</t>
  </si>
  <si>
    <t>svodevelopment2_25</t>
  </si>
  <si>
    <t>social value orientation (TDM); age; sample 2 - more prosocials in older age group</t>
  </si>
  <si>
    <t xml:space="preserve">Social Value Orientation x Age  interaction, partial x 2 (6,# = 1593) = 62.25,/? &lt; .001. </t>
  </si>
  <si>
    <t>X2(6,1593) = 62.25</t>
  </si>
  <si>
    <t>svodevelopment2_26</t>
  </si>
  <si>
    <t>social value orientation (SLM); age; sample 2 - more prosocials in older age group</t>
  </si>
  <si>
    <t>social value orientation (TDM); secure attachment (ECR-R); sample 2 - prosocials have a higher level of secure attachment than individualists</t>
  </si>
  <si>
    <t>svodevelopment2_1b</t>
  </si>
  <si>
    <t>relationship between social value orientation and level of avoidant attachment-univariate level</t>
  </si>
  <si>
    <t>marginal for level of avoidant attachment, F(2, 444) = 2.47, p &lt; .10</t>
  </si>
  <si>
    <t>F(2, 444) = 2.47</t>
  </si>
  <si>
    <t>social value orientation (TDM); secure attachment (AAS); sample 2 - prosocials have a higher level of secure attachment than competitors</t>
  </si>
  <si>
    <t>svodevelopment2_1c</t>
  </si>
  <si>
    <t>relationship between social value orientation and level of anxious-ambivalent attachment-univariate level</t>
  </si>
  <si>
    <t>Marginal for both level of avoidant attachment, F(2, 444) = 2.47, p &lt; .10 and evel of anxious-ambivalent attachment, F(2, 444) = 2.76, p &lt; .10.</t>
  </si>
  <si>
    <t>F(2, 444) = 2.76</t>
  </si>
  <si>
    <t>svodevelopment2_5</t>
  </si>
  <si>
    <t>social value orientation (TDM); secure attachment (original); sample 2 - prosocials have a higher level of secure attachment than competitors</t>
  </si>
  <si>
    <t>svodevelopment2_1d</t>
  </si>
  <si>
    <t>1. There are no statistical results for this specific claim. 2. There are no such claim in the replication study.  3. The preregistration link was incorrect. It was the OSF link for the OSF folder. Added the correct preregistration link.</t>
  </si>
  <si>
    <t>No main or Interaction effect of gender on attachmant styles</t>
  </si>
  <si>
    <t>The two-factor MANOVA did not reveal any effects involving gender, indicating that the association of social value orientation and secure attachment is independent of participant's gender.</t>
  </si>
  <si>
    <t>svodevelopment2_6</t>
  </si>
  <si>
    <t>social value orientation (TDM); secure attachment (ECR-R); sample 2 - prosocials have a higher level of secure attachment than competitors</t>
  </si>
  <si>
    <t>svodevelopment2_1e</t>
  </si>
  <si>
    <t>prosocial-security hypothesis comparisons revealed a significant contrast between prosocials versus individualists and competitors</t>
  </si>
  <si>
    <t>planned comparisons revealed a significant contrast between prosocials versus individualists and competitors, F(1, 444) = 11.09, p &lt; .001</t>
  </si>
  <si>
    <t>p.4 &amp; 5</t>
  </si>
  <si>
    <t>F(1, 444) = 11.09</t>
  </si>
  <si>
    <t>svodevelopment2_7</t>
  </si>
  <si>
    <t>social value orientation (SLM); secure attachment (AAS); sample 2 - prosocials have a higher level of secure attachment than individualists</t>
  </si>
  <si>
    <t>svodevelopment2_1f</t>
  </si>
  <si>
    <t>prosocial-security hypothesis comparisons revealed a marginal difference between individualists and competitors</t>
  </si>
  <si>
    <t>comparisons revealed a significant contrast between prosocials versus individ- ualists and competitors, F(1, 444) = 11.09, p &lt; .001, and a maginal difference between individualists and competitors, F ( l , 444) = 3.04, p &lt; .10</t>
  </si>
  <si>
    <t>F ( l , 444) = 3.04</t>
  </si>
  <si>
    <t>svodevelopment2_8</t>
  </si>
  <si>
    <t>social value orientation (SLM); secure attachment (original); sample 2 - prosocials have a higher level of secure attachment than individualists</t>
  </si>
  <si>
    <t>svodevelopment2_1g</t>
  </si>
  <si>
    <t>Prosocials had significantly lower avoidant attachment contrasted with individualists and competitors</t>
  </si>
  <si>
    <t>congruent with the prosocial-security hypothesis, contrasts relevant to the marginal relationship between social value orientation and avoidant attachment revealed that proso- cials (M = 3.56, SD = 1.61) exhibited lower levels of avoidant attachment than did individualists (M = 3.92, SD = 1.48) and competitors (M = 3.86, SD = 1.48), respectively, F(I, 444) = 4,88, p &lt; .05</t>
  </si>
  <si>
    <t>F(I, 444) = 4,88,</t>
  </si>
  <si>
    <t>svodevelopment2_9</t>
  </si>
  <si>
    <t>social value orientation (SLM); secure attachment (ECR-R); sample 2 - prosocials have a higher level of secure attachment than individualists</t>
  </si>
  <si>
    <t>svodevelopment2_1h</t>
  </si>
  <si>
    <t>contrast between individualists and competitors was not significant</t>
  </si>
  <si>
    <t>uxajg_1</t>
  </si>
  <si>
    <t>uxajg</t>
  </si>
  <si>
    <r>
      <rPr>
        <rFont val="Calibri"/>
        <sz val="11.0"/>
      </rPr>
      <t xml:space="preserve">1. Since no paper / report or notes in the OSF, the values for REPLICATION statistical inferences were taken the site: </t>
    </r>
    <r>
      <rPr>
        <rFont val="Calibri"/>
        <color rgb="FF1155CC"/>
        <sz val="11.0"/>
        <u/>
      </rPr>
      <t>https://osf.io/uxajg</t>
    </r>
    <r>
      <rPr>
        <rFont val="Calibri"/>
        <sz val="11.0"/>
      </rPr>
      <t xml:space="preserve"> 
2. Initial OSF registration is under the link: </t>
    </r>
    <r>
      <rPr>
        <rFont val="Calibri"/>
        <color rgb="FF1155CC"/>
        <sz val="11.0"/>
        <u/>
      </rPr>
      <t>https://osf.io/jqzsf</t>
    </r>
  </si>
  <si>
    <t>Adams, D., Koenig, B., Sanders, C., Jackson, D., &amp; Davis, C. (2018, December 4). Response Effort on Cleanliness Priming for Moral Judgements. https://doi.org/10.17605/OSF.IO/UXAJG</t>
  </si>
  <si>
    <t>10.17605/OSF.IO/UXAJG</t>
  </si>
  <si>
    <t>https://osf.io/uxajg</t>
  </si>
  <si>
    <t>1. The description only focused on the "low response effort condition" because replication study mentions that it only replicates the low response effort condition. This was implied from sample size of the original effect. 2. Results for rhe replication are not presented.</t>
  </si>
  <si>
    <t>The cleanliness condition had a lower mean composite rating than the neutral condition in the low response effort condition</t>
  </si>
  <si>
    <t>negative 0.29</t>
  </si>
  <si>
    <t>0.04</t>
  </si>
  <si>
    <t xml:space="preserve">https://osf.io/658pq/ </t>
  </si>
  <si>
    <t>XPHI10_1</t>
  </si>
  <si>
    <t>XPHI10</t>
  </si>
  <si>
    <t>No statistics in O, extracted from XPHI</t>
  </si>
  <si>
    <t>Entry from another coder not found</t>
  </si>
  <si>
    <t>Nahmias, E., Morris, S. G., Nadelhoffer, T., &amp; Turner, J. (2006). Is incompatibilism intuitive? Philosophy and Phenomenological Research, 73(1), 28-53</t>
  </si>
  <si>
    <t>10.1111/j.1933-1592.2006.tb00603.x</t>
  </si>
  <si>
    <t>10.1111--j.1933-1592.2006.tb00603.x.pdf</t>
  </si>
  <si>
    <t>X2(1, N = 82) = 8.2439, p = 0.004089)</t>
  </si>
  <si>
    <t>X2(1, N = 161) = 2.2422 df = 1, p = 0.1343</t>
  </si>
  <si>
    <r>
      <rPr>
        <rFont val="&quot;Helvetica Neue&quot;"/>
        <color rgb="FF1155CC"/>
        <sz val="8.0"/>
        <u/>
      </rPr>
      <t>osf.io/m8t3k/</t>
    </r>
  </si>
  <si>
    <t>XPHI11_b</t>
  </si>
  <si>
    <t xml:space="preserve">In the post-replication report, there are also some results listed that provide insufficient statistical reporting. Therefore, I have not included them in this table for now but can gladly do so if needed.: "To analyze the answers regarding the degree of praise or blame appropriate, we conducted a logit model, as in the original experiment, with praise or blame as DV and vignette (Harm vs Help) and question-type (jaan vs jaan-bujhkar) as IV. As in the original experiment, there was a significant effect for vignette-type, Z=3.5, but no significant effect of question-type, Z=0.38, nor a significant interaction, Z=0.16. The reader can find the proportions of participants answering “Yes” to questions about praise or blame in Table 2. As in the original experiment, again, we found that judgments about whether thechairman  acted  jaan-bujhkar  were  correlated  with  judgment  about  whether  the  chairman deserved praise or blame, φ=0.36, p&lt;.001. As in the original experiment, judgments about whether the chairman did jaan that starting the program would help or harm the environment were not significantly correlated with judgments of praise or blame, φ =.01, p=.30." </t>
  </si>
  <si>
    <t>additional entry with extra results - no second coder</t>
  </si>
  <si>
    <t>Knobe, J., &amp; Burra, A. (2006). The folk concepts of intention andintentional action: A cross-cultural study. Journal of Cognition and Culture, 6(1), 113-132.</t>
  </si>
  <si>
    <t>Theory of mind, moral cognition, intention, intentional action, cross-cultural evidence</t>
  </si>
  <si>
    <t xml:space="preserve">"Similarly, subjects were significantly more likely to say that the chairman did jaan that the environment would be helped than that he helped the environment jaan-bujhkar, x2 (1, N = 31) = 16.3, p &lt; .001." </t>
  </si>
  <si>
    <t>X2(1) = 16.3</t>
  </si>
  <si>
    <t>X2(1) = 10</t>
  </si>
  <si>
    <t>https://osf.io/mr3nb</t>
  </si>
  <si>
    <t>Aleksandr Pravednikov, SAJ</t>
  </si>
  <si>
    <t>XPHI12_1</t>
  </si>
  <si>
    <t>XPHI12</t>
  </si>
  <si>
    <t>The p-value in the original paper is described as "p &lt; .05" while the table states that the original p-value was p = 0.03.</t>
  </si>
  <si>
    <t>Mistake in p value of replication</t>
  </si>
  <si>
    <t>Nichols, S. (2006). Folk intuitions on free will. Journal of Cognition and Culture, 6(1), 57-86.</t>
  </si>
  <si>
    <t>10.1163/156853706776931385</t>
  </si>
  <si>
    <t>Free will, responsibility, folk intuitions, experimental philosophy, conceptual analysis</t>
  </si>
  <si>
    <t>"For Part I, 6 responded as determinists, and 2 responded as indeterminists.", "The appeal to indeterminist choice was extremely rare when subjects were asked to predict the decision of psychological duplicates. This provides some rudimentary support for Hume’s claim that people really accept psychological determinism."</t>
  </si>
  <si>
    <t>X2(1) = 4.500</t>
  </si>
  <si>
    <t>https://doi.org/10.17605/OSF.IO/TFC6X</t>
  </si>
  <si>
    <r>
      <rPr>
        <rFont val="Arial"/>
        <color theme="1"/>
        <sz val="11.0"/>
      </rPr>
      <t xml:space="preserve">XPHI states ES for O  w = 0.75, </t>
    </r>
    <r>
      <rPr>
        <rFont val="Arial"/>
        <color rgb="FFB6D7A8"/>
        <sz val="11.0"/>
      </rPr>
      <t>The p-value in the original paper is described as "p &lt; .05" while the table states that the original p-value was p = 0.03.</t>
    </r>
  </si>
  <si>
    <t>Tidied up row (especially links)  
Included description (missing from both rows)
Chose this row as it had the correct p value for the replication</t>
  </si>
  <si>
    <t>10.1163--156853706776931385.pdf</t>
  </si>
  <si>
    <t>https://osf.io/4a7v6</t>
  </si>
  <si>
    <t>Free will, moral responsibility, folk intuitions, experimental philosophy, conceptual analysis</t>
  </si>
  <si>
    <t>this paper explores the psychological underpinnings of folk intuitions about free will and responsibility</t>
  </si>
  <si>
    <t>Thus, when we consider subjects who either initially abide by the conditions of the thought experiment or who are corrected, we find that 7 out of 8 gave a determinist response when asked to predict the decision of a psychological duplicate. As in experiment 1, this differs significantly from what would be expected by chance alone.</t>
  </si>
  <si>
    <t>X2(1, N = 50) = 9.68, p = 0.001863</t>
  </si>
  <si>
    <t>https://osf.io/fxqpr</t>
  </si>
  <si>
    <t>Aleksandr Pravednikov, Sarah Ashcroft-Jones</t>
  </si>
  <si>
    <t>XPHI13_1</t>
  </si>
  <si>
    <t>XPHI13</t>
  </si>
  <si>
    <t>ES for O copied from XPHI dataset</t>
  </si>
  <si>
    <t>Nadelhoffer, T. (2006). Bad acts, blameworthy agents, and intentional actions: Some problems for juror impartiality. Philosophical explorations, 9(2), 203-219.</t>
  </si>
  <si>
    <t>10.1080/13869790600641905</t>
  </si>
  <si>
    <t>10.1080--13869790600641905.pdf</t>
  </si>
  <si>
    <t>the participants in C1 were more likely to say that the thief knowingly brought about the officer’s death (75 percent) than the participants in C2 were to say that the driver knowingly brought about the death of the car thief</t>
  </si>
  <si>
    <t>p. 210</t>
  </si>
  <si>
    <t>p. 210 X2(1, N = 126) = 7.62, p &lt; .01</t>
  </si>
  <si>
    <t>X2(1, N = 259) = 43.02, p &lt; 0.001</t>
  </si>
  <si>
    <r>
      <rPr>
        <rFont val="&quot;Helvetica Neue&quot;"/>
        <color rgb="FF1155CC"/>
        <sz val="11.0"/>
        <u/>
      </rPr>
      <t>osf.io/bv42c/</t>
    </r>
  </si>
  <si>
    <t>XPHI14_1</t>
  </si>
  <si>
    <t>XPHI14</t>
  </si>
  <si>
    <t>Nichols, S., &amp; Knobe, J. (2007). Moral responsibility and determinism: The cognitive science of folk intuitions. Nous, 41(4), 663-685.</t>
  </si>
  <si>
    <t>10.1111/j.1468-0068.2007.00666.x</t>
  </si>
  <si>
    <t>10.1111--j.1468-0068.2007.00666.x.pdf</t>
  </si>
  <si>
    <t>Experimental Evidence: First Phase</t>
  </si>
  <si>
    <t>50% of subjects gave the compatibilist response, which is still significantly different from the very low number of compatibilist responses in the abstract condition.8</t>
  </si>
  <si>
    <t>p. 670</t>
  </si>
  <si>
    <t>p. 682 X2(1, N = 41) = 6.034, p &lt; 0.05</t>
  </si>
  <si>
    <t>X2 = 42.2, df = 1, p&lt;.001</t>
  </si>
  <si>
    <r>
      <rPr>
        <rFont val="&quot;Helvetica Neue&quot;"/>
        <color rgb="FF1155CC"/>
        <sz val="11.0"/>
        <u/>
      </rPr>
      <t>osf.io/693bm/</t>
    </r>
  </si>
  <si>
    <t>XPHI15_1</t>
  </si>
  <si>
    <t>XPHI15</t>
  </si>
  <si>
    <t xml:space="preserve">The study states that "All analyses were conducted on the remaining sample of 632 participants.", but the replication states that only 307 participants were analzed (which seems to be more logically when having a look on the analyses) </t>
  </si>
  <si>
    <t>Nahmias, E., Coates, D. J., &amp; Kvaran, T. (2007). Free will, moral responsibility, and mechanism: Experiments on folk intuitions. Midwest studies in Philosophy, 31(1), 214-242.</t>
  </si>
  <si>
    <t>10.1111/j.1475-4975.2007.00158.x</t>
  </si>
  <si>
    <t>free will, moral responsibility, folk intuitions</t>
  </si>
  <si>
    <t xml:space="preserve">free will: "A 2 (mechanism: Psych, Neuro) X 2 (universe: Real, Erta) Analysis of Variance (ANOVA) was run on the mean responses to our five primary variables of interest (“up to,” FW, MR, blame, and praise; questions 1–5).12 For judgments of each of the five variables, we found similar results that indicated highly significant differences (p &lt; .001) depending on whether agents’ decision-making in the scenario was described in psychological terms or neuroscientific (mechanistic) terms. Each ANOVA showed a significant main effect for mechanism (Psych versus Neuro)", "Given the history of the free will debate as well as the recent experimental work on FW and MR discussed in section 2, we formulated three main predictions to test: (1) that most people will judge that determinism is not threatening to FW and MR if determinism is described in nonmechanistic (psychological) terms. (2) that significantly more people will judge determinism to be threatening to FW and MR if determinism is described in mechanistic (neuroscientific) terms. (3) that people will significantly increase their judgments of FW and MR in response to descriptions of specific agents who perform bad acts in com- parison to agents and actions described in an abstract way. We found strong evidence in support of all of these predictions." </t>
  </si>
  <si>
    <t>15, 19</t>
  </si>
  <si>
    <t>F(1, 298) = 36.375</t>
  </si>
  <si>
    <t>F(1, 172) = 20.08</t>
  </si>
  <si>
    <t>https://osf.io/n4573</t>
  </si>
  <si>
    <t>https://doi.org/10.17605/OSF.IO/69DQC</t>
  </si>
  <si>
    <t>XPHI dataset states: partial η2 = .109 as ES</t>
  </si>
  <si>
    <t xml:space="preserve">Tidied up links and changed F "effect sizes" to full F test statistics in results. 
Think this row should be split in 5, one for each effect? </t>
  </si>
  <si>
    <t>10.1111--j.1475-4975.2007.00158.x.pdf</t>
  </si>
  <si>
    <t>https://osf.io/dgc9w</t>
  </si>
  <si>
    <t>exploring the intuition that “if our brain makes us do it, then we aren’t morally responsible.” people tend to see reductive mechanism as incompatible with Free will and Moral responsibility.</t>
  </si>
  <si>
    <t>For judgments of each of the five variables, we found similar results that indicated highly significant differences (p &lt; .001) depending on whether agents’ decision-making in the scenario was described in psychological terms or neuroscientific (mechanistic) terms ... free will.</t>
  </si>
  <si>
    <t>https://osf.io/69dqc</t>
  </si>
  <si>
    <t>XPHI15_b</t>
  </si>
  <si>
    <t>additional entry based on postreplication report</t>
  </si>
  <si>
    <t>extra result (not included in XPHI table)</t>
  </si>
  <si>
    <t>moral responisbility</t>
  </si>
  <si>
    <t>For judgments of each of the five variables, we found similar results that indicated highly significant differences (p &lt; .001) depending on whether agents’ decision-making in the scenario was described in psychological terms or neuroscientific (mechanistic) terms ... moral responsibility.</t>
  </si>
  <si>
    <t>F(1, 295) = 52.81</t>
  </si>
  <si>
    <t>F(1, 173) = 11.04</t>
  </si>
  <si>
    <r>
      <rPr>
        <rFont val="&quot;Helvetica Neue&quot;"/>
        <color rgb="FF1155CC"/>
        <sz val="11.0"/>
        <u/>
      </rPr>
      <t>osf.io/pjdkg</t>
    </r>
  </si>
  <si>
    <t xml:space="preserve">moral responsibility: "A 2 (mechanism: Psych, Neuro) X 2 (universe: Real, Erta) Analysis of Variance (ANOVA) was run on the mean responses to our five primary variables of interest (“up to,” FW, MR, blame, and praise; questions 1–5).12 For judgments of each of the five variables, we found similar results that indicated highly significant differences (p &lt; .001) depending on whether agents’ decision-making in the scenario was described in psychological terms or neuroscientific (mechanistic) terms. Each ANOVA showed a significant main effect for mechanism (Psych versus Neuro)", "Given the history of the free will debate as well as the recent experimental work on FW and MR discussed in section 2, we formulated three main predictions to test: (1) that most people will judge that determinism is not threatening to FW and MR if determinism is described in nonmechanistic (psychological) terms. (2) that significantly more people will judge determinism to be threatening to FW and MR if determinism is described in mechanistic (neuroscientific) terms. (3) that people will significantly increase their judgments of FW and MR in response to descriptions of specific agents who perform bad acts in comparison to agents and actions described in an abstract way. We found strong evidence in support of all of these predictions." </t>
  </si>
  <si>
    <t>XPHI15_c</t>
  </si>
  <si>
    <t>blame</t>
  </si>
  <si>
    <t>For judgments of each of the five variables, we found similar results that indicated highly significant differences (p &lt; .001) depending on whether agents’ decision-making in the scenario was described in psychological terms or neuroscientific (mechanistic) terms ... blame.</t>
  </si>
  <si>
    <t>F(1, 294) = 44.973</t>
  </si>
  <si>
    <t>F(1, 173) = 8.72</t>
  </si>
  <si>
    <r>
      <rPr>
        <rFont val="&quot;Helvetica Neue&quot;"/>
        <color rgb="FF1155CC"/>
        <sz val="11.0"/>
        <u/>
      </rPr>
      <t>osf.io/pjdkg</t>
    </r>
  </si>
  <si>
    <t xml:space="preserve">blame: "A 2 (mechanism: Psych, Neuro) X 2 (universe: Real, Erta) Analysis of Variance (ANOVA) was run on the mean responses to our five primary variables of interest (“up to,” FW, MR, blame, and praise; questions 1–5).12 For judgments of each of the five variables, we found similar results that indicated highly significant differences (p &lt; .001) depending on whether agents’ decision-making in the scenario was described in psychological terms or neuroscientific (mechanistic) terms. Each ANOVA showed a significant main effect for mechanism (Psych versus Neuro)", "Given the history of the free will debate as well as the recent experimental work on FW and MR discussed in section 2, we formulated three main predictions to test: (1) that most people will judge that determinism is not threatening to FW and MR if determinism is described in nonmechanistic (psychological) terms. (2) that significantly more people will judge determinism to be threatening to FW and MR if determinism is described in mechanistic (neuroscientific) terms. (3) that people will significantly increase their judgments of FW and MR in response to descriptions of specific agents who perform bad acts in comparison to agents and actions described in an abstract way. We found strong evidence in support of all of these predictions." </t>
  </si>
  <si>
    <t>XPHI15_d</t>
  </si>
  <si>
    <t>praise</t>
  </si>
  <si>
    <t>For judgments of each of the five variables, we found similar results that indicated highly significant differences (p &lt; .001) depending on whether agents’ decision-making in the scenario was described in psychological terms or neuroscientific (mechanistic) terms ... praise.</t>
  </si>
  <si>
    <t>F(1, 297) = 18.84</t>
  </si>
  <si>
    <t>F(1, 175) = 18.14</t>
  </si>
  <si>
    <r>
      <rPr>
        <rFont val="&quot;Helvetica Neue&quot;"/>
        <color rgb="FF1155CC"/>
        <sz val="11.0"/>
        <u/>
      </rPr>
      <t>osf.io/pjdkg</t>
    </r>
  </si>
  <si>
    <t xml:space="preserve">praise: "A 2 (mechanism: Psych, Neuro) X 2 (universe: Real, Erta) Analysis of Variance (ANOVA) was run on the mean responses to our five primary variables of interest (“up to,” FW, MR, blame, and praise; questions 1–5).12 For judgments of each of the five variables, we found similar results that indicated highly significant differences (p &lt; .001) depending on whether agents’ decision-making in the scenario was described in psychological terms or neuroscientific (mechanistic) terms. Each ANOVA showed a significant main effect for mechanism (Psych versus Neuro)", "Given the history of the free will debate as well as the recent experimental work on FW and MR discussed in section 2, we formulated three main predictions to test: (1) that most people will judge that determinism is not threatening to FW and MR if determinism is described in nonmechanistic (psychological) terms. (2) that significantly more people will judge determinism to be threatening to FW and MR if determinism is described in mechanistic (neuroscientific) terms. (3) that people will significantly increase their judgments of FW and MR in response to descriptions of specific agents who perform bad acts in comparison to agents and actions described in an abstract way. We found strong evidence in support of all of these predictions." </t>
  </si>
  <si>
    <t>XPHI15_e</t>
  </si>
  <si>
    <t xml:space="preserve">agents decisions were up to them: "A 2 (mechanism: Psych, Neuro) X 2 (universe: Real, Erta) Analysis of Variance (ANOVA) was run on the mean responses to our five primary variables of interest (“up to,” FW, MR, blame, and praise; questions 1–5).12 For judgments of each of the five variables, we found similar results that indicated highly significant differences (p &lt; .001) depending on whether agents’ decision-making in the scenario was described in psychological terms or neuroscientific (mechanistic) terms. Each ANOVA showed a significant main effect for mechanism (Psych versus Neuro)", "Given the history of the free will debate as well as the recent experimental work on FW and MR discussed in section 2, we formulated three main predictions to test: (1) that most people will judge that determinism is not threatening to FW and MR if determinism is described in nonmechanistic (psychological) terms. (2) that significantly more people will judge determinism to be threatening to FW and MR if determinism is described in mechanistic (neuroscientific) terms. (3) that people will significantly increase their judgments of FW and MR in response to descriptions of specific agents who perform bad acts in comparison to agents and actions described in an abstract way. We found strong evidence in support of all of these predictions." </t>
  </si>
  <si>
    <t>F(1, 301) = 36.45</t>
  </si>
  <si>
    <t>F(1, 175) = 20.94</t>
  </si>
  <si>
    <t>XPHI16_1</t>
  </si>
  <si>
    <t>XPHI16</t>
  </si>
  <si>
    <t>Replication report reports Cohens d as d = 0.42, while the original report report d = 0.43</t>
  </si>
  <si>
    <t>Added description
Updated file links
Correct pvalue replication to one tailed based on post replication report</t>
  </si>
  <si>
    <t>Livengood, J., &amp; Machery, E. (2007). The folk probably don't think what you think they think: Experiments on causation by absence. Midwest Studies in Philosophy, 31(1), 107-127.</t>
  </si>
  <si>
    <t>10.1111/j.1475-4975.2007.00150.x</t>
  </si>
  <si>
    <t>https://osf.io/fdjns</t>
  </si>
  <si>
    <t>causation by absence</t>
  </si>
  <si>
    <t xml:space="preserve">People do deny some sentences that assert that an absence caused an event. However, people sometimes agree significantly more with sentences asserting that an event e occurred because an absence a obtained than with sentences asserting that a caused the occurrence of e. </t>
  </si>
  <si>
    <t>"Subjects were also significantly more likely to agree with the target sentence in the explanation condition (“Susan reached the rafters because the rope did not break”) than with the target sentence in the causation condition (“The rope not breaking caused Susan to reach the rafters”) (t(93) = 2.07, p &lt; 0.05, two-tailed; Figure 1). The effect size d = 0.43 corresponds approximately to a medium effect size (Cohen 1992).", "Thus, consistent with Beebee’s Prediction 1, for some sentences, people are likely to disagree that an absence is a cause, even though the absence qualifies as a genuine cause according to nonrelationist theories of causation. However, contrary to Beebee’s Prediction 2, for some sentences, people are more likely to agree that an event e occurs because an absence a obtained than they are to agree that a caused the occurrence of e. This is strong evidence that people do not conflate causation and causal explanation."</t>
  </si>
  <si>
    <t>10, 14, 15</t>
  </si>
  <si>
    <t>0.43</t>
  </si>
  <si>
    <t>0.57</t>
  </si>
  <si>
    <t>https://osf.io/fdjns , p. 2</t>
  </si>
  <si>
    <t>https://doi.org/10.17605/OSF.IO/N9HDV</t>
  </si>
  <si>
    <t>10.1111--j.1475-4975.2007.00150.x.pdf</t>
  </si>
  <si>
    <t>Subjects were also significantly more likely to agree with the target sentence in the explanation condition (“Susan reached the rafters because the rope did not break”) than with the target sentence in the causation condition (“The rope not breaking caused Susan to reach the rafters”) The effect size d = 0.43 corresponds approximately to a medium effect size (Cohen 1992).", "Thus, consistent with Beebee’s Prediction 1, for some sentences, people are likely to disagree that an absence is a cause, even though the absence qualifies as a genuine cause according to nonrelationist theories of causation. However, contrary to Beebee’s Prediction 2, for some sentences, people are more likely to agree that an event e occurs because an absence a obtained than they are to agree that a caused the occurrence of e. This is strong evidence that people do not conflate causation and causal explanation."</t>
  </si>
  <si>
    <t>p. 116</t>
  </si>
  <si>
    <t>p. 116, t(93) = 2.07, p &lt; .05</t>
  </si>
  <si>
    <t>t(270) = 4.7265, p &lt; .001</t>
  </si>
  <si>
    <r>
      <rPr>
        <rFont val="&quot;Helvetica Neue&quot;"/>
        <color rgb="FF1155CC"/>
        <sz val="11.0"/>
        <u/>
      </rPr>
      <t>osf.io/7er6r/</t>
    </r>
  </si>
  <si>
    <t>XPHI17_1</t>
  </si>
  <si>
    <t>XPHI17</t>
  </si>
  <si>
    <t>They used the RMEL fitting method as their test statistic; There was no preregistration under "registrations"</t>
  </si>
  <si>
    <t>moral judgement, morality, utilitarian, cognitive control, cognitive load</t>
  </si>
  <si>
    <t>"Critically, we observed the predicted interaction between load and judgment (F(1, 62.9) = 8.5, p = .005).", "Cognitive load selectively increased RT for utilitarian judgment, yielding the predicted interaction between load and judgment type. In the full sample, load increased the average RT for utilitarian judgments by three quarters of a second, but did not increase average RT for non-utilitarian judgments at all. The predicted RT effects were observed in participants who tend toward utilitarian judgment as well those who do not. These results provide direct evidence for the hypothesized asymmetry between utilitarian and non-utilitarian judgments, with the former driven by controlled cognitive processes and the latter driven by more automatic processes. While load impacted RT, it did not reduce the proportion of utilitarian judgments, as one might have expected based on our theory."; RT = previous reaction time</t>
  </si>
  <si>
    <t>6, 8</t>
  </si>
  <si>
    <t>F (1, 828.54) = 1.20</t>
  </si>
  <si>
    <t>XPHI doesn't have SE, but has F value. N for R extracted from XPHI ReplicationN_Overall</t>
  </si>
  <si>
    <t>10.1016--j.cognition.2007.11.004.pdf</t>
  </si>
  <si>
    <t>cognitive load interferee with utilitarian moral judgments</t>
  </si>
  <si>
    <t>we predicted that increasing cognitive load by imposing another control-demanding task would interfere with utilitarian moral judgments, yielding increased RT and/or decreased frequency for utilitarian moral judgment. we observed the predicted interaction between load and judgment (F(1, 62.9) = 8.5, p = .005).</t>
  </si>
  <si>
    <t>p 6,8</t>
  </si>
  <si>
    <t>p. 6 F(1, 62.9) = 8.5, p = .005</t>
  </si>
  <si>
    <t>F (1, 828.54) = 1.20, p = .27</t>
  </si>
  <si>
    <r>
      <rPr>
        <rFont val="&quot;Helvetica Neue&quot;"/>
        <color rgb="FF1155CC"/>
        <sz val="11.0"/>
        <u/>
      </rPr>
      <t>osf.io/yb38c</t>
    </r>
  </si>
  <si>
    <t>XPHI18_1</t>
  </si>
  <si>
    <t>XPHI18</t>
  </si>
  <si>
    <t>XPHI doesn't provide ES, claim from O extracted based on the sample size and p value in XPHI. N for R extracted from XPHI ReplicationN_Overall</t>
  </si>
  <si>
    <t>Gonnerman, C. (2008). Reading conflicted minds: An empirical follow-up to Knobe and Roedder. Philosophical Psychology, 21(2), 193-205.</t>
  </si>
  <si>
    <t>10.1080/09515080801978777</t>
  </si>
  <si>
    <t>egocentric biases in mindreading, valuing</t>
  </si>
  <si>
    <t>folk attributions of valuing tend to vary according to the perceived moral goodness of the object of value</t>
  </si>
  <si>
    <t>"As predicted, in the analysis of the data, we found results similar to Knobe and Roedder’s. That is, we found a K&amp;R-pattern in attributions of desires. The mean rating in the first condition was 0.320 (N = 25), and in the second it was 1.05 (N = 19). A t-test revealed that the difference between these means scores is statistically significant (p &lt; 0.05). This suggests that in general, people are more willing to say that what racist George really wants is racial equality than they are willing to say that what liberal George really wants is racial equality.", "If someone wishes to argue that MORAL GOODNESS is a feature of VALUING by appealing to the existence of K&amp;R-patterns, it had better not be the case that similar patterns arise in our attributions of other pro-attitudes. To see this, let us focus on the K&amp;R-patterns in desiring attributions. With asymmetric attributions of both valuing states and desiring states, the pressure is to explain the two similarly, to treat like alike. This leaves us with one of two conclusions: either (1) both concepts have a moralized interior and it is the accessing of the moral feature that explains the empirical results, or (2) both lack this moralized interior and it is some extra  conceptual factor that explains the results. The former, or so I will argue, is unattractive when it comes to DESIRING. The problem is that there is no currently popular account of conceptual structure for which it seems terribly plausible to claim that MORAL GOODNESS is a feature of DESIRING."</t>
  </si>
  <si>
    <t>7, 8</t>
  </si>
  <si>
    <t>0.67</t>
  </si>
  <si>
    <t>https://doi.org/10.17605/OSF.IO/CKJTF</t>
  </si>
  <si>
    <t>10.1080--09515080801978777.pdf</t>
  </si>
  <si>
    <t>3.1. Folk Attributions of Desires</t>
  </si>
  <si>
    <t>we found a K&amp;R-pattern in attributions of desires... This suggests that in general, people are more willing to say that what racist George really wants is racial equality than they are willing to say that what liberal George really wants is racial equality.</t>
  </si>
  <si>
    <t>p. 198</t>
  </si>
  <si>
    <r>
      <rPr>
        <rFont val="&quot;Helvetica Neue&quot;"/>
        <color rgb="FF1155CC"/>
        <sz val="11.0"/>
        <u/>
      </rPr>
      <t>osf.io/wy8ab</t>
    </r>
  </si>
  <si>
    <t>XPHI19_1</t>
  </si>
  <si>
    <t>XPHI19</t>
  </si>
  <si>
    <t>Nadelhoffer, T., &amp; Feltz, A. (2008). The actor–observer bias and moral intuitions: Adding fuel to Sinnott-Armstrong’s fire. Neuroethics, 1, 133-144.</t>
  </si>
  <si>
    <t>10.1007/s12152-008-9015-7</t>
  </si>
  <si>
    <t>10.1007--s12152-008-9015-7.pdf</t>
  </si>
  <si>
    <t>Sixty-five percent of the participants in the actor condition judged that it was morally permissible for them to hit the switch, 90% of the participants in the observer condition judged that it was morally permissible for John to hit the switch</t>
  </si>
  <si>
    <t>pp. 140-141</t>
  </si>
  <si>
    <t>p. 140 X2(1, N = 85) = 7.873, p = .005</t>
  </si>
  <si>
    <t>X2(1, N = 150) = 0.33, p = 0.56</t>
  </si>
  <si>
    <r>
      <rPr>
        <rFont val="&quot;Helvetica Neue&quot;"/>
        <color rgb="FF1155CC"/>
        <sz val="11.0"/>
        <u/>
      </rPr>
      <t>osf.io/jb8yp/</t>
    </r>
  </si>
  <si>
    <t>XPHI2_1</t>
  </si>
  <si>
    <t>XPHI2</t>
  </si>
  <si>
    <t>Knobe, J. (2003). Intentional action in folk psychology: An experimental investigation. Philosophical Psychology, 16(2), 309-324.</t>
  </si>
  <si>
    <t>10.1080/09515080307771</t>
  </si>
  <si>
    <t>10.1080--09515080307771.pdf</t>
  </si>
  <si>
    <t>In the absence of skill, murder is judged intentional but achievement is not</t>
  </si>
  <si>
    <t>Notice in particular the results for vignettes in the no-skill conditions. Only 28% of subjects in the achievement condition said the behavior was intentional, but a full 76% of subjects in the immoral condition
thought the behavior was intentional.</t>
  </si>
  <si>
    <t>pp. 313-314</t>
  </si>
  <si>
    <t>p. 314 X2(1, N=37) = 7.7, df = 1, p &lt; .01</t>
  </si>
  <si>
    <t>X2(1, N = 145) = 52.5, p &lt; .001</t>
  </si>
  <si>
    <r>
      <rPr>
        <rFont val="&quot;Helvetica Neue&quot;"/>
        <color rgb="FF1155CC"/>
        <sz val="11.0"/>
        <u/>
      </rPr>
      <t>osf.io/78sqa/</t>
    </r>
  </si>
  <si>
    <t>XPHI20_1</t>
  </si>
  <si>
    <t>XPHI20</t>
  </si>
  <si>
    <t>In the original paper, it is stated that 3,422 individuals participated. In the table of the replication report, however, an effective sample size of 3,413 is listed. I used this number because it seems more plausible with regard to the t-test. I applied this number for both effects.</t>
  </si>
  <si>
    <t>seems that statistics from O put in tn the wrong cells</t>
  </si>
  <si>
    <t>Hitchcock, C., &amp; Knobe, J. (2009). Cause and norm. The Journal of Philosophy, 106(11), 587-612.</t>
  </si>
  <si>
    <t>10.5840/jphil20091061128</t>
  </si>
  <si>
    <t>cause, norm</t>
  </si>
  <si>
    <t>"Here the attending doctor is clearly violating a norm, but there is no sense at all in which he can be considered blameworthy for the patient's recovery. (Mter all, the patient's recovery is something good, and there can therefore be no question about who is to blame for it.) Yet despite the lack of blame, people were more inclined to say that the doctor's decision caused the recovery than they were to say that the pharmacist's decision caused the recovery.  This result indicates that people's causal intuitions can be affected by norm violations, even in the absence of any judgment of blameworthiness.", ""Subjects rated each statement on a scale from 1 ('disagree') to 7 ('agree'). Overall, the statement about the attending donor received a mean rating of 3.9; the statement about the pharmacist received a mean rating of 2.5, This difference was statistically significant, t(3411) = 21.5, P &lt; .001."</t>
  </si>
  <si>
    <t>t(3411) = 21.5</t>
  </si>
  <si>
    <t>https://doi.org/10.17605/OSF.IO/JW84M</t>
  </si>
  <si>
    <t>Aleksandr Pravednikov, LR</t>
  </si>
  <si>
    <t>10.5840--jphil20091061128.pdf</t>
  </si>
  <si>
    <t>cusation and breaking norms (drug-vignette)</t>
  </si>
  <si>
    <t>Yet despite the lack of blame, people were more inclined to say that the doctor's decision caused the recovery than they were to say that the pharmacist's decision caused the recovery. This result indicates that people's causal intuitions can be affected by norm violations, even in the absence of any judgment of blameworthiness. ... This difference was statistically significant, t(3411) = 21.5, P &lt; .001."</t>
  </si>
  <si>
    <t>p. 18 t(3411) = 21.5, p &lt; .001</t>
  </si>
  <si>
    <r>
      <rPr>
        <rFont val="Calibri"/>
        <color rgb="FF38761D"/>
        <sz val="11.0"/>
      </rPr>
      <t xml:space="preserve">t(198) = 4.44, p &lt; 0.001; p. 2 in report at OSF: </t>
    </r>
    <r>
      <rPr>
        <rFont val="Calibri"/>
        <color rgb="FF38761D"/>
        <sz val="11.0"/>
        <u/>
      </rPr>
      <t>https://osf.io/c639t</t>
    </r>
  </si>
  <si>
    <t>added row for machine-vignette</t>
  </si>
  <si>
    <t>cusation and breaking norms (machine-vignette)</t>
  </si>
  <si>
    <r>
      <rPr>
        <rFont val="Calibri"/>
        <color rgb="FF38761D"/>
        <sz val="11.0"/>
      </rPr>
      <t xml:space="preserve">t(188.64) = 8.27, p &lt; 0.001; p. 2 in report at OSF: </t>
    </r>
    <r>
      <rPr>
        <rFont val="Calibri"/>
        <color rgb="FF38761D"/>
        <sz val="11.0"/>
        <u/>
      </rPr>
      <t>https://osf.io/c639t</t>
    </r>
  </si>
  <si>
    <t>XPHI20_b</t>
  </si>
  <si>
    <t>seems that statistics from O put in tn the wrong cells, no statistics from R</t>
  </si>
  <si>
    <t>"Here again, wt' have a case of norm violation without blameworthiness. Specifically, it seems that the red wire is violating a certain kind of norm, but it also seems clear that no one could literally blame the red wire for the short circuit. Nonethelt'ss, people were more willing to say that the red wire touching the battery caused the short circuit than they were to say that the black wire touching the battery caused the short circuit.~" So once again, it seems that people's causal intuitions are being atIected by norm violations even in the absence of any judgment of blame.", "Subjects rated "ach statement on a scalc from I ('disagree') to 7 ('agree'). Overall, the statement about the red wire received a mean rating of 4.9; the statement about the black wire received a mean rating of 2.7. This difference was statistically significant, t(3410) = 30.2, P &lt; ,001."</t>
  </si>
  <si>
    <t>t(3410) = 30.2</t>
  </si>
  <si>
    <t>XPHI21_1</t>
  </si>
  <si>
    <t>XPHI21</t>
  </si>
  <si>
    <t>Emplty cells</t>
  </si>
  <si>
    <t>Roxborough, C., &amp; Cumby, J. (2009). Folk psychological concepts: Causation. Philosophical Psychology, 22(2), 205-213.</t>
  </si>
  <si>
    <t>10.1080/09515080902802769</t>
  </si>
  <si>
    <t>atypicality, causality, folk psychology</t>
  </si>
  <si>
    <t>"Prima facie, our hypothesis was not satisfied since a comparison of the means of agreement with the claim that the Administrative Assistant caused the problem, did not yield a statistically significant difference. This result was surprising, but perhaps can be explained by the suggestion that the Administrative Assistant’s behavior was not atypical enough. That is, if her behavior was radically atypical perhaps we would have found a statistically significant result in the mean of agreement with the claim that she caused the problem. Furthermore, Professor Smith’s behavior was reinforced as immoral throughout the story, whereas the Administrative Assistant’s behavior was only discussed in brief and so perhaps this influenced the result. Notwithstanding these suggestions, analyzed from this perspective our results appeared consistent with Knobe and Fraser’s hypothesis that the application of the concept causation is primarily influenced by moral judgments. However, further reflection on our findings suggested that perhaps the atypicality did have an effect, just not as we had predicted.", "While the majority of the participants were still more wiling to attribute causality to Professor Smith’s behavior, and thus, Knobe and Fraser must be right to suggest that moral considerations play a role in our application of causation, we have shown both that atypicality also plays a role and that the folk concept of causation is significantly more complex than Knobe and Fraser’s analysis suggests, a conclusion that is favorable to Driver’s analysis."</t>
  </si>
  <si>
    <t>t(117) = 21.05</t>
  </si>
  <si>
    <t>p. 10 from https://osf.io/6r74y</t>
  </si>
  <si>
    <t>https://doi.org/10.17605/OSF.IO/P56KE</t>
  </si>
  <si>
    <r>
      <rPr/>
      <t xml:space="preserve">- Corinna, you mistook multiple original effects as replication effects. I think this is because you swa them listed in the prereg (eg </t>
    </r>
    <r>
      <rPr>
        <color rgb="FF1155CC"/>
        <u/>
      </rPr>
      <t>https://osf.io/p56ke)</t>
    </r>
    <r>
      <rPr/>
      <t xml:space="preserve"> but this is just the "effect I am trying to replicate" section.</t>
    </r>
  </si>
  <si>
    <t>Corrected replication test statistic based on the single report at https://osf.io/6r74y</t>
  </si>
  <si>
    <t>10.1080--09515080902802769.pdf</t>
  </si>
  <si>
    <t>folk psychological concept, causation</t>
  </si>
  <si>
    <t>p. 8, 10</t>
  </si>
  <si>
    <t xml:space="preserve">p. 10  t(117) = 7.47, p &lt; .001 </t>
  </si>
  <si>
    <t>t(204) = -1.387</t>
  </si>
  <si>
    <r>
      <rPr>
        <rFont val="Calibri"/>
        <sz val="11.0"/>
      </rPr>
      <t xml:space="preserve">t(204) = -1.387, p = 0.917 from p. 10 </t>
    </r>
    <r>
      <rPr>
        <rFont val="Calibri"/>
        <color rgb="FF1155CC"/>
        <sz val="11.0"/>
        <u/>
      </rPr>
      <t>https://osf.io/6r74y</t>
    </r>
  </si>
  <si>
    <t>XPHI22_1</t>
  </si>
  <si>
    <t>XPHI22</t>
  </si>
  <si>
    <t>There was no preregistration under "registrations"; The correlation was not significant, but test statistics were not specified further</t>
  </si>
  <si>
    <t>Nadelhoffer, T., Kvaran, T., &amp; Nahmias, E. (2009). Temperament and intuition: A commentary on Feltz and Cokely. Consciousness and cognition, 18(1), 351-355.</t>
  </si>
  <si>
    <t>10.1016/j.concog.2008.11.006</t>
  </si>
  <si>
    <t>free will, moral responsibility, personality, extraversion, folk intuitions</t>
  </si>
  <si>
    <t xml:space="preserve">"We did not, however, find the widespread correlation between extraversion and compatibilism that Feltz and Cokely found.", "This suggests to us that while extraversion may help predict how compatibilist-friendly an individual’s intuitions about desert-based responsibility will be in response to affectively-charged moral cases, it is unlikely that it is crucially tied to intuitions about free will and responsibility more generally.", "We suggest that perhaps personality traits will not turn out to be so much predictive of how compatibilist-friendly an individual’s intuitions are" </t>
  </si>
  <si>
    <t>#</t>
  </si>
  <si>
    <t>XPHI dataset doesn't provide statistics for O, so not possible to extract data. Based on the sample size I would assume, that p. 353 of O has some results provided.</t>
  </si>
  <si>
    <t>correlations for original report are provided in footnote 3 on p 353 (pdf page = 3) but only significant correlations are reported, which is why none are coded</t>
  </si>
  <si>
    <t>10.1016--j.concog.2008.11.006.pdf</t>
  </si>
  <si>
    <t>the personality trait extraversion predicts people’s intuitions about the relationship of determinism to free will and moral responsibility</t>
  </si>
  <si>
    <t xml:space="preserve">"the personality trait extraversion predicts people’s intuitions about the relationship of determinism to free will and moral responsibility", "We did not, however, find the widespread correlation between extraversion and compatibilism that Feltz and Cokely found.", "This suggests to us that while extraversion may help predict how compatibilist-friendly an individual’s intuitions about desert-based responsibility will be in response to affectively-charged moral cases, it is unlikely that it is crucially tied to intuitions about free will and responsibility more generally.", "We suggest that perhaps personality traits will not turn out to be so much predictive of how compatibilist-friendly an individual’s intuitions are" </t>
  </si>
  <si>
    <r>
      <rPr>
        <rFont val="Calibri"/>
        <sz val="11.0"/>
      </rPr>
      <t xml:space="preserve">r = 0.139, p = 0.002 from </t>
    </r>
    <r>
      <rPr>
        <rFont val="Calibri"/>
        <color rgb="FF1155CC"/>
        <sz val="11.0"/>
        <u/>
      </rPr>
      <t>https://osf.io/4ewkh</t>
    </r>
  </si>
  <si>
    <r>
      <rPr>
        <rFont val="&quot;Helvetica Neue&quot;"/>
        <color rgb="FF1155CC"/>
        <sz val="11.0"/>
        <u/>
      </rPr>
      <t>osf.io/txs86</t>
    </r>
  </si>
  <si>
    <t>XPHI23_1</t>
  </si>
  <si>
    <t>XPHI23</t>
  </si>
  <si>
    <t>I calculated the original effect size using the ES calculation excel sheet. The original paper only reports a comparison between the positive, negative and neutral scenario. The replication table reports a p-value of p &lt; .05.</t>
  </si>
  <si>
    <t>Marked as help needed, cause both rows have correct info, but use different approach, Probably the best approach will be to combine them</t>
  </si>
  <si>
    <t>De Brigard, F. (2010). If you like it, does it matter if it's real?. Philosophical Psychology, 23(1), 43-57.</t>
  </si>
  <si>
    <t>10.1080/09515080903532290</t>
  </si>
  <si>
    <t>experience machine, Nozick, pleasure, reality, status quo bias</t>
  </si>
  <si>
    <t>"The results were quite surprising (figure 1). For the Negative scenario, only 13% of the participants said to prefer reality; 87% of them would prefer to remain connected. In the Positive scenario, the distribution evened out: 50% of the participants said they would like to go back to reality, and 50% said they would like to remain connected.", "Taken at face value these results show that the variable ‘‘contact with reality’’ is not as critical as the original version of the thought-experiment suggests. If it were the case that people care about reality more than they care about how their life is experienced from the inside, then one would expect that, regardless of how reality turns out to be, they would choose it over a simulated life."</t>
  </si>
  <si>
    <t>6, 7</t>
  </si>
  <si>
    <t>0.149</t>
  </si>
  <si>
    <t>p. 6-7</t>
  </si>
  <si>
    <t>https://doi.org/10.17605/OSF.IO/ZWKMN</t>
  </si>
  <si>
    <t>Mathcing statistics for O not found, copied from XPHI</t>
  </si>
  <si>
    <t>10.1080--09515080903532290.pdf</t>
  </si>
  <si>
    <t>X2(1, N = 48) = 6.2061, p &lt; .05</t>
  </si>
  <si>
    <t>X2(1, 60) = 4.3015, p = 0.04</t>
  </si>
  <si>
    <r>
      <rPr>
        <rFont val="&quot;Helvetica Neue&quot;"/>
        <color rgb="FF1155CC"/>
        <sz val="11.0"/>
        <u/>
      </rPr>
      <t>osf.io/cvuwy/</t>
    </r>
  </si>
  <si>
    <t>XPHI24_1</t>
  </si>
  <si>
    <t>XPHI24</t>
  </si>
  <si>
    <t>There was no preregistration under "registrations"; While the table reports d = 0.66 and p &lt; .001 for the replication, the post-replication report states that it was d = 0.672, p &lt; .0005</t>
  </si>
  <si>
    <t>Beebe, J. R., &amp; Buckwalter, W. (2010). The epistemic side‐effect effect. Mind &amp; Language, 25(4), 474-498.</t>
  </si>
  <si>
    <t>10.1111/j.1468-0017.2010.01398.x</t>
  </si>
  <si>
    <t>epistemic side-effect</t>
  </si>
  <si>
    <t>"Like the original side-effect effect results, our findings reveal an asymmetry in mean levels of participant responses between survey conditions. On the Gradient scoring method, participants’ mean level of agreement in the harm condition (M = 2.25, SD = 1.50) varied from that of the help condition (M = 0.91, SD = 2.09)." , "These differences are statistically significant, Gradient, t (747) = −10.126, p &lt; .001,", These results are consistent with our hypothesis that participants are less likely to find that an agent knows an action will bring about a certain side-effect when the effect is good, and more likely to attribute knowledge when the effect is bad. We call the asymmetry in participants’ knowledge attributions ‘the epistemic side-effect effect’."</t>
  </si>
  <si>
    <t xml:space="preserve"> t(747) = −10.126</t>
  </si>
  <si>
    <t>10.1111--j.1468-0017.2010.01398.x.pdf</t>
  </si>
  <si>
    <t>p. 476 / 3</t>
  </si>
  <si>
    <t>p. 476 t = −10.126, df = 747, p&lt;.001</t>
  </si>
  <si>
    <r>
      <rPr>
        <rFont val="Calibri"/>
        <sz val="11.0"/>
      </rPr>
      <t xml:space="preserve">t(512) = 7.4773, p &lt; .001 from </t>
    </r>
    <r>
      <rPr>
        <rFont val="Calibri"/>
        <color rgb="FF1155CC"/>
        <sz val="11.0"/>
        <u/>
      </rPr>
      <t>https://osf.io/4ewkh</t>
    </r>
  </si>
  <si>
    <t>XPHI25_1</t>
  </si>
  <si>
    <t>XPHI25</t>
  </si>
  <si>
    <t>There was no preregistration under "registrations"; While the table reports d = 0.52 for the replication, the post-replication report states that it was d = 0.51; I calculated the original effect size using the ES calculation excel sheet.</t>
  </si>
  <si>
    <t>Sytsma, J., &amp; Machery, E. (2010). Two conceptions of subjective experience. Philosophical studies, 151, 299-327.</t>
  </si>
  <si>
    <t>10.1007/s11098-009-9439-x</t>
  </si>
  <si>
    <t>phenomenal consciousness, folk concept of subjective experience, hard problem of consciousness</t>
  </si>
  <si>
    <t>ascribing consciousness to machines</t>
  </si>
  <si>
    <t>"Consistent with our hypothesis, philosophers [...] were unwilling to ascribe [...]  the perceptual experience of seeing red [...]  to the robot (the mean answers are significantly lower than 4). By contrast, philosophers were willing to ascribe [...]  states to a normal human male (the mean answers are significantly higher than 4). Contrary to the hypothesis that the folk and philosophers conceive of subjective experience similarly", "In contrast to the prediction derived from the hypothesis that the philosophical concept of phenomenal consciousness coincides with the common-sense conception of subjective experience, the results show a clear divergence between philosophers and the folk: On average, the folk (but not philosophers) are willing to ascribe the perceptual state of seeing red to a simple robot. Given the illustrative centrality of the example of the redness of red to the philosophical concept of phenomenal consciousness, our results indicate that philosophers’ concept of phenomenal consciousness is not how the folk understand subjective experience."</t>
  </si>
  <si>
    <t>9, 10</t>
  </si>
  <si>
    <t>0.875</t>
  </si>
  <si>
    <t>XPHI states N O as 148, while for study 1 it's 601 after exclusion. Data for O extracted based on the ES stated in XPHI. ES for O extracted from XPHI</t>
  </si>
  <si>
    <t>corrected N based on dfs; no Preregistration in osf project (osf.io/z2fj8) so changed prereg_r to NA</t>
  </si>
  <si>
    <t>10.1007--s11098-009-9439-x.pdf</t>
  </si>
  <si>
    <t>The difference between the average folk ascription of seeing red and of feeling pain is statistically significant...</t>
  </si>
  <si>
    <t>p.325 t(109) = 7.12, p&lt;001] and the effect size (d = 0.87) i</t>
  </si>
  <si>
    <r>
      <rPr>
        <rFont val="Calibri"/>
        <sz val="11.0"/>
      </rPr>
      <t xml:space="preserve">t(86) = 2.420, p = .018 from </t>
    </r>
    <r>
      <rPr>
        <rFont val="Calibri"/>
        <color rgb="FF1155CC"/>
        <sz val="11.0"/>
        <u/>
      </rPr>
      <t>https://osf.io/4ewkh</t>
    </r>
  </si>
  <si>
    <t>XPHI26_1</t>
  </si>
  <si>
    <t>XPHI26</t>
  </si>
  <si>
    <t>The number of participants corresponds to the effective sample size listed in the table. This number also aligns with the ANOVA.</t>
  </si>
  <si>
    <t>Alicke, M. D., Rose, D., &amp; Bloom, D. (2011). Causation, norm violation, and culpable control. The Journal of Philosophy, 108(12), 670-696.</t>
  </si>
  <si>
    <t>10.5840/jphil20111081238</t>
  </si>
  <si>
    <t>causation, norm violation, culpable control</t>
  </si>
  <si>
    <t>CAUSATION, NORM VIOLATION, AND CULPABLE CONTROL</t>
  </si>
  <si>
    <t xml:space="preserve">Significant interactions between the drug decision (that is, to violate the norm and administer the drug or to adhere to the norm and reftise the drug) and ... on ratings of his causal involvement, E{1, 213) = 13.05, p &lt; .001, supported culpable-control predictions. </t>
  </si>
  <si>
    <t>p 10,11</t>
  </si>
  <si>
    <t>F(1, 213) = 13.05</t>
  </si>
  <si>
    <t>Interaction effect, F(1, 213) = 13.05, p &lt; .001, p. 10 second effect</t>
  </si>
  <si>
    <t xml:space="preserve">F(1, 213) = 13.05 </t>
  </si>
  <si>
    <r>
      <rPr>
        <rFont val="Calibri"/>
        <sz val="11.0"/>
      </rPr>
      <t xml:space="preserve">p. 10 and </t>
    </r>
    <r>
      <rPr>
        <rFont val="Calibri"/>
        <color rgb="FF1155CC"/>
        <sz val="11.0"/>
        <u/>
      </rPr>
      <t>https://osf.io/4ewkh</t>
    </r>
  </si>
  <si>
    <t>https://doi.org/10.17605/OSF.IO/QP8V3</t>
  </si>
  <si>
    <t>10.5840--jphil20111081238.pdf</t>
  </si>
  <si>
    <t xml:space="preserve">Significant interactions between the drug decision (that is, to violate the norm and administer the drug or to adhere to the norm and reftise the drug) and ... on ratings of his causal involvement, F{1, 213) = 13.05, p &lt; .001, supported culpable-control predictions. </t>
  </si>
  <si>
    <t xml:space="preserve"> F{1, 213) = 13.05</t>
  </si>
  <si>
    <t>Interaction effect, F(1, 213) = 13.05, p &lt; .001</t>
  </si>
  <si>
    <t>F(1, 213) = 0.98</t>
  </si>
  <si>
    <r>
      <rPr>
        <rFont val="&quot;Helvetica Neue&quot;"/>
        <color rgb="FF1155CC"/>
        <sz val="11.0"/>
        <u/>
      </rPr>
      <t>osf.io/4yuym</t>
    </r>
  </si>
  <si>
    <t>XPHI26_b</t>
  </si>
  <si>
    <t>The number of participants corresponds to the total number of reported participants. No exclusions were mentioned, but the ANOVA might suggest that fewer participants were possibly involved.</t>
  </si>
  <si>
    <t>extra result (not included in XPHI table), values for O wasn't filled, so I extracted it myself (Aleksandr P.)</t>
  </si>
  <si>
    <t>"Significant interactions between the drug decision (that is, to violate the norm and administer the drug or to adhere to the norm and reftise the drug) and the outcome of the decision (that is, recovery, death, or no outcome) on evaluations (that is, blame/praise) of the physician's decision, F(2, 313) = 11.28, p &lt; .0001", "In general, therefore, the findings of this study are consistent with the culpable-control model and very difficult to explain from a norm-violation perspective. First, the data support the culpable-control model's assumption that there are two important sources of evaluation in this scenario: the physician's decision to go along with or to violate the hospital's policy, and the patient's death or survival. The results show that the physician in Hitchcock and Knobe's original scenario would have been viewed very negatively if not for the fortuitous outcome of the patient's recovery, and he was not viewed very positively even with this happy consequence. These findings are consistent with the culpable-control assumption that the physician's decision to contravene hospital policy provided a strong initial basis for blame. When the patient died as a result, this negative outcome counted as a severely aggravating circumstance that further elevated the physician's perceived causal role. However, when the physician was viewed positively for following the hospital's policy, he was not viewed as any more causal as a result of the patient's death in comparison to when the patient survived."</t>
  </si>
  <si>
    <t>10, 11</t>
  </si>
  <si>
    <t>F(2, 313) = 11.2</t>
  </si>
  <si>
    <t xml:space="preserve"> p. 10</t>
  </si>
  <si>
    <t>F(2, 313) = 11.28</t>
  </si>
  <si>
    <t>XPHI26_c</t>
  </si>
  <si>
    <t>"When the physician followed hospital policy, evaluations of his decision were relatively favorable regardless of the outcome, although they were significantly reduced by the fact of the patient's death, F(1, 313) = 23.92, p &lt; .0001.", "In general, therefore, the findings of this study are consistent with the culpable-control model and very difficult to explain from a norm-violation perspective. First, the data support the culpable-control model's assumption that there are two important sources of evaluation in this scenario: the physician's decision to go along with or to violate the hospital's policy, and the patient's death or survival. The results show that the physician in Hitchcock and Knobe's original scenario would have been viewed very negatively if not for the fortuitous outcome of the patient's recovery, and he was not viewed very positively even with this happy consequence. These findings are consistent with the culpable-control assumption that the physician's decision to contravene hospital policy provided a strong initial basis for blame. When the patient died as a result, this negative outcome counted as a severely aggravating circumstance that further elevated the physician's perceived causal role. However, when the physician was viewed positively for following the hospital's policy, he was not viewed as any more causal as a result of the patient's death in comparison to when the patient survived."</t>
  </si>
  <si>
    <t>F(1, 313) = 23.92</t>
  </si>
  <si>
    <t>XPHI26_d</t>
  </si>
  <si>
    <t>"These findings show that when the physician violated hospital policy, he was viewed more negatively when the patient died than when he lived, F(1, 313) = 48.59, p &lt; .0001", "In general, therefore, the findings of this study are consistent with the culpable-control model and very difficult to explain from a norm-violation perspective. First, the data support the culpable-control model's assumption that there are two important sources of evaluation in this scenario: the physician's decision to go along with or to violate the hospital's policy, and the patient's death or survival. The results show that the physician in Hitchcock and Knobe's original scenario would have been viewed very negatively if not for the fortuitous outcome of the patient's recovery, and he was not viewed very positively even with this happy consequence. These findings are consistent with the culpable-control assumption that the physician's decision to contravene hospital policy provided a strong initial basis for blame. When the patient died as a result, this negative outcome counted as a severely aggravating circumstance that further elevated the physician's perceived causal role. However, when the physician was viewed positively for following the hospital's policy, he was not viewed as any more causal as a result of the patient's death in comparison to when the patient survived."</t>
  </si>
  <si>
    <t>F(1, 313) = 48.59</t>
  </si>
  <si>
    <t>XPHI26_e</t>
  </si>
  <si>
    <t>"These findings show that when the physician violated hospital policy, he was viewed more […] causal in the former case [patient died] than in the latter [patient lived], F(1, 213) = 9.59, p &lt; .01.", "In general, therefore, the findings of this study are consistent with the culpable-control model and very difficult to explain from a norm-violation perspective. First, the data support the culpable-control model's assumption that there are two important sources of evaluation in this scenario: the physician's decision to go along with or to violate the hospital's policy, and the patient's death or survival. The results show that the physician in Hitchcock and Knobe's original scenario would have been viewed very negatively if not for the fortuitous outcome of the patient's recovery, and he was not viewed very positively even with this happy consequence. These findings are consistent with the culpable-control assumption that the physician's decision to contravene hospital policy provided a strong initial basis for blame. When the patient died as a result, this negative outcome counted as a severely aggravating circumstance that further elevated the physician's perceived causal role. However, when the physician was viewed positively for following the hospital's policy, he was not viewed as any more causal as a result of the patient's death in comparison to when the patient survived."</t>
  </si>
  <si>
    <t>F(1, 213) = 9.59</t>
  </si>
  <si>
    <t>XPHI26_f</t>
  </si>
  <si>
    <t>"First, the physician who violated the hospital's policy but had the fortuitous outcome of the patient recovering (as in Hitchcock and Knobe's scenario) was viewed far more negatively (that is, as relatively more blameworthy) than the physician who respected the hospital's policy and obtained the same outcome, F(1, 313) = 56.28, p &lt; .0001.", "In general, therefore, the findings of this study are consistent with the culpable-control model and very difficult to explain from a norm-violation perspective. First, the data support the culpable-control model's assumption that there are two important sources of evaluation in this scenario: the physician's decision to go along with or to violate the hospital's policy, and the patient's death or survival. The results show that the physician in Hitchcock and Knobe's original scenario would have been viewed very negatively if not for the fortuitous outcome of the patient's recovery, and he was not viewed very positively even with this happy consequence. These findings are consistent with the culpable-control assumption that the physician's decision to contravene hospital policy provided a strong initial basis for blame. When the patient died as a result, this negative outcome counted as a severely aggravating circumstance that further elevated the physician's perceived causal role. However, when the physician was viewed positively for following the hospital's policy, he was not viewed as any more causal as a result of the patient's death in comparison to when the patient survived."</t>
  </si>
  <si>
    <t>F(1, 313) = 56.28</t>
  </si>
  <si>
    <t>XPHI26_g</t>
  </si>
  <si>
    <t>"Comparisons between the no-outcome conditions were also revealing. As we assumed, the physician who violated hospital policy was viewed very negatively, whereas the physician who followed hospital policy was viewed very positively, F(1, 313) = 188.24, p &lt; .0001.", "In general, therefore, the findings of this study are consistent with the culpable-control model and very difficult to explain from a norm-violation perspective. First, the data support the culpable-control model's assumption that there are two important sources of evaluation in this scenario: the physician's decision to go along with or to violate the hospital's policy, and the patient's death or survival. The results show that the physician in Hitchcock and Knobe's original scenario would have been viewed very negatively if not for the fortuitous outcome of the patient's recovery, and he was not viewed very positively even with this happy consequence. These findings are consistent with the culpable-control assumption that the physician's decision to contravene hospital policy provided a strong initial basis for blame. When the patient died as a result, this negative outcome counted as a severely aggravating circumstance that further elevated the physician's perceived causal role. However, when the physician was viewed positively for following the hospital's policy, he was not viewed as any more causal as a result of the patient's death in comparison to when the patient survived."</t>
  </si>
  <si>
    <t>F(1, 313) = 188.2</t>
  </si>
  <si>
    <t>F(1, 313) = 188.24</t>
  </si>
  <si>
    <t>XPHI27_1</t>
  </si>
  <si>
    <t>XPHI27</t>
  </si>
  <si>
    <t>There was no testing of participants. The study was about search hits.; No test statistics are reported in the original article, but the table includes a reconstructed Chi-squared test: X2(1, N = 15664) = 1512.4, p &lt; 0.001</t>
  </si>
  <si>
    <t>Reuter, K. (2011). Distinguishing the appearance from the reality of pain. Journal of Consciousness Studies, 18(9-10), 94-109.</t>
  </si>
  <si>
    <t>art00005</t>
  </si>
  <si>
    <t>reality of pain, appearance of pain</t>
  </si>
  <si>
    <t>"On average, when pain is less intense, people use the ‘feeling pain’ expression slightly more often compared to the ‘having pain’ expression, but when the pain is intense, people choose to express themselves with the ‘having pain’ expression around three to four times more often compared to the ‘feeling pain’ expression."</t>
  </si>
  <si>
    <t>0.27</t>
  </si>
  <si>
    <t>There was no testing of participants. The study was about search hits.; No test statistics are reported in the original article, but the table includes a reconstructed Chi-squared test: X2(1, N = 15664) = 1512.4, p &lt; 0.001.  Matching statistics not found in the paper. N, ES and P value for O extracted based on the XPHI</t>
  </si>
  <si>
    <t>distinguishing the appearance from the reality of pain</t>
  </si>
  <si>
    <t>X2(1, N = 15664) = 1512.4, p &lt; 0.001 from replication dataset https://osf.io/4ewkh</t>
  </si>
  <si>
    <r>
      <rPr>
        <rFont val="Calibri"/>
        <sz val="11.0"/>
      </rPr>
      <t xml:space="preserve">X2(1, N = 2211) = 159.39, p &lt; 0.001 from "Reuter" row in </t>
    </r>
    <r>
      <rPr>
        <rFont val="Calibri"/>
        <color rgb="FF1155CC"/>
        <sz val="11.0"/>
        <u/>
      </rPr>
      <t>https://osf.io/4ewkh</t>
    </r>
  </si>
  <si>
    <t>XPHI28_1</t>
  </si>
  <si>
    <t>XPHI28</t>
  </si>
  <si>
    <t>XPHI also statest partial η2 = .16 as ES for O</t>
  </si>
  <si>
    <t>Sarkissian, H., Park, J., Tien, D., Wright, J. C., &amp; Knobe, J. (2011). Folk moral relativism. Mind &amp; Language, 26(4), 482-505.</t>
  </si>
  <si>
    <t>10.1111/j.1468-0017.2011.01428.x</t>
  </si>
  <si>
    <t>10.1111--j.1468-0017.2011.01428.x.pdf</t>
  </si>
  <si>
    <t>Dual-process model, Moral decision making, Moral judgment, Moral psychology, Moral reasoning, Morality, Reflection, Social intuitionist model</t>
  </si>
  <si>
    <t>Moral decision making</t>
  </si>
  <si>
    <t>There was no main effect of transgression and no interaction effect. However, there was a significant main effect of condition,</t>
  </si>
  <si>
    <t>p. 488</t>
  </si>
  <si>
    <t>F (2, 218) = 20.7</t>
  </si>
  <si>
    <t>F(2,360) = 20.9</t>
  </si>
  <si>
    <r>
      <rPr>
        <rFont val="&quot;Helvetica Neue&quot;"/>
        <color rgb="FF1155CC"/>
        <sz val="11.0"/>
        <u/>
      </rPr>
      <t>osf.io/dbx75/</t>
    </r>
  </si>
  <si>
    <t>XPHI29_1</t>
  </si>
  <si>
    <t>XPHI29</t>
  </si>
  <si>
    <t>There is a second preregistration: https://doi.org/10.17605/OSF.IO/ERB5W</t>
  </si>
  <si>
    <t>individuals who reflected more on the CRT made more utilitarian judgments</t>
  </si>
  <si>
    <t>"Results confirmed our first prediction: Subjects in the CRT-First condition judged the utilitarian actions to be more acceptable (CRT-First: M = 3.77; Dilemmas-First: M = 3.25; t(90) = 2.03, p = .05, d = 0.43).", "overall results of Experiment 1 indicate that it is possible to increase utilitarian judgment by inducing a more reflective state of mind [...] All of the above results are consistent in associating utilitarian judgments with greater reflectiveness."</t>
  </si>
  <si>
    <t>4, 7</t>
  </si>
  <si>
    <t>0.13</t>
  </si>
  <si>
    <t>https://doi.org/10.17605/OSF.IO/5NZ6W</t>
  </si>
  <si>
    <t>10.1111--j.1551-6709.2011.01210.x.pdf</t>
  </si>
  <si>
    <t xml:space="preserve">Results confirmed our first prediction: Subjects in the CRT-First condition judged the utilitarian actions to be more
acceptable </t>
  </si>
  <si>
    <t>p. 166</t>
  </si>
  <si>
    <t>p. 166 CRT-First: M = 3.77; Dilemmas-First: M = 3.25; t(90) = 2.03, p = .05, d = 0.43).</t>
  </si>
  <si>
    <t>t(296) = 1.16, p = 0.24</t>
  </si>
  <si>
    <r>
      <rPr>
        <rFont val="&quot;Helvetica Neue&quot;"/>
        <color rgb="FF1155CC"/>
        <sz val="11.0"/>
        <u/>
      </rPr>
      <t>osf.io/ejmyw</t>
    </r>
  </si>
  <si>
    <t>XPHI29_b</t>
  </si>
  <si>
    <t>"Again collapsing across all three dilemmas, we examined data from subjects in the CRT-First condition and observed a robust positive correlation between CRT scores and moral acceptability ratings, consistent with our second prediction (r = .39, p = .001", "overall results of Experiment 1 indicate that it is possible to increase utilitarian judgment by inducing a more reflective state of mind [...] All of the above results are consistent in associating utilitarian judgments with greater reflectiveness."</t>
  </si>
  <si>
    <t>0.39</t>
  </si>
  <si>
    <t>0.08</t>
  </si>
  <si>
    <t>https://osf.io/mjvsd</t>
  </si>
  <si>
    <t>XPHI3_1</t>
  </si>
  <si>
    <t>XPHI3</t>
  </si>
  <si>
    <t>Machery, E., Mallon, R., Nichols, S., &amp; Stich, S. P. (2004). Semantics, cross-cultural style. Cognition, 92(3), B1-B12.</t>
  </si>
  <si>
    <t>10.1016/j.cognition.2003.10.003</t>
  </si>
  <si>
    <t>Semantic intuitions, Proper names, Reference, Cultural differences, Kripke, Descriptivism;,Causal historical theory</t>
  </si>
  <si>
    <t>Westerners are more likely than East Asians to report intuitions that are consistent with the causal-historical view</t>
  </si>
  <si>
    <t>"An independent samples t-test yielded a significant difference between Chinese and Western participants on the Godel cases (t(70 = -2.55, P &lt; 0.05) (all tests two-tailed). The Westerners were more likely than the Chinese to give causal-historical responses. However, in the Jonah cases, there was no significant difference between Chinese and Western participants (t(69)  = 0.486, n.s.).", "Our central prediction was that, given Westerners’ greater tendency to make causation based judgments, they would be more likely than the Chinese to have intuitions that fall in line with causal-historical accounts of reference. This prediction was borne out in our experiment. We found the predicted systematic cultural differences on one of the best known thought experiments in recent philosophy of language, Kripke’s Göddel case."</t>
  </si>
  <si>
    <t>t(70) = -2.55</t>
  </si>
  <si>
    <t>https://doi.org/10.17605/OSF.IO/SSDMT</t>
  </si>
  <si>
    <t xml:space="preserve">t value extracted in compliance with O, XPHI also ststes ES d = 0.61 </t>
  </si>
  <si>
    <t>added study numbers in original ref</t>
  </si>
  <si>
    <t>1+2</t>
  </si>
  <si>
    <t>10.1016--j.cognition.2003.10.003.pdf</t>
  </si>
  <si>
    <t>p, 7 t(70) = -2.55 p &lt; .05</t>
  </si>
  <si>
    <t>t(179) = 0.004</t>
  </si>
  <si>
    <t>t(179) = 0.004, p =.99</t>
  </si>
  <si>
    <t>https://osf.io/ssdmt</t>
  </si>
  <si>
    <t>XPHI30_1</t>
  </si>
  <si>
    <t>XPHI30</t>
  </si>
  <si>
    <t>Participants in the thief contrast condition tended to agree with the knowledge ascription they received (mean rating: 4.6), while participants in the jewel contrast condition tended to disagree with the knowledge ascription they received (mean rating: 3.1).</t>
  </si>
  <si>
    <t>p. 690</t>
  </si>
  <si>
    <t>p. 705 t(98) = 3.4, p = .001</t>
  </si>
  <si>
    <t>p &lt;.001</t>
  </si>
  <si>
    <r>
      <rPr>
        <rFont val="&quot;Helvetica Neue&quot;"/>
        <color rgb="FF1155CC"/>
        <sz val="11.0"/>
        <u/>
      </rPr>
      <t>osf.io/pfng2</t>
    </r>
  </si>
  <si>
    <t>XPHI31_1</t>
  </si>
  <si>
    <t>XPHI31</t>
  </si>
  <si>
    <t>There was no preregistration under "registrations"</t>
  </si>
  <si>
    <t xml:space="preserve">Entry selected as it had most accurate reporitng of effect sizes (full test statistic), 
Also added description (originally missing from both entries), 
and investigated links - prereplication forms are not preregistrations (contain no information about planned sampling, analytics, or exclusions). </t>
  </si>
  <si>
    <t>May, J., &amp; Holton, R. (2012). What in the world is weakness of will?. Philosophical Studies, 157, 341-360.</t>
  </si>
  <si>
    <t>10.1007/s11098-010-9651-8</t>
  </si>
  <si>
    <t>https://osf.io/pvem4</t>
  </si>
  <si>
    <t>Akrasia  Weakness of will,  Intention, Resolution, Prototype concepts, Knobe effect</t>
  </si>
  <si>
    <t>When looking at action valence, people are more inclined to agree with the attribution of weakness of will when the valence of the action the agent ends up succumbing to perform is bad as opposed to neutral.</t>
  </si>
  <si>
    <t>"an analysis of the data revealed a significant effect of the Action-Valence variable such that subjects are more inclined to agree with the attribution of weakness of will when the valence of the action the agent ends up succumbing to perform is bad as opposed to neutral.", F(1, 113) = 4.10, p = .045. Confirmed by a 2 (bad intention versus neutral intention) X 2 (bad action versus neutral action) between-subjects ANOVA.", "In addition to supporting our proto-type account, the results of Experiment 3 are independently interesting. They indicate that normative or evaluative considerations affect people’s judgments about whether an agent is being weak-willed."</t>
  </si>
  <si>
    <t>15, 16</t>
  </si>
  <si>
    <t>F(1, 113) = 4.10</t>
  </si>
  <si>
    <t>F(1, 364) = 7.06</t>
  </si>
  <si>
    <t>XPHI also states ES for O - partial η2 = .035, and for R - partial η2 = 0.019, also N for R extracted from N R overall (N ES is missing), looks correct based on F</t>
  </si>
  <si>
    <t>10.1007--s11098-010-9651-8.pdf</t>
  </si>
  <si>
    <t>Moreover, an analysis of the data revealed a significant effect of the Action-Valence variable such that subjects are more inclined to agree with the attribution of weakness of will when the valence of the action the agent ends up succumbing to perform is bad as opposed to neutral.</t>
  </si>
  <si>
    <t>p. 355</t>
  </si>
  <si>
    <r>
      <rPr>
        <rFont val="&quot;Helvetica Neue&quot;"/>
        <color rgb="FFFF0000"/>
        <sz val="11.0"/>
        <u/>
      </rPr>
      <t>osf.io/s37h6/</t>
    </r>
  </si>
  <si>
    <t>XPHI32_1</t>
  </si>
  <si>
    <t>XPHI32</t>
  </si>
  <si>
    <t>The authors of the replication study used a GEE analysis and described their results as follows " We found a significant difference in knowledge ascriptions between Standard True Belief cases and Gettier cases (X2= 58.23, df =1, N = 63, p &lt; .001, r= 0.96)"</t>
  </si>
  <si>
    <t xml:space="preserve">Entry selected as it had most accurate reporitng of effect sizes (full test statistic, not calculated values via R), 
Also added description (originally missing from both entries), 
and investigated links - prereplication forms are not preregistrations (contain no information about planned sampling, analytics, or exclusions). </t>
  </si>
  <si>
    <t>Nagel, J., San Juan, V., &amp; Mar, R. A. (2013). Lay denial of knowledge for justified true beliefs. Cognition, 129(3), 652-661.</t>
  </si>
  <si>
    <t>10.1016/j.cognition.2013.02.008</t>
  </si>
  <si>
    <t>https://osf.io/skw9u</t>
  </si>
  <si>
    <t>Justified true belief, Knowledge ascription, Gettier cases, Mental state inference, Individual differences, Lay beliefs</t>
  </si>
  <si>
    <t>Knowledge was ascribed standard cases versus in Gettier cases (where a belief can be both justified and true, yet not qualify as knowledge)</t>
  </si>
  <si>
    <t>"There was a greater likelihood of ascribing knowledge in cases of: […] Standard True Belief versus Gettier Cases (X2 = 107.81, df = 1, N = 202, p &lt; .001, B = 1.62, Exp(B) = 5.07)", "Although we have demonstrated that the rates of knowledge ascription for Gettier cases and Skeptical Pressure cases are less than for cases of Standard True Belief, the reasons behind this remain unclear. Gettier cases typically involve circumstances that are trickier than they seem to the agent of the case."</t>
  </si>
  <si>
    <t>6, 7, 8</t>
  </si>
  <si>
    <t>X@(1) = 107.81</t>
  </si>
  <si>
    <t>X2(1) = 58.23</t>
  </si>
  <si>
    <t>ES for O and R in XPHI are absent, so I calculated those myself based on the statistics</t>
  </si>
  <si>
    <t>10.1016--j.cognition.2013.02.008.pdf</t>
  </si>
  <si>
    <t>Knowledge ascription scores</t>
  </si>
  <si>
    <t>There was a greater likelihood of ascribing knowledge in cases of: ... (2) Standard True Belief versus Gettier Cases</t>
  </si>
  <si>
    <t>p.  6</t>
  </si>
  <si>
    <t>X2 = 107.81, df = 1, N = 202, p &lt; .001, B = 1.62, Exp(B) = 5.07</t>
  </si>
  <si>
    <t>p. 2 X2(1, N = 63) = 58.23, p &lt; .001, B = 0.42, Exp(B) = 1.52</t>
  </si>
  <si>
    <r>
      <rPr>
        <rFont val="&quot;Helvetica Neue&quot;"/>
        <color rgb="FF1155CC"/>
        <sz val="11.0"/>
        <u/>
      </rPr>
      <t>osf.io/6yfxz</t>
    </r>
  </si>
  <si>
    <t>XPHI32_b</t>
  </si>
  <si>
    <t>extra result (not included in XPHI table), basically the same, one coder extracted b (unstd), another one - test statistics X2. Otherwise  statistics checked, validated</t>
  </si>
  <si>
    <t>Story type</t>
  </si>
  <si>
    <t>A significant effect of story type was observed (X2 = 247.97, df = 3, N = 207, p &lt; .001)</t>
  </si>
  <si>
    <t>X2(3) = 247.97</t>
  </si>
  <si>
    <t>X2(3) = 103.77</t>
  </si>
  <si>
    <t>p. 2 X2= 103.77, df =3, N = 63, p &lt; .001</t>
  </si>
  <si>
    <r>
      <rPr>
        <rFont val="&quot;Helvetica Neue&quot;"/>
        <color rgb="FF1155CC"/>
        <sz val="11.0"/>
        <u/>
      </rPr>
      <t>osf.io/6yfxz</t>
    </r>
  </si>
  <si>
    <t>"A significant effect of story type was observed (X2 = 247.97, df = 3, N = 207, p &lt; .001)"</t>
  </si>
  <si>
    <t>https://osf.io/exqch</t>
  </si>
  <si>
    <t>https://doi.org/10.17605/OSF.IO/THM7D</t>
  </si>
  <si>
    <t>XPHI32_c</t>
  </si>
  <si>
    <t>Standard True Belief versus Skeptical Pressure</t>
  </si>
  <si>
    <t>There was a greater likelihood of ascribing knowledge in cases of: (1) Standard True Belief versus Skeptical Pressure (X2 = 81.52, df = 1, N = 204, p &lt; .001, B = 1.35, Exp(B) = 3.87)</t>
  </si>
  <si>
    <t>(X2= 28.90, df =1, N = 63, p &lt; .001, B= 0.87)</t>
  </si>
  <si>
    <r>
      <rPr>
        <rFont val="&quot;Helvetica Neue&quot;"/>
        <color rgb="FF1155CC"/>
        <sz val="11.0"/>
        <u/>
      </rPr>
      <t>osf.io/6yfxz</t>
    </r>
  </si>
  <si>
    <t>"There was a greater likelihood of ascribing knowledge in cases of: (1) Standard True Belief versus Skeptical Pressure (X2 = 81.52, df = 1, N = 204, p &lt; .001, B = 1.35, Exp(B) = 3.87)"</t>
  </si>
  <si>
    <t>X2(1) = 81.52</t>
  </si>
  <si>
    <t>X2(1) = 28.90</t>
  </si>
  <si>
    <t>XPHI32_d</t>
  </si>
  <si>
    <t>Standard True Belief vs False Belief</t>
  </si>
  <si>
    <t>There was a greater likelihood of ascribing knowledge in cases of: Standard True Belief vs False Belief</t>
  </si>
  <si>
    <t>p. 2 X2=100.33, df =1, N = 63, p &lt; .001, B= 2.30</t>
  </si>
  <si>
    <r>
      <rPr>
        <rFont val="&quot;Helvetica Neue&quot;"/>
        <color rgb="FF1155CC"/>
        <sz val="11.0"/>
        <u/>
      </rPr>
      <t>osf.io/6yfxz</t>
    </r>
  </si>
  <si>
    <t>"There was a greater likelihood of ascribing knowledge in cases of: Standard True Belief vs False Belief (X2 = 231.60, df = 1, N = 204, p &lt; .001, B = 2.71, Exp(B) = 14.99)"</t>
  </si>
  <si>
    <t>X2(1) = 231.60</t>
  </si>
  <si>
    <t>X2(1) = 100.33</t>
  </si>
  <si>
    <t>XPHI32_e</t>
  </si>
  <si>
    <t>Skeptical Pressure vs False Belief</t>
  </si>
  <si>
    <t>There was a greater likelihood of ascribing knowledge in cases of: Skeptical Pressure vs False Belief</t>
  </si>
  <si>
    <t>p. 2 X2=50.04, df =1, N = 63, p &lt; .001, B= 1.44</t>
  </si>
  <si>
    <r>
      <rPr>
        <rFont val="&quot;Helvetica Neue&quot;"/>
        <color rgb="FF1155CC"/>
        <sz val="11.0"/>
        <u/>
      </rPr>
      <t>osf.io/6yfxz</t>
    </r>
  </si>
  <si>
    <t>"There was a greater likelihood of ascribing knowledge in cases of: Skeptical Pressure vs False Belief (X2 = 59.48, df = 1, N = 197, p &lt; .001, B = 1.45, Exp(B) = 4.27)"</t>
  </si>
  <si>
    <t>X2(1) = 59.48</t>
  </si>
  <si>
    <t>X2(1) = 50.04</t>
  </si>
  <si>
    <t>XPHI32_f</t>
  </si>
  <si>
    <t>Gettier vs False belief</t>
  </si>
  <si>
    <t>There was a greater likelihood of ascribing knowledge in cases of: Gettier vs False belief (X2 = 49.08, df = 1, N = 196, p &lt; .001, B = 1.13, Exp(B) = 3.09)."</t>
  </si>
  <si>
    <t>p. 2 X2= 26.37, df =1, N = 63, p &lt; .001, B= 1.07)</t>
  </si>
  <si>
    <r>
      <rPr>
        <rFont val="&quot;Helvetica Neue&quot;"/>
        <color rgb="FF1155CC"/>
        <sz val="11.0"/>
        <u/>
      </rPr>
      <t>osf.io/6yfxz</t>
    </r>
  </si>
  <si>
    <t>"There was a greater likelihood of ascribing knowledge in cases of: Gettier vs False belief (X2 = 49.08, df = 1, N = 196, p &lt; .001, B = 1.13, Exp(B) = 3.09)."</t>
  </si>
  <si>
    <t>X2(1) = 49.08</t>
  </si>
  <si>
    <t>X2(1) = 26.37</t>
  </si>
  <si>
    <t>XPHI32_g</t>
  </si>
  <si>
    <t>Standard True Belief versus Gettier Cases</t>
  </si>
  <si>
    <t xml:space="preserve">Lay denial of knowledge for justified true beliefs
</t>
  </si>
  <si>
    <t>p. 2 X2= 58.23, df =1, N = 63, p &lt; .001, B= 1.32</t>
  </si>
  <si>
    <r>
      <rPr>
        <rFont val="&quot;Helvetica Neue&quot;"/>
        <color rgb="FF1155CC"/>
        <sz val="11.0"/>
        <u/>
      </rPr>
      <t>osf.io/6yfxz</t>
    </r>
  </si>
  <si>
    <t>XPHI33_1</t>
  </si>
  <si>
    <t>XPHI33</t>
  </si>
  <si>
    <t>The replication report states that the influence of participants gender was also analyzed. If this is also relevant, I am happy to code it too: "Third, following up on Starmans and Friedman’s results (2009), the authors investigated whether participants’ gender made a difference in terms of the dependent variable by testing the main effect of gender and its interaction with the outcome factor within scenario types. As in the original study, none of these tests yielded a significant result [Water (gender): F(1,100) = 0.224, p = .64; Water (gender * condition): F(1,100) = 3.55, p= .062; Movies (gender): F(1,100) = 0.053, p = .82; Movies (gender * condition): F(1,100) =0.22, p = .64; Sales (gender): F(1,102) = 0.53, p = .47; Sales (gender * condition): F(1,102) =0.0003, p = .99; Nazi (gender): F(1,98) = 1.59, p = .21; Nazi (gender * condition): F(1,98) =0.87, p = .35]." (replication report, p. 7)</t>
  </si>
  <si>
    <t xml:space="preserve">Entry selected as it had most accurate reporitng of effect sizes (full test statistic, not F value only), 
Also added description (originally missing from both entries), 
and investigated links - preregistration for replication added. </t>
  </si>
  <si>
    <t>Beebe, J. R., &amp; Shea, J. (2013). Gettierized Knobe effects. Episteme, 10(3), 219-240.</t>
  </si>
  <si>
    <t>10.1017/epi.2013.23</t>
  </si>
  <si>
    <t>https://osf.io/gme8f</t>
  </si>
  <si>
    <r>
      <rPr>
        <rFont val="Calibri"/>
        <color theme="1"/>
        <sz val="11.0"/>
      </rPr>
      <t xml:space="preserve">knobe effects, </t>
    </r>
    <r>
      <rPr>
        <rFont val="Calibri"/>
        <color rgb="FF00FF00"/>
        <sz val="11.0"/>
      </rPr>
      <t>experimental philosophy</t>
    </r>
  </si>
  <si>
    <t>People are more likely to attribute knowledge in familiar Gettier cases when the would-be knowers are performing actions that are negative in some way (e.g. harmful, blameworthy, norm-violating) than when they are performing positive or neutral actions</t>
  </si>
  <si>
    <t xml:space="preserve">"Nevertheless, treating Experiment 1 as having a 4 × 2 design and analyzing the results with a two-way ANOVA reveals a main effect for the ‘full/violate’ variable with a small to medium effect size." </t>
  </si>
  <si>
    <t>0.28</t>
  </si>
  <si>
    <t>F(1, 410) = 55.8</t>
  </si>
  <si>
    <t>https://osf.io/ay2ye</t>
  </si>
  <si>
    <t>O also states that r = 0.28., XPHI also states partial η2 = .078 for O and partial η2 = 0.12 for R</t>
  </si>
  <si>
    <t>10.1017--epi.2013.23.pdf</t>
  </si>
  <si>
    <r>
      <rPr>
        <rFont val="Calibri"/>
        <color rgb="FF00FF00"/>
        <sz val="11.0"/>
      </rPr>
      <t>knobe effects</t>
    </r>
    <r>
      <rPr>
        <rFont val="Calibri"/>
        <color theme="1"/>
        <sz val="11.0"/>
      </rPr>
      <t>, experimental philosophy</t>
    </r>
  </si>
  <si>
    <t>Nevertheless, treating Experiment 1 as having a 4 × 2 design and analyzing the results with a two-way ANOVA reveals a main effect for the ‘fulll/violate’ variable with a small to medium effect size</t>
  </si>
  <si>
    <t>p. 226</t>
  </si>
  <si>
    <t>F(1, 368) = 31.127</t>
  </si>
  <si>
    <t xml:space="preserve">p. 226 </t>
  </si>
  <si>
    <t>XPHI33_b</t>
  </si>
  <si>
    <t>knobe effects</t>
  </si>
  <si>
    <t>"However, only in WATER and NAZI was the difference between the means in the ‘fulll’ and ‘violate’ conditions statistically signicant; the effect sizes were small and medium, respectively.", "Water: t(88) = −2.462, p &lt; 0.05, r = 0.25;"</t>
  </si>
  <si>
    <t>0.25</t>
  </si>
  <si>
    <t>https://osf.io/4ydaf</t>
  </si>
  <si>
    <t>https://doi.org/10.17605/OSF.IO/AY2YE</t>
  </si>
  <si>
    <t>XPHI33_c</t>
  </si>
  <si>
    <t>"However, only in WATER and NAZI was the difference between the means in the ‘full’ and ‘violate’ conditions statistically signicant; the effect sizes were small and medium, respectively.", "Movies: t(92) = −1.804, p &gt; 0.05, r = 0.18;"</t>
  </si>
  <si>
    <t>0.18</t>
  </si>
  <si>
    <t>1.2</t>
  </si>
  <si>
    <t>XPHI33_d</t>
  </si>
  <si>
    <t>"However, only in WATER and NAZI was the difference between the means in the ‘full’ and ‘violate’ conditions statistically signicant; the effect sizes were small and medium, respectively.", "Sales: t(92) = −1.807, p &gt; 0.05, r = 0.19;"</t>
  </si>
  <si>
    <t>0.19</t>
  </si>
  <si>
    <t>0.75</t>
  </si>
  <si>
    <t>XPHI33_e</t>
  </si>
  <si>
    <t>"However, only in WATER and NAZI was the difference between the means in the ‘full’ and ‘violate’ conditions statistically signicant; the effect sizes were small and medium, respectively.", "Nazi: t(90) = −5.15, p &lt; 0.0001, r = 0.48."</t>
  </si>
  <si>
    <t>0.48</t>
  </si>
  <si>
    <t>0.41</t>
  </si>
  <si>
    <t>XPHI34_1</t>
  </si>
  <si>
    <t>XPHI34</t>
  </si>
  <si>
    <t>Test statistics: Structural Equation Modelling (Chi-square)</t>
  </si>
  <si>
    <t>Rose, D., &amp; Nichols, S. (2013). The lesson of bypassing. Review of Philosophy and Psychology, 4, 599-619.</t>
  </si>
  <si>
    <t>10.1007/s13164-013-0154-3</t>
  </si>
  <si>
    <t>https://osf.io/qju6y</t>
  </si>
  <si>
    <r>
      <rPr>
        <rFont val="Calibri"/>
        <color theme="1"/>
        <sz val="11.0"/>
      </rPr>
      <t>incompatilism, bypassing,</t>
    </r>
    <r>
      <rPr>
        <rFont val="Calibri"/>
        <color rgb="FF00FF00"/>
        <sz val="11.0"/>
      </rPr>
      <t xml:space="preserve"> experimental philosophy</t>
    </r>
  </si>
  <si>
    <t>the bypassing results suggest that incompatibilism runs even deeper than previously recognized</t>
  </si>
  <si>
    <t>"The model returned from GES [Greedy Equivalence Search] was the MR/FW [moral responsibility and free will] Incompatibilist Model. The model indicates that Determinism directly causes MR/FW and that MR/FW causes Bypassing. The model also tells us that once we condition on MR/FW, the effects of Determinism on Bypassing are screened off. That is, once we factor in how people respond on MR/FW, Determinism does not predict Bypassing responses (see Fig. 2).", " This model was a very good fit of the data, X2 (1)=.9026, p=.3421, BIC=−3.1918."</t>
  </si>
  <si>
    <t>X2(1) = 0.9026</t>
  </si>
  <si>
    <t>X2(1) = 0.198</t>
  </si>
  <si>
    <r>
      <rPr>
        <rFont val="Aptos, sans-serif"/>
        <color rgb="FF00FF00"/>
        <sz val="12.0"/>
        <u/>
      </rPr>
      <t>https://osf.io/4ewkh</t>
    </r>
  </si>
  <si>
    <t>https://osf.io/7en89</t>
  </si>
  <si>
    <t>ES for O and R are absent</t>
  </si>
  <si>
    <t>10.1007--s13164-013-0154-3.pdf</t>
  </si>
  <si>
    <r>
      <rPr>
        <rFont val="Calibri"/>
        <color rgb="FF00FF00"/>
        <sz val="11.0"/>
      </rPr>
      <t>incompatilism, bypassing</t>
    </r>
    <r>
      <rPr>
        <rFont val="Calibri"/>
        <color theme="1"/>
        <sz val="11.0"/>
      </rPr>
      <t>, experimental philosophy</t>
    </r>
  </si>
  <si>
    <t>The model returned from GES was the MR/FW Incompatibilist Model.</t>
  </si>
  <si>
    <t>X2(1, N = 60) =.9026, p=.3421</t>
  </si>
  <si>
    <t>X2(1, N = 155) = .198, p = .656</t>
  </si>
  <si>
    <t>XPHI35_1</t>
  </si>
  <si>
    <t>XPHI35</t>
  </si>
  <si>
    <t>3 preregistrations: https://doi.org/10.17605/OSF.IO/RX9ZP https://doi.org/10.17605/OSF.IO/VYWMY; The used a Sobel test; The replication report states that pearson correlation coefficients between the MR/FWand Bypassing composite scores were computed for each scenario. If this is also relevant, I am happy to code it too: I"n the original study, Pearson correlation coefficients between the MR/FW and Bypassing composite scores were computed for each scenario, and a strong inverse correlation between Bypassingand MR/FWscores were found in each scenario (NK abstract: r(75) = -0.65, p&lt; 0.001; NMNT abstract: r(54) = -0.803, p&lt; 0.001). Collapsing across all four surveys, the correlation coefficient between Bypassing and MR/FW scores was high: r(247) = -0.734, p&lt; 0.001.  Likewise, in the replication study, a strong inverse correlation between Bypassing and MR/FW scores were found in each scenario (NK abstract: r(161) = -0.65, p&lt; 0.001; NMNT abstract: r(174)= -0.75, p&lt; 0.001).And collapsing across bothsurveys, the correlation coefficient between Bypassingand MR/FW scores was high: r(335) = -0.72, p&lt; 0.001." (replication report, p. 6)</t>
  </si>
  <si>
    <t xml:space="preserve">Entry selected as it had most accurate reporting - reported sobel test as suggested by the XPHI data table and confirmed byt the original reports, 
Also added description (originally missing from both entries), 
and investigated links - preregistration for replication added. </t>
  </si>
  <si>
    <t>Murray, D., &amp; Nahmias, E. (2014). Explaining away incompatibilist intuitions. Philosophy and Phenomenological Research, 88(2), 434-467.</t>
  </si>
  <si>
    <t>10.1111/j.1933-1592.2012.00609.x</t>
  </si>
  <si>
    <t>https://osf.io/q267x</t>
  </si>
  <si>
    <t>incompatilism, bypassing</t>
  </si>
  <si>
    <t>When participants understand what determinism does mean, the vast majority take it to be compatible with free will. Further results indicate that most people’s concepts of choice and the ability to do otherwise do not commit them to incompatibilism, either, putting pressure on incompatibilist arguments that rely on transfer principles, such as the Consequence Argument</t>
  </si>
  <si>
    <t>"Mediation Analysis. Standardized regression coefficients for the relationships between Description of Determinism (N&amp;K vs.NMNT),  MR⁄FW  judgments,  and  Bypassing  judgments.  (Sobeltest = 2.286,p&lt; .022). *p= .022, **p&lt; .001."; "Once we take into account theeffect of Bypassing as a mediating variable, the difference between N&amp;K’s and NMNT’s descriptions of determinism no longer has asignificant effect on MR⁄FW judgments, which suggests that the difference in MR⁄FW responses between the two abstract conditions of the scenarios was largely caused by people’s Bypassing judgments. This result of the mediation analysis indicates that when participants read a scenario describing determinism, which description they read (N&amp;K versus NMNT) had no significant causal effect on their MR⁄FW scores over and above the effect it had in virtue of causing different interpretations of whether the scenario involved bypassing."</t>
  </si>
  <si>
    <t>sobel test = 2.286</t>
  </si>
  <si>
    <t>sobel test = 3.82</t>
  </si>
  <si>
    <r>
      <rPr>
        <rFont val="Aptos, sans-serif"/>
        <color rgb="FF00FF00"/>
        <sz val="12.0"/>
        <u/>
      </rPr>
      <t>https://osf.io/4ewkh</t>
    </r>
  </si>
  <si>
    <t>https://osf.io/3g3hv</t>
  </si>
  <si>
    <t>Not sure what exactly was replicated, ES for O absent in XPHI. Extracted claim is my best quess based on the available info. XPHI states for R: R2 = 0.066</t>
  </si>
  <si>
    <t>10.1111--j.1933-1592.2012.00609.x.pdf</t>
  </si>
  <si>
    <t>Mediation analyses involve the speci- fication of a causal model between three variables and the strengths of the paths between them using multiple regression (see Figure 2). They are designed to determine whether the effect of one variable (in our case, the description of determinism: N&amp;K’s vs. NMNT’s) on another variable (MR⁄FW judgments) is mediated by a third variable (Bypassing). If the description of determinism no longer has a significant effect on MR⁄FW once Bypassing is taken into account, then mediation obtains, which provides evidence that the difference between N&amp;K’s and NMNT’s descriptions of determinism makes a difference to people’s judgments about MR⁄FW because of the difference in the degree to which people interpret the descriptions to involve bypassing.
And this is exactly what we found.</t>
  </si>
  <si>
    <t>p. 15, Figure 2. Sobel test = 2.286, p &lt; .022</t>
  </si>
  <si>
    <t>Sobel test = 3.82, p = 0.0001</t>
  </si>
  <si>
    <t>XPHI35_b</t>
  </si>
  <si>
    <t>Number of participants derived from t-test</t>
  </si>
  <si>
    <t>extra result (not included in XPHI table) es_repr_r corrected</t>
  </si>
  <si>
    <t xml:space="preserve">"The first regression equation useddescription of determinism (N&amp;K abstract, NMNT abstract) to predict MR⁄FW score and yielded a significant effect: t(132) = 2.973, p= .004, showing that N&amp;K abstract prompted participants to respond that agents donothave moral responsi-bility and free will more than NMNT abstract." </t>
  </si>
  <si>
    <t>t(132) = 2.973</t>
  </si>
  <si>
    <t>0.30</t>
  </si>
  <si>
    <t>https://doi.org/10.17605/OSF.IO/3G3HV</t>
  </si>
  <si>
    <t>XPHI35_c</t>
  </si>
  <si>
    <t>"The second regression equation estimated changes in Bypassing score using description of determinism and also yielded a significant effect: t(132) = - 2.319, p = .022, showing that participants interpreted N&amp;K abstract to involve bypassing more than they did NMNT abstract"</t>
  </si>
  <si>
    <t>t(132) = - 2.319</t>
  </si>
  <si>
    <t>0.21</t>
  </si>
  <si>
    <t>XPHI36_1</t>
  </si>
  <si>
    <t>XPHI36</t>
  </si>
  <si>
    <t xml:space="preserve">Entry selected as it had most accurate reporting - replicated p value correct,
Also added description (originally missing from both entries), 
and investigated links - preregistration for replication added. </t>
  </si>
  <si>
    <t>Grau, C., &amp; Pury, C. L. (2014). Attitudes towards reference and replaceability. Review of Philosophy and Psychology, 5(2), 155-168</t>
  </si>
  <si>
    <t>10.1007/s13164-013-0162-3</t>
  </si>
  <si>
    <t>https://osf.io/spwxg</t>
  </si>
  <si>
    <t>replaceability, attitude towards refernce</t>
  </si>
  <si>
    <t>Individuals with Kripkean intuitions were indeed more likely to value loved ones (and other persons and things) as irreplaceable</t>
  </si>
  <si>
    <r>
      <rPr>
        <rFont val="Calibri"/>
        <color theme="1"/>
        <sz val="11.0"/>
      </rPr>
      <t xml:space="preserve">"As predicted by Hypothesis 1 and shown in the first row, Kripkeans rated having the same feelings toward a replaced Loved One as significantly both less likely and less appropriate than Descriptivists. </t>
    </r>
    <r>
      <rPr>
        <rFont val="Calibri"/>
        <color rgb="FF00FF00"/>
        <sz val="11.0"/>
      </rPr>
      <t>t(160) = 2.58, p = 0.01, eta_squared = 0.04</t>
    </r>
    <r>
      <rPr>
        <rFont val="Calibri"/>
        <color theme="1"/>
        <sz val="11.0"/>
      </rPr>
      <t>", "What this study has shown which is original and striking, however, is the statistically relevant tendency of those individuals with Kripkean linguistic intuitions to be more averse to replacement scenarios of all sorts than those with Descriptivist linguistic intuitions. While not everyone turns out to be either Kripkean in their views on reference or Krautian in their views on love and attachment, it does look like the Kripkeans out there are more likely to also be Krautian, just as the Descriptivists turn out to be more likely to share Parfitian intuitions regarding the reasonableness of replacement."</t>
    </r>
  </si>
  <si>
    <t>https://osf.io/y62dh</t>
  </si>
  <si>
    <t>XPHI also states ES for O d = 0.41,  η2 is also available for O and R, which are 0.040 and 0.007 respectively</t>
  </si>
  <si>
    <t>10.1007--s13164-013-0162-3.pdf</t>
  </si>
  <si>
    <t>As predicted by Hypothesis 1 and shown in the first row, Kripkeans rated having the same feelings toward a replaced Loved One as significantly both less likely and less appropriate than Descriptivists.</t>
  </si>
  <si>
    <t>t(160) = 2.58</t>
  </si>
  <si>
    <t>p. 10. Table 2 t(160)=2.58, p = .01, η2=0.040</t>
  </si>
  <si>
    <t>t(385)=1.69, p=0.092, η2=0.007</t>
  </si>
  <si>
    <t>XPHI37_1</t>
  </si>
  <si>
    <t>XPHI37</t>
  </si>
  <si>
    <t xml:space="preserve">Entry selected as it had an accurate description,  
and investigated links - preregistration for replication added. </t>
  </si>
  <si>
    <t>Liao, S. Y., Strohminger, N., &amp; Sripada, C. S. (2014). Empirically investigating imaginative resistance. British Journal of Aesthetics, 54(3), 339-355.</t>
  </si>
  <si>
    <t>10.1093/aesthj/ayu027</t>
  </si>
  <si>
    <t>https://osf.io/9ahkt</t>
  </si>
  <si>
    <t xml:space="preserve">imaginative resistance </t>
  </si>
  <si>
    <r>
      <rPr>
        <rFont val="Calibri"/>
        <color rgb="FF00FF00"/>
        <sz val="11.0"/>
      </rPr>
      <t>experimental philosophy, i</t>
    </r>
    <r>
      <rPr>
        <rFont val="Calibri"/>
        <color theme="1"/>
        <sz val="11.0"/>
      </rPr>
      <t xml:space="preserve">maginative resistance </t>
    </r>
  </si>
  <si>
    <t>"Imaginative resistance refers to a phenomenon in which people resist engaging in particular prompted imaginative activities." (p.1)</t>
  </si>
  <si>
    <t xml:space="preserve">"The experimental manipulation produced a statistically significant large effect with respect to the Morality question (t (29) = 3.42, p = 0.002, effect size r = 0.54; Figure 3b). On the hypothesis we advanced, the reason that the same proposition can evoke imaginative resistance in one story but not the other has to do with the different genre conventions that govern the respective story worlds and the different genre expectations that Fig. 3. Belief and Morality means in police procedural and Aztec myth conditions. audiences have respectively.Hence, the results from this study also partly vindicated the doubters’ contentions, specifically regarding the importance of context." </t>
  </si>
  <si>
    <t>14, 15</t>
  </si>
  <si>
    <t>https://osf.io/w62xy</t>
  </si>
  <si>
    <t>10.1093--aesthj--ayu027.pdf</t>
  </si>
  <si>
    <r>
      <rPr>
        <rFont val="Calibri"/>
        <color theme="1"/>
        <sz val="11.0"/>
      </rPr>
      <t>experimental philosophy,</t>
    </r>
    <r>
      <rPr>
        <rFont val="Calibri"/>
        <color rgb="FF00FF00"/>
        <sz val="11.0"/>
      </rPr>
      <t xml:space="preserve"> imaginative resistance </t>
    </r>
  </si>
  <si>
    <t>The experimental manipulation produced a statistically significant large effect with respect to the Morality question (t (29) = 3.42, p = 0.002, effect size r = 0.54; Figure 3b).</t>
  </si>
  <si>
    <t>p. 352</t>
  </si>
  <si>
    <t>p. 352 t = 3.42, df = 29, p = .002</t>
  </si>
  <si>
    <t>t(97) = 6.483, p &lt; .001</t>
  </si>
  <si>
    <t>XPHI38_1</t>
  </si>
  <si>
    <t>XPHI38</t>
  </si>
  <si>
    <t>The original study does not include any test statistics. I calculated the effect sizes using the excel sheet.</t>
  </si>
  <si>
    <t xml:space="preserve">Entry selected - though both are similar. 
Original test statistics not reported but both coders correctly sourced them from the replication table. </t>
  </si>
  <si>
    <t xml:space="preserve">Björnsson, G., Eriksson, J., Strandberg, C., Olinder, R. F., &amp; Björklund, F. (2015). Motivational internalism and folk intuitions. Philosophical Psychology, 28(5), 715–734. </t>
  </si>
  <si>
    <t>10.1080/09515089.2014.894431</t>
  </si>
  <si>
    <t>https://osf.io/2yuq3</t>
  </si>
  <si>
    <r>
      <rPr>
        <rFont val="Calibri"/>
        <color theme="1"/>
        <sz val="11.0"/>
      </rPr>
      <t xml:space="preserve">Belief, Folk Intuitions, Moral Judgment, Motivational Internalism, Shaun Nichols, Understanding, </t>
    </r>
    <r>
      <rPr>
        <rFont val="Calibri"/>
        <color rgb="FF00FF00"/>
        <sz val="11.0"/>
      </rPr>
      <t>experimental philosophy</t>
    </r>
  </si>
  <si>
    <t>Motivational internalism postulates a necessary connection between moral judgments and motivation.</t>
  </si>
  <si>
    <t>"The results for Psychopath were: Understands (N = 83): Yes 76% No 24%, Believes (N = 79): Yes 46% No 54%", "Consider first the Understands question. The result we obtained is similar to Nichols’, but different from the result we obtained replicating his study. In any event, the answers to this question were predominantly along the lines of an externalist prediction. The answers to the Believes and Herself Thinks questions, by contrast, tended to fall in line with the internalist prediction (with 95% confidence, the difference in positive answers between Understands and Believes falls within a 15–44% interval, while that between Understands and Herself Thinks falls within a 12–40% interval). This indicates that the choice of question is not innocuous. Moreover, since internalism is standardly understood as a claim about what is required for moral belief or for what agents themselves think is morally right or wrong, rather than for moral understanding, we should primarily focus on the Believes and Herself Thinks questions. The answers to these questions give us no ground for saying that intuitions of defenders of internalism are more theoretically biased than those of externalists, as a majority of subjects were unwilling to attribute moral belief to Anna. Taking the answers of this study at face value, the folk are as divided in their intuitions as are philosophers.10 Moreover, since internalist constraints seem to be widely operative in folk attributions of moral belief, it is at least possible that folk intuitions of moral disagreement are driven by an understanding of the practical role of moral beliefs and moral claims, as noncognitivist internalists would suggest. The study thus leaves us where we started: internalists will have to explain why many are willing to attribute belief in the absence of motivation, just as externalists will have to explain why many are unwilling to do so."</t>
  </si>
  <si>
    <t>p. 9 X2(1, N = 162) = 14.421, df = 1, p &lt; .001</t>
  </si>
  <si>
    <t>https://doi.org/10.17605/OSF.IO/R3KTH</t>
  </si>
  <si>
    <t>data for O copied from XPHI dataset, matching statistics not present in the paper (were recalculated in XPHI)</t>
  </si>
  <si>
    <t>Björnsson, G., Eriksson, J., Strandberg, C., Olinder, R. F., &amp; Björklund, F. (2015). Motivational internalism and folk intuitions. Philosophical Psychology, 28(5), 715–734.</t>
  </si>
  <si>
    <t>10.1080--09515089.2014.894431.pdf</t>
  </si>
  <si>
    <r>
      <rPr>
        <rFont val="Calibri"/>
        <color rgb="FF00FF00"/>
        <sz val="11.0"/>
      </rPr>
      <t>Belief, Folk Intuitions, Moral Judgment, Motivational Internalism, Shaun Nichols, Understanding</t>
    </r>
    <r>
      <rPr>
        <rFont val="Calibri"/>
        <color theme="1"/>
        <sz val="11.0"/>
      </rPr>
      <t>, experimental philosophy</t>
    </r>
  </si>
  <si>
    <t>The results for Psychopath were: Understands (N = 83): Yes 76% No 24%, Believes (N = 79): Yes 46% No 54%", "Consider first the Understands question. The result we obtained is similar to Nichols’, but different from the result we obtained replicating his study. In any event, the answers to this question were predominantly along the lines of an externalist prediction. The answers to the Believes and Herself Thinks questions, by contrast, tended to fall in line with the internalist prediction (with 95% confidence, the difference in positive answers between Understands and Believes falls within a 15–44% interval, while that between Understands and Herself Thinks falls within a 12–40% interval). This indicates that the choice of question is not innocuous.</t>
  </si>
  <si>
    <t>p 9,10</t>
  </si>
  <si>
    <t>X2(1, N = 302) = 19.945, p &lt; .001</t>
  </si>
  <si>
    <t>XPHI38_b</t>
  </si>
  <si>
    <t>Belief, Folk Intuitions, Moral Judgment, Motivational Internalism, Shaun Nichols, Understanding</t>
  </si>
  <si>
    <t>"The results for Psychopath were: Understands (N = 83): Yes 76% No 24%, […] Herself Thinks (N = 86): Yes 49% No 51%", "Consider first the Understands question. The result we obtained is similar to Nichols’, but different from the result we obtained replicating his study. In any event, the answers to this question were predominantly along the lines of an externalist prediction. The answers to the Believes and Herself Thinks questions, by contrast, tended to fall in line with the internalist prediction (with 95% confidence, the difference in positive answers between Understands and Believes falls within a 15–44% interval, while that between Understands and Herself Thinks falls within a 12–40% interval). This indicates that the choice of question is not innocuous. Moreover, since internalism is standardly understood as a claim about what is required for moral belief or for what agents themselves think is morally right or wrong, rather than for moral understanding, we should primarily focus on the Believes and Herself Thinks questions. The answers to these questions give us no ground for saying that intuitions of defenders of internalism are more theoretically biased than those of externalists, as a majority of subjects were unwilling to attribute moral belief to Anna. Taking the answers of this study at face value, the folk are as divided in their intuitions as are philosophers.10 Moreover, since internalist constraints seem to be widely operative in folk attributions of moral belief, it is at least possible that folk intuitions of moral disagreement are driven by an understanding of the practical role of moral beliefs and moral claims, as noncognitivist internalists would suggest. The study thus leaves us where we started: internalists will have to explain why many are willing to attribute belief in the absence of motivation, just as externalists will have to explain why many are unwilling to do so."</t>
  </si>
  <si>
    <t>X2(1) = 33.487</t>
  </si>
  <si>
    <t>https://osf.io/682ga</t>
  </si>
  <si>
    <t>XPHI39_1</t>
  </si>
  <si>
    <t>XPHI39</t>
  </si>
  <si>
    <t xml:space="preserve">Entry selected as it had more accurate reported (full test statistics), 
description added, 
and investigated links. </t>
  </si>
  <si>
    <t>Buckwalter, W., &amp; Schaffer, J. (2015). Knowledge, stakes, and mistakes. Noûs, 49(2), 201-234.</t>
  </si>
  <si>
    <t>10.1111/nous.12017</t>
  </si>
  <si>
    <t>https://osf.io/pq7eb</t>
  </si>
  <si>
    <t xml:space="preserve">knowledge, stakes, mistakes </t>
  </si>
  <si>
    <t>Folk stakes sensitivity: All else equal, people are less likely to ascribe knowledge to a
high stakes subject than to a low stakes subject.</t>
  </si>
  <si>
    <t>"Typo low hope (M = 2.50, SD = 1.04), Typo high short hope (M = 5.37, SD = 2.61). Combined from above, a 2 (stakes) x 3 (verb type) between-subjects analysis of variance reveals a main effect for the factor of stakes, F (1, 260) = 99.46, p &lt; 0.001.", "As we predicted, we found that Pinillos’s stakes effect persisted even with Typo probe hope. Stakes were shown to be statistically significant, but no significant effect of the attitude verb was detected, nor was any interaction detected between these factors. [...] What we find especially relevant is not just that Pinillos’s stakes effect persisted when ‘know’ was replaced with ‘believe,’ and still persisted with ‘guess,’ and continued to persist with ‘hope,’ but that the nature of the effect seemed entirely unaltered through this process. It would be utterly ad hoc to posit yet a third independent stakes effect (one for knowledge, one for guessing, and one for hoping), all three of which moreover display no discernible difference in magnitude in our studies. We think that these results reveal that, whatever Pinillos’s stakes effect concerns, it is not an effect on knowledge ascription (in the sense that what is triggering the effect is entirely unrelated to the occurrence of ‘know’). Pinillos’s stakes effects persists—with no discernible difference in magnitude—not merely when the knowledge ascription is replaced by arguably connected claims about action and belief, but even when the knowledge ascription is replaced by uncontroversially disconnected claims about other attitudes like guessing and hoping. So we conclude that Pinillos has found a stakes effect, but not one that has anything to do with knowledge ascription."</t>
  </si>
  <si>
    <t>31, 13, 14</t>
  </si>
  <si>
    <t>F(1, 260) = 99.46</t>
  </si>
  <si>
    <t>p. 31</t>
  </si>
  <si>
    <t>F(1, 436) = 87.36</t>
  </si>
  <si>
    <t>https://doi.org/10.17605/OSF.IO/M9VRK</t>
  </si>
  <si>
    <t>10.1111--nous.12017.pdf</t>
  </si>
  <si>
    <t>Typo low hope, Typo high short hope</t>
  </si>
  <si>
    <t xml:space="preserve">Typo low hope (M = 2.50, SD = 1.04), Typo high short hope (M = 5.37, SD = 2.61). Combined from above, a 2 (stakes) x 3 (verb type) between-subjects analysis of variance reveals a main effect for the factor of stakes, F (1, 260) = 99.46, p &lt; 0.001. ... [...] What we find especially relevant is not just that Pinillos’s stakes effect persisted when ‘know’ was replaced with ‘believe,’ and still persisted with ‘guess,’ and continued to persist with ‘hope,’ but that the nature of the effect seemed entirely unaltered through this process. </t>
  </si>
  <si>
    <t>p. 31, 13</t>
  </si>
  <si>
    <t>F (1, 260) = 99.46</t>
  </si>
  <si>
    <t xml:space="preserve">F(1, 436) = 87.36, </t>
  </si>
  <si>
    <t>XPHI39_b</t>
  </si>
  <si>
    <t>verb type</t>
  </si>
  <si>
    <t>However a main effect was not found for verb type F (2,260) = 1.45, p = 0.24, and no interaction effect was detected between these two factors, F (2,260) = 0.191, p = 0.83.</t>
  </si>
  <si>
    <t xml:space="preserve"> F (2,260) = 1.45</t>
  </si>
  <si>
    <t>F(2, 436) = 0.45</t>
  </si>
  <si>
    <r>
      <rPr>
        <rFont val="Calibri"/>
        <color rgb="FF1155CC"/>
        <sz val="8.0"/>
        <u/>
      </rPr>
      <t>osf.io/2ukpq</t>
    </r>
  </si>
  <si>
    <t>"However a main effect was not found for verb type F (2,260) = 1.45, p = 0.24," , "As we predicted, we found that Pinillos’s stakes effect persisted even with Typo probe hope. Stakes were shown to be statistically significant, but no significant effect of the attitude verb was detected, nor was any interaction detected between these factors. [...] What we find especially relevant is not just that Pinillos’s stakes effect persisted when ‘know’ was replaced with ‘believe,’ and still persisted with ‘guess,’ and continued to persist with ‘hope,’ but that the nature of the effect seemed entirely unaltered through this process. It would be utterly ad hoc to posit yet a third independent stakes effect (one for knowledge, one for guessing, and one for hoping), all three of which moreover display no discernible difference in magnitude in our studies. We think that these results reveal that, whatever Pinillos’s stakes effect concerns, it is not an effect on knowledge ascription (in the sense that what is triggering the effect is entirely unrelated to the occurrence of ‘know’). Pinillos’s stakes effects persists—with no discernible difference in magnitude—not merely when the knowledge ascription is replaced by arguably connected claims about action and belief, but even when the knowledge ascription is replaced by uncontroversially disconnected claims about other attitudes like guessing and hoping. So we conclude that Pinillos has found a stakes effect, but not one that has anything to do with knowledge ascription."</t>
  </si>
  <si>
    <t>F(2,260) = 1.45</t>
  </si>
  <si>
    <t>https://osf.io/j2m8u</t>
  </si>
  <si>
    <t>XPHI39_c</t>
  </si>
  <si>
    <t>interaction effect, verb type</t>
  </si>
  <si>
    <t xml:space="preserve"> F (2,260) = 0.191</t>
  </si>
  <si>
    <t>F(2,  436)  = 1.06</t>
  </si>
  <si>
    <r>
      <rPr>
        <rFont val="Calibri"/>
        <color rgb="FF1155CC"/>
        <sz val="8.0"/>
        <u/>
      </rPr>
      <t>osf.io/2ukpq</t>
    </r>
  </si>
  <si>
    <t>"no interaction effect was detected between these two factors [stakes and verb type], F(2,260) = 0.191, p = 0.83. We also reconfirmed these findings using the Wilcoxon-Mann-Whitney test, which revealed significant stakes effects for all predicates, but no differences between individual verbs within either Typo low or within Typo high short.", "As we predicted, we found that Pinillos’s stakes effect persisted even with Typo probe hope. Stakes were shown to be statistically significant, but no significant effect of the attitude verb was detected, nor was any interaction detected between these factors. [...] What we find especially relevant is not just that Pinillos’s stakes effect persisted when ‘know’ was replaced with ‘believe,’ and still persisted with ‘guess,’ and continued to persist with ‘hope,’ but that the nature of the effect seemed entirely unaltered through this process. It would be utterly ad hoc to posit yet a third independent stakes effect (one for knowledge, one for guessing, and one for hoping), all three of which moreover display no discernible difference in magnitude in our studies. We think that these results reveal that, whatever Pinillos’s stakes effect concerns, it is not an effect on knowledge ascription (in the sense that what is triggering the effect is entirely unrelated to the occurrence of ‘know’). Pinillos’s stakes effects persists—with no discernible difference in magnitude—not merely when the knowledge ascription is replaced by arguably connected claims about action and belief, but even when the knowledge ascription is replaced by uncontroversially disconnected claims about other attitudes like guessing and hoping. So we conclude that Pinillos has found a stakes effect, but not one that has anything to do with knowledge ascription."</t>
  </si>
  <si>
    <t>F(2,260) = 0.191</t>
  </si>
  <si>
    <t>XPHI4_1</t>
  </si>
  <si>
    <t>XPHI4</t>
  </si>
  <si>
    <t xml:space="preserve">The Post Replication Form states that the replication analysis were performed with 129 participants, while the table states that 127 were part of the analysis. </t>
  </si>
  <si>
    <t xml:space="preserve">Entry selected though both rows were similar, 
investigated the updated/corrected sample size - coders both agree and were correct, 
description added, 
and investigated links. </t>
  </si>
  <si>
    <t>Knobe, J. (2004). Intention, intentional action and moral considerations. Analysis, 64(282), 181-187.</t>
  </si>
  <si>
    <t>10.1111/j.1467-8284.2004.00481.x</t>
  </si>
  <si>
    <t>https://osf.io/juxpq</t>
  </si>
  <si>
    <r>
      <rPr>
        <rFont val="Calibri"/>
        <color theme="1"/>
        <sz val="11.0"/>
      </rPr>
      <t xml:space="preserve">intention, intentional action, moral considerations, </t>
    </r>
    <r>
      <rPr>
        <rFont val="Calibri"/>
        <color rgb="FF00FF00"/>
        <sz val="11.0"/>
      </rPr>
      <t>experimental philosophy</t>
    </r>
  </si>
  <si>
    <t>To better understanding of people’s concept of intentional action, drawing on ordinary language as a key source of evidence.</t>
  </si>
  <si>
    <t>"The average rating for subjects in the harm condition was +.6; the average for subjects in the help condition was -1. This difference is statistically significant, t (77) = 2.65, p = 0.01.", "Adams and Steadman are right to point out that, if a person says, ‘The chairman did not harm the environment intentionally’, there may be an implicature that the chairman was not to blame for harming the environment. But no such implicature arises when a person says, ‘It sounds wrong to me to use the sentence “The chairman harmed the environment in order to increase profits.” ’ There is no common practice of using this sort of utterance to express one’s views about praise and blame, and if a speaker did use an utterance like this one, the audience would be highly unlikely to interpret it as a roundabout way of saying that the agent was not blameworthy. Most likely, the audience would interpret such an utterance in a more literal way: as a claim that a particular English sentence does not sound right. Thus, there seems to be no pragmatic reason for people not to give such a response."</t>
  </si>
  <si>
    <t>t(77) = 2.65</t>
  </si>
  <si>
    <t>https://doi.org/10.17605/OSF.IO/9E3T5</t>
  </si>
  <si>
    <t>XPHI also states ES for O d = 0.41</t>
  </si>
  <si>
    <t>corrected orignial sample size; cant find the statistic in column teststatistic_rep</t>
  </si>
  <si>
    <t>10.1111--j.1467-8284.2004.00481.x.pdf</t>
  </si>
  <si>
    <r>
      <rPr>
        <rFont val="Calibri"/>
        <color rgb="FF00FF00"/>
        <sz val="11.0"/>
      </rPr>
      <t>intention, intentional action, moral considerations</t>
    </r>
    <r>
      <rPr>
        <rFont val="Calibri"/>
        <color theme="1"/>
        <sz val="11.0"/>
      </rPr>
      <t>, experimental philosophy</t>
    </r>
  </si>
  <si>
    <t>The average rating for subjects in the harm condition was +.6; the average for subjects in the help condition was -1.</t>
  </si>
  <si>
    <t>p. 4 t(75) = 2.65, p = 0.01</t>
  </si>
  <si>
    <t>t(125) = 7.15, p &lt; 0.001</t>
  </si>
  <si>
    <t>XPHI40_1</t>
  </si>
  <si>
    <t>XPHI40</t>
  </si>
  <si>
    <t xml:space="preserve">Entry selected though both rows were similar, 
description added, 
and investigated links. </t>
  </si>
  <si>
    <t>Kominsky, J. F., Phillips, J., Gerstenberg, T., Lagnado, D., &amp; Knobe, J. (2015). Causal superseding. Cognition, 137, 196-209.</t>
  </si>
  <si>
    <t>10.1016/j.cognition.2015.01.013</t>
  </si>
  <si>
    <t>https://osf.io/xv3uz</t>
  </si>
  <si>
    <t>Causal reasoning, Counterfactuals, Morality, Superseding</t>
  </si>
  <si>
    <t>norm violations also affect the causality attributed to other agents, a phenomenon we refer to as ‘‘causal superseding.’’</t>
  </si>
  <si>
    <t>"For the fixed agent (Sue), we found a clear causal superseding effect. Agreement ratings for the fixed agent were lower when the varied agent violated a norm (M = 3.37, SD = 2.059) than when he did not (M = 4.40, SD = 1.522), t(58) = 2.210, p = .031, d = .568.", "To sum up, we demonstrated the predicted causal superseding effect. When the varied agent performed a morally bad action, the fixed agent was seen as less causal."</t>
  </si>
  <si>
    <t>5, 6</t>
  </si>
  <si>
    <t>0.568</t>
  </si>
  <si>
    <t>0.58</t>
  </si>
  <si>
    <t>https://doi.org/10.17605/OSF.IO/DNQE7</t>
  </si>
  <si>
    <t>10.1016--j.cognition.2015.01.013.pdf</t>
  </si>
  <si>
    <t>Agreement ratings for the fixed agent were lower when the varied agent violated a norm than when he did not</t>
  </si>
  <si>
    <t>p. 6 t(58) = -2.210, p = .031</t>
  </si>
  <si>
    <t>t(198) = 4.1119, p &lt; .001</t>
  </si>
  <si>
    <r>
      <rPr>
        <rFont val="&quot;Helvetica Neue&quot;"/>
        <color rgb="FF1155CC"/>
        <sz val="8.0"/>
        <u/>
      </rPr>
      <t>osf.io/f5svw</t>
    </r>
  </si>
  <si>
    <t>XPHI40_b</t>
  </si>
  <si>
    <t>"Replicating many previous studies, agreement ratings for the varied agent (Bill) were higher when he violated a norm (M = 5.97, SD = 1.564) than when he did not (M = 4.80, SD = 1.495), t(58) = 2.953, p = .005, d = .764.", "To sum up, we demonstrated the predicted causal superseding effect. When the varied agent performed a morally bad action, the fixed agent was seen as less causal."</t>
  </si>
  <si>
    <t>0.764</t>
  </si>
  <si>
    <t>t(198) = 1.3948</t>
  </si>
  <si>
    <t>https://osf.io/m5q6z</t>
  </si>
  <si>
    <t>XPHI5_1</t>
  </si>
  <si>
    <t>XPHI5</t>
  </si>
  <si>
    <t>Both rows are chosen, differrent results extracted</t>
  </si>
  <si>
    <t>Nichols, S. (2004). After objectivity: An empirical study of moral judgment. Philosophical Psychology, 17(1), 3-26. Chicago.</t>
  </si>
  <si>
    <t>10.1080/0951508042000202354</t>
  </si>
  <si>
    <t>https://osf.io/s8mrz</t>
  </si>
  <si>
    <r>
      <rPr>
        <rFont val="Calibri"/>
        <color theme="1"/>
        <sz val="11.0"/>
      </rPr>
      <t xml:space="preserve">moral judgement, canonical moral, moral objectivity, </t>
    </r>
    <r>
      <rPr>
        <rFont val="Calibri"/>
        <color rgb="FF00FF00"/>
        <sz val="11.0"/>
      </rPr>
      <t>experimental philosophy</t>
    </r>
  </si>
  <si>
    <t>participants who respond as nonobjectivists about canonical moral violations still treat such violations in typical ways</t>
  </si>
  <si>
    <t>"On permissibility, there was no significant difference (F(1,8) = 1, p  = 0.347, n.s.). This is not surprising, since a less permissible item (leaving class without permission) was explicitly sought and added.", "Participants who give nonobjectivist responses to moral cases still draw the moral/ conventional distinction."</t>
  </si>
  <si>
    <t>F(1, 8) = 1</t>
  </si>
  <si>
    <t>https://doi.org/10.17605/OSF.IO/9VXSF</t>
  </si>
  <si>
    <t xml:space="preserve">Entry selected as coded for the main effect as defined by the replication table, 
test statistics updated (formatting in effect size columns), 
and investigated links. </t>
  </si>
  <si>
    <t>10.1080--0951508042000202354.pdf</t>
  </si>
  <si>
    <r>
      <rPr>
        <rFont val="Calibri"/>
        <color rgb="FF00FF00"/>
        <sz val="11.0"/>
      </rPr>
      <t>moral judgement, canonical moral, moral objectivity, e</t>
    </r>
    <r>
      <rPr>
        <rFont val="Calibri"/>
        <color theme="1"/>
        <sz val="11.0"/>
      </rPr>
      <t>xperimental philosophy</t>
    </r>
  </si>
  <si>
    <t>However, there were clear main effects for ... authority contingence.</t>
  </si>
  <si>
    <t>F(1, 8) = 18</t>
  </si>
  <si>
    <t>F(1,8) = 12</t>
  </si>
  <si>
    <t>XPHI5_b</t>
  </si>
  <si>
    <t>moral judgement, canonical moral, moral objectivity</t>
  </si>
  <si>
    <t>moral judgement</t>
  </si>
  <si>
    <t>"However, there were clear main effects for seriousness (F(1,9) = 30.519, p &lt; 0.001)", "Participants who give nonobjectivist responses to moral cases still draw the moral/ conventional distinction."</t>
  </si>
  <si>
    <t>F(1, 9) = 30.519</t>
  </si>
  <si>
    <t>https://osf.io/mykq6</t>
  </si>
  <si>
    <t>XPHI5_c</t>
  </si>
  <si>
    <t xml:space="preserve">"However, there were clear main effects for […] justification (F(1,8)  21.333, p &lt; 0.01)", "Participants who give nonobjectivist responses to moral cases still draw the moral/ conventional distinction."
</t>
  </si>
  <si>
    <t>F(1,8) = 21.333</t>
  </si>
  <si>
    <t>XPHI5_d</t>
  </si>
  <si>
    <t>"However, there were clear main effects for […] and authority contingence (F(1,8) = 18, p &lt; 0.01).", "Participants who give nonobjectivist responses to moral cases still draw the moral/ conventional distinction."</t>
  </si>
  <si>
    <t>F(1,8) = 18</t>
  </si>
  <si>
    <t>XPHI6_1</t>
  </si>
  <si>
    <t>XPHI6</t>
  </si>
  <si>
    <t>The effect size of the original study can not be determined using the effect size calculator. The replication study describes the effect as follows: "Whereas not a single one of the subjects in Case 1 judged that John intentionally upset Susan [...],64% of the subjects in Case 2 judged that he intentionally upset her [...]” (p. 267). Assuming equal sample sizes, this translates to the following result: X2 (1, N = 44) = 20.53, p &lt; .001, w = 0.69"</t>
  </si>
  <si>
    <t xml:space="preserve">Entry selected as managed to describe the original effect (qual) 
test statistics updated (had to take estimated statstics from post-replication report nad XPHI table),
and investigated links. </t>
  </si>
  <si>
    <t>Nadelhoffer, T. (2004). Blame, badness, andintentional action: A reply to Knobe and Mendlow. Journal of Theoretical and Philosophical Psychology, 24, 259–269.</t>
  </si>
  <si>
    <t>10.1037/h0091247</t>
  </si>
  <si>
    <t>https://osf.io/d478r</t>
  </si>
  <si>
    <r>
      <rPr>
        <rFont val="Calibri"/>
        <color theme="1"/>
        <sz val="11.0"/>
      </rPr>
      <t xml:space="preserve">blame, badness, intentional action, side effect, </t>
    </r>
    <r>
      <rPr>
        <rFont val="Calibri"/>
        <color rgb="FF00FF00"/>
        <sz val="11.0"/>
      </rPr>
      <t>experimental philosophy</t>
    </r>
  </si>
  <si>
    <t>the moral blameworthiness of an agent can influence folk intuitions about intentional action.</t>
  </si>
  <si>
    <t>"Whereas not a single one of the subjects in Case 1 judged that John intentionally upset Susan (with an average blame rating of 1.41), 64% of the subjects in Case 2 judged that he intentionally upset her (with an average blame rating of 3.76).", First, desire and knowledge are not jointly sufficient for folk judgments about intentionality, although they may be necessary. Second, whereas blame is not necessary for folk ascriptions of intentional action, badness is not sufficient—although it may be necessary. Andfinally, badness is not sufficient for blame attribution—although it may be necessary as well."</t>
  </si>
  <si>
    <t>Post replication form page 2: X2(1, N = 44) = 20.53, p &lt;.001
https://osf.io/d478r</t>
  </si>
  <si>
    <t>https://osf.io/d478r, page 2</t>
  </si>
  <si>
    <t>https://doi.org/10.17605/OSF.IO/HBPXN</t>
  </si>
  <si>
    <t>Matching statistics not found, extracted from XPHI</t>
  </si>
  <si>
    <t>10.1037--h0091247.pdf</t>
  </si>
  <si>
    <r>
      <rPr>
        <rFont val="Calibri"/>
        <color rgb="FF00FF00"/>
        <sz val="11.0"/>
      </rPr>
      <t xml:space="preserve">blame, badness, intentional action, side effect, </t>
    </r>
    <r>
      <rPr>
        <rFont val="Calibri"/>
        <color theme="1"/>
        <sz val="11.0"/>
      </rPr>
      <t>experimental philosophy</t>
    </r>
  </si>
  <si>
    <t>X2(1, N = 44) = 20.53, p &lt;.001</t>
  </si>
  <si>
    <t>X2(1, N = 47) = 32.36, p &lt;.001</t>
  </si>
  <si>
    <r>
      <rPr>
        <rFont val="&quot;Helvetica Neue&quot;"/>
        <color rgb="FF1155CC"/>
        <sz val="8.0"/>
        <u/>
      </rPr>
      <t>osf.io/w9bza/</t>
    </r>
  </si>
  <si>
    <t>XPHI7_1</t>
  </si>
  <si>
    <t>XPHI7</t>
  </si>
  <si>
    <t>Nahmias, E., Morris, S., Nadelhoffer, T., and Turner, J. (2005). Surveying Freedom: Folk Intuitions About Free Will and Moral Responsibility. Philosophical Psychology, 18(5), 561-584.</t>
  </si>
  <si>
    <t>10.1080/09515080500264180</t>
  </si>
  <si>
    <t>https://osf.io/jge2k</t>
  </si>
  <si>
    <r>
      <rPr>
        <rFont val="Calibri"/>
        <color theme="1"/>
        <sz val="11.0"/>
      </rPr>
      <t xml:space="preserve">Free Will, Moral Responsibility, Folk Psychology, </t>
    </r>
    <r>
      <rPr>
        <rFont val="Calibri"/>
        <color rgb="FF00FF00"/>
        <sz val="11.0"/>
      </rPr>
      <t>experimental philosophy</t>
    </r>
  </si>
  <si>
    <t>agents in deterministic scenarios  were judged by participants as acting of their own free will and are morally responsible for their actions.</t>
  </si>
  <si>
    <t>"The results indicate that a significant majority of participants (76%) judged that Jeremy robs the bank of his own free will.18", "We offer two related interpretations of these interesting results. First, the results may suggest that some folk have Frankfurtian intuitions (see note 6). That is, they think, as suggested by Frankfurt (1969), that an agent’s action may be free and responsible without the agent’s having the ability to do otherwise—though this trend did not appear with the blameworthy actions. So perhaps these intuitions are more pronounced regarding agents who perform praiseworthy (or morally neutral) actions."</t>
  </si>
  <si>
    <t>7, 9</t>
  </si>
  <si>
    <t>X2(1) = 5.76</t>
  </si>
  <si>
    <t>https://doi.org/10.17605/OSF.IO/26YZU</t>
  </si>
  <si>
    <t>XPHI also states ES w = 0.52</t>
  </si>
  <si>
    <t xml:space="preserve">Entry selected although both coders were very similar,
test statistics updated (had to take estimated statistics from post-replication report and XPHI table combined for effect size reporting),
and investigated links. </t>
  </si>
  <si>
    <t>10.1080--09515080500264180.pdf</t>
  </si>
  <si>
    <r>
      <rPr>
        <rFont val="Calibri"/>
        <color rgb="FF00FF00"/>
        <sz val="11.0"/>
      </rPr>
      <t xml:space="preserve">Free Will, Moral Responsibility, Folk Psychology, </t>
    </r>
    <r>
      <rPr>
        <rFont val="Calibri"/>
        <color theme="1"/>
        <sz val="11.0"/>
      </rPr>
      <t xml:space="preserve"> experimental philosophy</t>
    </r>
  </si>
  <si>
    <t>The results indicate that a significant majority of participants (76%) judged that Jeremy robs the bank of his own free will</t>
  </si>
  <si>
    <t>X2(1, N = 186) = 67.4, p &lt; .001, kendallsW at https://osf.io/4ewkh</t>
  </si>
  <si>
    <t>XPHI8_1</t>
  </si>
  <si>
    <t>XPHI8</t>
  </si>
  <si>
    <t>McCann, H. J. (2005). Intentional action and intending: Recent empirical studies. Philosophical Psychology, 18(6), 737-748.</t>
  </si>
  <si>
    <t>10.1080/09515080500355236</t>
  </si>
  <si>
    <t>10.1080--09515080500355236.pdf</t>
  </si>
  <si>
    <t>X2(1, N = 77) = 1.8348, p = 0.1756</t>
  </si>
  <si>
    <t>X2(1, N = 221) = 0.42374, p = 0.5151</t>
  </si>
  <si>
    <r>
      <rPr>
        <rFont val="&quot;Helvetica Neue&quot;"/>
        <color rgb="FF1155CC"/>
        <sz val="8.0"/>
        <u/>
      </rPr>
      <t>osf.io/jtsnn/</t>
    </r>
  </si>
  <si>
    <t>XPHI9_1</t>
  </si>
  <si>
    <t>XPHI9</t>
  </si>
  <si>
    <t>The Post Replication Form states that 123 were included in the analysis, while the tables states 128.; The effect size of the original study can not be calculated using the effect size calculator, but the replication report states "85 (69%) participants chose answer ‘Yes’ when they were asked ‘Did Fred intentionally prevent the explosion?’, while 38 (31%) chose ‘No’. Statistical analyses using R returned thefollowing results: X2(1, N = 123) = 17.959, p = 0.000023, w = 0.38. The 95% confidence interval extends from 0.601 to 0.771. The rate of ‘Intentionally’ answers was within the rangeof the original 95% CI [0.56-0.85].", p. 1; https://osf.io/7s5vy</t>
  </si>
  <si>
    <t xml:space="preserve">Entry selected as it had the correct sample size (123 not 128, 128 was before exclusions and was incorrectly reported on the main table - replicaiton report detailed the exclusions). 
Test statistics updated - original statistics inferred in the prereplicaiton report, references and annotations included in the row,
and investigated links. </t>
  </si>
  <si>
    <t>Nadelhoffer, T. (2005). Skill, luck, control, and intentional action. Philosophical Psychology, 18(3), 341-352.</t>
  </si>
  <si>
    <t>10.1080/09515080500177309</t>
  </si>
  <si>
    <r>
      <rPr>
        <rFont val="Calibri"/>
        <color theme="1"/>
        <sz val="11.0"/>
      </rPr>
      <t xml:space="preserve">skill, luck, control, intentional action., </t>
    </r>
    <r>
      <rPr>
        <rFont val="Calibri"/>
        <color rgb="FF00FF00"/>
        <sz val="11.0"/>
      </rPr>
      <t>experimental philosophy</t>
    </r>
  </si>
  <si>
    <t>in order for an action to be performed intentionally it must be performed with a relevant amount of skill or control—i.e., an intentional actioncannot simply be the result of luck.</t>
  </si>
  <si>
    <t>"a surprising majority of them (viz., 73%) were willing to say that Fred intentionally prevented the explosion. Thus, the participants’ responses Q3 do not line up with Mele and Moser’s claim that it is implausible to think that Fred intentionally prevented the explosion. Perhaps the reason they did not expect these results is that they did not anticipate that the perceived praiseworthiness of the action would have such a marked effect on people’s ascriptions of intentional action. In any event, the results of C1 speak against Mele and Moser’s analysis of intentional action", "When an agent’s actions are sufficiently praiseworthy or blameworthy, people are less interested in whether or not the action was the result of skill or luck."</t>
  </si>
  <si>
    <t>8, 10</t>
  </si>
  <si>
    <t>pg 1 - https://osf.io/ygv4e 
“a surprising majority of [participants] (viz., 73%) were willing to say that Fredintentionally prevented the explosion”Inferring from reported sample size and reported percentages, there were 29 (out of 40) participants willing to say that Fred intentionally prevented the explosion and 11 (out of 40) participants not willing to say that Fred intentionally  prevented theexplosion.This allows to calculate the following statistic: X2(1, N = 40) = 8.10, p = .004, w = .45</t>
  </si>
  <si>
    <t>p. 1 https://osf.io/7s5vy
X2(1, N = 123) = 17.959, p = 0.000023, w = 0.38.</t>
  </si>
  <si>
    <t>https://doi.org/10.17605/OSF.IO/Q2E5K</t>
  </si>
  <si>
    <t xml:space="preserve">No statistics in O, extracted from XPHI. </t>
  </si>
  <si>
    <r>
      <rPr>
        <rFont val="Calibri"/>
        <color rgb="FFFF0000"/>
        <sz val="11.0"/>
      </rPr>
      <t xml:space="preserve">Note from another coder = The Post Replication Form states that 123 were included in the analysis, while the tables states 128.; The effect size of the original study can not be calculated using the effect size calculator, but the replication report states "85 (69%) participants chose answer ‘Yes’ when they were asked ‘Did Fred intentionally prevent the explosion?’, while 38 (31%) chose ‘No’. Statistical analyses using R returned thefollowing results: X2(1, N = 123) = 17.959, p = 0.000023, w = 0.38. The 95% confidence interval extends from 0.601 to 0.771. The rate of ‘Intentionally’ answers was within the rangeof the original 95% CI [0.56-0.85].", p. 1; </t>
    </r>
    <r>
      <rPr>
        <rFont val="Calibri"/>
        <color rgb="FFFF0000"/>
        <sz val="11.0"/>
        <u/>
      </rPr>
      <t>https://osf.io/7s5vy</t>
    </r>
  </si>
  <si>
    <t>10.1080--09515080500177309.pdf</t>
  </si>
  <si>
    <r>
      <rPr>
        <rFont val="Calibri"/>
        <color rgb="FF00FF00"/>
        <sz val="11.0"/>
      </rPr>
      <t>skill, luck, control, intentional action,</t>
    </r>
    <r>
      <rPr>
        <rFont val="Calibri"/>
        <color rgb="FFFF0000"/>
        <sz val="11.0"/>
      </rPr>
      <t xml:space="preserve"> </t>
    </r>
    <r>
      <rPr>
        <rFont val="Calibri"/>
        <color theme="1"/>
        <sz val="11.0"/>
      </rPr>
      <t>experimental philosophy</t>
    </r>
  </si>
  <si>
    <t>"Table 2 presents estimates of the effect of Eric Garner’s killing on the attitudes of black Londoners toward the Metropolitan Police. Consistent with Hypothesis 1, the results suggest that black Londoners’ overall satisfaction of the Metropolitan Police did fall significantly follow- ing the killing of Eric Garner in New York. I estimate that overall [...] perception of police fairness fell by 2.44", "This article presents evidence that police violence against black persons within the United States can negatively affect black persons’ attitudes toward the police elsewhere. I find clear evidence that the police killing of Eric Garner reduced black Londoners’ overall satisfaction with the Metropolitan Police, perceptions of police fairness, and sense of the quality of the Metropolitan Police’s community engagement."</t>
  </si>
  <si>
    <t>Regression discontinuity estimator = -2.44, robust SE = 1.22, robust CI (-4.82, -0.05)</t>
  </si>
  <si>
    <t>Estimate = 0.45, robust CI = (-0.64, 1.54), robust SE = 0.56</t>
  </si>
  <si>
    <t>"Table 2 presents estimates of the effect of Eric Garner’s killing on the attitudes of black Londoners toward the Metropolitan Police. Consistent with Hypothesis 1, the results suggest that black Londoners’ overall satisfaction of the Metropolitan Police did fall significantly follow- ing the killing of Eric Garner in New York. I estimate that overall [...] perceptions of community engagement fell by 3.16.", "This article presents evidence that police violence against black persons within the United States can negatively affect black persons’ attitudes toward the police elsewhere. I find clear evidence that the police killing of Eric Garner reduced black Londoners’ overall satisfaction with the Metropolitan Police, perceptions of police fairness, and sense of the quality of the Metropolitan Police’s community engagement."</t>
  </si>
  <si>
    <t>Regression discontinuity estimator = -3.16, robust SE = 1.03, robust CI (-5.18, -1.14)</t>
  </si>
  <si>
    <t>Estimate = 0.05, robust CI = (-0.78, 0.88), robust SE = 0.42</t>
  </si>
  <si>
    <t>"Male dictators on average allocate £2.117 in the GG and £0.997 in the TG toward the recipients, and a Mann-Whitney test shows significant difference at 1% level.", "Both nonparametric tests and regressions reaffirm the observations from existing studies (Dreber et al. 2013; Grossman and Eckel 2015) that overall there is no framing effect within the dictator game and giving is indeed equivalent to “not taking.” However, further investigations by gender show that framing has opposing effects for females and males. Females take less in a taking game compared to what they give in a giving game; but the males do just the opposite. Furthermore, we find that this occurs as the male dictators are significantly more likely to be selfish in the taking frame compared to the giving frame. Conversely, the female dictators are significantly more likely to be egalitarian in the taking frame compared with the giving frame."</t>
  </si>
  <si>
    <t>"However, the average allocation by female dictators is £2.014 in the GG and £3.263 in the TG, and the difference is significant at 5% level. The results also confirm within treatment gender differences.", "Both nonparametric tests and regressions reaffirm the observations from existing studies (Dreber et al. 2013; Grossman and Eckel 2015) that overall there is no framing effect within the dictator game and giving is indeed equivalent to “not taking.” However, further investigations by gender show that framing has opposing effects for females and males. Females take less in a taking game compared to what they give in a giving game; but the males do just the opposite. Furthermore, we find that this occurs as the male dictators are significantly more likely to be selfish in the taking frame compared to the giving frame. Conversely, the female dictators are significantly more likely to be egalitarian in the taking frame compared with the giving frame."</t>
  </si>
  <si>
    <t>"In the GG, the amounts given by males and females are not different (p-value = 0.594).", "Both nonparametric tests and regressions reaffirm the observations from existing studies (Dreber et al. 2013; Grossman and Eckel 2015) that overall there is no framing effect within the dictator game and giving is indeed equivalent to “not taking.” However, further investigations by gender show that framing has opposing effects for females and males. Females take less in a taking game compared to what they give in a giving game; but the males do just the opposite. Furthermore, we find that this occurs as the male dictators are significantly more likely to be selfish in the taking frame compared to the giving frame. Conversely, the female dictators are significantly more likely to be egalitarian in the taking frame compared with the giving frame."</t>
  </si>
  <si>
    <t>-0.005</t>
  </si>
  <si>
    <t>"The TG, however, shows gender differences. The average amount left by the male dictators is significantly lower than the amount left by the female dictators at 1% level.", "Both nonparametric tests and regressions reaffirm the observations from existing studies (Dreber et al. 2013; Grossman and Eckel 2015) that overall there is no framing effect within the dictator game and giving is indeed equivalent to “not taking.” However, further investigations by gender show that framing has opposing effects for females and males. Females take less in a taking game compared to what they give in a giving game; but the males do just the opposite. Furthermore, we find that this occurs as the male dictators are significantly more likely to be selfish in the taking frame compared to the giving frame. Conversely, the female dictators are significantly more likely to be egalitarian in the taking frame compared with the giving frame."</t>
  </si>
  <si>
    <t>-1.069</t>
  </si>
  <si>
    <t>-0.203</t>
  </si>
  <si>
    <t>extension effect size: Ireland 2011-2016</t>
  </si>
  <si>
    <t>extension effect size: Norway</t>
  </si>
  <si>
    <t>Ireland 2005-2010</t>
  </si>
  <si>
    <t>"In column 2, I allow for average wage trends across all workers. The large, positive effects in columns 1 and 2 resemble the early generations of work on knowledge spillovers from multinational enterprises (for example, Blomstrom &amp; Kokko, 1998, and the references there).", "This is the main contribution and new result of this paper. When multinational workers leave multinational establishments and are rehired at domestic establishments, the wages of continuing domestic workers increase. This avenue for multinational spillovers, to my knowledge, has not previously been explored. At the average wage for a typical domestic worker of $3,841 (R$6,522 at average annual exchange rates during the 1996–2001 period), this is an increase of approximately $23 per year per worker, equivalent to one more month of job tenure within the establishment. While this may seem to be a small impact, it is also an appropriately sized impact for the average worker. More important, these estimates are worker-level wage spillovers and not plant-level productivity spillovers, as in previous studies. For the average domestic stablishment in Brazil, with a workforce of approximately sixty, the total implied wage effect from 10 percentage point increase in the share of former multinational workers is roughly $1,400 per year. According to RAIS, in 1998 there were 1,795,798 establishments in Brazil, approximately 98% of which were domestically owned. Therefore, this average impact has the potential to generate $2.5 billion in wage spillovers across all of Brazil (in the range of 0.3% of GDP)."</t>
  </si>
  <si>
    <t>F = 41.32</t>
  </si>
  <si>
    <t>"I include establishment fixed effects (FE) in column 3, which control for any fixed factor that may affect an establishment’s decision to hire former multinational workers, such as management style or time-invariant productivity levels. As was found in the third generation of studies on multinational spillovers (Aitken &amp; Harrison, 1999; Javorcik, 2004), establishment heterogeneity matters. That the coefficient on γM falls substantially between columns 2 and 3 suggests that omitting the establishment FE (what could be considered to be the omitted variable bias associated with establishment FE) has a large and positive effect. This is consistent with the idea that on average, establishments hiring many former MNE workers are also high-productivity, high-wage establishments. Column 3, however, does not allow within-establishment heterogeneity across workers.", "This is the main contribution and new result of this paper. When multinational workers leave multinational establishments and are rehired at domestic establishments, the wages of continuing domestic workers increase. This avenue for multinational spillovers, to my knowledge, has not previously been explored. At the average wage for a typical domestic worker of $3,841 (R$6,522 at average annual exchange rates during the 1996–2001 period), this is an increase of approximately $23 per year per worker, equivalent to one more month of job tenure within the establishment. While this may seem to be a small impact, it is also an appropriately sized impact for the average worker. More important, these estimates are worker-level wage spillovers and not plant-level productivity spillovers, as in previous studies. For the average domestic stablishment in Brazil, with a workforce of approximately sixty, the total implied wage effect from 10 percentage point increase in the share of former multinational workers is roughly $1,400 per year. According to RAIS, in 1998 there were 1,795,798 establishments in Brazil, approximately 98% of which were domestically owned. Therefore, this average impact has the potential to generate $2.5 billion in wage spillovers across all of Brazil (in the range of 0.3% of GDP)."</t>
  </si>
  <si>
    <t>F = 3.37</t>
  </si>
  <si>
    <t>"In column 4, I include individual FEs to control for time-invariant, unobservable worker characteristics, such as innate ability or motivation. With individual FEs, the coefficients of interest are more precisely estimated, and it becomes clear that domestic workers are not randomly assigned to the establishments in which they work. Incumbent domestic workers’ wages increase with the proportion of coworkers in the establishment who have experience in foreign owned establishments (γM &gt; 0).", "This is the main contribution and new result of this paper. When multinational workers leave multinational establishments and are rehired at domestic establishments, the wages of continuing domestic workers increase. This avenue for multinational spillovers, to my knowledge, has not previously been explored. At the average wage for a typical domestic worker of $3,841 (R$6,522 at average annual exchange rates during the 1996–2001 period), this is an increase of approximately $23 per year per worker, equivalent to one more month of job tenure within the establishment. While this may seem to be a small impact, it is also an appropriately sized impact for the average worker. More important, these estimates are worker-level wage spillovers and not plant-level productivity spillovers, as in previous studies. For the average domestic stablishment in Brazil, with a workforce of approximately sixty, the total implied wage effect from 10 percentage point increase in the share of former multinational workers is roughly $1,400 per year. According to RAIS, in 1998 there were 1,795,798 establishments in Brazil, approximately 98% of which were domestically owned. Therefore, this average impact has the potential to generate $2.5 billion in wage spillovers across all of Brazil (in the range of 0.3% of GDP)."</t>
  </si>
  <si>
    <t>F = 4.21</t>
  </si>
  <si>
    <t>[reading achievement: school with greater average SES] Ave. socioeconomic status, g008,  0.075*** [Table 3]</t>
  </si>
  <si>
    <t>gamma = 0.075</t>
  </si>
  <si>
    <t>gamma = 0.03, CI = 0.00, 0.07</t>
  </si>
  <si>
    <t>[reading achievement: students previous achievement] Kindergarten achievement, p5, 0.686*** [Table 3]</t>
  </si>
  <si>
    <t>pi = 0.686</t>
  </si>
  <si>
    <t>beta = 0.74, CI = 0.71, 0.77</t>
  </si>
  <si>
    <t>[reading achievement: time] Elapsed time between testing, p6,  0.061*** [Table 3]</t>
  </si>
  <si>
    <t>pi = 0.061</t>
  </si>
  <si>
    <t>beta = 0.10, CI = 0.07, 0.13</t>
  </si>
  <si>
    <t>[reading achievement: student SES] Socioeconomic status, p4,  0.062*** [Table 3]</t>
  </si>
  <si>
    <t>pi = 0.062</t>
  </si>
  <si>
    <t>beta = 0.04, CI = 0.01, 0.07</t>
  </si>
  <si>
    <t>[reading achievement: gender] Female student, p2, 0.046* [Table 3]</t>
  </si>
  <si>
    <t>pi = 0.046</t>
  </si>
  <si>
    <t>beta = 0.12, CI = 0.07, 0.17</t>
  </si>
  <si>
    <t>[mathematics achievement: time between testing administration] Elapsed time between testing, p6, 0.050*** [Table 3]</t>
  </si>
  <si>
    <t>pi = 0.050</t>
  </si>
  <si>
    <t>beta = 0.06, CI = 0.03, 0.09</t>
  </si>
  <si>
    <t xml:space="preserve">[mathematics achievement: student SES] </t>
  </si>
  <si>
    <t>pi = 0.078</t>
  </si>
  <si>
    <t>beta = 0.05, CI = 0.02, 0.08</t>
  </si>
  <si>
    <t>mathematics achievement: gender] Female student p2, 0.025 [Table 3]</t>
  </si>
  <si>
    <t>pi = 0.025</t>
  </si>
  <si>
    <t>beta = -0.15, CI = -0.10, -0.20</t>
  </si>
  <si>
    <t>soscisubmission14c_b</t>
  </si>
  <si>
    <t>drunk utilitarian(placebo control condition)</t>
  </si>
  <si>
    <t>soscisubmission14c_c</t>
  </si>
  <si>
    <t>drunk utilitarian(alcohol condition (participants will drink 1.6 g of alcohol at 40% strength for each 1 kg of their body weight))</t>
  </si>
  <si>
    <t>soscisubmission13_b</t>
  </si>
  <si>
    <r>
      <rPr>
        <rFont val="Arial"/>
      </rPr>
      <t xml:space="preserve">LR: to reproduce w: srqt(chisq_value / N); see also </t>
    </r>
    <r>
      <rPr>
        <rFont val="Arial"/>
        <color rgb="FF1155CC"/>
        <u/>
      </rPr>
      <t>https://www.oxfordreference.com/display/10.1093/oi/authority.20110803095743480</t>
    </r>
  </si>
  <si>
    <r>
      <rPr>
        <rFont val="Arial"/>
      </rPr>
      <t xml:space="preserve">Cialdini, R. B., Vincent, J. E., Lewis, S. K., Catalan, J., Wheeler, D., &amp; Darby, B. L. (1975). Reciprocal concessions procedure for inducing compliance: The door-in-the-face technique. Journal of Personality and Social Psychology, 31(2), 206–215. </t>
    </r>
    <r>
      <rPr>
        <rFont val="Arial"/>
        <color rgb="FF1155CC"/>
        <u/>
      </rPr>
      <t>https://doi.org/10.1037/h0076284</t>
    </r>
  </si>
  <si>
    <t>The Door-in-the-Face (DITF) technique suggests that people are more likely to agree to a target request after initially rejecting a larger request (difference between the rejection-moderation condition and the combined control conditions (i.e., smaller request only condition &amp; equivalent request control condition))</t>
  </si>
  <si>
    <t>"The second tested the rejection-moderation condition against the combined controls; a marginally significant difference occurred, x2 = 2.88, p = .091 "," the data from this experiment argue against the interpretation that a requester's persistence in making requests accounts for the superiority of the rejection-moderation condition."</t>
  </si>
  <si>
    <t>soscisubmission41_b</t>
  </si>
  <si>
    <t>Analyses of Study 2 reported in Footnote 4</t>
  </si>
  <si>
    <t>T. 1</t>
  </si>
  <si>
    <t>soscisubmission41_c</t>
  </si>
  <si>
    <t>soscisubmission11_b</t>
  </si>
  <si>
    <r>
      <rPr>
        <rFont val="Arial"/>
      </rPr>
      <t xml:space="preserve">Hoogeveen, S., Sarafoglou, A., &amp; Wagenmakers, E.-J. (2020). Laypeople Can Predict Which Social-Science Studies Will Be Replicated Successfully. Advances in Methods and Practices in Psychological Science, 3(3), 267–285. </t>
    </r>
    <r>
      <rPr>
        <rFont val="Arial"/>
        <color rgb="FF1155CC"/>
        <u/>
      </rPr>
      <t>https://doi.org/10.1177/2515245920919667</t>
    </r>
  </si>
  <si>
    <t>Laypeople are able to predict the replication success of social science findings based on their intuitive plausibility (description-plus-evidence condition.)</t>
  </si>
  <si>
    <t>soscisubmission46_b</t>
  </si>
  <si>
    <t>Papenmeier, Frank; Rebholz, Tobias R.: Osano, Maureen</t>
  </si>
  <si>
    <t>For auditory flankers, correct responses are significantly faster in the perceptual-congruent condition than in the response-congruent and incongruent conditions, with no difference in response times between the latter two conditions (interaction of congruency and flanker modality)</t>
  </si>
  <si>
    <t>"the three conditions produced different mean RTs, F(2, 70) = 47.05, p &lt; .01, η2 = 0.57; although RT was virtually identical in response-congruent (492.4 ± 2.1 ms) and incongruent trials (491.3±1.4 ms), there was a speed advantage in perceptual-congruent trials (470.5 ± 1.9 ms).3 This result is consistent with the hypothesis that auditory flankers facilitate the processing of visual targets when their letter names are identical. However, the results are at variance with the idea that auditory flankers speed-up late processes as there was virtually no processing benefit when auditory flankers and targets matched the same response. Accordingly, the conclusion that a significant proportion of this bimodal flanker effect resides in late processing stages is not supported by the present results."</t>
  </si>
  <si>
    <t>curatescience46_b</t>
  </si>
  <si>
    <t>2.24.2025</t>
  </si>
  <si>
    <t>Macbeth effect (physical cleansing)</t>
  </si>
  <si>
    <t>As predicted, physical cleansing significantly reduced volunteerism: 74% of those in the not-cleansed condition offered help, whereas only 41% of participants who had a chance to cleanse their hands offered help (c2 0 5.02, P 0 0.025).</t>
  </si>
  <si>
    <t>In R, cohens_h &lt;- 2 * (asin(sqrt(0.739)) - asin(sqrt(0.409)))</t>
  </si>
  <si>
    <t>Soto_1</t>
  </si>
  <si>
    <t>Soto</t>
  </si>
  <si>
    <t>Kaiser, Leonard; Manriquez Robles, Diego</t>
  </si>
  <si>
    <t>14/11/2023; 04/08/2025</t>
  </si>
  <si>
    <t>- I changed the described effect from religious beliefs and behavior to only beliefs
- I added the study numbers
- I changed the page number of the original study
- I changed the p-value
- I changed the sides of the original p-value to NA
- I added the text claim
- Since the second values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t>
  </si>
  <si>
    <t>MacDonald, D. A. (2000). Spirituality: Description, measurement, and relation to the five factor model of personality. Journal of Personality, 68, 153-197.</t>
  </si>
  <si>
    <t>10.1111/1467-6494.t01-1-00094</t>
  </si>
  <si>
    <t>10.1111--1467-6494.t01-1-00094.pdf</t>
  </si>
  <si>
    <t>Soto, C. J. (2019). How Replicable Are Links Between Personality Traits and Consequential Life Outcomes? The Life Outcomes of Personality Replication Project. Psychological Science, 30(5), 711-727. https://doi.org/10.1177/0956797619831612</t>
  </si>
  <si>
    <t>10.1177/0956797619831612</t>
  </si>
  <si>
    <t>10.1177--0956797619831612.pdf</t>
  </si>
  <si>
    <t>Religious beliefs and behavior – Agreeableness</t>
  </si>
  <si>
    <t>Big Five, life outcomes, metascience, personality traits, replication, open data, open materials, preregistered</t>
  </si>
  <si>
    <t>Religious beliefs are positively correlated with agreeableness.</t>
  </si>
  <si>
    <t>"ESI-Religiousness associates most clearly with NEO-PIR Agreeableness and Conscientiousness"</t>
  </si>
  <si>
    <t>p. 34, Table 6</t>
  </si>
  <si>
    <t>Table 1, p. 4</t>
  </si>
  <si>
    <t>https://osf.io/d3xb7</t>
  </si>
  <si>
    <t>Soto_2</t>
  </si>
  <si>
    <t xml:space="preserve">- I changed the described effect from religious beliefs and behavior to only beliefs
- I added the study numbers
- I added the text claim
- I changed the page number of the original study
- I changed the p-value
- I changed the sides of the original p-value to NA
- Since the second values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
</t>
  </si>
  <si>
    <t>Religious beliefs and behavior – Conscientiousness</t>
  </si>
  <si>
    <t>Religious beliefs are positively correlated with conscientiousness.</t>
  </si>
  <si>
    <t>Soto_3</t>
  </si>
  <si>
    <t>- I added the study numbers
- I changed the page number of the original study
- I changed the p-value
- I changed the sides of the original p-value to NA
- I added the text claim
- Since the second values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t>
  </si>
  <si>
    <t>Existential or phenomenological concerns – Open-mindedness</t>
  </si>
  <si>
    <t>Existential or phenomenological concerns are positively correlated with open-mindedness.</t>
  </si>
  <si>
    <t>"Inspection of the pattern and magnitude of correlations reveals that the Experiential/Phenomenological imension obtained its strongest correlations with NEO-PI-R Openness"</t>
  </si>
  <si>
    <t>Soto_4</t>
  </si>
  <si>
    <t>- I added the study numbers
- I changed the page number of the original study
- I changed the p-value
- I changed the sides of the original p-value to NA
- the original values were derived from a table, but the were not explained in the text (I added at least the effect) 
- I added the text claim
- Since the second values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t>
  </si>
  <si>
    <t>Existential well-being – Extraversion</t>
  </si>
  <si>
    <t>Existential well-being is positively correlated with extraversion.</t>
  </si>
  <si>
    <t>"ESI-Existential Well-Being is [...] producing statistically significant positive coefficients with [...] Extraversion"</t>
  </si>
  <si>
    <t>Soto_5</t>
  </si>
  <si>
    <t>Existential well-being – Negative emotionality</t>
  </si>
  <si>
    <t>Existential well-being is negatively correlated with negative emotionality.</t>
  </si>
  <si>
    <t>"ESI-Existential Well-Being is seen to correlate strongly and negatively with NEO-PI-R Neuroticism [Negative emotionality]"</t>
  </si>
  <si>
    <t>Soto_6</t>
  </si>
  <si>
    <t>- I added the study numbers
- I changed the page number of the original study
- I added a text claim
- I changed the sides of the original p-value to NA
- There is no reported p-value in the replication study, but in this case the reported effect sizes align with the ones of the online supplement. Therefore, I coded this p-value.</t>
  </si>
  <si>
    <t>Thrash, T. M., &amp; Elliot, A. J. (2003). Inspiration as a psychological construct. Journal of Personality and Social Psychology, 84(4), 871–889. https://doi.org/10.1037/0022-3514.84.4.871</t>
  </si>
  <si>
    <t>10.1037/0022-3514.84.4.871</t>
  </si>
  <si>
    <t>10.1037--0022-3514.84.4.871.pdf</t>
  </si>
  <si>
    <t>Inspiration is positively correlated with extraversion</t>
  </si>
  <si>
    <t>Inspiration is positively correlated with extraversion.</t>
  </si>
  <si>
    <t>"inspiration was uniquely related [...] to Extraversion, F(1, 146) = 3.09, p &lt; .10 (B =.15)"</t>
  </si>
  <si>
    <t>p. 7, Table 4</t>
  </si>
  <si>
    <t>Soto_7</t>
  </si>
  <si>
    <t>Inspiration is positively correlated with open-mindedness</t>
  </si>
  <si>
    <t>Inspiration is positively correlated with open-mindedness.</t>
  </si>
  <si>
    <t>"inspiration was uniquely related to Openness to Experience, F(1, 146) = 30.64, p &lt; .001 (B = .42).</t>
  </si>
  <si>
    <t>Soto_8</t>
  </si>
  <si>
    <t xml:space="preserve">There is no statistical evidence for the proposed effects in the original study. The values Diego used to calculate the effect size only describe the distribution of the Big Five traits. However, they have nothing to do with humor. Therefore, I would exclude this study. </t>
  </si>
  <si>
    <t>Cann, A., &amp; Calhoun, L. G. (2001). Perceived personality associations with differences in sense of humor: Stereotypes of hypothetical others with high or low senses of humor. Humor: International Journal of Humor Research, 14(2), 117–130. https://doi.org/10.1515/humr.14.2.117 Study 2</t>
  </si>
  <si>
    <t>10.1515/humr.14.2.117</t>
  </si>
  <si>
    <t>10.1515--humr.14.2.117.pdf</t>
  </si>
  <si>
    <t>Humor and agreeableness</t>
  </si>
  <si>
    <t>Humor is positively correlated with agreeableness.</t>
  </si>
  <si>
    <t>Calculated from means and SDs reported in Table 3 (p. 125) using pooled standard deviation formula.</t>
  </si>
  <si>
    <t>Soto_9</t>
  </si>
  <si>
    <t>Humor and negative emotionality</t>
  </si>
  <si>
    <t>Humor is negatively correlated with negative emotionality.</t>
  </si>
  <si>
    <t>Soto_10</t>
  </si>
  <si>
    <t>- I added the study numbers
- I added the text claim and the corresponding page
- The table of the online supplement states that Optimism was coded as extraversion. Therefore, I coded the corresponding values of the original study (which did not align with the reported values of the replication) 
- I corrected the p-value of the original study
- I changed the tails of the original p-value to NA
- Since the second effect sizes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t>
  </si>
  <si>
    <t>Aspinwall, L. G., &amp; Taylor, S. E. (1992). Modeling cognitive adaptation: A longitudinal investigation of the impact of individual differences and coping on college adjustment and performance. Journal of Personality and Social Psychology, 63(6), 989–1003. https://doi.org/10.1037/0022-3514.63.6.989</t>
  </si>
  <si>
    <t>10.1037/0022-3514.63.6.989</t>
  </si>
  <si>
    <t>10.1037--0022-3514.63.6.989.pdf</t>
  </si>
  <si>
    <t>Coping and extraversion</t>
  </si>
  <si>
    <t>Coping is positively correlated with extraversion.</t>
  </si>
  <si>
    <t>"Optimism [...] predicted greater active coping with the demands of entering college (R2 = .22)."</t>
  </si>
  <si>
    <t>p. 7, Table 2</t>
  </si>
  <si>
    <t>Soto_11</t>
  </si>
  <si>
    <t>- I added the study numbers
- I added the text claim and the corresponding page
- The table of the online supplement states that Optimism was coded as extraversion. Therefore, I coded the corresponding values of the original study (which did not align with the reported values of the replication) 
- I changed the tails of the original p-value to NA
- Since the second effect sizes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t>
  </si>
  <si>
    <t>Coping and negative emotionality</t>
  </si>
  <si>
    <t>Coping is negatively correlated with negative emotionality.</t>
  </si>
  <si>
    <t>"negative mood [...] predicted greater active coping with the demands of entering college (R2 = .22)."</t>
  </si>
  <si>
    <t>Soto_12</t>
  </si>
  <si>
    <t>- I added the study numbers
- I added the replication label
- I added the page number of the original effect 
- The original study reported correlations between the Big Five and various dimensions of personality disorders. These more detailed correlations are also presented in the online supplement. However, the paper itself appears to report aggregated dimensions. These aggregated values are not reported in the paper. For this reason, the coders listed the values from the replication table. Accordingly, no claim is made. However, it remains unclear whether the values were statistically significant, so I set the p-values from the original study to NA.
- I also set the p-value of the replication study on NA</t>
  </si>
  <si>
    <t>Clark, L. A., Vorhies, L., &amp; McEwen, J. L. (2002). Personality disorder symptomatology from the five-factor model perspective. In P. T. Costa, Jr. &amp; T. A. Widiger (Eds.), Personality disorders and the five-factor model of personality (pp. 125–147). American Psychological Association. https://doi.org/10.1037/10423-008</t>
  </si>
  <si>
    <t>10.1037/10423-008</t>
  </si>
  <si>
    <t>10.1037--10423-008.pdf</t>
  </si>
  <si>
    <t>Personality disorders are both positively and negatively correlated with extraversion.</t>
  </si>
  <si>
    <t>±0.43</t>
  </si>
  <si>
    <t>Soto_13</t>
  </si>
  <si>
    <t>Personality disorders are negatively correlated with agreeableness.</t>
  </si>
  <si>
    <t>Soto_14</t>
  </si>
  <si>
    <t>Personality disorders are both positively and negatively correlated with conscientiousness.</t>
  </si>
  <si>
    <t>±0.41</t>
  </si>
  <si>
    <t>Soto_15</t>
  </si>
  <si>
    <t>Personality disorders are both positively and negatively correlated with negative emotionality.</t>
  </si>
  <si>
    <t>±0.38</t>
  </si>
  <si>
    <t>Soto_16</t>
  </si>
  <si>
    <t>- I added the study numbers
- I added the replication label
- I added the text claim
- I added the page number of the original effect
- I changed the tails of the p-value to NA
- There is no reported p-value in the replication study, but in this case the reported effect sizes align with the ones of the online supplement. Therefore, I coded this p-value.</t>
  </si>
  <si>
    <t>McCullough, M. E., Emmons, R. A., &amp; Tsang, J. A. (2002). The grateful disposition: A conceptual and empirical topography. Journal of Personality and Social Psychology, 82, 112-127. Study 2</t>
  </si>
  <si>
    <t>10.1037/0022-3514.82.1.112</t>
  </si>
  <si>
    <t>10.1037--0022-3514.82.1.112.pdf</t>
  </si>
  <si>
    <t>Gratitude is positively correlated with Extraversion.</t>
  </si>
  <si>
    <t>Gratitude is positively correlated with extraversion.</t>
  </si>
  <si>
    <t>"Table 3 shows the relationship of the GQ-6 and the gratitude adjectives scale with other constructs. Both measures of the grateful disposition were positively and moderately related to [...] Extraversion"</t>
  </si>
  <si>
    <t>p. 9, Table 3</t>
  </si>
  <si>
    <t>Soto_17</t>
  </si>
  <si>
    <t>- I added the study numbers
- I added the replication label
- I added the text claim
- I added the page number of the original effect
- I changed the tails of the original p-value to NA
- There is no reported p-value in the replication study, but in this case the reported effect sizes align with the ones of the online supplement. Therefore, I coded this p-value.</t>
  </si>
  <si>
    <t>Gratitude is positively correlated with Agreeableness.</t>
  </si>
  <si>
    <t>Gratitude is positively correlated with agreeableness.</t>
  </si>
  <si>
    <t>"Table 3 shows the relationship of the GQ-6 and the gratitude adjectives scale with other constructs. Both measures of the grateful disposition were positively and moderately related to [...]."</t>
  </si>
  <si>
    <t>Soto_18</t>
  </si>
  <si>
    <t>- I added the study numbers
- I added the replication label
- I added the text claim
- I added the page number of the original effect
- I changed the tails of the orignal p-value to NA
- There is no reported p-value in the replication study, but in this case the reported effect sizes align with the ones of the online supplement. Therefore, I coded this p-value.</t>
  </si>
  <si>
    <t>Breen, W. E., Kashdan, T. B., Lenser, M. L., &amp; Fincham, F. D. (2010). Gratitude and forgiveness: Convergence and divergence on self-report and informant ratings. Personality and Individual Differences, 49, 932-937.</t>
  </si>
  <si>
    <t>10.1016/j.paid.2010.07.033</t>
  </si>
  <si>
    <t>10.1016--j.paid.2010.07.033.pdf</t>
  </si>
  <si>
    <t>Forgiveness is positively correlated with Agreeableness.</t>
  </si>
  <si>
    <t>Foregiveness is positively correlated with agreeableness.</t>
  </si>
  <si>
    <t>"Character strengths were positively correlated with Agreeableness (rs = .32 to .58)"</t>
  </si>
  <si>
    <t>p. 4, Table 2</t>
  </si>
  <si>
    <t>Soto_19</t>
  </si>
  <si>
    <t>- I added the study numbers
- I added the replication label
- I added the text claim
- I changed the page number of the original effect
- I changed the tails of the p-value to NA
- I coded the corrected values of the replication study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t>
  </si>
  <si>
    <t>DeNeve, K. M., &amp; Cooper, H. (1998). The happy personality: A meta-analysis of 137 personality traits and subjective well-being. Psychological Bulletin, 124, 197-229.</t>
  </si>
  <si>
    <t>10.1037/0033-2909.124.2.197</t>
  </si>
  <si>
    <t>10.1037--0033-2909.124.2.197.pdf</t>
  </si>
  <si>
    <t>Subjective well-being is positively correlated with extraversion.</t>
  </si>
  <si>
    <t>The authors do not explicitly make a claim, they state: "The average correlation of each Big Five factor with SWB can be found in Table 6."</t>
  </si>
  <si>
    <t>p. 13, Table 6</t>
  </si>
  <si>
    <t>Soto_20</t>
  </si>
  <si>
    <t>Subjective well-being is negatively correlated with negative emotionality.</t>
  </si>
  <si>
    <t>Soto_21</t>
  </si>
  <si>
    <t xml:space="preserve">It can be inferred from the table of the online supplement that Soto calculated the original effect size from Table 7 of the original study. It seems like he took hostility as a reverse item for agreeableness. Therefore, there is no text claim and I can not verify the effect size. I would suggest to exclude the row.  </t>
  </si>
  <si>
    <t>Lichtenstein, P., Pedersen, N. L., Plomin, R., de Faire, U., &amp; McClearn, G. E. (1989). Type A behavior pattern, related personality traits and self-reported coronary heart disease. Personality and Individual Differences, 10, 419-426.</t>
  </si>
  <si>
    <t>10.1016/0191-8869(89)90005-6</t>
  </si>
  <si>
    <t>10.1016--0191-8869(89)90005-6.pdf</t>
  </si>
  <si>
    <t>Heart disease is negatively correlated with agreeableness.</t>
  </si>
  <si>
    <t>p. 403, Table 5</t>
  </si>
  <si>
    <t>Soto_22</t>
  </si>
  <si>
    <r>
      <rPr>
        <rFont val="Arial"/>
      </rPr>
      <t xml:space="preserve">- I added the study numbers
- I added the replication label
- I added the text claim
- I added the page number of the replication effect
- I changed the p-value type and the tails (original)
- I added the p-value from the online supplement
- Corrected p-value (was &gt;1) based on </t>
    </r>
    <r>
      <rPr>
        <rFont val="Arial"/>
        <color rgb="FF1155CC"/>
        <u/>
      </rPr>
      <t>https://osf.io/mc3z7</t>
    </r>
  </si>
  <si>
    <t>Fredrickson, B. L., &amp; Joiner, T. (2002). Positive emotions trigger upward spirals toward emotional well-being. Psychological Science, 13, 172-175.</t>
  </si>
  <si>
    <t>10.1111/1467-9280.00431</t>
  </si>
  <si>
    <t>10.1111--1467-9280.00431.pdf</t>
  </si>
  <si>
    <t>Resilience is positively correlated with extraversion.</t>
  </si>
  <si>
    <t>"Step 2 is to show a significant correlation between the predictor and the mediator (here, between T1 PA [positive affect scale -&gt; likely etraversion] and changes in broad-minded coping [resilience],[...]). As we have already discussed, this step is also satisfied (see Table 1)."</t>
  </si>
  <si>
    <t>p. 3, Table 1</t>
  </si>
  <si>
    <r>
      <rPr>
        <rFont val="Calibri"/>
        <sz val="11.0"/>
      </rPr>
      <t xml:space="preserve">Table 1, p. 4, </t>
    </r>
    <r>
      <rPr>
        <rFont val="Calibri"/>
        <color rgb="FF1155CC"/>
        <sz val="11.0"/>
        <u/>
      </rPr>
      <t>https://osf.io/mc3z7</t>
    </r>
  </si>
  <si>
    <t>Soto_23</t>
  </si>
  <si>
    <t>- I added the study numbers
- I added the replication label
- I added the text claim and the page number
- I changed es_repr_o to the PDF page number
- I changed the p-value the tails (original) to NA
- I changed the p-value to the one of the online supplement
- I changed the type of p-value</t>
  </si>
  <si>
    <t>Trull, T. J., &amp; Sher, K. J. (1994). Relationship between the five-factor model of personality and Axis I disorders in a nonclinical sample. Journal of Abnormal Psychology, 103, 350-360.</t>
  </si>
  <si>
    <t>10.1037/0021-843X.103.2.350</t>
  </si>
  <si>
    <t>10.1037--0021-843x.103.2.350.pdf</t>
  </si>
  <si>
    <t>Substance abuse is negatively correlated with conscientiousness.</t>
  </si>
  <si>
    <t>"any substance use disorder (B = -.22, p &lt; .001) were significantly related to conscientiousness"</t>
  </si>
  <si>
    <t>Soto_24</t>
  </si>
  <si>
    <t>Substance abuse is positively correlated with open-mindedness.</t>
  </si>
  <si>
    <t>"any substance use disorder (B = .15, p &lt; .01) was significantly related to openness"</t>
  </si>
  <si>
    <t>Soto_25</t>
  </si>
  <si>
    <t>Anxiety is positively correlated with negative emotionality.</t>
  </si>
  <si>
    <t>"any anxiety disorder (B = . 17, p &lt; .001) were significantly related to neuroticism".</t>
  </si>
  <si>
    <t>Soto_26</t>
  </si>
  <si>
    <t>- I changed the p-value of the original study
- I added the study numbers
- I added the replication label
- I added the text claim and the page number
- I changed es_repr_o to the PDF page number
- I changed the p-value the tails (original) to NA
- I changed the p-value to the one of the online supplement
- I changed the type of p-value</t>
  </si>
  <si>
    <t>Depression is negatively correlated with extraversion.</t>
  </si>
  <si>
    <t>"Major depression (B = - .19, p &lt; .001) [...] were significantly related to extraversion"</t>
  </si>
  <si>
    <t>Soto_27</t>
  </si>
  <si>
    <t>Depression is positively correlated with negative emotionality.</t>
  </si>
  <si>
    <t>"Results from these analyses indicate that the diagnoses of major depression (B = .20, p &lt;.001) [...] were significantly related to neuroticism"</t>
  </si>
  <si>
    <t>Soto_28</t>
  </si>
  <si>
    <t>- I added the study numbers
- I added the replication label
- I added the text claim and the page number
- I changed es_repr_o to the PDF page number
- I changed the p-value of the original study
- I changed the p-value the tails (original) to NA
- I coded the corrected values of the replication study
- I changed the p-value of the replication to NA</t>
  </si>
  <si>
    <t>Clancy, S. M., &amp; Dollinger, S. J. (1993). Identity, self, and personality: I. Identity status and the five-factor model of personality. Journal of Research on Adolescence, 3, 227-245.</t>
  </si>
  <si>
    <t>10.1207/s15327795jra0303_2</t>
  </si>
  <si>
    <t>10.1207--s15327795jra0303_2.pdf</t>
  </si>
  <si>
    <t>Identity achievement is positively correlated with conscientiousness.</t>
  </si>
  <si>
    <t>"Conscientiousness, in contrast, was [...] positively related to the achievement identity dimension, [...] r = .30, p &lt; .001, respectively."</t>
  </si>
  <si>
    <t>Soto_29</t>
  </si>
  <si>
    <t>Identity foreclosure is negatively correlated with open-mindedness.</t>
  </si>
  <si>
    <t>"There was a strong negative relation between overall foreclosed status and overall openness to experience, r = - .50, p &lt; 0.001"</t>
  </si>
  <si>
    <t>Soto_30</t>
  </si>
  <si>
    <t>Note: The original effect differs from the replicated effect. It seems to be conceptually different and should be interpreted with great caution! 
- I added the study numbers
- I added the replication label
- I added the text claim and the relating page number
- I changed es_repr_o to the PDF page number
- I corrected the p-value and the tails of the original p-value
- I coded the corrected effect of the replication study
- I changed the p-value of the replication to NA
- I added the page number of the replication effect</t>
  </si>
  <si>
    <t>Helson, R., &amp; Srivastava, S. (2001). Three paths of adult development: Conservers, seekers, and achievers. Journal of Personality and Social psychology, 80, 995-1010.</t>
  </si>
  <si>
    <t>10.1037/0022-3514.80.6.995</t>
  </si>
  <si>
    <t>10.1037--0022-3514.80.6.995.pdf</t>
  </si>
  <si>
    <t>Identity integration or consolidation is negatively correlated with negative emotionality.</t>
  </si>
  <si>
    <t>"Regressions of Identity Status Dimensions Onto Environmental Mastery (EM)"</t>
  </si>
  <si>
    <t>p. 9, Table 4</t>
  </si>
  <si>
    <t>Soto_31</t>
  </si>
  <si>
    <t>Identity integration or consolidation is positively correlated with open-mindedness.</t>
  </si>
  <si>
    <t>"Regressions of Identity Status Dimensions Onto Personal Growth (PG)"</t>
  </si>
  <si>
    <t>Soto_32</t>
  </si>
  <si>
    <t>Ryder, A. G., Alden, L. E., &amp; Paulhus, D. L. (2000). Is acculturation unidimensional or bidimensional? A head-to-head comparison in the prediction of personality, self-identity, and adjustment. Journal of Personality and Social Psychology, 79, 49-65.</t>
  </si>
  <si>
    <t>10.1037//0022-3514.79.1.49</t>
  </si>
  <si>
    <t>10.1037----0022-3514.79.1.49.pdf</t>
  </si>
  <si>
    <t>Ethnic-culture identification (for minorities) is positively correlated with conscientiousness.</t>
  </si>
  <si>
    <t>"The Heritage subscale was associated with higher conscientiousness"</t>
  </si>
  <si>
    <t>p. 4, Table 1</t>
  </si>
  <si>
    <t>Soto_33</t>
  </si>
  <si>
    <t>- I corrected the p-values of the original study
- I added the study numbers
- I added the replication label
- I added the text claim and the page number
- I changed es_repr_o to the PDF page number
- I changed the p-value the tails (original) to NA
- I changed the p-value to the one of the online supplement
- I changed the type of p-value</t>
  </si>
  <si>
    <t>Majority-culture identification (for minorities) is positively correlated with extraversion.</t>
  </si>
  <si>
    <t>"Whereas the Mainstream subscale was associated with higher scores on [...] extraversion."</t>
  </si>
  <si>
    <t>Soto_34</t>
  </si>
  <si>
    <t>Majority-culture identification (for minorities) is positively correlated with open-mindedness.</t>
  </si>
  <si>
    <t>"Whereas the Mainstream subscale was associated with higher scores on [...] openness"</t>
  </si>
  <si>
    <t>Soto_35</t>
  </si>
  <si>
    <t>I suggest to exclude this row (see my comment below at Daniels entry)</t>
  </si>
  <si>
    <t>Belsky, J., Jaffee, S. R., Caspi, A., Moffitt, T., &amp; Silva, P. A. (2003). Intergenerational relationships in young adulthood and their life course, mental health, and personality correlates. Journal of Family Psychology, 17, 460-471.</t>
  </si>
  <si>
    <t>10.1037/0893-3200.17.4.460</t>
  </si>
  <si>
    <t>10.1037--0893-3200.17.4.460.pdf</t>
  </si>
  <si>
    <t>Family satisfaction is positively correlated with conscientiousness.</t>
  </si>
  <si>
    <t>p. 466, Table 1</t>
  </si>
  <si>
    <t>Soto_36</t>
  </si>
  <si>
    <t>- I corrected the p-value of the original study (tails and type)
- I added the study numbers
- I added the replication label
- I added the text claim and the page number
- I changed es_repr_o to the PDF page number
- I coded the corrected effect of the replication study and changed the effect size type
- I changed the p-value of the replication to NA</t>
  </si>
  <si>
    <t>Family satisfaction is negatively correlated with negative emotionality.</t>
  </si>
  <si>
    <t>"It is not surprising that lower levels of affectional solidarity characterized mother–child relationships when young adults scored high on negative motionality"</t>
  </si>
  <si>
    <t>-0.1</t>
  </si>
  <si>
    <t>p. 7, Table 1</t>
  </si>
  <si>
    <t>Soto_37</t>
  </si>
  <si>
    <t>Standard regression analysis used in both original and replication studies. No indication of multilevel or repeated measures design. Entered 'no' in nested_o and nested_r.</t>
  </si>
  <si>
    <t>-  I added the study numbers
- I added the replication label
- I added the effect
- The original effect in the replication study was based on an intercorrelation between the different Big Five scales (as stated in the online supplement). Therefore, the effect cannot be directly extracted from the original study. I will stick with the effect sizes reported in the replication study.
- The original coding referred only to one of the scales (that was only distributed to a share of the overall sample). Therefore, I would suggest to stay with the original effects provided by the replication and changed the effect and the number of participants. However, the p-value is therefore NA (the original study report only the p-value of the sub scales)
- I changed the p-value of the replication study to the one of the online supplement
- I changed the closeness to conceptual</t>
  </si>
  <si>
    <t>Paunonen, S. V. (2003). Big Five factors of personality and replicated predictions of behavior. Journal of Personality and Social Psychology, 84, 411-422.</t>
  </si>
  <si>
    <t>10.1037/0022-3514.84.2.411</t>
  </si>
  <si>
    <t>10.1037--0022-3514.84.2.411.pdf</t>
  </si>
  <si>
    <t>Correlation between peer's acceptance/ friendship and extraversion.</t>
  </si>
  <si>
    <t>Peer's acceptance and friendship are positively correlated with extraversion.</t>
  </si>
  <si>
    <t xml:space="preserve">p.7 </t>
  </si>
  <si>
    <t>Soto_38</t>
  </si>
  <si>
    <t>Correlation between dating variety and extraversion.</t>
  </si>
  <si>
    <t>Dating variety is positively correlated with extraversion.</t>
  </si>
  <si>
    <t>Extraversion showed a positive and statistically significant correlation with dating variety across three of four personality inventories.</t>
  </si>
  <si>
    <t>Soto_39</t>
  </si>
  <si>
    <t>Correlation between attractiveness and extraversion.</t>
  </si>
  <si>
    <t>Attractiveness is positively correlated with extraversion.</t>
  </si>
  <si>
    <t>Extraversion correlated positively with peer-rated physical attractiveness.</t>
  </si>
  <si>
    <t>Soto_40</t>
  </si>
  <si>
    <t>Effect size in original study reported as standardized regression coefficient (β = .41, p &lt; .01) on p. 126; entered as beta. Replication effect size reported as r = .39 in Table 1 (Soto, 2019). No indication of multilevel modeling or nested design; coded `nested_o = no`, `nested_r = unsure`.</t>
  </si>
  <si>
    <t>- I added the study number
- I added the replication label
- I added the effect
- The original effect in the replication study was based on an intercorrelation of two timepoints (as stated in the online supplement). Therefore, the effect cannot be directly extracted from the original study. I will stick with the effect sizes reported in the replication study. Since both combined effects are p &lt; .01, I kept this value
- I changed the p-value of the replication study to the one of the online supplement</t>
  </si>
  <si>
    <t>Anderson, C., John, O. P., Keltner, D., &amp; Kring, A. M. (2001). Who attains social status? Effects of personality and physical attractiveness in social groups. Journal of Personality and Social Psychology, 81, 116-132.</t>
  </si>
  <si>
    <t>10.1037/0022-3514.81.1.116</t>
  </si>
  <si>
    <t>10.1037--0022-3514.81.1.116.pdf</t>
  </si>
  <si>
    <t>Correlation between peer status and extraversion.</t>
  </si>
  <si>
    <t>Peer status is positively correlated with extraversion.</t>
  </si>
  <si>
    <t>Soto_41</t>
  </si>
  <si>
    <t>Original result for male subsample: standardized regression coefficient (β = –.43, p &lt; .01), reported on p. 132. Replication effect size reported as r = –.31 in Table 1 (Soto, 2019). No indication of nested or repeated-measures analysis in original; replication design unclear — coded `nested_o = no`, `nested_r = unsure`</t>
  </si>
  <si>
    <t>- I added the study number
- I added the study number
- I added the replication label
- I added the effect
- The original effect in the replication study was based on an intercorrelation of two timepoints (as stated in the online supplement). Therefore, the effect cannot be directly extracted from the original study. I will stick with the effect sizes reported in the replication study. 
- I changed the p-value of the replication study to the one of the online supplement</t>
  </si>
  <si>
    <t>Correlation between peer status and negative emotionality</t>
  </si>
  <si>
    <t>Peer status (men) is negatively correlated with negative emotionality.</t>
  </si>
  <si>
    <t>–.43</t>
  </si>
  <si>
    <t>–0.31</t>
  </si>
  <si>
    <t>Soto_42</t>
  </si>
  <si>
    <t>Original effect reported as r = .28 on p. 428. Study design included dyads (romantic partners), so nesting is present. Replication effect from Soto Table 1; nesting assumed due to dyadic outcome.</t>
  </si>
  <si>
    <t>- I added the study numbers
- I added the replication label
- As described in the validated row of Mariem, the effect includes both genders and single and married couples. It can not be found in the original study and the text claim can not be derived from the orignal study. Therefore. I removed the text claim 
- I changed the page number where one could reproduce the original effect
- I changed nesting to "no"
- I changed the p-value of the replication study
- I changed the original p-value to NA 
- I changed to conceptual replication</t>
  </si>
  <si>
    <t>Watson, D., Hubbard, B., &amp; Wiese, D. (2000). General traits of personality and affectivity as predictors of satisfaction in intimate relationships: Evidence from self‐and partner‐ratings. Journal of Personality, 68, 413-449.</t>
  </si>
  <si>
    <t>10.1111/1467-6494.00102</t>
  </si>
  <si>
    <t>10.1111--1467-6494.00102.pdf</t>
  </si>
  <si>
    <t>Correlation between romantic satisfaction and extraversion</t>
  </si>
  <si>
    <t>Romantic satisfaction is positively correlated with extraversion.</t>
  </si>
  <si>
    <t>Soto_43</t>
  </si>
  <si>
    <t>Original study reports r = –.32 on p. 428. Design includes partner-reported dyadic data; nesting assumed. Replication effect r = –.23 from Soto Table 1. Both original and replication interpreted as dependent data structures.</t>
  </si>
  <si>
    <t>Correlation between romantic satisfaction and neuroticism</t>
  </si>
  <si>
    <t>Romantic satisfaction is negatively correlated with negative emotionality.</t>
  </si>
  <si>
    <t>–0.32</t>
  </si>
  <si>
    <t>–0.23</t>
  </si>
  <si>
    <t>Soto_44</t>
  </si>
  <si>
    <t>Effect size (r = .32) and p-value (&lt; .01) reported on p. 948 for neuroticism and romantic conflict. Standard bivariate correlation used; no indication of multilevel/nested design. Replication effect (r = .01) from Soto Table 1.</t>
  </si>
  <si>
    <t>- I added the study numbers
- I added the link to the original study
- I added the replication label
- As described in the validated row of Mariem, the effect was calculated from multiple subgroups. Therefore, the effect can not be directly derived from the original study.
- I changed the page number where one could reproduce the original effect
- I changed nesting to "no"
- I changed the p-value of the replication study
- I changed the original p-value to NA 
- I changed to conceptual replication</t>
  </si>
  <si>
    <t>Robins, R. W., Caspi, A., &amp; Moffitt, T. E. (2002). It's not just who you're with, it's who you are: Personality and relationship experiences across multiple relationships. Journal of Personality, 70, 925-964.</t>
  </si>
  <si>
    <t>10.1111/1467-6494.05028</t>
  </si>
  <si>
    <t>10.1111--1467-6494.05028..pdf</t>
  </si>
  <si>
    <t>https://drive.google.com/file/d/1-on_azF3SOQnkcXmO04jj2zt4-H3FlcG/view</t>
  </si>
  <si>
    <t>Correlation between romantic conflict and neuroticism</t>
  </si>
  <si>
    <t>Romantic conflict is positvely correlated with negative emotionality.</t>
  </si>
  <si>
    <t>As Table 6 shows, adolescents prone to Negative Emotionality experienced progressively worse relationships during young adult-hood, as indicated by declines in Quality and increases in Conflict.</t>
  </si>
  <si>
    <t>p.22 - p. 23</t>
  </si>
  <si>
    <t>Soto_45</t>
  </si>
  <si>
    <t>Original effect (r = .25) and p-value (&lt; .01) for neuroticism and partner abuse reported on p. 948. Standard correlation reported. Replication effect (r = .09) from Soto Table 1. No indication of nested analysis in either study.</t>
  </si>
  <si>
    <t>10.1111--1467-6494.05028.pdf</t>
  </si>
  <si>
    <t>Correlation between romantic abuse and neuroticism</t>
  </si>
  <si>
    <t>Romantic abuse is positvely correlated with negative emotionality.</t>
  </si>
  <si>
    <t>As Table 6 shows, adolescents prone to Negative Emotionality experienced progressively worse relationships during young adult-hood, as indicated by declines in Quality and increases in [...] Abuse.</t>
  </si>
  <si>
    <t>Soto_46</t>
  </si>
  <si>
    <t>Theoretical review; no original ES or p. Replication based on conceptual claim. Effect size from Table 2, Soto (2019), p. 719</t>
  </si>
  <si>
    <t>Karney, B. R., &amp; Bradbury, T. N. (1995). The longitudinal course of marital quality and stability: A review of theory, methods, and research. Psychological Bulletin, 118, 3-34.</t>
  </si>
  <si>
    <t>10.1037/0033-2909.118.1.3</t>
  </si>
  <si>
    <t>10.1037--0033-2909.118.1.3.pdf</t>
  </si>
  <si>
    <t>Romantic dissolution is positvely correlated with negative emotionality.</t>
  </si>
  <si>
    <t>According to crisis theory, it is the failure to adapt to stressful events that precipitates problems in marriages and families</t>
  </si>
  <si>
    <t>Corinna (to do)</t>
  </si>
  <si>
    <t>Soto_47</t>
  </si>
  <si>
    <t>Original r = .25 from Table 2, p. 521 (Gottfredson et al., 1993). Replication r = .15 from Soto (2019), Table 1, p. 719. p &lt; .001 coded as l, 2 tails. No nesting mentioned</t>
  </si>
  <si>
    <t>Gottfredson, G. D., Jones, E. M., &amp; Holland, J. L. (1993). Personality and vocational interests: The relation of Holland’s six interest dimensions to five robust dimensions of personality. Journal of Counseling Psychology, 40, 518-524.</t>
  </si>
  <si>
    <t>10.1037/0022-0167.40.4.518</t>
  </si>
  <si>
    <t>10.1037--0022-0167.40.4.518.pdf</t>
  </si>
  <si>
    <t>Investigative occupational interests are positvely correlated with open-mindedness.</t>
  </si>
  <si>
    <t>Investigative interests were positively associated with Openness.</t>
  </si>
  <si>
    <t>Soto_48</t>
  </si>
  <si>
    <t>Original r = .30 from Table 2, p. 521 (Gottfredson et al., 1993). Replication r = .41 from Soto (2019), Table 1, p. 719. p &lt; .001 coded as l, 2 tails. No nesting mentioned.</t>
  </si>
  <si>
    <t>Artistic occupational interests are positvely correlated with open-mindedness.</t>
  </si>
  <si>
    <t>Artistic interests were positively associated with Openness</t>
  </si>
  <si>
    <t>Soto_49</t>
  </si>
  <si>
    <t>Original r = .16 from Table 2, p. 521 (Gottfredson et al., 1993). Replication r = .15 from Soto (2019), Table 1, p. 719. p &lt; .001 coded as l, 2 tails. No nesting mentioned.</t>
  </si>
  <si>
    <t>Social occupational interests are positvely correlated with extraversion.</t>
  </si>
  <si>
    <t>Social interests were positively associated with Extraversion.</t>
  </si>
  <si>
    <t>Soto_50</t>
  </si>
  <si>
    <t>Original r = .11 from Table 2, p. 521 (Gottfredson et al., 1993). Replication r = .08 from Soto (2019), Table 1, p. 719. p &lt; .001 coded as l, 2 tails. No nesting mentioned.</t>
  </si>
  <si>
    <t>Enterprising occupational interests are positvely correlated with agreeableness.</t>
  </si>
  <si>
    <t>Enterprising interests were positively associated with Agreeableness.</t>
  </si>
  <si>
    <t>Soto_51</t>
  </si>
  <si>
    <t>Original r = .16 from Table 2, p. 521 (Gottfredson et al., 1993). Replication r = .18 from Soto (2019), Table 1, p. 719. p &lt; .001 coded as l, 2 tails. No nesting mentioned.</t>
  </si>
  <si>
    <t>Enterprising occupational interests are positvely correlated with extraversion.</t>
  </si>
  <si>
    <t>Enterprising interests were positively associated with Extraversion.</t>
  </si>
  <si>
    <t>Soto_52</t>
  </si>
  <si>
    <t>Original effect size (r = .22) taken from Thoresen et al. (2003), Table 2, p. 928. Replication effect size (r = .13) reported in Table 1 of Soto (2019), p. 4. Both p-values reported as significant and interpreted as two-tailed. Study meets inclusion criteria and is coded as a close replication (2).</t>
  </si>
  <si>
    <t>Thoresen, C. J., Kaplan, S. A., Barsky, A. P., Warren, C. R., &amp; de Chermont (2003). The affective underpinnings of job perceptions and attitudes: A Meta-analytic review and integration. Psychological Bulletin, 129, 914-945.</t>
  </si>
  <si>
    <t>10.1037/0033-2909.129.6.914</t>
  </si>
  <si>
    <t>10.1037--0033-2909.129.6.914.pdf</t>
  </si>
  <si>
    <t>Occupational satisfaction is positively correlated with extraversion.</t>
  </si>
  <si>
    <t>Occupational satisfaction was significantly and positively associated with extraversion.</t>
  </si>
  <si>
    <t>Soto_53</t>
  </si>
  <si>
    <t>Original r = –.29 from Table 5, p. 932 (Thoresen et al., 2003). Replication r = –.28, p &lt; .001, Table 1, p. 719 (Soto, 2019). No nesting. Close replication.</t>
  </si>
  <si>
    <t>Occupational satisfaction is negatively correlated with negative emotionality.</t>
  </si>
  <si>
    <t>Soto_54</t>
  </si>
  <si>
    <t>Original r = .19 from Table 5, p. 932 (Thoresen et al., 2003). Replication r = .10, p &lt; .001, Table 1, p. 719 (Soto, 2019). No nesting. Close replication.</t>
  </si>
  <si>
    <t>Occupational commitment is positively correlated with extraversion.</t>
  </si>
  <si>
    <t xml:space="preserve">	Occupational commitment is positively correlated with extraversion.</t>
  </si>
  <si>
    <t>Soto_55</t>
  </si>
  <si>
    <t>Original r = –.17 from Table 5, p. 932 (Thoresen et al., 2003). Replication r = –.14, p &lt; .001, Table 1, p. 719 (Soto, 2019). No nesting. Close replication.</t>
  </si>
  <si>
    <t>Occupational commitment is negatively correlated with negative emotionality.</t>
  </si>
  <si>
    <t>Soto_56</t>
  </si>
  <si>
    <t xml:space="preserve">Effect size (r = .24) for agreeableness and extrinsic success is directly reported on p. 645 in Judge et al. (1999). Replication value (r = .15) taken from Table 1, p. 6 in Soto (2019). </t>
  </si>
  <si>
    <t>Judge, T. A., Higgins, C. A., Thoresen, C. J., &amp; Barrick, M. R. (1999). The Big Five personality traits, general mental ability, and career success across the life span. Personnel Psychology, 52, 621-652.</t>
  </si>
  <si>
    <t>10.1111/j.1744-6570.1999.tb00174.x</t>
  </si>
  <si>
    <t>10.1111--j.1744-6570.1999.tb00174.x.pdf</t>
  </si>
  <si>
    <t>Extrinsic success is negatively correlated with agreeableness.</t>
  </si>
  <si>
    <t>Agreeableness was negatively associated with extrinsic career success (i.e., salary and occupational status).</t>
  </si>
  <si>
    <t>Soto_57</t>
  </si>
  <si>
    <t xml:space="preserve">Original effect size (r = .50) for conscientiousness and extrinsic success reported on p. 645. Replication yielded small negative effect (r = –.07) from Table 1, p. 6. </t>
  </si>
  <si>
    <t>Extrinsic success is positively correlated with conscientiousness.</t>
  </si>
  <si>
    <t>Conscientiousness was positively associated with extrinsic career success.</t>
  </si>
  <si>
    <t>Soto_58</t>
  </si>
  <si>
    <t xml:space="preserve">Original association between negative emotionality and extrinsic success reported as r = .34, p. 645. Replication found smaller but same-direction effect (r = .10). </t>
  </si>
  <si>
    <t>Extrinsic success is negatively correlated with negative emotionality.</t>
  </si>
  <si>
    <t>Neuroticism was negatively related to extrinsic career success.</t>
  </si>
  <si>
    <t>Soto_59</t>
  </si>
  <si>
    <t xml:space="preserve">Original effect of conscientiousness on intrinsic success reported as r = .20 (p. 645). Replication (r = .24) shows consistent direction and stronger effect. </t>
  </si>
  <si>
    <t>Intrinsic success is positively correlated with conscientiousness.</t>
  </si>
  <si>
    <t>Conscientiousness was positively related to intrinsic success.</t>
  </si>
  <si>
    <t>Soto_60</t>
  </si>
  <si>
    <t xml:space="preserve">Negative emotionality negatively related to intrinsic success in original (r = .26), reported on p. 645. Replication confirms stronger effect (r = .31). </t>
  </si>
  <si>
    <t>Intrinsic success is negatively correlated with negative emotionality.</t>
  </si>
  <si>
    <t>Neuroticism was negatively associated with intrinsic success.</t>
  </si>
  <si>
    <t>Soto_61</t>
  </si>
  <si>
    <t>Replication found no significant effect, mirroring the original. Effect size directionally matches, but both are weak and nonsignificant.</t>
  </si>
  <si>
    <t>Roberts, B. W., Caspi, A., &amp; Moffitt, T. E. (2003). Work experiences and personality development in young adulthood. Journal of Personality and Social Psychology, 84, 582-593.</t>
  </si>
  <si>
    <t>10.1037/0022-3514.84.3.582</t>
  </si>
  <si>
    <t>10.1037--0022-3514.84.3.582.pdf</t>
  </si>
  <si>
    <t>Job attainment is positively correlated with agreeableness.</t>
  </si>
  <si>
    <t>Agreeableness was unrelated to job attainment.</t>
  </si>
  <si>
    <t>Soto_62</t>
  </si>
  <si>
    <t>Clear positive replication result. Original and replication effects both positive and similar in size (r = .18 vs r = .17). Results consistent and located in Table 1 of Soto (2019).</t>
  </si>
  <si>
    <t>Occupational involvement is positively correlated with extraversion.</t>
  </si>
  <si>
    <t>Soto_63</t>
  </si>
  <si>
    <t>Replication stronger than original. Effect direction confirmed (negative correlation). Original effect r = .22, replication r = .33.</t>
  </si>
  <si>
    <t>Financial security is negatively correlated with negative emotionality.</t>
  </si>
  <si>
    <t>Soto_64</t>
  </si>
  <si>
    <t>Jost, J. T., Glaser, J., Kruglanski, A. W., &amp; Sulloway, F. J. (2003). Political conservatism as motivated social cognition. Psychological Bulletin, 129, 339-375.</t>
  </si>
  <si>
    <t>10.1037/0033-2909.129.3.339</t>
  </si>
  <si>
    <t>10.1037--0033-2909.129.3.339.pdf</t>
  </si>
  <si>
    <t>Right-wing authoritarianism is negatively correlated with open-mindedness.</t>
  </si>
  <si>
    <t>Political conservatism is associated with resistance to change, which correlates negatively with openness to experience.</t>
  </si>
  <si>
    <t>–0.25</t>
  </si>
  <si>
    <t>–0.06</t>
  </si>
  <si>
    <t>Soto_65</t>
  </si>
  <si>
    <t>Conservatism is positively correlated with conscientiousness.</t>
  </si>
  <si>
    <t>Conservatism is positively associated with conscientiousness.</t>
  </si>
  <si>
    <t>Soto_66</t>
  </si>
  <si>
    <t>Conservatism is negatively correlated with open-mindedness.</t>
  </si>
  <si>
    <t>Conservatism is negatively associated with openness to experience.</t>
  </si>
  <si>
    <t>–0.30</t>
  </si>
  <si>
    <t>–0.19</t>
  </si>
  <si>
    <t>Soto_67</t>
  </si>
  <si>
    <t>Replication value taken from Table 1 (p. 6), Soto (2019). Original ES retrieved from Table 3 (p. 1300), Carlo et al. (2005). Values aligned with replication documentation.</t>
  </si>
  <si>
    <t>Carlo, G., Okun, M. A., Knight, G. P., &amp; de Guzman, M. R. T. (2005). The interplay of traits and motives on volunteering: Agreeableness, extraversion and prosocial value motivation. Personality and Individual Differences, 38, 1293-1305.</t>
  </si>
  <si>
    <t>10.1016/j.paid.2004.08.012</t>
  </si>
  <si>
    <t>10.1016--j.paid.2004.08.012.pdf</t>
  </si>
  <si>
    <t>Volunteerism is positively correlated with extraversion.</t>
  </si>
  <si>
    <t>As expected, extraversion was positively associated with volunteerism</t>
  </si>
  <si>
    <t>Soto_68</t>
  </si>
  <si>
    <t>Replication value taken from Table 1 (p. 6), Soto (2019). Original ES from Table 3 (p. 1300), Carlo et al. (2005). Adjusted p-value from report text.</t>
  </si>
  <si>
    <t>Volunteerism is positively correlated with agreeableness.</t>
  </si>
  <si>
    <t>Agreeableness predicted volunteerism</t>
  </si>
  <si>
    <t>Soto_69</t>
  </si>
  <si>
    <t>Effect size retrieved from Table 1 in the replication study; original ES approximated from Table 1 in Judge &amp; Bono (2000). No explicit p-value reported, estimate based on beta coefficients and standard interpretation.</t>
  </si>
  <si>
    <t>Judge, T. A., &amp; Bono, J. E. (2000). Five-factor model of personality and transformational leadership. Journal of Applied Psychology, 85, 751-765.</t>
  </si>
  <si>
    <t>10.1037/0021-9010.85.5.751</t>
  </si>
  <si>
    <t>10.1037--0021-9010.85.5.751.pdf</t>
  </si>
  <si>
    <t>Leadership is positively correlated with extraversion.</t>
  </si>
  <si>
    <t>Extraversion was positively correlated with transformational leadership behavior</t>
  </si>
  <si>
    <t>Soto_70</t>
  </si>
  <si>
    <t>Replication value retrieved from Table 1, Soto (2019), p. 6. Original ES approximated from Table 1, Judge &amp; Bono (2000), p. 761. Original p-value not directly reported for agreeableness; inference based on typical interpretation of beta size.</t>
  </si>
  <si>
    <t>Leadership is positively correlated with agreeableness.</t>
  </si>
  <si>
    <t>Agreeableness was positively related to transformational leadership</t>
  </si>
  <si>
    <t>Soto_71</t>
  </si>
  <si>
    <t>Reported value is standardized beta coefficient. Value confirmed from p. 187 in original; replication extracted from Table 1 (Soto, 2019), which uses standardized coefficients.</t>
  </si>
  <si>
    <t>Shiner, R. L., Masten, A. S., &amp; Tellegen, A. (2002). A developmental perspective on personality in Young adulthood: Childhood antecedents and concurrent adaptation. Journal of Personality and Social Psychology, 83, 1165-1177.</t>
  </si>
  <si>
    <t>10.1037/0022-3514.83.5.1165</t>
  </si>
  <si>
    <t>10.1037--0022-3514.83.5.1165.pdf</t>
  </si>
  <si>
    <t>Antisocial behavior is negatively correlated with conscientiousness.</t>
  </si>
  <si>
    <t>Antisocial behavior was negatively correlated with Conscientiousness.</t>
  </si>
  <si>
    <t>Soto_72</t>
  </si>
  <si>
    <t>Reported value is standardized beta coefficient. Replication result (.06) indicates significant drop in effect size despite statistical significance. Values derived from Table 1, Soto (2019). Original values confirmed on p. 187.</t>
  </si>
  <si>
    <t>Antisocial behavior is positvely correlated with negative emotionality.</t>
  </si>
  <si>
    <t>Antisocial behavior was positively correlated with Negative Emotionality.</t>
  </si>
  <si>
    <t>Soto_73</t>
  </si>
  <si>
    <t>Original ES taken from multiple regression Model 1 (full sample) in Table 3, page 14. Replication ES from Soto (2019), supplemental Table S1.</t>
  </si>
  <si>
    <t>Wiebe, R. P. (2004). Delinquent behavior and the Five-Factor Model: Hiding in the adaptive landscape. Individual Differences Research, 2, 38-62.</t>
  </si>
  <si>
    <t>wiebe_2004</t>
  </si>
  <si>
    <t>wiebe_2004.pdf</t>
  </si>
  <si>
    <t>Criminial behavior is negatively correlated with agreeableness.</t>
  </si>
  <si>
    <t>Agreeableness (A; β = −.15, p &lt; .01) produced a statistically significant partial correlation, while Respect (β = −.13, p &lt; .05) showed a trend-level association.</t>
  </si>
  <si>
    <t>Soto_74</t>
  </si>
  <si>
    <t>Criminial behavior is negatively correlated with conscientiousness.</t>
  </si>
  <si>
    <t>Conscientiousness (C; β = −.23, p &lt; .001) produced a statistically significant partial correlation...</t>
  </si>
  <si>
    <r>
      <rPr>
        <rFont val="Arial"/>
        <b/>
        <color theme="1"/>
      </rPr>
      <t>General note for the r_study:</t>
    </r>
    <r>
      <rPr>
        <rFont val="Arial"/>
        <color theme="1"/>
      </rPr>
      <t xml:space="preserve"> for replication study: p wasn't indicated in the table along with the effect size but this was mentioned in page (7) "Table 1 presents the basic results of these analyses, including the number of significance tests conducted for each hypothesized association, the mean sample size, the proportion of tests that were statistically sig-nificant (i.e., two-tailed p &lt; .05) in the hypothesized direction, the mean original effect size, the mean rep-lication effect size, and the ratio of the replication effect size to the original effect size." so I assumed that all results from table one have two-tailed p&lt;0.05................... </t>
    </r>
    <r>
      <rPr>
        <rFont val="Arial"/>
        <b/>
        <color theme="1"/>
      </rPr>
      <t>Specific note for this effect:</t>
    </r>
    <r>
      <rPr>
        <rFont val="Arial"/>
        <color theme="1"/>
      </rPr>
      <t xml:space="preserve"> Also the specific effect from this row seems to reflect the correlation between one criteria from the behavioral report form and one of the big five personalities. However I coudn't find that specific correlation at all in the o_paper (accpetance and friendship are not mentioned in the behavioral report form in the o_study), even when looking in the sup materials I coudn't find it.</t>
    </r>
  </si>
  <si>
    <t>- I added the doi
- I assume that the variable of the original study is "pupularity" and added the text claim and effect
- I added the replication label
- I added the effect
- The original effect in the replication study was based on an intercorrelation between the different Big Five scales (as stated in the online supplement). Therefore, the effect cannot be directly extracted from the original study. I will stick with the effect sizes reported in the replication study. However, the p-value is therefore NA (the original study report only the p-value of the sub scales)
- I changed nesting to „no“ (original and replication)
- I changed the p-value of the replication study to the one of the online supplement</t>
  </si>
  <si>
    <t xml:space="preserve">Table 3 Replicated Partial Correlations (With Sex Removed) Between Criteria and Big Five Factor Scales... Popularity Extraversion </t>
  </si>
  <si>
    <t>https://osf.io/dg9m4</t>
  </si>
  <si>
    <t xml:space="preserve">The o_effect size mentioned in the r_effect size is 0.17, in the original study 0.17 is the effect size of the correlation between dating variety and extraversion but only extraversion measured by (FF-NPQ) with a sample size of 178 not 418 ike mentioned in this doc or the r_paper. I checked and coudn't find corrlations between criterias from the behavioral report form and traits in general (all enventories included). </t>
  </si>
  <si>
    <t>- I added the doi
- I added the replication label
- I added the effect
- The original effect in the replication study was based on an intercorrelation between the different Big Five scales (as stated in the online supplement). Therefore, the effect cannot be directly extracted from the original study. I will stick with the effect sizes reported in the replication study. However, the p-value is therefore NA (the original study report only the p-value of the sub scales)
- I changed nesting to „no“ (original and replication)
- I changed the p-value of the replication study to the one of the online supplement</t>
  </si>
  <si>
    <t>Table 3 Replicated Partial Correlations (With Sex Removed) Between Criteria and Big Five Factor Scales... Attractiveness Extraversion .25***</t>
  </si>
  <si>
    <t xml:space="preserve">The o_effect size mentioned in the r_paper is 0.24, in the original study 0.25 (slightly diff) is the effect size of the correlation between attractivness and extraversion but only extraversion measured by (FF-NPQ) with a sample size of 178 not 418 like mentioned in this doc or the r_paper. I checked and coudn't find corrlations between criterias from the behavioral report form and traits in general (all enventories included). </t>
  </si>
  <si>
    <t>Table 3 Replicated Partial Correlations (With Sex Removed) Between Criteria and Big Five Factor Scales... Dating variety Extraversion .17**</t>
  </si>
  <si>
    <t xml:space="preserve">the r_study doesn't say exactly mention from wich study they replicated this effect. in the o_paper either status within an all male groupe or within an all female groupe where reported. So I reported the effect of study one (all male). The o_sample size reported in the r_study didn't match any study of the o_paper neither the o_effect size. </t>
  </si>
  <si>
    <t>- I added the doi
- I changed the study number of the original study. Since the wrong study was coded, I had to change all entries regarding the original study.
- I added the replication label
- I added the effect
- The original effect in the replication study was based on an intercorrelation of two timepoints (as stated in the online supplement). Therefore, the effect cannot be directly extracted from the original study. I will stick with the effect sizes reported in the replication study. Since both combined effects are p &lt; .01, I kept this value
- I changed nesting to „no“ (original and replication)
- I kept the p-value of the replication</t>
  </si>
  <si>
    <t>the o_effect size and o_sample size reported in the r_paper don't match those reported by the o_paper</t>
  </si>
  <si>
    <t>- I added the doi
- I changed the study number of the original study. Since the wrong study was coded, I had to change all entries regarding the original study.
- I changed the p-value of the replication to the one of the online supplement
- I added the replication label
- I added the effect
- The original effect in the replication study was based on an intercorrelation of two timepoints (as stated in the online supplement). Therefore, the effect cannot be directly extracted from the original study. I will stick with the effect sizes reported in the replication study. 
- I changed nesting to „no“ (original and replication)</t>
  </si>
  <si>
    <t>the r_paper reports o_effect size corresponding to a sample size of 210. In the o_paper 210 is the total sample but all effects were tested for two diffrent samples (married sample vs dating sample) and no effects were tested for the total sample. So the o_effect size reported by the r_paper is not reported in the o_paper</t>
  </si>
  <si>
    <t>- I changed the effect
- According to the online supplement, Soto calculated the original effect of the weighted average correlation for men and women; While the online supplement distinguishes between dating couples and married couples, these groups seem to be summarized in the paper -&gt; I would  leave the text claim etc. blank while coding the reported original effect of Soto
- I coded the effect size, the effect size type and changed nesting to "no" (original)
- I added the page where one could reproduce the target effect (original)
- I changed the replicated effect size to the corrected one 
- I changed nesting of the replicated effect to "no"</t>
  </si>
  <si>
    <t>- I changed the effect
- According to the online supplement, Soto calculated the original effect of the weighted average correlation for men and women; While the online supplement distinguishes between dating couples and married couples, these groups seem to be summarized in the paper -&gt; I would  leave the text claim etc. blank while coding the reported original effect of Soto
- I coded the effect size, the effect size type and changed nesting to ""no"" (original)
- I added the page where one could reproduce the target effect (original)
- I changed the replicated effect size to the corrected one 
- I changed nesting of the replicated effect to "no"</t>
  </si>
  <si>
    <t>the o_effect size reported by the r_paper don't match any o_effect size reported by the o_study. In the r_study it is not clear what effect exactly they replicated from this study. The correlation between negative emotion and conflict have been investigated in 4 cases in the o_study (age 18, age 26, increase from 18 to 26, and age 21). I chose to report the correlation of negative emotion ( increase from 18 to 26) and conflict ( increase from 18 to 26) reported in table 6 p.26</t>
  </si>
  <si>
    <t>- In the replication study, a weighted average correlation of concurrent correlations at ages 18-21 and 26 are used. Therefore, the reported effect can not be directly inferred from the original report
- I clarified the text claim (both effects were reported)
- I changed the effect
- I coded the effect size, the effect size type (original) and changed nesting to ""no"" (original &amp; replication)
- I added the page where one could reproduce the target effect (original)
- I added the link to the orignal study
- I changed the p-value of the replication study, since the effect matched the one of the online supplement</t>
  </si>
  <si>
    <t>the o_effect size reported by the r_paper don't match any o_effect size reported by the o_study. In the r_study it is not clear what effect exactly they replicated from this study. The correlation between negative emotion and abuse have been investigated in 4 cases in the o_study (age 18, age 26, increase from 18 to 26, and age 21). I chose to report the correlation of negative emotion ( increase from 18 to 26) and abuse ( increase from 18 to 26) reported in table 6 p.26</t>
  </si>
  <si>
    <t>the o_paper reports and summarizes the methods and findings of 115 longitudinal studies—representing over 45,000 marriages. No correlation between romantic dissolution and negative emotionality is reported. The o_effect_size reported by the r_paper don't match any results reported by the o_paper. Also the r_paper doesn't give any further detail or not even the o_sample size so I coudn't fin the o_effect size in the o_paper...</t>
  </si>
  <si>
    <t>- The online supplement states that the original effect was calculated from Figure one and that it is the average value of multiple effects. Therefore, the effect can again, not directly be derived from the original paper</t>
  </si>
  <si>
    <t>Correlation between romantic dissolution and negative emotionality</t>
  </si>
  <si>
    <t>the r_study reports o_effects from a total sample (men + women = 725) but in the o_study the effects are reported seperatly for men or women and again in the r_study there is no further indications that helps identify from where/which table exactly they were taken. The only table in the o_paper that reports the correlations without gender distinction reports median correlation for diffrent inventories and papers and not specific to the o_study. So I reported results from the first table of the o_study (male sample = 479) the effects where the closests to the ones reported by the r_paper. For the r_effects I reported the uncorrected size effects</t>
  </si>
  <si>
    <t>Table 2...Correlations Between NEO Personality Inventory Scales and Vocational Preference Inventory Scales: Men...The VPI Investigative and Artistic scales were positively correlated with the NEO-PI Openness factor and most of the associated facet scores...Correlations of Openness facets with the In-vestigative scale, although generally positive, were always .28 or lower.</t>
  </si>
  <si>
    <t>Table 2...Correlations Between NEO Personality Inventory Scales and Vocational Preference Inventory Scales: Men...The VPI Investigative and Artistic scales were positively correlated with the NEO-PI Openness factor and most of the associated facet scores. The Artistic scale had a correlation above .40 with Aesthetics (a facet of Openness) for both men and women.</t>
  </si>
  <si>
    <t>Table 2...Correlations Between NEO Personality Inventory Scales and Vocational Preference Inventory Scales: Men...The VPI Social and Enterprising scales usually were sig-nificantly positively correlated with NEO-PI factor and facet scales for Extraversion for the male subsample. Correlations for women were smaller and usually nonsignificant. No cor-relation exceeded .23 in size.</t>
  </si>
  <si>
    <t>Table 2...Correlations Between NEO Personality Inventory Scales and Vocational Preference Inventory Scales: Men...</t>
  </si>
  <si>
    <t>in the  o_study o_size effects are reported as Mrˆ (n-weighted “bare-bones” uncorrected correlation); in the o_study p are not reported but 95% confidence intervals. the interval for this effect is [.18, .27]; For the r_effects I reported the uncorrected size effects</t>
  </si>
  <si>
    <t>Table 8 Overall Meta-Analytic Results for Relationships Between Extraversion, Neuroticism, and Job Attitudes</t>
  </si>
  <si>
    <t>in the  o_study o_size effects are reported as Mrˆ (n-weighted “bare-bones” uncorrected correlation); in the o_study p are not reported but 95% confidence intervals. the interval for this effect is [-.32, -.34]; For the r_effects I reported the uncorrected size effects</t>
  </si>
  <si>
    <t>in the  o_study o_size effects are reported as Mrˆ (n-weighted “bare-bones” uncorrected correlation); in the o_study p are not reported but 95% confidence intervals. the interval for this effect is [.18, .26]</t>
  </si>
  <si>
    <t>in the  o_study o_size effects are reported as Mrˆ (n-weighted “bare-bones” uncorrected correlation); in the o_study p are not reported but 95% confidence intervals. the interval for this effect is [-.35, -.10]</t>
  </si>
  <si>
    <t>in the r_study All effect sizes are expressed either as standardized regression coefficients (values with leading zeroes) or correlations (values without leading zeroes). This is why I reported beta in this row.</t>
  </si>
  <si>
    <t>TABLE 2 Intercorrelations Among Study Variables...The most general findings were that conscientiousness positively predicted intrinsic and extrin-sic career success, neuroticism negatively predicted extrinsic success, and general mental ability positively predicted extrinsic career success.</t>
  </si>
  <si>
    <t>1-17</t>
  </si>
  <si>
    <t>the world agreeableness is not used in the o_study so from matching the o_size effects reported in both study I think agreeableness in the r_study is the equivalent of PEM-Communion in the o_study</t>
  </si>
  <si>
    <t>The age-18 PEM-Communion superfactor was positively related to occupational attainment (r = .19, p &lt;  .01),... Adolescents with the capacity for interpersonal warmth, sociability, and happiness were likely to be working in prestigious jobs, to be satisfied with their work, and to feel financially secure.....Table 4 Age-18 Personality Predictors of Age-26 Work Variables</t>
  </si>
  <si>
    <t>the world extraversion is not used in the o_study so from matching the o_size effects reported in both study I think extraversion in the r_study is the equivalent of Constrain  in the o_study</t>
  </si>
  <si>
    <t>Finally, we hypothesized that adolescent traits from the Con-straint domain would be positively related to status attainment, work satisfaction and involvement, and financial security. Consis-tent with our expectations, the Constraint superfactor was posi-tively associated with .... work involvement (r =  .18, p  &lt; .01),...Table 4 Age-18 Personality Predictors of Age-26 Work Variables</t>
  </si>
  <si>
    <t>As we hypoth-esized, age-18 traits from the NEM superfactor were related to lower levels of occupational attainment, less job satisfaction, and less financial security at age 26...Table 4 Age-18 Personality Predictors of Age-26 Work Variables</t>
  </si>
  <si>
    <t xml:space="preserve">it is almost impossible to know which specific o_effect the r_paper reported... The o_paper reports effects from other papers and each time calculates a mean effect size (for each table). However the o_sample sizes repoted by the r_paper don't match any of the studies in the o_paper, same for the o_effect size. </t>
  </si>
  <si>
    <t xml:space="preserve">the r_study reported original effect size that matches one from table 1 from the o_study but in table 1 Cronbachs alpha coefficient estimates are indicated on the diagonal. I think effects from table 2 would make more sense but I could be mistaken. I still reported the effect from table one since it is the one that matched. </t>
  </si>
  <si>
    <t>Table 1 Means, standard deviations, internal consistency coefficients, and interrelations among the variables</t>
  </si>
  <si>
    <t>again here the r_study didn't specify what is the specific effect they replicated from the o_study. The o_study investigates leadership effectivness and leadership behavior. I reported leadership behavior(table 4) as the effect size matched the one reported by the r_study.</t>
  </si>
  <si>
    <t>Table 4 Relationship Between Big Five Traits and Transformational Leadership Behavior</t>
  </si>
  <si>
    <t xml:space="preserve">again here the r_study didn't specify what is the specific effect they replicated from the o_study. There is no correlation reported using the terms antisocial behavior and consciencesness. The results from the o_paper that made the most sense and matched are the correlations between conduct (current adaptation) and constraint (adult personnality trait) from table 4. </t>
  </si>
  <si>
    <t>Table 4 Correlations of Personality Traits in Emerging Adulthood With Childhood and Concurrent Adaptation</t>
  </si>
  <si>
    <t xml:space="preserve">again here the r_study didn't specify what is the specific effect they replicated from the o_study. There is no correlation reported using the terms antisocial behavior and negative emotions. The results from the o_paper that made the most sense and matched are the correlations between conduct (current adaptation) and negative emotionality (adult personnality trait) from table 4. </t>
  </si>
  <si>
    <t>the original effect size reported in the r_paper don't match the one reported by the o_paper but it is close</t>
  </si>
  <si>
    <t>Table 1 Correlations (Person's r) with Self-Reported Offending</t>
  </si>
  <si>
    <t>datareplicada1_1</t>
  </si>
  <si>
    <t>datareplicada1</t>
  </si>
  <si>
    <t>Jami, A. (2019). Having Control Over and Above Situations: The Influence of Elevated Viewpoints on Risk Taking. Journal of Marketing Research, 56(2), 230–244. https://doi.org/10.1177/0022243718813544 Study 1b</t>
  </si>
  <si>
    <t>10.1177/0022243718813544</t>
  </si>
  <si>
    <t>10.1177--0022243718813544.pdf</t>
  </si>
  <si>
    <t>Simmons, J. &amp;. Nelson, L.D. (2019). [82] Data Replicada #1: Do Elevated Viewpoints Increase Risk Taking? Data Colada.
‌</t>
  </si>
  <si>
    <t>https://datacolada.org/82</t>
  </si>
  <si>
    <t>Elevation-induced risk-taking</t>
  </si>
  <si>
    <t>elevation, illusory control, risk taking, vertical position, viewpoint</t>
  </si>
  <si>
    <t>Do people exposed to high-elevation sceneries are more willing to purchase new products than people exposed to low-elevation images?</t>
  </si>
  <si>
    <t>"Results confirm a significant main effect of elevation on the likelihood of purchasing the new products (F(1, 201) 1⁄4 5.92, p 1⁄4 .016, partial Z2 1⁄4 .029), showing that participants in the high-elevation condition, on average, were more likely (M 1⁄4 3.87, SD 1⁄4 1.79) to purchase the new prod- ucts than those in the low-elevation condition (M 1⁄4 3.39, SD 1⁄4 1.89). I found no significant interaction between products and elevation conditions (F(3, 199) &lt; 1)"</t>
  </si>
  <si>
    <t>Webpage</t>
  </si>
  <si>
    <t>https://aspredicted.org/9zw6i.pdf</t>
  </si>
  <si>
    <t>datareplicada9a_1</t>
  </si>
  <si>
    <t>datareplicada9a</t>
  </si>
  <si>
    <t>1. Effect size for the orignal study is reported in the replication study.  2. For the description of the effect, I am reporting quotation from the orignal study. However, if needed the quotation from the replication study where effect of original study is reported is as follows: "Our effect sizes are also similar. Whereas the original authors found d = .51, we found d = .32 and d = .49 in our first and second replications, respectively.". 3. Value of p is also for the original study is also taken from the replication study.</t>
  </si>
  <si>
    <t>Cian, L., Longoni, C., &amp; Krishna, A. (2020). Advertising a Desired Change: When Process Simulation Fosters (vs. Hinders) Credibility and Persuasion. Journal of Marketing Research, 57(3), 489-508. https://doi.org/10.1177/0022243720904758 Study 2</t>
  </si>
  <si>
    <t>10.1177/0022243720904758</t>
  </si>
  <si>
    <t>10.1177--0022243720904758.pdf</t>
  </si>
  <si>
    <t xml:space="preserve">Simmons, J. &amp;. Nelson, L.D. (2020). [94] Data Replicada #9: Are Progression Ads More Credible? Replication 1
Data Colada. https://datacolada.org/94 </t>
  </si>
  <si>
    <t>https://datacolada.org/94</t>
  </si>
  <si>
    <t>Mediation Through Process Simulation</t>
  </si>
  <si>
    <t>advertising, mental simulation, persuasion, process and outcome imagery</t>
  </si>
  <si>
    <t>The authors of this paper hypothesize that consumers judge Progression ads to be more credible than simple Before/After ads.</t>
  </si>
  <si>
    <t>"A one-way analysis of variance (ANOVA) on ad credibility was significant (F(2, 210) 1⁄4 7.19, p &lt; .01) and planned contrasts revealed that the progression ad was more credible than both the before/after ad (Mprog 1⁄4 5.59, Mb/a 1⁄4 4.93; F(1, 210) 1⁄4 7.13, p &lt; .01) and the information-rich ad (Minfo 1⁄4 4.67; F(1, 210) 1⁄4 13.75, p &lt; .01). The before/after and information-rich ads did not differ in terms of credibility (F(1, 210) 1⁄4 1.14, p &gt; .2)."</t>
  </si>
  <si>
    <t>https://researchbox.org/58</t>
  </si>
  <si>
    <t>datareplicada9b_1</t>
  </si>
  <si>
    <t>datareplicada9b</t>
  </si>
  <si>
    <t>1. Effect size for the orignal study is reported in the replication study.  2. For the description of the effect, I am reporting quotation from the orignal study. However, if needed the quotation from the replication study where effect of original study is reported is as follows: "Our effect sizes are also similar. Whereas the original authors found d = .51, we found d = .32 and d = .49 in our first and second replications, respectively.". 3. Value of p for the original study is also taken from the replication study.</t>
  </si>
  <si>
    <t>Simmons, J. &amp;. Nelson, L.D. (2020). [94] Data Replicada #9: Are Progression Ads More Credible?
Data Colada. https://datacolada.org/94  Replication 2</t>
  </si>
  <si>
    <t>datareplicada8a_1</t>
  </si>
  <si>
    <t>datareplicada8a</t>
  </si>
  <si>
    <t>1. Effect size for the orignal study is reported in the replication study.  2. For the description of the effect, I am reporting quotation from the orignal study. However, if needed the quotation from the replication study where effect of original study is reported through the picture. 3. Value of p for the original study is also taken from the replication study.</t>
  </si>
  <si>
    <t>Sokolova, T., Seenivasan, S., &amp; Thomas, M. (2020). The left-digit bias: when and why are consumers penny wise and pound foolish?. Journal of Marketing Research, 57(4), 771-788. Study 1</t>
  </si>
  <si>
    <t>10.1177/0022243720932532</t>
  </si>
  <si>
    <t>10.1177--0022243720932532.pdf</t>
  </si>
  <si>
    <t>Simmons, J. &amp;. Nelson, L.D. (2020). [92] Data Replicada #8: Is The Left-Digit Bias Stronger When Prices Are Presented Side-By-Side? Data Colada. https://datacolada.org/92 Replication1</t>
  </si>
  <si>
    <t>https://datacolada.org/92</t>
  </si>
  <si>
    <t>Left-digit bias</t>
  </si>
  <si>
    <t>left-digit bias, memory-based evaluations, numerical cognition, price evaluations, reference prices</t>
  </si>
  <si>
    <t>In this paper, the authors offer insight into a previously documented observation known as the left-digit bias, whereby consumers tend to give greater weight to the left-most digit when comparing two prices. This means, for example, that consumers tend to treat a price difference of $4.00 vs. $2.99 as larger than $4.01 vs. $3.00. The authors’ key claim is that this bias is greater when the prices are presented side-by-side, in a way that makes them easier to compare, than sequentially, on two separate but consecutive screens.</t>
  </si>
  <si>
    <t>"A two-way analysis of variance (ANOVA) revealed a significant interaction between left-digit difference and evaluation mode (F(1, 141) 1⁄4 4.84, p 1⁄4 .029)"</t>
  </si>
  <si>
    <t>p.4&amp;6</t>
  </si>
  <si>
    <t>https://osf.io/5zbgw/?view_only1⁄447978e4812294190bd4bc dd745130fdf</t>
  </si>
  <si>
    <t>https://researchbox.org/37</t>
  </si>
  <si>
    <t>datareplicada8b_1</t>
  </si>
  <si>
    <t>datareplicada8b</t>
  </si>
  <si>
    <t>Simmons, J. &amp;. Nelson, L.D. (2020). [92] Data Replicada #8: Is The Left-Digit Bias Stronger When Prices Are Presented Side-By-Side? Data Colada. https://datacolada.org/92 Replication2</t>
  </si>
  <si>
    <t xml:space="preserve">https://osf.io/5zbgw/?view_only1⁄447978e4812294190bd4bc dd745130fdf </t>
  </si>
  <si>
    <t>Journal of Comments and Replications in Economics_1</t>
  </si>
  <si>
    <t>Journal of Comments and Replications in Economics</t>
  </si>
  <si>
    <t>No details related to the replication results are provided.</t>
  </si>
  <si>
    <t>The authors submitted data and a Stata do-file to the data archiveof the journaldoi:10.15456/jbnst.2015181.095451. This do-file crashes after a few calcu-lations with an error message that is not obvious to understand. I contacted Sang-Min Park and hepromised to be in touch and to send the correct do-file. He did not do so over the following fourweeks. Therefore, the results from Gouda and Park (2015) do not qualify as reproducible results.</t>
  </si>
  <si>
    <t>Gouda, Moamen and Sang-Min Park (2015). Religious Loyalty and Acceptance of Corruption.Jahrbcher fr Nationalkonomie und Statistik / Journal of Economics and Statistics235 (2), 184-206.DOI:10.1515/jbnst-2015-0206</t>
  </si>
  <si>
    <t>10.1515/jbnst-2015-0206</t>
  </si>
  <si>
    <t>10.1515--jbnst-2015-0206.pdf</t>
  </si>
  <si>
    <t>Joachim Wagner (2017). Religious Loyalty and Acceptance of Corruption. A replica-tion study of Gouda and Park (Journal of Economics and Statistics, 2015).International Journal ofRe-Views in Empirical Economics, Vol 1(2017-3).DOI:10.18718/81781.3</t>
  </si>
  <si>
    <t>10.18718/81781.3</t>
  </si>
  <si>
    <t>10.18718--81781.3.pdf</t>
  </si>
  <si>
    <t>The authors use publicly available micro data for individuals from the World ValueSurvey to investigate the link between religiously-induced internalized values and attitudes regard-ing the acceptance of corruption</t>
  </si>
  <si>
    <t>soscisubmission53_1</t>
  </si>
  <si>
    <t>soscisubmission53</t>
  </si>
  <si>
    <t>There were numerous findings, but there was one from Mueller et al which was replicated.</t>
  </si>
  <si>
    <t>Mueller, E. M., Panitz, C., Hermann, C., &amp; Pizzagalli, D. A. (2014). Prefrontal oscillations during recall of conditioned and extinguished fear in humans. Journal of Neuroscience, 34, 7059–7066. https://doi.org/10.1523/JNEUROSCI.3427-13.2014</t>
  </si>
  <si>
    <t>10.1523/JNEUROSCI.3427-13.2014</t>
  </si>
  <si>
    <t>10.1523--jneurosci.3427-13.2014.pdf</t>
  </si>
  <si>
    <t>Sperl, M. F. J., Panitz, C., Rosso, I. M., Dillon, D. G., Kumar, P., Hermann, A., Whitton, A. E., Hermann, C., Pizzagalli, D. A., &amp; Mueller, E. M. (2019). Fear extinction recall modulates human frontomedial theta and amygdala activity. Cerebral Cortex, 29, 701-715. https://doi.org/10.1093/cercor/bhx353</t>
  </si>
  <si>
    <t>10.1093/cercor/bhx353</t>
  </si>
  <si>
    <t>10.1093--cercor--bhx353.pdf</t>
  </si>
  <si>
    <t>Neuroscience (humans)</t>
  </si>
  <si>
    <t>Fear conditioning - Theta oscillations</t>
  </si>
  <si>
    <t>fear conditioning, fear extinction, frontal-midline theta, simultaneous EEG–fMRI, threat processing</t>
  </si>
  <si>
    <t>involvement of AMC theta in fear expression</t>
  </si>
  <si>
    <t>"Theta. AMC-localized theta power during the day 2 Recall Test was modulated by a significant contingency 􏰋 extinction inter- action (F(1,41) 􏰊 8.87; p 􏰌 0.005; Fig. 3B). Providing important evidence for Hypothesis 1 (involvement of AMC theta in fear expression), AMC theta was significantly larger for CS 􏰇 N (22.7􏰍 0.95) relative to CS 􏰈 N (22.3 􏰍 0.93; t(41) 􏰊 2.50, p 􏰌 0.02), although there were no significant differences between CS 􏰇E(22.4􏰍0.96)andCS􏰈E(22.6􏰍0.95;t(41) 􏰊1.00,p􏰎0.3)."</t>
  </si>
  <si>
    <t>F(1,41)=8.87</t>
  </si>
  <si>
    <t>p.2&amp;3</t>
  </si>
  <si>
    <t>F(1,17) = 6.88</t>
  </si>
  <si>
    <t>p.2 to 7</t>
  </si>
  <si>
    <t>soscisubmission93_1</t>
  </si>
  <si>
    <t>soscisubmission93_a</t>
  </si>
  <si>
    <t>1. P-value is only reported in the original study, but there is no indication if the value is equal, less than, or greater than. 
2. There are three SNPS that are replicated only in the replication study. 
3. Value for the effect size written in the orignal study is taken from the replication study.</t>
  </si>
  <si>
    <t>Perez, M., Jaundoo, R., Hilton, K., Del Alamo, A., Gemayel, K., Klimas, N. G., ... &amp; Nathanson, L. (2019). Genetic predisposition for immune system, hormone, and metabolic dysfunction in myalgic encephalomyelitis/chronic fatigue syndrome: a pilot study. Frontiers in Pediatrics, 7, 423831.</t>
  </si>
  <si>
    <t>10.3389/fped.2019.00206</t>
  </si>
  <si>
    <t>10.3389--fped.2019.00206.pdf</t>
  </si>
  <si>
    <t>Bedford, F. L., &amp; Greshake Tzovaras, B. (2021). Re-analysis of genetic risks for Chronic Fatigue Syndrome from 23andMe data finds few remain. Frontiers in Pediatrics, 9, 590040.</t>
  </si>
  <si>
    <t>10.3389/fped.2021.590040</t>
  </si>
  <si>
    <t>10.3389--fped.2021.590040.pdf</t>
  </si>
  <si>
    <t>Human Genetics</t>
  </si>
  <si>
    <t>Chronic Fatigue Syndrome</t>
  </si>
  <si>
    <t>23andMe, Chronic fatigue syndrome, Genetic Predisposition, Myalgic encephalomyelitis, Single nuclear polymorphism</t>
  </si>
  <si>
    <t>EFCAB4B: Involved in calcium signaling; may affect muscle function and immune regulation.</t>
  </si>
  <si>
    <t>"Table 1"</t>
  </si>
  <si>
    <t>p.3&amp;5</t>
  </si>
  <si>
    <t>or</t>
  </si>
  <si>
    <t>soscisubmission93_b</t>
  </si>
  <si>
    <t>1. P-value is only reported in the original study, but there is no indication if the value is equal, less than, or greater than. 2. There are three SNPS that are replicated only in the replication study. 3. Value for the effect size written in the orignal study is taken from the replication study.</t>
  </si>
  <si>
    <t>LINC01171: Long non-coding RNA; potentially regulates immune and stress-related gene expression.</t>
  </si>
  <si>
    <t>soscisubmission93_c</t>
  </si>
  <si>
    <t>MORN2: Plays a role in cell differentiation and autophagy; linked to tissue repair and immune response.</t>
  </si>
  <si>
    <t>soscisubmission83_1</t>
  </si>
  <si>
    <t>soscisubmission83</t>
  </si>
  <si>
    <t>Smith, K.C., Davoli, C.C., Knapp, W.H., &amp; Abrams, R.A. (2019) Standing enhances cognitive control and alters visual search. Attention, Perception, and Psychophysics, 81, 2320–2329.</t>
  </si>
  <si>
    <t>10.3758/s13414-019-01723-6</t>
  </si>
  <si>
    <t>10.3758--s13414-019-01723-6.pdf</t>
  </si>
  <si>
    <t>Caron, E. E., Marusich, L. R., Bakdash, J. Z., Ballotti, R. J., Tague, A. M., Carriere, J. S., Smilek, D., Harter, D., Lu, S., &amp; Reynolds, M. G. (2023). The Influence of Posture on Attention. Experimental Psychology, 69(6), 295-307.</t>
  </si>
  <si>
    <t>10.1027/1618-3169/a000567</t>
  </si>
  <si>
    <t>10.1027--1618-3169--a000567.pdf</t>
  </si>
  <si>
    <t>Posture attention effect/Stroop posture effect</t>
  </si>
  <si>
    <t>Cognitive and attentional control, Embodied perception, Attention and executive control</t>
  </si>
  <si>
    <t>we found that the magnitude of Stroop interference was markedly reduced when participants adopted a standing posture,</t>
  </si>
  <si>
    <t>"as can be seen in Fig. 2, the magnitude of the interference was modulated by posture (posture × congruency interaction: F(2, 26) = 4.73, p = .018, ηp2 = .27)."</t>
  </si>
  <si>
    <t>https://osf.io/fzscv</t>
  </si>
  <si>
    <t>soscisubmission84_1</t>
  </si>
  <si>
    <t>soscisubmission84</t>
  </si>
  <si>
    <t>Posture attention effect</t>
  </si>
  <si>
    <t>Standing resulted in better performance than sitting in on a task switching measure</t>
  </si>
  <si>
    <t>"importantly there was a significant condition × posture in- teraction, F(1, 29) = 5.54, p = .026, η2p = .16."</t>
  </si>
  <si>
    <t>soscisubmission83_2</t>
  </si>
  <si>
    <t>Standing resulted in better performance than sitting in on a visual search task</t>
  </si>
  <si>
    <t>"the two postures yielded different search-rates, as evidenced by a posture × set size in- teraction (F(1, 11) = 5.9, p = .033, ηp2 = .35; as seen by the slopes of the functions in Fig. "</t>
  </si>
  <si>
    <t>soscisubmission89_1</t>
  </si>
  <si>
    <t>soscisubmission89</t>
  </si>
  <si>
    <t>Smith, K. C., Davoli, C. C., Knapp, W. H., &amp; Abrams, R. A. (2019). Standing enhances cognitive control and alters visual search. Attention, Perception, &amp; Psychophysics, 81, 2320-2329.</t>
  </si>
  <si>
    <t>Straub, E. R., Dames, H., Kiesel, A., &amp; Dignath, D. (2022). Does body posture reduce the Stroop effect? Evidence from two conceptual replications and a meta-analysis. Acta Psychologica, 224, 103497.</t>
  </si>
  <si>
    <t>10.1016/j.actpsy.2022.103497</t>
  </si>
  <si>
    <t>10.1016--j.actpsy.2022.103497.pdf</t>
  </si>
  <si>
    <t>posture attention effect/Stroop posture effect</t>
  </si>
  <si>
    <t>Standing is better than sitting for attention performance on the Stroop task</t>
  </si>
  <si>
    <t>p.4&amp;5</t>
  </si>
  <si>
    <t xml:space="preserve">https://osf.io/c8wek/ </t>
  </si>
  <si>
    <t>soscisubmission54_1</t>
  </si>
  <si>
    <t>soscisubmission54_a</t>
  </si>
  <si>
    <t>1. I thought of mapping each specific finding separately. However, I think (not sure) if each of the specific finding is covered within three-way interaction finding.</t>
  </si>
  <si>
    <t>Makhanova, A., Miller, S. L., &amp; Maner, J. K. (2015). Germs and the out-group: Chronic and situational disease concerns affect intergroup categorization. Evolutionary Behavioral Sciences, 9(1), 8–19. Study 2</t>
  </si>
  <si>
    <t>10.1037/ebs0000028</t>
  </si>
  <si>
    <t>Study2</t>
  </si>
  <si>
    <t>0.1037--ebs0000028.pdf</t>
  </si>
  <si>
    <t>Makhanova, A., Eubanks, A. D., &amp; Maner, J. K. (2023). Does pathogen avoidance affect intergroup categorization? Replication of Makhanova, Miller, and Maner (2015). Evolutionary Behavioral Sciences, 17(2), 171–186.</t>
  </si>
  <si>
    <t>10.1037/ebs0000279</t>
  </si>
  <si>
    <t>10.1037--ebs0000279.pdf</t>
  </si>
  <si>
    <t>Disease Threat and Out-Group Categorization</t>
  </si>
  <si>
    <t>disease concern, outgroup categorization, minimal groups, germ aversion</t>
  </si>
  <si>
    <t>Concerns about disease, pathogens, germs can bias people toward categorizing social targets as members of an unfamiliar out-group</t>
  </si>
  <si>
    <t>"the predicted three- way interaction between target type GA and priming condition, F(1, 38) 􏰊 4.31, p 􏰊 .045, partial 􏰖2 􏰊 .10."</t>
  </si>
  <si>
    <t>F(1, 485) = 5.87</t>
  </si>
  <si>
    <t>p.4-6</t>
  </si>
  <si>
    <t xml:space="preserve">https://osf.io/xudya/ </t>
  </si>
  <si>
    <t>soscisubmission55_1</t>
  </si>
  <si>
    <t>soscisubmission55</t>
  </si>
  <si>
    <t>Marcus, G. F., Vijayan, S., Bandi Rao, S., &amp; Vishton, P. M. (1999). Rule learning by seven-month-old infants. Science (New York, N.Y.), 283(5398), 77–80. https://doi.org/10.1126/science.283.5398.77</t>
  </si>
  <si>
    <t>10.1126/science.283.5398.77</t>
  </si>
  <si>
    <t>10.1126--science.283.5398.77.pdf</t>
  </si>
  <si>
    <t>Geambașu, A., Spit, S., van Renswoude, D., Blom, E., Fikkert, P. J. P. M., Hunnius, S., Junge, C. C. M. M., Verhagen, J., Visser, I., Wijnen, F., &amp; Levelt, C. C. (2023). Robustness of the rule-learning effect in 7-month-old infants: A close, multicenter replication of Marcus et al. (1999). Developmental science, 26(1), e13244. https://doi.org/10.1111/desc.13244</t>
  </si>
  <si>
    <t>10.1111/desc.13244</t>
  </si>
  <si>
    <t>10.1111--desc.13244.pdf</t>
  </si>
  <si>
    <t>Developmental psychology</t>
  </si>
  <si>
    <t>Rule learning effect in infants</t>
  </si>
  <si>
    <t>artificial grammar learning, language acquisition, replication, rule learning</t>
  </si>
  <si>
    <t>A rule learning effect such that after a brief auditory exposure phase, 7-month-old infants were able to learn and generalize a rule to novel syllables not previously present in the exposure phase.</t>
  </si>
  <si>
    <t>"Table 1 Experiment 2"</t>
  </si>
  <si>
    <t>F(14) = 25.6, P&lt;0.005</t>
  </si>
  <si>
    <t>F(1, 94) = 0.155, p = 0.695</t>
  </si>
  <si>
    <t>p.3, 4, 5, 6</t>
  </si>
  <si>
    <t>https://osf.io/hcmv7/</t>
  </si>
  <si>
    <t>soscisubmission12a_1</t>
  </si>
  <si>
    <t>soscisubmission12a</t>
  </si>
  <si>
    <t>LR: corrected N_original and used HRs from Table 1 of the replication report (2 values instead of 1)</t>
  </si>
  <si>
    <t>Abel, E. L., &amp; Kruger, M. L. (2010). Smile intensity in photographs predicts longevity. Psychological Science, 21, 542-544. doi: 10.1177/0956797610363775</t>
  </si>
  <si>
    <t>10.1177/0956797610363775</t>
  </si>
  <si>
    <t>10.1177--0956797610363775.pdf</t>
  </si>
  <si>
    <t>Dufner, M., Brümmer, M., Chung, J. M., Drewke, P. M., Blaison, C., &amp; Schmukle, S. C. (2018). Does smile intensity in photographs really predict longevity? A replication and extension of Abel and Kruger (2010). Psychological Science, 29(1), 147-153.</t>
  </si>
  <si>
    <t>10.1177/0956797617734315</t>
  </si>
  <si>
    <t>10.1177--0956797617734315.pdf</t>
  </si>
  <si>
    <t>Predicting Longevity through smile intensity</t>
  </si>
  <si>
    <t>emotion, affect, longevity, life outcomes, replication, open data, open materials, preregistered</t>
  </si>
  <si>
    <t>Effect of smile intensity on photographs on longevity (partial smile vs. nonsmile)</t>
  </si>
  <si>
    <t>"Adding smile ratings led to a significant improve- ment in predicting mortality, X2(2, N = 162) = 8.2, p &lt; .017."</t>
  </si>
  <si>
    <t>X2(2, N = 162) = 8.2, p &lt; .017</t>
  </si>
  <si>
    <t>ΔX2(2) = 0.513, p = .774</t>
  </si>
  <si>
    <t>Delta Chi-Square</t>
  </si>
  <si>
    <t>https://osf.io/ cbvhw/; https://osf.io/yrpjk/</t>
  </si>
  <si>
    <t>soscisubmission12b_1</t>
  </si>
  <si>
    <t>soscisubmission12b</t>
  </si>
  <si>
    <t>Effect of smile intensity on photographs on longevity (full smile vs. nonsmile)</t>
  </si>
  <si>
    <t>ΔX2(2) = 4.232, p = .120</t>
  </si>
  <si>
    <r>
      <rPr>
        <rFont val="Arial"/>
      </rPr>
      <t xml:space="preserve">https://osf.io/ cbvhw/; </t>
    </r>
    <r>
      <rPr>
        <rFont val="Arial"/>
        <color rgb="FF1155CC"/>
        <u/>
      </rPr>
      <t>https://osf.io/yrpjk/</t>
    </r>
  </si>
  <si>
    <t>OpenMKT17_1</t>
  </si>
  <si>
    <t>OpenMKT17</t>
  </si>
  <si>
    <t>O didn't specify any excluion criteria, so a-d also inclide full sample analysis for R. I also corrected the sample sizes based on the test statistics</t>
  </si>
  <si>
    <t>- I added the study number of the replication and the effect
- I changed the N of the replication to the reported N</t>
  </si>
  <si>
    <t>Durante, K. M., Griskevicius, V., Redden, J. P., &amp; Edward White, A. (2015). Spending on daughters versus sons in economic recessions. Journal of Consumer Research, 42(3), 435-457. Study 4</t>
  </si>
  <si>
    <t>10.1093/jcr/ucv023</t>
  </si>
  <si>
    <t>10.1093--jcr--ucv023.pdf</t>
  </si>
  <si>
    <t xml:space="preserve">O’Donnell, M., Dev, A. S., Antonoplis, S., Baum, S. M., Benedetti, A. H., Brown, N. D., Carrillo, B., Choi, A. L., Connor, P., Donnelly, K., Ellwood-Lowe, M. E., Foushee, R., Jansen, R., Jarvis, S. N., Lundell-Creagh, R., Ocampo, J. M., Okafor, G. N., Azad, Z. R., Rosenblum, M., … Nelson, L. D. (2021). Empirical audit and review and an assessment of evidentiary value in research on the psychological consequences of scarcity. Proceedings of the National Academy of Sciences, 118(44), e2103313118. </t>
  </si>
  <si>
    <t>parental decision making</t>
  </si>
  <si>
    <t>parental decision making, family spending, economic recessions, evolutionary psychologyparental decision making</t>
  </si>
  <si>
    <t>In times of greater economic scarcity, the preference for giving resources to girls (vs. boys) will be moderated by individual differences in risk aversion with greater differences between economic conditions in resource allocation to girls (vs boys) for participants with higher levels of trait risk aversion.</t>
  </si>
  <si>
    <t>First, the analysis revealed a significant main effect of economic condition on resource allocation to girls versus boys (F(1, 192) = 5.54, p &lt; .03, d =.34). Consistent with all of our previous results, participants significantly increased the allocation of resources to girls at the expense of boys in the economic recession condition (Mrecession = 4.70, SD = .68) compared to the economic upswing condition (Mupswing = 4.46, SD = .71).</t>
  </si>
  <si>
    <t>p.10,11</t>
  </si>
  <si>
    <t>p.11 (F(1, 192) = 5.54, p &lt; .03, d =.34). (Mrecession = 4.70, SD = .68)  (Mupswing = 4.46, SD = .71).</t>
  </si>
  <si>
    <t>F(1, 530) = 0.78</t>
  </si>
  <si>
    <t>p. 34; F(1, 530) = 0.78, p = .377</t>
  </si>
  <si>
    <t>https://osf.io/43nfd</t>
  </si>
  <si>
    <t>OpenMKT17_b</t>
  </si>
  <si>
    <t>- I added the study number of the replication and the effect
- I changed the N of the replication to the reported N
- I corrected the p-value</t>
  </si>
  <si>
    <t>parental decision making, family spending, economic recessions, evolutionary psychology</t>
  </si>
  <si>
    <t>Second, in support of our theory, this main effect was qualified by a significant interaction between economic condition and the individual measure of risk aversion (b = .29, F(1, 192) 1= 6.33, p &lt; .02).</t>
  </si>
  <si>
    <t>p.11 (b =- .29, F(1, 192) 1= 6.33, p &lt; .02).</t>
  </si>
  <si>
    <t>p. 34; b = 0.08, F(1, 530) = 3.587, p = .059, 95% CI [0.00, 0.16]</t>
  </si>
  <si>
    <t>OpenMKT17_c</t>
  </si>
  <si>
    <t>- I added the study number of the replication and the effect
- I changed the N of the replication to the reported N
- I corrected the omen (original test statistics)
- I think that Maureen coded the right statistics. Therefore I copied her replicated effects</t>
  </si>
  <si>
    <t>At high levels of risk aversion (1 SD above the mean), economic recessions (vs. economic upswings) led participants to increase the overall allocation of assets to girls to a far greater degree</t>
  </si>
  <si>
    <t>t(196) = -3.44</t>
  </si>
  <si>
    <t>p.11  (Mrecession = 4.83 vs. Mupswing = 4.35; t(196) = -3.44, p &lt; .001).</t>
  </si>
  <si>
    <t>t(530) = 1.01</t>
  </si>
  <si>
    <t>OpenMKT17_d</t>
  </si>
  <si>
    <t>However, at low levels of risk aversion (1 SD below the mean), there was no effect of economic condition on bequeathing overall assets to a girl versus a boy (Mrecession = 4.56 vs. Mupswing = 4.58; t(196) = .12, p &gt; .90).</t>
  </si>
  <si>
    <t>t(196) = 0.12</t>
  </si>
  <si>
    <t>p.11 Mrecession = 4.56 vs. Mupswing = 4.58; t(196) = .12, p &gt; .90).</t>
  </si>
  <si>
    <t>p. 34; b = -0.19, t(530) = -2.00, p = .046, 95% CI [-0.37, 0.00]</t>
  </si>
  <si>
    <t>OpenMKT17_e</t>
  </si>
  <si>
    <t>e-h R exclude all the participants who at some point dropped out of the survey. I also corrected the sample sizes based on the test statistics</t>
  </si>
  <si>
    <t>I would delete this row as it includes the same samples for the same effect as above</t>
  </si>
  <si>
    <t>F(1, 502) = 0.71</t>
  </si>
  <si>
    <t>F(1, 502) = 0.71, p = .399</t>
  </si>
  <si>
    <t>OpenMKT17_f</t>
  </si>
  <si>
    <t>b = 0.10, F(1, 502) = 5.73, p = .017, 95% CI [0.02, 0.18]</t>
  </si>
  <si>
    <t>OpenMKT17_g</t>
  </si>
  <si>
    <t>t(196) = 3.44</t>
  </si>
  <si>
    <t>p.11  (Mrecession = 4.83 vs. Mupswing = 4.35; t(196) = 3.44, p &lt; .001).</t>
  </si>
  <si>
    <t>F(1, 502) = 28.46</t>
  </si>
  <si>
    <t>F(1, 502) = 28.46, p &lt; .001</t>
  </si>
  <si>
    <t>OpenMKT17_h</t>
  </si>
  <si>
    <t>t(196) = .12</t>
  </si>
  <si>
    <t>b = -0.20, t(502) = -2.29, p = .023, 95% CI [-0.36, -0.03]</t>
  </si>
  <si>
    <t>OpenMKT18_1</t>
  </si>
  <si>
    <t>OpenMKT18</t>
  </si>
  <si>
    <t>- I added the study number of the replication and the effect
- I added the study number of the replication and the effect</t>
  </si>
  <si>
    <t>Zhu, M., &amp; Ratner, R. K. (2015). Scarcity polarizes preferences: The impact on choice among multiple items in a product class. Journal of Marketing Research, 52(1), 13-26. Study 2</t>
  </si>
  <si>
    <t>10.1509/jmr.13.0451</t>
  </si>
  <si>
    <t>10.1509--jmr.13.0451.pdf</t>
  </si>
  <si>
    <t xml:space="preserve">Chosing vegetables </t>
  </si>
  <si>
    <t>scarcity, abundance, preference within a choice set, choices of the favorite, resource constraints, preference polarization</t>
  </si>
  <si>
    <t>Perceiving four varieties of vegetables (carrots, broccoli, cauliflower, tomatoes) as relatively scarce will 1. increase relative preferences for individuals’ favorite of the four 2. Lead to individuals’ favorite vegetable being chosen more from a choice in which participants can select six pieces of vegetable.</t>
  </si>
  <si>
    <t>An ANOVA (perceived supply level: abundant vs. scarce) on the obtained liking difference rating revealed a signifi- cant main effect (F(1, 198) = 3.80, p = .05). Consistent with our prediction, the relative liking of the favorite (i.e., the difference between the liking rating of the favorite and th averaged liking rating across the nonfavorites) increased significantly when the supply level of each item in the choice set was perceived as scarce (M = 37.01, SD = 21.09) compared with abundant (M = 31.10, SD = 21.71).</t>
  </si>
  <si>
    <t>F(1, 198) = 3.80</t>
  </si>
  <si>
    <t>p.6 (F(1, 198) = 3.80, p = .05).  (M = 37.01, SD = 21.09), (M = 31.10, SD = 21.71).</t>
  </si>
  <si>
    <t>p. 70; (M = 27.90, SD = 19.80)  (M = 27.83, SD = 20.91) , F(1,593) = 0.001, p = 0.97 d  = 0.003.</t>
  </si>
  <si>
    <t>https://osf.io/at38s</t>
  </si>
  <si>
    <t>OpenMKT18_b</t>
  </si>
  <si>
    <t>We again used a nonparametric Mann–Whitney test for two independent samples to compare choice share of the favorite in the scarce and abundant conditions. As we expected, participants incorporated a significantly higher proportion of their favorite vegetable when they perceived the supply of each item (ZMann–Whitney = –2.20, p = .028) as scarce (M = 56.29%, SD = 24.35%) than abundant (M = 49.02%, SD = 21.60%).</t>
  </si>
  <si>
    <t>ZMann–Whitney = –2.20</t>
  </si>
  <si>
    <t>p.6 (ZMann–Whitney = –2.20, p = .028) as scarce (M = 56.29%, SD = 24.35%) than abundant (M = 49.02%, SD = 21.60%).</t>
  </si>
  <si>
    <t>ZMann-Whitney = 1.04</t>
  </si>
  <si>
    <t>p. 70; (M = 0.48, SD = 0.22) (M = 0.50, SD = 0.24) ZMann-Whitney = 1.04, p = 0.30.</t>
  </si>
  <si>
    <t>OpenMKT18_c</t>
  </si>
  <si>
    <t>We also conducted a nonparametric Mann–Whitney test on the number of different vegetables chosen, to compare the amount of variety chosen between the scarce and the abundant conditions. Although the differ- ence was not significant, directionally participants chose a smaller number of vegetable types in the scarce (M = 2.58, SD = 1.02) than in the abundant (M = 2.80, SD = .89) condition (ZMann–Whitney = –1.44, p = .149).</t>
  </si>
  <si>
    <t>ZMann–Whitney = –1.44</t>
  </si>
  <si>
    <t>p.6 (M = 2.58, SD = 1.02) than in the abundant (M = 2.80, SD = .89) condition (ZMann–Whitney = –1.44, p = .149).</t>
  </si>
  <si>
    <t xml:space="preserve"> ZMann-Whitney = -0.22</t>
  </si>
  <si>
    <t>p. 70;  (M = 2.92, SD = 0.96) (M = 2.86, SD = 1.04) , ZMann-Whitney = -0.22, p = 0.83.</t>
  </si>
  <si>
    <t>OpenMKT19_1</t>
  </si>
  <si>
    <t>OpenMKT19</t>
  </si>
  <si>
    <t>- I removed all German words from the keywords (the same words were already written down in English)
- I added the effect        
- I added the page number to es_repr_r
- I added the study number of the replication study</t>
  </si>
  <si>
    <t>Cook, L. A., &amp; Sadeghein, R. (2018). Effects of perceived scarcity on financial decision making. Journal of Public Policy &amp; Marketing, 37(1), 68-87. Study 3</t>
  </si>
  <si>
    <t>10.1509/jppm.16.157</t>
  </si>
  <si>
    <t>10.1509--jppm.16.157.pdf</t>
  </si>
  <si>
    <t>triple scarcity effect</t>
  </si>
  <si>
    <t>resource scarcity, triple scarcity effect, payday loans, lending, financial well-being, Credit, Decision</t>
  </si>
  <si>
    <t>Unfavorable consumer perceptions and behavioral outcomes will be highest when the triple scarcity effect occurs (i.e., no liquidity, limited lending options, and perceived consequences of loss).</t>
  </si>
  <si>
    <t>there was a marginally significant three-way interaction among perceived consequences (loss/gain), lending options, and liquidity,  illustrating how individuals who were in a loss mindset, did not have any other lending options, and were without liquidity (i.e., “the triple scarcity effect”) were negatively influenced</t>
  </si>
  <si>
    <t>p.8,9</t>
  </si>
  <si>
    <t>p. 9 (F(1, 189) = 3.00, p = .08, n2p = .016),</t>
  </si>
  <si>
    <t>p. 32; F(1, 497) = 9.75, p = 0.002, n2p= .019</t>
  </si>
  <si>
    <t>https://osf.io/jdfbm</t>
  </si>
  <si>
    <t>OpenMKT20_1</t>
  </si>
  <si>
    <t>OpenMKT20</t>
  </si>
  <si>
    <t>the original study file couldn't be opened</t>
  </si>
  <si>
    <t>- I added the effect
- I added the study number of the replication study
- The coding does align with the one of Maureen</t>
  </si>
  <si>
    <t>Chou, E. Y., Parmar, B. L., &amp; Galinsky, A. D. (2016). Economic Insecurity Increases Physical Pain. Psychological science, 27(4), 443–454. https://doi.org/10.1177/0956797615625640 Study 3</t>
  </si>
  <si>
    <t>10.1177--0956797615625640.pdf</t>
  </si>
  <si>
    <t>Economic Insecurity–Physical Pain Link</t>
  </si>
  <si>
    <t>economic insecurity; pain; sense of control.</t>
  </si>
  <si>
    <t>Recalling an instance in which one felt economically scarce causes an increase in reported physical pain</t>
  </si>
  <si>
    <t>Participants who recalled an economically insecure period of their life reported almost double the amount of physical pain compared with those who recalled an economically secure period Thus, Study 3 established a direct causal relationship between economic insecurity and physical pain.</t>
  </si>
  <si>
    <t xml:space="preserve">p.5  (M = 0.86, SD = 1.54)  (M = 0.44, SD = 1.08), t(229) = 2.38, p = .01, d = 0.31. </t>
  </si>
  <si>
    <t>M = 1.57, SD = 2.14) (M = 0.78, SD = 1.49), t(601) = 5.27, p &lt; .001,, 95% (CI) = [0.27, 0.59].</t>
  </si>
  <si>
    <t>https://osf.io/g6kx3</t>
  </si>
  <si>
    <t>OpenMKT20_b</t>
  </si>
  <si>
    <t xml:space="preserve">- I would exclude this row, since it targets the same effect as the first one and uses the same sample as the first one. Therefore, the effects largely depend on each other. </t>
  </si>
  <si>
    <t>This effect remained significant after we controlled for participants’ age, gender, current employment status, and negative affect, p = .03).2 Thus, Study 3 established a direct causal relationship between economic insecurity and physical pain.</t>
  </si>
  <si>
    <t>OpenMKT20_c</t>
  </si>
  <si>
    <t>c-d = careless participants included in R</t>
  </si>
  <si>
    <t>- I would exclude this row, since it targets the same effect as the first one and uses the same sample as the first one. Therefore, the effects largely depend on each other.</t>
  </si>
  <si>
    <t>(M = 1.94, SD = 2.57)  (M = 1.06, SD = 1.99, t(656) = 4.89, p &lt; .001, 95% (CI) = [0.26, 0.56])</t>
  </si>
  <si>
    <t>OpenMKT20_d</t>
  </si>
  <si>
    <t>OpenMKT21_1</t>
  </si>
  <si>
    <t>OpenMKT21</t>
  </si>
  <si>
    <t>R used etasq generalized</t>
  </si>
  <si>
    <t xml:space="preserve">- I added the study number of the replication study
- I added label_r
- I added the effect
- I added the tags
</t>
  </si>
  <si>
    <t>Ward, A. F., Duke, K., Gneezy, A., &amp; Bos, M. W. (2017). Brain drain: The mere presence of one’s own smartphone reduces available cognitive capacity. Journal of the Association for Consumer Research, 2(2), 140-154. Study 2</t>
  </si>
  <si>
    <t>10.1086/691462</t>
  </si>
  <si>
    <t>10.1086--691462.pdf</t>
  </si>
  <si>
    <t>Pardo, A. C. R., &amp; Minda, J. P. (2022). Reexamining the “brain drain” effect: A replication of Ward et al.(2017). Acta Psychologica, 230, 103717.</t>
  </si>
  <si>
    <t>10.1016/j.actpsy.2022.103717</t>
  </si>
  <si>
    <t>10.1016--j.actpsy.2022.103717.pdf</t>
  </si>
  <si>
    <t>brain drain effect</t>
  </si>
  <si>
    <t>smartphone presence, attention, response inhibition, smartphone dependency</t>
  </si>
  <si>
    <t>The mere presence of one’s own smartphone may occupy limited-capacity cognitive resources, thereby leaving fewer resources available for other tasks and undercutting cognitive performance</t>
  </si>
  <si>
    <t>A 3 (Phone Location: desk, pocket/bag, other room)  2 (Phone Power: on, off ) between-subjects ANOVA revealed a significant effect of Location on OSpan perfor- mance</t>
  </si>
  <si>
    <t>p. 8  (F(2, 263) = 5 3.53, p = .03, partial n2 = .026).</t>
  </si>
  <si>
    <t>p.6 F(2, 377) = 0.10, p = .91, η2G = 0.001.</t>
  </si>
  <si>
    <t>https://osf.io/ubys7/metadata/osf</t>
  </si>
  <si>
    <t>OpenMKT21_b</t>
  </si>
  <si>
    <t>There was no effect of Power</t>
  </si>
  <si>
    <t>F(1, 263) = 0.05</t>
  </si>
  <si>
    <t>p. 8  (F(1, 263) = .05, p = .83)</t>
  </si>
  <si>
    <t>p.6  F(1, 377) = 0.21, p = .65, η2G = 0.001.</t>
  </si>
  <si>
    <t>OpenMKT21_c</t>
  </si>
  <si>
    <t>There was no effect of the Power  Location interaction</t>
  </si>
  <si>
    <t>F(2, 263) = 1.05</t>
  </si>
  <si>
    <t>p.8  (F(2, 263) = 1.05, p = .35).</t>
  </si>
  <si>
    <t>p. 6 F(2, 377) = 1.19, p = .31, η2 G = 0.006</t>
  </si>
  <si>
    <t>- I added the effect
- I added the study number of the replication study
- I added the link to the preregistration (replication)</t>
  </si>
  <si>
    <t>https://drive.google.com/file/d/1Oyf6phoxDUGiryzACmCI2gdTcVIQO0rE/view?usp=drive_link</t>
  </si>
  <si>
    <t>By manipulating the timing of an activity, the Time-Elicit (TEL) procedure of stating the maximum amount of hours required for a task should be more sensitive to a change in time scarcity, because time of money required for a task). Analogously, the TEL procedure should be more sensitive to a change in the timing of the activity. That is, distant activities scarcity receives a higher weight in TEL vs. Money-Elicit (MEL) procedure - stating the minimum amount should yield lower wage rates, particularly in the TEL (vs. MEL) procedure, which should diminish the wage rate asymmetry (effect of elicitation procedure)</t>
  </si>
  <si>
    <t>"A main effect of procedure emerged, such that the desired wage rate was higher in the TEL (vs. MEL) condition (MTEL = $9.81, SD = $6.39; MMEL = $4.41, SD = $2.84; F(1, 175) = 53.72, p &lt; .01, Cohen’s d = 1.08) "," This study further attests to the robustness of the wage-rate asymmetry. Even though the effect weakened for the distant future, it remained significant."</t>
  </si>
  <si>
    <t>By manipulating the timing of an activity, the Time-Elicit (TEL) procedure of stating the maximum amount of hours required for a task should be more sensitive to a change in time scarcity, because time of money required for a task). Analogously, the TEL procedure should be more sensitive to a change in the timing of the activity. That is, distant activities scarcity receives a higher weight in TEL vs. Money-Elicit (MEL) procedure - stating the minimum amount should yield lower wage rates, particularly in the TEL (vs. MEL) procedure, which should diminish the wage rate asymmetry (effect of timing)</t>
  </si>
  <si>
    <t>"a main effect of timing emerged, such that the wage rate was lower in the distant (vs. near) future (Mnear future = $8.50, SD = $7.08; Mdistant future = $6.12, SD = $3.68; F(1, 175) = 6.92, p &lt; .01, Cohen’s d = .34). "," This study further attests to the robustness of the wage-rate asymmetry. Even though the effect weakened for the distant future, it remained significant."</t>
  </si>
  <si>
    <t>By manipulating the timing of an activity, the Time-Elicit (TEL) procedure of stating the maximum amount of hours required for a task should be more sensitive to a change in time scarcity, because time of money required for a task). Analogously, the TEL procedure should be more sensitive to a change in the timing of the activity. That is, distant activities scarcity receives a higher weight in TEL vs. Money-Elicit (MEL) procedure - stating the minimum amount should yield lower wage rates, particularly in the TEL (vs. MEL) procedure, which should diminish the wage rate asymmetry (two-way interaction between procedure and timing)</t>
  </si>
  <si>
    <t>"as predicted, there was a significant two-way interaction between procedure and timing (F(1, 175) = 8.60, p &lt; .01), such that the wage-rate asymmetry was stronger in the near future (MTEL-near future = $11.77, SD = $7.75; MMEL-near future = $4.30, SD = $2.54; F(1, 175) = 50.83, p &lt; .01, Cohen’s d = 1.29) than in the distant future, though the TEL-MEL difference remained significant (MTEL-distant future = $7.72, SD = $3.55; MMEL-distant future = $4.52, SD = $3.10; F(1, 175) = 10.03, p &lt; .01, Cohen’s d = .96) "," This study further attests to the robustness of the wage-rate asymmetry. Even though the effect weakened for the distant future, it remained significant."</t>
  </si>
  <si>
    <t>- Since in both (replication and original) an effect size was reported, I changed the test statistics to the effect size
- I added the effect
- I added the study number of the replication study
- I added label_r
- I added the link to the preregistration</t>
  </si>
  <si>
    <t>moral values, fairness, luxury consumption, consumption resources, brand attitude</t>
  </si>
  <si>
    <t>Unearned luxury consumption will lead to lower brand attitude than earned luxury consumption when consumers' fairness concerns are salient, but less so when fairness concerns are not salient (effect of consumption resources)</t>
  </si>
  <si>
    <t>"An ANOVA was performed using consumption resources, fairness, and their interaction as independent variables and brand attitude as the dependent variable. The effect of consumption resources was significant (F(2, 245) = 3.85, p &lt; .05, η2 = .029) "," demonstrates that both male and female observers for whom fairness was highly salient had lower perceptions of the prestige of the target consumers and, in turn, lower brand attitudes when target consumers engaged in luxury consumption using unearned rather than earned money."</t>
  </si>
  <si>
    <t>17,18</t>
  </si>
  <si>
    <t>p. 47</t>
  </si>
  <si>
    <t>Unearned luxury consumption will lead to lower brand attitude than earned luxury consumption when consumers' fairness concerns are salient, but less so when fairness concerns are not salient (interaction with fairness)</t>
  </si>
  <si>
    <t>"An ANOVA was performed using consumption resources, fairness, and their interaction as independent variables and brand attitude as the dependent variable. The effect of consumption resources was significant "," which was qualified by its interaction with fairness (F(2, 245) = 4.04, p &lt; .05, η2 = .031) "," demonstrates that both male and female observers for whom fairness was highly salient had lower perceptions of the prestige of the target consumers and, in turn, lower brand attitudes when target consumers engaged in luxury consumption using unearned rather than earned money."</t>
  </si>
  <si>
    <t>Unearned luxury consumption will lead to lower brand attitude than earned luxury consumption when consumers' fairness concerns are salient, but less so when fairness concerns are not salient (the effect of fairness)</t>
  </si>
  <si>
    <t>"An ANOVA was performed using consumption resources, fairness, and their interaction as independent variables and brand attitude as the dependent variable. "," the effect of fairness was NS (F(1, 245) = 1.67, p &gt; .15, η2 = .006) "," demonstrates that both male and female observers for whom fairness was highly salient had lower perceptions of the prestige of the target consumers and, in turn, lower brand attitudes when target consumers engaged in luxury consumption using unearned rather than earned money."</t>
  </si>
  <si>
    <t>p. 48</t>
  </si>
  <si>
    <t>- I changed the omen of the original effect size
- I changed the number of participants of the replication study (based on the test statistics)
-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</si>
  <si>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(attitude toward the brands in the unearned and earned  conditions when fairness was salient)</t>
  </si>
  <si>
    <t>"The interaction showed that participants for whom fairness was highly salient had lower attitudes toward the brands when consumption was unearned (M = 5.53) compared with both when it was earned (M = 6.67; t(245) = 2.87, p &lt; .005, Cohen’s d = 0.58) "," Thus, it appears that unearned consumption decreases brand attitude relative to the baseline or explicit earned consumption when fairness is salient to observers."</t>
  </si>
  <si>
    <t>-0.58</t>
  </si>
  <si>
    <t>t(281) = 2.61</t>
  </si>
  <si>
    <t>- I changed the number of participants of the replication study (based on the test statistics)
-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</si>
  <si>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(attitude toward the brands in the unspecified condition when fairness was salient)</t>
  </si>
  <si>
    <t>"The interaction showed that participants for whom fairness was highly salient had lower attitudes toward the brands when consumption was "," unspecified (M = 6.33; t(245) = 2.05, p &lt; .05, Cohen’s d = - 0.42); "," Thus, it appears that unearned consumption decreases brand attitude relative to the baseline or explicit earned consumption when fairness is salient to observers."</t>
  </si>
  <si>
    <t>t(281) = 2.02</t>
  </si>
  <si>
    <t>Unearned luxury consumption will lead to lower brand attitude than earned luxury consumption when consumers' fairness concerns are salient, but less so when fairness concerns are not salient (attitude toward the brands in the earned and unspecified conditions when fairness was salient)</t>
  </si>
  <si>
    <t>"the earned and unspecified conditions did not differ (t(245) = 0.84, p &gt; .40, Cohen’s d = 0.18). Thus, it appears that unearned consumption decreases brand attitude relative to the baseline or explicit earned consumption when fairness is salient to observers."</t>
  </si>
  <si>
    <t>t(281) = 0.58</t>
  </si>
  <si>
    <t>Unearned luxury consumption will lead to lower brand attitude than earned luxury consumption when consumers' fairness concerns are salient, but less so when fairness concerns are not salient (attitude toward the brands in the earned vs. unearned conditions when fairness was not salient)</t>
  </si>
  <si>
    <t>"When fairness was not salient, attitude toward the brands did not differ for the earned (M = 6.87) versus unearned conditions (M = 6.65; t(245) = 0.56, p &gt; .55, Cohen’s d = 0.14) "," indicate prestige perceptions are the main driver of the joint effect of fairness values and consumption resources on brand attitude."</t>
  </si>
  <si>
    <t>t(317) = 1.52</t>
  </si>
  <si>
    <t>- I changed the number of participants of the replication study (based on the test statistics)
- I changed the claim to clairify the target effect
-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</si>
  <si>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(attitude toward the brands in the unspecified vs. earned when fairness was not salient)</t>
  </si>
  <si>
    <t>"brand attitude in the unspecified condition was lower than both the earned [...] (M = 5.89; ps ≤ .05, Cohen’s ds = .60, [...]) "," indicate prestige perceptions are the main driver of the joint effect of fairness values and consumption resources on brand attitude."</t>
  </si>
  <si>
    <t>t(317) = 1.47</t>
  </si>
  <si>
    <t>Unearned luxury consumption will lead to lower brand attitude than earned luxury consumption when consumers' fairness concerns are salient, but less so when fairness concerns are not salient (attitude toward the brands in the unspecified vs. unearned when fairness was not salient)</t>
  </si>
  <si>
    <t>"brand attitude in the unspecified condition was lower than  the [...]unearned conditions[...] .43) "," indicate prestige perceptions are the main driver of the joint effect of fairness values and consumption resources on brand attitude."</t>
  </si>
  <si>
    <t>t(317) = 0.03</t>
  </si>
  <si>
    <t>OpenMKT11_j</t>
  </si>
  <si>
    <t>Unearned luxury consumption will lead to lower brand attitude than earned luxury consumption when consumers' fairness concerns are salient, but less so when fairness concerns are not salient (brand attitude in consumption resources conditions in the unspecified under salient fairness)</t>
  </si>
  <si>
    <t>"brand attitude "," was not different from the corresponding unspecified condition under salient fairness (M = 6.33, t(245) =1.14, p &gt; .25, Cohen’s d = -0.25) "," indicate prestige perceptions are the main driver of the joint effect of fairness values and consumption resources on brand attitude."</t>
  </si>
  <si>
    <t>t(201) = 0.37</t>
  </si>
  <si>
    <t>OpenMKT11_k</t>
  </si>
  <si>
    <t>Unearned luxury consumption will lead to lower brand attitude than earned luxury consumption when consumers' fairness concerns are salient, but less so when fairness concerns are not salient (brand attitude in consumption resources conditions in the unearned condition under salient fairness (vs. neutral))</t>
  </si>
  <si>
    <t>"salient fairness (vs. neutral) lowered brand attitude in the unearned condition (M = 5.53 vs. M = 6.65; p &lt; .001, Cohen’s d = -0.60) but not in earned or unspecified conditions. "," indicate prestige perceptions are the main driver of the joint effect of fairness values and consumption resources on brand attitude."</t>
  </si>
  <si>
    <t>t(198) = 1.67</t>
  </si>
  <si>
    <t>OpenMKT11_l</t>
  </si>
  <si>
    <t>Unearned luxury consumption will lead to lower brand attitude than earned luxury consumption when consumers' fairness concerns are salient, but less so when fairness concerns are not salient (brand attitude in consumption resources conditions in the earned condition under salient fairness (vs. neutral))</t>
  </si>
  <si>
    <t>"salient fairness (vs. neutral) lowered brand attitude in the unearned condition "," but not in earned or unspecified conditions "," indicate prestige perceptions are the main driver of the joint effect of fairness values and consumption resources on brand attitude."</t>
  </si>
  <si>
    <t>t(199) = 0.53</t>
  </si>
  <si>
    <t>OpenMKT11_m</t>
  </si>
  <si>
    <t>Unearned luxury consumption will lead to lower brand attitude than earned luxury consumption when consumers' fairness concerns are salient, but less so when fairness concerns are not salient (brand attitude in consumption resources conditions when the earned and unspecified conditions were combined)</t>
  </si>
  <si>
    <t>"The focal interaction was also significant when the earned and unspecified conditions were combined (F(1, 247) = 6.47, p = .01, n2 = .025) "," indicate prestige perceptions are the main driver of the joint effect of fairness values and consumption resources on brand attitude."</t>
  </si>
  <si>
    <t>OpenMKT11_n</t>
  </si>
  <si>
    <t>-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</si>
  <si>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(unearned resources led to lower brand attitude compared to earned or unspecified resources when fairness was salient)</t>
  </si>
  <si>
    <t>"When fairness was salient, unearned resources led to lower brand attitude compared to earned or unspecified resources (M = 5.53 vs. M = 6.50, t(247) = 2.81, p = .005, Cohen’s d = -0.51) "," indicate prestige perceptions are the main driver of the joint effect of fairness values and consumption resources on brand attitude."</t>
  </si>
  <si>
    <t>t(600) = 2.61</t>
  </si>
  <si>
    <t>OpenMKT11_o</t>
  </si>
  <si>
    <t>- Since replication reported an effect size, I changed the test statistics to the effect size
-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</si>
  <si>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(The resource X fairness interaction when the unearned and unspecified conditions were combined)</t>
  </si>
  <si>
    <t>"We note the interaction with fairness is not significant when the unearned and unspecified conditions were combined (vs. the earned condition; p &gt; .75) or when the unspecified condition was compared against the earned condition (p &gt; .20)."," indicate prestige perceptions are the main driver of the joint effect of fairness values and consumption resources on brand attitude."</t>
  </si>
  <si>
    <t>OpenMKT11_p</t>
  </si>
  <si>
    <t>Unearned luxury consumption will lead to lower brand attitude than earned luxury consumption when consumers' fairness concerns are salient, but less so when fairness concerns are not salient (effect on brand attitude when fairness was not salient)</t>
  </si>
  <si>
    <t>"this effect did not occur when fairness was not salient (M = 6.65 vs. M = 6.38, t(247) = 0.78, p &gt; .44, Cohen’s d = 0.16 "," indicate prestige perceptions are the main driver of the joint effect of fairness values and consumption resources on brand attitude."</t>
  </si>
  <si>
    <t>t(600) = 0.89</t>
  </si>
  <si>
    <t>OpenMKT11_q</t>
  </si>
  <si>
    <t>Unearned luxury consumption will lead to lower brand attitude than earned luxury consumption when consumers' fairness concerns are salient, but less so when fairness concerns are not salient (test for moderated mediation via consumer prestige perceptions when fairness was salient)</t>
  </si>
  <si>
    <t>"When fairness was salient, the effect of consumption resources (unspecified = 1, earned = 1, unearned = 2) on prestige perceptions was significant (b = 0.18, t(247) = 2.52, p = .01, η2 = .025) "," indicate prestige perceptions are the main driver of the joint effect of fairness values and consumption resources on brand attitude."</t>
  </si>
  <si>
    <t>t(600) = 0.50</t>
  </si>
  <si>
    <t>OpenMKT11_r</t>
  </si>
  <si>
    <t>The test statistics of the replication study for this row are the same as the above row because they are missing in the replication study; hence, they are treated the same as above.</t>
  </si>
  <si>
    <t>Unearned luxury consumption will lead to lower brand attitude than earned luxury consumption when consumers' fairness concerns are salient, but less so when fairness concerns are not salient (test for moderated mediation via consumer prestige perceptions when fairness was not salient)</t>
  </si>
  <si>
    <t>"When fairness was not salient, the effect of consumption resources on prestige perceptions was NS (b = .05, t(247) = -0.66, p &gt; .50, η2 = .002) "," indicate prestige perceptions are the main driver of the joint effect of fairness values and consumption resources on brand attitude."</t>
  </si>
  <si>
    <t>OpenMKT11_s</t>
  </si>
  <si>
    <t>- Since original study reported an effect size, I changed the test statistics to the effect size
-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</si>
  <si>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(effect of prestige perceptions on brand attitude)</t>
  </si>
  <si>
    <t>"prestige perceptions affected brand attitude (b = 0.49, t(246) = 4.92, p &lt; .0001, η2 = .086) "," indicate prestige perceptions are the main driver of the joint effect of fairness values and consumption resources on brand attitude."</t>
  </si>
  <si>
    <t>OpenMKT11_t</t>
  </si>
  <si>
    <t>- the type of effect size or statistics was not reported
- I added the effect
- I added the study number of the replication study
- I added label_r
- I added the link to the preregistration
- note: values are from a mediation analysis</t>
  </si>
  <si>
    <t>Unearned luxury consumption will lead to lower brand attitude than earned luxury consumption when consumers' fairness concerns are salient, but less so when fairness concerns are not salient (the indirect effect of consumption resources on brand attitude via prestige perceptions)</t>
  </si>
  <si>
    <t>"The indirect effect of consumption resources on brand attitude via prestige perceptions was significant for participants whose fairness was salient (.09, 95% CI = 0.02–0.18) "," indicate prestige perceptions are the main driver of the joint effect of fairness values and consumption resources on brand attitude."</t>
  </si>
  <si>
    <t>(.09, 95% CI = 0.02–0.18)</t>
  </si>
  <si>
    <t>(0.07, 95% CI = [-0.0012, 0.14])</t>
  </si>
  <si>
    <t>OpenMKT11_u</t>
  </si>
  <si>
    <t>Unearned luxury consumption will lead to lower brand attitude than earned luxury consumption when consumers' fairness concerns are salient, but less so when fairness concerns are not salient (an indirect effect when fairness was not salient)</t>
  </si>
  <si>
    <t>"there was no support for an indirect effect when fairness was not salient (-.02, 95% CI = -0.10 to 0.04)"," indicate prestige perceptions are the main driver of the joint effect of fairness values and consumption resources on brand attitude."</t>
  </si>
  <si>
    <t xml:space="preserve">(-.02, 95% CI = -0.10 to 0.04) </t>
  </si>
  <si>
    <t>(0.04, 95% CI = [-0.02, 0.11])</t>
  </si>
  <si>
    <t>OpenMKT11_v</t>
  </si>
  <si>
    <t>- the type of effect size or statistics was not reported
- I added the effect
- I added the study number of the replication study
- I added label_r
- I added the link to the preregistration</t>
  </si>
  <si>
    <t>Unearned luxury consumption will lead to lower brand attitude than earned luxury consumption when consumers' fairness concerns are salient, but less so when fairness concerns are not salient (the index of moderated mediation)</t>
  </si>
  <si>
    <t>"the index of moderated mediation was significant, suggesting that a unit change in fairness values significantly changed the magnitude of the indirect effect (.11, 95% CI = 0.02–0.24)."</t>
  </si>
  <si>
    <t>(.11, 95% CI = 0.02–0.24)</t>
  </si>
  <si>
    <t>(0.02, 95% CI = [-0.07, 0.12])</t>
  </si>
  <si>
    <t>I added the effect
- I added the study number of the replication study
- I added label_r
- I added the link to the preregistration</t>
  </si>
  <si>
    <t>The consideration of financial constraints shifts consumers’ preferences toward material goods rather than experiences. (i.e. Inducing financial scarcity will lead individuals to prefer purchasing material goods over experiences (test of the manipulation on comparison of participants’ self-reported responses of the extent to which they thought about financial constraints)</t>
  </si>
  <si>
    <t>"As intended, participants who had written about their financial constraints reported thinking about their financial constraints more (Mfinancial = 5.61, SD = 1.62) than did participants in the control condition (Mcontrol = 4.19, SD= 2.09; F(1, 375) = 53.91, p &lt; .001) "," this study provides additional evidence that consumers who think more about their financial constraints are more likely to consider how long their purchase will last, which in turn increases preference for material goods over experiences."</t>
  </si>
  <si>
    <t>t = -9.89</t>
  </si>
  <si>
    <t>P. 67</t>
  </si>
  <si>
    <t>The consideration of financial constraints shifts consumers’ preferences toward material goods rather than experiences. (i.e. Inducing financial scarcity will lead individuals to prefer purchasing material goods over experiences (test of the manipulation on comparison of participants’ self-reported responses of the extent to which they felt financially constrained)</t>
  </si>
  <si>
    <t>"while participants generally felt financially constrained, participants in the financial constraint condition reported feeling more financially constrained than those in the control condition (Mfinancial = 5.43, SD = 1.546; Mcontrol =4 5.02, SD = 1.65; F(1, 375) = 6.48, p = .011) "," this study provides additional evidence that consumers who think more about their financial constraints are more likely to consider how long their purchase will last, which in turn increases preference for material goods over experiences."</t>
  </si>
  <si>
    <t>t = -7.29</t>
  </si>
  <si>
    <t>- since an effect size was reported in the replication study, I coded the effect size instead of the test statistics
 I added the effect
- I added the study number of the replication study
- I added label_r
- I added the link to the preregistration</t>
  </si>
  <si>
    <t>The consideration of financial constraints shifts consumers’ preferences toward material goods rather than experiences. (I.e. Inducing financial scarcity will lead individuals to prefer purchasing material goods over experiences (preference to material options)</t>
  </si>
  <si>
    <t>"participants who were asked to consider their financial constraints were more likely to prefer the material options than were participants in the control condition (F(1, 375) = 10.02, p = .002) "," this study provides additional evidence that consumers who think more about their financial constraints are more likely to consider how long their purchase will last, which in turn increases preference for material goods over experiences."</t>
  </si>
  <si>
    <t>The consideration of financial constraints shifts consumers’ preferences toward material goods rather than experiences. (I.e. Inducing financial scarcity will lead individuals to prefer purchasing material goods over experiences (difference across pairs)</t>
  </si>
  <si>
    <t>"This effect again did not differ across pairs (F(4, 1500) = 1.24, NS) "," this study provides additional evidence that consumers who think more about their financial constraints are more likely to consider how long their purchase will last, which in turn increases preference for material goods over experiences."</t>
  </si>
  <si>
    <t>F(4, 1500) = 1.24</t>
  </si>
  <si>
    <t>- I added the effect
- I added the study number of the replication study
- I added label_r
- I added the link to the preregistration
- since an effect size was reported in the original and replication study, I coded the effect size instead of the test statistics</t>
  </si>
  <si>
    <t>When scarcity is salient, pro-self individuals will engage in even more selfish behavior compared to prosocial individuals. The difference between proself individual’s behavior and prosocial individual’s behavior is attenuated when scarcity is not salient (effect of the scarcity manipulation on allocation behavior)</t>
  </si>
  <si>
    <t>"An analysis of variance testing for the effect of the scarcity manipulation on allocation behavior revealed that, after being exposed to reminders of resource scarcity, participants allocated less money to the other player (M = $2.86; SD = 1.25) than participants in the control condition (M = $3.24; SD = 1.01; F(1, 156) = 4.46; p = .04; η2p= .03) "," demonstrating that exposure to reminders of resource scarcity can promote behavior that advances one’s own welfare at the expense of others."</t>
  </si>
  <si>
    <t>When scarcity is salient, pro-self individuals will engage in even more selfish behavior compared to prosocial individuals. The difference between proself individual’s behavior and prosocial individual’s behavior is attenuated when scarcity is not salient (effect of scarcity on the amount of money allocated to the other player)</t>
  </si>
  <si>
    <t>"The results showed a significant main effect of scarcity on the amount of money allocated to the other player (β = -.38; SE = .14; t = 2.83; p = .005), which suggests that, overall, participants exposed to reminders of resource scarcity subsequently allocated less money to the other player compared to participants in the control condition."</t>
  </si>
  <si>
    <t>When scarcity is salient, pro-self individuals will engage in even more selfish behavior compared to prosocial individuals. The difference between proself individual’s behavior and prosocial individual’s behavior is attenuated when scarcity is not salient (effect of SVO on the amount of money allocated to the other player)</t>
  </si>
  <si>
    <t>"the results showed a significant effect of SVO on the amount of money allocated to the other player (β = .02; SE = .005; t = 4.07; p &lt; .001), which suggests that the more participants exhibited a prosocial orientation, the more money they allocated to the other player."</t>
  </si>
  <si>
    <t>When scarcity is salient, pro-self individuals will engage in even more selfish behavior compared to prosocial individuals. The difference between proself individual’s behavior and prosocial individual’s behavior is attenuated when scarcity is not salient (interaction between the scarcity manipulation and SVO on the allocation measure)</t>
  </si>
  <si>
    <t>"there was a significant interaction between the scarcity manipulation and SVO on the allocation measure (β = .01; SE = .005; t = 2.12; p = .04), as predicted "," Taken together, these results provide additional support for our theoretical account, by demonstrating that individual differences in proself versus prosocial orientations moderate the effect of reminders of resource scarcity on behavior."</t>
  </si>
  <si>
    <t>27,28</t>
  </si>
  <si>
    <t>- I added the study number of the replication study
- I added label_r
- I added the effect
- I added the link to the preregistration (replication)
- I changed the effect size of the replication - originally it was Wald = effect, but I translated it in the correct form
- Effects for a larger sample that includes careless responders are also reported in the replication article</t>
  </si>
  <si>
    <t>Link between scarcity and creativity in product use</t>
  </si>
  <si>
    <t>Participants who encounter scarcity salience in a prior unrelated context would be more likely to use the provided products in novel but appropriate ways to solve the given task (effect of resource availability on the correctness of the solutions)</t>
  </si>
  <si>
    <t>"A chi-square test revealed a significant main effect of resource availability on the correctness of the solutions (x2 (2, N = 133) = 10.69, p = .005, Cohen’s d = .59) "," Results from this experiment demonstrate that the effect of scarcity salience on product use creativity holds in product usage contexts that require convergent thinking, thus displaying generalizability of our findings."</t>
  </si>
  <si>
    <t>X2(2) = 2.224</t>
  </si>
  <si>
    <t>Participants who encounter scarcity salience in a prior unrelated context would be more likely to use the provided products in novel but appropriate ways to solve the given task (differences between the scarcity condition and the abundance condition)</t>
  </si>
  <si>
    <t>"The results showed that a higher percentage of participants in the scarcity condition (M = 44.2%) correctly solved the candle problem as compared to those in the abundance (M = 15.6%, B = 1.46, standard error [SE] = .51, Wald = 8.07, p = .005)"," Results from this experiment demonstrate that the effect of scarcity salience on product use creativity holds in product usage contexts that require convergent thinking, thus displaying generalizability of our findings."</t>
  </si>
  <si>
    <t>X2(2) = 8.07</t>
  </si>
  <si>
    <t>X2(2) = .063</t>
  </si>
  <si>
    <t>Participants who encounter scarcity salience in a prior unrelated context would be more likely to use the provided products in novel but appropriate ways to solve the given task (difference between the scarcity condition and the control condition)</t>
  </si>
  <si>
    <t>"The results showed that a higher percentage of participants in the scarcity condition (M = 44.2%) correctly solved the candle problem as compared to those in the abundance "," and control (M = 20.0%, B = 1.15, SE = .48, Wald = 5.70, p = .017) conditions "," Results from this experiment demonstrate that the effect of scarcity salience on product use creativity holds in product usage contexts that require convergent thinking, thus displaying generalizability of our findings."</t>
  </si>
  <si>
    <t>X2(2) = 5.70</t>
  </si>
  <si>
    <t>X2(2) = 1.90</t>
  </si>
  <si>
    <t>Participants who encounter scarcity salience in a prior unrelated context would be more likely to use the provided products in novel but appropriate ways to solve the given task (difference between abundance condition and the control condition)</t>
  </si>
  <si>
    <t>"No difference was observed between the abundance and control conditions (B=.31, SE=.56, Wald = .30, not significant) "," we did not observe any difference between the abundance and the control condition, suggesting that scarcity salience, rather than abundance, drives the observed effects"</t>
  </si>
  <si>
    <t>X2(2) = 0.30</t>
  </si>
  <si>
    <t>X2(2) = 1.2</t>
  </si>
  <si>
    <t>- I added the study number of the replication study
- I added label_r
- I added the effect
- I added the link to the preregistration (replication)
- There was a reported effect size in the replication study - however, the test statistics are correct as well. Therefore, I did not change the reported test statistics, but chose the rows of the other coder</t>
  </si>
  <si>
    <t>advertising, aggression, consumer promotions, scarcity, violence</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</si>
  <si>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(manipulation check on scarcity versus the control ad) </t>
  </si>
  <si>
    <t>"The manipulation check was successful. Participants perceived the iPhone promotional package quantity to be more scarce in the scarcity versus the control ad (1 = Very scarce to 7 = Very abundant; MScarcity = 1.49 vs. MControl = 4.84; F(1, 156) = 209.4, p &lt; .001) "," The results of study 5 provide further evidence in support of H2 and the role of perceived threat as the underlying process driving aggressive behavior in response to limited-quantity scarcity promotion advertising."</t>
  </si>
  <si>
    <t>35,37</t>
  </si>
  <si>
    <t xml:space="preserve"> F(1, 156) = 209.4</t>
  </si>
  <si>
    <t>F(1, 385) = 249.20</t>
  </si>
  <si>
    <t>p. 41</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</si>
  <si>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(manipulation check on the main effect) </t>
  </si>
  <si>
    <t>"The manipulation check was successful "," No main effect (p &gt; .75) "," emerged "," The results of study 5 provide further evidence in support of H2 and the role of perceived threat as the underlying process driving aggressive behavior in response to limited-quantity scarcity promotion advertising."</t>
  </si>
  <si>
    <t>F(1, 385) = 2.31</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</si>
  <si>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(manipulation check on interactions with perceived threat) </t>
  </si>
  <si>
    <t>"The manipulation check was successful "," No  "," interactions with perceived threat emerged (p &gt; .13) "," The results of study 5 provide further evidence in support of H2 and the role of perceived threat as the underlying process driving aggressive behavior in response to limited-quantity scarcity promotion advertising."</t>
  </si>
  <si>
    <t>F(1, 385) = 1.31</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</si>
  <si>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(effect of perceived threat) </t>
  </si>
  <si>
    <t>"The ANOVA revealed a main effect of perceived threat (higher threat led to more violent game choices; PHigh Threat = .37, SD = .23 vs. PLow Threat = .30, SD = .22, F(1, 156) = 4.14, p = .044) "," The results of study 5 provide further evidence in support of H2 and the role of perceived threat as the underlying process driving aggressive behavior in response to limited-quantity scarcity promotion advertising."</t>
  </si>
  <si>
    <t>36,37</t>
  </si>
  <si>
    <t>F(1, 385) = 2.65</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</si>
  <si>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(effect of scarcity promotion) </t>
  </si>
  <si>
    <t>"The ANOVA revealed a main effect of perceived threat "," but no effect of scarcity promotion (p &gt; .20) "," The results of study 5 provide further evidence in support of H2 and the role of perceived threat as the underlying process driving aggressive behavior in response to limited-quantity scarcity promotion advertising."</t>
  </si>
  <si>
    <t>F(1, 385) = 0.04</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</si>
  <si>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(effect on expected interation) </t>
  </si>
  <si>
    <t>"the main effect was qualified by the expected interaction (F(1, 156) = 3.96, p = .048) "," The results of study 5 provide further evidence in support of H2 and the role of perceived threat as the underlying process driving aggressive behavior in response to limited-quantity scarcity promotion advertising."</t>
  </si>
  <si>
    <t>F(1, 385) = 0.01</t>
  </si>
  <si>
    <t>- I added the study number of the replication study
- I added label_r
- I added the effect
- I added the link to the preregistration (replication)</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</si>
  <si>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(differences between scarcity and control ads in high-threat condition) </t>
  </si>
  <si>
    <t>"As predicted, participants in the scarcity-high threat condition expressed a significantly higher preference for violent games than participants in the control-high threat condition (PScarcity-High Threat = .42 vs. PControl-High Threat = .32, F(1, 156) = 4.42, p = .032). "," The results of study 5 provide further evidence in support of H2 and the role of perceived threat as the underlying process driving aggressive behavior in response to limited-quantity scarcity promotion advertising."</t>
  </si>
  <si>
    <t>OpenMKT16_h</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</si>
  <si>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(differences between scarcity and control ads in low-threat condition) </t>
  </si>
  <si>
    <t>"no differences between scarcity and control ads emerged among participants in the low threat condition (PScarcity-Low Threat = .28 vs. PControl-Low Threat = .31, F(1, 156) = .46, p = .499 "," The results of study 5 provide further evidence in support of H2 and the role of perceived threat as the underlying process driving aggressive behavior in response to limited-quantity scarcity promotion advertising."</t>
  </si>
  <si>
    <t>F(1, 156) = 0.46</t>
  </si>
  <si>
    <t>OpenMKT16_i</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</si>
  <si>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(differences between scarcity–high–threat condition and scarcity-low-threat condition) </t>
  </si>
  <si>
    <t>"participants in the scarcity-high threat condition expressed a significantly higher preference for violent video games than participants in each of the other three conditions individually (PScarcity-High Threat = .42 vs. PScarcity-Low Threat = .28, F(1, 156) = 8.24, p = .005; "," The results of study 5 provide further evidence in support of H2 and the role of perceived threat as the underlying process driving aggressive behavior in response to limited-quantity scarcity promotion advertising."</t>
  </si>
  <si>
    <t>F(1, 156) = 8.24</t>
  </si>
  <si>
    <t>OpenMKT16_j</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</si>
  <si>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(differences between scarcity–high–threat condition and control-high-threat condition) </t>
  </si>
  <si>
    <t>"participants in the scarcity-high threat condition expressed a significantly higher preference for violent video games than participants in each of the other three conditions individually ("," PScarcity-High Threat = .42 vs. PControl-High Threat = .32, F(1, 156) = 4.42, p = .037; "," The results of study 5 provide further evidence in support of H2 and the role of perceived threat as the underlying process driving aggressive behavior in response to limited-quantity scarcity promotion advertising."</t>
  </si>
  <si>
    <t>OpenMKT16_k</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</si>
  <si>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(differences between scarcity–high–threat condition and control-low-threat condition) </t>
  </si>
  <si>
    <t>"participants in the scarcity-high threat condition expressed a significantly higher preference for violent video games than participants in each of the other three conditions individually ("," PScarcity-High Threat = .42 vs. PControl-Low Threat = .31, F(1, 156) = 4.69, p = .032) "," The results of study 5 provide further evidence in support of H2 and the role of perceived threat as the underlying process driving aggressive behavior in response to limited-quantity scarcity promotion advertising."</t>
  </si>
  <si>
    <t>F(1, 156) = 4.69</t>
  </si>
  <si>
    <t>OpenMKT16_l</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</si>
  <si>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(differences between scarcity–high–threat condition against the average of the other three conditions) </t>
  </si>
  <si>
    <t>"participants in the scarcity-high threat condition expressed a significantly higher preference for violent video games "," against the average of other three conditions (F(1,156) = 8.49, p = .004, "," The results of study 5 provide further evidence in support of H2 and the role of perceived threat as the underlying process driving aggressive behavior in response to limited-quantity scarcity promotion advertising."</t>
  </si>
  <si>
    <t>F(1,156) = 8.49</t>
  </si>
  <si>
    <t>F(1,387) = 1.16</t>
  </si>
  <si>
    <t>OpenMKT16_m</t>
  </si>
  <si>
    <t>Here, the number of participants for the original and replication studies is the originally recruited participants before excluding participants who failed the attention check</t>
  </si>
  <si>
    <t>This effect includes participants that failed the attention check, but the original effect is already coded</t>
  </si>
  <si>
    <t xml:space="preserve">This study predicts that there will be higher preferences for violent experiences after exposure to the limited-quantity scarcity promotion (vs. control) among participants who did not reduce the competitive threat via the affiliation task (perceived competitive threat: high). This study also predicts an attenuation of the scarcity-aggression link among participants who did reduce the competitive threat via the affiliation task (perceived competitive threat: low) (the predicted interaction when including participants who failed the attention check) </t>
  </si>
  <si>
    <t>"When including participants who failed the attention check, the predicted interaction remains consistent (F(1,183) = 3.82, p = .052) as does the high threat contrast (F(1,183) = 4.65, p = .032). "," The results of study 5 provide further evidence in support of H2 and the role of perceived threat as the underlying process driving aggressive behavior in response to limited-quantity scarcity promotion advertising."</t>
  </si>
  <si>
    <t>F(1,183) = 3.82</t>
  </si>
  <si>
    <t>F(1,498) = 0.68</t>
  </si>
  <si>
    <t>- I added the study number of the replication and the effect
- I added the link to the prere</t>
  </si>
  <si>
    <t>In times of greater economic scarcity, the preference for giving resources to girls (vs. boys) will be moderated by individual differences in risk aversion with greater differences between economic conditions in resource allocation to girls (vs boys) for participants with higher levels of trait risk aversion (effect of economic condition)</t>
  </si>
  <si>
    <t>"the analysis revealed a significant main effect of economic condition on resource allocation to girls versus boys (F(1, 192) = 5.54, p &lt; .03, d = .34). Consistent with all of our previous results, participants significantly increased the allocation of resources to girls at the expense of boys in the economic recession condition (Mrecession = 4.70, SD = .68) compared to the economic upswing condition (Mupswing = 4.46, SD = .71) "," experiment 4 again replicated our core finding that poor economic conditions lead to increased resource allocation to girls over boys."</t>
  </si>
  <si>
    <t>10,11</t>
  </si>
  <si>
    <t>p. 33,34</t>
  </si>
  <si>
    <t>- I added the study number of the replication and the effect
- I added the link to the preregistration</t>
  </si>
  <si>
    <t>In times of greater economic scarcity, the preference for giving resources to girls (vs. boys) will be moderated by individual differences in risk aversion with greater differences between economic conditions in resource allocation to girls (vs boys) for participants with higher levels of trait risk aversion (the interaction between economic condition and risk aversion)</t>
  </si>
  <si>
    <t xml:space="preserve">"in support of our theory, this main effect was qualified by a significant interaction between economic condition and the individual measure of risk aversion (b = .29, F(1, 192) = 6.33, p &lt; .02) "," As our theory predicted, and the sign of the coefficient indicates, the effect of economic conditions attenuated as people were less risk averse." </t>
  </si>
  <si>
    <t>F(1, 192) = 6.33</t>
  </si>
  <si>
    <t>F(1, 530) = 3.59</t>
  </si>
  <si>
    <t>- I added the study number of the replication and the effect
- I switched the omen of the t-test (original)
- I added the link to the preregistration</t>
  </si>
  <si>
    <t>In times of greater economic scarcity, the preference for giving resources to girls (vs. boys) will be moderated by individual differences in risk aversion with greater differences between economic conditions in resource allocation to girls (vs boys) for participants with higher levels of trait risk aversion (difference between conditions for participants higher in risk aversion)</t>
  </si>
  <si>
    <t>"At high levels of risk aversion (1 SD above the mean), economic recessions (vs. economic upswings) led participants to increase the overall allocation of assets to girls to a far greater degree (Mrecession = 4.83 vs. Mupswing = 4.35; t(196) = 3.44, p &lt; .001) "," This interaction indicates that risk aversion contributed to the magnitude of our effects, as predicted by our theory."</t>
  </si>
  <si>
    <t>t(196) = - 3.44</t>
  </si>
  <si>
    <t>In times of greater economic scarcity, the preference for giving resources to girls (vs. boys) will be moderated by individual differences in risk aversion with greater differences between economic conditions in resource allocation to girls (vs boys) for participants with higher levels of trait risk aversion (difference between conditions for participants lower in risk aversion)</t>
  </si>
  <si>
    <t>"at low levels of risk aversion (1 SD below the mean), there was no effect of economic condition on bequeathing overall assets to a girl versus a boy (Mrecession = 4.56 vs. Mupswing = 4.58; t(196) = .12, p &gt; .90). "," This interaction indicates that risk aversion contributed to the magnitude of our effects, as predicted by our theory."</t>
  </si>
  <si>
    <t>t(530) = -2.00</t>
  </si>
  <si>
    <t>Perceiving four varieties of vegetables (carrots, broccoli, cauliflower, tomatoes) as relatively scarce will 1. increase relative preferences for individuals’ favorite of the four 2. Lead to individuals’ favorite vegetable being chosen more from a choice in which participants can select six pieces of vegetables (the impact of supply level on relative liking of the favorite versus non-favorites)</t>
  </si>
  <si>
    <t>"An ANOVA (perceived supply level: abundant vs. scarce) on the obtained liking difference rating revealed a significant main effect (F(1, 198) = 3.80, p = .05). Consistent with our prediction, the relative liking of the favorite (i.e., the difference between the liking rating of the favorite and the averaged liking rating across the nonfavorites) increased significantly when the supply level of each item in the choice set was perceived as scarce (M = 37.01, SD = 21.09) compared with abundant (M = 31.10, SD = 21.71)."</t>
  </si>
  <si>
    <t>https://osf.io/qbxp7</t>
  </si>
  <si>
    <t>Perceiving four varieties of vegetables (carrots, broccoli, cauliflower, tomatoes) as relatively scarce will 1. increase relative preferences for individuals’ favorite of the four 2. Lead to individuals’ favorite vegetable being chosen more from a choice in which participants can select six pieces of vegetable (nonparametric Mann–Whitney test for two independent samples to compare the choice share of the favorite in the scarce and abundant conditions)</t>
  </si>
  <si>
    <t>"As we expected, participants incorporated a significantly higher proportion of their favorite vegetable when they perceived the supply of each item (ZMann–Whitney = –2.20, p = .028) as scarce (M = 56.29%, SD = 24.35%) than abundant (M = 49.02%, SD = 21.60%) "," provide converging evidence for our key propositions that scarce versus abundant supply of each item in a choice set leads to polarized liking ratings and increased choices of the favorite."</t>
  </si>
  <si>
    <t>ZMann–Whitney = 1.04</t>
  </si>
  <si>
    <t>Perceiving four varieties of vegetables (carrots, broccoli, cauliflower, tomatoes) as relatively scarce will 1. increase relative preferences for individuals’ favorite of the four 2. Lead to individuals’ favorite vegetable being chosen more from a choice in which participants can select six pieces of vegetable (nonparametric Mann–Whitney test on the number of different vegetables chosen, to compare the amount of variety chosen between the scarce and the abundant conditions)</t>
  </si>
  <si>
    <t>"Although the difference was not significant, directionally participants chose a smaller number of vegetable types in the scarce (M = 2.58, 
SD = 1.02) than in the abundant (M = 2.80, SD = .89) condition (ZMann–Whitney = –1.44, p = .149) "," provide converging evidence for our key propositions that scarce versus abundant supply of each item in a choice set leads to polarized liking ratings and increased choices of the favorite."</t>
  </si>
  <si>
    <t>ZMann–Whitney = -0.22</t>
  </si>
  <si>
    <t>- the reported test statistics of the original study and replication are correct, but there was also an effect size reported: original partial eta-squared = 0.016; replication partial eta-squared = 0.019. Therefore, I did not correct the value and instead chose the other row
- I added the link to the preregistration
- I added the study number of the replication study</t>
  </si>
  <si>
    <t>resource scarcity, triple scarcity effect, payday loans, lending, financial well-being, credit, decision making</t>
  </si>
  <si>
    <t>Unfavorable consumer perceptions and behavioral outcomes will be highest when the triple scarcity effect occurs (i.e., no liquidity, limited lending options, and perceived consequences of loss (gain vs. loss)).</t>
  </si>
  <si>
    <t>"there was a marginally significant three-way interaction among perceived consequences (loss/gain), lending options, and liquidity (F(1, 189) = 3.00, p = .08, η2p = .016), illustrating how individuals who were in a loss mindset, did not have any other lending options, and were without liquidity (i.e., “the triple scarcity effect”) were negatively influenced (H5) "," Consistent with H5, Study 3 found support for a three-way interaction between liquidity, perceived consequences, and lending options on loan amount."</t>
  </si>
  <si>
    <t>F(1, 189) = 3.00</t>
  </si>
  <si>
    <t>F(1, 497) = 9.75</t>
  </si>
  <si>
    <t>- I added the effect
- I added the study number of the replication study
- I added the link to the preregistration</t>
  </si>
  <si>
    <t>economic insecurity, pain, sense of control</t>
  </si>
  <si>
    <t>"Participants who recalled an economically insecure period of their life reported almost double the amount of physical pain (M = 0.86, SD = 1.54) compared with those who recalled an economically secure period (M = 0.44, SD = 1.08), t(229) = 2.38, p = .01, d = 0.31 "," Thus, Study 3 established a direct causal relationship between economic insecurity and physical pain."</t>
  </si>
  <si>
    <t>p. 30</t>
  </si>
  <si>
    <t>- I added the effect
- I added the study number of the replication study</t>
  </si>
  <si>
    <t>“brain drain” effect</t>
  </si>
  <si>
    <t>brain drain, smartphones, smartphone dependence, cognitive costs, cognitive capacity, cognitive performance</t>
  </si>
  <si>
    <t>"A 3 (Phone Location: desk, pocket/bag, other room) x 2 (Phone Power: on, off ) between-subjects ANOVA revealed a significant effect of Location on OSpan performance (F(2, 263) = 3.53, p = .03, partial η2 = .026) "," the results of experiment 2 suggest that the mere presence of consumers’ own smartphones may adversely affect cognitive functioning even when consumers are not consciously attending to them. Experiment 2 also provides evidence that these cognitive costs are moderated by individual differences in dependence on these devices. Ironically, the more consumers depend on their smartphones, the more they seem to suffer from their presence—or, more optimistically, the more they may stand to benefit from their absence."</t>
  </si>
  <si>
    <t>8,10</t>
  </si>
  <si>
    <t>https://osf.io/5fq4r</t>
  </si>
  <si>
    <t>Tafere</t>
  </si>
  <si>
    <t>soscisubmission83_a</t>
  </si>
  <si>
    <t xml:space="preserve">Tafere Tilahun </t>
  </si>
  <si>
    <t xml:space="preserve">Smith, K.C., Davoli, C.C., Knapp, W.H., &amp; Abrams, R.A. (2019) Standing enhances cognitive control and alters visual search. Attention, Perception, and Psychophysics, 81, 2320–2329. </t>
  </si>
  <si>
    <t xml:space="preserve">10.3758/s13414-019-01723-6 </t>
  </si>
  <si>
    <t>Visual Cognitive Effects</t>
  </si>
  <si>
    <t>Visual cognition between seated and standing postures with posture by congruency interaction main effects</t>
  </si>
  <si>
    <t>"The magnitude of the interference was modulated by posture (posture × congruency interaction: F(2, 26) = 4.73, p = .018, ηp2 = .27). Specifically, all of the observed Stroop interference occurred in the seated posture (mean difference between incongruent and congruent response times = 15.64 ms, SD = 20.10 ms; significantly greater than zero, t(13) = 2.91, p = .012), whereas a negligible amount occurred while standing (M = -.38 ms, SD = 14.77 ms; not different from zero, t(13) = .10, n.s.). There was no main effect of posture (F &lt; 1). There was no main effect of posture, suggesting that the mild postural control requirements associated with standing enhanced attentional selectivity with no apparent cost."</t>
  </si>
  <si>
    <t>soscisubmission84_b</t>
  </si>
  <si>
    <t>Visual cognition between seated and standing postures with posture by condition interaction main effects</t>
  </si>
  <si>
    <t>"..Importantly there was a significant condition × posture interaction, F(1, 29) = 5.54, p = .026, η2p = .16. The interaction indicates that there was a reduced switch cost when participants were standing compared to when they were sitting. The analysis of accuracy also revealed a significant congruency × condition interaction, F(1,29) = 23.33, p &lt; .001, η2p =.45, with switch costs greater for incongruent than for congruent trials. No other interactions were significant."</t>
  </si>
  <si>
    <t>soscisubmission83_c</t>
  </si>
  <si>
    <t>Visual cognition between seated and standing postures with posture by  set sizeinteraction main effects</t>
  </si>
  <si>
    <t>"Nevertheless, the two postures yielded different search-rates, as evidenced by a posture × set size interaction (F(1, 11) = 5.9, p = .033, ηp2 = .35; as seen by the slopes of the functions in Fig. 5 (search rates were computed by dividing the difference between the response times for four and eight items for both sitting and standing by four to estimate the time spent per item). Participants searched through displays at a slower rate when they were standing (17.2 ms/item) compared to when they were sitting (11.2 ms/item). Analysis of the individual search rates shows that a reduced rate while standing was exhibited by ten of the 12 participants (p = .039 by a sign test)."</t>
  </si>
  <si>
    <t>Chronic and Situational Disease
Concerns</t>
  </si>
  <si>
    <t>chronic disease concerns bias people toward categorizing targets with heuristic disease cues as novel out-group members.</t>
  </si>
  <si>
    <t>"A main effect of target type, F(1, 38) =14.42, p &lt;.001, partial eta^2=.28, an interaction between target type and GA scores, F(1, 38) =6.30, p = .016, partial eta^2 =0.14, and the predicted three-way interaction between target type GA and priming condition, F(1, 38) =4.31, p= .045, partial eta^2=.10."</t>
  </si>
  <si>
    <t>https://osf.io/c2xur</t>
  </si>
  <si>
    <t>Listening Times</t>
  </si>
  <si>
    <t>artificial grammar learning, language acquisition, rule learning</t>
  </si>
  <si>
    <t>The rule of learning effects</t>
  </si>
  <si>
    <t>"Our results do not call into question the existence of statistical learning echanisms but show that such mechanisms do not exhaust the child's epertoire of learning mechanisms. A system that was sensitive only to transitional probabilities between words could not account for anv of these results,  because all the words in the test sentences are novel and, hence, their transitiollal probabilities (with respect to the familiarization corpus) are all zero, similarly, a system that noted discrepancies with sequences of words could not account for the results in any of the three experiments, because both the consistent items and the inconsistent items differ from any stored sequences of words. A system that noted discrepancies with stored sequences of phonetic features could account for the results in experiment 1 but not those in experiments 2 and 3. A system that could count the-. number of reduplicated elements
and notice sentences that differ in the number of reduplicated elements could account for the results in experiments 1 and 2, but it could not account for infants' performance in experiment 3."</t>
  </si>
  <si>
    <t>https://osf.io/gf7vh</t>
  </si>
  <si>
    <t>1952 sample</t>
  </si>
  <si>
    <t>Smile longecity effects</t>
  </si>
  <si>
    <t>Emotion, affect, longevity, life outcomes, open data, open materials, preregistered</t>
  </si>
  <si>
    <t>Effect of Duchenne intensity smilers compared to nonsmilers on longevity.</t>
  </si>
  <si>
    <t>"Adding smile ratings led to a significant improvement in predicting mortality, X2(2, N = 62) = 8.2, p &lt; .017. Players with Duchenne smiles were half as likely to die in any year compared with nonsmilers, HR = 0.50, p = .006)"</t>
  </si>
  <si>
    <t>hazard ratio</t>
  </si>
  <si>
    <t>https://osf.io/yb4j3</t>
  </si>
  <si>
    <t>soscisubmission12a_b</t>
  </si>
  <si>
    <t>nonoverlapping</t>
  </si>
  <si>
    <t>soscisubmission72_1</t>
  </si>
  <si>
    <t>soscisubmission72</t>
  </si>
  <si>
    <t>Wansink, B., Painter, J. E., &amp; North, J. (2005). Bottomless bowls: why visual cues of portion size may influence intake. Obesity research, 13(1), 93-100. https://doi.org/10.1038/oby.2005.12</t>
  </si>
  <si>
    <t>10.1038/oby.2005.12</t>
  </si>
  <si>
    <t>10.1038--oby.2005.12.pdf</t>
  </si>
  <si>
    <t>Lopez, A., Choi, A. K., Dellawar, N. C., Cullen, B. C., Avila Contreras, S., Rosenfeld, D. L., &amp; Tomiyama, A. J. (2023). Visual cues and food intake: A preregistered replication of Wansink et al.(2005). Journal of Experimental Psychology: General. Advance online publication. https://doi.org/10.1037/xge0001503</t>
  </si>
  <si>
    <t>10.1037/xge0001503</t>
  </si>
  <si>
    <t>10.1037--xge0001503.pdf</t>
  </si>
  <si>
    <t>Health Psychology</t>
  </si>
  <si>
    <t>Bottomless Bowls' effect</t>
  </si>
  <si>
    <t>Portion size, consumption norms, food in take, consumption volume, external cues</t>
  </si>
  <si>
    <t>To examine whether altering a visual cue of how much is eaten would influence intake and whether this would be reflected in consumption estimates and satiation.</t>
  </si>
  <si>
    <t>"People who were in the self-refilling condition ate more soup [14.7 vs. 8.5 ounces; F(1,52)  8.99; p  0.01] than those eating from normal soup bowls (Table 1). This difference represented an increase of 73% in amount of soup consumed and an increase of 113 calories (267.9 vs. 154.9 calories)."</t>
  </si>
  <si>
    <t>https://osf.io/ux42g</t>
  </si>
  <si>
    <t>No-pvalue reported</t>
  </si>
  <si>
    <t>Mediation effect</t>
  </si>
  <si>
    <t>Advertising, mental simulation, persuasion, process and outcome imagery</t>
  </si>
  <si>
    <t>Test whether the relationship between ad type and ad credibility was mediated by informativeness entered as a simultaneous mediator.</t>
  </si>
  <si>
    <t>"A one-way analysis of variance (ANOVA) on ad credibility was significant (F(2, 210) = 7.19, p &lt; .01) and planned contrasts revealed that the progression ad was more credible than before/after ad (Mprog = 5.59, Mb/a= 4.93; F(1, 210) = 7.13, p &lt; .01), results supported the hypothesis that progression ads facilitate process simulation more than before/after ads."</t>
  </si>
  <si>
    <t>Test whether the relationship between ad type and ad credibility was mediated by process simulation</t>
  </si>
  <si>
    <t>which study in replication is supposed to replicate the egodepletion effect?</t>
  </si>
  <si>
    <t xml:space="preserve">Firstly, the original paper and the replication study do not discuss the ego depletion effect, which is discussed in the task above. Secondly, the original paper by Gailliot M. T. et al. (2007) examines the reliance of self-control on the energy source glucose, while the replication study by Cesario J. et al. (2013) discusses a self-regulatory framework for message framing. I think these two studies have been wrongly paired. </t>
  </si>
  <si>
    <t>CORE_9_1</t>
  </si>
  <si>
    <t>CORE_9</t>
  </si>
  <si>
    <t>- I added the study numbers and replication labels 
- I corrected n_o</t>
  </si>
  <si>
    <t>Heyman, J., &amp; Ariely, D. (2004). Effort for payment: A tale of two markets. Psychological science, 15(11), 787-793.</t>
  </si>
  <si>
    <t>10.1111/j.0956-7976.2004.00757.x</t>
  </si>
  <si>
    <t>10.1111--j.0956-7976.2004.00757.x.pdf</t>
  </si>
  <si>
    <t>Imada, H., Chan, W. F., Ng, Y. K., Man, L. H., Wong, M. S., Cheng, B. L., &amp; Feldman, G. (2022). Rewarding more is better for soliciting help, yet more so for cash than for goods: Revisiting and reframing the Tale of Two Markets with replications and extensions of Heyman and Ariely (2004). Collabra: Psychology, 8(1), 32572. https://doi.org/10.1525/collabra.32572</t>
  </si>
  <si>
    <t>10.1525/collabra.32572</t>
  </si>
  <si>
    <t>10.1525--collabra.32572.pdf</t>
  </si>
  <si>
    <t>more-is-better effect</t>
  </si>
  <si>
    <t>1a - the expected willingness to help in the cash condition (money market) increased when the payment level increased from low to medium, F(1, 607) = 5.03, p &lt; .001, a pattern that is similar to reciprocation.</t>
  </si>
  <si>
    <t>F(1, 607) = 5.03</t>
  </si>
  <si>
    <t>p.5, Table 4</t>
  </si>
  <si>
    <t>https://osf.io/97eqm</t>
  </si>
  <si>
    <t>CORE_9_b</t>
  </si>
  <si>
    <t>1b As predicted in Hypothesis 1b, the expected willingness to help in the candy condition (social market) was insensitive to the increase in payment level from low to medium, F(1, 607) = 0.25, p = .81, n.s., a pattern that is similar to altruism.</t>
  </si>
  <si>
    <t>F(1, 607) = 0.25</t>
  </si>
  <si>
    <t>CORE_9_c</t>
  </si>
  <si>
    <t>As predicted in Hypothesis 1c, the expected willingness to help in the low- payment level of the cash condition (money market) was below that in the no-payment control condition, F(1, 607) = 4.65, p &lt; .001;</t>
  </si>
  <si>
    <t>F(1, 607) = 4.65</t>
  </si>
  <si>
    <t>CORE_9_d</t>
  </si>
  <si>
    <t>1d</t>
  </si>
  <si>
    <t>Finally, as predicted in Hypothesis 2, the monetized-candy condition resembled the cash condition, F(1, 607) 5 1.27, n.s., but not the candy condi-tion, F(1, 607) 5 3.36, p &lt; .01, showing an increase in expected willingness to help when payment level increased from low to medium, F(1, 607) = 3.48, p &lt; .001, a...</t>
  </si>
  <si>
    <t>F(1, 607) = 3.48</t>
  </si>
  <si>
    <t>CORE_9_e</t>
  </si>
  <si>
    <t>1a - the expected willingness to help in the cash condition (money market) increased when the payment level increased from low to medium, F(1, 607) 5 5.03, p &lt; .001, a pattern that is similar to reciprocation.</t>
  </si>
  <si>
    <t>https://osf.io/adwmg</t>
  </si>
  <si>
    <t>CORE_9_f</t>
  </si>
  <si>
    <t>CORE_9_g</t>
  </si>
  <si>
    <t>CORE_9_h</t>
  </si>
  <si>
    <t>CORE_17_1</t>
  </si>
  <si>
    <t>CORE_17</t>
  </si>
  <si>
    <t>- I added the study numbers and replication labels 
- I corrected n_r</t>
  </si>
  <si>
    <t>Johnson, E. J., &amp; Goldstein, D. (2003). Do defaults save lives?. Science, 302(5649), 1338-1339.</t>
  </si>
  <si>
    <t>10.1126/science.1091721</t>
  </si>
  <si>
    <t>10.1126--science.1091721.pdf</t>
  </si>
  <si>
    <t>Chandrashekar, S. P., Adelina, N., Zeng, S., Chiu, Y. Y. E., Leung, Y., Henne, P., ... &amp; Feldman, G. (2022). Defaults versus framing: Revisiting Default Effect and Framing Effect with replications and extensions of Johnson and Goldstein (2003) and Johnson, Bellman, and Lohse (2002). https://osf.io/pqt82</t>
  </si>
  <si>
    <t>10.15/626/mp.2022.3108</t>
  </si>
  <si>
    <t>https://osf.io/pqt82</t>
  </si>
  <si>
    <t>10.15--626--mp.2022.3108.pdf</t>
  </si>
  <si>
    <t>default effect (no default, opt-in)</t>
  </si>
  <si>
    <t>participants in the Opt-Out condition consented to organ donation at a higher rate</t>
  </si>
  <si>
    <t>The form of the question had a dramatic impact (see figure, left): Revealed donation rates were about twice as high when opting-out as when opting-in. The opt-outcondition did not differ significantly from the neutral condition (without a default op tion). Only the opt-in condition, the current practice in the United States, was significantly lower.... Although there are no differences across years, there is a strong effect of the de fault: When donation is the default, there is a 16.3% (P &lt; 0.02) increase in donation, in creasing the donor rate from 14.1 to 16.4 million (see figure, this page, blue line).</t>
  </si>
  <si>
    <t>pp. 1-2</t>
  </si>
  <si>
    <t>p.7 (73.5%) Also, participants in the No-Default condition consented to organ donation at a higher rate (69.7%) than participants in the Opt-In condition (62.5%) (X21) = 5.31, p =.021, OR = 1.38, 95% CI [1.06, 1.80])</t>
  </si>
  <si>
    <t>https://osf.io/8qrbv</t>
  </si>
  <si>
    <t>CORE_19_1</t>
  </si>
  <si>
    <t>CORE_19</t>
  </si>
  <si>
    <t>evaluation only given for aggregated results
Corinna:
- I added the study number
- I added the replication label
- I corrected n_original and n_r
- I changed the target effect and text claim
- I corrected es_repr_o</t>
  </si>
  <si>
    <t>Johnson, E. J., Bellman, S., &amp; Lohse, G. L. (2002). Defaults, framing and privacy: Why opting in-opting out. Marketing letters, 13, 5-15.</t>
  </si>
  <si>
    <t>10.1023/A:1015044207315</t>
  </si>
  <si>
    <t>10.1023--a:1015044207315.pdf</t>
  </si>
  <si>
    <t>participants in the opt-in condition vs opt-out condition rather consent to receive health-related information</t>
  </si>
  <si>
    <t>"Both main effects: Frame [...] and Default. However, the effect of Default was due to the difference between the Participate and Not Participate groups (t=4.59, p &lt; .001), and the No Default group was not significantly different than the Participate group (p &gt; .10)."</t>
  </si>
  <si>
    <t>t=4.59</t>
  </si>
  <si>
    <t>p.7 nthe Opt-Out condition (60.5%) Opt-In condition (61.1%) (b = -.29, p = .095, OR = 0.75, 95% CIn[0.53, 1.05]); t</t>
  </si>
  <si>
    <t>CORE_27_1</t>
  </si>
  <si>
    <t>CORE_27</t>
  </si>
  <si>
    <t>- I corrected the p-value of the original study
- I added the replication label
- I added the study number of the replication</t>
  </si>
  <si>
    <t>Gilovich, T., Medvec, V. H. (1994). The temporal pattern to the experience of regret. Journal of Personality and Social Psychology, 67(3), 357–365. https://doi.org/10.1037/0022-3514.67.3.357</t>
  </si>
  <si>
    <t>10.1037/0022-3514.67.3.357</t>
  </si>
  <si>
    <t>10.1037--0022-3514.67.3.357.pdf</t>
  </si>
  <si>
    <t>Yeung, S. &amp; ^Feldman, G. (2022). Revisiting the Temporal Pattern of Regret: Replication of Gilovich and Medvec (1994) with extensions examining responsibility. Collabra:Psychology, 8 (1): 37122. DOI: 10.1525/collabra.37122</t>
  </si>
  <si>
    <t>10.1525/collabra.37122</t>
  </si>
  <si>
    <t>10.1525--collabra.37122.pdf</t>
  </si>
  <si>
    <t>inaction effect, general regret</t>
  </si>
  <si>
    <t>Participants are more likely to report having experienced regret for life's inactions compared to life's actions.</t>
  </si>
  <si>
    <t>The question was counterbalanced in terms of which type of regret, that of action or inaction, was listed first. Overall, 45 of the 60 respondents (75%) indicated that they experienced more regret over those things they did not do but wished they had done (binomial z = 3.75, p &lt; .001).</t>
  </si>
  <si>
    <t>binomial z = 3.75</t>
  </si>
  <si>
    <t>z = -5.79</t>
  </si>
  <si>
    <t>p.7 z = -5.79, X2 (1, N = 535) = 34.07, p &lt; .001, V =0.25, 95% CI [0.17, 0.34],</t>
  </si>
  <si>
    <t>https://osf.io/qrbs8</t>
  </si>
  <si>
    <t>CORE_27_b</t>
  </si>
  <si>
    <t xml:space="preserve">- I added the study number of the original study
- I added the replication label
- I corrected all values </t>
  </si>
  <si>
    <t>1987), a vast majority of the subjects (76%) thought that Jim, the person who regrets doing something, would experience more regret initially (Binomial z = 4.59, p &lt; .0001). Commission generates more regret, at least in the short-term.</t>
  </si>
  <si>
    <t>Binomial z = 4.59</t>
  </si>
  <si>
    <t>z = 4.95</t>
  </si>
  <si>
    <t>CORE_27_c</t>
  </si>
  <si>
    <t>- I corrected the n_r 
- I added the study numbers
- I added the replication label</t>
  </si>
  <si>
    <t>A sizable majority (64%) thought that Dave, who regretted not doing something, would experi- ence more regret down the road (Binomial z = 2.35, p &lt; .02).</t>
  </si>
  <si>
    <t>binomial z = 2.35</t>
  </si>
  <si>
    <t>z = -1.59</t>
  </si>
  <si>
    <t>p.8 z = -1.59, X2 (1, N = 248) = 2.73, p = .099, V = 0.10, 95% CI [0.01, 0.23]</t>
  </si>
  <si>
    <t>CORE_27_d</t>
  </si>
  <si>
    <t>- I added the study number of the original study
- I added the replication label
- I corrected the replication effect, n_r and the related p-value</t>
  </si>
  <si>
    <t>Looking back over their lives to that point, however, a substantial majority of the subjects (84%) reported greater regret for what they failed to do. This difference in the pattern of responses across the two time periods was statistically significant (z = 2.94, p &lt; .01).5 Thus, people's regrettable actions are more troublesome in the shorterm than in the long run; but for their inactions, the opposite pattern holds true.</t>
  </si>
  <si>
    <t>z = 2.94,</t>
  </si>
  <si>
    <t>binomial z =0</t>
  </si>
  <si>
    <t>CORE_37_1</t>
  </si>
  <si>
    <t>CORE_37</t>
  </si>
  <si>
    <t>Alicke, M. D. (1985). Global self-evaluation as determined by the desirability and controllability of trait adjectives. Journal of personality and social psychology, 49(6), 1621.</t>
  </si>
  <si>
    <t>10.1037/0022-3514.49.6.1621</t>
  </si>
  <si>
    <t>10.1037--0022-3514.49.6.1621.pdf</t>
  </si>
  <si>
    <t>Ziano, I., Mok, P. Y. (Cora), &amp; Feldman, G. (2021). Replication and Extension of Alicke (1985) Better-Than-Average Effect for Desirable and Controllable Traits. Social Psychological and Personality Science, 12(6), 1005–1017. https://doi.org/10.1177/1948550620948973</t>
  </si>
  <si>
    <t>10.1177/1948550620948973</t>
  </si>
  <si>
    <t>10.1177--1948550620948973.pdf</t>
  </si>
  <si>
    <t>better-than-average effect</t>
  </si>
  <si>
    <t>people tended to regard more positive traits as more descriptive of themselves than of the average other</t>
  </si>
  <si>
    <t>A significant main effect was obtained for desirability, F(3, 261) = 306.80, p &lt; .0001, which indicated that the tendency to endorse trait adjectives as characteristic of either the self or the average college student increased as the traits increased in desirability.</t>
  </si>
  <si>
    <t>F(3, 261) = 306.80</t>
  </si>
  <si>
    <t>sr2 = .54</t>
  </si>
  <si>
    <t>p.5 (sr2 = .54, 95% CI [.43, .65]).</t>
  </si>
  <si>
    <t>https://osf.io/jfhkd</t>
  </si>
  <si>
    <t>CORE_37_b</t>
  </si>
  <si>
    <t xml:space="preserve">A second significant main effect was obtained for controllability, f\l, 87) = 5.93, p &lt; .02; in general, high controllable traits were seen as more characteristic of the self or the average college student than low controllable traits.
</t>
  </si>
  <si>
    <t>F(1,87) = 5.93</t>
  </si>
  <si>
    <t>sr2 = .01,</t>
  </si>
  <si>
    <t>p.5 (sr2 = .01, 95% CI [.01, .03]).</t>
  </si>
  <si>
    <t>CORE_37_c</t>
  </si>
  <si>
    <t>- I corrected the n_r 
- I added the study numbers
- I corrected the N of the original
- I changed the pval_type_r to NA</t>
  </si>
  <si>
    <t>Significant interactions were obtained be- tween desirability and controllability, .F(3,261) = 22.72, p &lt; .0001,</t>
  </si>
  <si>
    <t>F(3,261) = 22.72,</t>
  </si>
  <si>
    <t>sr2 =  .07,</t>
  </si>
  <si>
    <t>p.5 (sr2 =  .07, 95% CI [.02, .12]).</t>
  </si>
  <si>
    <t>Pios</t>
  </si>
  <si>
    <t>datareplicada5a_1</t>
  </si>
  <si>
    <t>datareplicada5a</t>
  </si>
  <si>
    <t>Kaiser, Leonard, Pius</t>
  </si>
  <si>
    <t>The effect size (d=0.10)  for replication is from an online article that does not have a page number</t>
  </si>
  <si>
    <t>Huang, F., Wong, C.V., &amp; Wan, E.W. (2016). The Influence of Product Anthropomorphism on Comparative Judgment. Journal of Consumer Research. Study 2</t>
  </si>
  <si>
    <t>10.1093/jcr/ucz028</t>
  </si>
  <si>
    <t>10.1093--jcr--ucz028.pdf</t>
  </si>
  <si>
    <t>Simmons, J. &amp;. Nelson, L.D. (2020). [87] Data Replicada #5: Do Human-Like Products Inspire More Holistic Judgments?
Data Colada. https://datacolada.org/87  Replication 1</t>
  </si>
  <si>
    <t>https://datacolada.org/87</t>
  </si>
  <si>
    <t>The Influence of Product Anthropomorphism on Comparative Judgment</t>
  </si>
  <si>
    <t xml:space="preserve">anthropomorphism, comparative judgment, absolute strategy, dimension-by- dimension strategy </t>
  </si>
  <si>
    <t>The effect of product anthropomorphism on preferences between
two alternatives based on comparative judgment strategies</t>
  </si>
  <si>
    <t>"Laptop Preferences. Consistent with our prediction, the results of a one-way ANOVA showed that participants in the anthropomorphism condition preferred the absolute-dominant laptop over the dimension-dominant laptop to a greater extent (M = 6.15, SD = 2.38) than those in the non-anthropomorphism condition (M = 4.95, SD = 2.95; F(1, 99) = 5.04, p = .027, ƞ2 p= .05; see table 1). These results supported hypothesis 2 that consumers’ preferences for an absolute-dominant alternative over a dimension-dominant alternative are greater when the alternatives are both anthropomorphized than when they are not."</t>
  </si>
  <si>
    <r>
      <rPr>
        <rFont val="Calibri"/>
        <sz val="11.0"/>
      </rPr>
      <t xml:space="preserve"> </t>
    </r>
    <r>
      <rPr>
        <rFont val="Calibri"/>
        <color rgb="FF1155CC"/>
        <sz val="11.0"/>
        <u/>
      </rPr>
      <t>https://aspredicted.org/d92dd.pdf</t>
    </r>
  </si>
  <si>
    <t>soscisubmission91_1</t>
  </si>
  <si>
    <t>soscisubmission91</t>
  </si>
  <si>
    <t>Kulke, Louisa, Pius</t>
  </si>
  <si>
    <t>Total sample size is 20 for 10 for FB1 and other 10 FB2</t>
  </si>
  <si>
    <t>OK, but single row</t>
  </si>
  <si>
    <t>Southgate V, Senju A, Csibra G. Action anticipation through attribution of false belief by 2-year-olds. Psychol Sci. 2007 Jul;18(7):587-92. doi: 10.1111/j.1467-9280.2007.01944.x. PMID: 17614866.</t>
  </si>
  <si>
    <t>Kulke, L., Reiß, M., Krist, H., &amp; Rakoczy, H. (2018). How robust are anticipatory looking measures of Theory of Mind? Replication attempts across the life span. Cognitive Development, 46, 97-111.</t>
  </si>
  <si>
    <t>10.1016/j.cogdev.2017.09.001</t>
  </si>
  <si>
    <t>10.1016--j.cogdev.2017.09.001                        .pdf</t>
  </si>
  <si>
    <t>Anticipatory Looking Based on False Belief</t>
  </si>
  <si>
    <t>Implicit theory of mind Children Life span Validity</t>
  </si>
  <si>
    <t>The ability of 25-month-old infants to correctly anticipate the actor's actions based on their false belief about the ball's location.</t>
  </si>
  <si>
    <t>"Seventeen of the 20 infants gazed toward the correct window following illumination (p = .003, prep = .982, two-choice binomial test, two-tailed)"</t>
  </si>
  <si>
    <t>-</t>
  </si>
  <si>
    <t>soscisubmission91_b</t>
  </si>
  <si>
    <t>Total sample size is 20 for 10 for FB1 and other 10 FB2, for Reblication, the sample sizes were calculated based on df</t>
  </si>
  <si>
    <t>Gaze Duration on Correct Window</t>
  </si>
  <si>
    <t>Measures the duration infants looked at the correct window, indicating their understanding of the actor's false belief</t>
  </si>
  <si>
    <t>" The infants spent almost twice as long focusing on the correct window as on the incorrect window (Ms = 956 ms and 496 ms, respectively). A repeated measures analysis of variance confirmed this, F(1, 18) = 5.21, p = .035, prep = .901, ηp² = .22"</t>
  </si>
  <si>
    <t>soscisubmission91_c</t>
  </si>
  <si>
    <t>Consistency Across Conditions</t>
  </si>
  <si>
    <t>Difference between the two experimental conditions (FB1 and FB2) in terms of anticipatory looking.</t>
  </si>
  <si>
    <t>"There was no difference in performance between the two false-belief conditions, with 9 of 10 infants gazing correctly to the right-hand window in the FB1 condition and 8 of 10 infants gazing correctly to the left-hand window in the FB2 condition (p = .5, one-tailed Fisher’s exact test)."</t>
  </si>
  <si>
    <t>−0.108.</t>
  </si>
  <si>
    <t>datareplicada6_1</t>
  </si>
  <si>
    <t>datareplicada6</t>
  </si>
  <si>
    <t>Sample size was calculate based on df  and N was 149 for original. The sample of each group for replaction was calculated  based on the total sample size of 773</t>
  </si>
  <si>
    <t>Park, H., Lalwani, A.K., &amp; Silvera, D.H. (2020). The Impact of Resource Scarcity on Price-Quality Judgments. Journal of Consumer Research. Study 2a</t>
  </si>
  <si>
    <t>10.1093/jcr/ucz031</t>
  </si>
  <si>
    <t>10.1093--jcr--ucz031.pdf</t>
  </si>
  <si>
    <t>Simmons, J. &amp;. Nelson, L.D. (2020). [89] Data Replicada #6: The Problem of (Weird) Differential Attrition. Data Colada.  https://datacolada.org/89</t>
  </si>
  <si>
    <t>https://datacolada.org/89</t>
  </si>
  <si>
    <t xml:space="preserve">Online replcation </t>
  </si>
  <si>
    <t>Increased desire for abundance under scarcity</t>
  </si>
  <si>
    <t>scarcity, resource, price-quality judgments, price-quality perception, categorization, desire for abundance</t>
  </si>
  <si>
    <t>tested the effects of scarcity on two other measures (desire for abundance).</t>
  </si>
  <si>
    <t>"The desire for abundance index was higher in the scarcity condition (M = 4.52, SD = 1.65) than in the control condition (M = 3.74, SD = 1.78; F(1, 147) = 7.78, p = .006, partialη2= .050)."</t>
  </si>
  <si>
    <t>p.18</t>
  </si>
  <si>
    <t>https://aspredicted.org/md5q8.pdf</t>
  </si>
  <si>
    <t>Pavlović, Zoran,Pius</t>
  </si>
  <si>
    <t>Sample size was calculated based on the df where N=564</t>
  </si>
  <si>
    <t>Actual Consumption Volume</t>
  </si>
  <si>
    <t>portion size, consumption norms, food in-take, consumption volume, external cues</t>
  </si>
  <si>
    <t>The impact of biased visual cues on the actual amount of food consumed.</t>
  </si>
  <si>
    <t>" The general categorization tendency score was lower in the scarcity condition (M = 4.23, SD = 1.69) than in the control condition (M = 5.15, SD = 1.42; F(1,147) = 13.21, p &lt;.001, partial η2= .082)."</t>
  </si>
  <si>
    <t>https://pubmed.ncbi.nlm.nih.gov/37917442/</t>
  </si>
  <si>
    <t>soscisubmission72_b</t>
  </si>
  <si>
    <t>Estimated Consumption Volume</t>
  </si>
  <si>
    <t>The discrepancy between actual and estimated consumption among participants using self-refilling bowls.</t>
  </si>
  <si>
    <t>"Despite consuming 73% more, those participants eating from the self-refilling bowl did not believe themselves to have consumed any more soup than those in the control condition (127.4 vs. 122.6 estimated calories; F(1,52) = 0.03, p = 0.86)."</t>
  </si>
  <si>
    <t>soscisubmission72_c</t>
  </si>
  <si>
    <t>Consumption Monitoring</t>
  </si>
  <si>
    <t>The extent to which participants believed they monitored their consumption.</t>
  </si>
  <si>
    <t>"There was no significant difference in reported consumption monitoring between the self-refilling and normal bowl conditions (e.g., 'I carefully monitored how much soup I ate'; F(1,52) = 0.00, p = 0.98)."</t>
  </si>
  <si>
    <t>soscisubmission72_d</t>
  </si>
  <si>
    <t>Presence of Others</t>
  </si>
  <si>
    <t>The influence of social presence on consumption behavior.</t>
  </si>
  <si>
    <t>"Those with the refillable bowl were no more likely to agree with the statement, 'If other people keep eating, I am more likely to also' than those in the control condition (5.5 vs. 5.4; F(1,52) = 0.03, p = 0.86)"</t>
  </si>
  <si>
    <t>soscisubmission72_e</t>
  </si>
  <si>
    <t>Self-Perceptions of Satiety</t>
  </si>
  <si>
    <t>The relationship between actual consumption and perceived fullness.</t>
  </si>
  <si>
    <t>"Participants in the self-refilling condition did not perceive themselves as feeling any more sated than those who had eaten from a normal bowl, despite consuming 73% more (e.g., 'How full are you right now?' 5.1 vs. 5.7; F(1,52) = 1.03, p = 0.31)."</t>
  </si>
  <si>
    <t>soscisubmission78_1</t>
  </si>
  <si>
    <t>soscisubmission78</t>
  </si>
  <si>
    <t>Verheyen, Steven,Pius</t>
  </si>
  <si>
    <t>Sample size was computed on df where N=393</t>
  </si>
  <si>
    <t>Nicholls, M. E. R., Churches, O. &amp; Loetscher, T. (2018). Perception of an ambiguous figure is affected by own-age social biases. Scientific Reports, 8, 12661. https://doi.org/10.1038/s41598-018-31129-7</t>
  </si>
  <si>
    <t>10.1038/s41598-018-31129-7</t>
  </si>
  <si>
    <t>10.1038--s41598-018-31129-7.pdf</t>
  </si>
  <si>
    <t>Brouwer, A., Jin, X., Waldi, A. H., &amp; Verheyen, S. (2021). Age biases the judgment rather than the perception of an ambiguous figure. Scientific Reports, 11, 8627. https://doi.org/10.1038/s41598-021-88139-1</t>
  </si>
  <si>
    <t>10.1038/s41598-021-88139-1</t>
  </si>
  <si>
    <t>10.1038--s41598-021-88139-1.pdf</t>
  </si>
  <si>
    <t>Age Group Differences in Perception</t>
  </si>
  <si>
    <t>The difference in perceived age based on the observer’s age, comparing younger and older participants.</t>
  </si>
  <si>
    <t>"A t-test for independent samples revealed that the difference between the groups was highly significant [t(391)=3.82, p&lt;0.001, Cohen’s d=0.386]."</t>
  </si>
  <si>
    <t>https://osf.io/y3bqa/</t>
  </si>
  <si>
    <t>soscisubmission78_b</t>
  </si>
  <si>
    <t>Verheyen, Steven, Pius</t>
  </si>
  <si>
    <t>Youngest and Oldest Participants</t>
  </si>
  <si>
    <t>A more extreme comparison of the very-youngest and very-oldest participants in the sample.</t>
  </si>
  <si>
    <t>"The estimated age for the very-young group (18-22 years) was 33.85 years (SD = 14.16), whereas the estimated age for the very-old group (49-68 years) was 45.91 years (SD = 21.63). This difference was statistically significant [t(83) = 3.00, p = 0.007, Cohen’s d = 0.659]."</t>
  </si>
  <si>
    <t>soscisubmission78_c</t>
  </si>
  <si>
    <t>Correlation Between Observer Age and Perceived Age</t>
  </si>
  <si>
    <t>The relationship between the observer’s age and their perception of the ambiguous figure's age.</t>
  </si>
  <si>
    <t>"The relation between the observer’s age and the estimated age of the woman can also be investigated using a simple correlational analysis. Figure 3 shows a positive correlation between the observer’s age and the estimated age of the bistable illusion, which was statistically significant [r(393)=0.237, p&lt;0.001]."</t>
  </si>
  <si>
    <t>gea2s_1</t>
  </si>
  <si>
    <t>gea2s</t>
  </si>
  <si>
    <t>Patric Justin Leukel, Alexander Jordan, Marcie Sharp, Jeremiah Ki Fat, Jeremy Chaves, Bryan Koenig, Pius</t>
  </si>
  <si>
    <t>Leukel, P. J., Jordan, A., Sharp, M., Fat, J. K., Chaves, J., &amp; Koenig, B. (2018, May 2). Influence of Cleanliness on Moral Judgements: A Direct Replication of Schnall, Benton, and Harvey  (2008). https://doi.org/10.17605/OSF.IO/GEA2S</t>
  </si>
  <si>
    <t>10.17605/OSF.IO/GEA2S</t>
  </si>
  <si>
    <t>https://osf.io/gea2s</t>
  </si>
  <si>
    <t>10.17605--osf.io--gea2s.pdf</t>
  </si>
  <si>
    <t>Overall Moral Judgments</t>
  </si>
  <si>
    <t xml:space="preserve"> embodiment, cleanliness, morality, effect size</t>
  </si>
  <si>
    <t>The impact of cleanliness priming on the overall severity of moral judgments.</t>
  </si>
  <si>
    <t>"The mean composite of all six moral vignettes was computed. To test whether priming the participants with cleanliness reduced the severity of moral judgments, we conducted a one-way ANOVA on the composites with priming (cleanliness vs. neutral) as a factor. As predicted, participants gave lower ratings after the cleanliness priming (M = 4.98, SD = 1.26) than they did after the neutral priming (M = 5.81, SD = 1.47), F(1, 38) = 3.63, prep = .90, ηp² = .09"</t>
  </si>
  <si>
    <t>gea2s_b</t>
  </si>
  <si>
    <t>Cleanliness Reduces the Severity of Moral Judgments</t>
  </si>
  <si>
    <t>The effect of cleanliness priming on individual moral vignettes.</t>
  </si>
  <si>
    <t xml:space="preserve"> "When analyzed individually, all six moral vignettes showed the same pattern, with a significant difference between conditions for the 'Kitten' vignette, F(1, 38) = 5.71, prep = .95, ηp² = .13"</t>
  </si>
  <si>
    <t>soscisubmission71_1</t>
  </si>
  <si>
    <t>soscisubmission71</t>
  </si>
  <si>
    <t>Al-Hoorie, Ali H., Pius</t>
  </si>
  <si>
    <t>Wu, S.-L., &amp; Ortega, L. (2013). Measuring global oral proficiency in SLA research: A new elicited imitation test of L2 Chinese. Foreign Language Annals, 46(4), 680-704. https://doi.org/10.1111/flan.12063</t>
  </si>
  <si>
    <t>10.1111/flan.12063</t>
  </si>
  <si>
    <t>10.1111--flan.12063.pdf</t>
  </si>
  <si>
    <t>McManus, K., &amp; Liu, Y. (2022). Using elicited imitation to measure global oral proficiency in SLA research: A close replication study. Language Teaching, 55(1), 116-135.</t>
  </si>
  <si>
    <t>10.1017/S026144482000021X</t>
  </si>
  <si>
    <t>10.1017--s026144482000021x.pdf</t>
  </si>
  <si>
    <t>High vs. Low Ability Groups</t>
  </si>
  <si>
    <t>CAF measures, elicited imitation, heritage language learners, L2 Chinese, proficiency testing</t>
  </si>
  <si>
    <t>The effectiveness of the Chinese EIT in distinguishing between high and low proficiency groups.</t>
  </si>
  <si>
    <t>"The learners enrolled in the upper-division courses achieved significantly higher EIT scores (M = 66.5, SD = 23.17) than did the learners enrolled in the lower-division courses (M = 45.55, SD = 20.52), t(78) = 4.28, p = 0.000, Cohen’s d = 0.96."</t>
  </si>
  <si>
    <t>soscisubmission7_b</t>
  </si>
  <si>
    <t>HLL vs. FLL Performance</t>
  </si>
  <si>
    <t>The impact of learner background (heritage language learners vs. foreign language learners) on EIT scores.</t>
  </si>
  <si>
    <t>"HLLs performed significantly better on the EIT than FLLs, consistently within and across both curricular levels, with a significant main effect for background (F(1,76) = 6.84, p = 0.011, partial η² = 0.204)"</t>
  </si>
  <si>
    <t>soscisubmission71_c</t>
  </si>
  <si>
    <t xml:space="preserve"> Item Characteristics and EIT Scores</t>
  </si>
  <si>
    <t>The influence of item characteristics like syllable length and syntactic complexity on EIT performance.</t>
  </si>
  <si>
    <t>"It was observed that there was a significant negative correlation between the mean score for a given item and its length in syllables, r = -0.86, p = 0.000, explaining 74% of the variance (r² = 0.74)."</t>
  </si>
  <si>
    <t>soscisubmission90a_1</t>
  </si>
  <si>
    <t>soscisubmission90a</t>
  </si>
  <si>
    <t>Kulke, L., &amp; Rakoczy, H. (2019). Testing the role of verbal narration in implicit theory of mind tasks. Journal of Cognition and Development, 20(1), 1-14.</t>
  </si>
  <si>
    <t>10.1080/15248372.2018.1544140</t>
  </si>
  <si>
    <t>10.1080--15248372.2018.1544140.pdf</t>
  </si>
  <si>
    <t>Group Differences in EIT Scores</t>
  </si>
  <si>
    <t>The effectiveness of the Chinese EIT in distinguishing between learners with different proficiency levels.</t>
  </si>
  <si>
    <t xml:space="preserve"> "The learners enrolled in the upper-division courses achieved significantly higher EIT scores (M = 66.5, SD = 23.17) than did the learners enrolled in the lower-division courses (M = 45.55, SD = 20.52), t(78) = 4.28, p &lt; 0.001, Cohen’s d = 0.96"</t>
  </si>
  <si>
    <t>https://osf.io/fb8fj</t>
  </si>
  <si>
    <t>soscisubmission90a_b</t>
  </si>
  <si>
    <t>Kulke, Louisa,Pius</t>
  </si>
  <si>
    <t>Correlation with Oral Narrative Task</t>
  </si>
  <si>
    <t>The relationship between EIT scores and performance on the oral narrative task</t>
  </si>
  <si>
    <t xml:space="preserve">"The third research question investigated the relationship between learners’ performance on the EIT and the oral narrative task, finding a moderate positive correlation, r = 0.62, p &lt; 0.001" </t>
  </si>
  <si>
    <t>Anticipatory Gaze in Infants</t>
  </si>
  <si>
    <t>Implicit theory of mind Replication Children Life span Validity</t>
  </si>
  <si>
    <t>The ability of infants to anticipate actions based on false belief attribution.</t>
  </si>
  <si>
    <t>"ISeventeen of the 20 infants gazed toward the correct window following illumination (p = .003, prep = .982, two-choice binomial test, two-tailed)"</t>
  </si>
  <si>
    <t xml:space="preserve"> Gaze Duration on Correct Window</t>
  </si>
  <si>
    <t>The duration infants focused on the correct window, indicating understanding of the actor's false belief.</t>
  </si>
  <si>
    <t>"The infants spent almost twice as long focusing on the correct window as on the incorrect window (Ms = 956 ms and 496 ms, respectively). A repeated measures analysis of variance confirmed this, F(1, 18) = 5.21, p = .035, prep = .901, ηp² = .22"</t>
  </si>
  <si>
    <t>The lack of significant difference between the two experimental conditions (FB1 and FB2) in terms of anticipatory looking.</t>
  </si>
  <si>
    <t>"There was no difference in performance between the two false-belief conditions, with 9 of 10 infants gazing correctly to the right-hand window in the FB1 condition and 8 of 10 infants gazing correctly to the left-hand window in the FB2 condition (p = .5, one-tailed Fisher’s exact test)"</t>
  </si>
  <si>
    <t>Data (editable)_1_1</t>
  </si>
  <si>
    <t>Data (editable)_1</t>
  </si>
  <si>
    <t>Leon P. Hilbert, Pius</t>
  </si>
  <si>
    <t>17.10.2023</t>
  </si>
  <si>
    <t>Sample size was calculated based on df where N=48</t>
  </si>
  <si>
    <t>Among the effects reported in the original paper, only the effect on heart rate slowing (bradycardia) was tested in the replication study.</t>
  </si>
  <si>
    <t>Roelofs, K., Hagenaars, M. A., &amp; Stins, J. (2010). Facing freeze: Social threat induces bodily freeze in humans. Psychological Science, 21, 1575–1581. https://doi.org/10.1177/0956797610384746</t>
  </si>
  <si>
    <t>10.1177/0956797610384746</t>
  </si>
  <si>
    <t>10.1177--0956797610384746.pdf</t>
  </si>
  <si>
    <t>Noordewier, M. K., Scheepers, D. T., &amp; Hilbert, L. P. (2020). Freezing in response to social threat: a replication. Psychological Research, 84, 1890-1896. https://doi.org/10.1007/s00426-019-01203-4</t>
  </si>
  <si>
    <t>10.1007/s00426-019-01203-4</t>
  </si>
  <si>
    <t>10.1007--s00426-019-01203-4.pdf</t>
  </si>
  <si>
    <t>Main Effect of Emotion</t>
  </si>
  <si>
    <t>Emotional facial expressions, human freeze response, angryfaces, posturography, body sway, heart rate</t>
  </si>
  <si>
    <t>The overall impact of emotion on body sway during exposure to social threat.</t>
  </si>
  <si>
    <t>"An ANOVA for SD-AP yielded a significant effect of emotion, F(2, 45) = 5.20, p = .009, ηp2= .19. Separate LSD comparisons showed that SD-AP in the angry-faces block differed significantly from SD-AP in both the neutral-faces and the happy-faces blocks (p = .032 and p = .014, respectively)."</t>
  </si>
  <si>
    <t>Data (editable)_1_b</t>
  </si>
  <si>
    <t>Emotion × Anxiety Interaction</t>
  </si>
  <si>
    <t>The impact of social threat on heart rate and its interaction with anxiety.</t>
  </si>
  <si>
    <t>"To investigate the direction of the Emotion × Anxiety interaction, we calculated the correlation between STAI score and the SD-AP difference score for angry faces (SD-AP for angry faces minus SD-AP for neutral faces). A significant negative correlation (r = −.36, p = .013) indicated that higher state anxiety was associated with greater reduction in body sway for angry faces (relative to body sway for neutral faces).This effect was modulated by anxiety, as indicated by a significant Emotion × Anxiety interaction, F(1, 45) = 7.36, p = .009, ηp² = .14"</t>
  </si>
  <si>
    <t>Data (editable)_1_c</t>
  </si>
  <si>
    <t>Heart Rate Modulation</t>
  </si>
  <si>
    <t>Test whether social threat elicits freeze like behavior in humans (Interaction)</t>
  </si>
  <si>
    <t xml:space="preserve">"An analysis including the happy-faces and angry-faces blocks only revealed that heart rate was significantly reduced during viewing of angry faces (M = 88.51 bpm, SE = 1.91) compared with viewing of happy faces (M = 93.0 bpm, SE = 1.95), F(1, 45) = 6.24, p = .016, ηp² = .12. </t>
  </si>
  <si>
    <t>In table 1 (p.4) of the replication article, the effect size (regression coefficient) for the relation between Religious beliefs and Agreeableness is reported as 0.28. However, this number does not correspond with the reported in table 6 (p.34) of the original research article. This table reports 0.25. I report this value. @ l.wallrich@bbk.ac.uk (Applies to all entries in the current sheet) Dear Coding Buddy, The original article reports effect sizes in terms of beta coefficients from regression. Is the first option "b" the right one to choose as effect size type? Also, I do not understand what the two effect sizes (and the metric) reported in the replication article are. The footnote is not clear to me. I would appreciate any assistance in this regard. Thanks in advance.</t>
  </si>
  <si>
    <t>- I added the study numbers
- I changed the text claim to clarify which specific effect is meant (previously, two effects were included)
- I corrected the effect size type (replication)
- I added the page number for the replicated effect
- Since the second values are the corrected ones, I chose those ones (replication)
- There is no reported p-value in the replication study. While there is a table in the online supplement that reports p-values, the reported effect sizes in that table do not align with the reported effects in the paper. Therefore, I would stay with the values of the paper —&gt; Therefore, the p-value should be coded as NA (Daniel did so too - this is only an explanation)
- I added the page number to the replication effect size
- I added the replication label</t>
  </si>
  <si>
    <t>https://drive.google.com/file/d/17mZvRs3ue7pXwqu8bmIDvgNdc95PGEcV/view</t>
  </si>
  <si>
    <t>Correlation between REL-Religiousness and agreeableness</t>
  </si>
  <si>
    <t>Religious beliefs and behavior are positively correlated with agreeableness.</t>
  </si>
  <si>
    <t>https://osf.io/d3xb7/registrations</t>
  </si>
  <si>
    <t xml:space="preserve">In table 1 (p.4) of the replication article, the effect size (regression coefficient) for the relation between Religious beliefs and Agreeableness is reported as 0.28. However, this number does not correspond with the reported in table 6 (p.34) of the original research article. This table reports 0.25. I report this value. </t>
  </si>
  <si>
    <t>Correlation between REL-Religiousness and  conscientiousness.</t>
  </si>
  <si>
    <t>Religious beliefs and behavior are positively correlated with conscientiousness.</t>
  </si>
  <si>
    <t xml:space="preserve">In table 1 (p.4) of the replication article, the effect size (regression coefficient) for the relation between Existential or phenomenological concerns and Open-Mindedness is reported as 0.35. However, this number does not correspond with the reported in table 6 (p.34) of the original research article. This table reports 0.00. I report this value. </t>
  </si>
  <si>
    <t>Correlation between existential or phenomenological concerns and Open-Mindedness</t>
  </si>
  <si>
    <t>The coefficient is reported in the original research article in table 6 (p.34)</t>
  </si>
  <si>
    <t>Correlation between extraversion and EWB-Existential Well-Being</t>
  </si>
  <si>
    <t>Correlation between extraversion and Neuroticism (Negative emotionality)</t>
  </si>
  <si>
    <t>The coefficient is reported in the original research article in table 4 (p.7) - Overall column. It cames to my attention that, in the text, the original research article reports a p-value for extraversion of 0.10 "inspiration was uniquely related to Openness to Experience, F(1, 146) = 30.64, p &lt; .001 (B = .42), and (marginally) to Extraversion, F(1, 146) = 3.09, p &lt; .10 (B =.15)". However, table 4 in the same page reports a p value &lt; 0.05 with the asterisc code. I report the one in the text.</t>
  </si>
  <si>
    <t>- I added the study numbers
- I changed the text claim to clarify which specific effect is meant (previously, two effects were included)
- I corrected the effect sizes type of the original study and the replication (It was a correlation) 
- I corrected the p-value of the original study
- I added the page number for the replicated effect
- Since the second values are the corrected ones, I chose those ones (replication) —&gt; In this study both effects were the same anyway
- There is no reported p-value in the replication study, but in this case the reported effect sizes align with the ones of the online supplement. Therefore, I coded this p-value.
- I added the replication label</t>
  </si>
  <si>
    <t>Correlation between inspiration and extraversion</t>
  </si>
  <si>
    <t>p. 7; F(1, 146) = 3.09</t>
  </si>
  <si>
    <t>The coefficient is reported in the original research article in table 4 (p.7) - Overall column.</t>
  </si>
  <si>
    <t>Correlation between inspiration and open-mindedness.</t>
  </si>
  <si>
    <t>p. 7; F(1, 146) = 30.64</t>
  </si>
  <si>
    <t>In the original research article, the authors state: "The dimensions most affected by sense of humor differences were extraversion and agreeableness." However, I do not see explicit statistical information that supports this statement. Table 3 on page 9 reports what seems to be coefficients for Agreeableness (32.5a 34.9b 39.4), but I do not see a clear association with humor.  For this reason, I refrain from reporting results for this study.</t>
  </si>
  <si>
    <t xml:space="preserve">There is indeed no statistical evidence for the proposed effects in the original study. Therefore, I would exclude this study. </t>
  </si>
  <si>
    <t>"The dimensions most affected by sense of humor differences were extraversion and agreeableness."</t>
  </si>
  <si>
    <t>.16/.16</t>
  </si>
  <si>
    <t>Table 1</t>
  </si>
  <si>
    <t>In the original research article, the authors state: "In addition, having a high sense of humor seems to imply less neuroticism [negative emotionality], although the absence of a sense of humor need not imply higher than typical levels of this characteristic." As stated in the line above,  I do not see explicit statistical information that supports this statement. Table 3 on page 9 reports what seems to be coefficients for Neuroticism [Negative Emotionality] (41.1a 42.5a 31.8b), but I do not see a clear association with humor.  For this reason, I refrain from reporting results for this study.</t>
  </si>
  <si>
    <t>"The dimensions most affected by sense of humor differences were extraversion and agreeableness.""In addition, having a high sense of humor seems to imply less neuroticism [negative emotionality], although the absence of a sense of humor need not imply higher than typical levels of this characteristic"</t>
  </si>
  <si>
    <t>-.13/-.13</t>
  </si>
  <si>
    <t>The replication article refers to the effects of coping on Extraversion and Negative Emotionality. However, in the original research article, there are three types of coping, and the factors seem to have different names. This means that neither the terms extraversion nor negative emotionality are used in the original research article. Likewise, I am not able to match the effect size reported in the replication article with any of the entries in the original one (0.16). For this reason, I refrain from reporting results for this factor.</t>
  </si>
  <si>
    <t xml:space="preserve">- I added the study numbers
- I added the effect 
- I added the text claim
- I corrected the original effect sizes and the corresponding p-value 
- I changed the effect size type of the replication study 
- I added the replication label       </t>
  </si>
  <si>
    <t>Correlation between active coping and extraversion (optimism)</t>
  </si>
  <si>
    <t>"Optimism, [...] redicted greater active coping with the demands of entering college (R2 = .22)."</t>
  </si>
  <si>
    <t xml:space="preserve">- I added the study numbers
- I added the effect 
-  I clarified the text claim
- I changed the effect size type of the replication study     
- I added the replication label   </t>
  </si>
  <si>
    <t xml:space="preserve">Correlation between active coping and negative mood (emotionality) </t>
  </si>
  <si>
    <t>"negative mood redicted greater active coping with the demands of entering college (R2 = .22)."</t>
  </si>
  <si>
    <t xml:space="preserve">The replication article refers to the effects of coping on Extraversion and Negative Emotionality. However, in the original research article, there are three types of coping, and the factors seem to have different names. This means that neither the terms extraversion nor negative emotionality are used in the original research article. I infered that Negative mood refers to negative emotionality. I could track a reported effect size of 0.16, as shown in the second column (Active coping) of table 2 (p. 7) in the original research article. Therefore, I report this value.  I looked at tble 8.5 in teh oriignal article and gound some sense of the directionality of the effects, but not the exact valus from the replication table. For completeness I placed the values from the replication table here but it is not matched to the original. </t>
  </si>
  <si>
    <t>- I added the study numbers
- I added the replication label
- I copied the effect description to the effect itself
- I added the page number of the original effect 
- The original study reported correlations between the Big Five and various dimensions of personality disorders. These more detailed correlations are also presented in the online supplement. However, the paper itself appears to report aggregated dimensions. These aggregated values are not reported in the paper. For this reason, the coders listed the values from the replication table. Accordingly, no claim is made. However, it remains unclear whether the values were statistically significant, so I set the p-values from the original study to NA.</t>
  </si>
  <si>
    <t>p. 15; Table 8.5</t>
  </si>
  <si>
    <t xml:space="preserve">The replication article reports effect size of 0.32 for the relation between gratitude and extraversion in the original research article. I was able to track these metrics in the original research article (Table 3 , p.9). I report accordingly. </t>
  </si>
  <si>
    <t xml:space="preserve">- I added the study numbers
- I added the replication label
- I changed the text claim to clarify which specific effect is meant 
 - Since the second effect sizes are the corrected ones, I chose those ones (replication)
- I changed the effect size type of the replication study 
-There is no reported p-value in the replication study, but in this case the reported effect sizes align with the ones of the online supplement. Therefore, I coded this p-value.      </t>
  </si>
  <si>
    <t>Correlation between gratitude and extraversion</t>
  </si>
  <si>
    <t xml:space="preserve">The replication article reports effect sizes of 0.41 for the relations between gratitude and agreeableness in the original research article. I was able to track these metrics in the original research article (Table 3 , p.9). I report accordingly. </t>
  </si>
  <si>
    <t>- I added the study numbers
- I added the replication label
- I changed the text claim to clarify which specific effect is meant 
 - Since the second effect sizes are the corrected ones, I chose those ones (replication)
- I changed the effect size type of the replication study        
- There is no reported p-value in the replication study, but in this case the reported effect sizes align with the ones of the online supplement. Therefore, I coded this p-value.</t>
  </si>
  <si>
    <t>Correlation between gratitude and agreeableness.</t>
  </si>
  <si>
    <t xml:space="preserve">The replication article reports an effect size of 0.58 for the relation between Forgiveness and Agreeableness in the original research article. I was able to track this result in table 2, column 4 (p. 935) of the original research article. I report accordingly. </t>
  </si>
  <si>
    <t xml:space="preserve">- I added the study numbers
- I added the replication label
- I changed the page numbers of the original study (not the üage numbers of the PDF were reported)
- Since the second effect sizes are the corrected ones, I chose those ones (replication)
- I changed the effect size type of the replication study 
- There is no reported p-value in the replication study, but in this case the reported effect sizes align with the ones of the online supplement. Therefore, I coded this p-value.       </t>
  </si>
  <si>
    <t>Correlation between forgiveness and agreeableness.</t>
  </si>
  <si>
    <t xml:space="preserve">The replication article reports an effect size for the original article of 0.18. I was not able to track this specific value in the original research article. However, table 6 (p. 13) reports a coefficient for the relation between SWB = subjective well-being and Extraversion as 0.17. I report this value given that I find reasonable this is the effect size the replication article tried to replicate.  </t>
  </si>
  <si>
    <t xml:space="preserve">- I added the study numbers
- I added the replication label
- I added the page number of the original effect
- I corrected the p-value of the original study
- Since the second effect sizes are the corrected ones, I chose those ones (replication)
- I changed the effect size type of the replication study
- I added the page number of the replication study </t>
  </si>
  <si>
    <t>Correlation between subjective well-being and extraversion.</t>
  </si>
  <si>
    <t xml:space="preserve">The replication article reports an effect size for the original article of 0.22. In the original article, this result is shown in table 6 (p. 13) as a negative coefficient (-0.22) for neuroticism (which seems to be the old labeling for negative emotionality). I report this value accordingly.  </t>
  </si>
  <si>
    <t xml:space="preserve">Correlation between subjective well-being and negative emotionality (neuroticism) </t>
  </si>
  <si>
    <t xml:space="preserve">The replication article refers to an original effect size of 0.15 for the relation between Heart disease and Agreeableness. However, I could not find any relation to Agreeableness in the original research article. Thus, I could not track the replication attempt. I refrain from reporting a result. </t>
  </si>
  <si>
    <t xml:space="preserve">The replication article refers to an original effect size of 0.19 for the relation between Resilience and Extraversion. However, I could not find references to resilience or extraversion as factors in the original research article. Thus, I could not track the replication attempt. I refrain from reporting a result.  </t>
  </si>
  <si>
    <t>- I added the study numbers
- I added the replication label
- I added the text claim
- I added the page number of the original effect
- I corrected the p-value of the original study
- Since the second effect sizes are the corrected ones, I chose those ones (replication)
- I changed the effect size type of the replication study
- I added the page number of the replication study 
- I added the p-value from the online supplement (replication)</t>
  </si>
  <si>
    <t>The replication article refers to original effect size of 0.25 for Substance abuse : Conscientiousness. However, I could not find these value in the original research article. On the contrary, the original research article stipulates (p.6): "any substance use disorder (B = -.22, p &lt; .001) were significantly related to conscientiousness". Therefore, I report this value.</t>
  </si>
  <si>
    <t>- I added the study numbers
- I added the replication label
- I added „p.“ To es_repr_o
- I changed the effect size type (since it is an correlation, I assume it is an r)
- I added the page number of the replication effect
- I added the p-value from the online supplement
- I changed the effect size type of the original study</t>
  </si>
  <si>
    <t>Correlation between Substance abuseand conscientiousness.</t>
  </si>
  <si>
    <t>The replication article refers to an original effect size of 0.18 for Substance abuse : Open-Mindedness. However, I could not find this value in the original research article. On the contrary, the original research article states:  "any substance use disorder (B = .15, p &lt; .01) was significantly related to openness". Therefore, I report this value.</t>
  </si>
  <si>
    <t>- I added the study numbers
- I added the replication label
- I added „p.“ To es_repr_o
- I changed the effect size type (since it is an correlation, I assume it is an r)
- I added the page number of the replication effect
- I added the p-value from the online supplement</t>
  </si>
  <si>
    <t>Correlation between Substance abuseand open-mindedness.</t>
  </si>
  <si>
    <t>The replication article refers to an original effect size of 0.34 for Anxiety : Negative Emotionality. However, I could not find that value in the original research article. On the contrary, the original research article states (p.6): "any substance use disorder (B = .13, p &lt; .01), and any anxiety disorder (B = . 17, p &lt; .001) were significantly related to neuroticism [Negative emotionality]". Therefore, I report this value.</t>
  </si>
  <si>
    <t>- I added the study numbers
- I added the replication label
- I added „p.“ To es_repr_o
- I changed the effect size type (since it is an correlation, I assume it is an r)
- I added the page number of the replication effect
- I added the p-value from the online supplement
- I changed the text claim since multiple effects were reported</t>
  </si>
  <si>
    <t>Correlation between Anxiety and negative emotionality.</t>
  </si>
  <si>
    <t xml:space="preserve">The replication article refers to an original effect size of .42 for the relation between depression and extraversion.  I could not find this value in the original research article. On the contrary, the original research article states (p.6): "Major depression (B = — .19, p &lt; .001) and any anxiety disorder (B = -.15, p &lt; .01) were significantly related to extraversion". Therefore, I report these values. </t>
  </si>
  <si>
    <t>- I changed the text claim since multiple effects were reported
- I added the study numbers
- I added the replication label
- I added „p.“ To es_repr_o
- I changed the effect size type (since it is an correlation, I assume it is an r)
- I added the page number of the replication effect
- I added the p-value from the online supplement</t>
  </si>
  <si>
    <t>Correlation between depression and extraversion</t>
  </si>
  <si>
    <t xml:space="preserve">The replication article refers to an original effect size of .46 for the relation between depression and negative emotionality (neuroticism). However, I did not found this value in the original research article. The original reserch article states (p.6): "Results from these analyses indicate that the diagnoses of major depression (B = .20, p &lt;.001), any substance use disorder (B = .13, p &lt; .01), and any anxiety disorder (0 = . 17, p &lt; .001) were significantly related to neuroticism". Therefore, I report the value for depression. </t>
  </si>
  <si>
    <t xml:space="preserve">Correlation between depression and negative emotionality (neuroticism) </t>
  </si>
  <si>
    <t xml:space="preserve">The replication article reports an original effect size of  0.30 for Identity achievement: Conscientiousness.  I was not able to track this value in the original research article. </t>
  </si>
  <si>
    <t>- I removed redundant paragraphs from the text claim and since multiple effects were reported in the text claim, I also removed the redundant ones to clarify the target effect
- I added the study numbers
- I added the replication label
- I added the effect
- I added „p.“ To es_repr_o
- I coded the corrected values of the replication study
- I added the effect size type (since it is an correlation, I assume it is an r)
- I added the page number of the replication effect</t>
  </si>
  <si>
    <t>Correlation between identity achievement and conscientiousness.</t>
  </si>
  <si>
    <t xml:space="preserve">The replication article reports an original effect size of  -0.50 for Identity foreclosure: Open-Mindedness. Nevertheless, I was  able to track this value in the original research article. </t>
  </si>
  <si>
    <t>- I removed redundant paragraphs from the text claim 
- I added the study numbers
- I added the replication label
- I added the effect
- I added „p.“ To es_repr_o
- I coded the corrected values of the replication study
- I added the effect size type (since it is an correlation, I assume it is an r)
- I added the page number of the replication effect</t>
  </si>
  <si>
    <t>Correlation between identity foreclosure and open-mindedness.</t>
  </si>
  <si>
    <t xml:space="preserve">The replication article refers to original coefficients for Identity Integration or Consolidation and Negative Emotionality and Open-Mindedness. However, my lack of understanding of this area limits my interpretation and ability to confirm the reported values. The reported effect sizes appear in Table 4 (p.9) columns 2 and 3, but in relation to two other concepts, Environmental Mastery and Personal Growth. In my understanding, these two concepts are not the same as Identity Integration or Consolidation, also referred to in the original research article. However I report them here with a note of caution. </t>
  </si>
  <si>
    <t>Note: The original effect differs from the replicated effect. It seems to be conceptually different and should be interpreted with great caution! 
- I added the study numbers
- I added the replication label
- I added the text claim and the relating page number
- I added „p.“ To es_repr_o
- I coded the corrected values of the replication study
- I added the page number of the replication effect</t>
  </si>
  <si>
    <t>Correlation between Identity integration or consolidation and negative emotionality.</t>
  </si>
  <si>
    <t>Correlation between Identity integration or consolidation and open-mindedness.</t>
  </si>
  <si>
    <t>The replication article refers to an original effect size of 0.20 for the relation between Ethnic-culture identification (for minorities) : Conscientiousness. I was able to match this replication attempt to table 1 (p.4) of the original research article for the column Heritage under the bidimensional model. I report this effect size accordingly.</t>
  </si>
  <si>
    <t>- I added the study numbers
- I added the replication label
- I changed the text claim - since multiple effects were reported, I removed the redundant ones to clarify the target effect
- I added „p.“ To es_repr_o
- I coded the corrected effect size of the replication study (in this case, it did not differ from the uncorrected one)
- Since the p-values of the online supplement aligned with the ones of the table, I added the p-values
- I added the page number of the replication effect</t>
  </si>
  <si>
    <t>Correlation between ethnic-culture identification (for minorities) and conscientiousness.</t>
  </si>
  <si>
    <t>The replication article refers to an original effect size of 0.35 for the relation between Majority-culture identification (for minorities) and Extraversion. I was able to match this replication attempt to table 1 (p.4) of the original research article for the column Mainstrem under the bidimensional model. I report this effect size accordingly.</t>
  </si>
  <si>
    <t>Correlation between majority-culture identification (for minorities) and extraversion.</t>
  </si>
  <si>
    <t>The replication article refers to an original effect size of 0.28 for the relation between Majority-culture identification (for minorities) and Openness. I was able to match this replication attempt to table 1 (p.4) of the original research article for the column Mainstrem under the bidimensional model. I report this effect size accordingly.</t>
  </si>
  <si>
    <t>Correlation between majority-culture identification (for minorities) and open-mindedness.</t>
  </si>
  <si>
    <t>The replication article refers to an original effect size of 0.11 for the relation between Family satisfaction and Conscientiousness. However, the concept of Conscientiousness is not treated in the original research article. I do not know which factor the replicators are referring to. therefore, I refrain from reporting this value.</t>
  </si>
  <si>
    <t>S</t>
  </si>
  <si>
    <t>It is completely unclear which Big Five correlate is being referred to here. The online supplement also states that the effect size for Conscientiousness was taken from the table (Table 1 on page 5). However, the only plausible effect sizes would be the correlations with 'History of mental health problems' or 'Married' with father–child affectional solidarity. I would recommend excluding this effect, as it cannot be clearly assigned. Please take another look at the study. Overall, it was more common in Soto’s work that the effects to be replicated were based on different constructs. However, in this case, there is no resemblance at all.</t>
  </si>
  <si>
    <t>−0.07/−0.08</t>
  </si>
  <si>
    <t>The replication article refers to an original effect size of 0.10 for family satisfaction and Negative Emotionality. In the original research article, this value is reported in Table 2, under the model 4 column (p. 7). However, I note that it remains obscure if this model refers to "family satisfaction," given that this concept is never mentioned in the original research article. I will report this value leaving this cautionary note.</t>
  </si>
  <si>
    <t>- I added the study numbers
- I added the replication label
- I corrected the page number for the text claim and the effect of the original study
- I coded the corrected effect size of the replication study
- I added the page number of the replication effect</t>
  </si>
  <si>
    <t>Correlation between family satisfaction and negative emotionality.</t>
  </si>
  <si>
    <t>Table 1, p. 5</t>
  </si>
  <si>
    <t>add_ai1_1</t>
  </si>
  <si>
    <t>add_ai1</t>
  </si>
  <si>
    <t>Nikita_O</t>
  </si>
  <si>
    <t>1. Also the effect can be "economic growth", since authors talk about how education increase the economic growth
2. Replication author emphasized that it was re-analysis rather than replication "I also thank Sascha Becker, Erik Hornung and Ludger Woessmann for making their  dataset available, at http://www.aeaweb.org/articles.php?doi=10.1257/mac.3.3.92, thereby enabling me to write this paper.</t>
  </si>
  <si>
    <t>This row has been discarded because it is a re-analysis of the data from the original study rather than a replication. No new data were added in the replication study; hence, it should be excluded</t>
  </si>
  <si>
    <t>Becker, S. O., Hornung, E., &amp; Woessmann, L. (2011). Education and catch-up in the industrial revolution. American Economic Journal: Macroeconomics, 3(3), 92-126.</t>
  </si>
  <si>
    <t>10.1257/mac.3.3.92</t>
  </si>
  <si>
    <t>10.1257--mac.3.3.92.pdf</t>
  </si>
  <si>
    <r>
      <rPr>
        <rFont val="Calibri"/>
        <sz val="11.0"/>
      </rPr>
      <t xml:space="preserve">Edwards, J. (2018). A replication of ‘Education and catch-up in the Industrial Revolution’ (American Economic Journal: Macroeconomics, 2011). Economics, 12(1). </t>
    </r>
    <r>
      <rPr>
        <rFont val="Calibri"/>
        <color rgb="FF1155CC"/>
        <sz val="11.0"/>
        <u/>
      </rPr>
      <t>https://doi.org/10.5018/economics-ejournal.ja.2018-3</t>
    </r>
  </si>
  <si>
    <t>10.5018/economics-ejournal.ja.2018-3</t>
  </si>
  <si>
    <t>10.5018--economics-ejournal.ja.2018-3.pdf</t>
  </si>
  <si>
    <t>The same data was re-analyzed (no additional data)</t>
  </si>
  <si>
    <t>Education, industrialisation, Prussia, regional effects, invalid instrument</t>
  </si>
  <si>
    <t>I am not sure if the effects I reported from the r_paper are replications because the authors mention reproducing the main effects of theo_study and not replicating ((("The BHW results for their preferred regression models of total industrialisation in both the first phase of Prussian industrialisation and the entire period until 1882 are shown in Table 1, together with the results I obtained by re-estimating their models. As Table 1 shows, I was able to reproduce the BHW results exactly." page 4))) also most other tables (e.g., table 6, table 7) seem to show effects from a new modified 'terminal' model but using the same data from the o_study; I reported the first effect shown in the table regarding the OLS estimate for Years of schooling 1849 on Share of all factory workers in total population 1849; for the effect sizes I assumed they were beta (std) because the authors use ordinary least squares (OLS) but I am not sure.</t>
  </si>
  <si>
    <t>Edwards, J. (2018). A replication of ‘Education and catch-up in the Industrial Revolution’ (American Economic Journal: Macroeconomics, 2011). Economics, 12(1). https://doi.org/10.5018/economics-ejournal.ja.2018-3</t>
  </si>
  <si>
    <t>industrialisation</t>
  </si>
  <si>
    <t>Education, Industrial Revolution, industrialisation</t>
  </si>
  <si>
    <t>Share of all factory workers 1849 in total population</t>
  </si>
  <si>
    <t>The firstpart of Table 1 reports OLS regressions across the 334 Prussian counties in 1849, toward the end of the firstphase of industrialization...Table 1- Education and Industrialization in the First Phase of the Industrial Revolution...OLS...Share of factory workers in total population 1849...All factories...Years of schooling 1849a</t>
  </si>
  <si>
    <t>add_ai1_b</t>
  </si>
  <si>
    <t>I reported the first effect shown in the table regarding the OLS estimate for Literacy rate 1871 on Share of all manufacturing workers in total population; for the effect sizes I assumed they were beta (std) because the authors use ordinary least squares (OLS) but I am not sure.</t>
  </si>
  <si>
    <t>Share of manufacturing workers in total population 1882</t>
  </si>
  <si>
    <t xml:space="preserve">Table 4 reports results of the model with pre-industrial development controls for the second phase of industrialization. Both OLS and IV estimates show a significant positive effect of literacy (measured in 1871) on total manufacturing employment in 1882...Table A- Education and Industrialization in the Second Phase of the Industrial Revolution...OLS...Share of manufacturing workers in total population 1882...All manufacturing...Literacy rate 1871. </t>
  </si>
  <si>
    <t>add_ai12_1</t>
  </si>
  <si>
    <t>add_ai12</t>
  </si>
  <si>
    <t>1. I see a lot of results in study 1 and 2 of original paper, but there are not matching results in study 2 of replication. In particular, there is data, from which we can talk about replication, but  the analysis is different without between group comparison or with covariates which were not present in the original study</t>
  </si>
  <si>
    <t>Forrest, L. N., Smith, A. R., White, R. D., &amp; Joiner, T. E. (2015). (Dis) connected: An examination of interoception in individuals with suicidality. Journal of abnormal psychology, 124(3), 754.</t>
  </si>
  <si>
    <t>10.1037/abn0000074</t>
  </si>
  <si>
    <t>10.1037--abn0000074.pdf</t>
  </si>
  <si>
    <t>Smith, A.R., Dodd, D.R., Ortiz, S., Forrest, L.N., &amp; Witte, T.K. (2019). Interoceptive deficits differentiate suicide groups and associate with self‐injurious thoughts and behaviors in a military sample. Suicide and Life-Threatening Behavior, 50(2), 472-489. https://doi.org/10.1111/sltb.12603</t>
  </si>
  <si>
    <t>10.1111/sltb.12603</t>
  </si>
  <si>
    <t>10.1111--sltb.12603.pdf</t>
  </si>
  <si>
    <t>No matching results</t>
  </si>
  <si>
    <t>Interoception</t>
  </si>
  <si>
    <t>Interoception, interoceptive deficits, suicidality, suicidal behavior</t>
  </si>
  <si>
    <t>add_ai13_1</t>
  </si>
  <si>
    <t>add_ai13</t>
  </si>
  <si>
    <t>1. Stimulus were different, original stimulus were not available. Moreover, replication author call his study "conceptual replication". 
2. There are at least 8 results in original study, and much more in the replication. However, replication study used additional variables in ANOVA (Sex Role Congruency) and studied the effect for each emotion separately (anger, fear), while in the original study authors used the variable emotions. 
Thus, since the second study is more narrow and uses modified variables, there are no matching results. 
For example: 
- original study: emotions -&gt; F(3, 2352) = 9.26 
- replication: F(2, 358) = 21.74 (anger), F(2, 358) = 9.66 (fear)</t>
  </si>
  <si>
    <t>Condry, J., &amp; Condry, S. (1976). Sex differences: A study of the eye of the beholder. Child development, 812-819.</t>
  </si>
  <si>
    <t>10.2307/1128199</t>
  </si>
  <si>
    <t>10.2307--1128199.pdf</t>
  </si>
  <si>
    <t>Miller, J.L. (2015). Sex Role Type as a Predictor of Gender Stereotype Use in the Evaluation of Others. JOURNAL MISSING. https://doi.org/10.31979/etd.eh36-m2wx</t>
  </si>
  <si>
    <t>10.31979/etd.eh36-m2wx</t>
  </si>
  <si>
    <t>10.31979--etd.eh36-m2wx.pdf</t>
  </si>
  <si>
    <t>Sex diffrences</t>
  </si>
  <si>
    <t>add_ai20_1</t>
  </si>
  <si>
    <t>add_ai20</t>
  </si>
  <si>
    <t>I think the  replication paper is not really a replication. I spent a lot of time trying to search for the replicated effects and I coudn't find something clear. The replication paper doesn't mention that it's goal is to replicate the effects of the original paper however some of the authors contributed to both papers and from what I understood the second paper is just a continuity of the first one. Also I noticed that the original paper uses 3 groups (10,40hz, sham) and collects data across 3 time points and the main dependent variables are alpha oscillation and MADRS. However the second paper uses two groups (verum, sham), collects data across two time points and the main dependent variables are left frontal alpha power. The effects explored in both studies are complementary but diffrent and the statistical tests and analysis used were also diffrent... I still reported one effect that I thought was the closest one to a replication but in the o_study they measure Baseline alpha power and in the r_study they measure specifically left frontal alpha power so I don't know it it will still be considered a replication in this case. Also the interaction is related to a mixed design so here I reported p as based on a test that accounts for dependence but I am not sure.</t>
  </si>
  <si>
    <t>Alexander, M. L., Alagapan, S., Lugo, C. E., Mellin, J. M., Lustenberger, C., Rubinow, D. R., &amp; Fröhlich, F. (2019). Double-blind, randomized pilot clinical trial targeting alpha oscillations with transcranial alternating current stimulation (tACS) for the treatment of major depressive disorder (MDD). Translational psychiatry, 9(1), 106.</t>
  </si>
  <si>
    <t>10.1038/s41398-019-0439-0</t>
  </si>
  <si>
    <t>10.1038--s41398-019-0439-0.pdf</t>
  </si>
  <si>
    <t>Riddle, J., Alexander, M.L., Schiller, C.E., Rubinow, D.R., &amp; Frohlich, F. (2021). Reduction in left frontal alpha oscillations by transcranial alternating current stimulation in major depressive disorder is context-dependent in a randomized-clinical trial. medRxiv (Cold Spring Harbor Laboratory). https://doi.org/10.1101/2021.06.17.21258764</t>
  </si>
  <si>
    <t>10.1101/2021.06.17.21258764</t>
  </si>
  <si>
    <t>10.1101--2021.06.17.21258764.pdf</t>
  </si>
  <si>
    <t>major depressive disorder (MDD)</t>
  </si>
  <si>
    <t>major depressive disorder (MDD)...alpha oscillations...transcranial alternating current stimulation
(tACS)</t>
  </si>
  <si>
    <t>To verify whether tACS was effective in engaging alpha oscillations, we assessed changes in resting-state alpha power at Day 5 (Fig. 2a) and the 4-week follow-up (Fig. 2b) in the PP sample.</t>
  </si>
  <si>
    <t>Baseline alpha power was not different between the three groups (...interaction F6,92 = 0.042, p = 0.99)</t>
  </si>
  <si>
    <t>F6,92 = 0.042</t>
  </si>
  <si>
    <t>https://clinicaltrials.gov/study/NCT02339285?term=NCT02339285&amp;rank=1</t>
  </si>
  <si>
    <t>F(1,39)=3.119</t>
  </si>
  <si>
    <t>https://clinicaltrials.gov/study/NCT03449979</t>
  </si>
  <si>
    <t>add_ai27_1</t>
  </si>
  <si>
    <t>add_ai27</t>
  </si>
  <si>
    <t>if the translation provided by chat gpt is correct what I understood from the o_paper is that the o_study uses a factorial survey to  to determine how the dimensions "smoking ban" and "number of people who smoke" influence the validity of a non-smoking norm. However the r_study tackles a diffrent topic regarding double standards in just earnings for males and females but uses a similar or modified factorial survey as the o_paper. In the r_paper two studies are presented so maybe study 2 is the replication of study 1 ? but not sure, the presentation doc don't give much details.</t>
  </si>
  <si>
    <t>Beck, M., &amp; Opp, K. D. (2001). Der faktorielle Survey und die Messung von Normen. KZfSS Kölner Zeitschrift für Soziologie und Sozialpsychologie, 53, 283-306.</t>
  </si>
  <si>
    <t>10.1007/s11577-001-0040-3</t>
  </si>
  <si>
    <t>10.1007--s11577-001-0040-3.pdf</t>
  </si>
  <si>
    <t>Jann, B. (2007). Double Standards in Just Earnings for Males and Females? A Replication Study on Earnings Judgments and Sex Discrimination. JOURNAL MISSING. https://doi.org/10.7892/boris.69488</t>
  </si>
  <si>
    <t>10.7892/boris.69488</t>
  </si>
  <si>
    <t>10.7892--boris.69488.pdf</t>
  </si>
  <si>
    <t>R is not a replication</t>
  </si>
  <si>
    <t>Baha</t>
  </si>
  <si>
    <t>add_ai3_1</t>
  </si>
  <si>
    <t>add_ai3</t>
  </si>
  <si>
    <t>Baha Eddine Mahfoudh</t>
  </si>
  <si>
    <t>Edwards, S., &amp; Tucker, K. (2006). Verb retrieval in fluent aphasia: A clinical study . Aphasiology, 20(7), 644–675.</t>
  </si>
  <si>
    <t>10.1080/02687030600631827</t>
  </si>
  <si>
    <t>10.1080--02687030600631827.pdf</t>
  </si>
  <si>
    <r>
      <rPr>
        <rFont val="Calibri"/>
        <sz val="11.0"/>
      </rPr>
      <t xml:space="preserve">McCann, C., &amp; Doleman, J. (2010). Verb retrieval in nonfluent aphasia: A replication of Edwards &amp; Tucker, 2006. Journal of Neurolinguistics, 24(2), 237-248. </t>
    </r>
    <r>
      <rPr>
        <rFont val="Calibri"/>
        <color rgb="FF1155CC"/>
        <sz val="11.0"/>
        <u/>
      </rPr>
      <t>https://doi.org/10.1016/j.jneuroling.2010.05.001</t>
    </r>
  </si>
  <si>
    <t>10.1016/j.jneuroling.2010.05.001</t>
  </si>
  <si>
    <t>10.1016--j.jneuroling.2010.05.001.pdf</t>
  </si>
  <si>
    <t>Verb retrieval</t>
  </si>
  <si>
    <t>Nonfluent aphasia; Verb and sentence therapy</t>
  </si>
  <si>
    <t>"the effect of improving verb retrieval on the verb production for people with aphasia"</t>
  </si>
  <si>
    <t>"Verb accessing. Two of the participants, JD and CB, improved in their ability to name the trained verbs (list A) both in terms of accuracy and speed of response. JR did not improve significantly in terms of accuracy but he was almost at ceiling at the time of the study and so a significant improvement was not possible. However, he became significantly faster at retrieving the treated verbs, felt that he was achieving, and thus was more confident in his ability to communicate in everyday situations. All participants were pleased with their progress. Improved verb naming generalised to the untreated verbs for CB and to the VAST verbs for JD and CB. JR’s score on verb naming in the VAST list increased to be within the controls’ scores."</t>
  </si>
  <si>
    <t>p.24</t>
  </si>
  <si>
    <t>=(0.86/(1-0.86))/(0.98/(1-0.98))</t>
  </si>
  <si>
    <t>=(0.57/(1-0.57))/(0.785/(1-0.785)),p.7</t>
  </si>
  <si>
    <t>add_ai3_a</t>
  </si>
  <si>
    <t>1. The same file is provided in links
2. Effect can be also called "Repetitive “drilling” treatments" as it is written in the replication
3. Both papers contain a lot of individual results. Should I code it? 
If yes, the data in tables for P1, P2 and P3 is appropriate for the OR recalculation. 
4. No statistical inferences for original study due to a small sample size
* 5. Lukas said that it is better to exclude this study</t>
  </si>
  <si>
    <t>McCann, C., &amp; Doleman, J. (2010). Verb retrieval in nonfluent aphasia: A replication of Edwards &amp; Tucker, 2006. Journal of Neurolinguistics, 24(2), 237-248. https://doi.org/10.1016/j.jneuroling.2010.05.001</t>
  </si>
  <si>
    <t>Case study (too few participants)</t>
  </si>
  <si>
    <t>Nonfluent aphasia, verb and sentence therapy</t>
  </si>
  <si>
    <t>There was improvement in verb production between pre-therapy and immediate post-therapy</t>
  </si>
  <si>
    <t>"Two of the participants, JD and CB, improved in their ability to name the trained verbs (list A) both in terms of accuracy and speed of response"</t>
  </si>
  <si>
    <t>add_ai3_b</t>
  </si>
  <si>
    <t>There was improvement in verb production between pre-therapy and post-therapy (T4)</t>
  </si>
  <si>
    <r>
      <rPr>
        <rFont val="Calibri"/>
        <sz val="11.0"/>
      </rPr>
      <t xml:space="preserve">McCann, C., &amp; Doleman, J. (2010). Verb retrieval in nonfluent aphasia: A replication of Edwards &amp; Tucker, 2006. Journal of Neurolinguistics, 24(2), 237-248. </t>
    </r>
    <r>
      <rPr>
        <rFont val="Calibri"/>
        <color rgb="FF1155CC"/>
        <sz val="11.0"/>
        <u/>
      </rPr>
      <t>https://doi.org/10.1016/j.jneuroling.2010.05.001</t>
    </r>
  </si>
  <si>
    <t>"the effect of improving verb retrieval on sentence construction for people with aphasia"</t>
  </si>
  <si>
    <t>=(0.75/(1-0.75))/(0.95/(1-0.95))</t>
  </si>
  <si>
    <t>=(0.43/(1-0.43))/(0.6/(1-0.6)),p.7</t>
  </si>
  <si>
    <t>Maureen (to do)</t>
  </si>
  <si>
    <t>add_ai3_c</t>
  </si>
  <si>
    <t>There was improvement in verb production between post-therapy (T3) and post-therapy (T4)</t>
  </si>
  <si>
    <t>add_ai3_d</t>
  </si>
  <si>
    <t>There was improvement in sentence construction between pre-therapy and immediate post-therapy</t>
  </si>
  <si>
    <t>"There was a significant improvement on the sentence production task for one participant JD, and a non-significant increase in scores for the other two"</t>
  </si>
  <si>
    <t>add_ai3_e</t>
  </si>
  <si>
    <t>There was improvement in sentence construction between pre-therapy and post-therapy (T4)</t>
  </si>
  <si>
    <t>add_ai3_f</t>
  </si>
  <si>
    <t>There was improvement in sentence construction between post-therapy (T3) and post-therapy (T4)</t>
  </si>
  <si>
    <t>add_ai30_1</t>
  </si>
  <si>
    <t>add_ai30</t>
  </si>
  <si>
    <t>Genschow, O., Reutner, L., &amp; Wänke, M. (2012). The color red reduces snack food and soft drink intake. Appetite, 58(2), 699-702.</t>
  </si>
  <si>
    <t>10.1016/j.appet.2011.12.023</t>
  </si>
  <si>
    <t>10.1016--j.appet.2011.12.023.pdf</t>
  </si>
  <si>
    <t>Dolezalova, B., Hubackova, N., Latalova, K., Vyborova, E., Zakova, M., Vaculik, M., &amp; Prochazka, J. (2021). Can the color red trick you into drinking less? A replication study. Appetite, 167, 105619-105619. https://doi.org/10.1016/j.appet.2021.105619</t>
  </si>
  <si>
    <t>10.1016/j.appet.2021.105619</t>
  </si>
  <si>
    <t>10.1016--j.appet.2021.105619.pdf</t>
  </si>
  <si>
    <t>the effect of the color red</t>
  </si>
  <si>
    <t>Red; Stop cue; Food intake; Drink intake; Snacking; Incidental eating</t>
  </si>
  <si>
    <t>"testing whether people drink less from the red-labeled cups than from blue-labeled ones"</t>
  </si>
  <si>
    <t>"The analysis revealed a significant effect of color condition on food intake F (2, 104) = 3.00, p = 0.05. Consistent with the predictions, planned comparisons revealed that participants in the red condition (M = 1.57, SD = 2.29) ate significantly fewer pretzels than participants in the blue condition (M = 3.00, SD = 3.08), t(104) = 2.17, p = 0.03, d= 0.52 "</t>
  </si>
  <si>
    <t>=(57.24-33.59)/SQRT((41.74^2+22.21^2)/2)</t>
  </si>
  <si>
    <t>=(138.95-138.78)/SQRT((79.7^2+98.61^2)/2)</t>
  </si>
  <si>
    <t>https://aspredicted.org/bg2fh.pdf</t>
  </si>
  <si>
    <t>add_ai30_a</t>
  </si>
  <si>
    <t>Consumption-stopping cue</t>
  </si>
  <si>
    <t>Color, red, stop cue, food intake, drink intake, snacking, incidental eating</t>
  </si>
  <si>
    <t xml:space="preserve">Red labels make participants drink significantly less from the cups </t>
  </si>
  <si>
    <t>"A one-way ANOVA with condition (red labeled vs. blue la beled drinks) as a factor revealed that overall participants drank significantly less when the cups had red labels compared to blue labels, F (1,39) = 4.52, p = 0.04, eta-square = 0.10"</t>
  </si>
  <si>
    <t>add_ai30_b</t>
  </si>
  <si>
    <t>Drink intake was higher for blue cups with bevarage A</t>
  </si>
  <si>
    <t>"[...] a significant difference between conditions for beverage A (Mred = 39.76, SD = 22.02; Mblue = 72.50, SD = 62.99), F (1,39) = 4.20, p = 0.05, eta-square = 0.10 [...]"</t>
  </si>
  <si>
    <t>add_ai30_c</t>
  </si>
  <si>
    <t>Drink intake was higher for blue cups with bevarage B</t>
  </si>
  <si>
    <t>"[...] a significant difference between conditions for [...] beverage B (Mred=24.47, SD=17.53; Mblue = 39.67, SD = 27.21), F (1,39)= 4.08, p=0.05, eta-square = 0.10 [...]"</t>
  </si>
  <si>
    <t>add_ai30_d</t>
  </si>
  <si>
    <t>Drink intake was higher for blue cups with bevarage C</t>
  </si>
  <si>
    <t>" [...] whereas the difference for beverage C did not reach conventional levels of significance (Mred = 36.53, SD = 32.09; Mblue = 59.54, SD =52.47), F (1, 39) = 2.57, p = 0.12, eta-square = 0.06"</t>
  </si>
  <si>
    <t>add_ai30_e</t>
  </si>
  <si>
    <t xml:space="preserve">Red labels make participants drink significantly less from the cups (multilevel analysis in the replication) </t>
  </si>
  <si>
    <t>t(148) = 0.17</t>
  </si>
  <si>
    <t>add_ai33_1</t>
  </si>
  <si>
    <t>add_ai33</t>
  </si>
  <si>
    <t>Canter, D., &amp; Fritzon, K. (1998). Differentiating arsonists: A model of firesetting actions and characteristics. Legal and Criminological Psychology, 3(1), 73-96.</t>
  </si>
  <si>
    <t>10.1111/j.2044-8333.1998.tb00352.x</t>
  </si>
  <si>
    <t>10.1111--j.2044-8333.1998.tb00352.x.pdf</t>
  </si>
  <si>
    <t>Almond, L., Duggan, L., Shine, J., &amp; Canter, D. (2004). Test of the arson action system model in an incarcerated population. Psychology Crime and Law, 11(1), 1-15. https://doi.org/10.1080/1068316031009634287</t>
  </si>
  <si>
    <t>10.1080/1068316031009634287</t>
  </si>
  <si>
    <t>10.1080--1068316031009634287.pdf</t>
  </si>
  <si>
    <t>social Psychology</t>
  </si>
  <si>
    <t>Arson actions system model</t>
  </si>
  <si>
    <t>Arson; Action System Model; Prisoners; Smallest Space Analysis</t>
  </si>
  <si>
    <t>"testing the arson actions model by testing th reliability of its variables and the different scales of action" (expressive object)"</t>
  </si>
  <si>
    <t>"The instrumental person mode has the highest Cronbach’s a, possibly because this revenge-like arson is the most clearly represented in the present sample. Curiously, the two themes in which objects are the target have lower scale values, reflecting the smaller number of actions that were recorded here, presumably because there is less information of pyschological relevance available when there is no obvious victim."</t>
  </si>
  <si>
    <t>add_ai33_b</t>
  </si>
  <si>
    <t>"testing the arson actions model by testing th reliability of its variables and the different scales of action" (expressive person)"</t>
  </si>
  <si>
    <t>add_ai33_c</t>
  </si>
  <si>
    <t>"testing the arson actions model by testing th reliability of its variables and the different scales of action" (instrumental object)"</t>
  </si>
  <si>
    <t>add_ai33_d</t>
  </si>
  <si>
    <t>"testing the arson actions model by testing th reliability of its variables and the different scales of action" (instrumental person)"</t>
  </si>
  <si>
    <t>add_ai33_eo</t>
  </si>
  <si>
    <t>1. Original authors was also a replication author -&gt; internal replication
2. The study uses a very unfamiliar for me type of the analysis - SSA (smallest space analysis). They do not have clear metrics, which can be compared like ES. Therefore, I choose alpha, which in this context is more or less adequate match. Because we assess how the scales are comprised from the behavioral factors after content analysis. Another opportunity is to assess visually whether particular variables are in the same group in original and replication, however, this is visual assessment without particular metric (it was done by replication authors) 
3. I am not sure whether the Discipline is Social psychology, but it is the nearest
* 4. Lukas wrote that it is better to exclude this study since it uses non-numeric way of assessment (no direct estimation of the effect size)</t>
  </si>
  <si>
    <t>No direct estimation of the effect size</t>
  </si>
  <si>
    <t>Action system model</t>
  </si>
  <si>
    <t>Arson, action system model, prisoners, smallest space analysis</t>
  </si>
  <si>
    <t>The expressive objects are the target have lower scale values, reflecting the smaller number of actions that were recorded here, presumably because there is less information of pyschological relevance available when there is no obvious victim</t>
  </si>
  <si>
    <t>"The four modes of arson were proposed to reflect discernible themes to any given arson. This implies that the sets of actions identified as representing each of those themes should form a scale in the sense that their combined existence is a reasonable indication of some underlying dimension. One direct way of testing this is to calculate Cronbach’s cz for each of the sets of actions that define a region. The actions used and the a value for each theme are given in Table 1"</t>
  </si>
  <si>
    <t>alpha</t>
  </si>
  <si>
    <t>add_ai33_ep</t>
  </si>
  <si>
    <t>The expressive person mode has the acceptable Cronbach’s a higher than object oriented actions</t>
  </si>
  <si>
    <t>add_ai33_io</t>
  </si>
  <si>
    <t>The instrumental objects are the target have lower scale values, reflecting the smaller number of actions that were recorded here, presumably because there is less information of pyschological relevance available when there is no obvious victim</t>
  </si>
  <si>
    <t>add_ai33_ip</t>
  </si>
  <si>
    <t>The instrumental person mode has the highest Cronbach’s a, possibly because this revenge-like arson is the most clearly represented in the present sample</t>
  </si>
  <si>
    <t>add_ai36_1</t>
  </si>
  <si>
    <t>add_ai36</t>
  </si>
  <si>
    <t>Eysenck, S. B., &amp; Eysenck, H. J. (1963). The validity of questionnaire and rating assessments of extraversion and neuroticism, and their factorial stability. British Journal of Psychology, 54(1), 51-62.</t>
  </si>
  <si>
    <t>10.1111/j.2044-8295.1963.tb00861.x</t>
  </si>
  <si>
    <t>10.1111--j.2044-8295.1963.tb00861.x.pdf</t>
  </si>
  <si>
    <t>Vingoe, F.J. (1968). Validity of the Eysenck Extraversion Scale: Replication and Extension. Psychological Reports, 22(3), 706-708. https://doi.org/10.2466/pr0.1968.22.3.706</t>
  </si>
  <si>
    <t>10.2466/pr0.1968.22.3.706</t>
  </si>
  <si>
    <t>10.2466--pr0.1968.22.3.706.pdf</t>
  </si>
  <si>
    <t>Eysenck's Excraversion scale</t>
  </si>
  <si>
    <t>"the accuracy of the scale in the assessment of excraversion"</t>
  </si>
  <si>
    <t>"both cases the predicted positive relation between DE and E loading, and DN and N loading, is indeed observed, assuming a very high value in the former case; in addition, however, there is also a less welcome correlation of considerable magnitude between DN and the E loading (and to a much lesser extent between DE and the N loading.) These require some detailed discussion."</t>
  </si>
  <si>
    <t>=(13.71-4.24)/SQRT(((66-1)*4.42^2+(66-1)*1.63^2)/(66+66-2))),p.2</t>
  </si>
  <si>
    <t>add_ai36_a</t>
  </si>
  <si>
    <t>1. I am very much not sure about this study. I would propose a double check. Also I don't understand why Introversion is the same as Neuroticism (p. 9) (I = N)</t>
  </si>
  <si>
    <t>Extraversion / introversion</t>
  </si>
  <si>
    <t>Eysenck personality inventory (EPI), extraversion-neuroticism scales, validity study, self-rating, peer rating, factor analysis</t>
  </si>
  <si>
    <t>There was a high correlation between DE scores (difference in item endorsements) and E factor loadings</t>
  </si>
  <si>
    <t>"De correlates 0.883 with the E loadings, and -0.270 with the N loadings"</t>
  </si>
  <si>
    <t>add_ai36_b</t>
  </si>
  <si>
    <t>add_ai37_1</t>
  </si>
  <si>
    <t>add_ai37</t>
  </si>
  <si>
    <t>Note from the r_paper authors (Note that the mirror mark paradigm used in this study is a simplified, nonlinguistic version compared to the original, in which the child is specifically asked who is in the mirror (Amsterdam, 1972).)... Also only percentages were reported in both papers so I coudn't report any statistical tests. Note that for this effect the p value related to the r_study indicates the opposit effect of the original study (freezing behavior instead of self recognition), this is what the authors reported for more clarity (Of the 82 children tested, only two demonstrated any of the defined self-oriented behaviors when facing their “marked” image in the mirror (one-tailed binomial test, p &lt; .001, with a .60 probability threshold). ); the first exp is a replication with a sample from Kenya;............................. I thought this might be intresting to ((((The aim of the research was to document evidence of early MSR across cultures, using a shorter and simplified version of the mark test. We found significant cultural variations across the seven cultures. The first experiment shows that only 2 out of 82 18- to 72-month-old Kenyan children manifested self-oriented behaviors toward the mark, most of them freezing while staring at their specular image. This result is in sharp contrast with the multiple studies reporting that by 20 months of age, 60% to 85% of Western middle-class children pass the mark test (Amsterdam, 1972; Bertenthal &amp; Fisher, 1978; Lewis &amp; Brooks-Gunn, 1979). The question is how to explain this Kenyan “paradox” in the context of our task.)))))</t>
  </si>
  <si>
    <t>Amsterdam, B. (1972). Mirror self‐image reactions before age two. Developmental Psychobiology: The journal of the international society for developmental psychobiology, 5(4), 297-305.</t>
  </si>
  <si>
    <t>10.1002/dev.420050403</t>
  </si>
  <si>
    <t>10.1002--dev.420050403.pdf</t>
  </si>
  <si>
    <t>Broesch, T., Callaghan, T., Henrich, J., Murphy, C., &amp; Rochat, P. (2010). Cultural Variations in Children’s Mirror Self-Recognition. Journal of Cross-Cultural Psychology, 42(6), 1018-1029. https://doi.org/10.1177/0022022110381114</t>
  </si>
  <si>
    <t>10.1177/0022022110381114</t>
  </si>
  <si>
    <t>10.1177--0022022110381114.pdf</t>
  </si>
  <si>
    <t>Mirror Self-Image Reactions</t>
  </si>
  <si>
    <t>children...Mirror Behavior Checklist...mirror image...recognition</t>
  </si>
  <si>
    <t xml:space="preserve"> subjects demonstrated recognition of their mirror images</t>
  </si>
  <si>
    <t>During the last part of the second year of life, from 20 to 24 months of age, 65% of the subjects demonstrated recognition of their mirror images...Finally, between 20 and 24 months of age 65% of the subjects showed recognition of their images.</t>
  </si>
  <si>
    <t>1 and 6</t>
  </si>
  <si>
    <t>add_ai37_b</t>
  </si>
  <si>
    <t>only percentages were reported in both papers so I coudn't report any statistical tests. Note that for this effect the p value related to the r_study indicates the same effect of the original study ( self recognition), this is what the authors reported for more clarity (Of the children (N = 133) participating in this experiment, 80 (60%) demonstrated self-orienting behaviors (p = .5469, with a .60 probability threshold). ); the second exp is a replication with a sample from six diffrent cultures; ............................. I thought this might be intresting to ((((The aim of the research was to document evidence of early MSR across cultures, using a shorter and simplified version of the mark test. We found significant cultural variations across the seven cultures. The first experiment shows that only 2 out of 82 18- to 72-month-old Kenyan children manifested self-oriented behaviors toward the mark, most of them freezing while staring at their specular image. This result is in sharp contrast with the multiple studies reporting that by 20 months of age, 60% to 85% of Western middle-class children pass the mark test (Amsterdam, 1972; Bertenthal &amp; Fisher, 1978; Lewis &amp; Brooks-Gunn, 1979). The question is how to explain this Kenyan “paradox” in the context of our task.)))))</t>
  </si>
  <si>
    <t>add_ai36_2</t>
  </si>
  <si>
    <t>Vingoe, F.J. (1968). Validity of the Eysenck Extraversion Scale: Replication and Extension. Psychological Reports, 22(3), 706-708. https://doi.org/10.2466/pr0.1968.22.3.707</t>
  </si>
  <si>
    <t>10.2466/pr0.1968.22.3.707</t>
  </si>
  <si>
    <t>"the accuracy of the scale in the assessment of neurocism"</t>
  </si>
  <si>
    <t>=(10.56-10.9)/SQRT(((66-1)*4.68^2+(66-1)*4.7^2)/(66+66-2))),p.2</t>
  </si>
  <si>
    <t>add_ai4_1</t>
  </si>
  <si>
    <t>add_ai4</t>
  </si>
  <si>
    <t>there are several effects tested and replicated here. the papers main analysis is a latent change models. from what I understood the main hypothesis/effects/goals are to study the effect of unemployment  and reeemployment on personality change (Conscientiousness Agreeableness Neuroticism Openness Extraversion) and compare it between genders. All effects are reported in tables. Here I decided to report the relation between unemployed T1(o_paper)/T2(r_paper) and openness (men) (slope). for the r_paper the effect size beta std is Buadj = Parameter for unbalanced data.</t>
  </si>
  <si>
    <t>Boyce, C. J., Wood, A. M., Daly, M., &amp; Sedikides, C. (2015). Personality change following unemployment. Journal of Applied Psychology, 100(4), 991.</t>
  </si>
  <si>
    <t>10.1037/a0038647</t>
  </si>
  <si>
    <t>10.1037--a0038647.pdf</t>
  </si>
  <si>
    <t>Gnambs, T., &amp; Stiglbauer, B. (2019). No personality change following unemployment: A registered replication of Boyce, Wood, Daly, and Sedikides (2015). JOURNAL MISSING. https://doi.org/10.31234/osf.io/3bhja</t>
  </si>
  <si>
    <t>10.31234/osf.io/3bhja</t>
  </si>
  <si>
    <t>10.31234--osf.io--3bhja.pdf</t>
  </si>
  <si>
    <t>well-being</t>
  </si>
  <si>
    <t>unemployment, personality, personality change, well-being, five-factor model</t>
  </si>
  <si>
    <t>Unemployment’s influence on FFM personality traits.</t>
  </si>
  <si>
    <t>Table 5 Effects of Consecutive Years of Unemployment on the Level (Intercept) and Change (Slope) in Personality From 2005 (T0) to 2009 (T1) Using Latent Change Models and Controlling...Importantly, however, we observed significant slope effects that are large in magnitude for the unemployed variables across...openness (Model 5), suggesting that unemployment precipitated a substan-tial amount of additional mean-level personality change relative to the group of participants who remained employed.</t>
  </si>
  <si>
    <t>p.44</t>
  </si>
  <si>
    <t>https://osf.io/m4cyz</t>
  </si>
  <si>
    <t>add_ai4_b</t>
  </si>
  <si>
    <t>there are several effects tested and replicated here. the papers main analysis is a latent change models. from what I understood the main hypothesis/effects/goals are to study the effect of unemployment  and reeemployment on personality change (Conscientiousness Agreeableness Neuroticism Openness Extraversion) and compare it between genders. All effects are reported in tables. Here I decided to report the relation between reemployed T1(o_paper)/T2(r_paper) and agreeableness (men) (slope). for the r_paper the effect size beta sqr is Buadj = Parameter for unbalanced data.</t>
  </si>
  <si>
    <t>Reemployment’s influence on FFM traits.</t>
  </si>
  <si>
    <t>An analysis of slope values on this variable suggest no evidence that reemployed individuals experi-enced mean-level personality change relative to the employed group. Although unemployment is likely to have precipitated per-sonality change, the results suggest that personality rebounds upon reemployment... Table 5 Effects of Consecutive Years of Unemployment on the Level (Intercept) and Change (Slope) in Personality From 2005 (T0) to 2009 (T1) Using Latent Change Models and Controlling</t>
  </si>
  <si>
    <t>12,13,14</t>
  </si>
  <si>
    <t>add_ai41_1</t>
  </si>
  <si>
    <t>add_ai41</t>
  </si>
  <si>
    <r>
      <rPr>
        <rFont val="Calibri"/>
        <sz val="11.0"/>
      </rPr>
      <t xml:space="preserve">the r_study is replicating Black and Barnes (2015a) not Black and Barnes (2015b), the link you provide is for the 2015b paper here is the one I used :  </t>
    </r>
    <r>
      <rPr>
        <rFont val="Calibri"/>
        <color rgb="FF1155CC"/>
        <sz val="11.0"/>
        <u/>
      </rPr>
      <t>https://drive.google.com/drive/folders/1ivB0CEmA0lPZW9FgIfklih849Awe0AHn?fbclid=IwAR1-au-XQdaRXsJBnw-w6esGES_qKYWeKBV0SnS-r6XGLb52A6RG0duPjXg</t>
    </r>
    <r>
      <rPr>
        <rFont val="Calibri"/>
        <sz val="11.0"/>
      </rPr>
      <t xml:space="preserve"> ; the effect reported in the o_study is the diffrence between reading fiction and non fiction on RME scores using a t test however in the r_study  the effect reported is a diffrence between easy fiction and non fiction on narrative transformation using a Bonferroni post hoc test so not exactly the same variables or tests and p value in the r_study means the opposit effect than in the o_study. but this remains the closest "replicated" effect I could find. the r_study wanted to focus on and show that its findings suggest that narrative transportation may not be dependent on story genre, but rather on a given text’s difficulty level; here I reported the r_sample size for the easy fiction and non fiction group but if you include the third group than sample size = 894</t>
    </r>
  </si>
  <si>
    <t>Black, J., &amp; Barnes, J. L. (2015). Fiction and social cognition: The effect of viewing award-winning television dramas on theory of mind. Psychology of Aesthetics, Creativity, and the Arts, 9(4), 423.</t>
  </si>
  <si>
    <t>10.1037/aca0000031</t>
  </si>
  <si>
    <t>10.1037--aca0000031.pdf</t>
  </si>
  <si>
    <t>Isakoglou, F., Multhaup, K.S., Munger, M.P., &amp; Eiler, B.A. (2021). The Effects of Genre and Reading Difficulty on Narrative Transportation: The Mediating Role of Affect. Psi Chi Journal of Psychological Research, 26(4), 422-429. https://doi.org/10.24839/2325-7342.jn26.4.422</t>
  </si>
  <si>
    <t>10.24839/2325-7342.jn26.4.422</t>
  </si>
  <si>
    <t>10.24839--2325-7342.jn26.4.422.pdf</t>
  </si>
  <si>
    <t>theory of mind</t>
  </si>
  <si>
    <t xml:space="preserve">Fiction , Cognitive ability , Theory of mind
</t>
  </si>
  <si>
    <t xml:space="preserve">The effects of reading material on social and non-social cognition
</t>
  </si>
  <si>
    <t xml:space="preserve">We began with a simple model, with order, reading material (fiction vs. non-fiction), and their interaction predicting scores on the RME, using an unstructured covariance matrix and testing the effect of reading material given order. Once order had been taken into account, reading fiction was associated with higher scores on the RME than reading nonfiction (mean difference = 0.935, t(58) = 1.71, pone-tailed = .046, d = 0.16; </t>
  </si>
  <si>
    <t>p.5,p.6</t>
  </si>
  <si>
    <t>add_ai46_1</t>
  </si>
  <si>
    <t>add_ai46</t>
  </si>
  <si>
    <t xml:space="preserve">1. I put "Social psychology" as studies are about naming which is a part of communication
2. Table II (replication) and Table I (original) correspond to each other. But how to code it? 
3. Table III uses the same data as in original study! </t>
  </si>
  <si>
    <t>Feitelson, D. G., Mizrahi, A., Noy, N., Shabat, A. B., Eliyahu, O., &amp; Sheffer, R. (2020). How developers choose names. IEEE Transactions on Software Engineering, 48(1), 37-52.</t>
  </si>
  <si>
    <t>10.1109/TSE.2020.2976920</t>
  </si>
  <si>
    <t>10.1109--tse.2020.2976920.pdf</t>
  </si>
  <si>
    <t>Omer, R., Michael, S., &amp; G., F.D. (2021). Using Non-Verbal Expressions as a Tool in Naming Research. arXiv (Cornell University). https://doi.org/10.48550/arxiv.2103.08701</t>
  </si>
  <si>
    <t>10.48550/arxiv.2103.08701</t>
  </si>
  <si>
    <t>10.48550--arxiv.2103.08701.pdf</t>
  </si>
  <si>
    <t>Naming</t>
  </si>
  <si>
    <t>Variable and function naming, experimental methodology, accessibility bias, variable naming, code comprehension</t>
  </si>
  <si>
    <t>not applicable due to the vast number of variables studied</t>
  </si>
  <si>
    <t>add_ai47_1</t>
  </si>
  <si>
    <t>add_ai47</t>
  </si>
  <si>
    <t>1. Very specific paper on Linguistics. In order to find matching results I considered Eng "-ED" as Spanish imperfect verb and Eng "-ING" as Spanish preterit verb</t>
  </si>
  <si>
    <t>Gries, S. T., &amp; Wulff, S. (2009). Psycholinguistic and corpus-linguistic evidence for L2 constructions. Annual Review of Cognitive Linguistics, 7(1), 163-186.</t>
  </si>
  <si>
    <t>10.1075/arcl.7.07gri</t>
  </si>
  <si>
    <t>10.1075--arcl.7.07gri.pdf</t>
  </si>
  <si>
    <t>Minnillo, S., Sánchez-Gutiérrez, C., Carando, A., Davidson, S., Mira, P.F., &amp; Sagae, K. (2022). Preterit-imperfect acquisition in L2 Spanish writing: Moving beyond lexical aspect. Research in Corpus Linguistics, 10(1), 156-184. https://doi.org/10.32714/ricl.10.01.08</t>
  </si>
  <si>
    <t>10.32714/ricl.10.01.08</t>
  </si>
  <si>
    <t>10.32714--ricl.10.01.08.pdf</t>
  </si>
  <si>
    <t>Tense-aspect acquisition, spanish as a second language, preterit and imperfect, learner corpus research, complementation, to, V-ing, constructions, patterns, second/foreign language learning, corpora, collostructions, experiments, priming, acceptability judgments</t>
  </si>
  <si>
    <t>When the verb in the target is distinctive for the to-construction as opposed to the ing-construction, this hugely increases the odds of another to-construction by a factor (preterit verb in Spanish replication)</t>
  </si>
  <si>
    <t>"To see where the explanatory accuracy and predictive power come from, consider the parameters represented in Table 2, where the odds ratios provided reflect the change in odds to get a sentence completion with to"</t>
  </si>
  <si>
    <r>
      <rPr>
        <rFont val="Calibri"/>
        <sz val="11.0"/>
      </rPr>
      <t xml:space="preserve">Minnillo, S., Sánchez-Gutiérrez, C., Carando, A., Davidson, S., Mira, P.F., &amp; Sagae, K. (2022). Preterit-imperfect acquisition in L2 Spanish writing: Moving beyond lexical aspect. Research in Corpus Linguistics, 10(1), 156-184. </t>
    </r>
    <r>
      <rPr>
        <rFont val="Calibri"/>
        <color rgb="FF1155CC"/>
        <sz val="11.0"/>
        <u/>
      </rPr>
      <t>https://doi.org/10.32714/ricl.10.01.08</t>
    </r>
  </si>
  <si>
    <t>The effect of L1 production</t>
  </si>
  <si>
    <t>complementation, to, V-ing, constructions, patterns, second/foreign language learning, corpora, collostructions, experiments, priming, acceptability judgments</t>
  </si>
  <si>
    <t>"L1 frequency is associated with high L2 production in preterit"</t>
  </si>
  <si>
    <t>"when the prime was an ing-construction and the verb in that prime was a verb which the DCA characterized as distinctive for the ing-construction, then the ratings were much higher than when either the prime was a to-construction or the verb was distinctive for a to-construction; the same is true of the to-construction."</t>
  </si>
  <si>
    <t>=(0.46/0.54)/(0.64/0.36)</t>
  </si>
  <si>
    <t>add_ai47_b</t>
  </si>
  <si>
    <t>When the verb in the target is distinctive for the to-construction as opposed to the ing-construction, this hugely increases the odds of another to-construction by a factor (imperfect verb in Spanish replication)</t>
  </si>
  <si>
    <r>
      <rPr>
        <rFont val="Calibri"/>
        <sz val="11.0"/>
      </rPr>
      <t xml:space="preserve">Minnillo, S., Sánchez-Gutiérrez, C., Carando, A., Davidson, S., Mira, P.F., &amp; Sagae, K. (2022). Preterit-imperfect acquisition in L2 Spanish writing: Moving beyond lexical aspect. Research in Corpus Linguistics, 10(1), 156-184. </t>
    </r>
    <r>
      <rPr>
        <rFont val="Calibri"/>
        <color rgb="FF1155CC"/>
        <sz val="11.0"/>
        <u/>
      </rPr>
      <t>https://doi.org/10.32714/ricl.10.01.08</t>
    </r>
  </si>
  <si>
    <t>add_ai48_1</t>
  </si>
  <si>
    <t>add_ai48</t>
  </si>
  <si>
    <t>I had the impression that the r_study is almost qualitative (no reported statistical results only some descriptive information on graphs). in the supp materials they only share the raw data (text) and not the statistical analysis so I can't report any effects. the o_study had mone Mixed-effects logistic model but that wasn't reported in the r_study.; r_sample size = 12010 open reviews in PeerJ and 4188 reviews in the Royal Society Open Science, o_sample size = 9,220 submissions and 18,525 reviews.</t>
  </si>
  <si>
    <t>Bravo, G., Grimaldo, F., López-Iñesta, E., Mehmani, B., &amp; Squazzoni, F. (2019). The effect of publishing peer review reports on referee behavior in five scholarly journals. Nature communications, 10(1), 322.</t>
  </si>
  <si>
    <t>10.1038/s41467-018-08250-2</t>
  </si>
  <si>
    <t>10.1038--s41467-018-08250-2.pdf</t>
  </si>
  <si>
    <t>Sambeek, N.V., &amp; Lakens, D. (2021). Reviewers' Decision to Sign Reviews is Related to Their Recommendation. Meta-Psychology, 5. https://doi.org/10.15626/mp.2019.2289</t>
  </si>
  <si>
    <t>10.15626/mp.2019.2289</t>
  </si>
  <si>
    <t>10.15626--mp.2019.2289.pdf</t>
  </si>
  <si>
    <t>meta science/psychology</t>
  </si>
  <si>
    <t>peer review</t>
  </si>
  <si>
    <t>peer review, referee behavior, scholarly journals</t>
  </si>
  <si>
    <t>The effect of publishing peer review reports on referee behavior in five scholarly journals</t>
  </si>
  <si>
    <t>add_ai5_1</t>
  </si>
  <si>
    <t>add_ai5</t>
  </si>
  <si>
    <t>Cialdini, R. B., Vincent, J. E., Lewis, S. K., Catalan, J., Wheeler, D., &amp; Darby, B. L. (1975). Reciprocal concessions procedure for inducing compliance: The door-in-the-face technique. Journal of personality and Social Psychology, 31(2), 206.</t>
  </si>
  <si>
    <t>Genschow, O., Westfal, M., Crusius, J., Bartosch, L., Feikes, K.I., Pallasch, N., &amp; Wozniak, M. (2020). Does social psychology persist over half a century? A direct replication of Cialdini et al.’s (1975) classic door-in-the-face technique. JOURNAL MISSING. https://doi.org/10.31234/osf.io/w87yr</t>
  </si>
  <si>
    <t>10.31234/osf.io/w87yr</t>
  </si>
  <si>
    <t>10.31234--osf.io--w87yr.pdf</t>
  </si>
  <si>
    <t>Reciprocal Concessions</t>
  </si>
  <si>
    <t>Door-in-the-Face; Social Influence; Reciprocal concession</t>
  </si>
  <si>
    <t>"testing compliance between the two control conditions (i.e., smaller request only condition vs. equivalent request control condition)."</t>
  </si>
  <si>
    <t>"The first contrasted the two control conditions; no significant difference resulted, X2= 0.0, ns."</t>
  </si>
  <si>
    <t>p.07</t>
  </si>
  <si>
    <t>=(0.3333/(1-0.3333))/(0.3333/(1-0.3333)),p.7</t>
  </si>
  <si>
    <t>=(0.296/(1-0.296))/(0.379/(1-0.379)), p.16</t>
  </si>
  <si>
    <t>add_ai5_b</t>
  </si>
  <si>
    <t>"testing compliance between between the rejection-moderation condition and the combined control conditions (i.e., smaller request only condition &amp; equivalent request control condition)."</t>
  </si>
  <si>
    <t>"The second tested the rejection-moderation condition against the combined controls; a marginally significant difference occurred, x2= 2.88, p = .091."</t>
  </si>
  <si>
    <t>=(0.541/(1-0.541))/(0.6666/(1-0.6666)), p.7</t>
  </si>
  <si>
    <t>=(0.3358/(1-0.3358))/(0.5128/(1-0.5128)), p.15</t>
  </si>
  <si>
    <t>add_ai5_combined</t>
  </si>
  <si>
    <t>1. They wrote "direct replication" but with some extensions (3 more precisions). I would put "close" replication</t>
  </si>
  <si>
    <t>Reciprocal concessions</t>
  </si>
  <si>
    <t>Door-in-the-Face, social influence, replication, reciprocal concession</t>
  </si>
  <si>
    <t>Respondents complied more often for the second smaller request after rejecting the first extreme request in comparison to combined controls</t>
  </si>
  <si>
    <t>"The second tested the rejection-moderation condition against the combined controls; a marginally significant difference occurred, χ2 = 2.88, p = .091"</t>
  </si>
  <si>
    <t>χ2 = 2.88</t>
  </si>
  <si>
    <t>χ2 = 10.82</t>
  </si>
  <si>
    <t>add_ai5_combined_excludedparticipants</t>
  </si>
  <si>
    <t>1. They wrote "direct replication" but with some extensions (3 more precisions). I would put "close" replication
2. Authors wrote that they excluded participants, but did not report how many....
3. The sample for replication was calculated in the following way: 391 (total sample after first exclusion) minus 43: 
"Nineteen participants in the rejection-moderation condition and forty-three participants in the equivalent request control condition complied with the first request"</t>
  </si>
  <si>
    <t>Respondents complied more often for the second smaller request after rejecting the first extreme request in comparison to combined controls (replication analysis without participants who agreed to any of the first requests)</t>
  </si>
  <si>
    <t>"The first contrasted the two control conditions; no significant difference resulted, χ2 = 0.0, ns"</t>
  </si>
  <si>
    <t>χ2 = 24.64</t>
  </si>
  <si>
    <t>add_ai5_controls</t>
  </si>
  <si>
    <t>Control conditions with small request were not different from each other</t>
  </si>
  <si>
    <t>χ2 = 2.11</t>
  </si>
  <si>
    <t>add_ai5_controls_excludedparticipants</t>
  </si>
  <si>
    <t>Control conditions with small request were not different from each other (replication analysis without participants who agreed to any of the first requests)</t>
  </si>
  <si>
    <t>χ2 = 28.89</t>
  </si>
  <si>
    <t>add_ai5_equivalent</t>
  </si>
  <si>
    <t>Respondents complied more often for the second smaller request after rejecting the first extreme request in comparison to equivalent request control</t>
  </si>
  <si>
    <t>"The percentage of subjects who complied with the cirtical request in each of the treatment conditions of Experiment 3 can be seen in Table 3"</t>
  </si>
  <si>
    <t>χ2 = 4.52</t>
  </si>
  <si>
    <t>add_ai5_equivalent_excludedparticipants</t>
  </si>
  <si>
    <t>Respondents complied more often for the second smaller request after rejecting the first extreme request in comparison to equivalent request control (replication analysis without participants who agreed to any of the first requests)</t>
  </si>
  <si>
    <t>add_ai5_smallerrequest</t>
  </si>
  <si>
    <t>Respondents complied more often for the second smaller request after rejecting the first extreme request in comparison to Smaller request only control</t>
  </si>
  <si>
    <t>χ2 = 12.66</t>
  </si>
  <si>
    <t>add_ai5_smallerrequest_excludedparticipants</t>
  </si>
  <si>
    <t>Respondents complied more often for the second smaller request after rejecting the first extreme request in comparison to Smaller request only control (replication analysis without participants who agreed to any of the first requests)</t>
  </si>
  <si>
    <t>χ2 = 48.99</t>
  </si>
  <si>
    <t>add_ai57_1</t>
  </si>
  <si>
    <t>add_ai57</t>
  </si>
  <si>
    <t>-Added Google Drive link for both the original and replication studies PDF files. The hyperlink was not available.</t>
  </si>
  <si>
    <t>Eagly, A. H., &amp; Wood, W. (1999). The origins of sex differences in human behavior: Evolved dispositions versus social roles. American psychologist, 54(6), 408.</t>
  </si>
  <si>
    <t>10.1037/0003-066X.54.6.408</t>
  </si>
  <si>
    <t>10.1037--0003-066x.54.6.408.pdf</t>
  </si>
  <si>
    <t>https://drive.google.com/file/d/1niJ4qqlQ3w06lrmI_sfZvqDMPlcLvX7Z/view?usp=drivesdk</t>
  </si>
  <si>
    <r>
      <rPr>
        <rFont val="Calibri"/>
        <sz val="11.0"/>
      </rPr>
      <t xml:space="preserve">Zhang, L., Lee, A.J., DeBruine, L.M., &amp; Jones, B.C. (2018). Are sex differences in preferences for physical attractiveness and good earning capacity in potential mates smaller in countries with greater gender equality?. JOURNAL MISSING. </t>
    </r>
    <r>
      <rPr>
        <rFont val="Calibri"/>
        <color rgb="FF1155CC"/>
        <sz val="11.0"/>
        <u/>
      </rPr>
      <t>https://doi.org/10.31234/osf.io/mtsx8</t>
    </r>
  </si>
  <si>
    <t>10.31234/osf.io/mtsx8</t>
  </si>
  <si>
    <t>10.31234--osf.io--mtsx8.pdf</t>
  </si>
  <si>
    <t>https://drive.google.com/file/d/1PchnSZs-XbYmB-ZYLgQBFosMAZs-ybjf/view?usp=drivesdk</t>
  </si>
  <si>
    <t>Gender equality</t>
  </si>
  <si>
    <t>sex differences, mate preferences, gender inequality, attractiveness, status</t>
  </si>
  <si>
    <t>"testing for overall sex differences in preferences for good earning capacity"</t>
  </si>
  <si>
    <t>those due to emotion, F(3,2352) = 9.26, p &lt; .001,</t>
  </si>
  <si>
    <t>estimate =- 0.55, t =-11.16</t>
  </si>
  <si>
    <t>add_ai57_a</t>
  </si>
  <si>
    <t xml:space="preserve">The main results can't be match: 
- original study: cor with financial prospect / domestic skills / attractiveness; cor for earning and housekeeing; cor in particular age
- replication: sex with earning; sex with attractiveness, sex with domestic skills. </t>
  </si>
  <si>
    <t>Zhang, L., Lee, A.J., DeBruine, L.M., &amp; Jones, B.C. (2018). Are sex differences in preferences for physical attractiveness and good earning capacity in potential mates smaller in countries with greater gender equality?. JOURNAL MISSING. https://doi.org/10.31234/osf.io/mtsx8</t>
  </si>
  <si>
    <t>Mate preference</t>
  </si>
  <si>
    <t>Sex differences, mate preferences, gender inequality, attractiveness, status</t>
  </si>
  <si>
    <t>As the Gender Empowerment Measure increased in value, the tendency decreased for women to place greater emphasis than men on a potential spouse's earning capacity (ranking data)</t>
  </si>
  <si>
    <t>"These correlations for the ranking and the rating data, which appear in Table 1, are generally supportive of the social structural predictions"</t>
  </si>
  <si>
    <t>t = -2.09</t>
  </si>
  <si>
    <t>add_ai57_b</t>
  </si>
  <si>
    <t>As the Gender Empowerment Measure increased, the tendency decreased for men to place greater emphasis than women on a potential spouse's domestic skills (raking data)</t>
  </si>
  <si>
    <t>t = 0.35</t>
  </si>
  <si>
    <t>"testing for overall sex differences in preferences for physical attractiveness"</t>
  </si>
  <si>
    <t>and situation, F(2,2352) = 88.86, p &lt; .001 and</t>
  </si>
  <si>
    <t>estimate = 0.42, t =9.25</t>
  </si>
  <si>
    <t>add_ai57_c</t>
  </si>
  <si>
    <t>As the Gender Empowerment Measure increased, the tendency increased for men to place greater emphasis for mate's physical attractiveness (raking data)</t>
  </si>
  <si>
    <t>t = 1.9</t>
  </si>
  <si>
    <t>"testing for overall sex differences in preferences for domestic skills"</t>
  </si>
  <si>
    <t>these are of little consequence with respect to our</t>
  </si>
  <si>
    <t>estimate = 0.02, t =0.52</t>
  </si>
  <si>
    <t>add_ai57_d</t>
  </si>
  <si>
    <t>As the Gender-Related Development Index increased in value, the tendency decreased for women to place greater emphasis than men on a potential spouse's earning capacity (ranking data)</t>
  </si>
  <si>
    <t>t = 0.56</t>
  </si>
  <si>
    <t>"testing for sex differences in preferences for physical attractiveness in GII (by rating)"</t>
  </si>
  <si>
    <t>original interests. They suggest only that there are</t>
  </si>
  <si>
    <t>estimate = 0.2</t>
  </si>
  <si>
    <t>estimate = 0.13, t =1.67</t>
  </si>
  <si>
    <t>add_ai57_e</t>
  </si>
  <si>
    <t>As the Gender-Related Development Index increased, the tendency decreased for men to place greater emphasis than women on a potential spouse's domestic skills (raking data)</t>
  </si>
  <si>
    <t>t = -0.68</t>
  </si>
  <si>
    <t>"testing for sex differences in preferences for physical attractiveness in GII (by ranking)"</t>
  </si>
  <si>
    <t>significant differences to be found in the different</t>
  </si>
  <si>
    <t>estimate = 0.13</t>
  </si>
  <si>
    <t>estimate = 0.48, t =1.90</t>
  </si>
  <si>
    <t>add_ai57_f</t>
  </si>
  <si>
    <t>As the Gender-Related Development Index increased, the tendency decreased for men to place greater emphasis for mate's physical attractiveness (raking data)</t>
  </si>
  <si>
    <t>t = -0.82</t>
  </si>
  <si>
    <t>"testing for sex differences in preferences for physical attractiveness in GDI (by rating)"</t>
  </si>
  <si>
    <t>estimate = 0.18</t>
  </si>
  <si>
    <t>estimate = -0.09, t =-0.82</t>
  </si>
  <si>
    <t>add_ai57_g</t>
  </si>
  <si>
    <t>As the Gender Empowerment Measure increased in value, the tendency decreased for women to place greater emphasis than men on a potential spouse's earning capacity (rating data)</t>
  </si>
  <si>
    <t>t = -1.33</t>
  </si>
  <si>
    <t>"testing for sex differences in preferences for physical attractiveness in GDI (by ranking)"</t>
  </si>
  <si>
    <t>emotions observed and that the emotional re-</t>
  </si>
  <si>
    <t>estimate = -0.12</t>
  </si>
  <si>
    <t>estimate = -0.25, t =-0.60</t>
  </si>
  <si>
    <t>add_ai57_h</t>
  </si>
  <si>
    <t>As the Gender Empowerment Measure increased, the tendency decreased for men to place greater emphasis than women on a potential spouse's domestic skills (ranting data)</t>
  </si>
  <si>
    <t>t = 1.73</t>
  </si>
  <si>
    <t>"testing for sex differences in preferences for good earning capacity in GII (by rating)"</t>
  </si>
  <si>
    <t>sponses to the various situations were indeed dif-</t>
  </si>
  <si>
    <t>estimate = -0.29</t>
  </si>
  <si>
    <t>estimate = -0.11, t =-1.33</t>
  </si>
  <si>
    <t>add_ai57_i</t>
  </si>
  <si>
    <t>As the Gender Empowerment Measure increased, the tendency increased for men to place greater emphasis for mate's physical attractiveness (rating data)</t>
  </si>
  <si>
    <t>t = 1.67</t>
  </si>
  <si>
    <t>"testing for sex differences in preferences for good earning capacity in GII (by ranking)"</t>
  </si>
  <si>
    <t>ferent. It is the interactions that are of interest to</t>
  </si>
  <si>
    <t>estimate = -0.43</t>
  </si>
  <si>
    <t>estimate = -0.64, t =-2.09</t>
  </si>
  <si>
    <t>add_ai57_j</t>
  </si>
  <si>
    <t>As the Gender-Related Development Index increased in value, the tendency decreased for women to place greater emphasis than men on a potential spouse's earning capacity (rating data)</t>
  </si>
  <si>
    <t>t = 0.31</t>
  </si>
  <si>
    <t>"testing for sex differences in preferences for good earning capacity in GDI (by rating)"</t>
  </si>
  <si>
    <t>estimate = -0.23</t>
  </si>
  <si>
    <t>estimate = 0.04, t =0.31</t>
  </si>
  <si>
    <t>add_ai57_k</t>
  </si>
  <si>
    <t>As the Gender-Related Development Index increased, the tendency decreased for men to place greater emphasis than women on a potential spouse's domestic skills (rating data)</t>
  </si>
  <si>
    <t>t = -0.36</t>
  </si>
  <si>
    <t>"testing for sex differences in preferences for good earning capacity in GDI (by ranking)"</t>
  </si>
  <si>
    <t>the hypotheses under examination.</t>
  </si>
  <si>
    <t>estimate = -0.33</t>
  </si>
  <si>
    <t>estimate = 0.24, t =0.56</t>
  </si>
  <si>
    <t>add_ai57_l</t>
  </si>
  <si>
    <t>As the Gender-Related Development Index increased, the tendency increased for men to place greater emphasis for mate's physical attractiveness (rating data)</t>
  </si>
  <si>
    <t>t = -0.6</t>
  </si>
  <si>
    <t>"testing for sex differences in preferences for Domestic skills in GII (by rating)"</t>
  </si>
  <si>
    <t>"as the Gender Empowerment Measure increased, the tendency decreased for men to place greater emphasis than women on a potential spouse's domestic skills."</t>
  </si>
  <si>
    <t>estimate = -0.61</t>
  </si>
  <si>
    <t>estimate = 0.14, t =1.73</t>
  </si>
  <si>
    <t>add_ai57_m</t>
  </si>
  <si>
    <t>"testing for sex differences in preferences for Domestic skills in GII (by rankng)"</t>
  </si>
  <si>
    <t>estimate = -0.62</t>
  </si>
  <si>
    <t>estimate = 0.08, t =0.35</t>
  </si>
  <si>
    <t>add_ai57_n</t>
  </si>
  <si>
    <t>"testing for sex differences in preferences for Domestic skills in GDI (by rating)"</t>
  </si>
  <si>
    <t>"As expected in terms of the Gender-Related Development Index's less direct representation of the similarity of the roles of women and men, its correlations with these sex differences were somewhat weaker."</t>
  </si>
  <si>
    <t>estimate = -0.54</t>
  </si>
  <si>
    <t>estimate = -0.05, t =-0.36</t>
  </si>
  <si>
    <t>add_ai57_o</t>
  </si>
  <si>
    <t>"testing for sex differences in preferences for Domestic skills in GDI (by ranking)"</t>
  </si>
  <si>
    <t>estimate = -0.27, t =-0.68</t>
  </si>
  <si>
    <t>add_ai6_1</t>
  </si>
  <si>
    <t>add_ai6</t>
  </si>
  <si>
    <t>Garry, M., French, L., Kinzett, T., &amp; Mori, K. (2008). Eyewitness memory following discussion: Using the MORI technique with a Western sample. Applied Cognitive Psychology: The Official Journal of the Society for Applied Research in Memory and Cognition, 22(4), 431-439.</t>
  </si>
  <si>
    <t>10.1002/acp.1376</t>
  </si>
  <si>
    <t>10.1002--acp.1376.pdf</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</si>
  <si>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</si>
  <si>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10.1037/h0101833</t>
  </si>
  <si>
    <t>10.1037--h0101833.pdf</t>
  </si>
  <si>
    <t>co-witness suggestibility effect</t>
  </si>
  <si>
    <t>"co-witness suggestibility effect; memory conformity; eye witness memory; post event conversation"</t>
  </si>
  <si>
    <t>"testing if subjects were more likely to report the correct answer for non-discussed critical details than discussed critical details (brazil)"</t>
  </si>
  <si>
    <t>"subjects were more likely to report the correct answer for non-discussed critical details than discussed critical details, M = 0.79, SD = 0.17; M 1⁄4 0.34, SD = 0.38, t (39) =6.82, p &lt; .01, Cohen’s d =1.11.1"</t>
  </si>
  <si>
    <t>add_ai6_a</t>
  </si>
  <si>
    <t>1. Another naming of the effect can be "memory conformity effects"</t>
  </si>
  <si>
    <t>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https://doi.org/10.1037/h0101833</t>
  </si>
  <si>
    <t>Co-witness suggestibility effect</t>
  </si>
  <si>
    <t>Co-witness suggestibility effect, memory conformity, eyewitness memory, post- event conversation, multi-lab replication project.</t>
  </si>
  <si>
    <t xml:space="preserve">Subjects remembered equal amount of details for the non-critical aspects </t>
  </si>
  <si>
    <t>"Subjects were equally good at remembering these details regardless of which version they saw, M = 9.70 (80%), SD = 1.95, M = 9.15 (76%), SD = 1.46, t (38) = 1.01, p = .32"</t>
  </si>
  <si>
    <t>t(38) = 1.01</t>
  </si>
  <si>
    <t>https://osf.io/gtwrc</t>
  </si>
  <si>
    <t>add_ai6_b</t>
  </si>
  <si>
    <t>Discussion affect memory for an ostensibly shared event</t>
  </si>
  <si>
    <t>"Subjects were more likely to report the correct answer for non-discussed critical details than discussed critical details, M = 0.79, SD = 0.17; M = 0.34, SD = 0.38, t (39) = 6.82, p&lt;.01, Cohen’s d = 1.11"</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</si>
  <si>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</si>
  <si>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(canada)"</t>
  </si>
  <si>
    <t>add_ai6_c</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</si>
  <si>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</si>
  <si>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(colombia)"</t>
  </si>
  <si>
    <t>add_ai6_d</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</si>
  <si>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</si>
  <si>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(india)"</t>
  </si>
  <si>
    <t>add_ai6_e</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</si>
  <si>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</si>
  <si>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(japan)"</t>
  </si>
  <si>
    <t>add_ai6_f</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</si>
  <si>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</si>
  <si>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(malaysia)"</t>
  </si>
  <si>
    <t>add_ai6_g</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</si>
  <si>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</si>
  <si>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(poland)"</t>
  </si>
  <si>
    <t>add_ai6_h</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</si>
  <si>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</si>
  <si>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(portugal)"</t>
  </si>
  <si>
    <t>add_ai6_i</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</si>
  <si>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</si>
  <si>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(Turkey)"</t>
  </si>
  <si>
    <t>add_ai6_j</t>
  </si>
  <si>
    <r>
      <rPr>
        <rFont val="Calibri"/>
        <sz val="11.0"/>
      </rPr>
      <t xml:space="preserve">Ito, H., Barzykowski, K., Grzesik, M., Gülgöz, S., Gürdere, C., Janssen, S.M.J., Khor, J., Rowthorn, H., Wade, K.A., Luna, K., Albuquerque, P.B., Kumar, D., Singh, A.D., Cecconello, W.W., Cadavid, S., Laird, N.C., Baldassari, M.J., Lindsay, D.S., &amp; Mori, K. (2019). Eyewitness memory distortion following co-witness discussion: A replication of Garry, French, Kinzett, and Mori (2008) in ten countries.. Journal of Applied Research in Memory and Cognition, 8(1), 68-77. </t>
    </r>
    <r>
      <rPr>
        <rFont val="Calibri"/>
        <color rgb="FF1155CC"/>
        <sz val="11.0"/>
        <u/>
      </rPr>
      <t>https://doi.org/10.1037/h0101833</t>
    </r>
  </si>
  <si>
    <t>"testing if subjects were more likely to report the correct answer for non-discussed critical details than discussed critical details (united kingdom)"</t>
  </si>
  <si>
    <t>add_ai60_1</t>
  </si>
  <si>
    <t>add_ai60</t>
  </si>
  <si>
    <t>to test the effect of simplicity and discipline on flexibility, they used different variables in every study (the original and the replication) which makes the comparaison between them difficult.</t>
  </si>
  <si>
    <t>Collins, R. S., Cordon, C., &amp; Julien, D. (1998). An empirical test of the rigid flexibility model. Journal of Operations Management, 16(2-3), 133-146.</t>
  </si>
  <si>
    <t>10.1016/S0272-6963(97)00033-8</t>
  </si>
  <si>
    <t>10.1016--s0272-6963(97)00033-8.pdf</t>
  </si>
  <si>
    <r>
      <rPr>
        <rFont val="Calibri"/>
        <sz val="11.0"/>
      </rPr>
      <t xml:space="preserve">Silveira, G.J.d. (2005). Effects of simplicity and discipline on operational flexibility: An empirical reexamination of the rigid flexibility model. Journal of Operations Management, 24(6), 932-947. </t>
    </r>
    <r>
      <rPr>
        <rFont val="Calibri"/>
        <color rgb="FF1155CC"/>
        <sz val="11.0"/>
        <u/>
      </rPr>
      <t>https://doi.org/10.1016/j.jom.2005.11.004</t>
    </r>
  </si>
  <si>
    <t>10.1016/j.jom.2005.11.004</t>
  </si>
  <si>
    <t>10.1016--j.jom.2005.11.004.pdf</t>
  </si>
  <si>
    <t>the rigid flexibility model</t>
  </si>
  <si>
    <t>Rigid flexibility; Manufacturing practice; Empirical test</t>
  </si>
  <si>
    <t>"flexibility was a function of both simplicity and discipline, and that the flexibility of the plant would improve, given increasing simplicity and discipline."</t>
  </si>
  <si>
    <t>"The overall results Table 4 are significant, with R2 of more than 0.17 in five out of six of the regressions. This is quite high, especially when compared to similar studies see Noble, 1995 . Further- Ž . more, the large number of sites in the database allows for the high statistical significance and low P-values that we observed. The empirical evidence strongly supports the tenets of the rigid flexibility model."</t>
  </si>
  <si>
    <t>add_ai60_a</t>
  </si>
  <si>
    <t>1. Only matching results are shown. The corresponding terms in original study are: inventory management (replication - CUSTOM), product cycle time (VOLFLEX), new product introduction (TTM), customer delivery time (MIXFLEX).</t>
  </si>
  <si>
    <t>Silveira, G.J.d. (2005). Effects of simplicity and discipline on operational flexibility: An empirical reexamination of the rigid flexibility model. Journal of Operations Management, 24(6), 932-947. https://doi.org/10.1016/j.jom.2005.11.004</t>
  </si>
  <si>
    <t>Rigid flexibility</t>
  </si>
  <si>
    <t>Rigid flexibility, manufacturing practice, empirical test, operations improvement, regression analysis, empirical research</t>
  </si>
  <si>
    <t>Flexibility (inventory management) is significantly dependent on simplicity (lean management) in the total sample size</t>
  </si>
  <si>
    <t>"The results of the regression analyses are shown in Table 4 only the values for the statistically significant factors are shown"</t>
  </si>
  <si>
    <t>add_ai60_a2</t>
  </si>
  <si>
    <t>1. Only matching results are shown. The corresponding terms in original study are: inventory management (replication - CUSTOM), product cycle time (VOLFLEX), new product introduction (TTM), customer delivery time (MIXFLEX).
2. The sample size for the country was calculated based on the total sample size and fig 2 (original paper)</t>
  </si>
  <si>
    <t>Flexibility (inventory management) is significantly dependent on discipline (stratefic processes) in the UK sample</t>
  </si>
  <si>
    <t>"To test the validity of the model in each country, the regression analysis was repeated, splitting by country. The results are summarised in Table 6 and presented in Appendix C. These results show a strong support for the model in the UK and in Germany, and to a lesser extent, in Switzerland and The Netherlands"</t>
  </si>
  <si>
    <t>add_ai60_a3</t>
  </si>
  <si>
    <t>The variable in the regression model of discipline over product cycle time is relatively low</t>
  </si>
  <si>
    <t>r-square</t>
  </si>
  <si>
    <t>add_ai60_b</t>
  </si>
  <si>
    <t>Flexibility (Product cycle time) is significantly dependent on simplicity (lean management) in the total sample size</t>
  </si>
  <si>
    <t>add_ai60_b2</t>
  </si>
  <si>
    <t>Flexibility (product cycle time) is significantly dependent on discipline (Process capability) in the UK sample</t>
  </si>
  <si>
    <t>add_ai60_b3</t>
  </si>
  <si>
    <t>The variable in the regression model of discipline over new product introduction is relatively low</t>
  </si>
  <si>
    <t>add_ai60_c</t>
  </si>
  <si>
    <t>Flexibility (Product cycle time) is significantly dependent on simplicity (lean attitude) in the total sample size</t>
  </si>
  <si>
    <t>add_ai60_c2</t>
  </si>
  <si>
    <t>Flexibility (new product introduction) is significantly dependent on discipline (waste) in the UK sample</t>
  </si>
  <si>
    <t>add_ai60_c3</t>
  </si>
  <si>
    <t>The variable in the regression model of discipline over customer delivery time is relatively low</t>
  </si>
  <si>
    <t>add_ai60_d</t>
  </si>
  <si>
    <t>Flexibility (New product in troduction) is significantly dependent on simplicity (lean management) in the total sample size</t>
  </si>
  <si>
    <t>add_ai60_d2</t>
  </si>
  <si>
    <t>Flexibility (new product introduction) is significantly dependent on discipline (process capability) in the UK sample</t>
  </si>
  <si>
    <t>add_ai60_d3</t>
  </si>
  <si>
    <t>Flexibility (Product cycle time) is significantly dependent on simplicity (lean management) in the Switzerland sample</t>
  </si>
  <si>
    <t>add_ai60_e</t>
  </si>
  <si>
    <t>Flexibility (New product in troduction) is significantly dependent on simplicity (lean attitude) in the total sample size</t>
  </si>
  <si>
    <t>add_ai60_e2</t>
  </si>
  <si>
    <t>Flexibility (new product introduction) is significantly dependent on discipline (strategic processes) in the UK sample</t>
  </si>
  <si>
    <t>add_ai60_e3</t>
  </si>
  <si>
    <t>Flexibility (Product cycle time) is significantly dependent on simplicity (lean attitude) in the Switzerland sample</t>
  </si>
  <si>
    <t>add_ai60_f</t>
  </si>
  <si>
    <t>Flexibility (Customer delivery time) is significantly dependent on simplicity (lean management) in the total sample size</t>
  </si>
  <si>
    <t>add_ai60_f2</t>
  </si>
  <si>
    <t>Flexibility (new product introduction) is significantly dependent on discipline (quality management processes) in the UK sample</t>
  </si>
  <si>
    <t>add_ai60_f3</t>
  </si>
  <si>
    <t>Flexibility (New product in troduction) is significantly dependent on simplicity (lean management) in the Switzerland sample</t>
  </si>
  <si>
    <t>add_ai60_g</t>
  </si>
  <si>
    <t>Flexibility (inventory management) is significantly dependent on discipline (stratefic processes) in the total sample size</t>
  </si>
  <si>
    <t>add_ai60_g2</t>
  </si>
  <si>
    <t>Flexibility (customer delivery time) is significantly dependent on discipline (process capability) in the UK sample</t>
  </si>
  <si>
    <t>add_ai60_g3</t>
  </si>
  <si>
    <t>Flexibility (New product in troduction) is significantly dependent on simplicity (lean attitude) in the Switzerland sample</t>
  </si>
  <si>
    <t>add_ai60_h</t>
  </si>
  <si>
    <t>Flexibility (product cycle time) is significantly dependent on discipline (Process capability) in the total sample size</t>
  </si>
  <si>
    <t>add_ai60_h2</t>
  </si>
  <si>
    <t>The variable in the regression model of simplicity over inventory management is relatively low</t>
  </si>
  <si>
    <t>add_ai60_h3</t>
  </si>
  <si>
    <t>Flexibility (new product introduction) is significantly dependent on discipline (strategic processes) in the Switzerland sample</t>
  </si>
  <si>
    <t>add_ai60_i</t>
  </si>
  <si>
    <t>Flexibility (new product introduction) is significantly dependent on discipline (waste) in the total sample size</t>
  </si>
  <si>
    <t>add_ai60_i2</t>
  </si>
  <si>
    <t>The variable in the regression model of simplicity over product cycle time is relatively low</t>
  </si>
  <si>
    <t>add_ai60_i3</t>
  </si>
  <si>
    <t>Flexibility (customer delivery time) is significantly dependent on discipline (waste) in the Switzerland sample</t>
  </si>
  <si>
    <t>add_ai60_j</t>
  </si>
  <si>
    <t>Flexibility (new product introduction) is significantly dependent on discipline (process capability) in the total sample size</t>
  </si>
  <si>
    <t>add_ai60_j2</t>
  </si>
  <si>
    <t>The variable in the regression model of simplicity over new product introduction is relatively low</t>
  </si>
  <si>
    <t>add_ai60_j3</t>
  </si>
  <si>
    <t>add_ai60_k</t>
  </si>
  <si>
    <t>Flexibility (new product introduction) is significantly dependent on discipline (strategic processes) in the total sample size</t>
  </si>
  <si>
    <t>add_ai60_k2</t>
  </si>
  <si>
    <t>The variable in the regression model of simplicity over customer delivery time is relatively low</t>
  </si>
  <si>
    <t>add_ai60_k3</t>
  </si>
  <si>
    <t>add_ai60_l</t>
  </si>
  <si>
    <t>Flexibility (new product introduction) is significantly dependent on discipline (quality management processes) in the total sample size</t>
  </si>
  <si>
    <t>add_ai60_l2</t>
  </si>
  <si>
    <t>The variable in the regression model of discipline over inventory management is relatively low</t>
  </si>
  <si>
    <t>add_ai60_l3</t>
  </si>
  <si>
    <t>add_ai60_m</t>
  </si>
  <si>
    <t>Flexibility (customer delivery time) is significantly dependent on discipline (waste) in the total sample size</t>
  </si>
  <si>
    <t>add_ai60_m2</t>
  </si>
  <si>
    <t>add_ai60_m3</t>
  </si>
  <si>
    <t>add_ai60_n</t>
  </si>
  <si>
    <t>Flexibility (customer delivery time) is significantly dependent on discipline (process capability) in the total sample size</t>
  </si>
  <si>
    <t>add_ai60_n2</t>
  </si>
  <si>
    <t>add_ai60_n3</t>
  </si>
  <si>
    <t>add_ai60_o</t>
  </si>
  <si>
    <t>"The overall results Table 4 are significant, with R2 of more than 0.17 in five out of six of the regressions"</t>
  </si>
  <si>
    <t>add_ai60_o2</t>
  </si>
  <si>
    <t>add_ai60_o3</t>
  </si>
  <si>
    <t>add_ai60_p</t>
  </si>
  <si>
    <t>add_ai60_p2</t>
  </si>
  <si>
    <t>Flexibility (inventory management) is significantly dependent on simplicity (lean management) in the Germany sample</t>
  </si>
  <si>
    <t>add_ai60_p3</t>
  </si>
  <si>
    <t>Flexibility (inventory management) is significantly dependent on simplicity (lean management) in the Netherlands sample</t>
  </si>
  <si>
    <t>add_ai60_q</t>
  </si>
  <si>
    <t>add_ai60_q2</t>
  </si>
  <si>
    <t>Flexibility (Product cycle time) is significantly dependent on simplicity (lean management) in the Germany sample</t>
  </si>
  <si>
    <t>add_ai60_q3</t>
  </si>
  <si>
    <t>Flexibility (Product cycle time) is significantly dependent on simplicity (lean management) in the Netherlands sample</t>
  </si>
  <si>
    <t>add_ai60_r</t>
  </si>
  <si>
    <t>add_ai60_r2</t>
  </si>
  <si>
    <t>Flexibility (New product in troduction) is significantly dependent on simplicity (lean attitude) in the Germany sample</t>
  </si>
  <si>
    <t>add_ai60_r3</t>
  </si>
  <si>
    <t>Flexibility (new product introduction) is significantly dependent on discipline (strategic processes) in the Netherlands sample</t>
  </si>
  <si>
    <t>add_ai60_s</t>
  </si>
  <si>
    <t>add_ai60_s2</t>
  </si>
  <si>
    <t>Flexibility (Customer delivery time) is significantly dependent on simplicity (lean management) in the Germany sample</t>
  </si>
  <si>
    <t>add_ai60_s3</t>
  </si>
  <si>
    <t>Flexibility (new product introduction) is significantly dependent on discipline (quality management processes) in the Netherlands sample</t>
  </si>
  <si>
    <t>add_ai60_t</t>
  </si>
  <si>
    <t>add_ai60_t2</t>
  </si>
  <si>
    <t>Flexibility (product cycle time) is significantly dependent on discipline (Process capability) in the Germany sample</t>
  </si>
  <si>
    <t>add_ai60_t3</t>
  </si>
  <si>
    <t>add_ai60_u</t>
  </si>
  <si>
    <t>add_ai60_u2</t>
  </si>
  <si>
    <t>Flexibility (new product introduction) is significantly dependent on discipline (process capability) in the Germany sample</t>
  </si>
  <si>
    <t>add_ai60_u3</t>
  </si>
  <si>
    <t>add_ai60_v</t>
  </si>
  <si>
    <t>add_ai60_v2</t>
  </si>
  <si>
    <t>add_ai60_v3</t>
  </si>
  <si>
    <t>add_ai60_w</t>
  </si>
  <si>
    <t>Flexibility (inventory management) is significantly dependent on simplicity (lean management) in the UK sample</t>
  </si>
  <si>
    <t>add_ai60_w2</t>
  </si>
  <si>
    <t>add_ai60_w3</t>
  </si>
  <si>
    <t>add_ai60_x</t>
  </si>
  <si>
    <t>Flexibility (Product cycle time) is significantly dependent on simplicity (lean management) in the UK sample</t>
  </si>
  <si>
    <t>add_ai60_x2</t>
  </si>
  <si>
    <t>add_ai60_x3</t>
  </si>
  <si>
    <t>add_ai60_y</t>
  </si>
  <si>
    <t>Flexibility (Product cycle time) is significantly dependent on simplicity (lean attitude) in the UK sample</t>
  </si>
  <si>
    <t>add_ai60_y2</t>
  </si>
  <si>
    <t>add_ai60_y3</t>
  </si>
  <si>
    <t>add_ai60_z</t>
  </si>
  <si>
    <t>Flexibility (Customer delivery time) is significantly dependent on simplicity (lean management) in the UK sample</t>
  </si>
  <si>
    <t>add_ai60_z2</t>
  </si>
  <si>
    <t>add_ai71_1</t>
  </si>
  <si>
    <t>add_ai71</t>
  </si>
  <si>
    <t>the o_study is similar to a review paper (no studies) and the replication paper replicates totally diffrent papers. r_papaer page 6 : Based on a literature review of the articles published in SMJ through 2013, we identified three studies—by Certo and his colleagues (2001), Filatotchev and Bishop (2002), and Cohen and Dean (2005)—that use signaling theory to examine IPO underpricing with information asymmetry as its underlying theoretical mechanism. We chose these studies to replicate</t>
  </si>
  <si>
    <t>Bettis, R. A., Ethiraj, S., Gambardella, A., Helfat, C., &amp; Mitchell, W. (2016). Creating repeatable cumulative knowledge in strategic management: A call for a broad and deep conversation among authors, referees, and editors. Strategic Management Journal, 257-261.</t>
  </si>
  <si>
    <t>10.1002/smj.2477</t>
  </si>
  <si>
    <t>10.1002--smj.2477.pdf</t>
  </si>
  <si>
    <t>Park, U.D., Borah, A., &amp; Kotha, S. (2016). Signaling revisited: The use of signals in the market for &lt;scp&gt;IPO&lt;/scp&gt;s. Strategic Management Journal, 37(11), 2362-2377. https://doi.org/10.1002/smj.2571</t>
  </si>
  <si>
    <t>10.1002/smj.2571</t>
  </si>
  <si>
    <t>10.1002--smj.2571.pdf</t>
  </si>
  <si>
    <t>add_ai76_1</t>
  </si>
  <si>
    <t>add_ai76</t>
  </si>
  <si>
    <t>the o_study is developing a model of adult education participation (Education Participation Scale) all the analysis in this paper are factor analysis to group the items and create the scale. I don't really now how to report this type of analysis. So here I just reported the correlation/factor loading of social walefare and social escape.</t>
  </si>
  <si>
    <t>Boshier, R. (1971). Motivational orientations of adult education participants: A factor analytic exploration of Houle's typology. Adult education, 21(2), 3-26.</t>
  </si>
  <si>
    <t>10.1177/074171367102100201</t>
  </si>
  <si>
    <t>10.1177--074171367102100201.pdf</t>
  </si>
  <si>
    <t>Morstain, B.R., &amp; Smart, J.C. (1974). Reasons for Participation in Adult Education Courses: a Multivariate Analysis of Group Differences. Adult Education, 24(2), 83-98. https://doi.org/10.1177/074171367402400201</t>
  </si>
  <si>
    <t>10.1177/074171367402400201</t>
  </si>
  <si>
    <t>10.1177--074171367402400201.pdf</t>
  </si>
  <si>
    <t>ADULT EDUCATION</t>
  </si>
  <si>
    <t>motivational orientation, adult education, Education Participation Scale (EPS)</t>
  </si>
  <si>
    <t>In developing a model of adult education participa-tion</t>
  </si>
  <si>
    <t>social walefare...Interpersonal improvement/escape</t>
  </si>
  <si>
    <t>add_ai82_1</t>
  </si>
  <si>
    <t>add_ai82</t>
  </si>
  <si>
    <t>there are no statistical results reported in both papers, I think maybe they are qualitative studies ? ; from the r_paper ("As was the case in the research of Beaverland and Lindgreen, this study uses a case study method of data collection and analysis....Data collection involved the use of interviews with two senior members of the marketing team from Meat &amp; Wool New Zealand as the source of primary data. The data gathered in these interviews was supplemented with secondary information gathered from websites, press releases, newspaper articles, online databases, historic case studies, annual reports and business reports.")</t>
  </si>
  <si>
    <t>Beverland, M., &amp; Lindgreen, A. (2002). Using country of origin in strategy: The importance of context and strategic action. Journal of Brand Management, 10, 147-167.</t>
  </si>
  <si>
    <t>10.1057/palgrave.bm.2540112</t>
  </si>
  <si>
    <t>10.1057--palgrave.bm.2540112.pdf</t>
  </si>
  <si>
    <t>Clark, P.R., &amp; Dana, T.E. (2007). Marketing New Zealand lamb in the EU. International Journal of Entrepreneurship and Small Business, 4(6), 807-807. https://doi.org/10.1504/ijesb.2007.014983</t>
  </si>
  <si>
    <t>10.1504/ijesb.2007.014983</t>
  </si>
  <si>
    <t>10.1504--ijesb.2007.014983.pdf</t>
  </si>
  <si>
    <t>Country-Of-Origin strategy</t>
  </si>
  <si>
    <t>country-of-origin (COO), global brand programs, marketing</t>
  </si>
  <si>
    <t>add_ai84_1</t>
  </si>
  <si>
    <t>add_ai84</t>
  </si>
  <si>
    <t xml:space="preserve">I reported the main/only replicated effect related to the association between germline variations in chromosome 8q24 (specifically SNP rs1447295 in region 1) and prostate cancer risk. The r_study then extended the results to other regions/germline variations. The original and replicaions studies are This case–control studies so I reported the sample sizes with that format (n case/ n control). </t>
  </si>
  <si>
    <t>Amundadottir, L. T., Sulem, P., Gudmundsson, J., Helgason, A., Baker, A., Agnarsson, B. A., ... &amp; Stefansson, K. (2006). A common variant associated with prostate cancer in European and African populations. Nature genetics, 38(6), 652-658.</t>
  </si>
  <si>
    <t>10.1038/ng1808</t>
  </si>
  <si>
    <t>10.1038--ng1808.pdf</t>
  </si>
  <si>
    <t>Okobia, M.N., Zmuda, J.M., Ferrell, R.E., Patrick, A.L., &amp; Bunker, C.H. (2011). Chromosome 8q24 variants are associated with prostate cancer risk in a high risk population of African ancestry. The Prostate, 71(10), 1054-1063. https://doi.org/10.1002/pros.21320</t>
  </si>
  <si>
    <t>10.1002/pros.21320</t>
  </si>
  <si>
    <t>10.1002--pros.21320.pdf</t>
  </si>
  <si>
    <t>prostate cancer</t>
  </si>
  <si>
    <t>prostate cancer, chromosome 8q24, germline risk variants</t>
  </si>
  <si>
    <t>Association of alleles at chromosome 8q24 to prostate cancer in Iceland, Sweden and the US</t>
  </si>
  <si>
    <t>In summary, we have demonstrated significant association of prostate cancer risk to the DG8S737 –8 and rs1447295 A alleles in three case-control groups of European ancestry (in which rs1447295 A is perfectly correlated with alleles from at least 18 other nearby SNPs). Combining results from these groups gave an estimated...for DG8S737 –8 and an OR of 1.51 (P = 1.0 × 10−11) for rs1447295 A.</t>
  </si>
  <si>
    <t>3184/2023</t>
  </si>
  <si>
    <t>1.0 × 10−11</t>
  </si>
  <si>
    <t>354/438</t>
  </si>
  <si>
    <t>add_ai84_African</t>
  </si>
  <si>
    <t>1. Also the "effect" can be "prostate cancer". In particular,  prostate cancer is the object of the study, while SNP - subjects. That's why I put it to the effect column
2. The replication results are taken from the composite score rs1447295 (C/A) + (A/A), since in the original study we compare it with allele (rs1447295 (A)), so it should include both types. 
3. No other matching results (but there are many more)</t>
  </si>
  <si>
    <t>Single nucleotide polymorphism</t>
  </si>
  <si>
    <t>Tobago prostate survey, afro-caribbean men, germline variations</t>
  </si>
  <si>
    <t>Amond African Americans allele A of SNP rs1447295 was not associated with prostate cancer</t>
  </si>
  <si>
    <t>"Of the 17 SNPs that we genotyped, rs1447295 gave the lowest, albeit not significant, P value (P = 0.29) (Table 1)"</t>
  </si>
  <si>
    <t>add_ai84_iceland</t>
  </si>
  <si>
    <t>In Iceland allele A of SNP rs1447295 was significantly associated with prostate cancer</t>
  </si>
  <si>
    <t>"Of these SNPs, 37 were significantly associated with prostate can cer (P &lt; 0.001), with allele A of SNP rs1447295 showing the strongest association (OR = 1.72, P = 1.7 × 10−9) (Table 1)"</t>
  </si>
  <si>
    <t>add_ai84_sweden</t>
  </si>
  <si>
    <t>In Sweden allele A of SNP rs1447295 was significantly associated with prostate cancer</t>
  </si>
  <si>
    <t>"We obtained a similar outcome for the rs1447295 A allele (Table 1), indicating that the variants initially identified in Iceland are likely to be associated with increased risk of prostate cancer in most populations of European ancestry"</t>
  </si>
  <si>
    <t>add_ai84_USA</t>
  </si>
  <si>
    <t>1. Also the "effect" can be "prostate cancer". In particular,  prostate cancer is the object of the study, while SNP - subjects. That's why I put it to the effect column
2. The replication results are taken from the composite score rs1447295 (C/A) + (A/A), since in the original study we compare it with allele (rs1447295 (A)), so it should include both types. 
3. The claim in the text is the same for Sweden and US European population. 
4. No other matching results (but there are many more)</t>
  </si>
  <si>
    <t>Amond European Americans allele A of SNP rs1447295 was significantly associated with prostate cancer</t>
  </si>
  <si>
    <t>additional_studies214_1</t>
  </si>
  <si>
    <t>additional_studies214</t>
  </si>
  <si>
    <t>Replication follows the same paradigm but introduces a utility framing, shifts focus to individual variability in cooperative decisions, and includes slight procedural modifications.</t>
  </si>
  <si>
    <t>Curioni, A., Voinov, P. V., Matthias Allritz, Wolf, T., Call, J., &amp; Knoblich, G. (2022). Human adults prefer to cooperate even when it is costly. 289(1973). 10.1098/rspb.2022.0128</t>
  </si>
  <si>
    <t>10.1098/rspb.2022.0128</t>
  </si>
  <si>
    <t>10.1098--rspb.2022.0128.pdf</t>
  </si>
  <si>
    <t>Lalli, M. (2022). Human adults prefer to cooperate even when it is costly: A replication and extension of Curioni et al. (2022).
10.17605/OSF.IO/EVDP5</t>
  </si>
  <si>
    <t>10.17605/OSF.IO/EVDP5</t>
  </si>
  <si>
    <t>https://osf.io/evdp5?mode=&amp;revisionId=&amp;view_only=</t>
  </si>
  <si>
    <t>AWAITING ACCESS</t>
  </si>
  <si>
    <t>preference for costly cooperation</t>
  </si>
  <si>
    <t>utility, joint action, costs, cooperation</t>
  </si>
  <si>
    <t>In a modified box-clearing task, participants preferred working alone over costly cooperation, unlike previous findings, with choices influenced by personal utility and social value, highlighting individualized reasons for cooperation.</t>
  </si>
  <si>
    <t>Human adults have a stable preference for joint action, even if individual action is more effective to achieve a certain goal.</t>
  </si>
  <si>
    <t>https://aspredicted.org/jy6bb.pdf</t>
  </si>
  <si>
    <t>https://osf.io/evdp5</t>
  </si>
  <si>
    <t>additional_studies220_1</t>
  </si>
  <si>
    <t>additional_studies220</t>
  </si>
  <si>
    <t>Replication uses similar intervention and outcome measures as original but targets a different population (Italian athletes). Analysis uses comparable statistics.</t>
  </si>
  <si>
    <t>Kavussanu, M., Barkoukis, V., Hurst, P., Yukhymenko-Lescroart, M., Skoufa, L., Chirico, A., ... &amp; Ring, C. (2022). A psychological intervention reduces doping likelihood in British and Greek athletes: A cluster randomized controlled trial. Psychology of Sport and Exercise, 61, 102099. 10.1016/j.psychsport.2021.102099</t>
  </si>
  <si>
    <t>10.1016/j.psychsport.2021.102099</t>
  </si>
  <si>
    <t>10.1016--j.psychsport.2021.102099.pdf</t>
  </si>
  <si>
    <t>Kavussanu, M., Rubaltelli, E., Leo, I., Hurst, P., Giovannoni, M., Barkoukis, V., ... &amp; Ring, C. (2024). A Psychological Intervention Reduces Doping Likelihood in Italian Athletes: A Replication and Extension. Psychology of Sport and Exercise, 102761. 10.1016/j.psychsport.2024.102761</t>
  </si>
  <si>
    <t>10.1016/j.psychsport.2024.102761</t>
  </si>
  <si>
    <t>10.1016--j.psychsport.2024.102761.pdf</t>
  </si>
  <si>
    <t>doping likelihood reduction</t>
  </si>
  <si>
    <t>anti-doping, psychological intervention, moral disengagement, anticipated guilt, sports ethics</t>
  </si>
  <si>
    <t>anti-doping organisations need to target psychological variables and doping-relevant information in anti-doping education.</t>
  </si>
  <si>
    <t>The psychological intervention significantly reduced doping likelihood from pre- to post-intervention compared to the educational control.</t>
  </si>
  <si>
    <t>additional_studies223_1</t>
  </si>
  <si>
    <t>additional_studies223</t>
  </si>
  <si>
    <t>Three experiments were conducted in the original study, each with a different sample size. The reported N refers to the largest field experiment, which is the focus of the replication.</t>
  </si>
  <si>
    <t>Bryan, C. J., Walton, G. M., Rogers, T., &amp; Dweck, C. S. (2011). Motivating voter turnout by invoking the self. Proceedings of the National Academy of Sciences of the United States of America, 108(31), 12653–12656. 10.1073/pnas.1103343108 (2011).</t>
  </si>
  <si>
    <t>10.1073/pnas.1103343108</t>
  </si>
  <si>
    <t>10.1073--pnas.1103343108.pdf</t>
  </si>
  <si>
    <t>Gerber, A., Huber, G., &amp; Fang, A. (2018). Do subtle linguistic interventions priming a social identity as a voter have outsized effects on voter turnout? Evidence from a new replication experiment. Political Psychology, 39(4), 925-938. 10.1111/pops.12446</t>
  </si>
  <si>
    <t>10.1111/pops.12446</t>
  </si>
  <si>
    <t>10.1111--pops.12446.pdf</t>
  </si>
  <si>
    <t>Voter self-identity priming</t>
  </si>
  <si>
    <t>voter turnout, priming, language, identity, replication</t>
  </si>
  <si>
    <t>subtle linguistic cues embedded in voter mobilization messages dramatically increase turnout</t>
  </si>
  <si>
    <t>Describing voting as an opportunity to ‘be a voter’ rather than to ‘vote’ increased turnout by 11 percentage points.</t>
  </si>
  <si>
    <t>additional_studies225_1</t>
  </si>
  <si>
    <t>additional_studies225</t>
  </si>
  <si>
    <t>Three experiments in the original; main analysis based on final SDT experiment (N = 29). Repl. used new stimuli.</t>
  </si>
  <si>
    <t>Carter N. L., Weber M. J. (2010). Not pollyannas: Higher generalized trust predicts lie detection ability. Social Psychological and Personality Science, 1(3), 274–279. 10.1177/1948550609360261</t>
  </si>
  <si>
    <t>10.1177/1948550609360261</t>
  </si>
  <si>
    <t>10.1177--1948550609360261.pdf</t>
  </si>
  <si>
    <t>Levine, T. R., Markowitz, D. M., Serota, K. B., &amp; Brunn, M. V. (2024). A Registered Conceptual Replication and Extension of Carter and Weber (2010): Generalized Trust, Lie Prevalence, and Deception Detection. Social Psychological and Personality Science, 0(0). 10.1177/19485506241298340</t>
  </si>
  <si>
    <t>10.1177/19485506241298340</t>
  </si>
  <si>
    <t>10.1177--19485506241298340.pdf</t>
  </si>
  <si>
    <t>generalized trust predicts deception detection accuracy</t>
  </si>
  <si>
    <t>trust, lie detection, signal detection theory, bias, deception</t>
  </si>
  <si>
    <t>Generalized trust scores predicted sensitivity to deceit (d′), F(1,27)=8.44, p=.007, R² = .24.</t>
  </si>
  <si>
    <t>https://osf.io/d9gz7/</t>
  </si>
  <si>
    <t>additional_studies227_1</t>
  </si>
  <si>
    <t>additional_studies227</t>
  </si>
  <si>
    <t>Large sample study using real gambling data (N = 17,964), replication used the same methodology with updated dataset.</t>
  </si>
  <si>
    <t>Delfabbro, P., Parke, J., Catania, M. et al. Behavioural Markers of Harm and Their Potential in Identifying Product Risk in Online Gambling. Int J Ment Health Addiction (2023). 10.1007/s11469-023-01060-8</t>
  </si>
  <si>
    <t>10.1007/s11469-023-01060-8</t>
  </si>
  <si>
    <t>10.1007--s11469-023-01060-8.pdf</t>
  </si>
  <si>
    <t>Delfabbro, P., Parke, J. &amp; Catania, M. Assessing the Risk of Online Gambling Products: A Replication and Validation of Behavioural Markers of Harm Using the Problem Gambling Severity Index. J Gambl Stud (2024). 10.1007/s10899-024-10363-x</t>
  </si>
  <si>
    <t>10.1007/s10899-024-10363-x</t>
  </si>
  <si>
    <t>10.1007--s10899-024-10363-x.pdf</t>
  </si>
  <si>
    <t>gambling product risk detection through behavioral markers</t>
  </si>
  <si>
    <t>gambling, behavioral markers, product risk, harm identification, PGSI</t>
  </si>
  <si>
    <t>differences in gambling behaviour as detected by objective data monitoring can be used to identify differences in gambling product risk</t>
  </si>
  <si>
    <t>Behavioral markers such as standard deviation of bet size and duration were significantly associated with gambling product risk.</t>
  </si>
  <si>
    <t>additional_studies228_1</t>
  </si>
  <si>
    <t>additional_studies228</t>
  </si>
  <si>
    <t>One preregistered experiment (N = 419), main outcome based on prevalence-induced concept change in body judgmen</t>
  </si>
  <si>
    <t>Devine, S., Germain, N., Ehrlich, S., &amp; Eppinger, B. (2022). Changes in the prevalence of thin bodies bias young women’s judgments about body size. Psychological Science, 33(8), 1212-1225. 10.1177/09567976221082941</t>
  </si>
  <si>
    <t>10.1177/09567976221082941</t>
  </si>
  <si>
    <t>10.1177--09567976221082941.pdf</t>
  </si>
  <si>
    <t>Transparent Replications by Clearer Thinking. (2024). Report #11: Replication of a study from “Changes in the prevalence of thin bodies bias young women’s judgments about body size” (Psychological Science | Devine et al., 2022) https://replications.clearerthinking.org/replication-2022psci33-8</t>
  </si>
  <si>
    <t>https://replications.clearerthinking.org/replication-2022psci33-8</t>
  </si>
  <si>
    <t>NA - USE URL</t>
  </si>
  <si>
    <t>prevalence of thin bodies biases body size judgment</t>
  </si>
  <si>
    <t>body image, judgment, thin ideal, prevalence, concept change, self-perception</t>
  </si>
  <si>
    <t>Changes in the prevalence of thin bodies bias young women’s judgements about body size</t>
  </si>
  <si>
    <t>When the prevalence of thin bodies increased, participants judged more ambiguous (average) bodies as overweight.</t>
  </si>
  <si>
    <t>https://osf.io/e28nd/</t>
  </si>
  <si>
    <t>additional_studies230_1</t>
  </si>
  <si>
    <t>additional_studies230</t>
  </si>
  <si>
    <t>Slope not numerically specified, but clearly stated as significantly &lt; 1...interpretation confirmed based on text.</t>
  </si>
  <si>
    <t>Cornelissen, K. K., Gledhill, L. J., Cornelissen, P. L., &amp; Tovée, M. J. (2016). Visual biases in judging body weight. British Journal of Health Psychology, 21(3), 555-569. 10.1111/bjhp.12185</t>
  </si>
  <si>
    <t>10.1111/bjhp.12185</t>
  </si>
  <si>
    <t>10.1111--bjhp.12185.pdf</t>
  </si>
  <si>
    <t>Brokjøb, L. G., Cornelissen, P. L., Gumančík, J., McCarty, K., Tovée, M. J., &amp; Cornelissen, K. K. (2024). Evidence for a specific distortion in perceptual body image in eating disorders: A replication and extension. PloS one, 19(11), e0313619. 10.1371/journal.pone.0313619</t>
  </si>
  <si>
    <t>10.1371/journal.pone.0313619</t>
  </si>
  <si>
    <t>10.1371--journal.pone.0313619.pdf</t>
  </si>
  <si>
    <t>contraction bias in body size judgment</t>
  </si>
  <si>
    <t>contraction bias, body image, BMI, eating disorders, perceptual distortion</t>
  </si>
  <si>
    <t>distortion in perceptual body image in eating disorders</t>
  </si>
  <si>
    <t>Participants showed a progressive underestimation of overweight and obese bodies, with a regression slope significantly &lt; 1.</t>
  </si>
  <si>
    <t>&lt;.0001</t>
  </si>
  <si>
    <t>&lt;1</t>
  </si>
  <si>
    <t>https://osf.io/nhsyv/</t>
  </si>
  <si>
    <t>additional_studies234_1</t>
  </si>
  <si>
    <t>additional_studies234</t>
  </si>
  <si>
    <t>The original study reports outcomes descriptively without inferential statistics or effect sizes. Therefore, no effect size values or types could be coded.</t>
  </si>
  <si>
    <t>Olma, J., Sutter, C., &amp; Sülzenbrück, S. Blended police firearms training improves performance in shoot/don't shoot scenarios: A systematic replication with police cadets. Frontiers in Psychology, 15, 1495812. 10.3389/fpsyg.2024.1495812</t>
  </si>
  <si>
    <t>10.3389/fpsyg.2024.1495812</t>
  </si>
  <si>
    <t>10.3389--fpsyg.2024.1495812.pdf</t>
  </si>
  <si>
    <t>tactical decision-making and gaze control in shoot/don’t shoot scenarios</t>
  </si>
  <si>
    <t>police training, firearms, gaze control, decision-making, replication, attention</t>
  </si>
  <si>
    <t>Senior police officers' tactical gaze control and visual attention improve with an individual videobased police firearms training</t>
  </si>
  <si>
    <t>Blended training improved tactical gaze control and response time in police cadets.</t>
  </si>
  <si>
    <t>additional_studies235_1</t>
  </si>
  <si>
    <t>additional_studies235</t>
  </si>
  <si>
    <t>Hyun, J. S., &amp; Luck, S. J. (2007). Visual working memory as the substrate for mental rotation. Psychonomic Bulletin &amp; Review, 14, 154–158. 10.3758/BF03194043</t>
  </si>
  <si>
    <t>10.3758/BF03194043</t>
  </si>
  <si>
    <t>10.3758--bf03194043.pdf</t>
  </si>
  <si>
    <t>Ebert, W.M., Jost, L., Jansen, P. et al. Visual working memory as the substrate for mental rotation: A replication. Psychon Bull Rev (2024). 10.3758/s13423-024-02602-4</t>
  </si>
  <si>
    <t>10.3758/s13423-024-02602-4</t>
  </si>
  <si>
    <t>10.3758--s13423-024-02602-4.pdf</t>
  </si>
  <si>
    <t>object working memory involvement in mental rotation</t>
  </si>
  <si>
    <t>visual working memory, mental rotation, object memory, spatial memory, replication</t>
  </si>
  <si>
    <t>Original study proposed that visual working memory supports mental rotation; replication confirms object-based rather than spatial memory is implicated.</t>
  </si>
  <si>
    <t>Object working memory, but not spatial working memory, is employed during mental rotation.</t>
  </si>
  <si>
    <t>additional_studies236_1</t>
  </si>
  <si>
    <t>additional_studies236</t>
  </si>
  <si>
    <t>Replication used comparable psychophysiological measures and design, extended the original study by including additional moderators and a different sample population.</t>
  </si>
  <si>
    <t>Soroka, S., Fournier, P., &amp; Nir, L. (2019). Cross-national evidence of a negativity bias in psychophysiological reactions to news. Proceedings of the National Academy of Sciences, 116(38), 18888-18892. 10.1073/pnas.1908369116</t>
  </si>
  <si>
    <t>10.1073/pnas.1908369116</t>
  </si>
  <si>
    <t>10.1073--pnas.1908369116.pdf</t>
  </si>
  <si>
    <t>Dubèl, R., Schumacher, G., Homan, M. D., Peterson, D., &amp; Bakker, B. N. (2024). Replicating and extending Soroka, Fournier, and Nir: Negative news increases arousal and negative affect. Media and Communication, 12. 10.17645/mac.7807</t>
  </si>
  <si>
    <t>10.17645/mac.7807</t>
  </si>
  <si>
    <t>10.17645--mac.7807.pdf</t>
  </si>
  <si>
    <t>negativity bias in psychophysiological reactions to news</t>
  </si>
  <si>
    <t>news, negativity bias, arousal, affect, psychophysiology, replication</t>
  </si>
  <si>
    <t>Negative News Increases Arousal and Negative Affect</t>
  </si>
  <si>
    <t>Negative news elicits stronger physiological and affective responses compared to neutral or positive content.</t>
  </si>
  <si>
    <t>additional_studies240_1</t>
  </si>
  <si>
    <t>additional_studies240</t>
  </si>
  <si>
    <t>Replication was preregistered and closely followed original experimental procedures. However, authors did not report effect size or exact p-value; results were described as non-significant and interpreted descriptively. Likely omitted due to null findings and focus on preregistered design rather than statistical magnitude.</t>
  </si>
  <si>
    <t>Iyengar, S., Kinder, D. R., Peters, M. D., &amp; Krosnick, J. A. (1984). The evening news and presidential evaluations. Journal of personality and social psychology, 46(4), 778. https://psycnet.apa.org/doi/10.1037/0022-3514.46.4.778</t>
  </si>
  <si>
    <t>10.1037/0022-3514.46.4.778</t>
  </si>
  <si>
    <t>10.1037--0022-3514.46.4.778.pdf</t>
  </si>
  <si>
    <t>Kobayashi, T., Miura, A., &amp; Inamasu, K. (2017). Media Priming Effect: A Preregistered Replication Experiment. Journal of Experimental Political Science, 4(1), 81–94. doi:10.1017/XPS.2017.8</t>
  </si>
  <si>
    <t>10.1017/XPS.2017.8</t>
  </si>
  <si>
    <t>10.1017--xps.2017.8.pdf</t>
  </si>
  <si>
    <t>media priming effect</t>
  </si>
  <si>
    <t>media effects, presidential evaluations, priming, political psychology, Japan, replication</t>
  </si>
  <si>
    <t>Media Priming Effect</t>
  </si>
  <si>
    <t>Television news programs help define the standards by which presidents are evaluated by emphasizing certain issues.</t>
  </si>
  <si>
    <t>&lt;0.05</t>
  </si>
  <si>
    <t>https://osf.io/bgk29/</t>
  </si>
  <si>
    <t>additional_studies255_1</t>
  </si>
  <si>
    <t>additional_studies255</t>
  </si>
  <si>
    <t>Wälchli, M., Ruffieux, J., Bourquin, Y., Keller, M., &amp; Taube, W. (2016). Maximizing performance: augmented feedback, focus of attention, and/or reward?. Medicine and science in sports and exercise, 48(4), 714. https://doi.org/10.1249/MSS.0000000000000818</t>
  </si>
  <si>
    <t>10.1249/MSS.0000000000000818</t>
  </si>
  <si>
    <t>10.1249--mss.0000000000000818.pdf</t>
  </si>
  <si>
    <t>Bakhshinejad, J., Hutchinson, J. C., Murphy, J., Trainor, L., Friedman, S., &amp; Coker, N. The Effects of Augmented Feedback, Focus of Attention, and Monetary Reward on Vertical Jump Height: A Replication Study. International Journal of Exercise Science, 18(7), 13-26. https://doi.org/10.70252/NKKY8370</t>
  </si>
  <si>
    <t>10.70252/NKKY8370</t>
  </si>
  <si>
    <t>10.70252--nkky8370.pdf</t>
  </si>
  <si>
    <t>Sports Science</t>
  </si>
  <si>
    <t>MOVEMENT EFFICIENCY</t>
  </si>
  <si>
    <t>COUNTERMOVEMENT, JUMP, MOVEMENT EFFICIENCY, INTRINSIC, EXTRINSIC, MOTIVATION</t>
  </si>
  <si>
    <t>Effects of Augmented Feedback, Focus of Attention, and Monetary Reward on Vertical Jump Height</t>
  </si>
  <si>
    <t>A one-way repeated-measures ANOVA revealed significant differences between conditions (F5,85 = 9.092; P G 0.001; G2 p = 0.348).</t>
  </si>
  <si>
    <t>https://osf.io/56bkg/registrations</t>
  </si>
  <si>
    <t>additional_studies256_1</t>
  </si>
  <si>
    <t>additional_studies256</t>
  </si>
  <si>
    <t xml:space="preserve">there are several replicated effects. I reported the most general effect of the diffrence between the three conditions. But table 3 in the r_paper (page 6) summarize nicely all the original and replicated effects. I didn't repot them because I didin't know if I should but I can if you want. </t>
  </si>
  <si>
    <t>Zarkadi, T., &amp; Schnall, S. (2013). “Black and White” thinking : Visual contrast polarizes moral judgment. Journal of Experimental Social Psychology, 49(3), 355‑359. https://doi.org/10.1016/j.jesp.2012.11.012</t>
  </si>
  <si>
    <t>10.1016/j.jesp.2012.11.012</t>
  </si>
  <si>
    <t>10.1016--j.jesp.2012.11.012.pdf</t>
  </si>
  <si>
    <t>Vezirian, K., Sarda, E., Bègue, L., Laine, P.-J., &amp; IJzerman, H. (2025). “Black-and-White” thinking : Does visual contrast polarize moral judgment? Independent replications and extension of Study 1. Journal of Experimental Social Psychology, 117, 104712. https://doi.org/10.1016/j.jesp.2024.104712</t>
  </si>
  <si>
    <t>10.1016/j.jesp.2024.104712</t>
  </si>
  <si>
    <t>10.1016--j.jesp.2024.104712.pdf</t>
  </si>
  <si>
    <t>Moral judgment, Morality, Embodiment, Metaphor, Visual contrast, Black and white</t>
  </si>
  <si>
    <t>Black-and-white priming, priming of a black-and-white visual pattern polarizes moral judgment</t>
  </si>
  <si>
    <t>To assess judgment polarization, we computed a deviation score corresponding to each rating's absolute distance from the scale's mid-point “4”. Results revealed that mean deviation scores differed signifi-cantly among conditions, F(2, 108)=4.24, p=.02, ηp2=.07.</t>
  </si>
  <si>
    <t>additional_studies257_1</t>
  </si>
  <si>
    <t>additional_studies257</t>
  </si>
  <si>
    <t>many replicated effects but I reported the four-way interaction</t>
  </si>
  <si>
    <t>Bradley, B. P., Mogg, K., Falla, S. J., &amp; Hamilton, L. R. (1998). Attentional bias for threatening facial expressions in anxiety: Manipulation of stimulus duration. Cognition &amp; emotion, 12(6), 737-753. https://doi.org/10.1080/026999398379411</t>
  </si>
  <si>
    <t>10.1080/026999398379411</t>
  </si>
  <si>
    <t>10.1080--026999398379411.pdf</t>
  </si>
  <si>
    <t>Mogg, K., &amp; Bradley, B. P. (1999). Some methodological issues in assessing attentional biases for threatening faces in anxiety: A replication study using a modified version of the probe detection task. Behaviour research and therapy, 37(6), 595-604. https://doi.org/10.1016/S0005-7967(98)00158-2</t>
  </si>
  <si>
    <t>10.1016/S0005-7967(98)00158-2</t>
  </si>
  <si>
    <t>10.1016--s0005-7967(98)00158-2.pdf</t>
  </si>
  <si>
    <t>attentional biases</t>
  </si>
  <si>
    <t>Attentional Bias, Facial Expressions, probe task</t>
  </si>
  <si>
    <t>probe detection task</t>
  </si>
  <si>
    <t>The four-way interaction of trait anxiety x face type x face location x  probe location was signicant [F(1,36) = 11.08, P &lt; .01],</t>
  </si>
  <si>
    <t>F(1,36) = 11.08</t>
  </si>
  <si>
    <t>F(1, 36)= 4.70</t>
  </si>
  <si>
    <t>additional_studies259_1</t>
  </si>
  <si>
    <t>additional_studies259</t>
  </si>
  <si>
    <t xml:space="preserve">not clear which effect I need to report. the interactions effects were only added in the r_study so I reported the bivariate correlation between CTSC-R and WAI-SF-P/WAI-SR; I reported effect sizes = r but specifically the effect sizes in the paper are Spearman’s correlation coefficients (rs). </t>
  </si>
  <si>
    <t>Owen, J., Reese, R. J., Quirk, K., &amp; Rodolfa, E. (2013). Alliance in Action: A new measure of clients' perceptions of therapists' alliance activity. Psychotherapy Research, 23(1), 67–77. https://doi.org/10.1080/10503307.2012.731088</t>
  </si>
  <si>
    <t>10.1080--10503307.2012.731088.pdf</t>
  </si>
  <si>
    <t>Katz, M., Hilsenroth, M., Rokah, N., Wolster, O., &amp; Ziv‐Beiman, S. (2025). The Interaction Between Alliance and Technique Use in the Prediction of Client Change: Replication and Extension of Owen et al.(2013) in a Different Cultural Context. Clinical Psychology &amp; Psychotherapy, 32(2), e70057. https://doi.org/10.1002/cpp.70057</t>
  </si>
  <si>
    <t>10.1002/cpp.70057</t>
  </si>
  <si>
    <t>10.1002--cpp.70057.pdf</t>
  </si>
  <si>
    <t>Alliance in Action (AiA)</t>
  </si>
  <si>
    <t>alliance; psychotherapy; session outcomes; multilevel modeling</t>
  </si>
  <si>
    <t>Interaction Between Alliance and Technique Use in the Prediction of Client Change</t>
  </si>
  <si>
    <t>Table III. Bivariate correlations, means, and standard deviations</t>
  </si>
  <si>
    <t>rs</t>
  </si>
  <si>
    <t>additional_studies260_1</t>
  </si>
  <si>
    <t>additional_studies260</t>
  </si>
  <si>
    <t>I reported the r_results from a table in page 29.</t>
  </si>
  <si>
    <t>Anderson, C., Brion, S., Moore, D. A., &amp; Kennedy, J. A. (2012). A status-enhancement account of overconfidence. Journal of Personality and Social Psychology, 103(4), 718–735. https://doi.org/10.1037/a0029395</t>
  </si>
  <si>
    <t>110.1037--a0029395.pdf</t>
  </si>
  <si>
    <t>Mayiwar, L., Løhre, E., Chandrashekar, S. P., &amp; Hærem, T. (2025). Desire for status is positively associated with overconfidence: A replication and extension of study 5 in C. Anderson, Brion, et al. (2012). Journal of Personality and Social Psychology. Advance online publication. https://doi.org/10.1037/pspa0000444</t>
  </si>
  <si>
    <t>10.1037/pspa0000444</t>
  </si>
  <si>
    <t>10.1037--pspa0000444.pdf</t>
  </si>
  <si>
    <t>overconfidence</t>
  </si>
  <si>
    <t>overconfidence, self­perception, status, power, groups, person­perception</t>
  </si>
  <si>
    <t>Desire for status is positively associated with overconfidence</t>
  </si>
  <si>
    <t>A simultaneous regression equation with the eight predictors, including the three
need measures and all Big Five dimensions, appears in Table 3. As shown, out of all the
independent variables, the need for dominance was the only significant predictor of
overconfidence and the link between the need for dominance and overconfidence was
substantial, with a standardized beta of .42. This suggests that individuals who more
strongly desired positions of higher status and influence tended to be more overconfident
in their task abilities....Need for Dominance 1.22 0.46 .42 2.64*</t>
  </si>
  <si>
    <t>40,79</t>
  </si>
  <si>
    <t>p.79</t>
  </si>
  <si>
    <t>https://osf.io/6m2hx/registrations</t>
  </si>
  <si>
    <t>additional_studies261_1</t>
  </si>
  <si>
    <t>additional_studies261</t>
  </si>
  <si>
    <t>Not clear what effect I needed to report. I think what would have made the most sense to me is to report the MANOVA analysis but the r_study didn't make any group comparaison. So I reported the Logistic Regression Analysis of Veracity as a Function of face surprise during the direct appeal (o_effect from table 4 and r_effect from table 4); in o_study OR = 12.49; in r_study confidence interval = 95%CI [−3.35, 1.31]</t>
  </si>
  <si>
    <t>Ten Brinke, L., &amp; Porter, S. (2012). Cry me a river: identifying the behavioral consequences of extremely high-stakes interpersonal deception. Law and Human Behavior, 36(6), 469. https://doi.org/10.1037/h0093929</t>
  </si>
  <si>
    <t>110.1037--h0093929.pdf</t>
  </si>
  <si>
    <t>ten Brinke, L., Sprigings, S., Brown, C., Kam, C., &amp; Delmas, H. (2025). Behavioral detection of emotional, high-stakes deception: Replication in a registered report. Law and Human Behavior. Advance online publication. https://doi.org/10.1037/lhb0000596</t>
  </si>
  <si>
    <t>10.1037/lhb0000596</t>
  </si>
  <si>
    <t>10.1037--lhb0000596.pdf</t>
  </si>
  <si>
    <t>Law</t>
  </si>
  <si>
    <t>deception</t>
  </si>
  <si>
    <t>deceptive behavior, emotional facial expression, body language, verbal/linguistic cues</t>
  </si>
  <si>
    <t>Behavioral detection of emotional, high-stakes deception</t>
  </si>
  <si>
    <t>Table 4 Logistic Regression Analysis of Veracity as a Function of Selected Verbal and Emotional Variables During the Direct Appeal...Upper face surprise 2.52 0.76 18.86 6.90** 12.49</t>
  </si>
  <si>
    <t>https://osf.io/quy4w</t>
  </si>
  <si>
    <t>additional_studies262_1</t>
  </si>
  <si>
    <t>additional_studies262</t>
  </si>
  <si>
    <t>effects are reported from tables</t>
  </si>
  <si>
    <t>McCann B. T., Bahl M. (2017). The influence of competition from informal firms on new product development. Strategic Management Journal, 38, 1518–1535. https://doi.org/10.1002/smj.2585</t>
  </si>
  <si>
    <t>110.1002--smj.2585.pdf</t>
  </si>
  <si>
    <t>Skiadopoulou, A., Mortal, S., &amp; Gupta, V. K. (2025). Does competition from informal firms impact new product development? Systematic replication and extension of McCann and Bahl (2017). Journal of Management Scientific Reports, 0(0). https://doi.org/10.1177/27550311251323281</t>
  </si>
  <si>
    <t>10.1177/27550311251323281</t>
  </si>
  <si>
    <t>10.1177--27550311251323281.pdf</t>
  </si>
  <si>
    <t>new product development</t>
  </si>
  <si>
    <t>informal competition; new product develop-ment; attention-based view; emerging economies; compet-itive strategy</t>
  </si>
  <si>
    <t>influence of competition from informal firms on new product development</t>
  </si>
  <si>
    <t>Consistent with our anticipation of a relationship between infor-mal competition and NPD, firms who face infor-mal competition are more likely (81.5%) to have engaged in NPD versus firms who do not face infor-mal competition (77.0%)....Table 1. Descriptive statistics</t>
  </si>
  <si>
    <t>additional_studies263_1</t>
  </si>
  <si>
    <t>additional_studies263</t>
  </si>
  <si>
    <r>
      <rPr>
        <rFont val="Calibri"/>
        <sz val="11.0"/>
      </rPr>
      <t xml:space="preserve">replication paper pdf: </t>
    </r>
    <r>
      <rPr>
        <rFont val="Calibri"/>
        <color rgb="FF1155CC"/>
        <sz val="11.0"/>
        <u/>
      </rPr>
      <t>https://drive.google.com/drive/folders/1XdNtTYLrRDSL61grYK8dJXZB1kkiupM7?fbclid=IwAR1-au-XQdaRXsJBnw-w6esGES_qKYWeKBV0SnS-r6XGLb52A6RG0duPjXg</t>
    </r>
    <r>
      <rPr>
        <rFont val="Calibri"/>
        <sz val="11.0"/>
      </rPr>
      <t xml:space="preserve"> ; the o_study reported that variety seeking is higher in the morning than the afternoon for candy bars (sneekers) but the r_study reported the same analysis for chocolate, soft drinks and crisps. So I reported the first effect for the r_study (chocolate); Also, the o_effect and r_effect are significant but they are opposite: for the o_paper (exp1) variety seeking is higher in the morning than the afternoon for candy bars but for the r_paper variety seeking is higher in the afternoon than in the morning for chocolate. </t>
    </r>
  </si>
  <si>
    <t>Roehm, H. A., &amp; Roehm, M. L. (2004). Variety-seeking and time of day: Why leader brands hope young adults shop in the afternoon, but follower brands hope for morning. Marketing Letters, 15, 213-221. https://doi.org/10.1007/s11002-005-0457-y</t>
  </si>
  <si>
    <t>110.1007--s11002-005-0457-y.pdf</t>
  </si>
  <si>
    <t>Trinh, G. T. (2025). Variety-seeking and time of day: a replication. Marketing Letters, 1-12. https://doi.org/10.1007/s11002-025-09771-9</t>
  </si>
  <si>
    <t>110.1007/s11002-025-09771-9</t>
  </si>
  <si>
    <t>10.1007--s11002-025-09771-9.pdf</t>
  </si>
  <si>
    <t>Variety-Seeking</t>
  </si>
  <si>
    <t>variety-seeking, brand choice</t>
  </si>
  <si>
    <t>leader brands hope young adults shop in the afternoon, but follower brands hope for morning</t>
  </si>
  <si>
    <t>This analysis revealed a main effect for time of day (F(1, 42) = 17.30, p &lt; .01), such that means in the diurnal peak condition (M = 3.55) were lower than in the diurnal low condition (M = 5.41).</t>
  </si>
  <si>
    <t>F(1, 42) = 17.30</t>
  </si>
  <si>
    <t>Karolina</t>
  </si>
  <si>
    <t>av_142_1</t>
  </si>
  <si>
    <t>av_142</t>
  </si>
  <si>
    <t>Karolina Urbanska</t>
  </si>
  <si>
    <t>R1</t>
  </si>
  <si>
    <t>Helzer, E. G., &amp; Pizarro, D. A. (2011). Dirty liberals! Reminders of
 physical cleanliness influence moral and political attitudes. Psycholog_x0002_ical Science, 22, 517–522. http://dx.doi.org/10.1177/0956797611402514</t>
  </si>
  <si>
    <t>10.1177/0956797611402514</t>
  </si>
  <si>
    <t>10.1177--0956797611402514.pdf</t>
  </si>
  <si>
    <t>Burnham, B. R. (2020). Are liberals really dirty? Two failures to replicate Helzer and Pizarro’s (2011) study 1, with meta-analysis. Journal of Personality and Social Psychology, 119(6), e38–e42. https://doi.org/10.1037/pspa0000238</t>
  </si>
  <si>
    <t>10.1037/pspa0000238</t>
  </si>
  <si>
    <t>10.1037--pspa0000238.pdf</t>
  </si>
  <si>
    <t>Impact of physical cleanliness on political attitudes</t>
  </si>
  <si>
    <t>morality, social cognition, priming</t>
  </si>
  <si>
    <t>Individuals in a public setting who were given a reminder of physical cleansing reported being more politically conservative than did individuals who were not given such a reminder.</t>
  </si>
  <si>
    <t>(...) participants who reported their political attitudes in the presence of the hand-sanitizer dispenser reported a less liberal political orientation (M = 4.30) than did participants in the control condition (M = 4.93), t(50) = 2.31, p &lt;.05, d = 0.89.</t>
  </si>
  <si>
    <t>e39</t>
  </si>
  <si>
    <t>av_142_b</t>
  </si>
  <si>
    <t>R2</t>
  </si>
  <si>
    <t>10.1177/0956797611402515</t>
  </si>
  <si>
    <t>Burnham, B. R. (2020). Are liberals really dirty? Two failures to replicate Helzer and Pizarro’s (2011) study 1, with meta-analysis. Journal of Personality and Social Psychology, 119(6), e38–e42. https://doi.org/10.1037/pspa0000239</t>
  </si>
  <si>
    <t>10.1037/pspa0000239</t>
  </si>
  <si>
    <t>av_146_1</t>
  </si>
  <si>
    <t>av_146</t>
  </si>
  <si>
    <t>Mickley Steinmetz, K. R., Knight, A. G., &amp; Kensinger, E. A. (2016).
 Neutral details associated with emotional events are
 encoded: Evidence from a cued recall paradigm. Cognition
 and Emotion, 30(7), 1352–1360.</t>
  </si>
  <si>
    <t>10.1080/02699931.2015.1059317</t>
  </si>
  <si>
    <t>10.1080--02699931.2015.1059317.pdf</t>
  </si>
  <si>
    <t>Madan, C. R., Knight, A. G., Kensinger, E. A., &amp; Mickley Steinmetz, K. R. (2020). Affect enhances object-background associations: evidence from behaviour and mathematical modelling. Cognition and Emotion, 34(5), 960–969. https://doi.org/10.1080/02699931.2019.1710110</t>
  </si>
  <si>
    <t>10.1080/02699931.2019.1710110</t>
  </si>
  <si>
    <t>10.1080--02699931.2019.1710110.pdf</t>
  </si>
  <si>
    <t>Emotion-induced memory trade-off in recognition</t>
  </si>
  <si>
    <t>Emotional items were more likely than neutral items to trigger recall of the associated background.</t>
  </si>
  <si>
    <t>These main effects were qualified (...) by a Cue Type by Valence interaction, F(2,88) = 29.438, p &lt; .001, partial eta squared = .401.</t>
  </si>
  <si>
    <t>Marta</t>
  </si>
  <si>
    <t>av_28_1</t>
  </si>
  <si>
    <t>av_28_a</t>
  </si>
  <si>
    <t>Marta Kolczynska</t>
  </si>
  <si>
    <t>study with reused stimulus set</t>
  </si>
  <si>
    <t>Topolinski, S., Maschmann, I. T., Pecher, D., &amp; Winkielman, P. (2014). Oral approach-avoidance: affective consequences of muscular articulation dynamics. Journal of Personality and Social Psychology, 106, 885–896. http://dx.doi.org/10.1037/a0036477</t>
  </si>
  <si>
    <t>10.1037/a0036477</t>
  </si>
  <si>
    <t>10.1037--a0036477.pdf</t>
  </si>
  <si>
    <t>Godinho, S., &amp; Garrido, M. V. (2015). Oral approach‐avoidance: A replication and extension for European–Portuguese phonation. European Journal of Social Psychology, 46(2), 260–264. Portico. https://doi.org/10.1002/ejsp.2172</t>
  </si>
  <si>
    <t>10.1002/ejsp.2172</t>
  </si>
  <si>
    <t>10.1002--ejsp.2172.pdf</t>
  </si>
  <si>
    <t>oral approach avoidance</t>
  </si>
  <si>
    <t>approach-avoidance, articulation, embodiment, metaphors, phonation</t>
  </si>
  <si>
    <t>the articulation of inward and outward words induces motivational states associated with deglutition and expectoration—namely, approach and avoidance</t>
  </si>
  <si>
    <t>in Table 1: t(35) = 2.66, p = .012; d = 0.26; 95% CI [0.6, 0.44]</t>
  </si>
  <si>
    <t>p. 888</t>
  </si>
  <si>
    <t>=</t>
  </si>
  <si>
    <t>p. 262</t>
  </si>
  <si>
    <t>av_28_b</t>
  </si>
  <si>
    <t>study with new stimulus set for Portuguese speakers</t>
  </si>
  <si>
    <t>&lt;</t>
  </si>
  <si>
    <t>av_35_1</t>
  </si>
  <si>
    <t>av_35</t>
  </si>
  <si>
    <t>the replication does not seem to have a single test of differences between groups, but reports by group results (H1, p. 1679)</t>
  </si>
  <si>
    <t>Stevens, C., Lauinger, B., &amp; Neville, H. (2009). Differences in the neural mechanisms of selective attention in children from different socioeconomic backgrounds: An event-related brain potential study. Developmental Science, 12, 634–646. http://dx.doi.org/10.1111/j.1467-7687.2009.00807.x</t>
  </si>
  <si>
    <t>10.1111/j.1467-7687.2009.00807.x</t>
  </si>
  <si>
    <t>10.1111--j.1467-7687.2009.00807.x.pdf</t>
  </si>
  <si>
    <t>Giuliano, R. J., Karns, C. M., Roos, L. E., Bell, T. A., Petersen, S., Skowron, E. A., Neville, H. J., &amp; Pakulak, E. (2018). Effects of early adversity on neural mechanisms of distractor suppression are mediated by sympathetic nervous system activity in preschool-aged children. Developmental Psychology, 54(9), 1674–1686. https://doi.org/10.1037/dev0000499</t>
  </si>
  <si>
    <t>10.1037/dev0000499</t>
  </si>
  <si>
    <t>10.1037--dev0000499.pdf</t>
  </si>
  <si>
    <t>selective attention</t>
  </si>
  <si>
    <t>selective attention, early adversity</t>
  </si>
  <si>
    <t>Children whose mothers had lower levels of educational attainmentshowed reduced effects of selective attention on neural processing relative to children whose mothers had higher levels of educational attainment</t>
  </si>
  <si>
    <t>the magnitude of the effect of attention was significantly larger in the higher than in the lower maternal education group, unpaired t(30) = 3.6, p = .001</t>
  </si>
  <si>
    <t>t(30) = 3.6</t>
  </si>
  <si>
    <t>p. 640</t>
  </si>
  <si>
    <t>results by group: zero risk group: t(32) = 2.06; one risk group: t(42) = 2.25; two or more risk factors: t(27) = 1.33</t>
  </si>
  <si>
    <t>p. 1679</t>
  </si>
  <si>
    <t>results by group: zero risk group: p = .048; one risk group: p = .030; two or more risk factors: p = .196</t>
  </si>
  <si>
    <t>av_36_1</t>
  </si>
  <si>
    <t>av_36</t>
  </si>
  <si>
    <t>r experiment 1 replicates hand size part of o expertiment 3</t>
  </si>
  <si>
    <t>Linkenauger, S. A., Witt, J. K., Bakdash, J. Z., Stefanucci, J. K., &amp; Proffitt, D. R. (2009). Asymmetrical body perception: A possible role for neural body representations. Psychological Science, 20, 1373–1380. http://dx.doi.org/10.1111/j.1467-9280.2009.02447.x</t>
  </si>
  <si>
    <t>10.1111/j.1467-9280.2009.02447.x</t>
  </si>
  <si>
    <t>10.1111--j.1467-9280.2009.02447.x.pdf</t>
  </si>
  <si>
    <t>Collier, E. S., &amp; Lawson, R. (2017). It’s out of my hands! Grasping capacity may not influence perceived object size. Journal of Experimental Psychology: Human Perception and Performance, 43(4), 749–769. https://doi.org/10.1037/xhp0000331</t>
  </si>
  <si>
    <t>10.1037/xhp0000331</t>
  </si>
  <si>
    <t>10.1037--xhp0000331.pdf</t>
  </si>
  <si>
    <t>assymetric body perception</t>
  </si>
  <si>
    <t>body perception, vision</t>
  </si>
  <si>
    <t>right-handed participants perceived their [...] right hands to be longer than their left [...] hands,</t>
  </si>
  <si>
    <t>participants were accurate in perceiving the size of their right hand, p_rep = .50, but underestimated the size of their left hand, t(13) = 1.82, p_rep = .89, etq^2_p = 0.20</t>
  </si>
  <si>
    <t>eta_sq</t>
  </si>
  <si>
    <t>p. 1377</t>
  </si>
  <si>
    <t>chi^2(1, N  = 50) = 15.7</t>
  </si>
  <si>
    <t>p. 751</t>
  </si>
  <si>
    <t>av_38_1</t>
  </si>
  <si>
    <t>av_38_a</t>
  </si>
  <si>
    <t>r study 1, DV = relationship satisfaction</t>
  </si>
  <si>
    <t>Impett, E. A., Peplau, L. A., &amp; Gable, S. L. (2005). Approach and avoidance sexual motivation: Implications for personal and interpersonal well-being. Personal Relationships, 12, 465-482. doi:10.1111/j.1475-6811.2005.00126.x</t>
  </si>
  <si>
    <t>10.1111/j.1475-6811.2005.00126.x</t>
  </si>
  <si>
    <t>10.1111--j.1475-6811.2005.00126.x.pdf</t>
  </si>
  <si>
    <t>Muise, A., Impett, E. A., &amp; Desmarais, S. (2013). Getting It On Versus Getting It Over With. Personality and Social Psychology Bulletin, 39(10), 1320–1332. https://doi.org/10.1177/0146167213490963</t>
  </si>
  <si>
    <t>10.1177/0146167213490963</t>
  </si>
  <si>
    <t>10.1177--0146167213490963.pdf</t>
  </si>
  <si>
    <t>sexual motivation</t>
  </si>
  <si>
    <t>sexual motivation, sexual desire, romantic relationships, satisfaction</t>
  </si>
  <si>
    <t>how approach and avoidance motives for engaging in sex in intimate relationships are associated with personal well-being and relationship quality</t>
  </si>
  <si>
    <t>statistical result in Table 1; approach sex motives were significantly and positively related to satisfaction [...] Avoidance sex motives, in contrast, were [...] negatively associated with satisfaction</t>
  </si>
  <si>
    <t>b_approach = 0.35; b_avoid = -0.17</t>
  </si>
  <si>
    <t>b</t>
  </si>
  <si>
    <t>p. 473</t>
  </si>
  <si>
    <t>p_approach: 0.001; p_avoid: 0.05</t>
  </si>
  <si>
    <t>F(1, 424) = 76.51</t>
  </si>
  <si>
    <t>p. 1323</t>
  </si>
  <si>
    <t>av_38_b</t>
  </si>
  <si>
    <t>r study 2, DV = relationship satisfaction</t>
  </si>
  <si>
    <t>b_approach = 0.33; b_avoid = -0.29</t>
  </si>
  <si>
    <t>p. 1325</t>
  </si>
  <si>
    <t>p_approach: 0.001; p_avoid: 0.001</t>
  </si>
  <si>
    <t>av_39_1</t>
  </si>
  <si>
    <t>av_39_a</t>
  </si>
  <si>
    <t>r study 1; effect of race on historical knowledge (other effects could be selected; I chose the one highlighted in the r abstract); reversed coding of race in o and r studies</t>
  </si>
  <si>
    <t>Bonam, C. M., Das, V. N., Coleman, B. R., &amp; Salter, P. (2018). Ignoring history, denying racism: Mounting evidence for the Marley hypothesis and epistemologies of ignorance. Social Psychological and Personality Science; 10(2), 257-265. doi:10.1177/1948550617751583</t>
  </si>
  <si>
    <t>10.1177/1948550617751583</t>
  </si>
  <si>
    <t>10.1177--1948550617751583.pdf</t>
  </si>
  <si>
    <t>Strickhouser, J. E., Zell, E., &amp; Harris, K. E. (2018). Ignorance of History and Perceptions of Racism: Another Look at the Marley Hypothesis. Social Psychological and Personality Science, 10(7), 977–985. https://doi.org/10.1177/1948550618808863</t>
  </si>
  <si>
    <t>10.1177/1948550618808863</t>
  </si>
  <si>
    <t>10.1177--1948550618808863.pdf</t>
  </si>
  <si>
    <t>racism knowledge and racism denial</t>
  </si>
  <si>
    <t>social perception, racism, racism denial</t>
  </si>
  <si>
    <t>Whites (vs. Blacks) displayed less critical historical knowledge</t>
  </si>
  <si>
    <t>statistical result in Figure 1; the index of sensitivity (d'), which Nelson and colleagues referred to as reality attunement, followed the same pattern: Black (vs. White) participants more often effectively discriminated between truthful signal and fictional noise, d = .49</t>
  </si>
  <si>
    <t>av_39_b</t>
  </si>
  <si>
    <t>r study 2; effect of race on historical knowledge (other effects could be selected; I chose the one highlighted in the r abstract); reversed coding of race in o and r studies</t>
  </si>
  <si>
    <t>av_41_1</t>
  </si>
  <si>
    <t>av_41_a</t>
  </si>
  <si>
    <t>replication of original study with tiles</t>
  </si>
  <si>
    <t>Anderson, J. A., &amp; Grice, J. W. (2009) Replicating a simple study of asymmetry in human cognition. Perceptual and Motor Skills, 109, 577-580. doi: 10.2466/pms.109.2.577-580</t>
  </si>
  <si>
    <t>10.2466/pms.109.2.577-580</t>
  </si>
  <si>
    <t>10.2466--pms.109.2.577-580.pdf</t>
  </si>
  <si>
    <t>Anderson, J. A., Ramirez, D., &amp; Stephenson, D. (2012). Asymmetry in Human Cognition: Further Replication and Extension. Perceptual and Motor Skills, 114(1), 185–188. https://doi.org/10.2466/20.22.pms.114.1.185-188</t>
  </si>
  <si>
    <t>10.2466/20.22.PMS.114.1.185-188</t>
  </si>
  <si>
    <t>10.2466--20.22.pms.114.1.185-188.pdf</t>
  </si>
  <si>
    <t>assymetry in human cognition</t>
  </si>
  <si>
    <t>Lefebvre, self-reflection</t>
  </si>
  <si>
    <t>individuals should identify the stimuli as “good” for 61.8% of the choices and “bad” for 38.2% of the choices</t>
  </si>
  <si>
    <t>Participants’ responses did not differ significantly, on the average, from the number of beans placed in the “+” tray as predicted by the model (t25 = 0.12, p = .907; η2 = .001; 95%CI = 27.82, 34.56).</t>
  </si>
  <si>
    <t>p. 578</t>
  </si>
  <si>
    <t>av_41_b</t>
  </si>
  <si>
    <t>av_41_c</t>
  </si>
  <si>
    <t>replication of original study with beans</t>
  </si>
  <si>
    <t>av_41_d</t>
  </si>
  <si>
    <t>replication of original study, pooled</t>
  </si>
  <si>
    <t>av_46_1</t>
  </si>
  <si>
    <t>av_46_a</t>
  </si>
  <si>
    <t>replicates original study 2 (only Serbian sample; not pooled sample)</t>
  </si>
  <si>
    <t>Eyal, T., Liberman, N., &amp; Trope, Y. (2008). Judging near and distant virtue and vice. Journal of Experimental Social Psychology, 44, 1204–1209.</t>
  </si>
  <si>
    <t>10.1016/j.jesp.2008.03.012</t>
  </si>
  <si>
    <t>10.1016--j.jesp.2008.03.012.pdf</t>
  </si>
  <si>
    <t>Žeželj, I. L., &amp; Jokić, B. R. (2014). Replication of Experiments Evaluating Impact of Psychological Distance on Moral Judgment. Social Psychology, 45(3), 223–231. https://doi.org/10.1027/1864-9335/a000188</t>
  </si>
  <si>
    <t>10.1027/1864-9335/a000188</t>
  </si>
  <si>
    <t>10.1027--1864-9335--a000188.pdf</t>
  </si>
  <si>
    <t>psychological distance</t>
  </si>
  <si>
    <t>psychological distance, moral judgment, construal level theory</t>
  </si>
  <si>
    <t>people judge immoral acts as more offensive and moral acts as more virtuous when the acts are psychologically distant than near</t>
  </si>
  <si>
    <t>a main effect of temporal distance, F(1,56) = 6.53, p &lt; .01, r = .38, indicated that distant future transgressions were judged as more wrong (M = 4.12; SD = .80) than near future transgression (M = 3.41; SD = 1.24; Fig. 1).</t>
  </si>
  <si>
    <t>p. 1206</t>
  </si>
  <si>
    <t>p. 225</t>
  </si>
  <si>
    <t>https://osf.io/my6wv</t>
  </si>
  <si>
    <t>av_46_b</t>
  </si>
  <si>
    <t>replicates original study 3 (only Serbian sample; not pooled sample)</t>
  </si>
  <si>
    <t>a main effect of social distance, F(1,38) = 5.29, p &lt; .05, r = .35, indicated that actions were judged as more wrong from a third person perspective (M = 4.27; SD = .47) than from a first person perspective (M = 3.88; SD = .60; Fig. 2).</t>
  </si>
  <si>
    <t>p. 1207</t>
  </si>
  <si>
    <t>av_46_c</t>
  </si>
  <si>
    <t>replicates original study 4 (only Serbian sample; not pooled sample)</t>
  </si>
  <si>
    <t>a main effect of temporal distance, F(1,45) = 7.65, p &lt; .01, r = .38, indicated that participants judged the events as more virtuous in the distant future (M = 4.71; SD = .82) than in the near future (M = 3.97; SD = .99; Fig. 3).</t>
  </si>
  <si>
    <t>p. 1208</t>
  </si>
  <si>
    <t>av_47_1</t>
  </si>
  <si>
    <t>av_47_a</t>
  </si>
  <si>
    <t>replication of original experiment 1; in lab</t>
  </si>
  <si>
    <t>Förster, J., &amp; Denzler, M. (2012). Sense creative! The impact of global and local vision, hearing, touching, tasting and smelling on creative and analytic thought. Social Psychological and Personality Science, 3, 108 –117. (Retraction published 2015. Social Psychological &amp; Personality Science, 6, 118.)</t>
  </si>
  <si>
    <t>10.1177/1948550611410890</t>
  </si>
  <si>
    <t>10.1177--1948550611410890.pdf</t>
  </si>
  <si>
    <t>Field, S. M., Wagenmakers, E.-J., Newell, B. R., Zeelenberg, R., &amp; van Ravenzwaaij, D. (2016). Two Bayesian tests of the GLOMOsys Model. Journal of Experimental Psychology: General, 145(12), e81–e95. https://doi.org/10.1037/xge0000067</t>
  </si>
  <si>
    <t>10.1037/xge0000067</t>
  </si>
  <si>
    <t>10.1037--xge0000067.pdf</t>
  </si>
  <si>
    <t>priming</t>
  </si>
  <si>
    <t>priming, social cognition, categorization</t>
  </si>
  <si>
    <t>global processing broadens mental categories in memory</t>
  </si>
  <si>
    <t>the two-way interactions were all significant, F(4,114) = visual6.61; auditory5.70; haptic8.13; gustatory7.01; olfactory5.43; all ps&lt;.001. Across the different modalities, global processing enhanced the acceptance of atypical category members compared to the control groups, whereas local processing reduced it</t>
  </si>
  <si>
    <t>F(4,114) = 6.61</t>
  </si>
  <si>
    <t>p. 112</t>
  </si>
  <si>
    <t>Bayes factor</t>
  </si>
  <si>
    <t>p. e85</t>
  </si>
  <si>
    <t>https://osf.io/ynr2q/files/osfstorage?view_only=</t>
  </si>
  <si>
    <t>av_47_b</t>
  </si>
  <si>
    <t>replication of original experiment 1; MTurk</t>
  </si>
  <si>
    <t>p. e87</t>
  </si>
  <si>
    <t>av_50_1</t>
  </si>
  <si>
    <t>av_50_a</t>
  </si>
  <si>
    <t>Japenese sample</t>
  </si>
  <si>
    <t>Riekki, T., Lindeman, M., Aleneff, M., Halme, A., &amp; Nuortimo, A. (2013). Paranormal and religious believers are more prone to illu_x0002_sory face perception than skeptics and non_x0002_believers. Applied Cognitive Psychology, 27, 150–155. doi: 10.1002/acp.2874</t>
  </si>
  <si>
    <t>10.1002/acp.2874</t>
  </si>
  <si>
    <t>10.1002--acp.2874.pdf</t>
  </si>
  <si>
    <t>Miyazaki, Y. (2017). Being Watched by Anthropomorphized Objects Affects Charitable Donation in Religious People. Japanese Psychological Research, 59(3), 221–229. Portico. https://doi.org/10.1111/jpr.12158</t>
  </si>
  <si>
    <t>10.1111/jpr.12158</t>
  </si>
  <si>
    <t>10.1111--jpr.12158.pdf</t>
  </si>
  <si>
    <t>Illusory face perceptions</t>
  </si>
  <si>
    <t>religion, religiosity, anthropomorphism</t>
  </si>
  <si>
    <t>Believer groups were better at identifying the previously defined face-like regions in the images</t>
  </si>
  <si>
    <t>In contrast, the religious people and non-religious people rated the face-likeness of the pictures equally, F(1,37) = 2.29, p = .139, eta_sq_p = .058.</t>
  </si>
  <si>
    <t>p. 154</t>
  </si>
  <si>
    <t>av_50_b</t>
  </si>
  <si>
    <t>American sample</t>
  </si>
  <si>
    <t>1B</t>
  </si>
  <si>
    <t>av_52_1</t>
  </si>
  <si>
    <t>av_52</t>
  </si>
  <si>
    <t>female participants</t>
  </si>
  <si>
    <t>Ackerman, J. M. &amp; Field, L. (2011). The gender asymmetric effect of intimate partner violence on relationship satisfaction. Violence and Victims, 26, 703-724.</t>
  </si>
  <si>
    <t>10.1891/0886-6708.26.6.703</t>
  </si>
  <si>
    <t>10.1891--0886-6708.26.6.703.pdf</t>
  </si>
  <si>
    <t>Ackerman, J. M. (2012). The Relevance of Relationship Satisfaction and Continuation to the Gender Symmetry Debate. Journal of Interpersonal Violence, 27(18), 3579–3600. https://doi.org/10.1177/0886260512447579</t>
  </si>
  <si>
    <t>10.1177/0886260512447579</t>
  </si>
  <si>
    <t>10.1177--0886260512447579.pdf</t>
  </si>
  <si>
    <t>gender assymetry in interpersonal violence</t>
  </si>
  <si>
    <t>partner violence; marital violence; measurement; CTS; gender differences</t>
  </si>
  <si>
    <t>Aggression harms the quality of the intimate partnerships of females much more so than the partnerships of males</t>
  </si>
  <si>
    <t xml:space="preserve">(...) the negative association between IPV victimization and relationship satisfaction is greatest among female respondents. In Model 1 (before controlling for injury), females in opposite-sex relationships who reported an IPV
event indicated satisfaction scores 6.40 points lower (about 1 standard deviation on our 7–35 points scale) than females who did not report an event. </t>
  </si>
  <si>
    <t>p. 714</t>
  </si>
  <si>
    <t>p. 3595</t>
  </si>
  <si>
    <t>av_52_b</t>
  </si>
  <si>
    <t>male participants</t>
  </si>
  <si>
    <t>10.1891/0886-6708.26.6.704</t>
  </si>
  <si>
    <t>Ackerman, J. M. (2012). The Relevance of Relationship Satisfaction and Continuation to the Gender Symmetry Debate. Journal of Interpersonal Violence, 27(18), 3579–3600. https://doi.org/10.1177/0886260512447580</t>
  </si>
  <si>
    <t>10.1177/0886260512447580</t>
  </si>
  <si>
    <t>In contrast, Model 1 shows that males in opposite-sex relationships who reported IPV had relationship satisfaction scores only 2.35 points lower than the male nonvictims.</t>
  </si>
  <si>
    <t>av_53_1</t>
  </si>
  <si>
    <t>av_53</t>
  </si>
  <si>
    <t>effects not directly comparable: O reports standardised beta, R reports unstandardised</t>
  </si>
  <si>
    <t>Donovan, L. A. N., and Priester, J. R. (2017). Exploring the psychological processes
 underlying interpersonal forgiveness: the superiority of motivated reasoning
 over empathy. J. Exp. Soc. Psychol. 71, 16–30. doi: 10.1016/j.jesp.2017.02.005</t>
  </si>
  <si>
    <t>10.1016/j.jesp.2017.02.005</t>
  </si>
  <si>
    <t>10.1016--j.jesp.2017.02.005.pdf</t>
  </si>
  <si>
    <t>Donovan, L. A. N., &amp; Priester, J. R. (2020). Exploring the Psychological Processes That Underlie Interpersonal Forgiveness: Replication and Extension of the Model of Motivated Interpersonal Forgiveness. Frontiers in Psychology, 11. https://doi.org/10.3389/fpsyg.2020.02107</t>
  </si>
  <si>
    <t>10.3389/fpsyg.2020.02107</t>
  </si>
  <si>
    <t>10.3389--fpsyg.2020.02107.pdf</t>
  </si>
  <si>
    <t>Model of Motivated Interpersonal Forgiveness</t>
  </si>
  <si>
    <t>forgiveness, motivated reasoning, empathy, relationship closeness, Model of Motivated Interpersonal Forgiveness</t>
  </si>
  <si>
    <t>Relationship closeness leads to a desire to maintain the relationship, this desire leads to motivated reasoning, and this motivation leads to interpersonal forgiveness.</t>
  </si>
  <si>
    <t>The results supported this hypothesized relationship in that the confidence intervals for the mediational path testing DTM → MR → F did not include zero (0.16, 0.69), and as such is significant.</t>
  </si>
  <si>
    <t>av_55_1</t>
  </si>
  <si>
    <t>av_55</t>
  </si>
  <si>
    <t>note, wrong original article may be identified - the R mentions Fayolle et al., 2015 as a direct replication; meta analytic effect coded for the R (BP)</t>
  </si>
  <si>
    <t>Stetson, C., Fiesta, M. P., &amp; Eagleman, D. M. (2007). Does Time Really Slow Down during a Frightening Event? PloS One, 2, e1295. doi:10.1371/journal.pone.0001295</t>
  </si>
  <si>
    <t>10.1371/journal.pone.0001295</t>
  </si>
  <si>
    <t>10.1371--journal.pone.0001295.pdf</t>
  </si>
  <si>
    <t>Sarigiannidis, I., Grillon, C., Ernst, M., Roiser, J. P., &amp; Robinson, O. J. (2020). Anxiety makes time pass quicker while fear has no effect. Cognition, 197, 104116. https://doi.org/10.1016/j.cognition.2019.104116</t>
  </si>
  <si>
    <t>10.1016/j.cognition.2019.104116</t>
  </si>
  <si>
    <t>10.1016--j.cognition.2019.104116.pdf</t>
  </si>
  <si>
    <t>Time slow down during frightening events</t>
  </si>
  <si>
    <t>Time perception, Anxiety, Threat-of-shock, Fear, Emotion</t>
  </si>
  <si>
    <t>Participants retrospectively estimate their own fall to last longer than others’ falls.</t>
  </si>
  <si>
    <t>(...) participants’ duration estimates increased by an average of 36% when they recalled their own fall (from 2.17 +/- 0.24 s to 2.96 +/- 0.51 s, p&lt;0.03, paired t-test, one-tailed, Fig. 2a),</t>
  </si>
  <si>
    <t>from 2.17 +/- 0.24 s to 2.96 +/- 0.51 s, p&lt;0.03, paired t-test, one-tailed</t>
  </si>
  <si>
    <t>av_55_b</t>
  </si>
  <si>
    <t>Stetson, C., Fiesta, M. P., &amp; Eagleman, D. M. (2007). Does Time Really Slow Down during a Frightening Event? PloS One, 2, e1295. doi:10.1371/journal.pone.0001296</t>
  </si>
  <si>
    <t>10.1371/journal.pone.0001296</t>
  </si>
  <si>
    <t>Sarigiannidis, I., Grillon, C., Ernst, M., Roiser, J. P., &amp; Robinson, O. J. (2020). Anxiety makes time pass quicker while fear has no effect. Cognition, 197, 104116. https://doi.org/10.1016/j.cognition.2019.104117</t>
  </si>
  <si>
    <t>10.1016/j.cognition.2019.104117</t>
  </si>
  <si>
    <t>av_56_1</t>
  </si>
  <si>
    <t>av_56</t>
  </si>
  <si>
    <t>Gladwin, T. E., &amp; Figner, B. (2019). Trial-to-trial carryover effects on spatial attentional bias. Acta Psychologica,196, 51–55. https://doi.org/10.1016/j.actpsy.2019.04.006</t>
  </si>
  <si>
    <t>10.1016/j.actpsy.2019.04.006</t>
  </si>
  <si>
    <t>10.1016--j.actpsy.2019.04.006.pdf</t>
  </si>
  <si>
    <t>Gladwin, T. E., Jewiss, M., &amp; Vink, M. (2020). Attentional bias for negative expressions depends on previous target location: replicable effect but unreliable measures. Journal of Cognitive Psychology, 32(5–6), 562–572. https://doi.org/10.1080/20445911.2020.1805453</t>
  </si>
  <si>
    <t>10.1080/20445911.2020.1805453</t>
  </si>
  <si>
    <t>10.1080--20445911.2020.1805453.pdf</t>
  </si>
  <si>
    <t>Carryover effect</t>
  </si>
  <si>
    <t>Carryover, Visual probem Colour, Threat, Attentional bias, Spatial attention</t>
  </si>
  <si>
    <t>Dependence of the bias on the current trial on the location of probe stimuli on the previous trial.</t>
  </si>
  <si>
    <t>For the Colour version, the primary test—the interaction between Current Probe Location and Previous Probe Location—was significant, F(1, 143) = 91, p &lt; .0001, ηp2 = 0.39:</t>
  </si>
  <si>
    <t>av_58_1</t>
  </si>
  <si>
    <t>av_58</t>
  </si>
  <si>
    <t>Flom, R., Gentile, D. A., &amp; Pick, A. D. (2008). Infants’ discrimination of happy and sad music. Infant Behavior and Development: 31., 716–728. doi:10.1016/j.infbeh.2008.04.004</t>
  </si>
  <si>
    <t>10.1016/j.infbeh.2008.04.004</t>
  </si>
  <si>
    <t>10.1016--j.infbeh.2008.04.004.pdf</t>
  </si>
  <si>
    <t>Flom, R., &amp; Pick, A. D. (2012). Dynamics of infant habituation: Infants’ discrimination of musical excerpts. Infant Behavior and Development, 35(4), 697–704. https://doi.org/10.1016/j.infbeh.2012.07.022</t>
  </si>
  <si>
    <t>10.1016/j.infbeh.2012.07.022</t>
  </si>
  <si>
    <t>10.1016--j.infbeh.2012.07.022.pdf</t>
  </si>
  <si>
    <t>not direct replication</t>
  </si>
  <si>
    <t>Infant musical discrimination</t>
  </si>
  <si>
    <t>Habituation, Infants, Affect, Music</t>
  </si>
  <si>
    <t>Only the 9-month-olds discriminated the affectively similar individual
excerpts.</t>
  </si>
  <si>
    <t>Results revealed (...) a significant age by trial type interaction, F(4, 66) = 6.2, p &lt; .01, partial eta squared = .27 (...) Scheffe’s post hoc comparisons were use to examine the interaction and revealed that only the 9-month-olds showed a
significant increase in their mean looking from the posthabituation trials to the test trials</t>
  </si>
  <si>
    <t>p. 725</t>
  </si>
  <si>
    <t>F(2, 92) = 3.64, p &lt; .05</t>
  </si>
  <si>
    <t>p.702</t>
  </si>
  <si>
    <t>av_61_1</t>
  </si>
  <si>
    <t>av_61</t>
  </si>
  <si>
    <t>The OG does not report a standardised effect size, only Mean Squared Error</t>
  </si>
  <si>
    <t>Leber, A. B., &amp; Egeth, H. E. (2006b). It’s under control: Top-down search strategies can override attentional capture. Psychonomic Bulletin &amp; Review, 13, 132–138. http://dx.doi.org/10.3758/BF03193824</t>
  </si>
  <si>
    <t>10.3758/BF03193824</t>
  </si>
  <si>
    <t>10.3758--bf03193824.pdf</t>
  </si>
  <si>
    <t>Kerzel, D., &amp; Barras, C. (2016). Distractor rejection in visual search breaks down with more than a single distractor feature. Journal of Experimental Psychology: Human Perception and Performance, 42(5), 648–657. https://doi.org/10.1037/xhp0000180</t>
  </si>
  <si>
    <t>10.1037/xhp0000180</t>
  </si>
  <si>
    <t>10.1037--xhp0000180.pdf</t>
  </si>
  <si>
    <t>Distractor rejection in visual search</t>
  </si>
  <si>
    <t>visual search, attentional capture, search mode, feature search, singleton detection</t>
  </si>
  <si>
    <t>Interference from irrelevant-but-salient color distractors occurs when observers search for variable-shape singletons among uniform shapes (singleton detection), but not when they look for a specific shape among mixed shapes (feature search).</t>
  </si>
  <si>
    <t>Mean RTs (...) by group assignment (...) were entered into a 2 (group assignment)  2 (display size)  2 (distractor condition) ANOVA.  The main effect of distractor condition was significant (...) tthis was qualified by a significant group assignment  distractor condition interaction [F(1,28) = 6.095, MS_e =   255.298, p = .02],</t>
  </si>
  <si>
    <t>F(1,28) = 6.095, MS_e =   255.298, p = .02</t>
  </si>
  <si>
    <t>p. 651</t>
  </si>
  <si>
    <t>av_63_1</t>
  </si>
  <si>
    <t>av_63</t>
  </si>
  <si>
    <t>Donnelly, N., &amp; Davidoff, J. (1999). The mental representation of faces and houses: Issues concerning parts and wholes. Visual Cognition, 6, 319–343</t>
  </si>
  <si>
    <t>10.1080/135062899395000</t>
  </si>
  <si>
    <t>10.1080--135062899395000.pdf</t>
  </si>
  <si>
    <t>Osborne, C. D., &amp; Stevenage, S. V. (2013). Familiarity and face processing. Quarterly Journal of Experimental Psychology, 66(1), 108–120. https://doi.org/10.1080/17470218.2012.699077</t>
  </si>
  <si>
    <t>10.1080/17470218.2012.699077</t>
  </si>
  <si>
    <t>10.1080--17470218.2012.699077.pdf</t>
  </si>
  <si>
    <t>Holistic representation of faces</t>
  </si>
  <si>
    <t>Face recognition; Familiarity; Configural processing; Task difficulty.</t>
  </si>
  <si>
    <t>Complete over part probe advantage are mandatory.</t>
  </si>
  <si>
    <t>The main effects of (...) Probe type (...) were all significant (...) F(1,108) = 79.32 (...) p &lt; .01 (...). More accurate performance was found with (...) complete probes than part probes.</t>
  </si>
  <si>
    <t>F(1,108) = 79.32</t>
  </si>
  <si>
    <t>F(1, 17) = 14.45, p &lt; .001</t>
  </si>
  <si>
    <t>av_64_1</t>
  </si>
  <si>
    <t>av_64</t>
  </si>
  <si>
    <t>DV: error rates</t>
  </si>
  <si>
    <t>Aguado, L., Garcia-Gutierrez, A., &amp; Serrano-Pedraza, I. (2009). Symmetrical interaction of sex and expression in face classification tasks. Attention, Perception, &amp; Psychophysics, 71, 9–25. doi:10.3758/APP.71.1.9</t>
  </si>
  <si>
    <t>10.3758/APP.71.1.9</t>
  </si>
  <si>
    <t>10.3758--app.71.1.9.pdf</t>
  </si>
  <si>
    <t>Lipp, O. V., Karnadewi, F., Craig, B. M., &amp; Cronin, S. L. (2015). Stimulus set size modulates the sex–emotion interaction in face categorization. Attention, Perception, &amp; Psychophysics, 77(4), 1285–1294. https://doi.org/10.3758/s13414-015-0849-x</t>
  </si>
  <si>
    <t>10.3758/s13414-015-0849-x</t>
  </si>
  <si>
    <t>10.3758--s13414-015-0849-x.pdf</t>
  </si>
  <si>
    <t>Symmetrical interaction of sex and expression in face classification tasks</t>
  </si>
  <si>
    <t>Face categorization, sex, emotional expression</t>
  </si>
  <si>
    <t>Invariant facial eatures—for example, sex—and variant facial features—for example, emotional expressions—interact during face categorization.</t>
  </si>
  <si>
    <t>a significant interaction between face expression and face sex was obtained [F(1,15)  27.11, p &lt;.001, partial eta squared = .64]. Post hoc comparisons with the Bonferroni adjustment revealed significant differences between angry male and angry female faces ( p. &lt; 001), with more errors to angry female than to happy female faces.</t>
  </si>
  <si>
    <t>page 3 of PDF</t>
  </si>
  <si>
    <t>av_64_b</t>
  </si>
  <si>
    <t>DV: RTs</t>
  </si>
  <si>
    <t>Aguado, L., Garcia-Gutierrez, A., &amp; Serrano-Pedraza, I. (2009). Symmetrical interaction of sex and expression in face classification tasks. Attention, Perception, &amp; Psychophysics, 71, 9–25. doi:10.3758/APP.71.1.10</t>
  </si>
  <si>
    <t>10.3758/APP.71.1.10</t>
  </si>
  <si>
    <t>(...) this effect was qualified by a significant face expression  face sex interaction [F(1,15)  11.47, p &lt;.05, partial eta squared = .43]. Post hoc comparisons revealed significant differences between male and female faces for both angry and happy expressions ( ps &lt;.05) (...) angry female faces took longer to be classified as angry (...) than did angry male faces (...) and, conversely, happy male faces took longer to be classified as happy (...) than did happy female faces.</t>
  </si>
  <si>
    <t>Lukas, Tafere</t>
  </si>
  <si>
    <t>n_r was determined from the result with original domain</t>
  </si>
  <si>
    <t>- I added the replication label
- I entered the effect name and copied the description of the effect (which was provided under „effect“) to the description
- I had to correct the claim_text_original (a r was reported as an effect, but it was a t-test)
- I changed the effect and effect type to NA (original and replication), since the mean value was provided</t>
  </si>
  <si>
    <t>Kruger, J. (1999). Lake Wobegon be gone! The "below-average effect" and the egocentric nature
 of comparative ability judgments. Journal of Personality and Social Psychology, 77(2),
 221–232. doi: 10.1037/0022-3514.77.2.221</t>
  </si>
  <si>
    <t>people tend to perceive themselves as above  average when considering easy abilities</t>
  </si>
  <si>
    <t>people tend to perceive themselves as above  average when considering easy abilities; using a mouse</t>
  </si>
  <si>
    <t>" On average, participants thought they were above average (i.e., above the 50th percentile) in all four of the easy ability domains (all ps &lt;.01). Of course, these effects are not surprising from a motivational standpoint, given that these abilities were also considered quite desirable: The mean desirability rating across the easy abilities was 2.6 points above the midpoint of the scale, t(36) = 13.51, p &lt; .0001."</t>
  </si>
  <si>
    <t>https://osf.io/nm568</t>
  </si>
  <si>
    <t>CORE_101_1</t>
  </si>
  <si>
    <t>CORE_101</t>
  </si>
  <si>
    <t xml:space="preserve">I took R study 1 as well, even though it;s a pretest </t>
  </si>
  <si>
    <t>Malle, B. F., &amp; Knobe, J. (1997). The folk concept of intentionality. Journal of experimental social psychology, 33(2), 101-121.</t>
  </si>
  <si>
    <t>10.1006/jesp.1996.1314</t>
  </si>
  <si>
    <t>10.1006--jesp.1996.1314.pdf</t>
  </si>
  <si>
    <t>Chandrashekar, S. P., Chan, Y. Y., Cheng, K. L., Yao, D., Lo, C. Y. S., Cheung, T. C. A., Tang, H. Y. S., Leung, Y. T. A., Tsoi, C. N., Cheng, B. L., Ng, K. W., &amp; Feldman, G. (2022). Revisiting the folk concept of intentionality: Replications of. In Journal of Experimental Social Psychology (Vol. 102, p. 104372). Elsevier BV. https://doi.org/10.1016/j.jesp.2022.104372</t>
  </si>
  <si>
    <t>10.1016/j.jesp.2022.104372</t>
  </si>
  <si>
    <t>10.1016--j.jesp.2022.104372.pdf</t>
  </si>
  <si>
    <t>Folk intentionality</t>
  </si>
  <si>
    <t>people agree substantially in their judgments of intentionality</t>
  </si>
  <si>
    <t>To begin with, we computed people’s agreement across the 20 behaviors. In the whole sample, any two people showed an average intercorrelation of r (20) = .64,</t>
  </si>
  <si>
    <t xml:space="preserve">p.3   </t>
  </si>
  <si>
    <t>https://osf.io/4q5ce/wiki/home/</t>
  </si>
  <si>
    <t>Adrien, Tafere</t>
  </si>
  <si>
    <t>Only took study 2 of replication because study 1 was exploratory</t>
  </si>
  <si>
    <t>"Agreement did not differ between the conditions with definition (.79) and without definition (.79), between actor perspective (.77) and observer perspective (.80), or between San Jose (.81) and Stanford (.78), Not surprisingly, then, the two sets of 20 average ratings from each school were almost perfectly correlated, r 5 .98, and the same correlations were found for perspective and definition."</t>
  </si>
  <si>
    <t>P-value not reported</t>
  </si>
  <si>
    <t>Pval not reported, but 95% CI excludes 0</t>
  </si>
  <si>
    <t>https://osf.io/mt5jq/</t>
  </si>
  <si>
    <t>CORE_101_b</t>
  </si>
  <si>
    <t>CORE_101_c</t>
  </si>
  <si>
    <t>any one persons showed an average correlation of r (20) = .80 with the remaining group, resulting in a Cronbach a of 0.99.</t>
  </si>
  <si>
    <t>CORE_101_d</t>
  </si>
  <si>
    <t>CORE_101_e</t>
  </si>
  <si>
    <t xml:space="preserve">Agreement did not differ between the conditions with definition (.79) </t>
  </si>
  <si>
    <t>CORE_101_f</t>
  </si>
  <si>
    <t>Agreement did not differ between the conditions and without definition (.79)</t>
  </si>
  <si>
    <t>CORE_101_g</t>
  </si>
  <si>
    <t xml:space="preserve">Agreement did not differ between actor perspective (.77) </t>
  </si>
  <si>
    <t>CORE_101_h</t>
  </si>
  <si>
    <t>Agreement did not differ between observer perspective (.80)</t>
  </si>
  <si>
    <t>CORE_102_1</t>
  </si>
  <si>
    <t>CORE_102</t>
  </si>
  <si>
    <t>Connolly, T., Reb, J., &amp; Kausel, E. E. (2013). Regret salience and accountability in the decoy effect. Judgment and Decision making, 8(2), 136-149.</t>
  </si>
  <si>
    <t>10.1017/S1930297500005064</t>
  </si>
  <si>
    <t>10.1017--s1930297500005064.pdf</t>
  </si>
  <si>
    <t>Xiao, Q., Zeng, S., &amp; Feldman, G. (2020). Revisiting the decoy effect: replication and extension of Ariely and Wallsten (1995) and Connolly, Reb, and Kausel (2013)‎. In Comprehensive Results in Social Psychology (Vol. 4, Issue 2, pp. 164–198). Informa UK Limited. https://doi.org/10.1080/23743603.2021.1878340</t>
  </si>
  <si>
    <t>10.1080/23743603.2021.1878340</t>
  </si>
  <si>
    <t>10.1080--23743603.2021.1878340.pdf</t>
  </si>
  <si>
    <t>Decoy effect</t>
  </si>
  <si>
    <t>The presence of a decoy makes the target more appealing than in its absence, this effect is reduced when regret is made salient</t>
  </si>
  <si>
    <t>Twenty out of 23 (87%) Control subjects chose the targeted option, but only 24 out of 39 (61.5%) of the Regret-Salient subjects did so,  None of the subjects chose the decoy option.</t>
  </si>
  <si>
    <t>X2 (1, N = 62) = 4.54,</t>
  </si>
  <si>
    <t>p.4 X2 (1, N = 62) = 4.54, Fisher’s exact test p = .04, φ2 = .07.</t>
  </si>
  <si>
    <t>p.17,18 conditions. FWelch(2,631.69) = 80.00, p &lt; .001, η2p = 0.18, 90% CI [0.15, 0.22].</t>
  </si>
  <si>
    <t>https://osf.io/wpzg7</t>
  </si>
  <si>
    <t>Yikang</t>
  </si>
  <si>
    <t xml:space="preserve">I replaced the originally reported phi-squared = .07 with the computed phi from the manuscript. r-code: mat &lt;- matrix(c(20, 3, 24, 15), nrow = 2) # data (from p. 139 bottom left); 
chisq.test(mat) # chisq test
as.numeric(chisq.test(mat)$statistic)/sum(mat) # phi
fisher.test(mat) # results match the reported ones
</t>
  </si>
  <si>
    <t>"There was a significant effect of regret salience on the percentage of subjects selecting the targeted option (seeTable 2). Twenty out of 23 (87%) Control subjects chose the targeted option, but only 24 out of 39 (61.5%) of the Regret-Salient subjects did so, X2(1, N = 62) = 4.54, Fisher’s exact test p = .04, phi2 = .07. None of the subjects chose the decoy option."</t>
  </si>
  <si>
    <t>X2(1)=3.4</t>
  </si>
  <si>
    <t>https://osf.io/zea87</t>
  </si>
  <si>
    <t>CORE_102_b</t>
  </si>
  <si>
    <t xml:space="preserve">The decoy effect was significant in the Control condition (i.e., the percentage of subjects choosing the targeted option was larger than 50%), exact binomial p = .000. </t>
  </si>
  <si>
    <t>p.4 χbinomial p = .000</t>
  </si>
  <si>
    <t>p.18 (Control: 216 out of 337 participants chose the target (64.1%, 95% CI [58.7%, 69.2%]), exact binomial p &lt; .001, Cohen’s h = 0.29, 95% CI [0.18, 0.39];</t>
  </si>
  <si>
    <t>CORE_102_c</t>
  </si>
  <si>
    <t>No significant decoy effect was found in the Regret-Salient condition, exact binomial p = .20.1</t>
  </si>
  <si>
    <t>p.4  exact binomial p = .20.1</t>
  </si>
  <si>
    <t>p.18 Regret-Salient: 185 out of 326 participants chose the target (56.7%, 95% CI [51.2%, 62.2%]), exact binomial p = .017, Cohen’s h = 0.14, 95% CI [0.03, 0.24];</t>
  </si>
  <si>
    <t>CORE_102_d</t>
  </si>
  <si>
    <t xml:space="preserve">Consistent with these results, an ANOVA including Condition in addition showed a significant interaction between imagined choice and Condition on decision regret,
</t>
  </si>
  <si>
    <t>p.4 F(1, 58) = 7.14, p = .01, ηp2 = .11.</t>
  </si>
  <si>
    <t>p.18 F(2, 984) = 0.32, p = .730, η2p = 0.001, 90% CI[0.000, 0.004].</t>
  </si>
  <si>
    <t>CORE_105_1</t>
  </si>
  <si>
    <t>CORE_105</t>
  </si>
  <si>
    <t>R study 1a</t>
  </si>
  <si>
    <t>Fetherstonhaugh, D., Slovic, P., Johnson, S., &amp; Friedrich, J. (1997). Insensitivity to the value of human life: A study of psychophysical numbing. Journal of Risk and uncertainty, 14, 283-300.</t>
  </si>
  <si>
    <t>10.1023/A:1007744326393</t>
  </si>
  <si>
    <t>10.1023--a:1007744326393.pdf</t>
  </si>
  <si>
    <t>Ziano, I., Xiao, Q., Yeung, S. K., Wong, C. Y., Cheung, M. Y., Lo, C. Y. J., Yan, H. C., Narendra, G. I., Kwan, L. W., Chow, C. S., Man, C. Y., &amp; Feldman, G. (2021). Numbing or sensitization? Replications and extensions of Fetherstonhaugh et al. (1997)’s “Insensitivity to the Value of Human Life.” In Journal of Experimental Social Psychology (Vol. 97, p. 104222). Elsevier BV. https://doi.org/10.1016/j.jesp.2021.104222</t>
  </si>
  <si>
    <t>10.1016/j.jesp.2021.104222</t>
  </si>
  <si>
    <t>10.1016--j.jesp.2021.104222.pdf</t>
  </si>
  <si>
    <t>Psychophysical numbing</t>
  </si>
  <si>
    <t>life-saving interventions would be valued more highly when the number of lives at risk was small than when the number at risk was large.</t>
  </si>
  <si>
    <t>As predicted, the results revealed a camp-size main effect,  p , .01 (see Figure 1). Even though most respondents realized that the same number of refugees could be saved in either camp, they preferred the small-camp program (M 5 .45) over the large-camp program (M 5 2.20) when paired with either the transportation or employment programs.</t>
  </si>
  <si>
    <t>F(1, 52) = 8.24,</t>
  </si>
  <si>
    <t>p.5  M= .45 over the large-camp program M =- .20</t>
  </si>
  <si>
    <t>p.5 F(1,385) = 22.63, p &lt; .001, η2p = 0.06, 90% CI [0.02, 0.10],</t>
  </si>
  <si>
    <t>https://osf.io/bgzay</t>
  </si>
  <si>
    <t>CORE_105_b</t>
  </si>
  <si>
    <t>Even these respondents, who indicated no preference between one life-saving Rwandan program and the other when asked directly, preferred the small-camp program (M = .93) over the large-camp program (M =.41) when evaluations were masked by paired comparisons, As perhaps the strongest evidence for the psychophysical numbing hypothesis thus far, this result is quite remarkable, especially considering that the life-saving potential of each Rwandan program was reinforced by the preceding question in which nearly all respondents reported that the interventions would save the same number of lives.</t>
  </si>
  <si>
    <t>F(1, 21) = 3.92</t>
  </si>
  <si>
    <t>p.5  (M = .93) o (M =.41)  ; p = .06.</t>
  </si>
  <si>
    <t>p.5,6  (M = 0.25) (M= − 0.03), t(385) = 4.76, p &lt;.001, Cohen’s d = 0.24, 95% CI [0.14, 0.34].</t>
  </si>
  <si>
    <t>CORE_105_c</t>
  </si>
  <si>
    <t>R study 1b</t>
  </si>
  <si>
    <t>p.7 (camp size × comparison program, F(1, 722)= 10.43, p = .001, η2p = 0.01, 90% CI [0.00, 0.03];</t>
  </si>
  <si>
    <t>https://osf.io/nrfth</t>
  </si>
  <si>
    <t>CORE_105_d</t>
  </si>
  <si>
    <t>p.7 (M = 0.35) t (M =− 0.38)  t(1189) = 13.67, p &lt; .001, d = 0.40, 95% CI [0.34, 0.46].</t>
  </si>
  <si>
    <t>CORE_105_e</t>
  </si>
  <si>
    <t>R study 1c - link for R preregistration copied from the paper, wasn't available at the time of extraction</t>
  </si>
  <si>
    <t>p.9 F(1, 436) = 42.44, p &lt; .001,η2p = 0.09, 90% CI [0.05, 0.13],</t>
  </si>
  <si>
    <t>https://osf.io/ju2fe/</t>
  </si>
  <si>
    <t>CORE_105_f</t>
  </si>
  <si>
    <t>p.9 F(1, 308) = 20.63, p &lt; .001, η2p = 0.06, 90% CI [0.03, 0.11],</t>
  </si>
  <si>
    <t>CORE_105_g</t>
  </si>
  <si>
    <t>R study 2a/. R states ES for O η2p = 0.55,</t>
  </si>
  <si>
    <t>A significant main effect for camp size, F (1, 132) =160.5, p , .001, indicated that respondents believed sending the planes to small camps was more beneficial (M = 6.46) than sending them tolarge camps (M = 4.54).</t>
  </si>
  <si>
    <t>F (1, 132) =160.5</t>
  </si>
  <si>
    <t>p.9 (M = 6.46) than sending them tolarge camps (M = 4.54).</t>
  </si>
  <si>
    <t>p.11 F(1, 498) =821.82, p &lt; .001, η2p = 0.62, 90% CI [0.58, 0.66].  (M =6.78, SD = 1.14) (M = 4.02, SD = 2.22).</t>
  </si>
  <si>
    <t>https://osf.io/cmrbh</t>
  </si>
  <si>
    <t>CORE_105_h</t>
  </si>
  <si>
    <t>R study 2a</t>
  </si>
  <si>
    <t>support for a main effect of prior aid, F(1, 132) = 15.35, p &lt; .001. Participants perceived that sending planes to those camps which were already satisfied a certain portion of water need (M = 5.73) as more beneficial than those only satisfied a small portion of water need (M = 5.27).</t>
  </si>
  <si>
    <t>F(1, 132) = 15.35</t>
  </si>
  <si>
    <t>p.9 (M = 5.73)  (M = 5.27).</t>
  </si>
  <si>
    <t>p.11 F(1, 498) =821.82, p &lt; .001, η2p = 0.62, 90% CI [0.58, 0.66].  (M =6.78, SD = 1.14) (M = 4.02, SD = 2.22). (</t>
  </si>
  <si>
    <t>CORE_105_i</t>
  </si>
  <si>
    <t>And, not surprisingly, the results revealed a main effect for plane reliability,  p , .001, indicating that respondents believed the 100%-reliable plane(M = 5.67) was more beneficial than the 60%-reliable plane (M =5.33). No other effects were significant.</t>
  </si>
  <si>
    <t>F (1, 132) = 12.01</t>
  </si>
  <si>
    <t>p.9 (M = 5.67)  (M = 5.33).</t>
  </si>
  <si>
    <t>p.11 F(1, 497) = 5.70, p = .029, η2p= 0.01, 90% CI [0.00,0.03].  (M = 5.54, SD = 1.40) (M = 5.24, SD = 1.37),</t>
  </si>
  <si>
    <t>CORE_105_j</t>
  </si>
  <si>
    <t>R study 2b</t>
  </si>
  <si>
    <t>p.13 F(1, 1598) = 511.60, p &lt; .001, η2p = 0.24, 90% CI [0.21, 0.27].</t>
  </si>
  <si>
    <t>CORE_105_k</t>
  </si>
  <si>
    <t>p.13 F(1, 1598) = 9.10, p = .003, η2p = 0.01,90% CI [0.00, 0.01].</t>
  </si>
  <si>
    <t>CORE_105_l</t>
  </si>
  <si>
    <t>p.13 reliability, F(1, 1598) =88.37, p &lt; .001, η2p = 0.05, 90% CI [0.04, 0.07].</t>
  </si>
  <si>
    <t>CORE_110_1</t>
  </si>
  <si>
    <t>CORE_110</t>
  </si>
  <si>
    <t>Teshome Deressa</t>
  </si>
  <si>
    <t>effect sizes were not reported in the original study. however, i considered the one implicated in the replication paper (see table 9)</t>
  </si>
  <si>
    <t>Chandrashekar, S. P., Adelina, N., Zeng, S., Esther, C. Y. Y., Leung, G. Y. S., Henne, P., Cheng, B., &amp; Feldman, G. (2022). Defaults versus framing: Revisiting Default Effect and Framing Effect with replications and extensions of Johnson and Goldstein (2003) and Johnson, Bellman, and Lohse (2002). Center for Open Science. https://doi.org/10.31234/osf.io/nymh2</t>
  </si>
  <si>
    <t>10.31234/osf.io/nymh2</t>
  </si>
  <si>
    <t>10.31234--osf.io--nymh2.pdf</t>
  </si>
  <si>
    <t>both replication and extension</t>
  </si>
  <si>
    <t>default bias</t>
  </si>
  <si>
    <t>privacy, consumer choice, framing, default effects, electronic commerce</t>
  </si>
  <si>
    <t>participants were more inclined to be notified when participation was the default. Comparison no-default vs. opt-in</t>
  </si>
  <si>
    <t>we show that the default has a major role in determining revealed preferences for further contact with a Web site</t>
  </si>
  <si>
    <t>p. 10 of replication paper (Table 9)</t>
  </si>
  <si>
    <t>https://osf.io/mhwbe</t>
  </si>
  <si>
    <t>CORE_113_1</t>
  </si>
  <si>
    <t>CORE_113</t>
  </si>
  <si>
    <t>effect sizes were not reported in the original study. however, i considered the one implicated in the replication paper (see Table 9). additionally, the effect sizes of the original study presented in the table are based on the mini-meta-analysis of Experiment 1, 2, and 3. this makes difficult to know the exact sample size</t>
  </si>
  <si>
    <t>Mellers, B., Hertwig, R., &amp; Kahneman, D. (2001). Do frequency representations eliminate conjunction effects? An exercise in adversarial collaboration. Psychological Science, 12(4), 269-275.</t>
  </si>
  <si>
    <t>10.1111/1467-9280.00350</t>
  </si>
  <si>
    <t>10.1111--1467-9280.00350.pdf</t>
  </si>
  <si>
    <t>Chandrashekar, S., Cheng‎, Y. H., Fong‎, C. L., Leung‎, Y. C., Wong, Y. T., Cheng, B. L., &amp; Feldman, G. (2021). Frequency estimation and semantic ambiguity do not eliminate ‎conjunction bias, when it ‎occurs: Replication and extension of ‎Mellers, Hertwig, and Kahneman (2001)‎. In Meta-Psychology (Vol. 5). Linnaeus University. https://doi.org/10.15626/mp.2020.2474</t>
  </si>
  <si>
    <t>10.15626/mp.2020.2474</t>
  </si>
  <si>
    <t>10.15626--mp.2020.2474.pdf</t>
  </si>
  <si>
    <t>conjunction effect-Linda</t>
  </si>
  <si>
    <t>conjunction effect, frequency estimation, replication, Linda problem, judgment and decision making</t>
  </si>
  <si>
    <t>the frequency estimate for the “and” conjunction phrase will be higher than the phrase describing unlikely target alone</t>
  </si>
  <si>
    <t>the results for the Linda scenario supported Kahneman’s prediction across two out of three experiments conducted as part of the adversarial collaboration</t>
  </si>
  <si>
    <t>p. 2 of replication paper</t>
  </si>
  <si>
    <t>p. 3 of replication paper (table 2)</t>
  </si>
  <si>
    <t>https://osf.io/gb7pk</t>
  </si>
  <si>
    <t>CORE_119_1</t>
  </si>
  <si>
    <t>CORE_119</t>
  </si>
  <si>
    <t>effect sizes were not reported in the original study. however, i considered the one implicated in the replication paper (see table 1)</t>
  </si>
  <si>
    <t>Tversky, A., &amp; Shafir, E. (1992). The disjunction effect in choice under uncertainty. Psychological science, 3(5), 305-310.</t>
  </si>
  <si>
    <t>10.1111/j.1467-9280.1992.tb00678.x</t>
  </si>
  <si>
    <t>10.1111--j.1467-9280.1992.tb00678.x.pdf</t>
  </si>
  <si>
    <t>Ziano, I., Kong, M. F., Kim, H. J., Liu, C. Y., Wong, S. C., Cheng, B. L., &amp; Feldman, G. (2021). Replication: Revisiting Tversky and Shafir’s (1992) Disjunction Effect with an extension comparing between and within subject designs. In Journal of Economic Psychology (Vol. 83, p. 102350). Elsevier BV. https://doi.org/10.1016/j.joep.2020.102350</t>
  </si>
  <si>
    <t>10.1016/j.joep.2020.102350</t>
  </si>
  <si>
    <t>10.1016--j.joep.2020.102350.pdf</t>
  </si>
  <si>
    <t>both close replication and extension</t>
  </si>
  <si>
    <t>disjunction effect-pay to know</t>
  </si>
  <si>
    <t>disjunction effect, uncertainity, risk</t>
  </si>
  <si>
    <t>participants were willing to pay a small fee to postpone a decision about a vacation package promotion when outcome of an exam was uncertain, despite preferences to purchase the package regardless of exam outcome.</t>
  </si>
  <si>
    <t>no inferential stat was reported</t>
  </si>
  <si>
    <t>https://osf.io/fzchj</t>
  </si>
  <si>
    <t>CORE_121_1</t>
  </si>
  <si>
    <t>CORE_121</t>
  </si>
  <si>
    <t>effect sizes were not clearly reported in the original paper. honestly, i didn't manage to understand the original paper</t>
  </si>
  <si>
    <t>Tykocinski, O. E., Pittman, T. S., &amp; Tuttle, E. E. (1995). Inaction inertia: Foregoing future benefits as a result of an initial failure to act. Journal of personality and social psychology, 68(5), 793.</t>
  </si>
  <si>
    <t>10.1037/0022-3514.68.5.793</t>
  </si>
  <si>
    <t>10.1037--0022-3514.68.5.793.pdf</t>
  </si>
  <si>
    <t>Chen, J., Hui, L. S., Yu, T., Feldman, G., Zeng, S., Ching, T. L., Ng, C. H., Wu, K. W., Yuen, C. M., Lau, T. K., Cheng, B. L., &amp; Ng, K. W. (2021). Foregone opportunities and choosing not to act: Replications of inaction inertia effect. Social Psychological and Personality Science, 12(3), 333–345. https://doi.org/10.1177/1948550619900570</t>
  </si>
  <si>
    <t>10.1177/1948550619900570</t>
  </si>
  <si>
    <t>10.1177--1948550619900570.pdf</t>
  </si>
  <si>
    <t>inaction inertia-ski</t>
  </si>
  <si>
    <t>inaction inertia, decision making</t>
  </si>
  <si>
    <t>forgoing an initial attractive opportunity decreases the likelihood of taking a subsequent opportunity that is less attractive, even when the subsequent opportunity still offers positive value</t>
  </si>
  <si>
    <t>https://osf.io/kbnjw;</t>
  </si>
  <si>
    <t>CORE_133_1</t>
  </si>
  <si>
    <t>CORE_133</t>
  </si>
  <si>
    <t>effect sizes were not reported in the original study. however, i considered the one implicated in the replication paper (see table 5)</t>
  </si>
  <si>
    <t>Pronin, E., &amp; Ross, L. (2006). Temporal differences in trait self-ascription: when the self is seen as an other. Journal of personality and social psychology, 90(2), 197.</t>
  </si>
  <si>
    <t>10.1037/0022-3514.90.2.197</t>
  </si>
  <si>
    <t>10.1037--0022-3514.90.2.197.pdf</t>
  </si>
  <si>
    <t>Adelina, N., &amp; Feldman, G. (2021). Are Past and Future Selves Perceived Differently from Present Self? Replication and Extension of Pronin and Ross(2006) Temporal Differences in Trait Self-Ascription. International Review of Social Psychology, 34(1): 29, 1–16. DOI: https://doi.org/10.5334/irsp.571</t>
  </si>
  <si>
    <t>10.5334/irsp.571</t>
  </si>
  <si>
    <t>10.5334--irsp.571.pdf</t>
  </si>
  <si>
    <t>temporal distance, actor-observer bias</t>
  </si>
  <si>
    <t>temporal distance, self-perception, actor–observer, visual perspective, introspection</t>
  </si>
  <si>
    <t>participants would ascribe a greater number of traits, and a lesser number of ascriptions to situational variability when assessing their friends compared to their present selve</t>
  </si>
  <si>
    <t>participants indeed ascribed a greater number of traits to their friends (f = 0.35 [0.09, 0.61])</t>
  </si>
  <si>
    <t>p. 3 of replication paper</t>
  </si>
  <si>
    <r>
      <rPr>
        <rFont val="Calibri"/>
        <color rgb="FF1155CC"/>
        <sz val="11.0"/>
        <u/>
      </rPr>
      <t>https://osf.io/yrvuq</t>
    </r>
    <r>
      <rPr>
        <rFont val="Calibri"/>
        <sz val="11.0"/>
      </rPr>
      <t xml:space="preserve"> </t>
    </r>
  </si>
  <si>
    <t xml:space="preserve">close </t>
  </si>
  <si>
    <t>CORE_139_1</t>
  </si>
  <si>
    <t>CORE_139</t>
  </si>
  <si>
    <t>effect sizes were not reported in the original study. however, i considered the one implicated in the replication paper (see table 7)</t>
  </si>
  <si>
    <t>tests were not reported</t>
  </si>
  <si>
    <t>Caruso, E. M. (2010). When the future feels worse than the past: a temporal inconsistency in moral judgment. Journal of Experimental Psychology: General, 139(4), 610.</t>
  </si>
  <si>
    <t>10.1037/a0020757</t>
  </si>
  <si>
    <t>10.1037--a0020757.pdf</t>
  </si>
  <si>
    <t>El Halabi, M., Chan, W. Y. F., Tunca, B., Ziano, I., &amp; Feldman, G. (2022). Replication: Unsuccessful replications and extensions of Temporal Value Asymmetry in monetary valuation and moral judgment. In Journal of Economic Psychology (Vol. 90, p. 102509). Elsevier BV. https://doi.org/10.1016/j.joep.2022.102509</t>
  </si>
  <si>
    <t>10.1016/j.joep.2022.102509</t>
  </si>
  <si>
    <t>10.1016--j.joep.2022.102509.pdf</t>
  </si>
  <si>
    <t>moral judgment, fairness, time, past and future</t>
  </si>
  <si>
    <t>temporal location on moral judgement</t>
  </si>
  <si>
    <t>p. 8 of replication paper</t>
  </si>
  <si>
    <r>
      <rPr>
        <rFont val="Calibri"/>
        <color rgb="FF1155CC"/>
        <sz val="11.0"/>
        <u/>
      </rPr>
      <t>https://osf.io/b936n</t>
    </r>
    <r>
      <rPr>
        <rFont val="Calibri"/>
        <sz val="11.0"/>
      </rPr>
      <t xml:space="preserve"> </t>
    </r>
  </si>
  <si>
    <t>CORE_141_1</t>
  </si>
  <si>
    <t>CORE_141</t>
  </si>
  <si>
    <t>Caruso, E. M., Gilbert, D. T., &amp; Wilson, T. D. (2008). A wrinkle in time: Asymmetric valuation of past and future events. Psychological Science, 19(8), 796-801.</t>
  </si>
  <si>
    <t>10.1111/j.1467-9280.2008.02159.x</t>
  </si>
  <si>
    <t>10.1111--j.1467-9280.2008.02159.x.pdf</t>
  </si>
  <si>
    <t>past-future asymmetry</t>
  </si>
  <si>
    <t>moral judgement, valuation, judgement</t>
  </si>
  <si>
    <t>temporal location on monetary judgement</t>
  </si>
  <si>
    <r>
      <rPr>
        <rFont val="Calibri"/>
        <color rgb="FF1155CC"/>
        <sz val="11.0"/>
        <u/>
      </rPr>
      <t>https://osf.io/b936n</t>
    </r>
    <r>
      <rPr>
        <rFont val="Calibri"/>
        <sz val="11.0"/>
      </rPr>
      <t xml:space="preserve"> </t>
    </r>
  </si>
  <si>
    <t>CORE_146_1</t>
  </si>
  <si>
    <t>CORE_146</t>
  </si>
  <si>
    <t>effect sizes were not reported in the original study. however, i considered the one implicated in the replication paper (see table 3)</t>
  </si>
  <si>
    <t>this is a mini meta analysis</t>
  </si>
  <si>
    <t>Shafir, E. (1993). Choosing versus rejecting: Why some options are both better and worse than others. Memory &amp; cognition, 21(4), 546-556.</t>
  </si>
  <si>
    <t>10.3758--bf03197186.pdf</t>
  </si>
  <si>
    <t>Chandrashekar, S., Weber, J., Chan, S., Cho, W., Chu, T., Cheng, B., &amp; Feldman, G. (2021). Accentuation and compatibility: Replication and extensions of Shafir (1993) to rethink choosing versus rejecting paradigms. Judgment and Decision Making, 16(1), 36-56. doi:10.1017/S1930297500008299</t>
  </si>
  <si>
    <t>10.1017/S1930297500008299</t>
  </si>
  <si>
    <t>10.1017--S1930297500008299.pdf</t>
  </si>
  <si>
    <t>choosing versus rejecting</t>
  </si>
  <si>
    <t>choosing versus rejecting, compatibility principle, replication crisis, accentuation hypothesis</t>
  </si>
  <si>
    <t>subjects choose and reject the enriched alternative more often than the impoverished alternative across task frames (choice vs. rejection)</t>
  </si>
  <si>
    <t>p. 5 of replication paper</t>
  </si>
  <si>
    <t>https://osf.io/r4aku</t>
  </si>
  <si>
    <t>CORE_147_1</t>
  </si>
  <si>
    <t>CORE_147</t>
  </si>
  <si>
    <t>effect size for explicit shame was considered</t>
  </si>
  <si>
    <t xml:space="preserve">Smith, R. H., Webster, J. M., Parrott, W. G., &amp; Eyre, H. L. (2002). The role of public exposure in moral and nonmoral shame and guilt. Journal of Personality and Social Psychology, 83(1), 138–159. https://doi.org/10.1 037/0022-3514.83.1.138 </t>
  </si>
  <si>
    <t xml:space="preserve">10.1 037/0022-3514.83.1.138 </t>
  </si>
  <si>
    <t>10.1 037--0022-3514.83.1.138 .pdf</t>
  </si>
  <si>
    <t>Chit, J. C. F., Patrina Wong, Rachel, S. H. C., Yee, Y. L., Feldman, G., Chow, K., &amp; Zhang, Y. (2022). Revisiting the role of public exposure and moral beliefs on feelings of shame and guilt: Replication Registered Report of Smith et al. (2002)’s Study 1. Open Science Framework. https://doi.org/10.17605/OSF.IO/J3UE4</t>
  </si>
  <si>
    <t>10.17605/osf.io/j3ue4</t>
  </si>
  <si>
    <t>10.17605--osf.io--j3ue4.pdf</t>
  </si>
  <si>
    <t>public exposure on shame</t>
  </si>
  <si>
    <t>public exposure, shame, guilt, moral</t>
  </si>
  <si>
    <t>public exposure is more associated with shame than with guilt</t>
  </si>
  <si>
    <t>there was a significant main effect for public exposure, F(2, 154) = 12.47, p &lt; .0001</t>
  </si>
  <si>
    <t>F(2, 154) = 12.47</t>
  </si>
  <si>
    <t>https://osf.io/js5db</t>
  </si>
  <si>
    <t>CORE_148_1</t>
  </si>
  <si>
    <t>CORE_148</t>
  </si>
  <si>
    <t>effect sizes were not clearly reported in the original paper. i considered the one implicated in the replication paper</t>
  </si>
  <si>
    <t>Baron, J., &amp; Hershey, J. C. (1988). Outcome bias in decision evaluation. Journal of personality and social psychology, 54(4), 569.</t>
  </si>
  <si>
    <t>10.1037/0022-3514.54.4.569</t>
  </si>
  <si>
    <t>10.1037--0022-3514.54.4.569.pdf</t>
  </si>
  <si>
    <t>Aiyer, S., Yuk, N., Kam, H., Young, N., Shi, J., &amp; Feldman, G. (2022). Outcomes affect evaluations of decision quality: ‎ Replication and extension of Baron and Hershey’s (1988) Outcome Bias Experiment 1‎. Open Science Framework. https://doi.org/10.17605/OSF.IO/KNJHU</t>
  </si>
  <si>
    <t>10.17605/osf.io/knjhu</t>
  </si>
  <si>
    <t>10.17605--osf.io--knjhu.pdf</t>
  </si>
  <si>
    <t>outcome bias</t>
  </si>
  <si>
    <t>outcome bias, evaluation of decisions; responsibility, cognitive biases</t>
  </si>
  <si>
    <t>decisions that resulted in successful outcomes are rated as better than decisions that resulted in failed outcomes</t>
  </si>
  <si>
    <t>overall, there was an outcome bias</t>
  </si>
  <si>
    <t>p. 1 of replication paper</t>
  </si>
  <si>
    <t>https://osf.io/czha8</t>
  </si>
  <si>
    <t>CORE_150_1</t>
  </si>
  <si>
    <t>CORE_150</t>
  </si>
  <si>
    <t>Hsee, C. K. (1998). Less is better: When low‐value options are valued more highly than high‐value options. Journal of Behavioral Decision Making, 11(2), 107-121.</t>
  </si>
  <si>
    <t>10.1002/(SICI)1099-0771(199806)11:2&lt;107::AID-BDM292&gt;3.0.CO;2-Y</t>
  </si>
  <si>
    <t>10.1002--(sici)1099-0771(199806)11:2&lt;107::aid-bdm292&gt;3.0.co;2-y.pdf</t>
  </si>
  <si>
    <t>Vonasch, A., Yiu, H., Leung, W., Nguyen, A., Stephanie, C., Cheng, B., &amp; Feldman, G. (2023). “Less is better” in separate evaluations versus “More is better” in joint evaluations: Mostly successful close replication and extension of Hsee (1998). Open Science Framework. https://doi.org/10.17605/OSF.IO/9UWNS</t>
  </si>
  <si>
    <t>10.1525/collabra.77859</t>
  </si>
  <si>
    <t xml:space="preserve">10.1525--collabra.77859.pdf </t>
  </si>
  <si>
    <t>?</t>
  </si>
  <si>
    <t>less is better</t>
  </si>
  <si>
    <t>preference reversal, evaluability, willingness to pay</t>
  </si>
  <si>
    <t>participants receiving the $45 scarf will consider their friend more generous than those receiving the $55 coat</t>
  </si>
  <si>
    <t>although the $55 coat is certainly more expensive than the $45 scarf, those receiving the scarf considered their gift giver to be significantly more generous than those receiving the coat (M = 5.63 and 5.00, respectively, t =3.13; p &lt; 0:01)</t>
  </si>
  <si>
    <t>https://osf.io/6z32c</t>
  </si>
  <si>
    <t>CORE_153_1</t>
  </si>
  <si>
    <t>CORE_153</t>
  </si>
  <si>
    <t>Kruger, J., Wirtz, D., Van Boven, L., &amp; Altermatt, T. W. (2004). The effort heuristic. Journal of Experimental Social Psychology, 40(1), 91-98.</t>
  </si>
  <si>
    <t>10.1016/S0022-1031(03)00065-9</t>
  </si>
  <si>
    <t>10.1016--s0022-1031(03)00065-9.pdf</t>
  </si>
  <si>
    <t>Ziano, Ignazio, et al. "Examining the impact of effort on perceived quality and value by revisiting “The Effort Heuristic”: Mixed results of close replications of Kruger et al.(2004)." (2021).</t>
  </si>
  <si>
    <r>
      <rPr>
        <rFont val="Calibri"/>
        <color rgb="FF1155CC"/>
        <sz val="11.0"/>
        <u/>
      </rPr>
      <t>10.1525/collabra.87489</t>
    </r>
  </si>
  <si>
    <t>10.1525--collabra.87489.pdf</t>
  </si>
  <si>
    <t>effort heuristic</t>
  </si>
  <si>
    <t>judgment, decision Making, heuristics, biases</t>
  </si>
  <si>
    <t>the poem will be rated as better when it took 18h to be composed compared to 4h</t>
  </si>
  <si>
    <t>as Table 1 shows, participants provided more favorable evaluations of the poem when they thought it took Walleghen 18 hr to compose than when it took it him 4 hr, F(1, 136) = 3.98, p = 0.048</t>
  </si>
  <si>
    <t>p. 10 of replication paper</t>
  </si>
  <si>
    <t>https://osf.io/cga6h</t>
  </si>
  <si>
    <t>CORE_157a_1</t>
  </si>
  <si>
    <t>CORE_157a</t>
  </si>
  <si>
    <t>effect size for the interaction was considered</t>
  </si>
  <si>
    <t>replication effect size was actually another original effect size. Also there were three effects. The entry has been expanded into 3 entries covering all three central effects (Table 2, p.10 of original article)</t>
  </si>
  <si>
    <t>Kogut, T., &amp; Ritov, I. (2005). The “identified victim” effect: An identified group, or just a single individual?. Journal of behavioral decision making, 18(3), 157-167.</t>
  </si>
  <si>
    <t>10.1002/bdm.492</t>
  </si>
  <si>
    <t>10.1002--bdm.492.pdf</t>
  </si>
  <si>
    <t>Majumder, R., Long, T., Ziano, I., &amp; Feldman, G. (2022). Revisiting the impact of singularity on the Identified Victim Effect: An unsuccessful replication and extension of Kogut and Ritov (2005a) Study 2. Open Science Framework. https://doi.org/10.17605/OSF.IO/9QCPJ</t>
  </si>
  <si>
    <t>10.1017/jdm.2024.31</t>
  </si>
  <si>
    <t>10.1017--jdm.2024.31.pdf</t>
  </si>
  <si>
    <t>identifiable victim effect</t>
  </si>
  <si>
    <t>emotion, affect, individuating information, victims</t>
  </si>
  <si>
    <t>willingness to contribute for an identified single victim is greater than the willingness to contribute for an unidentified single victim, with a weaker effect for a group of victims (singularity and identifiability interaction)</t>
  </si>
  <si>
    <t>identification of the victim significantly interacted with the singularity factor (F(1, 108) = 7.12, p &lt; 0.009)</t>
  </si>
  <si>
    <t>https://osf.io/bjafe/</t>
  </si>
  <si>
    <t>CORE_158_1</t>
  </si>
  <si>
    <t>CORE_158</t>
  </si>
  <si>
    <t>Small, D. A., Loewenstein, G., &amp; Slovic, P. (2007). Sympathy and callousness: Affect and deliberations in donation decisions. Organizational Behavior and Human Decision Processes, 102(2), 143-153.</t>
  </si>
  <si>
    <t>10.1016/j.obhdp.2006.01.005</t>
  </si>
  <si>
    <t>10.1016--j.obhdp.2006.01.005.pdf</t>
  </si>
  <si>
    <t>Revisiting and rethinking the identifiable victim effect: Replication and extension of small, Loewenstein, and Slovic (2007) M Maier, YC Wong, G Feldman - Collabra: Psychology, 2024</t>
  </si>
  <si>
    <r>
      <rPr>
        <rFont val="Calibri"/>
        <color rgb="FF1155CC"/>
        <sz val="11.0"/>
        <u/>
      </rPr>
      <t>10.1525/collabra.90203</t>
    </r>
  </si>
  <si>
    <t>10.1525--collabra.90203.pdf</t>
  </si>
  <si>
    <t>deliberative thought, identifiable victim effect</t>
  </si>
  <si>
    <t>identifiable victim effect, sympathy, generosity</t>
  </si>
  <si>
    <t>thinking analytically about the value of lives should reduce giving to an identifiable victim</t>
  </si>
  <si>
    <t>participants who faced an identifiable victim gave more (M = $2.12, SD = $2.13) than those who faced a statistical victim, (M = $1.21, SD = 1.67), F(1,115) = 6.75, p &lt; .05, etasq = .06</t>
  </si>
  <si>
    <t>https://osf.io/dc9kb/</t>
  </si>
  <si>
    <t>CORE_159_1</t>
  </si>
  <si>
    <t>CORE_159</t>
  </si>
  <si>
    <t>replication paper is inaccessible</t>
  </si>
  <si>
    <t>Cushman, F., Young, L., &amp; Hauser, M. (2006). The role of conscious reasoning and intuition in moral judgment: Testing three principles of harm. Psychological science, 17(12), 1082-1089.</t>
  </si>
  <si>
    <t>10.1111/j.1467-9280.2006.01834.x</t>
  </si>
  <si>
    <t>10.1111--j.1467-9280.2006.01834.x.pdf</t>
  </si>
  <si>
    <t>Hoi &amp; Feldman, Cushman, Young, and Hauser (2006): Replication and extension</t>
  </si>
  <si>
    <t>the replication paper is inaccessible</t>
  </si>
  <si>
    <t>Three principles of harm,Morality</t>
  </si>
  <si>
    <t>CORE_160_1</t>
  </si>
  <si>
    <t>CORE_160</t>
  </si>
  <si>
    <t>Heath, C., Larrick, R. P., &amp; Wu, G. (1999). Goals as reference points. Cognitive psychology, 38(1), 79-109.</t>
  </si>
  <si>
    <t>10.1006/cogp.1998.0708</t>
  </si>
  <si>
    <t>10.1006--cogp.1998.0708.pdf</t>
  </si>
  <si>
    <t>Nga Yu Au &amp; Feldman, Replication and extension of using goals as reference points</t>
  </si>
  <si>
    <t>10.17605--osf.io--wmqtb.pdf</t>
  </si>
  <si>
    <t>over confidence</t>
  </si>
  <si>
    <t xml:space="preserve"> goals as reference points, bias, judgment and decision making, value function, loss aversion, diminishing sensitivit</t>
  </si>
  <si>
    <t>compare the emotion between Sally, who succeeded to meet her goal, with Trish, who failed to meet her goal</t>
  </si>
  <si>
    <t>p. 17 of replication paper</t>
  </si>
  <si>
    <t>p. 39</t>
  </si>
  <si>
    <t>https://osf.io/wmqtb/</t>
  </si>
  <si>
    <t>CORE_161_1</t>
  </si>
  <si>
    <t>CORE_161</t>
  </si>
  <si>
    <t>Strohminger, N., &amp; Nichols, S. (2014). The essential moral self. Cognition, 131(1), 159-171.</t>
  </si>
  <si>
    <t>10.1016/j.cognition.2013.12.005</t>
  </si>
  <si>
    <t>10.1016--j.cognition.2013.12.005.pdf</t>
  </si>
  <si>
    <t>Wong, C. H. S., &amp; Feldman, G. Essential moral self remains unchallenged: Successful replication of Strohminger and Nichols (2014) with extensions comparing morality to ideology and religion.</t>
  </si>
  <si>
    <t>10.17605--osf.io--g2zv6.pdf</t>
  </si>
  <si>
    <t>essential moral self</t>
  </si>
  <si>
    <t>personal identity, numerical identity, self, morality</t>
  </si>
  <si>
    <t>moral traits are considered more essential to personal identity than other mental faculties, morality - amnesia comparison</t>
  </si>
  <si>
    <t>person with moral deficit is considered more profoundly changed than one who loses memories or desires (M=4.8, F(1, 146)=6.94, p=0.009)</t>
  </si>
  <si>
    <t>p. 14 of replication paper</t>
  </si>
  <si>
    <t>p. 38</t>
  </si>
  <si>
    <t>https://osf.io/c3bt2</t>
  </si>
  <si>
    <t>CORE_167_1</t>
  </si>
  <si>
    <t>CORE_167</t>
  </si>
  <si>
    <t>Results for the second hypothesis is not reported since it is not a quantative test but verbal description</t>
  </si>
  <si>
    <t>Weinstein, N. D. (1984). Why it won't happen to me: perceptions of risk factors and susceptibility. Health psychology, 3(5), 431.</t>
  </si>
  <si>
    <t>10.1037/0278-6133.3.5.431</t>
  </si>
  <si>
    <t>10.1037--0278-6133.3.5.431.pdf</t>
  </si>
  <si>
    <t>Chan &amp; Feldman, Weinstein (1984): Replication and extension</t>
  </si>
  <si>
    <t>optimism bias</t>
  </si>
  <si>
    <t>optimism bias, bias, judgment and decision making, comparative risk judgement, risk perceptions</t>
  </si>
  <si>
    <t>people perceive their risk of experiencing a negative health/safety hazard as less likely than their counterparts</t>
  </si>
  <si>
    <t xml:space="preserve">the optimism bias effect on comparative risk judgments was d = -0.75, 95% CI [-0.84, -0.65], indicating a strong effect </t>
  </si>
  <si>
    <t>p. 15 of replication paper</t>
  </si>
  <si>
    <t>https://osf.io/2cs6z/</t>
  </si>
  <si>
    <t>CORE_168_1</t>
  </si>
  <si>
    <t>CORE_168</t>
  </si>
  <si>
    <t>no replication file available</t>
  </si>
  <si>
    <t>Gino, F., Moore, D. A., &amp; Bazerman, M. H. (2009). See no evil: When we overlook other people's unethical behavior. In Social Decision Making (pp. 240-263). Psychology Press.</t>
  </si>
  <si>
    <t>ssrn-1079969</t>
  </si>
  <si>
    <t>ssrn-1079969.pdf</t>
  </si>
  <si>
    <t>Chan &amp; Feldman: Gino, Moore, and Bazerman (2009): Replications and extensions</t>
  </si>
  <si>
    <t>Outcome bias</t>
  </si>
  <si>
    <t>CORE_169_1</t>
  </si>
  <si>
    <t>CORE_169</t>
  </si>
  <si>
    <t>it seems the replication study not yet finalized</t>
  </si>
  <si>
    <t>Gray, K., Knobe, J., Sheskin, M., Bloom, P., &amp; Barrett, L. F. (2011). More than a body: mind perception and the nature of objectification. Journal of personality and social psychology, 101(6), 1207.</t>
  </si>
  <si>
    <t>10.1037/a0025883</t>
  </si>
  <si>
    <t>10.1037--a0025883.pdf</t>
  </si>
  <si>
    <t>Tsang &amp; Feldman, Gray et al (2011) Replication and Extension https://osf.io/8hdu3/</t>
  </si>
  <si>
    <r>
      <rPr>
        <rFont val="Calibri"/>
        <color rgb="FF1155CC"/>
        <sz val="11.0"/>
        <u/>
      </rPr>
      <t>10.17605/OSF.IO/W34FB</t>
    </r>
  </si>
  <si>
    <t xml:space="preserve"> https://osf.io/8hdu3/</t>
  </si>
  <si>
    <t>10.17605--OSF.IO--W34FB.pdf</t>
  </si>
  <si>
    <t>mind perception,objectification</t>
  </si>
  <si>
    <t>morality, dehumanization, pornography, dualism, sexism</t>
  </si>
  <si>
    <t>perceived agency in sexual condition being lower than clothed condition</t>
  </si>
  <si>
    <t>we did not find that there was lower perceived agency (original: Hedges’ g = -0.58, 95% CI [-1.18, 0.02]; replication: Cohen’s d = -0.09, 95% CI [-0.40, 0.22]) with increased body focus</t>
  </si>
  <si>
    <t>- I corrected the claim page
- I changed the original effect to NA
- I changed the n_r, the replication effect and the p-value of the replication</t>
  </si>
  <si>
    <r>
      <rPr>
        <rFont val="Calibri"/>
        <sz val="11.0"/>
      </rPr>
      <t xml:space="preserve">Chandrashekar, S. P., Adelina, N., Zeng, S., Chiu, Y. Y. E., Leung, Y., Henne, P., ... &amp; Feldman, G. (2022). Defaults versus framing: Revisiting Default Effect and Framing Effect with replications and extensions of Johnson and Goldstein (2003) and Johnson, Bellman, and Lohse (2002). </t>
    </r>
    <r>
      <rPr>
        <rFont val="Calibri"/>
        <color rgb="FF1155CC"/>
        <sz val="11.0"/>
        <u/>
      </rPr>
      <t>https://osf.io/pqt82</t>
    </r>
  </si>
  <si>
    <t>"The form of the question had a dramatic impact: Revealed donation rates were about twice as high when opting-out as when opting-in. The opt-out condition did not differ significantly from the neutral condition (without a default option). Only the opt-in condition, the current practice in the United States, was significantly lower", "There is a strong effect of the default: When donation is the default, there is a 16.3% (P &lt; 0.02) increase in donation, increasing the donor rate from 14.1 to 16.4 million."</t>
  </si>
  <si>
    <t>https://osf.io/8wd2b/</t>
  </si>
  <si>
    <t>CORE_176_1</t>
  </si>
  <si>
    <t>CORE_176</t>
  </si>
  <si>
    <t>effect size for heart attack was considered</t>
  </si>
  <si>
    <t>Perloff, L. S., &amp; Fetzer, B. K. (1986). Self–other judgments and perceived vulnerability to victimization. Journal of Personality and social Psychology, 50(3), 502.</t>
  </si>
  <si>
    <t>10.1037/0022-3514.50.3.502</t>
  </si>
  <si>
    <t>10.1037--0022-3514.50.3.502.pdf</t>
  </si>
  <si>
    <t xml:space="preserve">Hongye &amp; Feldman, Revisiting Illusion of Invulnerability effect: Replication and extension of Perloff and Fetzer (1986) </t>
  </si>
  <si>
    <t>https://docs.google.com/document/d/1hW5moEcdB-U0Ud-MNOB5iYSkeQL60SqVekufodODxDQ/edit?tab=t.0</t>
  </si>
  <si>
    <t>illusion of invulnerability effect</t>
  </si>
  <si>
    <t>optimistic bias, illusion of unique invulnerability, unrealistic optimistic, judgment and decision making, self-control, free will</t>
  </si>
  <si>
    <t>people tend to underestimate their likelihood to experience heart attack in relation to an average person’ likelihood</t>
  </si>
  <si>
    <t>as table 1 illustrates, subjects perceived the average person, in relation to themselves, as significantly more vulnerable to seven out of 10 events</t>
  </si>
  <si>
    <t>p. 52</t>
  </si>
  <si>
    <t xml:space="preserve">https://osf.io/7xf4q
</t>
  </si>
  <si>
    <t>evaluation only given for aggregated results
Corinna: 
- I added the replication label
- I clarified the target effect 
- I added the p-value of the replication study and the es_repr_r</t>
  </si>
  <si>
    <r>
      <rPr>
        <rFont val="Calibri"/>
        <sz val="11.0"/>
      </rPr>
      <t xml:space="preserve">Chandrashekar, S. P., Adelina, N., Zeng, S., Chiu, Y. Y. E., Leung, Y., Henne, P., ... &amp; Feldman, G. (2022). Defaults versus framing: Revisiting Default Effect and Framing Effect with replications and extensions of Johnson and Goldstein (2003) and Johnson, Bellman, and Lohse (2002). </t>
    </r>
    <r>
      <rPr>
        <rFont val="Calibri"/>
        <sz val="11.0"/>
        <u/>
      </rPr>
      <t>https://osf.io/pqt82</t>
    </r>
  </si>
  <si>
    <t>t(2)=4.59</t>
  </si>
  <si>
    <t>CORE_194_1</t>
  </si>
  <si>
    <t>CORE_194</t>
  </si>
  <si>
    <t>Young, L. &amp; Saxe, R. (2011). When ignorance is no excuse: Different roles for intent across moral domains. Cognition, 120(2), 202-214. https://doi.org/10.1016/j.cognition.2011.04.005</t>
  </si>
  <si>
    <t>10.1016/j.cognition.2011.04.005</t>
  </si>
  <si>
    <t>10.1016--j.cognition.2011.04.005.pdf</t>
  </si>
  <si>
    <t>Chan &amp; Feldman Young and Saxe (2011): Replication and extension https://osf.io/u59ab</t>
  </si>
  <si>
    <r>
      <rPr>
        <rFont val="Calibri"/>
        <color rgb="FF1155CC"/>
        <sz val="11.0"/>
        <u/>
      </rPr>
      <t>10.17605/OSF.IO/QSWE3</t>
    </r>
  </si>
  <si>
    <t>https://osf.io/u59ab</t>
  </si>
  <si>
    <t>10.17605--OSF.IO--QSWE3.pdf</t>
  </si>
  <si>
    <t>folk intentionality, morality</t>
  </si>
  <si>
    <t>morality, intent, disgust, purity, incest, accident</t>
  </si>
  <si>
    <t>differences in moral wrongness between purity violations and harm are larger for accidentals than the differences between purity violations and harm for intentionals. Inspecific, moral wrongness of accidental purity violations is greater than that of accidental harms.</t>
  </si>
  <si>
    <t>the critical intent by domain interaction (F(1, 169)=29.1, p&lt;0.001, partial etasq=0.15) indicatiing a different role for intent for judgements of harm versus incest</t>
  </si>
  <si>
    <t>https://osf.io/xf76v</t>
  </si>
  <si>
    <t>CORE_195_1</t>
  </si>
  <si>
    <t>CORE_195</t>
  </si>
  <si>
    <r>
      <rPr>
        <rFont val="Calibri"/>
        <color rgb="FF1155CC"/>
        <sz val="11.0"/>
        <u/>
      </rPr>
      <t>10.17605/OSF.IO/QSWE3</t>
    </r>
  </si>
  <si>
    <t>emotion, control, knowledge, intent</t>
  </si>
  <si>
    <t>examined whether differences in moral judgements observed in Experiment 1 were due to variations in participants’ ratings of (1) the emotion salience of the scenarios, (2) the agent’s control, (3) the agent’s knowledge, or (4) the agent’s intent</t>
  </si>
  <si>
    <t>interaction between domain and intent (F(1, 76)=15, p&lt;0.001, partial etasq = 0.17</t>
  </si>
  <si>
    <t>F(1, 76) = 15</t>
  </si>
  <si>
    <t>CORE_196_1</t>
  </si>
  <si>
    <t>CORE_196</t>
  </si>
  <si>
    <r>
      <rPr>
        <rFont val="Calibri"/>
        <color rgb="FF1155CC"/>
        <sz val="11.0"/>
        <u/>
      </rPr>
      <t>10.17605/OSF.IO/QSWE3</t>
    </r>
  </si>
  <si>
    <t>morality, disgust</t>
  </si>
  <si>
    <t>accidental incest being judgely morally worse than accidental harm - if participants were expressing disgust instead of making moral judgements</t>
  </si>
  <si>
    <t>we found significant interactions between judgment and domain (F(1, 152)=4.8, p=0.03, partial etasq=0.03)</t>
  </si>
  <si>
    <t>CORE_197_1</t>
  </si>
  <si>
    <t>CORE_197</t>
  </si>
  <si>
    <r>
      <rPr>
        <rFont val="Calibri"/>
        <color rgb="FF1155CC"/>
        <sz val="11.0"/>
        <u/>
      </rPr>
      <t>10.17605/OSF.IO/QSWE3</t>
    </r>
  </si>
  <si>
    <t>morality, accidents, attempts</t>
  </si>
  <si>
    <t>the larger mean of failed attempt to harm than that of failed attempt to commit purity violation on moral wrongness</t>
  </si>
  <si>
    <t>p. 21 of replication paper</t>
  </si>
  <si>
    <t>CORE_203_1</t>
  </si>
  <si>
    <t>CORE_203_a</t>
  </si>
  <si>
    <t>thanksgiving day</t>
  </si>
  <si>
    <t>Van Boven, L., &amp; Ashworth, L. (2007). Looking forward, looking back: anticipation is more evocative than retrospection. Journal of experimental psychology: General, 136(2), 289.</t>
  </si>
  <si>
    <t>10.1037/0096-3445.136.2.28</t>
  </si>
  <si>
    <t>10.1037--0096-3445.136.2.28.pdf</t>
  </si>
  <si>
    <t xml:space="preserve">Lau &amp; Feldman, Van Boven and Ashworth (2007): Replication and extension </t>
  </si>
  <si>
    <t>https://osf.io/gcf3v/?view_only=</t>
  </si>
  <si>
    <t>https://drive.google.com/file/d/1-9Fcmt4OS-LDChgj2l27HGaNzy4UZ_SN/view?usp=drive_link</t>
  </si>
  <si>
    <t>Past-future asymmetry</t>
  </si>
  <si>
    <t>As expected, participants reported that anticipation of their future Thanksgiving Day made them happier (M   6.86, SD   1.76) than retrospection about their past holiday (M   6.17, SD  1.86), t(35)   2.91, SE   0.24, p   .006, d   0.98</t>
  </si>
  <si>
    <t>p.3 (M  = 6.86, SD=   1.76)  (M =  6.17, SD = 1.86), t(35)  = 2.91, SE=   0.24, p  = .006, d =  0.98</t>
  </si>
  <si>
    <t>p.40 Md = 0.03, df = 245, t = 0.24, p = .811, d = 0.02, 95% CI = [-0.11, 0.14]</t>
  </si>
  <si>
    <t>https://docs.google.com/document/d/1WKb2HAoSmgUndzcI1DDYuGyUpLFwcmuSn5OAIlI32KI/edit?tab=t.0#heading=h.9x21u9ixbezz</t>
  </si>
  <si>
    <t>CORE_203_b</t>
  </si>
  <si>
    <t>there was a nonsignificant tendency for participants toexpect that they would enjoy their future Thanksgiving more (M  6.75, SD   1.47) than they remembered having enjoyed their pastThanksgiving (M =  6.45, SD  = 1.33), t(35) =  1.67, SE =  0.18, p  = .105, d  = 0.56</t>
  </si>
  <si>
    <t>p.3(M  6.75, S</t>
  </si>
  <si>
    <t>p.41 Md = 0.08, df = 245, t = 0.68, p = .496, d = 0.04, 95% CI = [-0.08, 0.17]</t>
  </si>
  <si>
    <t>CORE_203_c</t>
  </si>
  <si>
    <t xml:space="preserve">We calculated the difference between participants’ current reported happiness during anticipation of Thanksgiving and their current reported happiness during their retrospection about Thanksgiving (M   0.69, SD   1.43) and regressed that difference on the difference between participants’ predicted enjoyment and their remembered enjoyment (M   0.30, SD   1.08), which was associated with a significant coefficient </t>
  </si>
  <si>
    <t>(b =  .86,), t(34) =  5.04, SE  = 0.17, p &lt;  .001</t>
  </si>
  <si>
    <t>p.42 b = -0.30, b₁ = 0.99, R² = 0.840, SE = 0.028, t = 35.74, p &lt; .001</t>
  </si>
  <si>
    <t>CORE_203_d</t>
  </si>
  <si>
    <t>Importantly, the constant was significantly positive ( indicating that anticipation was associated with more intense reported happiness than retrospection, when controlling for the extremity of predicted and remembered enjoyment.</t>
  </si>
  <si>
    <t>p.3 b =  .44, t(34) =  2.29, SE=  0.19, p  = .029</t>
  </si>
  <si>
    <t>p.43 b = 7.12, b₁ = -0.03, R² = 0.000, SE = 0.170, t = -0.17, p = .867</t>
  </si>
  <si>
    <t>CORE_203_e</t>
  </si>
  <si>
    <t>menstruation</t>
  </si>
  <si>
    <t>As expected, women reported that their mood was worse during anticipation of their next period (M   4.88, SD   2.44) than it was during retrospection about their last period (M   3.32, SD   2.34), t(47)   2.28, SE   0.68, p   .027, d   0.66 (see Table 2).</t>
  </si>
  <si>
    <t>M=4.88, SD=2.44, t(47)=2.28, SE=0.68, p=.027, d=0.66, M=3.32, SD=2.34</t>
  </si>
  <si>
    <t>p.40 Md = 1.25, df = 219, t = 3.45, p &lt; .001, d = 0.46, 95% CI = [0.20, 0.73]</t>
  </si>
  <si>
    <t>CORE_203_f</t>
  </si>
  <si>
    <t>Participants did not predict that their next period would be significantly more unpleasant (M   5.63, SD   2.14) than they remembered their last period having been (M   5.16, SD   1.82), t(47)   0.82, SE   0.58, p   .416, observed power   .127, d   0.24, (see Table 2). A</t>
  </si>
  <si>
    <t>M=5.63, SD=2.14, t(47)=0.82, SE=0.58, p=.416, observed power=.127, d=0.24, M=5.16, SD=1.82</t>
  </si>
  <si>
    <t>p.41 Md = 0.48, df = 219, t = 1.43, p = .154, d = 0.19, 95% CI = [-0.07, 0.46]</t>
  </si>
  <si>
    <t>CORE_203_g</t>
  </si>
  <si>
    <t xml:space="preserve">multiple linear regression indicated that women’s reports of how much thinking about their period worsened their mood was associated both with the extremity of their predicted or remembered menstrual unpleasantness (b   .65,     .52), t(46)   4.37, SE   0.15, p   .001, d   1.29, </t>
  </si>
  <si>
    <t>b=.65, =.52, t(46)=4.37, SE=0.15, p=.001, d=1.29</t>
  </si>
  <si>
    <t>p.42 b = 0.36, b₁ = 0.78, R² = 0.497, SE = 0.053, t = 14.70, p &lt; .001</t>
  </si>
  <si>
    <t>CORE_203_h</t>
  </si>
  <si>
    <t>and with their temporal perspective (coded 1 and –1 for anticipation and retrospection, respectively; b   .63,  .25), t(46)   2.14, SE   0.29, p   .037, d   0.63.</t>
  </si>
  <si>
    <t>b=.63, =.25, t(46)=2.14, SE=0.29, p=.037, d=0.63</t>
  </si>
  <si>
    <t>p.43 b = 4.51, b₁ = 1.25, R² = 0.052, SE = 0.363, t = 3.45, p &lt; .001</t>
  </si>
  <si>
    <t>CORE_203_i</t>
  </si>
  <si>
    <t>ski vacation</t>
  </si>
  <si>
    <t>As expected, participants reported more intense positive emotion during anticipation of the hypothetical future ski vacation (M   5.84, SD   0.92) than during retrospection about the hypothetical past ski vacation (M   5.51, SD   0.63), t(93)   2.06, SE   0.16, p   .042, d   0.43 (see Table 4). P</t>
  </si>
  <si>
    <t>M=5.84, SD=0.92, t(93)=2.06, SE=0.16, p=.042, d=0.43, M=5.51, SD=0.63</t>
  </si>
  <si>
    <t>p.40 Md = 0.21, df = 562, t = 1.57, p = .117, d = 0.13, 95% CI = [-0.03, 0.30]</t>
  </si>
  <si>
    <t>CORE_203_j</t>
  </si>
  <si>
    <t>articipants did not anticipate that they would enjoy the vacation significantly more (M   6.16, SD   1.19) than participants “remembered” enjoying the vacation (M   6.00, SD   1.09, t(93)   0.67, SE   0.23, p   .507, observed power   .101, d   0.14 (see Table 4).</t>
  </si>
  <si>
    <t>M=6.16, SD=1.19, t(93)=0.67, SE=0.23, p=.507, observed power=.101, d=0.14, M=6.00, SD=1.09</t>
  </si>
  <si>
    <t>p.40  Md = -0.02, df = 562, t = -0.14, p = .890, d = -0.01, 95% CI = [-0.18, 0.15]</t>
  </si>
  <si>
    <t>CORE_203_k</t>
  </si>
  <si>
    <t>A multiple linear regression indicated that participants’ reported current emotion was associated with the extremity of their predicted or remembered emotion (b   .471,     .67), t(92)   8.98, SE   0.05, p   .001, d   1.87,</t>
  </si>
  <si>
    <t>b=.471, =.67, t(92)=8.98, SE=0.05, p=.001, d=1.87</t>
  </si>
  <si>
    <t>p.42 b = 1.98, b₁ = 0.69, R² = 0.370, SE = 0.038, t = 18.16, p &lt; .001</t>
  </si>
  <si>
    <t>CORE_203_l</t>
  </si>
  <si>
    <t>and with their temporal perspective (coded 1 and –1 for anticipation and retrospection, respectively (b   .129,     .163), t(92)   2.18, SE   0.16, p   .032, d   0.45.</t>
  </si>
  <si>
    <t>b=.129, =.163, t(92)=2.18, SE=0.16, p=.032, d=0.45</t>
  </si>
  <si>
    <t>p.42 b = 2.17, b₁ = 0.27, R² = 0.008, SE = 0.128, t = 2.14, p = .033</t>
  </si>
  <si>
    <t>CORE_204_1</t>
  </si>
  <si>
    <t>CORE_204</t>
  </si>
  <si>
    <t>Hsee, C. K., &amp; Rottenstreich, Y. (2004). Music, pandas, and muggers: on the affective psychology of value. Journal of Experimental Psychology: General, 133(1), 23.</t>
  </si>
  <si>
    <t>10.1037/0096-3445.133.1.23</t>
  </si>
  <si>
    <t>10.1037--0096-3445.133.1.23.pdf</t>
  </si>
  <si>
    <t>Tam &amp; Feldman, Hsee and Rottenstreich (2004) replication and extension https://docs.google.com/document/d/1vDjAQ54ItG0Aaoxk1DZXlH422GHO9Cd_vnJFvWcf_aY/edit</t>
  </si>
  <si>
    <t>10.17605/osf.io/ahcpw</t>
  </si>
  <si>
    <t>https://drive.google.com/file/d/1W0CUphORn0RFZC7vPbiY_o1c0-1VZraH/view</t>
  </si>
  <si>
    <t>10.17605--OSF.IO--AHCPW.pdf</t>
  </si>
  <si>
    <t>affect heuristic (music book versus cash)</t>
  </si>
  <si>
    <t>subjective value, bias, judgment and decision making, affect, scope insensitivity</t>
  </si>
  <si>
    <t>less scope-sensitivity in the music book than cash conditions</t>
  </si>
  <si>
    <t>ANOVA revealed a significant Scope xTarget interaction effect, F(1, 327) = 7.48, p = .01, MSE = 4.26, etasq = 0.02, indicating less scope-sensitivity in the music book than cash conditions</t>
  </si>
  <si>
    <t>CORE_213_1</t>
  </si>
  <si>
    <t>CORE_213</t>
  </si>
  <si>
    <t>Jonas, E., Schulz-Hardt, S., Frey, D., &amp; Thelen, N. (2001). Confirmation bias in sequential information search after preliminary decisions: an expansion of dissonance theoretical research on selective exposure to information. Journal of personality and social psychology, 80(4), 557.</t>
  </si>
  <si>
    <t>10.1037/0022-3514.80.4.557 </t>
  </si>
  <si>
    <t>10.1037--0022-3514.80.4.557 .pdf</t>
  </si>
  <si>
    <t>Liu &amp; Feldman, Replication and extension of Jonas, Schulz-Hardt, Frey, &amp; Thelen (2001)</t>
  </si>
  <si>
    <t>Confirmation Bias</t>
  </si>
  <si>
    <t>CORE_214_1</t>
  </si>
  <si>
    <t>CORE_214</t>
  </si>
  <si>
    <t>Kozak, M. N., Marsh, A. A., &amp; Wegner, D. M. (2006). What do I think you're doing? Action identification and mind attribution. Journal of personality and social psychology, 90(4), 543.</t>
  </si>
  <si>
    <t>10.1037/0022-3514.90.4.543</t>
  </si>
  <si>
    <t>10.1037--0022-3514.90.4.543.pdf</t>
  </si>
  <si>
    <t>Wong, Kozak, Marsh, and Wegner. (2006): Replication and extension</t>
  </si>
  <si>
    <r>
      <rPr>
        <rFont val="Calibri"/>
        <color rgb="FF1155CC"/>
        <sz val="11.0"/>
        <u/>
      </rPr>
      <t>10.17605/OSF.IO/J9MFN</t>
    </r>
  </si>
  <si>
    <t>https://osf.io/8mqx5</t>
  </si>
  <si>
    <t>10.17605--osf.io--j9mfn.pdf</t>
  </si>
  <si>
    <t>mind perception</t>
  </si>
  <si>
    <t>mind attribution, dehumanization, mentalizing, mind perception, theory of mind</t>
  </si>
  <si>
    <t>action identification is positively correlated with mind attribution</t>
  </si>
  <si>
    <t>the number of high-level identifications was significantly correlated with the overall mind attribution index, r(48)=0.30, p&lt;0.05</t>
  </si>
  <si>
    <t>p. 37</t>
  </si>
  <si>
    <t>CORE_218_1</t>
  </si>
  <si>
    <t>CORE_218</t>
  </si>
  <si>
    <t>Wilson, A. E., &amp; Ross, M. (2001). From chump to champ: people's appraisals of their earlier and present selves. Journal of personality and social psychology, 80(4), 572.</t>
  </si>
  <si>
    <t>10.1037/0022-3514.80.4.572</t>
  </si>
  <si>
    <t>10.1037--0022-3514.80.4.572.pdf</t>
  </si>
  <si>
    <t>Perks &amp; Feldman, Replication and Extension of Temporal Self-Appraisal Effect</t>
  </si>
  <si>
    <t>AWAITING ACCESS TO OSF PROJECT</t>
  </si>
  <si>
    <t>Past-future asymmetry,Global Self-Evaluation</t>
  </si>
  <si>
    <t>CORE_220_1</t>
  </si>
  <si>
    <t>CORE_220</t>
  </si>
  <si>
    <t>Wong, K. F. E., &amp; Kwong, J. Y. Y. (2000). Is 7300 m equal to 7.3 km? Same semantics but different anchoring effects. Organizational Behavior and Human Decision Processes, 82(2), 314-333</t>
  </si>
  <si>
    <t>10.1006/obhd.2000.2900</t>
  </si>
  <si>
    <t>10.1006--obhd.2000.2900.pdf</t>
  </si>
  <si>
    <t>Anchoring effect by framing</t>
  </si>
  <si>
    <t>CORE_221_1</t>
  </si>
  <si>
    <t>CORE_221</t>
  </si>
  <si>
    <t>10.1111/j.1467-9280.2006.01704</t>
  </si>
  <si>
    <t>10.1111--j.1467-9280.2006.01704.pdf</t>
  </si>
  <si>
    <t>10.31234--osf.io--bgp3m.pdf</t>
  </si>
  <si>
    <t>anchoring-and-adjustment heuristic</t>
  </si>
  <si>
    <t>anchoring effect, self-generated, experimenter-provided, replication, anchoring and adjustment</t>
  </si>
  <si>
    <t>anchoring effect</t>
  </si>
  <si>
    <t>participants who scored high in NFC provided estimates further from their self-generated anchor values (mean z score = 0.14) than participants who scored low (mean z score =-0.18), t(77) = 2.13, p &lt; .05, prep &lt; .90, d = 0.49</t>
  </si>
  <si>
    <t>https://osf.io/8k9nt/</t>
  </si>
  <si>
    <t xml:space="preserve">Sample size mentioned, but different from the one reported in the result section. </t>
  </si>
  <si>
    <t>- I added the replication label
- I specified study 1a (original)</t>
  </si>
  <si>
    <t>"Overall, 45 of the 60 respondents (75%) indicated that they experienced more regret over those things they did not do but wished they had done (binomial z = 3.75, p &lt; .001)."</t>
  </si>
  <si>
    <t>binomial z =3.75</t>
  </si>
  <si>
    <t>binomial z =-5.79</t>
  </si>
  <si>
    <t>https://osf.io/342td</t>
  </si>
  <si>
    <t>- I corrected the study number of the original study
- I added the replication label</t>
  </si>
  <si>
    <t>Participants are more likely to associate stronger regret with recent actions than with recent inactions</t>
  </si>
  <si>
    <t>"A vast majority of the subjects (76%) thought that Jim, the person who regrets doing something, would experience more regret initially (Binomial z = 4.59, p &lt; .0001)."</t>
  </si>
  <si>
    <t>binomial z =4.59</t>
  </si>
  <si>
    <t>binomial z =4.95</t>
  </si>
  <si>
    <t>- I corrected n_o
- I added the replication label
- I corrected the effect of the replication study along with the p-value and sample sizes</t>
  </si>
  <si>
    <t>Participants are more likely to associate stronger regret with distant past inactions than with
distant past actions</t>
  </si>
  <si>
    <t>"A sizable majority (64%) thought that Dave, who regretted not doing something, would experience more regret down the road (Binomial z = 2.35, p &lt; .02)."</t>
  </si>
  <si>
    <t>binomial z =2.35</t>
  </si>
  <si>
    <t xml:space="preserve">Participants are more likely to experience temporal regrettable actions in the short-term than in the long term. </t>
  </si>
  <si>
    <t>"Looking back over their lives to that point, however, a substantial majority of the subjects (84%) reported greater regret for what they failed to do. This difference in the pattern of responses across the two time periods was statistically significant (z = 2.94, p &lt; .01). Thus, people's regrettable actions are more troublesome in the short-term than in the long run; but for their inactions, the opposite pattern holds true."</t>
  </si>
  <si>
    <t>binomial z =2.94</t>
  </si>
  <si>
    <t>- I added the replication label
- I entered NA to the p-value of the replication; the coder reported: "Pval not reported, but 95% CI excludes 0"
- Both coders report a different effect (replication), but they are only in a different metric</t>
  </si>
  <si>
    <t>"Significant interactions were obtained between desirability and controllability, .F(3, 261) = 22.72, p &lt; .0001,"</t>
  </si>
  <si>
    <t>F(3, 261)=22.72</t>
  </si>
  <si>
    <t>https://osf.io/fyzwd</t>
  </si>
  <si>
    <t>CORE_39_1</t>
  </si>
  <si>
    <t>CORE_39</t>
  </si>
  <si>
    <t xml:space="preserve">- I added the study number of the original study
- I added the replication label
- I corrected n_r
- I changed the tails of the original p-value to NA (original)
- Since a one-sample t-test was conducted, I changed nesting to "yes" (replication and original)
- The test in the replication was explicitely two-tailed (I changed it from one-tailed) </t>
  </si>
  <si>
    <t>Carter, T. J., &amp; Gilovich, T. (2012). I am what I do, not what I have: the differential centrality of experiential and material purchases to the self. Journal of personality and social psychology, 102(6), 1304.</t>
  </si>
  <si>
    <t>10.1037/a0027407</t>
  </si>
  <si>
    <t>10.1037--a0027407.pdf</t>
  </si>
  <si>
    <t>Eva Yiyu Chen, Michelle Xingyu Chee, Gilad Feldman; Revisiting the Differential Centrality of Experiential and Material Purchases to the Self: Replication and Extension of Carter and Gilovich (2012). Collabra: Psychology 3 January 2023; 9 (1): 57785. doi: https://doi.org/10.1525/collabra.57789</t>
  </si>
  <si>
    <t>10.1525/collabra.57789</t>
  </si>
  <si>
    <t>10.1525--collabra.57789.pdf</t>
  </si>
  <si>
    <t>Happiness,Experiential vs materialistic</t>
  </si>
  <si>
    <t>Knowledge of one’s experiential purchases is perceived as providing greater insight into one’s true self than knowledge of one’s material purchases.</t>
  </si>
  <si>
    <t>As predicted, participants reported that Person E would know them better than Person M (M  5.85, SD  2.29), onesample t test against the scale midpoint t(120) = 4.08, p = .001, d = 0.371,</t>
  </si>
  <si>
    <t>p.6 (M  5.85, SD  2.29), scale midpoint t(120)  4.08, p  .001, d  0.371,</t>
  </si>
  <si>
    <t>p.5 (M = 6.43, SD = 2.22, t(742) = 17.61, p &lt; .001, d = 0.65, 95% CI [0.57, 0.73]).</t>
  </si>
  <si>
    <t>https://osf.io/gcerb</t>
  </si>
  <si>
    <t>- I changed the reported test statistics to the reported effect (original)
- I changed the tails of the p-value to NA (original)
- I changed nesting to yes (original and replication) 
- Since the effect of the replication was provided, I changed the test statistics to the effect
- I changed the page number of the replication (the reported one was also correct but did not match the reported one of the other coder)</t>
  </si>
  <si>
    <t>"participants reported that Person E would know them better than Person M (M =5.85, SD =2.29), one-sample t test against the scale midpoint t(120) = 4.08, p &lt; .001, d = 0.371"</t>
  </si>
  <si>
    <t>https://osf.io/9vsxt</t>
  </si>
  <si>
    <t>CORE_39_b</t>
  </si>
  <si>
    <t>As predicted, participants thought that knowledge of a stranger’s experiences would give them greater insight into the stranger’s true self (M  61.34, SD  29.56), based on a one-sample t test against the scale midpoint, t(100)  3.85, p  .001.</t>
  </si>
  <si>
    <t>t(100) =3.85</t>
  </si>
  <si>
    <t>p.7  (M  61.34, SD  29.56), t(100)  3.85, p  .001.</t>
  </si>
  <si>
    <t>p.5 (M = 72.08, SD = 25.08), t(742) = 24.00, p &lt; .001, d = 0.88, 95% CI [0.80, 0.96].</t>
  </si>
  <si>
    <t>CORE_39_c</t>
  </si>
  <si>
    <t>3c</t>
  </si>
  <si>
    <t xml:space="preserve">As predicted, participants indicated that they would rather learn about a person’s experiences than their possessions to gain insight into the person’s true self (M  72.09, SD  28.20), </t>
  </si>
  <si>
    <t>ts(101)  &gt; 7.50</t>
  </si>
  <si>
    <t>p.7   (M  72.09, SD  28.20)</t>
  </si>
  <si>
    <t>p. 6 (M = 76.35, SD = 23.37), t(742) = 30.74, p &lt; .001, d = 1.13, 95% CI [1.04, 1.22],</t>
  </si>
  <si>
    <t>CORE_39_d</t>
  </si>
  <si>
    <t>As predicted, participants indicated that they would rather learn about a person’s experiences than their possessions to gain insight into the person’s true self perhaps because doing so would be more useful (</t>
  </si>
  <si>
    <t>p.7   M  73.59, SD  26.64)</t>
  </si>
  <si>
    <t>p. 6 (M = 76.27, SD = 23.04), t(742) = 31.08, p &lt; .001, d =1.14, 95% CI [1.05, 1.23],</t>
  </si>
  <si>
    <t>CORE_39_e</t>
  </si>
  <si>
    <t>As predicted, participants indicated that they would rather learn about a person’s experiences than their possessions to gain insight into the person’s true self perhaps because doing so would be more fun to talk about</t>
  </si>
  <si>
    <t xml:space="preserve">p.7    (M  79.53, SD  25.09), </t>
  </si>
  <si>
    <t>p. 6 (M = 85.10, SD = 17.95), t(742) = 53.32, p &lt; .001, d = 1.96, 95% CI [1.83, 2.08]</t>
  </si>
  <si>
    <t>CORE_39_f</t>
  </si>
  <si>
    <t>Consistent with previous research, participants were more satisfied with their experiential purchases (M  8.00, SD  1.47) than their material purchases (M  7.23, SD  1.65), paired t(120)  3.83, p  .001, d  0.349.</t>
  </si>
  <si>
    <t>p.6 (M  8.00, SD  1.47) (M  7.23, SD  1.65), paired t(120)  3.83, p  .001, d  0.349.</t>
  </si>
  <si>
    <t>p.6 (N = 743, M = 8.10, SD = 1.31) than material purchases (M = 7.92, SD = 1.28), t(742) = 3.15, p = .002, d = 0.15, 95% CI [0.07, 0.22].</t>
  </si>
  <si>
    <t>CORE_39_g</t>
  </si>
  <si>
    <t>As predicted, participants in the material condition were more willing to exchange their memories (M  5.57, SD  1.55) than participants in the experiential condition (M  4.38, SD  1.64), t(58)  2.88, p  .01, d  0.74.</t>
  </si>
  <si>
    <t>p.9 (M  4.38, SD  1.64), t(58)  2.88, p  &lt; .01, d  0.74.</t>
  </si>
  <si>
    <t>p.7 (M = 4.75, SD = 1.36, N = 393) , (M = 4.22, SD = 1.33, N = 350), t(741) = 5.36, p &lt; .001, d = 0.39, 95% CI [0.25, 0.54].</t>
  </si>
  <si>
    <t>CORE_47_1</t>
  </si>
  <si>
    <t>CORE_47</t>
  </si>
  <si>
    <t>- I added the study number
- I added the replication label
- I added the page number to es_repr_o
- I changed the type and tails of the p-value to NA (original)
- I changed the effect size of the replication (initially it was coded as 2.87, therefore I assume it was a typo)
- I changed nesting to "yes" since it was a paired t-test (replication)</t>
  </si>
  <si>
    <t>Finucane, M. L., Alhakami, A., Slovic, P., &amp; Johnson, S. M. (2000). The affect heuristic in judgments of risks and benefits. Journal of behavioral decision making, 13(1), 1-17.</t>
  </si>
  <si>
    <t>10.1002/(SICI)1099-0771(200001/03)13:1&lt;1::AID-BDM333&gt;3.0.CO;2-S</t>
  </si>
  <si>
    <t>10.1002--(sici)1099-0771(200001--03)13:1&lt;1::aid-bdm333&gt;3.0.co;2-s.pdf</t>
  </si>
  <si>
    <t>Efendić, E., Chandrashekar, S. P., Lee, C. S., Yeung, L. Y., Kim, M. J., Lee, C. Y., &amp; Feldman, G. (2022). Risky Therefore Not Beneficial: Replication and Extension of Finucane et al.’s (2000) Affect Heuristic Experiment. Social Psychological and Personality Science, 13(7), 1173–1184. https://doi.org/10.1177/19485506211056761</t>
  </si>
  <si>
    <t>10.1177/19485506211056761</t>
  </si>
  <si>
    <t>10.1177--19485506211056761.pdf</t>
  </si>
  <si>
    <t>Affect heuristic</t>
  </si>
  <si>
    <t>increasing benefits leads people to judge its risks as lower</t>
  </si>
  <si>
    <t>That is, if the manipulation was designed to decrease perceived risk, then perceived benefit should increase, etc., eading to an inverse relationship between the manipulated and nonmanipulated attributes. As predicted, the nonmanipulated attribute generally changed in the direction aectively congruent with the manipulation (the only exceptions were Food LB and Nuclear LB). The correlation across the 12data points was -0.75.</t>
  </si>
  <si>
    <t>-0.87</t>
  </si>
  <si>
    <t>p. 5: MTurk sample: r(10) = 2.87, 95% confidence interval (CI): [20.96, 20.59], p = .003; Prolific sample: r(10) = 2.84, 95% CI = [20.95, 20.50], p \ .001.</t>
  </si>
  <si>
    <t>https://osf.io/pg3ae?view_only=6f8f5dc6ff524149a4ed5c6de9296ae8</t>
  </si>
  <si>
    <t>- This is only the replication effect using the MTurk sample. There is also an effect  from the Prolific sample (therefore, this replication study is labeled as study 2)
- I shortened the text claim to clarify the target effect 
- I changed nesting to "yes" since it was a paired t-test (replication)
- I added the replication label</t>
  </si>
  <si>
    <t>"That is, if the manipulation was designed to decrease perceived risk, then perceived benefit should increase, etc., leading to an inverse relationship between the manipulated and nonmanipulated attributes. As predicted, the nonmanipulated attribute generally changed in the direction aectively congruent with the manipulation (the only exceptions were Food LB and Nuclear LB). The correlation across the 12 data points was -0.75."</t>
  </si>
  <si>
    <t>r(10)= -0.87</t>
  </si>
  <si>
    <t>https://osf.io/pg3ae/</t>
  </si>
  <si>
    <t>CORE_47_b</t>
  </si>
  <si>
    <t>p. 6: Prolific sample: r(10) = 2.84, 95% CI = [20.95, 20.50], p \ .001.</t>
  </si>
  <si>
    <t>CORE_49_1</t>
  </si>
  <si>
    <t>CORE_49</t>
  </si>
  <si>
    <t>R and O are difficult to compare because of lots of results and condition naming (event names in O, A,B,C Labels in R. If needed all paired comparisons can be extracted, here is just generalised result. R states This hypothesiswas supported in 7 of the 8 sets of comparison of probability estimates, and the effect sizes were mostly medium to large.</t>
  </si>
  <si>
    <t>Fischhoff, B. (1975). Hindsight is not equal to foresight: The effect of outcome knowledge on judgment under uncertainty. Journal of Experimental Psychology: Human perception and performance, 1(3), 288.</t>
  </si>
  <si>
    <t>10.1037/0096-1523.1.3.288</t>
  </si>
  <si>
    <t>10.1037--0096-1523.1.3.288.pdf</t>
  </si>
  <si>
    <t>Chen, J., Kwan, L. Y. A., Yeung, W. L., Choi, H., Lo, Y., Au, S. Y., Tsang, C., Cheng, B., &amp; Feldman, G. (2021). Retrospective and prospective hindsight bias: Replications and extensions of Fischhoff (1975) and Slovic and Fischhoff (1977). Journal of Experimental Social Psychology, 96, 104154. https://doi.org/10.1016/j.jesp.2021.104154</t>
  </si>
  <si>
    <t>10.1016/j.jesp.2021.104154</t>
  </si>
  <si>
    <t>10.1016--j.jesp.2021.104154.pdf</t>
  </si>
  <si>
    <t>Hindsight bias-retrospective</t>
  </si>
  <si>
    <t>participants in the After conditions (knowing the outcome) estimated a higher probability for the outcome to which they were told has occurred than participants in the before conditions</t>
  </si>
  <si>
    <t>Experiment 2 has shown that subjects are either unaware of outcome knowledge having an effect on their perceptions or, if aware, they are unable to ignore or rescind that effect. Both the relevance and the probability judgments of After (ignore) subjects suggest that subjects fail to properly reconstruct foresightful (Be-fore) judgments because they are "an- chored" in the hindsightful state of mind created by receipt of outcome knowledge.</t>
  </si>
  <si>
    <t>https://osf.io/gwchd</t>
  </si>
  <si>
    <t>CORE_50_1</t>
  </si>
  <si>
    <t>CORE_50</t>
  </si>
  <si>
    <t>Kahneman, D., &amp; Miller, D. T. (1986). Norm theory: Comparing reality to its alternatives. Psychological review, 93(2), 136.</t>
  </si>
  <si>
    <t>10.1037/0033-295X.93.2.136</t>
  </si>
  <si>
    <t>10.1037--0033-295x.93.2.136.pdf</t>
  </si>
  <si>
    <t>Kutscher, L., &amp; Feldman, G. (2019). The impact of past behaviour normality on regret: replication and extension of three experiments of the exceptionality effect. Cognition &amp; Emotion, 33(5), 901–914. https://doi.org/10.1080/02699931.2018.1504747</t>
  </si>
  <si>
    <t>10.1080/02699931.2018.1504747</t>
  </si>
  <si>
    <t>10.1080--02699931.2018.1504747.pdf</t>
  </si>
  <si>
    <t>Exceptionality effect</t>
  </si>
  <si>
    <t>Mr. Jones almost never takes hitch-hikers in his car. Yesterday he gave a man a ride and was robbed. Mr. Smith frequently takes hitchhikers in his car. Yesterday he gave a man a ride and was robbed. Who do you expect to experience greater regret over the episode?
Mr. Jones 88% Mr. Smith 12%. The results confirm the hypothesis and incidentally indicate that regret cannot be identified with an internalization of others' blame.</t>
  </si>
  <si>
    <t>p.10 Mr. Jones 88% Mr. Smith 12%, N = 138</t>
  </si>
  <si>
    <t>X2 (1, N = 342) = 242.53</t>
  </si>
  <si>
    <t>p. 7 Mr. Jones (315, 92%) rather than Mr. Smith (27, 8%; X2 (1, N = 342) = 242.53, p &lt; .001).</t>
  </si>
  <si>
    <t>https://osf.io/kvcjz</t>
  </si>
  <si>
    <t xml:space="preserve">- I added the replication label
- I changed the effect size: afere has provided the effect size here for the original study, which was calculated by the authors of the replication study. I calculated the effect size using the "ES calculations" spreadsheet
- I changed the p-value type to NA
- I changed nesting from unsure to no (original and replication)
- I added the p-value of the replication study
</t>
  </si>
  <si>
    <t>abnormal will elicit stronger affective reactions than outcomes of routine actions.</t>
  </si>
  <si>
    <t>"As predicted, the same undesirable outcome is judged to be more upsetting when the action that led to it was exceptional than when it was routine."</t>
  </si>
  <si>
    <t>p.10 Mr. Adams 18% Mr. White 82% (N = 92)</t>
  </si>
  <si>
    <t>https://osf.io/hzdfk</t>
  </si>
  <si>
    <t>CORE_50_b</t>
  </si>
  <si>
    <t xml:space="preserve">- I added the study numbers
- I added the replication label
- I calculated the effect size using the effect size calculator (success rate)
- I changed the p-value type to NA (original) </t>
  </si>
  <si>
    <t>Mr. Adams was involved in an accident when driving home after work on his regular route. Mr. White was involved in a similar accident when driving on a route that he only takes when he wants a change of scenery. Who is more upset over the accident?
Mr. Adams 18% Mr. White 82% (N = 92) As predicted, the same undesirable outcome is judged to be more upsetting when the action that led to it was exceptional han when it was routine.</t>
  </si>
  <si>
    <t>p. 7 (277, 81%) , (65, 19%; X2 (1, N = 342) = 131.42, p &lt; .001, d = 1.58).</t>
  </si>
  <si>
    <t>CORE_51_1</t>
  </si>
  <si>
    <t>CORE_51</t>
  </si>
  <si>
    <t>Kahneman, D., &amp; Tversky, A. (1982). The psychology of preferences. Scientific American, 246(1), 160-173.</t>
  </si>
  <si>
    <t>10.1038/scientificamerican0182-160</t>
  </si>
  <si>
    <t>10.1038--scientificamerican0182-160.pdf</t>
  </si>
  <si>
    <t>Feldman, G., &amp; Albarracín, D. (2017). Norm theory and the action-effect: The role of social norms in regret following action and inaction. Journal of Experimental Social Psychology, 69, 111–120. https://doi.org/10.1016/j.jesp.2016.07.009</t>
  </si>
  <si>
    <t>10.1016/j.jesp.2016.07.009</t>
  </si>
  <si>
    <t>10.1016--j.jesp.2016.07.009.pdf</t>
  </si>
  <si>
    <t>Action-effect</t>
  </si>
  <si>
    <t>Consider the following: Paul owns shares in Company A. D uring the past year he considered switching to stock in Company B, but he decided against it. He now finds that he would have been better off by $ 1 ,200 if he had switched to the stock of Company B. George owned shares in Company B. During the past year he switched to stock in Company A. He now finds that he would have been better off by $ 1 ,200 if he had kept his stock in Company B. Who feels more regret?Here again it is generally agreed that George is more upset than Paul, although the ir objective situations are now identical ( both own the stock of Company A) and each reached his situ- ation by deliberate decision.</t>
  </si>
  <si>
    <t>X2 (2, N = 76) = 6.32,</t>
  </si>
  <si>
    <t>(X2 (2, N = 76) = 6.32, p = 0.042;</t>
  </si>
  <si>
    <t>https://osf.io/gj5re/files/osfstorage</t>
  </si>
  <si>
    <t>CORE_51_b</t>
  </si>
  <si>
    <t>R extension, experiment 2</t>
  </si>
  <si>
    <t>X2 (2, N = 154) = 17.03</t>
  </si>
  <si>
    <t>p.5  (48%; X2 (2, N = 154) = 17.03, p b 0.001;</t>
  </si>
  <si>
    <t>CORE_51_c</t>
  </si>
  <si>
    <t xml:space="preserve">R extension,experiment 3, manipulation - In the society with the inaction social norms
</t>
  </si>
  <si>
    <t>p.6 (t(38.72) = 7.26, p b 0.001; d = 1.89),</t>
  </si>
  <si>
    <t>CORE_51_d</t>
  </si>
  <si>
    <t xml:space="preserve">R extension,experiment 3, manipulation - in the action social norms society </t>
  </si>
  <si>
    <t>p.6 (t(56.26) =1.68, p = 0.098; d = −0.43).</t>
  </si>
  <si>
    <t>R extension,experiment 3,manipulation - in the action/inaction social norms society - main effect</t>
  </si>
  <si>
    <t>p.6 (action: N = 58, M = 4.74, SD = 1.68; inaction: N = 58, M = 3.55, SD = 2.26; d = 0.60; F(1, 112) = 14.31, p b 0.001; ηp2 = 0.11).</t>
  </si>
  <si>
    <t>CORE_51_e</t>
  </si>
  <si>
    <t>R extension, experiment 4 action</t>
  </si>
  <si>
    <t>p. 7 (Mdiff = −0.47, p b 0.001, d = −0.36, CI [−0.90, −0.05])</t>
  </si>
  <si>
    <t>CORE_51_f</t>
  </si>
  <si>
    <t>R extension, experiment 4 inaction</t>
  </si>
  <si>
    <t>p.7 (Mdiff = −0.74, p b 0.001, d = −0.56, CI [−1.16, -0.32]),</t>
  </si>
  <si>
    <t>CORE_51_g</t>
  </si>
  <si>
    <t>R extension, experiment 4 control</t>
  </si>
  <si>
    <t>p.7 (Mdiff = 21, p = 0.404, d = 0.21, CI [−0.16, 0.68]).</t>
  </si>
  <si>
    <t>CORE_52_1</t>
  </si>
  <si>
    <t>CORE_52</t>
  </si>
  <si>
    <t>R prolific sample</t>
  </si>
  <si>
    <t>Miller, D. T., &amp; Ratner, R. K. (1998). The disparity between the actual and assumed power of self-interest. Journal of personality and social psychology, 74(1), 53.</t>
  </si>
  <si>
    <t>10.1037/0022-3514.74.1.53</t>
  </si>
  <si>
    <t>10.1037--0022-3514.74.1.53.pdf</t>
  </si>
  <si>
    <t>Cameron Brick, Adrien Fillon, Siu Kit Yeung, Meiying Wang‎, Hongye Lyu‎, Jing Yee Jane Ho‎, Sze Chai Wong, Gilad Feldman; Self-interest Is Overestimated: Two Successful Pre-registered Replications and Extensions of Miller and Ratner (1998). Collabra: Psychology 4 January 2021; 7 (1): 23443. doi: https://doi.org/10.1525/collabra.23443</t>
  </si>
  <si>
    <t>10.1525/collabra.23443</t>
  </si>
  <si>
    <t>10.1525--collabra.23443.pdf</t>
  </si>
  <si>
    <t>Actual and assumed power of self-interest</t>
  </si>
  <si>
    <t>Participants overestimate how much payment changes others' willingness to donate blood.</t>
  </si>
  <si>
    <t>Participants estimated that roughly twice as many students would agree to donate blood for $15 as would agree to donate blood for free (Ms = 62.46% vs. 32.64%), r(55) = 12.38, p &lt; .0001</t>
  </si>
  <si>
    <t xml:space="preserve"> r(55) = 12.38</t>
  </si>
  <si>
    <t>t(798) = 23.7</t>
  </si>
  <si>
    <t>p. 17  t(798) = 23.7, p &lt; .001, d = 0.64 [0.58, 0.7] for the Prolific sample</t>
  </si>
  <si>
    <t>https://osf.io/57mdc/files/osfstorage</t>
  </si>
  <si>
    <t>A comparison of significance levels for the actual and estimated effects of smoking status (see Rosenthal &amp; Rubin, 1979) indicated that participants overestimated the impact of smoking sta- tus on their peers' attitudes for 7 of 8 policy issues (p s &lt; .05). In summary, the results supported the hypothesis: Smokers in this study were more opposed to policies that regulated smoking than were nonsmokers, but the impact of smoking status on expressed attitudes was significantly less than that predicted by respondents.</t>
  </si>
  <si>
    <t>p. 26 MTurk	M = 18.5	SD = 24.9	df = 205	t = 10.7	d = 0.75</t>
  </si>
  <si>
    <t>- I added the replication label
- I added the p-value of the replication study</t>
  </si>
  <si>
    <t>"Consistent with predictions, these results revealed a dramatic overestimation of the impact of financial incentive on people's stated willingness to donate blood, t(55) = 7.94, p &lt; .0001, the findings of Study 1 strongly support the hypothesis that individuals believe that self-interest powerfully guides people's behavior. Financial incentive had only a minimal  effect on participants' stated willingness to give blood, yet participants predicted that its effect would be considerable. Further, even participants whose own behavior was insensitive to incentive predicted that the behavior of others would be sensitive to it."</t>
  </si>
  <si>
    <t>t(55) = 7.94</t>
  </si>
  <si>
    <t>https://osf.io/ht4sw</t>
  </si>
  <si>
    <t>CORE_52_b</t>
  </si>
  <si>
    <t>R Mturk sample</t>
  </si>
  <si>
    <t>t(798) = 24.3</t>
  </si>
  <si>
    <t>p. 17  t(798) = 24.3, p &lt; .001, d = 0.67 [0.61, 0.73] for the MTurk sample.</t>
  </si>
  <si>
    <t>p. 26 Prolific        M = 19.9        SD = 23.7        df = 398        t = 16.8        d = 0.84        95% CI = [0.73, 0.96]</t>
  </si>
  <si>
    <t>CORE_52_c</t>
  </si>
  <si>
    <t>R prolific sample paid condi</t>
  </si>
  <si>
    <t>Consistent with predictions, these results revealed a dramatic overestimation of the impact of financial incentive on people's stated willingness to donate blood, r(55) = 7.94, p &lt; .0001.</t>
  </si>
  <si>
    <t xml:space="preserve"> r(55) = 7.94</t>
  </si>
  <si>
    <t>p. 17 t(798) = 11.84, p &lt; .001, d = 0.48 [0.38, 0.58] for Prolific,</t>
  </si>
  <si>
    <t>CORE_52_d</t>
  </si>
  <si>
    <t>R Mturk sample paid condition</t>
  </si>
  <si>
    <t>p.17 t(798) = 10.88, p &lt; .001, d = 0.46 [0.36, 0.56] for MTurk;</t>
  </si>
  <si>
    <t>CORE_52_e</t>
  </si>
  <si>
    <t>R Mturk sample unpaid conditio</t>
  </si>
  <si>
    <t>p.17t(798) = 18.29, p &lt; .001, d = 0.77 [0.67, 0.87]</t>
  </si>
  <si>
    <t>CORE_52_f</t>
  </si>
  <si>
    <t>R Mturk sample  unpaid condition</t>
  </si>
  <si>
    <t>p.17 t(798) = 12.49, p &lt; .001, d = 0.54 [0.44, 0.64]</t>
  </si>
  <si>
    <t>CORE_52_g</t>
  </si>
  <si>
    <t>R combined samples and conditions</t>
  </si>
  <si>
    <t>- I added the study numbers
- I added the replication label
- I refined the text claim and effect size: an r was coded instead of t
- I corrected the sample size (original)
- I corrected the p-value</t>
  </si>
  <si>
    <t>Consistent with predictions, these results revealed a dramatic overestimation of the impact of financial incentive on people's stated willingness to donate blood, t(55) = 7.94, p &lt; .0001.</t>
  </si>
  <si>
    <t>p.17,18   t(1597) = 23.1, p &lt; .0001, d = 0.58 [0.53, 0.63].</t>
  </si>
  <si>
    <t xml:space="preserve">R combined samples </t>
  </si>
  <si>
    <t>p.26 Combined        M = 19.5        SD = 24.1        df = 604        t = 19.9        d = 0.81        95% CI = [0.72, 0.90]</t>
  </si>
  <si>
    <t>CORE_54_1</t>
  </si>
  <si>
    <t>CORE_54</t>
  </si>
  <si>
    <t>- I added the study numbers
- I added the replication label
- I changed the p-value type of the replication</t>
  </si>
  <si>
    <t>Nuttin Jr, J. M. (1987). Affective consequences of mere ownership: The name letter effect in twelve European languages. European journal of social psychology, 17(4), 381-402.</t>
  </si>
  <si>
    <t>10.1002/ejsp.2420170402</t>
  </si>
  <si>
    <t>10.1002--ejsp.2420170402.pdf</t>
  </si>
  <si>
    <t>Ziano, I., Yao, J., Gao, Y., &amp; Feldman, G. (2020). Impact of ownership on liking and value: Replications and extensions of three ownership effect experiments. Journal of Experimental Social Psychology, 89, 103972. https://doi.org/10.1016/j.jesp.2020.103972</t>
  </si>
  <si>
    <t>10.1016/j.jesp.2020.103972</t>
  </si>
  <si>
    <t>10.1016--j.jesp.2020.103972.pdf</t>
  </si>
  <si>
    <t>Name letter effect</t>
  </si>
  <si>
    <t>Participants like the letters in their names more than those that are not in their names</t>
  </si>
  <si>
    <t>A meta-analysis for testing the mean p (Rosenthal, 1978) combining the pvalues of the 12 independent studies (Bangert-Drows, 1986) turns out to be significant at the 0.0001 level</t>
  </si>
  <si>
    <t>p.4 (M = 0.40, SD = 0.21) (M = 0.20,SD = 0.12; X2 (1) = 11, p = .001; t(25) = 5.48, p &lt; .001, d = 1.08 [0.59, 1.58]).</t>
  </si>
  <si>
    <t>https://osf.io/2cg3e/files/osfstorage</t>
  </si>
  <si>
    <t>Yikang, Tafere</t>
  </si>
  <si>
    <t>effect size of Cohen's g = 0.15 was removed as the replication articles states in Table 11 that the original effect in this case was "unclear"
Corinna:
- I added the replication label
- I removed the oroginal effect (no effect was reported)
- I added the p-value of the original and replication study study
- I changed the page where the effect could be reproduced (orginal and replication)</t>
  </si>
  <si>
    <t>"The relative size of the name letter effect can be illustrated as follows: across letters and languages, the average probability for a letter to be a most preferred letter is 0.20 for not-own name letters versus 0.30 for own name letters. This means that, in general, letters of the alphabets used in the 12 languages, are 50 per cent more likely to be selected among the top six letters of the alphabet when they happen to be own name letters than when they do not belong to own name."</t>
  </si>
  <si>
    <t>https://osf.io/mz7n5</t>
  </si>
  <si>
    <t>CORE_54_b</t>
  </si>
  <si>
    <t>When the name letters are restricted to the initiafs of first and family name, the effect is very significant in all 12 language studies. A meta-analysis on the combined 12 independent studies leads to a very significant effect (p = 0.OOOl) as well for own first name letters only as for own family name letters only as for own initial name letters only.</t>
  </si>
  <si>
    <t>p.4 (M = 1.80, SD = 0.92)  (M = 0.67, SD = 0.44; t(24) = 6.93, p &lt; .001, d = 1.42 [0.84, 1.97]).</t>
  </si>
  <si>
    <t>CORE_55_1</t>
  </si>
  <si>
    <t>CORE_55</t>
  </si>
  <si>
    <t>Irmak, C., Wakslak, C. J., &amp; Trope, Y. (2013). Selling the forest, buying the trees: The effect of construal level on seller-buyer price discrepancy. Journal of Consumer Research, 40(2), 284-297.</t>
  </si>
  <si>
    <t>10.1086/670020</t>
  </si>
  <si>
    <t>10.1086--670020.pdf</t>
  </si>
  <si>
    <t>Endowment effect</t>
  </si>
  <si>
    <t>higher seller prices than buyer prices</t>
  </si>
  <si>
    <t>The results showed a main effect of role (F(1, 56) = 14.34, p&lt;.001), indicating that selling prices (M = $752) were higher than buying prices (M = $576),</t>
  </si>
  <si>
    <t>F(1, 56) = 14.34</t>
  </si>
  <si>
    <t>p.5 (F(1, 309) = 0.12, p = .73, ɳp2 &lt; 0.001)</t>
  </si>
  <si>
    <t xml:space="preserve">- I added the replication label
- I clarified the target effect
- I changed the tails of the p-value to NA (replication and original)
</t>
  </si>
  <si>
    <t>" significant interaction of role and feature (F(1, 56) = 4.36, p &lt;.05), demonstrating that selling prices were higher than buying prices when the camera was described as superior on the primary aspect and inferior on the secondary aspect (Mseller = $839; Mbuyer = $581; p &lt; .0001), ;"</t>
  </si>
  <si>
    <t>F(1, 56)= 4.36</t>
  </si>
  <si>
    <t>F(1, 308) = 0.46</t>
  </si>
  <si>
    <t>CORE_55_b</t>
  </si>
  <si>
    <t>The results showed ... a main effect of feature (F(1,56) = 5.67, p&lt; .05), indicating that the camera superior on the primary aspect was priced higher (M p $694) than the one superior on the secondary aspect (M p $605),</t>
  </si>
  <si>
    <t>F(1,56) = 5.67</t>
  </si>
  <si>
    <t>p.5 (F(1, 309) = 313.65, p &lt; .001, ɳp2 = 0.24),</t>
  </si>
  <si>
    <t>CORE_55_c</t>
  </si>
  <si>
    <t>and a significant interaction of role and feature (F(1, 56) =  4.36, p &lt;.05),</t>
  </si>
  <si>
    <t>F(1, 56) =  4.36</t>
  </si>
  <si>
    <t>p.5(F(1, 309) = 0.56, p = .46, ɳp2 = 0.002).</t>
  </si>
  <si>
    <t>CORE_55_d</t>
  </si>
  <si>
    <t xml:space="preserve">Results showed that, overall, participants’ pricing decisions were more affected by primary features than secondary features </t>
  </si>
  <si>
    <t>F(1, 58) = 2.90</t>
  </si>
  <si>
    <t>p.5 (Mprimary = 7.97; Msecondary = 7.22; F(1, 58) = 2.90, p = .09).</t>
  </si>
  <si>
    <t>p.5( (M = 547.02, SD = 161.52) than goal-irrelevant (M = 512.17, SD = 148.54, t(309) = 1.98, p = .048, d = 0.22).</t>
  </si>
  <si>
    <t>CORE_55_e</t>
  </si>
  <si>
    <t>- I added the study numbers
- I added the replication label
- The replication effect was matched to a wrong original effect. Therefore, I changed the original claim, effect and p-value
- I changed nesting to no</t>
  </si>
  <si>
    <t>p.6( (F(1, 308) = 0.46, p = .501, ɳp2 = 0.001),</t>
  </si>
  <si>
    <t>CORE_59_1</t>
  </si>
  <si>
    <t>CORE_59</t>
  </si>
  <si>
    <t>Mandel, D. R. (2002). Beyond mere ownership: Transaction demand as a moderator of the endowment effect. Organizational Behavior and Human Decision Processes, 88(2), 737-747.</t>
  </si>
  <si>
    <t>10.1016/S0749-5978(02)00013-4</t>
  </si>
  <si>
    <t>10.1016--s0749-5978(02)00013-4.pdf</t>
  </si>
  <si>
    <t xml:space="preserve">A two-way factorial ANOVA on log price revealed a significant main effect of owner .... Demonstrating an overall endowment effect, as Table 1 shows, mean log price was higher when participants owned the case of wine than when the merchant owned it. </t>
  </si>
  <si>
    <t>F(1, 76) = 4:86</t>
  </si>
  <si>
    <t>p.4 F(1; 76) = 4:86, MSE = 0:77, one-tailed p &lt;0.02.</t>
  </si>
  <si>
    <t>p. 8 (M = 2.71, SD = 0.85) (M = 2.21, SD = 0.68; t(295.06) = 5.71, p &lt; .001, d = 0.65).</t>
  </si>
  <si>
    <t xml:space="preserve">- I added the replication label
- I clarified the target effect in the text claim
</t>
  </si>
  <si>
    <t>"A two-way factorial ANOVA on log price revealed a significant main effect of owner, [...] Demonstrating an overall endowment effect, as Table 1 shows, mean log price was higher when participants owned the case of wine than when the merchant owned it. More importantly, however, the predicted interaction effect was significant, F (1, 76)= 2.88, MSE = 0.45, one-tailed p &lt; :05."</t>
  </si>
  <si>
    <t>F (1,76) = 2.88</t>
  </si>
  <si>
    <t>CORE_59_b</t>
  </si>
  <si>
    <t>- I added the study numbers
- I added the replication label
- I changed nesting to no</t>
  </si>
  <si>
    <t xml:space="preserve">More importantly, however, the predicted interaction effect was significant, </t>
  </si>
  <si>
    <t>F(1, 76) = 2.88</t>
  </si>
  <si>
    <t>p.4 F(1; 76) = 2.88, MSE = 0.45, one-tailed p &lt;0.05.</t>
  </si>
  <si>
    <t>p.8 (F(1, 307) = 5.87, p = .016, ɳp2 = 0.019).</t>
  </si>
  <si>
    <t>CORE_59_c</t>
  </si>
  <si>
    <t>By contrast, mean log price was significantly higher in condition A in which the participant owns the case and the merchant wants to buy it than in condition B in which the merchant owns the case and wants to sell it, t(38) = 2:57), SE = 0:13, one-tailed p &lt; :01.</t>
  </si>
  <si>
    <t>t(38) = 2:57)</t>
  </si>
  <si>
    <t>p.5 t(38) = 2:57), SE = 0:13, one-tailed p &lt; :01.</t>
  </si>
  <si>
    <t>p.8 (t(153) = 2.10, p = .037, d = 0.34)</t>
  </si>
  <si>
    <t>CORE_59_d</t>
  </si>
  <si>
    <t>p.8 (M = 3.05, SD = 0.99)  (M = 2.60, SD = 0.84; Welch's t(976.24) = −7.69, p &lt; .001, d = 0.49).</t>
  </si>
  <si>
    <t>CORE_59_e</t>
  </si>
  <si>
    <t>p.9 (F(1, 997) = 1.56, p = .21, ɳp2 = 0.002).</t>
  </si>
  <si>
    <t>CORE_59_f</t>
  </si>
  <si>
    <t xml:space="preserve">p.9  </t>
  </si>
  <si>
    <t>CORE_63_1</t>
  </si>
  <si>
    <t>CORE_63</t>
  </si>
  <si>
    <t>- I added the replication label
- I changed the text claim since it did not fit with the reported effect
- I changed the tails of the p-value to NA (original)
- I changed nesting to yes (original and replication)</t>
  </si>
  <si>
    <t>Peters, E., Västfjäll, D., Slovic, P., Mertz, C. K., Mazzocco, K., &amp; Dickert, S. (2006). Numeracy and decision making. Psychological science, 17(5), 407-413.</t>
  </si>
  <si>
    <t>10.1111/j.1467-9280.2006.01720.x</t>
  </si>
  <si>
    <t>10.1111--j.1467-9280.2006.01720.x.pdf</t>
  </si>
  <si>
    <t>Zhu, M., &amp; Feldman, G. (2023). Revisiting the Links Between Numeracy and Decision Making: Replication Registered Report of Peters et al.(2006) With an Extension Examining Confidence. Collabra: Psychology, 9(1).Open Science Framework. https://doi.org/10.17605/OSF.IO/4HJCK</t>
  </si>
  <si>
    <t>10.17605/OSF.IO/4HJCK</t>
  </si>
  <si>
    <t>10.17605--OSF.IO--4HJCK.pdf</t>
  </si>
  <si>
    <t>The less numerate show a stronger framing effect than the highly numerate.</t>
  </si>
  <si>
    <t>The interaction of numeracy with frame, however, was significant, F(1, 96)=  5.6, p &lt; .05, n2 = 5.11.</t>
  </si>
  <si>
    <t>p.2  F(1, 96)=  5.6, p &lt; .05, n2 = .11.</t>
  </si>
  <si>
    <t>F(1, 855) = 5.02</t>
  </si>
  <si>
    <t>https://osf.io/4hjck/</t>
  </si>
  <si>
    <t>CORE_63_a</t>
  </si>
  <si>
    <t>main effect R</t>
  </si>
  <si>
    <t xml:space="preserve">In a repeated measures analysis of variance (ANOVA) of the performance ratings, the usual framing effect was found. The more positive frame elicited more positive ratings: Mean performance ratings were 0.7 and 0.1 for the percentage-correct (positive) and percentage-incorrect (negative) frames, respectively, </t>
  </si>
  <si>
    <t>p.2 F(1, 96) = 26.3, p &lt; .0001, n2p = 0.54.</t>
  </si>
  <si>
    <t>p.11 M = 0.48, SD = 0.75; negative framing: M = -0.09, SD = 1.07; t(858) = 9.12, p &lt; .001, d = 0.62, 95% CI [0.48, 0.76]).</t>
  </si>
  <si>
    <t>https://osf.io/r73fb</t>
  </si>
  <si>
    <t>CORE_63_b</t>
  </si>
  <si>
    <t>Is the numeracy effect due to intelligence rather than numeracy per se? Using SAT scores as a proxy for intelligence, we found that higher SAT scores (verbal and quantitative scores combined) were associated with greater numeracy (r = .26). However, after numeracy scores were regressed onto SAT scores, the numeracy residuals showed a significant pattern of results similar to the pattern in Figure 2, specific contrast F(1, 30) = 6.9, p &lt; .05.</t>
  </si>
  <si>
    <t>F(1, 30) = 6.9</t>
  </si>
  <si>
    <t>p.11 M = 3.03, SD = 1.27; percentage: M = 2.58, SD = 1.17; t(858) = 9.12, p &lt; .001, d = 0.37, 95% CI [0.23, 0.50])</t>
  </si>
  <si>
    <t>CORE_63_c</t>
  </si>
  <si>
    <t>the less numerate were significantly more likely to choose Bowl A were the highly numerate (33% and 5%, respectively), x2(1,N = 46) = 5.2, p &lt; .05; mean scaled preference was 1.7 for the less numerate and 4.1 for the highly numerate, t(44) 5 2.5, p &lt; .05, d = 0.75.</t>
  </si>
  <si>
    <t>p.5 33% and 5%, respectively), x2(1,N = 46) = 5.2, p &lt; .05; mean scaled preference = 1.7 t(44) 5 2.5, p &lt; .05, d = 0.75.</t>
  </si>
  <si>
    <t>p.11 (t(859) = 20.04, p &lt; .001, d = 0.68, 95% CI [0.61, 0.76]).</t>
  </si>
  <si>
    <t>CORE_63_d</t>
  </si>
  <si>
    <t>Participants high in numeracy rated the objectively better no- loss bet as less attractive than the loss bet, t(89)= 3.1, p &lt; .01 whereas those lower in numeracy rated the two betsthe same on average.</t>
  </si>
  <si>
    <t>pp. 5,6</t>
  </si>
  <si>
    <t>t(89)= 3.1</t>
  </si>
  <si>
    <t>p.11 (no loss bet: M = 6.22, SD = 4.57; loss bet: M = 9.33, SD = 7.07; t(858) = 7.66, p &lt; .001, d = 0.52, 95% [0.38, 0.66]),</t>
  </si>
  <si>
    <t>CORE_63_e</t>
  </si>
  <si>
    <t>Interaction R</t>
  </si>
  <si>
    <t xml:space="preserve">- I added the study number of the original
- I changed nesting to yes, since ia repeated measures and a mixed ANOVA were conducted </t>
  </si>
  <si>
    <t>p. 11 (F(1, 855) =5.02, p = .025, η2p= 0.01, 90% CI [0.00, 0.02])</t>
  </si>
  <si>
    <t>CORE_63_f</t>
  </si>
  <si>
    <t xml:space="preserve">this interaction between format and numeracy was significant, </t>
  </si>
  <si>
    <t>p.3 F(1, 42) = 4.0, p &lt; .05,n2 =.42.</t>
  </si>
  <si>
    <t>p.11 (F(1, 856) = 3.40, p = .065, η2p= 0.00, 90% CI[0.00, 0.01])</t>
  </si>
  <si>
    <t>CORE_63_g</t>
  </si>
  <si>
    <t>Analysis of the affect variables revealed that numeracy was not significantly associated with affect about Bowl A’s 9% chance (mean affect 5 0.5 and 1.1 for low- and high-numeracy participants, respectively, p = .13, d = .46).</t>
  </si>
  <si>
    <t>p.11 (X2(1, N = 860) = 24.91, p &lt; .001, Cramer’s V = 0.17, 95% CI[0.10, 0.24])</t>
  </si>
  <si>
    <t>CORE_63_h</t>
  </si>
  <si>
    <t>A regression using the attractiveness rating as the dependent variable and bet condition (coded as no loss 5 0 and loss 5 1), numeracy (0 5 low and 1 5 high), and their interaction as independent variables revealed only a significant interaction, t(1)= 2.2, p &lt; .05, d =0.34.</t>
  </si>
  <si>
    <t>p.6  t(1)= 2.2, p &lt; .05, d =0.34.</t>
  </si>
  <si>
    <t>p.12 (F(1, 856) = 17.87, p &lt; .001, η2p= 0.02, 90% CI [0.01, 0.04])</t>
  </si>
  <si>
    <t>CORE_63_i</t>
  </si>
  <si>
    <t>Other</t>
  </si>
  <si>
    <t>The analysis controlling for SAT scores showed that the highly numerate who responded to the loss bet rated their bet as more attractive than did the other three groups, specific contrast F(1, 151) = 9.1, p &lt; .01.</t>
  </si>
  <si>
    <t>F(1, 151) = 9.1</t>
  </si>
  <si>
    <t>p.6 F(1, 151) = 9.1, p &lt; .01.</t>
  </si>
  <si>
    <t>p.12 (loss bet: M = 10.27, SD= 7.21; no-loss: M = 5.95 , SD = 4.47; t(570) = 8.63, p &lt; .001,d = 0.72, 95% CI [0.55, 0.90]).</t>
  </si>
  <si>
    <t>CORE_70_1</t>
  </si>
  <si>
    <t>CORE_70</t>
  </si>
  <si>
    <t xml:space="preserve">O is not Peters et al, but Pronin et al, 2002,  The Bias Blind Spot: Perceptions of Bias in Self Versus Others https://doi.org/10.1177/0146167202286008 </t>
  </si>
  <si>
    <t>Chandrashekar, S., Yeung, S., Yau, K., Cheung, C., Agarwal, T., Wong, C., . . . Feldman, G. (2021). Agency and self-other asymmetries in perceived bias and shortcomings: Replications of the Bias Blind Spot and link to free will beliefs. Judgment and Decision Making, 16(6), 1392-1412. doi:10.1017/S1930297500008470</t>
  </si>
  <si>
    <t>10.1017/S1930297500008470</t>
  </si>
  <si>
    <t>Study 1 Survey 2</t>
  </si>
  <si>
    <t>10.1017--S1930297500008470.pdf</t>
  </si>
  <si>
    <t>Bias blind spot</t>
  </si>
  <si>
    <t>Self-other asymmetry in susceptibility to biases</t>
  </si>
  <si>
    <t>Our analyses confirmed that participants perceived themselves as less biased with respect to our original eight-item composite (M= 5.05) than their average classmate (M = 5.85), t(28) = 4.64, p &lt; .0001 (see Figure 2),</t>
  </si>
  <si>
    <t>t(28) = 4.64</t>
  </si>
  <si>
    <t>p.3  (M= 5.05) (M = 5.85), t(28) = 4.64, p &lt; .0001 (see Figure 2),</t>
  </si>
  <si>
    <t xml:space="preserve"> t(44) = –4.54</t>
  </si>
  <si>
    <t>p. 10 (Study 1a: Md = –0.75, t(44) = –4.54, p &lt;.001, dz = –0.68, 95% CI [–1.01, –0.35];</t>
  </si>
  <si>
    <t>https://osf.io/kqatx/files/osfstorage</t>
  </si>
  <si>
    <t>CORE_70_b</t>
  </si>
  <si>
    <t>t(302) = –16.16</t>
  </si>
  <si>
    <t xml:space="preserve">p.10 Study 2: Md = –1.15; t(302) = –16.16, p &lt; .001; dz = –0.93, 95% CI [–1.06, –0.79]; </t>
  </si>
  <si>
    <t>CORE_70_c</t>
  </si>
  <si>
    <t>t(620) = –32.04</t>
  </si>
  <si>
    <t>p.10 Study 3: Md = –1.80; t(620) = –32.04, p &lt;.001, dz = –1.29, 95% CI [–1.39, –1.18]).</t>
  </si>
  <si>
    <t>CORE_70_d</t>
  </si>
  <si>
    <t>Overall, participants claimed both to possess more of the positive characteristics listed (M = 6.44), t(78) = 14.19, p &lt; .001,</t>
  </si>
  <si>
    <t>t(78) = 14.19</t>
  </si>
  <si>
    <t>p. 7 (M = 6.44), t(78) = 14.19, p &lt; .001,</t>
  </si>
  <si>
    <t>t(42) = 5.09</t>
  </si>
  <si>
    <t xml:space="preserve">p.11 (Study 1b: M = 5.74, t(42) = 5.09, p &lt; .001, dz = 0.78, 95% CI [0.43, 1.11]; </t>
  </si>
  <si>
    <t>CORE_70_e</t>
  </si>
  <si>
    <t>t(620) = 31.74</t>
  </si>
  <si>
    <t>p.11 Study 3: M = 6.42; t(620) = 31.74, p &lt; .001; dz = 1.27, 95% CI [1.17, 1.38])</t>
  </si>
  <si>
    <t>CORE_70_f</t>
  </si>
  <si>
    <t>Overall, participants claimed both to possess more of the positive characteristics listed and less of the negative ones (M = 3.64), t(78) = 10.94, p &lt; .001</t>
  </si>
  <si>
    <t xml:space="preserve"> t(78) = 10.94</t>
  </si>
  <si>
    <t>p.7 (M = 3.64), t(78) = 10.94, p &lt; .001</t>
  </si>
  <si>
    <t>t(42) = –4.55</t>
  </si>
  <si>
    <t xml:space="preserve">p.11 (Study 1b: M = 4.16, t(42) = –4.55, p &lt; .001, dz = –0.69, 95% CI [–1.02, –0.36]; </t>
  </si>
  <si>
    <t>CORE_70_g</t>
  </si>
  <si>
    <t xml:space="preserve"> (620) = –30.38</t>
  </si>
  <si>
    <t>p.11 Study 3: M = 3.21; t (620) = –30.38, p &lt;.001; dz =–1.22, 95% CI [–1.32, –1.11])</t>
  </si>
  <si>
    <t>CORE_70_h</t>
  </si>
  <si>
    <t>Clearly, some participants had both succumbed to the relevant bias and then denied having done so, even after hearing an explicit description of it and being invited to acknowledge its influence, X2(1) = 9.97, p &lt; .002.7</t>
  </si>
  <si>
    <t>X2(1) = 9.97</t>
  </si>
  <si>
    <t>p.7 X2(1) = 9.97, p &lt; .002.</t>
  </si>
  <si>
    <t>X2(1, N = 43) = 14.53</t>
  </si>
  <si>
    <t>p.11 (X2(1, N = 43) = 14.53, p &lt; .001, dz = 1.43, 95% CI [0.69, 2.16]).</t>
  </si>
  <si>
    <t>CORE_70_i</t>
  </si>
  <si>
    <t>X2(1, N = 621) = 261.53</t>
  </si>
  <si>
    <t>p.11 (X2(1, N = 621) = 261.53, p &lt; .001; dz = 1.71, 95% CI [1.50, 1.91]).</t>
  </si>
  <si>
    <t>CORE_75_1</t>
  </si>
  <si>
    <t>CORE_75</t>
  </si>
  <si>
    <t>O is not Peters et al, but Shafir, E., Diamond, P., &amp; Tversky, A. (1997). Money illusion. The Quarterly Journal of Economics, 112(2), 341-374. https://doi.org/10.1162/003355397555208, hence the same as CORE 80_1, so I put them next to each other</t>
  </si>
  <si>
    <t>Ziano, I., Li, J., Tsun, S. M., Lei, H. C., Kamath, A. A., Cheng, B. L., &amp; Feldman, G. (2021). Revisiting “money illusion”: Replication and extension of Shafir, Diamond, and Tversky (1997). In Journal of Economic Psychology (Vol. 83, p. 102349). Elsevier BV. https://doi.org/10.1016/j.joep.2020.102349</t>
  </si>
  <si>
    <t>10.1016/j.joep.2020.102349</t>
  </si>
  <si>
    <t>10.1016--j.joep.2020.102349.pdf</t>
  </si>
  <si>
    <t>the same as CORE_80. Refer to CORE_80 for results</t>
  </si>
  <si>
    <t>Better than average effect</t>
  </si>
  <si>
    <t>Denial of better than average effect</t>
  </si>
  <si>
    <t>CORE_76_1</t>
  </si>
  <si>
    <t>CORE_76</t>
  </si>
  <si>
    <t>Combined Effect O, organ R. Studies also have comparable correlation coefficients that can be extracted (p.10 Table 1 for O, p.10 Table 5 for R)</t>
  </si>
  <si>
    <t>- I added the study number of the original study
- I added the replication label
- I seperated the statements of the text claim
- I changed the page number of the text claim</t>
  </si>
  <si>
    <t>Royzman, E. B., &amp; Baron, J. (2002). The preference for indirect harm. Social justice research, 15, 165-184.</t>
  </si>
  <si>
    <t>10.1023/A:1019923923537</t>
  </si>
  <si>
    <t>10.1023--a:1019923923537.pdf</t>
  </si>
  <si>
    <t>Ziano, I., Wang, Y. J., Sany, S. S., Ngai ‎, L. H., Lau, Y. K., Bhattal‎, I. K., Keung, P. S., Wong, Y. T., Tong, W. Z., Cheng, B. L., Chan, H. Y., &amp; Feldman, G. (2021). Perceived morality of direct versus indirect harm: Replications of the preference for indirect harm effect. In Meta-Psychology (Vol. 5). Linnaeus University. https://doi.org/10.15626/mp.2019.2134</t>
  </si>
  <si>
    <t>10.15626/mp.2019.2134</t>
  </si>
  <si>
    <t>10.15626--mp.2019.2134.pdf</t>
  </si>
  <si>
    <t>Preference for indirect harm</t>
  </si>
  <si>
    <t>People judge actions that produce harm as a by- product to be more moral than actions that produce harm directly</t>
  </si>
  <si>
    <t>"Subjects considered the direct option to be wrong more often. They judged the direct option more immoral 26.2% of the time, and the indirect option 9.5% (t53 = 5.12, p = 0.0000, one-tailed; across the eight cases, t7 = 3.47, p = 0.0052, one- tailed).", "the effect of directness on moral judgment cannot be fully explained in terms of the effect of directness on judgments of appearance, probability, or intention that were thought to be relevant to moral judgment."</t>
  </si>
  <si>
    <t>t7 = 3.47</t>
  </si>
  <si>
    <t>t7 = 3.47, p = 0.0052, one- tailed</t>
  </si>
  <si>
    <t xml:space="preserve">p.7 HK organ        M = 0.33        SD = 0.60        t(45) = 3.70        p &lt; .001        d = 0.55      CI =  0.23 -0.86    </t>
  </si>
  <si>
    <t>https://osf.io/vcqwj</t>
  </si>
  <si>
    <t>n_o was calculated from the test statistic</t>
  </si>
  <si>
    <t xml:space="preserve">- I added the replication labe
- I changed the original effect and consequently, the text claim and the p-value
- I changed the replication effec from the test statistics to the target effect </t>
  </si>
  <si>
    <t>"Subjects considered the direct option to be wrong more often. They judged the direct option more immoral 26.2% of the time, and the indirect option 9.5% ([...]; across the eight cases, t7 = 3.47, p = 0.0052, one-
tailed)", "the effect of directness on moral judgment cannot be fully explained in terms of the effect of directness on judgments of appearance, probability, or intention that were thought to be relevant to moral judgment."</t>
  </si>
  <si>
    <t>https://osf.io/qdn2m</t>
  </si>
  <si>
    <t>CORE_76_b</t>
  </si>
  <si>
    <t>Combined Effect O, zoo R Studies also have comparable correlation coefficients that can be extracted (p.10 Table 1 for O, p.10 Table 5 for R)</t>
  </si>
  <si>
    <t xml:space="preserve">p.7 HK zoo        M = 0.33        SD = 0.79        t(45) = 2.80        p = .004        d = 0.41        CI =   0.11 -0.71      </t>
  </si>
  <si>
    <t>CORE_76_c</t>
  </si>
  <si>
    <t>Combined Effect O, organ R Studies also have comparable correlation coefficients that can be extracted (p.10 Table 1 for O, p.10 Table 5 for R)</t>
  </si>
  <si>
    <t xml:space="preserve">p.7 MTurk organ        M = 0.15        SD = 0.65        t(313) = 4.16        p &lt; .001        d = 0.24        CI =   0.12 -0.34       </t>
  </si>
  <si>
    <t>CORE_76_d</t>
  </si>
  <si>
    <t xml:space="preserve">p.7 MTurk zoo        M = 0.26        SD = 0.73        t(313) = 6.31        p &lt; .001        d = 0.36         CI =  0.24-0.47        </t>
  </si>
  <si>
    <t>CORE_78_1</t>
  </si>
  <si>
    <t>CORE_78</t>
  </si>
  <si>
    <t xml:space="preserve">I wasn't sure how to extract data for this study because of lots of correlation coefficients (not combined). Final decision for R was the following "our replication findings suggests that our replication of the status quo bias in Scenario 1, 3, and 4 can be considered successful. A major discrepancy, however, was found in Scenario 2. Whereas the target study found a significant status quo bias for all options in this scenario (lowest Cohen’s h = 0.45 in the status quo vs. non-status quo comparison), our data did not reveal any consistently significant status quo bias)." R. pp.9-14 have massive tables with data, including comparison of original and replication results (percentages seem to be consistent with O). </t>
  </si>
  <si>
    <t>Samuelson, W., &amp; Zeckhauser, R. (1988). Status quo bias in decision making. Journal of risk and uncertainty, 1, 7-59.</t>
  </si>
  <si>
    <t>10.1007/BF00055564</t>
  </si>
  <si>
    <t>10.1007--bf00055564.pdf</t>
  </si>
  <si>
    <t>Xiao, Q., Lam, C. S., Piara, M., &amp; Feldman, G. (2021). Revisiting status quo bias. In Meta-Psychology (Vol. 5). Linnaeus University. https://doi.org/10.15626/mp.2020.2470</t>
  </si>
  <si>
    <t>10.15626/mp.2020.2470</t>
  </si>
  <si>
    <t>10.15626--mp.2020.2470.pdf</t>
  </si>
  <si>
    <t>Status quo bias</t>
  </si>
  <si>
    <t xml:space="preserve">Tables la-lc reveal an obvious and strong prevailing pattern: for the large majority of alternatives, the percentage response rate is highest when the alternative is in the SQ position, lower in the NEUT position, and lowest in the ASQ position. In Table la, 16 of 24 cases fit precisely this pattern; in Table lb, 13 of 18 cases; in Table lc, 17 of 24 cases. This pattern of relative response rates holds firm despite marked differences in the absolute levels of response rates across different choice alternatives within and across decision questions. ...  These equations apply regardless of the number of alternatives. This suggests that the relative bias should be expected to be larger the greater the number of alternatives. </t>
  </si>
  <si>
    <t>p.8, 13</t>
  </si>
  <si>
    <t>X2 between 0.001 and 0.50</t>
  </si>
  <si>
    <t>Table 1a, p.9</t>
  </si>
  <si>
    <t>pp. 9-14 each have massive tables with data,</t>
  </si>
  <si>
    <t>https://osf.io/zpkqt</t>
  </si>
  <si>
    <t>Options have higher choice rates when they are framed as the status quo than as a non-status quo (or an alternative to the status quo).</t>
  </si>
  <si>
    <t>"An obvious and prevailing pattern: for the large majority of the alternatives, the percentage response rate is highest when the alternative is in the SQ position, lower in the NEUT position, and lowest in the ASQ position, the relative bias should be expected to be larger the greater the number of alternatives."</t>
  </si>
  <si>
    <t>9, 13</t>
  </si>
  <si>
    <t>x^2(1)=5.602</t>
  </si>
  <si>
    <t>p.9, p.13</t>
  </si>
  <si>
    <t>https://osf.io/c3phs</t>
  </si>
  <si>
    <t>CORE_79_1</t>
  </si>
  <si>
    <t>CORE_79</t>
  </si>
  <si>
    <t>R is a review, not replication.</t>
  </si>
  <si>
    <t>Seta et al., 2001</t>
  </si>
  <si>
    <t>10.1037/0022-3514.80.6.861</t>
  </si>
  <si>
    <t>10.1037--0022-3514.80.6.861.pdf</t>
  </si>
  <si>
    <t>Feldman, G., Kutscher, L., &amp; Yay, T. (2020). Omission and commission in judgment and decision making: Understanding and linking action‐inaction effects using the concept of normality. In Social and Personality Psychology Compass (Vol. 14, Issue 8). Wiley. https://doi.org/10.1111/spc3.12557</t>
  </si>
  <si>
    <t>10.1111/spc3.12557</t>
  </si>
  <si>
    <t>10.1111--spc3.12557.pdf</t>
  </si>
  <si>
    <t>R is a review article</t>
  </si>
  <si>
    <t>CORE_80_1</t>
  </si>
  <si>
    <t>CORE_80</t>
  </si>
  <si>
    <t>Statistics for O checked in O, but copied from R (for simplicity). ES copied from R (if available), since O operates with % only</t>
  </si>
  <si>
    <t>- I added the study number of the original study
- I applied the overall effect to match it with the second coder. Therefore, I changed the text claim and both sample sizes and the p-value of the replication
- I excluded</t>
  </si>
  <si>
    <t>Shafir, E., Diamond, P., &amp; Tversky, A. (1997). Money illusion. The Quarterly Journal of Economics, 112(2), 341-374.</t>
  </si>
  <si>
    <t>10.1162/003355397555208</t>
  </si>
  <si>
    <t>10.1162--003355397555208.pdf</t>
  </si>
  <si>
    <t>Problem 1 Economic</t>
  </si>
  <si>
    <t>Money illusion</t>
  </si>
  <si>
    <t>people are subject to money illusion, and believe that workers would be less happy with a job and more willing to quit a job if they received a salary raise that is higher in real terms, but lower in nominal terms. The second was that describing a problem in economic terms, without asking about happiness or job attractiveness, reduces money illusion.</t>
  </si>
  <si>
    <t>"The majority of respondents thought that a nominal evaluation not only would underlie feelings of well-being, but would also have consequences for action. Thus, the majority predicted that Ann, who is doing better in economic terms but is perceived to be less happy, would be more likely than Barbara to leave her pres ent position, it appears that while an evaluation in real terms dominates when the need to think in purely economic terms is made salient, less transparent judg ments trigger evaluations that are heavily biased by a nominal representation."</t>
  </si>
  <si>
    <t>https://osf.io/e859v</t>
  </si>
  <si>
    <t>Crammer V statistic is recalculated</t>
  </si>
  <si>
    <t>- I added the replication label</t>
  </si>
  <si>
    <t>https://osf.io/fve58</t>
  </si>
  <si>
    <t>CORE_80_b</t>
  </si>
  <si>
    <t>Problem 1 Happiness</t>
  </si>
  <si>
    <t>When the emphasis is not purely economic, however, the attribution of well-being is driven primarily by a nominal rather than a real evaluation. The majority of respondents attribute happiness to people based on greater nominal raises, despite lower real raises. Thus, he attribution of happiness incorporates money illusion, even when an analysis in terms of real value is easily accessible.</t>
  </si>
  <si>
    <t>Ann n = 25 , (36% [26%, 48%]), Barbara n = 44 , (64% [52%, 74%]), p = 0.007</t>
  </si>
  <si>
    <t>Ann, n = 70 (35% [28%, 41%]), Barbara, n = 133 (66% [59%, 71%])</t>
  </si>
  <si>
    <t>CORE_80_c</t>
  </si>
  <si>
    <t>Problem 1 Job attractivness</t>
  </si>
  <si>
    <t>Finally, the majority of respondents thought that a nominal evalua tion not only would underlie feelings of well-being, but would also have consequences for action.</t>
  </si>
  <si>
    <t>Ann, n = 90 , (65% [56%, 72%]). Barbara, n = 49,  (35% [28%, 43%]), p &lt; 0.001</t>
  </si>
  <si>
    <t>Ann, n = 138 (69% [62%, 75%]), Barbara, n = 63 (31% [25%, 38%])</t>
  </si>
  <si>
    <t>CORE_80_d</t>
  </si>
  <si>
    <t>Problem 2</t>
  </si>
  <si>
    <t>It is clear from the data above that subjects’ evaluations are influenced by the nominal transactions. The modal ranking, chosen by roughly half the subjects, was Carl first, Ben second, and Adam third. Thus, Carl, the only one to make a nominal gain (but a real loss), was the modal choice for the best deal. Adam, who was the only one to make a real gain (but a nominal loss), was the modal choice for the worst deal. Ben, who suffered a 1 percent real and nominal loss, was ranked above Adam, who had a 2 percent real profit but a large nominal loss, and below Carl, who had a 2 percent real loss but a large nominal gain. We have replicated this pattern in another version of this problem involving 2 percent inflation or deflation.</t>
  </si>
  <si>
    <t>Adam, First: n = 160 (36% [32%, 41%]), Second: n = 43 (10% [8%, 13%]), Third: n = 228 (54% [49%, 58%])</t>
  </si>
  <si>
    <t>dam, First: n = 92 (15% [13%, 18%]), Second: n = 56 (9% [7%, 12%]), Third: n = 456 (76% [72%, 79%])</t>
  </si>
  <si>
    <t>CORE_80_e</t>
  </si>
  <si>
    <t>Ben, First: n = 73 (17% [13%, 20%]), Second: n = 315 (74% [69%, 77%]), Third: n = 43 (10% [8%, 13%])</t>
  </si>
  <si>
    <t>Ben, First: n = 91 (15% [13%, 18%]), Second: n = 481 (80% [76%, 83%]), Third: n = 32 (5% [4%, 7%])</t>
  </si>
  <si>
    <t>CORE_80_f</t>
  </si>
  <si>
    <t>Carl, First: n = 207 (47% [42%, 52%]), Second: n = 69 (16% [13%, 20%]), Third: n = 155 (36% [32%, 41%])</t>
  </si>
  <si>
    <t>Carl, First: n = 421 (70% [66%, 73%]), Second: n = 67 (11% [8%, 14%]), Third: n = 116 (19% [16%, 23%])</t>
  </si>
  <si>
    <t>CORE_80_g</t>
  </si>
  <si>
    <t>Problem 3</t>
  </si>
  <si>
    <t>The proportions of subjects who were more and less likely to buy and sell differed significantly (X2 5 128, p , .0001). The majority of subjects thought they would be more likely to sell for a larger nominal price, and the modal choice also indicated a diminished tendency to buy. Higher nominal prices—although real prices had not changed—were conducive to selling and aversive to buyng. It is noteworthy that less than half the subjects chose to answer “Same” in both questions.</t>
  </si>
  <si>
    <t>Buy More: n = 25 (7%), Same: n = 199 (55%), Less: n = 138 (38%)</t>
  </si>
  <si>
    <t>Buy More: n = 38 (6% [5%, 9%]), Same: n = 285 (47% [43%, 51%]), Less: n = 281 (47% [43%, 51%])</t>
  </si>
  <si>
    <t>CORE_80_h</t>
  </si>
  <si>
    <t>Sell More: n = 156 (43%), Same: n = 152 (42%), Less: n = 54 (15%)</t>
  </si>
  <si>
    <t>Sell More: n = 258 (43% [39%, 47%]), Same: n = 298 (49% [45%, 53%]), Less: n = 48 (8% [6%, 10%])</t>
  </si>
  <si>
    <t>CORE_80_i</t>
  </si>
  <si>
    <t>Problem 4 Real terms</t>
  </si>
  <si>
    <t>As in the previous problem, subjects exhibit frame dependent risk aversion: a larger proportion opt for the contract that is nominally riskless when the contracts are framed in nomi- nal terms than when they are framed in real terms. Clearly, by opting for the “sure” nominal value, subjects are in effect taking a real risk. As before, the neutral version yields results remarkably similar to those obtained under the nominal as opposed to the real frame. Finally, in all three versions there is a somewhat smaller tendency to opt for the indexed contracts when buying than when selling, although the differences are not statistically significant.</t>
  </si>
  <si>
    <t>Risky: n = 9 (19%), Riskless: n = 38 (81%)</t>
  </si>
  <si>
    <t>Risky: n = 49 (35% [28%, 43%]), Riskless: n = 90 (65% [57%, 72%])</t>
  </si>
  <si>
    <t>CORE_80_j</t>
  </si>
  <si>
    <t>Problem 4 Nominal terms</t>
  </si>
  <si>
    <t>Risky: n = 20 (41%), Riskless: n = 29 (59%)</t>
  </si>
  <si>
    <t>Risky: n = 62 (31% [25%, 38%]), Riskless: n = 137 (69% [62%, 75%])</t>
  </si>
  <si>
    <t>CORE_80_k</t>
  </si>
  <si>
    <t>Problem 4 Neutral</t>
  </si>
  <si>
    <t>Risky: n = 20 (46%), Riskless: n = 23 (54%)</t>
  </si>
  <si>
    <t>Risky: n = 90 (45% [38%, 52%]), Riskless: n = 110 (55% [48%, 62%])</t>
  </si>
  <si>
    <t>CORE_85_1</t>
  </si>
  <si>
    <t>CORE_85</t>
  </si>
  <si>
    <t>Virgin Rat</t>
  </si>
  <si>
    <t>Slovic, P., &amp; Fischhoff, B. (1977). On the psychology of experimental surprises. Journal of Experimental Psychology: Human Perception and Performance, 3(4), 544.</t>
  </si>
  <si>
    <t>10.1037/0096-1523.3.4.544</t>
  </si>
  <si>
    <t>10.1037--0096-1523.3.4.544.pdf</t>
  </si>
  <si>
    <t>Hindsight bias-prospective</t>
  </si>
  <si>
    <t>Participants in the hindsight condition estimate a greater probability that the outcome will continue to occur in future trials, compared with participants in the foresight condition.</t>
  </si>
  <si>
    <t>In six of eight cases (two from each of four studies), this probability was significantly larger for hind- sight than foresight subjects. Thus, subjects who were told that a study had "worked" once in the past found its working consist- ently in the future more likely than those asked "// it works once, how likely is it to work again consistently?" For the three studies with multiple replications (virgin rat, hurricane seeding, and gosling imprintng), the mean probability of an initial outcome always being replicated was .38 for the foresight group and .55 for the hindsight group; the mean probability of itsnever being replicated was .19 and .10, respectively.</t>
  </si>
  <si>
    <t>p.3  Virgin rat study        All show maternal behavior        Mean probability foresight: .30        Mean probability hindsight: .44</t>
  </si>
  <si>
    <t>p. 12 table 9  Virgin rat experiment        All show maternal behavior        Mean foresight: 29.16        Mean hindsight: 38.42</t>
  </si>
  <si>
    <t>https://osf.io/xv4h3</t>
  </si>
  <si>
    <t>- I added the replication label
- I changed the original effect to NA (I don't know where the coded effect came from)
- I added the p-value (replication)</t>
  </si>
  <si>
    <t>"In six of eight cases (two from each of four studies), this probability was significantly larger for hind sight than foresight subjects. Thus, subjects who were told that a study had "worked" once in the past found its working consistently in the future more likely than those asked "// it works once, how likely is it to work again consistently?" For the three studies with multiple replications (virgin rat, hurricane seeding, and gosling imprinting), the mean probability of an initial outcome always being replicated was .38 for the foresight group and .55 for the hindsight group; the mean probability of its never being replicated was .19 and .10, respectively."</t>
  </si>
  <si>
    <t>https://osf.io/75h98</t>
  </si>
  <si>
    <t>CORE_85_b</t>
  </si>
  <si>
    <t>Hurricane</t>
  </si>
  <si>
    <t>p.3  Hurricane seeding        All increase        Mean probability foresight: .29        Mean probability hindsight: .56
All weaken        Mean probability foresight: .34        Mean probability hindsight: .47</t>
  </si>
  <si>
    <t>p. 12 table 9 Hurricane seeding        All increase        Mean foresight: 47.74        Mean hindsight: 49.35</t>
  </si>
  <si>
    <t>CORE_85_c</t>
  </si>
  <si>
    <t>Gosling imprinting experiment</t>
  </si>
  <si>
    <t>p.3  Gosling imprinting        All approach goose        Mean probability foresight: .40        Mean probability hindsight: .73</t>
  </si>
  <si>
    <t>p. 12 table 9 Gosling imprinting    All approach goose        Mean foresight: 38.10        Mean hindsight: 46.39</t>
  </si>
  <si>
    <t>CORE_85_d</t>
  </si>
  <si>
    <t>Y-test</t>
  </si>
  <si>
    <t xml:space="preserve">p.3  Y-test (Outcome A)        Places in Area A        Mean probability foresight: .29        Mean probability hindsight: .58
</t>
  </si>
  <si>
    <t>p. 12 table 9 Y-test        Places dot in Area A        Mean foresight: 59.62        Mean hindsight: 61.96</t>
  </si>
  <si>
    <t>CORE_86_1</t>
  </si>
  <si>
    <t>CORE_86</t>
  </si>
  <si>
    <t>case 1</t>
  </si>
  <si>
    <t>Spranca, M., Minsk, E., &amp; Baron, J. (1991). Omission and commission in judgment and choice. Journal of experimental social psychology, 27(1), 76-105.</t>
  </si>
  <si>
    <t>10.1016/0022-1031(91)90011-T</t>
  </si>
  <si>
    <t>10.1016--0022-1031(91)90011-t.pdf</t>
  </si>
  <si>
    <t>Jamison, J., Yay, T., &amp; Feldman, G. (2020). Action-inaction asymmetries in moral scenarios: Replication of the omission bias examining morality and blame with extensions linking to causality, intent, and regret. In Journal of Experimental Social Psychology (Vol. 89, p. 103977). Elsevier BV. https://doi.org/10.1016/j.jesp.2020.103977</t>
  </si>
  <si>
    <t>10.1016/j.jesp.2020.103977</t>
  </si>
  <si>
    <t>10.1016--j.jesp.2020.103977.pdf</t>
  </si>
  <si>
    <t>Omission bias</t>
  </si>
  <si>
    <t>Omission will be associated with a bias towards lower attributions of immorality</t>
  </si>
  <si>
    <t xml:space="preserve">In case 1, 37 out of 57 subjects (65%) rated each omission as less bad than either corresponding commission, showing an omission bias, and only one subject (for idiosyncratic reasons) rated an omission as worse than a commission. The association between the outcome bias and the omission bias is significant by Fisher’s exact test for case 1 p = .027). </t>
  </si>
  <si>
    <t>p.3 37 out of 57 subjects (65%)</t>
  </si>
  <si>
    <t>p.4 d = −0.45), table 5 p 5</t>
  </si>
  <si>
    <t>https://osf.io/5vqzy</t>
  </si>
  <si>
    <t>"31 out of 41 subjects felt that their perception of John’s causal role affected their moral judgments, and, in fact, differences in judgments of causal role were strongly associated with differences in moral judgments (x2 = 13.26, p &lt; .001)."</t>
  </si>
  <si>
    <t>X2(1)=13.26</t>
  </si>
  <si>
    <t>−0.45</t>
  </si>
  <si>
    <t>https://osf.io/6nn57</t>
  </si>
  <si>
    <t>CORE_86_b</t>
  </si>
  <si>
    <t>case 2</t>
  </si>
  <si>
    <t>In case 2, 39 (68%) subjects rated each omission as less bad than its corresponding commission, and none did the reverse ... Although the corresponding test is not significant for case 2 (p = .095),</t>
  </si>
  <si>
    <t>39 subjects (68%)</t>
  </si>
  <si>
    <t>p.4 (d = −0.47).  table 5 p 5</t>
  </si>
  <si>
    <t>- I added the replication label
- Since the effect of the replication was reported as well, I changed the reported test statistics of the replication to Cohen's d</t>
  </si>
  <si>
    <t>CORE, Judgment, Decision Making, JDM, Heuristics, Biases.</t>
  </si>
  <si>
    <t>In the cash condition, the expected willingness to help increases with the payment level</t>
  </si>
  <si>
    <t>"As predicted in Hypothesis 1a, the expected willingness to help in the cash condition (money market) increased when the payment level increased from low to medium, F(1, 607) = 5.03, p &lt; .001,3 a pattern that is similar to reciprocation", "The results supported the distinction between money and social markets by documenting a higher predicted level of compliance when no payment was offered than when low monetary payment was offered,"</t>
  </si>
  <si>
    <t>F(1, 607) =5.03</t>
  </si>
  <si>
    <t>https://osf.io/y9p7u/</t>
  </si>
  <si>
    <t>CORE_91_1</t>
  </si>
  <si>
    <t>CORE_91</t>
  </si>
  <si>
    <t>Svenson, O. (1981). Are we all less risky and more skillful than our fellow drivers?. Acta psychologica, 47(2), 143-148.</t>
  </si>
  <si>
    <t>10.1016/0001-6918(81)90005-6</t>
  </si>
  <si>
    <t>10.1016--0001-6918(81)90005-6.pdf</t>
  </si>
  <si>
    <t>Koppel, L., Andersson, D., Tinghög, G., Västfjäll, D., &amp; Feldman, G. (2023). We are all less risky and more skillful than our fellow drivers: Successful replication and extension of Svenson (1981)‎. In Meta-Psychology (Vol. 7). Linnaeus University. https://doi.org/10.15626/mp.2021.2932</t>
  </si>
  <si>
    <t>10.15626/mp.2021.2932</t>
  </si>
  <si>
    <t>10.15626--mp.2021.2932.pdf</t>
  </si>
  <si>
    <t>people think that they drive more safely than average drivers</t>
  </si>
  <si>
    <t>The medians for the distributions of safety judgments in table 1 fall in the interval 8 l-90% for the US group and between 7 1 and 80% for the Swedish group. This indicates that half of the Ss believe themselves to be among the safest 20 (US) or 30 (Sweden) percent of the drivers in the two groups respectively.In the US group 88% and in the Swedish group 77% believed themselves to be safer than the median driver. In summary, there was a strong tendency to believe oneself as safer and more skillful than the average driver. In addition, there seemed to be a stronger tendency to believe oneself as safer than and more skillful than the average person.</t>
  </si>
  <si>
    <t xml:space="preserve">p. 3  Me 1 = 8 l-90% Me2 = 71- 80% </t>
  </si>
  <si>
    <t>p.4 M = 5.50 (SD = 1.08), t(386) = 27.28, p &lt; .001, g = 1.39, 95% CI [1.25, 1.53],</t>
  </si>
  <si>
    <t>https://osf.io/pysgd</t>
  </si>
  <si>
    <t xml:space="preserve">The z-statistic was calculated based on the proportion result. </t>
  </si>
  <si>
    <t>"The medians for the distributions of safety judgments fall in the interval 81-90% for the US group and between 71 and 80% for the Swedish group. This indicates that half of the Ss believe themselves to be among the safest 20 (US) or 30 (Sweden) percent of the drivers in the two groups respectively. In the US group 88% and in the Swedish group 77% believed themselves to be safer than the median driver"</t>
  </si>
  <si>
    <t>z=8.27</t>
  </si>
  <si>
    <t>z=17.7</t>
  </si>
  <si>
    <t>https://osf.io/jky24</t>
  </si>
  <si>
    <t>CORE_91_b</t>
  </si>
  <si>
    <t>The medians for the distributions of skill judgments fall in the interval 61-70% for the US group and between 51-60% for the Swedish group. Of the US sample 46.3% regard themselves among the most skillful 20%. The corresponding number in the Swedish group was only 15.5%. In the US sample 93% believed themselves to be more skillful drivers than the median driver and 69% of the Swedish drivers shared this belief in relation to their comparison group. In summary, there was a strong tendency to believe oneself as safer and more skillful than the average driver. In addition, there seemed to be a stronger tendency to believe oneself as safer than and more skillful than the average person.</t>
  </si>
  <si>
    <t xml:space="preserve">p.3 Me1 =61-70 Me2 = 51-60 </t>
  </si>
  <si>
    <t>p.4 M = 5.28 (SD = 1.08), t(378) = 23.13, p &lt; .001, g = 1.19, 95% CI [1.06, 1.32] (see Table 5).</t>
  </si>
  <si>
    <t>CORE_97_1</t>
  </si>
  <si>
    <t>CORE_97</t>
  </si>
  <si>
    <t>Hsee, C. K., &amp; Zhang, J. (2004). Distinction bias: misprediction and mischoice due to joint evaluation. Journal of personality and social psychology, 86(5), 680.</t>
  </si>
  <si>
    <t>10.1037/0022-3514.86.5.680</t>
  </si>
  <si>
    <t>10.1037--0022-3514.86.5.680.pdf</t>
  </si>
  <si>
    <t>Anvari, F., Olsen, J., Hung, W. Y., &amp; Feldman, G. (2021). Misprediction of affective outcomes due to different evaluation modes: Replication and extension of two distinction bias experiments by Hsee and Zhang (2004). In Journal of Experimental Social Psychology (Vol. 92, p. 104052). Elsevier BV. https://doi.org/10.1016/j.jesp.2020.104052</t>
  </si>
  <si>
    <t>10.1016/j.jesp.2020.104052</t>
  </si>
  <si>
    <t>10.1016--j.jesp.2020.104052.pdf</t>
  </si>
  <si>
    <t>Disjunction Bias</t>
  </si>
  <si>
    <t>People overpredict differences in affective outcomes for options in an array. : Joint evaluation group</t>
  </si>
  <si>
    <t>In JE, people thought that they would be significantly happier in the 240-buyer scenario than in the 160-buyer scenario and significantly happier in the 160-buyer scenario than in the 80-buyer scenario (Ms  8.54, 6.26, and 3.34,respectively),  t(49) = 3, p &lt; .001, in any comparisons.</t>
  </si>
  <si>
    <t>t(49) &gt; 3</t>
  </si>
  <si>
    <t>p.4 Ms  8.54, 6.26,  t(49) = 3, p &lt; .001, i</t>
  </si>
  <si>
    <t>p.5 (t(102) = −6.01, p &lt; .001, d = 0.6, CI95% [0.39, 0.82]).</t>
  </si>
  <si>
    <t>https://osf.io/c89kq</t>
  </si>
  <si>
    <t>Distiniction Bias</t>
  </si>
  <si>
    <t>"In JE, people thought that they would be significantly happier in the 240-buyer scenario than in the 160-buyer scenario and significantly happier in the 160-buyer scenario than in the 80-buyer scenario (Ms  8.54, 6.26, and 3.34, respectively), t(49) &gt; 3, p &lt; .001, in any comparisons. Here, people in JE predicted greater happiness in the 80-buyer scenario than in the no-buyer scenario (Ms  3.34 and 1.66, respectively), t(49) =8.20, p&lt; .001,"</t>
  </si>
  <si>
    <t>t(49) =8.20</t>
  </si>
  <si>
    <t>t(102)=18.71</t>
  </si>
  <si>
    <t>https://osf.io/8hr4t</t>
  </si>
  <si>
    <t>CORE_97_b</t>
  </si>
  <si>
    <t>... And significantly happier in the 160-buyer scenario than in the 80-buyer scenario (Ms  6.26, and 3.34, respectively), t(49) = 3, p &lt; .001, in any comparisons.</t>
  </si>
  <si>
    <t>p.4 Ms  6.26, and 3.34,  t(49) = 3, p &lt; .001, i</t>
  </si>
  <si>
    <t xml:space="preserve">p.5 (t(102) = −11.08, p &lt; .001, d = 0.77, CI95% [0.61, 0.92]), </t>
  </si>
  <si>
    <t>CORE_97_c</t>
  </si>
  <si>
    <t>However, in SE, people were virtually equally happy across the three scenarios (Ms  7.86, 7.57,), t(97)  1, ns, in any comparisons.</t>
  </si>
  <si>
    <t>t(97) &lt; 1</t>
  </si>
  <si>
    <t>p.4 Ms  Ms  7.86, 7.57,), t(97) &lt; 1, ns, in any comparisons.</t>
  </si>
  <si>
    <t>p.5   (t(201.4) = 0.18, p = .854, d = 0.03, CI95% [−0.25, 0.30]).</t>
  </si>
  <si>
    <t>CORE_97_d</t>
  </si>
  <si>
    <t>However, in SE, people were virtually equally happy across the three scenarios (Ms  7.57, and 7.14, respectively), t(97)  1, ns, in any comparisons.</t>
  </si>
  <si>
    <t>p.4 Ms  7.57, and 7.14,,  t(49) &lt; 1, ns i</t>
  </si>
  <si>
    <t>p.5.  (t(198.45) = 0.62, p = .536, d = 0.09, CI95% [−0.19, 0.36]),</t>
  </si>
  <si>
    <t>CORE_97_e</t>
  </si>
  <si>
    <t>Let us now turn to the no-buyer and the 80-buyer scenarios. Here, people in JE predicted greater happiness in the 80-buyer scenario than in the no-buyer scenario (Ms  3.34 and 1.66, respectively), t(49)  =8.20, p  .001,</t>
  </si>
  <si>
    <t>t(49)  =8.20</t>
  </si>
  <si>
    <t>p.4  (Ms  3.34 and 1.66, respectively), t(49)  =8.20, p  &lt;.001,</t>
  </si>
  <si>
    <t>p.6  (t(102) = −21.66, p &lt; .001, d = 2.60,CI95% [2.11, 3.10])</t>
  </si>
  <si>
    <t>CORE_97_f</t>
  </si>
  <si>
    <t>and people in SE of the 80-buyer scenario indeed reported greater happiness than people in SE of the no-buyer scenario (Ms  7.14 and 2.18, respectively), t(98) 16.15, p  .001. In other words, people in JE did not overpredict the difference in happiness between the no-buyer sce- nario and the 80-buyer scenario; in fact, they even underpredictedthe difference.</t>
  </si>
  <si>
    <t>t(98) =16.15</t>
  </si>
  <si>
    <t>p.4 Ms Ms  7.14 and 2.18, respectively), t(98) =16.15, p  .001.</t>
  </si>
  <si>
    <t>p.6 (t(189.04) = −29.65, p &lt; .001, d = 4.13, CI95% [3.64,4.61]).</t>
  </si>
  <si>
    <t>CORE_97_g</t>
  </si>
  <si>
    <t>In the JE-predicted-experience condition, people predicted significantly greater unhappiness from reading 25 negative words than from reading 10 negative words (M  3.33 vs. 4.00), t(39)  3.74, p  .001.</t>
  </si>
  <si>
    <t>t(39) = 3.74</t>
  </si>
  <si>
    <t>p.5 (M  3.33 vs. 4.00), t(39)  3.74, p  .001.</t>
  </si>
  <si>
    <t>p.7 (t(92) = −5.06, p &lt; .001, d = 0.45, CI95% [0.26, 0.63])</t>
  </si>
  <si>
    <t>CORE_97_h</t>
  </si>
  <si>
    <t>However, in the SE-real-experience conditions, those who read 25 negative words reported virtually the same degree of unhappiness as those who read 10 negativewords (M  4.64 vs. 4.62; t  1,ns).</t>
  </si>
  <si>
    <t>t &lt; 1</t>
  </si>
  <si>
    <t>p.5  (M  4.64 vs. 4.62; t &lt; 1,ns).</t>
  </si>
  <si>
    <t>p. 7 (t(172.35) = −0.30, p = .765, d = 0.04, CI95% [−0.25, 0.34])</t>
  </si>
  <si>
    <t>CORE_97_i</t>
  </si>
  <si>
    <t>The JE predictors predicted significantly greater happiness from reading 25 positive words than from reading 10 positive words (M  6.73 vs. 6.03), t(39)  4.71, p  .001. H</t>
  </si>
  <si>
    <t>p.5,6</t>
  </si>
  <si>
    <t>t(39)  =4.71</t>
  </si>
  <si>
    <t>p.5.6 M  6.73 vs. 6.03), t(39)  =4.71, p  .001. H</t>
  </si>
  <si>
    <t>p.7 (t(92) = 0.19, p = .847, d = 0.02, CI95% [−0.18, 0.22]).</t>
  </si>
  <si>
    <t>CORE_97_j</t>
  </si>
  <si>
    <t>However, the SE real experiencers did not find reading 25 positive words any happier than reading 10 positive words, t(80)  1.23, ns; if anything, the results veered in the opposite direction (M  6.27 for 25 positive words and M  6.69 for 10 positive words).</t>
  </si>
  <si>
    <t>(80) = 1.23</t>
  </si>
  <si>
    <t>p.6 t(80) = 1.23, ns; i(M  6.27 for 25 positive words and M  6.69 for 10 positive words).</t>
  </si>
  <si>
    <t>p.7 (t(169.45) = 0.24, p = .809, d = 0.04, CI95% [−0.26, 0.33]).</t>
  </si>
  <si>
    <t>CORE_97_k</t>
  </si>
  <si>
    <t xml:space="preserve">The JE predictors rather accurately predicted the difference between these tasks for SE real experiencers: M  4.00 and 6.03, t(39)  5.67,p  .001 </t>
  </si>
  <si>
    <t>t(39)  =5.67</t>
  </si>
  <si>
    <t xml:space="preserve">p.6 : M  4.00 and 6.03, t(39)  =5.67,p  .001 </t>
  </si>
  <si>
    <t>p.7 (t(92) = −10.24, p &lt; .001, d = 1.55, CI95% [1.11, 2.00]).</t>
  </si>
  <si>
    <t>CORE_97_l</t>
  </si>
  <si>
    <t>The JE predictors rather accurately predicted the difference between these tasks for SE real experiencers:  M  4.62 and 6.69, t(83)  5.47, p  .001 in SE.</t>
  </si>
  <si>
    <t>t(83)  =5.47</t>
  </si>
  <si>
    <t>p.6  M  4.62 and 6.69, t(83)  =5.47, p  .001 in SE</t>
  </si>
  <si>
    <t>p.7 (t(179.58) = −0.13, p = .898, d = 0.02, CI95% [−0.27, 0.31]).</t>
  </si>
  <si>
    <t>Values are the same as in the Curatescience Database but not as in papers (before: original paper d=0.78) but mentioned in the replication as d=0.79</t>
  </si>
  <si>
    <t>http://bit.ly/11ngkZK</t>
  </si>
  <si>
    <t>curatescience36_b</t>
  </si>
  <si>
    <t>curatescience365</t>
  </si>
  <si>
    <t>Carter, T. J., Ferguson, M. J., &amp; Hassin, R. R. (2011). A single exposure to the American flag shifts support toward Republicanism up to 8 months later. Psychological science, 22(8), 1011-1018.</t>
  </si>
  <si>
    <t>10.1177/0956797611414726</t>
  </si>
  <si>
    <t>09 (as labeled in the Many Labs supplement).</t>
  </si>
  <si>
    <t>Subtle exposure to the U.S. flag shifts attitudes and behaviors toward Republicanism.</t>
  </si>
  <si>
    <t>flag priming, political attitudes, voting behavior, many labs, replication</t>
  </si>
  <si>
    <t>The replication tested the flag priming effect on political attitudes and behaviors, finding no significant results: Cohen's d = 0.04, p = .32.</t>
  </si>
  <si>
    <t>Participants in the flag-prime condition showed significantly greater support for Republican candidates (M = 0.072, SD = 0.47) compared to the control condition (M = -0.070, SD = 0.48), t(181) = 2.02, p = .04, Cohen's d = 0.298.</t>
  </si>
  <si>
    <t>Page 1013</t>
  </si>
  <si>
    <t>Reported on page 1013.</t>
  </si>
  <si>
    <t>Reported in Many Labs supplementary materials, Section 9: Effect of U.S. flag exposure on political attitudes and voting behavior.</t>
  </si>
  <si>
    <t>Replication was based on Carter et al 2011 Study 2 but nothing was entered.</t>
  </si>
  <si>
    <t>corrected N based on df+2
corrected original report to Experiment 2 as indicated by ML manuscript</t>
  </si>
  <si>
    <t>flag priming</t>
  </si>
  <si>
    <t>political psychology, priming, voting behavior, American flag</t>
  </si>
  <si>
    <t>The responses were reverse-coded when needed and averaged together (α = .67). Attitudes of participants in the flag-prime condition (M = 3.10) were significantly closer to the Republican end of the scale than were attitudes of participants in the control condition (M = 2.65), t(64) = −2.04, p &lt; .05.</t>
  </si>
  <si>
    <t>t(64) = -2.04</t>
  </si>
  <si>
    <t>p. 1016</t>
  </si>
  <si>
    <t>Replication was based on Carter et al 2011 Study 2 but 1 was entered.</t>
  </si>
  <si>
    <t>curatescience39_1</t>
  </si>
  <si>
    <t>curatescience39</t>
  </si>
  <si>
    <t xml:space="preserve">there is no direct mention of the effect size in the original papers so I reported the test of the o_study(2). In the r_study the authors report η2 not r so I edited the cell accordingly. </t>
  </si>
  <si>
    <t>Gámez, E., Díaz, J. a. Á., &amp; Marrero, H. (2011). The Uncertain Universality of the Macbeth Effect with a Spanish Sample. The Spanish Journal of Psychology, 14(1), 156–162. https://doi.org/10.5209/rev_sjop.2011.v14.n1.13 (Study 2)</t>
  </si>
  <si>
    <t>ge (&gt;=)</t>
  </si>
  <si>
    <r>
      <rPr>
        <rFont val="Calibri"/>
        <color theme="1"/>
        <sz val="11.0"/>
      </rPr>
      <t xml:space="preserve">there is no direct mention of the effect size in the original papers so I will included the test of the o_study(2) ; </t>
    </r>
    <r>
      <rPr>
        <rFont val="Calibri"/>
        <b/>
        <color theme="1"/>
        <sz val="11.0"/>
      </rPr>
      <t xml:space="preserve">NOTE: </t>
    </r>
    <r>
      <rPr>
        <rFont val="Calibri"/>
        <color theme="1"/>
        <sz val="11.0"/>
      </rPr>
      <t>I can not get access to the replication paper even when following the link provided. the github page give me an error message :(</t>
    </r>
  </si>
  <si>
    <t>Kamran</t>
  </si>
  <si>
    <t>Kamran Khan</t>
  </si>
  <si>
    <t>Roelofs, K., Hagenaars, M. A., &amp; Stins, J. (2010). Facing freeze: social threat induces bodily freeze in humans. Psychological science, 21(11), 1575-1581.</t>
  </si>
  <si>
    <t>Noordewier, M. K., Scheepers, D. T., &amp; Hilbert, L. P. (2020). Freezing in response to social threat: a replication. Psychological Research, 84(7), 1890-1896.</t>
  </si>
  <si>
    <t>Social threat-induced freezing</t>
  </si>
  <si>
    <t>emotional facial expressions, human freeze response, angry faces, posturography, body sway, heart rate</t>
  </si>
  <si>
    <t>Viewing angry (socially threatening) faces leads to reduced body sway and decreased heart rate (freezing response) in humans.</t>
  </si>
  <si>
    <t>An analysis including the happy-faces and angry-faces blocks only revealed that heart rate was significantly reduced during viewing of angry faces (M = 88.51 bpm, SE = 1.91) compared with viewing of happy faces (M = 93.0 bpm, SE = 1.95), F(1, 45) = 6.24, p = .016, ηp2 = .12. This effect was modulated by anxiety, as indicated by a significant Emotion × Anxiety interaction, F (1, 45) = 7.36, p = .009, ηp2 = .14. State anxiety was negatively correlated with heart rate during the angry-faces block (r = −.30, p = .049) and not during the neutral-faces block (r = −.16, p = .27) or the happy-faces block (r = −0.12, p = .42). Viewing angry faces significantly slowed participants' heart rates, indicating a freezing response to social threat. This response was stronger in individuals with higher anxiety, as shown by the interaction and correlation results. No similar effects were found for neutral or happy faces, suggesting the effect is specific to threat-related stimuli.</t>
  </si>
  <si>
    <t>Data (editable)_2_1</t>
  </si>
  <si>
    <t>Data (editable)_2</t>
  </si>
  <si>
    <t>Lisa Mathes, Lukas Röseler</t>
  </si>
  <si>
    <t>No access to the r_paper</t>
  </si>
  <si>
    <t>Witteman H. O., Fagerlin A., Exe N., Trottier M. E., Zikmund-Fisher B. J. One-sided social media comments influenced opinions and intentions about home birth: An experimental study. Health Affairs, 35(4), 726-33. https://doi.org/10.1377/hlthaff.2015.1382.</t>
  </si>
  <si>
    <t>10.1377/hlthaff.2015.1382</t>
  </si>
  <si>
    <t>10.1377--hlthaff.2015.1382.pdf</t>
  </si>
  <si>
    <t xml:space="preserve">Mathes, L., &amp; Röseler, L. (11. April 2023). One-sided comments on opinions and intentions on YouTube: A replicarory approach. </t>
  </si>
  <si>
    <t>https://osf.io/624wf</t>
  </si>
  <si>
    <t>WAITING FOR ACCESS</t>
  </si>
  <si>
    <t>influence of one-sided online comments on opinion</t>
  </si>
  <si>
    <t>opinion, public opinion, media psychology, conformity</t>
  </si>
  <si>
    <t>Exposure to one-sided rather than balanced comments online can influence opinions</t>
  </si>
  <si>
    <t>The difference in opinions between participants who saw proversus anti-home birth comments without stories was 19 (SD 3) whereas the difference between pro- and anti-home birth comments with stories was 28 (SD 3) (β = 4.21, t(1678) = 2.15, p = 0.03).</t>
  </si>
  <si>
    <t>Data (editable)_2_2</t>
  </si>
  <si>
    <t>Lisa Mathes, Lukas röseler</t>
  </si>
  <si>
    <t xml:space="preserve">No access to the r_paper; I coudn't find the o_effect size reported in this sheet in the o_paper so I reported another efffect size </t>
  </si>
  <si>
    <t>Mathes, L., &amp; Röseler, L. (11. April 2023). One-sided comments on opinions and intentions on YouTube: A replicarory approach. https://osf.io/624wf</t>
  </si>
  <si>
    <t>one-sided YouTube-comments on intention</t>
  </si>
  <si>
    <t>intention, media psychology, decision making, conformity</t>
  </si>
  <si>
    <t>One-sided YouTube-comments may influence viewers' intention towards valence of comments</t>
  </si>
  <si>
    <t>We observed similar results on our secondary outcome of intentions regarding home birth. Participants' reported
intentions toward home birth were significantly higher among participants exposed to pro-home birth comments
than among those exposed to anti-home birth comments (Odds Ratio 1.85, 95% Confidence Interval [1.37, 2.52], p
&lt;.001)</t>
  </si>
  <si>
    <t>Jami, A. (2019). Having control over and above situations: The influence of elevated viewpoints on risk taking. Journal of Marketing Research, 56(2), 230-244.</t>
  </si>
  <si>
    <t>Elevated Viewpoint Effect on Risk Taking</t>
  </si>
  <si>
    <t>Physically elevated viewpoints lead to an illusory sense of control, which increases individuals’ risk-taking behavior.</t>
  </si>
  <si>
    <t>F(1, 201) = 5.92, p = .016, partial η² = .029
Participants exposed to high-elevation images had a higher likelihood of purchasing new products (M = 3.87, SD = 1.79) compared to those exposed to low-elevation images (M = 3.39, SD = 1.89)</t>
  </si>
  <si>
    <t>https://datacolada.org/82#:~:text=d%20%3D%20.02%2C%20with%20a%2090%25%20confidence%20interval%20of%20%5B%2D.11%2C%20%2B.15%5D</t>
  </si>
  <si>
    <t>datareplicada10c_1</t>
  </si>
  <si>
    <t>datareplicada10c</t>
  </si>
  <si>
    <t>Replication 2 Effect 1</t>
  </si>
  <si>
    <t>Sokolova, T., Seenivasan, S., &amp; Thomas, M. (2020). The left-digit bias: when and why are consumers penny wise and pound foolish?. Journal of Marketing Research, 57(4), 771-788.</t>
  </si>
  <si>
    <t>Simmons, J. P., &amp; Nelson, L. D. (2020). Data Replicada #8: Is the left-digit bias stronger when prices are presented side-by-side? Data Colada. Retrieved June 2025, from https://datacolada.org/92</t>
  </si>
  <si>
    <t>Left-digit bias in price perception is stronger during side-by-side, stimulus-based evaluations than during memory-based evaluations, leading consumers to be “penny wise but pound foolish.”</t>
  </si>
  <si>
    <t>We found a significant interaction between left-digit difference and evaluation mode, F(1, 141) = 4.84, p = .029, partial η² = .033. This indicates that the left-digit bias was stronger in the stimulus-based condition than in the memory-based condition. The significant interaction (p = .029) shows that the left-digit bias is stronger when consumers compare prices side-by-side (stimulus-based) than when they recall prices from memory. This means evaluation mode affects how much the left-digit influences price perception.</t>
  </si>
  <si>
    <t>https://datacolada.org/92#:~:text=You%20really%20should,to%20study%20something</t>
  </si>
  <si>
    <t>datareplicada8a_b</t>
  </si>
  <si>
    <t xml:space="preserve">The p value is not reported in the original study thats why I wrote NA in the cell. </t>
  </si>
  <si>
    <t>Cleanliness-Morality Effect</t>
  </si>
  <si>
    <t>Cleanliness, Moral Judgment, Disgust, Moral Purity, Priming, Moral Intuition, Embodied Cognition</t>
  </si>
  <si>
    <t>Cleanliness (cognitive or physical) reduces the perceived severity of moral transgressions</t>
  </si>
  <si>
    <t>“Participants gave lower ratings after the cleanliness priming (M = 4.98, SD = 1.26) than they did after the neutral priming (M = 5.81, SD = 1.47), F(1, 38) = 3.63, prep = .90, η²ₚ = .09.” Participants primed with cleanliness-related words judged hypothetical moral violations as less wrong than those in the neutral condition. The moderate effect size (η²ₚ = .09) suggests that the concept of purity significantly influenced moral judgment, supporting the idea that intuitive, non-rational cues like cleanliness can shape moral evaluation.</t>
  </si>
  <si>
    <t>https://osf.io/gea2s#:~:text=The%20effect%20size,d%20%3D%20%2D0.40</t>
  </si>
  <si>
    <t>https://osf.io/n6k84/</t>
  </si>
  <si>
    <t>RRR_BrohmerHofer_etal_2024_Bauch_1</t>
  </si>
  <si>
    <t>RRR_BrohmerHofer_etal_2024_Bauch</t>
  </si>
  <si>
    <t>1. The effect size value for the orignal study is taken from the replication study's indication on page 7. 2. The effect size value for the replication study is taken from the manin anaylysis appendix's html file. 3. The p-value of the original study is also doubtful as it is not clearly mentioned, but infered from the calculations. 4. Unsure about the original study's pval dependence between observations.</t>
  </si>
  <si>
    <t>original paper only provides a p-value (p &lt; .01) and total sample size (N = 90). For the test statistics, they were conferted to p = .01 (equivalent to t = 2.64) and to subsample sizes (because the contrast test was group 1 vs group 2 and 3) to n1=30 and n2=60.</t>
  </si>
  <si>
    <t>Stahlberg, D., Sczesny, S., &amp; Braun, F. (2001). Name your favorite musician: Effects of masculine generics and of their alternatives in German. Journal of Language and Social Psychology, 20(4), 464–469. https://doi.org/10.1177/0261927X01020004004</t>
  </si>
  <si>
    <t>10.1177/0261927X01020004004</t>
  </si>
  <si>
    <t>10.1177--0261927x01020004004.pdf</t>
  </si>
  <si>
    <t>Brohmer, H., Hofer, G., Bauch, S. A., Beitner, J., Berkessel, J., Corcoran, K., … Athenstaedt, U. (2024). Effects of the Generic Masculine and its Alternatives in Germanophone countries - A Multi-lab Replication and Extension of Stahlberg, Sczesny, and Braun, 2001. OSF PREPRINTS.</t>
  </si>
  <si>
    <t>10.31219/osf.io/q56rk</t>
  </si>
  <si>
    <t>10.31219--osf.io--q56rk.pdf</t>
  </si>
  <si>
    <t>gender inclusive language effect</t>
  </si>
  <si>
    <t>gender-inclusive language; gender-fair language; generic masculine; open data; multi- site study</t>
  </si>
  <si>
    <t>In languages with generic masculine, not explicitly naming both sexes makes people think of more masculine people</t>
  </si>
  <si>
    <t>"In the original study (Stahlberg et al. 2001, Experiment 2), a medium effect size was found for the relevant contrast, d = 0.59, with a large 95%CI of [0.14, 1.04], indicating low precision due to a small sample size of N = 90"</t>
  </si>
  <si>
    <t>p.7 (Replication Study)</t>
  </si>
  <si>
    <t>RA2_Main_Analyses.hmtl: Main Preregistered Analyses</t>
  </si>
  <si>
    <t>https://osf.io/fdrn6/</t>
  </si>
  <si>
    <t>RRR_BrohmerHofer_etal_2024_Bauch_a</t>
  </si>
  <si>
    <t>Hilmar Brohmer</t>
  </si>
  <si>
    <t xml:space="preserve">1. The paradigm was modified with new categories in the replication study, however the methodology was still very close to the original one. 
2. Pre-study 1 was pre-registrated for this row. </t>
  </si>
  <si>
    <t>Masculine Generics</t>
  </si>
  <si>
    <t>Gender-inclusive language, gender-fair language, generic masculine, open data, multi-site study</t>
  </si>
  <si>
    <t>Masculine generics triggered the fewest female responses, whereas feminine-masculine word pairs and especially capital I forms made participants respond with more female names</t>
  </si>
  <si>
    <t>"The ANOVA revealed a main effect for type of generic, F(2, 84) = 9.97, p &lt; .001"</t>
  </si>
  <si>
    <t>F(2, 84) = 9.97</t>
  </si>
  <si>
    <t>No</t>
  </si>
  <si>
    <t>https://osf.io/meqrz</t>
  </si>
  <si>
    <t>RRR_BrohmerHofer_etal_2024_Bauch_a_combineddata</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</si>
  <si>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</si>
  <si>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Masculine generics triggered the fewest female responses, whereas feminine-masculine word pairs and especially capital I forms made participants respond with more female names (combined data  for pre-study 1 and pre-study 2 in replication)</t>
  </si>
  <si>
    <t>p. 7 (supplementary)</t>
  </si>
  <si>
    <t>https://osf.io/cm67f</t>
  </si>
  <si>
    <t>RRR_BrohmerHofer_etal_2024_Bauch_a_extension</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</si>
  <si>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</si>
  <si>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Masculine generics triggered the fewest female responses, whereas feminine-masculine word pairs and especially capital I forms made participants respond with more female names (pilot extention)</t>
  </si>
  <si>
    <t>p, 6 (supplementary)</t>
  </si>
  <si>
    <t>RRR_BrohmerHofer_etal_2024_Bauch_a_pilot</t>
  </si>
  <si>
    <t>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https://osf.io/ed5mv</t>
  </si>
  <si>
    <t>Masculine generics triggered the fewest female responses, whereas feminine-masculine word pairs and especially capital I forms made participants respond with more female names (pilot replication)</t>
  </si>
  <si>
    <t>p. 5 (supplementary)</t>
  </si>
  <si>
    <t>RRR_BrohmerHofer_etal_2024_Bauch_b</t>
  </si>
  <si>
    <t xml:space="preserve">1. The paradigm was modified with new categories in the replication study, however the methodology was still very close to the original one. 
2. Pre-study 2 was pre-registrated for this row. </t>
  </si>
  <si>
    <t>Participants prompted with the generic masculine mentioned fewer women than any other group</t>
  </si>
  <si>
    <t>"The contrast between masculine generics on one hand and the two alternative generics on the other was statistically significant (p &lt; .01)"</t>
  </si>
  <si>
    <t>IRR</t>
  </si>
  <si>
    <t>https://osf.io/fh2mg</t>
  </si>
  <si>
    <t>RRR_BrohmerHofer_etal_2024_Bauch_b_combineddata</t>
  </si>
  <si>
    <r>
      <rPr>
        <rFont val="Calibri"/>
        <color rgb="FF1155CC"/>
        <sz val="11.0"/>
        <u/>
      </rPr>
      <t xml:space="preserve">1. The paradigm was modified with new categories in the replication study, however the methodology was still very close to the original one. 
2. Pre-study 2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</si>
  <si>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Participants prompted with the generic masculine mentioned fewer women than any other group (pilot without II-confusion)</t>
  </si>
  <si>
    <t>p. 13 (supplementary)</t>
  </si>
  <si>
    <t>RRR_BrohmerHofer_etal_2024_Bauch_b_extension</t>
  </si>
  <si>
    <t>1. The paradigm was modified with new categories in the replication study, however the methodology was still very close to the original one. 
2. Pre-study 2 was pre-registrated for this row. 
3. Since the pilot was conducted online, it is a conceptual replication
4. The second OSF pre-registration linkL https://osf.io/q7mpj
5. The replication data was taken from: https://osf.io/ed5mv</t>
  </si>
  <si>
    <t>Participants prompted with the generic masculine mentioned fewer women than any other group (extension pilot)</t>
  </si>
  <si>
    <t>RRR_BrohmerHofer_etal_2024_Bauch_b_pilot</t>
  </si>
  <si>
    <t>Participants prompted with the generic masculine mentioned fewer women than any other group (replication pilot)</t>
  </si>
  <si>
    <t>RRR_BrohmerHofer_etal_2024_Bauch_c</t>
  </si>
  <si>
    <t>1. The paradigm was modified with new categories in the replication study, however the methodology was still very close to the original one. 
2. Pre-study 2 was pre-registrated for this row. 
3. II = internal-I is equal to capital-I in the original study</t>
  </si>
  <si>
    <t>Capital I forms lead to a larger number of women named comparing to masculine generics</t>
  </si>
  <si>
    <t>"Whereas capital I forms made participants respond with significantly higher numbers of women than masculine generics (Scheffé’s post hoc test; p &lt; .01)"</t>
  </si>
  <si>
    <t>Z-ratio = -23.031</t>
  </si>
  <si>
    <t>RRR_BrohmerHofer_etal_2024_Bauch_c_extension</t>
  </si>
  <si>
    <r>
      <rPr>
        <rFont val="Calibri"/>
        <color rgb="FF1155CC"/>
        <sz val="11.0"/>
        <u/>
      </rPr>
      <t xml:space="preserve">1. The paradigm was modified with new categories in the replication study, however the methodology was still very close to the original one. 
2. Pre-study 2 was pre-registrated for this row. 
3. II = internal-I is equal to capital-I in the original study
4. Since the pilot was conducted online, it is a conceptual replication
5. The second OSF pre-registration linkL https://osf.io/q7mpj
6. The replication data was taken from: </t>
    </r>
    <r>
      <rPr>
        <rFont val="Calibri"/>
        <color rgb="FF1155CC"/>
        <sz val="11.0"/>
        <u/>
      </rPr>
      <t>https://osf.io/ed5mv</t>
    </r>
  </si>
  <si>
    <t>Capital I forms lead to a larger number of women named comparing to masculine generics (extension pilot)</t>
  </si>
  <si>
    <t>RRR_BrohmerHofer_etal_2024_Bauch_c_pilot</t>
  </si>
  <si>
    <t>1. The paradigm was modified with new categories in the replication study, however the methodology was still very close to the original one. 
2. Pre-study 2 was pre-registrated for this row. 
3. II = internal-I is equal to capital-I in the original study
4. Since the pilot was conducted online, it is a conceptual replication
5. The second OSF pre-registration linkL https://osf.io/q7mpj
6. The replication data was taken from: https://osf.io/ed5mv</t>
  </si>
  <si>
    <t>Capital I forms lead to a larger number of women named comparing to masculine generics (replication pilot)</t>
  </si>
  <si>
    <t>RRR_BrohmerHofer_etal_2024_Bauch_d</t>
  </si>
  <si>
    <t>1. The paradigm was modified with new categories in the replication study, however the methodology was still very close to the original one. 
2. Pre-study 2 was pre-registrated for this row. 
3. FM = femine-masculine is equal to "word pair" in the original study</t>
  </si>
  <si>
    <t>Famine-masculine word pairs lead to a larger number of women named comparing to masculine generics</t>
  </si>
  <si>
    <t>"[...] difference between word pairs and masculine generics did not reach significance (Scheffé’s post hoc test; p &gt; .10)"</t>
  </si>
  <si>
    <t>Z-ratio = -11.04</t>
  </si>
  <si>
    <t>RRR_BrohmerHofer_etal_2024_Bauch_d_extension</t>
  </si>
  <si>
    <r>
      <rPr>
        <rFont val="Calibri"/>
        <color rgb="FF1155CC"/>
        <sz val="11.0"/>
        <u/>
      </rPr>
      <t xml:space="preserve">1. The paradigm was modified with new categories in the replication study, however the methodology was still very close to the original one. 
2. Pre-study 2 was pre-registrated for this row. 
3. FM = femine-masculine is equal to "word pair" in the original study
4. Since the pilot was conducted online, it is a conceptual replication
5. The second OSF pre-registration linkL https://osf.io/q7mpj
6. The replication data was taken from: </t>
    </r>
    <r>
      <rPr>
        <rFont val="Calibri"/>
        <color rgb="FF1155CC"/>
        <sz val="11.0"/>
        <u/>
      </rPr>
      <t>https://osf.io/ed5mv</t>
    </r>
  </si>
  <si>
    <t>Famine-masculine word pairs lead to a larger number of women named comparing to masculine generics (extension pilot)</t>
  </si>
  <si>
    <t>RRR_BrohmerHofer_etal_2024_Bauch_d_pilot</t>
  </si>
  <si>
    <r>
      <rPr>
        <rFont val="Calibri"/>
        <color rgb="FF1155CC"/>
        <sz val="11.0"/>
        <u/>
      </rPr>
      <t xml:space="preserve">1. The paradigm was modified with new categories in the replication study, however the methodology was still very close to the original one. 
2. Pre-study 2 was pre-registrated for this row. 
3. FM = femine-masculine is equal to "word pair" in the original study
4. Since the pilot was conducted online, it is a conceptual replication
5. The second OSF pre-registration linkL https://osf.io/q7mpj
6. The replication data was taken from: </t>
    </r>
    <r>
      <rPr>
        <rFont val="Calibri"/>
        <color rgb="FF1155CC"/>
        <sz val="11.0"/>
        <u/>
      </rPr>
      <t>https://osf.io/ed5mv</t>
    </r>
  </si>
  <si>
    <t>Famine-masculine word pairs lead to a larger number of women named comparing to masculine generics (replication pilot)</t>
  </si>
  <si>
    <t>RRR_BrohmerHofer_etal_2024_Bauch_e</t>
  </si>
  <si>
    <t>Female respondents mentioned more women than male respondents</t>
  </si>
  <si>
    <t>"Another main effect was found for the sex of participant variable, F(1, 84) = 19.9, p &lt; .001"</t>
  </si>
  <si>
    <t>F(1, 84) = 19.9</t>
  </si>
  <si>
    <t>RRR_BrohmerHofer_etal_2024_Bauch_e_combineddata</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</si>
  <si>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</si>
  <si>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Female respondents mentioned more women than male respondents (combined data  for pre-study 1 and pre-study 2 in replication)</t>
  </si>
  <si>
    <t>RRR_BrohmerHofer_etal_2024_Bauch_e_extension</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</si>
  <si>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</si>
  <si>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Female respondents mentioned more women than male respondents (pilot extention)</t>
  </si>
  <si>
    <t>RRR_BrohmerHofer_etal_2024_Bauch_e_pilot</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</si>
  <si>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</si>
  <si>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Female respondents mentioned more women than male respondents (pilot replication)</t>
  </si>
  <si>
    <t>RRR_BrohmerHofer_etal_2024_Bauch_f</t>
  </si>
  <si>
    <t>The number of females named was not dependent on respondent sex interaction with generics (language form)</t>
  </si>
  <si>
    <t>"There was no interaction between sex of participant and type of generic, F(2, 84) = 0.61, p &gt; .5"</t>
  </si>
  <si>
    <t>F(2, 84) = 0.61</t>
  </si>
  <si>
    <t>RRR_BrohmerHofer_etal_2024_Bauch_f_combineddata</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</si>
  <si>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</si>
  <si>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The number of females named was not dependent on respondent sex interaction with generics (language form) (combined data  for pre-study 1 and pre-study 2 in replication)</t>
  </si>
  <si>
    <t>RRR_BrohmerHofer_etal_2024_Bauch_f_extension</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</si>
  <si>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</si>
  <si>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The number of females named was not dependent on respondent sex interaction with generics (language form) (pilot extention)</t>
  </si>
  <si>
    <t>RRR_BrohmerHofer_etal_2024_Bauch_f_pilot</t>
  </si>
  <si>
    <r>
      <rPr>
        <rFont val="Calibri"/>
        <color rgb="FF1155CC"/>
        <sz val="11.0"/>
        <u/>
      </rPr>
      <t xml:space="preserve">1. The paradigm was modified with new categories in the replication study, however the methodology was still very close to the original one. 
2. Pre-study 1 was pre-registrated for this row. 
3. Since the pilot was conducted online, it is a conceptual replication
4. The second OSF pre-registration linkL https://osf.io/q7mpj
5. The replication data was taken from: </t>
    </r>
    <r>
      <rPr>
        <rFont val="Calibri"/>
        <color rgb="FF1155CC"/>
        <sz val="11.0"/>
        <u/>
      </rPr>
      <t>https://osf.io/ed5mv</t>
    </r>
  </si>
  <si>
    <t>The number of females named was not dependent on respondent sex interaction with generics (language form) (pilot replication)</t>
  </si>
  <si>
    <t>RRR_BrohmerHofer_etal_2024_Beitner_1</t>
  </si>
  <si>
    <t>RRR_BrohmerHofer_etal_2024_Beitner</t>
  </si>
  <si>
    <t>RRR_BrohmerHofer_etal_2024_BrohmerHofer_1</t>
  </si>
  <si>
    <t>RRR_BrohmerHofer_etal_2024_BrohmerHofer</t>
  </si>
  <si>
    <t>RRR_BrohmerHofer_etal_2024_Giuliani_1</t>
  </si>
  <si>
    <t>RRR_BrohmerHofer_etal_2024_Giuliani</t>
  </si>
  <si>
    <t>RRR_BrohmerHofer_etal_2024_Gruber_1</t>
  </si>
  <si>
    <t>RRR_BrohmerHofer_etal_2024_Gruber</t>
  </si>
  <si>
    <t>RRR_BrohmerHofer_etal_2024_Jauk_1</t>
  </si>
  <si>
    <t>RRR_BrohmerHofer_etal_2024_Jauk</t>
  </si>
  <si>
    <t>RRR_BrohmerHofer_etal_2024_Malkoc_1</t>
  </si>
  <si>
    <t>RRR_BrohmerHofer_etal_2024_Malkoc</t>
  </si>
  <si>
    <t>RRR_BrohmerHofer_etal_2024_Muess_1</t>
  </si>
  <si>
    <t>RRR_BrohmerHofer_etal_2024_Muess</t>
  </si>
  <si>
    <t>RRR_BrohmerHofer_etal_2024_SalwenderBerkessel_1</t>
  </si>
  <si>
    <t>RRR_BrohmerHofer_etal_2024_SalwenderBerkessel</t>
  </si>
  <si>
    <t>RRR_BrohmerHofer_etal_2024_WehrtOtto_1</t>
  </si>
  <si>
    <t>RRR_BrohmerHofer_etal_2024_WehrtOtto</t>
  </si>
  <si>
    <t>RRR_BrohmerHofer_etal_2024_ZPIDat_1</t>
  </si>
  <si>
    <t>RRR_BrohmerHofer_etal_2024_ZPIDat</t>
  </si>
  <si>
    <t>RRR_BrohmerHofer_etal_2024_ZPIDat_a</t>
  </si>
  <si>
    <t>main effect for type of generic</t>
  </si>
  <si>
    <t>"a main effect for type of generic, F(2, 84) = 9.97, p &lt; .001"</t>
  </si>
  <si>
    <t>p.7-9</t>
  </si>
  <si>
    <t>RRR_BrohmerHofer_etal_2024_ZPIDat_b</t>
  </si>
  <si>
    <t>main effect for the sex of participant variable</t>
  </si>
  <si>
    <t>" the sex of participant variable, F(1, 84) = 19.9, p &lt; .001"</t>
  </si>
  <si>
    <t>RRR_BrohmerHofer_etal_2024_ZPIDat_c</t>
  </si>
  <si>
    <t>interaction between sex of partici- pant and type of generic</t>
  </si>
  <si>
    <t>"no interaction between sex of partici- pant and type of generic, F(2, 84) = 0.61, p &gt; .5"</t>
  </si>
  <si>
    <t>RRR_BrohmerHofer_etal_2024_ZPIDat_d</t>
  </si>
  <si>
    <t>mentioning more women by both genders</t>
  </si>
  <si>
    <t>"Female respondents mentioned more women than male respondents (M = 4.2 vs. M = 2.2)"</t>
  </si>
  <si>
    <t>RRR_BrohmerHofer_etal_2024_ZPIDde_1</t>
  </si>
  <si>
    <t>RRR_BrohmerHofer_etal_2024_ZPIDde</t>
  </si>
  <si>
    <t>RRR_cognitivedissonance_1</t>
  </si>
  <si>
    <t>RRR_cognitivedissonance</t>
  </si>
  <si>
    <t>Lukas Röseler</t>
  </si>
  <si>
    <t>not very clear which exact effect you want to report but I reported the  difference in postessay attitude between the HC-CE condition and the LC-CE condition. Note of the authors: "constructive replication—a replication study that is close
to a seminal study but also includes new elements to address important limitations" so I coded it as conceptual.</t>
  </si>
  <si>
    <t>Croyle R. T., Cooper J. (1983). Dissonance arousal: Physiological evidence. Journal of Personality and Social Psychology, 45(4), 782–791. Study 1</t>
  </si>
  <si>
    <t>10.1037/0022-3514.45.4.782</t>
  </si>
  <si>
    <t>10.1037--0022-3514.45.4.782.pdf</t>
  </si>
  <si>
    <t>Vaidis DC, Sleegers WWA, van Leeuwen F, et al. A Multilab Replication of the Induced-Compliance Paradigm of Cognitive Dissonance. Advances in Methods and Practices in Psychological Science. 2024;7(1).</t>
  </si>
  <si>
    <t>10.1177/25152459231213375</t>
  </si>
  <si>
    <t>10.1177--25152459231213375.pdf</t>
  </si>
  <si>
    <t>induced-compliance</t>
  </si>
  <si>
    <t>RRR, cognitive dissonance, forced compliance paradigm, induced-compliance</t>
  </si>
  <si>
    <t>Planned comparisons of mean responses on the choice measure re-vealed no difference between the two high-choice conditions,... and a signif- icant difference between the two high-choice conditions (M ~ 21.0, counterattitudinal essay; M = 21.8, consonant essay) and the low-choice condition (M = 9.9), F( 1,27) = 50.17, p &lt; .01.</t>
  </si>
  <si>
    <t>F(1,27) = 50.17</t>
  </si>
  <si>
    <t>https://osf.io/52wpj</t>
  </si>
  <si>
    <t>soscisubmission_reddenhoch2009_1</t>
  </si>
  <si>
    <t>soscisubmission_reddenhoch2009</t>
  </si>
  <si>
    <t xml:space="preserve">Original study reported a small but statistically significant interaction between expectation and need for cognition (r² = .04, p = .045). The replication, with a larger sample and preregistered design, found no significant effect (η² = 0, p = .85). </t>
  </si>
  <si>
    <t>Geers, A. L., &amp; Lassiter, G. D. (2003). Need for cognition and expectations as determinants of affective experience. Basic and Applied Social Psychology, 25(4), 313-325. Study 1</t>
  </si>
  <si>
    <t>10.1207/s15324834basp2504_5</t>
  </si>
  <si>
    <t>10.1207--s15324834basp2504_5.pdf</t>
  </si>
  <si>
    <t>Röseler, L., Doetsch, C. A., Förster, N., Bruzsa, A., Deublein, M., Rieger, E., Schmidt, C., Seitz, A., &amp; Wild, A. (2024). No Evidence for the Affective Expectation Model: Replication of Geers and Lassiter  (2003). https://doi.org/10.31234/osf.io/akfzh</t>
  </si>
  <si>
    <r>
      <rPr>
        <rFont val="Arial"/>
        <color rgb="FF1155CC"/>
        <u/>
      </rPr>
      <t>10.17605/OSF.IO/RGE23</t>
    </r>
  </si>
  <si>
    <t>10.17605--OSF.IO--RGE23.pdf</t>
  </si>
  <si>
    <t>affective expectations</t>
  </si>
  <si>
    <t>affective expectations, assimilation and contrast, need for cognition</t>
  </si>
  <si>
    <t>Need for Cognition moderates the effect of affective expectations on experience (interaction effect)</t>
  </si>
  <si>
    <t>A significant interaction between expectation and need for cognition, F(1,156) = 4.10, p = .045, r² = .04.</t>
  </si>
  <si>
    <t>r²</t>
  </si>
  <si>
    <t>https://osf.io/akfzh</t>
  </si>
  <si>
    <t>soscisubmission_reddenhoch2009_2</t>
  </si>
  <si>
    <r>
      <rPr>
        <rFont val="Arial"/>
        <color rgb="FF1155CC"/>
        <u/>
      </rPr>
      <t>10.17605/OSF.IO/RGE23</t>
    </r>
  </si>
  <si>
    <t>Need for Cognition moderates the effect of affective expectations on experience (positive expectations and NFC)</t>
  </si>
  <si>
    <t>Positive expectations led to more positive affective experiences for high NFC individuals, r = 0.258, p = .01.</t>
  </si>
  <si>
    <t xml:space="preserve">p. 7 </t>
  </si>
  <si>
    <t>https://osf.io/6ua4s</t>
  </si>
  <si>
    <t>soscisubmission_reddenhoch2009_3</t>
  </si>
  <si>
    <r>
      <rPr>
        <rFont val="Arial"/>
        <color rgb="FF1155CC"/>
        <u/>
      </rPr>
      <t>10.17605/OSF.IO/RGE23</t>
    </r>
  </si>
  <si>
    <t>Need for Cognition moderates the effect of affective expectations on experience (negative expectations and NFC)</t>
  </si>
  <si>
    <t>In the negative expectations condition, no significant association with NFC was found (r = .059, p = .67).</t>
  </si>
  <si>
    <t>soscisubmission_reddenhoch2009_4</t>
  </si>
  <si>
    <t>NFC × no-expectation slope marginally significant in original (p = .051), null in replication. No nested design. Preregistered, close replication.</t>
  </si>
  <si>
    <r>
      <rPr>
        <rFont val="Arial"/>
        <color rgb="FF1155CC"/>
        <u/>
      </rPr>
      <t>10.17605/OSF.IO/RGE23</t>
    </r>
  </si>
  <si>
    <t>Need for Cognition moderates the effect of affective expectations on experience (no expectations and NFC)</t>
  </si>
  <si>
    <t>Need for Cognition was not significantly associated with affective experience in the no-expectation condition.</t>
  </si>
  <si>
    <t>https://osf.io/rge23</t>
  </si>
  <si>
    <t>Röseler, Lukas; Manriquez Robles, Diego</t>
  </si>
  <si>
    <t>28.03.2023</t>
  </si>
  <si>
    <r>
      <rPr>
        <rFont val="Arial"/>
        <color rgb="FF1155CC"/>
        <u/>
      </rPr>
      <t>10.17605/OSF.IO/RGE23</t>
    </r>
  </si>
  <si>
    <t>Main effect of expectation on affect</t>
  </si>
  <si>
    <t>expectations, affect, mood, information processing</t>
  </si>
  <si>
    <t>Participants with positive expectations reported more positive affect than those with negative expectations.</t>
  </si>
  <si>
    <t>Participants in the positive expectation condition (M = 3.70, SD = 1.17) reported more positive affect than did participants in the negative expectation condition (M = 2.93, SD = 1.14), F(1, 58) = 6.73, p = .012.</t>
  </si>
  <si>
    <t>p. 318</t>
  </si>
  <si>
    <r>
      <rPr>
        <rFont val="Arial"/>
        <color rgb="FF1155CC"/>
        <u/>
      </rPr>
      <t>10.17605/OSF.IO/RGE23</t>
    </r>
  </si>
  <si>
    <t>Main effect of need for cognition on affect</t>
  </si>
  <si>
    <t>need for cognition, affect, personality traits</t>
  </si>
  <si>
    <t>There was no significant main effect of NFC on affect.</t>
  </si>
  <si>
    <t>The main effect for NFC was not significant, F(1, 58) = 1.29, p = .26.</t>
  </si>
  <si>
    <r>
      <rPr>
        <rFont val="Arial"/>
        <color rgb="FF1155CC"/>
        <u/>
      </rPr>
      <t>10.17605/OSF.IO/RGE23</t>
    </r>
  </si>
  <si>
    <t>Interaction between NFC and expectation on affect</t>
  </si>
  <si>
    <t>interaction, expectations, need for cognition, affect, moderation</t>
  </si>
  <si>
    <t>The influence of expectations on affect depended on the participant’s level of need for cognition.</t>
  </si>
  <si>
    <t>The predicted two-way interaction between Need for Cognition and Expectation was also significant, F(1, 58) = 4.74, p = .033.</t>
  </si>
  <si>
    <r>
      <rPr>
        <rFont val="Arial"/>
        <color rgb="FF1155CC"/>
        <u/>
      </rPr>
      <t>10.17605/OSF.IO/RGE23</t>
    </r>
  </si>
  <si>
    <t>Simple effect of expectation among high NFC participants</t>
  </si>
  <si>
    <t>high need for cognition, expectations, affect</t>
  </si>
  <si>
    <t>Among high NFC participants, positive expectations led to more positive affect.</t>
  </si>
  <si>
    <t>Among participants high in NFC, those in the positive expectation condition (M = 4.00, SD = 1.11) reported significantly greater positive affect than did those in the negative expectation condition (M = 2.69, SD = 1.17), F(1, 58) = 10.97, p = .002.</t>
  </si>
  <si>
    <t>soscisubmission44_1</t>
  </si>
  <si>
    <t>soscisubmission44</t>
  </si>
  <si>
    <t>Kotchoubey, B., &amp; Pavlov, Y. G. (2017). Name conditioning in event-related brain potentials. Neurobiology of Learning and Memory, 145, 129–134. https://doi.org/10.1016/j.nlm.2017.09.009, Experiment 4</t>
  </si>
  <si>
    <t>10.1016/j.nlm.2017.09.009</t>
  </si>
  <si>
    <t>10.1016--j.nlm.2017.09.009.pdf</t>
  </si>
  <si>
    <t>Pavlov, Y. G. (2023, June 20). Replication of Kotchoubey &amp; Pavlov, 2017. (Experiment 4)</t>
  </si>
  <si>
    <t>osf.io/y2emk</t>
  </si>
  <si>
    <t>https://osf.io/y2emk/</t>
  </si>
  <si>
    <t>osf.io--y2emk.pdf</t>
  </si>
  <si>
    <t>Own Name Attention Effect</t>
  </si>
  <si>
    <t>own name, event-related potentials, EEG, P300,</t>
  </si>
  <si>
    <t>P3 event-related potential component amplitude in response to own name of the participant is larger than in response to a different name, indicating orienting reaction and attention to own name</t>
  </si>
  <si>
    <t>SON elicited a larger P3b than DN (F(1,24) = 5.08, p = .034, η² = 0.18)</t>
  </si>
  <si>
    <t>et</t>
  </si>
  <si>
    <t>Yuri G., Pavlov; ; Manriquez Robles, Diego</t>
  </si>
  <si>
    <t>20.06.2023</t>
  </si>
  <si>
    <t>Enhanced ERP response to CS+ after extended name–tone pairing</t>
  </si>
  <si>
    <t>ERP, classical conditioning, P3b, LTW, name conditioning</t>
  </si>
  <si>
    <t>After extended acquisition, CS+ elicited more positive P3b and LTW amplitudes than CS−</t>
  </si>
  <si>
    <t>CS+ elicited more positive P3b (F(1,24) = 4.40, p = 0.047, η² = 0.16) and more positive LTW amplitude (F(1,24) = 7.83, p = 0.01, η² = 0.25) than CS−.</t>
  </si>
  <si>
    <t>p. 132</t>
  </si>
  <si>
    <t>https://osf.io/y2emk</t>
  </si>
  <si>
    <t>soscisubmission58_1</t>
  </si>
  <si>
    <t>soscisubmission58</t>
  </si>
  <si>
    <t>1. The values for p are not present in the original study so they are taken from the replication study. 2. The osf link is provided in the paper but it is clearly stated that the study wasn't pre-registered. 3. The closeness can also be 3 as replication study didn't consider the sample from different nations.</t>
  </si>
  <si>
    <t>Nguyen, T., Togawa, T., Scholer, A. A., Miele, D. B., &amp; Fujita, K. (2021). A cross-cultural investigation of metamotivational beliefs about regulatory focus task-motivation fit. Personality and Social Psychology Bulletin, 48(5), 807-820. https://doi.org/10.1177/01461672211025423, Study 2, main effect for recall activity</t>
  </si>
  <si>
    <t>10.1177/01461672211025423</t>
  </si>
  <si>
    <t>10.1177--01461672211025423.pdf</t>
  </si>
  <si>
    <t>Vaughn, L., Chun, D., &amp; Ruddy, G. (2023, December 19). Beliefs about the Usefulness of Promotion and Prevention Focus: Replications of the American-Independent Conditions of Nguyen et al.’s (2021) Studies 2 and 3. Retrieved from osf.io/preprints/psyarxiv/fmdqe</t>
  </si>
  <si>
    <t>10.31234/osf.io/fmdqe</t>
  </si>
  <si>
    <t>10.31234--osf.io--fmdqe.pdf</t>
  </si>
  <si>
    <t>Main effect for recall activity</t>
  </si>
  <si>
    <t>promotion focus, prevention focus, motivation, metacognition, metamotivation</t>
  </si>
  <si>
    <t>Participants would report that recalling examples of prevention focus is more useful for performing well at eager and vigilant tasks than recalling examples of promotion focus. Experiment 2 main effect for recall activity</t>
  </si>
  <si>
    <t>"Table 2"</t>
  </si>
  <si>
    <t>p.7-8</t>
  </si>
  <si>
    <t>soscisubmission58_a</t>
  </si>
  <si>
    <t>Nikita O</t>
  </si>
  <si>
    <t>1. The effect can be also "metamotivation" as authors study it and promotion bias occured during the study of metamotivation
2. For tags I combined keywords of both original and replication study
3. I am not sure about the sample, it is the total amount of American respondents, but according to the replication, there should be less -&gt; I guess they were split into dependent and independent context groups, but no clarifications are in the original study
4. The effect size and claim were taken from the SUPPLEMENTARY MATERIALS</t>
  </si>
  <si>
    <t>Promotion bias</t>
  </si>
  <si>
    <t>Metamotivation, culture, regulatory focus, task-motivation fit, promotion focus, prevention focus, motivation, metacognition, metamotivation</t>
  </si>
  <si>
    <t>Recalling promotion experiences helps prepare for eager tasks, whereas recalling prevention experiences helps prepare for vigilant tasks</t>
  </si>
  <si>
    <t>"The interaction between task and recall activity was stronger in an independent context compared to in an interdependent context among both Japanese and American participants: [...]  independent US: γ = 1.30, SE = .27, t(21.50) = 4.79, p &lt; .001"</t>
  </si>
  <si>
    <t>p. 16 (supplementary)</t>
  </si>
  <si>
    <t>γ = 1.30</t>
  </si>
  <si>
    <t>soscisubmission58_b</t>
  </si>
  <si>
    <t>1. The effect can be also "metamotivation" as authors study it and promotion bias occured during the study of metamotivation
2. For tags I combined keywords of both original and replication study
3. I am not sure about the sample, it is the total amount of American respondents, but according to the replication, there should be less -&gt; I guess they were split into dependent and independent context groups, but no clarifications are in the original study
4. Only the results for AMERICAN sample were taken</t>
  </si>
  <si>
    <t>Participants would view gain-framed incentives as more useful for eager tasks and loss-framed incentives as more useful for vigilant tasks (interaction)</t>
  </si>
  <si>
    <t>"Among Americans, results revealed a credible interaction between task and incentive structure in the independent context, βest = 0.29, SE = .13, 95% HDI = [0.04, 0.54]"</t>
  </si>
  <si>
    <t>soscisubmission58_c</t>
  </si>
  <si>
    <t>Participants believed promotion recall activities would be more useful than prevention recall activitiesparticipants believed gain-framed incentives were more useful than loss-framed incentives for both eager and vigilant tasks (Incentive)</t>
  </si>
  <si>
    <t>"Results revealed a credible effect of incentive structure, βest = 0 7. 2, SE = .05, 95% HDI = [0.63, 0.81], such that participants gave higher usefulness ratings for the Yours to Gain versus Yours to Lose incentive structure. This promotion bias was present among both American participants, βest = 0.77, SE = .05, 95% HDI = [0.67, 0.88]"</t>
  </si>
  <si>
    <t>soscisubmission58_c_culturecombined</t>
  </si>
  <si>
    <t>1. The effect can be also "metamotivation" as authors study it and promotion bias occured during the study of metamotivation
2. For tags I combined keywords of both original and replication study
3. I am not sure about the sample, it is the total amount of American respondents, but according to the replication, there should be less -&gt; I guess they were split into dependent and independent context groups, but no clarifications are in the original study
4. The results of the original study for COBINED SAMPLE (JAPANESE + AMERICANS)
5. P-value was taken from supplementary, p. 13
6. WAITING FOR THE ANSWER FROM LUKAS</t>
  </si>
  <si>
    <t>Participants judged recalling prevention to be more useful overall than recalling promotion both Japanese and American sample</t>
  </si>
  <si>
    <t>"We thus focused on this model (see Table 2)"</t>
  </si>
  <si>
    <t>γ</t>
  </si>
  <si>
    <t>soscisubmission58_c2_culturecombined</t>
  </si>
  <si>
    <t>Participants judged the recall activities to be more useful for eager tasks than for vigilant tasks both Japanese and American sample</t>
  </si>
  <si>
    <t>soscisubmission58_c3_culturecombined</t>
  </si>
  <si>
    <t>1. The effect can be also "metamotivation" as authors study it and promotion bias occured during the study of metamotivation
2. For tags I combined keywords of both original and replication study
3. I am not sure about the sample, it is the total amount of American respondents, but according to the replication, there should be less -&gt; I guess they were split into dependent and independent context groups, but no clarifications are in the original study
4. The results of the original study for COBINED SAMPLE (JAPANESE + AMERICANS)
5. P-value was taken from supplementary, p. 24
6. WAITING FOR THE ANSWER FROM LUKAS</t>
  </si>
  <si>
    <t>Participants believed gain-framed incentives were more useful than loss-framed incentives for both Japanese and American sample</t>
  </si>
  <si>
    <t>"We thus focused on this model (see Table 3)"</t>
  </si>
  <si>
    <t>soscisubmission60_1</t>
  </si>
  <si>
    <t>soscisubmission60</t>
  </si>
  <si>
    <t>Nguyen, T., Togawa, T., Scholer, A. A., Miele, D. B., &amp; Fujita, K. (2021). A cross-cultural investigation of metamotivational beliefs about regulatory focus task-motivation fit. Personality and Social Psychology Bulletin, 48(5), 807-820. https://doi.org/10.1177/01461672211025423, Study 2, main effect for task (eager vs. vigilant)</t>
  </si>
  <si>
    <t>Main effect for task (eager vs. vigilant)</t>
  </si>
  <si>
    <t>Participants would report that the promotion and prevention recall activities are slightly but nonsignificantly more useful for the eager tasks than for the vigilant tasks. Experiment 2 main effect for task (eager vs. vigilant)</t>
  </si>
  <si>
    <t>soscisubmission62_1</t>
  </si>
  <si>
    <t>soscisubmission62</t>
  </si>
  <si>
    <t>Nguyen, T., Togawa, T., Scholer, A. A., Miele, D. B., &amp; Fujita, K. (2021). A cross-cultural investigation of metamotivational beliefs about regulatory focus task-motivation fit. Personality and Social Psychology Bulletin, 48(5), 807-820. https://doi.org/10.1177/01461672211025423, Study 2, Simple effect of task in the promotion condition of the Task x Recall Activity interaction</t>
  </si>
  <si>
    <t>Simple effect of task in the promotion condition of the Task x Recall Activity interaction</t>
  </si>
  <si>
    <t>Participants would report that promotion recall is significantly more useful for eager tasks than for vigilant tasks. Experiment 2 simple effect of task in the promotion condition of the Task x Recall Activity interaction</t>
  </si>
  <si>
    <t>"Among promotion recall activities, there was a credible effect of task, βest = 0.60, SE = .20, 95% HDI = [0.22, 1.00], such that participants recognized that promotion recall activities would be more useful for eager versus vigilant tasks."</t>
  </si>
  <si>
    <t>soscisubmission64_1</t>
  </si>
  <si>
    <t>soscisubmission64</t>
  </si>
  <si>
    <t>1. The values for p are not present in the original study so they are taken from the replication study. The values of d and etasq are also taken from the replication study. 2. The osf link is provided in the paper but it is clearly stated that the study wasn't pre-registered. 3. The closeness can also be 3 as replication study didn't consider the sample from different nations.</t>
  </si>
  <si>
    <t>Nguyen, T., Togawa, T., Scholer, A. A., Miele, D. B., &amp; Fujita, K. (2021). A cross-cultural investigation of metamotivational beliefs about regulatory focus task-motivation fit. Personality and Social Psychology Bulletin, 48(5), 807-820. https://doi.org/10.1177/01461672211025423, Study 3, main effect for incentive structure (gain-framed vs. loss-framed)</t>
  </si>
  <si>
    <t>Main effect for incentive structure (gain-framed vs. loss-framed)</t>
  </si>
  <si>
    <t>Participants would report that the gain-framed incentive structure is significantly more useful for performing well at eager and vigilant tasks than the loss-framed incentive structure. Experiment 3 main effect for incentive structure (gain-framed vs. loss-framed)</t>
  </si>
  <si>
    <t>"Table3"</t>
  </si>
  <si>
    <t>p.12-13</t>
  </si>
  <si>
    <t>soscisubmission65_1</t>
  </si>
  <si>
    <t>soscisubmission65</t>
  </si>
  <si>
    <t>Nguyen, T., Togawa, T., Scholer, A. A., Miele, D. B., &amp; Fujita, K. (2021). A cross-cultural investigation of metamotivational beliefs about regulatory focus task-motivation fit. Personality and Social Psychology Bulletin, 48(5), 807-820. https://doi.org/10.1177/01461672211025423, Study 3, main effect for task (eager vs. vigilant)</t>
  </si>
  <si>
    <t>Participants would report that the gain-framed and loss-framed incentive structures are significantly more useful for the vigilant tasks than for the eager tasks. Experiment 3 main effect for task (eager vs. vigilant)</t>
  </si>
  <si>
    <t>soscisubmission66_1</t>
  </si>
  <si>
    <t>soscisubmission66</t>
  </si>
  <si>
    <t>Nguyen, T., Togawa, T., Scholer, A. A., Miele, D. B., &amp; Fujita, K. (2021). A cross-cultural investigation of metamotivational beliefs about regulatory focus task-motivation fit. Personality and Social Psychology Bulletin, 48(5), 807-820. https://doi.org/10.1177/01461672211025423, Study 3, Task x Incentive Structure interaction effect</t>
  </si>
  <si>
    <t>Task x Incentive Structure interaction effect (significance of overall interaction)</t>
  </si>
  <si>
    <t>There would be a significant Task x Incentive Structure interaction effect, showing that participants believed gain-framed incentives would be more useful for one task than the other, and that loss-framed incentives would be more useful for the other task than the one. Experiment 3 Task x Incentive Structure interaction effect (significance of overall interaction)</t>
  </si>
  <si>
    <t>soscisubmission67_1</t>
  </si>
  <si>
    <t>soscisubmission67</t>
  </si>
  <si>
    <t>Nguyen, T., Togawa, T., Scholer, A. A., Miele, D. B., &amp; Fujita, K. (2021). A cross-cultural investigation of metamotivational beliefs about regulatory focus task-motivation fit. Personality and Social Psychology Bulletin, 48(5), 807-820. https://doi.org/10.1177/01461672211025423, Study 3, Simple effect of task in the gain condition of the Task x Incentive Structure interaction</t>
  </si>
  <si>
    <t>Simple effect of task in the gain-frame condition of the Task x Incentive Structure interaction</t>
  </si>
  <si>
    <t>Participants would report that gain-framed incentives are significantly more useful for eager tasks than for vigilant tasks. Experiment 3 simple effect of task in the gain-frame condition of the Task x Incentive Structure interaction</t>
  </si>
  <si>
    <t>soscisubmission68_1</t>
  </si>
  <si>
    <t>soscisubmission68</t>
  </si>
  <si>
    <t>Nguyen, T., Togawa, T., Scholer, A. A., Miele, D. B., &amp; Fujita, K. (2021). A cross-cultural investigation of metamotivational beliefs about regulatory focus task-motivation fit. Personality and Social Psychology Bulletin, 48(5), 807-820. https://doi.org/10.1177/01461672211025423, Study 3, Simple effect of task in the loss-frame condition of the Task x Incentive Structure interaction</t>
  </si>
  <si>
    <t>Simple effect of task in the loss-frame condition of the Task x Incentive Structure interaction</t>
  </si>
  <si>
    <t>Participants would report that loss-framed incentives are significantly more useful for vigilant tasks than for eager tasks. Experiment 3 simple effect of task in the loss-frame condition of the Task x Incentive Structure interaction</t>
  </si>
  <si>
    <t>soscisubmission69_1</t>
  </si>
  <si>
    <t>soscisubmission69</t>
  </si>
  <si>
    <t>Nguyen, T., Togawa, T., Scholer, A. A., Miele, D. B., &amp; Fujita, K. (2021). A cross-cultural investigation of metamotivational beliefs about regulatory focus task-motivation fit. Personality and Social Psychology Bulletin, 48(5), 807-820. https://doi.org/10.1177/01461672211025423, Study 2, Task x Recall Activity interaction effect</t>
  </si>
  <si>
    <t>Task x Recall Activity interaction effect (significance of overall interaction)</t>
  </si>
  <si>
    <t>There would be a significant Task x Recall Activity interaction effect, showing that participants believed promotion recall would be more useful for one task than the other, and that prevention recall would be more useful for the other task than the one. Experiment 2 Task x Recall Activity interaction effect (significance of overall interaction)</t>
  </si>
  <si>
    <t>"As expected, results revealed a credible interaction between task and recall activity, βest = 0.99, SE = .28, 95% HDI = [0.43, 1.52]"</t>
  </si>
  <si>
    <t>soscisubmission70_1</t>
  </si>
  <si>
    <t>soscisubmission70</t>
  </si>
  <si>
    <t>Nguyen, T., Togawa, T., Scholer, A. A., Miele, D. B., &amp; Fujita, K. (2021). A cross-cultural investigation of metamotivational beliefs about regulatory focus task-motivation fit. Personality and Social Psychology Bulletin, 48(5), 807-820. https://doi.org/10.1177/01461672211025423, Study 2, Simple effect of task in the prevention condition of the Task x Recall Activity interaction</t>
  </si>
  <si>
    <t>Simple effect of task in the prevention condition of the Task x Recall Activity interaction</t>
  </si>
  <si>
    <t>Participants would report that prevention recall is significantly more useful for vigilant tasks than for eager tasks. Experiment 2 simple effect of task in the prevention condition of the Task x Recall Activity interaction</t>
  </si>
  <si>
    <t>"Among prevention recall activities, however, there was no credible effect of task, βest = −0.38, SE = .20, 95% HDI = [−0.76, 0.03]"</t>
  </si>
  <si>
    <t>Wansink, B., Painter, J. E., &amp; North, J. (2005). Bottomless bowls: why visual cues of portion size may influence intake. Obesity research, 13(1), 93-100.</t>
  </si>
  <si>
    <r>
      <rPr>
        <rFont val="Arial"/>
        <color rgb="FF1155CC"/>
        <u/>
      </rPr>
      <t>10.1038/oby.2005.12</t>
    </r>
  </si>
  <si>
    <t>Lopez, A., Choi, A. K., Dellawar, N. C., Cullen, B. C., Avila Contreras, S., Rosenfeld, D. L., &amp; Tomiyama, A. J. (2024). Visual cues and food intake: A preregistered replication of Wansink et al.(2005). Journal of Experimental Psychology: General, 153(2), 275.</t>
  </si>
  <si>
    <r>
      <rPr>
        <rFont val="Arial"/>
        <color rgb="FF1155CC"/>
        <u/>
      </rPr>
      <t>10.1037/xge0001503</t>
    </r>
  </si>
  <si>
    <t>Visual cue-induced overeating effect</t>
  </si>
  <si>
    <t>portion size, consumption norms, food intake, consumption volume, external cues</t>
  </si>
  <si>
    <t>Visual portion size cues affect consumption behavior by shaping consumption norms and expectations, leading to unintentional overeating.</t>
  </si>
  <si>
    <t>"ANOVAs (SPSS 11.0) indicated that people who were in the self-refilling condition ate more soup [14.7 vs. 8.5 ounces; F(1,52) = 8.99; p = 0.01] than those eating from normal soup bowls. This difference represented an increase of 73% in amount of soup consumed and an increase of 113 calories (267.9 vs. 154.9 calories)." These findings are consistent with the notion that the amount of food on a plate or bowl increases intake because it influences consumption norms and expectations and it lessens one’s reliance on self-monitoring.</t>
  </si>
  <si>
    <t>= (14.7 - 8.5)/SQRT((8.4^2 + 6.1^2)/2)</t>
  </si>
  <si>
    <r>
      <rPr>
        <rFont val="Arial"/>
      </rPr>
      <t xml:space="preserve">https://
</t>
    </r>
    <r>
      <rPr>
        <rFont val="Arial"/>
        <color rgb="FF1155CC"/>
        <u/>
      </rPr>
      <t>osf.io/ux42g</t>
    </r>
  </si>
  <si>
    <t>soscisubmission73_1</t>
  </si>
  <si>
    <t>soscisubmission73</t>
  </si>
  <si>
    <t>Glikson, E., Cheshin, A., &amp; Kleef, G. A. V. (2018). The dark side of a smiley: Effects of smiling emoticons on virtual first impressions. Social Psychological and Personality Science, 9(5), 614-625. https://doi.org/10.1177/1948550617720269, Study 3.</t>
  </si>
  <si>
    <t>10.1177/1948550617720269</t>
  </si>
  <si>
    <t>10.1177--1948550617720269.pdf</t>
  </si>
  <si>
    <t>Lai, L., &amp; Mayiwar, L. (2023). The Dark Versus Bright Side of a Smiley: A Preregistered Replication of Experiment 3 in Glikson et al. (2018) “The Dark Side of a Smiley.” Collabra: Psychology, 9(1). https://doi.org/10.1525/collabra.90195</t>
  </si>
  <si>
    <t>10.1525/collabra.90195</t>
  </si>
  <si>
    <t>10.1525--collabra.90195.pdf</t>
  </si>
  <si>
    <t>Effects of Smiling Emoticons on Virtual First Impressions (Smileys*Formality → Warmth)</t>
  </si>
  <si>
    <t>computer-mediated communication, impression formation, warmth, competence,</t>
  </si>
  <si>
    <t>Due to perceptions of (in)appropriateness, the use of smileys may backfire and produce less favorable perceptions of competence in a formal work-related setting, yet more favorable perceptions of warmth in an informal work-related setting.</t>
  </si>
  <si>
    <t>Specifically, we hypothesized and found that using a smiley in e-mails sent in a formal work context decreased perceptions of competence, yet increased perceptions of warmth in an informal context.</t>
  </si>
  <si>
    <t>https://osf.io/q5mvd</t>
  </si>
  <si>
    <t>soscisubmission73_2</t>
  </si>
  <si>
    <t>Original study reported significant interaction (η² = .14); replication found non-significant result (ηp² = .004, d = 0.12). Both studies used between-subject design with no nested structure. Conversion from η² to d done using Lenhard &amp; Lenhard (2016) calculator.</t>
  </si>
  <si>
    <t>Glikson, E., Cheshin, A., &amp; Kleef, G. A. V. (2018). The dark side of a smiley: Effects of smiling emoticons on virtual first impressions. Social Psychological and Personality Science, 9(5), 614-625. https://doi.org/10.1177/1948550617720269</t>
  </si>
  <si>
    <t>Effects of Smiling Emoticons on Virtual First Impressions (Smileys*Formality → Competence)</t>
  </si>
  <si>
    <t>The interaction between smiley condition and formality condition was significant, F(1,81)=13.18, p &lt; .001, η² = .14</t>
  </si>
  <si>
    <t>soscisubmission73_3</t>
  </si>
  <si>
    <t>The interaction effect between smiley and formality was significant in the original study (d = 0.45, p = .003), but much smaller in the replication (d = 0.14, p = .044). Both studies used an ANCOVA design without repeated or dependent measures.</t>
  </si>
  <si>
    <t>Effects of Smiling Emoticons on Virtual First Impressions (Smileys*Formality → Appropriateness)</t>
  </si>
  <si>
    <t>a significant interaction, F(1, 80) = 4.34, p = .003, d = 0.45, on e-mail appropriateness.</t>
  </si>
  <si>
    <t>soscisubmission73_4</t>
  </si>
  <si>
    <t>In the original study, the effect of smileys on perceived trustworthiness (as part of warmth) was not statistically significant (d = 0.34, p = .11). However, the replication showed a stronger and significant effect (d = 0.47, p &lt; .001). Both studies used the same design and materials. The replication was preregistered and had a much larger sample size.</t>
  </si>
  <si>
    <t>Effects of Smiling Emoticons on Virtual First Impressions (Smileys*Formality → Warmth via Appropriateness)</t>
  </si>
  <si>
    <t>Warmth refers to traits that reflect a person’s perceived social intentions, such as trustworthiness, sincerity, kindness, and friendliness</t>
  </si>
  <si>
    <t>https://osf.io/n7yc4</t>
  </si>
  <si>
    <t>soscisubmission73_5</t>
  </si>
  <si>
    <t>Effects of Smiling Emoticons on Virtual First Impressions (Smileys*Formality → Competence via Appropriateness)</t>
  </si>
  <si>
    <t>The interaction between formality and smiley condition significantly affected trustworthiness ratings.</t>
  </si>
  <si>
    <t>Pavlović, Zoran; Manriquez Robles, Diego</t>
  </si>
  <si>
    <t>Effect of smiling emoticons on perceived competence</t>
  </si>
  <si>
    <t>emoticons, competence, impression formation, email, virtual communication</t>
  </si>
  <si>
    <t>Including a smiling emoticon reduced the perceived competence of the candidate.</t>
  </si>
  <si>
    <t>Participants perceived the candidate as less competent when a smiling emoticon was included in the email (M = 4.07, SD = 1.28) than when no emoticon was included (M = 4.49, SD = 1.04), F(1, 190) = 5.01, p = .03, ηp² = .03.</t>
  </si>
  <si>
    <t>p. 621</t>
  </si>
  <si>
    <t>https://osf.io/tp4zg</t>
  </si>
  <si>
    <t>Effect of smiling emoticons on perceived warmth</t>
  </si>
  <si>
    <t>emoticons, warmth, email tone, impression formation</t>
  </si>
  <si>
    <t>The inclusion of a smiling emoticon increased perceived warmth of the candidate.</t>
  </si>
  <si>
    <t>A marginally significant effect was found for warmth, F(1, 190) = 3.28, p = .07, ηp² = .02.</t>
  </si>
  <si>
    <t>Effect of candidate gender on perceived competence</t>
  </si>
  <si>
    <t>gender, competence, stereotyping, hiring</t>
  </si>
  <si>
    <t>Male and female candidates were perceived similarly in terms of competence.</t>
  </si>
  <si>
    <t>No significant main effects were found for candidate gender on competence, F(1, 190) = 0.44, p = .51, ηp² = .002.</t>
  </si>
  <si>
    <t>Effect of candidate gender on perceived warmth</t>
  </si>
  <si>
    <t>gender, warmth, stereotyping, interpersonal perception</t>
  </si>
  <si>
    <t>Female candidates were perceived as warmer than male candidates.</t>
  </si>
  <si>
    <t>A significant main effect was found for warmth, F(1, 190) = 8.87, p &lt; .01, ηp² = .04.</t>
  </si>
  <si>
    <t>&lt; .01</t>
  </si>
  <si>
    <t>&lt; .001</t>
  </si>
  <si>
    <t>Interaction between emoticon use and candidate gender on perceived competence</t>
  </si>
  <si>
    <t>emoticons, gender, interaction effect, competence</t>
  </si>
  <si>
    <t>The emoticon effect on competence did not differ by candidate gender.</t>
  </si>
  <si>
    <t>There was no significant interaction between emoticon use and candidate gender, F(1, 190) = 0.05, p = .82, ηp² &lt; .001.</t>
  </si>
  <si>
    <t>Nicholls, M. E., Churches, O., &amp; Loetscher, T. (2018). Perception of an ambiguous figure is affected by own-age social biases. Scientific reports, 8(1), 12661.</t>
  </si>
  <si>
    <t>Brouwer, A., Jin, X., Waldi, A. H., &amp; Verheyen, S. (2021). Age biases the judgment rather than the perception of an ambiguous figure. Scientific Reports, 11(1), 8627.</t>
  </si>
  <si>
    <t>own-age bias</t>
  </si>
  <si>
    <t>Own-age biases, Face perception, Ambiguous figure, Social in-group, Subconscious processing</t>
  </si>
  <si>
    <t>Observer’s own age biases subconscious perception of an ambiguous face, causing age estimates to align with the observer’s age group</t>
  </si>
  <si>
    <t>A t-test for independent samples revealed that the diference between the groups was highly signifcant [t(391)=3.82, p&lt;0.001, Cohen’s d=0.386]. To obtain a stronger result and demonstrate that the diference between the younger and older groups was not related to a peculiarity of the median split, we also selected the very-youngest 10% of participants (aged between 18 and 22 years, n=40) and the very-oldest 10% of participants (aged between 49 and 68 years, n=45). The estimated age for the very-young group was 33.85 (SD=14.16) years whereas the estimated age for the very-old group was 45.91 (SD= 21.63) years. Te estimated age diference of 12.06 years is larger than the diference observed for the median split (6.32 years) and the diference in estimated age for the very-young and -old groups was statistically signifcant [t(83)=3.00, p=0.007, Cohen’s d=0.659]. The relation between the observer’s age and the estimated age of the woman can also be investigated using a simple correlational analysis. Figure 3 shows a positive correlation between the observer’s age and the estimated age of the bistable illusion, which was statistically signifcant [r(393)=0.237, p&lt;0.001].</t>
  </si>
  <si>
    <t>https://osf.io/xqc35</t>
  </si>
  <si>
    <t>soscisubmission80_1</t>
  </si>
  <si>
    <t>soscisubmission80</t>
  </si>
  <si>
    <t>P value O = 0.002, the cell take it as 0.</t>
  </si>
  <si>
    <t>Ihme, T. A., &amp; Tausendpfund, M. (2018). Gender differences in political knowledge: Bringing situation back in. Journal of Experimental Political Science, 5(1), 39-55.</t>
  </si>
  <si>
    <t>10.1017--xps.2017.21.pdf</t>
  </si>
  <si>
    <t>Azevedo, F., Micheli, L., &amp; Bolesta, D. S. (2024). Does stereotype threat contribute to the political knowledge gender gap? A preregistered replication study of Ihme and Tausendpfund (2018). Journal of Experimental Political Science, 11(1), 102-113.</t>
  </si>
  <si>
    <t>10.1017/XPS.2022.35</t>
  </si>
  <si>
    <t>Stereotype threat</t>
  </si>
  <si>
    <t>Political knowledge, gender gap, stereotype threat</t>
  </si>
  <si>
    <t>activation of gender stereotypes influences the participants’ results on a political knowledge test depending on their gender</t>
  </si>
  <si>
    <t>The main effect of stereotype activation was not significant (F(2,365) = 0.15, p = 0.86, η² &lt; 0.01). We found significant main effects of gender (F(1,365) = 24.20, p &lt; 0.001, η² = 0.06) and field of study (F(1,365) = 95.25, p &lt; 0.001, η² = 0.21), as well as a significant interaction of stereotype activation and gender (F(2,365) = 5.80, p = 0.003, η²= 0.03). This interaction indicates that the activation of gender stereotypes influences political knowledge test performance differently for men and women. Specifically, women’s performance declined when gender stereotypes were activated, supporting the hypothesis that stereotype threat contributes to the gender gap in political knowledge.</t>
  </si>
  <si>
    <t>https://osf.io/nxrg7</t>
  </si>
  <si>
    <t>soscisubmission86_1</t>
  </si>
  <si>
    <t>soscisubmission86</t>
  </si>
  <si>
    <t>The study clearly reports the main result about standing vs. sitting during the Stroop task.</t>
  </si>
  <si>
    <t>Rosenbaum, D., Mama, Y., &amp; Algom, D. (2017). Stand by your Stroop: Standing up enhances selective attention and cognitive control. Psychological Science, 28, 1864–1867.</t>
  </si>
  <si>
    <t>10.1177/0956797617721270</t>
  </si>
  <si>
    <t>10.1177--0956797617721270.pdf</t>
  </si>
  <si>
    <t>Stroop, posture, attention, cognitive control, standing</t>
  </si>
  <si>
    <t>The Stroop effects in both the sitting condition, M = 118.9 ms, t(49) = 16.52, p &lt; .01, d = 2.376, and the standing condition, M = 95.9 ms, t(49) = 14.327, p &lt; .01, d = 2.034, were highly reliable [...] F(1, 49) = 8.964, p = .004, η² = .155.</t>
  </si>
  <si>
    <t>https://osf.io/uwzsb</t>
  </si>
  <si>
    <t>https://osf.io/7kj84</t>
  </si>
  <si>
    <t>LaPlume, Annalise; Manriquez Robles, Diego</t>
  </si>
  <si>
    <t>Stroop effect modulation by posture</t>
  </si>
  <si>
    <t>selective attention, Stroop effect, posture, standing, cognitive control</t>
  </si>
  <si>
    <t>Standing, compared to sitting, enhances selective attention by reducing the Stroop interference effect.</t>
  </si>
  <si>
    <t>The Stroop effects in both the sitting condition, M = 118.9 ms, t(49) = 16.52, p &lt; .01, d = 2.376, and the standing condition, M = 95.9 ms, t(49) = 14.327, p &lt; .01, d = 2.034, were highly reliable, but the most significant finding again was the shrinkage of the effect when participants were standing, F(1, 49) = 8.964, p = .004, ηp² = .155.</t>
  </si>
  <si>
    <t>https://osf.io/uwzsb/</t>
  </si>
  <si>
    <t>https://osf.io/9v5rd/</t>
  </si>
  <si>
    <t>soscisubmission87_1</t>
  </si>
  <si>
    <t>soscisubmission87</t>
  </si>
  <si>
    <t>The study directly tries to repeat the result from Rosenbaum et al. (2017). Sample is bigger, and the study was pre-registered on OSF</t>
  </si>
  <si>
    <t>Caron, E. E., Reynolds, M. G., Ralph, B. C., Carriere, J. S., Besner, D., &amp; Smilek, D. (2020). Does posture influence the Stroop effect?. Psychological Science, 31(11), 1452-1460.</t>
  </si>
  <si>
    <t>10.1177/0956797620953842</t>
  </si>
  <si>
    <t>10.1177--0956797620953842.pdf</t>
  </si>
  <si>
    <t>Stroop, posture, standing, attention, cognitive control</t>
  </si>
  <si>
    <t>Participants responded faster to color targets when standing than when sitting, indicating enhanced selective attention and cognitive control.</t>
  </si>
  <si>
    <t>https://osf.io/9p34m/</t>
  </si>
  <si>
    <t>https://osf.io/qtr9z/</t>
  </si>
  <si>
    <t>soscisubmission88_1</t>
  </si>
  <si>
    <t>soscisubmission88</t>
  </si>
  <si>
    <t>Smith, K.C., Davoli, C.C., Knapp, W.H., Abrams, R.A.A. (2019). Standing enhances cognitive control and alters visual search. Attention, Perception, &amp; Psychophysics, 81, 2320–2329</t>
  </si>
  <si>
    <t>Standing participants outperformed sitting participants in Stroop interference resolution.</t>
  </si>
  <si>
    <t>Standing Enhances Cognitive Control Effect</t>
  </si>
  <si>
    <t>Cognitive and attentional control . Embodied perception . Attention and executive control</t>
  </si>
  <si>
    <t>standing compared to sitting, on cognitive control and selective visual attention</t>
  </si>
  <si>
    <t>The magnitude of the interference was modulated by posture (posture × congruency interaction: F(2, 26) = 4.73, p = .018, ηp² = .27). Specifically, all of the observed Stroop interference occurred in the seated posture (mean difference between incongruent and congruent response times = 15.64 ms, SD = 20.10 ms; significantly greater than zero, t(13) = 2.91, p = .012), whereas a negligible amount occurred while standing (M = –.38 ms, SD = 14.77 ms; not different from zero, t(13) = .10, n.s.).” The result shows that the amount of interference caused by incongruent Stroop stimuli (where the word and color don’t match) was significantly different depending on posture. When participants were sitting, they showed clear Stroop interference. When participants were standing, this interference disappeared, indicating enhanced attentional selectivity.</t>
  </si>
  <si>
    <t>https://www.sciencedirect.com/science/article/pii/S0001691822000129#:~:text=Section%204-,Results%20from%20the%20two%2Dway%20ANOVA%20did%20not%20substantially%20differ%20from,2%20and%20Supplemental%20material%201b%20for%20detailed%20results%20and%20error%20results).,-Download%3A%20Download</t>
  </si>
  <si>
    <t>https://osf.io/c8wek/</t>
  </si>
  <si>
    <t>In the original study p value is also take as p = .035 with annova test, and binomial p = .003. I dont know which one should exactly be taken</t>
  </si>
  <si>
    <t>false-belief attribution</t>
  </si>
  <si>
    <t>False-belief attribution, Theory of mind, Anticipatory looking, 2-year-old infants, Eye-tracking, Early cognitive development</t>
  </si>
  <si>
    <t>Two-year-old infants attribute false beliefs to others and anticipate their actions based on these beliefs, as measured by anticipatory looking behavior using eye-tracking.</t>
  </si>
  <si>
    <t>Seventeen out of 20 infants gazed toward the correct window following illumination, with statistical results reported as p = .003, prep = 5.982, using a two-choice binomial test (two-tailed). There was no significant difference in performance between the two false-belief conditions (FB1 and FB2), with p = .5, using a one-tailed Fisher's exact test. The statistical results show that 25-month-old infants anticipated an actor’s actions based on a false belief, with p = .003 indicating significant accuracy in gazing toward the correct window. The p = .5 result for the two false-belief conditions shows no significant difference between conditions, confirming that their behavior was based on attributing a false belief, not simpler rules. This supports the idea of early-developing theory of mind in infants.</t>
  </si>
  <si>
    <t>https://osf.io/fb8fj/</t>
  </si>
  <si>
    <t>soscisubmission90a_2</t>
  </si>
  <si>
    <t>soscisubmission95_1</t>
  </si>
  <si>
    <t>soscisubmission95</t>
  </si>
  <si>
    <t>Mackinnon, Sean</t>
  </si>
  <si>
    <t>P-value should be one-sided as this is an F test</t>
  </si>
  <si>
    <t>Greene, J.D., Cushman, F.A., Stewart, L E., Lowenberg, K., Nystrom, L.E., &amp; Cohen, J.D. (2009). Pushing moral buttons: The interaction between personal force and intention in moral judgment. Cognition, 111(3), 364–371. https://doi.org/10.1016/j.cognition.2009.02.001</t>
  </si>
  <si>
    <t>10.1016/j.cognition.2009.02.001</t>
  </si>
  <si>
    <t>10.1016--j.cognition.2009.02.001.pdf</t>
  </si>
  <si>
    <t>Lynds, T. M., &amp; Mackinnon, S. P. (2024, August 11). Effects of personal force and physical contact on moral decision-making: A replication. https://doi.org/10.31234/osf.io/dca65</t>
  </si>
  <si>
    <t>10.31234/osf.io/dca65</t>
  </si>
  <si>
    <t>10.31234--osf.io--dca65.pdf</t>
  </si>
  <si>
    <t>Footbridge</t>
  </si>
  <si>
    <t>moral dilemmas, moral acceptability, personal force, physical contact,</t>
  </si>
  <si>
    <t>H1: The mean moral acceptability ratings will be higher in the footbridge switch condition when compared to the footbridge pole condition.</t>
  </si>
  <si>
    <t>Ratings of the moral acceptability of sacrificing one life to save five differed among the four dilemmas (F(3, 417) = 9.69, p &lt; 0.0001). Planned pairwise contrasts revealed no significant effect of spatial proximity (remote footbridge vs. footbridge switch: F(1, 417) = 0.11 p = 0.74), no significant effect of physical contact (standard footbridge vs. footbridge pole: F(1, 417) = 1.43. p = 0.23), but a significant effect of personal force (footbridge switch vs. footbridge pole: F(1, 417) = 7.63, p = 0.006, d = 0.40; see Fig. 2).</t>
  </si>
  <si>
    <t>e</t>
  </si>
  <si>
    <t>https://osf.io/uxe4h</t>
  </si>
  <si>
    <t>soscisubmission96_1</t>
  </si>
  <si>
    <t>soscisubmission96</t>
  </si>
  <si>
    <t>Speedboat</t>
  </si>
  <si>
    <t>H2: The mean moral acceptability ratings will be higher in the speedboat accelerate condition when compared to the speedboat oar condition.</t>
  </si>
  <si>
    <t>As predicted, planned contrasts revealed no significant effect of
physical contact (Pc–Pf vs. NoPc–Pf: F(1, 87) = 0.02
p = 0.89), but a significant effect of personal force (NoPc–
Pf vs. NoPc–NoPf: F(1, 87) = 5.86, p = 0.02, d = 0.69).</t>
  </si>
  <si>
    <t>soscisubmission97_1</t>
  </si>
  <si>
    <t>soscisubmission97</t>
  </si>
  <si>
    <t>Nadvornik, Jiri</t>
  </si>
  <si>
    <t>Wakslak, C. J., Trope, Y., Liberman, N., &amp; Alony, R. (2006). Seeing the forest when entry is unlikely: Probability and the mental representation of events. Journal of Experimental Psychology: General, 135(4), 641–653. https://doi.org/10.1037/0096-3445.135.4.641</t>
  </si>
  <si>
    <t>10.1037/0096-3445.135.4.641</t>
  </si>
  <si>
    <t>10.1037--0096-3445.135.4.641.pdf</t>
  </si>
  <si>
    <t>Calderon, S., Mac Giolla, E., Ask, K., &amp; Granhag, A. (2020, April 23). Subjective Likelihood and the Construal Level of Future Events: A Replication Study of Wakslak, Trope, Liberman, and Alony (2006). https://doi.org/10.1037/pspa0000214</t>
  </si>
  <si>
    <t>10.1037/pspa0000214</t>
  </si>
  <si>
    <t>10.1037--pspa0000214.pdf</t>
  </si>
  <si>
    <t>Effect of Subjective likehood on construal level</t>
  </si>
  <si>
    <t>construal level theory, psychological distance, likehood, probability, abstract</t>
  </si>
  <si>
    <t>More unlikely future events are more abstractly construed. (Trial 1)</t>
  </si>
  <si>
    <t>As expected, participants who believed that they were unlikely to continue to the
next part of the experiment and perform the observed actions unitized the behavioral sequence into fewer segments (M _x0001_ 14.8, SD _x0001_ 14.8) than did participants who believed they were likely to do so (M _x0001_ 49.4, SD _x0001_ 31.8), t(18) _x0001_ 3.38, p  .05, d _x0001_ 1.54.</t>
  </si>
  <si>
    <t>https://osf.io/x4va5</t>
  </si>
  <si>
    <t>soscisubmission98_1</t>
  </si>
  <si>
    <t>soscisubmission98</t>
  </si>
  <si>
    <t>Calderon, S., Mac Giolla, E., Ask, K., &amp; Granhag, P. A. (2020). Subjective likelihood and the construal level of future events: A replication study of Wakslak, Trope, Liberman, and Alony (2006). Journal of Personality and Social Psychology, 119(5), e27–e37. https://doi.org/10.1037/pspa0000214</t>
  </si>
  <si>
    <t>probability, likehood, construal level theory, psychological distance, abstract</t>
  </si>
  <si>
    <t>Low likehood have effect on abstract construal (Trial 2)</t>
  </si>
  <si>
    <t xml:space="preserve">Figure 1 illustrates the significant interaction between
task and likelihood condition, F(1, 32) _x0001_ 11.75, p  .01, 2 _x0001_ .27.
As expected, participants performed better on the task that they
believed they were unlikely to later complete than on the task that
they believed they were likely to later complete, regardless of
whether the SPT was the likely task and the GCT the unlikely task
or vice versa. </t>
  </si>
  <si>
    <t>https://osf.io/xumwa</t>
  </si>
  <si>
    <t>soscisubmission99_1</t>
  </si>
  <si>
    <t>soscisubmission99</t>
  </si>
  <si>
    <t>Marta Kowal</t>
  </si>
  <si>
    <t>the info provided in the sheet didn't help me to detect/understand what effect you wanted to report. there are several effects replicated but i reported the correlation between sperm number and 2D:4D ratio in the right hand. the effect size I reported from the o_study is the coefficient.</t>
  </si>
  <si>
    <t>Manning, J. T., Scutt, D., Wilson, J., &amp; Lewis-Jones, D. I. (1998). The ratio of 2nd to 4th digit length: a predictor of sperm numbers and concentrations of testosterone, luteinizing hormone and oestrogen. Human Reproduction (Oxford, England), 13(11), 3000-3004. https://doi.org/10.1093/humrep/13.11.3000</t>
  </si>
  <si>
    <t>10.1093/humrep/13.11.3000</t>
  </si>
  <si>
    <t>10.1093--humrep--13.11.3000.pdf</t>
  </si>
  <si>
    <t>Kowal, M., Sorokowski, P., Żelaźniewicz, A., Nowak, J., Orzechowski, S., Żurek, G., ... &amp; Danek, N. (2020). No relationship between the digit ratios (2D: 4D) and salivary testosterone change: Study on men under an acute exercise. Scientific reports, 10(1), 10068.</t>
  </si>
  <si>
    <t>10.1038/s41598-020-66915-9</t>
  </si>
  <si>
    <t>10.1038--s41598-020-66915-9.pdf</t>
  </si>
  <si>
    <t>2D:4D as a proxy of adult level testosterone</t>
  </si>
  <si>
    <t>2D:4D, digit ratio, testosterone, Manning, prenatal testosterone</t>
  </si>
  <si>
    <t>Relationship between adult male testosterone and the digit ratios (2D:4D)</t>
  </si>
  <si>
    <t>Table II shows that sperm number remains significantly
related to 2D:4D ratio in the right hand when the effects of
weight, height and age are controlled for in multiple regression
tests.</t>
  </si>
  <si>
    <t>w4dip_1</t>
  </si>
  <si>
    <t>w4dip</t>
  </si>
  <si>
    <t>DeWall, C. N., &amp; Bushman, B. J. (2009). Hot under the collar in a lukewarm environment: Words associated with hot temperature increase aggressive thoughts and hostile perceptions. Journal of Experimental Social Psychology, 45(4), 1045-1047.</t>
  </si>
  <si>
    <t>10.1016/j.jesp.2009.05.003</t>
  </si>
  <si>
    <t>10.1016--j.jesp.2009.05.003.pdf</t>
  </si>
  <si>
    <t>McCarthy, R. J. (2014, March 8). The Effect of "Heat-Priming" on Hostile Perceptions. https://doi.org/10.17605/OSF.IO/XSZK6</t>
  </si>
  <si>
    <t>10.17605/OSF.IO/XSZK6</t>
  </si>
  <si>
    <t>10.17605--osf.io--xszk6.pdf</t>
  </si>
  <si>
    <t>Heat Priming</t>
  </si>
  <si>
    <t>Aggression, Violence, Heat, Priming</t>
  </si>
  <si>
    <t>Heat-Priming is associated with increased hostile perceptions</t>
  </si>
  <si>
    <t>Pairwise comparisons showed that participants primed with hot temperature words (M = 7.85, SD = 1.24) rated Donald as more hostile than did participants primed with [...] cold temperature words (M = 6.79, SD = 1.86) [...] F(1, 69) = 5.02, p &lt; .03, d = .67.</t>
  </si>
  <si>
    <t>w4dip_2</t>
  </si>
  <si>
    <t>Effect size and p-value from replication indicate no difference between conditions (d = 0.00; p = 1.00). Means and SDs across groups were virtually identical, resulting in a null result. This may be due to chance, study design, or lack of true effect.</t>
  </si>
  <si>
    <t>Pairwise comparisons showed that participants primed with hot temperature words (M = 7.85, SD = 1.24) rated Donald as more hostile than did participants primed with [...] neutral words (M = 6.88, SD = 1.81), [...] F(1, 69) = 4.23, p &lt; .05, d = .63.</t>
  </si>
  <si>
    <t>Randy J. McCarthy; Manriquez Robles, Diego</t>
  </si>
  <si>
    <t>14/10/2024; 29/05/2025</t>
  </si>
  <si>
    <t>Participants primed with hot temperature words (M = 7.85, SD = 1.24) rated Donald as more hostile than did participants primed with cold temperature words (M = 6.79, SD = 1.86), F(1, 69) = 5.02, p &lt; .03, d = .67.</t>
  </si>
  <si>
    <t>p. 1047</t>
  </si>
  <si>
    <t>p. 168</t>
  </si>
  <si>
    <t>https://osf.io/zqwa2/</t>
  </si>
  <si>
    <t>Lukas Wallrich; Manriquez Robles, Diego</t>
  </si>
  <si>
    <t>Participants primed with hot temperature words (M = 7.85, SD = 1.24) rated Donald as more hostile than did participants primed with neutral temperature words (M = 6.88, SD = 1.81), F(1, 69) = 4.23, p &lt; .05, d = .63.</t>
  </si>
  <si>
    <t>xszk6_1</t>
  </si>
  <si>
    <t>xszk6</t>
  </si>
  <si>
    <t>xszk6_2</t>
  </si>
  <si>
    <t>Heat priming increases aggressive cognition</t>
  </si>
  <si>
    <t>aggression, priming, temperature, word completion</t>
  </si>
  <si>
    <t>Participants primed with hot temperature words produced more aggressive completions than those primed with cold words</t>
  </si>
  <si>
    <t>Participants primed with hot temperature words (M = 0.30, SD = 0.08) had more aggressive word completions than did participants primed with cold words (M = 0.26, SD = 0.08), F(1, 124) = 5.16, p &lt; .03, d = .47.</t>
  </si>
  <si>
    <t>p. 1046</t>
  </si>
  <si>
    <t>p. 167</t>
  </si>
  <si>
    <t>Participants primed with hot temperature words produced more aggressive completions than those primed with neutral words</t>
  </si>
  <si>
    <t>Participants primed with hot temperature words (M = 0.30, SD = 0.08) had more aggressive word completions than did participants primed with neutral words (M = 0.26, SD = 0.07), F(1, 124) = 4.16, p &lt; .05, d = .46.</t>
  </si>
  <si>
    <t>COUNTA of id</t>
  </si>
  <si>
    <t>COUNTUNIQUE of doi_o</t>
  </si>
  <si>
    <t>Grand Total</t>
  </si>
  <si>
    <t>How to use?</t>
  </si>
  <si>
    <t>Input data from the paper into the yellow fields, then copy the outputs from the green fields into the record</t>
  </si>
  <si>
    <t>Cohen's d</t>
  </si>
  <si>
    <t>M1</t>
  </si>
  <si>
    <t>SD1</t>
  </si>
  <si>
    <t>N1</t>
  </si>
  <si>
    <t>If N for groups are not available, leave blank</t>
  </si>
  <si>
    <t>(M=0.65, SE=0.20) and post-test 2 (M=0.71, SE=0.21)</t>
  </si>
  <si>
    <t>M2</t>
  </si>
  <si>
    <t>SD2</t>
  </si>
  <si>
    <t>N2</t>
  </si>
  <si>
    <r>
      <rPr>
        <rFont val="Arial"/>
        <b/>
        <color theme="1"/>
      </rPr>
      <t>Formula</t>
    </r>
    <r>
      <rPr>
        <rFont val="Arial"/>
        <color theme="1"/>
      </rPr>
      <t xml:space="preserve"> - for es_repr_ field</t>
    </r>
  </si>
  <si>
    <r>
      <rPr>
        <rFont val="Arial"/>
        <b/>
        <color theme="1"/>
      </rPr>
      <t>Value</t>
    </r>
    <r>
      <rPr>
        <rFont val="Arial"/>
        <color theme="1"/>
      </rPr>
      <t xml:space="preserve"> - for es_value_ field</t>
    </r>
  </si>
  <si>
    <r>
      <rPr>
        <rFont val="Arial"/>
        <b/>
        <color theme="1"/>
      </rPr>
      <t>Odds Ratios</t>
    </r>
    <r>
      <rPr>
        <rFont val="Arial"/>
        <b val="0"/>
        <color theme="1"/>
      </rPr>
      <t xml:space="preserve"> ("Success" should be outcome 1)</t>
    </r>
  </si>
  <si>
    <t>Option 1 - based on 2x2 table</t>
  </si>
  <si>
    <t>Outcome 1</t>
  </si>
  <si>
    <t>Outcome 2</t>
  </si>
  <si>
    <t>Group 1</t>
  </si>
  <si>
    <t>Group 2</t>
  </si>
  <si>
    <t>Formula - paste as value in rep field</t>
  </si>
  <si>
    <t>Value - paste as value in es field</t>
  </si>
  <si>
    <t>Option 2 - based on percentages experiencing "success"</t>
  </si>
  <si>
    <t>es_type</t>
  </si>
  <si>
    <t>p_val_type</t>
  </si>
  <si>
    <t>p_tails</t>
  </si>
  <si>
    <t>disciplines</t>
  </si>
  <si>
    <t>nested</t>
  </si>
  <si>
    <t>closeness</t>
  </si>
  <si>
    <t>single</t>
  </si>
  <si>
    <t>special</t>
  </si>
</sst>
</file>

<file path=xl/styles.xml><?xml version="1.0" encoding="utf-8"?>
<styleSheet xmlns="http://schemas.openxmlformats.org/spreadsheetml/2006/main" xmlns:x14ac="http://schemas.microsoft.com/office/spreadsheetml/2009/9/ac" xmlns:mc="http://schemas.openxmlformats.org/markup-compatibility/2006">
  <numFmts count="18">
    <numFmt numFmtId="164" formatCode="d/m/yyyy"/>
    <numFmt numFmtId="165" formatCode="dd/mm/yyyy"/>
    <numFmt numFmtId="166" formatCode="D/M/YYYY"/>
    <numFmt numFmtId="167" formatCode="dd/mm/yy"/>
    <numFmt numFmtId="168" formatCode="#,##0.000"/>
    <numFmt numFmtId="169" formatCode="0.000"/>
    <numFmt numFmtId="170" formatCode="d-m"/>
    <numFmt numFmtId="171" formatCode="d/m/yy"/>
    <numFmt numFmtId="172" formatCode="d, m"/>
    <numFmt numFmtId="173" formatCode="0.0000000000000000000000000000E+00"/>
    <numFmt numFmtId="174" formatCode="#,##0.000000"/>
    <numFmt numFmtId="175" formatCode="0.0000000000"/>
    <numFmt numFmtId="176" formatCode="0.000000E+00"/>
    <numFmt numFmtId="177" formatCode="d\,\ m"/>
    <numFmt numFmtId="178" formatCode="dd/MM/yyyy"/>
    <numFmt numFmtId="179" formatCode="yyyy-mm-dd hh:mm:ss"/>
    <numFmt numFmtId="180" formatCode="m/d/yy"/>
    <numFmt numFmtId="181" formatCode="[$£-809]#,##0.00"/>
  </numFmts>
  <fonts count="621">
    <font>
      <sz val="10.0"/>
      <color rgb="FF000000"/>
      <name val="Arial"/>
      <scheme val="minor"/>
    </font>
    <font>
      <b/>
      <sz val="11.0"/>
      <color rgb="FF000000"/>
      <name val="Calibri"/>
    </font>
    <font>
      <b/>
      <sz val="11.0"/>
      <color theme="1"/>
      <name val="Calibri"/>
    </font>
    <font>
      <sz val="11.0"/>
      <color theme="1"/>
      <name val="Calibri"/>
    </font>
    <font>
      <sz val="11.0"/>
      <color rgb="FF000000"/>
      <name val="Calibri"/>
    </font>
    <font>
      <color theme="1"/>
      <name val="Arial"/>
    </font>
    <font>
      <u/>
      <sz val="11.0"/>
      <color rgb="FF0000FF"/>
      <name val="Calibri"/>
    </font>
    <font>
      <u/>
      <color rgb="FF0000FF"/>
      <name val="Arial"/>
    </font>
    <font>
      <u/>
      <color rgb="FF1155CC"/>
      <name val="Arial"/>
    </font>
    <font>
      <u/>
      <color rgb="FF0000FF"/>
      <name val="Arial"/>
    </font>
    <font>
      <color theme="1"/>
      <name val="Arial"/>
      <scheme val="minor"/>
    </font>
    <font>
      <sz val="11.0"/>
      <color rgb="FF38761D"/>
      <name val="Calibri"/>
    </font>
    <font>
      <u/>
      <color rgb="FF0000FF"/>
    </font>
    <font>
      <u/>
      <color rgb="FF1155CC"/>
      <name val="Arial"/>
    </font>
    <font>
      <u/>
      <color rgb="FF0000FF"/>
      <name val="Arial"/>
    </font>
    <font>
      <u/>
      <color rgb="FF0000FF"/>
    </font>
    <font>
      <u/>
      <color rgb="FF1155CC"/>
      <name val="Arial"/>
    </font>
    <font>
      <u/>
      <color rgb="FF0000FF"/>
      <name val="Arial"/>
    </font>
    <font>
      <u/>
      <sz val="11.0"/>
      <color rgb="FF0000FF"/>
      <name val="Calibri"/>
    </font>
    <font>
      <u/>
      <sz val="11.0"/>
      <color theme="1"/>
      <name val="Calibri"/>
    </font>
    <font>
      <u/>
      <color rgb="FF0000FF"/>
      <name val="Arial"/>
    </font>
    <font>
      <u/>
      <sz val="11.0"/>
      <color rgb="FF000000"/>
      <name val="Calibri"/>
    </font>
    <font>
      <u/>
      <color rgb="FF0000FF"/>
      <name val="Arial"/>
    </font>
    <font>
      <u/>
      <sz val="11.0"/>
      <color rgb="FF0000FF"/>
      <name val="Calibri"/>
    </font>
    <font>
      <sz val="11.0"/>
      <color theme="7"/>
      <name val="Calibri"/>
    </font>
    <font>
      <u/>
      <color theme="7"/>
      <name val="Arial"/>
    </font>
    <font>
      <u/>
      <sz val="11.0"/>
      <color rgb="FF000000"/>
      <name val="Calibri"/>
    </font>
    <font>
      <u/>
      <sz val="11.0"/>
      <color rgb="FF000000"/>
      <name val="Calibri"/>
    </font>
    <font>
      <sz val="11.0"/>
      <color theme="1"/>
      <name val="Arial"/>
    </font>
    <font>
      <sz val="8.0"/>
      <color rgb="FF242021"/>
      <name val="AdvTTd7835f12"/>
    </font>
    <font>
      <sz val="11.0"/>
      <color theme="1"/>
      <name val="LMRoman10-Regular"/>
    </font>
    <font>
      <u/>
      <sz val="11.0"/>
      <color rgb="FF1155CC"/>
      <name val="Calibri"/>
    </font>
    <font>
      <u/>
      <sz val="11.0"/>
      <color rgb="FF000000"/>
      <name val="Calibri"/>
    </font>
    <font>
      <color rgb="FF38761D"/>
      <name val="Arial"/>
    </font>
    <font>
      <u/>
      <color rgb="FF0000FF"/>
    </font>
    <font>
      <sz val="9.0"/>
      <color rgb="FF1155CC"/>
      <name val="Google Sans Mono"/>
    </font>
    <font>
      <u/>
      <sz val="11.0"/>
      <color rgb="FF1155CC"/>
      <name val="Calibri"/>
    </font>
    <font>
      <u/>
      <sz val="11.0"/>
      <color rgb="FF1155CC"/>
      <name val="Calibri"/>
    </font>
    <font>
      <u/>
      <color rgb="FF0000FF"/>
    </font>
    <font>
      <u/>
      <sz val="11.0"/>
      <color rgb="FF0000FF"/>
      <name val="Calibri"/>
    </font>
    <font>
      <u/>
      <color rgb="FF1155CC"/>
      <name val="Arial"/>
    </font>
    <font>
      <u/>
      <color rgb="FF0000FF"/>
      <name val="Arial"/>
    </font>
    <font>
      <u/>
      <sz val="11.0"/>
      <color rgb="FF0000FF"/>
      <name val="Calibri"/>
    </font>
    <font>
      <u/>
      <sz val="11.0"/>
      <color rgb="FF0000FF"/>
      <name val="Calibri"/>
    </font>
    <font>
      <u/>
      <color rgb="FF1155CC"/>
      <name val="Arial"/>
    </font>
    <font>
      <u/>
      <color rgb="FF0000FF"/>
      <name val="Arial"/>
    </font>
    <font>
      <u/>
      <sz val="11.0"/>
      <color rgb="FF1155CC"/>
      <name val="Calibri"/>
    </font>
    <font>
      <u/>
      <sz val="11.0"/>
      <color rgb="FF1155CC"/>
      <name val="Calibri"/>
    </font>
    <font>
      <sz val="11.0"/>
      <color rgb="FFFF0000"/>
      <name val="Calibri"/>
    </font>
    <font>
      <sz val="11.0"/>
      <color rgb="FF1F1F1F"/>
      <name val="Calibri"/>
    </font>
    <font>
      <color rgb="FFFF0000"/>
      <name val="Arial"/>
    </font>
    <font>
      <u/>
      <sz val="11.0"/>
      <color rgb="FF000000"/>
      <name val="Calibri"/>
    </font>
    <font>
      <sz val="11.0"/>
      <color rgb="FF00FF00"/>
      <name val="Calibri"/>
    </font>
    <font>
      <u/>
      <sz val="11.0"/>
      <color rgb="FF000000"/>
      <name val="Calibri"/>
    </font>
    <font>
      <u/>
      <color rgb="FF0000FF"/>
      <name val="Arial"/>
    </font>
    <font>
      <sz val="11.0"/>
      <color rgb="FFCC0000"/>
      <name val="Calibri"/>
    </font>
    <font>
      <sz val="11.0"/>
      <color rgb="FFCC4125"/>
      <name val="Calibri"/>
    </font>
    <font>
      <u/>
      <sz val="11.0"/>
      <color theme="1"/>
      <name val="Calibri"/>
    </font>
    <font>
      <u/>
      <sz val="11.0"/>
      <color rgb="FF0000FF"/>
      <name val="Calibri"/>
    </font>
    <font>
      <u/>
      <sz val="11.0"/>
      <color rgb="FF0000FF"/>
      <name val="Calibri"/>
    </font>
    <font>
      <u/>
      <sz val="11.0"/>
      <color rgb="FF1155CC"/>
      <name val="Calibri"/>
    </font>
    <font>
      <u/>
      <sz val="11.0"/>
      <color rgb="FF0000FF"/>
      <name val="Calibri"/>
    </font>
    <font>
      <u/>
      <sz val="11.0"/>
      <color rgb="FF0000FF"/>
      <name val="Calibri"/>
    </font>
    <font>
      <u/>
      <color rgb="FF1155CC"/>
      <name val="Arial"/>
    </font>
    <font>
      <u/>
      <color rgb="FF0000FF"/>
      <name val="Arial"/>
    </font>
    <font>
      <u/>
      <sz val="11.0"/>
      <color rgb="FF0000FF"/>
      <name val="Calibri"/>
    </font>
    <font>
      <u/>
      <sz val="11.0"/>
      <color rgb="FF0000FF"/>
      <name val="Calibri"/>
    </font>
    <font>
      <u/>
      <sz val="11.0"/>
      <color rgb="FF0000FF"/>
      <name val="Calibri"/>
    </font>
    <font>
      <u/>
      <sz val="11.0"/>
      <color rgb="FF0000FF"/>
      <name val="Calibri"/>
    </font>
    <font>
      <u/>
      <sz val="11.0"/>
      <color rgb="FF1155CC"/>
      <name val="Calibri"/>
    </font>
    <font>
      <u/>
      <sz val="11.0"/>
      <color rgb="FF0000FF"/>
      <name val="Calibri"/>
    </font>
    <font>
      <u/>
      <color rgb="FF1155CC"/>
      <name val="Arial"/>
    </font>
    <font>
      <u/>
      <color rgb="FF0000FF"/>
      <name val="Arial"/>
    </font>
    <font>
      <u/>
      <sz val="11.0"/>
      <color rgb="FF0000FF"/>
      <name val="Calibri"/>
    </font>
    <font>
      <u/>
      <sz val="11.0"/>
      <color rgb="FF1155CC"/>
      <name val="Calibri"/>
    </font>
    <font>
      <u/>
      <sz val="11.0"/>
      <color rgb="FF0000FF"/>
      <name val="Calibri"/>
    </font>
    <font>
      <u/>
      <color rgb="FF222222"/>
      <name val="Arial"/>
    </font>
    <font>
      <u/>
      <color rgb="FF1155CC"/>
      <name val="Arial"/>
    </font>
    <font>
      <u/>
      <color rgb="FF222222"/>
      <name val="Arial"/>
    </font>
    <font>
      <color rgb="FF6AA84F"/>
      <name val="Arial"/>
    </font>
    <font>
      <u/>
      <color rgb="FF1155CC"/>
      <name val="Arial"/>
    </font>
    <font>
      <color rgb="FF222222"/>
      <name val="Arial"/>
    </font>
    <font>
      <color rgb="FF00FF00"/>
      <name val="Arial"/>
    </font>
    <font>
      <u/>
      <sz val="11.0"/>
      <color rgb="FF0000FF"/>
      <name val="Calibri"/>
    </font>
    <font>
      <u/>
      <sz val="11.0"/>
      <color rgb="FF0000FF"/>
      <name val="Calibri"/>
    </font>
    <font>
      <u/>
      <sz val="11.0"/>
      <color rgb="FF1155CC"/>
      <name val="Calibri"/>
    </font>
    <font>
      <color theme="1"/>
      <name val="AdvOT46dcae81"/>
    </font>
    <font>
      <u/>
      <sz val="11.0"/>
      <color rgb="FF000000"/>
      <name val="Calibri"/>
    </font>
    <font>
      <u/>
      <color rgb="FF1155CC"/>
      <name val="Arial"/>
    </font>
    <font>
      <sz val="8.0"/>
      <color rgb="FF242021"/>
      <name val="Arial"/>
    </font>
    <font>
      <u/>
      <color rgb="FF1155CC"/>
      <name val="Arial"/>
    </font>
    <font>
      <u/>
      <sz val="11.0"/>
      <color rgb="FF0000FF"/>
      <name val="Docs-Calibri"/>
    </font>
    <font>
      <sz val="11.0"/>
      <color theme="1"/>
      <name val="Aptos"/>
    </font>
    <font>
      <u/>
      <sz val="11.0"/>
      <color rgb="FF0000FF"/>
      <name val="Calibri"/>
    </font>
    <font>
      <sz val="8.0"/>
      <color theme="1"/>
      <name val="Aptos"/>
    </font>
    <font>
      <u/>
      <sz val="11.0"/>
      <color rgb="FF0000FF"/>
      <name val="Calibri"/>
    </font>
    <font>
      <u/>
      <sz val="11.0"/>
      <color rgb="FF0000FF"/>
      <name val="Calibri"/>
    </font>
    <font>
      <u/>
      <color rgb="FF0000FF"/>
      <name val="Arial"/>
    </font>
    <font>
      <u/>
      <sz val="11.0"/>
      <color rgb="FF1155CC"/>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Docs-Calibri"/>
    </font>
    <font>
      <u/>
      <sz val="11.0"/>
      <color rgb="FF0000FF"/>
      <name val="Calibri"/>
    </font>
    <font>
      <sz val="11.0"/>
      <color theme="1"/>
      <name val="Docs-Calibri"/>
    </font>
    <font>
      <u/>
      <color rgb="FF0000FF"/>
      <name val="Arial"/>
    </font>
    <font>
      <u/>
      <sz val="11.0"/>
      <color rgb="FF0000FF"/>
      <name val="Calibri"/>
    </font>
    <font>
      <u/>
      <sz val="11.0"/>
      <color rgb="FF0000FF"/>
      <name val="Docs-Calibri"/>
    </font>
    <font>
      <u/>
      <sz val="11.0"/>
      <color rgb="FF0000FF"/>
      <name val="Docs-Calibri"/>
    </font>
    <font>
      <u/>
      <sz val="11.0"/>
      <color rgb="FF1155CC"/>
      <name val="Calibri"/>
    </font>
    <font>
      <u/>
      <sz val="11.0"/>
      <color rgb="FF0000FF"/>
      <name val="Calibri"/>
    </font>
    <font>
      <u/>
      <color rgb="FF1155CC"/>
      <name val="Arial"/>
    </font>
    <font>
      <u/>
      <color rgb="FF1155CC"/>
      <name val="Arial"/>
    </font>
    <font>
      <u/>
      <sz val="11.0"/>
      <color rgb="FF0000FF"/>
      <name val="Calibri"/>
    </font>
    <font>
      <u/>
      <color rgb="FF0000FF"/>
      <name val="Arial"/>
    </font>
    <font>
      <u/>
      <sz val="11.0"/>
      <color rgb="FF1155CC"/>
      <name val="Calibri"/>
    </font>
    <font>
      <u/>
      <sz val="11.0"/>
      <color rgb="FF0000FF"/>
      <name val="Calibri"/>
    </font>
    <font>
      <u/>
      <color rgb="FF1155CC"/>
      <name val="Arial"/>
    </font>
    <font>
      <u/>
      <sz val="11.0"/>
      <color rgb="FF0000FF"/>
      <name val="Calibri"/>
    </font>
    <font>
      <u/>
      <sz val="11.0"/>
      <color rgb="FF1155CC"/>
      <name val="Calibri"/>
    </font>
    <font>
      <u/>
      <sz val="11.0"/>
      <color rgb="FF0000FF"/>
      <name val="Docs-Calibri"/>
    </font>
    <font>
      <sz val="11.0"/>
      <color theme="1"/>
      <name val="Aptos Narrow"/>
    </font>
    <font>
      <u/>
      <sz val="11.0"/>
      <color rgb="FF1155CC"/>
      <name val="Calibri"/>
    </font>
    <font>
      <u/>
      <sz val="11.0"/>
      <color rgb="FF0000FF"/>
      <name val="Calibri"/>
    </font>
    <font>
      <color rgb="FF000000"/>
      <name val="Arial"/>
    </font>
    <font>
      <u/>
      <sz val="11.0"/>
      <color rgb="FF0000FF"/>
      <name val="Calibri"/>
    </font>
    <font>
      <u/>
      <sz val="11.0"/>
      <color rgb="FF1155CC"/>
      <name val="Calibri"/>
    </font>
    <font>
      <u/>
      <sz val="11.0"/>
      <color rgb="FF0000FF"/>
      <name val="Calibri"/>
    </font>
    <font>
      <sz val="8.0"/>
      <color theme="1"/>
      <name val="Sans-serif"/>
    </font>
    <font>
      <u/>
      <color theme="1"/>
      <name val="Arial"/>
    </font>
    <font>
      <u/>
      <sz val="11.0"/>
      <color rgb="FF0000FF"/>
      <name val="Calibri"/>
    </font>
    <font>
      <u/>
      <color theme="1"/>
      <name val="Arial"/>
    </font>
    <font>
      <u/>
      <sz val="11.0"/>
      <color rgb="FF0000FF"/>
      <name val="Calibri"/>
    </font>
    <font>
      <u/>
      <sz val="11.0"/>
      <color rgb="FF0000FF"/>
      <name val="Calibri"/>
    </font>
    <font>
      <u/>
      <sz val="11.0"/>
      <color rgb="FF38761D"/>
      <name val="Calibri"/>
    </font>
    <font>
      <u/>
      <sz val="11.0"/>
      <color rgb="FF1155CC"/>
      <name val="Calibri"/>
    </font>
    <font>
      <sz val="11.0"/>
      <color rgb="FF38761D"/>
      <name val="Aptos Narrow"/>
    </font>
    <font>
      <color rgb="FF38761D"/>
      <name val="Arial"/>
      <scheme val="minor"/>
    </font>
    <font>
      <u/>
      <color rgb="FF0000FF"/>
      <name val="Arial"/>
    </font>
    <font>
      <u/>
      <color rgb="FF0000FF"/>
      <name val="Arial"/>
    </font>
    <font>
      <u/>
      <sz val="11.0"/>
      <color rgb="FF0000FF"/>
      <name val="Calibri"/>
    </font>
    <font>
      <u/>
      <color rgb="FF0000FF"/>
      <name val="Arial"/>
    </font>
    <font>
      <u/>
      <sz val="11.0"/>
      <color rgb="FF0000FF"/>
      <name val="Calibri"/>
    </font>
    <font>
      <u/>
      <sz val="11.0"/>
      <color rgb="FF000000"/>
      <name val="Calibri"/>
    </font>
    <font>
      <u/>
      <color rgb="FF0000FF"/>
    </font>
    <font>
      <u/>
      <sz val="11.0"/>
      <color rgb="FF000000"/>
      <name val="Calibri"/>
    </font>
    <font>
      <u/>
      <sz val="11.0"/>
      <color rgb="FF38761D"/>
      <name val="Calibri"/>
    </font>
    <font>
      <u/>
      <sz val="11.0"/>
      <color rgb="FF38761D"/>
      <name val="Calibri"/>
    </font>
    <font>
      <u/>
      <sz val="11.0"/>
      <color rgb="FF0000FF"/>
      <name val="Calibri"/>
    </font>
    <font>
      <u/>
      <sz val="12.0"/>
      <color rgb="FF0000FF"/>
      <name val="Times New Roman"/>
    </font>
    <font>
      <u/>
      <color rgb="FF0000FF"/>
      <name val="Arial"/>
    </font>
    <font>
      <u/>
      <sz val="12.0"/>
      <color rgb="FF0563C1"/>
      <name val="TimesNewRomanPSMT"/>
    </font>
    <font>
      <u/>
      <color rgb="FF0000FF"/>
      <name val="Arial"/>
    </font>
    <font>
      <u/>
      <sz val="12.0"/>
      <color rgb="FF0563C1"/>
      <name val="TimesNewRomanPSMT"/>
    </font>
    <font>
      <u/>
      <sz val="11.0"/>
      <color rgb="FF38761D"/>
      <name val="Calibri"/>
    </font>
    <font>
      <u/>
      <sz val="11.0"/>
      <color rgb="FF1155CC"/>
      <name val="Calibri"/>
    </font>
    <font>
      <u/>
      <sz val="11.0"/>
      <color rgb="FF0000FF"/>
      <name val="Calibri"/>
    </font>
    <font>
      <u/>
      <sz val="8.0"/>
      <color rgb="FF000000"/>
      <name val="&quot;Open Sans&quot;"/>
    </font>
    <font>
      <u/>
      <sz val="11.0"/>
      <color rgb="FF0000FF"/>
      <name val="Calibri"/>
    </font>
    <font>
      <color rgb="FF00FF00"/>
      <name val="Arial"/>
      <scheme val="minor"/>
    </font>
    <font>
      <color rgb="FF111111"/>
      <name val="Roboto"/>
    </font>
    <font>
      <u/>
      <sz val="11.0"/>
      <color rgb="FF0000FF"/>
      <name val="Calibri"/>
    </font>
    <font>
      <u/>
      <sz val="11.0"/>
      <color rgb="FF000000"/>
      <name val="Calibri"/>
    </font>
    <font>
      <u/>
      <sz val="11.0"/>
      <color rgb="FF000000"/>
      <name val="Calibri"/>
    </font>
    <font>
      <u/>
      <color rgb="FF0000FF"/>
    </font>
    <font>
      <u/>
      <sz val="11.0"/>
      <color rgb="FF38761D"/>
      <name val="Calibri"/>
    </font>
    <font>
      <u/>
      <color rgb="FF1155CC"/>
      <name val="Arial"/>
    </font>
    <font>
      <u/>
      <color rgb="FF0000FF"/>
    </font>
    <font>
      <sz val="11.0"/>
      <color theme="1"/>
      <name val="Open Sans"/>
    </font>
    <font>
      <u/>
      <sz val="11.0"/>
      <color theme="1"/>
      <name val="Calibri"/>
    </font>
    <font>
      <u/>
      <sz val="11.0"/>
      <color rgb="FF0000FF"/>
      <name val="Calibri"/>
    </font>
    <font>
      <u/>
      <color rgb="FF0000FF"/>
      <name val="Arial"/>
    </font>
    <font>
      <sz val="9.0"/>
      <color rgb="FF1F1F1F"/>
      <name val="Google Sans"/>
    </font>
    <font>
      <u/>
      <sz val="11.0"/>
      <color rgb="FF0000FF"/>
      <name val="Calibri"/>
    </font>
    <font>
      <u/>
      <color rgb="FF0000FF"/>
      <name val="Arial"/>
    </font>
    <font>
      <color rgb="FF00FFFF"/>
      <name val="Arial"/>
    </font>
    <font>
      <u/>
      <sz val="11.0"/>
      <color rgb="FF0000FF"/>
      <name val="Calibri"/>
    </font>
    <font>
      <u/>
      <color rgb="FF0000FF"/>
      <name val="Arial"/>
    </font>
    <font>
      <u/>
      <sz val="11.0"/>
      <color rgb="FF0000FF"/>
      <name val="Calibri"/>
    </font>
    <font>
      <u/>
      <color rgb="FF0000FF"/>
      <name val="Arial"/>
    </font>
    <font>
      <u/>
      <color rgb="FF0000FF"/>
      <name val="Arial"/>
    </font>
    <font>
      <u/>
      <sz val="11.0"/>
      <color rgb="FF0000FF"/>
      <name val="Calibri"/>
    </font>
    <font>
      <u/>
      <color rgb="FF0000FF"/>
      <name val="Arial"/>
    </font>
    <font>
      <u/>
      <sz val="11.0"/>
      <color rgb="FF1155CC"/>
      <name val="Calibri"/>
    </font>
    <font>
      <u/>
      <sz val="11.0"/>
      <color rgb="FF0000FF"/>
      <name val="Calibri"/>
    </font>
    <font>
      <u/>
      <sz val="11.0"/>
      <color rgb="FF0000FF"/>
      <name val="Calibri"/>
    </font>
    <font>
      <u/>
      <color rgb="FF0000FF"/>
      <name val="Arial"/>
    </font>
    <font>
      <sz val="12.0"/>
      <color theme="1"/>
      <name val="Aptos Narrow"/>
    </font>
    <font>
      <u/>
      <sz val="11.0"/>
      <color theme="1"/>
      <name val="Calibri"/>
    </font>
    <font>
      <u/>
      <color rgb="FF0000FF"/>
      <name val="Arial"/>
    </font>
    <font>
      <u/>
      <sz val="11.0"/>
      <color rgb="FF00FF00"/>
      <name val="Calibri"/>
    </font>
    <font>
      <u/>
      <sz val="11.0"/>
      <color rgb="FF0000FF"/>
      <name val="Calibri"/>
    </font>
    <font>
      <u/>
      <sz val="11.0"/>
      <color theme="1"/>
      <name val="Calibri"/>
    </font>
    <font>
      <u/>
      <color rgb="FF0000FF"/>
      <name val="Arial"/>
    </font>
    <font>
      <u/>
      <sz val="11.0"/>
      <color rgb="FF00FF00"/>
      <name val="Calibri"/>
    </font>
    <font>
      <u/>
      <color rgb="FF0000FF"/>
      <name val="Arial"/>
    </font>
    <font>
      <u/>
      <sz val="11.0"/>
      <color theme="1"/>
      <name val="Calibri"/>
    </font>
    <font>
      <u/>
      <color rgb="FF0000FF"/>
      <name val="Arial"/>
    </font>
    <font>
      <u/>
      <sz val="11.0"/>
      <color rgb="FF1155CC"/>
      <name val="Calibri"/>
    </font>
    <font>
      <u/>
      <sz val="11.0"/>
      <color rgb="FF0000FF"/>
      <name val="Calibri"/>
    </font>
    <font>
      <u/>
      <color rgb="FF0000FF"/>
      <name val="Arial"/>
    </font>
    <font>
      <u/>
      <sz val="11.0"/>
      <color rgb="FF1155CC"/>
      <name val="Calibri"/>
    </font>
    <font>
      <u/>
      <sz val="11.0"/>
      <color rgb="FF0000FF"/>
      <name val="Calibri"/>
    </font>
    <font>
      <u/>
      <color rgb="FF1155CC"/>
      <name val="Arial"/>
    </font>
    <font>
      <u/>
      <sz val="11.0"/>
      <color rgb="FF0000FF"/>
      <name val="Calibri"/>
    </font>
    <font>
      <u/>
      <sz val="11.0"/>
      <color rgb="FF0000FF"/>
      <name val="Calibri"/>
    </font>
    <font>
      <u/>
      <color rgb="FF0000FF"/>
      <name val="Arial"/>
    </font>
    <font>
      <u/>
      <sz val="11.0"/>
      <color rgb="FF0000FF"/>
      <name val="Calibri"/>
    </font>
    <font>
      <u/>
      <sz val="11.0"/>
      <color rgb="FF0000FF"/>
      <name val="Calibri"/>
    </font>
    <font>
      <u/>
      <color rgb="FF1155CC"/>
      <name val="Arial"/>
    </font>
    <font>
      <u/>
      <color rgb="FF0000FF"/>
      <name val="Arial"/>
    </font>
    <font>
      <u/>
      <sz val="11.0"/>
      <color rgb="FF0000FF"/>
      <name val="Calibri"/>
    </font>
    <font>
      <u/>
      <sz val="11.0"/>
      <color rgb="FF0000FF"/>
      <name val="Calibri"/>
    </font>
    <font>
      <u/>
      <color rgb="FF1155CC"/>
      <name val="Arial"/>
    </font>
    <font>
      <u/>
      <color rgb="FF0000FF"/>
      <name val="Arial"/>
    </font>
    <font>
      <u/>
      <sz val="11.0"/>
      <color rgb="FF0000FF"/>
      <name val="Calibri"/>
    </font>
    <font>
      <u/>
      <sz val="11.0"/>
      <color rgb="FF0000FF"/>
      <name val="Calibri"/>
    </font>
    <font>
      <u/>
      <color rgb="FF1155CC"/>
      <name val="Arial"/>
    </font>
    <font>
      <u/>
      <color rgb="FF0000FF"/>
      <name val="Arial"/>
    </font>
    <font>
      <u/>
      <sz val="11.0"/>
      <color rgb="FF000000"/>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FF00"/>
      <name val="Arial"/>
    </font>
    <font>
      <u/>
      <color rgb="FF0000FF"/>
      <name val="Arial"/>
    </font>
    <font>
      <u/>
      <sz val="11.0"/>
      <color rgb="FF00FF00"/>
      <name val="Calibri"/>
    </font>
    <font>
      <u/>
      <sz val="11.0"/>
      <color rgb="FF0000FF"/>
      <name val="Calibri"/>
    </font>
    <font>
      <u/>
      <sz val="11.0"/>
      <color rgb="FF0000FF"/>
      <name val="Calibri"/>
    </font>
    <font>
      <u/>
      <sz val="11.0"/>
      <color rgb="FF0000FF"/>
      <name val="Calibri"/>
    </font>
    <font>
      <u/>
      <sz val="11.0"/>
      <color rgb="FF0000FF"/>
      <name val="Calibri"/>
    </font>
    <font>
      <u/>
      <color rgb="FF00FF00"/>
      <name val="Arial"/>
    </font>
    <font>
      <u/>
      <sz val="11.0"/>
      <color rgb="FF0000FF"/>
      <name val="Calibri"/>
    </font>
    <font>
      <u/>
      <sz val="11.0"/>
      <color rgb="FFFF0000"/>
      <name val="Calibri"/>
    </font>
    <font>
      <u/>
      <color rgb="FF0000FF"/>
      <name val="Arial"/>
    </font>
    <font>
      <sz val="11.0"/>
      <color rgb="FF333333"/>
      <name val="Helvetica Neue"/>
    </font>
    <font>
      <u/>
      <sz val="11.0"/>
      <color rgb="FF00FF00"/>
      <name val="Calibri"/>
    </font>
    <font>
      <u/>
      <color rgb="FF00FF00"/>
      <name val="Arial"/>
    </font>
    <font>
      <u/>
      <sz val="11.0"/>
      <color rgb="FF0000FF"/>
      <name val="Calibri"/>
    </font>
    <font>
      <u/>
      <sz val="11.0"/>
      <color rgb="FF0000FF"/>
      <name val="Calibri"/>
    </font>
    <font>
      <u/>
      <color rgb="FF1155CC"/>
      <name val="Arial"/>
    </font>
    <font>
      <u/>
      <color rgb="FF0000FF"/>
      <name val="Arial"/>
    </font>
    <font>
      <i/>
      <sz val="11.0"/>
      <color rgb="FF3C4043"/>
      <name val="Roboto"/>
    </font>
    <font>
      <u/>
      <color rgb="FF0000FF"/>
      <name val="Monospace"/>
    </font>
    <font>
      <u/>
      <color rgb="FF0000FF"/>
      <name val="Arial"/>
    </font>
    <font>
      <u/>
      <sz val="11.0"/>
      <color theme="1"/>
      <name val="Calibri"/>
    </font>
    <font>
      <u/>
      <color rgb="FF0000FF"/>
      <name val="Arial"/>
    </font>
    <font>
      <color theme="1"/>
      <name val="Monospace"/>
    </font>
    <font>
      <u/>
      <sz val="11.0"/>
      <color rgb="FF0000FF"/>
      <name val="Calibri"/>
    </font>
    <font>
      <u/>
      <color rgb="FF0000FF"/>
      <name val="Arial"/>
    </font>
    <font>
      <u/>
      <color rgb="FF0000FF"/>
      <name val="Arial"/>
    </font>
    <font>
      <u/>
      <sz val="11.0"/>
      <color rgb="FF0000FF"/>
      <name val="Calibri"/>
    </font>
    <font>
      <u/>
      <color rgb="FF0000FF"/>
      <name val="Arial"/>
    </font>
    <font>
      <u/>
      <sz val="11.0"/>
      <color rgb="FF0000FF"/>
      <name val="Calibri"/>
    </font>
    <font>
      <u/>
      <color rgb="FF0000FF"/>
      <name val="Arial"/>
    </font>
    <font>
      <u/>
      <color rgb="FF0000FF"/>
      <name val="Arial"/>
    </font>
    <font>
      <sz val="11.0"/>
      <color rgb="FF444746"/>
      <name val="Google Sans"/>
    </font>
    <font>
      <u/>
      <sz val="11.0"/>
      <color rgb="FF0000FF"/>
      <name val="Calibri"/>
    </font>
    <font>
      <u/>
      <color rgb="FF0000FF"/>
      <name val="Arial"/>
    </font>
    <font>
      <u/>
      <color rgb="FF0000FF"/>
      <name val="Arial"/>
    </font>
    <font>
      <u/>
      <sz val="11.0"/>
      <color rgb="FF1155CC"/>
      <name val="Calibri"/>
    </font>
    <font>
      <u/>
      <sz val="11.0"/>
      <color rgb="FF0000FF"/>
      <name val="Calibri"/>
    </font>
    <font>
      <u/>
      <color rgb="FF0000FF"/>
      <name val="Arial"/>
    </font>
    <font>
      <u/>
      <color rgb="FF0000FF"/>
      <name val="Arial"/>
    </font>
    <font>
      <u/>
      <color rgb="FF0000FF"/>
      <name val="Arial"/>
    </font>
    <font>
      <u/>
      <color rgb="FF0000FF"/>
      <name val="Arial"/>
    </font>
    <font>
      <u/>
      <sz val="11.0"/>
      <color rgb="FF0000FF"/>
      <name val="Calibri"/>
    </font>
    <font>
      <u/>
      <color rgb="FF0000FF"/>
      <name val="Arial"/>
    </font>
    <font>
      <sz val="11.0"/>
      <color rgb="FF333333"/>
      <name val="Calibri"/>
    </font>
    <font>
      <u/>
      <sz val="11.0"/>
      <color rgb="FF0000FF"/>
      <name val="Calibri"/>
    </font>
    <font>
      <u/>
      <color rgb="FF0000FF"/>
      <name val="Arial"/>
    </font>
    <font>
      <u/>
      <sz val="11.0"/>
      <color rgb="FF0000FF"/>
      <name val="Calibri"/>
    </font>
    <font>
      <u/>
      <color rgb="FF0000FF"/>
      <name val="Arial"/>
    </font>
    <font>
      <u/>
      <sz val="11.0"/>
      <color rgb="FF1155CC"/>
      <name val="Calibri"/>
    </font>
    <font>
      <sz val="8.0"/>
      <color theme="1"/>
      <name val="Helvetica Neue"/>
    </font>
    <font>
      <sz val="12.0"/>
      <color rgb="FF374151"/>
      <name val="Arial"/>
    </font>
    <font>
      <u/>
      <sz val="11.0"/>
      <color rgb="FF0000FF"/>
      <name val="Calibri"/>
    </font>
    <font>
      <u/>
      <sz val="11.0"/>
      <color rgb="FF0000FF"/>
      <name val="Calibri"/>
    </font>
    <font>
      <u/>
      <color rgb="FF0000FF"/>
      <name val="Arial"/>
    </font>
    <font>
      <u/>
      <sz val="11.0"/>
      <color rgb="FF0000FF"/>
      <name val="Calibri"/>
    </font>
    <font>
      <u/>
      <color rgb="FF0000FF"/>
      <name val="Arial"/>
    </font>
    <font>
      <u/>
      <sz val="11.0"/>
      <color rgb="FF0000FF"/>
      <name val="Calibri"/>
    </font>
    <font>
      <sz val="11.0"/>
      <color rgb="FF222222"/>
      <name val="Calibri"/>
    </font>
    <font>
      <u/>
      <sz val="11.0"/>
      <color rgb="FF1155CC"/>
      <name val="Calibri"/>
    </font>
    <font>
      <u/>
      <sz val="11.0"/>
      <color rgb="FF0000FF"/>
      <name val="Helvetica Neue"/>
    </font>
    <font>
      <sz val="12.0"/>
      <color theme="1"/>
      <name val="Arial"/>
    </font>
    <font>
      <u/>
      <sz val="11.0"/>
      <color rgb="FF0000FF"/>
      <name val="Calibri"/>
    </font>
    <font>
      <color rgb="FF00FF00"/>
      <name val="Monospace"/>
    </font>
    <font>
      <sz val="11.0"/>
      <color rgb="FF434343"/>
      <name val="Calibri"/>
    </font>
    <font>
      <sz val="11.0"/>
      <color rgb="FF222222"/>
      <name val="Cambria"/>
    </font>
    <font>
      <sz val="11.0"/>
      <color rgb="FF00FF00"/>
      <name val="Helvetica Neue"/>
    </font>
    <font>
      <u/>
      <sz val="11.0"/>
      <color rgb="FF0000FF"/>
      <name val="Calibri"/>
    </font>
    <font>
      <u/>
      <color rgb="FF0000FF"/>
      <name val="Arial"/>
    </font>
    <font>
      <u/>
      <color rgb="FF1155CC"/>
      <name val="Arial"/>
    </font>
    <font>
      <u/>
      <color rgb="FF0000FF"/>
      <name val="Arial"/>
    </font>
    <font>
      <u/>
      <sz val="11.0"/>
      <color rgb="FF1155CC"/>
      <name val="Calibri"/>
    </font>
    <font>
      <u/>
      <sz val="11.0"/>
      <color rgb="FF0000FF"/>
      <name val="Calibri"/>
    </font>
    <font>
      <u/>
      <sz val="11.0"/>
      <color rgb="FF0000FF"/>
      <name val="Calibri"/>
    </font>
    <font>
      <u/>
      <color rgb="FF0000FF"/>
      <name val="Arial"/>
    </font>
    <font>
      <u/>
      <sz val="11.0"/>
      <color rgb="FF0071BC"/>
      <name val="Calibri"/>
    </font>
    <font>
      <u/>
      <sz val="11.0"/>
      <color rgb="FF38761D"/>
      <name val="Calibri"/>
    </font>
    <font>
      <u/>
      <color rgb="FF1155CC"/>
      <name val="Arial"/>
    </font>
    <font>
      <u/>
      <sz val="11.0"/>
      <color rgb="FF0000FF"/>
      <name val="Calibri"/>
    </font>
    <font>
      <u/>
      <color rgb="FF0000FF"/>
      <name val="Arial"/>
    </font>
    <font>
      <u/>
      <sz val="12.0"/>
      <color rgb="FF1155CC"/>
      <name val="Aptos"/>
    </font>
    <font>
      <sz val="11.0"/>
      <color rgb="FF353C3F"/>
      <name val="Calibri"/>
    </font>
    <font>
      <sz val="11.0"/>
      <color rgb="FF93C47D"/>
      <name val="Calibri"/>
    </font>
    <font>
      <sz val="9.0"/>
      <color rgb="FF242021"/>
      <name val="Arial"/>
    </font>
    <font>
      <u/>
      <color rgb="FFFF0000"/>
      <name val="Arial"/>
    </font>
    <font>
      <sz val="11.0"/>
      <color rgb="FFFF0000"/>
      <name val="LMRoman10-Regular"/>
    </font>
    <font>
      <sz val="9.0"/>
      <color rgb="FF242021"/>
      <name val="AdvTT3713a231"/>
    </font>
    <font>
      <u/>
      <sz val="11.0"/>
      <color rgb="FF00FF00"/>
      <name val="Calibri"/>
    </font>
    <font>
      <u/>
      <sz val="11.0"/>
      <color rgb="FFFF0000"/>
      <name val="Calibri"/>
    </font>
    <font>
      <color rgb="FF242021"/>
      <name val="AdvOT1ef757c0"/>
    </font>
    <font>
      <u/>
      <sz val="11.0"/>
      <color theme="1"/>
      <name val="Calibri"/>
    </font>
    <font>
      <u/>
      <sz val="11.0"/>
      <color theme="1"/>
      <name val="Calibri"/>
    </font>
    <font>
      <color rgb="FF060808"/>
      <name val="Arial"/>
    </font>
    <font>
      <u/>
      <sz val="11.0"/>
      <color rgb="FF0000FF"/>
      <name val="Calibri"/>
    </font>
    <font>
      <u/>
      <color rgb="FF0000FF"/>
      <name val="Arial"/>
    </font>
    <font>
      <u/>
      <sz val="11.0"/>
      <color rgb="FF000000"/>
      <name val="Calibri"/>
    </font>
    <font>
      <u/>
      <color rgb="FF0000FF"/>
    </font>
    <font>
      <u/>
      <sz val="11.0"/>
      <color rgb="FF000000"/>
      <name val="Calibri"/>
    </font>
    <font>
      <u/>
      <sz val="11.0"/>
      <color rgb="FF0000FF"/>
      <name val="Calibri"/>
    </font>
    <font>
      <sz val="11.0"/>
      <color rgb="FF05103E"/>
      <name val="Calibri"/>
    </font>
    <font>
      <color rgb="FF000000"/>
      <name val="Arial"/>
      <scheme val="minor"/>
    </font>
    <font>
      <u/>
      <sz val="11.0"/>
      <color rgb="FF0000FF"/>
      <name val="Calibri"/>
    </font>
    <font>
      <u/>
      <sz val="11.0"/>
      <color rgb="FF05103E"/>
      <name val="Calibri"/>
    </font>
    <font>
      <u/>
      <color rgb="FF0000FF"/>
      <name val="Arial"/>
    </font>
    <font>
      <u/>
      <color rgb="FF0000FF"/>
      <name val="Arial"/>
    </font>
    <font>
      <u/>
      <color rgb="FF38761D"/>
      <name val="Arial"/>
    </font>
    <font>
      <u/>
      <sz val="11.0"/>
      <color rgb="FF0000FF"/>
      <name val="Calibri"/>
    </font>
    <font>
      <u/>
      <sz val="12.0"/>
      <color rgb="FF1155CC"/>
      <name val="Aptos"/>
    </font>
    <font>
      <u/>
      <color rgb="FF0000FF"/>
      <name val="Arial"/>
    </font>
    <font>
      <u/>
      <color rgb="FF1155CC"/>
      <name val="Arial"/>
    </font>
    <font>
      <u/>
      <sz val="11.0"/>
      <color rgb="FF0000FF"/>
      <name val="Calibri"/>
    </font>
    <font>
      <u/>
      <sz val="12.0"/>
      <color rgb="FF1155CC"/>
      <name val="Aptos"/>
    </font>
    <font>
      <u/>
      <color rgb="FF0000FF"/>
      <name val="Arial"/>
    </font>
    <font>
      <u/>
      <color rgb="FF1155CC"/>
      <name val="Arial"/>
    </font>
    <font>
      <u/>
      <sz val="11.0"/>
      <color rgb="FF0000FF"/>
      <name val="Calibri"/>
    </font>
    <font>
      <u/>
      <sz val="12.0"/>
      <color rgb="FF1155CC"/>
      <name val="Aptos"/>
    </font>
    <font>
      <u/>
      <color rgb="FF0000FF"/>
      <name val="Arial"/>
    </font>
    <font>
      <u/>
      <color rgb="FF1155CC"/>
      <name val="Arial"/>
    </font>
    <font>
      <u/>
      <sz val="11.0"/>
      <color rgb="FF0000FF"/>
      <name val="Calibri"/>
    </font>
    <font>
      <color rgb="FF242021"/>
      <name val="ITCGaramondStd-Lt"/>
    </font>
    <font>
      <color rgb="FFFF0000"/>
      <name val="Arial"/>
      <scheme val="minor"/>
    </font>
    <font>
      <u/>
      <sz val="11.0"/>
      <color theme="1"/>
      <name val="Calibri"/>
    </font>
    <font>
      <u/>
      <sz val="11.0"/>
      <color theme="1"/>
      <name val="Calibri"/>
    </font>
    <font>
      <u/>
      <color rgb="FF1155CC"/>
      <name val="Arial"/>
    </font>
    <font>
      <u/>
      <sz val="8.0"/>
      <color rgb="FF3A2A97"/>
      <name val="Arial"/>
    </font>
    <font>
      <color rgb="FF242021"/>
      <name val="GillSans"/>
    </font>
    <font>
      <u/>
      <sz val="11.0"/>
      <color rgb="FF0000FF"/>
      <name val="Calibri"/>
    </font>
    <font>
      <u/>
      <color rgb="FF1155CC"/>
      <name val="Arial"/>
    </font>
    <font>
      <u/>
      <color rgb="FF0000FF"/>
      <name val="Arial"/>
    </font>
    <font>
      <u/>
      <color rgb="FF1155CC"/>
      <name val="Arial"/>
    </font>
    <font>
      <u/>
      <sz val="11.0"/>
      <color rgb="FF0000FF"/>
      <name val="Calibri"/>
    </font>
    <font>
      <u/>
      <color rgb="FF0000FF"/>
      <name val="Arial"/>
    </font>
    <font>
      <u/>
      <sz val="11.0"/>
      <color rgb="FF0000FF"/>
      <name val="Calibri"/>
    </font>
    <font>
      <color theme="1"/>
      <name val="AdvPS6F00"/>
    </font>
    <font>
      <u/>
      <color rgb="FF0000FF"/>
      <name val="Arial"/>
    </font>
    <font>
      <u/>
      <color rgb="FFFF0000"/>
      <name val="Arial"/>
    </font>
    <font>
      <sz val="12.0"/>
      <color rgb="FF00FF00"/>
      <name val="Arial"/>
    </font>
    <font>
      <u/>
      <sz val="12.0"/>
      <color rgb="FF1155CC"/>
      <name val="Aptos"/>
    </font>
    <font>
      <u/>
      <color rgb="FF1155CC"/>
      <name val="Arial"/>
    </font>
    <font>
      <u/>
      <sz val="11.0"/>
      <color rgb="FF1155CC"/>
      <name val="Calibri"/>
    </font>
    <font>
      <u/>
      <sz val="12.0"/>
      <color rgb="FF1155CC"/>
      <name val="Aptos"/>
    </font>
    <font>
      <u/>
      <color rgb="FF1155CC"/>
      <name val="Arial"/>
    </font>
    <font>
      <u/>
      <color rgb="FF0000FF"/>
      <name val="Arial"/>
    </font>
    <font>
      <u/>
      <color rgb="FF1155CC"/>
      <name val="Arial"/>
    </font>
    <font>
      <u/>
      <color rgb="FF0000FF"/>
      <name val="Arial"/>
    </font>
    <font>
      <u/>
      <sz val="11.0"/>
      <color rgb="FF0000FF"/>
      <name val="Calibri"/>
    </font>
    <font>
      <u/>
      <sz val="11.0"/>
      <color rgb="FF0000FF"/>
      <name val="Calibri"/>
    </font>
    <font>
      <u/>
      <sz val="11.0"/>
      <color rgb="FF0000FF"/>
      <name val="Calibri"/>
    </font>
    <font>
      <sz val="12.0"/>
      <color theme="1"/>
      <name val="Calibri"/>
    </font>
    <font>
      <color theme="1"/>
      <name val="Calibri"/>
    </font>
    <font>
      <sz val="11.0"/>
      <color theme="1"/>
      <name val="Serif"/>
    </font>
    <font>
      <sz val="11.0"/>
      <color theme="1"/>
      <name val="Sans-serif"/>
    </font>
    <font>
      <u/>
      <sz val="12.0"/>
      <color rgb="FF1155CC"/>
      <name val="Calibri"/>
    </font>
    <font>
      <u/>
      <sz val="12.0"/>
      <color rgb="FF1155CC"/>
      <name val="Calibri"/>
    </font>
    <font>
      <color theme="1"/>
      <name val="Serif"/>
    </font>
    <font>
      <color theme="1"/>
      <name val="Sans-serif"/>
    </font>
    <font>
      <u/>
      <sz val="11.0"/>
      <color theme="1"/>
      <name val="Calibri"/>
    </font>
    <font>
      <u/>
      <sz val="11.0"/>
      <color rgb="FF0000FF"/>
      <name val="Calibri"/>
    </font>
    <font>
      <color theme="1"/>
      <name val="CharterBT"/>
    </font>
    <font>
      <u/>
      <sz val="11.0"/>
      <color rgb="FF0000FF"/>
      <name val="Arial"/>
    </font>
    <font>
      <u/>
      <sz val="11.0"/>
      <color rgb="FF1155CC"/>
      <name val="Arial"/>
    </font>
    <font>
      <u/>
      <sz val="12.0"/>
      <color rgb="FF1155CC"/>
      <name val="Aptos"/>
    </font>
    <font>
      <u/>
      <color rgb="FF1155CC"/>
      <name val="Arial"/>
    </font>
    <font>
      <u/>
      <color rgb="FF1155CC"/>
      <name val="Arial"/>
    </font>
    <font>
      <u/>
      <color rgb="FF1155CC"/>
      <name val="Arial"/>
    </font>
    <font>
      <u/>
      <sz val="12.0"/>
      <color rgb="FF1155CC"/>
      <name val="Aptos"/>
    </font>
    <font>
      <u/>
      <sz val="12.0"/>
      <color rgb="FF1155CC"/>
      <name val="Aptos"/>
    </font>
    <font>
      <u/>
      <color rgb="FF1155CC"/>
      <name val="Arial"/>
    </font>
    <font>
      <u/>
      <sz val="12.0"/>
      <color rgb="FF1155CC"/>
      <name val="Aptos"/>
    </font>
    <font>
      <u/>
      <color rgb="FF1155CC"/>
      <name val="Arial"/>
    </font>
    <font>
      <i/>
      <color theme="1"/>
      <name val="Arial"/>
      <scheme val="minor"/>
    </font>
    <font>
      <u/>
      <sz val="11.0"/>
      <color rgb="FF0000FF"/>
      <name val="Calibri"/>
    </font>
    <font>
      <u/>
      <color rgb="FF0000FF"/>
      <name val="Arial"/>
    </font>
    <font>
      <u/>
      <color rgb="FF0000FF"/>
      <name val="Arial"/>
    </font>
    <font>
      <u/>
      <sz val="11.0"/>
      <color rgb="FF0000FF"/>
      <name val="Calibri"/>
    </font>
    <font>
      <u/>
      <sz val="12.0"/>
      <color rgb="FF1155CC"/>
      <name val="Aptos"/>
    </font>
    <font>
      <u/>
      <color rgb="FF0000FF"/>
      <name val="Arial"/>
    </font>
    <font>
      <u/>
      <sz val="11.0"/>
      <color rgb="FF000000"/>
      <name val="Calibri"/>
    </font>
    <font>
      <u/>
      <sz val="11.0"/>
      <color rgb="FF00FF00"/>
      <name val="Calibri"/>
    </font>
    <font>
      <u/>
      <color rgb="FF0000FF"/>
      <name val="Arial"/>
    </font>
    <font>
      <u/>
      <color rgb="FF0000FF"/>
      <name val="Arial"/>
    </font>
    <font>
      <u/>
      <color rgb="FF1155CC"/>
      <name val="Arial"/>
    </font>
    <font>
      <u/>
      <sz val="11.0"/>
      <color rgb="FF38761D"/>
      <name val="Calibri"/>
    </font>
    <font>
      <u/>
      <color rgb="FF1155CC"/>
      <name val="Arial"/>
    </font>
    <font/>
    <font>
      <color rgb="FF34A853"/>
      <name val="Arial"/>
    </font>
    <font>
      <u/>
      <sz val="11.0"/>
      <color rgb="FF1155CC"/>
      <name val="Calibri"/>
    </font>
    <font>
      <u/>
      <sz val="11.0"/>
      <color rgb="FF1155CC"/>
      <name val="Calibri"/>
    </font>
    <font>
      <sz val="11.0"/>
      <color rgb="FF34A853"/>
      <name val="Calibri"/>
    </font>
    <font>
      <sz val="11.0"/>
      <color rgb="FFEA4335"/>
      <name val="Calibri"/>
    </font>
    <font>
      <u/>
      <color rgb="FF1155CC"/>
      <name val="Arial"/>
    </font>
    <font>
      <color rgb="FFEA4335"/>
      <name val="Arial"/>
    </font>
    <font>
      <u/>
      <color rgb="FF38761D"/>
      <name val="Arial"/>
    </font>
    <font>
      <u/>
      <color rgb="FF0000FF"/>
      <name val="Arial"/>
    </font>
    <font>
      <u/>
      <sz val="11.0"/>
      <color rgb="FF0000FF"/>
      <name val="Calibri"/>
    </font>
    <font>
      <u/>
      <sz val="12.0"/>
      <color rgb="FF1155CC"/>
      <name val="Aptos"/>
    </font>
    <font>
      <u/>
      <color rgb="FF1155CC"/>
      <name val="Arial"/>
    </font>
    <font>
      <u/>
      <color rgb="FFFF0000"/>
      <name val="Arial"/>
    </font>
    <font>
      <u/>
      <sz val="12.0"/>
      <color rgb="FF1155CC"/>
      <name val="Arial"/>
    </font>
    <font>
      <u/>
      <sz val="12.0"/>
      <color rgb="FF1155CC"/>
      <name val="Aptos"/>
    </font>
    <font>
      <u/>
      <sz val="11.0"/>
      <color theme="1"/>
      <name val="Calibri"/>
    </font>
    <font>
      <u/>
      <color rgb="FF00FF00"/>
      <name val="Arial"/>
    </font>
    <font>
      <u/>
      <sz val="12.0"/>
      <color rgb="FF1155CC"/>
      <name val="Aptos"/>
    </font>
    <font>
      <u/>
      <color rgb="FF0000FF"/>
      <name val="Arial"/>
    </font>
    <font>
      <u/>
      <sz val="11.0"/>
      <color rgb="FF000000"/>
      <name val="Calibri"/>
    </font>
    <font>
      <u/>
      <sz val="12.0"/>
      <color rgb="FF000000"/>
      <name val="Aptos"/>
    </font>
    <font>
      <u/>
      <color rgb="FF000000"/>
      <name val="Arial"/>
    </font>
    <font>
      <u/>
      <sz val="12.0"/>
      <color rgb="FF000000"/>
      <name val="Aptos"/>
    </font>
    <font>
      <u/>
      <sz val="12.0"/>
      <color rgb="FF1155CC"/>
      <name val="Aptos"/>
    </font>
    <font>
      <u/>
      <color rgb="FF00FF00"/>
      <name val="Arial"/>
    </font>
    <font>
      <u/>
      <color theme="1"/>
      <name val="Arial"/>
    </font>
    <font>
      <u/>
      <color rgb="FF00FF00"/>
      <name val="Arial"/>
    </font>
    <font>
      <u/>
      <sz val="12.0"/>
      <color rgb="FF1155CC"/>
      <name val="Aptos"/>
    </font>
    <font>
      <u/>
      <color rgb="FF00FF00"/>
      <name val="Arial"/>
    </font>
    <font>
      <u/>
      <color rgb="FF00FF00"/>
      <name val="Arial"/>
    </font>
    <font>
      <u/>
      <sz val="11.0"/>
      <color rgb="FF0000FF"/>
      <name val="Calibri"/>
    </font>
    <font>
      <u/>
      <sz val="12.0"/>
      <color rgb="FF1155CC"/>
      <name val="Aptos"/>
    </font>
    <font>
      <u/>
      <color rgb="FF0000FF"/>
      <name val="Arial"/>
    </font>
    <font>
      <u/>
      <color rgb="FF1155CC"/>
      <name val="Arial"/>
    </font>
    <font>
      <u/>
      <sz val="11.0"/>
      <color rgb="FF0000FF"/>
      <name val="Calibri"/>
    </font>
    <font>
      <u/>
      <sz val="8.0"/>
      <color rgb="FF0000FF"/>
      <name val="Helvetica Neue"/>
    </font>
    <font>
      <u/>
      <sz val="11.0"/>
      <color rgb="FF00FF00"/>
      <name val="Helvetica Neue"/>
    </font>
    <font>
      <u/>
      <sz val="11.0"/>
      <color rgb="FF00FF00"/>
      <name val="Calibri"/>
    </font>
    <font>
      <sz val="11.0"/>
      <color rgb="FF38761D"/>
      <name val="Arial"/>
    </font>
    <font>
      <u/>
      <sz val="11.0"/>
      <color rgb="FF38761D"/>
      <name val="Calibri"/>
    </font>
    <font>
      <u/>
      <sz val="11.0"/>
      <color rgb="FF38761D"/>
      <name val="Calibri"/>
    </font>
    <font>
      <sz val="11.0"/>
      <color theme="1"/>
      <name val="Helvetica Neue"/>
    </font>
    <font>
      <color rgb="FFB6D7A8"/>
      <name val="Arial"/>
    </font>
    <font>
      <sz val="11.0"/>
      <color rgb="FFB6D7A8"/>
      <name val="Calibri"/>
    </font>
    <font>
      <u/>
      <sz val="11.0"/>
      <color rgb="FF38761D"/>
      <name val="Calibri"/>
    </font>
    <font>
      <u/>
      <sz val="8.0"/>
      <color rgb="FF38761D"/>
      <name val="Arial"/>
    </font>
    <font>
      <u/>
      <sz val="11.0"/>
      <color rgb="FFFF0000"/>
      <name val="Calibri"/>
    </font>
    <font>
      <u/>
      <sz val="11.0"/>
      <color rgb="FF00FF00"/>
      <name val="Calibri"/>
    </font>
    <font>
      <sz val="11.0"/>
      <color rgb="FF00FF00"/>
      <name val="Arial"/>
    </font>
    <font>
      <sz val="11.0"/>
      <color rgb="FFFF0000"/>
      <name val="Arial"/>
    </font>
    <font>
      <sz val="11.0"/>
      <color rgb="FFFF0000"/>
      <name val="Helvetica Neue"/>
    </font>
    <font>
      <u/>
      <sz val="12.0"/>
      <color rgb="FF00FF00"/>
      <name val="Aptos"/>
    </font>
    <font>
      <sz val="11.0"/>
      <color rgb="FFD9EAD3"/>
      <name val="Calibri"/>
    </font>
    <font>
      <u/>
      <sz val="11.0"/>
      <color theme="1"/>
      <name val="Calibri"/>
    </font>
    <font>
      <u/>
      <sz val="11.0"/>
      <color rgb="FFFF0000"/>
      <name val="Calibri"/>
    </font>
    <font>
      <u/>
      <sz val="11.0"/>
      <color rgb="FF0000FF"/>
      <name val="Calibri"/>
    </font>
    <font>
      <u/>
      <color rgb="FF0000FF"/>
      <name val="Arial"/>
    </font>
    <font>
      <u/>
      <color rgb="FF1155CC"/>
      <name val="Arial"/>
    </font>
    <font>
      <u/>
      <color rgb="FF1155CC"/>
      <name val="Arial"/>
    </font>
    <font>
      <u/>
      <sz val="11.0"/>
      <color theme="1"/>
      <name val="Calibri"/>
    </font>
    <font>
      <u/>
      <sz val="11.0"/>
      <color rgb="FF0000FF"/>
      <name val="Calibri"/>
    </font>
    <font>
      <sz val="9.0"/>
      <color theme="1"/>
      <name val="Helvetica"/>
    </font>
    <font>
      <u/>
      <color rgb="FF1155CC"/>
      <name val="Arial"/>
    </font>
    <font>
      <u/>
      <color rgb="FF1155CC"/>
      <name val="Arial"/>
    </font>
    <font>
      <u/>
      <color rgb="FF1155CC"/>
      <name val="Arial"/>
    </font>
    <font>
      <u/>
      <sz val="11.0"/>
      <color rgb="FF0000FF"/>
      <name val="Calibri"/>
    </font>
    <font>
      <u/>
      <color rgb="FF0000FF"/>
      <name val="Arial"/>
    </font>
    <font>
      <u/>
      <color rgb="FF0000FF"/>
      <name val="Arial"/>
    </font>
    <font>
      <u/>
      <sz val="11.0"/>
      <color rgb="FF0000FF"/>
      <name val="Arial"/>
    </font>
    <font>
      <u/>
      <sz val="11.0"/>
      <color rgb="FF0000FF"/>
      <name val="Arial"/>
    </font>
    <font>
      <u/>
      <color rgb="FF0000FF"/>
      <name val="Arial"/>
    </font>
    <font>
      <u/>
      <color rgb="FF0000FF"/>
      <name val="Arial"/>
    </font>
    <font>
      <u/>
      <sz val="11.0"/>
      <color theme="1"/>
      <name val="Calibri"/>
    </font>
    <font>
      <u/>
      <sz val="11.0"/>
      <color theme="1"/>
      <name val="Calibri"/>
    </font>
    <font>
      <u/>
      <sz val="11.0"/>
      <color rgb="FF1155CC"/>
      <name val="Calibri"/>
    </font>
    <font>
      <u/>
      <sz val="11.0"/>
      <color theme="1"/>
      <name val="Calibri"/>
    </font>
    <font>
      <u/>
      <color rgb="FF1155CC"/>
      <name val="Arial"/>
    </font>
    <font>
      <u/>
      <sz val="11.0"/>
      <color theme="1"/>
      <name val="Calibri"/>
    </font>
    <font>
      <u/>
      <sz val="11.0"/>
      <color theme="1"/>
      <name val="Calibri"/>
    </font>
    <font>
      <u/>
      <sz val="11.0"/>
      <color theme="1"/>
      <name val="Calibri"/>
    </font>
    <font>
      <u/>
      <color rgb="FF0000FF"/>
      <name val="Arial"/>
    </font>
    <font>
      <u/>
      <sz val="11.0"/>
      <color theme="1"/>
      <name val="Calibri"/>
    </font>
    <font>
      <u/>
      <sz val="11.0"/>
      <color theme="1"/>
      <name val="Calibri"/>
    </font>
    <font>
      <color rgb="FF980000"/>
      <name val="Arial"/>
    </font>
    <font>
      <u/>
      <sz val="11.0"/>
      <color rgb="FF1155CC"/>
      <name val="Calibri"/>
    </font>
    <font>
      <u/>
      <sz val="11.0"/>
      <color rgb="FF1155CC"/>
      <name val="Calibri"/>
    </font>
    <font>
      <u/>
      <sz val="11.0"/>
      <color theme="1"/>
      <name val="Calibri"/>
    </font>
    <font>
      <u/>
      <sz val="11.0"/>
      <color rgb="FF1155CC"/>
      <name val="Calibri"/>
    </font>
    <font>
      <u/>
      <sz val="11.0"/>
      <color rgb="FF1155CC"/>
      <name val="Calibri"/>
    </font>
    <font>
      <u/>
      <sz val="11.0"/>
      <color theme="1"/>
      <name val="Calibri"/>
    </font>
    <font>
      <u/>
      <sz val="11.0"/>
      <color theme="1"/>
      <name val="Calibri"/>
    </font>
    <font>
      <u/>
      <sz val="11.0"/>
      <color theme="1"/>
      <name val="Calibri"/>
    </font>
    <font>
      <u/>
      <sz val="11.0"/>
      <color rgb="FF1155CC"/>
      <name val="Calibri"/>
    </font>
    <font>
      <u/>
      <sz val="11.0"/>
      <color theme="1"/>
      <name val="Calibri"/>
    </font>
    <font>
      <u/>
      <sz val="11.0"/>
      <color theme="1"/>
      <name val="Calibri"/>
    </font>
    <font>
      <u/>
      <sz val="11.0"/>
      <color theme="1"/>
      <name val="Calibri"/>
    </font>
    <font>
      <u/>
      <sz val="11.0"/>
      <color theme="1"/>
      <name val="Calibri"/>
    </font>
    <font>
      <u/>
      <sz val="11.0"/>
      <color rgb="FF1155CC"/>
      <name val="Calibri"/>
    </font>
    <font>
      <u/>
      <sz val="11.0"/>
      <color theme="1"/>
      <name val="Calibri"/>
    </font>
    <font>
      <u/>
      <sz val="11.0"/>
      <color theme="1"/>
      <name val="Calibri"/>
    </font>
    <font>
      <u/>
      <sz val="11.0"/>
      <color rgb="FF1155CC"/>
      <name val="Calibri"/>
    </font>
    <font>
      <u/>
      <sz val="11.0"/>
      <color theme="1"/>
      <name val="Calibri"/>
    </font>
    <font>
      <u/>
      <color rgb="FF0000FF"/>
      <name val="Arial"/>
    </font>
    <font>
      <u/>
      <sz val="11.0"/>
      <color rgb="FF00FF00"/>
      <name val="Calibri"/>
    </font>
    <font>
      <u/>
      <sz val="11.0"/>
      <color rgb="FF0000FF"/>
      <name val="Calibri"/>
    </font>
    <font>
      <u/>
      <sz val="11.0"/>
      <color rgb="FF00FF00"/>
      <name val="Calibri"/>
    </font>
    <font>
      <u/>
      <sz val="11.0"/>
      <color rgb="FF1155CC"/>
      <name val="Calibri"/>
    </font>
    <font>
      <u/>
      <sz val="11.0"/>
      <color rgb="FF0000FF"/>
      <name val="Calibri"/>
    </font>
    <font>
      <u/>
      <sz val="11.0"/>
      <color rgb="FF0000FF"/>
      <name val="Calibri"/>
    </font>
    <font>
      <u/>
      <sz val="11.0"/>
      <color rgb="FF00FF00"/>
      <name val="Calibri"/>
    </font>
    <font>
      <u/>
      <sz val="11.0"/>
      <color rgb="FF0000FF"/>
      <name val="Calibri"/>
    </font>
    <font>
      <u/>
      <sz val="11.0"/>
      <color rgb="FF00FF00"/>
      <name val="Calibri"/>
    </font>
    <font>
      <u/>
      <sz val="11.0"/>
      <color theme="1"/>
      <name val="Calibri"/>
    </font>
    <font>
      <u/>
      <color rgb="FF0000FF"/>
      <name val="Arial"/>
    </font>
    <font>
      <u/>
      <color rgb="FF1155CC"/>
      <name val="Arial"/>
    </font>
    <font>
      <u/>
      <sz val="11.0"/>
      <color rgb="FF00FF00"/>
      <name val="Calibri"/>
    </font>
    <font>
      <u/>
      <sz val="11.0"/>
      <color rgb="FF0000FF"/>
      <name val="Calibri"/>
    </font>
    <font>
      <u/>
      <sz val="11.0"/>
      <color rgb="FF00FF00"/>
      <name val="Calibri"/>
    </font>
    <font>
      <u/>
      <sz val="11.0"/>
      <color rgb="FF0000FF"/>
      <name val="Calibri"/>
    </font>
    <font>
      <u/>
      <sz val="11.0"/>
      <color rgb="FF0000FF"/>
      <name val="Calibri"/>
    </font>
    <font>
      <u/>
      <sz val="11.0"/>
      <color rgb="FF00FF00"/>
      <name val="Calibri"/>
    </font>
    <font>
      <u/>
      <sz val="11.0"/>
      <color rgb="FF0000FF"/>
      <name val="Calibri"/>
    </font>
    <font>
      <u/>
      <color rgb="FF00FF00"/>
      <name val="Arial"/>
    </font>
    <font>
      <u/>
      <sz val="11.0"/>
      <color rgb="FF0000FF"/>
      <name val="Calibri"/>
    </font>
    <font>
      <u/>
      <sz val="11.0"/>
      <color rgb="FF1155CC"/>
      <name val="Calibri"/>
    </font>
    <font>
      <u/>
      <sz val="11.0"/>
      <color rgb="FF0000FF"/>
      <name val="Calibri"/>
    </font>
    <font>
      <u/>
      <sz val="11.0"/>
      <color rgb="FF1155CC"/>
      <name val="Calibri"/>
    </font>
    <font>
      <u/>
      <sz val="11.0"/>
      <color rgb="FF0000FF"/>
      <name val="Calibri"/>
    </font>
    <font>
      <u/>
      <sz val="11.0"/>
      <color theme="1"/>
      <name val="Calibri"/>
    </font>
    <font>
      <u/>
      <sz val="11.0"/>
      <color theme="1"/>
      <name val="Calibri"/>
    </font>
    <font>
      <u/>
      <sz val="11.0"/>
      <color theme="1"/>
      <name val="Calibri"/>
    </font>
    <font>
      <u/>
      <sz val="11.0"/>
      <color rgb="FF1155CC"/>
      <name val="Calibri"/>
    </font>
    <font>
      <u/>
      <sz val="11.0"/>
      <color rgb="FF1155CC"/>
      <name val="Calibri"/>
    </font>
    <font>
      <u/>
      <color theme="1"/>
      <name val="Arial"/>
    </font>
    <font>
      <u/>
      <color theme="1"/>
      <name val="Arial"/>
    </font>
    <font>
      <u/>
      <sz val="11.0"/>
      <color rgb="FF1155CC"/>
      <name val="Calibri"/>
    </font>
    <font>
      <u/>
      <sz val="11.0"/>
      <color theme="1"/>
      <name val="Calibri"/>
    </font>
    <font>
      <u/>
      <sz val="11.0"/>
      <color rgb="FF0000FF"/>
      <name val="Calibri"/>
    </font>
    <font>
      <u/>
      <sz val="11.0"/>
      <color rgb="FF6AA84F"/>
      <name val="Calibri"/>
    </font>
    <font>
      <sz val="11.0"/>
      <color rgb="FF6AA84F"/>
      <name val="Calibri"/>
    </font>
    <font>
      <u/>
      <color rgb="FF6AA84F"/>
      <name val="Arial"/>
    </font>
    <font>
      <u/>
      <sz val="11.0"/>
      <color theme="1"/>
      <name val="Calibri"/>
    </font>
    <font>
      <u/>
      <sz val="11.0"/>
      <color theme="1"/>
      <name val="Calibri"/>
    </font>
    <font>
      <u/>
      <color theme="1"/>
      <name val="Arial"/>
    </font>
    <font>
      <color rgb="FF333333"/>
      <name val="Arial"/>
    </font>
    <font>
      <u/>
      <color rgb="FF1155CC"/>
      <name val="Arial"/>
    </font>
    <font>
      <u/>
      <color rgb="FF1155CC"/>
      <name val="Arial"/>
    </font>
    <font>
      <sz val="11.0"/>
      <color rgb="FF337AB7"/>
      <name val="Calibri"/>
    </font>
    <font>
      <u/>
      <sz val="11.0"/>
      <color rgb="FF1155CC"/>
      <name val="Calibri"/>
    </font>
    <font>
      <u/>
      <sz val="11.0"/>
      <color rgb="FF1155CC"/>
      <name val="Calibri"/>
    </font>
    <font>
      <sz val="11.0"/>
      <color rgb="FF181818"/>
      <name val="Arial"/>
    </font>
    <font>
      <u/>
      <color theme="1"/>
      <name val="Arial"/>
    </font>
    <font>
      <u/>
      <color theme="1"/>
      <name val="Arial"/>
    </font>
    <font>
      <u/>
      <sz val="11.0"/>
      <color rgb="FF1155CC"/>
      <name val="Calibri"/>
    </font>
    <font>
      <u/>
      <sz val="11.0"/>
      <color rgb="FF1155CC"/>
      <name val="Calibri"/>
    </font>
    <font>
      <u/>
      <color theme="1"/>
      <name val="Arial"/>
    </font>
    <font>
      <u/>
      <color theme="1"/>
      <name val="Arial"/>
    </font>
    <font>
      <u/>
      <sz val="11.0"/>
      <color rgb="FF1155CC"/>
      <name val="Calibri"/>
    </font>
    <font>
      <u/>
      <sz val="11.0"/>
      <color rgb="FF1155CC"/>
      <name val="Calibri"/>
    </font>
    <font>
      <u/>
      <color rgb="FF1155CC"/>
      <name val="Arial"/>
    </font>
    <font>
      <u/>
      <color theme="1"/>
      <name val="Arial"/>
    </font>
    <font>
      <u/>
      <color theme="1"/>
      <name val="Arial"/>
    </font>
    <font>
      <u/>
      <color theme="1"/>
      <name val="Arial"/>
    </font>
    <font>
      <u/>
      <color theme="1"/>
      <name val="Arial"/>
    </font>
    <font>
      <u/>
      <color theme="1"/>
      <name val="Arial"/>
    </font>
    <font>
      <u/>
      <color theme="1"/>
      <name val="Arial"/>
    </font>
    <font>
      <u/>
      <color rgb="FF1155CC"/>
      <name val="Arial"/>
    </font>
    <font>
      <u/>
      <color theme="1"/>
      <name val="Arial"/>
    </font>
    <font>
      <u/>
      <color theme="1"/>
      <name val="Arial"/>
    </font>
    <font>
      <u/>
      <color theme="1"/>
      <name val="Arial"/>
    </font>
    <font>
      <u/>
      <color theme="1"/>
      <name val="Arial"/>
    </font>
    <font>
      <u/>
      <color rgb="FF1155CC"/>
      <name val="Arial"/>
    </font>
    <font>
      <u/>
      <color theme="1"/>
      <name val="Arial"/>
    </font>
    <font>
      <u/>
      <color theme="1"/>
      <name val="Arial"/>
    </font>
    <font>
      <u/>
      <color theme="1"/>
      <name val="Arial"/>
    </font>
    <font>
      <u/>
      <color theme="1"/>
      <name val="Arial"/>
    </font>
    <font>
      <u/>
      <color rgb="FF1155CC"/>
      <name val="Arial"/>
    </font>
    <font>
      <u/>
      <color rgb="FF000000"/>
      <name val="Arial"/>
    </font>
    <font>
      <u/>
      <color rgb="FF000000"/>
      <name val="Arial"/>
    </font>
    <font>
      <u/>
      <color rgb="FF000000"/>
      <name val="Arial"/>
    </font>
    <font>
      <u/>
      <sz val="11.0"/>
      <color rgb="FF1155CC"/>
      <name val="Calibri"/>
    </font>
    <font>
      <u/>
      <sz val="11.0"/>
      <color rgb="FF1155CC"/>
      <name val="Calibri"/>
    </font>
    <font>
      <u/>
      <sz val="11.0"/>
      <color rgb="FF1155CC"/>
      <name val="Calibri"/>
    </font>
    <font>
      <u/>
      <sz val="11.0"/>
      <color rgb="FF1155CC"/>
      <name val="Calibri"/>
    </font>
    <font>
      <u/>
      <sz val="11.0"/>
      <color rgb="FF0000FF"/>
      <name val="Calibri"/>
    </font>
    <font>
      <u/>
      <color rgb="FF0000FF"/>
      <name val="Arial"/>
    </font>
    <font>
      <u/>
      <sz val="11.0"/>
      <color rgb="FF0000FF"/>
      <name val="Calibri"/>
    </font>
    <font>
      <u/>
      <color rgb="FF0000FF"/>
      <name val="Arial"/>
    </font>
    <font>
      <u/>
      <sz val="12.0"/>
      <color rgb="FF1155CC"/>
      <name val="Aptos"/>
    </font>
    <font>
      <color rgb="FF242021"/>
      <name val="Arial"/>
    </font>
    <font>
      <u/>
      <sz val="11.0"/>
      <color theme="1"/>
      <name val="Calibri"/>
    </font>
    <font>
      <sz val="8.0"/>
      <color theme="1"/>
      <name val="Arial"/>
    </font>
    <font>
      <sz val="9.0"/>
      <color theme="1"/>
      <name val="Arial"/>
    </font>
    <font>
      <u/>
      <color rgb="FF1155CC"/>
      <name val="Arial"/>
    </font>
    <font>
      <sz val="8.0"/>
      <color theme="1"/>
      <name val="Calibri"/>
    </font>
    <font>
      <u/>
      <sz val="11.0"/>
      <color rgb="FF1155CC"/>
      <name val="Calibri"/>
    </font>
    <font>
      <sz val="9.0"/>
      <color theme="1"/>
      <name val="Calibri"/>
    </font>
    <font>
      <u/>
      <sz val="11.0"/>
      <color rgb="FF1155CC"/>
      <name val="Calibri"/>
    </font>
    <font>
      <sz val="7.0"/>
      <color theme="1"/>
      <name val="Arial"/>
    </font>
    <font>
      <u/>
      <sz val="11.0"/>
      <color rgb="FF131314"/>
      <name val="Google Sans Text"/>
    </font>
    <font>
      <b/>
      <color rgb="FF980000"/>
      <name val="Arial"/>
      <scheme val="minor"/>
    </font>
    <font>
      <color rgb="FF980000"/>
      <name val="Arial"/>
      <scheme val="minor"/>
    </font>
    <font>
      <b/>
      <color theme="1"/>
      <name val="Arial"/>
      <scheme val="minor"/>
    </font>
    <font>
      <b/>
      <i/>
      <color theme="1"/>
      <name val="Arial"/>
      <scheme val="minor"/>
    </font>
    <font>
      <sz val="14.0"/>
      <color theme="1"/>
      <name val="Sans-serif"/>
    </font>
    <font>
      <sz val="12.0"/>
      <color rgb="FF000000"/>
      <name val="Calibri"/>
    </font>
  </fonts>
  <fills count="47">
    <fill>
      <patternFill patternType="none"/>
    </fill>
    <fill>
      <patternFill patternType="lightGray"/>
    </fill>
    <fill>
      <patternFill patternType="solid">
        <fgColor rgb="FF00FFFF"/>
        <bgColor rgb="FF00FFFF"/>
      </patternFill>
    </fill>
    <fill>
      <patternFill patternType="solid">
        <fgColor rgb="FFFF00FF"/>
        <bgColor rgb="FFFF00FF"/>
      </patternFill>
    </fill>
    <fill>
      <patternFill patternType="solid">
        <fgColor rgb="FFFFFF00"/>
        <bgColor rgb="FFFFFF00"/>
      </patternFill>
    </fill>
    <fill>
      <patternFill patternType="solid">
        <fgColor rgb="FFFF0000"/>
        <bgColor rgb="FFFF0000"/>
      </patternFill>
    </fill>
    <fill>
      <patternFill patternType="solid">
        <fgColor rgb="FFF6B26B"/>
        <bgColor rgb="FFF6B26B"/>
      </patternFill>
    </fill>
    <fill>
      <patternFill patternType="solid">
        <fgColor rgb="FFF1C232"/>
        <bgColor rgb="FFF1C232"/>
      </patternFill>
    </fill>
    <fill>
      <patternFill patternType="solid">
        <fgColor rgb="FF6D9EEB"/>
        <bgColor rgb="FF6D9EEB"/>
      </patternFill>
    </fill>
    <fill>
      <patternFill patternType="solid">
        <fgColor rgb="FFC27BA0"/>
        <bgColor rgb="FFC27BA0"/>
      </patternFill>
    </fill>
    <fill>
      <patternFill patternType="solid">
        <fgColor rgb="FFE69138"/>
        <bgColor rgb="FFE69138"/>
      </patternFill>
    </fill>
    <fill>
      <patternFill patternType="solid">
        <fgColor rgb="FF45818E"/>
        <bgColor rgb="FF45818E"/>
      </patternFill>
    </fill>
    <fill>
      <patternFill patternType="solid">
        <fgColor rgb="FF6FA8DC"/>
        <bgColor rgb="FF6FA8DC"/>
      </patternFill>
    </fill>
    <fill>
      <patternFill patternType="solid">
        <fgColor rgb="FFF9CB9C"/>
        <bgColor rgb="FFF9CB9C"/>
      </patternFill>
    </fill>
    <fill>
      <patternFill patternType="solid">
        <fgColor rgb="FFFFE599"/>
        <bgColor rgb="FFFFE599"/>
      </patternFill>
    </fill>
    <fill>
      <patternFill patternType="solid">
        <fgColor rgb="FFA4C2F4"/>
        <bgColor rgb="FFA4C2F4"/>
      </patternFill>
    </fill>
    <fill>
      <patternFill patternType="solid">
        <fgColor rgb="FFD5A6BD"/>
        <bgColor rgb="FFD5A6BD"/>
      </patternFill>
    </fill>
    <fill>
      <patternFill patternType="solid">
        <fgColor rgb="FFA2C4C9"/>
        <bgColor rgb="FFA2C4C9"/>
      </patternFill>
    </fill>
    <fill>
      <patternFill patternType="solid">
        <fgColor rgb="FF9FC5E8"/>
        <bgColor rgb="FF9FC5E8"/>
      </patternFill>
    </fill>
    <fill>
      <patternFill patternType="solid">
        <fgColor rgb="FFF4CCCC"/>
        <bgColor rgb="FFF4CCCC"/>
      </patternFill>
    </fill>
    <fill>
      <patternFill patternType="solid">
        <fgColor rgb="FFFFFFFF"/>
        <bgColor rgb="FFFFFFFF"/>
      </patternFill>
    </fill>
    <fill>
      <patternFill patternType="solid">
        <fgColor rgb="FFD9EAD3"/>
        <bgColor rgb="FFD9EAD3"/>
      </patternFill>
    </fill>
    <fill>
      <patternFill patternType="solid">
        <fgColor rgb="FFEFEFEF"/>
        <bgColor rgb="FFEFEFEF"/>
      </patternFill>
    </fill>
    <fill>
      <patternFill patternType="solid">
        <fgColor rgb="FFFFF2CC"/>
        <bgColor rgb="FFFFF2CC"/>
      </patternFill>
    </fill>
    <fill>
      <patternFill patternType="solid">
        <fgColor rgb="FFCFE2F3"/>
        <bgColor rgb="FFCFE2F3"/>
      </patternFill>
    </fill>
    <fill>
      <patternFill patternType="solid">
        <fgColor rgb="FFEA9999"/>
        <bgColor rgb="FFEA9999"/>
      </patternFill>
    </fill>
    <fill>
      <patternFill patternType="solid">
        <fgColor rgb="FFFCE5CD"/>
        <bgColor rgb="FFFCE5CD"/>
      </patternFill>
    </fill>
    <fill>
      <patternFill patternType="solid">
        <fgColor rgb="FFB6D7A8"/>
        <bgColor rgb="FFB6D7A8"/>
      </patternFill>
    </fill>
    <fill>
      <patternFill patternType="solid">
        <fgColor rgb="FFFFD966"/>
        <bgColor rgb="FFFFD966"/>
      </patternFill>
    </fill>
    <fill>
      <patternFill patternType="solid">
        <fgColor rgb="FFC9DAF8"/>
        <bgColor rgb="FFC9DAF8"/>
      </patternFill>
    </fill>
    <fill>
      <patternFill patternType="solid">
        <fgColor rgb="FFD0E0E3"/>
        <bgColor rgb="FFD0E0E3"/>
      </patternFill>
    </fill>
    <fill>
      <patternFill patternType="solid">
        <fgColor rgb="FFD9D2E9"/>
        <bgColor rgb="FFD9D2E9"/>
      </patternFill>
    </fill>
    <fill>
      <patternFill patternType="solid">
        <fgColor rgb="FFF3F3F3"/>
        <bgColor rgb="FFF3F3F3"/>
      </patternFill>
    </fill>
    <fill>
      <patternFill patternType="solid">
        <fgColor rgb="FF93C47D"/>
        <bgColor rgb="FF93C47D"/>
      </patternFill>
    </fill>
    <fill>
      <patternFill patternType="solid">
        <fgColor rgb="FFB4A7D6"/>
        <bgColor rgb="FFB4A7D6"/>
      </patternFill>
    </fill>
    <fill>
      <patternFill patternType="solid">
        <fgColor theme="0"/>
        <bgColor theme="0"/>
      </patternFill>
    </fill>
    <fill>
      <patternFill patternType="solid">
        <fgColor rgb="FFEAD1DC"/>
        <bgColor rgb="FFEAD1DC"/>
      </patternFill>
    </fill>
    <fill>
      <patternFill patternType="solid">
        <fgColor rgb="FFD9D9D9"/>
        <bgColor rgb="FFD9D9D9"/>
      </patternFill>
    </fill>
    <fill>
      <patternFill patternType="solid">
        <fgColor rgb="FFE6B8AF"/>
        <bgColor rgb="FFE6B8AF"/>
      </patternFill>
    </fill>
    <fill>
      <patternFill patternType="solid">
        <fgColor rgb="FFCCCCCC"/>
        <bgColor rgb="FFCCCCCC"/>
      </patternFill>
    </fill>
    <fill>
      <patternFill patternType="solid">
        <fgColor rgb="FF6AA84F"/>
        <bgColor rgb="FF6AA84F"/>
      </patternFill>
    </fill>
    <fill>
      <patternFill patternType="solid">
        <fgColor rgb="FF00FF00"/>
        <bgColor rgb="FF00FF00"/>
      </patternFill>
    </fill>
    <fill>
      <patternFill patternType="solid">
        <fgColor rgb="FFFF9900"/>
        <bgColor rgb="FFFF9900"/>
      </patternFill>
    </fill>
    <fill>
      <patternFill patternType="solid">
        <fgColor rgb="FFEA4335"/>
        <bgColor rgb="FFEA4335"/>
      </patternFill>
    </fill>
    <fill>
      <patternFill patternType="solid">
        <fgColor rgb="FF34A853"/>
        <bgColor rgb="FF34A853"/>
      </patternFill>
    </fill>
    <fill>
      <patternFill patternType="solid">
        <fgColor rgb="FF4A86E8"/>
        <bgColor rgb="FF4A86E8"/>
      </patternFill>
    </fill>
    <fill>
      <patternFill patternType="solid">
        <fgColor theme="7"/>
        <bgColor theme="7"/>
      </patternFill>
    </fill>
  </fills>
  <borders count="16">
    <border/>
    <border>
      <left/>
      <right/>
      <top/>
      <bottom/>
    </border>
    <border>
      <left/>
      <right style="thin">
        <color rgb="FF000000"/>
      </right>
      <top/>
      <bottom/>
    </border>
    <border>
      <left style="thin">
        <color rgb="FF000000"/>
      </left>
      <right style="thin">
        <color rgb="FF000000"/>
      </right>
      <top/>
      <bottom/>
    </border>
    <border>
      <left style="thin">
        <color rgb="FF000000"/>
      </left>
      <right/>
      <top/>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top/>
      <bottom/>
    </border>
    <border>
      <right/>
      <top/>
      <bottom/>
    </border>
  </borders>
  <cellStyleXfs count="1">
    <xf borderId="0" fillId="0" fontId="0" numFmtId="0" applyAlignment="1" applyFont="1"/>
  </cellStyleXfs>
  <cellXfs count="2436">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1" fillId="0" fontId="1" numFmtId="0" xfId="0" applyAlignment="1" applyBorder="1" applyFont="1">
      <alignment readingOrder="0"/>
    </xf>
    <xf borderId="1" fillId="0" fontId="1" numFmtId="0" xfId="0" applyBorder="1" applyFont="1"/>
    <xf borderId="0" fillId="2" fontId="1" numFmtId="0" xfId="0" applyAlignment="1" applyFill="1" applyFont="1">
      <alignment readingOrder="0"/>
    </xf>
    <xf borderId="0" fillId="2" fontId="1" numFmtId="0" xfId="0" applyAlignment="1" applyFont="1">
      <alignment shrinkToFit="0" wrapText="0"/>
    </xf>
    <xf borderId="1" fillId="2" fontId="1" numFmtId="0" xfId="0" applyAlignment="1" applyBorder="1" applyFont="1">
      <alignment shrinkToFit="0" wrapText="0"/>
    </xf>
    <xf borderId="1" fillId="2" fontId="1" numFmtId="0" xfId="0" applyAlignment="1" applyBorder="1" applyFont="1">
      <alignment readingOrder="0"/>
    </xf>
    <xf borderId="1" fillId="3" fontId="1" numFmtId="0" xfId="0" applyBorder="1" applyFill="1" applyFont="1"/>
    <xf borderId="1" fillId="4" fontId="1" numFmtId="0" xfId="0" applyAlignment="1" applyBorder="1" applyFill="1" applyFont="1">
      <alignment readingOrder="0"/>
    </xf>
    <xf borderId="0" fillId="5" fontId="2" numFmtId="0" xfId="0" applyAlignment="1" applyFill="1" applyFont="1">
      <alignment readingOrder="0" vertical="bottom"/>
    </xf>
    <xf borderId="1" fillId="6" fontId="2" numFmtId="0" xfId="0" applyAlignment="1" applyBorder="1" applyFill="1" applyFont="1">
      <alignment vertical="bottom"/>
    </xf>
    <xf borderId="1" fillId="6" fontId="2" numFmtId="0" xfId="0" applyAlignment="1" applyBorder="1" applyFont="1">
      <alignment readingOrder="0" vertical="bottom"/>
    </xf>
    <xf borderId="0" fillId="7" fontId="1" numFmtId="0" xfId="0" applyAlignment="1" applyFill="1" applyFont="1">
      <alignment readingOrder="0"/>
    </xf>
    <xf borderId="1" fillId="7" fontId="1" numFmtId="0" xfId="0" applyAlignment="1" applyBorder="1" applyFont="1">
      <alignment readingOrder="0"/>
    </xf>
    <xf borderId="1" fillId="8" fontId="1" numFmtId="0" xfId="0" applyAlignment="1" applyBorder="1" applyFill="1" applyFont="1">
      <alignment readingOrder="0"/>
    </xf>
    <xf borderId="1" fillId="8" fontId="1" numFmtId="0" xfId="0" applyBorder="1" applyFont="1"/>
    <xf borderId="2" fillId="9" fontId="1" numFmtId="0" xfId="0" applyAlignment="1" applyBorder="1" applyFill="1" applyFont="1">
      <alignment readingOrder="0"/>
    </xf>
    <xf borderId="2" fillId="9" fontId="2" numFmtId="0" xfId="0" applyAlignment="1" applyBorder="1" applyFont="1">
      <alignment vertical="bottom"/>
    </xf>
    <xf borderId="3" fillId="10" fontId="1" numFmtId="0" xfId="0" applyAlignment="1" applyBorder="1" applyFill="1" applyFont="1">
      <alignment readingOrder="0"/>
    </xf>
    <xf borderId="1" fillId="11" fontId="1" numFmtId="0" xfId="0" applyAlignment="1" applyBorder="1" applyFill="1" applyFont="1">
      <alignment readingOrder="0"/>
    </xf>
    <xf borderId="1" fillId="11" fontId="1" numFmtId="0" xfId="0" applyBorder="1" applyFont="1"/>
    <xf borderId="3" fillId="9" fontId="1" numFmtId="0" xfId="0" applyAlignment="1" applyBorder="1" applyFont="1">
      <alignment readingOrder="0"/>
    </xf>
    <xf borderId="4" fillId="10" fontId="1" numFmtId="0" xfId="0" applyAlignment="1" applyBorder="1" applyFont="1">
      <alignment readingOrder="0"/>
    </xf>
    <xf borderId="0" fillId="12" fontId="2" numFmtId="0" xfId="0" applyAlignment="1" applyFill="1" applyFont="1">
      <alignment vertical="bottom"/>
    </xf>
    <xf borderId="0" fillId="5" fontId="3" numFmtId="0" xfId="0" applyAlignment="1" applyFont="1">
      <alignment readingOrder="0" shrinkToFit="0" vertical="top" wrapText="1"/>
    </xf>
    <xf borderId="5" fillId="13" fontId="3" numFmtId="0" xfId="0" applyAlignment="1" applyBorder="1" applyFill="1" applyFont="1">
      <alignment readingOrder="0" shrinkToFit="0" vertical="top" wrapText="1"/>
    </xf>
    <xf borderId="5" fillId="13" fontId="3" numFmtId="0" xfId="0" applyAlignment="1" applyBorder="1" applyFont="1">
      <alignment shrinkToFit="0" vertical="top" wrapText="1"/>
    </xf>
    <xf borderId="0" fillId="14" fontId="4" numFmtId="0" xfId="0" applyAlignment="1" applyFill="1" applyFont="1">
      <alignment readingOrder="0" shrinkToFit="0" vertical="top" wrapText="1"/>
    </xf>
    <xf borderId="5" fillId="14" fontId="4" numFmtId="0" xfId="0" applyAlignment="1" applyBorder="1" applyFont="1">
      <alignment readingOrder="0" shrinkToFit="0" vertical="top" wrapText="1"/>
    </xf>
    <xf borderId="5" fillId="15" fontId="4" numFmtId="0" xfId="0" applyAlignment="1" applyBorder="1" applyFill="1" applyFont="1">
      <alignment readingOrder="0" shrinkToFit="0" vertical="top" wrapText="1"/>
    </xf>
    <xf borderId="6" fillId="16" fontId="4" numFmtId="0" xfId="0" applyAlignment="1" applyBorder="1" applyFill="1" applyFont="1">
      <alignment readingOrder="0" shrinkToFit="0" vertical="top" wrapText="1"/>
    </xf>
    <xf borderId="7" fillId="13" fontId="4" numFmtId="0" xfId="0" applyAlignment="1" applyBorder="1" applyFont="1">
      <alignment readingOrder="0" shrinkToFit="0" vertical="top" wrapText="1"/>
    </xf>
    <xf borderId="5" fillId="17" fontId="4" numFmtId="0" xfId="0" applyAlignment="1" applyBorder="1" applyFill="1" applyFont="1">
      <alignment readingOrder="0" shrinkToFit="0" vertical="top" wrapText="1"/>
    </xf>
    <xf borderId="7" fillId="16" fontId="4" numFmtId="0" xfId="0" applyAlignment="1" applyBorder="1" applyFont="1">
      <alignment readingOrder="0" shrinkToFit="0" vertical="top" wrapText="1"/>
    </xf>
    <xf borderId="8" fillId="13" fontId="4" numFmtId="0" xfId="0" applyAlignment="1" applyBorder="1" applyFont="1">
      <alignment readingOrder="0" shrinkToFit="0" vertical="top" wrapText="1"/>
    </xf>
    <xf borderId="9" fillId="18" fontId="3" numFmtId="0" xfId="0" applyAlignment="1" applyBorder="1" applyFill="1" applyFont="1">
      <alignment vertical="bottom"/>
    </xf>
    <xf borderId="9" fillId="2" fontId="4" numFmtId="0" xfId="0" applyAlignment="1" applyBorder="1" applyFont="1">
      <alignment readingOrder="0" shrinkToFit="0" vertical="top" wrapText="1"/>
    </xf>
    <xf borderId="9" fillId="0" fontId="4" numFmtId="0" xfId="0" applyAlignment="1" applyBorder="1" applyFont="1">
      <alignment readingOrder="0" shrinkToFit="0" vertical="top" wrapText="1"/>
    </xf>
    <xf borderId="0" fillId="0" fontId="4" numFmtId="0" xfId="0" applyAlignment="1" applyFont="1">
      <alignment shrinkToFit="0" vertical="top" wrapText="1"/>
    </xf>
    <xf borderId="0" fillId="19" fontId="4" numFmtId="0" xfId="0" applyFill="1" applyFont="1"/>
    <xf borderId="0" fillId="0" fontId="4" numFmtId="0" xfId="0" applyAlignment="1" applyFont="1">
      <alignment readingOrder="0"/>
    </xf>
    <xf borderId="0" fillId="20" fontId="5" numFmtId="0" xfId="0" applyAlignment="1" applyFill="1" applyFont="1">
      <alignment vertical="bottom"/>
    </xf>
    <xf borderId="0" fillId="20" fontId="3" numFmtId="0" xfId="0" applyAlignment="1" applyFont="1">
      <alignment vertical="bottom"/>
    </xf>
    <xf borderId="0" fillId="20" fontId="5" numFmtId="164" xfId="0" applyAlignment="1" applyFont="1" applyNumberFormat="1">
      <alignment horizontal="right" vertical="bottom"/>
    </xf>
    <xf borderId="0" fillId="20" fontId="5" numFmtId="0" xfId="0" applyAlignment="1" applyFont="1">
      <alignment vertical="bottom"/>
    </xf>
    <xf borderId="0" fillId="20" fontId="5" numFmtId="0" xfId="0" applyAlignment="1" applyFont="1">
      <alignment horizontal="right" vertical="bottom"/>
    </xf>
    <xf borderId="0" fillId="20" fontId="3" numFmtId="0" xfId="0" applyAlignment="1" applyFont="1">
      <alignment vertical="bottom"/>
    </xf>
    <xf borderId="0" fillId="0" fontId="6" numFmtId="0" xfId="0" applyAlignment="1" applyFont="1">
      <alignment readingOrder="0" vertical="bottom"/>
    </xf>
    <xf borderId="0" fillId="20" fontId="5" numFmtId="0" xfId="0" applyAlignment="1" applyFont="1">
      <alignment horizontal="right" vertical="bottom"/>
    </xf>
    <xf borderId="0" fillId="20" fontId="7" numFmtId="0" xfId="0" applyAlignment="1" applyFont="1">
      <alignment vertical="bottom"/>
    </xf>
    <xf borderId="0" fillId="20" fontId="5" numFmtId="0" xfId="0" applyAlignment="1" applyFont="1">
      <alignment horizontal="right" readingOrder="0" vertical="bottom"/>
    </xf>
    <xf borderId="0" fillId="20" fontId="5" numFmtId="0" xfId="0" applyAlignment="1" applyFont="1">
      <alignment readingOrder="0" vertical="bottom"/>
    </xf>
    <xf borderId="0" fillId="0" fontId="3" numFmtId="0" xfId="0" applyAlignment="1" applyFont="1">
      <alignment vertical="bottom"/>
    </xf>
    <xf borderId="0" fillId="21" fontId="3" numFmtId="0" xfId="0" applyAlignment="1" applyFill="1" applyFont="1">
      <alignment vertical="bottom"/>
    </xf>
    <xf borderId="0" fillId="20" fontId="8" numFmtId="0" xfId="0" applyAlignment="1" applyFont="1">
      <alignment vertical="bottom"/>
    </xf>
    <xf borderId="0" fillId="20" fontId="9" numFmtId="0" xfId="0" applyAlignment="1" applyFont="1">
      <alignment vertical="bottom"/>
    </xf>
    <xf borderId="0" fillId="0" fontId="5" numFmtId="0" xfId="0" applyAlignment="1" applyFont="1">
      <alignment vertical="bottom"/>
    </xf>
    <xf borderId="0" fillId="0" fontId="10" numFmtId="0" xfId="0" applyAlignment="1" applyFont="1">
      <alignment readingOrder="0"/>
    </xf>
    <xf borderId="0" fillId="0" fontId="4" numFmtId="165" xfId="0" applyAlignment="1" applyFont="1" applyNumberFormat="1">
      <alignment readingOrder="0"/>
    </xf>
    <xf borderId="0" fillId="0" fontId="4" numFmtId="164" xfId="0" applyAlignment="1" applyFont="1" applyNumberFormat="1">
      <alignment readingOrder="0"/>
    </xf>
    <xf borderId="0" fillId="0" fontId="4" numFmtId="0" xfId="0" applyFont="1"/>
    <xf borderId="0" fillId="22" fontId="4" numFmtId="0" xfId="0" applyAlignment="1" applyFill="1" applyFont="1">
      <alignment readingOrder="0"/>
    </xf>
    <xf borderId="0" fillId="0" fontId="10" numFmtId="0" xfId="0" applyFont="1"/>
    <xf borderId="0" fillId="0" fontId="5" numFmtId="0" xfId="0" applyAlignment="1" applyFont="1">
      <alignment vertical="bottom"/>
    </xf>
    <xf borderId="0" fillId="23" fontId="4" numFmtId="0" xfId="0" applyAlignment="1" applyFill="1" applyFont="1">
      <alignment readingOrder="0" shrinkToFit="0" vertical="bottom" wrapText="0"/>
    </xf>
    <xf borderId="0" fillId="0" fontId="10" numFmtId="0" xfId="0" applyAlignment="1" applyFont="1">
      <alignment readingOrder="0"/>
    </xf>
    <xf borderId="0" fillId="23" fontId="4" numFmtId="0" xfId="0" applyAlignment="1" applyFont="1">
      <alignment shrinkToFit="0" vertical="bottom" wrapText="0"/>
    </xf>
    <xf borderId="0" fillId="23" fontId="10" numFmtId="0" xfId="0" applyFont="1"/>
    <xf borderId="0" fillId="24" fontId="4" numFmtId="0" xfId="0" applyAlignment="1" applyFill="1" applyFont="1">
      <alignment readingOrder="0"/>
    </xf>
    <xf borderId="0" fillId="24" fontId="4" numFmtId="0" xfId="0" applyFont="1"/>
    <xf borderId="0" fillId="24" fontId="5" numFmtId="0" xfId="0" applyAlignment="1" applyFont="1">
      <alignment shrinkToFit="0" vertical="bottom" wrapText="0"/>
    </xf>
    <xf borderId="0" fillId="24" fontId="3" numFmtId="0" xfId="0" applyAlignment="1" applyFont="1">
      <alignment shrinkToFit="0" vertical="bottom" wrapText="0"/>
    </xf>
    <xf borderId="0" fillId="24" fontId="3" numFmtId="0" xfId="0" applyAlignment="1" applyFont="1">
      <alignment vertical="bottom"/>
    </xf>
    <xf borderId="0" fillId="24" fontId="3" numFmtId="164" xfId="0" applyAlignment="1" applyFont="1" applyNumberFormat="1">
      <alignment horizontal="right" shrinkToFit="0" vertical="bottom" wrapText="0"/>
    </xf>
    <xf borderId="0" fillId="24" fontId="3" numFmtId="164" xfId="0" applyAlignment="1" applyFont="1" applyNumberFormat="1">
      <alignment horizontal="right" readingOrder="0" shrinkToFit="0" vertical="bottom" wrapText="0"/>
    </xf>
    <xf borderId="0" fillId="24" fontId="5" numFmtId="0" xfId="0" applyAlignment="1" applyFont="1">
      <alignment readingOrder="0" vertical="bottom"/>
    </xf>
    <xf borderId="0" fillId="24" fontId="3" numFmtId="0" xfId="0" applyAlignment="1" applyFont="1">
      <alignment horizontal="center" shrinkToFit="0" vertical="bottom" wrapText="0"/>
    </xf>
    <xf borderId="0" fillId="24" fontId="3" numFmtId="0" xfId="0" applyAlignment="1" applyFont="1">
      <alignment shrinkToFit="0" vertical="bottom" wrapText="0"/>
    </xf>
    <xf borderId="0" fillId="24" fontId="5" numFmtId="0" xfId="0" applyAlignment="1" applyFont="1">
      <alignment vertical="bottom"/>
    </xf>
    <xf borderId="0" fillId="24" fontId="3" numFmtId="0" xfId="0" applyAlignment="1" applyFont="1">
      <alignment horizontal="center" shrinkToFit="0" vertical="bottom" wrapText="0"/>
    </xf>
    <xf borderId="0" fillId="24" fontId="3" numFmtId="0" xfId="0" applyAlignment="1" applyFont="1">
      <alignment horizontal="right" shrinkToFit="0" vertical="bottom" wrapText="0"/>
    </xf>
    <xf borderId="0" fillId="24" fontId="3" numFmtId="0" xfId="0" applyAlignment="1" applyFont="1">
      <alignment shrinkToFit="0" vertical="bottom" wrapText="0"/>
    </xf>
    <xf borderId="0" fillId="24" fontId="5" numFmtId="0" xfId="0" applyAlignment="1" applyFont="1">
      <alignment shrinkToFit="0" vertical="bottom" wrapText="0"/>
    </xf>
    <xf borderId="0" fillId="25" fontId="11" numFmtId="0" xfId="0" applyAlignment="1" applyFill="1" applyFont="1">
      <alignment horizontal="right" vertical="bottom"/>
    </xf>
    <xf borderId="0" fillId="0" fontId="12" numFmtId="0" xfId="0" applyAlignment="1" applyFont="1">
      <alignment readingOrder="0"/>
    </xf>
    <xf borderId="0" fillId="24" fontId="13" numFmtId="0" xfId="0" applyAlignment="1" applyFont="1">
      <alignment shrinkToFit="0" vertical="bottom" wrapText="0"/>
    </xf>
    <xf borderId="0" fillId="24" fontId="14" numFmtId="0" xfId="0" applyAlignment="1" applyFont="1">
      <alignment shrinkToFit="0" vertical="bottom" wrapText="0"/>
    </xf>
    <xf borderId="0" fillId="24" fontId="10" numFmtId="0" xfId="0" applyFont="1"/>
    <xf borderId="0" fillId="24" fontId="10" numFmtId="0" xfId="0" applyAlignment="1" applyFont="1">
      <alignment readingOrder="0"/>
    </xf>
    <xf borderId="0" fillId="24" fontId="5" numFmtId="0" xfId="0" applyAlignment="1" applyFont="1">
      <alignment vertical="bottom"/>
    </xf>
    <xf borderId="0" fillId="24" fontId="3" numFmtId="0" xfId="0" applyAlignment="1" applyFont="1">
      <alignment vertical="bottom"/>
    </xf>
    <xf borderId="0" fillId="24" fontId="3" numFmtId="166" xfId="0" applyAlignment="1" applyFont="1" applyNumberFormat="1">
      <alignment horizontal="right" vertical="bottom"/>
    </xf>
    <xf borderId="0" fillId="0" fontId="15" numFmtId="0" xfId="0" applyAlignment="1" applyFont="1">
      <alignment readingOrder="0"/>
    </xf>
    <xf borderId="0" fillId="24" fontId="3" numFmtId="0" xfId="0" applyAlignment="1" applyFont="1">
      <alignment horizontal="right" vertical="bottom"/>
    </xf>
    <xf borderId="0" fillId="24" fontId="3" numFmtId="0" xfId="0" applyAlignment="1" applyFont="1">
      <alignment vertical="bottom"/>
    </xf>
    <xf borderId="0" fillId="25" fontId="3" numFmtId="0" xfId="0" applyAlignment="1" applyFont="1">
      <alignment horizontal="right" vertical="bottom"/>
    </xf>
    <xf borderId="0" fillId="24" fontId="3" numFmtId="0" xfId="0" applyAlignment="1" applyFont="1">
      <alignment readingOrder="0" vertical="bottom"/>
    </xf>
    <xf borderId="0" fillId="24" fontId="16" numFmtId="0" xfId="0" applyAlignment="1" applyFont="1">
      <alignment vertical="bottom"/>
    </xf>
    <xf borderId="0" fillId="24" fontId="17" numFmtId="0" xfId="0" applyAlignment="1" applyFont="1">
      <alignment vertical="bottom"/>
    </xf>
    <xf borderId="0" fillId="20" fontId="18" numFmtId="0" xfId="0" applyAlignment="1" applyFont="1">
      <alignment readingOrder="0" vertical="bottom"/>
    </xf>
    <xf borderId="0" fillId="20" fontId="5" numFmtId="0" xfId="0" applyAlignment="1" applyFont="1">
      <alignment vertical="bottom"/>
    </xf>
    <xf borderId="0" fillId="14" fontId="4" numFmtId="0" xfId="0" applyAlignment="1" applyFont="1">
      <alignment readingOrder="0" shrinkToFit="0" vertical="bottom" wrapText="0"/>
    </xf>
    <xf borderId="0" fillId="14" fontId="10" numFmtId="0" xfId="0" applyFont="1"/>
    <xf borderId="0" fillId="0" fontId="19" numFmtId="0" xfId="0" applyAlignment="1" applyFont="1">
      <alignment readingOrder="0" vertical="bottom"/>
    </xf>
    <xf borderId="0" fillId="23" fontId="4" numFmtId="0" xfId="0" applyAlignment="1" applyFont="1">
      <alignment readingOrder="0"/>
    </xf>
    <xf borderId="0" fillId="23" fontId="4" numFmtId="0" xfId="0" applyFont="1"/>
    <xf borderId="0" fillId="23" fontId="5" numFmtId="0" xfId="0" applyAlignment="1" applyFont="1">
      <alignment vertical="bottom"/>
    </xf>
    <xf borderId="0" fillId="23" fontId="3" numFmtId="0" xfId="0" applyAlignment="1" applyFont="1">
      <alignment vertical="bottom"/>
    </xf>
    <xf borderId="0" fillId="23" fontId="3" numFmtId="164" xfId="0" applyAlignment="1" applyFont="1" applyNumberFormat="1">
      <alignment horizontal="right" vertical="bottom"/>
    </xf>
    <xf borderId="0" fillId="23" fontId="5" numFmtId="0" xfId="0" applyAlignment="1" applyFont="1">
      <alignment vertical="bottom"/>
    </xf>
    <xf borderId="0" fillId="2" fontId="20" numFmtId="0" xfId="0" applyAlignment="1" applyFont="1">
      <alignment readingOrder="0" vertical="bottom"/>
    </xf>
    <xf borderId="0" fillId="23" fontId="3" numFmtId="0" xfId="0" applyAlignment="1" applyFont="1">
      <alignment readingOrder="0" vertical="bottom"/>
    </xf>
    <xf borderId="0" fillId="23" fontId="3" numFmtId="0" xfId="0" applyAlignment="1" applyFont="1">
      <alignment horizontal="right" vertical="bottom"/>
    </xf>
    <xf borderId="0" fillId="22" fontId="21" numFmtId="0" xfId="0" applyAlignment="1" applyFont="1">
      <alignment readingOrder="0"/>
    </xf>
    <xf borderId="0" fillId="14" fontId="3" numFmtId="0" xfId="0" applyAlignment="1" applyFont="1">
      <alignment readingOrder="0" vertical="bottom"/>
    </xf>
    <xf borderId="0" fillId="23" fontId="5" numFmtId="0" xfId="0" applyAlignment="1" applyFont="1">
      <alignment vertical="bottom"/>
    </xf>
    <xf borderId="0" fillId="23" fontId="3" numFmtId="0" xfId="0" applyAlignment="1" applyFont="1">
      <alignment vertical="bottom"/>
    </xf>
    <xf borderId="0" fillId="23" fontId="3" numFmtId="0" xfId="0" applyAlignment="1" applyFont="1">
      <alignment vertical="bottom"/>
    </xf>
    <xf borderId="0" fillId="0" fontId="22" numFmtId="0" xfId="0" applyAlignment="1" applyFont="1">
      <alignment readingOrder="0" vertical="bottom"/>
    </xf>
    <xf borderId="0" fillId="14" fontId="10" numFmtId="0" xfId="0" applyAlignment="1" applyFont="1">
      <alignment readingOrder="0"/>
    </xf>
    <xf borderId="0" fillId="14" fontId="5" numFmtId="0" xfId="0" applyAlignment="1" applyFont="1">
      <alignment vertical="bottom"/>
    </xf>
    <xf borderId="0" fillId="14" fontId="3" numFmtId="0" xfId="0" applyAlignment="1" applyFont="1">
      <alignment vertical="bottom"/>
    </xf>
    <xf borderId="0" fillId="14" fontId="3" numFmtId="164" xfId="0" applyAlignment="1" applyFont="1" applyNumberFormat="1">
      <alignment horizontal="right" vertical="bottom"/>
    </xf>
    <xf borderId="0" fillId="14" fontId="5" numFmtId="165" xfId="0" applyAlignment="1" applyFont="1" applyNumberFormat="1">
      <alignment readingOrder="0" vertical="bottom"/>
    </xf>
    <xf borderId="0" fillId="0" fontId="5" numFmtId="0" xfId="0" applyAlignment="1" applyFont="1">
      <alignment readingOrder="0" vertical="bottom"/>
    </xf>
    <xf borderId="0" fillId="14" fontId="3" numFmtId="0" xfId="0" applyAlignment="1" applyFont="1">
      <alignment horizontal="right" vertical="bottom"/>
    </xf>
    <xf borderId="0" fillId="14" fontId="23" numFmtId="0" xfId="0" applyAlignment="1" applyFont="1">
      <alignment readingOrder="0" vertical="bottom"/>
    </xf>
    <xf borderId="0" fillId="14" fontId="5" numFmtId="0" xfId="0" applyAlignment="1" applyFont="1">
      <alignment vertical="bottom"/>
    </xf>
    <xf borderId="0" fillId="14" fontId="3" numFmtId="0" xfId="0" applyAlignment="1" applyFont="1">
      <alignment horizontal="right" vertical="bottom"/>
    </xf>
    <xf borderId="0" fillId="14" fontId="24" numFmtId="0" xfId="0" applyAlignment="1" applyFont="1">
      <alignment vertical="bottom"/>
    </xf>
    <xf borderId="0" fillId="14" fontId="24" numFmtId="0" xfId="0" applyAlignment="1" applyFont="1">
      <alignment horizontal="right" vertical="bottom"/>
    </xf>
    <xf borderId="0" fillId="14" fontId="24" numFmtId="0" xfId="0" applyAlignment="1" applyFont="1">
      <alignment horizontal="right" readingOrder="0" vertical="bottom"/>
    </xf>
    <xf borderId="0" fillId="23" fontId="24" numFmtId="0" xfId="0" applyAlignment="1" applyFont="1">
      <alignment horizontal="right" vertical="bottom"/>
    </xf>
    <xf borderId="0" fillId="23" fontId="24" numFmtId="0" xfId="0" applyAlignment="1" applyFont="1">
      <alignment vertical="bottom"/>
    </xf>
    <xf borderId="0" fillId="23" fontId="24" numFmtId="0" xfId="0" applyAlignment="1" applyFont="1">
      <alignment vertical="bottom"/>
    </xf>
    <xf borderId="0" fillId="14" fontId="3" numFmtId="0" xfId="0" applyAlignment="1" applyFont="1">
      <alignment vertical="bottom"/>
    </xf>
    <xf borderId="0" fillId="14" fontId="25" numFmtId="0" xfId="0" applyAlignment="1" applyFont="1">
      <alignment readingOrder="0" vertical="bottom"/>
    </xf>
    <xf borderId="0" fillId="0" fontId="26" numFmtId="0" xfId="0" applyAlignment="1" applyFont="1">
      <alignment readingOrder="0"/>
    </xf>
    <xf borderId="0" fillId="0" fontId="4" numFmtId="0" xfId="0" applyAlignment="1" applyFont="1">
      <alignment readingOrder="0" shrinkToFit="0" vertical="bottom" wrapText="0"/>
    </xf>
    <xf borderId="0" fillId="23" fontId="4" numFmtId="165" xfId="0" applyAlignment="1" applyFont="1" applyNumberFormat="1">
      <alignment readingOrder="0"/>
    </xf>
    <xf borderId="0" fillId="23" fontId="4" numFmtId="164" xfId="0" applyAlignment="1" applyFont="1" applyNumberFormat="1">
      <alignment readingOrder="0"/>
    </xf>
    <xf borderId="0" fillId="23" fontId="27" numFmtId="0" xfId="0" applyAlignment="1" applyFont="1">
      <alignment readingOrder="0"/>
    </xf>
    <xf borderId="0" fillId="23" fontId="5" numFmtId="0" xfId="0" applyAlignment="1" applyFont="1">
      <alignment readingOrder="0" vertical="bottom"/>
    </xf>
    <xf borderId="0" fillId="19" fontId="4" numFmtId="0" xfId="0" applyAlignment="1" applyFont="1">
      <alignment readingOrder="0"/>
    </xf>
    <xf borderId="0" fillId="23" fontId="10" numFmtId="0" xfId="0" applyAlignment="1" applyFont="1">
      <alignment readingOrder="0"/>
    </xf>
    <xf borderId="0" fillId="16" fontId="3" numFmtId="0" xfId="0" applyAlignment="1" applyFont="1">
      <alignment readingOrder="0" vertical="bottom"/>
    </xf>
    <xf borderId="0" fillId="0" fontId="3" numFmtId="0" xfId="0" applyAlignment="1" applyFont="1">
      <alignment readingOrder="0" vertical="bottom"/>
    </xf>
    <xf borderId="0" fillId="0" fontId="3" numFmtId="165" xfId="0" applyAlignment="1" applyFont="1" applyNumberFormat="1">
      <alignment horizontal="right" vertical="bottom"/>
    </xf>
    <xf borderId="0" fillId="0" fontId="3" numFmtId="165" xfId="0" applyAlignment="1" applyFont="1" applyNumberFormat="1">
      <alignment horizontal="right" readingOrder="0" vertical="bottom"/>
    </xf>
    <xf borderId="0" fillId="0" fontId="28" numFmtId="0" xfId="0" applyAlignment="1" applyFont="1">
      <alignment vertical="bottom"/>
    </xf>
    <xf borderId="0" fillId="0" fontId="28" numFmtId="0" xfId="0" applyAlignment="1" applyFont="1">
      <alignment readingOrder="0" vertical="bottom"/>
    </xf>
    <xf borderId="0" fillId="0" fontId="3" numFmtId="0" xfId="0" applyAlignment="1" applyFont="1">
      <alignment horizontal="right" vertical="bottom"/>
    </xf>
    <xf borderId="0" fillId="26" fontId="4" numFmtId="0" xfId="0" applyAlignment="1" applyFill="1" applyFont="1">
      <alignment readingOrder="0"/>
    </xf>
    <xf borderId="0" fillId="0" fontId="29" numFmtId="0" xfId="0" applyAlignment="1" applyFont="1">
      <alignment vertical="bottom"/>
    </xf>
    <xf borderId="0" fillId="0" fontId="3" numFmtId="0" xfId="0" applyAlignment="1" applyFont="1">
      <alignment vertical="bottom"/>
    </xf>
    <xf borderId="0" fillId="0" fontId="30" numFmtId="0" xfId="0" applyAlignment="1" applyFont="1">
      <alignment horizontal="right" vertical="bottom"/>
    </xf>
    <xf borderId="0" fillId="0" fontId="3" numFmtId="0" xfId="0" applyAlignment="1" applyFont="1">
      <alignment horizontal="right" readingOrder="0" vertical="bottom"/>
    </xf>
    <xf borderId="0" fillId="0" fontId="30" numFmtId="0" xfId="0" applyAlignment="1" applyFont="1">
      <alignment horizontal="right" vertical="bottom"/>
    </xf>
    <xf borderId="0" fillId="0" fontId="31" numFmtId="0" xfId="0" applyAlignment="1" applyFont="1">
      <alignment readingOrder="0" vertical="bottom"/>
    </xf>
    <xf borderId="0" fillId="26" fontId="10" numFmtId="0" xfId="0" applyFont="1"/>
    <xf borderId="0" fillId="0" fontId="29" numFmtId="0" xfId="0" applyAlignment="1" applyFont="1">
      <alignment readingOrder="0" vertical="bottom"/>
    </xf>
    <xf borderId="0" fillId="0" fontId="30" numFmtId="0" xfId="0" applyAlignment="1" applyFont="1">
      <alignment horizontal="right" readingOrder="0" vertical="bottom"/>
    </xf>
    <xf borderId="0" fillId="26" fontId="3" numFmtId="0" xfId="0" applyAlignment="1" applyFont="1">
      <alignment readingOrder="0" vertical="bottom"/>
    </xf>
    <xf borderId="0" fillId="26" fontId="10" numFmtId="0" xfId="0" applyAlignment="1" applyFont="1">
      <alignment readingOrder="0"/>
    </xf>
    <xf borderId="0" fillId="26" fontId="4" numFmtId="164" xfId="0" applyAlignment="1" applyFont="1" applyNumberFormat="1">
      <alignment readingOrder="0"/>
    </xf>
    <xf borderId="0" fillId="0" fontId="10" numFmtId="165" xfId="0" applyAlignment="1" applyFont="1" applyNumberFormat="1">
      <alignment readingOrder="0"/>
    </xf>
    <xf borderId="0" fillId="26" fontId="4" numFmtId="0" xfId="0" applyFont="1"/>
    <xf borderId="0" fillId="26" fontId="11" numFmtId="0" xfId="0" applyAlignment="1" applyFont="1">
      <alignment readingOrder="0"/>
    </xf>
    <xf borderId="0" fillId="26" fontId="32" numFmtId="0" xfId="0" applyAlignment="1" applyFont="1">
      <alignment readingOrder="0"/>
    </xf>
    <xf borderId="0" fillId="26" fontId="33" numFmtId="0" xfId="0" applyAlignment="1" applyFont="1">
      <alignment readingOrder="0" vertical="bottom"/>
    </xf>
    <xf borderId="0" fillId="26" fontId="5" numFmtId="0" xfId="0" applyAlignment="1" applyFont="1">
      <alignment readingOrder="0" vertical="bottom"/>
    </xf>
    <xf borderId="0" fillId="26" fontId="34" numFmtId="0" xfId="0" applyAlignment="1" applyFont="1">
      <alignment readingOrder="0"/>
    </xf>
    <xf borderId="0" fillId="26" fontId="35" numFmtId="0" xfId="0" applyAlignment="1" applyFont="1">
      <alignment readingOrder="0"/>
    </xf>
    <xf borderId="0" fillId="26" fontId="28" numFmtId="0" xfId="0" applyAlignment="1" applyFont="1">
      <alignment readingOrder="0" vertical="bottom"/>
    </xf>
    <xf borderId="0" fillId="26" fontId="3" numFmtId="165" xfId="0" applyAlignment="1" applyFont="1" applyNumberFormat="1">
      <alignment horizontal="right" readingOrder="0" vertical="bottom"/>
    </xf>
    <xf borderId="0" fillId="26" fontId="5" numFmtId="0" xfId="0" applyAlignment="1" applyFont="1">
      <alignment vertical="bottom"/>
    </xf>
    <xf borderId="0" fillId="26" fontId="11" numFmtId="0" xfId="0" applyAlignment="1" applyFont="1">
      <alignment horizontal="right" readingOrder="0" vertical="bottom"/>
    </xf>
    <xf borderId="0" fillId="26" fontId="29" numFmtId="0" xfId="0" applyAlignment="1" applyFont="1">
      <alignment readingOrder="0" vertical="bottom"/>
    </xf>
    <xf borderId="0" fillId="26" fontId="3" numFmtId="0" xfId="0" applyAlignment="1" applyFont="1">
      <alignment horizontal="right" vertical="bottom"/>
    </xf>
    <xf borderId="0" fillId="26" fontId="3" numFmtId="0" xfId="0" applyAlignment="1" applyFont="1">
      <alignment horizontal="right" readingOrder="0" vertical="bottom"/>
    </xf>
    <xf borderId="0" fillId="26" fontId="30" numFmtId="0" xfId="0" applyAlignment="1" applyFont="1">
      <alignment horizontal="right" readingOrder="0" vertical="bottom"/>
    </xf>
    <xf borderId="0" fillId="26" fontId="3" numFmtId="0" xfId="0" applyAlignment="1" applyFont="1">
      <alignment vertical="bottom"/>
    </xf>
    <xf borderId="0" fillId="26" fontId="36" numFmtId="0" xfId="0" applyAlignment="1" applyFont="1">
      <alignment readingOrder="0" vertical="bottom"/>
    </xf>
    <xf borderId="0" fillId="21" fontId="10" numFmtId="0" xfId="0" applyAlignment="1" applyFont="1">
      <alignment readingOrder="0"/>
    </xf>
    <xf borderId="0" fillId="21" fontId="10" numFmtId="0" xfId="0" applyFont="1"/>
    <xf borderId="0" fillId="21" fontId="5" numFmtId="0" xfId="0" applyAlignment="1" applyFont="1">
      <alignment vertical="bottom"/>
    </xf>
    <xf borderId="0" fillId="21" fontId="3" numFmtId="165" xfId="0" applyAlignment="1" applyFont="1" applyNumberFormat="1">
      <alignment horizontal="right" vertical="bottom"/>
    </xf>
    <xf borderId="0" fillId="21" fontId="3" numFmtId="0" xfId="0" applyAlignment="1" applyFont="1">
      <alignment shrinkToFit="0" vertical="bottom" wrapText="0"/>
    </xf>
    <xf borderId="0" fillId="21" fontId="5" numFmtId="0" xfId="0" applyAlignment="1" applyFont="1">
      <alignment vertical="bottom"/>
    </xf>
    <xf borderId="0" fillId="21" fontId="3" numFmtId="0" xfId="0" applyAlignment="1" applyFont="1">
      <alignment vertical="bottom"/>
    </xf>
    <xf borderId="0" fillId="21" fontId="5" numFmtId="0" xfId="0" applyAlignment="1" applyFont="1">
      <alignment vertical="bottom"/>
    </xf>
    <xf borderId="0" fillId="21" fontId="11" numFmtId="0" xfId="0" applyAlignment="1" applyFont="1">
      <alignment readingOrder="0" vertical="bottom"/>
    </xf>
    <xf borderId="0" fillId="21" fontId="3" numFmtId="0" xfId="0" applyAlignment="1" applyFont="1">
      <alignment horizontal="right" vertical="bottom"/>
    </xf>
    <xf borderId="0" fillId="21" fontId="3" numFmtId="0" xfId="0" applyAlignment="1" applyFont="1">
      <alignment vertical="bottom"/>
    </xf>
    <xf borderId="0" fillId="27" fontId="10" numFmtId="0" xfId="0" applyAlignment="1" applyFill="1" applyFont="1">
      <alignment readingOrder="0"/>
    </xf>
    <xf borderId="0" fillId="27" fontId="10" numFmtId="0" xfId="0" applyFont="1"/>
    <xf borderId="0" fillId="27" fontId="3" numFmtId="0" xfId="0" applyAlignment="1" applyFont="1">
      <alignment vertical="bottom"/>
    </xf>
    <xf borderId="0" fillId="27" fontId="3" numFmtId="0" xfId="0" applyAlignment="1" applyFont="1">
      <alignment vertical="bottom"/>
    </xf>
    <xf borderId="0" fillId="27" fontId="3" numFmtId="165" xfId="0" applyAlignment="1" applyFont="1" applyNumberFormat="1">
      <alignment horizontal="right" vertical="bottom"/>
    </xf>
    <xf borderId="0" fillId="27" fontId="5" numFmtId="0" xfId="0" applyAlignment="1" applyFont="1">
      <alignment vertical="bottom"/>
    </xf>
    <xf borderId="0" fillId="27" fontId="5" numFmtId="0" xfId="0" applyAlignment="1" applyFont="1">
      <alignment readingOrder="0" vertical="bottom"/>
    </xf>
    <xf borderId="0" fillId="27" fontId="3" numFmtId="0" xfId="0" applyAlignment="1" applyFont="1">
      <alignment readingOrder="0" vertical="bottom"/>
    </xf>
    <xf borderId="0" fillId="27" fontId="3" numFmtId="0" xfId="0" applyAlignment="1" applyFont="1">
      <alignment horizontal="right" readingOrder="0" vertical="bottom"/>
    </xf>
    <xf borderId="0" fillId="27" fontId="3" numFmtId="0" xfId="0" applyAlignment="1" applyFont="1">
      <alignment horizontal="right" vertical="bottom"/>
    </xf>
    <xf borderId="0" fillId="27" fontId="3" numFmtId="0" xfId="0" applyAlignment="1" applyFont="1">
      <alignment horizontal="right" vertical="bottom"/>
    </xf>
    <xf borderId="0" fillId="23" fontId="3" numFmtId="0" xfId="0" applyAlignment="1" applyFont="1">
      <alignment shrinkToFit="0" vertical="bottom" wrapText="0"/>
    </xf>
    <xf borderId="0" fillId="23" fontId="3" numFmtId="164" xfId="0" applyAlignment="1" applyFont="1" applyNumberFormat="1">
      <alignment horizontal="right" shrinkToFit="0" vertical="bottom" wrapText="0"/>
    </xf>
    <xf borderId="0" fillId="2" fontId="5" numFmtId="0" xfId="0" applyAlignment="1" applyFont="1">
      <alignment readingOrder="0" vertical="bottom"/>
    </xf>
    <xf borderId="0" fillId="28" fontId="3" numFmtId="0" xfId="0" applyAlignment="1" applyFill="1" applyFont="1">
      <alignment shrinkToFit="0" vertical="bottom" wrapText="0"/>
    </xf>
    <xf borderId="0" fillId="23" fontId="3" numFmtId="0" xfId="0" applyAlignment="1" applyFont="1">
      <alignment shrinkToFit="0" vertical="bottom" wrapText="0"/>
    </xf>
    <xf borderId="0" fillId="28" fontId="37" numFmtId="0" xfId="0" applyAlignment="1" applyFont="1">
      <alignment shrinkToFit="0" vertical="bottom" wrapText="0"/>
    </xf>
    <xf borderId="0" fillId="23" fontId="3" numFmtId="0" xfId="0" applyAlignment="1" applyFont="1">
      <alignment readingOrder="0" shrinkToFit="0" vertical="bottom" wrapText="0"/>
    </xf>
    <xf borderId="0" fillId="23" fontId="3" numFmtId="0" xfId="0" applyAlignment="1" applyFont="1">
      <alignment horizontal="right" shrinkToFit="0" vertical="bottom" wrapText="0"/>
    </xf>
    <xf borderId="0" fillId="23" fontId="3" numFmtId="0" xfId="0" applyAlignment="1" applyFont="1">
      <alignment shrinkToFit="0" vertical="bottom" wrapText="0"/>
    </xf>
    <xf borderId="0" fillId="14" fontId="5" numFmtId="0" xfId="0" applyAlignment="1" applyFont="1">
      <alignment readingOrder="0" vertical="bottom"/>
    </xf>
    <xf borderId="0" fillId="29" fontId="10" numFmtId="0" xfId="0" applyFill="1" applyFont="1"/>
    <xf borderId="0" fillId="14" fontId="3" numFmtId="165" xfId="0" applyAlignment="1" applyFont="1" applyNumberFormat="1">
      <alignment horizontal="right" readingOrder="0" vertical="bottom"/>
    </xf>
    <xf borderId="0" fillId="14" fontId="3" numFmtId="0" xfId="0" applyAlignment="1" applyFont="1">
      <alignment shrinkToFit="0" vertical="bottom" wrapText="0"/>
    </xf>
    <xf borderId="0" fillId="14" fontId="3" numFmtId="0" xfId="0" applyAlignment="1" applyFont="1">
      <alignment vertical="bottom"/>
    </xf>
    <xf borderId="0" fillId="23" fontId="3" numFmtId="0" xfId="0" applyAlignment="1" applyFont="1">
      <alignment horizontal="right" readingOrder="0" shrinkToFit="0" vertical="bottom" wrapText="0"/>
    </xf>
    <xf borderId="0" fillId="14" fontId="3" numFmtId="0" xfId="0" applyAlignment="1" applyFont="1">
      <alignment horizontal="right" readingOrder="0" vertical="bottom"/>
    </xf>
    <xf borderId="0" fillId="30" fontId="10" numFmtId="0" xfId="0" applyFill="1" applyFont="1"/>
    <xf borderId="0" fillId="28" fontId="10" numFmtId="0" xfId="0" applyAlignment="1" applyFont="1">
      <alignment readingOrder="0"/>
    </xf>
    <xf borderId="0" fillId="28" fontId="10" numFmtId="0" xfId="0" applyFont="1"/>
    <xf borderId="0" fillId="28" fontId="3" numFmtId="0" xfId="0" applyAlignment="1" applyFont="1">
      <alignment vertical="bottom"/>
    </xf>
    <xf borderId="0" fillId="28" fontId="3" numFmtId="165" xfId="0" applyAlignment="1" applyFont="1" applyNumberFormat="1">
      <alignment horizontal="right" vertical="bottom"/>
    </xf>
    <xf borderId="0" fillId="28" fontId="5" numFmtId="0" xfId="0" applyAlignment="1" applyFont="1">
      <alignment vertical="bottom"/>
    </xf>
    <xf borderId="0" fillId="28" fontId="3" numFmtId="0" xfId="0" applyAlignment="1" applyFont="1">
      <alignment horizontal="right" vertical="bottom"/>
    </xf>
    <xf borderId="0" fillId="28" fontId="3" numFmtId="0" xfId="0" applyAlignment="1" applyFont="1">
      <alignment vertical="bottom"/>
    </xf>
    <xf borderId="0" fillId="28" fontId="3" numFmtId="0" xfId="0" applyAlignment="1" applyFont="1">
      <alignment readingOrder="0" vertical="bottom"/>
    </xf>
    <xf borderId="0" fillId="28" fontId="3" numFmtId="0" xfId="0" applyAlignment="1" applyFont="1">
      <alignment vertical="bottom"/>
    </xf>
    <xf borderId="0" fillId="28" fontId="3" numFmtId="0" xfId="0" applyAlignment="1" applyFont="1">
      <alignment shrinkToFit="0" vertical="bottom" wrapText="0"/>
    </xf>
    <xf borderId="0" fillId="28" fontId="5" numFmtId="0" xfId="0" applyAlignment="1" applyFont="1">
      <alignment vertical="bottom"/>
    </xf>
    <xf borderId="0" fillId="28" fontId="4" numFmtId="0" xfId="0" applyAlignment="1" applyFont="1">
      <alignment readingOrder="0"/>
    </xf>
    <xf borderId="0" fillId="28" fontId="3" numFmtId="164" xfId="0" applyAlignment="1" applyFont="1" applyNumberFormat="1">
      <alignment horizontal="right" shrinkToFit="0" vertical="bottom" wrapText="0"/>
    </xf>
    <xf borderId="0" fillId="28" fontId="3" numFmtId="0" xfId="0" applyAlignment="1" applyFont="1">
      <alignment shrinkToFit="0" vertical="bottom" wrapText="0"/>
    </xf>
    <xf borderId="0" fillId="28" fontId="3" numFmtId="0" xfId="0" applyAlignment="1" applyFont="1">
      <alignment readingOrder="0" shrinkToFit="0" vertical="bottom" wrapText="0"/>
    </xf>
    <xf borderId="0" fillId="28" fontId="3" numFmtId="0" xfId="0" applyAlignment="1" applyFont="1">
      <alignment horizontal="right" shrinkToFit="0" vertical="bottom" wrapText="0"/>
    </xf>
    <xf borderId="0" fillId="28" fontId="3" numFmtId="0" xfId="0" applyAlignment="1" applyFont="1">
      <alignment horizontal="right" readingOrder="0" shrinkToFit="0" vertical="bottom" wrapText="0"/>
    </xf>
    <xf borderId="0" fillId="30" fontId="3" numFmtId="0" xfId="0" applyAlignment="1" applyFont="1">
      <alignment vertical="bottom"/>
    </xf>
    <xf borderId="0" fillId="16" fontId="10" numFmtId="0" xfId="0" applyAlignment="1" applyFont="1">
      <alignment readingOrder="0"/>
    </xf>
    <xf borderId="0" fillId="16" fontId="10" numFmtId="0" xfId="0" applyFont="1"/>
    <xf borderId="0" fillId="9" fontId="3" numFmtId="164" xfId="0" applyAlignment="1" applyFont="1" applyNumberFormat="1">
      <alignment horizontal="right" shrinkToFit="0" vertical="bottom" wrapText="0"/>
    </xf>
    <xf borderId="0" fillId="16" fontId="10" numFmtId="167" xfId="0" applyAlignment="1" applyFont="1" applyNumberFormat="1">
      <alignment readingOrder="0"/>
    </xf>
    <xf quotePrefix="1" borderId="0" fillId="16" fontId="10" numFmtId="0" xfId="0" applyFont="1"/>
    <xf borderId="0" fillId="9" fontId="3" numFmtId="164" xfId="0" applyAlignment="1" applyFont="1" applyNumberFormat="1">
      <alignment horizontal="right" readingOrder="0" shrinkToFit="0" vertical="bottom" wrapText="0"/>
    </xf>
    <xf borderId="0" fillId="16" fontId="38" numFmtId="0" xfId="0" applyFont="1"/>
    <xf borderId="0" fillId="9" fontId="10" numFmtId="0" xfId="0" applyAlignment="1" applyFont="1">
      <alignment readingOrder="0"/>
    </xf>
    <xf borderId="0" fillId="9" fontId="10" numFmtId="0" xfId="0" applyFont="1"/>
    <xf borderId="0" fillId="9" fontId="3" numFmtId="0" xfId="0" applyAlignment="1" applyFont="1">
      <alignment vertical="bottom"/>
    </xf>
    <xf borderId="0" fillId="9" fontId="3" numFmtId="0" xfId="0" applyAlignment="1" applyFont="1">
      <alignment vertical="bottom"/>
    </xf>
    <xf borderId="0" fillId="9" fontId="3" numFmtId="165" xfId="0" applyAlignment="1" applyFont="1" applyNumberFormat="1">
      <alignment horizontal="right" vertical="bottom"/>
    </xf>
    <xf borderId="0" fillId="9" fontId="5" numFmtId="165" xfId="0" applyAlignment="1" applyFont="1" applyNumberFormat="1">
      <alignment readingOrder="0" vertical="bottom"/>
    </xf>
    <xf borderId="0" fillId="9" fontId="5" numFmtId="0" xfId="0" applyAlignment="1" applyFont="1">
      <alignment readingOrder="0" vertical="bottom"/>
    </xf>
    <xf borderId="0" fillId="9" fontId="3" numFmtId="0" xfId="0" applyAlignment="1" applyFont="1">
      <alignment horizontal="right" vertical="bottom"/>
    </xf>
    <xf borderId="0" fillId="9" fontId="5" numFmtId="0" xfId="0" applyAlignment="1" applyFont="1">
      <alignment vertical="bottom"/>
    </xf>
    <xf borderId="0" fillId="9" fontId="11" numFmtId="0" xfId="0" applyAlignment="1" applyFont="1">
      <alignment readingOrder="0" vertical="bottom"/>
    </xf>
    <xf borderId="0" fillId="9" fontId="5" numFmtId="0" xfId="0" applyAlignment="1" applyFont="1">
      <alignment vertical="bottom"/>
    </xf>
    <xf borderId="0" fillId="9" fontId="5" numFmtId="0" xfId="0" applyAlignment="1" applyFont="1">
      <alignment vertical="bottom"/>
    </xf>
    <xf borderId="0" fillId="9" fontId="3" numFmtId="0" xfId="0" applyAlignment="1" applyFont="1">
      <alignment horizontal="right" readingOrder="0" vertical="bottom"/>
    </xf>
    <xf borderId="0" fillId="16" fontId="3" numFmtId="0" xfId="0" applyAlignment="1" applyFont="1">
      <alignment vertical="bottom"/>
    </xf>
    <xf borderId="0" fillId="16" fontId="3" numFmtId="0" xfId="0" applyAlignment="1" applyFont="1">
      <alignment vertical="bottom"/>
    </xf>
    <xf borderId="0" fillId="16" fontId="3" numFmtId="165" xfId="0" applyAlignment="1" applyFont="1" applyNumberFormat="1">
      <alignment horizontal="right" vertical="bottom"/>
    </xf>
    <xf borderId="0" fillId="16" fontId="5" numFmtId="165" xfId="0" applyAlignment="1" applyFont="1" applyNumberFormat="1">
      <alignment readingOrder="0" vertical="bottom"/>
    </xf>
    <xf borderId="0" fillId="16" fontId="5" numFmtId="0" xfId="0" applyAlignment="1" applyFont="1">
      <alignment vertical="bottom"/>
    </xf>
    <xf borderId="0" fillId="16" fontId="3" numFmtId="0" xfId="0" applyAlignment="1" applyFont="1">
      <alignment horizontal="right" vertical="bottom"/>
    </xf>
    <xf borderId="0" fillId="16" fontId="11" numFmtId="0" xfId="0" applyAlignment="1" applyFont="1">
      <alignment readingOrder="0" vertical="bottom"/>
    </xf>
    <xf borderId="0" fillId="16" fontId="5" numFmtId="0" xfId="0" applyAlignment="1" applyFont="1">
      <alignment vertical="bottom"/>
    </xf>
    <xf borderId="0" fillId="16" fontId="5" numFmtId="0" xfId="0" applyAlignment="1" applyFont="1">
      <alignment vertical="bottom"/>
    </xf>
    <xf borderId="0" fillId="9" fontId="4" numFmtId="0" xfId="0" applyAlignment="1" applyFont="1">
      <alignment readingOrder="0"/>
    </xf>
    <xf borderId="0" fillId="9" fontId="4" numFmtId="0" xfId="0" applyFont="1"/>
    <xf borderId="0" fillId="9" fontId="3" numFmtId="164" xfId="0" applyAlignment="1" applyFont="1" applyNumberFormat="1">
      <alignment horizontal="right" vertical="bottom"/>
    </xf>
    <xf borderId="0" fillId="9" fontId="39" numFmtId="0" xfId="0" applyAlignment="1" applyFont="1">
      <alignment shrinkToFit="0" vertical="bottom" wrapText="0"/>
    </xf>
    <xf borderId="0" fillId="9" fontId="3" numFmtId="0" xfId="0" applyAlignment="1" applyFont="1">
      <alignment horizontal="center" vertical="bottom"/>
    </xf>
    <xf borderId="0" fillId="9" fontId="3" numFmtId="0" xfId="0" applyAlignment="1" applyFont="1">
      <alignment vertical="bottom"/>
    </xf>
    <xf borderId="0" fillId="9" fontId="3" numFmtId="0" xfId="0" applyAlignment="1" applyFont="1">
      <alignment horizontal="center" vertical="bottom"/>
    </xf>
    <xf borderId="0" fillId="9" fontId="3" numFmtId="0" xfId="0" applyAlignment="1" applyFont="1">
      <alignment shrinkToFit="0" vertical="bottom" wrapText="0"/>
    </xf>
    <xf borderId="0" fillId="9" fontId="3" numFmtId="0" xfId="0" applyAlignment="1" applyFont="1">
      <alignment horizontal="right" vertical="bottom"/>
    </xf>
    <xf borderId="0" fillId="9" fontId="11" numFmtId="0" xfId="0" applyAlignment="1" applyFont="1">
      <alignment shrinkToFit="0" vertical="bottom" wrapText="0"/>
    </xf>
    <xf borderId="0" fillId="9" fontId="40" numFmtId="0" xfId="0" applyAlignment="1" applyFont="1">
      <alignment vertical="bottom"/>
    </xf>
    <xf borderId="0" fillId="9" fontId="41" numFmtId="0" xfId="0" applyAlignment="1" applyFont="1">
      <alignment vertical="bottom"/>
    </xf>
    <xf quotePrefix="1" borderId="0" fillId="9" fontId="5" numFmtId="0" xfId="0" applyAlignment="1" applyFont="1">
      <alignment readingOrder="0" vertical="bottom"/>
    </xf>
    <xf borderId="0" fillId="3" fontId="10" numFmtId="0" xfId="0" applyAlignment="1" applyFont="1">
      <alignment readingOrder="0"/>
    </xf>
    <xf borderId="0" fillId="3" fontId="4" numFmtId="0" xfId="0" applyAlignment="1" applyFont="1">
      <alignment readingOrder="0"/>
    </xf>
    <xf borderId="0" fillId="3" fontId="4" numFmtId="0" xfId="0" applyFont="1"/>
    <xf borderId="0" fillId="3" fontId="3" numFmtId="0" xfId="0" applyAlignment="1" applyFont="1">
      <alignment vertical="bottom"/>
    </xf>
    <xf borderId="0" fillId="3" fontId="3" numFmtId="0" xfId="0" applyAlignment="1" applyFont="1">
      <alignment vertical="bottom"/>
    </xf>
    <xf borderId="0" fillId="3" fontId="3" numFmtId="164" xfId="0" applyAlignment="1" applyFont="1" applyNumberFormat="1">
      <alignment horizontal="right" vertical="bottom"/>
    </xf>
    <xf borderId="0" fillId="3" fontId="5" numFmtId="165" xfId="0" applyAlignment="1" applyFont="1" applyNumberFormat="1">
      <alignment readingOrder="0" vertical="bottom"/>
    </xf>
    <xf borderId="0" fillId="3" fontId="42" numFmtId="0" xfId="0" applyAlignment="1" applyFont="1">
      <alignment shrinkToFit="0" vertical="bottom" wrapText="0"/>
    </xf>
    <xf borderId="0" fillId="3" fontId="5" numFmtId="0" xfId="0" applyAlignment="1" applyFont="1">
      <alignment readingOrder="0" vertical="bottom"/>
    </xf>
    <xf borderId="0" fillId="3" fontId="43" numFmtId="0" xfId="0" applyAlignment="1" applyFont="1">
      <alignment vertical="bottom"/>
    </xf>
    <xf borderId="0" fillId="3" fontId="3" numFmtId="0" xfId="0" applyAlignment="1" applyFont="1">
      <alignment horizontal="center" vertical="bottom"/>
    </xf>
    <xf borderId="0" fillId="3" fontId="3" numFmtId="0" xfId="0" applyAlignment="1" applyFont="1">
      <alignment vertical="bottom"/>
    </xf>
    <xf borderId="0" fillId="3" fontId="5" numFmtId="0" xfId="0" applyAlignment="1" applyFont="1">
      <alignment vertical="bottom"/>
    </xf>
    <xf borderId="0" fillId="3" fontId="3" numFmtId="0" xfId="0" applyAlignment="1" applyFont="1">
      <alignment horizontal="center" vertical="bottom"/>
    </xf>
    <xf borderId="0" fillId="3" fontId="3" numFmtId="0" xfId="0" applyAlignment="1" applyFont="1">
      <alignment shrinkToFit="0" vertical="bottom" wrapText="0"/>
    </xf>
    <xf borderId="0" fillId="3" fontId="3" numFmtId="0" xfId="0" applyAlignment="1" applyFont="1">
      <alignment horizontal="right" vertical="bottom"/>
    </xf>
    <xf borderId="0" fillId="3" fontId="3" numFmtId="0" xfId="0" applyAlignment="1" applyFont="1">
      <alignment readingOrder="0" vertical="bottom"/>
    </xf>
    <xf borderId="0" fillId="3" fontId="11" numFmtId="0" xfId="0" applyAlignment="1" applyFont="1">
      <alignment shrinkToFit="0" vertical="bottom" wrapText="0"/>
    </xf>
    <xf borderId="0" fillId="3" fontId="5" numFmtId="0" xfId="0" applyAlignment="1" applyFont="1">
      <alignment vertical="bottom"/>
    </xf>
    <xf borderId="0" fillId="3" fontId="44" numFmtId="0" xfId="0" applyAlignment="1" applyFont="1">
      <alignment vertical="bottom"/>
    </xf>
    <xf borderId="0" fillId="3" fontId="45" numFmtId="0" xfId="0" applyAlignment="1" applyFont="1">
      <alignment vertical="bottom"/>
    </xf>
    <xf borderId="0" fillId="3" fontId="10" numFmtId="0" xfId="0" applyFont="1"/>
    <xf borderId="0" fillId="22" fontId="3" numFmtId="0" xfId="0" applyAlignment="1" applyFont="1">
      <alignment readingOrder="0" vertical="bottom"/>
    </xf>
    <xf borderId="0" fillId="0" fontId="46" numFmtId="0" xfId="0" applyAlignment="1" applyFont="1">
      <alignment vertical="bottom"/>
    </xf>
    <xf borderId="0" fillId="23" fontId="5" numFmtId="165" xfId="0" applyAlignment="1" applyFont="1" applyNumberFormat="1">
      <alignment readingOrder="0" vertical="bottom"/>
    </xf>
    <xf borderId="0" fillId="23" fontId="47" numFmtId="0" xfId="0" applyAlignment="1" applyFont="1">
      <alignment shrinkToFit="0" vertical="bottom" wrapText="0"/>
    </xf>
    <xf borderId="0" fillId="14" fontId="11" numFmtId="0" xfId="0" applyAlignment="1" applyFont="1">
      <alignment vertical="bottom"/>
    </xf>
    <xf borderId="0" fillId="23" fontId="48" numFmtId="0" xfId="0" applyAlignment="1" applyFont="1">
      <alignment shrinkToFit="0" vertical="bottom" wrapText="0"/>
    </xf>
    <xf borderId="0" fillId="23" fontId="11" numFmtId="0" xfId="0" applyAlignment="1" applyFont="1">
      <alignment horizontal="right" shrinkToFit="0" vertical="bottom" wrapText="0"/>
    </xf>
    <xf borderId="0" fillId="23" fontId="49" numFmtId="0" xfId="0" applyAlignment="1" applyFont="1">
      <alignment horizontal="right" shrinkToFit="0" vertical="bottom" wrapText="0"/>
    </xf>
    <xf borderId="0" fillId="14" fontId="3" numFmtId="165" xfId="0" applyAlignment="1" applyFont="1" applyNumberFormat="1">
      <alignment horizontal="right" vertical="bottom"/>
    </xf>
    <xf borderId="0" fillId="14" fontId="5" numFmtId="0" xfId="0" applyAlignment="1" applyFont="1">
      <alignment vertical="bottom"/>
    </xf>
    <xf borderId="0" fillId="14" fontId="11" numFmtId="0" xfId="0" applyAlignment="1" applyFont="1">
      <alignment horizontal="right" vertical="bottom"/>
    </xf>
    <xf borderId="0" fillId="14" fontId="5" numFmtId="0" xfId="0" applyAlignment="1" applyFont="1">
      <alignment horizontal="right" vertical="bottom"/>
    </xf>
    <xf borderId="0" fillId="23" fontId="49" numFmtId="0" xfId="0" applyAlignment="1" applyFont="1">
      <alignment horizontal="right" readingOrder="0" shrinkToFit="0" vertical="bottom" wrapText="0"/>
    </xf>
    <xf borderId="0" fillId="30" fontId="4" numFmtId="0" xfId="0" applyAlignment="1" applyFont="1">
      <alignment readingOrder="0"/>
    </xf>
    <xf borderId="0" fillId="0" fontId="50" numFmtId="0" xfId="0" applyAlignment="1" applyFont="1">
      <alignment readingOrder="0" vertical="bottom"/>
    </xf>
    <xf borderId="0" fillId="30" fontId="3" numFmtId="0" xfId="0" applyAlignment="1" applyFont="1">
      <alignment readingOrder="0" vertical="bottom"/>
    </xf>
    <xf borderId="0" fillId="30" fontId="10" numFmtId="0" xfId="0" applyAlignment="1" applyFont="1">
      <alignment readingOrder="0"/>
    </xf>
    <xf borderId="0" fillId="30" fontId="4" numFmtId="165" xfId="0" applyAlignment="1" applyFont="1" applyNumberFormat="1">
      <alignment readingOrder="0"/>
    </xf>
    <xf borderId="0" fillId="30" fontId="4" numFmtId="164" xfId="0" applyAlignment="1" applyFont="1" applyNumberFormat="1">
      <alignment readingOrder="0"/>
    </xf>
    <xf borderId="0" fillId="30" fontId="4" numFmtId="0" xfId="0" applyFont="1"/>
    <xf borderId="0" fillId="30" fontId="51" numFmtId="0" xfId="0" applyAlignment="1" applyFont="1">
      <alignment readingOrder="0"/>
    </xf>
    <xf borderId="0" fillId="30" fontId="5" numFmtId="0" xfId="0" applyAlignment="1" applyFont="1">
      <alignment readingOrder="0" vertical="bottom"/>
    </xf>
    <xf borderId="0" fillId="30" fontId="5" numFmtId="0" xfId="0" applyAlignment="1" applyFont="1">
      <alignment vertical="bottom"/>
    </xf>
    <xf borderId="0" fillId="30" fontId="28" numFmtId="0" xfId="0" applyAlignment="1" applyFont="1">
      <alignment readingOrder="0" vertical="bottom"/>
    </xf>
    <xf borderId="0" fillId="30" fontId="3" numFmtId="165" xfId="0" applyAlignment="1" applyFont="1" applyNumberFormat="1">
      <alignment horizontal="right" readingOrder="0" vertical="bottom"/>
    </xf>
    <xf borderId="0" fillId="30" fontId="3" numFmtId="0" xfId="0" applyAlignment="1" applyFont="1">
      <alignment horizontal="right" vertical="bottom"/>
    </xf>
    <xf borderId="0" fillId="30" fontId="33" numFmtId="0" xfId="0" applyAlignment="1" applyFont="1">
      <alignment readingOrder="0" vertical="bottom"/>
    </xf>
    <xf borderId="0" fillId="0" fontId="5" numFmtId="0" xfId="0" applyAlignment="1" applyFont="1">
      <alignment horizontal="right" vertical="bottom"/>
    </xf>
    <xf borderId="0" fillId="0" fontId="5" numFmtId="0" xfId="0" applyAlignment="1" applyFont="1">
      <alignment horizontal="right" vertical="bottom"/>
    </xf>
    <xf borderId="0" fillId="0" fontId="5" numFmtId="0" xfId="0" applyAlignment="1" applyFont="1">
      <alignment vertical="bottom"/>
    </xf>
    <xf borderId="0" fillId="0" fontId="3" numFmtId="0" xfId="0" applyAlignment="1" applyFont="1">
      <alignment vertical="bottom"/>
    </xf>
    <xf borderId="0" fillId="20" fontId="4" numFmtId="0" xfId="0" applyAlignment="1" applyFont="1">
      <alignment readingOrder="0"/>
    </xf>
    <xf borderId="0" fillId="20" fontId="10" numFmtId="0" xfId="0" applyAlignment="1" applyFont="1">
      <alignment readingOrder="0"/>
    </xf>
    <xf borderId="0" fillId="20" fontId="10" numFmtId="0" xfId="0" applyFont="1"/>
    <xf borderId="0" fillId="20" fontId="3" numFmtId="0" xfId="0" applyAlignment="1" applyFont="1">
      <alignment readingOrder="0" vertical="bottom"/>
    </xf>
    <xf borderId="0" fillId="20" fontId="3" numFmtId="165" xfId="0" applyAlignment="1" applyFont="1" applyNumberFormat="1">
      <alignment horizontal="right" vertical="bottom"/>
    </xf>
    <xf borderId="0" fillId="20" fontId="3" numFmtId="165" xfId="0" applyAlignment="1" applyFont="1" applyNumberFormat="1">
      <alignment horizontal="right" readingOrder="0" vertical="bottom"/>
    </xf>
    <xf borderId="0" fillId="20" fontId="28" numFmtId="0" xfId="0" applyAlignment="1" applyFont="1">
      <alignment readingOrder="0" vertical="bottom"/>
    </xf>
    <xf borderId="0" fillId="20" fontId="3" numFmtId="0" xfId="0" applyAlignment="1" applyFont="1">
      <alignment horizontal="right" readingOrder="0" vertical="bottom"/>
    </xf>
    <xf borderId="0" fillId="20" fontId="29" numFmtId="0" xfId="0" applyAlignment="1" applyFont="1">
      <alignment readingOrder="0" vertical="bottom"/>
    </xf>
    <xf borderId="0" fillId="31" fontId="3" numFmtId="0" xfId="0" applyAlignment="1" applyFill="1" applyFont="1">
      <alignment readingOrder="0" vertical="bottom"/>
    </xf>
    <xf borderId="0" fillId="20" fontId="30" numFmtId="0" xfId="0" applyAlignment="1" applyFont="1">
      <alignment horizontal="right" readingOrder="0" vertical="bottom"/>
    </xf>
    <xf borderId="0" fillId="20" fontId="52" numFmtId="0" xfId="0" applyAlignment="1" applyFont="1">
      <alignment horizontal="right" readingOrder="0" vertical="bottom"/>
    </xf>
    <xf borderId="0" fillId="20" fontId="4" numFmtId="165" xfId="0" applyAlignment="1" applyFont="1" applyNumberFormat="1">
      <alignment readingOrder="0"/>
    </xf>
    <xf borderId="0" fillId="20" fontId="4" numFmtId="164" xfId="0" applyAlignment="1" applyFont="1" applyNumberFormat="1">
      <alignment readingOrder="0"/>
    </xf>
    <xf borderId="0" fillId="20" fontId="4" numFmtId="0" xfId="0" applyFont="1"/>
    <xf borderId="0" fillId="20" fontId="53" numFmtId="0" xfId="0" applyAlignment="1" applyFont="1">
      <alignment readingOrder="0"/>
    </xf>
    <xf borderId="0" fillId="20" fontId="54" numFmtId="0" xfId="0" applyAlignment="1" applyFont="1">
      <alignment readingOrder="0" vertical="bottom"/>
    </xf>
    <xf borderId="0" fillId="20" fontId="3" numFmtId="0" xfId="0" applyAlignment="1" applyFont="1">
      <alignment horizontal="right" vertical="bottom"/>
    </xf>
    <xf borderId="0" fillId="5" fontId="30" numFmtId="0" xfId="0" applyAlignment="1" applyFont="1">
      <alignment horizontal="right" vertical="bottom"/>
    </xf>
    <xf borderId="0" fillId="20" fontId="30" numFmtId="0" xfId="0" applyAlignment="1" applyFont="1">
      <alignment horizontal="right" vertical="bottom"/>
    </xf>
    <xf borderId="0" fillId="20" fontId="3" numFmtId="0" xfId="0" applyAlignment="1" applyFont="1">
      <alignment vertical="bottom"/>
    </xf>
    <xf borderId="0" fillId="2" fontId="4" numFmtId="0" xfId="0" applyAlignment="1" applyFont="1">
      <alignment readingOrder="0"/>
    </xf>
    <xf borderId="0" fillId="23" fontId="55" numFmtId="0" xfId="0" applyAlignment="1" applyFont="1">
      <alignment readingOrder="0" vertical="bottom"/>
    </xf>
    <xf borderId="0" fillId="23" fontId="56" numFmtId="0" xfId="0" applyAlignment="1" applyFont="1">
      <alignment readingOrder="0" vertical="bottom"/>
    </xf>
    <xf borderId="0" fillId="19" fontId="3" numFmtId="0" xfId="0" applyAlignment="1" applyFont="1">
      <alignment readingOrder="0"/>
    </xf>
    <xf borderId="0" fillId="19" fontId="10" numFmtId="0" xfId="0" applyFont="1"/>
    <xf borderId="0" fillId="23" fontId="3" numFmtId="0" xfId="0" applyAlignment="1" applyFont="1">
      <alignment horizontal="right" vertical="bottom"/>
    </xf>
    <xf borderId="0" fillId="23" fontId="57" numFmtId="0" xfId="0" applyAlignment="1" applyFont="1">
      <alignment vertical="bottom"/>
    </xf>
    <xf borderId="0" fillId="21" fontId="4" numFmtId="0" xfId="0" applyAlignment="1" applyFont="1">
      <alignment readingOrder="0"/>
    </xf>
    <xf borderId="0" fillId="21" fontId="3" numFmtId="0" xfId="0" applyAlignment="1" applyFont="1">
      <alignment shrinkToFit="0" vertical="bottom" wrapText="0"/>
    </xf>
    <xf borderId="0" fillId="21" fontId="3" numFmtId="165" xfId="0" applyAlignment="1" applyFont="1" applyNumberFormat="1">
      <alignment horizontal="right" shrinkToFit="0" vertical="bottom" wrapText="0"/>
    </xf>
    <xf borderId="0" fillId="5" fontId="5" numFmtId="0" xfId="0" applyAlignment="1" applyFont="1">
      <alignment readingOrder="0" vertical="bottom"/>
    </xf>
    <xf borderId="0" fillId="21" fontId="3" numFmtId="0" xfId="0" applyAlignment="1" applyFont="1">
      <alignment shrinkToFit="0" vertical="bottom" wrapText="0"/>
    </xf>
    <xf borderId="0" fillId="21" fontId="58" numFmtId="0" xfId="0" applyAlignment="1" applyFont="1">
      <alignment shrinkToFit="0" vertical="bottom" wrapText="0"/>
    </xf>
    <xf borderId="0" fillId="21" fontId="5" numFmtId="0" xfId="0" applyAlignment="1" applyFont="1">
      <alignment readingOrder="0" vertical="bottom"/>
    </xf>
    <xf borderId="0" fillId="21" fontId="59" numFmtId="0" xfId="0" applyAlignment="1" applyFont="1">
      <alignment vertical="bottom"/>
    </xf>
    <xf borderId="0" fillId="0" fontId="3" numFmtId="0" xfId="0" applyAlignment="1" applyFont="1">
      <alignment shrinkToFit="0" vertical="bottom" wrapText="0"/>
    </xf>
    <xf borderId="0" fillId="22" fontId="3" numFmtId="0" xfId="0" applyAlignment="1" applyFont="1">
      <alignment vertical="bottom"/>
    </xf>
    <xf borderId="0" fillId="5" fontId="3" numFmtId="0" xfId="0" applyAlignment="1" applyFont="1">
      <alignment horizontal="right" readingOrder="0" vertical="bottom"/>
    </xf>
    <xf borderId="0" fillId="0" fontId="3" numFmtId="0" xfId="0" applyAlignment="1" applyFont="1">
      <alignment horizontal="right" vertical="bottom"/>
    </xf>
    <xf borderId="0" fillId="5" fontId="3" numFmtId="0" xfId="0" applyAlignment="1" applyFont="1">
      <alignment readingOrder="0" vertical="bottom"/>
    </xf>
    <xf borderId="0" fillId="31" fontId="10" numFmtId="0" xfId="0" applyAlignment="1" applyFont="1">
      <alignment readingOrder="0"/>
    </xf>
    <xf borderId="0" fillId="22" fontId="3" numFmtId="0" xfId="0" applyAlignment="1" applyFont="1">
      <alignment vertical="bottom"/>
    </xf>
    <xf borderId="0" fillId="5" fontId="3" numFmtId="0" xfId="0" applyAlignment="1" applyFont="1">
      <alignment vertical="bottom"/>
    </xf>
    <xf borderId="0" fillId="5" fontId="3" numFmtId="0" xfId="0" applyAlignment="1" applyFont="1">
      <alignment shrinkToFit="0" vertical="bottom" wrapText="0"/>
    </xf>
    <xf borderId="0" fillId="20" fontId="5" numFmtId="0" xfId="0" applyAlignment="1" applyFont="1">
      <alignment horizontal="right" vertical="bottom"/>
    </xf>
    <xf borderId="0" fillId="20" fontId="3" numFmtId="0" xfId="0" applyAlignment="1" applyFont="1">
      <alignment horizontal="right" vertical="bottom"/>
    </xf>
    <xf borderId="0" fillId="30" fontId="3" numFmtId="0" xfId="0" applyAlignment="1" applyFont="1">
      <alignment shrinkToFit="0" vertical="bottom" wrapText="0"/>
    </xf>
    <xf borderId="0" fillId="30" fontId="3" numFmtId="0" xfId="0" applyAlignment="1" applyFont="1">
      <alignment shrinkToFit="0" vertical="bottom" wrapText="0"/>
    </xf>
    <xf borderId="0" fillId="30" fontId="3" numFmtId="165" xfId="0" applyAlignment="1" applyFont="1" applyNumberFormat="1">
      <alignment horizontal="right" shrinkToFit="0" vertical="bottom" wrapText="0"/>
    </xf>
    <xf borderId="0" fillId="30" fontId="5" numFmtId="0" xfId="0" applyAlignment="1" applyFont="1">
      <alignment vertical="bottom"/>
    </xf>
    <xf borderId="0" fillId="30" fontId="3" numFmtId="0" xfId="0" applyAlignment="1" applyFont="1">
      <alignment shrinkToFit="0" vertical="bottom" wrapText="0"/>
    </xf>
    <xf borderId="0" fillId="30" fontId="3" numFmtId="0" xfId="0" applyAlignment="1" applyFont="1">
      <alignment readingOrder="0" shrinkToFit="0" vertical="bottom" wrapText="0"/>
    </xf>
    <xf borderId="0" fillId="30" fontId="3" numFmtId="0" xfId="0" applyAlignment="1" applyFont="1">
      <alignment horizontal="right" shrinkToFit="0" vertical="bottom" wrapText="0"/>
    </xf>
    <xf borderId="0" fillId="30" fontId="3" numFmtId="0" xfId="0" applyAlignment="1" applyFont="1">
      <alignment horizontal="right" vertical="bottom"/>
    </xf>
    <xf borderId="0" fillId="30" fontId="60" numFmtId="0" xfId="0" applyAlignment="1" applyFont="1">
      <alignment shrinkToFit="0" vertical="bottom" wrapText="0"/>
    </xf>
    <xf borderId="0" fillId="30" fontId="61" numFmtId="0" xfId="0" applyAlignment="1" applyFont="1">
      <alignment shrinkToFit="0" vertical="bottom" wrapText="0"/>
    </xf>
    <xf borderId="0" fillId="29" fontId="10" numFmtId="0" xfId="0" applyAlignment="1" applyFont="1">
      <alignment readingOrder="0"/>
    </xf>
    <xf borderId="0" fillId="29" fontId="5" numFmtId="0" xfId="0" applyAlignment="1" applyFont="1">
      <alignment vertical="bottom"/>
    </xf>
    <xf borderId="0" fillId="29" fontId="3" numFmtId="0" xfId="0" applyAlignment="1" applyFont="1">
      <alignment vertical="bottom"/>
    </xf>
    <xf borderId="0" fillId="29" fontId="3" numFmtId="165" xfId="0" applyAlignment="1" applyFont="1" applyNumberFormat="1">
      <alignment horizontal="right" vertical="bottom"/>
    </xf>
    <xf borderId="0" fillId="29" fontId="3" numFmtId="0" xfId="0" applyAlignment="1" applyFont="1">
      <alignment shrinkToFit="0" vertical="bottom" wrapText="0"/>
    </xf>
    <xf borderId="0" fillId="29" fontId="5" numFmtId="0" xfId="0" applyAlignment="1" applyFont="1">
      <alignment vertical="bottom"/>
    </xf>
    <xf borderId="0" fillId="29" fontId="3" numFmtId="0" xfId="0" applyAlignment="1" applyFont="1">
      <alignment vertical="bottom"/>
    </xf>
    <xf borderId="0" fillId="29" fontId="62" numFmtId="0" xfId="0" applyAlignment="1" applyFont="1">
      <alignment vertical="bottom"/>
    </xf>
    <xf borderId="0" fillId="29" fontId="5" numFmtId="0" xfId="0" applyAlignment="1" applyFont="1">
      <alignment vertical="bottom"/>
    </xf>
    <xf borderId="0" fillId="29" fontId="3" numFmtId="0" xfId="0" applyAlignment="1" applyFont="1">
      <alignment horizontal="right" vertical="bottom"/>
    </xf>
    <xf borderId="0" fillId="29" fontId="3" numFmtId="0" xfId="0" applyAlignment="1" applyFont="1">
      <alignment vertical="bottom"/>
    </xf>
    <xf borderId="0" fillId="29" fontId="5" numFmtId="0" xfId="0" applyAlignment="1" applyFont="1">
      <alignment horizontal="right" vertical="bottom"/>
    </xf>
    <xf borderId="0" fillId="29" fontId="63" numFmtId="0" xfId="0" applyAlignment="1" applyFont="1">
      <alignment vertical="bottom"/>
    </xf>
    <xf borderId="0" fillId="29" fontId="64" numFmtId="0" xfId="0" applyAlignment="1" applyFont="1">
      <alignment vertical="bottom"/>
    </xf>
    <xf borderId="0" fillId="30" fontId="65" numFmtId="0" xfId="0" applyAlignment="1" applyFont="1">
      <alignment vertical="bottom"/>
    </xf>
    <xf borderId="0" fillId="30" fontId="3" numFmtId="0" xfId="0" applyAlignment="1" applyFont="1">
      <alignment vertical="bottom"/>
    </xf>
    <xf borderId="0" fillId="32" fontId="3" numFmtId="0" xfId="0" applyAlignment="1" applyFill="1" applyFont="1">
      <alignment readingOrder="0" vertical="bottom"/>
    </xf>
    <xf borderId="0" fillId="0" fontId="4" numFmtId="3" xfId="0" applyAlignment="1" applyFont="1" applyNumberFormat="1">
      <alignment readingOrder="0"/>
    </xf>
    <xf borderId="0" fillId="23" fontId="3" numFmtId="165" xfId="0" applyAlignment="1" applyFont="1" applyNumberFormat="1">
      <alignment horizontal="right" shrinkToFit="0" vertical="bottom" wrapText="0"/>
    </xf>
    <xf borderId="0" fillId="23" fontId="24" numFmtId="0" xfId="0" applyAlignment="1" applyFont="1">
      <alignment readingOrder="0" shrinkToFit="0" vertical="bottom" wrapText="0"/>
    </xf>
    <xf borderId="0" fillId="23" fontId="3" numFmtId="165" xfId="0" applyAlignment="1" applyFont="1" applyNumberFormat="1">
      <alignment horizontal="right" vertical="bottom"/>
    </xf>
    <xf borderId="0" fillId="23" fontId="66" numFmtId="0" xfId="0" applyAlignment="1" applyFont="1">
      <alignment vertical="bottom"/>
    </xf>
    <xf borderId="0" fillId="23" fontId="67" numFmtId="0" xfId="0" applyAlignment="1" applyFont="1">
      <alignment horizontal="right" vertical="bottom"/>
    </xf>
    <xf borderId="0" fillId="23" fontId="68" numFmtId="0" xfId="0" applyAlignment="1" applyFont="1">
      <alignment vertical="bottom"/>
    </xf>
    <xf borderId="0" fillId="19" fontId="10" numFmtId="0" xfId="0" applyAlignment="1" applyFont="1">
      <alignment readingOrder="0"/>
    </xf>
    <xf borderId="0" fillId="19" fontId="3" numFmtId="0" xfId="0" applyAlignment="1" applyFont="1">
      <alignment shrinkToFit="0" vertical="bottom" wrapText="0"/>
    </xf>
    <xf borderId="0" fillId="19" fontId="3" numFmtId="0" xfId="0" applyAlignment="1" applyFont="1">
      <alignment shrinkToFit="0" vertical="bottom" wrapText="0"/>
    </xf>
    <xf borderId="0" fillId="19" fontId="3" numFmtId="165" xfId="0" applyAlignment="1" applyFont="1" applyNumberFormat="1">
      <alignment horizontal="right" shrinkToFit="0" vertical="bottom" wrapText="0"/>
    </xf>
    <xf borderId="0" fillId="19" fontId="5" numFmtId="164" xfId="0" applyAlignment="1" applyFont="1" applyNumberFormat="1">
      <alignment readingOrder="0" vertical="bottom"/>
    </xf>
    <xf borderId="0" fillId="19" fontId="5" numFmtId="0" xfId="0" applyAlignment="1" applyFont="1">
      <alignment vertical="bottom"/>
    </xf>
    <xf borderId="0" fillId="19" fontId="3" numFmtId="0" xfId="0" applyAlignment="1" applyFont="1">
      <alignment shrinkToFit="0" vertical="bottom" wrapText="0"/>
    </xf>
    <xf borderId="0" fillId="19" fontId="5" numFmtId="0" xfId="0" applyAlignment="1" applyFont="1">
      <alignment vertical="bottom"/>
    </xf>
    <xf borderId="0" fillId="19" fontId="3" numFmtId="0" xfId="0" applyAlignment="1" applyFont="1">
      <alignment horizontal="right" shrinkToFit="0" vertical="bottom" wrapText="0"/>
    </xf>
    <xf borderId="0" fillId="19" fontId="3" numFmtId="0" xfId="0" applyAlignment="1" applyFont="1">
      <alignment vertical="bottom"/>
    </xf>
    <xf borderId="0" fillId="19" fontId="3" numFmtId="0" xfId="0" applyAlignment="1" applyFont="1">
      <alignment horizontal="right" vertical="bottom"/>
    </xf>
    <xf borderId="0" fillId="19" fontId="69" numFmtId="0" xfId="0" applyAlignment="1" applyFont="1">
      <alignment shrinkToFit="0" vertical="bottom" wrapText="0"/>
    </xf>
    <xf borderId="0" fillId="19" fontId="70" numFmtId="0" xfId="0" applyAlignment="1" applyFont="1">
      <alignment shrinkToFit="0" vertical="bottom" wrapText="0"/>
    </xf>
    <xf borderId="0" fillId="0" fontId="3" numFmtId="164" xfId="0" applyAlignment="1" applyFont="1" applyNumberFormat="1">
      <alignment horizontal="right" vertical="bottom"/>
    </xf>
    <xf borderId="0" fillId="0" fontId="71" numFmtId="0" xfId="0" applyAlignment="1" applyFont="1">
      <alignment vertical="bottom"/>
    </xf>
    <xf borderId="0" fillId="19" fontId="5" numFmtId="0" xfId="0" applyAlignment="1" applyFont="1">
      <alignment vertical="bottom"/>
    </xf>
    <xf borderId="0" fillId="0" fontId="3" numFmtId="0" xfId="0" applyAlignment="1" applyFont="1">
      <alignment shrinkToFit="0" vertical="bottom" wrapText="0"/>
    </xf>
    <xf borderId="0" fillId="0" fontId="3" numFmtId="165" xfId="0" applyAlignment="1" applyFont="1" applyNumberFormat="1">
      <alignment horizontal="right" shrinkToFit="0" vertical="bottom" wrapText="0"/>
    </xf>
    <xf borderId="0" fillId="0" fontId="3" numFmtId="0" xfId="0" applyAlignment="1" applyFont="1">
      <alignment readingOrder="0" shrinkToFit="0" vertical="bottom" wrapText="0"/>
    </xf>
    <xf borderId="0" fillId="22" fontId="3" numFmtId="0" xfId="0" applyAlignment="1" applyFont="1">
      <alignment shrinkToFit="0" vertical="bottom" wrapText="0"/>
    </xf>
    <xf borderId="0" fillId="0" fontId="72" numFmtId="0" xfId="0" applyAlignment="1" applyFont="1">
      <alignment readingOrder="0" vertical="bottom"/>
    </xf>
    <xf borderId="0" fillId="19" fontId="73" numFmtId="0" xfId="0" applyAlignment="1" applyFont="1">
      <alignment shrinkToFit="0" vertical="bottom" wrapText="0"/>
    </xf>
    <xf borderId="0" fillId="19" fontId="49" numFmtId="0" xfId="0" applyAlignment="1" applyFont="1">
      <alignment vertical="bottom"/>
    </xf>
    <xf borderId="0" fillId="19" fontId="74" numFmtId="0" xfId="0" applyAlignment="1" applyFont="1">
      <alignment vertical="bottom"/>
    </xf>
    <xf borderId="0" fillId="0" fontId="75" numFmtId="0" xfId="0" applyAlignment="1" applyFont="1">
      <alignment vertical="bottom"/>
    </xf>
    <xf borderId="0" fillId="19" fontId="49" numFmtId="0" xfId="0" applyAlignment="1" applyFont="1">
      <alignment horizontal="right" vertical="top"/>
    </xf>
    <xf borderId="0" fillId="19" fontId="49" numFmtId="0" xfId="0" applyAlignment="1" applyFont="1">
      <alignment vertical="top"/>
    </xf>
    <xf borderId="0" fillId="19" fontId="49" numFmtId="0" xfId="0" applyAlignment="1" applyFont="1">
      <alignment shrinkToFit="0" vertical="bottom" wrapText="0"/>
    </xf>
    <xf borderId="0" fillId="19" fontId="49" numFmtId="0" xfId="0" applyAlignment="1" applyFont="1">
      <alignment horizontal="right" vertical="bottom"/>
    </xf>
    <xf borderId="0" fillId="27" fontId="4" numFmtId="0" xfId="0" applyAlignment="1" applyFont="1">
      <alignment readingOrder="0"/>
    </xf>
    <xf borderId="0" fillId="27" fontId="4" numFmtId="0" xfId="0" applyFont="1"/>
    <xf borderId="0" fillId="27" fontId="4" numFmtId="165" xfId="0" applyAlignment="1" applyFont="1" applyNumberFormat="1">
      <alignment readingOrder="0"/>
    </xf>
    <xf borderId="0" fillId="23" fontId="76" numFmtId="0" xfId="0" applyAlignment="1" applyFont="1">
      <alignment readingOrder="0" vertical="bottom"/>
    </xf>
    <xf borderId="0" fillId="27" fontId="5" numFmtId="0" xfId="0" applyAlignment="1" applyFont="1">
      <alignment vertical="bottom"/>
    </xf>
    <xf borderId="0" fillId="27" fontId="5" numFmtId="164" xfId="0" applyAlignment="1" applyFont="1" applyNumberFormat="1">
      <alignment horizontal="right" vertical="bottom"/>
    </xf>
    <xf borderId="0" fillId="21" fontId="77" numFmtId="0" xfId="0" applyAlignment="1" applyFont="1">
      <alignment vertical="bottom"/>
    </xf>
    <xf borderId="0" fillId="21" fontId="78" numFmtId="0" xfId="0" applyAlignment="1" applyFont="1">
      <alignment readingOrder="0" vertical="bottom"/>
    </xf>
    <xf borderId="0" fillId="23" fontId="33" numFmtId="0" xfId="0" applyAlignment="1" applyFont="1">
      <alignment readingOrder="0" vertical="bottom"/>
    </xf>
    <xf borderId="0" fillId="23" fontId="5" numFmtId="0" xfId="0" applyAlignment="1" applyFont="1">
      <alignment horizontal="right" vertical="bottom"/>
    </xf>
    <xf borderId="0" fillId="23" fontId="79" numFmtId="168" xfId="0" applyAlignment="1" applyFont="1" applyNumberFormat="1">
      <alignment horizontal="right" readingOrder="0" vertical="bottom"/>
    </xf>
    <xf borderId="0" fillId="23" fontId="79" numFmtId="0" xfId="0" applyAlignment="1" applyFont="1">
      <alignment readingOrder="0" vertical="bottom"/>
    </xf>
    <xf borderId="0" fillId="5" fontId="5" numFmtId="0" xfId="0" applyAlignment="1" applyFont="1">
      <alignment vertical="bottom"/>
    </xf>
    <xf borderId="0" fillId="33" fontId="5" numFmtId="0" xfId="0" applyAlignment="1" applyFill="1" applyFont="1">
      <alignment horizontal="right" vertical="bottom"/>
    </xf>
    <xf borderId="0" fillId="33" fontId="33" numFmtId="0" xfId="0" applyAlignment="1" applyFont="1">
      <alignment horizontal="right" readingOrder="0" vertical="bottom"/>
    </xf>
    <xf borderId="0" fillId="33" fontId="33" numFmtId="0" xfId="0" applyAlignment="1" applyFont="1">
      <alignment readingOrder="0" vertical="bottom"/>
    </xf>
    <xf borderId="0" fillId="27" fontId="5" numFmtId="0" xfId="0" applyAlignment="1" applyFont="1">
      <alignment horizontal="right" vertical="bottom"/>
    </xf>
    <xf borderId="0" fillId="34" fontId="10" numFmtId="0" xfId="0" applyAlignment="1" applyFill="1" applyFont="1">
      <alignment readingOrder="0"/>
    </xf>
    <xf borderId="0" fillId="34" fontId="10" numFmtId="0" xfId="0" applyFont="1"/>
    <xf borderId="0" fillId="34" fontId="3" numFmtId="0" xfId="0" applyAlignment="1" applyFont="1">
      <alignment vertical="bottom"/>
    </xf>
    <xf borderId="0" fillId="34" fontId="3" numFmtId="0" xfId="0" applyAlignment="1" applyFont="1">
      <alignment vertical="bottom"/>
    </xf>
    <xf borderId="0" fillId="34" fontId="3" numFmtId="165" xfId="0" applyAlignment="1" applyFont="1" applyNumberFormat="1">
      <alignment horizontal="right" vertical="bottom"/>
    </xf>
    <xf borderId="0" fillId="34" fontId="3" numFmtId="165" xfId="0" applyAlignment="1" applyFont="1" applyNumberFormat="1">
      <alignment horizontal="right" readingOrder="0" vertical="bottom"/>
    </xf>
    <xf borderId="0" fillId="34" fontId="3" numFmtId="0" xfId="0" applyAlignment="1" applyFont="1">
      <alignment shrinkToFit="0" vertical="bottom" wrapText="0"/>
    </xf>
    <xf borderId="0" fillId="34" fontId="5" numFmtId="0" xfId="0" applyAlignment="1" applyFont="1">
      <alignment readingOrder="0" vertical="bottom"/>
    </xf>
    <xf borderId="0" fillId="34" fontId="3" numFmtId="0" xfId="0" applyAlignment="1" applyFont="1">
      <alignment vertical="bottom"/>
    </xf>
    <xf borderId="0" fillId="34" fontId="5" numFmtId="0" xfId="0" applyAlignment="1" applyFont="1">
      <alignment vertical="bottom"/>
    </xf>
    <xf borderId="0" fillId="34" fontId="4" numFmtId="0" xfId="0" applyAlignment="1" applyFont="1">
      <alignment readingOrder="0"/>
    </xf>
    <xf borderId="0" fillId="34" fontId="3" numFmtId="0" xfId="0" applyAlignment="1" applyFont="1">
      <alignment readingOrder="0" shrinkToFit="0" vertical="bottom" wrapText="0"/>
    </xf>
    <xf borderId="0" fillId="34" fontId="3" numFmtId="0" xfId="0" applyAlignment="1" applyFont="1">
      <alignment horizontal="right" vertical="bottom"/>
    </xf>
    <xf borderId="0" fillId="34" fontId="3" numFmtId="0" xfId="0" applyAlignment="1" applyFont="1">
      <alignment readingOrder="0" vertical="bottom"/>
    </xf>
    <xf borderId="0" fillId="5" fontId="3" numFmtId="0" xfId="0" applyAlignment="1" applyFont="1">
      <alignment vertical="bottom"/>
    </xf>
    <xf borderId="0" fillId="34" fontId="5" numFmtId="0" xfId="0" applyAlignment="1" applyFont="1">
      <alignment vertical="bottom"/>
    </xf>
    <xf borderId="0" fillId="5" fontId="3" numFmtId="0" xfId="0" applyAlignment="1" applyFont="1">
      <alignment readingOrder="0" shrinkToFit="0" vertical="bottom" wrapText="0"/>
    </xf>
    <xf borderId="0" fillId="31" fontId="10" numFmtId="0" xfId="0" applyFont="1"/>
    <xf borderId="0" fillId="31" fontId="3" numFmtId="0" xfId="0" applyAlignment="1" applyFont="1">
      <alignment vertical="bottom"/>
    </xf>
    <xf borderId="0" fillId="31" fontId="3" numFmtId="0" xfId="0" applyAlignment="1" applyFont="1">
      <alignment vertical="bottom"/>
    </xf>
    <xf borderId="0" fillId="31" fontId="3" numFmtId="165" xfId="0" applyAlignment="1" applyFont="1" applyNumberFormat="1">
      <alignment horizontal="right" vertical="bottom"/>
    </xf>
    <xf borderId="0" fillId="31" fontId="5" numFmtId="0" xfId="0" applyAlignment="1" applyFont="1">
      <alignment readingOrder="0" vertical="bottom"/>
    </xf>
    <xf borderId="0" fillId="31" fontId="5" numFmtId="0" xfId="0" applyAlignment="1" applyFont="1">
      <alignment vertical="bottom"/>
    </xf>
    <xf borderId="0" fillId="31" fontId="4" numFmtId="0" xfId="0" applyAlignment="1" applyFont="1">
      <alignment readingOrder="0"/>
    </xf>
    <xf borderId="0" fillId="35" fontId="3" numFmtId="0" xfId="0" applyAlignment="1" applyFill="1" applyFont="1">
      <alignment readingOrder="0" vertical="bottom"/>
    </xf>
    <xf borderId="0" fillId="5" fontId="3" numFmtId="0" xfId="0" applyAlignment="1" applyFont="1">
      <alignment horizontal="right" vertical="bottom"/>
    </xf>
    <xf borderId="0" fillId="5" fontId="3" numFmtId="0" xfId="0" applyAlignment="1" applyFont="1">
      <alignment vertical="bottom"/>
    </xf>
    <xf borderId="0" fillId="31" fontId="3" numFmtId="0" xfId="0" applyAlignment="1" applyFont="1">
      <alignment horizontal="right" vertical="bottom"/>
    </xf>
    <xf borderId="0" fillId="31" fontId="3" numFmtId="0" xfId="0" applyAlignment="1" applyFont="1">
      <alignment horizontal="right" vertical="bottom"/>
    </xf>
    <xf borderId="0" fillId="5" fontId="3" numFmtId="0" xfId="0" applyAlignment="1" applyFont="1">
      <alignment horizontal="right" vertical="bottom"/>
    </xf>
    <xf borderId="0" fillId="20" fontId="33" numFmtId="0" xfId="0" applyAlignment="1" applyFont="1">
      <alignment vertical="bottom"/>
    </xf>
    <xf borderId="0" fillId="20" fontId="80" numFmtId="0" xfId="0" applyAlignment="1" applyFont="1">
      <alignment vertical="bottom"/>
    </xf>
    <xf borderId="0" fillId="20" fontId="81" numFmtId="0" xfId="0" applyAlignment="1" applyFont="1">
      <alignment vertical="bottom"/>
    </xf>
    <xf borderId="0" fillId="20" fontId="82" numFmtId="0" xfId="0" applyAlignment="1" applyFont="1">
      <alignment readingOrder="0" vertical="bottom"/>
    </xf>
    <xf borderId="0" fillId="0" fontId="5" numFmtId="0" xfId="0" applyAlignment="1" applyFont="1">
      <alignment horizontal="right" readingOrder="0" vertical="bottom"/>
    </xf>
    <xf borderId="0" fillId="0" fontId="5" numFmtId="0" xfId="0" applyAlignment="1" applyFont="1">
      <alignment horizontal="right" vertical="bottom"/>
    </xf>
    <xf borderId="0" fillId="20" fontId="3" numFmtId="0" xfId="0" applyAlignment="1" applyFont="1">
      <alignment shrinkToFit="0" vertical="bottom" wrapText="0"/>
    </xf>
    <xf borderId="0" fillId="20" fontId="3" numFmtId="0" xfId="0" applyAlignment="1" applyFont="1">
      <alignment shrinkToFit="0" vertical="bottom" wrapText="0"/>
    </xf>
    <xf borderId="0" fillId="20" fontId="3" numFmtId="165" xfId="0" applyAlignment="1" applyFont="1" applyNumberFormat="1">
      <alignment horizontal="right" shrinkToFit="0" vertical="bottom" wrapText="0"/>
    </xf>
    <xf borderId="0" fillId="20" fontId="3" numFmtId="0" xfId="0" applyAlignment="1" applyFont="1">
      <alignment shrinkToFit="0" vertical="bottom" wrapText="0"/>
    </xf>
    <xf borderId="0" fillId="20" fontId="3" numFmtId="0" xfId="0" applyAlignment="1" applyFont="1">
      <alignment horizontal="right" shrinkToFit="0" vertical="bottom" wrapText="0"/>
    </xf>
    <xf borderId="0" fillId="20" fontId="3" numFmtId="0" xfId="0" applyAlignment="1" applyFont="1">
      <alignment horizontal="right" vertical="bottom"/>
    </xf>
    <xf borderId="0" fillId="20" fontId="83" numFmtId="0" xfId="0" applyAlignment="1" applyFont="1">
      <alignment vertical="bottom"/>
    </xf>
    <xf borderId="0" fillId="20" fontId="84" numFmtId="0" xfId="0" applyAlignment="1" applyFont="1">
      <alignment shrinkToFit="0" vertical="bottom" wrapText="0"/>
    </xf>
    <xf borderId="0" fillId="20" fontId="3" numFmtId="164" xfId="0" applyAlignment="1" applyFont="1" applyNumberFormat="1">
      <alignment horizontal="right" vertical="bottom"/>
    </xf>
    <xf borderId="0" fillId="20" fontId="3" numFmtId="164" xfId="0" applyAlignment="1" applyFont="1" applyNumberFormat="1">
      <alignment horizontal="right" shrinkToFit="0" vertical="bottom" wrapText="0"/>
    </xf>
    <xf borderId="1" fillId="20" fontId="3" numFmtId="0" xfId="0" applyAlignment="1" applyBorder="1" applyFont="1">
      <alignment shrinkToFit="0" vertical="bottom" wrapText="0"/>
    </xf>
    <xf borderId="0" fillId="20" fontId="3" numFmtId="0" xfId="0" applyAlignment="1" applyFont="1">
      <alignment readingOrder="0" shrinkToFit="0" vertical="bottom" wrapText="0"/>
    </xf>
    <xf borderId="0" fillId="20" fontId="3" numFmtId="0" xfId="0" applyAlignment="1" applyFont="1">
      <alignment horizontal="right" readingOrder="0" shrinkToFit="0" vertical="bottom" wrapText="0"/>
    </xf>
    <xf borderId="0" fillId="20" fontId="85" numFmtId="0" xfId="0" applyAlignment="1" applyFont="1">
      <alignment shrinkToFit="0" vertical="bottom" wrapText="0"/>
    </xf>
    <xf borderId="1" fillId="20" fontId="3" numFmtId="0" xfId="0" applyAlignment="1" applyBorder="1" applyFont="1">
      <alignment vertical="bottom"/>
    </xf>
    <xf borderId="0" fillId="20" fontId="86" numFmtId="0" xfId="0" applyAlignment="1" applyFont="1">
      <alignment horizontal="right" vertical="bottom"/>
    </xf>
    <xf borderId="0" fillId="20" fontId="86" numFmtId="0" xfId="0" applyAlignment="1" applyFont="1">
      <alignment vertical="bottom"/>
    </xf>
    <xf borderId="1" fillId="22" fontId="87" numFmtId="0" xfId="0" applyAlignment="1" applyBorder="1" applyFont="1">
      <alignment readingOrder="0"/>
    </xf>
    <xf borderId="1" fillId="0" fontId="5" numFmtId="0" xfId="0" applyAlignment="1" applyBorder="1" applyFont="1">
      <alignment vertical="bottom"/>
    </xf>
    <xf borderId="1" fillId="0" fontId="5" numFmtId="165" xfId="0" applyAlignment="1" applyBorder="1" applyFont="1" applyNumberFormat="1">
      <alignment horizontal="right" vertical="bottom"/>
    </xf>
    <xf borderId="1" fillId="0" fontId="5" numFmtId="164" xfId="0" applyAlignment="1" applyBorder="1" applyFont="1" applyNumberFormat="1">
      <alignment horizontal="right" vertical="bottom"/>
    </xf>
    <xf borderId="1" fillId="22" fontId="88" numFmtId="0" xfId="0" applyAlignment="1" applyBorder="1" applyFont="1">
      <alignment vertical="bottom"/>
    </xf>
    <xf borderId="1" fillId="20" fontId="81" numFmtId="0" xfId="0" applyAlignment="1" applyBorder="1" applyFont="1">
      <alignment vertical="bottom"/>
    </xf>
    <xf borderId="1" fillId="0" fontId="5" numFmtId="0" xfId="0" applyAlignment="1" applyBorder="1" applyFont="1">
      <alignment vertical="bottom"/>
    </xf>
    <xf borderId="1" fillId="0" fontId="5" numFmtId="0" xfId="0" applyAlignment="1" applyBorder="1" applyFont="1">
      <alignment vertical="bottom"/>
    </xf>
    <xf borderId="1" fillId="22" fontId="3" numFmtId="0" xfId="0" applyAlignment="1" applyBorder="1" applyFont="1">
      <alignment readingOrder="0" vertical="bottom"/>
    </xf>
    <xf borderId="0" fillId="0" fontId="5" numFmtId="165" xfId="0" applyAlignment="1" applyFont="1" applyNumberFormat="1">
      <alignment horizontal="right" vertical="bottom"/>
    </xf>
    <xf borderId="0" fillId="0" fontId="5" numFmtId="164" xfId="0" applyAlignment="1" applyFont="1" applyNumberFormat="1">
      <alignment horizontal="right" vertical="bottom"/>
    </xf>
    <xf borderId="0" fillId="5" fontId="10" numFmtId="0" xfId="0" applyAlignment="1" applyFont="1">
      <alignment readingOrder="0"/>
    </xf>
    <xf borderId="0" fillId="5" fontId="10" numFmtId="0" xfId="0" applyFont="1"/>
    <xf borderId="0" fillId="27" fontId="3" numFmtId="164" xfId="0" applyAlignment="1" applyFont="1" applyNumberFormat="1">
      <alignment horizontal="right" vertical="bottom"/>
    </xf>
    <xf borderId="0" fillId="27" fontId="3" numFmtId="164" xfId="0" applyAlignment="1" applyFont="1" applyNumberFormat="1">
      <alignment horizontal="right" readingOrder="0" vertical="bottom"/>
    </xf>
    <xf borderId="1" fillId="23" fontId="3" numFmtId="0" xfId="0" applyAlignment="1" applyBorder="1" applyFont="1">
      <alignment vertical="bottom"/>
    </xf>
    <xf borderId="1" fillId="23" fontId="3" numFmtId="0" xfId="0" applyAlignment="1" applyBorder="1" applyFont="1">
      <alignment vertical="bottom"/>
    </xf>
    <xf borderId="0" fillId="23" fontId="3" numFmtId="0" xfId="0" applyAlignment="1" applyFont="1">
      <alignment horizontal="right" vertical="bottom"/>
    </xf>
    <xf borderId="0" fillId="36" fontId="10" numFmtId="0" xfId="0" applyAlignment="1" applyFill="1" applyFont="1">
      <alignment readingOrder="0"/>
    </xf>
    <xf borderId="0" fillId="36" fontId="10" numFmtId="0" xfId="0" applyFont="1"/>
    <xf borderId="0" fillId="0" fontId="5" numFmtId="165" xfId="0" applyAlignment="1" applyFont="1" applyNumberFormat="1">
      <alignment readingOrder="0" vertical="bottom"/>
    </xf>
    <xf borderId="0" fillId="5" fontId="89" numFmtId="0" xfId="0" applyAlignment="1" applyFont="1">
      <alignment readingOrder="0" vertical="bottom"/>
    </xf>
    <xf borderId="0" fillId="5" fontId="5" numFmtId="0" xfId="0" applyAlignment="1" applyFont="1">
      <alignment vertical="bottom"/>
    </xf>
    <xf borderId="0" fillId="0" fontId="89" numFmtId="0" xfId="0" applyAlignment="1" applyFont="1">
      <alignment readingOrder="0" vertical="bottom"/>
    </xf>
    <xf borderId="0" fillId="5" fontId="28" numFmtId="0" xfId="0" applyAlignment="1" applyFont="1">
      <alignment horizontal="right" readingOrder="0" vertical="bottom"/>
    </xf>
    <xf borderId="1" fillId="16" fontId="3" numFmtId="0" xfId="0" applyAlignment="1" applyBorder="1" applyFont="1">
      <alignment readingOrder="0" vertical="bottom"/>
    </xf>
    <xf borderId="1" fillId="0" fontId="3" numFmtId="0" xfId="0" applyAlignment="1" applyBorder="1" applyFont="1">
      <alignment readingOrder="0" vertical="bottom"/>
    </xf>
    <xf borderId="1" fillId="0" fontId="3" numFmtId="165" xfId="0" applyAlignment="1" applyBorder="1" applyFont="1" applyNumberFormat="1">
      <alignment horizontal="right" vertical="bottom"/>
    </xf>
    <xf borderId="1" fillId="0" fontId="5" numFmtId="0" xfId="0" applyAlignment="1" applyBorder="1" applyFont="1">
      <alignment readingOrder="0" vertical="bottom"/>
    </xf>
    <xf borderId="1" fillId="0" fontId="28" numFmtId="0" xfId="0" applyAlignment="1" applyBorder="1" applyFont="1">
      <alignment readingOrder="0" vertical="bottom"/>
    </xf>
    <xf borderId="1" fillId="0" fontId="10" numFmtId="0" xfId="0" applyBorder="1" applyFont="1"/>
    <xf borderId="1" fillId="0" fontId="29" numFmtId="0" xfId="0" applyAlignment="1" applyBorder="1" applyFont="1">
      <alignment readingOrder="0" vertical="bottom"/>
    </xf>
    <xf borderId="1" fillId="0" fontId="3" numFmtId="0" xfId="0" applyAlignment="1" applyBorder="1" applyFont="1">
      <alignment horizontal="right" readingOrder="0" vertical="bottom"/>
    </xf>
    <xf borderId="1" fillId="5" fontId="3" numFmtId="0" xfId="0" applyAlignment="1" applyBorder="1" applyFont="1">
      <alignment horizontal="right" readingOrder="0" vertical="bottom"/>
    </xf>
    <xf borderId="1" fillId="5" fontId="3" numFmtId="0" xfId="0" applyAlignment="1" applyBorder="1" applyFont="1">
      <alignment readingOrder="0" vertical="bottom"/>
    </xf>
    <xf borderId="1" fillId="5" fontId="28" numFmtId="0" xfId="0" applyAlignment="1" applyBorder="1" applyFont="1">
      <alignment horizontal="right" readingOrder="0" vertical="bottom"/>
    </xf>
    <xf borderId="1" fillId="5" fontId="5" numFmtId="0" xfId="0" applyAlignment="1" applyBorder="1" applyFont="1">
      <alignment readingOrder="0" vertical="bottom"/>
    </xf>
    <xf borderId="1" fillId="0" fontId="30" numFmtId="0" xfId="0" applyAlignment="1" applyBorder="1" applyFont="1">
      <alignment horizontal="right" readingOrder="0" vertical="bottom"/>
    </xf>
    <xf borderId="1" fillId="5" fontId="89" numFmtId="0" xfId="0" applyAlignment="1" applyBorder="1" applyFont="1">
      <alignment readingOrder="0" vertical="bottom"/>
    </xf>
    <xf borderId="1" fillId="0" fontId="89" numFmtId="0" xfId="0" applyAlignment="1" applyBorder="1" applyFont="1">
      <alignment readingOrder="0" vertical="bottom"/>
    </xf>
    <xf borderId="0" fillId="36" fontId="4" numFmtId="0" xfId="0" applyAlignment="1" applyFont="1">
      <alignment readingOrder="0"/>
    </xf>
    <xf borderId="0" fillId="36" fontId="4" numFmtId="0" xfId="0" applyFont="1"/>
    <xf borderId="1" fillId="0" fontId="10" numFmtId="0" xfId="0" applyAlignment="1" applyBorder="1" applyFont="1">
      <alignment readingOrder="0"/>
    </xf>
    <xf borderId="0" fillId="0" fontId="5" numFmtId="168" xfId="0" applyAlignment="1" applyFont="1" applyNumberFormat="1">
      <alignment horizontal="right" vertical="bottom"/>
    </xf>
    <xf borderId="0" fillId="22" fontId="90" numFmtId="0" xfId="0" applyAlignment="1" applyFont="1">
      <alignment vertical="bottom"/>
    </xf>
    <xf borderId="0" fillId="5" fontId="5" numFmtId="0" xfId="0" applyAlignment="1" applyFont="1">
      <alignment horizontal="right" readingOrder="0" vertical="bottom"/>
    </xf>
    <xf borderId="0" fillId="0" fontId="5" numFmtId="169" xfId="0" applyAlignment="1" applyFont="1" applyNumberFormat="1">
      <alignment horizontal="right" vertical="bottom"/>
    </xf>
    <xf borderId="0" fillId="0" fontId="5" numFmtId="164" xfId="0" applyAlignment="1" applyFont="1" applyNumberFormat="1">
      <alignment horizontal="right" readingOrder="0" vertical="bottom"/>
    </xf>
    <xf borderId="0" fillId="14" fontId="3" numFmtId="166" xfId="0" applyAlignment="1" applyFont="1" applyNumberFormat="1">
      <alignment horizontal="right" vertical="bottom"/>
    </xf>
    <xf borderId="0" fillId="14" fontId="3" numFmtId="166" xfId="0" applyAlignment="1" applyFont="1" applyNumberFormat="1">
      <alignment horizontal="right" readingOrder="0" vertical="bottom"/>
    </xf>
    <xf borderId="0" fillId="22" fontId="3" numFmtId="0" xfId="0" applyAlignment="1" applyFont="1">
      <alignment vertical="bottom"/>
    </xf>
    <xf borderId="0" fillId="22" fontId="5" numFmtId="0" xfId="0" applyAlignment="1" applyFont="1">
      <alignment vertical="bottom"/>
    </xf>
    <xf borderId="0" fillId="22" fontId="3" numFmtId="0" xfId="0" applyAlignment="1" applyFont="1">
      <alignment horizontal="right" vertical="bottom"/>
    </xf>
    <xf borderId="0" fillId="22" fontId="5" numFmtId="0" xfId="0" applyAlignment="1" applyFont="1">
      <alignment vertical="bottom"/>
    </xf>
    <xf borderId="0" fillId="23" fontId="3" numFmtId="166" xfId="0" applyAlignment="1" applyFont="1" applyNumberFormat="1">
      <alignment horizontal="right" readingOrder="0" vertical="bottom"/>
    </xf>
    <xf borderId="0" fillId="21" fontId="3" numFmtId="0" xfId="0" applyAlignment="1" applyFont="1">
      <alignment readingOrder="0" vertical="bottom"/>
    </xf>
    <xf borderId="0" fillId="27" fontId="3" numFmtId="0" xfId="0" applyAlignment="1" applyFont="1">
      <alignment vertical="bottom"/>
    </xf>
    <xf borderId="0" fillId="27" fontId="3" numFmtId="0" xfId="0" applyAlignment="1" applyFont="1">
      <alignment horizontal="right" vertical="bottom"/>
    </xf>
    <xf borderId="0" fillId="32" fontId="3" numFmtId="0" xfId="0" applyAlignment="1" applyFont="1">
      <alignment vertical="bottom"/>
    </xf>
    <xf borderId="0" fillId="32" fontId="3" numFmtId="0" xfId="0" applyAlignment="1" applyFont="1">
      <alignment vertical="bottom"/>
    </xf>
    <xf borderId="0" fillId="32" fontId="5" numFmtId="0" xfId="0" applyAlignment="1" applyFont="1">
      <alignment vertical="bottom"/>
    </xf>
    <xf borderId="0" fillId="32" fontId="3" numFmtId="0" xfId="0" applyAlignment="1" applyFont="1">
      <alignment horizontal="right" vertical="bottom"/>
    </xf>
    <xf borderId="0" fillId="32" fontId="5" numFmtId="0" xfId="0" applyAlignment="1" applyFont="1">
      <alignment vertical="bottom"/>
    </xf>
    <xf borderId="0" fillId="23" fontId="91" numFmtId="0" xfId="0" applyAlignment="1" applyFont="1">
      <alignment vertical="bottom"/>
    </xf>
    <xf borderId="0" fillId="27" fontId="92" numFmtId="0" xfId="0" applyAlignment="1" applyFont="1">
      <alignment readingOrder="0" vertical="bottom"/>
    </xf>
    <xf borderId="0" fillId="14" fontId="3" numFmtId="0" xfId="0" applyAlignment="1" applyFont="1">
      <alignment shrinkToFit="0" vertical="bottom" wrapText="0"/>
    </xf>
    <xf borderId="0" fillId="23" fontId="3" numFmtId="166" xfId="0" applyAlignment="1" applyFont="1" applyNumberFormat="1">
      <alignment horizontal="right" vertical="bottom"/>
    </xf>
    <xf borderId="0" fillId="14" fontId="93" numFmtId="0" xfId="0" applyAlignment="1" applyFont="1">
      <alignment vertical="bottom"/>
    </xf>
    <xf borderId="0" fillId="23" fontId="3" numFmtId="0" xfId="0" applyAlignment="1" applyFont="1">
      <alignment shrinkToFit="0" vertical="bottom" wrapText="0"/>
    </xf>
    <xf borderId="0" fillId="23" fontId="94" numFmtId="0" xfId="0" applyAlignment="1" applyFont="1">
      <alignment vertical="bottom"/>
    </xf>
    <xf borderId="0" fillId="5" fontId="3" numFmtId="166" xfId="0" applyAlignment="1" applyFont="1" applyNumberFormat="1">
      <alignment horizontal="right" vertical="bottom"/>
    </xf>
    <xf borderId="0" fillId="5" fontId="5" numFmtId="0" xfId="0" applyAlignment="1" applyFont="1">
      <alignment vertical="bottom"/>
    </xf>
    <xf borderId="0" fillId="5" fontId="95" numFmtId="0" xfId="0" applyAlignment="1" applyFont="1">
      <alignment vertical="bottom"/>
    </xf>
    <xf borderId="0" fillId="0" fontId="96" numFmtId="0" xfId="0" applyAlignment="1" applyFont="1">
      <alignment vertical="bottom"/>
    </xf>
    <xf borderId="0" fillId="0" fontId="97" numFmtId="0" xfId="0" applyAlignment="1" applyFont="1">
      <alignment vertical="bottom"/>
    </xf>
    <xf borderId="0" fillId="24" fontId="5" numFmtId="0" xfId="0" applyAlignment="1" applyFont="1">
      <alignment vertical="bottom"/>
    </xf>
    <xf borderId="0" fillId="20" fontId="98" numFmtId="0" xfId="0" applyAlignment="1" applyFont="1">
      <alignment vertical="bottom"/>
    </xf>
    <xf borderId="0" fillId="14" fontId="10" numFmtId="0" xfId="0" applyAlignment="1" applyFont="1">
      <alignment readingOrder="0" shrinkToFit="0" wrapText="0"/>
    </xf>
    <xf borderId="0" fillId="14" fontId="10" numFmtId="0" xfId="0" applyAlignment="1" applyFont="1">
      <alignment shrinkToFit="0" wrapText="0"/>
    </xf>
    <xf borderId="0" fillId="14" fontId="5" numFmtId="0" xfId="0" applyAlignment="1" applyFont="1">
      <alignment shrinkToFit="0" vertical="bottom" wrapText="0"/>
    </xf>
    <xf borderId="0" fillId="14" fontId="3" numFmtId="164" xfId="0" applyAlignment="1" applyFont="1" applyNumberFormat="1">
      <alignment horizontal="right" shrinkToFit="0" vertical="bottom" wrapText="0"/>
    </xf>
    <xf borderId="0" fillId="14" fontId="3" numFmtId="164" xfId="0" applyAlignment="1" applyFont="1" applyNumberFormat="1">
      <alignment horizontal="right" readingOrder="0" shrinkToFit="0" vertical="bottom" wrapText="0"/>
    </xf>
    <xf borderId="0" fillId="14" fontId="5" numFmtId="0" xfId="0" applyAlignment="1" applyFont="1">
      <alignment shrinkToFit="0" vertical="bottom" wrapText="0"/>
    </xf>
    <xf borderId="0" fillId="2" fontId="5" numFmtId="0" xfId="0" applyAlignment="1" applyFont="1">
      <alignment readingOrder="0" shrinkToFit="0" vertical="bottom" wrapText="0"/>
    </xf>
    <xf borderId="0" fillId="14" fontId="99" numFmtId="0" xfId="0" applyAlignment="1" applyFont="1">
      <alignment readingOrder="0" shrinkToFit="0" vertical="bottom" wrapText="0"/>
    </xf>
    <xf borderId="0" fillId="14" fontId="3" numFmtId="0" xfId="0" applyAlignment="1" applyFont="1">
      <alignment horizontal="right" shrinkToFit="0" vertical="bottom" wrapText="0"/>
    </xf>
    <xf borderId="1" fillId="0" fontId="3" numFmtId="0" xfId="0" applyAlignment="1" applyBorder="1" applyFont="1">
      <alignment vertical="bottom"/>
    </xf>
    <xf borderId="0" fillId="14" fontId="100" numFmtId="0" xfId="0" applyAlignment="1" applyFont="1">
      <alignment readingOrder="0" shrinkToFit="0" vertical="bottom" wrapText="0"/>
    </xf>
    <xf borderId="0" fillId="14" fontId="101" numFmtId="0" xfId="0" applyAlignment="1" applyFont="1">
      <alignment shrinkToFit="0" vertical="bottom" wrapText="0"/>
    </xf>
    <xf borderId="0" fillId="14" fontId="102" numFmtId="0" xfId="0" applyAlignment="1" applyFont="1">
      <alignment horizontal="right" shrinkToFit="0" vertical="bottom" wrapText="0"/>
    </xf>
    <xf borderId="0" fillId="14" fontId="5" numFmtId="0" xfId="0" applyAlignment="1" applyFont="1">
      <alignment shrinkToFit="0" vertical="bottom" wrapText="0"/>
    </xf>
    <xf borderId="0" fillId="0" fontId="5" numFmtId="0" xfId="0" applyAlignment="1" applyFont="1">
      <alignment readingOrder="0" shrinkToFit="0" vertical="bottom" wrapText="0"/>
    </xf>
    <xf borderId="0" fillId="23" fontId="10" numFmtId="0" xfId="0" applyAlignment="1" applyFont="1">
      <alignment readingOrder="0" shrinkToFit="0" wrapText="0"/>
    </xf>
    <xf borderId="0" fillId="23" fontId="10" numFmtId="0" xfId="0" applyAlignment="1" applyFont="1">
      <alignment shrinkToFit="0" wrapText="0"/>
    </xf>
    <xf borderId="0" fillId="23" fontId="3" numFmtId="0" xfId="0" applyAlignment="1" applyFont="1">
      <alignment shrinkToFit="0" vertical="bottom" wrapText="0"/>
    </xf>
    <xf borderId="0" fillId="23" fontId="3" numFmtId="165" xfId="0" applyAlignment="1" applyFont="1" applyNumberFormat="1">
      <alignment horizontal="right" readingOrder="0" shrinkToFit="0" vertical="bottom" wrapText="0"/>
    </xf>
    <xf borderId="0" fillId="23" fontId="5" numFmtId="0" xfId="0" applyAlignment="1" applyFont="1">
      <alignment readingOrder="0" shrinkToFit="0" vertical="bottom" wrapText="0"/>
    </xf>
    <xf borderId="0" fillId="23" fontId="103" numFmtId="0" xfId="0" applyAlignment="1" applyFont="1">
      <alignment shrinkToFit="0" vertical="bottom" wrapText="0"/>
    </xf>
    <xf borderId="0" fillId="23" fontId="5" numFmtId="0" xfId="0" applyAlignment="1" applyFont="1">
      <alignment shrinkToFit="0" vertical="bottom" wrapText="0"/>
    </xf>
    <xf borderId="0" fillId="23" fontId="104" numFmtId="0" xfId="0" applyAlignment="1" applyFont="1">
      <alignment shrinkToFit="0" vertical="bottom" wrapText="0"/>
    </xf>
    <xf borderId="0" fillId="23" fontId="3" numFmtId="0" xfId="0" applyAlignment="1" applyFont="1">
      <alignment readingOrder="0" shrinkToFit="0" vertical="bottom" wrapText="0"/>
    </xf>
    <xf borderId="0" fillId="23" fontId="3" numFmtId="0" xfId="0" applyAlignment="1" applyFont="1">
      <alignment horizontal="right" shrinkToFit="0" vertical="bottom" wrapText="0"/>
    </xf>
    <xf borderId="0" fillId="23" fontId="3" numFmtId="0" xfId="0" applyAlignment="1" applyFont="1">
      <alignment horizontal="right" readingOrder="0" shrinkToFit="0" vertical="bottom" wrapText="0"/>
    </xf>
    <xf borderId="0" fillId="14" fontId="5" numFmtId="0" xfId="0" applyAlignment="1" applyFont="1">
      <alignment readingOrder="0" shrinkToFit="0" vertical="bottom" wrapText="0"/>
    </xf>
    <xf borderId="0" fillId="23" fontId="3" numFmtId="165" xfId="0" applyAlignment="1" applyFont="1" applyNumberFormat="1">
      <alignment horizontal="right" shrinkToFit="0" vertical="bottom" wrapText="0"/>
    </xf>
    <xf borderId="0" fillId="23" fontId="3" numFmtId="0" xfId="0" applyAlignment="1" applyFont="1">
      <alignment shrinkToFit="0" vertical="bottom" wrapText="0"/>
    </xf>
    <xf borderId="0" fillId="23" fontId="3" numFmtId="0" xfId="0" applyAlignment="1" applyFont="1">
      <alignment horizontal="right" shrinkToFit="0" vertical="bottom" wrapText="0"/>
    </xf>
    <xf borderId="0" fillId="23" fontId="3" numFmtId="3" xfId="0" applyAlignment="1" applyFont="1" applyNumberFormat="1">
      <alignment horizontal="right" shrinkToFit="0" vertical="bottom" wrapText="0"/>
    </xf>
    <xf borderId="0" fillId="23" fontId="11" numFmtId="0" xfId="0" applyAlignment="1" applyFont="1">
      <alignment horizontal="right" readingOrder="0" shrinkToFit="0" vertical="bottom" wrapText="0"/>
    </xf>
    <xf borderId="0" fillId="24" fontId="3" numFmtId="164" xfId="0" applyAlignment="1" applyFont="1" applyNumberFormat="1">
      <alignment horizontal="right" vertical="bottom"/>
    </xf>
    <xf borderId="0" fillId="24" fontId="3" numFmtId="166" xfId="0" applyAlignment="1" applyFont="1" applyNumberFormat="1">
      <alignment horizontal="right" readingOrder="0" vertical="bottom"/>
    </xf>
    <xf borderId="0" fillId="29" fontId="5" numFmtId="0" xfId="0" applyAlignment="1" applyFont="1">
      <alignment readingOrder="0" vertical="bottom"/>
    </xf>
    <xf borderId="0" fillId="24" fontId="105" numFmtId="0" xfId="0" applyAlignment="1" applyFont="1">
      <alignment vertical="bottom"/>
    </xf>
    <xf borderId="0" fillId="24" fontId="3" numFmtId="0" xfId="0" applyAlignment="1" applyFont="1">
      <alignment horizontal="right" vertical="bottom"/>
    </xf>
    <xf borderId="0" fillId="24" fontId="3" numFmtId="170" xfId="0" applyAlignment="1" applyFont="1" applyNumberFormat="1">
      <alignment horizontal="right" vertical="bottom"/>
    </xf>
    <xf borderId="0" fillId="24" fontId="3" numFmtId="0" xfId="0" applyAlignment="1" applyFont="1">
      <alignment horizontal="right" vertical="bottom"/>
    </xf>
    <xf borderId="0" fillId="24" fontId="106" numFmtId="0" xfId="0" applyAlignment="1" applyFont="1">
      <alignment vertical="bottom"/>
    </xf>
    <xf borderId="0" fillId="29" fontId="107" numFmtId="0" xfId="0" applyAlignment="1" applyFont="1">
      <alignment readingOrder="0" vertical="bottom"/>
    </xf>
    <xf borderId="0" fillId="29" fontId="4" numFmtId="0" xfId="0" applyAlignment="1" applyFont="1">
      <alignment readingOrder="0"/>
    </xf>
    <xf borderId="0" fillId="29" fontId="4" numFmtId="0" xfId="0" applyFont="1"/>
    <xf borderId="0" fillId="29" fontId="3" numFmtId="0" xfId="0" applyAlignment="1" applyFont="1">
      <alignment readingOrder="0" vertical="bottom"/>
    </xf>
    <xf borderId="0" fillId="29" fontId="3" numFmtId="166" xfId="0" applyAlignment="1" applyFont="1" applyNumberFormat="1">
      <alignment horizontal="right" vertical="bottom"/>
    </xf>
    <xf borderId="0" fillId="29" fontId="3" numFmtId="166" xfId="0" applyAlignment="1" applyFont="1" applyNumberFormat="1">
      <alignment horizontal="right" readingOrder="0" vertical="bottom"/>
    </xf>
    <xf borderId="0" fillId="37" fontId="3" numFmtId="0" xfId="0" applyAlignment="1" applyFill="1" applyFont="1">
      <alignment horizontal="right" vertical="bottom"/>
    </xf>
    <xf borderId="0" fillId="29" fontId="3" numFmtId="0" xfId="0" applyAlignment="1" applyFont="1">
      <alignment horizontal="right" readingOrder="0" vertical="bottom"/>
    </xf>
    <xf borderId="0" fillId="29" fontId="5" numFmtId="0" xfId="0" applyAlignment="1" applyFont="1">
      <alignment horizontal="right" readingOrder="0" vertical="bottom"/>
    </xf>
    <xf borderId="0" fillId="29" fontId="108" numFmtId="0" xfId="0" applyAlignment="1" applyFont="1">
      <alignment vertical="bottom"/>
    </xf>
    <xf borderId="0" fillId="24" fontId="106" numFmtId="164" xfId="0" applyAlignment="1" applyFont="1" applyNumberFormat="1">
      <alignment horizontal="right" vertical="bottom"/>
    </xf>
    <xf borderId="0" fillId="24" fontId="106" numFmtId="0" xfId="0" applyAlignment="1" applyFont="1">
      <alignment vertical="bottom"/>
    </xf>
    <xf borderId="0" fillId="24" fontId="109" numFmtId="0" xfId="0" applyAlignment="1" applyFont="1">
      <alignment vertical="bottom"/>
    </xf>
    <xf borderId="0" fillId="24" fontId="106" numFmtId="0" xfId="0" applyAlignment="1" applyFont="1">
      <alignment horizontal="right" vertical="bottom"/>
    </xf>
    <xf borderId="0" fillId="24" fontId="110" numFmtId="0" xfId="0" applyAlignment="1" applyFont="1">
      <alignment vertical="bottom"/>
    </xf>
    <xf borderId="0" fillId="13" fontId="3" numFmtId="0" xfId="0" applyAlignment="1" applyFont="1">
      <alignment horizontal="right" vertical="bottom"/>
    </xf>
    <xf borderId="0" fillId="23" fontId="111" numFmtId="0" xfId="0" applyAlignment="1" applyFont="1">
      <alignment vertical="bottom"/>
    </xf>
    <xf borderId="0" fillId="23" fontId="112" numFmtId="0" xfId="0" applyAlignment="1" applyFont="1">
      <alignment horizontal="right" vertical="bottom"/>
    </xf>
    <xf borderId="0" fillId="23" fontId="113" numFmtId="0" xfId="0" applyAlignment="1" applyFont="1">
      <alignment readingOrder="0" vertical="bottom"/>
    </xf>
    <xf borderId="0" fillId="23" fontId="114" numFmtId="0" xfId="0" applyAlignment="1" applyFont="1">
      <alignment vertical="bottom"/>
    </xf>
    <xf borderId="0" fillId="23" fontId="5" numFmtId="3" xfId="0" applyAlignment="1" applyFont="1" applyNumberFormat="1">
      <alignment vertical="bottom"/>
    </xf>
    <xf borderId="0" fillId="30" fontId="3" numFmtId="165" xfId="0" applyAlignment="1" applyFont="1" applyNumberFormat="1">
      <alignment horizontal="right" vertical="bottom"/>
    </xf>
    <xf borderId="0" fillId="30" fontId="3" numFmtId="164" xfId="0" applyAlignment="1" applyFont="1" applyNumberFormat="1">
      <alignment horizontal="right" vertical="bottom"/>
    </xf>
    <xf borderId="0" fillId="30" fontId="3" numFmtId="0" xfId="0" applyAlignment="1" applyFont="1">
      <alignment vertical="bottom"/>
    </xf>
    <xf borderId="0" fillId="30" fontId="115" numFmtId="0" xfId="0" applyAlignment="1" applyFont="1">
      <alignment readingOrder="0" vertical="bottom"/>
    </xf>
    <xf borderId="0" fillId="30" fontId="5" numFmtId="0" xfId="0" applyAlignment="1" applyFont="1">
      <alignment vertical="bottom"/>
    </xf>
    <xf borderId="0" fillId="30" fontId="116" numFmtId="0" xfId="0" applyAlignment="1" applyFont="1">
      <alignment readingOrder="0" vertical="bottom"/>
    </xf>
    <xf borderId="0" fillId="30" fontId="5" numFmtId="165" xfId="0" applyAlignment="1" applyFont="1" applyNumberFormat="1">
      <alignment vertical="bottom"/>
    </xf>
    <xf borderId="0" fillId="30" fontId="5" numFmtId="164" xfId="0" applyAlignment="1" applyFont="1" applyNumberFormat="1">
      <alignment vertical="bottom"/>
    </xf>
    <xf borderId="0" fillId="30" fontId="117" numFmtId="0" xfId="0" applyAlignment="1" applyFont="1">
      <alignment vertical="bottom"/>
    </xf>
    <xf borderId="0" fillId="30" fontId="118" numFmtId="0" xfId="0" applyAlignment="1" applyFont="1">
      <alignment horizontal="right" vertical="bottom"/>
    </xf>
    <xf borderId="0" fillId="14" fontId="4" numFmtId="0" xfId="0" applyAlignment="1" applyFont="1">
      <alignment readingOrder="0"/>
    </xf>
    <xf borderId="0" fillId="14" fontId="119" numFmtId="0" xfId="0" applyAlignment="1" applyFont="1">
      <alignment vertical="bottom"/>
    </xf>
    <xf borderId="0" fillId="14" fontId="120" numFmtId="0" xfId="0" applyAlignment="1" applyFont="1">
      <alignment vertical="bottom"/>
    </xf>
    <xf borderId="0" fillId="23" fontId="3" numFmtId="170" xfId="0" applyAlignment="1" applyFont="1" applyNumberFormat="1">
      <alignment horizontal="right" vertical="bottom"/>
    </xf>
    <xf borderId="0" fillId="23" fontId="121" numFmtId="0" xfId="0" applyAlignment="1" applyFont="1">
      <alignment vertical="bottom"/>
    </xf>
    <xf borderId="0" fillId="23" fontId="122" numFmtId="0" xfId="0" applyAlignment="1" applyFont="1">
      <alignment vertical="bottom"/>
    </xf>
    <xf borderId="0" fillId="23" fontId="106" numFmtId="164" xfId="0" applyAlignment="1" applyFont="1" applyNumberFormat="1">
      <alignment horizontal="right" vertical="bottom"/>
    </xf>
    <xf borderId="0" fillId="23" fontId="28" numFmtId="0" xfId="0" applyAlignment="1" applyFont="1">
      <alignment vertical="bottom"/>
    </xf>
    <xf borderId="0" fillId="23" fontId="106" numFmtId="0" xfId="0" applyAlignment="1" applyFont="1">
      <alignment vertical="bottom"/>
    </xf>
    <xf borderId="0" fillId="0" fontId="123" numFmtId="0" xfId="0" applyAlignment="1" applyFont="1">
      <alignment vertical="bottom"/>
    </xf>
    <xf borderId="0" fillId="0" fontId="123" numFmtId="0" xfId="0" applyAlignment="1" applyFont="1">
      <alignment vertical="bottom"/>
    </xf>
    <xf borderId="0" fillId="0" fontId="124" numFmtId="0" xfId="0" applyAlignment="1" applyFont="1">
      <alignment vertical="bottom"/>
    </xf>
    <xf borderId="0" fillId="0" fontId="125" numFmtId="0" xfId="0" applyAlignment="1" applyFont="1">
      <alignment vertical="bottom"/>
    </xf>
    <xf borderId="0" fillId="21" fontId="3" numFmtId="166" xfId="0" applyAlignment="1" applyFont="1" applyNumberFormat="1">
      <alignment horizontal="right" vertical="bottom"/>
    </xf>
    <xf borderId="0" fillId="21" fontId="3" numFmtId="164" xfId="0" applyAlignment="1" applyFont="1" applyNumberFormat="1">
      <alignment horizontal="right" readingOrder="0" vertical="bottom"/>
    </xf>
    <xf borderId="0" fillId="23" fontId="3" numFmtId="0" xfId="0" applyAlignment="1" applyFont="1">
      <alignment horizontal="right" readingOrder="0" vertical="bottom"/>
    </xf>
    <xf borderId="0" fillId="29" fontId="126" numFmtId="0" xfId="0" applyAlignment="1" applyFont="1">
      <alignment readingOrder="0" vertical="bottom"/>
    </xf>
    <xf borderId="0" fillId="21" fontId="3" numFmtId="164" xfId="0" applyAlignment="1" applyFont="1" applyNumberFormat="1">
      <alignment horizontal="right" vertical="bottom"/>
    </xf>
    <xf borderId="0" fillId="14" fontId="3" numFmtId="170" xfId="0" applyAlignment="1" applyFont="1" applyNumberFormat="1">
      <alignment horizontal="right" vertical="bottom"/>
    </xf>
    <xf borderId="0" fillId="14" fontId="123" numFmtId="0" xfId="0" applyAlignment="1" applyFont="1">
      <alignment vertical="bottom"/>
    </xf>
    <xf borderId="0" fillId="14" fontId="123" numFmtId="0" xfId="0" applyAlignment="1" applyFont="1">
      <alignment vertical="bottom"/>
    </xf>
    <xf borderId="0" fillId="21" fontId="4" numFmtId="0" xfId="0" applyFont="1"/>
    <xf borderId="0" fillId="0" fontId="127" numFmtId="0" xfId="0" applyAlignment="1" applyFont="1">
      <alignment readingOrder="0" vertical="bottom"/>
    </xf>
    <xf borderId="0" fillId="23" fontId="5" numFmtId="171" xfId="0" applyAlignment="1" applyFont="1" applyNumberFormat="1">
      <alignment readingOrder="0" vertical="bottom"/>
    </xf>
    <xf borderId="0" fillId="28" fontId="128" numFmtId="0" xfId="0" applyAlignment="1" applyFont="1">
      <alignment vertical="bottom"/>
    </xf>
    <xf borderId="0" fillId="28" fontId="5" numFmtId="171" xfId="0" applyAlignment="1" applyFont="1" applyNumberFormat="1">
      <alignment readingOrder="0" vertical="bottom"/>
    </xf>
    <xf borderId="0" fillId="28" fontId="129" numFmtId="0" xfId="0" applyAlignment="1" applyFont="1">
      <alignment vertical="bottom"/>
    </xf>
    <xf borderId="0" fillId="28" fontId="5" numFmtId="0" xfId="0" applyAlignment="1" applyFont="1">
      <alignment readingOrder="0" vertical="bottom"/>
    </xf>
    <xf borderId="0" fillId="28" fontId="3" numFmtId="0" xfId="0" applyAlignment="1" applyFont="1">
      <alignment horizontal="right" vertical="bottom"/>
    </xf>
    <xf borderId="0" fillId="15" fontId="10" numFmtId="0" xfId="0" applyFont="1"/>
    <xf borderId="0" fillId="28" fontId="3" numFmtId="0" xfId="0" applyAlignment="1" applyFont="1">
      <alignment horizontal="right" readingOrder="0" vertical="bottom"/>
    </xf>
    <xf borderId="0" fillId="28" fontId="5" numFmtId="0" xfId="0" applyAlignment="1" applyFont="1">
      <alignment vertical="bottom"/>
    </xf>
    <xf borderId="0" fillId="5" fontId="4" numFmtId="0" xfId="0" applyAlignment="1" applyFont="1">
      <alignment readingOrder="0"/>
    </xf>
    <xf borderId="0" fillId="5" fontId="4" numFmtId="0" xfId="0" applyFont="1"/>
    <xf borderId="0" fillId="0" fontId="3" numFmtId="167" xfId="0" applyAlignment="1" applyFont="1" applyNumberFormat="1">
      <alignment horizontal="right" vertical="bottom"/>
    </xf>
    <xf borderId="0" fillId="32" fontId="3" numFmtId="0" xfId="0" applyAlignment="1" applyFont="1">
      <alignment vertical="bottom"/>
    </xf>
    <xf borderId="0" fillId="4" fontId="3" numFmtId="0" xfId="0" applyAlignment="1" applyFont="1">
      <alignment vertical="bottom"/>
    </xf>
    <xf borderId="0" fillId="20" fontId="130" numFmtId="0" xfId="0" applyAlignment="1" applyFont="1">
      <alignment readingOrder="0"/>
    </xf>
    <xf borderId="0" fillId="2" fontId="131" numFmtId="0" xfId="0" applyAlignment="1" applyFont="1">
      <alignment readingOrder="0" vertical="bottom"/>
    </xf>
    <xf borderId="0" fillId="5" fontId="132" numFmtId="0" xfId="0" applyAlignment="1" applyFont="1">
      <alignment readingOrder="0" vertical="bottom"/>
    </xf>
    <xf borderId="0" fillId="0" fontId="133" numFmtId="0" xfId="0" applyAlignment="1" applyFont="1">
      <alignment readingOrder="0" vertical="bottom"/>
    </xf>
    <xf borderId="0" fillId="0" fontId="3" numFmtId="0" xfId="0" applyAlignment="1" applyFont="1">
      <alignment horizontal="right" vertical="bottom"/>
    </xf>
    <xf borderId="0" fillId="23" fontId="11" numFmtId="0" xfId="0" applyAlignment="1" applyFont="1">
      <alignment vertical="bottom"/>
    </xf>
    <xf borderId="0" fillId="23" fontId="123" numFmtId="0" xfId="0" applyAlignment="1" applyFont="1">
      <alignment vertical="bottom"/>
    </xf>
    <xf borderId="0" fillId="19" fontId="48" numFmtId="0" xfId="0" applyAlignment="1" applyFont="1">
      <alignment vertical="bottom"/>
    </xf>
    <xf borderId="0" fillId="23" fontId="123" numFmtId="0" xfId="0" applyAlignment="1" applyFont="1">
      <alignment vertical="bottom"/>
    </xf>
    <xf borderId="0" fillId="14" fontId="48" numFmtId="0" xfId="0" applyAlignment="1" applyFont="1">
      <alignment horizontal="right" readingOrder="0" vertical="bottom"/>
    </xf>
    <xf borderId="0" fillId="14" fontId="50" numFmtId="0" xfId="0" applyAlignment="1" applyFont="1">
      <alignment vertical="bottom"/>
    </xf>
    <xf borderId="0" fillId="15" fontId="10" numFmtId="0" xfId="0" applyAlignment="1" applyFont="1">
      <alignment readingOrder="0"/>
    </xf>
    <xf borderId="0" fillId="15" fontId="3" numFmtId="0" xfId="0" applyAlignment="1" applyFont="1">
      <alignment vertical="bottom"/>
    </xf>
    <xf borderId="0" fillId="15" fontId="3" numFmtId="0" xfId="0" applyAlignment="1" applyFont="1">
      <alignment vertical="bottom"/>
    </xf>
    <xf borderId="0" fillId="15" fontId="3" numFmtId="164" xfId="0" applyAlignment="1" applyFont="1" applyNumberFormat="1">
      <alignment horizontal="right" vertical="bottom"/>
    </xf>
    <xf borderId="0" fillId="15" fontId="5" numFmtId="0" xfId="0" applyAlignment="1" applyFont="1">
      <alignment readingOrder="0" vertical="bottom"/>
    </xf>
    <xf borderId="0" fillId="15" fontId="3" numFmtId="0" xfId="0" applyAlignment="1" applyFont="1">
      <alignment vertical="bottom"/>
    </xf>
    <xf borderId="0" fillId="15" fontId="134" numFmtId="0" xfId="0" applyAlignment="1" applyFont="1">
      <alignment readingOrder="0" vertical="bottom"/>
    </xf>
    <xf borderId="0" fillId="15" fontId="5" numFmtId="0" xfId="0" applyAlignment="1" applyFont="1">
      <alignment vertical="bottom"/>
    </xf>
    <xf borderId="0" fillId="15" fontId="3" numFmtId="0" xfId="0" applyAlignment="1" applyFont="1">
      <alignment horizontal="right" vertical="bottom"/>
    </xf>
    <xf borderId="0" fillId="15" fontId="28" numFmtId="0" xfId="0" applyAlignment="1" applyFont="1">
      <alignment readingOrder="0" vertical="bottom"/>
    </xf>
    <xf borderId="0" fillId="15" fontId="123" numFmtId="0" xfId="0" applyAlignment="1" applyFont="1">
      <alignment vertical="bottom"/>
    </xf>
    <xf borderId="0" fillId="29" fontId="3" numFmtId="164" xfId="0" applyAlignment="1" applyFont="1" applyNumberFormat="1">
      <alignment horizontal="right" vertical="bottom"/>
    </xf>
    <xf borderId="0" fillId="29" fontId="3" numFmtId="0" xfId="0" applyAlignment="1" applyFont="1">
      <alignment horizontal="right" vertical="bottom"/>
    </xf>
    <xf borderId="0" fillId="29" fontId="3" numFmtId="170" xfId="0" applyAlignment="1" applyFont="1" applyNumberFormat="1">
      <alignment horizontal="right" vertical="bottom"/>
    </xf>
    <xf borderId="0" fillId="15" fontId="3" numFmtId="0" xfId="0" applyAlignment="1" applyFont="1">
      <alignment readingOrder="0" vertical="bottom"/>
    </xf>
    <xf borderId="0" fillId="29" fontId="106" numFmtId="0" xfId="0" applyAlignment="1" applyFont="1">
      <alignment vertical="bottom"/>
    </xf>
    <xf borderId="0" fillId="26" fontId="3" numFmtId="0" xfId="0" applyAlignment="1" applyFont="1">
      <alignment vertical="bottom"/>
    </xf>
    <xf borderId="0" fillId="26" fontId="3" numFmtId="165" xfId="0" applyAlignment="1" applyFont="1" applyNumberFormat="1">
      <alignment horizontal="right" vertical="bottom"/>
    </xf>
    <xf borderId="0" fillId="26" fontId="3" numFmtId="164" xfId="0" applyAlignment="1" applyFont="1" applyNumberFormat="1">
      <alignment horizontal="right" vertical="bottom"/>
    </xf>
    <xf borderId="0" fillId="26" fontId="3" numFmtId="0" xfId="0" applyAlignment="1" applyFont="1">
      <alignment horizontal="right" vertical="bottom"/>
    </xf>
    <xf borderId="0" fillId="26" fontId="3" numFmtId="0" xfId="0" applyAlignment="1" applyFont="1">
      <alignment vertical="bottom"/>
    </xf>
    <xf borderId="0" fillId="26" fontId="5" numFmtId="0" xfId="0" applyAlignment="1" applyFont="1">
      <alignment vertical="bottom"/>
    </xf>
    <xf borderId="0" fillId="38" fontId="3" numFmtId="0" xfId="0" applyAlignment="1" applyFill="1" applyFont="1">
      <alignment vertical="bottom"/>
    </xf>
    <xf borderId="0" fillId="38" fontId="3" numFmtId="0" xfId="0" applyAlignment="1" applyFont="1">
      <alignment readingOrder="0" vertical="bottom"/>
    </xf>
    <xf borderId="0" fillId="26" fontId="5" numFmtId="0" xfId="0" applyAlignment="1" applyFont="1">
      <alignment vertical="bottom"/>
    </xf>
    <xf borderId="0" fillId="26" fontId="106" numFmtId="0" xfId="0" applyAlignment="1" applyFont="1">
      <alignment vertical="bottom"/>
    </xf>
    <xf borderId="0" fillId="38" fontId="10" numFmtId="0" xfId="0" applyAlignment="1" applyFont="1">
      <alignment readingOrder="0"/>
    </xf>
    <xf borderId="0" fillId="38" fontId="10" numFmtId="0" xfId="0" applyFont="1"/>
    <xf borderId="0" fillId="38" fontId="3" numFmtId="0" xfId="0" applyAlignment="1" applyFont="1">
      <alignment vertical="bottom"/>
    </xf>
    <xf borderId="0" fillId="38" fontId="3" numFmtId="165" xfId="0" applyAlignment="1" applyFont="1" applyNumberFormat="1">
      <alignment horizontal="right" vertical="bottom"/>
    </xf>
    <xf borderId="0" fillId="38" fontId="5" numFmtId="0" xfId="0" applyAlignment="1" applyFont="1">
      <alignment vertical="bottom"/>
    </xf>
    <xf borderId="0" fillId="38" fontId="3" numFmtId="0" xfId="0" applyAlignment="1" applyFont="1">
      <alignment horizontal="right" vertical="bottom"/>
    </xf>
    <xf borderId="0" fillId="38" fontId="5" numFmtId="0" xfId="0" applyAlignment="1" applyFont="1">
      <alignment vertical="bottom"/>
    </xf>
    <xf borderId="0" fillId="38" fontId="3" numFmtId="0" xfId="0" applyAlignment="1" applyFont="1">
      <alignment horizontal="right" vertical="bottom"/>
    </xf>
    <xf borderId="0" fillId="21" fontId="5" numFmtId="0" xfId="0" applyAlignment="1" applyFont="1">
      <alignment horizontal="right" vertical="bottom"/>
    </xf>
    <xf borderId="0" fillId="38" fontId="5" numFmtId="0" xfId="0" applyAlignment="1" applyFont="1">
      <alignment horizontal="right" vertical="bottom"/>
    </xf>
    <xf borderId="0" fillId="18" fontId="10" numFmtId="0" xfId="0" applyFont="1"/>
    <xf borderId="0" fillId="26" fontId="106" numFmtId="0" xfId="0" applyAlignment="1" applyFont="1">
      <alignment vertical="bottom"/>
    </xf>
    <xf borderId="0" fillId="26" fontId="106" numFmtId="0" xfId="0" applyAlignment="1" applyFont="1">
      <alignment vertical="bottom"/>
    </xf>
    <xf borderId="0" fillId="38" fontId="5" numFmtId="165" xfId="0" applyAlignment="1" applyFont="1" applyNumberFormat="1">
      <alignment vertical="bottom"/>
    </xf>
    <xf borderId="0" fillId="31" fontId="5" numFmtId="0" xfId="0" applyAlignment="1" applyFont="1">
      <alignment horizontal="right" vertical="bottom"/>
    </xf>
    <xf borderId="0" fillId="38" fontId="5" numFmtId="0" xfId="0" applyAlignment="1" applyFont="1">
      <alignment readingOrder="0" vertical="bottom"/>
    </xf>
    <xf borderId="0" fillId="21" fontId="3" numFmtId="0" xfId="0" applyAlignment="1" applyFont="1">
      <alignment horizontal="right" vertical="bottom"/>
    </xf>
    <xf borderId="0" fillId="27" fontId="5" numFmtId="0" xfId="0" applyAlignment="1" applyFont="1">
      <alignment horizontal="right" vertical="bottom"/>
    </xf>
    <xf borderId="0" fillId="38" fontId="5" numFmtId="0" xfId="0" applyAlignment="1" applyFont="1">
      <alignment horizontal="right" vertical="bottom"/>
    </xf>
    <xf borderId="0" fillId="14" fontId="48" numFmtId="0" xfId="0" applyAlignment="1" applyFont="1">
      <alignment vertical="bottom"/>
    </xf>
    <xf borderId="0" fillId="23" fontId="106" numFmtId="0" xfId="0" applyAlignment="1" applyFont="1">
      <alignment vertical="bottom"/>
    </xf>
    <xf borderId="0" fillId="15" fontId="3" numFmtId="164" xfId="0" applyAlignment="1" applyFont="1" applyNumberFormat="1">
      <alignment horizontal="right" readingOrder="0" vertical="bottom"/>
    </xf>
    <xf borderId="0" fillId="15" fontId="135" numFmtId="0" xfId="0" applyAlignment="1" applyFont="1">
      <alignment vertical="bottom"/>
    </xf>
    <xf borderId="0" fillId="15" fontId="136" numFmtId="0" xfId="0" applyAlignment="1" applyFont="1">
      <alignment readingOrder="0" vertical="bottom"/>
    </xf>
    <xf borderId="0" fillId="15" fontId="5" numFmtId="0" xfId="0" applyAlignment="1" applyFont="1">
      <alignment vertical="bottom"/>
    </xf>
    <xf borderId="0" fillId="15" fontId="123" numFmtId="0" xfId="0" applyAlignment="1" applyFont="1">
      <alignment vertical="bottom"/>
    </xf>
    <xf borderId="0" fillId="15" fontId="11" numFmtId="0" xfId="0" applyAlignment="1" applyFont="1">
      <alignment vertical="bottom"/>
    </xf>
    <xf borderId="0" fillId="29" fontId="11" numFmtId="0" xfId="0" applyAlignment="1" applyFont="1">
      <alignment vertical="bottom"/>
    </xf>
    <xf borderId="0" fillId="29" fontId="5" numFmtId="0" xfId="0" applyAlignment="1" applyFont="1">
      <alignment horizontal="right" vertical="bottom"/>
    </xf>
    <xf borderId="0" fillId="29" fontId="137" numFmtId="0" xfId="0" applyAlignment="1" applyFont="1">
      <alignment vertical="bottom"/>
    </xf>
    <xf borderId="0" fillId="0" fontId="5" numFmtId="164" xfId="0" applyAlignment="1" applyFont="1" applyNumberFormat="1">
      <alignment vertical="bottom"/>
    </xf>
    <xf borderId="0" fillId="30" fontId="123" numFmtId="0" xfId="0" applyAlignment="1" applyFont="1">
      <alignment vertical="bottom"/>
    </xf>
    <xf borderId="0" fillId="30" fontId="123" numFmtId="0" xfId="0" applyAlignment="1" applyFont="1">
      <alignment vertical="bottom"/>
    </xf>
    <xf borderId="0" fillId="30" fontId="138" numFmtId="0" xfId="0" applyAlignment="1" applyFont="1">
      <alignment vertical="bottom"/>
    </xf>
    <xf borderId="0" fillId="30" fontId="138" numFmtId="0" xfId="0" applyAlignment="1" applyFont="1">
      <alignment vertical="bottom"/>
    </xf>
    <xf borderId="0" fillId="0" fontId="139" numFmtId="0" xfId="0" applyAlignment="1" applyFont="1">
      <alignment readingOrder="0"/>
    </xf>
    <xf borderId="0" fillId="23" fontId="5" numFmtId="164" xfId="0" applyAlignment="1" applyFont="1" applyNumberFormat="1">
      <alignment vertical="bottom"/>
    </xf>
    <xf borderId="0" fillId="23" fontId="48" numFmtId="0" xfId="0" applyAlignment="1" applyFont="1">
      <alignment vertical="bottom"/>
    </xf>
    <xf borderId="0" fillId="23" fontId="140" numFmtId="0" xfId="0" applyAlignment="1" applyFont="1">
      <alignment readingOrder="0" vertical="bottom"/>
    </xf>
    <xf borderId="0" fillId="14" fontId="141" numFmtId="0" xfId="0" applyAlignment="1" applyFont="1">
      <alignment readingOrder="0" vertical="bottom"/>
    </xf>
    <xf borderId="0" fillId="14" fontId="3" numFmtId="0" xfId="0" applyAlignment="1" applyFont="1">
      <alignment horizontal="right" vertical="bottom"/>
    </xf>
    <xf borderId="0" fillId="14" fontId="5" numFmtId="164" xfId="0" applyAlignment="1" applyFont="1" applyNumberFormat="1">
      <alignment vertical="bottom"/>
    </xf>
    <xf borderId="0" fillId="34" fontId="3" numFmtId="164" xfId="0" applyAlignment="1" applyFont="1" applyNumberFormat="1">
      <alignment horizontal="right" vertical="bottom"/>
    </xf>
    <xf borderId="0" fillId="34" fontId="3" numFmtId="164" xfId="0" applyAlignment="1" applyFont="1" applyNumberFormat="1">
      <alignment horizontal="right" readingOrder="0" vertical="bottom"/>
    </xf>
    <xf borderId="0" fillId="34" fontId="142" numFmtId="0" xfId="0" applyAlignment="1" applyFont="1">
      <alignment vertical="bottom"/>
    </xf>
    <xf borderId="0" fillId="34" fontId="5" numFmtId="0" xfId="0" applyAlignment="1" applyFont="1">
      <alignment vertical="bottom"/>
    </xf>
    <xf borderId="0" fillId="31" fontId="5" numFmtId="0" xfId="0" applyAlignment="1" applyFont="1">
      <alignment vertical="bottom"/>
    </xf>
    <xf borderId="0" fillId="31" fontId="5" numFmtId="0" xfId="0" applyAlignment="1" applyFont="1">
      <alignment vertical="bottom"/>
    </xf>
    <xf borderId="0" fillId="0" fontId="3" numFmtId="171" xfId="0" applyAlignment="1" applyFont="1" applyNumberFormat="1">
      <alignment horizontal="right" vertical="bottom"/>
    </xf>
    <xf borderId="0" fillId="31" fontId="3" numFmtId="0" xfId="0" applyAlignment="1" applyFont="1">
      <alignment horizontal="right" readingOrder="0" vertical="bottom"/>
    </xf>
    <xf borderId="0" fillId="31" fontId="3" numFmtId="0" xfId="0" applyAlignment="1" applyFont="1">
      <alignment horizontal="right" vertical="bottom"/>
    </xf>
    <xf borderId="0" fillId="21" fontId="3" numFmtId="171" xfId="0" applyAlignment="1" applyFont="1" applyNumberFormat="1">
      <alignment horizontal="right" vertical="bottom"/>
    </xf>
    <xf borderId="0" fillId="21" fontId="143" numFmtId="0" xfId="0" applyAlignment="1" applyFont="1">
      <alignment readingOrder="0" vertical="bottom"/>
    </xf>
    <xf borderId="0" fillId="21" fontId="3" numFmtId="0" xfId="0" applyAlignment="1" applyFont="1">
      <alignment horizontal="right" readingOrder="0" vertical="bottom"/>
    </xf>
    <xf borderId="0" fillId="21" fontId="5" numFmtId="165" xfId="0" applyAlignment="1" applyFont="1" applyNumberFormat="1">
      <alignment vertical="bottom"/>
    </xf>
    <xf borderId="0" fillId="20" fontId="144" numFmtId="0" xfId="0" applyAlignment="1" applyFont="1">
      <alignment vertical="bottom"/>
    </xf>
    <xf borderId="0" fillId="20" fontId="48" numFmtId="0" xfId="0" applyAlignment="1" applyFont="1">
      <alignment horizontal="right" vertical="bottom"/>
    </xf>
    <xf borderId="0" fillId="20" fontId="48" numFmtId="0" xfId="0" applyAlignment="1" applyFont="1">
      <alignment vertical="bottom"/>
    </xf>
    <xf borderId="0" fillId="20" fontId="48" numFmtId="0" xfId="0" applyAlignment="1" applyFont="1">
      <alignment vertical="bottom"/>
    </xf>
    <xf borderId="0" fillId="20" fontId="48" numFmtId="0" xfId="0" applyAlignment="1" applyFont="1">
      <alignment vertical="bottom"/>
    </xf>
    <xf borderId="0" fillId="20" fontId="50" numFmtId="0" xfId="0" applyAlignment="1" applyFont="1">
      <alignment vertical="bottom"/>
    </xf>
    <xf borderId="0" fillId="31" fontId="4" numFmtId="0" xfId="0" applyFont="1"/>
    <xf borderId="0" fillId="31" fontId="4" numFmtId="164" xfId="0" applyAlignment="1" applyFont="1" applyNumberFormat="1">
      <alignment readingOrder="0"/>
    </xf>
    <xf borderId="0" fillId="31" fontId="11" numFmtId="0" xfId="0" applyAlignment="1" applyFont="1">
      <alignment readingOrder="0"/>
    </xf>
    <xf borderId="0" fillId="31" fontId="145" numFmtId="0" xfId="0" applyAlignment="1" applyFont="1">
      <alignment readingOrder="0"/>
    </xf>
    <xf borderId="0" fillId="5" fontId="146" numFmtId="0" xfId="0" applyAlignment="1" applyFont="1">
      <alignment readingOrder="0"/>
    </xf>
    <xf borderId="0" fillId="34" fontId="4" numFmtId="0" xfId="0" applyFont="1"/>
    <xf borderId="0" fillId="34" fontId="4" numFmtId="164" xfId="0" applyAlignment="1" applyFont="1" applyNumberFormat="1">
      <alignment readingOrder="0"/>
    </xf>
    <xf borderId="0" fillId="34" fontId="147" numFmtId="0" xfId="0" applyAlignment="1" applyFont="1">
      <alignment readingOrder="0"/>
    </xf>
    <xf borderId="0" fillId="34" fontId="11" numFmtId="0" xfId="0" applyAlignment="1" applyFont="1">
      <alignment readingOrder="0"/>
    </xf>
    <xf borderId="0" fillId="17" fontId="10" numFmtId="0" xfId="0" applyFont="1"/>
    <xf borderId="0" fillId="14" fontId="4" numFmtId="0" xfId="0" applyFont="1"/>
    <xf borderId="0" fillId="14" fontId="148" numFmtId="0" xfId="0" applyAlignment="1" applyFont="1">
      <alignment readingOrder="0" vertical="bottom"/>
    </xf>
    <xf borderId="0" fillId="14" fontId="11" numFmtId="0" xfId="0" applyAlignment="1" applyFont="1">
      <alignment readingOrder="0" vertical="bottom"/>
    </xf>
    <xf borderId="0" fillId="23" fontId="149" numFmtId="0" xfId="0" applyAlignment="1" applyFont="1">
      <alignment readingOrder="0" vertical="bottom"/>
    </xf>
    <xf borderId="0" fillId="23" fontId="11" numFmtId="0" xfId="0" applyAlignment="1" applyFont="1">
      <alignment readingOrder="0" vertical="bottom"/>
    </xf>
    <xf borderId="0" fillId="14" fontId="3" numFmtId="164" xfId="0" applyAlignment="1" applyFont="1" applyNumberFormat="1">
      <alignment horizontal="right" readingOrder="0" vertical="bottom"/>
    </xf>
    <xf borderId="0" fillId="14" fontId="3" numFmtId="0" xfId="0" applyAlignment="1" applyFont="1">
      <alignment shrinkToFit="0" vertical="bottom" wrapText="0"/>
    </xf>
    <xf borderId="0" fillId="14" fontId="3" numFmtId="0" xfId="0" applyAlignment="1" applyFont="1">
      <alignment horizontal="right" shrinkToFit="0" vertical="bottom" wrapText="0"/>
    </xf>
    <xf borderId="0" fillId="14" fontId="5" numFmtId="49" xfId="0" applyAlignment="1" applyFont="1" applyNumberFormat="1">
      <alignment readingOrder="0" shrinkToFit="0" vertical="bottom" wrapText="0"/>
    </xf>
    <xf borderId="0" fillId="14" fontId="3" numFmtId="49" xfId="0" applyAlignment="1" applyFont="1" applyNumberFormat="1">
      <alignment shrinkToFit="0" vertical="bottom" wrapText="0"/>
    </xf>
    <xf borderId="0" fillId="14" fontId="3" numFmtId="0" xfId="0" applyAlignment="1" applyFont="1">
      <alignment horizontal="right" shrinkToFit="0" vertical="bottom" wrapText="0"/>
    </xf>
    <xf borderId="0" fillId="14" fontId="5" numFmtId="0" xfId="0" applyAlignment="1" applyFont="1">
      <alignment shrinkToFit="0" vertical="bottom" wrapText="0"/>
    </xf>
    <xf borderId="0" fillId="31" fontId="150" numFmtId="0" xfId="0" applyAlignment="1" applyFont="1">
      <alignment vertical="bottom"/>
    </xf>
    <xf borderId="0" fillId="31" fontId="5" numFmtId="165" xfId="0" applyAlignment="1" applyFont="1" applyNumberFormat="1">
      <alignment vertical="bottom"/>
    </xf>
    <xf borderId="0" fillId="0" fontId="2" numFmtId="0" xfId="0" applyAlignment="1" applyFont="1">
      <alignment horizontal="right" vertical="bottom"/>
    </xf>
    <xf borderId="0" fillId="0" fontId="3" numFmtId="0" xfId="0" applyAlignment="1" applyFont="1">
      <alignment horizontal="right" shrinkToFit="0" vertical="bottom" wrapText="0"/>
    </xf>
    <xf borderId="0" fillId="0" fontId="5" numFmtId="49" xfId="0" applyAlignment="1" applyFont="1" applyNumberFormat="1">
      <alignment readingOrder="0" shrinkToFit="0" vertical="bottom" wrapText="0"/>
    </xf>
    <xf borderId="0" fillId="0" fontId="3" numFmtId="49" xfId="0" applyAlignment="1" applyFont="1" applyNumberFormat="1">
      <alignment shrinkToFit="0" vertical="bottom" wrapText="0"/>
    </xf>
    <xf borderId="0" fillId="0" fontId="3" numFmtId="0" xfId="0" applyAlignment="1" applyFont="1">
      <alignment horizontal="right" shrinkToFit="0" vertical="bottom" wrapText="0"/>
    </xf>
    <xf borderId="0" fillId="0" fontId="5" numFmtId="0" xfId="0" applyAlignment="1" applyFont="1">
      <alignment shrinkToFit="0" vertical="bottom" wrapText="0"/>
    </xf>
    <xf borderId="0" fillId="26" fontId="3" numFmtId="0" xfId="0" applyAlignment="1" applyFont="1">
      <alignment horizontal="right" vertical="bottom"/>
    </xf>
    <xf borderId="0" fillId="26" fontId="5" numFmtId="165" xfId="0" applyAlignment="1" applyFont="1" applyNumberFormat="1">
      <alignment vertical="bottom"/>
    </xf>
    <xf borderId="0" fillId="23" fontId="151" numFmtId="0" xfId="0" applyAlignment="1" applyFont="1">
      <alignment vertical="bottom"/>
    </xf>
    <xf borderId="0" fillId="23" fontId="152" numFmtId="0" xfId="0" applyAlignment="1" applyFont="1">
      <alignment horizontal="right" vertical="bottom"/>
    </xf>
    <xf borderId="0" fillId="23" fontId="153" numFmtId="0" xfId="0" applyAlignment="1" applyFont="1">
      <alignment vertical="bottom"/>
    </xf>
    <xf borderId="0" fillId="23" fontId="154" numFmtId="0" xfId="0" applyAlignment="1" applyFont="1">
      <alignment vertical="bottom"/>
    </xf>
    <xf borderId="0" fillId="18" fontId="10" numFmtId="0" xfId="0" applyAlignment="1" applyFont="1">
      <alignment readingOrder="0"/>
    </xf>
    <xf borderId="0" fillId="18" fontId="3" numFmtId="0" xfId="0" applyAlignment="1" applyFont="1">
      <alignment vertical="bottom"/>
    </xf>
    <xf borderId="0" fillId="18" fontId="3" numFmtId="0" xfId="0" applyAlignment="1" applyFont="1">
      <alignment vertical="bottom"/>
    </xf>
    <xf borderId="0" fillId="18" fontId="3" numFmtId="164" xfId="0" applyAlignment="1" applyFont="1" applyNumberFormat="1">
      <alignment horizontal="right" vertical="bottom"/>
    </xf>
    <xf borderId="0" fillId="18" fontId="5" numFmtId="0" xfId="0" applyAlignment="1" applyFont="1">
      <alignment vertical="bottom"/>
    </xf>
    <xf borderId="0" fillId="18" fontId="3" numFmtId="0" xfId="0" applyAlignment="1" applyFont="1">
      <alignment horizontal="right" vertical="bottom"/>
    </xf>
    <xf borderId="0" fillId="18" fontId="3" numFmtId="0" xfId="0" applyAlignment="1" applyFont="1">
      <alignment vertical="bottom"/>
    </xf>
    <xf borderId="0" fillId="18" fontId="55" numFmtId="0" xfId="0" applyAlignment="1" applyFont="1">
      <alignment horizontal="right" vertical="bottom"/>
    </xf>
    <xf borderId="0" fillId="18" fontId="11" numFmtId="0" xfId="0" applyAlignment="1" applyFont="1">
      <alignment readingOrder="0" vertical="bottom"/>
    </xf>
    <xf borderId="0" fillId="24" fontId="11" numFmtId="0" xfId="0" applyAlignment="1" applyFont="1">
      <alignment vertical="bottom"/>
    </xf>
    <xf borderId="0" fillId="18" fontId="3" numFmtId="3" xfId="0" applyAlignment="1" applyFont="1" applyNumberFormat="1">
      <alignment horizontal="right" vertical="bottom"/>
    </xf>
    <xf borderId="0" fillId="18" fontId="5" numFmtId="0" xfId="0" applyAlignment="1" applyFont="1">
      <alignment vertical="bottom"/>
    </xf>
    <xf borderId="0" fillId="18" fontId="5" numFmtId="0" xfId="0" applyAlignment="1" applyFont="1">
      <alignment vertical="bottom"/>
    </xf>
    <xf borderId="0" fillId="18" fontId="155" numFmtId="0" xfId="0" applyAlignment="1" applyFont="1">
      <alignment vertical="bottom"/>
    </xf>
    <xf borderId="0" fillId="24" fontId="3" numFmtId="165" xfId="0" applyAlignment="1" applyFont="1" applyNumberFormat="1">
      <alignment horizontal="right" vertical="bottom"/>
    </xf>
    <xf borderId="0" fillId="24" fontId="156" numFmtId="0" xfId="0" applyAlignment="1" applyFont="1">
      <alignment readingOrder="0" vertical="bottom"/>
    </xf>
    <xf borderId="0" fillId="18" fontId="11" numFmtId="0" xfId="0" applyAlignment="1" applyFont="1">
      <alignment horizontal="right" vertical="bottom"/>
    </xf>
    <xf borderId="0" fillId="24" fontId="33" numFmtId="0" xfId="0" applyAlignment="1" applyFont="1">
      <alignment readingOrder="0" vertical="bottom"/>
    </xf>
    <xf borderId="0" fillId="24" fontId="157" numFmtId="0" xfId="0" applyAlignment="1" applyFont="1">
      <alignment vertical="bottom"/>
    </xf>
    <xf borderId="0" fillId="24" fontId="158" numFmtId="0" xfId="0" applyAlignment="1" applyFont="1">
      <alignment horizontal="right" vertical="bottom"/>
    </xf>
    <xf borderId="0" fillId="18" fontId="5" numFmtId="165" xfId="0" applyAlignment="1" applyFont="1" applyNumberFormat="1">
      <alignment vertical="bottom"/>
    </xf>
    <xf borderId="0" fillId="18" fontId="3" numFmtId="0" xfId="0" applyAlignment="1" applyFont="1">
      <alignment horizontal="right" vertical="bottom"/>
    </xf>
    <xf borderId="0" fillId="20" fontId="159" numFmtId="0" xfId="0" applyAlignment="1" applyFont="1">
      <alignment horizontal="left" readingOrder="0"/>
    </xf>
    <xf borderId="0" fillId="0" fontId="5" numFmtId="165" xfId="0" applyAlignment="1" applyFont="1" applyNumberFormat="1">
      <alignment vertical="bottom"/>
    </xf>
    <xf borderId="0" fillId="0" fontId="160" numFmtId="0" xfId="0" applyAlignment="1" applyFont="1">
      <alignment horizontal="right" vertical="bottom"/>
    </xf>
    <xf borderId="0" fillId="0" fontId="3" numFmtId="3" xfId="0" applyAlignment="1" applyFont="1" applyNumberFormat="1">
      <alignment horizontal="right" vertical="bottom"/>
    </xf>
    <xf borderId="0" fillId="20" fontId="52" numFmtId="0" xfId="0" applyAlignment="1" applyFont="1">
      <alignment readingOrder="0"/>
    </xf>
    <xf borderId="0" fillId="20" fontId="161" numFmtId="0" xfId="0" applyAlignment="1" applyFont="1">
      <alignment readingOrder="0"/>
    </xf>
    <xf borderId="0" fillId="20" fontId="162" numFmtId="0" xfId="0" applyAlignment="1" applyFont="1">
      <alignment vertical="bottom"/>
    </xf>
    <xf borderId="0" fillId="20" fontId="163" numFmtId="0" xfId="0" applyAlignment="1" applyFont="1">
      <alignment readingOrder="0" vertical="bottom"/>
    </xf>
    <xf borderId="0" fillId="21" fontId="4" numFmtId="165" xfId="0" applyAlignment="1" applyFont="1" applyNumberFormat="1">
      <alignment readingOrder="0"/>
    </xf>
    <xf borderId="0" fillId="21" fontId="164" numFmtId="0" xfId="0" applyAlignment="1" applyFont="1">
      <alignment readingOrder="0"/>
    </xf>
    <xf borderId="0" fillId="21" fontId="11" numFmtId="0" xfId="0" applyAlignment="1" applyFont="1">
      <alignment vertical="bottom"/>
    </xf>
    <xf borderId="0" fillId="21" fontId="165" numFmtId="0" xfId="0" applyAlignment="1" applyFont="1">
      <alignment readingOrder="0"/>
    </xf>
    <xf borderId="0" fillId="21" fontId="166" numFmtId="0" xfId="0" applyAlignment="1" applyFont="1">
      <alignment readingOrder="0"/>
    </xf>
    <xf borderId="0" fillId="21" fontId="11" numFmtId="0" xfId="0" applyAlignment="1" applyFont="1">
      <alignment readingOrder="0"/>
    </xf>
    <xf borderId="0" fillId="21" fontId="3" numFmtId="0" xfId="0" applyAlignment="1" applyFont="1">
      <alignment horizontal="right" vertical="bottom"/>
    </xf>
    <xf borderId="0" fillId="21" fontId="167" numFmtId="0" xfId="0" applyAlignment="1" applyFont="1">
      <alignment readingOrder="0"/>
    </xf>
    <xf borderId="0" fillId="21" fontId="168" numFmtId="0" xfId="0" applyAlignment="1" applyFont="1">
      <alignment vertical="bottom"/>
    </xf>
    <xf borderId="0" fillId="20" fontId="52" numFmtId="0" xfId="0" applyAlignment="1" applyFont="1">
      <alignment vertical="bottom"/>
    </xf>
    <xf borderId="0" fillId="20" fontId="169" numFmtId="0" xfId="0" applyAlignment="1" applyFont="1">
      <alignment readingOrder="0"/>
    </xf>
    <xf borderId="0" fillId="20" fontId="170" numFmtId="0" xfId="0" applyAlignment="1" applyFont="1">
      <alignment vertical="bottom"/>
    </xf>
    <xf borderId="0" fillId="29" fontId="171" numFmtId="0" xfId="0" applyAlignment="1" applyFont="1">
      <alignment readingOrder="0" vertical="bottom"/>
    </xf>
    <xf borderId="0" fillId="29" fontId="172" numFmtId="0" xfId="0" applyAlignment="1" applyFont="1">
      <alignment readingOrder="0" vertical="bottom"/>
    </xf>
    <xf borderId="0" fillId="29" fontId="173" numFmtId="0" xfId="0" applyAlignment="1" applyFont="1">
      <alignment vertical="bottom"/>
    </xf>
    <xf borderId="0" fillId="26" fontId="4" numFmtId="165" xfId="0" applyAlignment="1" applyFont="1" applyNumberFormat="1">
      <alignment readingOrder="0"/>
    </xf>
    <xf borderId="0" fillId="26" fontId="5" numFmtId="0" xfId="0" applyAlignment="1" applyFont="1">
      <alignment horizontal="right" vertical="bottom"/>
    </xf>
    <xf borderId="0" fillId="31" fontId="4" numFmtId="165" xfId="0" applyAlignment="1" applyFont="1" applyNumberFormat="1">
      <alignment readingOrder="0"/>
    </xf>
    <xf quotePrefix="1" borderId="0" fillId="31" fontId="4" numFmtId="0" xfId="0" applyAlignment="1" applyFont="1">
      <alignment readingOrder="0"/>
    </xf>
    <xf borderId="0" fillId="31" fontId="48" numFmtId="0" xfId="0" applyAlignment="1" applyFont="1">
      <alignment horizontal="right" vertical="bottom"/>
    </xf>
    <xf quotePrefix="1" borderId="0" fillId="31" fontId="10" numFmtId="0" xfId="0" applyAlignment="1" applyFont="1">
      <alignment readingOrder="0"/>
    </xf>
    <xf borderId="0" fillId="20" fontId="174" numFmtId="0" xfId="0" applyAlignment="1" applyFont="1">
      <alignment horizontal="right" readingOrder="0" vertical="bottom"/>
    </xf>
    <xf borderId="0" fillId="20" fontId="48" numFmtId="0" xfId="0" applyAlignment="1" applyFont="1">
      <alignment horizontal="right" readingOrder="0" vertical="bottom"/>
    </xf>
    <xf borderId="0" fillId="24" fontId="4" numFmtId="165" xfId="0" applyAlignment="1" applyFont="1" applyNumberFormat="1">
      <alignment readingOrder="0"/>
    </xf>
    <xf borderId="0" fillId="24" fontId="175" numFmtId="0" xfId="0" applyAlignment="1" applyFont="1">
      <alignment readingOrder="0" vertical="bottom"/>
    </xf>
    <xf borderId="0" fillId="24" fontId="176" numFmtId="0" xfId="0" applyAlignment="1" applyFont="1">
      <alignment vertical="bottom"/>
    </xf>
    <xf borderId="0" fillId="18" fontId="4" numFmtId="0" xfId="0" applyFont="1"/>
    <xf borderId="0" fillId="18" fontId="4" numFmtId="0" xfId="0" applyAlignment="1" applyFont="1">
      <alignment readingOrder="0"/>
    </xf>
    <xf borderId="0" fillId="18" fontId="106" numFmtId="0" xfId="0" applyAlignment="1" applyFont="1">
      <alignment vertical="bottom"/>
    </xf>
    <xf borderId="0" fillId="18" fontId="106" numFmtId="0" xfId="0" applyAlignment="1" applyFont="1">
      <alignment vertical="bottom"/>
    </xf>
    <xf borderId="0" fillId="18" fontId="106" numFmtId="165" xfId="0" applyAlignment="1" applyFont="1" applyNumberFormat="1">
      <alignment horizontal="right" vertical="bottom"/>
    </xf>
    <xf borderId="0" fillId="5" fontId="177" numFmtId="0" xfId="0" applyAlignment="1" applyFont="1">
      <alignment readingOrder="0" vertical="bottom"/>
    </xf>
    <xf borderId="0" fillId="18" fontId="178" numFmtId="0" xfId="0" applyAlignment="1" applyFont="1">
      <alignment readingOrder="0" vertical="bottom"/>
    </xf>
    <xf borderId="0" fillId="5" fontId="82" numFmtId="0" xfId="0" applyAlignment="1" applyFont="1">
      <alignment readingOrder="0" vertical="bottom"/>
    </xf>
    <xf borderId="0" fillId="18" fontId="179" numFmtId="0" xfId="0" applyAlignment="1" applyFont="1">
      <alignment vertical="bottom"/>
    </xf>
    <xf borderId="0" fillId="18" fontId="3" numFmtId="0" xfId="0" applyAlignment="1" applyFont="1">
      <alignment horizontal="right" vertical="bottom"/>
    </xf>
    <xf borderId="0" fillId="18" fontId="5" numFmtId="0" xfId="0" applyAlignment="1" applyFont="1">
      <alignment readingOrder="0" vertical="bottom"/>
    </xf>
    <xf borderId="0" fillId="14" fontId="180" numFmtId="0" xfId="0" applyAlignment="1" applyFont="1">
      <alignment readingOrder="0" vertical="bottom"/>
    </xf>
    <xf borderId="0" fillId="6" fontId="52" numFmtId="0" xfId="0" applyAlignment="1" applyFont="1">
      <alignment vertical="bottom"/>
    </xf>
    <xf borderId="0" fillId="14" fontId="181" numFmtId="0" xfId="0" applyAlignment="1" applyFont="1">
      <alignment vertical="bottom"/>
    </xf>
    <xf borderId="0" fillId="14" fontId="182" numFmtId="0" xfId="0" applyAlignment="1" applyFont="1">
      <alignment vertical="bottom"/>
    </xf>
    <xf borderId="0" fillId="6" fontId="10" numFmtId="0" xfId="0" applyAlignment="1" applyFont="1">
      <alignment readingOrder="0"/>
    </xf>
    <xf borderId="0" fillId="6" fontId="10" numFmtId="0" xfId="0" applyFont="1"/>
    <xf borderId="0" fillId="6" fontId="3" numFmtId="0" xfId="0" applyAlignment="1" applyFont="1">
      <alignment vertical="bottom"/>
    </xf>
    <xf borderId="0" fillId="6" fontId="3" numFmtId="0" xfId="0" applyAlignment="1" applyFont="1">
      <alignment vertical="bottom"/>
    </xf>
    <xf borderId="0" fillId="6" fontId="3" numFmtId="165" xfId="0" applyAlignment="1" applyFont="1" applyNumberFormat="1">
      <alignment horizontal="right" vertical="bottom"/>
    </xf>
    <xf borderId="0" fillId="6" fontId="5" numFmtId="0" xfId="0" applyAlignment="1" applyFont="1">
      <alignment vertical="bottom"/>
    </xf>
    <xf borderId="0" fillId="6" fontId="183" numFmtId="0" xfId="0" applyAlignment="1" applyFont="1">
      <alignment readingOrder="0" vertical="bottom"/>
    </xf>
    <xf borderId="0" fillId="6" fontId="184" numFmtId="0" xfId="0" applyAlignment="1" applyFont="1">
      <alignment vertical="bottom"/>
    </xf>
    <xf borderId="0" fillId="6" fontId="3" numFmtId="0" xfId="0" applyAlignment="1" applyFont="1">
      <alignment horizontal="right" vertical="bottom"/>
    </xf>
    <xf borderId="0" fillId="6" fontId="3" numFmtId="0" xfId="0" applyAlignment="1" applyFont="1">
      <alignment horizontal="right" vertical="bottom"/>
    </xf>
    <xf borderId="0" fillId="6" fontId="185" numFmtId="0" xfId="0" applyAlignment="1" applyFont="1">
      <alignment vertical="bottom"/>
    </xf>
    <xf borderId="0" fillId="6" fontId="186" numFmtId="0" xfId="0" applyAlignment="1" applyFont="1">
      <alignment vertical="bottom"/>
    </xf>
    <xf borderId="0" fillId="24" fontId="123" numFmtId="0" xfId="0" applyAlignment="1" applyFont="1">
      <alignment vertical="bottom"/>
    </xf>
    <xf borderId="0" fillId="24" fontId="82" numFmtId="0" xfId="0" applyAlignment="1" applyFont="1">
      <alignment readingOrder="0" vertical="bottom"/>
    </xf>
    <xf borderId="0" fillId="24" fontId="126" numFmtId="0" xfId="0" applyAlignment="1" applyFont="1">
      <alignment readingOrder="0" vertical="bottom"/>
    </xf>
    <xf borderId="0" fillId="34" fontId="123" numFmtId="0" xfId="0" applyAlignment="1" applyFont="1">
      <alignment vertical="bottom"/>
    </xf>
    <xf borderId="0" fillId="34" fontId="3" numFmtId="0" xfId="0" applyAlignment="1" applyFont="1">
      <alignment horizontal="right" vertical="bottom"/>
    </xf>
    <xf borderId="0" fillId="34" fontId="187" numFmtId="0" xfId="0" applyAlignment="1" applyFont="1">
      <alignment readingOrder="0" vertical="bottom"/>
    </xf>
    <xf borderId="0" fillId="34" fontId="188" numFmtId="0" xfId="0" applyAlignment="1" applyFont="1">
      <alignment vertical="bottom"/>
    </xf>
    <xf borderId="0" fillId="34" fontId="82" numFmtId="0" xfId="0" applyAlignment="1" applyFont="1">
      <alignment readingOrder="0" vertical="bottom"/>
    </xf>
    <xf borderId="0" fillId="34" fontId="3" numFmtId="0" xfId="0" applyAlignment="1" applyFont="1">
      <alignment horizontal="right" vertical="bottom"/>
    </xf>
    <xf borderId="1" fillId="24" fontId="3" numFmtId="0" xfId="0" applyAlignment="1" applyBorder="1" applyFont="1">
      <alignment vertical="bottom"/>
    </xf>
    <xf borderId="1" fillId="34" fontId="3" numFmtId="0" xfId="0" applyAlignment="1" applyBorder="1" applyFont="1">
      <alignment vertical="bottom"/>
    </xf>
    <xf borderId="1" fillId="24" fontId="5" numFmtId="0" xfId="0" applyAlignment="1" applyBorder="1" applyFont="1">
      <alignment vertical="bottom"/>
    </xf>
    <xf borderId="1" fillId="24" fontId="123" numFmtId="0" xfId="0" applyAlignment="1" applyBorder="1" applyFont="1">
      <alignment vertical="bottom"/>
    </xf>
    <xf borderId="1" fillId="24" fontId="3" numFmtId="165" xfId="0" applyAlignment="1" applyBorder="1" applyFont="1" applyNumberFormat="1">
      <alignment horizontal="right" vertical="bottom"/>
    </xf>
    <xf borderId="1" fillId="24" fontId="3" numFmtId="164" xfId="0" applyAlignment="1" applyBorder="1" applyFont="1" applyNumberFormat="1">
      <alignment horizontal="right" vertical="bottom"/>
    </xf>
    <xf borderId="1" fillId="24" fontId="3" numFmtId="0" xfId="0" applyAlignment="1" applyBorder="1" applyFont="1">
      <alignment vertical="bottom"/>
    </xf>
    <xf borderId="1" fillId="24" fontId="3" numFmtId="0" xfId="0" applyAlignment="1" applyBorder="1" applyFont="1">
      <alignment horizontal="right" vertical="bottom"/>
    </xf>
    <xf borderId="1" fillId="24" fontId="3" numFmtId="0" xfId="0" applyAlignment="1" applyBorder="1" applyFont="1">
      <alignment horizontal="right" vertical="bottom"/>
    </xf>
    <xf borderId="1" fillId="24" fontId="3" numFmtId="0" xfId="0" applyAlignment="1" applyBorder="1" applyFont="1">
      <alignment vertical="bottom"/>
    </xf>
    <xf borderId="1" fillId="34" fontId="3" numFmtId="0" xfId="0" applyAlignment="1" applyBorder="1" applyFont="1">
      <alignment vertical="bottom"/>
    </xf>
    <xf borderId="1" fillId="22" fontId="4" numFmtId="0" xfId="0" applyAlignment="1" applyBorder="1" applyFont="1">
      <alignment readingOrder="0"/>
    </xf>
    <xf borderId="1" fillId="22" fontId="3" numFmtId="0" xfId="0" applyAlignment="1" applyBorder="1" applyFont="1">
      <alignment vertical="bottom"/>
    </xf>
    <xf borderId="0" fillId="27" fontId="189" numFmtId="0" xfId="0" applyAlignment="1" applyFont="1">
      <alignment vertical="bottom"/>
    </xf>
    <xf borderId="1" fillId="27" fontId="3" numFmtId="0" xfId="0" applyAlignment="1" applyBorder="1" applyFont="1">
      <alignment vertical="bottom"/>
    </xf>
    <xf borderId="0" fillId="27" fontId="190" numFmtId="0" xfId="0" applyAlignment="1" applyFont="1">
      <alignment readingOrder="0" vertical="bottom"/>
    </xf>
    <xf borderId="0" fillId="27" fontId="191" numFmtId="0" xfId="0" applyAlignment="1" applyFont="1">
      <alignment readingOrder="0" vertical="bottom"/>
    </xf>
    <xf borderId="0" fillId="27" fontId="52" numFmtId="0" xfId="0" applyAlignment="1" applyFont="1">
      <alignment horizontal="right" readingOrder="0" vertical="bottom"/>
    </xf>
    <xf borderId="0" fillId="27" fontId="52" numFmtId="0" xfId="0" applyAlignment="1" applyFont="1">
      <alignment horizontal="right" vertical="bottom"/>
    </xf>
    <xf borderId="1" fillId="21" fontId="192" numFmtId="0" xfId="0" applyAlignment="1" applyBorder="1" applyFont="1">
      <alignment vertical="bottom"/>
    </xf>
    <xf borderId="0" fillId="27" fontId="193" numFmtId="0" xfId="0" applyAlignment="1" applyFont="1">
      <alignment readingOrder="0" vertical="bottom"/>
    </xf>
    <xf borderId="1" fillId="26" fontId="5" numFmtId="0" xfId="0" applyAlignment="1" applyBorder="1" applyFont="1">
      <alignment vertical="bottom"/>
    </xf>
    <xf borderId="1" fillId="26" fontId="189" numFmtId="0" xfId="0" applyAlignment="1" applyBorder="1" applyFont="1">
      <alignment vertical="bottom"/>
    </xf>
    <xf borderId="1" fillId="26" fontId="3" numFmtId="0" xfId="0" applyAlignment="1" applyBorder="1" applyFont="1">
      <alignment vertical="bottom"/>
    </xf>
    <xf borderId="1" fillId="26" fontId="3" numFmtId="165" xfId="0" applyAlignment="1" applyBorder="1" applyFont="1" applyNumberFormat="1">
      <alignment horizontal="right" vertical="bottom"/>
    </xf>
    <xf borderId="1" fillId="26" fontId="3" numFmtId="164" xfId="0" applyAlignment="1" applyBorder="1" applyFont="1" applyNumberFormat="1">
      <alignment horizontal="right" vertical="bottom"/>
    </xf>
    <xf borderId="1" fillId="26" fontId="3" numFmtId="0" xfId="0" applyAlignment="1" applyBorder="1" applyFont="1">
      <alignment horizontal="right" vertical="bottom"/>
    </xf>
    <xf borderId="0" fillId="26" fontId="194" numFmtId="0" xfId="0" applyAlignment="1" applyFont="1">
      <alignment readingOrder="0" vertical="bottom"/>
    </xf>
    <xf borderId="1" fillId="26" fontId="195" numFmtId="0" xfId="0" applyAlignment="1" applyBorder="1" applyFont="1">
      <alignment readingOrder="0" vertical="bottom"/>
    </xf>
    <xf borderId="1" fillId="26" fontId="52" numFmtId="0" xfId="0" applyAlignment="1" applyBorder="1" applyFont="1">
      <alignment horizontal="right" readingOrder="0" vertical="bottom"/>
    </xf>
    <xf borderId="1" fillId="26" fontId="3" numFmtId="0" xfId="0" applyAlignment="1" applyBorder="1" applyFont="1">
      <alignment readingOrder="0" vertical="bottom"/>
    </xf>
    <xf borderId="1" fillId="26" fontId="3" numFmtId="0" xfId="0" applyAlignment="1" applyBorder="1" applyFont="1">
      <alignment vertical="bottom"/>
    </xf>
    <xf borderId="0" fillId="26" fontId="52" numFmtId="0" xfId="0" applyAlignment="1" applyFont="1">
      <alignment horizontal="right" readingOrder="0" vertical="bottom"/>
    </xf>
    <xf borderId="1" fillId="26" fontId="196" numFmtId="0" xfId="0" applyAlignment="1" applyBorder="1" applyFont="1">
      <alignment vertical="bottom"/>
    </xf>
    <xf borderId="1" fillId="27" fontId="5" numFmtId="0" xfId="0" applyAlignment="1" applyBorder="1" applyFont="1">
      <alignment vertical="bottom"/>
    </xf>
    <xf borderId="1" fillId="27" fontId="189" numFmtId="0" xfId="0" applyAlignment="1" applyBorder="1" applyFont="1">
      <alignment vertical="bottom"/>
    </xf>
    <xf borderId="1" fillId="27" fontId="3" numFmtId="165" xfId="0" applyAlignment="1" applyBorder="1" applyFont="1" applyNumberFormat="1">
      <alignment horizontal="right" vertical="bottom"/>
    </xf>
    <xf borderId="1" fillId="27" fontId="3" numFmtId="164" xfId="0" applyAlignment="1" applyBorder="1" applyFont="1" applyNumberFormat="1">
      <alignment horizontal="right" vertical="bottom"/>
    </xf>
    <xf borderId="1" fillId="27" fontId="3" numFmtId="0" xfId="0" applyAlignment="1" applyBorder="1" applyFont="1">
      <alignment horizontal="right" vertical="bottom"/>
    </xf>
    <xf borderId="1" fillId="27" fontId="197" numFmtId="0" xfId="0" applyAlignment="1" applyBorder="1" applyFont="1">
      <alignment readingOrder="0" vertical="bottom"/>
    </xf>
    <xf borderId="1" fillId="27" fontId="52" numFmtId="0" xfId="0" applyAlignment="1" applyBorder="1" applyFont="1">
      <alignment horizontal="right" readingOrder="0" vertical="bottom"/>
    </xf>
    <xf borderId="1" fillId="27" fontId="3" numFmtId="0" xfId="0" applyAlignment="1" applyBorder="1" applyFont="1">
      <alignment readingOrder="0" vertical="bottom"/>
    </xf>
    <xf borderId="1" fillId="27" fontId="3" numFmtId="0" xfId="0" applyAlignment="1" applyBorder="1" applyFont="1">
      <alignment vertical="bottom"/>
    </xf>
    <xf borderId="1" fillId="27" fontId="82" numFmtId="0" xfId="0" applyAlignment="1" applyBorder="1" applyFont="1">
      <alignment readingOrder="0" vertical="bottom"/>
    </xf>
    <xf borderId="1" fillId="27" fontId="5" numFmtId="0" xfId="0" applyAlignment="1" applyBorder="1" applyFont="1">
      <alignment readingOrder="0" vertical="bottom"/>
    </xf>
    <xf borderId="1" fillId="27" fontId="52" numFmtId="0" xfId="0" applyAlignment="1" applyBorder="1" applyFont="1">
      <alignment horizontal="right" vertical="bottom"/>
    </xf>
    <xf borderId="1" fillId="21" fontId="3" numFmtId="0" xfId="0" applyAlignment="1" applyBorder="1" applyFont="1">
      <alignment vertical="bottom"/>
    </xf>
    <xf borderId="1" fillId="21" fontId="3" numFmtId="0" xfId="0" applyAlignment="1" applyBorder="1" applyFont="1">
      <alignment vertical="bottom"/>
    </xf>
    <xf borderId="1" fillId="21" fontId="3" numFmtId="165" xfId="0" applyAlignment="1" applyBorder="1" applyFont="1" applyNumberFormat="1">
      <alignment horizontal="right" vertical="bottom"/>
    </xf>
    <xf borderId="1" fillId="21" fontId="5" numFmtId="0" xfId="0" applyAlignment="1" applyBorder="1" applyFont="1">
      <alignment vertical="bottom"/>
    </xf>
    <xf borderId="1" fillId="5" fontId="5" numFmtId="0" xfId="0" applyAlignment="1" applyBorder="1" applyFont="1">
      <alignment vertical="bottom"/>
    </xf>
    <xf borderId="0" fillId="21" fontId="198" numFmtId="0" xfId="0" applyAlignment="1" applyFont="1">
      <alignment readingOrder="0" vertical="bottom"/>
    </xf>
    <xf borderId="1" fillId="21" fontId="199" numFmtId="0" xfId="0" applyAlignment="1" applyBorder="1" applyFont="1">
      <alignment readingOrder="0" vertical="bottom"/>
    </xf>
    <xf borderId="1" fillId="21" fontId="3" numFmtId="0" xfId="0" applyAlignment="1" applyBorder="1" applyFont="1">
      <alignment horizontal="right" vertical="bottom"/>
    </xf>
    <xf borderId="1" fillId="21" fontId="48" numFmtId="0" xfId="0" applyAlignment="1" applyBorder="1" applyFont="1">
      <alignment horizontal="right" vertical="bottom"/>
    </xf>
    <xf borderId="1" fillId="21" fontId="4" numFmtId="0" xfId="0" applyAlignment="1" applyBorder="1" applyFont="1">
      <alignment horizontal="right" vertical="bottom"/>
    </xf>
    <xf borderId="1" fillId="21" fontId="200" numFmtId="0" xfId="0" applyAlignment="1" applyBorder="1" applyFont="1">
      <alignment vertical="bottom"/>
    </xf>
    <xf borderId="1" fillId="21" fontId="201" numFmtId="0" xfId="0" applyAlignment="1" applyBorder="1" applyFont="1">
      <alignment vertical="bottom"/>
    </xf>
    <xf borderId="0" fillId="21" fontId="202" numFmtId="0" xfId="0" applyAlignment="1" applyFont="1">
      <alignment readingOrder="0" vertical="bottom"/>
    </xf>
    <xf borderId="0" fillId="21" fontId="48" numFmtId="0" xfId="0" applyAlignment="1" applyFont="1">
      <alignment horizontal="right" vertical="bottom"/>
    </xf>
    <xf borderId="0" fillId="21" fontId="4" numFmtId="0" xfId="0" applyAlignment="1" applyFont="1">
      <alignment horizontal="right" vertical="bottom"/>
    </xf>
    <xf borderId="0" fillId="21" fontId="203" numFmtId="0" xfId="0" applyAlignment="1" applyFont="1">
      <alignment vertical="bottom"/>
    </xf>
    <xf borderId="0" fillId="21" fontId="204" numFmtId="0" xfId="0" applyAlignment="1" applyFont="1">
      <alignment vertical="bottom"/>
    </xf>
    <xf borderId="0" fillId="18" fontId="3" numFmtId="165" xfId="0" applyAlignment="1" applyFont="1" applyNumberFormat="1">
      <alignment horizontal="right" vertical="bottom"/>
    </xf>
    <xf borderId="0" fillId="18" fontId="5" numFmtId="165" xfId="0" applyAlignment="1" applyFont="1" applyNumberFormat="1">
      <alignment readingOrder="0" vertical="bottom"/>
    </xf>
    <xf borderId="0" fillId="18" fontId="3" numFmtId="0" xfId="0" applyAlignment="1" applyFont="1">
      <alignment horizontal="center" vertical="bottom"/>
    </xf>
    <xf borderId="1" fillId="18" fontId="3" numFmtId="0" xfId="0" applyAlignment="1" applyBorder="1" applyFont="1">
      <alignment vertical="bottom"/>
    </xf>
    <xf borderId="0" fillId="18" fontId="3" numFmtId="0" xfId="0" applyAlignment="1" applyFont="1">
      <alignment shrinkToFit="0" vertical="bottom" wrapText="1"/>
    </xf>
    <xf borderId="0" fillId="18" fontId="3" numFmtId="0" xfId="0" applyAlignment="1" applyFont="1">
      <alignment readingOrder="0" vertical="bottom"/>
    </xf>
    <xf borderId="0" fillId="18" fontId="205" numFmtId="0" xfId="0" applyAlignment="1" applyFont="1">
      <alignment vertical="bottom"/>
    </xf>
    <xf borderId="0" fillId="18" fontId="206" numFmtId="0" xfId="0" applyAlignment="1" applyFont="1">
      <alignment horizontal="right" vertical="bottom"/>
    </xf>
    <xf borderId="0" fillId="18" fontId="207" numFmtId="0" xfId="0" applyAlignment="1" applyFont="1">
      <alignment vertical="bottom"/>
    </xf>
    <xf borderId="0" fillId="18" fontId="208" numFmtId="0" xfId="0" applyAlignment="1" applyFont="1">
      <alignment vertical="bottom"/>
    </xf>
    <xf borderId="0" fillId="24" fontId="3" numFmtId="0" xfId="0" applyAlignment="1" applyFont="1">
      <alignment horizontal="center" vertical="bottom"/>
    </xf>
    <xf borderId="0" fillId="24" fontId="3" numFmtId="0" xfId="0" applyAlignment="1" applyFont="1">
      <alignment horizontal="center" vertical="bottom"/>
    </xf>
    <xf borderId="0" fillId="31" fontId="3" numFmtId="164" xfId="0" applyAlignment="1" applyFont="1" applyNumberFormat="1">
      <alignment horizontal="right" vertical="bottom"/>
    </xf>
    <xf borderId="0" fillId="31" fontId="5" numFmtId="165" xfId="0" applyAlignment="1" applyFont="1" applyNumberFormat="1">
      <alignment readingOrder="0" vertical="bottom"/>
    </xf>
    <xf borderId="0" fillId="31" fontId="3" numFmtId="0" xfId="0" applyAlignment="1" applyFont="1">
      <alignment shrinkToFit="0" vertical="bottom" wrapText="0"/>
    </xf>
    <xf borderId="0" fillId="31" fontId="3" numFmtId="0" xfId="0" applyAlignment="1" applyFont="1">
      <alignment horizontal="center" vertical="bottom"/>
    </xf>
    <xf borderId="1" fillId="31" fontId="3" numFmtId="0" xfId="0" applyAlignment="1" applyBorder="1" applyFont="1">
      <alignment vertical="bottom"/>
    </xf>
    <xf borderId="1" fillId="31" fontId="3" numFmtId="0" xfId="0" applyAlignment="1" applyBorder="1" applyFont="1">
      <alignment vertical="bottom"/>
    </xf>
    <xf borderId="0" fillId="31" fontId="3" numFmtId="0" xfId="0" applyAlignment="1" applyFont="1">
      <alignment horizontal="center" vertical="bottom"/>
    </xf>
    <xf borderId="0" fillId="31" fontId="3" numFmtId="0" xfId="0" applyAlignment="1" applyFont="1">
      <alignment vertical="bottom"/>
    </xf>
    <xf borderId="0" fillId="31" fontId="209" numFmtId="0" xfId="0" applyAlignment="1" applyFont="1">
      <alignment vertical="bottom"/>
    </xf>
    <xf borderId="0" fillId="31" fontId="210" numFmtId="0" xfId="0" applyAlignment="1" applyFont="1">
      <alignment horizontal="right" vertical="bottom"/>
    </xf>
    <xf borderId="0" fillId="31" fontId="211" numFmtId="0" xfId="0" applyAlignment="1" applyFont="1">
      <alignment vertical="bottom"/>
    </xf>
    <xf borderId="0" fillId="31" fontId="212" numFmtId="0" xfId="0" applyAlignment="1" applyFont="1">
      <alignment vertical="bottom"/>
    </xf>
    <xf borderId="0" fillId="36" fontId="3" numFmtId="0" xfId="0" applyAlignment="1" applyFont="1">
      <alignment vertical="bottom"/>
    </xf>
    <xf borderId="0" fillId="36" fontId="3" numFmtId="0" xfId="0" applyAlignment="1" applyFont="1">
      <alignment vertical="bottom"/>
    </xf>
    <xf borderId="0" fillId="36" fontId="3" numFmtId="164" xfId="0" applyAlignment="1" applyFont="1" applyNumberFormat="1">
      <alignment horizontal="right" vertical="bottom"/>
    </xf>
    <xf borderId="0" fillId="36" fontId="5" numFmtId="165" xfId="0" applyAlignment="1" applyFont="1" applyNumberFormat="1">
      <alignment readingOrder="0" vertical="bottom"/>
    </xf>
    <xf borderId="0" fillId="36" fontId="3" numFmtId="0" xfId="0" applyAlignment="1" applyFont="1">
      <alignment shrinkToFit="0" vertical="bottom" wrapText="0"/>
    </xf>
    <xf borderId="0" fillId="36" fontId="5" numFmtId="0" xfId="0" applyAlignment="1" applyFont="1">
      <alignment vertical="bottom"/>
    </xf>
    <xf borderId="0" fillId="36" fontId="3" numFmtId="0" xfId="0" applyAlignment="1" applyFont="1">
      <alignment horizontal="center" vertical="bottom"/>
    </xf>
    <xf borderId="0" fillId="36" fontId="3" numFmtId="0" xfId="0" applyAlignment="1" applyFont="1">
      <alignment vertical="bottom"/>
    </xf>
    <xf borderId="0" fillId="36" fontId="3" numFmtId="0" xfId="0" applyAlignment="1" applyFont="1">
      <alignment horizontal="center" vertical="bottom"/>
    </xf>
    <xf borderId="0" fillId="36" fontId="3" numFmtId="0" xfId="0" applyAlignment="1" applyFont="1">
      <alignment readingOrder="0" vertical="bottom"/>
    </xf>
    <xf borderId="0" fillId="36" fontId="3" numFmtId="0" xfId="0" applyAlignment="1" applyFont="1">
      <alignment horizontal="right" vertical="bottom"/>
    </xf>
    <xf borderId="0" fillId="36" fontId="5" numFmtId="0" xfId="0" applyAlignment="1" applyFont="1">
      <alignment horizontal="right" vertical="bottom"/>
    </xf>
    <xf borderId="0" fillId="36" fontId="213" numFmtId="0" xfId="0" applyAlignment="1" applyFont="1">
      <alignment vertical="bottom"/>
    </xf>
    <xf borderId="0" fillId="36" fontId="214" numFmtId="0" xfId="0" applyAlignment="1" applyFont="1">
      <alignment horizontal="right" vertical="bottom"/>
    </xf>
    <xf borderId="0" fillId="36" fontId="5" numFmtId="0" xfId="0" applyAlignment="1" applyFont="1">
      <alignment vertical="bottom"/>
    </xf>
    <xf borderId="0" fillId="36" fontId="215" numFmtId="0" xfId="0" applyAlignment="1" applyFont="1">
      <alignment vertical="bottom"/>
    </xf>
    <xf borderId="0" fillId="36" fontId="216" numFmtId="0" xfId="0" applyAlignment="1" applyFont="1">
      <alignment vertical="bottom"/>
    </xf>
    <xf borderId="0" fillId="30" fontId="5" numFmtId="165" xfId="0" applyAlignment="1" applyFont="1" applyNumberFormat="1">
      <alignment readingOrder="0" vertical="bottom"/>
    </xf>
    <xf borderId="0" fillId="30" fontId="3" numFmtId="0" xfId="0" applyAlignment="1" applyFont="1">
      <alignment horizontal="center" vertical="bottom"/>
    </xf>
    <xf borderId="0" fillId="30" fontId="3" numFmtId="0" xfId="0" applyAlignment="1" applyFont="1">
      <alignment horizontal="center" vertical="bottom"/>
    </xf>
    <xf borderId="0" fillId="30" fontId="217" numFmtId="0" xfId="0" applyAlignment="1" applyFont="1">
      <alignment vertical="bottom"/>
    </xf>
    <xf borderId="0" fillId="30" fontId="218" numFmtId="0" xfId="0" applyAlignment="1" applyFont="1">
      <alignment horizontal="right" vertical="bottom"/>
    </xf>
    <xf borderId="0" fillId="30" fontId="219" numFmtId="0" xfId="0" applyAlignment="1" applyFont="1">
      <alignment vertical="bottom"/>
    </xf>
    <xf borderId="0" fillId="30" fontId="220" numFmtId="0" xfId="0" applyAlignment="1" applyFont="1">
      <alignment vertical="bottom"/>
    </xf>
    <xf borderId="0" fillId="18" fontId="221" numFmtId="0" xfId="0" applyAlignment="1" applyFont="1">
      <alignment readingOrder="0" vertical="bottom"/>
    </xf>
    <xf borderId="0" fillId="31" fontId="3" numFmtId="0" xfId="0" applyAlignment="1" applyFont="1">
      <alignment horizontal="center" vertical="bottom"/>
    </xf>
    <xf borderId="0" fillId="31" fontId="222" numFmtId="0" xfId="0" applyAlignment="1" applyFont="1">
      <alignment horizontal="right" vertical="bottom"/>
    </xf>
    <xf borderId="0" fillId="36" fontId="3" numFmtId="165" xfId="0" applyAlignment="1" applyFont="1" applyNumberFormat="1">
      <alignment horizontal="right" vertical="bottom"/>
    </xf>
    <xf borderId="0" fillId="36" fontId="3" numFmtId="0" xfId="0" applyAlignment="1" applyFont="1">
      <alignment horizontal="center" vertical="bottom"/>
    </xf>
    <xf borderId="0" fillId="36" fontId="3" numFmtId="0" xfId="0" applyAlignment="1" applyFont="1">
      <alignment horizontal="right" vertical="bottom"/>
    </xf>
    <xf borderId="0" fillId="36" fontId="223" numFmtId="0" xfId="0" applyAlignment="1" applyFont="1">
      <alignment horizontal="right" vertical="bottom"/>
    </xf>
    <xf borderId="0" fillId="36" fontId="224" numFmtId="0" xfId="0" applyAlignment="1" applyFont="1">
      <alignment vertical="bottom"/>
    </xf>
    <xf borderId="0" fillId="30" fontId="3" numFmtId="0" xfId="0" applyAlignment="1" applyFont="1">
      <alignment horizontal="center" vertical="bottom"/>
    </xf>
    <xf borderId="0" fillId="30" fontId="225" numFmtId="0" xfId="0" applyAlignment="1" applyFont="1">
      <alignment horizontal="right" vertical="bottom"/>
    </xf>
    <xf borderId="0" fillId="29" fontId="3" numFmtId="0" xfId="0" applyAlignment="1" applyFont="1">
      <alignment horizontal="center" vertical="bottom"/>
    </xf>
    <xf borderId="0" fillId="29" fontId="226" numFmtId="0" xfId="0" applyAlignment="1" applyFont="1">
      <alignment horizontal="right" vertical="bottom"/>
    </xf>
    <xf borderId="0" fillId="29" fontId="3" numFmtId="0" xfId="0" applyAlignment="1" applyFont="1">
      <alignment horizontal="center" readingOrder="0" vertical="bottom"/>
    </xf>
    <xf borderId="0" fillId="0" fontId="227" numFmtId="0" xfId="0" applyAlignment="1" applyFont="1">
      <alignment shrinkToFit="0" vertical="bottom" wrapText="0"/>
    </xf>
    <xf borderId="0" fillId="0" fontId="48" numFmtId="0" xfId="0" applyAlignment="1" applyFont="1">
      <alignment horizontal="right" readingOrder="0" vertical="bottom"/>
    </xf>
    <xf borderId="0" fillId="29" fontId="33" numFmtId="0" xfId="0" applyAlignment="1" applyFont="1">
      <alignment readingOrder="0" vertical="bottom"/>
    </xf>
    <xf borderId="0" fillId="0" fontId="33" numFmtId="0" xfId="0" applyAlignment="1" applyFont="1">
      <alignment readingOrder="0" vertical="bottom"/>
    </xf>
    <xf borderId="0" fillId="0" fontId="48" numFmtId="0" xfId="0" applyAlignment="1" applyFont="1">
      <alignment horizontal="right" vertical="bottom"/>
    </xf>
    <xf borderId="0" fillId="0" fontId="48" numFmtId="0" xfId="0" applyAlignment="1" applyFont="1">
      <alignment vertical="bottom"/>
    </xf>
    <xf borderId="0" fillId="0" fontId="3" numFmtId="11" xfId="0" applyAlignment="1" applyFont="1" applyNumberFormat="1">
      <alignment horizontal="right" vertical="bottom"/>
    </xf>
    <xf borderId="0" fillId="4" fontId="5" numFmtId="0" xfId="0" applyAlignment="1" applyFont="1">
      <alignment readingOrder="0" vertical="bottom"/>
    </xf>
    <xf borderId="0" fillId="4" fontId="10" numFmtId="0" xfId="0" applyAlignment="1" applyFont="1">
      <alignment readingOrder="0"/>
    </xf>
    <xf borderId="0" fillId="4" fontId="10" numFmtId="0" xfId="0" applyFont="1"/>
    <xf borderId="0" fillId="4" fontId="5" numFmtId="0" xfId="0" applyAlignment="1" applyFont="1">
      <alignment vertical="bottom"/>
    </xf>
    <xf borderId="0" fillId="4" fontId="3" numFmtId="0" xfId="0" applyAlignment="1" applyFont="1">
      <alignment vertical="bottom"/>
    </xf>
    <xf borderId="0" fillId="4" fontId="3" numFmtId="165" xfId="0" applyAlignment="1" applyFont="1" applyNumberFormat="1">
      <alignment horizontal="right" readingOrder="0" vertical="bottom"/>
    </xf>
    <xf borderId="0" fillId="4" fontId="3" numFmtId="165" xfId="0" applyAlignment="1" applyFont="1" applyNumberFormat="1">
      <alignment horizontal="right" vertical="bottom"/>
    </xf>
    <xf borderId="0" fillId="4" fontId="228" numFmtId="0" xfId="0" applyAlignment="1" applyFont="1">
      <alignment shrinkToFit="0" vertical="bottom" wrapText="0"/>
    </xf>
    <xf borderId="0" fillId="4" fontId="3" numFmtId="0" xfId="0" applyAlignment="1" applyFont="1">
      <alignment horizontal="right" vertical="bottom"/>
    </xf>
    <xf borderId="1" fillId="4" fontId="3" numFmtId="0" xfId="0" applyAlignment="1" applyBorder="1" applyFont="1">
      <alignment vertical="bottom"/>
    </xf>
    <xf borderId="0" fillId="4" fontId="229" numFmtId="0" xfId="0" applyAlignment="1" applyFont="1">
      <alignment vertical="bottom"/>
    </xf>
    <xf borderId="0" fillId="4" fontId="52" numFmtId="0" xfId="0" applyAlignment="1" applyFont="1">
      <alignment horizontal="right" readingOrder="0" vertical="bottom"/>
    </xf>
    <xf borderId="0" fillId="4" fontId="3" numFmtId="0" xfId="0" applyAlignment="1" applyFont="1">
      <alignment horizontal="right" vertical="bottom"/>
    </xf>
    <xf borderId="0" fillId="4" fontId="33" numFmtId="0" xfId="0" applyAlignment="1" applyFont="1">
      <alignment readingOrder="0" vertical="bottom"/>
    </xf>
    <xf borderId="0" fillId="4" fontId="230" numFmtId="0" xfId="0" applyAlignment="1" applyFont="1">
      <alignment readingOrder="0" vertical="bottom"/>
    </xf>
    <xf borderId="0" fillId="4" fontId="231" numFmtId="0" xfId="0" applyAlignment="1" applyFont="1">
      <alignment vertical="bottom"/>
    </xf>
    <xf borderId="0" fillId="22" fontId="5" numFmtId="0" xfId="0" applyAlignment="1" applyFont="1">
      <alignment readingOrder="0" vertical="bottom"/>
    </xf>
    <xf borderId="0" fillId="20" fontId="232" numFmtId="0" xfId="0" applyAlignment="1" applyFont="1">
      <alignment horizontal="right" readingOrder="0" vertical="bottom"/>
    </xf>
    <xf borderId="0" fillId="37" fontId="5" numFmtId="0" xfId="0" applyAlignment="1" applyFont="1">
      <alignment readingOrder="0" vertical="bottom"/>
    </xf>
    <xf borderId="0" fillId="39" fontId="5" numFmtId="0" xfId="0" applyAlignment="1" applyFill="1" applyFont="1">
      <alignment readingOrder="0" vertical="bottom"/>
    </xf>
    <xf borderId="0" fillId="29" fontId="233" numFmtId="0" xfId="0" applyAlignment="1" applyFont="1">
      <alignment shrinkToFit="0" vertical="bottom" wrapText="0"/>
    </xf>
    <xf borderId="1" fillId="29" fontId="3" numFmtId="0" xfId="0" applyAlignment="1" applyBorder="1" applyFont="1">
      <alignment vertical="bottom"/>
    </xf>
    <xf borderId="0" fillId="29" fontId="52" numFmtId="0" xfId="0" applyAlignment="1" applyFont="1">
      <alignment horizontal="right" readingOrder="0" vertical="bottom"/>
    </xf>
    <xf borderId="0" fillId="29" fontId="3" numFmtId="0" xfId="0" applyAlignment="1" applyFont="1">
      <alignment horizontal="right" vertical="bottom"/>
    </xf>
    <xf borderId="0" fillId="24" fontId="3" numFmtId="165" xfId="0" applyAlignment="1" applyFont="1" applyNumberFormat="1">
      <alignment horizontal="right" readingOrder="0" vertical="bottom"/>
    </xf>
    <xf borderId="0" fillId="24" fontId="234" numFmtId="0" xfId="0" applyAlignment="1" applyFont="1">
      <alignment shrinkToFit="0" vertical="bottom" wrapText="0"/>
    </xf>
    <xf borderId="0" fillId="24" fontId="235" numFmtId="0" xfId="0" applyAlignment="1" applyFont="1">
      <alignment vertical="bottom"/>
    </xf>
    <xf borderId="0" fillId="24" fontId="3" numFmtId="0" xfId="0" applyAlignment="1" applyFont="1">
      <alignment horizontal="right" readingOrder="0" vertical="bottom"/>
    </xf>
    <xf borderId="0" fillId="24" fontId="236" numFmtId="0" xfId="0" applyAlignment="1" applyFont="1">
      <alignment horizontal="right" readingOrder="0" vertical="bottom"/>
    </xf>
    <xf borderId="0" fillId="24" fontId="52" numFmtId="0" xfId="0" applyAlignment="1" applyFont="1">
      <alignment horizontal="right" vertical="bottom"/>
    </xf>
    <xf borderId="0" fillId="33" fontId="3" numFmtId="0" xfId="0" applyAlignment="1" applyFont="1">
      <alignment horizontal="right" vertical="bottom"/>
    </xf>
    <xf borderId="0" fillId="0" fontId="52" numFmtId="0" xfId="0" applyAlignment="1" applyFont="1">
      <alignment horizontal="right" vertical="bottom"/>
    </xf>
    <xf borderId="0" fillId="21" fontId="33" numFmtId="0" xfId="0" applyAlignment="1" applyFont="1">
      <alignment readingOrder="0" vertical="bottom"/>
    </xf>
    <xf borderId="0" fillId="21" fontId="52" numFmtId="0" xfId="0" applyAlignment="1" applyFont="1">
      <alignment vertical="bottom"/>
    </xf>
    <xf borderId="0" fillId="21" fontId="11" numFmtId="0" xfId="0" applyAlignment="1" applyFont="1">
      <alignment horizontal="right" vertical="bottom"/>
    </xf>
    <xf borderId="0" fillId="21" fontId="237" numFmtId="0" xfId="0" applyAlignment="1" applyFont="1">
      <alignment vertical="bottom"/>
    </xf>
    <xf borderId="0" fillId="21" fontId="238" numFmtId="0" xfId="0" applyAlignment="1" applyFont="1">
      <alignment shrinkToFit="0" vertical="bottom" wrapText="0"/>
    </xf>
    <xf borderId="0" fillId="0" fontId="239" numFmtId="0" xfId="0" applyAlignment="1" applyFont="1">
      <alignment vertical="bottom"/>
    </xf>
    <xf borderId="0" fillId="24" fontId="48" numFmtId="172" xfId="0" applyAlignment="1" applyFont="1" applyNumberFormat="1">
      <alignment horizontal="right" vertical="bottom"/>
    </xf>
    <xf borderId="0" fillId="24" fontId="48" numFmtId="0" xfId="0" applyAlignment="1" applyFont="1">
      <alignment horizontal="right" vertical="bottom"/>
    </xf>
    <xf borderId="0" fillId="24" fontId="48" numFmtId="0" xfId="0" applyAlignment="1" applyFont="1">
      <alignment vertical="bottom"/>
    </xf>
    <xf borderId="0" fillId="19" fontId="3" numFmtId="0" xfId="0" applyAlignment="1" applyFont="1">
      <alignment vertical="bottom"/>
    </xf>
    <xf borderId="0" fillId="24" fontId="11" numFmtId="0" xfId="0" applyAlignment="1" applyFont="1">
      <alignment vertical="bottom"/>
    </xf>
    <xf borderId="0" fillId="24" fontId="3" numFmtId="172" xfId="0" applyAlignment="1" applyFont="1" applyNumberFormat="1">
      <alignment horizontal="right" vertical="bottom"/>
    </xf>
    <xf borderId="0" fillId="23" fontId="48" numFmtId="0" xfId="0" applyAlignment="1" applyFont="1">
      <alignment horizontal="right" vertical="bottom"/>
    </xf>
    <xf borderId="0" fillId="23" fontId="48" numFmtId="0" xfId="0" applyAlignment="1" applyFont="1">
      <alignment vertical="bottom"/>
    </xf>
    <xf borderId="0" fillId="23" fontId="3" numFmtId="11" xfId="0" applyAlignment="1" applyFont="1" applyNumberFormat="1">
      <alignment horizontal="right" vertical="bottom"/>
    </xf>
    <xf borderId="0" fillId="23" fontId="5" numFmtId="0" xfId="0" applyAlignment="1" applyFont="1">
      <alignment horizontal="right" vertical="bottom"/>
    </xf>
    <xf borderId="0" fillId="23" fontId="5" numFmtId="0" xfId="0" applyAlignment="1" applyFont="1">
      <alignment horizontal="right" vertical="bottom"/>
    </xf>
    <xf borderId="0" fillId="0" fontId="5" numFmtId="0" xfId="0" applyAlignment="1" applyFont="1">
      <alignment horizontal="right" shrinkToFit="0" vertical="bottom" wrapText="1"/>
    </xf>
    <xf borderId="0" fillId="0" fontId="240" numFmtId="0" xfId="0" applyAlignment="1" applyFont="1">
      <alignment horizontal="right" readingOrder="0" vertical="bottom"/>
    </xf>
    <xf borderId="0" fillId="33" fontId="5" numFmtId="0" xfId="0" applyAlignment="1" applyFont="1">
      <alignment vertical="bottom"/>
    </xf>
    <xf borderId="0" fillId="0" fontId="241" numFmtId="0" xfId="0" applyAlignment="1" applyFont="1">
      <alignment horizontal="right" vertical="bottom"/>
    </xf>
    <xf borderId="0" fillId="0" fontId="52" numFmtId="0" xfId="0" applyAlignment="1" applyFont="1">
      <alignment vertical="bottom"/>
    </xf>
    <xf borderId="0" fillId="0" fontId="52" numFmtId="0" xfId="0" applyAlignment="1" applyFont="1">
      <alignment readingOrder="0" vertical="bottom"/>
    </xf>
    <xf borderId="0" fillId="0" fontId="52" numFmtId="0" xfId="0" applyAlignment="1" applyFont="1">
      <alignment horizontal="right" readingOrder="0" vertical="bottom"/>
    </xf>
    <xf borderId="0" fillId="0" fontId="242" numFmtId="0" xfId="0" applyAlignment="1" applyFont="1">
      <alignment vertical="bottom"/>
    </xf>
    <xf borderId="0" fillId="0" fontId="243" numFmtId="0" xfId="0" applyAlignment="1" applyFont="1">
      <alignment vertical="bottom"/>
    </xf>
    <xf borderId="0" fillId="0" fontId="3" numFmtId="169" xfId="0" applyAlignment="1" applyFont="1" applyNumberFormat="1">
      <alignment horizontal="right" vertical="bottom"/>
    </xf>
    <xf borderId="0" fillId="23" fontId="244" numFmtId="0" xfId="0" applyAlignment="1" applyFont="1">
      <alignment shrinkToFit="0" vertical="bottom" wrapText="0"/>
    </xf>
    <xf borderId="0" fillId="21" fontId="48" numFmtId="0" xfId="0" applyAlignment="1" applyFont="1">
      <alignment horizontal="right" vertical="bottom"/>
    </xf>
    <xf borderId="0" fillId="35" fontId="10" numFmtId="0" xfId="0" applyFont="1"/>
    <xf borderId="10" fillId="21" fontId="5" numFmtId="0" xfId="0" applyAlignment="1" applyBorder="1" applyFont="1">
      <alignment readingOrder="0" vertical="bottom"/>
    </xf>
    <xf borderId="0" fillId="21" fontId="245" numFmtId="0" xfId="0" applyAlignment="1" applyFont="1">
      <alignment horizontal="right" readingOrder="0" vertical="bottom"/>
    </xf>
    <xf borderId="0" fillId="21" fontId="246" numFmtId="0" xfId="0" applyAlignment="1" applyFont="1">
      <alignment readingOrder="0" vertical="bottom"/>
    </xf>
    <xf borderId="11" fillId="21" fontId="5" numFmtId="0" xfId="0" applyAlignment="1" applyBorder="1" applyFont="1">
      <alignment readingOrder="0" vertical="bottom"/>
    </xf>
    <xf borderId="0" fillId="21" fontId="5" numFmtId="0" xfId="0" applyAlignment="1" applyFont="1">
      <alignment horizontal="right" vertical="bottom"/>
    </xf>
    <xf borderId="0" fillId="21" fontId="82" numFmtId="0" xfId="0" applyAlignment="1" applyFont="1">
      <alignment horizontal="right" vertical="bottom"/>
    </xf>
    <xf borderId="11" fillId="0" fontId="5" numFmtId="0" xfId="0" applyAlignment="1" applyBorder="1" applyFont="1">
      <alignment vertical="bottom"/>
    </xf>
    <xf borderId="0" fillId="0" fontId="11" numFmtId="0" xfId="0" applyAlignment="1" applyFont="1">
      <alignment readingOrder="0" vertical="bottom"/>
    </xf>
    <xf borderId="11" fillId="0" fontId="5" numFmtId="0" xfId="0" applyAlignment="1" applyBorder="1" applyFont="1">
      <alignment readingOrder="0" vertical="bottom"/>
    </xf>
    <xf borderId="0" fillId="0" fontId="5" numFmtId="11" xfId="0" applyAlignment="1" applyFont="1" applyNumberFormat="1">
      <alignment readingOrder="0" vertical="bottom"/>
    </xf>
    <xf borderId="11" fillId="19" fontId="5" numFmtId="0" xfId="0" applyAlignment="1" applyBorder="1" applyFont="1">
      <alignment readingOrder="0" vertical="bottom"/>
    </xf>
    <xf borderId="0" fillId="19" fontId="5" numFmtId="0" xfId="0" applyAlignment="1" applyFont="1">
      <alignment readingOrder="0" vertical="bottom"/>
    </xf>
    <xf borderId="0" fillId="19" fontId="3" numFmtId="165" xfId="0" applyAlignment="1" applyFont="1" applyNumberFormat="1">
      <alignment horizontal="right" vertical="bottom"/>
    </xf>
    <xf borderId="0" fillId="19" fontId="3" numFmtId="0" xfId="0" applyAlignment="1" applyFont="1">
      <alignment horizontal="right" vertical="bottom"/>
    </xf>
    <xf borderId="0" fillId="19" fontId="3" numFmtId="0" xfId="0" applyAlignment="1" applyFont="1">
      <alignment horizontal="right" vertical="bottom"/>
    </xf>
    <xf borderId="0" fillId="19" fontId="247" numFmtId="0" xfId="0" applyAlignment="1" applyFont="1">
      <alignment readingOrder="0" vertical="bottom"/>
    </xf>
    <xf borderId="0" fillId="19" fontId="3" numFmtId="11" xfId="0" applyAlignment="1" applyFont="1" applyNumberFormat="1">
      <alignment horizontal="right" vertical="bottom"/>
    </xf>
    <xf borderId="12" fillId="19" fontId="5" numFmtId="0" xfId="0" applyAlignment="1" applyBorder="1" applyFont="1">
      <alignment readingOrder="0" vertical="bottom"/>
    </xf>
    <xf borderId="0" fillId="19" fontId="3" numFmtId="0" xfId="0" applyAlignment="1" applyFont="1">
      <alignment readingOrder="0" vertical="bottom"/>
    </xf>
    <xf borderId="0" fillId="19" fontId="3" numFmtId="0" xfId="0" applyAlignment="1" applyFont="1">
      <alignment vertical="bottom"/>
    </xf>
    <xf borderId="0" fillId="19" fontId="3" numFmtId="0" xfId="0" applyAlignment="1" applyFont="1">
      <alignment horizontal="right" readingOrder="0" vertical="bottom"/>
    </xf>
    <xf borderId="0" fillId="19" fontId="5" numFmtId="0" xfId="0" applyAlignment="1" applyFont="1">
      <alignment horizontal="right" vertical="bottom"/>
    </xf>
    <xf borderId="0" fillId="19" fontId="5" numFmtId="0" xfId="0" applyAlignment="1" applyFont="1">
      <alignment horizontal="right" vertical="bottom"/>
    </xf>
    <xf borderId="0" fillId="19" fontId="126" numFmtId="0" xfId="0" applyAlignment="1" applyFont="1">
      <alignment horizontal="right" readingOrder="0" vertical="bottom"/>
    </xf>
    <xf borderId="0" fillId="19" fontId="248" numFmtId="0" xfId="0" applyAlignment="1" applyFont="1">
      <alignment readingOrder="0"/>
    </xf>
    <xf borderId="0" fillId="19" fontId="249" numFmtId="0" xfId="0" applyAlignment="1" applyFont="1">
      <alignment readingOrder="0" shrinkToFit="0" wrapText="1"/>
    </xf>
    <xf borderId="0" fillId="19" fontId="3" numFmtId="10" xfId="0" applyAlignment="1" applyFont="1" applyNumberFormat="1">
      <alignment vertical="bottom"/>
    </xf>
    <xf borderId="0" fillId="19" fontId="52" numFmtId="0" xfId="0" applyAlignment="1" applyFont="1">
      <alignment horizontal="right" readingOrder="0" vertical="bottom"/>
    </xf>
    <xf borderId="0" fillId="19" fontId="82" numFmtId="0" xfId="0" applyAlignment="1" applyFont="1">
      <alignment horizontal="right" readingOrder="0" vertical="bottom"/>
    </xf>
    <xf borderId="0" fillId="19" fontId="250" numFmtId="0" xfId="0" applyAlignment="1" applyFont="1">
      <alignment readingOrder="0" vertical="bottom"/>
    </xf>
    <xf borderId="0" fillId="19" fontId="82" numFmtId="0" xfId="0" applyAlignment="1" applyFont="1">
      <alignment readingOrder="0" vertical="bottom"/>
    </xf>
    <xf borderId="0" fillId="19" fontId="3" numFmtId="165" xfId="0" applyAlignment="1" applyFont="1" applyNumberFormat="1">
      <alignment horizontal="right" readingOrder="0" vertical="bottom"/>
    </xf>
    <xf borderId="0" fillId="19" fontId="241" numFmtId="0" xfId="0" applyAlignment="1" applyFont="1">
      <alignment horizontal="right" vertical="bottom"/>
    </xf>
    <xf borderId="0" fillId="19" fontId="251" numFmtId="0" xfId="0" applyAlignment="1" applyFont="1">
      <alignment readingOrder="0" vertical="bottom"/>
    </xf>
    <xf borderId="0" fillId="19" fontId="252" numFmtId="0" xfId="0" applyAlignment="1" applyFont="1">
      <alignment horizontal="right" readingOrder="0" vertical="bottom"/>
    </xf>
    <xf borderId="0" fillId="19" fontId="5" numFmtId="172" xfId="0" applyAlignment="1" applyFont="1" applyNumberFormat="1">
      <alignment horizontal="right" vertical="bottom"/>
    </xf>
    <xf borderId="0" fillId="19" fontId="253" numFmtId="0" xfId="0" applyAlignment="1" applyFont="1">
      <alignment horizontal="right" shrinkToFit="0" vertical="bottom" wrapText="1"/>
    </xf>
    <xf borderId="0" fillId="23" fontId="254" numFmtId="0" xfId="0" applyAlignment="1" applyFont="1">
      <alignment readingOrder="0" vertical="bottom"/>
    </xf>
    <xf borderId="0" fillId="23" fontId="255" numFmtId="0" xfId="0" applyAlignment="1" applyFont="1">
      <alignment vertical="bottom"/>
    </xf>
    <xf borderId="0" fillId="23" fontId="256" numFmtId="0" xfId="0" applyAlignment="1" applyFont="1">
      <alignment readingOrder="0" vertical="bottom"/>
    </xf>
    <xf borderId="0" fillId="23" fontId="5" numFmtId="0" xfId="0" applyAlignment="1" applyFont="1">
      <alignment horizontal="right" readingOrder="0" vertical="bottom"/>
    </xf>
    <xf borderId="0" fillId="26" fontId="3" numFmtId="0" xfId="0" applyAlignment="1" applyFont="1">
      <alignment shrinkToFit="0" vertical="bottom" wrapText="0"/>
    </xf>
    <xf borderId="0" fillId="26" fontId="257" numFmtId="0" xfId="0" applyAlignment="1" applyFont="1">
      <alignment readingOrder="0" vertical="bottom"/>
    </xf>
    <xf borderId="0" fillId="26" fontId="258" numFmtId="0" xfId="0" applyAlignment="1" applyFont="1">
      <alignment vertical="bottom"/>
    </xf>
    <xf borderId="0" fillId="21" fontId="259" numFmtId="0" xfId="0" applyAlignment="1" applyFont="1">
      <alignment readingOrder="0" vertical="bottom"/>
    </xf>
    <xf borderId="0" fillId="21" fontId="260" numFmtId="0" xfId="0" applyAlignment="1" applyFont="1">
      <alignment vertical="bottom"/>
    </xf>
    <xf borderId="0" fillId="21" fontId="48" numFmtId="0" xfId="0" applyAlignment="1" applyFont="1">
      <alignment vertical="bottom"/>
    </xf>
    <xf borderId="0" fillId="21" fontId="3" numFmtId="11" xfId="0" applyAlignment="1" applyFont="1" applyNumberFormat="1">
      <alignment horizontal="right" vertical="bottom"/>
    </xf>
    <xf borderId="0" fillId="21" fontId="5" numFmtId="172" xfId="0" applyAlignment="1" applyFont="1" applyNumberFormat="1">
      <alignment horizontal="right" vertical="bottom"/>
    </xf>
    <xf borderId="0" fillId="30" fontId="261" numFmtId="0" xfId="0" applyAlignment="1" applyFont="1">
      <alignment vertical="bottom"/>
    </xf>
    <xf borderId="0" fillId="30" fontId="48" numFmtId="0" xfId="0" applyAlignment="1" applyFont="1">
      <alignment horizontal="right" vertical="bottom"/>
    </xf>
    <xf borderId="0" fillId="30" fontId="48" numFmtId="0" xfId="0" applyAlignment="1" applyFont="1">
      <alignment vertical="bottom"/>
    </xf>
    <xf borderId="0" fillId="30" fontId="3" numFmtId="0" xfId="0" applyAlignment="1" applyFont="1">
      <alignment horizontal="right" vertical="bottom"/>
    </xf>
    <xf borderId="0" fillId="30" fontId="262" numFmtId="0" xfId="0" applyAlignment="1" applyFont="1">
      <alignment horizontal="right" vertical="bottom"/>
    </xf>
    <xf borderId="0" fillId="30" fontId="5" numFmtId="0" xfId="0" applyAlignment="1" applyFont="1">
      <alignment horizontal="right" vertical="bottom"/>
    </xf>
    <xf borderId="0" fillId="23" fontId="262" numFmtId="0" xfId="0" applyAlignment="1" applyFont="1">
      <alignment vertical="bottom"/>
    </xf>
    <xf borderId="0" fillId="23" fontId="263" numFmtId="0" xfId="0" applyAlignment="1" applyFont="1">
      <alignment horizontal="right" readingOrder="0" vertical="bottom"/>
    </xf>
    <xf borderId="0" fillId="30" fontId="264" numFmtId="0" xfId="0" applyAlignment="1" applyFont="1">
      <alignment readingOrder="0" vertical="bottom"/>
    </xf>
    <xf borderId="0" fillId="30" fontId="5" numFmtId="0" xfId="0" applyAlignment="1" applyFont="1">
      <alignment horizontal="right" vertical="bottom"/>
    </xf>
    <xf borderId="0" fillId="30" fontId="265" numFmtId="0" xfId="0" applyAlignment="1" applyFont="1">
      <alignment horizontal="right" readingOrder="0" vertical="bottom"/>
    </xf>
    <xf borderId="0" fillId="30" fontId="5" numFmtId="0" xfId="0" applyAlignment="1" applyFont="1">
      <alignment horizontal="right" readingOrder="0" vertical="bottom"/>
    </xf>
    <xf borderId="0" fillId="21" fontId="52" numFmtId="11" xfId="0" applyAlignment="1" applyFont="1" applyNumberFormat="1">
      <alignment horizontal="right" vertical="bottom"/>
    </xf>
    <xf borderId="0" fillId="21" fontId="266" numFmtId="0" xfId="0" applyAlignment="1" applyFont="1">
      <alignment vertical="bottom"/>
    </xf>
    <xf borderId="0" fillId="21" fontId="52" numFmtId="0" xfId="0" applyAlignment="1" applyFont="1">
      <alignment horizontal="right" vertical="bottom"/>
    </xf>
    <xf borderId="0" fillId="0" fontId="3" numFmtId="173" xfId="0" applyAlignment="1" applyFont="1" applyNumberFormat="1">
      <alignment horizontal="right" vertical="bottom"/>
    </xf>
    <xf borderId="0" fillId="26" fontId="48" numFmtId="0" xfId="0" applyAlignment="1" applyFont="1">
      <alignment horizontal="right" vertical="bottom"/>
    </xf>
    <xf borderId="0" fillId="26" fontId="48" numFmtId="0" xfId="0" applyAlignment="1" applyFont="1">
      <alignment vertical="bottom"/>
    </xf>
    <xf borderId="0" fillId="23" fontId="241" numFmtId="0" xfId="0" applyAlignment="1" applyFont="1">
      <alignment horizontal="right" vertical="bottom"/>
    </xf>
    <xf borderId="0" fillId="30" fontId="3" numFmtId="0" xfId="0" applyAlignment="1" applyFont="1">
      <alignment horizontal="right" readingOrder="0" vertical="bottom"/>
    </xf>
    <xf borderId="0" fillId="31" fontId="3" numFmtId="0" xfId="0" applyAlignment="1" applyFont="1">
      <alignment shrinkToFit="0" vertical="bottom" wrapText="0"/>
    </xf>
    <xf borderId="0" fillId="31" fontId="267" numFmtId="0" xfId="0" applyAlignment="1" applyFont="1">
      <alignment readingOrder="0" vertical="bottom"/>
    </xf>
    <xf borderId="0" fillId="31" fontId="268" numFmtId="0" xfId="0" applyAlignment="1" applyFont="1">
      <alignment readingOrder="0" vertical="bottom"/>
    </xf>
    <xf borderId="0" fillId="31" fontId="269" numFmtId="0" xfId="0" applyAlignment="1" applyFont="1">
      <alignment vertical="bottom"/>
    </xf>
    <xf borderId="0" fillId="31" fontId="3" numFmtId="169" xfId="0" applyAlignment="1" applyFont="1" applyNumberFormat="1">
      <alignment horizontal="right" vertical="bottom"/>
    </xf>
    <xf borderId="0" fillId="31" fontId="5" numFmtId="0" xfId="0" applyAlignment="1" applyFont="1">
      <alignment horizontal="right" vertical="bottom"/>
    </xf>
    <xf borderId="0" fillId="24" fontId="270" numFmtId="0" xfId="0" applyAlignment="1" applyFont="1">
      <alignment readingOrder="0" vertical="bottom"/>
    </xf>
    <xf borderId="0" fillId="24" fontId="253" numFmtId="0" xfId="0" applyAlignment="1" applyFont="1">
      <alignment horizontal="right" shrinkToFit="0" vertical="bottom" wrapText="1"/>
    </xf>
    <xf borderId="0" fillId="24" fontId="3" numFmtId="0" xfId="0" applyAlignment="1" applyFont="1">
      <alignment horizontal="right" readingOrder="0" vertical="bottom"/>
    </xf>
    <xf borderId="0" fillId="24" fontId="5" numFmtId="0" xfId="0" applyAlignment="1" applyFont="1">
      <alignment horizontal="right" vertical="bottom"/>
    </xf>
    <xf borderId="0" fillId="24" fontId="5" numFmtId="0" xfId="0" applyAlignment="1" applyFont="1">
      <alignment horizontal="right" vertical="bottom"/>
    </xf>
    <xf borderId="0" fillId="24" fontId="241" numFmtId="0" xfId="0" applyAlignment="1" applyFont="1">
      <alignment horizontal="right" vertical="top"/>
    </xf>
    <xf borderId="0" fillId="24" fontId="271" numFmtId="0" xfId="0" applyAlignment="1" applyFont="1">
      <alignment horizontal="right" readingOrder="0" vertical="bottom"/>
    </xf>
    <xf borderId="0" fillId="36" fontId="3" numFmtId="0" xfId="0" applyAlignment="1" applyFont="1">
      <alignment shrinkToFit="0" vertical="bottom" wrapText="0"/>
    </xf>
    <xf borderId="0" fillId="36" fontId="272" numFmtId="0" xfId="0" applyAlignment="1" applyFont="1">
      <alignment readingOrder="0" vertical="bottom"/>
    </xf>
    <xf borderId="0" fillId="36" fontId="273" numFmtId="0" xfId="0" applyAlignment="1" applyFont="1">
      <alignment vertical="bottom"/>
    </xf>
    <xf borderId="0" fillId="36" fontId="3" numFmtId="0" xfId="0" applyAlignment="1" applyFont="1">
      <alignment horizontal="right" vertical="bottom"/>
    </xf>
    <xf borderId="0" fillId="36" fontId="5" numFmtId="0" xfId="0" applyAlignment="1" applyFont="1">
      <alignment readingOrder="0" vertical="bottom"/>
    </xf>
    <xf borderId="0" fillId="36" fontId="274" numFmtId="0" xfId="0" applyAlignment="1" applyFont="1">
      <alignment horizontal="right" vertical="bottom"/>
    </xf>
    <xf borderId="0" fillId="36" fontId="275" numFmtId="0" xfId="0" applyAlignment="1" applyFont="1">
      <alignment shrinkToFit="0" vertical="bottom" wrapText="0"/>
    </xf>
    <xf borderId="0" fillId="36" fontId="241" numFmtId="0" xfId="0" applyAlignment="1" applyFont="1">
      <alignment horizontal="right" readingOrder="0" vertical="bottom"/>
    </xf>
    <xf borderId="0" fillId="36" fontId="3" numFmtId="0" xfId="0" applyAlignment="1" applyFont="1">
      <alignment horizontal="right" readingOrder="0" vertical="bottom"/>
    </xf>
    <xf borderId="0" fillId="36" fontId="5" numFmtId="0" xfId="0" applyAlignment="1" applyFont="1">
      <alignment horizontal="right" vertical="bottom"/>
    </xf>
    <xf borderId="0" fillId="29" fontId="48" numFmtId="0" xfId="0" applyAlignment="1" applyFont="1">
      <alignment horizontal="right" vertical="bottom"/>
    </xf>
    <xf borderId="0" fillId="29" fontId="48" numFmtId="0" xfId="0" applyAlignment="1" applyFont="1">
      <alignment vertical="bottom"/>
    </xf>
    <xf borderId="0" fillId="29" fontId="274" numFmtId="0" xfId="0" applyAlignment="1" applyFont="1">
      <alignment horizontal="right" vertical="bottom"/>
    </xf>
    <xf borderId="0" fillId="29" fontId="3" numFmtId="0" xfId="0" applyAlignment="1" applyFont="1">
      <alignment shrinkToFit="0" vertical="bottom" wrapText="0"/>
    </xf>
    <xf borderId="0" fillId="29" fontId="52" numFmtId="0" xfId="0" applyAlignment="1" applyFont="1">
      <alignment vertical="bottom"/>
    </xf>
    <xf borderId="0" fillId="21" fontId="82" numFmtId="0" xfId="0" applyAlignment="1" applyFont="1">
      <alignment vertical="bottom"/>
    </xf>
    <xf borderId="0" fillId="21" fontId="274" numFmtId="0" xfId="0" applyAlignment="1" applyFont="1">
      <alignment vertical="bottom"/>
    </xf>
    <xf borderId="0" fillId="36" fontId="276" numFmtId="0" xfId="0" applyAlignment="1" applyFont="1">
      <alignment readingOrder="0" vertical="bottom"/>
    </xf>
    <xf borderId="0" fillId="36" fontId="52" numFmtId="0" xfId="0" applyAlignment="1" applyFont="1">
      <alignment vertical="bottom"/>
    </xf>
    <xf borderId="0" fillId="36" fontId="5" numFmtId="0" xfId="0" applyAlignment="1" applyFont="1">
      <alignment horizontal="right" readingOrder="0" vertical="bottom"/>
    </xf>
    <xf borderId="0" fillId="23" fontId="241" numFmtId="0" xfId="0" applyAlignment="1" applyFont="1">
      <alignment shrinkToFit="0" vertical="bottom" wrapText="0"/>
    </xf>
    <xf borderId="0" fillId="37" fontId="4" numFmtId="0" xfId="0" applyFont="1"/>
    <xf borderId="0" fillId="37" fontId="5" numFmtId="0" xfId="0" applyAlignment="1" applyFont="1">
      <alignment vertical="bottom"/>
    </xf>
    <xf borderId="0" fillId="37" fontId="10" numFmtId="0" xfId="0" applyAlignment="1" applyFont="1">
      <alignment readingOrder="0"/>
    </xf>
    <xf borderId="0" fillId="37" fontId="10" numFmtId="0" xfId="0" applyFont="1"/>
    <xf borderId="0" fillId="37" fontId="3" numFmtId="0" xfId="0" applyAlignment="1" applyFont="1">
      <alignment vertical="bottom"/>
    </xf>
    <xf borderId="0" fillId="37" fontId="3" numFmtId="165" xfId="0" applyAlignment="1" applyFont="1" applyNumberFormat="1">
      <alignment horizontal="right" vertical="bottom"/>
    </xf>
    <xf borderId="0" fillId="37" fontId="3" numFmtId="0" xfId="0" applyAlignment="1" applyFont="1">
      <alignment readingOrder="0" vertical="bottom"/>
    </xf>
    <xf borderId="0" fillId="37" fontId="277" numFmtId="0" xfId="0" applyAlignment="1" applyFont="1">
      <alignment readingOrder="0" vertical="bottom"/>
    </xf>
    <xf borderId="0" fillId="37" fontId="3" numFmtId="0" xfId="0" applyAlignment="1" applyFont="1">
      <alignment horizontal="right" vertical="bottom"/>
    </xf>
    <xf borderId="0" fillId="37" fontId="278" numFmtId="0" xfId="0" applyAlignment="1" applyFont="1">
      <alignment vertical="bottom"/>
    </xf>
    <xf borderId="0" fillId="37" fontId="48" numFmtId="0" xfId="0" applyAlignment="1" applyFont="1">
      <alignment horizontal="right" vertical="bottom"/>
    </xf>
    <xf borderId="0" fillId="37" fontId="48" numFmtId="0" xfId="0" applyAlignment="1" applyFont="1">
      <alignment vertical="bottom"/>
    </xf>
    <xf borderId="0" fillId="37" fontId="279" numFmtId="0" xfId="0" applyAlignment="1" applyFont="1">
      <alignment vertical="bottom"/>
    </xf>
    <xf borderId="0" fillId="37" fontId="280" numFmtId="0" xfId="0" applyAlignment="1" applyFont="1">
      <alignment horizontal="right" vertical="bottom"/>
    </xf>
    <xf borderId="0" fillId="37" fontId="3" numFmtId="0" xfId="0" applyAlignment="1" applyFont="1">
      <alignment shrinkToFit="0" vertical="bottom" wrapText="0"/>
    </xf>
    <xf borderId="0" fillId="0" fontId="280" numFmtId="0" xfId="0" applyAlignment="1" applyFont="1">
      <alignment horizontal="right" readingOrder="0" vertical="bottom"/>
    </xf>
    <xf borderId="0" fillId="0" fontId="280" numFmtId="0" xfId="0" applyAlignment="1" applyFont="1">
      <alignment horizontal="right" vertical="bottom"/>
    </xf>
    <xf borderId="0" fillId="20" fontId="241" numFmtId="0" xfId="0" applyAlignment="1" applyFont="1">
      <alignment horizontal="right" vertical="bottom"/>
    </xf>
    <xf borderId="0" fillId="30" fontId="280" numFmtId="0" xfId="0" applyAlignment="1" applyFont="1">
      <alignment horizontal="right" vertical="bottom"/>
    </xf>
    <xf borderId="0" fillId="0" fontId="280" numFmtId="11" xfId="0" applyAlignment="1" applyFont="1" applyNumberFormat="1">
      <alignment horizontal="right" vertical="bottom"/>
    </xf>
    <xf borderId="0" fillId="0" fontId="280" numFmtId="0" xfId="0" applyAlignment="1" applyFont="1">
      <alignment horizontal="right" vertical="top"/>
    </xf>
    <xf borderId="13" fillId="0" fontId="3" numFmtId="0" xfId="0" applyAlignment="1" applyBorder="1" applyFont="1">
      <alignment horizontal="right" vertical="bottom"/>
    </xf>
    <xf borderId="13" fillId="0" fontId="3" numFmtId="11" xfId="0" applyAlignment="1" applyBorder="1" applyFont="1" applyNumberFormat="1">
      <alignment horizontal="right" vertical="top"/>
    </xf>
    <xf borderId="0" fillId="0" fontId="281" numFmtId="0" xfId="0" applyAlignment="1" applyFont="1">
      <alignment horizontal="right" vertical="bottom"/>
    </xf>
    <xf borderId="0" fillId="0" fontId="282" numFmtId="0" xfId="0" applyAlignment="1" applyFont="1">
      <alignment horizontal="right" readingOrder="0" vertical="bottom"/>
    </xf>
    <xf borderId="0" fillId="32" fontId="4" numFmtId="0" xfId="0" applyFont="1"/>
    <xf borderId="0" fillId="32" fontId="10" numFmtId="0" xfId="0" applyAlignment="1" applyFont="1">
      <alignment readingOrder="0"/>
    </xf>
    <xf borderId="0" fillId="32" fontId="10" numFmtId="0" xfId="0" applyFont="1"/>
    <xf borderId="0" fillId="32" fontId="3" numFmtId="165" xfId="0" applyAlignment="1" applyFont="1" applyNumberFormat="1">
      <alignment horizontal="right" vertical="bottom"/>
    </xf>
    <xf borderId="0" fillId="32" fontId="283" numFmtId="0" xfId="0" applyAlignment="1" applyFont="1">
      <alignment readingOrder="0" vertical="bottom"/>
    </xf>
    <xf borderId="0" fillId="32" fontId="3" numFmtId="0" xfId="0" applyAlignment="1" applyFont="1">
      <alignment horizontal="right" vertical="bottom"/>
    </xf>
    <xf borderId="0" fillId="32" fontId="284" numFmtId="0" xfId="0" applyAlignment="1" applyFont="1">
      <alignment vertical="bottom"/>
    </xf>
    <xf borderId="0" fillId="32" fontId="280" numFmtId="0" xfId="0" applyAlignment="1" applyFont="1">
      <alignment horizontal="right" readingOrder="0" vertical="bottom"/>
    </xf>
    <xf borderId="0" fillId="32" fontId="5" numFmtId="0" xfId="0" applyAlignment="1" applyFont="1">
      <alignment readingOrder="0" vertical="bottom"/>
    </xf>
    <xf borderId="0" fillId="32" fontId="280" numFmtId="0" xfId="0" applyAlignment="1" applyFont="1">
      <alignment horizontal="right" vertical="bottom"/>
    </xf>
    <xf borderId="0" fillId="32" fontId="285" numFmtId="0" xfId="0" applyAlignment="1" applyFont="1">
      <alignment shrinkToFit="0" vertical="bottom" wrapText="0"/>
    </xf>
    <xf borderId="0" fillId="32" fontId="286" numFmtId="0" xfId="0" applyAlignment="1" applyFont="1">
      <alignment readingOrder="0" vertical="bottom"/>
    </xf>
    <xf borderId="13" fillId="32" fontId="287" numFmtId="0" xfId="0" applyAlignment="1" applyBorder="1" applyFont="1">
      <alignment horizontal="right" readingOrder="0" vertical="bottom"/>
    </xf>
    <xf borderId="0" fillId="32" fontId="126" numFmtId="0" xfId="0" applyAlignment="1" applyFont="1">
      <alignment readingOrder="0" vertical="bottom"/>
    </xf>
    <xf borderId="0" fillId="32" fontId="5" numFmtId="0" xfId="0" applyAlignment="1" applyFont="1">
      <alignment horizontal="right" vertical="bottom"/>
    </xf>
    <xf borderId="0" fillId="32" fontId="241" numFmtId="0" xfId="0" applyAlignment="1" applyFont="1">
      <alignment horizontal="right" vertical="bottom"/>
    </xf>
    <xf borderId="0" fillId="32" fontId="28" numFmtId="0" xfId="0" applyAlignment="1" applyFont="1">
      <alignment vertical="bottom"/>
    </xf>
    <xf borderId="0" fillId="32" fontId="3" numFmtId="165" xfId="0" applyAlignment="1" applyFont="1" applyNumberFormat="1">
      <alignment vertical="bottom"/>
    </xf>
    <xf borderId="0" fillId="32" fontId="28" numFmtId="165" xfId="0" applyAlignment="1" applyFont="1" applyNumberFormat="1">
      <alignment horizontal="right" vertical="bottom"/>
    </xf>
    <xf borderId="1" fillId="32" fontId="288" numFmtId="0" xfId="0" applyAlignment="1" applyBorder="1" applyFont="1">
      <alignment vertical="bottom"/>
    </xf>
    <xf borderId="0" fillId="32" fontId="289" numFmtId="0" xfId="0" applyAlignment="1" applyFont="1">
      <alignment vertical="bottom"/>
    </xf>
    <xf borderId="0" fillId="32" fontId="11" numFmtId="0" xfId="0" applyAlignment="1" applyFont="1">
      <alignment vertical="bottom"/>
    </xf>
    <xf borderId="1" fillId="32" fontId="3" numFmtId="0" xfId="0" applyAlignment="1" applyBorder="1" applyFont="1">
      <alignment vertical="bottom"/>
    </xf>
    <xf borderId="7" fillId="32" fontId="3" numFmtId="0" xfId="0" applyAlignment="1" applyBorder="1" applyFont="1">
      <alignment vertical="bottom"/>
    </xf>
    <xf borderId="0" fillId="32" fontId="3" numFmtId="2" xfId="0" applyAlignment="1" applyFont="1" applyNumberFormat="1">
      <alignment horizontal="right" vertical="bottom"/>
    </xf>
    <xf borderId="0" fillId="32" fontId="28" numFmtId="0" xfId="0" applyAlignment="1" applyFont="1">
      <alignment vertical="bottom"/>
    </xf>
    <xf borderId="1" fillId="32" fontId="28" numFmtId="0" xfId="0" applyAlignment="1" applyBorder="1" applyFont="1">
      <alignment vertical="bottom"/>
    </xf>
    <xf borderId="0" fillId="32" fontId="3" numFmtId="0" xfId="0" applyAlignment="1" applyFont="1">
      <alignment shrinkToFit="0" vertical="top" wrapText="1"/>
    </xf>
    <xf borderId="0" fillId="32" fontId="28" numFmtId="0" xfId="0" applyAlignment="1" applyFont="1">
      <alignment readingOrder="0" vertical="bottom"/>
    </xf>
    <xf borderId="0" fillId="32" fontId="28" numFmtId="0" xfId="0" applyAlignment="1" applyFont="1">
      <alignment horizontal="right" vertical="bottom"/>
    </xf>
    <xf borderId="0" fillId="32" fontId="28" numFmtId="0" xfId="0" applyAlignment="1" applyFont="1">
      <alignment horizontal="right" vertical="bottom"/>
    </xf>
    <xf borderId="13" fillId="32" fontId="3" numFmtId="0" xfId="0" applyAlignment="1" applyBorder="1" applyFont="1">
      <alignment horizontal="right" vertical="bottom"/>
    </xf>
    <xf borderId="13" fillId="32" fontId="241" numFmtId="0" xfId="0" applyAlignment="1" applyBorder="1" applyFont="1">
      <alignment horizontal="right" vertical="bottom"/>
    </xf>
    <xf borderId="0" fillId="32" fontId="3" numFmtId="0" xfId="0" applyAlignment="1" applyFont="1">
      <alignment horizontal="right" readingOrder="0" vertical="bottom"/>
    </xf>
    <xf borderId="0" fillId="0" fontId="28" numFmtId="0" xfId="0" applyAlignment="1" applyFont="1">
      <alignment vertical="bottom"/>
    </xf>
    <xf borderId="0" fillId="0" fontId="3" numFmtId="165" xfId="0" applyAlignment="1" applyFont="1" applyNumberFormat="1">
      <alignment vertical="bottom"/>
    </xf>
    <xf borderId="0" fillId="0" fontId="28" numFmtId="165" xfId="0" applyAlignment="1" applyFont="1" applyNumberFormat="1">
      <alignment horizontal="right" vertical="bottom"/>
    </xf>
    <xf borderId="1" fillId="0" fontId="288" numFmtId="0" xfId="0" applyAlignment="1" applyBorder="1" applyFont="1">
      <alignment vertical="bottom"/>
    </xf>
    <xf borderId="0" fillId="0" fontId="11" numFmtId="0" xfId="0" applyAlignment="1" applyFont="1">
      <alignment vertical="bottom"/>
    </xf>
    <xf borderId="0" fillId="0" fontId="3" numFmtId="0" xfId="0" applyAlignment="1" applyFont="1">
      <alignment readingOrder="0" shrinkToFit="0" vertical="bottom" wrapText="1"/>
    </xf>
    <xf borderId="0" fillId="0" fontId="3" numFmtId="2" xfId="0" applyAlignment="1" applyFont="1" applyNumberFormat="1">
      <alignment horizontal="right" vertical="bottom"/>
    </xf>
    <xf borderId="0" fillId="0" fontId="290" numFmtId="0" xfId="0" applyAlignment="1" applyFont="1">
      <alignment vertical="bottom"/>
    </xf>
    <xf borderId="0" fillId="0" fontId="291" numFmtId="0" xfId="0" applyAlignment="1" applyFont="1">
      <alignment horizontal="right" vertical="bottom"/>
    </xf>
    <xf borderId="0" fillId="0" fontId="292" numFmtId="0" xfId="0" applyAlignment="1" applyFont="1">
      <alignment readingOrder="0" shrinkToFit="0" vertical="bottom" wrapText="0"/>
    </xf>
    <xf borderId="0" fillId="0" fontId="253" numFmtId="0" xfId="0" applyAlignment="1" applyFont="1">
      <alignment horizontal="right" shrinkToFit="0" vertical="bottom" wrapText="1"/>
    </xf>
    <xf borderId="0" fillId="0" fontId="293" numFmtId="0" xfId="0" applyAlignment="1" applyFont="1">
      <alignment horizontal="right" shrinkToFit="0" vertical="bottom" wrapText="1"/>
    </xf>
    <xf borderId="0" fillId="0" fontId="294" numFmtId="0" xfId="0" applyAlignment="1" applyFont="1">
      <alignment vertical="bottom"/>
    </xf>
    <xf borderId="0" fillId="0" fontId="82" numFmtId="0" xfId="0" applyAlignment="1" applyFont="1">
      <alignment vertical="bottom"/>
    </xf>
    <xf borderId="0" fillId="20" fontId="295" numFmtId="0" xfId="0" applyAlignment="1" applyFont="1">
      <alignment horizontal="right" vertical="bottom"/>
    </xf>
    <xf borderId="0" fillId="0" fontId="241" numFmtId="0" xfId="0" applyAlignment="1" applyFont="1">
      <alignment horizontal="right" vertical="top"/>
    </xf>
    <xf borderId="0" fillId="0" fontId="3" numFmtId="172" xfId="0" applyAlignment="1" applyFont="1" applyNumberFormat="1">
      <alignment horizontal="right" vertical="bottom"/>
    </xf>
    <xf borderId="0" fillId="0" fontId="5" numFmtId="11" xfId="0" applyAlignment="1" applyFont="1" applyNumberFormat="1">
      <alignment horizontal="right" vertical="bottom"/>
    </xf>
    <xf borderId="0" fillId="0" fontId="296" numFmtId="0" xfId="0" applyAlignment="1" applyFont="1">
      <alignment horizontal="right" vertical="bottom"/>
    </xf>
    <xf borderId="0" fillId="0" fontId="3" numFmtId="174" xfId="0" applyAlignment="1" applyFont="1" applyNumberFormat="1">
      <alignment horizontal="right" vertical="bottom"/>
    </xf>
    <xf borderId="0" fillId="0" fontId="52" numFmtId="11" xfId="0" applyAlignment="1" applyFont="1" applyNumberFormat="1">
      <alignment horizontal="right" vertical="bottom"/>
    </xf>
    <xf borderId="0" fillId="40" fontId="5" numFmtId="0" xfId="0" applyAlignment="1" applyFill="1" applyFont="1">
      <alignment vertical="bottom"/>
    </xf>
    <xf borderId="0" fillId="40" fontId="3" numFmtId="0" xfId="0" applyAlignment="1" applyFont="1">
      <alignment vertical="bottom"/>
    </xf>
    <xf borderId="0" fillId="40" fontId="3" numFmtId="0" xfId="0" applyAlignment="1" applyFont="1">
      <alignment vertical="bottom"/>
    </xf>
    <xf borderId="0" fillId="40" fontId="3" numFmtId="165" xfId="0" applyAlignment="1" applyFont="1" applyNumberFormat="1">
      <alignment horizontal="right" vertical="bottom"/>
    </xf>
    <xf borderId="0" fillId="40" fontId="5" numFmtId="165" xfId="0" applyAlignment="1" applyFont="1" applyNumberFormat="1">
      <alignment horizontal="right" vertical="bottom"/>
    </xf>
    <xf borderId="0" fillId="40" fontId="3" numFmtId="0" xfId="0" applyAlignment="1" applyFont="1">
      <alignment horizontal="right" vertical="bottom"/>
    </xf>
    <xf borderId="1" fillId="40" fontId="3" numFmtId="0" xfId="0" applyAlignment="1" applyBorder="1" applyFont="1">
      <alignment vertical="bottom"/>
    </xf>
    <xf borderId="0" fillId="40" fontId="5" numFmtId="0" xfId="0" applyAlignment="1" applyFont="1">
      <alignment vertical="bottom"/>
    </xf>
    <xf borderId="0" fillId="40" fontId="5" numFmtId="0" xfId="0" applyAlignment="1" applyFont="1">
      <alignment vertical="bottom"/>
    </xf>
    <xf borderId="0" fillId="40" fontId="5" numFmtId="0" xfId="0" applyAlignment="1" applyFont="1">
      <alignment readingOrder="0" vertical="bottom"/>
    </xf>
    <xf borderId="0" fillId="40" fontId="126" numFmtId="0" xfId="0" applyAlignment="1" applyFont="1">
      <alignment readingOrder="0" vertical="bottom"/>
    </xf>
    <xf borderId="0" fillId="40" fontId="82" numFmtId="0" xfId="0" applyAlignment="1" applyFont="1">
      <alignment readingOrder="0" vertical="bottom"/>
    </xf>
    <xf borderId="0" fillId="40" fontId="5" numFmtId="0" xfId="0" applyAlignment="1" applyFont="1">
      <alignment horizontal="right" vertical="bottom"/>
    </xf>
    <xf borderId="0" fillId="14" fontId="5" numFmtId="165" xfId="0" applyAlignment="1" applyFont="1" applyNumberFormat="1">
      <alignment horizontal="right" vertical="bottom"/>
    </xf>
    <xf borderId="1" fillId="14" fontId="297" numFmtId="0" xfId="0" applyAlignment="1" applyBorder="1" applyFont="1">
      <alignment readingOrder="0" vertical="bottom"/>
    </xf>
    <xf borderId="0" fillId="30" fontId="5" numFmtId="165" xfId="0" applyAlignment="1" applyFont="1" applyNumberFormat="1">
      <alignment horizontal="right" vertical="bottom"/>
    </xf>
    <xf borderId="1" fillId="30" fontId="3" numFmtId="0" xfId="0" applyAlignment="1" applyBorder="1" applyFont="1">
      <alignment vertical="bottom"/>
    </xf>
    <xf borderId="0" fillId="30" fontId="5" numFmtId="11" xfId="0" applyAlignment="1" applyFont="1" applyNumberFormat="1">
      <alignment horizontal="right" vertical="bottom"/>
    </xf>
    <xf borderId="0" fillId="30" fontId="126" numFmtId="0" xfId="0" applyAlignment="1" applyFont="1">
      <alignment readingOrder="0" vertical="bottom"/>
    </xf>
    <xf borderId="0" fillId="30" fontId="3" numFmtId="11" xfId="0" applyAlignment="1" applyFont="1" applyNumberFormat="1">
      <alignment horizontal="right" vertical="bottom"/>
    </xf>
    <xf borderId="0" fillId="21" fontId="5" numFmtId="165" xfId="0" applyAlignment="1" applyFont="1" applyNumberFormat="1">
      <alignment horizontal="right" vertical="bottom"/>
    </xf>
    <xf borderId="0" fillId="21" fontId="126" numFmtId="0" xfId="0" applyAlignment="1" applyFont="1">
      <alignment readingOrder="0" vertical="bottom"/>
    </xf>
    <xf borderId="0" fillId="23" fontId="5" numFmtId="165" xfId="0" applyAlignment="1" applyFont="1" applyNumberFormat="1">
      <alignment horizontal="right" vertical="bottom"/>
    </xf>
    <xf borderId="0" fillId="23" fontId="126" numFmtId="0" xfId="0" applyAlignment="1" applyFont="1">
      <alignment readingOrder="0" vertical="bottom"/>
    </xf>
    <xf borderId="0" fillId="40" fontId="33" numFmtId="0" xfId="0" applyAlignment="1" applyFont="1">
      <alignment readingOrder="0" vertical="bottom"/>
    </xf>
    <xf borderId="0" fillId="0" fontId="126" numFmtId="0" xfId="0" applyAlignment="1" applyFont="1">
      <alignment readingOrder="0" vertical="bottom"/>
    </xf>
    <xf borderId="0" fillId="0" fontId="3" numFmtId="11" xfId="0" applyAlignment="1" applyFont="1" applyNumberFormat="1">
      <alignment vertical="bottom"/>
    </xf>
    <xf borderId="0" fillId="40" fontId="298" numFmtId="0" xfId="0" applyAlignment="1" applyFont="1">
      <alignment vertical="bottom"/>
    </xf>
    <xf borderId="0" fillId="41" fontId="5" numFmtId="0" xfId="0" applyAlignment="1" applyFill="1" applyFont="1">
      <alignment vertical="bottom"/>
    </xf>
    <xf borderId="0" fillId="40" fontId="5" numFmtId="0" xfId="0" applyAlignment="1" applyFont="1">
      <alignment horizontal="right" vertical="bottom"/>
    </xf>
    <xf borderId="0" fillId="40" fontId="299" numFmtId="0" xfId="0" applyAlignment="1" applyFont="1">
      <alignment vertical="bottom"/>
    </xf>
    <xf borderId="0" fillId="14" fontId="3" numFmtId="11" xfId="0" applyAlignment="1" applyFont="1" applyNumberFormat="1">
      <alignment horizontal="right" vertical="bottom"/>
    </xf>
    <xf borderId="0" fillId="40" fontId="300" numFmtId="0" xfId="0" applyAlignment="1" applyFont="1">
      <alignment readingOrder="0" vertical="bottom"/>
    </xf>
    <xf borderId="0" fillId="40" fontId="5" numFmtId="11" xfId="0" applyAlignment="1" applyFont="1" applyNumberFormat="1">
      <alignment horizontal="right" vertical="bottom"/>
    </xf>
    <xf borderId="0" fillId="14" fontId="3" numFmtId="2" xfId="0" applyAlignment="1" applyFont="1" applyNumberFormat="1">
      <alignment vertical="bottom"/>
    </xf>
    <xf borderId="0" fillId="40" fontId="5" numFmtId="0" xfId="0" applyAlignment="1" applyFont="1">
      <alignment horizontal="right" readingOrder="0" vertical="bottom"/>
    </xf>
    <xf borderId="0" fillId="40" fontId="5" numFmtId="11" xfId="0" applyAlignment="1" applyFont="1" applyNumberFormat="1">
      <alignment horizontal="right" readingOrder="0" vertical="bottom"/>
    </xf>
    <xf borderId="0" fillId="14" fontId="301" numFmtId="0" xfId="0" applyAlignment="1" applyFont="1">
      <alignment vertical="bottom"/>
    </xf>
    <xf borderId="0" fillId="14" fontId="3" numFmtId="11" xfId="0" applyAlignment="1" applyFont="1" applyNumberFormat="1">
      <alignment vertical="bottom"/>
    </xf>
    <xf borderId="0" fillId="41" fontId="33" numFmtId="0" xfId="0" applyAlignment="1" applyFont="1">
      <alignment vertical="bottom"/>
    </xf>
    <xf borderId="0" fillId="41" fontId="33" numFmtId="0" xfId="0" applyAlignment="1" applyFont="1">
      <alignment horizontal="right" vertical="bottom"/>
    </xf>
    <xf borderId="0" fillId="14" fontId="11" numFmtId="0" xfId="0" applyAlignment="1" applyFont="1">
      <alignment horizontal="right" vertical="bottom"/>
    </xf>
    <xf borderId="0" fillId="41" fontId="3" numFmtId="0" xfId="0" applyAlignment="1" applyFont="1">
      <alignment vertical="bottom"/>
    </xf>
    <xf borderId="0" fillId="40" fontId="302" numFmtId="0" xfId="0" applyAlignment="1" applyFont="1">
      <alignment vertical="bottom"/>
    </xf>
    <xf borderId="0" fillId="0" fontId="11" numFmtId="0" xfId="0" applyAlignment="1" applyFont="1">
      <alignment horizontal="right" readingOrder="0" vertical="bottom"/>
    </xf>
    <xf borderId="0" fillId="40" fontId="33" numFmtId="0" xfId="0" applyAlignment="1" applyFont="1">
      <alignment horizontal="right" readingOrder="0" vertical="bottom"/>
    </xf>
    <xf borderId="0" fillId="41" fontId="5" numFmtId="0" xfId="0" applyAlignment="1" applyFont="1">
      <alignment readingOrder="0" vertical="bottom"/>
    </xf>
    <xf borderId="0" fillId="14" fontId="2" numFmtId="0" xfId="0" applyAlignment="1" applyFont="1">
      <alignment vertical="bottom"/>
    </xf>
    <xf borderId="0" fillId="14" fontId="303" numFmtId="0" xfId="0" applyAlignment="1" applyFont="1">
      <alignment horizontal="right" vertical="bottom"/>
    </xf>
    <xf borderId="0" fillId="14" fontId="11" numFmtId="0" xfId="0" applyAlignment="1" applyFont="1">
      <alignment vertical="bottom"/>
    </xf>
    <xf borderId="0" fillId="14" fontId="11" numFmtId="0" xfId="0" applyAlignment="1" applyFont="1">
      <alignment horizontal="right" vertical="bottom"/>
    </xf>
    <xf borderId="0" fillId="40" fontId="33" numFmtId="0" xfId="0" applyAlignment="1" applyFont="1">
      <alignment vertical="bottom"/>
    </xf>
    <xf borderId="1" fillId="14" fontId="3" numFmtId="0" xfId="0" applyAlignment="1" applyBorder="1" applyFont="1">
      <alignment vertical="bottom"/>
    </xf>
    <xf borderId="0" fillId="40" fontId="304" numFmtId="0" xfId="0" applyAlignment="1" applyFont="1">
      <alignment readingOrder="0" vertical="bottom"/>
    </xf>
    <xf borderId="0" fillId="14" fontId="3" numFmtId="175" xfId="0" applyAlignment="1" applyFont="1" applyNumberFormat="1">
      <alignment horizontal="right" vertical="bottom"/>
    </xf>
    <xf borderId="0" fillId="14" fontId="305" numFmtId="0" xfId="0" applyAlignment="1" applyFont="1">
      <alignment vertical="bottom"/>
    </xf>
    <xf borderId="0" fillId="14" fontId="306" numFmtId="0" xfId="0" applyAlignment="1" applyFont="1">
      <alignment vertical="bottom"/>
    </xf>
    <xf borderId="0" fillId="41" fontId="33" numFmtId="0" xfId="0" applyAlignment="1" applyFont="1">
      <alignment readingOrder="0" vertical="bottom"/>
    </xf>
    <xf borderId="0" fillId="0" fontId="82" numFmtId="0" xfId="0" applyAlignment="1" applyFont="1">
      <alignment readingOrder="0" vertical="bottom"/>
    </xf>
    <xf borderId="0" fillId="0" fontId="307" numFmtId="0" xfId="0" applyAlignment="1" applyFont="1">
      <alignment vertical="bottom"/>
    </xf>
    <xf borderId="0" fillId="0" fontId="82" numFmtId="0" xfId="0" applyAlignment="1" applyFont="1">
      <alignment horizontal="right" readingOrder="0" vertical="bottom"/>
    </xf>
    <xf borderId="0" fillId="0" fontId="308" numFmtId="11" xfId="0" applyAlignment="1" applyFont="1" applyNumberFormat="1">
      <alignment horizontal="right" vertical="bottom"/>
    </xf>
    <xf borderId="0" fillId="5" fontId="309" numFmtId="0" xfId="0" applyAlignment="1" applyFont="1">
      <alignment readingOrder="0" vertical="bottom"/>
    </xf>
    <xf borderId="0" fillId="0" fontId="3" numFmtId="176" xfId="0" applyAlignment="1" applyFont="1" applyNumberFormat="1">
      <alignment horizontal="right" vertical="bottom"/>
    </xf>
    <xf borderId="0" fillId="0" fontId="5" numFmtId="165" xfId="0" applyAlignment="1" applyFont="1" applyNumberFormat="1">
      <alignment horizontal="right" readingOrder="0" vertical="bottom"/>
    </xf>
    <xf borderId="0" fillId="0" fontId="82" numFmtId="0" xfId="0" applyAlignment="1" applyFont="1">
      <alignment horizontal="right" vertical="bottom"/>
    </xf>
    <xf borderId="0" fillId="0" fontId="81" numFmtId="0" xfId="0" applyAlignment="1" applyFont="1">
      <alignment vertical="bottom"/>
    </xf>
    <xf borderId="0" fillId="0" fontId="310" numFmtId="0" xfId="0" applyAlignment="1" applyFont="1">
      <alignment vertical="bottom"/>
    </xf>
    <xf borderId="0" fillId="20" fontId="81" numFmtId="0" xfId="0" applyAlignment="1" applyFont="1">
      <alignment vertical="bottom"/>
    </xf>
    <xf borderId="0" fillId="0" fontId="3" numFmtId="169" xfId="0" applyAlignment="1" applyFont="1" applyNumberFormat="1">
      <alignment horizontal="right" readingOrder="0" vertical="bottom"/>
    </xf>
    <xf borderId="0" fillId="0" fontId="311" numFmtId="0" xfId="0" applyAlignment="1" applyFont="1">
      <alignment vertical="bottom"/>
    </xf>
    <xf borderId="0" fillId="0" fontId="312" numFmtId="0" xfId="0" applyAlignment="1" applyFont="1">
      <alignment readingOrder="0" vertical="bottom"/>
    </xf>
    <xf borderId="0" fillId="0" fontId="313" numFmtId="0" xfId="0" applyAlignment="1" applyFont="1">
      <alignment vertical="bottom"/>
    </xf>
    <xf borderId="0" fillId="0" fontId="314" numFmtId="0" xfId="0" applyAlignment="1" applyFont="1">
      <alignment vertical="bottom"/>
    </xf>
    <xf borderId="0" fillId="0" fontId="315" numFmtId="0" xfId="0" applyAlignment="1" applyFont="1">
      <alignment horizontal="right" vertical="bottom"/>
    </xf>
    <xf borderId="0" fillId="0" fontId="48" numFmtId="169" xfId="0" applyAlignment="1" applyFont="1" applyNumberFormat="1">
      <alignment horizontal="right" vertical="bottom"/>
    </xf>
    <xf borderId="0" fillId="0" fontId="316" numFmtId="0" xfId="0" applyAlignment="1" applyFont="1">
      <alignment vertical="bottom"/>
    </xf>
    <xf borderId="0" fillId="0" fontId="317" numFmtId="0" xfId="0" applyAlignment="1" applyFont="1">
      <alignment vertical="bottom"/>
    </xf>
    <xf borderId="0" fillId="0" fontId="318" numFmtId="0" xfId="0" applyAlignment="1" applyFont="1">
      <alignment vertical="bottom"/>
    </xf>
    <xf borderId="0" fillId="0" fontId="5" numFmtId="169" xfId="0" applyAlignment="1" applyFont="1" applyNumberFormat="1">
      <alignment vertical="bottom"/>
    </xf>
    <xf borderId="0" fillId="0" fontId="50" numFmtId="0" xfId="0" applyAlignment="1" applyFont="1">
      <alignment vertical="bottom"/>
    </xf>
    <xf borderId="0" fillId="0" fontId="319" numFmtId="0" xfId="0" applyAlignment="1" applyFont="1">
      <alignment vertical="bottom"/>
    </xf>
    <xf borderId="0" fillId="5" fontId="3" numFmtId="169" xfId="0" applyAlignment="1" applyFont="1" applyNumberFormat="1">
      <alignment horizontal="right" readingOrder="0" vertical="bottom"/>
    </xf>
    <xf quotePrefix="1" borderId="0" fillId="0" fontId="3" numFmtId="0" xfId="0" applyAlignment="1" applyFont="1">
      <alignment readingOrder="0" vertical="bottom"/>
    </xf>
    <xf borderId="0" fillId="0" fontId="30" numFmtId="0" xfId="0" applyAlignment="1" applyFont="1">
      <alignment vertical="bottom"/>
    </xf>
    <xf borderId="0" fillId="0" fontId="89" numFmtId="0" xfId="0" applyAlignment="1" applyFont="1">
      <alignment vertical="bottom"/>
    </xf>
    <xf borderId="0" fillId="28" fontId="4" numFmtId="0" xfId="0" applyFont="1"/>
    <xf borderId="0" fillId="28" fontId="3" numFmtId="165" xfId="0" applyAlignment="1" applyFont="1" applyNumberFormat="1">
      <alignment vertical="bottom"/>
    </xf>
    <xf borderId="0" fillId="28" fontId="320" numFmtId="0" xfId="0" applyAlignment="1" applyFont="1">
      <alignment readingOrder="0" vertical="bottom"/>
    </xf>
    <xf borderId="0" fillId="28" fontId="3" numFmtId="49" xfId="0" applyAlignment="1" applyFont="1" applyNumberFormat="1">
      <alignment readingOrder="0" shrinkToFit="0" vertical="bottom" wrapText="0"/>
    </xf>
    <xf borderId="0" fillId="28" fontId="3" numFmtId="168" xfId="0" applyAlignment="1" applyFont="1" applyNumberFormat="1">
      <alignment horizontal="right" vertical="bottom"/>
    </xf>
    <xf borderId="0" fillId="23" fontId="3" numFmtId="165" xfId="0" applyAlignment="1" applyFont="1" applyNumberFormat="1">
      <alignment vertical="bottom"/>
    </xf>
    <xf borderId="0" fillId="5" fontId="321" numFmtId="0" xfId="0" applyAlignment="1" applyFont="1">
      <alignment readingOrder="0" vertical="bottom"/>
    </xf>
    <xf borderId="0" fillId="23" fontId="322" numFmtId="0" xfId="0" applyAlignment="1" applyFont="1">
      <alignment vertical="bottom"/>
    </xf>
    <xf borderId="0" fillId="23" fontId="3" numFmtId="168" xfId="0" applyAlignment="1" applyFont="1" applyNumberFormat="1">
      <alignment horizontal="right" vertical="bottom"/>
    </xf>
    <xf borderId="0" fillId="23" fontId="3" numFmtId="3" xfId="0" applyAlignment="1" applyFont="1" applyNumberFormat="1">
      <alignment horizontal="right" vertical="bottom"/>
    </xf>
    <xf borderId="0" fillId="28" fontId="3" numFmtId="164" xfId="0" applyAlignment="1" applyFont="1" applyNumberFormat="1">
      <alignment vertical="bottom"/>
    </xf>
    <xf borderId="0" fillId="28" fontId="323" numFmtId="0" xfId="0" applyAlignment="1" applyFont="1">
      <alignment readingOrder="0" vertical="bottom"/>
    </xf>
    <xf borderId="0" fillId="28" fontId="324" numFmtId="0" xfId="0" applyAlignment="1" applyFont="1">
      <alignment vertical="bottom"/>
    </xf>
    <xf borderId="0" fillId="28" fontId="3" numFmtId="169" xfId="0" applyAlignment="1" applyFont="1" applyNumberFormat="1">
      <alignment horizontal="right" vertical="bottom"/>
    </xf>
    <xf borderId="0" fillId="23" fontId="3" numFmtId="3" xfId="0" applyAlignment="1" applyFont="1" applyNumberFormat="1">
      <alignment vertical="bottom"/>
    </xf>
    <xf borderId="0" fillId="23" fontId="3" numFmtId="172" xfId="0" applyAlignment="1" applyFont="1" applyNumberFormat="1">
      <alignment horizontal="right" vertical="bottom"/>
    </xf>
    <xf borderId="0" fillId="28" fontId="4" numFmtId="165" xfId="0" applyAlignment="1" applyFont="1" applyNumberFormat="1">
      <alignment readingOrder="0"/>
    </xf>
    <xf borderId="0" fillId="28" fontId="325" numFmtId="0" xfId="0" applyAlignment="1" applyFont="1">
      <alignment readingOrder="0"/>
    </xf>
    <xf borderId="0" fillId="28" fontId="326" numFmtId="0" xfId="0" applyAlignment="1" applyFont="1">
      <alignment readingOrder="0"/>
    </xf>
    <xf borderId="0" fillId="0" fontId="327" numFmtId="0" xfId="0" applyAlignment="1" applyFont="1">
      <alignment readingOrder="0"/>
    </xf>
    <xf borderId="0" fillId="26" fontId="3" numFmtId="165" xfId="0" applyAlignment="1" applyFont="1" applyNumberFormat="1">
      <alignment vertical="bottom"/>
    </xf>
    <xf borderId="0" fillId="26" fontId="328" numFmtId="0" xfId="0" applyAlignment="1" applyFont="1">
      <alignment vertical="bottom"/>
    </xf>
    <xf borderId="0" fillId="26" fontId="82" numFmtId="0" xfId="0" applyAlignment="1" applyFont="1">
      <alignment readingOrder="0" vertical="bottom"/>
    </xf>
    <xf borderId="0" fillId="26" fontId="291" numFmtId="0" xfId="0" applyAlignment="1" applyFont="1">
      <alignment horizontal="right" vertical="bottom"/>
    </xf>
    <xf borderId="0" fillId="30" fontId="5" numFmtId="0" xfId="0" applyAlignment="1" applyFont="1">
      <alignment horizontal="right" vertical="bottom"/>
    </xf>
    <xf borderId="0" fillId="23" fontId="3" numFmtId="164" xfId="0" applyAlignment="1" applyFont="1" applyNumberFormat="1">
      <alignment horizontal="right" readingOrder="0" vertical="bottom"/>
    </xf>
    <xf borderId="0" fillId="2" fontId="3" numFmtId="0" xfId="0" applyAlignment="1" applyFont="1">
      <alignment readingOrder="0" vertical="bottom"/>
    </xf>
    <xf borderId="0" fillId="23" fontId="3" numFmtId="0" xfId="0" applyAlignment="1" applyFont="1">
      <alignment horizontal="right" shrinkToFit="0" vertical="bottom" wrapText="0"/>
    </xf>
    <xf borderId="0" fillId="15" fontId="3" numFmtId="49" xfId="0" applyAlignment="1" applyFont="1" applyNumberFormat="1">
      <alignment readingOrder="0" shrinkToFit="0" vertical="bottom" wrapText="0"/>
    </xf>
    <xf borderId="0" fillId="23" fontId="5" numFmtId="0" xfId="0" applyAlignment="1" applyFont="1">
      <alignment shrinkToFit="0" vertical="bottom" wrapText="0"/>
    </xf>
    <xf borderId="0" fillId="15" fontId="5" numFmtId="0" xfId="0" applyAlignment="1" applyFont="1">
      <alignment vertical="bottom"/>
    </xf>
    <xf borderId="0" fillId="15" fontId="3" numFmtId="0" xfId="0" applyAlignment="1" applyFont="1">
      <alignment shrinkToFit="0" vertical="bottom" wrapText="0"/>
    </xf>
    <xf borderId="0" fillId="15" fontId="3" numFmtId="0" xfId="0" applyAlignment="1" applyFont="1">
      <alignment horizontal="right" vertical="bottom"/>
    </xf>
    <xf borderId="0" fillId="15" fontId="3" numFmtId="0" xfId="0" applyAlignment="1" applyFont="1">
      <alignment horizontal="right" shrinkToFit="0" vertical="bottom" wrapText="0"/>
    </xf>
    <xf borderId="0" fillId="15" fontId="3" numFmtId="0" xfId="0" applyAlignment="1" applyFont="1">
      <alignment shrinkToFit="0" vertical="bottom" wrapText="0"/>
    </xf>
    <xf borderId="0" fillId="15" fontId="3" numFmtId="0" xfId="0" applyAlignment="1" applyFont="1">
      <alignment horizontal="right" shrinkToFit="0" vertical="bottom" wrapText="0"/>
    </xf>
    <xf borderId="0" fillId="15" fontId="5" numFmtId="0" xfId="0" applyAlignment="1" applyFont="1">
      <alignment shrinkToFit="0" vertical="bottom" wrapText="0"/>
    </xf>
    <xf borderId="0" fillId="29" fontId="3" numFmtId="164" xfId="0" applyAlignment="1" applyFont="1" applyNumberFormat="1">
      <alignment horizontal="right" readingOrder="0" vertical="bottom"/>
    </xf>
    <xf borderId="0" fillId="29" fontId="3" numFmtId="177" xfId="0" applyAlignment="1" applyFont="1" applyNumberFormat="1">
      <alignment horizontal="right" vertical="bottom"/>
    </xf>
    <xf borderId="0" fillId="23" fontId="3" numFmtId="177" xfId="0" applyAlignment="1" applyFont="1" applyNumberFormat="1">
      <alignment horizontal="right" vertical="bottom"/>
    </xf>
    <xf borderId="0" fillId="30" fontId="5" numFmtId="164" xfId="0" applyAlignment="1" applyFont="1" applyNumberFormat="1">
      <alignment horizontal="right" vertical="bottom"/>
    </xf>
    <xf borderId="0" fillId="30" fontId="33" numFmtId="0" xfId="0" applyAlignment="1" applyFont="1">
      <alignment vertical="bottom"/>
    </xf>
    <xf borderId="0" fillId="17" fontId="10" numFmtId="0" xfId="0" applyAlignment="1" applyFont="1">
      <alignment readingOrder="0"/>
    </xf>
    <xf borderId="0" fillId="17" fontId="4" numFmtId="0" xfId="0" applyAlignment="1" applyFont="1">
      <alignment readingOrder="0"/>
    </xf>
    <xf borderId="0" fillId="17" fontId="4" numFmtId="164" xfId="0" applyAlignment="1" applyFont="1" applyNumberFormat="1">
      <alignment readingOrder="0"/>
    </xf>
    <xf borderId="0" fillId="17" fontId="4" numFmtId="0" xfId="0" applyFont="1"/>
    <xf borderId="0" fillId="17" fontId="5" numFmtId="0" xfId="0" applyAlignment="1" applyFont="1">
      <alignment vertical="bottom"/>
    </xf>
    <xf borderId="0" fillId="13" fontId="3" numFmtId="0" xfId="0" applyAlignment="1" applyFont="1">
      <alignment shrinkToFit="0" vertical="bottom" wrapText="0"/>
    </xf>
    <xf borderId="0" fillId="20" fontId="329" numFmtId="0" xfId="0" applyAlignment="1" applyFont="1">
      <alignment readingOrder="0" shrinkToFit="0" vertical="bottom" wrapText="0"/>
    </xf>
    <xf borderId="0" fillId="22" fontId="3" numFmtId="0" xfId="0" applyAlignment="1" applyFont="1">
      <alignment shrinkToFit="0" vertical="bottom" wrapText="0"/>
    </xf>
    <xf borderId="0" fillId="0" fontId="3" numFmtId="3" xfId="0" applyAlignment="1" applyFont="1" applyNumberFormat="1">
      <alignment horizontal="right" shrinkToFit="0" vertical="bottom" wrapText="0"/>
    </xf>
    <xf borderId="0" fillId="13" fontId="3" numFmtId="0" xfId="0" applyAlignment="1" applyFont="1">
      <alignment vertical="bottom"/>
    </xf>
    <xf borderId="0" fillId="20" fontId="329" numFmtId="0" xfId="0" applyAlignment="1" applyFont="1">
      <alignment readingOrder="0" vertical="bottom"/>
    </xf>
    <xf borderId="0" fillId="23" fontId="3" numFmtId="165" xfId="0" applyAlignment="1" applyFont="1" applyNumberFormat="1">
      <alignment horizontal="right" readingOrder="0" shrinkToFit="0" vertical="bottom" wrapText="0"/>
    </xf>
    <xf borderId="0" fillId="23" fontId="329" numFmtId="0" xfId="0" applyAlignment="1" applyFont="1">
      <alignment readingOrder="0" shrinkToFit="0" vertical="bottom" wrapText="0"/>
    </xf>
    <xf borderId="0" fillId="23" fontId="11" numFmtId="0" xfId="0" applyAlignment="1" applyFont="1">
      <alignment horizontal="right" readingOrder="0" shrinkToFit="0" vertical="bottom" wrapText="0"/>
    </xf>
    <xf borderId="0" fillId="23" fontId="11" numFmtId="3" xfId="0" applyAlignment="1" applyFont="1" applyNumberFormat="1">
      <alignment horizontal="right" readingOrder="0" shrinkToFit="0" vertical="bottom" wrapText="0"/>
    </xf>
    <xf borderId="0" fillId="20" fontId="11" numFmtId="0" xfId="0" applyAlignment="1" applyFont="1">
      <alignment vertical="bottom"/>
    </xf>
    <xf borderId="0" fillId="23" fontId="11" numFmtId="0" xfId="0" applyAlignment="1" applyFont="1">
      <alignment readingOrder="0" shrinkToFit="0" vertical="bottom" wrapText="0"/>
    </xf>
    <xf borderId="0" fillId="23" fontId="330" numFmtId="0" xfId="0" applyAlignment="1" applyFont="1">
      <alignment readingOrder="0"/>
    </xf>
    <xf borderId="0" fillId="23" fontId="329" numFmtId="0" xfId="0" applyAlignment="1" applyFont="1">
      <alignment readingOrder="0" vertical="bottom"/>
    </xf>
    <xf borderId="0" fillId="31" fontId="3" numFmtId="165" xfId="0" applyAlignment="1" applyFont="1" applyNumberFormat="1">
      <alignment horizontal="right" shrinkToFit="0" vertical="bottom" wrapText="0"/>
    </xf>
    <xf borderId="0" fillId="31" fontId="329" numFmtId="0" xfId="0" applyAlignment="1" applyFont="1">
      <alignment readingOrder="0" shrinkToFit="0" vertical="bottom" wrapText="0"/>
    </xf>
    <xf borderId="0" fillId="31" fontId="331" numFmtId="0" xfId="0" applyAlignment="1" applyFont="1">
      <alignment shrinkToFit="0" vertical="bottom" wrapText="0"/>
    </xf>
    <xf borderId="0" fillId="31" fontId="3" numFmtId="3" xfId="0" applyAlignment="1" applyFont="1" applyNumberFormat="1">
      <alignment horizontal="right" shrinkToFit="0" vertical="bottom" wrapText="0"/>
    </xf>
    <xf borderId="0" fillId="31" fontId="3" numFmtId="0" xfId="0" applyAlignment="1" applyFont="1">
      <alignment horizontal="right" shrinkToFit="0" vertical="bottom" wrapText="0"/>
    </xf>
    <xf borderId="0" fillId="31" fontId="3" numFmtId="0" xfId="0" applyAlignment="1" applyFont="1">
      <alignment readingOrder="0" shrinkToFit="0" vertical="bottom" wrapText="0"/>
    </xf>
    <xf borderId="0" fillId="31" fontId="5" numFmtId="0" xfId="0" applyAlignment="1" applyFont="1">
      <alignment horizontal="right" readingOrder="0" vertical="bottom"/>
    </xf>
    <xf borderId="0" fillId="31" fontId="5" numFmtId="0" xfId="0" applyAlignment="1" applyFont="1">
      <alignment shrinkToFit="0" vertical="bottom" wrapText="0"/>
    </xf>
    <xf borderId="0" fillId="31" fontId="332" numFmtId="0" xfId="0" applyAlignment="1" applyFont="1">
      <alignment readingOrder="0" vertical="bottom"/>
    </xf>
    <xf borderId="0" fillId="31" fontId="333" numFmtId="0" xfId="0" applyAlignment="1" applyFont="1">
      <alignment readingOrder="0" vertical="bottom"/>
    </xf>
    <xf borderId="0" fillId="26" fontId="334" numFmtId="0" xfId="0" applyAlignment="1" applyFont="1">
      <alignment readingOrder="0" vertical="bottom"/>
    </xf>
    <xf borderId="0" fillId="0" fontId="4" numFmtId="0" xfId="0" applyAlignment="1" applyFont="1">
      <alignment horizontal="right" vertical="bottom"/>
    </xf>
    <xf borderId="0" fillId="0" fontId="335" numFmtId="0" xfId="0" applyAlignment="1" applyFont="1">
      <alignment readingOrder="0" vertical="bottom"/>
    </xf>
    <xf borderId="0" fillId="21" fontId="329" numFmtId="0" xfId="0" applyAlignment="1" applyFont="1">
      <alignment readingOrder="0" shrinkToFit="0" vertical="bottom" wrapText="0"/>
    </xf>
    <xf borderId="0" fillId="21" fontId="3" numFmtId="0" xfId="0" applyAlignment="1" applyFont="1">
      <alignment horizontal="right" shrinkToFit="0" vertical="bottom" wrapText="0"/>
    </xf>
    <xf borderId="0" fillId="21" fontId="5" numFmtId="0" xfId="0" applyAlignment="1" applyFont="1">
      <alignment shrinkToFit="0" vertical="bottom" wrapText="0"/>
    </xf>
    <xf borderId="0" fillId="21" fontId="3" numFmtId="3" xfId="0" applyAlignment="1" applyFont="1" applyNumberFormat="1">
      <alignment horizontal="right" shrinkToFit="0" vertical="bottom" wrapText="0"/>
    </xf>
    <xf borderId="0" fillId="21" fontId="3" numFmtId="0" xfId="0" applyAlignment="1" applyFont="1">
      <alignment horizontal="right" shrinkToFit="0" vertical="bottom" wrapText="0"/>
    </xf>
    <xf borderId="0" fillId="0" fontId="3" numFmtId="3" xfId="0" applyAlignment="1" applyFont="1" applyNumberFormat="1">
      <alignment vertical="bottom"/>
    </xf>
    <xf borderId="0" fillId="0" fontId="48" numFmtId="168" xfId="0" applyAlignment="1" applyFont="1" applyNumberFormat="1">
      <alignment horizontal="right" vertical="bottom"/>
    </xf>
    <xf borderId="0" fillId="0" fontId="3" numFmtId="168" xfId="0" applyAlignment="1" applyFont="1" applyNumberFormat="1">
      <alignment horizontal="right" vertical="bottom"/>
    </xf>
    <xf borderId="0" fillId="20" fontId="3" numFmtId="0" xfId="0" applyAlignment="1" applyFont="1">
      <alignment horizontal="right" shrinkToFit="0" vertical="bottom" wrapText="0"/>
    </xf>
    <xf borderId="0" fillId="20" fontId="3" numFmtId="0" xfId="0" applyAlignment="1" applyFont="1">
      <alignment horizontal="right" shrinkToFit="0" vertical="bottom" wrapText="0"/>
    </xf>
    <xf borderId="0" fillId="20" fontId="5" numFmtId="0" xfId="0" applyAlignment="1" applyFont="1">
      <alignment shrinkToFit="0" vertical="bottom" wrapText="0"/>
    </xf>
    <xf borderId="0" fillId="20" fontId="3" numFmtId="3" xfId="0" applyAlignment="1" applyFont="1" applyNumberFormat="1">
      <alignment horizontal="right" shrinkToFit="0" vertical="bottom" wrapText="0"/>
    </xf>
    <xf borderId="0" fillId="20" fontId="82" numFmtId="0" xfId="0" applyAlignment="1" applyFont="1">
      <alignment readingOrder="0" shrinkToFit="0" vertical="bottom" wrapText="0"/>
    </xf>
    <xf borderId="0" fillId="6" fontId="4" numFmtId="0" xfId="0" applyFont="1"/>
    <xf borderId="0" fillId="6" fontId="5" numFmtId="0" xfId="0" applyAlignment="1" applyFont="1">
      <alignment readingOrder="0" vertical="bottom"/>
    </xf>
    <xf borderId="0" fillId="6" fontId="3" numFmtId="165" xfId="0" applyAlignment="1" applyFont="1" applyNumberFormat="1">
      <alignment vertical="bottom"/>
    </xf>
    <xf borderId="0" fillId="6" fontId="3" numFmtId="168" xfId="0" applyAlignment="1" applyFont="1" applyNumberFormat="1">
      <alignment horizontal="right" vertical="bottom"/>
    </xf>
    <xf borderId="0" fillId="8" fontId="4" numFmtId="0" xfId="0" applyFont="1"/>
    <xf borderId="0" fillId="8" fontId="5" numFmtId="0" xfId="0" applyAlignment="1" applyFont="1">
      <alignment readingOrder="0" vertical="bottom"/>
    </xf>
    <xf borderId="0" fillId="8" fontId="10" numFmtId="0" xfId="0" applyAlignment="1" applyFont="1">
      <alignment readingOrder="0"/>
    </xf>
    <xf borderId="0" fillId="8" fontId="10" numFmtId="0" xfId="0" applyFont="1"/>
    <xf borderId="0" fillId="8" fontId="3" numFmtId="0" xfId="0" applyAlignment="1" applyFont="1">
      <alignment readingOrder="0" vertical="bottom"/>
    </xf>
    <xf borderId="0" fillId="8" fontId="3" numFmtId="0" xfId="0" applyAlignment="1" applyFont="1">
      <alignment horizontal="right" readingOrder="0" vertical="bottom"/>
    </xf>
    <xf borderId="0" fillId="8" fontId="5" numFmtId="165" xfId="0" applyAlignment="1" applyFont="1" applyNumberFormat="1">
      <alignment readingOrder="0" vertical="bottom"/>
    </xf>
    <xf borderId="0" fillId="8" fontId="3" numFmtId="0" xfId="0" applyAlignment="1" applyFont="1">
      <alignment vertical="bottom"/>
    </xf>
    <xf borderId="0" fillId="8" fontId="82" numFmtId="0" xfId="0" applyAlignment="1" applyFont="1">
      <alignment horizontal="right" readingOrder="0" vertical="bottom"/>
    </xf>
    <xf borderId="0" fillId="8" fontId="336" numFmtId="0" xfId="0" applyAlignment="1" applyFont="1">
      <alignment readingOrder="0" vertical="bottom"/>
    </xf>
    <xf borderId="0" fillId="8" fontId="81" numFmtId="0" xfId="0" applyAlignment="1" applyFont="1">
      <alignment readingOrder="0" vertical="bottom"/>
    </xf>
    <xf borderId="0" fillId="8" fontId="337" numFmtId="0" xfId="0" applyAlignment="1" applyFont="1">
      <alignment vertical="bottom"/>
    </xf>
    <xf borderId="0" fillId="8" fontId="5" numFmtId="0" xfId="0" applyAlignment="1" applyFont="1">
      <alignment horizontal="right" readingOrder="0" vertical="bottom"/>
    </xf>
    <xf borderId="0" fillId="8" fontId="338" numFmtId="0" xfId="0" applyAlignment="1" applyFont="1">
      <alignment vertical="bottom"/>
    </xf>
    <xf borderId="0" fillId="8" fontId="339" numFmtId="0" xfId="0" applyAlignment="1" applyFont="1">
      <alignment readingOrder="0" vertical="bottom"/>
    </xf>
    <xf borderId="0" fillId="15" fontId="4" numFmtId="0" xfId="0" applyFont="1"/>
    <xf borderId="0" fillId="15" fontId="3" numFmtId="0" xfId="0" applyAlignment="1" applyFont="1">
      <alignment horizontal="right" readingOrder="0" vertical="bottom"/>
    </xf>
    <xf borderId="0" fillId="15" fontId="5" numFmtId="165" xfId="0" applyAlignment="1" applyFont="1" applyNumberFormat="1">
      <alignment readingOrder="0" vertical="bottom"/>
    </xf>
    <xf borderId="0" fillId="15" fontId="340" numFmtId="0" xfId="0" applyAlignment="1" applyFont="1">
      <alignment readingOrder="0" vertical="bottom"/>
    </xf>
    <xf borderId="0" fillId="15" fontId="81" numFmtId="0" xfId="0" applyAlignment="1" applyFont="1">
      <alignment readingOrder="0" vertical="bottom"/>
    </xf>
    <xf borderId="0" fillId="15" fontId="341" numFmtId="0" xfId="0" applyAlignment="1" applyFont="1">
      <alignment vertical="bottom"/>
    </xf>
    <xf borderId="0" fillId="15" fontId="5" numFmtId="0" xfId="0" applyAlignment="1" applyFont="1">
      <alignment horizontal="right" readingOrder="0" vertical="bottom"/>
    </xf>
    <xf borderId="0" fillId="15" fontId="342" numFmtId="0" xfId="0" applyAlignment="1" applyFont="1">
      <alignment vertical="bottom"/>
    </xf>
    <xf borderId="0" fillId="15" fontId="343" numFmtId="0" xfId="0" applyAlignment="1" applyFont="1">
      <alignment readingOrder="0" vertical="bottom"/>
    </xf>
    <xf borderId="0" fillId="12" fontId="4" numFmtId="0" xfId="0" applyFont="1"/>
    <xf borderId="0" fillId="12" fontId="5" numFmtId="0" xfId="0" applyAlignment="1" applyFont="1">
      <alignment readingOrder="0" vertical="bottom"/>
    </xf>
    <xf borderId="0" fillId="12" fontId="10" numFmtId="0" xfId="0" applyAlignment="1" applyFont="1">
      <alignment readingOrder="0"/>
    </xf>
    <xf borderId="0" fillId="12" fontId="10" numFmtId="0" xfId="0" applyFont="1"/>
    <xf borderId="0" fillId="12" fontId="3" numFmtId="0" xfId="0" applyAlignment="1" applyFont="1">
      <alignment readingOrder="0" vertical="bottom"/>
    </xf>
    <xf borderId="0" fillId="12" fontId="3" numFmtId="0" xfId="0" applyAlignment="1" applyFont="1">
      <alignment horizontal="right" readingOrder="0" vertical="bottom"/>
    </xf>
    <xf borderId="0" fillId="12" fontId="5" numFmtId="165" xfId="0" applyAlignment="1" applyFont="1" applyNumberFormat="1">
      <alignment readingOrder="0" vertical="bottom"/>
    </xf>
    <xf borderId="0" fillId="12" fontId="3" numFmtId="0" xfId="0" applyAlignment="1" applyFont="1">
      <alignment vertical="bottom"/>
    </xf>
    <xf borderId="0" fillId="12" fontId="344" numFmtId="0" xfId="0" applyAlignment="1" applyFont="1">
      <alignment readingOrder="0" vertical="bottom"/>
    </xf>
    <xf borderId="0" fillId="12" fontId="81" numFmtId="0" xfId="0" applyAlignment="1" applyFont="1">
      <alignment readingOrder="0" vertical="bottom"/>
    </xf>
    <xf borderId="0" fillId="12" fontId="345" numFmtId="0" xfId="0" applyAlignment="1" applyFont="1">
      <alignment vertical="bottom"/>
    </xf>
    <xf borderId="0" fillId="12" fontId="5" numFmtId="0" xfId="0" applyAlignment="1" applyFont="1">
      <alignment horizontal="right" readingOrder="0" vertical="bottom"/>
    </xf>
    <xf borderId="0" fillId="12" fontId="346" numFmtId="0" xfId="0" applyAlignment="1" applyFont="1">
      <alignment vertical="bottom"/>
    </xf>
    <xf borderId="0" fillId="12" fontId="347" numFmtId="0" xfId="0" applyAlignment="1" applyFont="1">
      <alignment readingOrder="0" vertical="bottom"/>
    </xf>
    <xf borderId="0" fillId="0" fontId="3" numFmtId="168" xfId="0" applyAlignment="1" applyFont="1" applyNumberFormat="1">
      <alignment horizontal="right" readingOrder="0" vertical="bottom"/>
    </xf>
    <xf borderId="0" fillId="0" fontId="3" numFmtId="168" xfId="0" applyAlignment="1" applyFont="1" applyNumberFormat="1">
      <alignment readingOrder="0" vertical="bottom"/>
    </xf>
    <xf borderId="0" fillId="17" fontId="3" numFmtId="0" xfId="0" applyAlignment="1" applyFont="1">
      <alignment shrinkToFit="0" vertical="bottom" wrapText="0"/>
    </xf>
    <xf borderId="0" fillId="17" fontId="3" numFmtId="0" xfId="0" applyAlignment="1" applyFont="1">
      <alignment shrinkToFit="0" vertical="bottom" wrapText="0"/>
    </xf>
    <xf borderId="0" fillId="17" fontId="3" numFmtId="165" xfId="0" applyAlignment="1" applyFont="1" applyNumberFormat="1">
      <alignment horizontal="right" shrinkToFit="0" vertical="bottom" wrapText="0"/>
    </xf>
    <xf borderId="0" fillId="17" fontId="329" numFmtId="0" xfId="0" applyAlignment="1" applyFont="1">
      <alignment shrinkToFit="0" vertical="bottom" wrapText="0"/>
    </xf>
    <xf borderId="0" fillId="17" fontId="348" numFmtId="0" xfId="0" applyAlignment="1" applyFont="1">
      <alignment shrinkToFit="0" vertical="bottom" wrapText="0"/>
    </xf>
    <xf borderId="0" fillId="17" fontId="3" numFmtId="0" xfId="0" applyAlignment="1" applyFont="1">
      <alignment readingOrder="0" shrinkToFit="0" vertical="bottom" wrapText="0"/>
    </xf>
    <xf borderId="0" fillId="17" fontId="3" numFmtId="0" xfId="0" applyAlignment="1" applyFont="1">
      <alignment horizontal="right" shrinkToFit="0" vertical="bottom" wrapText="0"/>
    </xf>
    <xf borderId="0" fillId="17" fontId="5" numFmtId="0" xfId="0" applyAlignment="1" applyFont="1">
      <alignment horizontal="right" vertical="bottom"/>
    </xf>
    <xf borderId="0" fillId="17" fontId="5" numFmtId="0" xfId="0" applyAlignment="1" applyFont="1">
      <alignment shrinkToFit="0" vertical="bottom" wrapText="0"/>
    </xf>
    <xf borderId="0" fillId="17" fontId="3" numFmtId="3" xfId="0" applyAlignment="1" applyFont="1" applyNumberFormat="1">
      <alignment horizontal="right" shrinkToFit="0" vertical="bottom" wrapText="0"/>
    </xf>
    <xf borderId="0" fillId="14" fontId="10" numFmtId="165" xfId="0" applyAlignment="1" applyFont="1" applyNumberFormat="1">
      <alignment readingOrder="0"/>
    </xf>
    <xf borderId="0" fillId="30" fontId="329" numFmtId="0" xfId="0" applyAlignment="1" applyFont="1">
      <alignment vertical="bottom"/>
    </xf>
    <xf borderId="0" fillId="30" fontId="11" numFmtId="0" xfId="0" applyAlignment="1" applyFont="1">
      <alignment horizontal="right" readingOrder="0" vertical="bottom"/>
    </xf>
    <xf borderId="0" fillId="0" fontId="3" numFmtId="165" xfId="0" applyAlignment="1" applyFont="1" applyNumberFormat="1">
      <alignment readingOrder="0" vertical="bottom"/>
    </xf>
    <xf borderId="0" fillId="41" fontId="3" numFmtId="0" xfId="0" applyAlignment="1" applyFont="1">
      <alignment readingOrder="0" vertical="bottom"/>
    </xf>
    <xf borderId="0" fillId="41" fontId="126" numFmtId="0" xfId="0" applyAlignment="1" applyFont="1">
      <alignment readingOrder="0" vertical="bottom"/>
    </xf>
    <xf borderId="0" fillId="0" fontId="3" numFmtId="170" xfId="0" applyAlignment="1" applyFont="1" applyNumberFormat="1">
      <alignment horizontal="right" vertical="bottom"/>
    </xf>
    <xf borderId="0" fillId="5" fontId="3" numFmtId="170" xfId="0" applyAlignment="1" applyFont="1" applyNumberFormat="1">
      <alignment horizontal="right" vertical="bottom"/>
    </xf>
    <xf borderId="0" fillId="0" fontId="349" numFmtId="0" xfId="0" applyAlignment="1" applyFont="1">
      <alignment vertical="bottom"/>
    </xf>
    <xf borderId="0" fillId="23" fontId="350" numFmtId="0" xfId="0" applyAlignment="1" applyFont="1">
      <alignment readingOrder="0"/>
    </xf>
    <xf borderId="0" fillId="23" fontId="350" numFmtId="0" xfId="0" applyFont="1"/>
    <xf borderId="0" fillId="0" fontId="3" numFmtId="178" xfId="0" applyAlignment="1" applyFont="1" applyNumberFormat="1">
      <alignment horizontal="right" vertical="bottom"/>
    </xf>
    <xf borderId="6" fillId="16" fontId="351" numFmtId="0" xfId="0" applyAlignment="1" applyBorder="1" applyFont="1">
      <alignment shrinkToFit="0" vertical="top" wrapText="1"/>
    </xf>
    <xf borderId="7" fillId="13" fontId="352" numFmtId="0" xfId="0" applyAlignment="1" applyBorder="1" applyFont="1">
      <alignment shrinkToFit="0" vertical="top" wrapText="1"/>
    </xf>
    <xf borderId="0" fillId="0" fontId="3" numFmtId="49" xfId="0" applyAlignment="1" applyFont="1" applyNumberFormat="1">
      <alignment readingOrder="0" shrinkToFit="0" vertical="bottom" wrapText="0"/>
    </xf>
    <xf borderId="0" fillId="0" fontId="353" numFmtId="0" xfId="0" applyAlignment="1" applyFont="1">
      <alignment shrinkToFit="0" vertical="bottom" wrapText="0"/>
    </xf>
    <xf borderId="0" fillId="23" fontId="50" numFmtId="0" xfId="0" applyAlignment="1" applyFont="1">
      <alignment vertical="bottom"/>
    </xf>
    <xf borderId="0" fillId="14" fontId="3" numFmtId="177" xfId="0" applyAlignment="1" applyFont="1" applyNumberFormat="1">
      <alignment horizontal="right" vertical="bottom"/>
    </xf>
    <xf borderId="0" fillId="14" fontId="354" numFmtId="0" xfId="0" applyAlignment="1" applyFont="1">
      <alignment vertical="bottom"/>
    </xf>
    <xf borderId="0" fillId="23" fontId="50" numFmtId="0" xfId="0" applyAlignment="1" applyFont="1">
      <alignment readingOrder="0" vertical="bottom"/>
    </xf>
    <xf borderId="0" fillId="0" fontId="355" numFmtId="0" xfId="0" applyAlignment="1" applyFont="1">
      <alignment vertical="bottom"/>
    </xf>
    <xf borderId="0" fillId="24" fontId="356" numFmtId="0" xfId="0" applyAlignment="1" applyFont="1">
      <alignment readingOrder="0" vertical="bottom"/>
    </xf>
    <xf borderId="0" fillId="14" fontId="3" numFmtId="165" xfId="0" applyAlignment="1" applyFont="1" applyNumberFormat="1">
      <alignment vertical="bottom"/>
    </xf>
    <xf borderId="0" fillId="14" fontId="5" numFmtId="165" xfId="0" applyAlignment="1" applyFont="1" applyNumberFormat="1">
      <alignment vertical="bottom"/>
    </xf>
    <xf borderId="0" fillId="3" fontId="3" numFmtId="0" xfId="0" applyAlignment="1" applyFont="1">
      <alignment horizontal="right" vertical="bottom"/>
    </xf>
    <xf borderId="0" fillId="14" fontId="3" numFmtId="0" xfId="0" applyAlignment="1" applyFont="1">
      <alignment horizontal="right" textRotation="0" vertical="bottom"/>
    </xf>
    <xf borderId="0" fillId="35" fontId="3" numFmtId="0" xfId="0" applyAlignment="1" applyFont="1">
      <alignment horizontal="right" vertical="bottom"/>
    </xf>
    <xf borderId="1" fillId="21" fontId="3" numFmtId="0" xfId="0" applyAlignment="1" applyBorder="1" applyFont="1">
      <alignment shrinkToFit="0" vertical="bottom" wrapText="0"/>
    </xf>
    <xf borderId="0" fillId="21" fontId="3" numFmtId="0" xfId="0" applyAlignment="1" applyFont="1">
      <alignment readingOrder="0" shrinkToFit="0" vertical="bottom" wrapText="0"/>
    </xf>
    <xf borderId="0" fillId="21" fontId="11" numFmtId="0" xfId="0" applyAlignment="1" applyFont="1">
      <alignment readingOrder="0" shrinkToFit="0" vertical="bottom" wrapText="0"/>
    </xf>
    <xf borderId="0" fillId="21" fontId="5" numFmtId="3" xfId="0" applyAlignment="1" applyFont="1" applyNumberFormat="1">
      <alignment horizontal="right" vertical="bottom"/>
    </xf>
    <xf borderId="0" fillId="21" fontId="5" numFmtId="0" xfId="0" applyAlignment="1" applyFont="1">
      <alignment readingOrder="0" shrinkToFit="0" vertical="bottom" wrapText="0"/>
    </xf>
    <xf borderId="0" fillId="21" fontId="11" numFmtId="0" xfId="0" applyAlignment="1" applyFont="1">
      <alignment shrinkToFit="0" vertical="bottom" wrapText="0"/>
    </xf>
    <xf borderId="0" fillId="40" fontId="10" numFmtId="0" xfId="0" applyFont="1"/>
    <xf borderId="0" fillId="30" fontId="329" numFmtId="0" xfId="0" applyAlignment="1" applyFont="1">
      <alignment readingOrder="0" shrinkToFit="0" vertical="bottom" wrapText="0"/>
    </xf>
    <xf borderId="1" fillId="30" fontId="3" numFmtId="0" xfId="0" applyAlignment="1" applyBorder="1" applyFont="1">
      <alignment shrinkToFit="0" vertical="bottom" wrapText="0"/>
    </xf>
    <xf borderId="0" fillId="30" fontId="3" numFmtId="0" xfId="0" applyAlignment="1" applyFont="1">
      <alignment horizontal="right" shrinkToFit="0" vertical="bottom" wrapText="0"/>
    </xf>
    <xf borderId="0" fillId="30" fontId="3" numFmtId="0" xfId="0" applyAlignment="1" applyFont="1">
      <alignment horizontal="right" shrinkToFit="0" vertical="bottom" wrapText="0"/>
    </xf>
    <xf borderId="0" fillId="30" fontId="5" numFmtId="0" xfId="0" applyAlignment="1" applyFont="1">
      <alignment shrinkToFit="0" vertical="bottom" wrapText="0"/>
    </xf>
    <xf borderId="0" fillId="30" fontId="11" numFmtId="0" xfId="0" applyAlignment="1" applyFont="1">
      <alignment horizontal="right" vertical="bottom"/>
    </xf>
    <xf borderId="0" fillId="30" fontId="11" numFmtId="0" xfId="0" applyAlignment="1" applyFont="1">
      <alignment vertical="bottom"/>
    </xf>
    <xf borderId="0" fillId="30" fontId="5" numFmtId="0" xfId="0" applyAlignment="1" applyFont="1">
      <alignment readingOrder="0" shrinkToFit="0" vertical="bottom" wrapText="0"/>
    </xf>
    <xf borderId="1" fillId="22" fontId="3" numFmtId="0" xfId="0" applyAlignment="1" applyBorder="1" applyFont="1">
      <alignment vertical="bottom"/>
    </xf>
    <xf borderId="0" fillId="0" fontId="291" numFmtId="0" xfId="0" applyAlignment="1" applyFont="1">
      <alignment vertical="bottom"/>
    </xf>
    <xf borderId="1" fillId="23" fontId="3" numFmtId="0" xfId="0" applyAlignment="1" applyBorder="1" applyFont="1">
      <alignment shrinkToFit="0" vertical="bottom" wrapText="0"/>
    </xf>
    <xf borderId="0" fillId="23" fontId="3" numFmtId="0" xfId="0" applyAlignment="1" applyFont="1">
      <alignment horizontal="right" shrinkToFit="0" vertical="bottom" wrapText="0"/>
    </xf>
    <xf borderId="0" fillId="23" fontId="11" numFmtId="0" xfId="0" applyAlignment="1" applyFont="1">
      <alignment horizontal="right" vertical="bottom"/>
    </xf>
    <xf borderId="0" fillId="23" fontId="5" numFmtId="0" xfId="0" applyAlignment="1" applyFont="1">
      <alignment readingOrder="0" shrinkToFit="0" vertical="bottom" wrapText="0"/>
    </xf>
    <xf borderId="0" fillId="20" fontId="5" numFmtId="165" xfId="0" applyAlignment="1" applyFont="1" applyNumberFormat="1">
      <alignment readingOrder="0" vertical="bottom"/>
    </xf>
    <xf borderId="0" fillId="40" fontId="10" numFmtId="0" xfId="0" applyAlignment="1" applyFont="1">
      <alignment readingOrder="0"/>
    </xf>
    <xf borderId="0" fillId="40" fontId="3" numFmtId="178" xfId="0" applyAlignment="1" applyFont="1" applyNumberFormat="1">
      <alignment horizontal="right" vertical="bottom"/>
    </xf>
    <xf borderId="0" fillId="40" fontId="3" numFmtId="164" xfId="0" applyAlignment="1" applyFont="1" applyNumberFormat="1">
      <alignment horizontal="right" readingOrder="0" vertical="bottom"/>
    </xf>
    <xf borderId="0" fillId="40" fontId="3" numFmtId="0" xfId="0" applyAlignment="1" applyFont="1">
      <alignment readingOrder="0" vertical="bottom"/>
    </xf>
    <xf borderId="0" fillId="40" fontId="3" numFmtId="0" xfId="0" applyAlignment="1" applyFont="1">
      <alignment shrinkToFit="0" vertical="bottom" wrapText="0"/>
    </xf>
    <xf borderId="0" fillId="33" fontId="3" numFmtId="0" xfId="0" applyAlignment="1" applyFont="1">
      <alignment vertical="bottom"/>
    </xf>
    <xf borderId="0" fillId="5" fontId="3" numFmtId="0" xfId="0" applyAlignment="1" applyFont="1">
      <alignment shrinkToFit="0" vertical="bottom" wrapText="0"/>
    </xf>
    <xf borderId="0" fillId="5" fontId="3" numFmtId="0" xfId="0" applyAlignment="1" applyFont="1">
      <alignment horizontal="right" readingOrder="0" shrinkToFit="0" vertical="bottom" wrapText="0"/>
    </xf>
    <xf borderId="0" fillId="40" fontId="3" numFmtId="0" xfId="0" applyAlignment="1" applyFont="1">
      <alignment horizontal="right" shrinkToFit="0" vertical="bottom" wrapText="0"/>
    </xf>
    <xf borderId="0" fillId="40" fontId="5" numFmtId="49" xfId="0" applyAlignment="1" applyFont="1" applyNumberFormat="1">
      <alignment readingOrder="0" shrinkToFit="0" vertical="bottom" wrapText="0"/>
    </xf>
    <xf borderId="0" fillId="40" fontId="3" numFmtId="49" xfId="0" applyAlignment="1" applyFont="1" applyNumberFormat="1">
      <alignment shrinkToFit="0" vertical="bottom" wrapText="0"/>
    </xf>
    <xf borderId="0" fillId="40" fontId="3" numFmtId="0" xfId="0" applyAlignment="1" applyFont="1">
      <alignment horizontal="right" shrinkToFit="0" vertical="bottom" wrapText="0"/>
    </xf>
    <xf borderId="0" fillId="40" fontId="5" numFmtId="0" xfId="0" applyAlignment="1" applyFont="1">
      <alignment shrinkToFit="0" vertical="bottom" wrapText="0"/>
    </xf>
    <xf borderId="0" fillId="40" fontId="357" numFmtId="0" xfId="0" applyAlignment="1" applyFont="1">
      <alignment shrinkToFit="0" vertical="bottom" wrapText="0"/>
    </xf>
    <xf borderId="0" fillId="40" fontId="358" numFmtId="0" xfId="0" applyAlignment="1" applyFont="1">
      <alignment shrinkToFit="0" vertical="bottom" wrapText="0"/>
    </xf>
    <xf borderId="0" fillId="33" fontId="3" numFmtId="0" xfId="0" applyAlignment="1" applyFont="1">
      <alignment vertical="bottom"/>
    </xf>
    <xf borderId="0" fillId="33" fontId="3" numFmtId="178" xfId="0" applyAlignment="1" applyFont="1" applyNumberFormat="1">
      <alignment vertical="bottom"/>
    </xf>
    <xf borderId="0" fillId="33" fontId="3" numFmtId="0" xfId="0" applyAlignment="1" applyFont="1">
      <alignment readingOrder="0" vertical="bottom"/>
    </xf>
    <xf borderId="0" fillId="33" fontId="3" numFmtId="0" xfId="0" applyAlignment="1" applyFont="1">
      <alignment vertical="bottom"/>
    </xf>
    <xf borderId="1" fillId="33" fontId="3" numFmtId="0" xfId="0" applyAlignment="1" applyBorder="1" applyFont="1">
      <alignment vertical="bottom"/>
    </xf>
    <xf borderId="0" fillId="33" fontId="3" numFmtId="49" xfId="0" applyAlignment="1" applyFont="1" applyNumberFormat="1">
      <alignment vertical="bottom"/>
    </xf>
    <xf borderId="0" fillId="33" fontId="3" numFmtId="0" xfId="0" applyAlignment="1" applyFont="1">
      <alignment horizontal="right" vertical="bottom"/>
    </xf>
    <xf borderId="0" fillId="33" fontId="359" numFmtId="0" xfId="0" applyAlignment="1" applyFont="1">
      <alignment vertical="bottom"/>
    </xf>
    <xf borderId="0" fillId="33" fontId="5" numFmtId="178" xfId="0" applyAlignment="1" applyFont="1" applyNumberFormat="1">
      <alignment vertical="bottom"/>
    </xf>
    <xf borderId="0" fillId="26" fontId="3" numFmtId="0" xfId="0" applyAlignment="1" applyFont="1">
      <alignment shrinkToFit="0" vertical="bottom" wrapText="0"/>
    </xf>
    <xf borderId="0" fillId="26" fontId="3" numFmtId="165" xfId="0" applyAlignment="1" applyFont="1" applyNumberFormat="1">
      <alignment horizontal="right" shrinkToFit="0" vertical="bottom" wrapText="0"/>
    </xf>
    <xf borderId="0" fillId="26" fontId="329" numFmtId="0" xfId="0" applyAlignment="1" applyFont="1">
      <alignment readingOrder="0" shrinkToFit="0" vertical="bottom" wrapText="0"/>
    </xf>
    <xf borderId="1" fillId="26" fontId="3" numFmtId="0" xfId="0" applyAlignment="1" applyBorder="1" applyFont="1">
      <alignment shrinkToFit="0" vertical="bottom" wrapText="0"/>
    </xf>
    <xf borderId="0" fillId="26" fontId="360" numFmtId="0" xfId="0" applyAlignment="1" applyFont="1">
      <alignment shrinkToFit="0" vertical="bottom" wrapText="0"/>
    </xf>
    <xf borderId="0" fillId="26" fontId="3" numFmtId="0" xfId="0" applyAlignment="1" applyFont="1">
      <alignment horizontal="right" shrinkToFit="0" vertical="bottom" wrapText="0"/>
    </xf>
    <xf borderId="0" fillId="26" fontId="3" numFmtId="0" xfId="0" applyAlignment="1" applyFont="1">
      <alignment readingOrder="0" shrinkToFit="0" vertical="bottom" wrapText="0"/>
    </xf>
    <xf borderId="0" fillId="26" fontId="3" numFmtId="0" xfId="0" applyAlignment="1" applyFont="1">
      <alignment horizontal="right" shrinkToFit="0" vertical="bottom" wrapText="0"/>
    </xf>
    <xf borderId="0" fillId="26" fontId="5" numFmtId="0" xfId="0" applyAlignment="1" applyFont="1">
      <alignment shrinkToFit="0" vertical="bottom" wrapText="0"/>
    </xf>
    <xf borderId="0" fillId="26" fontId="3" numFmtId="3" xfId="0" applyAlignment="1" applyFont="1" applyNumberFormat="1">
      <alignment horizontal="right" shrinkToFit="0" vertical="bottom" wrapText="0"/>
    </xf>
    <xf borderId="0" fillId="0" fontId="3" numFmtId="164" xfId="0" applyAlignment="1" applyFont="1" applyNumberFormat="1">
      <alignment horizontal="right" readingOrder="0" vertical="bottom"/>
    </xf>
    <xf borderId="0" fillId="0" fontId="361" numFmtId="0" xfId="0" applyAlignment="1" applyFont="1">
      <alignment shrinkToFit="0" vertical="bottom" wrapText="0"/>
    </xf>
    <xf borderId="0" fillId="0" fontId="3" numFmtId="178" xfId="0" applyAlignment="1" applyFont="1" applyNumberFormat="1">
      <alignment vertical="bottom"/>
    </xf>
    <xf borderId="0" fillId="0" fontId="5" numFmtId="49" xfId="0" applyAlignment="1" applyFont="1" applyNumberFormat="1">
      <alignment vertical="bottom"/>
    </xf>
    <xf borderId="0" fillId="5" fontId="2" numFmtId="0" xfId="0" applyAlignment="1" applyFont="1">
      <alignment horizontal="right" readingOrder="0" vertical="bottom"/>
    </xf>
    <xf borderId="0" fillId="5" fontId="3" numFmtId="0" xfId="0" applyAlignment="1" applyFont="1">
      <alignment horizontal="right" shrinkToFit="0" vertical="bottom" wrapText="0"/>
    </xf>
    <xf borderId="0" fillId="5" fontId="3" numFmtId="0" xfId="0" applyAlignment="1" applyFont="1">
      <alignment horizontal="right" shrinkToFit="0" vertical="bottom" wrapText="0"/>
    </xf>
    <xf borderId="0" fillId="5" fontId="5" numFmtId="0" xfId="0" applyAlignment="1" applyFont="1">
      <alignment shrinkToFit="0" vertical="bottom" wrapText="0"/>
    </xf>
    <xf borderId="0" fillId="5" fontId="3" numFmtId="2" xfId="0" applyAlignment="1" applyFont="1" applyNumberFormat="1">
      <alignment horizontal="right" shrinkToFit="0" vertical="bottom" wrapText="0"/>
    </xf>
    <xf borderId="0" fillId="35" fontId="10" numFmtId="0" xfId="0" applyAlignment="1" applyFont="1">
      <alignment readingOrder="0"/>
    </xf>
    <xf borderId="0" fillId="35" fontId="5" numFmtId="0" xfId="0" applyAlignment="1" applyFont="1">
      <alignment vertical="bottom"/>
    </xf>
    <xf borderId="0" fillId="35" fontId="3" numFmtId="0" xfId="0" applyAlignment="1" applyFont="1">
      <alignment vertical="bottom"/>
    </xf>
    <xf borderId="0" fillId="35" fontId="3" numFmtId="0" xfId="0" applyAlignment="1" applyFont="1">
      <alignment vertical="bottom"/>
    </xf>
    <xf borderId="0" fillId="35" fontId="3" numFmtId="178" xfId="0" applyAlignment="1" applyFont="1" applyNumberFormat="1">
      <alignment vertical="bottom"/>
    </xf>
    <xf borderId="0" fillId="35" fontId="3" numFmtId="0" xfId="0" applyAlignment="1" applyFont="1">
      <alignment vertical="bottom"/>
    </xf>
    <xf borderId="1" fillId="35" fontId="3" numFmtId="0" xfId="0" applyAlignment="1" applyBorder="1" applyFont="1">
      <alignment vertical="bottom"/>
    </xf>
    <xf borderId="0" fillId="35" fontId="362" numFmtId="0" xfId="0" applyAlignment="1" applyFont="1">
      <alignment vertical="bottom"/>
    </xf>
    <xf borderId="0" fillId="35" fontId="3" numFmtId="49" xfId="0" applyAlignment="1" applyFont="1" applyNumberFormat="1">
      <alignment vertical="bottom"/>
    </xf>
    <xf borderId="0" fillId="35" fontId="3" numFmtId="0" xfId="0" applyAlignment="1" applyFont="1">
      <alignment horizontal="right" vertical="bottom"/>
    </xf>
    <xf borderId="0" fillId="35" fontId="3" numFmtId="2" xfId="0" applyAlignment="1" applyFont="1" applyNumberFormat="1">
      <alignment horizontal="right" vertical="bottom"/>
    </xf>
    <xf borderId="1" fillId="20" fontId="3" numFmtId="0" xfId="0" applyAlignment="1" applyBorder="1" applyFont="1">
      <alignment shrinkToFit="0" vertical="bottom" wrapText="0"/>
    </xf>
    <xf borderId="0" fillId="20" fontId="3" numFmtId="3" xfId="0" applyAlignment="1" applyFont="1" applyNumberFormat="1">
      <alignment horizontal="right" readingOrder="0" shrinkToFit="0" vertical="bottom" wrapText="0"/>
    </xf>
    <xf borderId="0" fillId="20" fontId="363" numFmtId="0" xfId="0" applyAlignment="1" applyFont="1">
      <alignment vertical="bottom"/>
    </xf>
    <xf borderId="0" fillId="20" fontId="364" numFmtId="0" xfId="0" applyAlignment="1" applyFont="1">
      <alignment readingOrder="0" vertical="bottom"/>
    </xf>
    <xf borderId="0" fillId="30" fontId="3" numFmtId="164" xfId="0" applyAlignment="1" applyFont="1" applyNumberFormat="1">
      <alignment horizontal="right" readingOrder="0" vertical="bottom"/>
    </xf>
    <xf borderId="1" fillId="30" fontId="3" numFmtId="0" xfId="0" applyAlignment="1" applyBorder="1" applyFont="1">
      <alignment vertical="bottom"/>
    </xf>
    <xf borderId="0" fillId="17" fontId="3" numFmtId="0" xfId="0" applyAlignment="1" applyFont="1">
      <alignment vertical="bottom"/>
    </xf>
    <xf borderId="0" fillId="17" fontId="3" numFmtId="0" xfId="0" applyAlignment="1" applyFont="1">
      <alignment vertical="bottom"/>
    </xf>
    <xf borderId="0" fillId="17" fontId="3" numFmtId="166" xfId="0" applyAlignment="1" applyFont="1" applyNumberFormat="1">
      <alignment horizontal="right" vertical="bottom"/>
    </xf>
    <xf borderId="0" fillId="17" fontId="3" numFmtId="0" xfId="0" applyAlignment="1" applyFont="1">
      <alignment readingOrder="0" vertical="bottom"/>
    </xf>
    <xf borderId="0" fillId="17" fontId="3" numFmtId="0" xfId="0" applyAlignment="1" applyFont="1">
      <alignment horizontal="right" vertical="bottom"/>
    </xf>
    <xf borderId="1" fillId="17" fontId="3" numFmtId="0" xfId="0" applyAlignment="1" applyBorder="1" applyFont="1">
      <alignment vertical="bottom"/>
    </xf>
    <xf borderId="0" fillId="30" fontId="33" numFmtId="0" xfId="0" applyAlignment="1" applyFont="1">
      <alignment vertical="bottom"/>
    </xf>
    <xf borderId="0" fillId="17" fontId="365" numFmtId="0" xfId="0" applyAlignment="1" applyFont="1">
      <alignment vertical="bottom"/>
    </xf>
    <xf borderId="0" fillId="30" fontId="3" numFmtId="0" xfId="0" applyAlignment="1" applyFont="1">
      <alignment horizontal="center" readingOrder="0" vertical="bottom"/>
    </xf>
    <xf borderId="0" fillId="24" fontId="3" numFmtId="165" xfId="0" applyAlignment="1" applyFont="1" applyNumberFormat="1">
      <alignment horizontal="right" shrinkToFit="0" vertical="bottom" wrapText="0"/>
    </xf>
    <xf borderId="0" fillId="24" fontId="3" numFmtId="165" xfId="0" applyAlignment="1" applyFont="1" applyNumberFormat="1">
      <alignment horizontal="right" readingOrder="0" shrinkToFit="0" vertical="bottom" wrapText="0"/>
    </xf>
    <xf borderId="0" fillId="24" fontId="329" numFmtId="0" xfId="0" applyAlignment="1" applyFont="1">
      <alignment readingOrder="0" shrinkToFit="0" vertical="bottom" wrapText="0"/>
    </xf>
    <xf borderId="1" fillId="24" fontId="3" numFmtId="0" xfId="0" applyAlignment="1" applyBorder="1" applyFont="1">
      <alignment shrinkToFit="0" vertical="bottom" wrapText="0"/>
    </xf>
    <xf borderId="0" fillId="24" fontId="3" numFmtId="0" xfId="0" applyAlignment="1" applyFont="1">
      <alignment horizontal="right" shrinkToFit="0" vertical="bottom" wrapText="0"/>
    </xf>
    <xf borderId="0" fillId="24" fontId="3" numFmtId="2" xfId="0" applyAlignment="1" applyFont="1" applyNumberFormat="1">
      <alignment horizontal="right" shrinkToFit="0" vertical="bottom" wrapText="0"/>
    </xf>
    <xf borderId="0" fillId="24" fontId="3" numFmtId="0" xfId="0" applyAlignment="1" applyFont="1">
      <alignment readingOrder="0" shrinkToFit="0" vertical="bottom" wrapText="0"/>
    </xf>
    <xf borderId="0" fillId="24" fontId="3" numFmtId="0" xfId="0" applyAlignment="1" applyFont="1">
      <alignment horizontal="right" shrinkToFit="0" vertical="bottom" wrapText="0"/>
    </xf>
    <xf borderId="0" fillId="24" fontId="11" numFmtId="0" xfId="0" applyAlignment="1" applyFont="1">
      <alignment readingOrder="0" shrinkToFit="0" vertical="bottom" wrapText="0"/>
    </xf>
    <xf borderId="0" fillId="24" fontId="3" numFmtId="3" xfId="0" applyAlignment="1" applyFont="1" applyNumberFormat="1">
      <alignment horizontal="right" shrinkToFit="0" vertical="bottom" wrapText="0"/>
    </xf>
    <xf borderId="0" fillId="24" fontId="5" numFmtId="0" xfId="0" applyAlignment="1" applyFont="1">
      <alignment readingOrder="0" shrinkToFit="0" vertical="bottom" wrapText="0"/>
    </xf>
    <xf borderId="0" fillId="24" fontId="329" numFmtId="0" xfId="0" applyAlignment="1" applyFont="1">
      <alignment readingOrder="0" vertical="bottom"/>
    </xf>
    <xf borderId="0" fillId="24" fontId="3" numFmtId="3" xfId="0" applyAlignment="1" applyFont="1" applyNumberFormat="1">
      <alignment horizontal="right" vertical="bottom"/>
    </xf>
    <xf borderId="0" fillId="36" fontId="3" numFmtId="165" xfId="0" applyAlignment="1" applyFont="1" applyNumberFormat="1">
      <alignment horizontal="right" shrinkToFit="0" vertical="bottom" wrapText="0"/>
    </xf>
    <xf borderId="0" fillId="36" fontId="329" numFmtId="0" xfId="0" applyAlignment="1" applyFont="1">
      <alignment readingOrder="0" shrinkToFit="0" vertical="bottom" wrapText="0"/>
    </xf>
    <xf borderId="0" fillId="36" fontId="33" numFmtId="0" xfId="0" applyAlignment="1" applyFont="1">
      <alignment readingOrder="0" vertical="bottom"/>
    </xf>
    <xf borderId="1" fillId="36" fontId="3" numFmtId="0" xfId="0" applyAlignment="1" applyBorder="1" applyFont="1">
      <alignment shrinkToFit="0" vertical="bottom" wrapText="0"/>
    </xf>
    <xf borderId="0" fillId="36" fontId="3" numFmtId="0" xfId="0" applyAlignment="1" applyFont="1">
      <alignment horizontal="right" shrinkToFit="0" vertical="bottom" wrapText="0"/>
    </xf>
    <xf borderId="0" fillId="36" fontId="11" numFmtId="0" xfId="0" applyAlignment="1" applyFont="1">
      <alignment horizontal="right" vertical="bottom"/>
    </xf>
    <xf borderId="0" fillId="36" fontId="3" numFmtId="0" xfId="0" applyAlignment="1" applyFont="1">
      <alignment readingOrder="0" shrinkToFit="0" vertical="bottom" wrapText="0"/>
    </xf>
    <xf borderId="0" fillId="36" fontId="11" numFmtId="0" xfId="0" applyAlignment="1" applyFont="1">
      <alignment horizontal="right" vertical="bottom"/>
    </xf>
    <xf borderId="0" fillId="36" fontId="5" numFmtId="0" xfId="0" applyAlignment="1" applyFont="1">
      <alignment shrinkToFit="0" vertical="bottom" wrapText="0"/>
    </xf>
    <xf borderId="0" fillId="36" fontId="11" numFmtId="0" xfId="0" applyAlignment="1" applyFont="1">
      <alignment readingOrder="0" shrinkToFit="0" vertical="bottom" wrapText="0"/>
    </xf>
    <xf borderId="0" fillId="36" fontId="3" numFmtId="3" xfId="0" applyAlignment="1" applyFont="1" applyNumberFormat="1">
      <alignment horizontal="right" shrinkToFit="0" vertical="bottom" wrapText="0"/>
    </xf>
    <xf borderId="0" fillId="36" fontId="5" numFmtId="0" xfId="0" applyAlignment="1" applyFont="1">
      <alignment readingOrder="0" shrinkToFit="0" vertical="bottom" wrapText="0"/>
    </xf>
    <xf borderId="0" fillId="36" fontId="329" numFmtId="0" xfId="0" applyAlignment="1" applyFont="1">
      <alignment readingOrder="0" vertical="bottom"/>
    </xf>
    <xf borderId="1" fillId="36" fontId="3" numFmtId="0" xfId="0" applyAlignment="1" applyBorder="1" applyFont="1">
      <alignment vertical="bottom"/>
    </xf>
    <xf borderId="0" fillId="14" fontId="3" numFmtId="0" xfId="0" applyAlignment="1" applyFont="1">
      <alignment horizontal="center" vertical="bottom"/>
    </xf>
    <xf borderId="1" fillId="14" fontId="3" numFmtId="0" xfId="0" applyAlignment="1" applyBorder="1" applyFont="1">
      <alignment vertical="bottom"/>
    </xf>
    <xf borderId="0" fillId="14" fontId="3" numFmtId="0" xfId="0" applyAlignment="1" applyFont="1">
      <alignment horizontal="center" vertical="bottom"/>
    </xf>
    <xf borderId="0" fillId="21" fontId="329" numFmtId="0" xfId="0" applyAlignment="1" applyFont="1">
      <alignment readingOrder="0" vertical="bottom"/>
    </xf>
    <xf borderId="0" fillId="23" fontId="52" numFmtId="0" xfId="0" applyAlignment="1" applyFont="1">
      <alignment readingOrder="0" vertical="bottom"/>
    </xf>
    <xf borderId="0" fillId="23" fontId="3" numFmtId="168" xfId="0" applyAlignment="1" applyFont="1" applyNumberFormat="1">
      <alignment vertical="bottom"/>
    </xf>
    <xf borderId="0" fillId="23" fontId="3" numFmtId="164" xfId="0" applyAlignment="1" applyFont="1" applyNumberFormat="1">
      <alignment vertical="bottom"/>
    </xf>
    <xf borderId="0" fillId="20" fontId="5" numFmtId="0" xfId="0" applyFont="1"/>
    <xf borderId="0" fillId="20" fontId="3" numFmtId="165" xfId="0" applyAlignment="1" applyFont="1" applyNumberFormat="1">
      <alignment vertical="bottom"/>
    </xf>
    <xf borderId="0" fillId="20" fontId="82" numFmtId="0" xfId="0" applyAlignment="1" applyFont="1">
      <alignment horizontal="right" readingOrder="0" vertical="bottom"/>
    </xf>
    <xf borderId="0" fillId="20" fontId="366" numFmtId="3" xfId="0" applyAlignment="1" applyFont="1" applyNumberFormat="1">
      <alignment readingOrder="0"/>
    </xf>
    <xf borderId="0" fillId="20" fontId="5" numFmtId="3" xfId="0" applyAlignment="1" applyFont="1" applyNumberFormat="1">
      <alignment horizontal="right" readingOrder="0" vertical="bottom"/>
    </xf>
    <xf borderId="1" fillId="20" fontId="3" numFmtId="0" xfId="0" applyAlignment="1" applyBorder="1" applyFont="1">
      <alignment readingOrder="0" vertical="bottom"/>
    </xf>
    <xf borderId="0" fillId="20" fontId="81" numFmtId="0" xfId="0" applyAlignment="1" applyFont="1">
      <alignment readingOrder="0" vertical="bottom"/>
    </xf>
    <xf borderId="0" fillId="20" fontId="367" numFmtId="0" xfId="0" applyAlignment="1" applyFont="1">
      <alignment readingOrder="0" vertical="bottom"/>
    </xf>
    <xf borderId="0" fillId="20" fontId="368" numFmtId="0" xfId="0" applyAlignment="1" applyFont="1">
      <alignment readingOrder="0" vertical="bottom"/>
    </xf>
    <xf borderId="0" fillId="20" fontId="291" numFmtId="0" xfId="0" applyAlignment="1" applyFont="1">
      <alignment vertical="bottom"/>
    </xf>
    <xf borderId="0" fillId="20" fontId="3" numFmtId="3" xfId="0" applyAlignment="1" applyFont="1" applyNumberFormat="1">
      <alignment horizontal="right" vertical="bottom"/>
    </xf>
    <xf borderId="0" fillId="20" fontId="5" numFmtId="3" xfId="0" applyAlignment="1" applyFont="1" applyNumberFormat="1">
      <alignment horizontal="right" vertical="bottom"/>
    </xf>
    <xf borderId="0" fillId="14" fontId="5" numFmtId="0" xfId="0" applyAlignment="1" applyFont="1">
      <alignment horizontal="right" vertical="bottom"/>
    </xf>
    <xf borderId="0" fillId="14" fontId="369" numFmtId="0" xfId="0" applyAlignment="1" applyFont="1">
      <alignment vertical="bottom"/>
    </xf>
    <xf borderId="0" fillId="14" fontId="5" numFmtId="0" xfId="0" applyAlignment="1" applyFont="1">
      <alignment horizontal="right" readingOrder="0" vertical="bottom"/>
    </xf>
    <xf borderId="1" fillId="14" fontId="3" numFmtId="0" xfId="0" applyAlignment="1" applyBorder="1" applyFont="1">
      <alignment readingOrder="0" vertical="bottom"/>
    </xf>
    <xf borderId="0" fillId="14" fontId="81" numFmtId="0" xfId="0" applyAlignment="1" applyFont="1">
      <alignment readingOrder="0" vertical="bottom"/>
    </xf>
    <xf borderId="0" fillId="14" fontId="370" numFmtId="0" xfId="0" applyAlignment="1" applyFont="1">
      <alignment readingOrder="0" vertical="bottom"/>
    </xf>
    <xf borderId="0" fillId="14" fontId="371" numFmtId="0" xfId="0" applyAlignment="1" applyFont="1">
      <alignment readingOrder="0" vertical="bottom"/>
    </xf>
    <xf borderId="0" fillId="20" fontId="52" numFmtId="0" xfId="0" applyAlignment="1" applyFont="1">
      <alignment readingOrder="0" vertical="bottom"/>
    </xf>
    <xf borderId="0" fillId="15" fontId="4" numFmtId="0" xfId="0" applyAlignment="1" applyFont="1">
      <alignment readingOrder="0"/>
    </xf>
    <xf borderId="0" fillId="15" fontId="5" numFmtId="164" xfId="0" applyAlignment="1" applyFont="1" applyNumberFormat="1">
      <alignment horizontal="right" vertical="bottom"/>
    </xf>
    <xf borderId="0" fillId="15" fontId="5" numFmtId="0" xfId="0" applyAlignment="1" applyFont="1">
      <alignment horizontal="right" vertical="bottom"/>
    </xf>
    <xf borderId="1" fillId="15" fontId="3" numFmtId="0" xfId="0" applyAlignment="1" applyBorder="1" applyFont="1">
      <alignment vertical="bottom"/>
    </xf>
    <xf borderId="0" fillId="15" fontId="5" numFmtId="0" xfId="0" applyAlignment="1" applyFont="1">
      <alignment horizontal="right" vertical="bottom"/>
    </xf>
    <xf borderId="0" fillId="15" fontId="372" numFmtId="0" xfId="0" applyAlignment="1" applyFont="1">
      <alignment readingOrder="0" vertical="bottom"/>
    </xf>
    <xf borderId="0" fillId="15" fontId="373" numFmtId="0" xfId="0" applyAlignment="1" applyFont="1">
      <alignment vertical="bottom"/>
    </xf>
    <xf borderId="0" fillId="15" fontId="374" numFmtId="0" xfId="0" applyAlignment="1" applyFont="1">
      <alignment vertical="bottom"/>
    </xf>
    <xf borderId="0" fillId="24" fontId="4" numFmtId="164" xfId="0" applyAlignment="1" applyFont="1" applyNumberFormat="1">
      <alignment readingOrder="0"/>
    </xf>
    <xf borderId="1" fillId="24" fontId="4" numFmtId="0" xfId="0" applyAlignment="1" applyBorder="1" applyFont="1">
      <alignment readingOrder="0"/>
    </xf>
    <xf borderId="0" fillId="15" fontId="11" numFmtId="0" xfId="0" applyAlignment="1" applyFont="1">
      <alignment readingOrder="0" vertical="bottom"/>
    </xf>
    <xf borderId="1" fillId="20" fontId="3" numFmtId="0" xfId="0" applyAlignment="1" applyBorder="1" applyFont="1">
      <alignment vertical="bottom"/>
    </xf>
    <xf borderId="0" fillId="23" fontId="3" numFmtId="0" xfId="0" applyAlignment="1" applyFont="1">
      <alignment horizontal="center" vertical="bottom"/>
    </xf>
    <xf borderId="0" fillId="23" fontId="3" numFmtId="0" xfId="0" applyAlignment="1" applyFont="1">
      <alignment horizontal="center" vertical="bottom"/>
    </xf>
    <xf borderId="0" fillId="23" fontId="11" numFmtId="0" xfId="0" applyAlignment="1" applyFont="1">
      <alignment horizontal="right" readingOrder="0" vertical="bottom"/>
    </xf>
    <xf borderId="0" fillId="19" fontId="11" numFmtId="0" xfId="0" applyAlignment="1" applyFont="1">
      <alignment readingOrder="0" vertical="bottom"/>
    </xf>
    <xf borderId="0" fillId="30" fontId="3" numFmtId="166" xfId="0" applyAlignment="1" applyFont="1" applyNumberFormat="1">
      <alignment horizontal="right" vertical="bottom"/>
    </xf>
    <xf borderId="0" fillId="30" fontId="10" numFmtId="165" xfId="0" applyAlignment="1" applyFont="1" applyNumberFormat="1">
      <alignment readingOrder="0"/>
    </xf>
    <xf borderId="0" fillId="17" fontId="11" numFmtId="0" xfId="0" applyAlignment="1" applyFont="1">
      <alignment vertical="bottom"/>
    </xf>
    <xf borderId="0" fillId="17" fontId="3" numFmtId="164" xfId="0" applyAlignment="1" applyFont="1" applyNumberFormat="1">
      <alignment horizontal="right" vertical="bottom"/>
    </xf>
    <xf borderId="0" fillId="17" fontId="10" numFmtId="165" xfId="0" applyAlignment="1" applyFont="1" applyNumberFormat="1">
      <alignment readingOrder="0"/>
    </xf>
    <xf borderId="0" fillId="17" fontId="5" numFmtId="0" xfId="0" applyAlignment="1" applyFont="1">
      <alignment vertical="bottom"/>
    </xf>
    <xf borderId="1" fillId="17" fontId="3" numFmtId="0" xfId="0" applyAlignment="1" applyBorder="1" applyFont="1">
      <alignment vertical="bottom"/>
    </xf>
    <xf borderId="0" fillId="17" fontId="33" numFmtId="0" xfId="0" applyAlignment="1" applyFont="1">
      <alignment readingOrder="0" vertical="bottom"/>
    </xf>
    <xf borderId="0" fillId="30" fontId="11" numFmtId="0" xfId="0" applyAlignment="1" applyFont="1">
      <alignment vertical="bottom"/>
    </xf>
    <xf borderId="0" fillId="17" fontId="3" numFmtId="0" xfId="0" applyAlignment="1" applyFont="1">
      <alignment horizontal="right" vertical="bottom"/>
    </xf>
    <xf borderId="0" fillId="17" fontId="3" numFmtId="0" xfId="0" applyAlignment="1" applyFont="1">
      <alignment horizontal="right" readingOrder="0" vertical="bottom"/>
    </xf>
    <xf borderId="0" fillId="17" fontId="123" numFmtId="0" xfId="0" applyAlignment="1" applyFont="1">
      <alignment vertical="bottom"/>
    </xf>
    <xf borderId="0" fillId="17" fontId="48" numFmtId="0" xfId="0" applyAlignment="1" applyFont="1">
      <alignment horizontal="right" vertical="bottom"/>
    </xf>
    <xf borderId="0" fillId="17" fontId="375" numFmtId="0" xfId="0" applyAlignment="1" applyFont="1">
      <alignment vertical="bottom"/>
    </xf>
    <xf borderId="0" fillId="17" fontId="376" numFmtId="0" xfId="0" applyAlignment="1" applyFont="1">
      <alignment horizontal="right" vertical="bottom"/>
    </xf>
    <xf borderId="0" fillId="17" fontId="377" numFmtId="0" xfId="0" applyAlignment="1" applyFont="1">
      <alignment vertical="bottom"/>
    </xf>
    <xf borderId="0" fillId="17" fontId="123" numFmtId="0" xfId="0" applyAlignment="1" applyFont="1">
      <alignment vertical="bottom"/>
    </xf>
    <xf borderId="0" fillId="21" fontId="3" numFmtId="165" xfId="0" applyAlignment="1" applyFont="1" applyNumberFormat="1">
      <alignment horizontal="right" readingOrder="0" vertical="bottom"/>
    </xf>
    <xf borderId="0" fillId="21" fontId="378" numFmtId="0" xfId="0" applyAlignment="1" applyFont="1">
      <alignment vertical="bottom"/>
    </xf>
    <xf borderId="0" fillId="0" fontId="378" numFmtId="0" xfId="0" applyAlignment="1" applyFont="1">
      <alignment vertical="bottom"/>
    </xf>
    <xf quotePrefix="1" borderId="0" fillId="0" fontId="10" numFmtId="0" xfId="0" applyAlignment="1" applyFont="1">
      <alignment readingOrder="0"/>
    </xf>
    <xf borderId="0" fillId="0" fontId="379" numFmtId="0" xfId="0" applyAlignment="1" applyFont="1">
      <alignment vertical="bottom"/>
    </xf>
    <xf borderId="0" fillId="0" fontId="379" numFmtId="0" xfId="0" applyAlignment="1" applyFont="1">
      <alignment horizontal="right" vertical="bottom"/>
    </xf>
    <xf borderId="0" fillId="21" fontId="380" numFmtId="0" xfId="0" applyAlignment="1" applyFont="1">
      <alignment horizontal="right" vertical="bottom"/>
    </xf>
    <xf borderId="0" fillId="21" fontId="28" numFmtId="0" xfId="0" applyAlignment="1" applyFont="1">
      <alignment horizontal="right" vertical="bottom"/>
    </xf>
    <xf borderId="0" fillId="0" fontId="11" numFmtId="0" xfId="0" applyAlignment="1" applyFont="1">
      <alignment horizontal="right" vertical="bottom"/>
    </xf>
    <xf borderId="0" fillId="21" fontId="3" numFmtId="172" xfId="0" applyAlignment="1" applyFont="1" applyNumberFormat="1">
      <alignment horizontal="right" vertical="bottom"/>
    </xf>
    <xf borderId="0" fillId="21" fontId="381" numFmtId="0" xfId="0" applyAlignment="1" applyFont="1">
      <alignment horizontal="right" vertical="bottom"/>
    </xf>
    <xf borderId="0" fillId="21" fontId="382" numFmtId="0" xfId="0" applyAlignment="1" applyFont="1">
      <alignment vertical="bottom"/>
    </xf>
    <xf borderId="0" fillId="0" fontId="383" numFmtId="0" xfId="0" applyAlignment="1" applyFont="1">
      <alignment vertical="bottom"/>
    </xf>
    <xf borderId="0" fillId="21" fontId="384" numFmtId="0" xfId="0" applyAlignment="1" applyFont="1">
      <alignment vertical="bottom"/>
    </xf>
    <xf borderId="0" fillId="21" fontId="385" numFmtId="0" xfId="0" applyAlignment="1" applyFont="1">
      <alignment horizontal="right" vertical="bottom"/>
    </xf>
    <xf borderId="0" fillId="0" fontId="3" numFmtId="166" xfId="0" applyAlignment="1" applyFont="1" applyNumberFormat="1">
      <alignment horizontal="right" vertical="bottom"/>
    </xf>
    <xf borderId="1" fillId="23" fontId="3" numFmtId="0" xfId="0" applyAlignment="1" applyBorder="1" applyFont="1">
      <alignment readingOrder="0" vertical="bottom"/>
    </xf>
    <xf borderId="0" fillId="23" fontId="81" numFmtId="0" xfId="0" applyAlignment="1" applyFont="1">
      <alignment readingOrder="0" vertical="bottom"/>
    </xf>
    <xf borderId="0" fillId="5" fontId="386" numFmtId="0" xfId="0" applyAlignment="1" applyFont="1">
      <alignment readingOrder="0" shrinkToFit="0" vertical="top" wrapText="1"/>
    </xf>
    <xf borderId="0" fillId="23" fontId="3" numFmtId="170" xfId="0" applyAlignment="1" applyFont="1" applyNumberFormat="1">
      <alignment readingOrder="0" vertical="bottom"/>
    </xf>
    <xf borderId="0" fillId="20" fontId="3" numFmtId="166" xfId="0" applyAlignment="1" applyFont="1" applyNumberFormat="1">
      <alignment horizontal="right" vertical="bottom"/>
    </xf>
    <xf borderId="0" fillId="20" fontId="387" numFmtId="0" xfId="0" applyAlignment="1" applyFont="1">
      <alignment shrinkToFit="0" vertical="bottom" wrapText="0"/>
    </xf>
    <xf borderId="0" fillId="20" fontId="3" numFmtId="0" xfId="0" applyAlignment="1" applyFont="1">
      <alignment horizontal="center" vertical="bottom"/>
    </xf>
    <xf borderId="0" fillId="20" fontId="3" numFmtId="0" xfId="0" applyAlignment="1" applyFont="1">
      <alignment horizontal="center" vertical="bottom"/>
    </xf>
    <xf borderId="0" fillId="20" fontId="5" numFmtId="0" xfId="0" applyAlignment="1" applyFont="1">
      <alignment shrinkToFit="0" vertical="bottom" wrapText="0"/>
    </xf>
    <xf borderId="0" fillId="20" fontId="5" numFmtId="0" xfId="0" applyAlignment="1" applyFont="1">
      <alignment readingOrder="0" vertical="bottom"/>
    </xf>
    <xf borderId="0" fillId="24" fontId="5" numFmtId="0" xfId="0" applyAlignment="1" applyFont="1">
      <alignment horizontal="right" vertical="bottom"/>
    </xf>
    <xf borderId="0" fillId="20" fontId="5" numFmtId="0" xfId="0" applyAlignment="1" applyFont="1">
      <alignment vertical="top"/>
    </xf>
    <xf borderId="0" fillId="24" fontId="388" numFmtId="0" xfId="0" applyAlignment="1" applyFont="1">
      <alignment horizontal="right" vertical="bottom"/>
    </xf>
    <xf borderId="0" fillId="24" fontId="5" numFmtId="165" xfId="0" applyAlignment="1" applyFont="1" applyNumberFormat="1">
      <alignment vertical="bottom"/>
    </xf>
    <xf borderId="0" fillId="24" fontId="384" numFmtId="0" xfId="0" applyAlignment="1" applyFont="1">
      <alignment horizontal="right" vertical="bottom"/>
    </xf>
    <xf borderId="0" fillId="0" fontId="389" numFmtId="0" xfId="0" applyAlignment="1" applyFont="1">
      <alignment vertical="bottom"/>
    </xf>
    <xf borderId="0" fillId="0" fontId="390" numFmtId="0" xfId="0" applyAlignment="1" applyFont="1">
      <alignment vertical="bottom"/>
    </xf>
    <xf borderId="0" fillId="0" fontId="5" numFmtId="11" xfId="0" applyAlignment="1" applyFont="1" applyNumberFormat="1">
      <alignment vertical="bottom"/>
    </xf>
    <xf borderId="0" fillId="0" fontId="82" numFmtId="0" xfId="0" applyAlignment="1" applyFont="1">
      <alignment horizontal="right" vertical="bottom"/>
    </xf>
    <xf borderId="0" fillId="5" fontId="52" numFmtId="0" xfId="0" applyAlignment="1" applyFont="1">
      <alignment vertical="bottom"/>
    </xf>
    <xf borderId="0" fillId="0" fontId="48" numFmtId="11" xfId="0" applyAlignment="1" applyFont="1" applyNumberFormat="1">
      <alignment horizontal="right" vertical="bottom"/>
    </xf>
    <xf borderId="0" fillId="42" fontId="5" numFmtId="0" xfId="0" applyAlignment="1" applyFill="1" applyFont="1">
      <alignment readingOrder="0" vertical="bottom"/>
    </xf>
    <xf borderId="0" fillId="42" fontId="10" numFmtId="0" xfId="0" applyAlignment="1" applyFont="1">
      <alignment readingOrder="0"/>
    </xf>
    <xf borderId="0" fillId="42" fontId="10" numFmtId="0" xfId="0" applyFont="1"/>
    <xf borderId="0" fillId="42" fontId="3" numFmtId="0" xfId="0" applyAlignment="1" applyFont="1">
      <alignment readingOrder="0" vertical="bottom"/>
    </xf>
    <xf borderId="0" fillId="42" fontId="3" numFmtId="165" xfId="0" applyAlignment="1" applyFont="1" applyNumberFormat="1">
      <alignment horizontal="right" readingOrder="0" vertical="bottom"/>
    </xf>
    <xf borderId="0" fillId="42" fontId="5" numFmtId="165" xfId="0" applyAlignment="1" applyFont="1" applyNumberFormat="1">
      <alignment readingOrder="0" vertical="bottom"/>
    </xf>
    <xf borderId="0" fillId="42" fontId="5" numFmtId="0" xfId="0" applyAlignment="1" applyFont="1">
      <alignment horizontal="right" readingOrder="0" vertical="bottom"/>
    </xf>
    <xf borderId="1" fillId="42" fontId="3" numFmtId="0" xfId="0" applyAlignment="1" applyBorder="1" applyFont="1">
      <alignment readingOrder="0" vertical="bottom"/>
    </xf>
    <xf borderId="0" fillId="42" fontId="81" numFmtId="0" xfId="0" applyAlignment="1" applyFont="1">
      <alignment readingOrder="0" vertical="bottom"/>
    </xf>
    <xf borderId="0" fillId="42" fontId="391" numFmtId="0" xfId="0" applyAlignment="1" applyFont="1">
      <alignment vertical="bottom"/>
    </xf>
    <xf borderId="0" fillId="42" fontId="5" numFmtId="0" xfId="0" applyAlignment="1" applyFont="1">
      <alignment horizontal="right" vertical="bottom"/>
    </xf>
    <xf borderId="0" fillId="42" fontId="3" numFmtId="0" xfId="0" applyAlignment="1" applyFont="1">
      <alignment vertical="bottom"/>
    </xf>
    <xf borderId="0" fillId="42" fontId="5" numFmtId="0" xfId="0" applyAlignment="1" applyFont="1">
      <alignment vertical="bottom"/>
    </xf>
    <xf borderId="0" fillId="42" fontId="3" numFmtId="0" xfId="0" applyAlignment="1" applyFont="1">
      <alignment horizontal="right" readingOrder="0" vertical="bottom"/>
    </xf>
    <xf borderId="0" fillId="41" fontId="3" numFmtId="0" xfId="0" applyAlignment="1" applyFont="1">
      <alignment horizontal="right" readingOrder="0" vertical="bottom"/>
    </xf>
    <xf borderId="0" fillId="5" fontId="392" numFmtId="0" xfId="0" applyAlignment="1" applyFont="1">
      <alignment readingOrder="0" vertical="bottom"/>
    </xf>
    <xf borderId="0" fillId="42" fontId="393" numFmtId="0" xfId="0" applyAlignment="1" applyFont="1">
      <alignment readingOrder="0" vertical="bottom"/>
    </xf>
    <xf borderId="0" fillId="0" fontId="394" numFmtId="0" xfId="0" applyAlignment="1" applyFont="1">
      <alignment readingOrder="0" vertical="bottom"/>
    </xf>
    <xf borderId="0" fillId="20" fontId="395" numFmtId="0" xfId="0" applyAlignment="1" applyFont="1">
      <alignment vertical="bottom"/>
    </xf>
    <xf borderId="0" fillId="3" fontId="5" numFmtId="0" xfId="0" applyAlignment="1" applyFont="1">
      <alignment horizontal="right" readingOrder="0" vertical="bottom"/>
    </xf>
    <xf borderId="0" fillId="35" fontId="5" numFmtId="0" xfId="0" applyAlignment="1" applyFont="1">
      <alignment readingOrder="0" vertical="bottom"/>
    </xf>
    <xf borderId="0" fillId="35" fontId="3" numFmtId="165" xfId="0" applyAlignment="1" applyFont="1" applyNumberFormat="1">
      <alignment horizontal="right" readingOrder="0" vertical="bottom"/>
    </xf>
    <xf borderId="0" fillId="35" fontId="5" numFmtId="165" xfId="0" applyAlignment="1" applyFont="1" applyNumberFormat="1">
      <alignment readingOrder="0" vertical="bottom"/>
    </xf>
    <xf borderId="0" fillId="35" fontId="5" numFmtId="0" xfId="0" applyAlignment="1" applyFont="1">
      <alignment horizontal="right" readingOrder="0" vertical="bottom"/>
    </xf>
    <xf borderId="1" fillId="35" fontId="3" numFmtId="0" xfId="0" applyAlignment="1" applyBorder="1" applyFont="1">
      <alignment readingOrder="0" vertical="bottom"/>
    </xf>
    <xf borderId="0" fillId="35" fontId="81" numFmtId="0" xfId="0" applyAlignment="1" applyFont="1">
      <alignment readingOrder="0" vertical="bottom"/>
    </xf>
    <xf borderId="0" fillId="35" fontId="396" numFmtId="0" xfId="0" applyAlignment="1" applyFont="1">
      <alignment vertical="bottom"/>
    </xf>
    <xf borderId="0" fillId="35" fontId="3" numFmtId="0" xfId="0" applyAlignment="1" applyFont="1">
      <alignment horizontal="right" readingOrder="0" vertical="bottom"/>
    </xf>
    <xf borderId="0" fillId="35" fontId="397" numFmtId="0" xfId="0" applyAlignment="1" applyFont="1">
      <alignment readingOrder="0" vertical="bottom"/>
    </xf>
    <xf borderId="0" fillId="3" fontId="3" numFmtId="165" xfId="0" applyAlignment="1" applyFont="1" applyNumberFormat="1">
      <alignment horizontal="right" readingOrder="0" vertical="bottom"/>
    </xf>
    <xf borderId="1" fillId="3" fontId="3" numFmtId="0" xfId="0" applyAlignment="1" applyBorder="1" applyFont="1">
      <alignment readingOrder="0" vertical="bottom"/>
    </xf>
    <xf borderId="0" fillId="3" fontId="81" numFmtId="0" xfId="0" applyAlignment="1" applyFont="1">
      <alignment readingOrder="0" vertical="bottom"/>
    </xf>
    <xf borderId="0" fillId="3" fontId="398" numFmtId="0" xfId="0" applyAlignment="1" applyFont="1">
      <alignment vertical="bottom"/>
    </xf>
    <xf borderId="0" fillId="3" fontId="3" numFmtId="0" xfId="0" applyAlignment="1" applyFont="1">
      <alignment horizontal="right" readingOrder="0" vertical="bottom"/>
    </xf>
    <xf borderId="0" fillId="3" fontId="399" numFmtId="0" xfId="0" applyAlignment="1" applyFont="1">
      <alignment readingOrder="0" vertical="bottom"/>
    </xf>
    <xf borderId="0" fillId="0" fontId="400" numFmtId="0" xfId="0" applyAlignment="1" applyFont="1">
      <alignment readingOrder="0"/>
    </xf>
    <xf borderId="0" fillId="3" fontId="401" numFmtId="0" xfId="0" applyAlignment="1" applyFont="1">
      <alignment readingOrder="0" vertical="bottom"/>
    </xf>
    <xf borderId="0" fillId="3" fontId="402" numFmtId="0" xfId="0" applyAlignment="1" applyFont="1">
      <alignment vertical="bottom"/>
    </xf>
    <xf borderId="0" fillId="3" fontId="403" numFmtId="0" xfId="0" applyAlignment="1" applyFont="1">
      <alignment readingOrder="0" vertical="bottom"/>
    </xf>
    <xf borderId="0" fillId="5" fontId="3" numFmtId="165" xfId="0" applyAlignment="1" applyFont="1" applyNumberFormat="1">
      <alignment horizontal="right" readingOrder="0" vertical="bottom"/>
    </xf>
    <xf borderId="0" fillId="5" fontId="5" numFmtId="165" xfId="0" applyAlignment="1" applyFont="1" applyNumberFormat="1">
      <alignment readingOrder="0" vertical="bottom"/>
    </xf>
    <xf borderId="0" fillId="5" fontId="404" numFmtId="0" xfId="0" applyAlignment="1" applyFont="1">
      <alignment readingOrder="0" vertical="bottom"/>
    </xf>
    <xf borderId="0" fillId="5" fontId="81" numFmtId="0" xfId="0" applyAlignment="1" applyFont="1">
      <alignment readingOrder="0" vertical="bottom"/>
    </xf>
    <xf borderId="0" fillId="5" fontId="405" numFmtId="0" xfId="0" applyAlignment="1" applyFont="1">
      <alignment vertical="bottom"/>
    </xf>
    <xf borderId="0" fillId="5" fontId="406" numFmtId="0" xfId="0" applyAlignment="1" applyFont="1">
      <alignment vertical="bottom"/>
    </xf>
    <xf borderId="0" fillId="35" fontId="5" numFmtId="0" xfId="0" applyAlignment="1" applyFont="1">
      <alignment horizontal="right" vertical="bottom"/>
    </xf>
    <xf borderId="0" fillId="0" fontId="126" numFmtId="0" xfId="0" applyAlignment="1" applyFont="1">
      <alignment readingOrder="0" shrinkToFit="0" vertical="bottom" wrapText="0"/>
    </xf>
    <xf borderId="0" fillId="0" fontId="139" numFmtId="165" xfId="0" applyAlignment="1" applyFont="1" applyNumberFormat="1">
      <alignment readingOrder="0"/>
    </xf>
    <xf borderId="0" fillId="20" fontId="329" numFmtId="0" xfId="0" applyAlignment="1" applyFont="1">
      <alignment readingOrder="0" shrinkToFit="0" vertical="bottom" wrapText="0"/>
    </xf>
    <xf borderId="0" fillId="0" fontId="4" numFmtId="0" xfId="0" applyAlignment="1" applyFont="1">
      <alignment horizontal="right" readingOrder="0" shrinkToFit="0" vertical="bottom" wrapText="0"/>
    </xf>
    <xf borderId="1" fillId="22" fontId="4" numFmtId="0" xfId="0" applyAlignment="1" applyBorder="1" applyFont="1">
      <alignment readingOrder="0" shrinkToFit="0" vertical="bottom" wrapText="0"/>
    </xf>
    <xf borderId="0" fillId="0" fontId="407" numFmtId="0" xfId="0" applyAlignment="1" applyFont="1">
      <alignment readingOrder="0" shrinkToFit="0" vertical="bottom" wrapText="0"/>
    </xf>
    <xf borderId="0" fillId="0" fontId="408" numFmtId="0" xfId="0" applyAlignment="1" applyFont="1">
      <alignment readingOrder="0" shrinkToFit="0" vertical="bottom" wrapText="0"/>
    </xf>
    <xf borderId="0" fillId="0" fontId="50" numFmtId="0" xfId="0" applyAlignment="1" applyFont="1">
      <alignment readingOrder="0" shrinkToFit="0" vertical="bottom" wrapText="0"/>
    </xf>
    <xf borderId="0" fillId="0" fontId="11" numFmtId="0" xfId="0" applyAlignment="1" applyFont="1">
      <alignment readingOrder="0" shrinkToFit="0" vertical="bottom" wrapText="0"/>
    </xf>
    <xf borderId="0" fillId="0" fontId="126" numFmtId="0" xfId="0" applyAlignment="1" applyFont="1">
      <alignment horizontal="right" readingOrder="0" shrinkToFit="0" vertical="bottom" wrapText="0"/>
    </xf>
    <xf borderId="0" fillId="0" fontId="409" numFmtId="0" xfId="0" applyAlignment="1" applyFont="1">
      <alignment readingOrder="0" shrinkToFit="0" vertical="bottom" wrapText="0"/>
    </xf>
    <xf borderId="0" fillId="0" fontId="126" numFmtId="0" xfId="0" applyAlignment="1" applyFont="1">
      <alignment horizontal="right" readingOrder="0" shrinkToFit="0" vertical="bottom" wrapText="0"/>
    </xf>
    <xf borderId="0" fillId="0" fontId="52" numFmtId="0" xfId="0" applyAlignment="1" applyFont="1">
      <alignment readingOrder="0" shrinkToFit="0" vertical="bottom" wrapText="0"/>
    </xf>
    <xf borderId="0" fillId="0" fontId="4" numFmtId="0" xfId="0" applyAlignment="1" applyFont="1">
      <alignment shrinkToFit="0" vertical="bottom" wrapText="0"/>
    </xf>
    <xf borderId="0" fillId="0" fontId="329" numFmtId="0" xfId="0" applyAlignment="1" applyFont="1">
      <alignment readingOrder="0" shrinkToFit="0" vertical="bottom" wrapText="0"/>
    </xf>
    <xf borderId="1" fillId="0" fontId="4" numFmtId="0" xfId="0" applyAlignment="1" applyBorder="1" applyFont="1">
      <alignment readingOrder="0" shrinkToFit="0" vertical="bottom" wrapText="0"/>
    </xf>
    <xf borderId="0" fillId="0" fontId="82" numFmtId="0" xfId="0" applyAlignment="1" applyFont="1">
      <alignment horizontal="right" readingOrder="0" shrinkToFit="0" vertical="bottom" wrapText="0"/>
    </xf>
    <xf borderId="0" fillId="0" fontId="52" numFmtId="0" xfId="0" applyAlignment="1" applyFont="1">
      <alignment horizontal="right" readingOrder="0" shrinkToFit="0" vertical="bottom" wrapText="0"/>
    </xf>
    <xf borderId="0" fillId="0" fontId="50" numFmtId="0" xfId="0" applyAlignment="1" applyFont="1">
      <alignment horizontal="right" readingOrder="0" shrinkToFit="0" vertical="bottom" wrapText="0"/>
    </xf>
    <xf borderId="0" fillId="0" fontId="82" numFmtId="0" xfId="0" applyAlignment="1" applyFont="1">
      <alignment readingOrder="0" shrinkToFit="0" vertical="bottom" wrapText="0"/>
    </xf>
    <xf borderId="0" fillId="0" fontId="126" numFmtId="0" xfId="0" applyAlignment="1" applyFont="1">
      <alignment shrinkToFit="0" vertical="bottom" wrapText="0"/>
    </xf>
    <xf borderId="0" fillId="5" fontId="4" numFmtId="0" xfId="0" applyAlignment="1" applyFont="1">
      <alignment readingOrder="0" shrinkToFit="0" vertical="bottom" wrapText="0"/>
    </xf>
    <xf borderId="0" fillId="21" fontId="4" numFmtId="0" xfId="0" applyAlignment="1" applyFont="1">
      <alignment readingOrder="0" shrinkToFit="0" vertical="bottom" wrapText="0"/>
    </xf>
    <xf borderId="0" fillId="0" fontId="126" numFmtId="0" xfId="0" applyAlignment="1" applyFont="1">
      <alignment shrinkToFit="0" vertical="bottom" wrapText="0"/>
    </xf>
    <xf borderId="0" fillId="0" fontId="4" numFmtId="0" xfId="0" applyAlignment="1" applyFont="1">
      <alignment shrinkToFit="0" vertical="bottom" wrapText="0"/>
    </xf>
    <xf borderId="0" fillId="0" fontId="126" numFmtId="0" xfId="0" applyAlignment="1" applyFont="1">
      <alignment shrinkToFit="0" vertical="bottom" wrapText="0"/>
    </xf>
    <xf borderId="0" fillId="0" fontId="4" numFmtId="0" xfId="0" applyAlignment="1" applyFont="1">
      <alignment shrinkToFit="0" vertical="bottom" wrapText="0"/>
    </xf>
    <xf borderId="0" fillId="0" fontId="48" numFmtId="0" xfId="0" applyAlignment="1" applyFont="1">
      <alignment readingOrder="0" shrinkToFit="0" vertical="bottom" wrapText="0"/>
    </xf>
    <xf borderId="0" fillId="0" fontId="126" numFmtId="0" xfId="0" applyAlignment="1" applyFont="1">
      <alignment horizontal="right" shrinkToFit="0" vertical="bottom" wrapText="0"/>
    </xf>
    <xf borderId="0" fillId="0" fontId="33" numFmtId="0" xfId="0" applyAlignment="1" applyFont="1">
      <alignment readingOrder="0" shrinkToFit="0" vertical="bottom" wrapText="0"/>
    </xf>
    <xf borderId="0" fillId="27" fontId="4" numFmtId="0" xfId="0" applyAlignment="1" applyFont="1">
      <alignment readingOrder="0" shrinkToFit="0" vertical="bottom" wrapText="0"/>
    </xf>
    <xf borderId="0" fillId="13" fontId="4" numFmtId="0" xfId="0" applyAlignment="1" applyFont="1">
      <alignment readingOrder="0" shrinkToFit="0" vertical="bottom" wrapText="0"/>
    </xf>
    <xf borderId="5" fillId="0" fontId="4" numFmtId="0" xfId="0" applyAlignment="1" applyBorder="1" applyFont="1">
      <alignment readingOrder="0" shrinkToFit="0" vertical="bottom" wrapText="0"/>
    </xf>
    <xf borderId="5" fillId="0" fontId="126" numFmtId="0" xfId="0" applyAlignment="1" applyBorder="1" applyFont="1">
      <alignment readingOrder="0" shrinkToFit="0" vertical="bottom" wrapText="0"/>
    </xf>
    <xf borderId="5" fillId="0" fontId="126" numFmtId="0" xfId="0" applyAlignment="1" applyBorder="1" applyFont="1">
      <alignment shrinkToFit="0" vertical="bottom" wrapText="0"/>
    </xf>
    <xf borderId="6" fillId="0" fontId="329" numFmtId="0" xfId="0" applyAlignment="1" applyBorder="1" applyFont="1">
      <alignment readingOrder="0" shrinkToFit="0" vertical="bottom" wrapText="0"/>
    </xf>
    <xf borderId="6" fillId="0" fontId="4" numFmtId="0" xfId="0" applyAlignment="1" applyBorder="1" applyFont="1">
      <alignment readingOrder="0" shrinkToFit="0" vertical="bottom" wrapText="0"/>
    </xf>
    <xf borderId="6" fillId="0" fontId="126" numFmtId="0" xfId="0" applyAlignment="1" applyBorder="1" applyFont="1">
      <alignment horizontal="right" readingOrder="0" shrinkToFit="0" vertical="bottom" wrapText="0"/>
    </xf>
    <xf borderId="7" fillId="0" fontId="4" numFmtId="0" xfId="0" applyAlignment="1" applyBorder="1" applyFont="1">
      <alignment readingOrder="0" shrinkToFit="0" vertical="bottom" wrapText="0"/>
    </xf>
    <xf borderId="6" fillId="0" fontId="10" numFmtId="0" xfId="0" applyBorder="1" applyFont="1"/>
    <xf borderId="7" fillId="0" fontId="126" numFmtId="0" xfId="0" applyAlignment="1" applyBorder="1" applyFont="1">
      <alignment readingOrder="0" shrinkToFit="0" vertical="bottom" wrapText="0"/>
    </xf>
    <xf borderId="7" fillId="0" fontId="126" numFmtId="0" xfId="0" applyAlignment="1" applyBorder="1" applyFont="1">
      <alignment horizontal="right" readingOrder="0" shrinkToFit="0" vertical="bottom" wrapText="0"/>
    </xf>
    <xf borderId="8" fillId="0" fontId="126" numFmtId="0" xfId="0" applyAlignment="1" applyBorder="1" applyFont="1">
      <alignment readingOrder="0" shrinkToFit="0" vertical="bottom" wrapText="0"/>
    </xf>
    <xf borderId="8" fillId="0" fontId="410" numFmtId="0" xfId="0" applyAlignment="1" applyBorder="1" applyFont="1">
      <alignment readingOrder="0" shrinkToFit="0" vertical="bottom" wrapText="0"/>
    </xf>
    <xf borderId="5" fillId="0" fontId="4" numFmtId="0" xfId="0" applyAlignment="1" applyBorder="1" applyFont="1">
      <alignment shrinkToFit="0" vertical="bottom" wrapText="0"/>
    </xf>
    <xf borderId="8" fillId="0" fontId="4" numFmtId="0" xfId="0" applyAlignment="1" applyBorder="1" applyFont="1">
      <alignment readingOrder="0" shrinkToFit="0" vertical="bottom" wrapText="0"/>
    </xf>
    <xf borderId="5" fillId="0" fontId="126" numFmtId="0" xfId="0" applyAlignment="1" applyBorder="1" applyFont="1">
      <alignment horizontal="right" readingOrder="0" shrinkToFit="0" vertical="bottom" wrapText="0"/>
    </xf>
    <xf borderId="0" fillId="0" fontId="4" numFmtId="172" xfId="0" applyAlignment="1" applyFont="1" applyNumberFormat="1">
      <alignment horizontal="right" readingOrder="0" shrinkToFit="0" vertical="bottom" wrapText="0"/>
    </xf>
    <xf borderId="7" fillId="0" fontId="33" numFmtId="0" xfId="0" applyAlignment="1" applyBorder="1" applyFont="1">
      <alignment readingOrder="0" shrinkToFit="0" vertical="bottom" wrapText="0"/>
    </xf>
    <xf borderId="5" fillId="0" fontId="126" numFmtId="165" xfId="0" applyAlignment="1" applyBorder="1" applyFont="1" applyNumberFormat="1">
      <alignment horizontal="right" readingOrder="0" shrinkToFit="0" vertical="bottom" wrapText="0"/>
    </xf>
    <xf borderId="0" fillId="20" fontId="4" numFmtId="0" xfId="0" applyAlignment="1" applyFont="1">
      <alignment readingOrder="0" shrinkToFit="0" vertical="bottom" wrapText="0"/>
    </xf>
    <xf borderId="0" fillId="0" fontId="126" numFmtId="165" xfId="0" applyAlignment="1" applyFont="1" applyNumberFormat="1">
      <alignment horizontal="right" readingOrder="0" shrinkToFit="0" vertical="bottom" wrapText="0"/>
    </xf>
    <xf borderId="1" fillId="0" fontId="4" numFmtId="0" xfId="0" applyAlignment="1" applyBorder="1" applyFont="1">
      <alignment shrinkToFit="0" vertical="bottom" wrapText="0"/>
    </xf>
    <xf borderId="0" fillId="0" fontId="4" numFmtId="0" xfId="0" applyAlignment="1" applyFont="1">
      <alignment horizontal="right" shrinkToFit="0" vertical="bottom" wrapText="0"/>
    </xf>
    <xf borderId="0" fillId="0" fontId="4" numFmtId="0" xfId="0" applyAlignment="1" applyFont="1">
      <alignment horizontal="right" shrinkToFit="0" vertical="bottom" wrapText="0"/>
    </xf>
    <xf borderId="0" fillId="0" fontId="411" numFmtId="0" xfId="0" applyAlignment="1" applyFont="1">
      <alignment shrinkToFit="0" vertical="bottom" wrapText="0"/>
    </xf>
    <xf borderId="0" fillId="0" fontId="126" numFmtId="0" xfId="0" applyAlignment="1" applyFont="1">
      <alignment shrinkToFit="0" vertical="bottom" wrapText="0"/>
    </xf>
    <xf borderId="0" fillId="0" fontId="126" numFmtId="0" xfId="0" applyAlignment="1" applyFont="1">
      <alignment shrinkToFit="0" vertical="bottom" wrapText="0"/>
    </xf>
    <xf borderId="1" fillId="0" fontId="412" numFmtId="0" xfId="0" applyAlignment="1" applyBorder="1" applyFont="1">
      <alignment readingOrder="0" shrinkToFit="0" vertical="bottom" wrapText="0"/>
    </xf>
    <xf borderId="0" fillId="0" fontId="329" numFmtId="0" xfId="0" applyAlignment="1" applyFont="1">
      <alignment vertical="bottom"/>
    </xf>
    <xf borderId="0" fillId="0" fontId="33" numFmtId="0" xfId="0" applyAlignment="1" applyFont="1">
      <alignment horizontal="right" readingOrder="0" vertical="bottom"/>
    </xf>
    <xf borderId="0" fillId="0" fontId="33" numFmtId="0" xfId="0" applyAlignment="1" applyFont="1">
      <alignment vertical="bottom"/>
    </xf>
    <xf borderId="0" fillId="23" fontId="5" numFmtId="165" xfId="0" applyAlignment="1" applyFont="1" applyNumberFormat="1">
      <alignment vertical="bottom"/>
    </xf>
    <xf borderId="0" fillId="23" fontId="33" numFmtId="0" xfId="0" applyAlignment="1" applyFont="1">
      <alignment vertical="bottom"/>
    </xf>
    <xf borderId="0" fillId="23" fontId="329" numFmtId="0" xfId="0" applyAlignment="1" applyFont="1">
      <alignment vertical="bottom"/>
    </xf>
    <xf borderId="0" fillId="23" fontId="33" numFmtId="0" xfId="0" applyAlignment="1" applyFont="1">
      <alignment horizontal="right" vertical="bottom"/>
    </xf>
    <xf borderId="0" fillId="23" fontId="33" numFmtId="0" xfId="0" applyAlignment="1" applyFont="1">
      <alignment horizontal="right" readingOrder="0" vertical="bottom"/>
    </xf>
    <xf borderId="0" fillId="5" fontId="5" numFmtId="168" xfId="0" applyAlignment="1" applyFont="1" applyNumberFormat="1">
      <alignment horizontal="right" readingOrder="0" vertical="bottom"/>
    </xf>
    <xf borderId="0" fillId="0" fontId="126" numFmtId="0" xfId="0" applyAlignment="1" applyFont="1">
      <alignment horizontal="right" readingOrder="0" vertical="bottom"/>
    </xf>
    <xf borderId="1" fillId="0" fontId="5" numFmtId="165" xfId="0" applyAlignment="1" applyBorder="1" applyFont="1" applyNumberFormat="1">
      <alignment vertical="bottom"/>
    </xf>
    <xf borderId="1" fillId="0" fontId="5" numFmtId="165" xfId="0" applyAlignment="1" applyBorder="1" applyFont="1" applyNumberFormat="1">
      <alignment readingOrder="0" vertical="bottom"/>
    </xf>
    <xf borderId="1" fillId="0" fontId="329" numFmtId="0" xfId="0" applyAlignment="1" applyBorder="1" applyFont="1">
      <alignment vertical="bottom"/>
    </xf>
    <xf borderId="1" fillId="0" fontId="3" numFmtId="0" xfId="0" applyAlignment="1" applyBorder="1" applyFont="1">
      <alignment horizontal="right" vertical="bottom"/>
    </xf>
    <xf borderId="1" fillId="0" fontId="5" numFmtId="0" xfId="0" applyAlignment="1" applyBorder="1" applyFont="1">
      <alignment horizontal="right" vertical="bottom"/>
    </xf>
    <xf borderId="1" fillId="0" fontId="3" numFmtId="0" xfId="0" applyAlignment="1" applyBorder="1" applyFont="1">
      <alignment vertical="bottom"/>
    </xf>
    <xf borderId="1" fillId="0" fontId="52" numFmtId="0" xfId="0" applyAlignment="1" applyBorder="1" applyFont="1">
      <alignment vertical="bottom"/>
    </xf>
    <xf borderId="1" fillId="0" fontId="5" numFmtId="0" xfId="0" applyAlignment="1" applyBorder="1" applyFont="1">
      <alignment horizontal="right" readingOrder="0" vertical="bottom"/>
    </xf>
    <xf borderId="1" fillId="0" fontId="413" numFmtId="0" xfId="0" applyAlignment="1" applyBorder="1" applyFont="1">
      <alignment vertical="bottom"/>
    </xf>
    <xf borderId="14" fillId="0" fontId="3" numFmtId="0" xfId="0" applyAlignment="1" applyBorder="1" applyFont="1">
      <alignment vertical="bottom"/>
    </xf>
    <xf borderId="15" fillId="0" fontId="414" numFmtId="0" xfId="0" applyBorder="1" applyFont="1"/>
    <xf borderId="1" fillId="0" fontId="126" numFmtId="0" xfId="0" applyAlignment="1" applyBorder="1" applyFont="1">
      <alignment horizontal="right" readingOrder="0" vertical="bottom"/>
    </xf>
    <xf borderId="6" fillId="0" fontId="3" numFmtId="0" xfId="0" applyAlignment="1" applyBorder="1" applyFont="1">
      <alignment vertical="bottom"/>
    </xf>
    <xf borderId="7" fillId="0" fontId="3" numFmtId="0" xfId="0" applyAlignment="1" applyBorder="1" applyFont="1">
      <alignment vertical="bottom"/>
    </xf>
    <xf borderId="0" fillId="20" fontId="329" numFmtId="0" xfId="0" applyAlignment="1" applyFont="1">
      <alignment vertical="bottom"/>
    </xf>
    <xf borderId="0" fillId="0" fontId="415" numFmtId="0" xfId="0" applyAlignment="1" applyFont="1">
      <alignment vertical="bottom"/>
    </xf>
    <xf quotePrefix="1" borderId="0" fillId="0" fontId="5" numFmtId="0" xfId="0" applyAlignment="1" applyFont="1">
      <alignment vertical="bottom"/>
    </xf>
    <xf borderId="0" fillId="0" fontId="416" numFmtId="0" xfId="0" applyAlignment="1" applyFont="1">
      <alignment readingOrder="0" shrinkToFit="0" vertical="bottom" wrapText="0"/>
    </xf>
    <xf borderId="0" fillId="0" fontId="417" numFmtId="0" xfId="0" applyAlignment="1" applyFont="1">
      <alignment shrinkToFit="0" vertical="bottom" wrapText="0"/>
    </xf>
    <xf borderId="0" fillId="0" fontId="418" numFmtId="0" xfId="0" applyAlignment="1" applyFont="1">
      <alignment vertical="bottom"/>
    </xf>
    <xf borderId="0" fillId="43" fontId="5" numFmtId="0" xfId="0" applyAlignment="1" applyFill="1" applyFont="1">
      <alignment vertical="bottom"/>
    </xf>
    <xf borderId="0" fillId="0" fontId="419" numFmtId="0" xfId="0" applyAlignment="1" applyFont="1">
      <alignment vertical="bottom"/>
    </xf>
    <xf borderId="0" fillId="43" fontId="3" numFmtId="0" xfId="0" applyAlignment="1" applyFont="1">
      <alignment vertical="bottom"/>
    </xf>
    <xf borderId="0" fillId="43" fontId="3" numFmtId="0" xfId="0" applyAlignment="1" applyFont="1">
      <alignment horizontal="right" vertical="bottom"/>
    </xf>
    <xf borderId="0" fillId="0" fontId="419" numFmtId="172" xfId="0" applyAlignment="1" applyFont="1" applyNumberFormat="1">
      <alignment horizontal="right" vertical="bottom"/>
    </xf>
    <xf borderId="1" fillId="13" fontId="3" numFmtId="0" xfId="0" applyAlignment="1" applyBorder="1" applyFont="1">
      <alignment vertical="bottom"/>
    </xf>
    <xf borderId="1" fillId="0" fontId="5" numFmtId="165" xfId="0" applyAlignment="1" applyBorder="1" applyFont="1" applyNumberFormat="1">
      <alignment horizontal="right" readingOrder="0" vertical="bottom"/>
    </xf>
    <xf borderId="1" fillId="20" fontId="329" numFmtId="0" xfId="0" applyAlignment="1" applyBorder="1" applyFont="1">
      <alignment vertical="bottom"/>
    </xf>
    <xf borderId="1" fillId="0" fontId="5" numFmtId="0" xfId="0" applyAlignment="1" applyBorder="1" applyFont="1">
      <alignment horizontal="right" vertical="bottom"/>
    </xf>
    <xf borderId="1" fillId="0" fontId="420" numFmtId="0" xfId="0" applyAlignment="1" applyBorder="1" applyFont="1">
      <alignment readingOrder="0" vertical="bottom"/>
    </xf>
    <xf borderId="0" fillId="20" fontId="418" numFmtId="0" xfId="0" applyAlignment="1" applyFont="1">
      <alignment vertical="bottom"/>
    </xf>
    <xf borderId="0" fillId="0" fontId="419" numFmtId="0" xfId="0" applyAlignment="1" applyFont="1">
      <alignment horizontal="right" vertical="bottom"/>
    </xf>
    <xf borderId="0" fillId="0" fontId="421" numFmtId="0" xfId="0" applyAlignment="1" applyFont="1">
      <alignment vertical="bottom"/>
    </xf>
    <xf borderId="0" fillId="0" fontId="5" numFmtId="0" xfId="0" applyAlignment="1" applyFont="1">
      <alignment horizontal="right" readingOrder="0" vertical="bottom"/>
    </xf>
    <xf borderId="0" fillId="20" fontId="418" numFmtId="0" xfId="0" applyAlignment="1" applyFont="1">
      <alignment shrinkToFit="0" vertical="bottom" wrapText="0"/>
    </xf>
    <xf borderId="0" fillId="0" fontId="422" numFmtId="0" xfId="0" applyAlignment="1" applyFont="1">
      <alignment vertical="bottom"/>
    </xf>
    <xf borderId="0" fillId="5" fontId="5" numFmtId="0" xfId="0" applyAlignment="1" applyFont="1">
      <alignment horizontal="right" vertical="bottom"/>
    </xf>
    <xf borderId="0" fillId="20" fontId="415" numFmtId="0" xfId="0" applyAlignment="1" applyFont="1">
      <alignment vertical="bottom"/>
    </xf>
    <xf borderId="0" fillId="0" fontId="421" numFmtId="0" xfId="0" applyAlignment="1" applyFont="1">
      <alignment horizontal="right" vertical="bottom"/>
    </xf>
    <xf borderId="0" fillId="0" fontId="418" numFmtId="0" xfId="0" applyAlignment="1" applyFont="1">
      <alignment shrinkToFit="0" vertical="bottom" wrapText="0"/>
    </xf>
    <xf borderId="0" fillId="21" fontId="329" numFmtId="0" xfId="0" applyAlignment="1" applyFont="1">
      <alignment vertical="bottom"/>
    </xf>
    <xf borderId="0" fillId="19" fontId="33" numFmtId="0" xfId="0" applyAlignment="1" applyFont="1">
      <alignment horizontal="right" readingOrder="0" vertical="bottom"/>
    </xf>
    <xf borderId="0" fillId="19" fontId="5" numFmtId="0" xfId="0" applyAlignment="1" applyFont="1">
      <alignment horizontal="right" readingOrder="0" vertical="bottom"/>
    </xf>
    <xf borderId="0" fillId="23" fontId="418" numFmtId="0" xfId="0" applyAlignment="1" applyFont="1">
      <alignment vertical="bottom"/>
    </xf>
    <xf borderId="0" fillId="23" fontId="2" numFmtId="0" xfId="0" applyAlignment="1" applyFont="1">
      <alignment vertical="bottom"/>
    </xf>
    <xf borderId="0" fillId="0" fontId="33" numFmtId="0" xfId="0" applyAlignment="1" applyFont="1">
      <alignment horizontal="right" vertical="bottom"/>
    </xf>
    <xf borderId="0" fillId="44" fontId="3" numFmtId="0" xfId="0" applyAlignment="1" applyFill="1" applyFont="1">
      <alignment vertical="bottom"/>
    </xf>
    <xf borderId="0" fillId="21" fontId="3" numFmtId="0" xfId="0" applyAlignment="1" applyFont="1">
      <alignment horizontal="center" vertical="bottom"/>
    </xf>
    <xf borderId="0" fillId="21" fontId="3" numFmtId="0" xfId="0" applyAlignment="1" applyFont="1">
      <alignment horizontal="center" vertical="bottom"/>
    </xf>
    <xf borderId="0" fillId="21" fontId="5" numFmtId="0" xfId="0" applyAlignment="1" applyFont="1">
      <alignment horizontal="right" vertical="bottom"/>
    </xf>
    <xf borderId="0" fillId="21" fontId="423" numFmtId="0" xfId="0" applyAlignment="1" applyFont="1">
      <alignment vertical="bottom"/>
    </xf>
    <xf borderId="0" fillId="21" fontId="11" numFmtId="0" xfId="0" applyAlignment="1" applyFont="1">
      <alignment vertical="bottom"/>
    </xf>
    <xf borderId="0" fillId="30" fontId="424" numFmtId="0" xfId="0" applyAlignment="1" applyFont="1">
      <alignment readingOrder="0" vertical="bottom"/>
    </xf>
    <xf borderId="0" fillId="0" fontId="3" numFmtId="179" xfId="0" applyAlignment="1" applyFont="1" applyNumberFormat="1">
      <alignment horizontal="right" vertical="bottom"/>
    </xf>
    <xf borderId="0" fillId="0" fontId="50" numFmtId="0" xfId="0" applyAlignment="1" applyFont="1">
      <alignment horizontal="right" vertical="bottom"/>
    </xf>
    <xf borderId="0" fillId="0" fontId="5" numFmtId="172" xfId="0" applyAlignment="1" applyFont="1" applyNumberFormat="1">
      <alignment horizontal="right" vertical="bottom"/>
    </xf>
    <xf borderId="0" fillId="0" fontId="82" numFmtId="168" xfId="0" applyAlignment="1" applyFont="1" applyNumberFormat="1">
      <alignment horizontal="right" readingOrder="0" vertical="bottom"/>
    </xf>
    <xf borderId="0" fillId="0" fontId="50" numFmtId="168" xfId="0" applyAlignment="1" applyFont="1" applyNumberFormat="1">
      <alignment horizontal="right" vertical="bottom"/>
    </xf>
    <xf borderId="0" fillId="28" fontId="5" numFmtId="165" xfId="0" applyAlignment="1" applyFont="1" applyNumberFormat="1">
      <alignment readingOrder="0" vertical="bottom"/>
    </xf>
    <xf borderId="0" fillId="28" fontId="5" numFmtId="0" xfId="0" applyAlignment="1" applyFont="1">
      <alignment horizontal="right" readingOrder="0" vertical="bottom"/>
    </xf>
    <xf borderId="0" fillId="28" fontId="81" numFmtId="0" xfId="0" applyAlignment="1" applyFont="1">
      <alignment readingOrder="0" vertical="bottom"/>
    </xf>
    <xf borderId="0" fillId="28" fontId="425" numFmtId="0" xfId="0" applyAlignment="1" applyFont="1">
      <alignment readingOrder="0" vertical="bottom"/>
    </xf>
    <xf borderId="0" fillId="28" fontId="426" numFmtId="0" xfId="0" applyAlignment="1" applyFont="1">
      <alignment readingOrder="0" vertical="bottom"/>
    </xf>
    <xf borderId="0" fillId="20" fontId="3" numFmtId="179" xfId="0" applyAlignment="1" applyFont="1" applyNumberFormat="1">
      <alignment horizontal="right" vertical="bottom"/>
    </xf>
    <xf borderId="0" fillId="20" fontId="82" numFmtId="0" xfId="0" applyAlignment="1" applyFont="1">
      <alignment readingOrder="0" vertical="bottom"/>
    </xf>
    <xf borderId="0" fillId="20" fontId="82" numFmtId="0" xfId="0" applyAlignment="1" applyFont="1">
      <alignment horizontal="right" vertical="bottom"/>
    </xf>
    <xf borderId="0" fillId="0" fontId="427" numFmtId="0" xfId="0" applyAlignment="1" applyFont="1">
      <alignment readingOrder="0" vertical="bottom"/>
    </xf>
    <xf borderId="0" fillId="20" fontId="3" numFmtId="167" xfId="0" applyAlignment="1" applyFont="1" applyNumberFormat="1">
      <alignment horizontal="right" vertical="bottom"/>
    </xf>
    <xf borderId="0" fillId="20" fontId="3" numFmtId="172" xfId="0" applyAlignment="1" applyFont="1" applyNumberFormat="1">
      <alignment vertical="bottom"/>
    </xf>
    <xf borderId="0" fillId="20" fontId="3" numFmtId="168" xfId="0" applyAlignment="1" applyFont="1" applyNumberFormat="1">
      <alignment horizontal="right" readingOrder="0" vertical="bottom"/>
    </xf>
    <xf borderId="0" fillId="20" fontId="3" numFmtId="168" xfId="0" applyAlignment="1" applyFont="1" applyNumberFormat="1">
      <alignment readingOrder="0" vertical="bottom"/>
    </xf>
    <xf borderId="0" fillId="20" fontId="428" numFmtId="0" xfId="0" applyAlignment="1" applyFont="1">
      <alignment readingOrder="0" vertical="bottom"/>
    </xf>
    <xf borderId="0" fillId="23" fontId="429" numFmtId="0" xfId="0" applyAlignment="1" applyFont="1">
      <alignment vertical="bottom"/>
    </xf>
    <xf borderId="0" fillId="23" fontId="82" numFmtId="0" xfId="0" applyAlignment="1" applyFont="1">
      <alignment vertical="bottom"/>
    </xf>
    <xf borderId="0" fillId="15" fontId="430" numFmtId="0" xfId="0" applyAlignment="1" applyFont="1">
      <alignment readingOrder="0" vertical="bottom"/>
    </xf>
    <xf borderId="0" fillId="15" fontId="82" numFmtId="0" xfId="0" applyAlignment="1" applyFont="1">
      <alignment horizontal="right" readingOrder="0" vertical="bottom"/>
    </xf>
    <xf borderId="0" fillId="15" fontId="48" numFmtId="0" xfId="0" applyAlignment="1" applyFont="1">
      <alignment readingOrder="0" vertical="bottom"/>
    </xf>
    <xf borderId="0" fillId="15" fontId="48" numFmtId="0" xfId="0" applyAlignment="1" applyFont="1">
      <alignment horizontal="right" readingOrder="0" vertical="bottom"/>
    </xf>
    <xf borderId="0" fillId="15" fontId="431" numFmtId="0" xfId="0" applyAlignment="1" applyFont="1">
      <alignment readingOrder="0" vertical="bottom"/>
    </xf>
    <xf borderId="0" fillId="15" fontId="432" numFmtId="0" xfId="0" applyAlignment="1" applyFont="1">
      <alignment readingOrder="0" vertical="bottom"/>
    </xf>
    <xf borderId="0" fillId="15" fontId="4" numFmtId="0" xfId="0" applyAlignment="1" applyFont="1">
      <alignment horizontal="right" readingOrder="0" vertical="bottom"/>
    </xf>
    <xf borderId="0" fillId="15" fontId="433" numFmtId="0" xfId="0" applyAlignment="1" applyFont="1">
      <alignment readingOrder="0" vertical="bottom"/>
    </xf>
    <xf borderId="0" fillId="15" fontId="126" numFmtId="0" xfId="0" applyAlignment="1" applyFont="1">
      <alignment readingOrder="0" vertical="bottom"/>
    </xf>
    <xf borderId="0" fillId="15" fontId="330" numFmtId="0" xfId="0" applyAlignment="1" applyFont="1">
      <alignment readingOrder="0"/>
    </xf>
    <xf borderId="0" fillId="15" fontId="330" numFmtId="0" xfId="0" applyFont="1"/>
    <xf borderId="0" fillId="15" fontId="4" numFmtId="0" xfId="0" applyAlignment="1" applyFont="1">
      <alignment readingOrder="0" vertical="bottom"/>
    </xf>
    <xf borderId="0" fillId="15" fontId="126" numFmtId="165" xfId="0" applyAlignment="1" applyFont="1" applyNumberFormat="1">
      <alignment readingOrder="0" vertical="bottom"/>
    </xf>
    <xf borderId="0" fillId="15" fontId="126" numFmtId="0" xfId="0" applyAlignment="1" applyFont="1">
      <alignment horizontal="right" readingOrder="0" vertical="bottom"/>
    </xf>
    <xf borderId="0" fillId="15" fontId="434" numFmtId="0" xfId="0" applyAlignment="1" applyFont="1">
      <alignment readingOrder="0" vertical="bottom"/>
    </xf>
    <xf borderId="0" fillId="15" fontId="435" numFmtId="0" xfId="0" applyAlignment="1" applyFont="1">
      <alignment vertical="bottom"/>
    </xf>
    <xf borderId="0" fillId="15" fontId="4" numFmtId="0" xfId="0" applyAlignment="1" applyFont="1">
      <alignment vertical="bottom"/>
    </xf>
    <xf borderId="0" fillId="15" fontId="436" numFmtId="0" xfId="0" applyAlignment="1" applyFont="1">
      <alignment vertical="bottom"/>
    </xf>
    <xf borderId="0" fillId="15" fontId="126" numFmtId="0" xfId="0" applyAlignment="1" applyFont="1">
      <alignment vertical="bottom"/>
    </xf>
    <xf borderId="0" fillId="15" fontId="437" numFmtId="0" xfId="0" applyAlignment="1" applyFont="1">
      <alignment readingOrder="0" vertical="bottom"/>
    </xf>
    <xf borderId="0" fillId="18" fontId="3" numFmtId="0" xfId="0" applyAlignment="1" applyFont="1">
      <alignment horizontal="right" readingOrder="0" vertical="bottom"/>
    </xf>
    <xf borderId="0" fillId="18" fontId="5" numFmtId="0" xfId="0" applyAlignment="1" applyFont="1">
      <alignment horizontal="right" readingOrder="0" vertical="bottom"/>
    </xf>
    <xf borderId="0" fillId="18" fontId="81" numFmtId="0" xfId="0" applyAlignment="1" applyFont="1">
      <alignment readingOrder="0" vertical="bottom"/>
    </xf>
    <xf borderId="0" fillId="18" fontId="438" numFmtId="0" xfId="0" applyAlignment="1" applyFont="1">
      <alignment vertical="bottom"/>
    </xf>
    <xf borderId="0" fillId="18" fontId="82" numFmtId="0" xfId="0" applyAlignment="1" applyFont="1">
      <alignment horizontal="right" readingOrder="0" vertical="bottom"/>
    </xf>
    <xf borderId="0" fillId="18" fontId="439" numFmtId="0" xfId="0" applyAlignment="1" applyFont="1">
      <alignment readingOrder="0" vertical="bottom"/>
    </xf>
    <xf borderId="0" fillId="15" fontId="52" numFmtId="0" xfId="0" applyAlignment="1" applyFont="1">
      <alignment readingOrder="0" vertical="bottom"/>
    </xf>
    <xf borderId="0" fillId="15" fontId="5" numFmtId="0" xfId="0" applyAlignment="1" applyFont="1">
      <alignment horizontal="right" vertical="bottom"/>
    </xf>
    <xf borderId="0" fillId="15" fontId="440" numFmtId="0" xfId="0" applyAlignment="1" applyFont="1">
      <alignment readingOrder="0" vertical="bottom"/>
    </xf>
    <xf borderId="0" fillId="15" fontId="441" numFmtId="0" xfId="0" applyAlignment="1" applyFont="1">
      <alignment readingOrder="0" vertical="bottom"/>
    </xf>
    <xf borderId="0" fillId="15" fontId="82" numFmtId="0" xfId="0" applyAlignment="1" applyFont="1">
      <alignment readingOrder="0" vertical="bottom"/>
    </xf>
    <xf borderId="0" fillId="18" fontId="126" numFmtId="0" xfId="0" applyAlignment="1" applyFont="1">
      <alignment readingOrder="0" vertical="bottom"/>
    </xf>
    <xf borderId="0" fillId="18" fontId="442" numFmtId="0" xfId="0" applyAlignment="1" applyFont="1">
      <alignment readingOrder="0" vertical="bottom"/>
    </xf>
    <xf borderId="0" fillId="15" fontId="3" numFmtId="165" xfId="0" applyAlignment="1" applyFont="1" applyNumberFormat="1">
      <alignment vertical="bottom"/>
    </xf>
    <xf borderId="0" fillId="15" fontId="48" numFmtId="0" xfId="0" applyAlignment="1" applyFont="1">
      <alignment horizontal="right" vertical="bottom"/>
    </xf>
    <xf borderId="0" fillId="15" fontId="48" numFmtId="0" xfId="0" applyAlignment="1" applyFont="1">
      <alignment vertical="bottom"/>
    </xf>
    <xf borderId="0" fillId="20" fontId="443" numFmtId="0" xfId="0" applyAlignment="1" applyFont="1">
      <alignment readingOrder="0" vertical="bottom"/>
    </xf>
    <xf borderId="0" fillId="0" fontId="444" numFmtId="0" xfId="0" applyAlignment="1" applyFont="1">
      <alignment readingOrder="0" vertical="bottom"/>
    </xf>
    <xf borderId="0" fillId="45" fontId="5" numFmtId="0" xfId="0" applyAlignment="1" applyFill="1" applyFont="1">
      <alignment readingOrder="0" vertical="bottom"/>
    </xf>
    <xf borderId="0" fillId="45" fontId="10" numFmtId="0" xfId="0" applyAlignment="1" applyFont="1">
      <alignment readingOrder="0"/>
    </xf>
    <xf borderId="0" fillId="45" fontId="10" numFmtId="0" xfId="0" applyFont="1"/>
    <xf borderId="0" fillId="45" fontId="3" numFmtId="0" xfId="0" applyAlignment="1" applyFont="1">
      <alignment readingOrder="0" vertical="bottom"/>
    </xf>
    <xf borderId="0" fillId="45" fontId="3" numFmtId="0" xfId="0" applyAlignment="1" applyFont="1">
      <alignment horizontal="right" readingOrder="0" vertical="bottom"/>
    </xf>
    <xf borderId="0" fillId="45" fontId="5" numFmtId="0" xfId="0" applyAlignment="1" applyFont="1">
      <alignment vertical="bottom"/>
    </xf>
    <xf borderId="0" fillId="45" fontId="3" numFmtId="0" xfId="0" applyAlignment="1" applyFont="1">
      <alignment vertical="bottom"/>
    </xf>
    <xf borderId="0" fillId="45" fontId="5" numFmtId="0" xfId="0" applyAlignment="1" applyFont="1">
      <alignment horizontal="right" readingOrder="0" vertical="bottom"/>
    </xf>
    <xf borderId="0" fillId="45" fontId="445" numFmtId="0" xfId="0" applyAlignment="1" applyFont="1">
      <alignment readingOrder="0" vertical="bottom"/>
    </xf>
    <xf borderId="0" fillId="45" fontId="81" numFmtId="0" xfId="0" applyAlignment="1" applyFont="1">
      <alignment readingOrder="0" vertical="bottom"/>
    </xf>
    <xf borderId="0" fillId="45" fontId="446" numFmtId="0" xfId="0" applyAlignment="1" applyFont="1">
      <alignment vertical="bottom"/>
    </xf>
    <xf borderId="0" fillId="45" fontId="5" numFmtId="0" xfId="0" applyAlignment="1" applyFont="1">
      <alignment horizontal="right" vertical="bottom"/>
    </xf>
    <xf borderId="0" fillId="45" fontId="447" numFmtId="0" xfId="0" applyAlignment="1" applyFont="1">
      <alignment vertical="bottom"/>
    </xf>
    <xf borderId="0" fillId="45" fontId="3" numFmtId="0" xfId="0" applyAlignment="1" applyFont="1">
      <alignment horizontal="right" vertical="bottom"/>
    </xf>
    <xf borderId="0" fillId="45" fontId="448" numFmtId="0" xfId="0" applyAlignment="1" applyFont="1">
      <alignment vertical="bottom"/>
    </xf>
    <xf borderId="0" fillId="31" fontId="449" numFmtId="0" xfId="0" applyAlignment="1" applyFont="1">
      <alignment shrinkToFit="0" vertical="bottom" wrapText="0"/>
    </xf>
    <xf borderId="0" fillId="31" fontId="5" numFmtId="0" xfId="0" applyAlignment="1" applyFont="1">
      <alignment shrinkToFit="0" vertical="bottom" wrapText="0"/>
    </xf>
    <xf borderId="0" fillId="31" fontId="5" numFmtId="0" xfId="0" applyAlignment="1" applyFont="1">
      <alignment horizontal="right" vertical="bottom"/>
    </xf>
    <xf borderId="0" fillId="31" fontId="3" numFmtId="166" xfId="0" applyAlignment="1" applyFont="1" applyNumberFormat="1">
      <alignment horizontal="right" vertical="bottom"/>
    </xf>
    <xf borderId="0" fillId="0" fontId="28" numFmtId="0" xfId="0" applyAlignment="1" applyFont="1">
      <alignment vertical="bottom"/>
    </xf>
    <xf borderId="0" fillId="0" fontId="288" numFmtId="0" xfId="0" applyAlignment="1" applyFont="1">
      <alignment vertical="bottom"/>
    </xf>
    <xf borderId="0" fillId="0" fontId="280" numFmtId="0" xfId="0" applyAlignment="1" applyFont="1">
      <alignment vertical="bottom"/>
    </xf>
    <xf borderId="0" fillId="0" fontId="280" numFmtId="0" xfId="0" applyAlignment="1" applyFont="1">
      <alignment vertical="top"/>
    </xf>
    <xf borderId="0" fillId="0" fontId="450" numFmtId="0" xfId="0" applyAlignment="1" applyFont="1">
      <alignment vertical="bottom"/>
    </xf>
    <xf borderId="0" fillId="0" fontId="3" numFmtId="0" xfId="0" applyAlignment="1" applyFont="1">
      <alignment horizontal="right" shrinkToFit="0" vertical="bottom" wrapText="1"/>
    </xf>
    <xf borderId="0" fillId="0" fontId="451" numFmtId="0" xfId="0" applyAlignment="1" applyFont="1">
      <alignment readingOrder="0" vertical="bottom"/>
    </xf>
    <xf borderId="0" fillId="0" fontId="3" numFmtId="2" xfId="0" applyAlignment="1" applyFont="1" applyNumberFormat="1">
      <alignment vertical="bottom"/>
    </xf>
    <xf borderId="0" fillId="0" fontId="52" numFmtId="2" xfId="0" applyAlignment="1" applyFont="1" applyNumberFormat="1">
      <alignment vertical="bottom"/>
    </xf>
    <xf borderId="0" fillId="0" fontId="452" numFmtId="0" xfId="0" applyAlignment="1" applyFont="1">
      <alignment readingOrder="0" vertical="bottom"/>
    </xf>
    <xf borderId="0" fillId="0" fontId="48" numFmtId="2" xfId="0" applyAlignment="1" applyFont="1" applyNumberFormat="1">
      <alignment horizontal="right" vertical="bottom"/>
    </xf>
    <xf borderId="0" fillId="0" fontId="453" numFmtId="0" xfId="0" applyAlignment="1" applyFont="1">
      <alignment horizontal="right" readingOrder="0" vertical="bottom"/>
    </xf>
    <xf borderId="0" fillId="0" fontId="454" numFmtId="0" xfId="0" applyAlignment="1" applyFont="1">
      <alignment readingOrder="0" vertical="bottom"/>
    </xf>
    <xf borderId="0" fillId="0" fontId="455" numFmtId="0" xfId="0" applyAlignment="1" applyFont="1">
      <alignment vertical="bottom"/>
    </xf>
    <xf borderId="0" fillId="0" fontId="456" numFmtId="0" xfId="0" applyAlignment="1" applyFont="1">
      <alignment horizontal="right" vertical="bottom"/>
    </xf>
    <xf borderId="0" fillId="0" fontId="3" numFmtId="2" xfId="0" applyAlignment="1" applyFont="1" applyNumberFormat="1">
      <alignment horizontal="right" readingOrder="0" vertical="bottom"/>
    </xf>
    <xf borderId="0" fillId="0" fontId="28" numFmtId="0" xfId="0" applyAlignment="1" applyFont="1">
      <alignment horizontal="right" vertical="bottom"/>
    </xf>
    <xf borderId="0" fillId="0" fontId="4" numFmtId="0" xfId="0" applyAlignment="1" applyFont="1">
      <alignment readingOrder="0" vertical="bottom"/>
    </xf>
    <xf borderId="0" fillId="0" fontId="453" numFmtId="0" xfId="0" applyAlignment="1" applyFont="1">
      <alignment readingOrder="0" vertical="bottom"/>
    </xf>
    <xf borderId="0" fillId="0" fontId="5" numFmtId="2" xfId="0" applyAlignment="1" applyFont="1" applyNumberFormat="1">
      <alignment readingOrder="0" vertical="bottom"/>
    </xf>
    <xf borderId="0" fillId="0" fontId="11" numFmtId="0" xfId="0" applyAlignment="1" applyFont="1">
      <alignment readingOrder="0" vertical="bottom"/>
    </xf>
    <xf borderId="0" fillId="0" fontId="11" numFmtId="3" xfId="0" applyAlignment="1" applyFont="1" applyNumberFormat="1">
      <alignment vertical="bottom"/>
    </xf>
    <xf borderId="0" fillId="0" fontId="28" numFmtId="0" xfId="0" applyAlignment="1" applyFont="1">
      <alignment horizontal="right" readingOrder="0" vertical="bottom"/>
    </xf>
    <xf borderId="0" fillId="0" fontId="457" numFmtId="0" xfId="0" applyAlignment="1" applyFont="1">
      <alignment horizontal="right" vertical="bottom"/>
    </xf>
    <xf borderId="0" fillId="0" fontId="457" numFmtId="0" xfId="0" applyAlignment="1" applyFont="1">
      <alignment horizontal="right" readingOrder="0" vertical="bottom"/>
    </xf>
    <xf borderId="0" fillId="0" fontId="457" numFmtId="0" xfId="0" applyAlignment="1" applyFont="1">
      <alignment readingOrder="0" vertical="bottom"/>
    </xf>
    <xf borderId="0" fillId="0" fontId="5" numFmtId="2" xfId="0" applyAlignment="1" applyFont="1" applyNumberFormat="1">
      <alignment vertical="bottom"/>
    </xf>
    <xf borderId="0" fillId="0" fontId="458" numFmtId="0" xfId="0" applyAlignment="1" applyFont="1">
      <alignment vertical="bottom"/>
    </xf>
    <xf borderId="0" fillId="0" fontId="3" numFmtId="2" xfId="0" applyAlignment="1" applyFont="1" applyNumberFormat="1">
      <alignment readingOrder="0" vertical="bottom"/>
    </xf>
    <xf borderId="0" fillId="0" fontId="459" numFmtId="0" xfId="0" applyAlignment="1" applyFont="1">
      <alignment readingOrder="0" vertical="bottom"/>
    </xf>
    <xf borderId="0" fillId="0" fontId="456" numFmtId="0" xfId="0" applyAlignment="1" applyFont="1">
      <alignment readingOrder="0" vertical="bottom"/>
    </xf>
    <xf borderId="0" fillId="0" fontId="312" numFmtId="0" xfId="0" applyAlignment="1" applyFont="1">
      <alignment vertical="bottom"/>
    </xf>
    <xf borderId="0" fillId="0" fontId="456" numFmtId="0" xfId="0" applyAlignment="1" applyFont="1">
      <alignment vertical="bottom"/>
    </xf>
    <xf borderId="0" fillId="0" fontId="3" numFmtId="0" xfId="0" applyAlignment="1" applyFont="1">
      <alignment shrinkToFit="0" vertical="bottom" wrapText="1"/>
    </xf>
    <xf borderId="0" fillId="0" fontId="11" numFmtId="0" xfId="0" applyAlignment="1" applyFont="1">
      <alignment shrinkToFit="0" vertical="bottom" wrapText="1"/>
    </xf>
    <xf borderId="0" fillId="0" fontId="460" numFmtId="0" xfId="0" applyAlignment="1" applyFont="1">
      <alignment readingOrder="0" vertical="bottom"/>
    </xf>
    <xf borderId="0" fillId="0" fontId="461" numFmtId="0" xfId="0" applyAlignment="1" applyFont="1">
      <alignment readingOrder="0" vertical="bottom"/>
    </xf>
    <xf borderId="0" fillId="0" fontId="462" numFmtId="0" xfId="0" applyAlignment="1" applyFont="1">
      <alignment readingOrder="0" vertical="bottom"/>
    </xf>
    <xf borderId="0" fillId="0" fontId="463" numFmtId="0" xfId="0" applyAlignment="1" applyFont="1">
      <alignment readingOrder="0" vertical="bottom"/>
    </xf>
    <xf borderId="0" fillId="0" fontId="464" numFmtId="0" xfId="0" applyAlignment="1" applyFont="1">
      <alignment vertical="bottom"/>
    </xf>
    <xf borderId="0" fillId="0" fontId="463" numFmtId="0" xfId="0" applyAlignment="1" applyFont="1">
      <alignment vertical="bottom"/>
    </xf>
    <xf borderId="0" fillId="0" fontId="52" numFmtId="0" xfId="0" applyAlignment="1" applyFont="1">
      <alignment readingOrder="0" vertical="bottom"/>
    </xf>
    <xf borderId="0" fillId="0" fontId="291" numFmtId="0" xfId="0" applyAlignment="1" applyFont="1">
      <alignment readingOrder="0" vertical="bottom"/>
    </xf>
    <xf borderId="0" fillId="0" fontId="465" numFmtId="0" xfId="0" applyAlignment="1" applyFont="1">
      <alignment readingOrder="0" vertical="bottom"/>
    </xf>
    <xf borderId="0" fillId="0" fontId="464" numFmtId="0" xfId="0" applyAlignment="1" applyFont="1">
      <alignment vertical="bottom"/>
    </xf>
    <xf quotePrefix="1" borderId="0" fillId="0" fontId="3" numFmtId="16" xfId="0" applyAlignment="1" applyFont="1" applyNumberFormat="1">
      <alignment vertical="bottom"/>
    </xf>
    <xf borderId="0" fillId="0" fontId="466" numFmtId="0" xfId="0" applyAlignment="1" applyFont="1">
      <alignment readingOrder="0"/>
    </xf>
    <xf borderId="0" fillId="0" fontId="161" numFmtId="0" xfId="0" applyAlignment="1" applyFont="1">
      <alignment readingOrder="0"/>
    </xf>
    <xf borderId="0" fillId="0" fontId="457" numFmtId="0" xfId="0" applyAlignment="1" applyFont="1">
      <alignment vertical="bottom"/>
    </xf>
    <xf borderId="0" fillId="0" fontId="467" numFmtId="0" xfId="0" applyAlignment="1" applyFont="1">
      <alignment vertical="bottom"/>
    </xf>
    <xf borderId="0" fillId="0" fontId="296" numFmtId="0" xfId="0" applyAlignment="1" applyFont="1">
      <alignment vertical="bottom"/>
    </xf>
    <xf borderId="0" fillId="0" fontId="468" numFmtId="0" xfId="0" applyAlignment="1" applyFont="1">
      <alignment vertical="bottom"/>
    </xf>
    <xf borderId="0" fillId="0" fontId="52" numFmtId="0" xfId="0" applyAlignment="1" applyFont="1">
      <alignment horizontal="right" vertical="bottom"/>
    </xf>
    <xf borderId="0" fillId="0" fontId="52" numFmtId="0" xfId="0" applyAlignment="1" applyFont="1">
      <alignment vertical="bottom"/>
    </xf>
    <xf borderId="0" fillId="0" fontId="463" numFmtId="0" xfId="0" applyAlignment="1" applyFont="1">
      <alignment vertical="bottom"/>
    </xf>
    <xf borderId="0" fillId="0" fontId="469" numFmtId="0" xfId="0" applyAlignment="1" applyFont="1">
      <alignment readingOrder="0" vertical="bottom"/>
    </xf>
    <xf quotePrefix="1" borderId="0" fillId="0" fontId="3" numFmtId="0" xfId="0" applyAlignment="1" applyFont="1">
      <alignment vertical="bottom"/>
    </xf>
    <xf borderId="0" fillId="46" fontId="5" numFmtId="0" xfId="0" applyAlignment="1" applyFill="1" applyFont="1">
      <alignment readingOrder="0" vertical="bottom"/>
    </xf>
    <xf borderId="0" fillId="3" fontId="3" numFmtId="165" xfId="0" applyAlignment="1" applyFont="1" applyNumberFormat="1">
      <alignment vertical="bottom"/>
    </xf>
    <xf borderId="0" fillId="3" fontId="3" numFmtId="168" xfId="0" applyAlignment="1" applyFont="1" applyNumberFormat="1">
      <alignment horizontal="right" readingOrder="0" vertical="bottom"/>
    </xf>
    <xf borderId="0" fillId="3" fontId="3" numFmtId="2" xfId="0" applyAlignment="1" applyFont="1" applyNumberFormat="1">
      <alignment horizontal="right" vertical="bottom"/>
    </xf>
    <xf borderId="0" fillId="3" fontId="3" numFmtId="11" xfId="0" applyAlignment="1" applyFont="1" applyNumberFormat="1">
      <alignment horizontal="right" readingOrder="0" vertical="bottom"/>
    </xf>
    <xf borderId="0" fillId="42" fontId="3" numFmtId="0" xfId="0" applyAlignment="1" applyFont="1">
      <alignment horizontal="right" vertical="bottom"/>
    </xf>
    <xf borderId="0" fillId="5" fontId="3" numFmtId="2" xfId="0" applyAlignment="1" applyFont="1" applyNumberFormat="1">
      <alignment horizontal="right" vertical="bottom"/>
    </xf>
    <xf borderId="0" fillId="20" fontId="48" numFmtId="0" xfId="0" applyAlignment="1" applyFont="1">
      <alignment horizontal="right" vertical="bottom"/>
    </xf>
    <xf borderId="0" fillId="20" fontId="5" numFmtId="2" xfId="0" applyAlignment="1" applyFont="1" applyNumberFormat="1">
      <alignment horizontal="right" vertical="bottom"/>
    </xf>
    <xf borderId="0" fillId="20" fontId="3" numFmtId="2" xfId="0" applyAlignment="1" applyFont="1" applyNumberFormat="1">
      <alignment horizontal="right" vertical="bottom"/>
    </xf>
    <xf borderId="0" fillId="0" fontId="5" numFmtId="3" xfId="0" applyAlignment="1" applyFont="1" applyNumberFormat="1">
      <alignment horizontal="right" readingOrder="0" shrinkToFit="0" vertical="bottom" wrapText="0"/>
    </xf>
    <xf borderId="0" fillId="2" fontId="10" numFmtId="0" xfId="0" applyAlignment="1" applyFont="1">
      <alignment readingOrder="0"/>
    </xf>
    <xf borderId="0" fillId="2" fontId="10" numFmtId="0" xfId="0" applyFont="1"/>
    <xf borderId="0" fillId="2" fontId="5" numFmtId="0" xfId="0" applyAlignment="1" applyFont="1">
      <alignment vertical="bottom"/>
    </xf>
    <xf borderId="0" fillId="2" fontId="3" numFmtId="0" xfId="0" applyAlignment="1" applyFont="1">
      <alignment vertical="bottom"/>
    </xf>
    <xf borderId="0" fillId="2" fontId="3" numFmtId="165" xfId="0" applyAlignment="1" applyFont="1" applyNumberFormat="1">
      <alignment vertical="bottom"/>
    </xf>
    <xf borderId="0" fillId="2" fontId="470" numFmtId="0" xfId="0" applyAlignment="1" applyFont="1">
      <alignment readingOrder="0" vertical="bottom"/>
    </xf>
    <xf borderId="0" fillId="2" fontId="471" numFmtId="0" xfId="0" applyAlignment="1" applyFont="1">
      <alignment vertical="bottom"/>
    </xf>
    <xf borderId="0" fillId="2" fontId="3" numFmtId="0" xfId="0" applyAlignment="1" applyFont="1">
      <alignment horizontal="right" readingOrder="0" vertical="bottom"/>
    </xf>
    <xf borderId="0" fillId="2" fontId="3" numFmtId="0" xfId="0" applyAlignment="1" applyFont="1">
      <alignment horizontal="right" vertical="bottom"/>
    </xf>
    <xf borderId="0" fillId="2" fontId="5" numFmtId="0" xfId="0" applyAlignment="1" applyFont="1">
      <alignment horizontal="right" vertical="bottom"/>
    </xf>
    <xf borderId="0" fillId="2" fontId="3" numFmtId="11" xfId="0" applyAlignment="1" applyFont="1" applyNumberFormat="1">
      <alignment readingOrder="0" vertical="bottom"/>
    </xf>
    <xf borderId="0" fillId="2" fontId="472" numFmtId="0" xfId="0" applyAlignment="1" applyFont="1">
      <alignment vertical="bottom"/>
    </xf>
    <xf borderId="0" fillId="28" fontId="473" numFmtId="0" xfId="0" applyAlignment="1" applyFont="1">
      <alignment vertical="bottom"/>
    </xf>
    <xf borderId="0" fillId="0" fontId="3" numFmtId="11" xfId="0" applyAlignment="1" applyFont="1" applyNumberFormat="1">
      <alignment horizontal="right" readingOrder="0" vertical="bottom"/>
    </xf>
    <xf borderId="0" fillId="29" fontId="3" numFmtId="165" xfId="0" applyAlignment="1" applyFont="1" applyNumberFormat="1">
      <alignment vertical="bottom"/>
    </xf>
    <xf borderId="0" fillId="29" fontId="3" numFmtId="165" xfId="0" applyAlignment="1" applyFont="1" applyNumberFormat="1">
      <alignment horizontal="right" readingOrder="0" vertical="bottom"/>
    </xf>
    <xf borderId="0" fillId="0" fontId="126" numFmtId="3" xfId="0" applyAlignment="1" applyFont="1" applyNumberFormat="1">
      <alignment horizontal="right" readingOrder="0" shrinkToFit="0" vertical="bottom" wrapText="0"/>
    </xf>
    <xf borderId="0" fillId="29" fontId="3" numFmtId="2" xfId="0" applyAlignment="1" applyFont="1" applyNumberFormat="1">
      <alignment horizontal="right" vertical="bottom"/>
    </xf>
    <xf borderId="0" fillId="0" fontId="3" numFmtId="3" xfId="0" applyAlignment="1" applyFont="1" applyNumberFormat="1">
      <alignment readingOrder="0" vertical="bottom"/>
    </xf>
    <xf borderId="0" fillId="0" fontId="5" numFmtId="2" xfId="0" applyAlignment="1" applyFont="1" applyNumberFormat="1">
      <alignment horizontal="right" vertical="bottom"/>
    </xf>
    <xf quotePrefix="1" borderId="0" fillId="0" fontId="3" numFmtId="0" xfId="0" applyAlignment="1" applyFont="1">
      <alignment horizontal="right" readingOrder="0" vertical="bottom"/>
    </xf>
    <xf borderId="0" fillId="21" fontId="5" numFmtId="11" xfId="0" applyAlignment="1" applyFont="1" applyNumberFormat="1">
      <alignment horizontal="right" readingOrder="0" vertical="bottom"/>
    </xf>
    <xf borderId="0" fillId="42" fontId="5" numFmtId="11" xfId="0" applyAlignment="1" applyFont="1" applyNumberFormat="1">
      <alignment horizontal="right" readingOrder="0" vertical="bottom"/>
    </xf>
    <xf borderId="0" fillId="4" fontId="5" numFmtId="3" xfId="0" applyAlignment="1" applyFont="1" applyNumberFormat="1">
      <alignment horizontal="right" readingOrder="0" shrinkToFit="0" vertical="bottom" wrapText="0"/>
    </xf>
    <xf borderId="0" fillId="0" fontId="5" numFmtId="170" xfId="0" applyAlignment="1" applyFont="1" applyNumberFormat="1">
      <alignment horizontal="right" vertical="bottom"/>
    </xf>
    <xf borderId="0" fillId="3" fontId="3" numFmtId="165" xfId="0" applyAlignment="1" applyFont="1" applyNumberFormat="1">
      <alignment horizontal="right" vertical="bottom"/>
    </xf>
    <xf borderId="0" fillId="3" fontId="5" numFmtId="165" xfId="0" applyAlignment="1" applyFont="1" applyNumberFormat="1">
      <alignment vertical="bottom"/>
    </xf>
    <xf borderId="0" fillId="3" fontId="474" numFmtId="0" xfId="0" applyAlignment="1" applyFont="1">
      <alignment readingOrder="0" vertical="bottom"/>
    </xf>
    <xf borderId="0" fillId="3" fontId="475" numFmtId="0" xfId="0" applyAlignment="1" applyFont="1">
      <alignment vertical="bottom"/>
    </xf>
    <xf borderId="0" fillId="42" fontId="3" numFmtId="165" xfId="0" applyAlignment="1" applyFont="1" applyNumberFormat="1">
      <alignment horizontal="right" vertical="bottom"/>
    </xf>
    <xf borderId="0" fillId="0" fontId="476" numFmtId="0" xfId="0" applyAlignment="1" applyFont="1">
      <alignment readingOrder="0"/>
    </xf>
    <xf borderId="0" fillId="42" fontId="477" numFmtId="0" xfId="0" applyAlignment="1" applyFont="1">
      <alignment vertical="bottom"/>
    </xf>
    <xf borderId="0" fillId="4" fontId="3" numFmtId="0" xfId="0" applyAlignment="1" applyFont="1">
      <alignment readingOrder="0" vertical="bottom"/>
    </xf>
    <xf borderId="0" fillId="4" fontId="478" numFmtId="0" xfId="0" applyAlignment="1" applyFont="1">
      <alignment vertical="bottom"/>
    </xf>
    <xf borderId="0" fillId="5" fontId="476" numFmtId="0" xfId="0" applyAlignment="1" applyFont="1">
      <alignment readingOrder="0"/>
    </xf>
    <xf borderId="0" fillId="0" fontId="28" numFmtId="0" xfId="0" applyAlignment="1" applyFont="1">
      <alignment readingOrder="0"/>
    </xf>
    <xf borderId="0" fillId="34" fontId="5" numFmtId="165" xfId="0" applyAlignment="1" applyFont="1" applyNumberFormat="1">
      <alignment readingOrder="0" vertical="bottom"/>
    </xf>
    <xf borderId="0" fillId="34" fontId="479" numFmtId="0" xfId="0" applyAlignment="1" applyFont="1">
      <alignment vertical="bottom"/>
    </xf>
    <xf borderId="0" fillId="42" fontId="480" numFmtId="0" xfId="0" applyAlignment="1" applyFont="1">
      <alignment vertical="bottom"/>
    </xf>
    <xf quotePrefix="1" borderId="0" fillId="20" fontId="3" numFmtId="0" xfId="0" applyAlignment="1" applyFont="1">
      <alignment horizontal="right" readingOrder="0" vertical="bottom"/>
    </xf>
    <xf borderId="0" fillId="4" fontId="5" numFmtId="165" xfId="0" applyAlignment="1" applyFont="1" applyNumberFormat="1">
      <alignment readingOrder="0" vertical="bottom"/>
    </xf>
    <xf borderId="0" fillId="35" fontId="3" numFmtId="165" xfId="0" applyAlignment="1" applyFont="1" applyNumberFormat="1">
      <alignment horizontal="right" vertical="bottom"/>
    </xf>
    <xf borderId="0" fillId="3" fontId="481" numFmtId="0" xfId="0" applyAlignment="1" applyFont="1">
      <alignment readingOrder="0" vertical="bottom"/>
    </xf>
    <xf borderId="0" fillId="35" fontId="482" numFmtId="0" xfId="0" applyAlignment="1" applyFont="1">
      <alignment readingOrder="0" vertical="bottom"/>
    </xf>
    <xf borderId="0" fillId="0" fontId="483" numFmtId="0" xfId="0" applyAlignment="1" applyFont="1">
      <alignment readingOrder="0"/>
    </xf>
    <xf borderId="0" fillId="3" fontId="28" numFmtId="0" xfId="0" applyAlignment="1" applyFont="1">
      <alignment readingOrder="0"/>
    </xf>
    <xf borderId="0" fillId="3" fontId="484" numFmtId="0" xfId="0" applyAlignment="1" applyFont="1">
      <alignment readingOrder="0"/>
    </xf>
    <xf borderId="0" fillId="42" fontId="485" numFmtId="0" xfId="0" applyAlignment="1" applyFont="1">
      <alignment readingOrder="0" vertical="bottom"/>
    </xf>
    <xf borderId="0" fillId="4" fontId="486" numFmtId="0" xfId="0" applyAlignment="1" applyFont="1">
      <alignment readingOrder="0" vertical="bottom"/>
    </xf>
    <xf borderId="6" fillId="0" fontId="3" numFmtId="0" xfId="0" applyAlignment="1" applyBorder="1" applyFont="1">
      <alignment shrinkToFit="0" vertical="top" wrapText="1"/>
    </xf>
    <xf borderId="7" fillId="0" fontId="487" numFmtId="0" xfId="0" applyAlignment="1" applyBorder="1" applyFont="1">
      <alignment shrinkToFit="0" vertical="top" wrapText="1"/>
    </xf>
    <xf borderId="6" fillId="0" fontId="488" numFmtId="0" xfId="0" applyAlignment="1" applyBorder="1" applyFont="1">
      <alignment shrinkToFit="0" vertical="top" wrapText="1"/>
    </xf>
    <xf borderId="6" fillId="0" fontId="489" numFmtId="0" xfId="0" applyAlignment="1" applyBorder="1" applyFont="1">
      <alignment shrinkToFit="0" vertical="top" wrapText="1"/>
    </xf>
    <xf borderId="7" fillId="0" fontId="3" numFmtId="0" xfId="0" applyAlignment="1" applyBorder="1" applyFont="1">
      <alignment shrinkToFit="0" vertical="top" wrapText="1"/>
    </xf>
    <xf borderId="0" fillId="27" fontId="3" numFmtId="165" xfId="0" applyAlignment="1" applyFont="1" applyNumberFormat="1">
      <alignment readingOrder="0" vertical="bottom"/>
    </xf>
    <xf borderId="0" fillId="27" fontId="3" numFmtId="165" xfId="0" applyAlignment="1" applyFont="1" applyNumberFormat="1">
      <alignment horizontal="right" readingOrder="0" vertical="bottom"/>
    </xf>
    <xf borderId="0" fillId="27" fontId="490" numFmtId="0" xfId="0" applyAlignment="1" applyFont="1">
      <alignment readingOrder="0" shrinkToFit="0" vertical="top" wrapText="1"/>
    </xf>
    <xf borderId="0" fillId="27" fontId="5" numFmtId="0" xfId="0" applyAlignment="1" applyFont="1">
      <alignment horizontal="right" readingOrder="0" vertical="bottom"/>
    </xf>
    <xf borderId="0" fillId="27" fontId="491" numFmtId="0" xfId="0" applyAlignment="1" applyFont="1">
      <alignment readingOrder="0" vertical="bottom"/>
    </xf>
    <xf borderId="0" fillId="16" fontId="492" numFmtId="0" xfId="0" applyAlignment="1" applyFont="1">
      <alignment readingOrder="0" shrinkToFit="0" vertical="top" wrapText="1"/>
    </xf>
    <xf borderId="0" fillId="13" fontId="493" numFmtId="0" xfId="0" applyAlignment="1" applyFont="1">
      <alignment readingOrder="0" shrinkToFit="0" vertical="top" wrapText="1"/>
    </xf>
    <xf borderId="0" fillId="28" fontId="3" numFmtId="165" xfId="0" applyAlignment="1" applyFont="1" applyNumberFormat="1">
      <alignment readingOrder="0" vertical="bottom"/>
    </xf>
    <xf borderId="0" fillId="28" fontId="494" numFmtId="0" xfId="0" applyAlignment="1" applyFont="1">
      <alignment readingOrder="0" shrinkToFit="0" vertical="top" wrapText="1"/>
    </xf>
    <xf borderId="0" fillId="28" fontId="495" numFmtId="0" xfId="0" applyAlignment="1" applyFont="1">
      <alignment readingOrder="0" vertical="bottom"/>
    </xf>
    <xf borderId="0" fillId="3" fontId="3" numFmtId="165" xfId="0" applyAlignment="1" applyFont="1" applyNumberFormat="1">
      <alignment readingOrder="0" vertical="bottom"/>
    </xf>
    <xf borderId="0" fillId="3" fontId="496" numFmtId="0" xfId="0" applyAlignment="1" applyFont="1">
      <alignment readingOrder="0" shrinkToFit="0" vertical="top" wrapText="1"/>
    </xf>
    <xf borderId="6" fillId="16" fontId="497" numFmtId="0" xfId="0" applyAlignment="1" applyBorder="1" applyFont="1">
      <alignment shrinkToFit="0" vertical="top" wrapText="1"/>
    </xf>
    <xf borderId="7" fillId="13" fontId="3" numFmtId="0" xfId="0" applyAlignment="1" applyBorder="1" applyFont="1">
      <alignment shrinkToFit="0" vertical="top" wrapText="1"/>
    </xf>
    <xf borderId="0" fillId="0" fontId="5" numFmtId="0" xfId="0" applyFont="1"/>
    <xf borderId="0" fillId="0" fontId="3" numFmtId="0" xfId="0" applyFont="1"/>
    <xf borderId="0" fillId="0" fontId="3" numFmtId="165" xfId="0" applyAlignment="1" applyFont="1" applyNumberFormat="1">
      <alignment horizontal="right"/>
    </xf>
    <xf borderId="0" fillId="0" fontId="498" numFmtId="0" xfId="0" applyFont="1"/>
    <xf borderId="0" fillId="22" fontId="3" numFmtId="0" xfId="0" applyFont="1"/>
    <xf borderId="6" fillId="16" fontId="499" numFmtId="0" xfId="0" applyBorder="1" applyFont="1"/>
    <xf borderId="0" fillId="37" fontId="5" numFmtId="0" xfId="0" applyFont="1"/>
    <xf borderId="7" fillId="13" fontId="500" numFmtId="0" xfId="0" applyBorder="1" applyFont="1"/>
    <xf borderId="0" fillId="0" fontId="3" numFmtId="0" xfId="0" applyAlignment="1" applyFont="1">
      <alignment horizontal="right"/>
    </xf>
    <xf borderId="0" fillId="0" fontId="5" numFmtId="168" xfId="0" applyAlignment="1" applyFont="1" applyNumberFormat="1">
      <alignment horizontal="right"/>
    </xf>
    <xf borderId="0" fillId="0" fontId="5" numFmtId="0" xfId="0" applyAlignment="1" applyFont="1">
      <alignment horizontal="right"/>
    </xf>
    <xf borderId="0" fillId="0" fontId="5" numFmtId="168" xfId="0" applyFont="1" applyNumberFormat="1"/>
    <xf borderId="6" fillId="20" fontId="501" numFmtId="0" xfId="0" applyAlignment="1" applyBorder="1" applyFont="1">
      <alignment shrinkToFit="0" vertical="top" wrapText="1"/>
    </xf>
    <xf borderId="7" fillId="20" fontId="3" numFmtId="0" xfId="0" applyAlignment="1" applyBorder="1" applyFont="1">
      <alignment shrinkToFit="0" vertical="top" wrapText="1"/>
    </xf>
    <xf borderId="0" fillId="20" fontId="3" numFmtId="168" xfId="0" applyAlignment="1" applyFont="1" applyNumberFormat="1">
      <alignment horizontal="right" vertical="bottom"/>
    </xf>
    <xf borderId="6" fillId="20" fontId="502" numFmtId="0" xfId="0" applyAlignment="1" applyBorder="1" applyFont="1">
      <alignment shrinkToFit="0" vertical="top" wrapText="1"/>
    </xf>
    <xf borderId="7" fillId="20" fontId="503" numFmtId="0" xfId="0" applyAlignment="1" applyBorder="1" applyFont="1">
      <alignment shrinkToFit="0" vertical="top" wrapText="1"/>
    </xf>
    <xf borderId="0" fillId="20" fontId="5" numFmtId="165" xfId="0" applyAlignment="1" applyFont="1" applyNumberFormat="1">
      <alignment horizontal="right" vertical="bottom"/>
    </xf>
    <xf borderId="7" fillId="20" fontId="504" numFmtId="0" xfId="0" applyAlignment="1" applyBorder="1" applyFont="1">
      <alignment shrinkToFit="0" vertical="top" wrapText="1"/>
    </xf>
    <xf borderId="6" fillId="3" fontId="505" numFmtId="0" xfId="0" applyAlignment="1" applyBorder="1" applyFont="1">
      <alignment shrinkToFit="0" vertical="top" wrapText="1"/>
    </xf>
    <xf borderId="7" fillId="3" fontId="506" numFmtId="0" xfId="0" applyAlignment="1" applyBorder="1" applyFont="1">
      <alignment shrinkToFit="0" vertical="top" wrapText="1"/>
    </xf>
    <xf borderId="0" fillId="3" fontId="3" numFmtId="11" xfId="0" applyAlignment="1" applyFont="1" applyNumberFormat="1">
      <alignment readingOrder="0" vertical="bottom"/>
    </xf>
    <xf borderId="0" fillId="3" fontId="507" numFmtId="0" xfId="0" applyAlignment="1" applyFont="1">
      <alignment vertical="bottom"/>
    </xf>
    <xf borderId="0" fillId="0" fontId="4" numFmtId="11" xfId="0" applyAlignment="1" applyFont="1" applyNumberFormat="1">
      <alignment horizontal="right" readingOrder="0" shrinkToFit="0" vertical="bottom" wrapText="0"/>
    </xf>
    <xf borderId="0" fillId="0" fontId="126" numFmtId="0" xfId="0" applyAlignment="1" applyFont="1">
      <alignment horizontal="left" readingOrder="0" shrinkToFit="0" vertical="bottom" wrapText="0"/>
    </xf>
    <xf borderId="0" fillId="0" fontId="4" numFmtId="0" xfId="0" applyAlignment="1" applyFont="1">
      <alignment horizontal="left" readingOrder="0" shrinkToFit="0" vertical="bottom" wrapText="0"/>
    </xf>
    <xf borderId="6" fillId="29" fontId="508" numFmtId="0" xfId="0" applyAlignment="1" applyBorder="1" applyFont="1">
      <alignment shrinkToFit="0" vertical="top" wrapText="1"/>
    </xf>
    <xf borderId="7" fillId="29" fontId="509" numFmtId="0" xfId="0" applyAlignment="1" applyBorder="1" applyFont="1">
      <alignment shrinkToFit="0" vertical="top" wrapText="1"/>
    </xf>
    <xf borderId="6" fillId="27" fontId="510" numFmtId="0" xfId="0" applyAlignment="1" applyBorder="1" applyFont="1">
      <alignment shrinkToFit="0" vertical="top" wrapText="1"/>
    </xf>
    <xf borderId="7" fillId="27" fontId="511" numFmtId="0" xfId="0" applyAlignment="1" applyBorder="1" applyFont="1">
      <alignment shrinkToFit="0" vertical="top" wrapText="1"/>
    </xf>
    <xf borderId="0" fillId="27" fontId="512" numFmtId="0" xfId="0" applyAlignment="1" applyFont="1">
      <alignment vertical="bottom"/>
    </xf>
    <xf borderId="0" fillId="2" fontId="3" numFmtId="165" xfId="0" applyAlignment="1" applyFont="1" applyNumberFormat="1">
      <alignment horizontal="right" vertical="bottom"/>
    </xf>
    <xf borderId="6" fillId="2" fontId="513" numFmtId="0" xfId="0" applyAlignment="1" applyBorder="1" applyFont="1">
      <alignment shrinkToFit="0" vertical="top" wrapText="1"/>
    </xf>
    <xf borderId="7" fillId="2" fontId="514" numFmtId="0" xfId="0" applyAlignment="1" applyBorder="1" applyFont="1">
      <alignment shrinkToFit="0" vertical="top" wrapText="1"/>
    </xf>
    <xf borderId="0" fillId="2" fontId="515" numFmtId="0" xfId="0" applyAlignment="1" applyFont="1">
      <alignment vertical="bottom"/>
    </xf>
    <xf borderId="7" fillId="14" fontId="516" numFmtId="0" xfId="0" applyAlignment="1" applyBorder="1" applyFont="1">
      <alignment shrinkToFit="0" vertical="top" wrapText="1"/>
    </xf>
    <xf borderId="0" fillId="42" fontId="3" numFmtId="11" xfId="0" applyAlignment="1" applyFont="1" applyNumberFormat="1">
      <alignment horizontal="right" readingOrder="0" vertical="bottom"/>
    </xf>
    <xf borderId="0" fillId="29" fontId="517" numFmtId="0" xfId="0" applyAlignment="1" applyFont="1">
      <alignment readingOrder="0" vertical="bottom"/>
    </xf>
    <xf borderId="0" fillId="15" fontId="5" numFmtId="165" xfId="0" applyAlignment="1" applyFont="1" applyNumberFormat="1">
      <alignment horizontal="right" shrinkToFit="0" vertical="bottom" wrapText="0"/>
    </xf>
    <xf borderId="0" fillId="15" fontId="518" numFmtId="0" xfId="0" applyAlignment="1" applyFont="1">
      <alignment readingOrder="0" vertical="bottom"/>
    </xf>
    <xf borderId="0" fillId="15" fontId="519" numFmtId="0" xfId="0" applyAlignment="1" applyFont="1">
      <alignment readingOrder="0" shrinkToFit="0" vertical="bottom" wrapText="0"/>
    </xf>
    <xf borderId="0" fillId="15" fontId="5" numFmtId="168" xfId="0" applyAlignment="1" applyFont="1" applyNumberFormat="1">
      <alignment vertical="bottom"/>
    </xf>
    <xf borderId="0" fillId="15" fontId="5" numFmtId="165" xfId="0" applyAlignment="1" applyFont="1" applyNumberFormat="1">
      <alignment vertical="bottom"/>
    </xf>
    <xf borderId="0" fillId="8" fontId="50" numFmtId="0" xfId="0" applyAlignment="1" applyFont="1">
      <alignment shrinkToFit="0" vertical="bottom" wrapText="0"/>
    </xf>
    <xf borderId="0" fillId="8" fontId="3" numFmtId="0" xfId="0" applyAlignment="1" applyFont="1">
      <alignment shrinkToFit="0" vertical="bottom" wrapText="0"/>
    </xf>
    <xf borderId="0" fillId="8" fontId="5" numFmtId="0" xfId="0" applyAlignment="1" applyFont="1">
      <alignment shrinkToFit="0" vertical="bottom" wrapText="0"/>
    </xf>
    <xf borderId="0" fillId="8" fontId="5" numFmtId="165" xfId="0" applyAlignment="1" applyFont="1" applyNumberFormat="1">
      <alignment horizontal="right" shrinkToFit="0" vertical="bottom" wrapText="0"/>
    </xf>
    <xf borderId="0" fillId="8" fontId="5" numFmtId="0" xfId="0" applyAlignment="1" applyFont="1">
      <alignment vertical="bottom"/>
    </xf>
    <xf borderId="0" fillId="8" fontId="520" numFmtId="0" xfId="0" applyAlignment="1" applyFont="1">
      <alignment readingOrder="0" vertical="bottom"/>
    </xf>
    <xf borderId="0" fillId="8" fontId="3" numFmtId="0" xfId="0" applyAlignment="1" applyFont="1">
      <alignment horizontal="right" shrinkToFit="0" vertical="bottom" wrapText="0"/>
    </xf>
    <xf borderId="0" fillId="8" fontId="3" numFmtId="165" xfId="0" applyAlignment="1" applyFont="1" applyNumberFormat="1">
      <alignment vertical="bottom"/>
    </xf>
    <xf borderId="0" fillId="8" fontId="5" numFmtId="165" xfId="0" applyAlignment="1" applyFont="1" applyNumberFormat="1">
      <alignment vertical="bottom"/>
    </xf>
    <xf borderId="0" fillId="8" fontId="3" numFmtId="165" xfId="0" applyAlignment="1" applyFont="1" applyNumberFormat="1">
      <alignment horizontal="right" vertical="bottom"/>
    </xf>
    <xf borderId="0" fillId="8" fontId="3" numFmtId="0" xfId="0" applyAlignment="1" applyFont="1">
      <alignment horizontal="right" vertical="bottom"/>
    </xf>
    <xf borderId="0" fillId="8" fontId="521" numFmtId="0" xfId="0" applyAlignment="1" applyFont="1">
      <alignment vertical="bottom"/>
    </xf>
    <xf borderId="0" fillId="8" fontId="522" numFmtId="0" xfId="0" applyAlignment="1" applyFont="1">
      <alignment horizontal="right" vertical="bottom"/>
    </xf>
    <xf borderId="0" fillId="8" fontId="3" numFmtId="168" xfId="0" applyAlignment="1" applyFont="1" applyNumberFormat="1">
      <alignment horizontal="right" vertical="bottom"/>
    </xf>
    <xf borderId="0" fillId="8" fontId="523" numFmtId="0" xfId="0" applyAlignment="1" applyFont="1">
      <alignment vertical="bottom"/>
    </xf>
    <xf borderId="0" fillId="8" fontId="5" numFmtId="168" xfId="0" applyAlignment="1" applyFont="1" applyNumberFormat="1">
      <alignment vertical="bottom"/>
    </xf>
    <xf borderId="0" fillId="0" fontId="3" numFmtId="180" xfId="0" applyAlignment="1" applyFont="1" applyNumberFormat="1">
      <alignment horizontal="right" vertical="bottom"/>
    </xf>
    <xf borderId="0" fillId="20" fontId="3" numFmtId="0" xfId="0" applyAlignment="1" applyFont="1">
      <alignment shrinkToFit="0" vertical="bottom" wrapText="1"/>
    </xf>
    <xf borderId="0" fillId="20" fontId="524" numFmtId="0" xfId="0" applyAlignment="1" applyFont="1">
      <alignment readingOrder="0" vertical="bottom"/>
    </xf>
    <xf borderId="0" fillId="20" fontId="525" numFmtId="0" xfId="0" applyAlignment="1" applyFont="1">
      <alignment readingOrder="0" shrinkToFit="0" vertical="bottom" wrapText="1"/>
    </xf>
    <xf borderId="0" fillId="0" fontId="50" numFmtId="0" xfId="0" applyAlignment="1" applyFont="1">
      <alignment shrinkToFit="0" vertical="bottom" wrapText="0"/>
    </xf>
    <xf borderId="0" fillId="0" fontId="48" numFmtId="0" xfId="0" applyAlignment="1" applyFont="1">
      <alignment shrinkToFit="0" vertical="bottom" wrapText="0"/>
    </xf>
    <xf borderId="0" fillId="0" fontId="50" numFmtId="165" xfId="0" applyAlignment="1" applyFont="1" applyNumberFormat="1">
      <alignment horizontal="right" shrinkToFit="0" vertical="bottom" wrapText="0"/>
    </xf>
    <xf borderId="0" fillId="20" fontId="48" numFmtId="0" xfId="0" applyAlignment="1" applyFont="1">
      <alignment shrinkToFit="0" vertical="bottom" wrapText="0"/>
    </xf>
    <xf borderId="0" fillId="20" fontId="48" numFmtId="0" xfId="0" applyAlignment="1" applyFont="1">
      <alignment readingOrder="0" shrinkToFit="0" vertical="bottom" wrapText="0"/>
    </xf>
    <xf borderId="0" fillId="22" fontId="48" numFmtId="0" xfId="0" applyAlignment="1" applyFont="1">
      <alignment shrinkToFit="0" vertical="bottom" wrapText="0"/>
    </xf>
    <xf borderId="0" fillId="0" fontId="48" numFmtId="0" xfId="0" applyAlignment="1" applyFont="1">
      <alignment horizontal="right" shrinkToFit="0" vertical="bottom" wrapText="0"/>
    </xf>
    <xf borderId="0" fillId="0" fontId="50" numFmtId="0" xfId="0" applyAlignment="1" applyFont="1">
      <alignment horizontal="right" shrinkToFit="0" vertical="bottom" wrapText="0"/>
    </xf>
    <xf borderId="0" fillId="2" fontId="3" numFmtId="180" xfId="0" applyAlignment="1" applyFont="1" applyNumberFormat="1">
      <alignment horizontal="right" vertical="bottom"/>
    </xf>
    <xf borderId="0" fillId="2" fontId="3" numFmtId="0" xfId="0" applyAlignment="1" applyFont="1">
      <alignment shrinkToFit="0" vertical="bottom" wrapText="1"/>
    </xf>
    <xf borderId="0" fillId="2" fontId="526" numFmtId="0" xfId="0" applyAlignment="1" applyFont="1">
      <alignment readingOrder="0" vertical="bottom"/>
    </xf>
    <xf borderId="0" fillId="2" fontId="527" numFmtId="0" xfId="0" applyAlignment="1" applyFont="1">
      <alignment vertical="bottom"/>
    </xf>
    <xf quotePrefix="1" borderId="0" fillId="2" fontId="5" numFmtId="0" xfId="0" applyAlignment="1" applyFont="1">
      <alignment vertical="bottom"/>
    </xf>
    <xf borderId="0" fillId="2" fontId="528" numFmtId="0" xfId="0" applyAlignment="1" applyFont="1">
      <alignment vertical="bottom"/>
    </xf>
    <xf borderId="0" fillId="2" fontId="5" numFmtId="0" xfId="0" applyAlignment="1" applyFont="1">
      <alignment shrinkToFit="0" vertical="bottom" wrapText="0"/>
    </xf>
    <xf borderId="0" fillId="2" fontId="3" numFmtId="0" xfId="0" applyAlignment="1" applyFont="1">
      <alignment shrinkToFit="0" vertical="bottom" wrapText="0"/>
    </xf>
    <xf borderId="0" fillId="2" fontId="5" numFmtId="165" xfId="0" applyAlignment="1" applyFont="1" applyNumberFormat="1">
      <alignment horizontal="right" shrinkToFit="0" vertical="bottom" wrapText="0"/>
    </xf>
    <xf borderId="0" fillId="2" fontId="5" numFmtId="165" xfId="0" applyAlignment="1" applyFont="1" applyNumberFormat="1">
      <alignment vertical="bottom"/>
    </xf>
    <xf borderId="0" fillId="2" fontId="3" numFmtId="0" xfId="0" applyAlignment="1" applyFont="1">
      <alignment horizontal="right" shrinkToFit="0" vertical="bottom" wrapText="0"/>
    </xf>
    <xf borderId="0" fillId="2" fontId="529" numFmtId="0" xfId="0" applyAlignment="1" applyFont="1">
      <alignment shrinkToFit="0" vertical="bottom" wrapText="0"/>
    </xf>
    <xf borderId="0" fillId="2" fontId="5" numFmtId="172" xfId="0" applyAlignment="1" applyFont="1" applyNumberFormat="1">
      <alignment horizontal="right" shrinkToFit="0" vertical="bottom" wrapText="0"/>
    </xf>
    <xf borderId="0" fillId="2" fontId="5" numFmtId="0" xfId="0" applyAlignment="1" applyFont="1">
      <alignment horizontal="right" shrinkToFit="0" vertical="bottom" wrapText="0"/>
    </xf>
    <xf borderId="0" fillId="22" fontId="3" numFmtId="0" xfId="0" applyAlignment="1" applyFont="1">
      <alignment shrinkToFit="0" vertical="bottom" wrapText="1"/>
    </xf>
    <xf borderId="0" fillId="22" fontId="530" numFmtId="0" xfId="0" applyAlignment="1" applyFont="1">
      <alignment readingOrder="0" vertical="bottom"/>
    </xf>
    <xf borderId="0" fillId="0" fontId="5" numFmtId="165" xfId="0" applyAlignment="1" applyFont="1" applyNumberFormat="1">
      <alignment horizontal="right" shrinkToFit="0" vertical="bottom" wrapText="0"/>
    </xf>
    <xf borderId="0" fillId="0" fontId="5" numFmtId="0" xfId="0" applyAlignment="1" applyFont="1">
      <alignment horizontal="right" shrinkToFit="0" vertical="bottom" wrapText="0"/>
    </xf>
    <xf borderId="0" fillId="0" fontId="5" numFmtId="179" xfId="0" applyAlignment="1" applyFont="1" applyNumberFormat="1">
      <alignment vertical="bottom"/>
    </xf>
    <xf borderId="0" fillId="0" fontId="3" numFmtId="168" xfId="0" applyAlignment="1" applyFont="1" applyNumberFormat="1">
      <alignment vertical="bottom"/>
    </xf>
    <xf borderId="0" fillId="22" fontId="531" numFmtId="0" xfId="0" applyAlignment="1" applyFont="1">
      <alignment shrinkToFit="0" vertical="bottom" wrapText="1"/>
    </xf>
    <xf borderId="0" fillId="45" fontId="5" numFmtId="0" xfId="0" applyAlignment="1" applyFont="1">
      <alignment shrinkToFit="0" vertical="bottom" wrapText="0"/>
    </xf>
    <xf borderId="0" fillId="45" fontId="3" numFmtId="0" xfId="0" applyAlignment="1" applyFont="1">
      <alignment shrinkToFit="0" vertical="bottom" wrapText="0"/>
    </xf>
    <xf borderId="0" fillId="45" fontId="5" numFmtId="165" xfId="0" applyAlignment="1" applyFont="1" applyNumberFormat="1">
      <alignment horizontal="right" shrinkToFit="0" vertical="bottom" wrapText="0"/>
    </xf>
    <xf borderId="0" fillId="45" fontId="5" numFmtId="165" xfId="0" applyAlignment="1" applyFont="1" applyNumberFormat="1">
      <alignment vertical="bottom"/>
    </xf>
    <xf borderId="0" fillId="45" fontId="532" numFmtId="0" xfId="0" applyAlignment="1" applyFont="1">
      <alignment readingOrder="0" vertical="bottom"/>
    </xf>
    <xf borderId="0" fillId="45" fontId="3" numFmtId="0" xfId="0" applyAlignment="1" applyFont="1">
      <alignment horizontal="right" shrinkToFit="0" vertical="bottom" wrapText="0"/>
    </xf>
    <xf borderId="0" fillId="45" fontId="5" numFmtId="0" xfId="0" applyAlignment="1" applyFont="1">
      <alignment horizontal="right" shrinkToFit="0" vertical="bottom" wrapText="0"/>
    </xf>
    <xf borderId="0" fillId="45" fontId="3" numFmtId="165" xfId="0" applyAlignment="1" applyFont="1" applyNumberFormat="1">
      <alignment vertical="bottom"/>
    </xf>
    <xf borderId="0" fillId="45" fontId="3" numFmtId="180" xfId="0" applyAlignment="1" applyFont="1" applyNumberFormat="1">
      <alignment horizontal="right" vertical="bottom"/>
    </xf>
    <xf borderId="0" fillId="45" fontId="3" numFmtId="0" xfId="0" applyAlignment="1" applyFont="1">
      <alignment shrinkToFit="0" vertical="bottom" wrapText="1"/>
    </xf>
    <xf borderId="0" fillId="45" fontId="533" numFmtId="0" xfId="0" applyAlignment="1" applyFont="1">
      <alignment shrinkToFit="0" vertical="bottom" wrapText="1"/>
    </xf>
    <xf borderId="0" fillId="45" fontId="534" numFmtId="0" xfId="0" applyAlignment="1" applyFont="1">
      <alignment vertical="bottom"/>
    </xf>
    <xf quotePrefix="1" borderId="0" fillId="45" fontId="5" numFmtId="0" xfId="0" applyAlignment="1" applyFont="1">
      <alignment vertical="bottom"/>
    </xf>
    <xf borderId="0" fillId="2" fontId="5" numFmtId="165" xfId="0" applyAlignment="1" applyFont="1" applyNumberFormat="1">
      <alignment readingOrder="0" vertical="bottom"/>
    </xf>
    <xf borderId="0" fillId="0" fontId="535" numFmtId="0" xfId="0" applyAlignment="1" applyFont="1">
      <alignment vertical="bottom"/>
    </xf>
    <xf borderId="0" fillId="2" fontId="536" numFmtId="0" xfId="0" applyAlignment="1" applyFont="1">
      <alignment readingOrder="0" shrinkToFit="0" vertical="bottom" wrapText="1"/>
    </xf>
    <xf borderId="0" fillId="2" fontId="537" numFmtId="0" xfId="0" applyAlignment="1" applyFont="1">
      <alignment readingOrder="0" vertical="bottom"/>
    </xf>
    <xf borderId="0" fillId="2" fontId="5" numFmtId="3" xfId="0" applyAlignment="1" applyFont="1" applyNumberFormat="1">
      <alignment horizontal="right" vertical="bottom"/>
    </xf>
    <xf borderId="0" fillId="2" fontId="5" numFmtId="181" xfId="0" applyAlignment="1" applyFont="1" applyNumberFormat="1">
      <alignment vertical="bottom"/>
    </xf>
    <xf borderId="0" fillId="20" fontId="3" numFmtId="180" xfId="0" applyAlignment="1" applyFont="1" applyNumberFormat="1">
      <alignment horizontal="right" vertical="bottom"/>
    </xf>
    <xf borderId="0" fillId="20" fontId="538" numFmtId="0" xfId="0" applyAlignment="1" applyFont="1">
      <alignment shrinkToFit="0" vertical="bottom" wrapText="1"/>
    </xf>
    <xf borderId="6" fillId="16" fontId="539" numFmtId="0" xfId="0" applyAlignment="1" applyBorder="1" applyFont="1">
      <alignment shrinkToFit="0" vertical="top" wrapText="0"/>
    </xf>
    <xf borderId="0" fillId="0" fontId="540" numFmtId="0" xfId="0" applyAlignment="1" applyFont="1">
      <alignment shrinkToFit="0" vertical="bottom" wrapText="1"/>
    </xf>
    <xf borderId="0" fillId="0" fontId="3" numFmtId="1" xfId="0" applyAlignment="1" applyFont="1" applyNumberFormat="1">
      <alignment horizontal="right" shrinkToFit="0" vertical="bottom" wrapText="0"/>
    </xf>
    <xf borderId="0" fillId="0" fontId="3" numFmtId="172" xfId="0" applyAlignment="1" applyFont="1" applyNumberFormat="1">
      <alignment horizontal="right" shrinkToFit="0" vertical="bottom" wrapText="0"/>
    </xf>
    <xf borderId="0" fillId="0" fontId="3" numFmtId="168" xfId="0" applyAlignment="1" applyFont="1" applyNumberFormat="1">
      <alignment horizontal="right" shrinkToFit="0" vertical="bottom" wrapText="0"/>
    </xf>
    <xf borderId="6" fillId="45" fontId="541" numFmtId="0" xfId="0" applyAlignment="1" applyBorder="1" applyFont="1">
      <alignment shrinkToFit="0" vertical="top" wrapText="0"/>
    </xf>
    <xf borderId="0" fillId="45" fontId="3" numFmtId="168" xfId="0" applyAlignment="1" applyFont="1" applyNumberFormat="1">
      <alignment horizontal="right" shrinkToFit="0" vertical="bottom" wrapText="0"/>
    </xf>
    <xf borderId="0" fillId="0" fontId="542" numFmtId="0" xfId="0" applyAlignment="1" applyFont="1">
      <alignment horizontal="right" vertical="bottom"/>
    </xf>
    <xf borderId="6" fillId="16" fontId="543" numFmtId="0" xfId="0" applyAlignment="1" applyBorder="1" applyFont="1">
      <alignment readingOrder="0" shrinkToFit="0" vertical="top" wrapText="1"/>
    </xf>
    <xf borderId="7" fillId="13" fontId="544" numFmtId="0" xfId="0" applyAlignment="1" applyBorder="1" applyFont="1">
      <alignment readingOrder="0" shrinkToFit="0" vertical="top" wrapText="1"/>
    </xf>
    <xf borderId="7" fillId="0" fontId="545" numFmtId="0" xfId="0" applyAlignment="1" applyBorder="1" applyFont="1">
      <alignment readingOrder="0" shrinkToFit="0" vertical="top" wrapText="1"/>
    </xf>
    <xf borderId="0" fillId="31" fontId="330" numFmtId="0" xfId="0" applyFont="1"/>
    <xf borderId="0" fillId="28" fontId="126" numFmtId="0" xfId="0" applyAlignment="1" applyFont="1">
      <alignment vertical="bottom"/>
    </xf>
    <xf borderId="0" fillId="28" fontId="4" numFmtId="0" xfId="0" applyAlignment="1" applyFont="1">
      <alignment vertical="bottom"/>
    </xf>
    <xf borderId="0" fillId="28" fontId="4" numFmtId="165" xfId="0" applyAlignment="1" applyFont="1" applyNumberFormat="1">
      <alignment horizontal="right" vertical="bottom"/>
    </xf>
    <xf borderId="0" fillId="28" fontId="126" numFmtId="165" xfId="0" applyAlignment="1" applyFont="1" applyNumberFormat="1">
      <alignment horizontal="right" readingOrder="0" vertical="bottom"/>
    </xf>
    <xf borderId="0" fillId="28" fontId="126" numFmtId="0" xfId="0" applyAlignment="1" applyFont="1">
      <alignment readingOrder="0" vertical="bottom"/>
    </xf>
    <xf borderId="0" fillId="28" fontId="126" numFmtId="0" xfId="0" applyAlignment="1" applyFont="1">
      <alignment horizontal="right" vertical="bottom"/>
    </xf>
    <xf borderId="6" fillId="28" fontId="546" numFmtId="0" xfId="0" applyAlignment="1" applyBorder="1" applyFont="1">
      <alignment shrinkToFit="0" vertical="top" wrapText="1"/>
    </xf>
    <xf borderId="0" fillId="28" fontId="5" numFmtId="0" xfId="0" applyAlignment="1" applyFont="1">
      <alignment horizontal="right" vertical="bottom"/>
    </xf>
    <xf borderId="7" fillId="28" fontId="547" numFmtId="0" xfId="0" applyAlignment="1" applyBorder="1" applyFont="1">
      <alignment shrinkToFit="0" vertical="top" wrapText="1"/>
    </xf>
    <xf borderId="6" fillId="16" fontId="548" numFmtId="0" xfId="0" applyAlignment="1" applyBorder="1" applyFont="1">
      <alignment shrinkToFit="0" vertical="top" wrapText="1"/>
    </xf>
    <xf borderId="7" fillId="13" fontId="549" numFmtId="0" xfId="0" applyAlignment="1" applyBorder="1" applyFont="1">
      <alignment shrinkToFit="0" vertical="top" wrapText="1"/>
    </xf>
    <xf borderId="7" fillId="0" fontId="550" numFmtId="0" xfId="0" applyAlignment="1" applyBorder="1" applyFont="1">
      <alignment shrinkToFit="0" vertical="top" wrapText="1"/>
    </xf>
    <xf borderId="7" fillId="19" fontId="3" numFmtId="0" xfId="0" applyAlignment="1" applyBorder="1" applyFont="1">
      <alignment shrinkToFit="0" vertical="top" wrapText="1"/>
    </xf>
    <xf borderId="0" fillId="20" fontId="288" numFmtId="0" xfId="0" applyAlignment="1" applyFont="1">
      <alignment vertical="bottom"/>
    </xf>
    <xf borderId="6" fillId="16" fontId="3" numFmtId="0" xfId="0" applyAlignment="1" applyBorder="1" applyFont="1">
      <alignment shrinkToFit="0" vertical="top" wrapText="1"/>
    </xf>
    <xf borderId="0" fillId="27" fontId="5" numFmtId="165" xfId="0" applyAlignment="1" applyFont="1" applyNumberFormat="1">
      <alignment horizontal="right" readingOrder="0" vertical="bottom"/>
    </xf>
    <xf borderId="0" fillId="0" fontId="5" numFmtId="170" xfId="0" applyAlignment="1" applyFont="1" applyNumberFormat="1">
      <alignment horizontal="right" readingOrder="0" vertical="bottom"/>
    </xf>
    <xf borderId="0" fillId="34" fontId="126" numFmtId="0" xfId="0" applyAlignment="1" applyFont="1">
      <alignment vertical="bottom"/>
    </xf>
    <xf borderId="0" fillId="34" fontId="4" numFmtId="0" xfId="0" applyAlignment="1" applyFont="1">
      <alignment vertical="bottom"/>
    </xf>
    <xf borderId="0" fillId="34" fontId="4" numFmtId="165" xfId="0" applyAlignment="1" applyFont="1" applyNumberFormat="1">
      <alignment horizontal="right" vertical="bottom"/>
    </xf>
    <xf borderId="0" fillId="34" fontId="4" numFmtId="0" xfId="0" applyAlignment="1" applyFont="1">
      <alignment readingOrder="0" vertical="bottom"/>
    </xf>
    <xf borderId="0" fillId="34" fontId="126" numFmtId="0" xfId="0" applyAlignment="1" applyFont="1">
      <alignment horizontal="right" vertical="bottom"/>
    </xf>
    <xf borderId="6" fillId="34" fontId="551" numFmtId="0" xfId="0" applyAlignment="1" applyBorder="1" applyFont="1">
      <alignment shrinkToFit="0" vertical="top" wrapText="1"/>
    </xf>
    <xf borderId="0" fillId="34" fontId="552" numFmtId="0" xfId="0" applyAlignment="1" applyFont="1">
      <alignment vertical="bottom"/>
    </xf>
    <xf borderId="0" fillId="34" fontId="5" numFmtId="0" xfId="0" applyAlignment="1" applyFont="1">
      <alignment horizontal="right" vertical="bottom"/>
    </xf>
    <xf borderId="7" fillId="34" fontId="553" numFmtId="0" xfId="0" applyAlignment="1" applyBorder="1" applyFont="1">
      <alignment shrinkToFit="0" vertical="top" wrapText="1"/>
    </xf>
    <xf borderId="0" fillId="34" fontId="554" numFmtId="0" xfId="0" applyAlignment="1" applyFont="1">
      <alignment vertical="bottom"/>
    </xf>
    <xf borderId="0" fillId="34" fontId="79" numFmtId="0" xfId="0" applyAlignment="1" applyFont="1">
      <alignment readingOrder="0" vertical="bottom"/>
    </xf>
    <xf borderId="0" fillId="34" fontId="79" numFmtId="0" xfId="0" applyAlignment="1" applyFont="1">
      <alignment horizontal="right" vertical="bottom"/>
    </xf>
    <xf borderId="0" fillId="34" fontId="79" numFmtId="0" xfId="0" applyAlignment="1" applyFont="1">
      <alignment vertical="bottom"/>
    </xf>
    <xf borderId="0" fillId="34" fontId="79" numFmtId="0" xfId="0" applyAlignment="1" applyFont="1">
      <alignment horizontal="right" readingOrder="0" vertical="bottom"/>
    </xf>
    <xf borderId="0" fillId="34" fontId="555" numFmtId="0" xfId="0" applyAlignment="1" applyFont="1">
      <alignment vertical="bottom"/>
    </xf>
    <xf borderId="0" fillId="16" fontId="556" numFmtId="0" xfId="0" applyAlignment="1" applyFont="1">
      <alignment shrinkToFit="0" vertical="top" wrapText="1"/>
    </xf>
    <xf borderId="0" fillId="13" fontId="557" numFmtId="0" xfId="0" applyAlignment="1" applyFont="1">
      <alignment shrinkToFit="0" vertical="top" wrapText="1"/>
    </xf>
    <xf borderId="0" fillId="16" fontId="558" numFmtId="0" xfId="0" applyAlignment="1" applyFont="1">
      <alignment shrinkToFit="0" vertical="top" wrapText="1"/>
    </xf>
    <xf borderId="0" fillId="20" fontId="559" numFmtId="0" xfId="0" applyAlignment="1" applyFont="1">
      <alignment vertical="bottom"/>
    </xf>
    <xf borderId="0" fillId="19" fontId="560" numFmtId="0" xfId="0" applyAlignment="1" applyFont="1">
      <alignment shrinkToFit="0" vertical="top" wrapText="1"/>
    </xf>
    <xf borderId="7" fillId="19" fontId="561" numFmtId="0" xfId="0" applyAlignment="1" applyBorder="1" applyFont="1">
      <alignment shrinkToFit="0" vertical="top" wrapText="1"/>
    </xf>
    <xf borderId="0" fillId="0" fontId="562" numFmtId="0" xfId="0" applyAlignment="1" applyFont="1">
      <alignment vertical="bottom"/>
    </xf>
    <xf borderId="0" fillId="0" fontId="126" numFmtId="0" xfId="0" applyAlignment="1" applyFont="1">
      <alignment vertical="bottom"/>
    </xf>
    <xf borderId="0" fillId="0" fontId="4" numFmtId="0" xfId="0" applyAlignment="1" applyFont="1">
      <alignment vertical="bottom"/>
    </xf>
    <xf borderId="0" fillId="0" fontId="4" numFmtId="165" xfId="0" applyAlignment="1" applyFont="1" applyNumberFormat="1">
      <alignment horizontal="right" vertical="bottom"/>
    </xf>
    <xf borderId="0" fillId="0" fontId="126" numFmtId="0" xfId="0" applyAlignment="1" applyFont="1">
      <alignment readingOrder="0" vertical="bottom"/>
    </xf>
    <xf borderId="7" fillId="13" fontId="563" numFmtId="0" xfId="0" applyAlignment="1" applyBorder="1" applyFont="1">
      <alignment shrinkToFit="0" vertical="top" wrapText="1"/>
    </xf>
    <xf borderId="6" fillId="16" fontId="564" numFmtId="0" xfId="0" applyAlignment="1" applyBorder="1" applyFont="1">
      <alignment shrinkToFit="0" vertical="top" wrapText="1"/>
    </xf>
    <xf borderId="0" fillId="0" fontId="126" numFmtId="0" xfId="0" applyAlignment="1" applyFont="1">
      <alignment horizontal="right" vertical="bottom"/>
    </xf>
    <xf borderId="0" fillId="0" fontId="565" numFmtId="0" xfId="0" applyAlignment="1" applyFont="1">
      <alignment readingOrder="0" vertical="bottom"/>
    </xf>
    <xf borderId="0" fillId="4" fontId="5" numFmtId="165" xfId="0" applyAlignment="1" applyFont="1" applyNumberFormat="1">
      <alignment horizontal="right" vertical="bottom"/>
    </xf>
    <xf borderId="0" fillId="4" fontId="5" numFmtId="165" xfId="0" applyAlignment="1" applyFont="1" applyNumberFormat="1">
      <alignment vertical="bottom"/>
    </xf>
    <xf borderId="6" fillId="4" fontId="566" numFmtId="0" xfId="0" applyAlignment="1" applyBorder="1" applyFont="1">
      <alignment shrinkToFit="0" vertical="top" wrapText="1"/>
    </xf>
    <xf borderId="7" fillId="4" fontId="567" numFmtId="0" xfId="0" applyAlignment="1" applyBorder="1" applyFont="1">
      <alignment shrinkToFit="0" vertical="top" wrapText="1"/>
    </xf>
    <xf borderId="0" fillId="4" fontId="5" numFmtId="0" xfId="0" applyAlignment="1" applyFont="1">
      <alignment horizontal="right" vertical="bottom"/>
    </xf>
    <xf borderId="0" fillId="4" fontId="5" numFmtId="0" xfId="0" applyAlignment="1" applyFont="1">
      <alignment horizontal="right" readingOrder="0" vertical="bottom"/>
    </xf>
    <xf borderId="0" fillId="4" fontId="5" numFmtId="165" xfId="0" applyAlignment="1" applyFont="1" applyNumberFormat="1">
      <alignment horizontal="right" readingOrder="0" vertical="bottom"/>
    </xf>
    <xf borderId="6" fillId="4" fontId="568" numFmtId="0" xfId="0" applyAlignment="1" applyBorder="1" applyFont="1">
      <alignment shrinkToFit="0" vertical="top" wrapText="1"/>
    </xf>
    <xf borderId="7" fillId="4" fontId="569" numFmtId="0" xfId="0" applyAlignment="1" applyBorder="1" applyFont="1">
      <alignment shrinkToFit="0" vertical="top" wrapText="1"/>
    </xf>
    <xf borderId="0" fillId="21" fontId="5" numFmtId="165" xfId="0" applyAlignment="1" applyFont="1" applyNumberFormat="1">
      <alignment readingOrder="0" vertical="bottom"/>
    </xf>
    <xf borderId="6" fillId="21" fontId="570" numFmtId="0" xfId="0" applyAlignment="1" applyBorder="1" applyFont="1">
      <alignment shrinkToFit="0" vertical="top" wrapText="1"/>
    </xf>
    <xf borderId="7" fillId="21" fontId="571" numFmtId="0" xfId="0" applyAlignment="1" applyBorder="1" applyFont="1">
      <alignment shrinkToFit="0" vertical="top" wrapText="1"/>
    </xf>
    <xf quotePrefix="1" borderId="0" fillId="21" fontId="5" numFmtId="0" xfId="0" applyAlignment="1" applyFont="1">
      <alignment horizontal="right" readingOrder="0" vertical="bottom"/>
    </xf>
    <xf borderId="0" fillId="35" fontId="4" numFmtId="0" xfId="0" applyFont="1"/>
    <xf borderId="0" fillId="35" fontId="5" numFmtId="165" xfId="0" applyAlignment="1" applyFont="1" applyNumberFormat="1">
      <alignment horizontal="right" readingOrder="0" vertical="bottom"/>
    </xf>
    <xf borderId="6" fillId="35" fontId="572" numFmtId="0" xfId="0" applyAlignment="1" applyBorder="1" applyFont="1">
      <alignment shrinkToFit="0" vertical="top" wrapText="1"/>
    </xf>
    <xf borderId="7" fillId="35" fontId="573" numFmtId="0" xfId="0" applyAlignment="1" applyBorder="1" applyFont="1">
      <alignment shrinkToFit="0" vertical="top" wrapText="1"/>
    </xf>
    <xf borderId="0" fillId="35" fontId="5" numFmtId="3" xfId="0" applyAlignment="1" applyFont="1" applyNumberFormat="1">
      <alignment horizontal="right" vertical="bottom"/>
    </xf>
    <xf borderId="0" fillId="35" fontId="574" numFmtId="0" xfId="0" applyAlignment="1" applyFont="1">
      <alignment vertical="bottom"/>
    </xf>
    <xf borderId="6" fillId="23" fontId="575" numFmtId="0" xfId="0" applyAlignment="1" applyBorder="1" applyFont="1">
      <alignment shrinkToFit="0" vertical="top" wrapText="1"/>
    </xf>
    <xf borderId="7" fillId="23" fontId="576" numFmtId="0" xfId="0" applyAlignment="1" applyBorder="1" applyFont="1">
      <alignment shrinkToFit="0" vertical="top" wrapText="1"/>
    </xf>
    <xf borderId="6" fillId="14" fontId="577" numFmtId="0" xfId="0" applyAlignment="1" applyBorder="1" applyFont="1">
      <alignment shrinkToFit="0" vertical="top" wrapText="1"/>
    </xf>
    <xf borderId="7" fillId="14" fontId="578" numFmtId="0" xfId="0" applyAlignment="1" applyBorder="1" applyFont="1">
      <alignment shrinkToFit="0" vertical="top" wrapText="1"/>
    </xf>
    <xf borderId="0" fillId="27" fontId="5" numFmtId="165" xfId="0" applyAlignment="1" applyFont="1" applyNumberFormat="1">
      <alignment horizontal="right" vertical="bottom"/>
    </xf>
    <xf borderId="6" fillId="27" fontId="579" numFmtId="0" xfId="0" applyAlignment="1" applyBorder="1" applyFont="1">
      <alignment shrinkToFit="0" vertical="top" wrapText="1"/>
    </xf>
    <xf borderId="7" fillId="27" fontId="580" numFmtId="0" xfId="0" applyAlignment="1" applyBorder="1" applyFont="1">
      <alignment shrinkToFit="0" vertical="top" wrapText="1"/>
    </xf>
    <xf borderId="0" fillId="27" fontId="581" numFmtId="0" xfId="0" applyAlignment="1" applyFont="1">
      <alignment vertical="bottom"/>
    </xf>
    <xf borderId="0" fillId="35" fontId="5" numFmtId="165" xfId="0" applyAlignment="1" applyFont="1" applyNumberFormat="1">
      <alignment horizontal="right" vertical="bottom"/>
    </xf>
    <xf borderId="0" fillId="35" fontId="5" numFmtId="165" xfId="0" applyAlignment="1" applyFont="1" applyNumberFormat="1">
      <alignment vertical="bottom"/>
    </xf>
    <xf borderId="6" fillId="35" fontId="582" numFmtId="0" xfId="0" applyAlignment="1" applyBorder="1" applyFont="1">
      <alignment shrinkToFit="0" vertical="top" wrapText="1"/>
    </xf>
    <xf borderId="7" fillId="35" fontId="583" numFmtId="0" xfId="0" applyAlignment="1" applyBorder="1" applyFont="1">
      <alignment shrinkToFit="0" vertical="top" wrapText="1"/>
    </xf>
    <xf borderId="0" fillId="8" fontId="5" numFmtId="165" xfId="0" applyAlignment="1" applyFont="1" applyNumberFormat="1">
      <alignment horizontal="right" vertical="bottom"/>
    </xf>
    <xf borderId="6" fillId="8" fontId="584" numFmtId="0" xfId="0" applyAlignment="1" applyBorder="1" applyFont="1">
      <alignment shrinkToFit="0" vertical="top" wrapText="1"/>
    </xf>
    <xf borderId="0" fillId="8" fontId="5" numFmtId="0" xfId="0" applyAlignment="1" applyFont="1">
      <alignment horizontal="right" vertical="bottom"/>
    </xf>
    <xf borderId="7" fillId="8" fontId="585" numFmtId="0" xfId="0" applyAlignment="1" applyBorder="1" applyFont="1">
      <alignment shrinkToFit="0" vertical="top" wrapText="1"/>
    </xf>
    <xf borderId="0" fillId="8" fontId="586" numFmtId="0" xfId="0" applyAlignment="1" applyFont="1">
      <alignment vertical="bottom"/>
    </xf>
    <xf borderId="0" fillId="4" fontId="5" numFmtId="168" xfId="0" applyAlignment="1" applyFont="1" applyNumberFormat="1">
      <alignment vertical="bottom"/>
    </xf>
    <xf borderId="0" fillId="35" fontId="5" numFmtId="170" xfId="0" applyAlignment="1" applyFont="1" applyNumberFormat="1">
      <alignment horizontal="right" vertical="bottom"/>
    </xf>
    <xf borderId="0" fillId="35" fontId="5" numFmtId="4" xfId="0" applyAlignment="1" applyFont="1" applyNumberFormat="1">
      <alignment horizontal="right" vertical="bottom"/>
    </xf>
    <xf borderId="0" fillId="0" fontId="5" numFmtId="4" xfId="0" applyAlignment="1" applyFont="1" applyNumberFormat="1">
      <alignment horizontal="right" vertical="bottom"/>
    </xf>
    <xf borderId="0" fillId="29" fontId="5" numFmtId="165" xfId="0" applyAlignment="1" applyFont="1" applyNumberFormat="1">
      <alignment horizontal="right" vertical="bottom"/>
    </xf>
    <xf borderId="6" fillId="29" fontId="587" numFmtId="0" xfId="0" applyAlignment="1" applyBorder="1" applyFont="1">
      <alignment shrinkToFit="0" vertical="top" wrapText="1"/>
    </xf>
    <xf borderId="7" fillId="29" fontId="588" numFmtId="0" xfId="0" applyAlignment="1" applyBorder="1" applyFont="1">
      <alignment shrinkToFit="0" vertical="top" wrapText="1"/>
    </xf>
    <xf borderId="0" fillId="31" fontId="330" numFmtId="0" xfId="0" applyAlignment="1" applyFont="1">
      <alignment readingOrder="0"/>
    </xf>
    <xf borderId="0" fillId="6" fontId="5" numFmtId="165" xfId="0" applyAlignment="1" applyFont="1" applyNumberFormat="1">
      <alignment horizontal="right" vertical="bottom"/>
    </xf>
    <xf borderId="6" fillId="6" fontId="589" numFmtId="0" xfId="0" applyAlignment="1" applyBorder="1" applyFont="1">
      <alignment shrinkToFit="0" vertical="top" wrapText="1"/>
    </xf>
    <xf borderId="7" fillId="6" fontId="590" numFmtId="0" xfId="0" applyAlignment="1" applyBorder="1" applyFont="1">
      <alignment shrinkToFit="0" vertical="top" wrapText="1"/>
    </xf>
    <xf borderId="0" fillId="6" fontId="5" numFmtId="0" xfId="0" applyAlignment="1" applyFont="1">
      <alignment horizontal="right" readingOrder="0" vertical="bottom"/>
    </xf>
    <xf borderId="0" fillId="6" fontId="5" numFmtId="0" xfId="0" applyAlignment="1" applyFont="1">
      <alignment horizontal="right" vertical="bottom"/>
    </xf>
    <xf borderId="0" fillId="6" fontId="591" numFmtId="0" xfId="0" applyAlignment="1" applyFont="1">
      <alignment vertical="bottom"/>
    </xf>
    <xf borderId="0" fillId="20" fontId="5" numFmtId="165" xfId="0" applyAlignment="1" applyFont="1" applyNumberFormat="1">
      <alignment horizontal="right" readingOrder="0" vertical="bottom"/>
    </xf>
    <xf borderId="0" fillId="31" fontId="126" numFmtId="0" xfId="0" applyAlignment="1" applyFont="1">
      <alignment readingOrder="0" vertical="bottom"/>
    </xf>
    <xf borderId="0" fillId="31" fontId="126" numFmtId="0" xfId="0" applyAlignment="1" applyFont="1">
      <alignment vertical="bottom"/>
    </xf>
    <xf borderId="0" fillId="31" fontId="126" numFmtId="165" xfId="0" applyAlignment="1" applyFont="1" applyNumberFormat="1">
      <alignment horizontal="right" vertical="bottom"/>
    </xf>
    <xf borderId="6" fillId="31" fontId="592" numFmtId="0" xfId="0" applyAlignment="1" applyBorder="1" applyFont="1">
      <alignment shrinkToFit="0" vertical="top" wrapText="1"/>
    </xf>
    <xf borderId="7" fillId="31" fontId="593" numFmtId="0" xfId="0" applyAlignment="1" applyBorder="1" applyFont="1">
      <alignment shrinkToFit="0" vertical="top" wrapText="1"/>
    </xf>
    <xf borderId="0" fillId="31" fontId="126" numFmtId="0" xfId="0" applyAlignment="1" applyFont="1">
      <alignment horizontal="right" vertical="bottom"/>
    </xf>
    <xf borderId="0" fillId="31" fontId="594" numFmtId="0" xfId="0" applyAlignment="1" applyFont="1">
      <alignment vertical="bottom"/>
    </xf>
    <xf borderId="6" fillId="21" fontId="595" numFmtId="0" xfId="0" applyAlignment="1" applyBorder="1" applyFont="1">
      <alignment shrinkToFit="0" vertical="top" wrapText="1"/>
    </xf>
    <xf borderId="7" fillId="21" fontId="596" numFmtId="0" xfId="0" applyAlignment="1" applyBorder="1" applyFont="1">
      <alignment shrinkToFit="0" vertical="top" wrapText="1"/>
    </xf>
    <xf borderId="6" fillId="27" fontId="597" numFmtId="0" xfId="0" applyAlignment="1" applyBorder="1" applyFont="1">
      <alignment shrinkToFit="0" vertical="top" wrapText="1"/>
    </xf>
    <xf borderId="7" fillId="27" fontId="598" numFmtId="0" xfId="0" applyAlignment="1" applyBorder="1" applyFont="1">
      <alignment shrinkToFit="0" vertical="top" wrapText="1"/>
    </xf>
    <xf borderId="0" fillId="27" fontId="5" numFmtId="170" xfId="0" applyAlignment="1" applyFont="1" applyNumberFormat="1">
      <alignment horizontal="right" vertical="bottom"/>
    </xf>
    <xf borderId="0" fillId="0" fontId="5" numFmtId="181" xfId="0" applyAlignment="1" applyFont="1" applyNumberFormat="1">
      <alignment vertical="bottom"/>
    </xf>
    <xf borderId="6" fillId="0" fontId="599" numFmtId="0" xfId="0" applyAlignment="1" applyBorder="1" applyFont="1">
      <alignment readingOrder="0" vertical="bottom"/>
    </xf>
    <xf borderId="7" fillId="20" fontId="600" numFmtId="0" xfId="0" applyAlignment="1" applyBorder="1" applyFont="1">
      <alignment vertical="bottom"/>
    </xf>
    <xf borderId="6" fillId="28" fontId="601" numFmtId="0" xfId="0" applyAlignment="1" applyBorder="1" applyFont="1">
      <alignment readingOrder="0" vertical="bottom"/>
    </xf>
    <xf borderId="7" fillId="28" fontId="602" numFmtId="0" xfId="0" applyAlignment="1" applyBorder="1" applyFont="1">
      <alignment vertical="bottom"/>
    </xf>
    <xf borderId="0" fillId="5" fontId="82" numFmtId="0" xfId="0" applyAlignment="1" applyFont="1">
      <alignment horizontal="right" readingOrder="0" vertical="bottom"/>
    </xf>
    <xf borderId="0" fillId="28" fontId="603" numFmtId="0" xfId="0" applyAlignment="1" applyFont="1">
      <alignment vertical="bottom"/>
    </xf>
    <xf borderId="0" fillId="28" fontId="52" numFmtId="0" xfId="0" applyAlignment="1" applyFont="1">
      <alignment horizontal="right" readingOrder="0" vertical="bottom"/>
    </xf>
    <xf borderId="0" fillId="23" fontId="3" numFmtId="3" xfId="0" applyAlignment="1" applyFont="1" applyNumberFormat="1">
      <alignment horizontal="right" shrinkToFit="0" vertical="bottom" wrapText="0"/>
    </xf>
    <xf borderId="0" fillId="23" fontId="355" numFmtId="0" xfId="0" applyAlignment="1" applyFont="1">
      <alignment vertical="bottom"/>
    </xf>
    <xf borderId="0" fillId="23" fontId="604" numFmtId="0" xfId="0" applyAlignment="1" applyFont="1">
      <alignment horizontal="right" readingOrder="0" vertical="bottom"/>
    </xf>
    <xf borderId="6" fillId="0" fontId="605" numFmtId="0" xfId="0" applyAlignment="1" applyBorder="1" applyFont="1">
      <alignment readingOrder="0" vertical="bottom"/>
    </xf>
    <xf borderId="7" fillId="20" fontId="5" numFmtId="0" xfId="0" applyAlignment="1" applyBorder="1" applyFont="1">
      <alignment vertical="bottom"/>
    </xf>
    <xf borderId="0" fillId="0" fontId="606" numFmtId="0" xfId="0" applyAlignment="1" applyFont="1">
      <alignment vertical="bottom"/>
    </xf>
    <xf borderId="0" fillId="0" fontId="607" numFmtId="0" xfId="0" applyAlignment="1" applyFont="1">
      <alignment shrinkToFit="0" vertical="bottom" wrapText="1"/>
    </xf>
    <xf borderId="0" fillId="0" fontId="606" numFmtId="0" xfId="0" applyAlignment="1" applyFont="1">
      <alignment shrinkToFit="0" vertical="bottom" wrapText="1"/>
    </xf>
    <xf borderId="0" fillId="0" fontId="608" numFmtId="0" xfId="0" applyAlignment="1" applyFont="1">
      <alignment shrinkToFit="0" vertical="bottom" wrapText="1"/>
    </xf>
    <xf borderId="0" fillId="20" fontId="5" numFmtId="11" xfId="0" applyAlignment="1" applyFont="1" applyNumberFormat="1">
      <alignment horizontal="right" vertical="bottom"/>
    </xf>
    <xf borderId="0" fillId="0" fontId="3" numFmtId="4" xfId="0" applyAlignment="1" applyFont="1" applyNumberFormat="1">
      <alignment horizontal="right" vertical="bottom"/>
    </xf>
    <xf borderId="0" fillId="0" fontId="609" numFmtId="0" xfId="0" applyAlignment="1" applyFont="1">
      <alignment vertical="bottom"/>
    </xf>
    <xf borderId="0" fillId="4" fontId="5" numFmtId="0" xfId="0" applyAlignment="1" applyFont="1">
      <alignment shrinkToFit="0" vertical="bottom" wrapText="0"/>
    </xf>
    <xf borderId="0" fillId="0" fontId="609" numFmtId="0" xfId="0" applyAlignment="1" applyFont="1">
      <alignment shrinkToFit="0" vertical="bottom" wrapText="0"/>
    </xf>
    <xf quotePrefix="1" borderId="0" fillId="33" fontId="5" numFmtId="0" xfId="0" applyAlignment="1" applyFont="1">
      <alignment vertical="bottom"/>
    </xf>
    <xf borderId="0" fillId="0" fontId="610" numFmtId="0" xfId="0" applyAlignment="1" applyFont="1">
      <alignment shrinkToFit="0" vertical="top" wrapText="1"/>
    </xf>
    <xf borderId="0" fillId="0" fontId="611" numFmtId="0" xfId="0" applyAlignment="1" applyFont="1">
      <alignment shrinkToFit="0" vertical="bottom" wrapText="1"/>
    </xf>
    <xf borderId="0" fillId="0" fontId="609" numFmtId="0" xfId="0" applyAlignment="1" applyFont="1">
      <alignment shrinkToFit="0" vertical="bottom" wrapText="1"/>
    </xf>
    <xf borderId="0" fillId="0" fontId="611" numFmtId="0" xfId="0" applyAlignment="1" applyFont="1">
      <alignment vertical="bottom"/>
    </xf>
    <xf borderId="0" fillId="13" fontId="612" numFmtId="0" xfId="0" applyAlignment="1" applyFont="1">
      <alignment shrinkToFit="0" vertical="top" wrapText="1"/>
    </xf>
    <xf borderId="0" fillId="0" fontId="613" numFmtId="0" xfId="0" applyAlignment="1" applyFont="1">
      <alignment vertical="bottom"/>
    </xf>
    <xf borderId="0" fillId="0" fontId="607" numFmtId="0" xfId="0" applyAlignment="1" applyFont="1">
      <alignment vertical="bottom"/>
    </xf>
    <xf borderId="0" fillId="13" fontId="5" numFmtId="0" xfId="0" applyAlignment="1" applyFont="1">
      <alignment vertical="top"/>
    </xf>
    <xf borderId="0" fillId="20" fontId="614" numFmtId="0" xfId="0" applyAlignment="1" applyFont="1">
      <alignment vertical="bottom"/>
    </xf>
    <xf borderId="0" fillId="0" fontId="615" numFmtId="0" xfId="0" applyAlignment="1" applyFont="1">
      <alignment readingOrder="0"/>
    </xf>
    <xf borderId="0" fillId="0" fontId="616" numFmtId="0" xfId="0" applyAlignment="1" applyFont="1">
      <alignment readingOrder="0"/>
    </xf>
    <xf borderId="0" fillId="16" fontId="617" numFmtId="0" xfId="0" applyAlignment="1" applyFont="1">
      <alignment readingOrder="0"/>
    </xf>
    <xf borderId="0" fillId="33" fontId="10" numFmtId="0" xfId="0" applyFont="1"/>
    <xf borderId="0" fillId="33" fontId="10" numFmtId="169" xfId="0" applyFont="1" applyNumberFormat="1"/>
    <xf borderId="0" fillId="0" fontId="617" numFmtId="0" xfId="0" applyAlignment="1" applyFont="1">
      <alignment readingOrder="0"/>
    </xf>
    <xf borderId="0" fillId="36" fontId="617" numFmtId="0" xfId="0" applyAlignment="1" applyFont="1">
      <alignment readingOrder="0"/>
    </xf>
    <xf borderId="0" fillId="0" fontId="618" numFmtId="0" xfId="0" applyAlignment="1" applyFont="1">
      <alignment readingOrder="0"/>
    </xf>
    <xf borderId="0" fillId="4" fontId="10" numFmtId="10" xfId="0" applyAlignment="1" applyFont="1" applyNumberFormat="1">
      <alignment readingOrder="0"/>
    </xf>
    <xf borderId="0" fillId="20" fontId="619" numFmtId="0" xfId="0" applyAlignment="1" applyFont="1">
      <alignment readingOrder="0"/>
    </xf>
    <xf borderId="0" fillId="0" fontId="2" numFmtId="0" xfId="0" applyAlignment="1" applyFont="1">
      <alignment vertical="bottom"/>
    </xf>
    <xf borderId="0" fillId="0" fontId="2" numFmtId="0" xfId="0" applyAlignment="1" applyFont="1">
      <alignment vertical="bottom"/>
    </xf>
    <xf borderId="0" fillId="0" fontId="617" numFmtId="0" xfId="0" applyFont="1"/>
    <xf borderId="0" fillId="0" fontId="620" numFmtId="0" xfId="0" applyAlignment="1" applyFont="1">
      <alignment horizontal="righ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pivotCacheDefinition" Target="pivotCache/pivotCacheDefinition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standalone="yes"?>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cacheSource type="worksheet"><worksheetSource ref="B2:AZ2397" sheet="COS coding"/></cacheSource><cacheFields><cacheField name="status" numFmtId="0"><sharedItems><s v="- assigned: the entry has been assigned to a coder&#xA;- help needed: there is an unresolved conflict&#xA;- validated - chosen: the entry has been validated and marked as the one to remain in the final dataset&#xA;- validated - discarded: the entry has been used for "/><s v="validated - discarded"/><s v="validated - chosen"/><s v="assigned"/><s v="awaiting validation"/><s v="help needed"/><s v="validated - FReD but not COS"/><s v="validated - chosen (external)"/><s v="on hold - future validation"/></sharedItems></cacheField><cacheField name="approach" numFmtId="0"><sharedItems containsBlank="1"><m/><s v="double"/></sharedItems></cacheField><cacheField name="coder_1" numFmtId="0"><sharedItems containsBlank="1"><m/><s v="Maureen"/><s v="Nikita"/><s v="Husnain"/><s v="Jyoti"/><s v="Nikolay"/><s v="Hakile"/><s v="Sarah"/><s v="Alexsandr"/><s v="Daniel"/><s v="Fabienne"/><s v="Antony"/><s v="Vidhi"/><s v="Radoslaw"/><s v="Ray"/><s v="Roksana"/><s v="Mariem"/><s v="Thomas"/><s v="Raul"/><s v="Corinna"/><s v="Maria"/><s v="Diego"/><s v="Teshome"/><s v="Adira"/><s v="Alisa"/></sharedItems></cacheField><cacheField name="coder_2" numFmtId="0"><sharedItems containsBlank="1"><m/><s v="Aleksandr"/></sharedItems></cacheField><cacheField name="entry" numFmtId="0"><sharedItems containsBlank="1"><s v="for data matching. DO NOT EDIT - keep blank for new rows"/><s v="2zgf9_1"/><s v="39xuw_1"/><s v="7vgkq_1"/><s v="acykd_1"/><s v="additional_studies1_1"/><s v="additional_studies10"/><s v="additional_studies10_1"/><s v="additional_studies11_1"/><s v="additional_studies12_1"/><s v="additional_studies125_1"/><s v="additional_studies13_1"/><s v="additional_studies14_1"/><s v="additional_studies15_1"/><s v="additional_studies16"/><s v="additional_studies16_1"/><s v="additional_studies17"/><s v="additional_studies17_1"/><s v="additional_studies18_1"/><s v="additional_studies19_1"/><s v="additional_studies2_1"/><s v="additional_studies20_1"/><s v="additional_studies21_1"/><s v="additional_studies21_2"/><s v="additional_studies21_3"/><s v="additional_studies21_4"/><s v="additional_studies21_5"/><s v="additional_studies22_1"/><s v="additional_studies23_1"/><s v="additional_studies24_1"/><s v="additional_studies25_1"/><s v="additional_studies26_1"/><s v="additional_studies27_1"/><s v="additional_studies28_1"/><s v="additional_studies29_1"/><s v="additional_studies3_1"/><s v="additional_studies30_1"/><s v="additional_studies31_1"/><s v="additional_studies32_1"/><s v="additional_studies33_1"/><s v="additional_studies34_1"/><s v="additional_studies35_1"/><s v="additional_studies36"/><s v="additional_studies36_1"/><s v="additional_studies37_1"/><s v="additional_studies38_1"/><s v="additional_studies39_1"/><s v="additional_studies4_1"/><s v="additional_studies40_1"/><s v="additional_studies41_1"/><s v="additional_studies42_1"/><s v="additional_studies43_1"/><s v="additional_studies44_1"/><s v="additional_studies45_1"/><s v="additional_studies46_1"/><s v="additional_studies47_1"/><s v="additional_studies48_1"/><s v="additional_studies49_1"/><s v="additional_studies5_1"/><s v="additional_studies50_1"/><s v="additional_studies51_1"/><s v="additional_studies52_1"/><s v="additional_studies53_1"/><s v="additional_studies54_1"/><s v="additional_studies55_1"/><s v="additional_studies56_1"/><s v="additional_studies57_1"/><s v="additional_studies57_10"/><s v="additional_studies57_2"/><s v="additional_studies57_3"/><s v="additional_studies57_4"/><s v="additional_studies57_5"/><s v="additional_studies57_6"/><s v="additional_studies57_7"/><s v="additional_studies57_8"/><s v="additional_studies57_9"/><s v="additional_studies59_1"/><s v="additional_studies6_1"/><s v="additional_studies60_1"/><s v="additional_studies62_1"/><s v="additional_studies63_1"/><s v="additional_studies65_1"/><s v="additional_studies66_1"/><s v="additional_studies67_1"/><s v="additional_studies68_1"/><s v="additional_studies69_1"/><s v="additional_studies7_1"/><s v="additional_studies70_1"/><s v="additional_studies71_1"/><s v="additional_studies72_1"/><s v="additional_studies74_1"/><s v="additional_studies74_1_a"/><s v="additional_studies74_1_b"/><s v="additional_studies74_1_c"/><s v="additional_studies74_1_d"/><s v="additional_studies74_1_e"/><s v="additional_studies74_1_f"/><s v="additional_studies74_1_g"/><s v="additional_studies74_1_h"/><s v="additional_studies74_1_i"/><s v="additional_studies74_1_j"/><s v="additional_studies74_1_k"/><s v="additional_studies74_1_l"/><s v="additional_studies74_1_m"/><s v="additional_studies74_1_n"/><s v="additional_studies74_1_o"/><s v="additional_studies75_1"/><s v="additional_studies77_1"/><s v="additional_studies78_1"/><s v="additional_studies78_1_a"/><s v="additional_studies78_1_b"/><s v="additional_studies78_1_c"/><s v="additional_studies78_1_d"/><s v="additional_studies78_1_e"/><s v="additional_studies78_1_f"/><s v="additional_studies8_1"/><s v="additional_studies80_1"/><s v="additional_studies82_1"/><s v="additional_studies82_1_a"/><s v="additional_studies82_1_b"/><s v="additional_studies82_1_c"/><s v="additional_studies85"/><s v="additional_studies85_1"/><s v="additional_studies86_1"/><s v="additional_studies86_1_a"/><s v="additional_studies86_1_b"/><s v="additional_studies86_1_c"/><s v="additional_studies86_1_d"/><s v="additional_studies86_1_e"/><s v="additional_studies87_1"/><s v="additional_studies88_1"/><s v="additional_studies89_1"/><s v="additional_studies9_1"/><s v="additional_studies90_1"/><s v="additional_studies91_1"/><s v="additional_studies92_1"/><s v="additional_studies93_1"/><s v="additional_studies94_1"/><s v="Boyce_etal20231"/><s v="Boyce_etal20231_1"/><s v="Boyce_etal202310"/><s v="Boyce_etal202310_1"/><s v="Boyce_etal2023100"/><s v="Boyce_etal2023100_1"/><s v="Boyce_etal2023101"/><s v="Boyce_etal2023101_1"/><s v="Boyce_etal2023102"/><s v="Boyce_etal2023102_1"/><s v="Boyce_etal2023103"/><s v="Boyce_etal2023103_1"/><s v="Boyce_etal2023104"/><s v="Boyce_etal2023104_1"/><s v="Boyce_etal2023105"/><s v="Boyce_etal2023105_1"/><s v="Boyce_etal2023106"/><s v="Boyce_etal2023106_1"/><s v="Boyce_etal2023107"/><s v="Boyce_etal2023107_1"/><s v="Boyce_etal2023108"/><s v="Boyce_etal2023108_1"/><s v="Boyce_etal2023109"/><s v="Boyce_etal2023109_1"/><s v="Boyce_etal202311"/><s v="Boyce_etal202311_1"/><s v="Boyce_etal2023110_1"/><s v="Boyce_etal2023111"/><s v="Boyce_etal2023111_1"/><s v="Boyce_etal2023112"/><s v="Boyce_etal2023112_1"/><s v="Boyce_etal2023113"/><s v="Boyce_etal2023113_1"/><s v="Boyce_etal2023114"/><s v="Boyce_etal2023114_1"/><s v="Boyce_etal2023115"/><s v="Boyce_etal2023115_1"/><s v="Boyce_etal2023116"/><s v="Boyce_etal2023116_1"/><s v="Boyce_etal2023117_1"/><s v="Boyce_etal2023118_1"/><s v="Boyce_etal2023119_1"/><s v="Boyce_etal202312"/><s v="Boyce_etal202312_1"/><s v="Boyce_etal2023120_1"/><s v="Boyce_etal2023121"/><s v="Boyce_etal2023121_1"/><s v="Boyce_etal2023122"/><s v="Boyce_etal2023122_1"/><s v="Boyce_etal2023123"/><s v="Boyce_etal2023123_1"/><s v="Boyce_etal2023124"/><s v="Boyce_etal2023124_1"/><s v="Boyce_etal2023125"/><s v="Boyce_etal2023125_1"/><s v="Boyce_etal2023126"/><s v="Boyce_etal2023126_1"/><s v="Boyce_etal2023127"/><s v="Boyce_etal2023127_1"/><s v="Boyce_etal2023128"/><s v="Boyce_etal2023128_1"/><s v="Boyce_etal2023129"/><s v="Boyce_etal2023129_1"/><s v="Boyce_etal202313"/><s v="Boyce_etal202313_1"/><s v="Boyce_etal2023130"/><s v="Boyce_etal2023130_1"/><s v="Boyce_etal2023131"/><s v="Boyce_etal2023131_1"/><s v="Boyce_etal2023132"/><s v="Boyce_etal2023132_1"/><s v="Boyce_etal2023133"/><s v="Boyce_etal2023133_1"/><s v="Boyce_etal2023134"/><s v="Boyce_etal2023134_1"/><s v="Boyce_etal2023135"/><s v="Boyce_etal2023135_1"/><s v="Boyce_etal2023136_1"/><s v="Boyce_etal2023137"/><s v="Boyce_etal2023137_1"/><s v="Boyce_etal2023138_1"/><s v="Boyce_etal2023139"/><s v="Boyce_etal2023139_1"/><s v="Boyce_etal202314_1"/><s v="Boyce_etal2023140"/><s v="Boyce_etal2023140_1"/><s v="Boyce_etal2023141"/><s v="Boyce_etal2023141_1"/><s v="Boyce_etal2023142"/><s v="Boyce_etal2023142_1"/><s v="Boyce_etal2023143"/><s v="Boyce_etal2023143_1"/><s v="Boyce_etal2023144"/><s v="Boyce_etal2023144_1"/><s v="Boyce_etal2023145"/><s v="Boyce_etal2023145_1"/><s v="Boyce_etal2023146"/><s v="Boyce_etal2023146_1"/><s v="Boyce_etal2023147_1"/><s v="Boyce_etal2023148"/><s v="Boyce_etal2023148_1"/><s v="Boyce_etal2023149"/><s v="Boyce_etal2023149_1"/><s v="Boyce_etal202315"/><s v="Boyce_etal202315_1"/><s v="Boyce_etal2023150"/><s v="Boyce_etal2023150_1"/><s v="Boyce_etal2023151"/><s v="Boyce_etal2023151_1"/><s v="Boyce_etal2023152"/><s v="Boyce_etal2023152_1"/><s v="Boyce_etal2023153"/><s v="Boyce_etal2023153_1"/><s v="Boyce_etal2023154"/><s v="Boyce_etal2023154_1"/><s v="Boyce_etal2023155"/><s v="Boyce_etal2023155_1"/><s v="Boyce_etal2023156"/><s v="Boyce_etal2023156_1"/><s v="Boyce_etal2023157_1"/><s v="Boyce_etal2023158"/><s v="Boyce_etal2023158_1"/><s v="Boyce_etal2023159"/><s v="Boyce_etal2023159_1"/><s v="Boyce_etal202316"/><s v="Boyce_etal202316_1"/><s v="Boyce_etal2023160"/><s v="Boyce_etal2023160_1"/><s v="XPHI1_1"/><s v="XPHI11_1"/><s v="Boyce_etal2023161"/><s v="Boyce_etal2023161_1"/><s v="Boyce_etal2023162"/><s v="Boyce_etal2023162_1"/><s v="Boyce_etal2023163"/><s v="Boyce_etal2023163_1"/><s v="Boyce_etal2023164"/><s v="Boyce_etal2023164_1"/><s v="Boyce_etal2023165"/><s v="Boyce_etal2023165_1"/><s v="Boyce_etal2023166"/><s v="Boyce_etal2023166_1"/><s v="Boyce_etal2023167_1"/><s v="Boyce_etal2023168"/><s v="Boyce_etal2023168_1"/><s v="Boyce_etal2023169"/><s v="Boyce_etal2023169_1"/><s v="Boyce_etal202317_1"/><s v="Boyce_etal2023170"/><s v="Boyce_etal2023170_1"/><s v="Boyce_etal2023171"/><s v="Boyce_etal2023171_1"/><s v="Boyce_etal2023172"/><s v="Boyce_etal2023172_1"/><s v="Boyce_etal2023173"/><s v="Boyce_etal2023173_1"/><s v="Boyce_etal2023174"/><s v="Boyce_etal2023174_1"/><s v="Boyce_etal2023175"/><s v="Boyce_etal2023175_1"/><s v="Boyce_etal2023176_1"/><s v="Boyce_etal202318"/><s v="Boyce_etal202318_1"/><s v="Boyce_etal202319"/><s v="Boyce_etal202319_1"/><s v="Boyce_etal20232"/><s v="Boyce_etal20232_1"/><s v="Boyce_etal202320"/><s v="Boyce_etal202320_1"/><s v="Boyce_etal202321"/><s v="Boyce_etal202321_1"/><s v="Boyce_etal202322"/><s v="Boyce_etal202322_1"/><s v="Boyce_etal202323"/><s v="Boyce_etal202323_1"/><s v="Boyce_etal202324"/><s v="Boyce_etal202324_1"/><s v="Boyce_etal202325"/><s v="Boyce_etal202325_1"/><s v="Boyce_etal202326"/><s v="Boyce_etal202326_1"/><s v="Boyce_etal202327"/><s v="Boyce_etal202327_1"/><s v="Boyce_etal202328"/><s v="Boyce_etal202328_1"/><s v="Boyce_etal202329_1"/><s v="Boyce_etal20233_1"/><s v="Boyce_etal202330_1"/><s v="Boyce_etal202331_1"/><s v="Boyce_etal202332_1"/><s v="Boyce_etal202333_1"/><s v="Boyce_etal202334_1"/><s v="Boyce_etal202335_1"/><s v="Boyce_etal202336_1"/><s v="Boyce_etal202337_1"/><s v="Boyce_etal202338_1"/><s v="Boyce_etal202339_1"/><s v="Boyce_etal20234_1"/><s v="Boyce_etal202340_1"/><s v="Boyce_etal202341_1"/><s v="Boyce_etal202342_1"/><s v="Boyce_etal202343_1"/><s v="Boyce_etal202344_1"/><s v="Boyce_etal202345_1"/><s v="Boyce_etal202346_1"/><s v="Boyce_etal202347_1"/><s v="Boyce_etal202348_1"/><s v="Boyce_etal202349_1"/><s v="Boyce_etal20235_1"/><s v="Boyce_etal202350_1"/><s v="Boyce_etal202351_1"/><s v="Boyce_etal202352_1"/><s v="Boyce_etal202353_1"/><s v="Boyce_etal202354_1"/><s v="Boyce_etal202355_1"/><s v="Boyce_etal202356_1"/><s v="Boyce_etal202357_1"/><s v="Boyce_etal202358_1"/><s v="Boyce_etal202359_1"/><s v="Boyce_etal20236_1"/><s v="Boyce_etal202360_1"/><s v="Boyce_etal202361_1"/><s v="Boyce_etal202362_1"/><s v="Boyce_etal202363_1"/><s v="Boyce_etal202364_1"/><s v="Boyce_etal202365_1"/><s v="Boyce_etal202366_1"/><s v="Boyce_etal202367_1"/><s v="Boyce_etal202368_1"/><s v="Boyce_etal202369_1"/><s v="Boyce_etal20237_1"/><s v="Boyce_etal202370_1"/><s v="Boyce_etal202371_1"/><s v="Boyce_etal202372_1"/><s v="Boyce_etal202373_1"/><s v="Boyce_etal202374_1"/><s v="Boyce_etal202375_1"/><s v="Boyce_etal202376_1"/><s v="Boyce_etal202377_1"/><s v="Boyce_etal202378_1"/><s v="Boyce_etal202379_1"/><s v="Boyce_etal20238_1"/><s v="Boyce_etal202380_1"/><s v="Boyce_etal202381_1"/><s v="Boyce_etal202382_1"/><s v="Boyce_etal202383_1"/><s v="Boyce_etal202384_1"/><s v="Boyce_etal202385_1"/><s v="Boyce_etal202386_1"/><s v="Boyce_etal202387_1"/><s v="Boyce_etal202388_1"/><s v="Boyce_etal202389_1"/><s v="Boyce_etal20239_1"/><s v="Boyce_etal202390_1"/><s v="Boyce_etal202391_1"/><s v="Boyce_etal202392_1"/><s v="Boyce_etal202393_1"/><s v="Boyce_etal202394_1"/><s v="Boyce_etal202395_1"/><s v="Boyce_etal202396_1"/><s v="Boyce_etal202397_1"/><s v="Boyce_etal202398_1"/><s v="Boyce_etal202399_1"/><s v="bth36_1"/><s v="Camereretal2016_1"/><s v="Camereretal2016_10"/><s v="Camereretal2016_11"/><s v="Camereretal2016_12"/><s v="Camereretal2016_13"/><s v="Camereretal2016_14"/><s v="Camereretal2016_15"/><s v="Camereretal2016_16"/><s v="Camereretal2016_17"/><s v="Camereretal2016_18"/><s v="Camereretal2016_2"/><s v="Camereretal2016_3"/><s v="Camereretal2016_4"/><s v="Camereretal2016_5"/><s v="Camereretal2016_6"/><s v="Camereretal2016_7"/><s v="Camereretal2016_8"/><s v="Camereretal2016_9"/><s v="Camereretal2018_1"/><s v="Camereretal2018_10"/><s v="Camereretal2018_11"/><s v="Camereretal2018_12"/><s v="Camereretal2018_13"/><s v="Camereretal2018_14"/><s v="Camereretal2018_15"/><s v="Camereretal2018_16"/><s v="Camereretal2018_17"/><s v="Camereretal2018_18"/><s v="Camereretal2018_19"/><s v="Camereretal2018_2"/><s v="Camereretal2018_20"/><s v="Camereretal2018_21"/><s v="Camereretal2018_3"/><s v="Camereretal2018_4"/><s v="Camereretal2018_5"/><s v="Camereretal2018_6"/><s v="Camereretal2018_7"/><s v="Camereretal2018_8"/><s v="Camereretal2018_9"/><s v="curatescience10_1"/><s v="curatescience11_1"/><s v="curatescience12_1"/><s v="CORE_1_1"/><s v="curatescience13_1"/><s v="curatescience14_1"/><s v="curatescience15_1"/><s v="curatescience16_1"/><s v="curatescience17_1"/><s v="curatescience18_1"/><s v="curatescience19_1"/><s v="curatescience20_1"/><s v="curatescience204"/><s v="curatescience21_1"/><s v="curatescience22_1"/><s v="curatescience23_1"/><s v="curatescience24_1"/><s v="curatescience241"/><s v="curatescience244"/><s v="curatescience25_1"/><s v="curatescience26_1"/><s v="curatescience27_1"/><s v="curatescience28_1"/><s v="curatescience283"/><s v="curatescience29_1"/><s v="curatescience30_1"/><s v="curatescience31_1"/><s v="curatescience32_1"/><s v="curatescience320"/><s v="curatescience33_1"/><s v="curatescience34_1"/><s v="curatescience35_1"/><s v="curatescience36_1"/><s v="curatescience37_1"/><s v="curatescience38_1"/><s v="curatescience395"/><s v="curatescience40_1"/><s v="curatescience41_1"/><s v="curatescience42_1"/><s v="curatescience43_1"/><s v="curatescience44_1"/><s v="curatescience45_1"/><s v="curatescience46_1"/><s v="curatescience47_1"/><s v="curatescience48_1"/><s v="curatescience49_1"/><s v="curatescience50_1"/><s v="curatescience51_1"/><s v="curatescience52_1"/><s v="curatescience53_1"/><s v="curatescience533"/><s v="curatescience537"/><s v="curatescience54_1"/><s v="curatescience55_1"/><s v="curatescience558"/><s v="curatescience56_1"/><s v="curatescience57_1"/><s v="curatescience578"/><s v="curatescience58_1"/><s v="curatescience59_1"/><s v="curatescience599"/><s v="curatescience600"/><s v="curatescience620"/><s v="curatescience641"/><s v="curatescience7_1"/><s v="curatescience73"/><s v="curatescience75"/><s v="curatescience8_1"/><s v="curatescience86"/><s v="curatescience9_1"/><s v="datareplicada10a_1"/><s v="datareplicada10b_1"/><s v="datareplicada10d_1"/><s v="datareplicada2_1"/><s v="datareplicada3_1"/><s v="datareplicada3_2"/><s v="datareplicada4_1"/><s v="datareplicada7a_1"/><s v="datareplicada7b_1"/><s v="datareplicada7c_1"/><s v="dqv9y_1"/><s v="e9d3k_1"/><s v="fmd75_1"/><s v="gh52k_1"/><s v="Holzmeisteretal2024_1"/><s v="Holzmeisteretal2024_10"/><s v="Holzmeisteretal2024_11"/><s v="Holzmeisteretal2024_12"/><s v="Holzmeisteretal2024_13"/><s v="Holzmeisteretal2024_14"/><s v="Holzmeisteretal2024_15"/><s v="Holzmeisteretal2024_16"/><s v="Holzmeisteretal2024_17"/><s v="Holzmeisteretal2024_18"/><s v="Holzmeisteretal2024_19"/><s v="Holzmeisteretal2024_2"/><s v="Holzmeisteretal2024_20"/><s v="Holzmeisteretal2024_21"/><s v="Holzmeisteretal2024_22"/><s v="Holzmeisteretal2024_23"/><s v="Holzmeisteretal2024_24"/><s v="Holzmeisteretal2024_25"/><s v="Holzmeisteretal2024_26"/><s v="Holzmeisteretal2024_3"/><s v="Holzmeisteretal2024_4"/><s v="Holzmeisteretal2024_5"/><s v="Holzmeisteretal2024_6"/><s v="Holzmeisteretal2024_7"/><s v="Holzmeisteretal2024_8"/><s v="Holzmeisteretal2024_9"/><s v="is1_1"/><s v="is2_1"/><s v="is3_1"/><s v="j8a4p_1"/><s v="jcre_01_1"/><s v="jcre_02_1"/><s v="jcre_03_1"/><s v="jcre_04_1"/><s v="jcre_05_1"/><s v="jcre_06_1"/><s v="Manylabs2_01"/><s v="Manylabs2_02"/><s v="Manylabs2_03"/><s v="Manylabs2_04"/><s v="Manylabs2_05"/><s v="Manylabs2_06"/><s v="Manylabs2_07"/><s v="Manylabs2_10"/><s v="Manylabs2_11"/><s v="Manylabs2_12"/><s v="Manylabs2_13"/><s v="Manylabs2_14"/><s v="Manylabs2_15"/><s v="Manylabs2_16"/><s v="Manylabs2_17"/><s v="Manylabs2_18"/><s v="Manylabs2_19"/><s v="Manylabs2_20"/><s v="Manylabs2_21"/><s v="Manylabs2_22"/><s v="Manylabs2_23"/><s v="Manylabs2_24"/><s v="Manylabs2_25"/><s v="Manylabs2_26"/><s v="Manylabs2_27"/><s v="Manylabs2_28"/><s v="Manylabs2_8"/><s v="Manylabs2_9"/><s v="OpenMKT1_1"/><s v="OpenMKT1_10"/><s v="OpenMKT1_11"/><s v="OpenMKT1_12"/><s v="OpenMKT1_13"/><s v="OpenMKT1_2"/><s v="OpenMKT1_3"/><s v="OpenMKT1_4"/><s v="OpenMKT1_5"/><s v="OpenMKT1_6"/><s v="OpenMKT1_7"/><s v="OpenMKT1_8"/><s v="OpenMKT1_9"/><s v="OpenMKT10_1"/><s v="OpenMKT10_2"/><s v="OpenMKT11_1"/><s v="OpenMKT12_1"/><s v="OpenMKT13_1"/><s v="OpenMKT14_1"/><s v="OpenMKT15_1"/><s v="OpenMKT16_1"/><s v="OpenMKT2_1"/><s v="OpenMKT2_2"/><s v="OpenMKT2_3"/><s v="OpenMKT3_1"/><s v="OpenMKT3_2"/><s v="OpenMKT3_3"/><s v="OpenMKT4_1"/><s v="OpenMKT5_1"/><s v="OpenMKT5_2"/><s v="OpenMKT5_3"/><s v="OpenMKT5_4"/><s v="OpenMKT5_5"/><s v="OpenMKT5_6"/><s v="OpenMKT6_1"/><s v="OpenMKT6_2"/><s v="OpenMKT7_1"/><s v="OpenMKT7_2"/><s v="OpenMKT7_3"/><s v="OpenMKT8_1"/><s v="OpenMKT8_2"/><s v="OpenMKT8_3"/><s v="OpenMKT9_1"/><s v="OpenMKT9_2"/><s v="osc20151_1"/><s v="osc201510_1"/><s v="osc2015104_1"/><s v="osc2015106_1"/><s v="osc2015107_1"/><s v="osc2015109_1"/><s v="osc201511_1"/><s v="osc2015110_1"/><s v="osc2015111_1"/><s v="osc2015112_1"/><s v="osc2015113_1"/><s v="osc2015114_1"/><s v="osc2015115_1"/><s v="osc2015116_1"/><s v="osc2015117_1"/><s v="osc2015118_1"/><s v="osc201512_1"/><s v="osc2015120_1"/><s v="osc2015121_1"/><s v="osc2015122_1"/><s v="osc2015123_1"/><s v="osc2015124_1"/><s v="osc2015126_1"/><s v="osc2015127_1"/><s v="osc2015129_1"/><s v="osc201513_1"/><s v="osc2015132_1"/><s v="osc2015133_1"/><s v="osc2015134_1"/><s v="osc2015135_1"/><s v="osc2015136_1"/><s v="osc2015139_1"/><s v="osc2015140_1"/><s v="osc2015142_1"/><s v="osc2015143_1"/><s v="osc2015145_1"/><s v="osc2015146_1"/><s v="osc2015148_1"/><s v="osc201515_1"/><s v="osc2015150_1"/><s v="osc2015151_1"/><s v="osc2015153_1"/><s v="osc2015154_1"/><s v="osc2015155_1"/><s v="osc2015158_1"/><s v="osc2015161_1"/><s v="osc2015165_1"/><s v="osc2015167_1"/><s v="osc201517_1"/><s v="osc201519_1"/><s v="osc20152_1"/><s v="osc201520_1"/><s v="osc201522_1"/><s v="osc201524_1"/><s v="osc201525_1"/><s v="osc201526_1"/><s v="osc201527_1"/><s v="osc201528_1"/><s v="osc201529_1"/><s v="osc20153_1"/><s v="osc201532_1"/><s v="osc201533_1"/><s v="osc201536_1"/><s v="osc201537_1"/><s v="osc201539_1"/><s v="osc20154_1"/><s v="osc201543_1"/><s v="osc201544_1"/><s v="osc201546_1"/><s v="osc201548_1"/><s v="osc201549_1"/><s v="osc20155_1"/><s v="osc201550_1"/><s v="osc201552_1"/><s v="osc201553_1"/><s v="osc201555_1"/><s v="osc201556_1"/><s v="osc201558_1"/><s v="osc201559_1"/><s v="osc20156_1"/><s v="osc201561_1"/><s v="osc201563_1"/><s v="osc201564_1"/><s v="osc201565_1"/><s v="osc201568_1"/><s v="osc201569_1"/><s v="osc20157_1"/><s v="osc201571_1"/><s v="osc201572_1"/><s v="osc201573_1"/><s v="osc201577_1"/><s v="osc20158_1"/><s v="osc201580_1"/><s v="osc201581_1"/><s v="osc201582_1"/><s v="osc201584_1"/><s v="osc201586_1"/><s v="osc201587_1"/><s v="osc201589_1"/><s v="osc20159_1"/><s v="osc201593_1"/><s v="osc201594_1"/><s v="osc201597_1"/><s v="q6tv8_1"/><s v="resciencex_01_1"/><s v="rtn9s_1"/><s v="soscisubmission1_1"/><s v="soscisubmission10_1"/><s v="soscisubmission11_1"/><s v="soscisubmission13_1"/><s v="soscisubmission14a_1"/><s v="soscisubmission14b_1"/><s v="soscisubmission14c_1"/><s v="soscisubmission15_1"/><s v="soscisubmission18_1"/><s v="soscisubmission18_10"/><s v="soscisubmission18_11"/><s v="soscisubmission18_12"/><s v="soscisubmission18_2"/><s v="soscisubmission18_3"/><s v="soscisubmission18_4"/><s v="soscisubmission18_5"/><s v="soscisubmission18_6"/><s v="soscisubmission18_7"/><s v="soscisubmission18_8"/><s v="soscisubmission18_9"/><s v="soscisubmission2_1"/><s v="soscisubmission3_1"/><s v="soscisubmission34_1"/><s v="soscisubmission38_1"/><s v="soscisubmission39_1"/><s v="soscisubmission41_1"/><s v="soscisubmission41_2"/><s v="soscisubmission41_3"/><s v="soscisubmission45_1"/><s v="soscisubmission46_1"/><s v="soscisubmission47_1"/><s v="soscisubmission49_1"/><s v="soscisubmission6_1"/><s v="soscisubmission6_2"/><s v="soscisubmission7_1"/><s v="soscisubmission8_1"/><s v="soscisubmission9_1"/><s v="svodevelopment_1"/><s v="svodevelopment_10"/><s v="svodevelopment_11"/><s v="svodevelopment_12"/><s v="svodevelopment_13"/><s v="svodevelopment_14"/><s v="svodevelopment_15"/><s v="svodevelopment_16"/><s v="svodevelopment_17"/><s v="svodevelopment_18"/><s v="svodevelopment_19"/><s v="svodevelopment_2"/><s v="svodevelopment_20"/><s v="svodevelopment_21"/><s v="svodevelopment_22"/><s v="svodevelopment_23"/><s v="svodevelopment_24"/><s v="svodevelopment_25"/><s v="svodevelopment_26"/><s v="svodevelopment_3"/><s v="svodevelopment_4"/><s v="svodevelopment_5"/><s v="svodevelopment_6"/><s v="svodevelopment_7"/><s v="svodevelopment_8"/><s v="svodevelopment_9"/><s v="svodevelopment2_1"/><s v="svodevelopment2_10"/><s v="svodevelopment2_11"/><s v="svodevelopment2_12"/><s v="svodevelopment2_13"/><s v="svodevelopment2_14"/><s v="svodevelopment2_15"/><s v="svodevelopment2_16"/><s v="svodevelopment2_17"/><s v="svodevelopment2_18"/><s v="svodevelopment2_19"/><s v="svodevelopment2_2"/><s v="svodevelopment2_20"/><s v="svodevelopment2_21"/><s v="svodevelopment2_22"/><s v="svodevelopment2_23"/><s v="svodevelopment2_24"/><s v="svodevelopment2_25"/><s v="svodevelopment2_26"/><s v="svodevelopment2_3"/><s v="svodevelopment2_4"/><s v="svodevelopment2_5"/><s v="svodevelopment2_6"/><s v="svodevelopment2_7"/><s v="svodevelopment2_8"/><s v="svodevelopment2_9"/><s v="uxajg_1"/><s v="XPHI10_1"/><s v="XPHI12_1"/><s v="XPHI13_1"/><s v="XPHI14_1"/><s v="XPHI15_1"/><s v="XPHI16_1"/><s v="XPHI17_1"/><s v="XPHI18_1"/><s v="XPHI19_1"/><s v="XPHI2_1"/><s v="XPHI20_1"/><s v="XPHI21_1"/><s v="XPHI22_1"/><s v="XPHI23_1"/><s v="XPHI24_1"/><s v="XPHI25_1"/><s v="XPHI26_1"/><s v="XPHI27_1"/><s v="XPHI28_1"/><s v="XPHI29_1"/><s v="XPHI3_1"/><s v="XPHI30_1"/><s v="XPHI31_1"/><s v="XPHI32_1"/><s v="XPHI33_1"/><s v="XPHI34_1"/><s v="XPHI35_1"/><s v="XPHI36_1"/><s v="XPHI37_1"/><s v="XPHI38_1"/><s v="XPHI39_1"/><s v="XPHI4_1"/><s v="XPHI40_1"/><s v="XPHI5_1"/><s v="XPHI6_1"/><s v="XPHI7_1"/><s v="XPHI8_1"/><s v="XPHI9_1"/><m/><s v="Soto_1"/><s v="Soto_2"/></sharedItems></cacheField><cacheField name="id" numFmtId="0"><sharedItems><s v="Sample id. DO NOT CHANGE. If you add samples, copy and add _b, _c etc"/><s v="2zgf9"/><s v="39xuw"/><s v="7vgkq"/><s v="acykd"/><s v="additional_studies1_a"/><s v="additional_studies1_b"/><s v="additional_studies1_c"/><s v="additional_studies1_d"/><s v="additional_studies1_e"/><s v="additional_studies1_f"/><s v="additional_studies10_d"/><s v="additional_studies10_e"/><s v="additional_studies10_f"/><s v="additional_studies10_g"/><s v="additional_studies10_a"/><s v="additional_studies10_b"/><s v="additional_studies10_c"/><s v="additional_studies10"/><s v="additional_studies11"/><s v="additional_studies11_b"/><s v="additional_studies11_c"/><s v="additional_studies11_d"/><s v="additional_studies11_e"/><s v="additional_studies11_f"/><s v="additional_studies11_g"/><s v="additional_studies11_h"/><s v="additional_studies11_i"/><s v="additional_studies11_j"/><s v="additional_studies11_k"/><s v="additional_studies11_l"/><s v="additional_studies11_m"/><s v="additional_studies11_n"/><s v="additional_studies11_o"/><s v="additional_studies11_p"/><s v="additional_studies11_q"/><s v="additional_studies11_r"/><s v="additional_studies11_s"/><s v="additional_studies11_t"/><s v="additional_studies11_u"/><s v="additional_studies11_v"/><s v="additional_studies11_w"/><s v="additional_studies11_x"/><s v="additional_studies11_y"/><s v="additional_studies11_z"/><s v="additional_studies11_za"/><s v="additional_studies11_zb"/><s v="additional_studies11_zc"/><s v="additional_studies11_zd"/><s v="additional_studies11_ze"/><s v="additional_studies11_zf"/><s v="additional_studies11_a"/><s v="additional_studies12"/><s v="additional_studies12_b"/><s v="additional_studies12_c"/><s v="additional_studies125"/><s v="additional_studies125_an"/><s v="additional_studies125_b"/><s v="additional_studies125_c"/><s v="additional_studies125_d"/><s v="additional_studies125_e"/><s v="additional_studies125_f"/><s v="additional_studies125_g"/><s v="additional_studies125_h"/><s v="additional_studies125_i"/><s v="additional_studies125_pl"/><s v="additional_studies125_pm"/><s v="additional_studies13"/><s v="additional_studies14"/><s v="additional_studies15"/><s v="additional_studies15_b"/><s v="additional_studies15_c"/><s v="additional_studies15_d"/><s v="additional_studies15_e"/><s v="additional_studies15_f"/><s v="additional_studies16_b"/><s v="additional_studies16_c"/><s v="additional_studies16_a"/><s v="additional_studies16"/><s v="additional_studies17_b"/><s v="additional_studies17_c"/><s v="additional_studies17_d"/><s v="additional_studies17_e"/><s v="additional_studies17_a"/><s v="additional_studies17_f"/><s v="additional_studies17_g"/><s v="additional_studies17_h"/><s v="additional_studies17"/><s v="additional_studies18"/><s v="additional_studies19"/><s v="additional_studies19_b"/><s v="additional_studies19_c"/><s v="additional_studies2"/><s v="additional_studies2_b"/><s v="additional_studies2_c"/><s v="additional_studies2_d"/><s v="additional_studies2_a"/><s v="additional_studies20"/><s v="additional_studies20_b"/><s v="additional_studies20_c"/><s v="additional_studies20_d"/><s v="additional_studies20_e"/><s v="additional_studies21"/><s v="additional_studies22"/><s v="additional_studies23"/><s v="additional_studies24"/><s v="additional_studies25"/><s v="additional_studies22_b"/><s v="additional_studies26"/><s v="additional_studies26_a"/><s v="additional_studies26_b"/><s v="additional_studies27"/><s v="additional_studies28"/><s v="additional_studies28_a"/><s v="additional_studies28_b"/><s v="additional_studies28_c"/><s v="additional_studies28_d"/><s v="additional_studies28_e"/><s v="additional_studies28_f"/><s v="additional_studies29"/><s v="additional_studies3"/><s v="additional_studies3_b"/><s v="additional_studies3_c"/><s v="additional_studies3_d"/><s v="additional_studies3_a"/><s v="additional_studies30"/><s v="additional_studies30_b"/><s v="additional_studies30_c"/><s v="additional_studies30_d"/><s v="additional_studies30_e"/><s v="additional_studies30_f"/><s v="additional_studies30_g"/><s v="additional_studies30_h"/><s v="additional_studies31"/><s v="additional_studies31_a"/><s v="additional_studies31_b"/><s v="additional_studies32"/><s v="additional_studies32_b"/><s v="additional_studies32_c"/><s v="additional_studies32_d"/><s v="additional_studies32_e"/><s v="additional_studies32_f"/><s v="additional_studies32_g"/><s v="additional_studies33"/><s v="additional_studies34"/><s v="additional_studies35"/><s v="additional_studies36_b"/><s v="additional_studies36_c"/><s v="additional_studies36_d"/><s v="additional_studies36_e"/><s v="additional_studies36_f"/><s v="additional_studies36_g"/><s v="additional_studies36_h"/><s v="additional_studies36_i"/><s v="additional_studies36_j"/><s v="additional_studies36_k"/><s v="additional_studies36_l"/><s v="additional_studies36_m"/><s v="additional_studies36_n"/><s v="additional_studies36_o"/><s v="additional_studies36_p"/><s v="additional_studies36_q"/><s v="additional_studies36_r"/><s v="additional_studies36_s"/><s v="additional_studies36_t"/><s v="additional_studies36_w"/><s v="additional_studies36_x"/><s v="additional_studies36_y"/><s v="additional_studies36_z"/><s v="additional_studies36_aa"/><s v="additional_studies36_bb"/><s v="additional_studies36_cc"/><s v="additional_studies36"/><s v="additional_studies37"/><s v="additional_studies37_b"/><s v="additional_studies37_c"/><s v="additional_studies37_d"/><s v="additional_studies37_e"/><s v="additional_studies37_f"/><s v="additional_studies38"/><s v="additional_studies38_b"/><s v="additional_studies38_c"/><s v="additional_studies39"/><s v="additional_studies4_a"/><s v="additional_studies4_b"/><s v="additional_studies4_c"/><s v="additional_studies4_d"/><s v="additional_studies4"/><s v="additional_studies40"/><s v="additional_studies40_b"/><s v="additional_studies40_c"/><s v="additional_studies40_d"/><s v="additional_studies40_e"/><s v="additional_studies40_f"/><s v="additional_studies40_g"/><s v="additional_studies40_h"/><s v="additional_studies40_i"/><s v="additional_studies41"/><s v="additional_studies41_b"/><s v="additional_studies41_c"/><s v="additional_studies41_d"/><s v="additional_studies41_e"/><s v="additional_studies41_f"/><s v="additional_studies41_g"/><s v="additional_studies41_h"/><s v="additional_studies41_i"/><s v="additional_studies41_j"/><s v="additional_studies42"/><s v="additional_studies43"/><s v="additional_studies43 _b"/><s v="additional_studies43 _c"/><s v="additional_studies44"/><s v="additional_studies44_b"/><s v="additional_studies44_c"/><s v="additional_studies44_d"/><s v="additional_studies44_e"/><s v="additional_studies45"/><s v="additional_studies46"/><s v="additional_studies47"/><s v="additional_studies47_b"/><s v="additional_studies47_c"/><s v="additional_studies47_d"/><s v="additional_studies47_e"/><s v="additional_studies47_f"/><s v="additional_studies48"/><s v="additional_studies49"/><s v="additional_studies49_b"/><s v="additional_studies49_c"/><s v="additional_studies49_d"/><s v="additional_studies49_e"/><s v="additional_studies49_f"/><s v="additional_studies49_g"/><s v="additional_studies49_h"/><s v="additional_studies49_i"/><s v="additional_studies5"/><s v="additional_studies5_a"/><s v="additional_studies5_b"/><s v="additional_studies5_c"/><s v="additional_studies50"/><s v="additional_studies51"/><s v="additional_studies52"/><s v="additional_studies53"/><s v="additional_studies54"/><s v="additional_studies55"/><s v="additional_studies56"/><s v="additional_studies56_b"/><s v="additional_studies56_c"/><s v="additional_studies56_d"/><s v="additional_studies56_e"/><s v="additional_studies56_f"/><s v="additional_studies56_g"/><s v="additional_studies56_h"/><s v="additional_studies56_i"/><s v="additional_studies56_j"/><s v="additional_studies56_k"/><s v="additional_studies56_l"/><s v="additional_studies56_m"/><s v="additional_studies57"/><s v="additional_studies57_b"/><s v="additional_studies57_c"/><s v="additional_studies57_d"/><s v="additional_studies84"/><s v="additional_studies84_b"/><s v="additional_studies84_c"/><s v="additional_studies84_d"/><s v="additional_studies84_e"/><s v="additional_studies84_f"/><s v="additional_studies84_g"/><s v="additional_studies84_h"/><s v="additional_studies84_i"/><s v="additional_studies58"/><s v="additional_studies58_b"/><s v="additional_studies58_c"/><s v="additional_studies58_d"/><s v="additional_studies58_e"/><s v="additional_studies58_f"/><s v="additional_studies61"/><s v="additional_studies61_b"/><s v="additional_studies61_c"/><s v="additional_studies61_d"/><s v="additional_studies61_e"/><s v="additional_studies64"/><s v="additional_studies64_b"/><s v="additional_studies64_c"/><s v="additional_studies64_d"/><s v="additional_studies64_e"/><s v="additional_studies64_f"/><s v="additional_studies73"/><s v="additional_studies76"/><s v="additional_studies76_b"/><s v="additional_studies79"/><s v="additional_studies79_b"/><s v="additional_studies79_c"/><s v="additional_studies81"/><s v="additional_studies81_b"/><s v="additional_studies81_c"/><s v="additional_studies81_d"/><s v="additional_studies83"/><s v="additional_studies83_b"/><s v="additional_studies83_c"/><s v="additional_studies59"/><s v="additional_studies59_b"/><s v="additional_studies6"/><s v="additional_studies6_a"/><s v="additional_studies6_b"/><s v="additional_studies6_c"/><s v="additional_studies6_d"/><s v="additional_studies6_e"/><s v="additional_studies6_f"/><s v="additional_studies60"/><s v="additional_studies60_b"/><s v="additional_studies62"/><s v="additional_studies62_a"/><s v="additional_studies62_b"/><s v="additional_studies62_c"/><s v="additional_studies62_d"/><s v="additional_studies62_e"/><s v="additional_studies62_f"/><s v="additional_studies63"/><s v="additional_studies63_b"/><s v="additional_studies63_c"/><s v="additional_studies63_d"/><s v="additional_studies65"/><s v="additional_studies65_a"/><s v="additional_studies65_b"/><s v="additional_studies65_c"/><s v="additional_studies65_d"/><s v="additional_studies65_e"/><s v="additional_studies65_f"/><s v="additional_studies65_g"/><s v="additional_studies65_h"/><s v="additional_studies65_i"/><s v="additional_studies65_j"/><s v="additional_studies65_k"/><s v="additional_studies66"/><s v="additional_studies66_a"/><s v="additional_studies66_b"/><s v="additional_studies66_c"/><s v="additional_studies67"/><s v="additional_studies67_a"/><s v="additional_studies67_b"/><s v="additional_studies67_c"/><s v="additional_studies68"/><s v="additional_studies68_b"/><s v="additional_studies68_c"/><s v="additional_studies69"/><s v="additional_studies7_a"/><s v="additional_studies7_b"/><s v="additional_studies7_c"/><s v="additional_studies70"/><s v="additional_studies71"/><s v="additional_studies72"/><s v="additional_studies74_a"/><s v="additional_studies74_b"/><s v="additional_studies74_c"/><s v="additional_studies74"/><s v="additional_studies75"/><s v="additional_studies77"/><s v="additional_studies78"/><s v="additional_studies8"/><s v="additional_studies80"/><s v="additional_studies82"/><s v="additional_studies85_a"/><s v="additional_studies85_b"/><s v="additional_studies85_c"/><s v="additional_studies85_d"/><s v="additional_studies85_e"/><s v="additional_studies85_f"/><s v="additional_studies85_g"/><s v="additional_studies85_h"/><s v="additional_studies85_i"/><s v="additional_studies85_j"/><s v="additional_studies85_k"/><s v="additional_studies85_l"/><s v="additional_studies85_m"/><s v="additional_studies85_n"/><s v="additional_studies86_a"/><s v="additional_studies86_b"/><s v="additional_studies86_c"/><s v="additional_studies86_d"/><s v="additional_studies86_e"/><s v="additional_studies86_f"/><s v="additional_studies86"/><s v="additional_studies87"/><s v="additional_studies88_a"/><s v="additional_studies88_b"/><s v="additional_studies88_c"/><s v="additional_studies88_d"/><s v="additional_studies88_e"/><s v="additional_studies88_f"/><s v="additional_studies89"/><s v="additional_studies9_a"/><s v="additional_studies9_b"/><s v="additional_studies9_c"/><s v="additional_studies90_a"/><s v="additional_studies90_a1"/><s v="additional_studies90_b"/><s v="additional_studies90_b1"/><s v="additional_studies90_c"/><s v="additional_studies90_c1"/><s v="additional_studies90_d"/><s v="additional_studies90_d1"/><s v="additional_studies90_e"/><s v="additional_studies90_e1"/><s v="additional_studies90_f"/><s v="additional_studies90_f1"/><s v="additional_studies90_g"/><s v="additional_studies90_g1"/><s v="additional_studies90_h"/><s v="additional_studies90_i"/><s v="additional_studies90_j"/><s v="additional_studies90_k"/><s v="additional_studies90_l"/><s v="additional_studies90_m"/><s v="additional_studies90_n"/><s v="additional_studies90_o"/><s v="additional_studies90_p"/><s v="additional_studies90_q"/><s v="additional_studies90_r"/><s v="additional_studies90_s"/><s v="additional_studies90_t"/><s v="additional_studies90_u"/><s v="additional_studies90_v"/><s v="additional_studies90_x"/><s v="additional_studies90_y"/><s v="additional_studies90_z"/><s v="additional_studies90"/><s v="additional_studies91"/><s v="additional_studies92"/><s v="additional_studies93_a"/><s v="additional_studies93_b"/><s v="additional_studies93_c"/><s v="additional_studies93_d"/><s v="additional_studies93_e"/><s v="additional_studies93_f"/><s v="additional_studies93_g"/><s v="additional_studies93_h"/><s v="additional_studies93_i"/><s v="additional_studies94"/><s v="additional_studies94_1"/><s v="additional_studies94_1a"/><s v="additional_studies94_2a"/><s v="additional_studies94_2b"/><s v="additional_studies94_3"/><s v="additional_studies94_5a"/><s v="additional_studies94_5b"/><s v="additional_studies94_5c"/><s v="additional_studies94_5d"/><s v="additional_studies94_b"/><s v="additional_studies95_c"/><s v="additional_studies96_d"/><s v="additional_studies99_e"/><s v="additional_studies99_f"/><s v="additional_studies99_g"/><s v="Boyce_etal20231_1"/><s v="Boyce_etal20231"/><s v="Boyce_etal202310_1"/><s v="Boyce_etal202310"/><s v="Boyce_etal2023100_1"/><s v="Boyce_etal2023100"/><s v="Boyce_etal2023101_1"/><s v="Boyce_etal2023101"/><s v="Boyce_etal2023102_1"/><s v="Boyce_etal2023102"/><s v="Boyce_etal2023103_1"/><s v="Boyce_etal2023103_a"/><s v="Boyce_etal2023103_b"/><s v="Boyce_etal2023103_c"/><s v="Boyce_etal2023103_d"/><s v="Boyce_etal2023103_e"/><s v="Boyce_etal2023103_f"/><s v="Boyce_etal2023103_g"/><s v="Boyce_etal2023104_1"/><s v="Boyce_etal2023104_a"/><s v="Boyce_etal2023104_b"/><s v="Boyce_etal2023105_1"/><s v="Boyce_etal2023105"/><s v="Boyce_etal2023106_1"/><s v="Boyce_etal2023106_a"/><s v="Boyce_etal2023106_b"/><s v="Boyce_etal2023106_c"/><s v="Boyce_etal2023106_d"/><s v="Boyce_etal2023106_e"/><s v="Boyce_etal2023106_f"/><s v="Boyce_etal2023107_1"/><s v="Boyce_etal2023107"/><s v="Boyce_etal2023108_1"/><s v="Boyce_etal2023108"/><s v="Boyce_etal2023109_1"/><s v="Boyce_etal2023109_1_a"/><s v="Boyce_etal2023109_1_b"/><s v="Boyce_etal2023109_1_c"/><s v="Boyce_etal2023109_1_d"/><s v="Boyce_etal2023109_1_e"/><s v="Boyce_etal2023109_1_f"/><s v="Boyce_etal202311_1"/><s v="Boyce_etal202311"/><s v="Boyce_etal2023110_1_a"/><s v="Boyce_etal2023110_1_b"/><s v="Boyce_etal2023110_1_c"/><s v="Boyce_etal2023110_1_d"/><s v="Boyce_etal2023110_1_e"/><s v="Boyce_etal2023111_1"/><s v="Boyce_etal2023111_1_f"/><s v="Boyce_etal2023111_1_g"/><s v="Boyce_etal2023111_1_h"/><s v="Boyce_etal2023111_1_i"/><s v="Boyce_etal2023111_1_j"/><s v="Boyce_etal2023112_1"/><s v="Boyce_etal2023112"/><s v="Boyce_etal2023113_1"/><s v="Boyce_etal2023113_a"/><s v="Boyce_etal2023113_b"/><s v="Boyce_etal2023114_1"/><s v="Boyce_etal2023114"/><s v="Boyce_etal2023114_b"/><s v="Boyce_etal2023114_c"/><s v="Boyce_etal2023115_1"/><s v="Boyce_etal2023115"/><s v="Boyce_etal2023116_1_b"/><s v="Boyce_etal2023116_1_d"/><s v="Boyce_etal2023116_1_c"/><s v="Boyce_etal2023116_1"/><s v="Boyce_etal2023116"/><s v="Boyce_etal2023116_1_e"/><s v="Boyce_etal2023117_a"/><s v="Boyce_etal2023117_b"/><s v="Boyce_etal2023117_c"/><s v="Boyce_etal2023118"/><s v="Boyce_etal2023119"/><s v="Boyce_etal202312_1"/><s v="Boyce_etal202312"/><s v="Boyce_etal2023120"/><s v="Boyce_etal2023121_1"/><s v="Boyce_etal2023121_1_a"/><s v="Boyce_etal2023121_1_b"/><s v="Boyce_etal2023121_1_c"/><s v="Boyce_etal2023121_1_d"/><s v="Boyce_etal2023121_1_e"/><s v="Boyce_etal2023121_1_f"/><s v="Boyce_etal2023122_1"/><s v="Boyce_etal2023122"/><s v="Boyce_etal2023123_1"/><s v="Boyce_etal2023123_1_a"/><s v="Boyce_etal2023123_1_b"/><s v="Boyce_etal2023123_1_c"/><s v="Boyce_etal2023123_1_d"/><s v="Boyce_etal2023123_1_e"/><s v="Boyce_etal2023124_1"/><s v="Boyce_etal2023124"/><s v="Boyce_etal2023125_1"/><s v="Boyce_etal2023125_1_a"/><s v="Boyce_etal2023125_1_b"/><s v="Boyce_etal2023125_1_c"/><s v="Boyce_etal2023126_1"/><s v="Boyce_etal2023126"/><s v="Boyce_etal2023127_1"/><s v="Boyce_etal2023127_1_a"/><s v="Boyce_etal2023127_1_b"/><s v="Boyce_etal2023127_1_c"/><s v="Boyce_etal2023128_1"/><s v="Boyce_etal2023128_1_a"/><s v="Boyce_etal2023128_1_b"/><s v="Boyce_etal2023128_1_c"/><s v="Boyce_etal2023128_1_d"/><s v="Boyce_etal2023128_1_e"/><s v="Boyce_etal2023128_1_f"/><s v="Boyce_etal2023128_1_g"/><s v="Boyce_etal2023128_1_h"/><s v="Boyce_etal2023128_1_i"/><s v="Boyce_etal2023128_1_j"/><s v="Boyce_etal2023129_1"/><s v="Boyce_etal2023129_1_a"/><s v="Boyce_etal2023129_1_b"/><s v="Boyce_etal2023129_1_c"/><s v="Boyce_etal202313_1"/><s v="Boyce_etal202313"/><s v="Boyce_etal2023130_1"/><s v="Boyce_etal2023130"/><s v="Boyce_etal2023131_1"/><s v="Boyce_etal2023131"/><s v="Boyce_etal2023132_1"/><s v="Boyce_etal2023132"/><s v="Boyce_etal2023133_1"/><s v="Boyce_etal2023133"/><s v="Boyce_etal2023134_1"/><s v="Boyce_etal2023134"/><s v="Boyce_etal2023135_1"/><s v="Boyce_etal2023135"/><s v="Boyce_etal2023136"/><s v="Boyce_etal2023137_1"/><s v="Boyce_etal2023137_1_c"/><s v="Boyce_etal2023137"/><s v="Boyce_etal2023138_1_a"/><s v="Boyce_etal2023137_1_b"/><s v="Boyce_etal2023138_1_b"/><s v="Boyce_etal2023138_1_c"/><s v="Boyce_etal2023138_1_d"/><s v="Boyce_etal2023138_1_e"/><s v="Boyce_etal2023137_1_d"/><s v="Boyce_etal2023138_1_f"/><s v="Boyce_etal2023137_1_e"/><s v="Boyce_etal2023138_1_g"/><s v="Boyce_etal2023137_1_f"/><s v="Boyce_etal2023138_1_h"/><s v="Boyce_etal2023137_1_g"/><s v="Boyce_etal2023138_1_i"/><s v="Boyce_etal2023137_1_h"/><s v="Boyce_etal2023138_1_j"/><s v="Boyce_etal2023139_1"/><s v="Boyce_etal2023139_1_a"/><s v="Boyce_etal2023139_1_b"/><s v="Boyce_etal2023139_1_c"/><s v="Boyce_etal202314_1_a"/><s v="Boyce_etal202314_1_d"/><s v="Boyce_etal2023140_1"/><s v="Boyce_etal2023140_1_a"/><s v="Boyce_etal2023140_1_b"/><s v="Boyce_etal2023140_1_c"/><s v="Boyce_etal2023141_1"/><s v="Boyce_etal2023141"/><s v="Boyce_etal2023141_1_b"/><s v="Boyce_etal2023142_1"/><s v="Boyce_etal2023142"/><s v="Boyce_etal2023143_1"/><s v="Boyce_etal2023143_1_a"/><s v="Boyce_etal2023143_1_b"/><s v="Boyce_etal2023143_1_c"/><s v="Boyce_etal2023143_1_d"/><s v="Boyce_etal2023143_1_e"/><s v="Boyce_etal2023144_1"/><s v="Boyce_etal2023144"/><s v="Boyce_etal2023145_1"/><s v="Boyce_etal2023145"/><s v="Boyce_etal2023146_1"/><s v="Boyce_etal2023146_1_b"/><s v="Boyce_etal2023146_1_a"/><s v="Boyce_etal2023146_1_c"/><s v="Boyce_etal2023146_1_d"/><s v="Boyce_etal2023147"/><s v="Boyce_etal2023148_1"/><s v="Boyce_etal2023148_1_a"/><s v="Boyce_etal2023148_1_b"/><s v="Boyce_etal2023148_1_c"/><s v="Boyce_etal2023148_1_d"/><s v="Boyce_etal2023148_1_e"/><s v="Boyce_etal2023148_1_f"/><s v="Boyce_etal2023149_1"/><s v="Boyce_etal2023149"/><s v="Boyce_etal202315_1"/><s v="Boyce_etal202315"/><s v="Boyce_etal2023150_1"/><s v="Boyce_etal2023150_1_a"/><s v="Boyce_etal2023150_1_b"/><s v="Boyce_etal2023150_1_c"/><s v="Boyce_etal2023150_1_d"/><s v="Boyce_etal2023150_1_e"/><s v="Boyce_etal2023151_1"/><s v="Boyce_etal2023151"/><s v="Boyce_etal2023151_1_b"/><s v="Boyce_etal2023152_1"/><s v="Boyce_etal2023152"/><s v="Boyce_etal2023153_1"/><s v="Boyce_etal2023153"/><s v="Boyce_etal2023154_1"/><s v="Boyce_etal2023154"/><s v="Boyce_etal2023154_1_b"/><s v="Boyce_etal2023154_1_c"/><s v="Boyce_etal2023155_1"/><s v="Boyce_etal2023155"/><s v="Boyce_etal2023156_1"/><s v="Boyce_etal2023156"/><s v="Boyce_etal2023157"/><s v="Boyce_etal2023156_1_b"/><s v="Boyce_etal2023158_1"/><s v="Boyce_etal2023158"/><s v="Boyce_etal2023158_a"/><s v="Boyce_etal2023159_1"/><s v="Boyce_etal2023159"/><s v="Boyce_etal202316_1"/><s v="Boyce_etal202316_1_b"/><s v="Boyce_etal202316"/><s v="Boyce_etal2023160_1"/><s v="Boyce_etal2023160_1_a"/><s v="Boyce_etal2023160_1_b"/><s v="XPHI1"/><s v="Boyce_etal2023160_1_c"/><s v="XPHI11"/><s v="Boyce_etal2023161_1"/><s v="Boyce_etal2023161"/><s v="Boyce_etal2023162_1"/><s v="Boyce_etal2023162"/><s v="Boyce_etal2023163_1"/><s v="Boyce_etal2023163"/><s v="Boyce_etal2023164_1"/><s v="Boyce_etal2023164"/><s v="Boyce_etal2023164_b"/><s v="Boyce_etal2023165_1"/><s v="Boyce_etal2023165"/><s v="Boyce_etal2023166_1"/><s v="Boyce_etal2023166"/><s v="Boyce_etal2023166_b"/><s v="Boyce_etal2023166_c"/><s v="Boyce_etal2023167"/><s v="Boyce_etal2023168_1"/><s v="Boyce_etal2023168"/><s v="Boyce_etal2023169_1"/><s v="Boyce_etal2023169"/><s v="Boyce_etal2023169_a"/><s v="Boyce_etal202317"/><s v="Boyce_etal2023170_1"/><s v="Boyce_etal2023170"/><s v="Boyce_etal2023171_1"/><s v="Boyce_etal2023171"/><s v="Boyce_etal2023172_1"/><s v="Boyce_etal2023172_1_a"/><s v="Boyce_etal2023172_1_b"/><s v="Boyce_etal2023173_1"/><s v="Boyce_etal2023173_1_a"/><s v="Boyce_etal2023173_1_b"/><s v="Boyce_etal2023173_1_c"/><s v="Boyce_etal2023173_1_d"/><s v="Boyce_etal2023173_1_e"/><s v="Boyce_etal2023173_1_f"/><s v="Boyce_etal2023173_1_g"/><s v="Boyce_etal2023173_1_h"/><s v="Boyce_etal2023173_1_i"/><s v="Boyce_etal2023173_1_j"/><s v="Boyce_etal2023173_1_k"/><s v="Boyce_etal2023173_1_l"/><s v="Boyce_etal2023173_1_m"/><s v="Boyce_etal2023173_1_n"/><s v="Boyce_etal2023174_1"/><s v="Boyce_etal2023174_1_a"/><s v="Boyce_etal2023174_1_b"/><s v="Boyce_etal2023174_1_c"/><s v="Boyce_etal2023174_1_d"/><s v="Boyce_etal2023174_1_e"/><s v="Boyce_etal2023175_1"/><s v="Boyce_etal2023175_1_a"/><s v="Boyce_etal2023175_1_b"/><s v="Boyce_etal2023175_1_c"/><s v="Boyce_etal2023175_1_d"/><s v="Boyce_etal2023175_1_e"/><s v="Boyce_etal2023175_1_f"/><s v="Boyce_etal2023175_1_g"/><s v="Boyce_etal2023175_1_h"/><s v="Boyce_etal2023175_1_i"/><s v="Boyce_etal2023175_1_j"/><s v="Boyce_etal2023175_1_k"/><s v="Boyce_etal2023176"/><s v="Boyce_etal202318_1"/><s v="Boyce_etal202318"/><s v="Boyce_etal202318_b"/><s v="Boyce_etal202319_1"/><s v="Boyce_etal202319"/><s v="Boyce_etal202319_b"/><s v="Boyce_etal20232_1"/><s v="Boyce_etal20232"/><s v="Boyce_etal202320_1"/><s v="Boyce_etal202320"/><s v="Boyce_etal202321_1"/><s v="Boyce_etal202321_1_a"/><s v="Boyce_etal202321_1_b"/><s v="Boyce_etal202321_1_c"/><s v="Boyce_etal202321_1_d"/><s v="Boyce_etal202321_1_e"/><s v="Boyce_etal202321_1_f"/><s v="Boyce_etal202321_1_g"/><s v="Boyce_etal202322_1"/><s v="Boyce_etal202322"/><s v="Boyce_etal202323_1"/><s v="Boyce_etal202323"/><s v="Boyce_etal202324_1"/><s v="Boyce_etal202324"/><s v="Boyce_etal202325_1"/><s v="Boyce_etal202325"/><s v="Boyce_etal202325_b"/><s v="Boyce_etal202325_c"/><s v="Boyce_etal202326_1"/><s v="Boyce_etal202326"/><s v="Boyce_etal202327_1"/><s v="Boyce_etal202327"/><s v="Boyce_etal202328_1"/><s v="Boyce_etal202328"/><s v="Boyce_etal202329"/><s v="Boyce_etal202329_b"/><s v="Boyce_etal20233"/><s v="Boyce_etal20233_b"/><s v="Boyce_etal202330"/><s v="Boyce_etal202330_b"/><s v="Boyce_etal202330_c"/><s v="Boyce_etal202330_d"/><s v="Boyce_etal202331"/><s v="Boyce_etal202332"/><s v="Boyce_etal202333"/><s v="Boyce_etal202334"/><s v="Boyce_etal202335"/><s v="Boyce_etal202336"/><s v="Boyce_etal202337"/><s v="Boyce_etal202338"/><s v="Boyce_etal202338_b"/><s v="Boyce_etal202339"/><s v="Boyce_etal20234"/><s v="Boyce_etal202340"/><s v="Boyce_etal202340_b"/><s v="Boyce_etal202341"/><s v="Boyce_etal202341_b"/><s v="Boyce_etal202342"/><s v="Boyce_etal202343"/><s v="Boyce_etal202344"/><s v="Boyce_etal202345"/><s v="Boyce_etal202345_b"/><s v="Boyce_etal202346"/><s v="Boyce_etal202347"/><s v="Boyce_etal202348"/><s v="Boyce_etal202349"/><s v="Boyce_etal20235"/><s v="Boyce_etal202350"/><s v="Boyce_etal202351"/><s v="Boyce_etal202352"/><s v="Boyce_etal202353"/><s v="Boyce_etal202354"/><s v="Boyce_etal202355"/><s v="Boyce_etal202355_b"/><s v="Boyce_etal202356"/><s v="Boyce_etal202357"/><s v="Boyce_etal202358"/><s v="Boyce_etal202359"/><s v="Boyce_etal20236"/><s v="Boyce_etal202360"/><s v="Boyce_etal202361"/><s v="Boyce_etal202362"/><s v="Boyce_etal202363"/><s v="Boyce_etal202364"/><s v="Boyce_etal202365"/><s v="Boyce_etal202365_b"/><s v="Boyce_etal202365_c"/><s v="Boyce_etal202365_d"/><s v="Boyce_etal202366"/><s v="Boyce_etal202367"/><s v="Boyce_etal202368"/><s v="Boyce_etal202368_b"/><s v="Boyce_etal202369"/><s v="Boyce_etal20237"/><s v="Boyce_etal202370"/><s v="Boyce_etal202371"/><s v="Boyce_etal202372"/><s v="Boyce_etal202373"/><s v="Boyce_etal202374"/><s v="Boyce_etal202375"/><s v="Boyce_etal202375_b"/><s v="Boyce_etal202375_c"/><s v="Boyce_etal202376"/><s v="Boyce_etal202377"/><s v="Boyce_etal202378"/><s v="Boyce_etal202379"/><s v="Boyce_etal20238"/><s v="Boyce_etal20238_b"/><s v="Boyce_etal202380"/><s v="Boyce_etal202381"/><s v="Boyce_etal202382"/><s v="Boyce_etal202383"/><s v="Boyce_etal202384"/><s v="Boyce_etal202385"/><s v="Boyce_etal202386"/><s v="Boyce_etal202387"/><s v="Boyce_etal202388"/><s v="Boyce_etal202389"/><s v="Boyce_etal20239"/><s v="Boyce_etal202390"/><s v="Boyce_etal202391"/><s v="Boyce_etal202392"/><s v="Boyce_etal202393"/><s v="Boyce_etal202394"/><s v="Boyce_etal202395"/><s v="Boyce_etal202395_b"/><s v="Boyce_etal202395_c"/><s v="Boyce_etal202395_d"/><s v="Boyce_etal202395_e"/><s v="Boyce_etal202395_f"/><s v="Boyce_etal202396"/><s v="Boyce_etal202397"/><s v="Boyce_etal202398"/><s v="Boyce_etal202399"/><s v="bth36"/><s v="Camereretal2016_1"/><s v="Camereretal2016_10"/><s v="Camereretal2016_11"/><s v="Camereretal2016_12"/><s v="Camereretal2016_13"/><s v="Camereretal2016_14"/><s v="Camereretal2016_15"/><s v="Camereretal2016_16"/><s v="Camereretal2016_17"/><s v="Camereretal2016_18"/><s v="Camereretal2016_2"/><s v="Camereretal2016_3"/><s v="Camereretal2016_4"/><s v="Camereretal2016_5"/><s v="Camereretal2016_6"/><s v="Camereretal2016_7"/><s v="Camereretal2016_8"/><s v="Camereretal2016_9"/><s v="Camereretal2018_1_1"/><s v="Camereretal2018_10_1"/><s v="Camereretal2018_11_1"/><s v="Camereretal2018_12_1"/><s v="Camereretal2018_13_1"/><s v="Camereretal2018_14_1"/><s v="Camereretal2018_15_1"/><s v="Camereretal2018_16_1"/><s v="Camereretal2018_17_1"/><s v="Camereretal2018_18_1"/><s v="Camereretal2018_19_1"/><s v="Camereretal2018_2_1"/><s v="Camereretal2018_20_1"/><s v="Camereretal2018_21_1"/><s v="Camereretal2018_3_1"/><s v="Camereretal2018_4_1"/><s v="Camereretal2018_5_1"/><s v="Camereretal2018_6_1"/><s v="Camereretal2018_7_1"/><s v="Camereretal2018_8_1"/><s v="Camereretal2018_9_1"/><s v="curatescience10"/><s v="curatescience11"/><s v="curatescience12"/><s v="CORE_1"/><s v="CORE_1_b"/><s v="CORE_1_c"/><s v="CORE_1_d"/><s v="CORE_1_e"/><s v="CORE_1_f"/><s v="CORE_1_g"/><s v="CORE_1_h"/><s v="CORE_1_i"/><s v="CORE_1_j"/><s v="curatescience13"/><s v="curatescience14"/><s v="curatescience15"/><s v="curatescience15_b"/><s v="curatescience15_c"/><s v="curatescience16"/><s v="curatescience17"/><s v="curatescience18"/><s v="curatescience19"/><s v="curatescience20"/><s v="curatescience20_b"/><s v="curatescience20_c"/><s v="curatescience204_1"/><s v="curatescience204_2"/><s v="curatescience21"/><s v="curatescience22"/><s v="curatescience23"/><s v="curatescience24"/><s v="curatescience241_1"/><s v="curatescience241_2"/><s v="curatescience244_1"/><s v="curatescience244_2"/><s v="curatescience25"/><s v="curatescience25_b"/><s v="curatescience26"/><s v="curatescience27"/><s v="curatescience28"/><s v="curatescience283_1"/><s v="curatescience283_2"/><s v="curatescience29"/><s v="curatescience30"/><s v="curatescience31"/><s v="curatescience32"/><s v="curatescience32_b"/><s v="curatescience32_c"/><s v="curatescience320_1"/><s v="curatescience320_2"/><s v="curatescience33"/><s v="curatescience34"/><s v="curatescience35"/><s v="curatescience35_b"/><s v="curatescience36"/><s v="curatescience37"/><s v="curatescience38"/><s v="curatescience395_1"/><s v="curatescience395_1_b"/><s v="curatescience395_1_c"/><s v="curatescience395_1_d"/><s v="curatescience395_5"/><s v="curatescience40"/><s v="curatescience41"/><s v="curatescience42"/><s v="curatescience43"/><s v="curatescience44"/><s v="curatescience45"/><s v="curatescience46"/><s v="curatescience47"/><s v="curatescience48"/><s v="curatescience49"/><s v="curatescience50"/><s v="curatescience51"/><s v="curatescience52"/><s v="curatescience52_b"/><s v="curatescience53_b"/><s v="curatescience53_c"/><s v="curatescience53_d"/><s v="curatescience53_e"/><s v="curatescience53_f"/><s v="curatescience53_g"/><s v="curatescience53_h"/><s v="curatescience53_i"/><s v="curatescience53_j"/><s v="curatescience53_k"/><s v="curatescience53_l"/><s v="curatescience53_m"/><s v="curatescience53"/><s v="curatescience533_1"/><s v="curatescience533_2"/><s v="curatescience537_1"/><s v="curatescience537_2"/><s v="curatescience54"/><s v="curatescience54_b"/><s v="curatescience54_c"/><s v="curatescience55"/><s v="curatescience55_b"/><s v="curatescience55_c"/><s v="curatescience558_1"/><s v="curatescience558_2"/><s v="curatescience56"/><s v="curatescience56_b"/><s v="curatescience56_c"/><s v="curatescience57"/><s v="curatescience57_b"/><s v="curatescience578_1"/><s v="curatescience578_2"/><s v="curatescience58"/><s v="curatescience59"/><s v="curatescience599_1"/><s v="curatescience599_2"/><s v="curatescience600_1"/><s v="curatescience600_2"/><s v="curatescience620_1"/><s v="curatescience620_2"/><s v="curatescience641_1"/><s v="curatescience641_2"/><s v="curatescience7"/><s v="curatescience7_b"/><s v="curatescience7_c"/><s v="curatescience7_overall"/><s v="curatescience73_1"/><s v="curatescience73_2"/><s v="curatescience75_1"/><s v="curatescience75_2"/><s v="curatescience8"/><s v="curatescience8_b"/><s v="curatescience8_c"/><s v="curatescience86_1"/><s v="curatescience86_2"/><s v="curatescience9"/><s v="datareplicada10a"/><s v="datareplicada10"/><s v="datareplicada10_b"/><s v="datareplicada10_c"/><s v="datareplicada10_d"/><s v="datareplicada10b"/><s v="datareplicada10d"/><s v="datareplicada2"/><s v="datareplicada2_b"/><s v="datareplicada3"/><s v="datareplicada3_1_2_1"/><s v="datareplicada3_b"/><s v="datareplicada4"/><s v="datareplicada7"/><s v="datareplicada7a"/><s v="datareplicada7_b"/><s v="datareplicada7b"/><s v="datareplicada7_c"/><s v="datareplicada7c"/><s v="dqv9y"/><s v="dqv9y_b"/><s v="dqv9y_c"/><s v="e9d3k"/><s v="e9d3k_b"/><s v="e9d3k_c"/><s v="e9d3k_d"/><s v="e9d3k_e"/><s v="e9d3k_f"/><s v="e9d3k_g"/><s v="e9d3k_h"/><s v="e9d3k_i"/><s v="e9d3k_j"/><s v="e9d3k_k"/><s v="e9d3k_l"/><s v="e9d3k_m"/><s v="fmd75"/><s v="gh52k"/><s v="gh52k_b"/><s v="gh52k_c"/><s v="Holzmeisteretal2024_1"/><s v="Holzmeisteretal2024_10"/><s v="Holzmeisteretal2024_11"/><s v="Holzmeisteretal2024_12"/><s v="Holzmeisteretal2024_13"/><s v="Holzmeisteretal2024_14"/><s v="Holzmeisteretal2024_15"/><s v="Holzmeisteretal2024_16"/><s v="Holzmeisteretal2024_17"/><s v="Holzmeisteretal2024_18"/><s v="Holzmeisteretal2024_19"/><s v="Holzmeisteretal2024_2"/><s v="Holzmeisteretal2024_20"/><s v="Holzmeisteretal2024_21"/><s v="Holzmeisteretal2024_22"/><s v="Holzmeisteretal2024_23"/><s v="Holzmeisteretal2024_24"/><s v="Holzmeisteretal2024_25"/><s v="Holzmeisteretal2024_26"/><s v="Holzmeisteretal2024_3"/><s v="Holzmeisteretal2024_4"/><s v="Holzmeisteretal2024_5"/><s v="Holzmeisteretal2024_6"/><s v="Holzmeisteretal2024_7"/><s v="Holzmeisteretal2024_8"/><s v="Holzmeisteretal2024_9"/><s v="is1"/><s v="is2"/><s v="is3"/><s v="j8a4p"/><s v="j8a4p_composite"/><s v="j8a4p_dog"/><s v="j8a4p_kitten"/><s v="j8a4p_plane"/><s v="j8a4p_resume"/><s v="j8a4p_trolley"/><s v="j8a4p_wallet"/><s v="jcre_01"/><s v="jcre_01_a"/><s v="jcre_01_c2"/><s v="jcre_01_c2a"/><s v="jcre_01_c3"/><s v="jcre_01_c3a"/><s v="jcre_01_c6"/><s v="jcre_01_c6a"/><s v="jcre_01_d2"/><s v="jcre_01_d3"/><s v="jcre_01_d6"/><s v="jcre_01_g2"/><s v="jcre_01_g2a"/><s v="jcre_01_g3"/><s v="jcre_01_g3a"/><s v="jcre_01_g6"/><s v="jcre_01_g6a"/><s v="jcre_01_gt2"/><s v="jcre_01_gt2a"/><s v="jcre_01_gt3"/><s v="jcre_01_gt3a"/><s v="jcre_01_gt6"/><s v="jcre_01_gt6a"/><s v="jcre_01_h2"/><s v="jcre_01_h2a"/><s v="jcre_01_h3"/><s v="jcre_01_h3a"/><s v="jcre_01_h6"/><s v="jcre_01_h6a"/><s v="jcre_01_m2"/><s v="jcre_01_m2a"/><s v="jcre_01_m3"/><s v="jcre_01_m3a"/><s v="jcre_01_m6"/><s v="jcre_01_m6a"/><s v="jcre_01_mt2"/><s v="jcre_01_mt2a"/><s v="jcre_01_mt3"/><s v="jcre_01_mt3a"/><s v="jcre_01_mt6"/><s v="jcre_01_mt6a"/><s v="jcre_01_r2"/><s v="jcre_01_r3"/><s v="jcre_01_r6"/><s v="jcre_01_y2a"/><s v="jcre_01_y3a"/><s v="jcre_01_y6a"/><s v="jcre_01_yt2a"/><s v="jcre_01_yt3a"/><s v="jcre_01_yt6a"/><s v="jcre_02"/><s v="jcre_03"/><s v="jcre_04"/><s v="jcre_05"/><s v="jcre_06"/><s v="Manylabs2_01_1"/><s v="Manylabs2_01_1_b"/><s v="Manylabs2_01_1_c"/><s v="Manylabs2_02_1"/><s v="Manylabs2_02_b"/><s v="Manylabs2_02_c"/><s v="Manylabs2_03_1"/><s v="Manylabs2_03_1_b"/><s v="Manylabs2_04_1"/><s v="Manylabs2_05_1"/><s v="Manylabs2_06_1"/><s v="Manylabs2_06_1_b"/><s v="Manylabs2_07_1"/><s v="Manylabs2_07_1_b"/><s v="Manylabs2_07_1_c"/><s v="Manylabs2_10_1"/><s v="Manylabs2_10_1_b"/><s v="Manylabs2_10_1_c"/><s v="Manylabs2_11_1"/><s v="Manylabs2_12_1"/><s v="Manylabs2_12_1_b"/><s v="Manylabs2_13_1"/><s v="Manylabs2_14_1"/><s v="Manylabs2_15_1"/><s v="Manylabs2_15_1_b"/><s v="Manylabs2_15_1_c"/><s v="Manylabs2_15_1_d"/><s v="Manylabs2_15_1_e"/><s v="Manylabs2_16_1"/><s v="Manylabs2_17_1"/><s v="Manylabs2_18_1"/><s v="Manylabs2_18_1_b"/><s v="Manylabs2_19_1"/><s v="Manylabs2_20_1"/><s v="Manylabs2_21_1"/><s v="Manylabs2_22_1"/><s v="Manylabs2_22_1_b"/><s v="Manylabs2_23_1"/><s v="Manylabs2_24_1"/><s v="Manylabs2_25_1"/><s v="Manylabs2_26_1"/><s v="Manylabs2_27_1"/><s v="Manylabs2_27_1_b"/><s v="Manylabs2_27_1_c"/><s v="Manylabs2_28_1"/><s v="Manylabs2_8_1"/><s v="Manylabs2_8_1_b"/><s v="Manylabs2_9_1"/><s v="OpenMKT1"/><s v="OpenMKT1_b"/><s v="OpenMKT1_c"/><s v="OpenMKT1_d"/><s v="OpenMKT1_e"/><s v="OpenMKT1_f"/><s v="OpenMKT1_g"/><s v="OpenMKT1_h"/><s v="OpenMKT1_i"/><s v="OpenMKT1_j"/><s v="OpenMKT1_k"/><s v="OpenMKT1_l"/><s v="OpenMKT1_m"/><s v="OpenMKT10_1"/><s v="OpenMKT10_b"/><s v="OpenMKT10_c"/><s v="OpenMKT10"/><s v="OpenMKT11"/><s v="OpenMKT11_b"/><s v="OpenMKT11_c"/><s v="OpenMKT11_d"/><s v="OpenMKT11_e"/><s v="OpenMKT11_f"/><s v="OpenMKT11_g"/><s v="OpenMKT11_h"/><s v="OpenMKT11_i"/><s v="OpenMKT12"/><s v="OpenMKT12_b"/><s v="OpenMKT12_c"/><s v="OpenMKT12_d"/><s v="OpenMKT12_e"/><s v="OpenMKT12_f"/><s v="OpenMKT12_g"/><s v="OpenMKT12_h"/><s v="OpenMKT13"/><s v="OpenMKT13_b"/><s v="OpenMKT13_c"/><s v="OpenMKT14"/><s v="OpenMKT14_b"/><s v="OpenMKT14_c"/><s v="OpenMKT14_d"/><s v="OpenMKT14_e"/><s v="OpenMKT14_f"/><s v="OpenMKT14_g"/><s v="OpenMKT14_h"/><s v="OpenMKT15"/><s v="OpenMKT15_b"/><s v="OpenMKT15_c"/><s v="OpenMKT15_d"/><s v="OpenMKT15_e"/><s v="OpenMKT15_f"/><s v="OpenMKT15_g"/><s v="OpenMKT15_h"/><s v="OpenMKT16"/><s v="OpenMKT16_b"/><s v="OpenMKT16_c"/><s v="OpenMKT16_d"/><s v="OpenMKT16_e"/><s v="OpenMKT16_f"/><s v="OpenMKT16_g"/><s v="OpenMKT2_1"/><s v="OpenMKT2"/><s v="OpenMKT2_2"/><s v="OpenMKT2_b"/><s v="OpenMKT2_3"/><s v="OpenMKT2_c"/><s v="OpenMKT3_1"/><s v="OpenMKT3_b"/><s v="OpenMKT3_c"/><s v="OpenMKT3"/><s v="OpenMKT4"/><s v="OpenMKT5_1"/><s v="OpenMKT5_b"/><s v="OpenMKT5_c"/><s v="OpenMKT5_d"/><s v="OpenMKT5_e"/><s v="OpenMKT5_f"/><s v="OpenMKT5"/><s v="OpenMKT6_1"/><s v="OpenMKT6_b"/><s v="OpenMKT6"/><s v="OpenMKT7_1"/><s v="OpenMKT7_b"/><s v="OpenMKT7_c"/><s v="OpenMKT7_d"/><s v="OpenMKT7"/><s v="OpenMKT8_1"/><s v="OpenMKT8_b"/><s v="OpenMKT8_c"/><s v="OpenMKT8_d"/><s v="OpenMKT8_e"/><s v="OpenMKT8"/><s v="OpenMKT9_1"/><s v="OpenMKT9_b"/><s v="OpenMKT9"/><s v="osc20151"/><s v="osc201510"/><s v="osc2015104"/><s v="osc2015106"/><s v="osc2015107"/><s v="osc2015109"/><s v="osc201511"/><s v="osc2015110"/><s v="osc2015111"/><s v="osc2015112"/><s v="osc2015113"/><s v="osc2015114"/><s v="osc2015115"/><s v="osc2015116"/><s v="osc2015117"/><s v="osc2015118"/><s v="osc201512"/><s v="osc2015120"/><s v="osc2015121"/><s v="osc2015122"/><s v="osc2015123"/><s v="osc2015124"/><s v="osc2015126"/><s v="osc2015127"/><s v="osc2015129"/><s v="osc201513"/><s v="osc2015132"/><s v="osc2015133"/><s v="osc2015134"/><s v="osc2015135"/><s v="osc2015136"/><s v="osc2015139"/><s v="osc2015140"/><s v="osc2015142"/><s v="osc2015143"/><s v="osc2015145"/><s v="osc2015146"/><s v="osc2015148"/><s v="osc201515"/><s v="osc2015150"/><s v="osc2015151"/><s v="osc2015153"/><s v="osc2015154"/><s v="osc2015155"/><s v="osc2015158"/><s v="osc2015161"/><s v="osc2015165"/><s v="osc2015167"/><s v="osc201517"/><s v="osc201519"/><s v="osc20152"/><s v="osc201520"/><s v="osc201522"/><s v="osc201524"/><s v="osc201525"/><s v="osc201526"/><s v="osc201527"/><s v="osc201528"/><s v="osc201529"/><s v="osc20153"/><s v="osc201532"/><s v="osc201533"/><s v="osc201536"/><s v="osc201537"/><s v="osc201539"/><s v="osc20154"/><s v="osc201543"/><s v="osc201543_m"/><s v="osc201544"/><s v="osc201544_a"/><s v="osc201546"/><s v="osc201548"/><s v="osc201548_f"/><s v="osc201549"/><s v="osc20155"/><s v="osc201550"/><s v="osc201552"/><s v="osc201553"/><s v="osc201553_a"/><s v="osc201555"/><s v="osc201555_a"/><s v="osc201556"/><s v="osc201558"/><s v="osc201559"/><s v="osc20156"/><s v="osc201561"/><s v="osc201561_a"/><s v="osc201563"/><s v="osc201563_a"/><s v="osc201564"/><s v="osc201564_c"/><s v="osc201565"/><s v="osc201565_a"/><s v="osc201568"/><s v="osc201569"/><s v="osc201569_a"/><s v="osc20157"/><s v="osc201571"/><s v="osc201571_b"/><s v="osc201572"/><s v="osc201572_a"/><s v="osc201573"/><s v="osc201577"/><s v="osc201577_a"/><s v="osc20158"/><s v="osc201580"/><s v="osc201580_a"/><s v="osc201581"/><s v="osc201581_a"/><s v="osc201582"/><s v="osc201584"/><s v="osc201586"/><s v="osc201586_a"/><s v="osc201587"/><s v="osc201587_a"/><s v="osc201589"/><s v="osc201589_a"/><s v="osc20159"/><s v="osc201593"/><s v="osc201593_a"/><s v="osc201594"/><s v="osc201597"/><s v="osc201597_e"/><s v="q6tv8"/><s v="resciencex_01"/><s v="rtn9s"/><s v="soscisubmission1"/><s v="soscisubmission1_2"/><s v="soscisubmission10"/><s v="soscisubmission11"/><s v="soscisubmission13"/><s v="soscisubmission14a"/><s v="soscisubmission14b"/><s v="soscisubmission14c"/><s v="soscisubmission15"/><s v="soscisubmission15_b"/><s v="soscisubmission15_c"/><s v="soscisubmission18"/><s v="soscisubmission_b"/><s v="soscisubmission2_2"/><s v="soscisubmission_c"/><s v="soscisubmission3_1"/><s v="soscisubmission3_2"/><s v="soscisubmission3_3"/><s v="soscisubmission3_4"/><s v="soscisubmission34"/><s v="soscisubmission34_2_1"/><s v="soscisubmission34_2_2"/><s v="soscisubmission38"/><s v="soscisubmission38_1_1"/><s v="soscisubmission39"/><s v="soscisubmission41"/><s v="soscisubmission45"/><s v="soscisubmission46"/><s v="soscisubmission47"/><s v="soscisubmission47_b"/><s v="soscisubmission49"/><s v="soscisubmission47_c"/><s v="soscisubmission6"/><s v="soscisubmission6_1_2_1"/><s v="soscisubmission6_b"/><s v="soscisubmission7"/><s v="soscisubmission7_1_2_1"/><s v="soscisubmission7_1_2_2"/><s v="soscisubmission7_1_2_3"/><s v="soscisubmission7_1_2_4"/><s v="soscisubmission8"/><s v="soscisubmission8_1_1"/><s v="soscisubmission9"/><s v="svodevelopment"/><s v="svodevelopment2"/><s v="svodevelopment2_1i"/><s v="svodevelopment2_1j"/><s v="svodevelopment2_3"/><s v="svodevelopment2_3a"/><s v="svodevelopment2_3b"/><s v="svodevelopment2_3c"/><s v="svodevelopment2_3d"/><s v="svodevelopment2_3e"/><s v="svodevelopment2_3f"/><s v="svodevelopment2_3g"/><s v="svodevelopment2_1a"/><s v="svodevelopment2_3h"/><s v="svodevelopment2_3i"/><s v="svodevelopment2_4"/><s v="svodevelopment2_4a"/><s v="svodevelopment2_4b"/><s v="svodevelopment2_1b"/><s v="svodevelopment2_1c"/><s v="svodevelopment2_1d"/><s v="svodevelopment2_1e"/><s v="svodevelopment2_1f"/><s v="svodevelopment2_1g"/><s v="svodevelopment2_1h"/><s v="uxajg"/><s v="XPHI10"/><s v="XPHI11_b"/><s v="XPHI12"/><s v="XPHI13"/><s v="XPHI14"/><s v="XPHI15"/><s v="XPHI15_b"/><s v="XPHI15_c"/><s v="XPHI15_d"/><s v="XPHI15_e"/><s v="XPHI16"/><s v="XPHI17"/><s v="XPHI18"/><s v="XPHI19"/><s v="XPHI2"/><s v="XPHI20"/><s v="XPHI20_b"/><s v="XPHI21"/><s v="XPHI22"/><s v="XPHI23"/><s v="XPHI24"/><s v="XPHI25"/><s v="XPHI26"/><s v="XPHI26_b"/><s v="XPHI26_c"/><s v="XPHI26_d"/><s v="XPHI26_e"/><s v="XPHI26_f"/><s v="XPHI26_g"/><s v="XPHI27"/><s v="XPHI28"/><s v="XPHI29"/><s v="XPHI29_b"/><s v="XPHI3"/><s v="XPHI30"/><s v="XPHI31"/><s v="XPHI32"/><s v="XPHI32_b"/><s v="XPHI32_c"/><s v="XPHI32_d"/><s v="XPHI32_e"/><s v="XPHI32_f"/><s v="XPHI32_g"/><s v="XPHI33"/><s v="XPHI33_b"/><s v="XPHI33_c"/><s v="XPHI33_d"/><s v="XPHI33_e"/><s v="XPHI34"/><s v="XPHI35"/><s v="XPHI35_b"/><s v="XPHI35_c"/><s v="XPHI36"/><s v="XPHI37"/><s v="XPHI38"/><s v="XPHI38_b"/><s v="XPHI39"/><s v="XPHI39_b"/><s v="XPHI39_c"/><s v="XPHI4"/><s v="XPHI40"/><s v="XPHI40_b"/><s v="XPHI5"/><s v="XPHI5_b"/><s v="XPHI5_c"/><s v="XPHI5_d"/><s v="XPHI6"/><s v="XPHI7"/><s v="XPHI8"/><s v="XPHI9"/><s v="soscisubmission14c_b"/><s v="soscisubmission14c_c"/><s v="soscisubmission13_b"/><s v="soscisubmission41_b"/><s v="soscisubmission41_c"/><s v="soscisubmission11_b"/><s v="soscisubmission46_b"/><s v="curatescience46_b"/><s v="Soto"/></sharedItems></cacheField><cacheField name="contributors" numFmtId="0"><sharedItems containsBlank="1"><s v="*Add* your name when you edit the row"/><s v="Kateri McRae, Daniel Lumian, Mallory C. Kidwell, Johanna Cohoon, Lilian Hummer"/><s v="Kateri McRae, Daniel Lumian, Mallory C. Kidwell, Johanna Cohoon, Lilian Hummer, Jyoti Bhogal"/><s v="Nikita"/><s v="Husnain"/><s v="Kateri McRae, Mallory C. Kidwell, Johanna Cohoon, Daniel Lumian, Lilian Hummer, TESS-Experiments"/><s v="Kateri McRae, Mallory C. Kidwell, Johanna Cohoon, Daniel Lumian, Lilian Hummer, TESS-Experiments, Jyoti Bhogal"/><s v="Nikolay Petrov"/><s v="Hakile Resulbegoviq"/><s v="SAJ"/><s v="Aleksandr Pravednikov"/><s v="Daniel Manrique-Castano"/><s v="Julia Fabienne Sandkühler"/><s v="Hakile"/><s v="Antony Casula"/><s v="Vidhi"/><s v="LR"/><s v="LR, RB"/><s v="Daniel"/><s v="Roksana Sobolak"/><s v="Mariem_Younssi"/><s v="Mariem Younssi"/><s v="LR, Roksana Sobolak"/><s v="Daniel Manrique-Castano Manrique-Castano"/><m/><s v="LR, Thomas Miller"/><s v="LR, RS"/><s v="LR,  Corinna Gemmecke"/><s v="Maria Stogianni"/><s v="LR, DM-R"/><s v="LR, Corinna Gemmecke"/><s v="RS"/><s v="LR, Teshome"/><s v="LR, AD"/><s v="Merged"/><s v="Corinna Gemmecke"/><s v="Maureen Osano"/><s v="Sarah Ashcroft-Jones"/><s v="Lukas Röseler, Sarah Ashcroft-Jones"/><s v="RB"/><s v="RL"/><s v="Husnain Raza"/><s v="which study in replication is supposed to replicate the egodepletion effect? Jyoti Bhogal"/><s v="Jyoti Bhogal"/><s v="DM-R"/><s v="Maureen"/><s v="Diego Manriquez-Robles"/><s v="Teshome Kebede Deressa"/><s v="Roksana"/><s v="Becker, Ray"/><s v="Kaiser, Leonard, Roksana"/><s v="Kaiser, Leonard"/><s v="Nikita Otstavnov"/><s v="Kasia Banas"/><s v="Kasia Banas, Jyoti Bhogal"/><s v="Jarret Crawford"/><s v="Jarret Crawford, Jyoti Bhogal"/><s v="Lukas Röseler, Astrid Schütz, Evgenia Burlakovas, Marieluisa Dück, Sabine Fels, Sophie Janiczek , Jana Kupfer, Elena Prinz, Sarah Wieczorek, Christian Seida, Roksana Sobolak"/><s v="Lukas Röseler, Astrid Schütz, Evgenia Burlakovas, Marieluisa Dück, Sabine Fels, Sophie Janiczek , Jana Kupfer, Elena Prinz, Sarah Wieczorek, Christian Seida, Thomas Miller"/><s v="Wolf, Röseler, Leder, Schütz"/><s v="Kaiser, Leonard; Osano, Maureen"/><s v="van Rijn, Corinna Gemmecke"/><s v="Shaki, Corinna Gemmecke"/><s v="Foster, Corinna Gemmecke"/><s v="Fitneva, Corinna Gemmecke"/><s v="Prenoveau, Corinna Gemmecke"/><s v="Bosco, Corinna Gemmecke"/><s v="Bosco"/><s v="Munafo, Corinna Gemmecke"/><s v="Chandler, Corinna Gemmecke"/><s v="Saxe, Corinna Gemmecke"/><s v="Lassetter, Corinna Gemmecke"/><s v="Vasquez, Corinna Gemmecke"/><s v="Brown, Corinna Gemmecke"/><s v="Vanpaemel, Corinna Gemmecke"/><s v="Barnett Cowan, Corinna Gemmecke"/><s v="Osborne, Corinna Gemmecke"/><s v="Bell, Corinna Gemmecke"/><s v="Lewis, Corinna Gemmecke"/><s v="Beer, Corinna Gemmecke"/><s v="Schlegelmilch, Corinna Gemmecke"/><s v="Stieger, Corinna Gemmecke"/><s v="Levitan, Corinna Gemmecke"/><s v="Lai, Corinna Gemmecke"/><s v="Ricker, Corinna Gemmecke"/><s v="Jonas, Corinna Gemmeck"/><s v="Jonas"/><s v="Renkewitz, Corinna Gemmecke"/><s v="Seibel, Corinna Gemmecke"/><s v="Cohn, Corinna Gemmecke"/><s v="Giner-Sorolla"/><s v="Snyder, Corinna Gemmecke"/><s v="Snyder"/><s v="Joy Gaba, Corinna Gemmecke"/><s v="Masicampo, Corinna Gemmecke"/><s v="Masicampo"/><s v="Sandstrom, Corinna Gemmecke"/><s v="Thomae, Corinna Gemmecke"/><s v="Melinger, Corinna Gemmecke"/><s v="Frazier, Corinna Gemmecke"/><s v="Cloud, Corinna Gemmecke"/><s v="Dorrough, Roksana"/><s v="Cheung, Roksana"/><s v="Saxe, Roksana"/><s v="Saxe"/><s v="Lazarevic, Roksana"/><s v="Levitan, Roksana"/><s v="Perugini, Roksana"/><s v="Cramblet Alvarez, Roksana"/><s v="Fuchs, Roksana"/><s v="Renkewitz, Roksana"/><s v="Gloeckner, Roksana"/><s v="Neijenhuijs, Roksana"/><s v="Goodbourn, Roksana"/><s v="Fiedler, Roksana"/><s v="Kappes, Roksana"/><s v="Hung, Roksana"/><s v="Roebke, Roksana"/><s v="Lai, Reynolds, Roksana"/><s v="Chartier, Roksana"/><s v="Galak, Roksana"/><s v="Ostkamp, Roksana"/><s v="Plessow, Roksana"/><s v="Renkewitz"/><s v="Jahn, Roksana"/><s v="Moore, Roksana"/><s v="Moore"/><s v="Forsell, Roksana"/><s v="Callahan, Roksana"/><s v="Holubar, Roksana"/><s v="Vianello, Roksana"/><s v="Soderberg, Roksans"/><s v="Soderberg"/><s v="Wissink, Roksana"/><s v="Kim, Roksana"/><s v="Kim"/><s v="Lakens, Roksana"/><s v="Sonnleitner, Roksna"/><s v="Brown, Roksana"/><s v="Graham, Roksana"/><s v="Gable, Roksana"/><s v="Slowik, Roksana"/><s v="Slowik"/><s v="Baranski, Roksana"/><s v="Baranski"/><s v="Marigold, Roksana"/><s v="Meixner, Roksana"/><s v="Talhelm, Roksana"/><s v="LeBel, Roksana"/><s v="Reinhard, Roksana"/><s v="Lin, Roksana"/><s v="Mathur, Roksana"/><s v="Sullivan, Roksana"/><s v="Kleinberg, Roksana"/><s v="Lemm, Roksana"/><s v="Motyl, Roksana"/><s v="Kidwell, Roksana"/><s v="Calhoun Sauls, Roksana"/><s v="Lane, Roksana"/><s v="Gilbert, Roksana"/><s v="Eggleston, Roksana"/><s v="Ratliff, Roksana"/><s v="Ratliff"/><s v="Galliani, Roksana"/><s v="Kelso, Roksana "/><s v="Selterman, Roksana "/><s v="Miller, Roksana"/><s v="Sinclair, Roksana"/><s v="Schmidt, Roksana"/><s v="Sanja Djordjević, Hans IJzerman"/><s v="Sanja Djordjević, Hans IJzerman, Jyoti Bhogal"/><s v="Röseler, Lukas, Roksana"/><s v="Gnambs, Timo; Osano, Maureen"/><s v="Rausch, Manuel; Osano, Maureen"/><s v="Genschow, Oliver; Osano, Maureen "/><s v="Pypno Katarzyna; Paruzel-Czachura Mariola; Maureen Osano"/><s v="Pypno Katarzyna; Paruzel-Czachura Mariola: Maureen Osano"/><s v="Holgado, Darías, Roksana"/><s v="Tobias Dienlin"/><s v="Röseler, Lukas"/><s v="Ross, Robert M., Roksana"/><s v="Hussey, Ian, Roksana"/><s v="Cummins, Jamie"/><s v="Vaughn, Leigh Ann; Osano, Maureen "/><s v="Thürmer, Lukas; Osano, Maureen"/><s v="Papenmeier, Frank; Rebholz, Tobias R.; Osano, Maureen"/><s v="Stietz, Julia; Osano, Maureen "/><s v="Stietz, Julia; Osano, Maureen"/><s v="Mahmoud Elsherif, Roksana"/><s v="Kulke, Louisa, Roksana"/><s v="Lou, Nigel Mantou, Roksana"/><s v="Teshome K. Deressa"/><s v="Yi Liu"/><s v="Papenmeier, Frank; Rebholz, Tobias R.: Osano, Maureen"/><s v="Kaiser, Leonard; Manriquez Robles, Diego"/></sharedItems></cacheField><cacheField name="date_entered"><sharedItems containsDate="1" containsBlank="1" containsMixedTypes="1"><s v="(dd/mm/yyyy)"/><s v="1.1.2023"/><d v="2023-07-01T00:00:00Z"/><d v="2024-12-12T00:00:00Z"/><d v="2024-12-15T00:00:00Z"/><d v="2023-09-01T00:00:00Z"/><d v="2024-12-13T00:00:00Z"/><d v="2024-05-15T00:00:00Z"/><m/><d v="2024-11-29T00:00:00Z"/><d v="2025-01-26T00:00:00Z"/><d v="2024-12-11T00:00:00Z"/><d v="2025-01-29T00:00:00Z"/><d v="2024-12-10T00:00:00Z"/><n v="45636.0"/><d v="2024-11-30T00:00:00Z"/><d v="2024-12-08T00:00:00Z"/><d v="2025-01-27T00:00:00Z"/><d v="2024-05-16T00:00:00Z"/><d v="2024-05-17T00:00:00Z"/><d v="2024-05-18T00:00:00Z"/><d v="2024-05-19T00:00:00Z"/><d v="2024-12-09T00:00:00Z"/><d v="2024-12-18T00:00:00Z"/><d v="2024-12-07T00:00:00Z"/><d v="2024-05-21T00:00:00Z"/><d v="2025-01-28T00:00:00Z"/><d v="2025-01-13T00:00:00Z"/><d v="2024-12-14T00:00:00Z"/><d v="2024-05-24T00:00:00Z"/><d v="2024-05-28T00:00:00Z"/><d v="2024-12-16T00:00:00Z"/><d v="2024-06-17T00:00:00Z"/><d v="2024-12-17T00:00:00Z"/><d v="2024-07-16T00:00:00Z"/><d v="2025-01-05T00:00:00Z"/><d v="2024-06-18T00:00:00Z"/><d v="2025-01-15T00:00:00Z"/><d v="2024-06-29T00:00:00Z"/><d v="2025-01-04T00:00:00Z"/><d v="2024-07-05T00:00:00Z"/><d v="2024-12-28T00:00:00Z"/><d v="2024-06-30T00:00:00Z"/><d v="2025-01-03T00:00:00Z"/><d v="2025-01-06T00:00:00Z"/><d v="2025-01-30T00:00:00Z"/><d v="2025-01-12T00:00:00Z"/><d v="2025-03-06T00:00:00Z"/><d v="2025-01-14T00:00:00Z"/><d v="2025-01-07T00:00:00Z"/><d v="2025-01-10T00:00:00Z"/><d v="2024-02-09T00:00:00Z"/><d v="2025-01-16T00:00:00Z"/><d v="2025-01-31T00:00:00Z"/><d v="2025-01-08T00:00:00Z"/><d v="2025-01-09T00:00:00Z"/><d v="2025-02-02T00:00:00Z"/><d v="2025-02-03T00:00:00Z"/><d v="2025-02-04T00:00:00Z"/><d v="2025-02-05T00:00:00Z"/><d v="2025-01-25T00:00:00Z"/><s v="1.3.2025"/><d v="2025-06-05T00:00:00Z"/><d v="2023-03-01T00:00:00Z"/><d v="2025-05-06T00:00:00Z"/><d v="2023-01-01T00:00:00Z"/><d v="2023-02-01T00:00:00Z"/><d v="2024-12-20T00:00:00Z"/><d v="2025-01-18T00:00:00Z"/><d v="2025-09-01T00:00:00Z"/><d v="2025-05-05T00:00:00Z"/><d v="2025-01-19T00:00:00Z"/><s v="25.2.2025"/><s v="26.2.2025"/><s v="21.2.2025"/><s v="22.2.2025"/><s v="2/24/2025"/><d v="2025-02-26T00:00:00Z"/><d v="2025-02-27T00:00:00Z"/><d v="2024-01-01T00:00:00Z"/><d v="2024-12-27T00:00:00Z"/><s v="2.3.2025"/><s v="07.04.2023"/><s v="28.08.2023"/><d v="2023-11-01T00:00:00Z"/><s v="29.08.2023"/><s v="27.02.2025"/><d v="2023-06-01T00:00:00Z"/><d v="2025-01-11T00:00:00Z"/><d v="2024-12-25T00:00:00Z"/><d v="2025-01-01T00:00:00Z"/><d v="2025-04-07T00:00:00Z"/><d v="2025-04-11T00:00:00Z"/><d v="2025-04-09T00:00:00Z"/><d v="2025-04-14T00:00:00Z"/><d v="2025-04-10T00:00:00Z"/><d v="2025-04-08T00:00:00Z"/><s v="15.1.2025"/><s v="1/31/2025"/><s v="31.01.205"/><d v="2025-01-02T00:00:00Z"/><d v="2023-03-06T17:32:29Z"/><d v="2025-02-25T00:00:00Z"/><s v="06.04.2023"/><s v="13.04.2023"/><d v="2023-03-06T17:38:04Z"/><d v="2023-03-06T17:42:56Z"/><s v="11.04.2023"/><s v="23.05.2023"/><s v="30.03.2023"/><s v="31.03.2023"/><s v="26.03.2024"/><s v="16.03.2025"/><s v="20.03.2025"/><s v="21.03.2025"/><s v="22.03.2025"/><s v="17.03.2025"/><s v="03.05.2023"/><d v="2025-01-17T00:00:00Z"/><s v="2.24.2025"/><s v="14/11/2023; 04/08/2025"/></sharedItems></cacheField><cacheField name="date_updated"><sharedItems containsDate="1" containsBlank="1" containsMixedTypes="1"><s v="(dd/mm/yyyy)"/><d v="2024-12-15T00:00:00Z"/><d v="2024-12-18T00:00:00Z"/><d v="2025-01-23T00:00:00Z"/><m/><d v="2025-01-06T00:00:00Z"/><d v="2024-11-28T00:00:00Z"/><d v="2024-11-29T00:00:00Z"/><d v="2025-01-26T00:00:00Z"/><d v="2025-02-04T00:00:00Z"/><d v="2025-01-22T00:00:00Z"/><n v="45679.0"/><d v="2024-11-30T00:00:00Z"/><d v="2025-01-27T00:00:00Z"/><d v="2025-01-20T00:00:00Z"/><d v="2024-12-13T00:00:00Z"/><d v="2025-04-25T00:00:00Z"/><d v="2025-01-13T00:00:00Z"/><d v="2025-05-09T00:00:00Z"/><d v="2025-01-28T00:00:00Z"/><d v="2025-04-28T00:00:00Z"/><d v="2025-05-05T00:00:00Z"/><d v="2024-12-07T00:00:00Z"/><d v="2024-12-10T00:00:00Z"/><d v="2024-12-14T00:00:00Z"/><d v="2014-12-10T00:00:00Z"/><d v="2024-12-08T00:00:00Z"/><d v="2024-12-12T00:00:00Z"/><d v="2024-12-16T00:00:00Z"/><d v="2024-12-06T00:00:00Z"/><d v="2025-01-14T00:00:00Z"/><d v="2025-01-05T00:00:00Z"/><d v="2024-12-17T00:00:00Z"/><d v="2025-01-24T00:00:00Z"/><d v="2025-01-04T00:00:00Z"/><d v="2025-01-16T00:00:00Z"/><d v="2025-01-15T00:00:00Z"/><d v="2024-12-28T00:00:00Z"/><d v="2025-02-03T00:00:00Z"/><d v="2025-02-07T00:00:00Z"/><d v="2025-01-03T00:00:00Z"/><d v="2025-01-31T00:00:00Z"/><d v="2025-01-30T00:00:00Z"/><d v="2024-12-09T00:00:00Z"/><d v="2024-12-11T00:00:00Z"/><d v="2025-03-06T00:00:00Z"/><d v="2025-01-08T00:00:00Z"/><d v="2025-01-10T00:00:00Z"/><d v="2025-01-09T00:00:00Z"/><s v="25.2.2025"/><s v="20.06.2025"/><d v="2025-01-17T00:00:00Z"/><d v="2025-01-19T00:00:00Z"/><d v="2025-09-01T00:00:00Z"/><d v="2025-03-20T00:00:00Z"/><d v="2025-03-24T00:00:00Z"/><d v="2025-04-11T00:00:00Z"/><d v="2025-04-14T00:00:00Z"/><d v="2025-04-18T00:00:00Z"/><d v="2025-02-25T00:00:00Z"/><d v="2025-03-25T00:00:00Z"/><d v="2025-02-24T00:00:00Z"/><d v="2025-03-31T00:00:00Z"/><d v="2025-02-05T00:00:00Z"/><d v="2025-05-16T00:00:00Z"/><d v="2025-05-23T00:00:00Z"/><d v="2025-03-18T00:00:00Z"/><d v="2025-02-06T00:00:00Z"/><d v="2025-04-15T00:00:00Z"/><d v="2025-04-16T00:00:00Z"/><d v="2025-04-17T00:00:00Z"/><d v="2025-02-22T00:00:00Z"/><d v="2025-06-19T00:00:00Z"/><d v="2025-06-20T00:00:00Z"/><d v="2025-06-25T00:00:00Z"/><d v="2025-06-24T00:00:00Z"/><s v="25.03.2025"/><d v="2025-02-28T00:00:00Z"/><d v="2025-01-29T00:00:00Z"/><d v="2025-03-11T00:00:00Z"/><s v="2.24.2025"/><d v="2025-04-30T00:00:00Z"/><d v="2025-05-30T00:00:00Z"/></sharedItems></cacheField><cacheField name="notes_coder" numFmtId="0"><sharedItems containsBlank="1"><s v="general data entry notes, e.g., re access issues or study selection"/><s v="coding tasks 2zgf9_1, bth36_1, and 7vgkq_1 are similar; the partial-eta squared reported in the replication paper of 0.226 is different from the value in OSF registries of 0.313, hence requires validation; Psychological science has not been listed as one "/><m/><s v="1. Values for the REPLICATION statistical inferences were taken from Files uploaded to OSF by a link: https://osf.io/39xuw/files/osfstorage. I merged them in the corresponding PDF"/><s v="1. The tags are not given explicitly so I have inferred from the introduction of orignal paper. 2. The effect size is not reprted in the orignal study while replication has reported it's own and the effect size of replication study the infered effect size"/><s v="original sample size is 42, but 1 was excluded afterwards (p. 137)"/><s v="informative failure to replicate"/><s v="Claim text_r We observe that, in terms of means, there are no great differences in interest according to the type of problem. For students intramathematical problems were the most interesting (Mi = 2.77, SDi = 1.25), followed by word problems (Mw = 2.75, "/><s v="this effect was not explored in the original paper"/><s v="Claim text_r Table 2 shows the average situational interest of 80 pre-service teachers according to the connection to the reality of the problems. We observe that, for pre-service teachers, word problems were the most interesting (Mw = 3.28, SDw = 1.22), "/><s v="The coding of this study was extremely challenging for me and I could not complete it. I feel that the replication study is extremely unclear in describing what effects they are trying to replicate. Although the replication article provides the informatio"/><s v="Claim text_r. Table 8, p. 14 Retrieval–induced inhibition: 1.02 (0.23), [...] Results of the current replication for the partial correlation analyses did not indicate statistically significant relationships, and effect sizes were small with 95% CIs crossi"/><s v="Claim text_r. Table 8, p. 14 ABX error (vowels) 19.2 (13.2) [...] Results of the current replication for the partial correlation analyses did not indicate statistically significant relationships, and effect sizes were small with 95% CIs crossing through z"/><s v="Claim text_r. Table 8, p. 14  Vowel production z score: –2.27 (0.85)[...] Results of the current replication for the partial correlation analyses did not indicate statistically significant relationships, and effect sizes were small with 95% CIs crossing t"/><s v="Claim text_r. Table 8, p. 14 Consonant production (max. 8): 4.50 (2.31) [...] Results of the current replication for the partial correlation analyses did not indicate statistically significant relationships, and effect sizes were small with 95% CIs crossi"/><s v="replication N refers to number of couples"/><s v="Sample sizes extracted from df. "/><s v="Replication might be preregistered, unclear. They mention that data exclusion was not preregistered, so they did not do it. However, I don't find a link to their preregistration."/><s v="1. In the orignal study, I have used claims from the page 1 because they were well summarised. However, I have reported results seprately for effect size and P value"/><s v="1. The initial registration of the protocol is under the link: https://osf.io/kqdpm&#xA;2. Since one-way rmANOVA was used, the Nested option is &quot;Yes&quot;&#xA;3. Degree of freedon for original study was calculated based on number of time measurements (4) and participa"/><s v="This is not a replication:&#xA;&#xA; original study relied on testing and neuropsychological performance (Visual Reproductions immediate recall/ Visual Reproductions delayed recall/ Verbal Paired Associates I /Verbal Paired Associates II/ Simple Reaction Time eff"/><s v="The replication study is not a true replication of the original study. The replication study performs an analysis of APOE ε4 and ε2 genes (an Alzheimer’s disease polygenic risk score) in post-traumatic stress. The original study does not deal with this. I"/><s v="Claim text_r. Hypothesis testing. Table 5 and Fig. 4 show the Cramer’s V correlations between the covariates and the selected media collection. The variance stems from the 60 different parameter combinations tested. According to Cohen [41, 42], a correlat"/><s v="The replication article is related to the original article. However, I do not believe that we can report a quantitative replication attempt. Although the original research article reports some rounded percentages for the use of communication media, I beli"/><s v="Did not include followup, which is present in replication but not the original. "/><s v="Follow up (2 to 5 weeks after intervention) of preceding row's effect (compared to baseline-pre intervention)"/><s v="I think some of the p-values might actually be &lt; and not = .001 as reported. Did not include followup, which is present in replication but not the original. "/><s v="The replication and original articles were extremely clear in their reporting of evaluated effects and effect sizes."/><s v="For statistics I used Conceptual replication, reduced sample, because it's closer to the original study in terms of compliance&#xA;Claim text_r. Results of the original try-out study and the conceptual replication are compared in Table 6. Intervention estimat"/><s v="For statistics I used Conceptual replication, reduced sample, because it's closer to the original study in terms of complia&#xA;Claim text_r. Results of the original try-out study and the conceptual replication are compared in Table 6. Intervention estimates "/><s v="The replication is clear on what affects is trying to replicate from the original research article. I reported as sample size the number of publication analized. Preregistration link says &quot;https://osf.io/yhk47&quot; but page cannot be found."/><s v="Claim text_r.  Years to publication, 2 years or less: Odds Ratio: 0.65, 95% CI: [0.38, 1.11], χ²(1), p: 1.35, .25&#xA;[...] Table 3, p.8 "/><s v="Claim text_r.  Years to publication, More than 2 years: Odds Ratio: 1.88, 95% CI: [1.22, 2.92]&#xA;[...] Table 3, p.8 "/><s v="Claim text_r. Sample size, &lt;79: Odds Ratio: 1.46, 95% CI: [1.00, 2.46], χ²(1), p: 6.15, .01&#xA;[...] Table 3, p.8 "/><s v="Claim text_r. Sample size, ≥79: Odds Ratio: 1.57, 95% CI: [0.90, 2.36]&#xA; Table 3, p.8 "/><s v="Claim text_r. Number of statistical tests, &lt;23: Odds Ratio: 1.16, 95% CI: [0.69, 2.00], χ²(1), p: 2.48, .12&#xA; [...] Table 3, p.8 "/><s v="Claim text_r. Number of statistical tests, ≥23: Odds Ratio: 1.43, 95% CI: [0.92, 2.22]&#xA; Table 3, p.8 "/><s v="Claim text_r. Type of outcome, Academic achievement: Odds Ratio: 2.27, 95% CI: [1.58, 3.26], χ²(1), p: 8.70, p&lt;.01&#xA; Table 3, p.8 "/><s v="Claim text_r. Type of outcome, Social-emotional/behavioral: Odds Ratio: 0.55, 95% CI: [0.30, 1.00] [...] Table 3, p.8"/><s v="The replication is clear on what affects is trying to replicate from the original research article. I reported as sample size the number of publication analyzed. Preregistration link says &quot;https://osf.io/yhk47&quot; but page cannot be found."/><s v="Same results but there were contextual differences."/><s v="I have encountered some issues in fully understanding the papers, as they extend significantly beyond my field of expertise. Both experiments seem to involve simulations as their primary analyses, with results focusing on comparisons between different mod"/><s v="The same value in the replication paper seems to be used to replicate Table D1 and Figure D1A. There are three replication sections: replications 1, 2 and 3. I only looked closely at section 1 due to time constraints. I briefly read and thought about what"/><s v="There are three replication sections: replications 1, 2 and 3. I only looked closely at section 1 due to time constraints. I briefly read and thought about what I think are all the relevant parts of the original paper and the replication paper."/><s v="I entered adjusted ORs as reported in the paper in this table. The paper also reports unadjusted ORs. I calculated (unadjusted) ORs myself in the hope of providing more precise p-values. However, they were not exactly the same as in the paper, so I did no"/><s v="p-value was not explicitly provided, but since the CI includes 1, the p-value is greater than 0.05"/><s v="R_research question 2"/><s v="did not replicate successfully. There were four replicated claims. I briefly looked at all of them but only coded two due to time constraints. I should also double check the Ns but did not do this for the same reason. I think they are slightly wrong for s"/><s v="replicated successfully. There were four replicated claims. I briefly looked at all of them but only coded two due to time constraints. I should also double check the Ns but did not do this for the same reason. I think they are slightly wrong for some of "/><s v="R_research question 1"/><s v="R_research question 3"/><s v="The central features of the replicated study are highly similar with the original study. The differences in some of the results are due to contextual differences."/><s v="Both the experiments are not based on statistical analyses but on rough comparison between means. R_Paper obtained by the author through ResearchGate"/><s v="Null result in original, replicated successfully according to replication authors"/><s v="There were 2 studies in the replication study, but only the first study replicated the original study. The second study was an extension."/><s v="Study 2 was an extension in the replicated paper."/><s v="BF values are reported in the replication study."/><s v="&quot;Claim text&quot; column reports the single outcome item involved in the effect, since there is no individual claim for each item, but only a general claim and the table with single effects. Each effect is estimated putting as covariates age, gender, political"/><s v="There is no data since both the O_study and the replication are systematic review with no meta-analysis. Furthermore, the replication is a master thesis."/><s v="No specific claim. Interleukin 8 in males"/><s v="No specific claim. Interleukin10 in males"/><s v="No specific claim. C-reactive protein levels in males"/><s v="The replication attempt cites the original article but it is not a direct replication. It uses the same research paradigm but a direct comparison between the results is not suitable."/><s v="not sure if close or conceptual is more accurate"/><s v="Effect size was calculated."/><s v="I think study 30 is codable in principle, but it has a challenge. The original article reports comparisons as chi-squared tests (what we can call classic NHST), but the replication reports coefficients from regression modeling. This means that to compare "/><s v="The O_experiment seems a little complicated, they did not perform repeated measure analyses, but correlations between the conditions deltas and the misinformation availability in two different outcomes (which are deltas as well between 2 conditions of ano"/><s v="Effect reffered to Reaction times. The O_exp did not report p values, qhile the R_exp employed Z scores for the contrasts (not d as I selected)"/><s v="replication study file not in repository, cannot access the publication on publisher site, requires purchase"/><s v="Effect reffered to Error rates. The O_exp did not report p values, qhile the R_exp employed Z scores for the contrasts (not d as I selected)"/><s v="As the replication article states &quot;The primary objective of this paper is to contribute to the advancement of second language (L2) fluency research by outlining a specific proposal for future replication studies&quot;. Therefore, this is not a replication stud"/><s v="This is a replication study on the use of a conjugate preparation&#xA;for assessing preference. The original study administered a verbal multiple-stimulus-without-replacement&#xA;assessment (VMSWO). The replication study includes, in addition, auditive stimuli an"/><s v="The replication and the original articles are clearly reported. I was able to map each of the replication attempts."/><s v="this row and the one bellow are related to one specific effect, hypothesis requires test to be non-significant, the replication study was not preregistred but materials and scripts are available https://osf.io/t2vkp/ "/><s v="hypothesis requires test to be non-significant, the replication study was not preregistred but materials and scripts are available https://osf.io/t2vkp/ "/><s v="this row and the one bellow are related to one specific effect, hypothesis requires test to be non-significant, the replication study was not preregistred but materials and scripts are available https://osf.io/t2vkp/ , in the r_study n was calculated base"/><s v="hypothesis requires test to be non-significant, the replication study was not preregistred but materials and scripts are available https://osf.io/t2vkp/ , in the r_study n was calculated based on df; reported n was 211, the replication study has an extens"/><s v="I couldn't find the replication's pdf...not even on sci-hub...and I didn't have enough time to request the full text from the author on researchgate"/><s v="This refers to RQ3 of the replication study. It reports 'Participants attribute only 30.33% of the motivation for FRPs to internal motives, &#xA;leaving most of the motivation to external pressures (mean 69.67%; 95% bootstrap CI, 67.23–72.11%). The mean is s"/><s v="I have excluded this row since the original study and replication study in this row do not match."/><s v="the two papers are not related, study diffrent topics and belongs to diffrent fields"/><s v="Please note that original and replication studies are truncated in the columns. I exchanged them accordingly.  This is a replication study that reports effect sizes in terms of Cohen's d and associated p-values of nine variables for the construct validity"/><s v="the replication study extended the original claims to two Chinese contexts: Hong Kong and Shenzhen. This effect concerns the Hong Kong sample"/><s v="the replication study extended the original claims to two Chinese contexts: Hong Kong and Shenzhen. This effect concerns the Shenzhen sample."/><s v="This is a replication study that (apparently) reports the results of a logistic regression of six variables using the slope and corresponding p-values.  The replication study used a much larger dataset. HOWEVER, I DO NOT FULLY UNDERSTAND THE STRUCTURE OF "/><s v="At the moment, the replication document is not accessible. Sarah, made a request to a researcher."/><s v="The replication study is a stage 1 registered report so no results yet, cannot find stage 2 anywhere so only coded the original study"/><s v="the replication study is at stage 1 registred report so no results are available "/><s v="in original study n was calculated based on df, the replication study is at stage 1 registred report so no results are available "/><s v="this is an extension hyp but no results are reported yet"/><s v="Email response from LR: I think the &quot;replication&quot; part is actually a reproduction because both reports use the same sources (Current Population Surveys, CPS). We will discuss if the &quot;extension&quot; part meets our inclusion criteria and get back to you if it d"/><s v="test statistic = log points; sample sizes not reported: both studies use CPS data"/><s v="test statistic = log points"/><s v="Study excluded"/><s v="psychometric study - unclear how to handle"/><s v="The original study and replication aim to identify the main factors implicated in mattering among teachers. They use confirmatory factor analysis (CFA) and identify that eight factors with 40 items derived from a questionnaire are the most relevant. Given"/><s v="comapres target-like use (TLU) of beginners vs intermediates on 'ing' morpheme (not sure how to report this). Original not accessible so statistics are from replication's Table 4 (p. 31)"/><s v="This is an accurate replication study where 8 variables are replicated with the same metric (chi-squared and associated p-values). The replication adds additional results for &quot;3rd sing&quot;.  As this evaluates independently different morphemes, I report sever"/><s v="comapres target-like use (TLU) of beginners vs intermediates on the plural morpheme (not sure how to report this). Original not accessible so statistics are from replication's Table 4 (p. 31)"/><s v="comapres target-like use (TLU) of beginners vs intermediates on 'be'-cop morpheme (not sure how to report this). Original not accessible so statistics are from replication's Table 4 (p. 31)"/><s v="comapres target-like use (TLU) of beginners vs intermediates on 'be'-aux morpheme (not sure how to report this). Original not accessible so statistics are from replication's Table 4 (p. 31)"/><s v="comapres target-like use (TLU) of beginners vs intermediates on article morphemes (not sure how to report this). Original not accessible so statistics are from replication's Table 4 (p. 31)"/><s v="comapres target-like use (TLU) of beginners vs intermediates on past-irregular morphemes (not sure how to report this). Original not accessible so statistics are from replication's Table 4 (p. 31)"/><s v="comapres target-like use (TLU) of beginners vs intermediates on past-regular morphemes (not sure how to report this). Original not accessible so statistics are from replication's Table 4 (p. 31)"/><s v="comapres target-like use (TLU) of beginners vs intermediates on possessive morpheme (not sure how to report this). Original not accessible so statistics are from replication's Table 4 (p. 31)"/><s v="Claim text_r The regression analysis using the step-wise method showed that the input, processing, and output anxieties in combination contributed significantly to the general feeling of foreign language classroom anxiety (R2 adj = 0.62; F3,129 = 73.90, p"/><s v="network analysis - unclear how to handle"/><s v="This article does not perform hypothesis testing, comparisons, or report effect sizes but takes a network analytical&#xA;framework approach. Therefore, the results are shown as the centrality measurements of a Gaussian Graphical Model. I report the mean value"/><s v="model fitting analysis - recording of WAIC scores seems likely though that's not among the options"/><s v="replication in history - there are barely any numbers; maybe an exclusion, but not sure as there are non-social-science options in the &quot;discipline&quot; column"/><s v="No statistical data provided"/><s v="Duplicate entry? Both original and replication are the same as above"/><s v="This is a conceptual replication which explores the variables through different study designs and through mediators unlike the original , see further notes under exclusion. I struggled being able to work out where the results can be matched due to use of "/><s v="O study does not report effect sizes nor meaningful test statistics for the specific forms of empowerment, and replication only reports specific types of empowerment, not &quot;full&quot; empowerment. For the interaction with purchase intention and WOM, only chi-sq"/><s v="O study does not report effect sizes nor meaningful test statistics for the specific forms of empowerment. For their interaction with corporate (brand) attitudes, means and SD are reported, but these are not recorded in the test statistic due to the one-v"/><s v="The original study does not differentiate between grasp or push movements like the replicated one, suggesting they have pooled the data across different movement types rather than examining them separately."/><s v="Replication finding is written in words &quot;In the present sample, there were no statistically  significant associations with participants’ BMI&quot;"/><s v="Could not use F values because the number of conditions between studies was different. Cohen's d calculated for study O for specific comparisons instead. R only reports cohen's D for the meta-analytic results of their two studies, thus that is what is rep"/><s v="in the o_study n was calculated based on df; reported n was 206, in the r_study n was calculated based on df; reported n was 74 (+1)"/><s v="effects in figure 3, statistics not reported; these different rows are related to one specific effect"/><s v="R not pre-registered, but analysis and data open access: https://osf.io/864nx/"/><s v="claim in Table 2"/><s v="The replication study has not yet occured; exclude"/><s v="Extension study 1"/><s v="es_value_o calculated using the formula"/><s v="Extension study 2"/><s v="es_value_o calculated using the formula, exact p value not reported, ns"/><s v="Extension study 3"/><s v="O is strictly qualitative"/><s v="qualitative study, no effect sizes reported"/><s v="Due to a bug in the analysis code, the replication&#xA;paper is being revised "/><s v="due to a bug in the analysis code the paper is being revised, final results might be different, the replication paper coded is the pre-print version published in March 2024, in the replication CI are reported and no p values for the meta-analytic effect s"/><s v="in the o_study n was calculated based on df; reported n was 24, the analysis of this effect was mentioned in the r_study but the results were not reported, it was complicated to code this study as there were many conflicting claims between both papers so "/><s v="replication male subjects only, statistics for NA results in replication not reported"/><s v="replication mixed sample, statistics for NA results in replication not reported"/><s v="most of the effects in the o_study and the r_study are reported in plots, I only coded the effects that matched and had statistical results explicitly reported"/><s v="Figure 2 in R study "/><s v="ns correlation in original study"/><s v="effect size type not reported, I assumed it's etasq because of ANOVA"/><s v="the replication study is not available"/><s v="no p value reported only α"/><s v="only M available "/><s v="N is different from prior ES as it these effects were part of a mixed-effects model, which was ran after excluding outliers"/><s v="replication study notes the effects size as  ηp2 =0.13 in Table 1 (p. 3) - &quot; computed based on F-values and degrees of freedom using the easystats package in R&quot;"/><s v="Claim text_r support for the main effect of source certainty, F(1, 506) = 173.13, p &lt; .001, ηp2 = 0.25, 95% CI [0.19, 0.31]. [...] p.7"/><s v="Claim text_r.  [...] Post-hoc comparisons using t-tests with Bonferroni correction found that participants reported higher certainty in the high certainty condition (n = 257, M = 7.87, SD = 1.24) than in the low certainty condition (n = 253, M = 5.96, SD "/><s v="I assumed that there is pval_value_o &gt; 0.05 in the original study since there is no significant effect, but that's not clearly stated. Claim text_r  found support for a main effect of source certainty, F(1, 506) = 4.27, p = .039, ηp2 = 0.01, 95% CI [0.00,"/><s v="Claim text_r However, there was no main effect of expertise, F(1, 506) = 1.35, p =.247, ηp2 = 0.00, 95% CI [0.00, 0.02], nor an expertise   certainty interaction effect, F(1, 506) = 0.84, p = .361, ηp2 = 0.00, 95% CI [0.00, 0.02]. The main effect of certa"/><s v="I assumed that there is pval_value_o &gt; 0.05 in the original and replications study since there are no significant effects, but that's not clearly stated. Claim text_r  no main effects for source expertise or source certainty (Fs &lt; 1.18),  [...] p.8"/><s v="Claim text_r.  supported an expertise   certainty interaction effect, F(1, 506) = 4.74, p = .030, ηp2 = 0.01, 95% CI[0.00, 0.03]. [...] p.8"/><s v="conceptual replication of the same approach, testing response disequilibrium theory, but no numbers that can are easily comparable between studies (apart from one that apply to the specific equations) due to methodological differences"/><s v="No access to the PDF papers."/><s v="N was calculated. Effect size was calculated. "/><s v="I edited the links to the original paper because it was a link to another paper; multiple claims but tried to chose those that matched in both papers; in the o_paper and the r_paper a LCA was conducted to choose the best model and the 4-class solution was"/><s v="additional claim only for r_study: results of comparisons of the four classes along different outcomes. Significant class differences were observed for anxiety"/><s v="additional claim only for r_study: results of comparisons of the four classes along different outcomes. Significant class differences were observed for depression"/><s v="additional claim only for r_study: results of comparisons of the four classes along different outcomes. Significant class differences were observed for psychological flexibility"/><s v="additional claim only for r_study: results of comparisons of the four classes along different outcomes. Significant class differences were observed for  muscularity-oriented eating disorder symptomatology"/><s v="additional claim only for r_study: results of comparisons of the four classes along different outcomes. Significant class differences were observed for  psychosocial impairment"/><s v="additional claim only for r_study: results of comparisons of the four classes along different outcomes. Significant class differences were observed for  emotion regulation difficulties"/><s v="N after applying exclusion criteria, osf project: https://osf.io/yqxme"/><s v="Claim text_r. There were no significant main effects of APOE status on cognitive outcome variables using Pillai’s trace (V = 0.06, F(4,206) = 1.51, p = 0.20).  [...] p 7."/><s v="Claim text_r.  VBM analyses revealed no significant differences in GMV between ε4+ and controls and between ε2+ and controls (p&gt;0.05, corrected via TFCE). [...] p 7."/><s v="Claim text_r.   DTI analyses revealed no significant differences in FA or MD (p &gt;0.05, corrected via TFCE) between ε4+ and controls, similarly between ε2+ and controls. [...] p 7.&#xA;&#xA;es_repr_o cannot be calculated "/><s v="Conceptual replication, no inferential statistics, policing as a broad field"/><s v="The study focuses on the replication of descriptive reports. Mainly, tables and graphs are replicated. For this reason, I have not coded effect sizes or p-values, as no test statistics were reported in any of the studies. Overall, I am not sure how meanin"/><s v="Satisfaction effect"/><s v="Fairness effect"/><s v="Engagement effect"/><s v="I am not sure which  statistical test was conducted in the replication study. Therefore, I report all information from the table. The manuscripts states that it was a pre- post test.; The original study reports the results of a regression in a table and I"/><s v="I found it difficult which to code as various model specifications are fitted. Anyway, coefficient of physical game is considered in this row."/><s v="Coefficient of didactive activities is considered in this row."/><s v="Coefficient of socialization activities is considered in this row."/><s v="This is a randomized control trial study which reports data and results differently. Sample was measured as families and not number of individuals involved in the intervention. Effects reported in standard deviations for the Bloomfield paper and standard "/><s v="original sample size was visible on table 5, p. 18"/><s v="No formal statistical test is conducted to test the hypothesis formulated both in the original and replication study."/><s v="The original study has been replicated multiple time, Spricigo, 2023 before the Menegale, 2024 paper. No effect sizes available to report since both studies used qualiative analyses. Both these studies have 3 RQs that are the same but it is hard to code t"/><s v="Effect from original study: b = 0.54, 95% CI [0.15, 0.92]; Effect from replication study: ,b=0.410,95%CI[0.085,0.735]"/><s v="description of effect taken from table 2 in Metsakas paper because of clarity, p. 5"/><s v="description of effect taken from table 2 in Metsakas paper because of clarity, p. 5; "/><s v="description of effect taken from table 2 in Metsakas paper because of clarity, p. 6; original effect sizes were calculated by replication author"/><s v="description of effect taken from table 2 in Metsakas paper because of clarity, p. 6"/><s v="excluded"/><s v="Effect size was calculated. Authors state that all domains were significant but do not report exact p-values."/><s v="No formal statistical test is conducted to test the central hypothesis formulated both in the original and replication study. Their conclusion are simply based on the average mean."/><s v="The study used means to compare baseline and intervention step count. "/><s v="Honestly, it's very confusing which to code as different model specifications are fitted &amp; I need help from coordinators. For now, I coded the estimates reported in last column of Table 1."/><s v="model 3 of binary factor analysis"/><s v="model 4 of binary factor analysis"/><s v="model 5 of binary factor analysis"/><s v="Effect of L1 speakers on competence (main effect)"/><s v="Three-way interaction effect"/><s v="Effect of L1 speakers on treatment preference (main effect)"/><s v="Effect of L1 speakers on comprehensibility(main effect)"/><s v="replication reference is not in APA format; hyperlinks got removed during some formatting issues but the files are in the google drive for both te replication and the original paper"/><s v="I don't find hypotheses and effect sizes from replication study that match the original study. The central hypotheses of interest in the original study are answered using descriptive statistics. The replication paper is is contextual and extended replicat"/><s v="cannot access the replication article;  10.5465/AMPROC.2024.19578abstract point to study by Child et al."/><s v="no full paper available yet"/><s v="Closeness is questionable, Otiginal study sample consists of patients with medical diagnosis and their relatives, while Reproduc. sample is students, bascially general population. &#xA;Claim text_r. [...] one-way ANOVAs were conducted on each Group separately"/><s v="Closeness is questionable, Otiginal study sample consists of patients with/without medical diagnosis, while Reproduc. sample is students, bascially general population. &#xA;Claim text_r. [...] one-way ANOVAs were conducted on each Group separately for Valence"/><s v="Not explicitly reported, but neural activation effect sizes for frustration-related responses are generally in the range of r = 0.5 - 0.7. r (correlation coefficient between neural activation and frustration levels)"/><s v="H1 (extraversion). H2 is not replicated in the replication paper."/><s v="I don't think this study is a &quot;classical study&quot; and lend itslef to extract requested information. The study introduced a new framework to estimate the aggregate capital-labor elasticity of substitution by aggregating the actions of individual plants."/><s v="test statistic in orginal study greater than"/><s v="1. Values for REPLICATION statistical inferences were taken from supplementary files &quot;10.1073--pnas.2402315121 SAPP.pdf&quot;&#xA;2. Since one-way testing was used, the &quot;Nested&quot; option is put as &quot;No&quot;"/><s v="1. There are minor changes between orignal and replication I am not considering it and using table 1 for results. 2. The orignal studies have reported different effect sizes, while replication studies have reported similar kind, i.e. &quot;r&quot; of effect sizes. "/><s v="1. The orignal studies have reported different effect sizes, while replication studies have reported similar kind, i.e. &quot;r&quot; of effect sizes. I am not sure which one should I use so I am using the one's in the orignal study. Further, I am not sure if Φ or "/><s v="1. The orignal studies have reported different effect sizes, while replication studies have reported similar kind, i.e. &quot;r&quot; of effect sizes. I am not sure which one should I use so I am using the one's in the orignal study.Further, I am not sure if Φ or X"/><s v="1. The orignal studies have reported different effect sizes, while replication studies have reported similar kind, i.e. &quot;r&quot; of effect sizes. I am not sure which one should I use so I am using the one's in the orignal study."/><s v="1. The orignal studies have reported different effect sizes, while replication studies have reported similar kind, i.e. &quot;r&quot; of effect sizes. I am not sure which one should I use so I am using the one's in the orignal study.2. I think this study is concept"/><s v="No statistics in Boyce dataset"/><s v="1. Changed the Discipline from Psychology to &quot;Cognitive Psychology&quot;&#xA;2. The report is absent in github folder, and the data is missed in the outcome table&#xA;3. I was not able to find corresponding OSF link except: https://osf.io/xwn9m/ (general, not specific"/><s v="No individual report found"/><s v="No statistics in Boyce, report absent"/><s v="1. Changed the Discipline from Psychology to &quot;Cognitive Psychology&quot;&#xA;2. The original paper was added as &quot;10.1038nature03390.pdf&quot;"/><s v="1. Changed the Discipline from Psychology to &quot;Social Psychology&quot;&#xA;2. The detailed replication data is not provided anywhere. For example, there is M and SD, but for between-group design we do not have a clear description of how many students are in each gr"/><s v="1. Changed the Discipline from Psychology to &quot;Cognitive Psychology&quot;&#xA;2. There was a full report in the Replication folder. I used it to provide and varify the data: https://rstudio-pubs-static.s3.amazonaws.com/817655_c94c0f2142fc466fa36a6790ee3fcdde.html&#xA;3"/><s v="1. The data was absent in the database, but I found it here: https://rstudio-pubs-static.s3.amazonaws.com/694306_59178dc09b8648e598a3e535876c9246.html&#xA;2. Conceptual replication because authors reduced amount of trials&#xA;3. The original paper was added as 10"/><s v="1. The data for checking is taking from: https://osf.io/fd9kq&#xA;2. There were changes in experimental procedure -&gt; conceptual &#xA;3. The original paper was added as: 10.1037xge0000064.pdf"/><s v="No statstics for original study available in Boyce, so not really possible ti understand what exactly was replicated, except for that it was experiment 3(based on sample size)"/><s v="1. Changed the Discipline from Psychology to &quot;Cognitive Psychology&quot;&#xA;2. Since no test results are provided anywhere except the table, it is impossible to check the values. I marked them with the color. Since no statistical inferences are described, I put N"/><s v="1. Discipline - changed to cognitive&#xA;2. If printing the replication report to obtain PDF, the browser only gives one page (Chrome, Edge), thus there is no opporunity to indicate the page for replication results. &#xA;3. From the report: https://rstudio-pubs-s"/><s v="1. Discipline - changed to cognitive&#xA;2. If printing the replication report to obtain PDF, the browser only gives one page (Chrome, Edge), thus there is no opporunity to indicate the page for replication results. "/><s v="sampl O is 302, not 300 as syayed in Boyce dataset"/><s v="1. Replication data report was absent and there was no one for study 2, except the initial steps of the replication (no analysis/results)&#xA;2. Discipline is changed to &quot;Social psychology&quot;"/><s v="statistics is missing in the dataset, data for R identified and extracted from the report"/><s v="1. Keywords were taken from fingerprints at https://nyuscholars.nyu.edu/en/publications/cognitive-control-predicts-use-of-model-based-reinforcement-learn&#xA;2. In the replication report Otto reported the final sample to be 25 (p. 5)&#xA;3. In the replication rep"/><s v="1. Discipline - changed&#xA;2. There is no replication of study 5B open, only study 5A: https://osf.io/2gx4k/wiki/home/"/><s v="1. Conceptual replication - because laboratory study was replicated online&#xA;2. I am not sure what exactly should I indicate in the Effect"/><s v="d calculated based on provided statistics in the O"/><s v="1. There is a bit of dismatching data in the replication report. Some data (like attention and so on) are taken from study 1, while the overall metric is taken from the study 2: https://rstudio-pubs-static.s3.amazonaws.com/843645_4999687f04a2418cb522a69fb"/><s v="statistics is missing in Boyce, rawstats = bseb=0.3661(0.2423). Report is absent"/><s v="1. Discipline changed&#xA;2. Replication data from: https://rpubs.com/kl2018/432454"/><s v="no statistics for R provided, report is absent"/><s v="No report "/><s v="Read the report for the study, and since author wrote that &quot;As I have not yet been able to reproduce the Cohen’s-d values nor the 95% Credibility interval in the original paper, I am not using these statistics as a basis of comparison&quot; and the statistic i"/><s v="1. From the paper &quot;The design and analysis plans for the experiments were not preregistered&quot;&#xA;2. This study is difficult for me to understand due to not working with BFs. I am not sure that there are no more matching results&#xA;3.  BFinclusion = 607.57"/><s v="was replicated twice, by different students (this one and Boyce_etal2023116_1_d)"/><s v="was replicated twice, by different students (this one and Boyce_etal2023116_1_b)"/><s v=" "/><s v="1. The data for replication was taken from: https://www.rpubs.com/sansiropp/256552&#xA;2. Since the survey was not original, but recreated, I put &quot;conceptual replication&quot;"/><s v="1. There is OSF link, but it is not stated whether the paper was pre-registrated or registrated. &#xA;2. Replication data was taken from: https://rpubs.com/camillag/256522 "/><s v="1. The data was taken from: https://github.com/lrhasak/porter2016/blob/master/writeup/ReplicationReport.Rmd"/><s v="1. The study was replicated online, however author claimed that it should no affect the replication due to specific aspects of the experimental procedure"/><s v="1. The data for replication was taken from: https://www.rpubs.com/sansiropp/256552"/><s v="1. Replication data: https://rpubs.com/ShimaSalehi/155989&#xA;2. The trials were shown sequentially instead of parallel -&gt; conceptual replication&#xA;3. The tests are partially nested because the within-subjects factor (trait type) is nested within participants ("/><s v="statistics for R extracted from report"/><s v="1. I would say that changes in the procedure were really big -&gt; conceptual &#xA;2. The original paper was added as 10.1016j.neuropsychologia.2009.05.011.pdf"/><s v="1. The original paper was added as 10.1037a0028216.pdf"/><s v="1. The original paper was added as 10.1037a0028216.pdf&#xA;2. There are 2 corresponding results in replication study, I am not sure which one to use"/><s v="1. Minor changes to the procedure (like different attentional check) which should not affect the experiment&#xA;2. Confirmation of the row choice: &quot;I was able to reproduce the same means and test statistics as the original article. [Unresponsive: M = 10.5, SD"/><s v="1. Minor changes to the procedure (like different attentional check) which should not affect the experiment"/><s v="1. No replication report was found in the folder and internet "/><s v="R extracted from the report"/><s v="1. I would say that this is the extention of the original study for a new cohort -&gt; conceptual&#xA;2. The original paper was added as 10.10370022-3514.95.2.293.pdf&#xA;3. Effect can be either &quot;Cognitive load&quot; or &quot;Tempting fate&quot;. The first is broader"/><s v="1. I would say that this is the extention of the original study for a new cohort -&gt; conceptual&#xA;2. The original paper was added as 10.10370022-3514.95.2.293.pdf&#xA;3. Effect can be either &quot;Cognitive load&quot; or &quot;Tempting fate&quot;. The first is broader&#xA;4. For the se"/><s v="1. The 3rd study was not preregistrated (but the 4th was)&#xA;2. A delay was added to the procedure, but no more changes. I hope it was not a big change to call the study &quot;conceptual replication&quot;&#xA;3. The original paper was added as 10.1037pspi0000081.pdf"/><s v="d and p valuse for O extracted from Boyce"/><s v="1. Study 1 was not preregistrated in the original paper (only study 3: https://osf.io/bd9ea)&#xA;2. The data for replication was taken from: https://rpubs.com/cceballos-stanford/544019"/><s v="For second coder: I didn't find any place with n_o = 20"/><s v="PCA replicated, no statistics in Botce, report present"/><s v="1. I didn't find a replication report, thus I use the data from the table"/><s v="1. The replication data was taken from: https://osf.io/38en2"/><s v="No statistics in Boyce, report present. Report claims that the author succesfully reproduced the main statistical findings of interest, specifically - the interaction between valence and distance.  Unfortunately, I couldn't find results about that in the "/><s v="1. In the original paper there is no data in the table of the project. The comparison in the replication study is not matching (distance is not a frequency)"/><s v="1. P-rep is provided for this study"/><s v="Final N O is 555 (99 + 456), Boyce states 550"/><s v="1. I consider the Discipline - &quot;social psychology&quot;&#xA;2. The original study was not PREregistrated. Registrated data can be found in: https://osf.io/y65ze/"/><s v="Data for R extracted from the report. ES in the report is partial etasq, extracted F for consistency with the findings below"/><s v="1. The data for replication: https://github.com/psych251/Semrow2019/blob/master/writeup/Apaza_replication_Semrow.html&#xA;2. Replication authors stated that the samples differ between studies and it can have a significant effect because the study is sociologi"/><s v="1. Online replication -&gt; conceptual "/><s v="1. No PREregistration of the original study, only registration (https://osf.io/vyibm)"/><s v="statistics for R extracted from the report"/><s v="1. No PREregistration. Open-Ended registration: https://osf.io/fzm68"/><s v="1. I didn't find the replication report"/><s v="1. The data was taken from: https://rpubs.com/ennachen/psych251_finalproject&#xA;2. The original paper was added as 10.1093workarwaac024.pdf"/><s v="1. Several changes to methodology (online, no video and so on) -&gt; conceptual&#xA;2. This is called &quot;reproducibility report&quot; and it is not reproduction of the previous analysis with the same sample: &quot;Unlike in the original study that was performed in a sample "/><s v="report for R also states that ηp2 = .91"/><s v="sloman2016_1, p value for O in Boyce is different from one in original paper. P from original paper extracted"/><s v="sloman2016_2"/><s v="1. Data for replication: https://rpubs.com/hrlarry/YUIMU-final"/><s v="1. Data for replication: https://rpubs.com/kleibow/338461"/><s v="data for R extracted from the report"/><s v="1. Several procedural differences (setup, sample) -&gt; conceptual"/><s v="1. Since no report, the data was taken from the table&#xA;2. The original paper was added as 10.1037xge0000738.pdf"/><s v="1. Since no report, the data was taken from the table"/><s v="1. Replication data: https://rpubs.com/mkmartykeil/replicationfinal&#xA;2. Because the procedure slightly changed (especially the recall): conceptual replication"/><s v="1. Replication data: https://rpubs.com/mkmartykeil/replicationfinal&#xA;2. Because the procedure slightly changed (especially the recall): conceptual replication&#xA;3. The data from the report was used for ES"/><s v="1. Online study for attention -&gt; conceptually new design&#xA;2. The replication data: https://rpubs.com/mlee17/262394&#xA;3. Effect can be either &quot;Attentional cueing&quot; or &quot;attractiveness judgments&quot;. The first is broader"/><s v="1. Replication data: https://rpubs.com/chuqihu8/pilot&#xA;2. Replication was online -&gt; conceptual"/><s v="1. Replication data: https://rpubs.com/chuqihu8/pilot&#xA;2. Replication was online -&gt; conceptual&#xA;3. For second coder: The results are for Exp 3, while in the table it was Exp 1. This result can be also used"/><s v="Not found in Boyce, I would assume it's the one with the title &quot;the original doesn't give adults stats, the t test we're using is from the replication based on the raw data, for French adults only. Also, student screwed up and used original data for both "/><s v="1. Replication data: https://rpubs.com/masoud/tieu2016_replication&#xA;2. Different languages for comparison are used -&gt; conceptual replication&#xA;3. No corresponding results are indicated in the original data. For the project the original results were recalcula"/><s v="Todd2016_1"/><s v="1. Data for replication: https://rpubs.com/mateusmazza/project_report_pilotB"/><s v="1. Replication data: https://rpubs.com/klsanch/pilotAwriteup"/><s v="Todd2016_2, statistics from Boyce not found in the O, d and p values for O extracted from Boyce"/><s v="Coded as social psychology, because it's the closest discipline"/><s v="1. Online experiment&#xA;2. Data: https://github.com/StanfordPsych254/Tribushinina2011/blob/master/writeup/Replication-Report.html (replication)&#xA;3. The original paper was added as 10.1515ling.2011.016.pdf"/><s v="1. Replication data: https://rstudio-pubs-static.s3.amazonaws.com/426870_bb10c991135648a19be27ad27cb36a15.html (https://osf.io/3xcq7) is for EXPERIMENT 1, not 2"/><s v="brown-iannuzzi2017_1, statistics extracted from the report"/><s v="brown-iannuzzi2017_2"/><s v="Replication data: https://rpubs.com/ayl888/695975"/><s v="replication study states that the p-value in the original study was p &lt; .01, while the original states that it was p &lt; .001"/><s v="XPHI states ES for O  w = 0.59, mistake in the p value for O in XPHI (p &lt; .01, while it's actually  &lt; .001)"/><s v="XPHI states ES for O  w = 0.61"/><s v="Replication data is only for exp 3, not exp 1: &quot;https://rpubs.com/pgzhu/vasilyeva2018&quot; → I use the data from table"/><s v="Replication report: https://osf.io/wdp9b"/><s v="In Boyce it's Vohs2013"/><s v="1. Data for replication: https://rstudio-pubs-static.s3.amazonaws.com/955939_50cc1f13803a4ee1beb7841644071e54.html&#xA;2. The study is marked &quot;Reproducupility report&quot; but it is not the reproduction of the study with the same sample: &quot;To reproduce this study, "/><s v="Boyce states that N O is 321 and d is 0.55, I don't think it;s correct, because the sample is 556, so calculated d O myself"/><s v="1. The replication will be online&#xA;2. The original paper was added as 10.1038s41467-021-27323-3.pdf"/><s v="1. The replication data: https://github.com/psych251/wilkins2014"/><s v="1. Since no report, the data was taken from the table&#xA;2. Keywords from Pubmed Mesh"/><s v="No p and d in Boyce, raw statistics prop:11/19,9/17. Report is absent"/><s v="Data for replication: https://rstudio-pubs-static.s3.amazonaws.com/257540_6659667fe79e4d43936e8bb9d045f803.html&#xA;I would say that this study is more like extention (modification) with a new sample&#xA;The original paper was added as 10.1016j.obhdp.2010.10.001."/><s v="Replication data: https://rstudio-pubs-static.s3.amazonaws.com/155174_48b1633681bb4024b4098ed433d5a80a.html"/><s v="Boyce states that N O is 48, but in fact it 32 for the relevant part of the study"/><s v="Replication data: https://rstudio-pubs-static.s3.amazonaws.com/1159352_e9a668d9124f415e8831bab302f49b6b.html"/><s v="For the statistics in Boyce sample zise is not 240, but 96. Even though it's 240 for other parts of experiment 5"/><s v="Replication data: https://rpubs.com/ayodeledada/yousif2019"/><s v="P for R is not specified, report is absent.  Raw statistics bseb=1.037(.006)"/><s v="Replication data: https://rstudio-pubs-static.s3.amazonaws.com/960761_d9b8d67ca3454d3db5b0023e3b583df6.html&#xA;The original paper was added as 10.1016j.ecresq.2019.10.004.pdf"/><s v="Replication report: https://rpubs.com/rcatapano/Zaval_replication_report"/><s v="1. the official preregistration was not completed"/><s v="Online replication"/><s v="1. There is a registration but not preregistration"/><s v="Replication data: https://rstudio-pubs-static.s3.amazonaws.com/696061_39068ca5d4344e6894d818cbf8f2c60e.html"/><s v="Data for replication from: https://osf.io/yt5q8/"/><s v="d original extracted from the dataset"/><s v="Replication data: https://rstudio-pubs-static.s3.amazonaws.com/823553_849e56ccdba04f308d3dd2f4a03a249a.html&#xA;Original paper added as escholarship.orgucitem39d347bk.pdf"/><s v="report available"/><s v="1. Authors ensured that their minor changes to the procedure won't afffect the replication"/><s v="N original in the dataset is stated as 188, while in these specific quesiton the sample was divided in 2 parts, which results in N=94"/><s v="1. Replication data: https://rpubs.com/dmetaxak/correll2007&#xA;2. Online replication"/><s v="Replication data: https://rpubs.com/staciaking/craig2014"/><s v="Pattern of interaction in replication matches that in original study"/><s v="1. Online&#xA;2. There are a lost results, however replication operates with the term &quot;block&quot; while original study with the term &quot;task&quot;. According to replication description it should be different things (blocks - split sessions of the experiment)"/><s v="The proportion of this claim text was not reported but has been coded while coding the same proportion reported in the replication table"/><s v="Only the proportion of this claim text was reported in the replication table"/><s v="N (shape condition)=28; Only statistics for the shape condition have been reported in the replication table. The same statistics have been coded for the word condition."/><s v="N (shape condition)=24"/><s v="This task does not have sufficient data (test statistics) for coding in the original study and replication table. There is no report for the replication study as well"/><s v="No information about O in Boyce, impossible to understand which claiim was tested, report absent"/><s v="There is no clear information in the replication study and no sufficient information/ data (test statistics) on the replication table to code this task"/><s v="There is no sufficient data for the replication study in the replication table to fully code this task"/><s v="Based on the information in the dataset it's impossible to clearly compare the results and calculate statistics, extracted both claims matching the proportion numbers in the dataset"/><s v="There is no sufficient information (test statistics) or report for the original study and replication to code this task"/><s v="No information to extract statistics in the dataset"/><s v="The closeness has been categorized as far; hence coded as conceptual"/><s v="The closeness has been categorized as far; hence coded as conceptual; administrative science discipline categorized as management"/><s v="Effect size value for O copied from Boyce dataset, not sure that it's calculated correctly"/><s v="the dataset includes only proportions, report is absent, not possible to extract statistics"/><s v="There is no claim text. Data from the replication table has been used to code this row"/><s v="statistics extracted from Boyce dataset, original claim not identified, cause I didn;t find the matching statistics in the paper"/><s v="extracation and effect size based on the report, table states that N original is 25, while it's 29 (Experiment 4). Might be excluded based on the report &quot;The present study was not a straightforward replication of the original study. We failed to replicate"/><s v="the dataset doesn't include statistics, report is absent"/><s v="The discipline variable coded as &quot;social psychology&quot; instead of &quot;other-psych&quot; as indicated in the replication table"/><s v="No statistics and report for replication"/><s v="&quot;Effect size is not applicable to this study&quot; - replication report"/><s v="The test statistics for the original study reported in the replication table cannot be traced in the original study pdf and there is no report to help trace it. Therefore this trask requires validation."/><s v="Statistics for o and r copied from Boyce database, mentioned raw stats not found"/><s v="Boyce data set reports 57 participants in O, while 6 were excluded from the analysis. Calculated p for O myself"/><s v="The claim cannot be traced from the test statistic of the original study in the replication table. There is no sufficient data for the replication study in the replication table to fully code this task"/><s v="No statistics for R in Boyce data set, d for O calculated by me"/><s v="There is no sufficient data for the replication study in the replication table to code this task fully"/><s v="Sample zise in O after exclusion is 208, while in Boyce reported as 108, probably typo. No Size effect and P value reported in R"/><s v="Organizational science discipline categorized as management"/><s v="d for O copied from Boyce dataset, though I'm not sure that it's correct"/><s v="replication states pear:r=0.9380832,n=1024 for O, but no matching statistics in the paper, hence not possible to extract claim and check reliability. Available statistics extracted from Boyce"/><s v="d Orig extracted from Boyce"/><s v="There is no sufficient data for the replication study in the replication table to code this task fully. Also, the claim is not clear in the original study."/><s v="p for O extracted from Boyce"/><s v="The t-test statistics for the original study (study 4) presented in the replication table are hard to trace in the replication study to be able to come up with a claim being studied"/><s v="Matching statistics F(1,115)=7.497 not found in the original paper, values extracted from Boyce.  Report is absent"/><s v="Corruptibility was coded as central result"/><s v="N= 225 and not 73 as was pre-coded. This task is similar to a task with a rowid Boyce_etal20238_1; hence should be discarded"/><s v="d for R is NA, d for O extracted from Boyce dataset, original paper used another ES - Cohen's f 2 =0.03"/><s v="d for O extracted from Boyce, also Boyce states that N O = 30, while the paper states 240"/><s v="No d and p statistics in Boyce, report absent. raw statistics provided bseb=.06(.13). The N o is 400, whle in Boyce it is 327"/><s v="No d and p statistics in Boyce, report present"/><s v="Could not trace the overall or specific claim in the original study from the raw statistics presented in the replication table"/><s v="d and p for O extracted from Boyce, because I was unsure about the replication aim"/><s v="uncertain on the original effect size estimate"/><s v="Supplementary Table S1 of the replication article reports the following values: Original (p = 0.046, effect size 0.18, n = 120), Replication (p = 0.160, effect size = 0.08, N = 318). The OSF report (https://osf.io/yjpzs) indicates that the effect they tri"/><s v="Supplementary Table S1 of the replication article reports the following values: Original (p = 0.011, effect size 0.45, n =  60), Replication (p = 0.026, effect size = 0.31, N = 102). I matched the replication attempt with the results presented in p. 1347 "/><s v="Supplementary Table S1 of the replication article reports the following values: Original (p = &lt; 0.001, effect size 0.64, n =  78), Replication (p = 0.004, effect size = 0.44, N = 40). The information available in the replication article does not allow me "/><s v="Supplementary Table S1 of the replication article reports the following values: Original (p =  0.001, effect size 0.30, n =  124), Replication (p =  0.001, effect size = 0.33, N = 128).  Based on the p-value and the information reported in Table S2 of the"/><s v="vague details on the comparison test run - no actual test statistics reported"/><s v="Supplementary Table S1 of the replication article reports the following values: Original (p =  0.004, effect size 0.83, n =  120), Replication (p =  0.142, effect size = 0.37, N = 160). The OSF replication report stated that the replication effort is focu"/><s v="Supplementary Table S1 of the replication article reports the following values: Original (p = 0.031, effect size 0.28, n = 58), Replication (p = 0.933, effect size = -0.01, N = 131). Based on the replication report (https://osf.io/xga9p), I was able to tr"/><s v="Supplementary Table S1 of the replication article reports the following values: Original (p = &lt; 0.001, effect size 0.49, n = 288), Replication (p = 0.016, effect size = 0.34, N = 48). The OSF report (https://osf.io/7edwb) stated that the replication attem"/><s v="Z-values from a Mann-Whitney-U-Test "/><s v="Supplementary Table S1 of the replication article reports the following values: Original (p =  0.016, effect size 0.66, n = 120), Replication (p = 0.010, effect size = 0.53, N = 220).  The OSF report (https://osf.io/d89fx) stipulates that the replication "/><s v="Supplementary Table S1 of the replication article reports the following values: Original (p =  &lt; 0.001, effect size 0.32, n = 126), Replication (p = 0.001, effect size = 0.30, N = 90).  The OSF report (https://osf.io/h3yw6) specified that the replication "/><s v="Supplementary Table S1 of the replication article reports the following values: Original (p =  0.070, effect size 0.28, n = 42), Replication (p = 0.154, effect size = -0.12, N = 144). The replication OSF report (https://osf.io/nd2fk) stipulated that the r"/><s v="Supplementary Table S1 of the replication article reports the following values: Original (p = 0.057, effect size 0.31, n = 117), Replication (p = 0.160, effect size = 0.08, N = 318). The replication report (https://osf.io/a8c36) specifies that the replica"/><s v="Supplementary Table S1 of the replication article reports the following values: Original (p = 0.007, effect size 0.72, n = 216), Replication (p = 0.001, effect size = 0.66, N = 360). The associated replication report (https://osf.io/8esfd) specifies the r"/><s v="Supplementary Table S1 of the replication article reports the following values: Original (p = 0.010, effect size 0.38, n = 162), Replication (p = 0.003, effect size = 0.36, N = 264). The replication report (https://osf.io/rycnp) specifies the replication "/><s v="Supplementary Table S1 of the replication article reports the following values: Original (p = 0.033, effect size 0.84, n = 72), Replication (p = 0.57, effect size = 0.17, N = 168).  The OSF report (https://osf.io/pujg2) indicates that the replication atte"/><s v="Effect size for original study opaque, releavant details recorded - look to tables indicated to see values that were compared for those mean differences? Table 5a and Table 6a, should take difference value?"/><s v="Supplementary Table S1 of the replication article reports the following values: Original (p = 0.001, effect size 0.12, n = 158), Replication (p = 0.001, effect size = 0.27, N = 156).  Using the description provided in Table S2 of the replication article, "/><s v="Effect size for original : details found in session-level efficiency ratios over all rounds as reported in Table 7 for the money treatment sessions and in the last three columns of Table 12, but unclear if/how to calculate effectively from there. "/><s v="Supplementary Table S1 of the replication article reports the following values: Original (p = 0.010, effect size 0.76, n =  54), Replication (p = 0.67, effect size = -0.12, N = 96).  Using the information provided in Table S2 of the replication article, I"/><s v="Supplementary Table S1 of the replication article reports the following values: Original (p = &lt; 0.0001, effect size 0.72, n =  168), Replication (p = 0.001, effect size = 0.73, N = 128).  Using the information provided in Table S2 of the replication artic"/><s v="Effect size for original study opaque, releavant details recorded - difference between means as effect size? "/><s v="Supplementary Table S1 of the replication article reports the following values: Original (p = 0.030, effect size 0.21, n =  112), Replication (p = 0.055, effect size = 0.12, N = 262). The OSF report (https://osf.io/b8pwq) stipulates that the replication a"/><s v="Supplementary Materials - page 4 : post-hoc comparisons showed significant result, (F(1, 38) = 21.63, no exact p value stated. &#xA;https://www.science.org/doi/suppl/10.1126/science.1199327/suppl_file/karpicke_som.pdf &#xA;In the main text, the authors report bot"/><s v="p. 378, Table 1 of original study reports partial omega squared as 0.05"/><s v="PLEASE CHECK THIS: This replication draws upon a comparison of the 30-repetition treatment and the control treatment in experiment 1; independent samples t-test, t(30) = 2.78, p = 0.0092, provided by the original authors. This is not in the original paper"/><s v="PLEASE CHECK THIS: Effect size in original is unclear/hard to distringuish. Value taken from the manuscript based on it's correspondence to the Col 5 of the Table 2 in the Supplementary materials (as signposted by the Camerer table to be the OLS regressio"/><s v="This replication draws upon values direct from the orignal authors that are not published direct in the original manusciprt - t(34) = 2.37 and p-value = 0.02, t-value and p-value from authors. &#xA;Statistical values recorded here are these values in the absc"/><s v="PLEASE CHECK ME FOR MY ACCURACY OF EFFECT SIZE EXTRACTION/REPORTING: &#xA;P value and coef estimate drawn from col 1 of  Table S11 which describes the values of a Tobit regressions with robust standard errors "/><s v="Tails on original p-values assumed one-way as ANOVA analysis central to value. "/><s v="This replication draws upon values that appear to be direct from the orignal authors that are not published direct in the manuscript or the SMs- t(14) = 13.07, p &lt; 0.0001&#xA;Values recorded here  are these values in the abscence of other meaningful values in"/><s v="PLEASE CHECK ME FOR MY REASONING: &#xA;Compared to the supplements of the Camerer replications Table 1, in the original paper the df for the critical t test were 68 (not 45 as listed in Table 1 of Camerer Table 1) thus the N was estimated at 69 (which also al"/><s v="The key test statistics were described as belonging to a two-tailed test in the Camerer supplements but this is not evidenced directly in the original manuscript. "/><s v="The original N is found only in the Camerer Supplemental Table 3, printed as N = 178. However, assuming the total original N  of 449 is divided equally across 5 conditions - two of which are compared for the main claim of interest - the number 178 makes s"/><s v="Supplementary Materials - Table S3b&#xA;https://www.science.org/doi/suppl/10.1126/science.1183532/suppl_file/janssen.som.pdf"/><s v="replication study d calculated using ES calculation"/><s v="1. DOI is not available for the replication study. 2. Keywords are not given in both orignal or replication study. I have written keywords deriving from the abstract of the orignal study. 3. For orignal study p-rep is reported instead of p-values, therefo"/><s v="replication study d calculated using ES calculations"/><s v="1. DOI is not available for the replication study. 2. Keywords are not given in both orignal or replication study. I have written keywords deriving from the abstract of the orignal study. 3. For orignal study p-rep is reported instead of p-values. "/><s v="NA"/><s v="1. DOI is not available for the replication study. 2. Keywords are not given in the orignal study. I have used keywords from replication study.  3. For orignal study  p-rep is reported instead of p-values. 4. Conceptual closeness is because the replicatio"/><s v="After looking at the detaisl of the studies fromt he origianl paper and the reference paper, it is not very clear which origianl study is linked to which replication study."/><s v="The r_study is more of a conceptual replication so I tried to report the closest claim to the o_study"/><s v="Calculated p value for O myself "/><s v="df=2, N = 58 (56+2)"/><s v="There is not enough information on links to the replication study to complete the curation task"/><s v="Reference Study paper could not be found as the DOI is missing and also the complete paper title with author names is not provided"/><s v="pval_value_r is not given as I calculated Cohens d using the excel sheet &quot;ES calculations&quot; using M and SD"/><s v="extant effect size: interaction of effort and rinse (unsweeted rinse versus sucralose-sweted rinse)"/><s v="I copied the link to the pre-registration from the manuscript, but the link does not work.; Descriptive statistics indicate that the effect is reverse, therefore I coded d negatively."/><s v="The authors also investigated the task difficulty as a moderator: &quot;Unsurprisingly, task difficulty had a large effect, F(4, 796) = 762.82, p &lt; .001, ηp2 = .79, with increasing set sizes yielding performance decreases as indicated by a significant linear e"/><s v="I"/><s v="ES of the suppression group of the original paper was calculated using the provided mean and standard deviation in the ES calculation formula provided in Excel"/><s v="potential duplicate"/><s v="n_r was inferred from ANOVA F(1,27) = 2.47. The original sample size was N = 31 but &quot;participants who did not proceed directly down the walkway without stopping were excluded from the study.&quot; (p. 4)"/><s v="extension effect size of the interaction between self-consciousness x prime interaction (self-consciouness was not part of the original study and therefore no original effect size is coded); n_r was inferred from ANOVA F(1,27) = 4.44. The original sample "/><s v="Generated link (link_o) leads to a wrong study "/><s v="n_r was inferred from ANOVA F(1,36) = 2.95. The original sample size was N = 40 but &quot;participants who did not proceed directly down the walkway without stopping were excluded from the study.&quot; (p. 4)"/><s v="extension effect size of the interaction between self-consciousness x prime interaction (self-consciouness was not part of the original study and therefore no original effect size is coded); n_r was inferred from ANOVA F(1,36) = 6.77. The original sample "/><s v="note for n_r: The sample size was inferred as 80 participants took part in the experiment, while 5 had to be excluded and there were 3 experimental groups (eldery condition, youth condition &amp; control condition); pval_value_r: The authors only report a p-v"/><s v="The report does not contain an abstract and thus does not identify as a replication in the abstract. The report describes itself as &quot;Fairly Exact Replication&quot;"/><s v="pval_value_r can be calculated, based on the reported results &quot;The results show no significant difference between the Prime (M= 6.27, SD= 2.15) and the No-Prime group (M = 6.39, SD= 1.11) in the time necessary to walk along the hallway after the priming m"/><s v="extension effect size: The walking speed was measured using a stopwatch. The experimenters were manipulated regarding their expectation of the studies outcome (slow experimenter condition: The experimenter expacted that participants in the priming conditi"/><s v="extension effect size: The effect of the replication reflects an interaction between the experimenters expectation of the studies outcome and the condition (priming versus no priming). "/><s v="extension effect size: The walking speed was measured using a stopwatch. The experimenters were manipulated regarding their expectation of the studies outcome (fast experimenter condition: The experimenter expected that participants in the priming conditi"/><s v="extension effect size: The effect of the replication condition reflects the difference between participants in the priming and no-priming condition during the slow experimenter condition (experimenters were led to believe that participants in the priming "/><s v="extension effect size: The effect of the replication condition reflects the difference between participants in the priming and no-priming condition during the fast experimenter condition (experimenters were led to believe that participants in the priming "/><s v="(1) The replication paper is not fully accessible and makes it difficult to fill the other cells for Study 1. (2) For columns &quot;pval_type_r&quot; and &quot;closeness_r&quot;, I can't able to enter NA as the dropdown menus allow me. @roeseler.lukas@gmail.com"/><s v="(1) P-value for the replicated effect size is not reported (see Table 1), (2) Although the preregistration link is provided, it is a dead link, and (3) As one of the original paper author is consulted, I considered the closeness of the replication as &quot;int"/><s v="Although the 95% CI is reported, the associated p-value for the replicated effect size is not reported."/><s v="(1) Although the 95% CI is reported, the associated p-value for the replicated effect size is not reported. (2) For column &quot;pval_type_r&quot;, I can't able to enter NA as the dropdown menu allow me."/><s v="(1) The results presented about the effect size used to test the hypothesis in the original paper are not clear for Study 2 (at least to me). For this reason, I used the one indicated in the replication paper (Cobb et al., 2014). (2) The replication paper"/><s v="original study d calculated using ES calculations"/><s v="(1) The results presented about the effect size used to test the hypothesis in the original paper are not clear for Study 2 (at least to me). For this reason, I used the one indicated in the replication paper (Pecher et al., 2015). Actually, this value co"/><s v="I don't see in the report anything for significance testing. I&#xA;see by-site descriptive statistics in one of the SMs, but that's not&#xA;really satisfactory to calculate a t-test, pval, and effect size in my&#xA;opinion. I decided it was best to leave it blank for"/><s v="(1) I didn't find the main result of the study in the original paper. However, I used the result mentioned in the replication paper (page 16). Although the 95% CI is reported, associated p-value is not reported. (2) For column &quot;pval_type_o&quot;, I can't able "/><s v="(1) I didn't find the main result of the study in the original paper. However, I used the result mentioned in the replication paper (page 16). Although the 95% CI is reported, associated p-value is not reported. (2) For columns &quot;pval_type_o&quot; and &quot;pval_typ"/><s v="For the replication, I got the data from the supplementary data https://ars.els-cdn.com/content/image/1-s2.0-S0022103113001078-mmc1.pdf"/><s v="The O study had an error in reporting so the claim is on page 2, but the real percentages are on page 3"/><s v="there is no direct mention of the effect size in both papers so I included the test of the o_study(3) and the test of the r_study(1) "/><s v="The R study has phi reported for the effect size, but that option is not available in the cell,  &quot;In contrast with Zhong and Liljenquist (2006) results, Spanish participants who recalled an unethical deed were not more likely to take the antiseptic wipe ("/><s v="there is no direct mention of the effect size in the original paper so I reported the test of the o_study(3). In the r_study φ = .14 but I couldn't add it in the cell so I reported the statistical test."/><s v="there is no direct mention of the effect size in the original papers so I will included the test of the o_study(2) ; NOTE: I can not get access to the replication paper even when following the link provided. the github page give me an error message :("/><s v="I can't calculate the effect sizes because it's not clear how groups are split. I only know thee total sample size and the effect size needs to be weighted by group sizes, or?"/><s v="there is no direct mention of the effect size in the original papers so I reported the test of the o_study(2).  I reported the test of the r_study but note that the general effect size reported for r_study 1 is Cohen’s d = 0.5"/><s v="Also, Earp et al. have seemed to calculate the effect_size_o as 1.08, but I can't seem to calculate that for O's study 2, because they only used a figure and there are no means or SEs"/><s v="there is no direct mention of the effect size in the original papers so I reported the test of the o_study(2).  I reported the test of the r_study "/><s v="there is no direct mention of the effect size in the original papers so I will reported the test of the o_study(4). I also changed the value of the effect size for the r_study since in the paper they reported etasq (partial) not r."/><s v="the replication study in this row refers to study 4 not study 3 so I edited the cell;  there is no direct mention of the effect size so I included the test of the o_study(4) and the test of the r_study but note that for the replication test φ = .2"/><s v="I chose to use the omnibus test and not break down controls by OCD particpants"/><s v="there is no direct mention of the effect size in the original papers so I included here the test of the o_study(4). In  the r_sudy  η2 was reported not r so I edited the cell accordingly."/><s v="replication study states that the original effect was d = 0.59"/><s v="replication study states that the original effect was d = 0..59"/><s v="I  included here the test of the o_study but note that Φ =.30.  the test of the r_study reports d not OR so I edited the cell accordingly; all osf links reported in r_paper do not work"/><s v="I rejected this replication because I felt like it was very different from the original studay in terms of the DVs and categories of IVs"/><s v="I  included here the test of the o_study but note that Φ =.30.  "/><s v="while original paper's statistics are available, the replication study listed does not provide any details on exactly what statistics are used; attempts to locate the original data are proving to be dead-ends"/><s v="It is confirmatory replication attempt"/><s v="GENERAL NOTE: The o_paper have 5 studies and the r_paper is replicating all of them except study number 2. All principal claims are reported here. Note that in the o_paper exp 3 and 4 have the same claims so the r_paper had one study that replicated both "/><s v="Literary Fiction Versus Nonfiction (replication exp 1 - main effect ART)"/><s v="Literary Fiction Versus Nonfiction (replication exp 1 - interaction effect); effect size not reported for r_claim"/><s v="Literary Fiction Versus Popular Fiction (replication exp 3 - main effect condition)"/><s v="Literary Fiction Versus Popular Fiction (replication exp 3 - main effect ART)"/><s v="Literary Fiction Versus Popular Fiction (replication exp 3 - interaction effect)"/><s v="Literary Fiction Versus Popular Fiction (replication exp 4 - main effect condition)"/><s v="Literary Fiction Versus Popular Fiction (replication exp 4 - main effect ART)"/><s v="Literary Fiction Versus Popular Fiction (replication exp 4 - interaction effect)"/><s v="Literary Fiction Versus No Reading  (replication exp 5 - main effect condition)"/><s v="Literary Fiction Versus No Reading  (replication exp 5 - main effect ART)"/><s v="Literary Fiction Versus No Reading  (replication exp 5 - interaction effect)"/><s v="Reolication also calculated d for Experiment 1 in O &quot;The literary fiction versus nonfiction comparison (Kidd and Castano’sExperiment 1, N   86) has Cohen’s d   .51,&quot;"/><s v="Seems to be in German, can't extract the data"/><s v="N for R based on test statistic (F)"/><s v="N for R is stated to be 370, but I am not quite sure that it's true in all of the cases"/><s v="the o_paper had 3 studies and the r_paper had 2 replications of o_study number 3; the results I reported for the r_study are from the two replications (merged) and could be found in table 1 and 2 (p.3);"/><s v="I edited the links to the original paper because it was of the paper before, the o_paper have 4 studies and the r_paper replicated a claim from study 2"/><s v="1. I have used Social Psychology for discipline as most of the references used in this study are from social psychology and there was no specific result for the psychological science. 2. Keywords are not available in both orignal and replication study. 3."/><s v="1. Values for the OVERALL row are taken from both REPLICATION by simply summing up. Since they are new datasets, this can be considered as the Replication, but with bigger power. Both links to OSF are appropriate, thus I leave it empty (links can be found"/><s v="default es_value_r differs from my calculations"/><s v="1. Effect size for the orignal study is taken from the replication study. 2. The page number for replication study is not applicable as replicable study is presented on the webpage."/><s v="For the original study, the spreadsheet was already coded with cohens d found from the replication discussion. &quot;Although the original authors reported fairly strong support for this hypothesis (d = .58)&quot; but I coded partial etasq found originally in paper"/><s v="1) For the original study, the spreadsheet was already coded with cohens d found from the replication discussion. &quot;Nevertheless, the effect sizes we observed (ds = -.13 and -.15) are much smaller than what was reported in the original (d = -.34)&quot;  but I c"/><s v="For the original study, the spreadsheet was already coded with cohens d found from the replication discussion. &quot;Although the original authors reported fairly strong support for this hypothesis (d = .58)&quot;  but I coded partial etasq found originally in pape"/><s v="1.Test stastic for original study are consulted from the replication study and matched with the original study. 2. I am not sure type of &quot;b&quot; I selected for the effect size for replication is correct or not. 3. The page number for replication study is not "/><s v="1. The page number for replication study is not applicable as replicable study is presented on the webpage."/><s v="Ideally, I would have coded 3 rows for the replication: 1 total effect, 1 with original confounding variable and 1 without original confounding variable but I could not find this data on the replication and could only find the total effect: &quot;Specifically,"/><s v="1. Values for REPLICATION were taked from prepring 10.17605--osf.io--fmd75.pdf&#xA;2. In page 25 of the 10.17605--osf.io--fmd75.pdf there should by a typo, as the interaction was tested not with forewarning condition... "/><s v="1. Although Psychological Sciences is not present in the provided list, I have used cognitive psychology as a discipline as I found it more relevant relevant. 2. The value of effect size is negative, the excel is not allowing to inseert it correctly"/><s v="found doi for actual R article, used that as basis for reported information: 10.1016/j.jesp.2020.104066"/><s v="GENERAL NOTE: The results from the r_studies were sourced directly from the OSF file associated with each r_study (link_r), and I verified their consistency with the findings in the SM document. everything was consistent and accurate; the o_paper included"/><s v="As this is a close replication, I was not able to code the original authors' claims accurately as the replication did not make it clear which study (1-5) was being replicated. Instead, the replication created a composite score. Please see copied statement"/><s v="the o_paper included 7 studies but the r_paper only replicated  one claim from study number 1; the effect size reported for the orignial study in the o_paper and the SM doc are a bit diffrent"/><s v="the o_paper included 2 studies but the r_paper only replicated  one claim from study number 1; the effect size reported for the o_study comes from the SM not the o_paper https://www.pnas.org/action/downloadSupplement?doi=10.1073%2Fpnas.1601280113&amp;file=pna"/><s v="I could not find the actual coefficient so I copied it in from the one stated in the replication paper, please see copied in &quot;To evaluate this hypothesis, the authors perform a logistic regression (b = −0.486, p = 0.002); p. 8660.&quot; The authors claims have"/><s v="the o_paper included 7 studies but the r_paper only replicated  one claim from study number 2a; sample size of o_study was infered from the statistical test; I calculated the effect size of the o_claim using the ES calculations sheet based on the informat"/><s v="the o_paper included 9 studies but the r_paper only replicated  one claim from study number 2"/><s v="the o_paper included 2 studies but the r_paper only replicated  one claim from study number 1"/><s v="the o_paper included 6 studies but the r_paper only replicated  one claim from study number 6"/><s v="the test reported for the o_study in the SM doc and r_osf file doesn't match any of the tests mentioned in the o_study. I copied the closest claim fro the o_study in the claim_text_o but kept the other columns empty because I wasn't sure what should be re"/><s v="I could not find the original finding in sufficient detail  as reported in the replicated paper, as you can see from &quot;authors' claims&quot; . Therefore, I have coded the original finding reported by the replication paper, please see copied in here &quot;Partisan pr"/><s v="the o_paper included 6 studies but the r_paper only replicated  one claim from study number 4; as mentioned in the r_paper (osf link) and the SM doc the o_paper do not report the statistical results of the replicated claim. the p value is mentioned in the"/><s v="The test statistic is not in the original paper so I coded the original finding as reported in the replication paper, please see copied in &quot; To evaluate this hypothesis, the authors perform a mixed-effects regression as reported in the Table S16 in the SI"/><s v="the o_paper included 6 studies but the r_paper only replicated  one claim from study number 3b"/><s v="the o_paper included 2 studies but the r_paper only replicated  one claim from study number 2; the results of the claim from the o_study come from table 2 page 3"/><s v="Please note this from the replication &quot;High economic inequality (as compared to low economic inequality) reduces the generosity of high-income individuals (as compared to low-income individuals). The above hypothesis is tested using an OLS regression, int"/><s v="the o_paper included 3 studies but the r_paper only replicated one claim from study number 2b; sample size in the o_study was induced from the statistical test; I calculated the effect size of the o_claim using the ES calculations sheet based on the infor"/><s v="the o_paper included 6 studies but the r_paper only replicated  one claim from study number 5; the results of the o_claim were reported from the SI appendix p.4 https://www.pnas.org/action/downloadSupplement?doi=10.1073%2Fpnas.1606574113&amp;file=pnas.1606574"/><s v="Please note that, for the original study, I coded based on the original finding reported in the replication as the original statistics are found in the Supplementary Information linked in the original paper which does not load up. Please see copied in &quot;To"/><s v="the o_paper included 3 studies but the r_paper only replicated  one claim from study number 2; the test of the o_study was not reported in the o_paper but directly communicated to the author's r_paper so I only reported the information mentioned in the o_"/><s v="I was not able to source the orignal finding from the original paper as this information was provided directly by the authors, so I got it from the replication paper, please see copied in &quot;The paper only reports a 2 (SSES: low or high) × 2 (gender) ANOVA,"/><s v="the o_paper included 2 studies but the r_paper only replicated  one claim from study number 2; only p was reported in the o_study"/><s v="I could not find the reported original effect size in the original paper, please see the insufficient detail in what I coded in 'authors claims' so instead I coded the effect size that the replication paper reported in table 3 of the supplementary materia"/><s v="the o_paper included 6 studies but the r_paper only replicated  one claim from study number 4; the results of the o_claim were reported from the SI appendix p.12 https://ftp.ebi.ac.uk/biostudies/nfs/S-EPMC/472/S-EPMC6275472/Files/pnas.1717092115.sapp.pdf;"/><s v="the o_paper included 8 studies but the r_paper only replicated  one claim from study number 3; o_sample size was reported from the SI appendix https://www.pnas.org/doi/suppl/10.1073/pnas.1610834113 "/><s v="the o_paper included 8 studies but the r_paper only replicated  one claim from study number 8"/><s v="the o_paper included 2 studies but the r_paper only replicated  one claim from study number 1; o_sample size was not reported in o_paper"/><s v="the o_paper included 7 studies but the r_paper only replicated one claim from study number 7; for the r_study I did report d for effect size as mentioned in both the SM table and the paper (osf link) but the paper also report b=0.028 so I am adding it her"/><s v="the o_paper included 2 studies but the r_paper only replicated one claim from study number 2; for the r_study I did report d for effect size as mentioned in both the SM table and the paper (osf link) but the paper also report β=–0.051 so I am adding it he"/><s v="the o_paper included 5 studies but the r_paper only replicated one claim from study number 3; "/><s v="the likelihood ratio test of the o_study reported by the o_study doesn't match the one reported by the r_study"/><s v="There was a discrepency between the findings reported in the original paper and the 'original findings' reported by the replication paper in table 1 (&quot;In repeated games against rigid opponents, participants assigned to be thieves act relatively flexibly i"/><s v="the o_paper included 3 studies but the r_paper only replicated  one claim from study number 1; for the r_study I did report d for effect size as mentioned in both the SM table and the paper (osf link) but the paper also report β=0.156  so I am adding it h"/><s v="the o_paper included 4 studies but the r_paper only replicated  one claim from study number 4"/><s v="I coded the effect size found in original paper as instructed but please see replication notes about this, &quot;The authors test the above hypothesis using a paired t-test, t(201) = 17.51, p &lt; 0.001, dRM = 0.50; p. 10329. Note, however, the test could not be "/><s v="the o_paper included 9 studies but the r_paper only replicated  one claim from study number 7b"/><s v="this effect had 2 tests in the r_study t(220) = -3.22, p = .001, d = -0.43, 95% CI [-0.70, -0.17] and (additional results of a paired t test: t(110) = -4.59, p &lt; .001, dz = -0.44, 95% CI [-0.63, -0.24]), I reported the second one because the sample size w"/><s v="1. The abstract of the paper reflect that the study 1 is a replication study. The study 2a also replicates the actual study (study 2) conducted in the current papers. Leaving replication studies, I am just annotating the study 2 which is an online experim"/><s v="1. Values for REPLICATION statistical inferences were taken from Files uploaded to OSF (link: ) and saved in PDF titled &quot;10.17605--osf.io--j8a4p.pdf&quot;&#xA;2. Pre-registration OSF: https://osf.io/x9tq5&#xA;3. SInce in the main table of the original manuscript the r"/><s v="1. The paper has replicated with the same data and with the new data. So I am reporting both. 2.This part is related to the replication through the same data as of original study. 3.The sample size is not mentioned in the original study, but replication s"/><s v="1. The paper has replicated with the same data and with the new data. So I am reporting both. 2.This part is related to the replication through the new data as of original study. 3.The sample size is not mentioned in the original study, but replication st"/><s v="1. For the replication only results from the time period 1996-2016 were used.&#xA;2. In the original study the sample size should be the number of observations, which is 12 * 27 = 324&#xA;3. The file 10.18718--81781.23.pdf was uploaded&#xA;4. The papers applied Newey"/><s v="Outside my area of expertise - unable to code this entry further"/><s v="Framing effect"/><s v="Gender differences - Giving "/><s v="Gender differences - Taking "/><s v="As the recipients were passive and the behavior of the dictator was measures, I excluded recipients from the effective sample; Both studies also include some regression analyses to examine interaction effects. However, the effects that I coded seem to be "/><s v="Ireland 2005-2010; This replication study contains many tables. I have already written to Sarah and am happy to code all the other tables as well. If you let me know which specific values you need from the tables, I will code them accordingly."/><s v="Unable to code as economics papers differ from psychology/social science papers in structure, focus, and reporting. They emphasise calculations and procedures applied to different datasets/settings rather than replicating an effect."/><s v="The effect being replicated - namely that disgust sensitivity and perceived intentionality are more strongly related when people consider gay kissing than when they consider kissing in general - is not formally tested in the original paper, but justified "/><s v="The z score for the original difference in correlations analysis was recalculated as a q value in the replication study - stands at q = 0.48 in the  recalcuations as reported in the replication paper"/><s v="Contrasted US to WEIRD samples - all other comparisons are not general replications"/><s v="Contrasted Japan to non-weird samples"/><s v="There is a huge discrepancy between the results in the original paper and the replication study for study one and the claim texts are not clear"/><s v="There is a huge discrepancy between the results in the original paper and the replication study for study one, and the claim texts are not clear"/><s v="The paper existing in the replication is for Knobe (2003) which has no statistical values in Study 1 yet the paper for the row is published in 2006"/><s v="Dilemma 1 taken to be the comparison between scenario 1 and 2 for the  principle of double effect"/><s v="The replication paper appears to have a type in the reported F value for the supermarket scenarios.&#xA;F = 17.7 in the replication paper is F = 17.27 in the original paper. "/><s v="N = 180, total sample of both Hong Kong (N=100) and USA participants (N=80), combined samples"/><s v="N = USA sample of 80"/><s v="N = Hong Kong sample of 100"/><s v="The reported test statistics in the original study are a bit confusing; therefore needs to be validated"/><s v="NB: The replication paper states teh OR should be OR = 4.96, however, based on the percent success in both frames we calculate at 5.203 (see repro value)"/><s v="There are no test statistics values apart from the percentages reported in the original study; hence, effect sizes calculated in the replication study have been noted"/><s v="The statistics reported in the original study are confusing compared to those reported in the replication study; therefore needs validation"/><s v="N= 1207+2 = 1209"/><s v="The p-value of the original study has been recorded incorrectly in the replication study. Therefore, the p-value of the original study has been recorded"/><s v="Table 1 of the original study report d= 0.80, however the replication study reports d= 0.87 for the original study. Looking at the values in Table 1  of the original study our reproducible calculation gives a value of 0.87 which is therefore reported here"/><s v="NB: the replication manuscript suggests the the original n was 144, however, the original manuscript indicates that the n was made up of  two groups of 77 aka 154, (this is verified further by the df of the t-tests in both the original and replication man"/><s v="There is no PDF attached for this task, and the only search shows it is not freely accessible"/><s v="The number of participants for the effect of condition on belief in global warming and concern about it were different"/><s v="Focal comparison with English subsamples."/><s v="replication effect is in opposite direction"/><s v="No p-value reported on construe of choices in the replicated study"/><s v="Both original and replicated studies are indicated as nested"/><s v="This task is similar to the above task"/><s v="The original study reports results for different cultural groups separately to compare them against each other. The replication compared a general sample only - here two of the three subsamples from the original study are compared to the replication sampl"/><s v="This task requires validation because of the confusing statistics reported in the original study"/><s v=" There is no information on the &quot;Preferences for formal versus intuitive reasoning: Norenzayan, Smith, Kim, and Nisbett (2002, Study 3) to compare with the original study"/><s v="Link O leads to a wrong paper - &quot;Creating Global Brand Names: The Use of Sound Symbolism, 2013, Gerard A. Athaide a &amp; Richard R. Klink&quot; instead of &quot;Klink, R. R. (2000). Creating brand names with meaning: the use of sound symbolism.&quot; Original study doesn’t"/><s v="Link O leads to a wrong paper - &quot;Creating Global Brand Names: The Use of Sound Symbolism, 2013, Gerard A. Athaide a &amp; Richard R. Klink&quot; instead of &quot;Klink, R. R. (2000). Creating brand names with meaning: the use of sound symbolism.&quot;Original study doesn’t "/><s v="For some reason when present O results, R operates with word &quot;rich&quot; instead of &quot;thick&quot; used in O. After that R also uses &quot;thick&quot;, so it's probably just a mistake. No matter the fact, it didn't affect data extraction. Link O leads to a wrong paper - &quot;Creat"/><s v="1) The effect sizes (r) for the original study coded for this row and the subsequent 12 rows are the calculated effect sizes of the original study as reported in the replication study. Table 2 on Page 9 of the original study reports results as percentages"/><s v="P.10, Table 5 In R also states r = 0.407 for O and r = 0.026 for R."/><s v="P.10, Table 5 In R also states r = 0.348 for O and r = 0.054 for R."/><s v="It's basically the same as OpenMKT10, but R conducted other analysis (the Mann-Whitney U test) because of the outlier, hence statistics for O remain the same, but differ for R. This kind of test wasn't preregistered"/><s v="careless participant's aren't included in R"/><s v="MTK12 rows e-h include the same statistics for O, but different for R (in e-f &quot;careless participants&quot; included in the R analysis  (e.g., responses that were completely nonsensical or did not attempt to answer the prompt), hence larger sample"/><s v="MTK14 rows e-h include the same statistics for O, but different for R (in e-f &quot;careless participants&quot; included in the R analy (e.g., responses that were completely nonsensical or did not attempt to answer the prompt), hence larger sample"/><s v="a-d = careless participants not included in R statistics"/><s v="e-h = careless participants included in R statistics"/><s v="P.9, Table 5 In R also states r = 0.385 for O and r = 0.251 for R."/><s v="There is a discrepancy in the number of participants for Experiment 1a as recorded in the replication study, n=88, while the correct one in the original study is n=106. Therefore, the number of participants, N = 106 (1a) + 88 (1b) + 181 (1c) = 375 partici"/><s v="P.9, Table 5 In R also states r = 0.362 for O and r = 0.106 for R."/><s v="P.9, Table 5 In R also states r = 0.367 for O and r = 0.387 for R."/><s v="P.9, Table 5 In R also states r = 0.295 for O and r = 0.011 for R."/><s v="P.9, Table 5 In R also states r = 0.249 for O and r = 0.238 for R."/><s v="P.9, Table 5 In R also states r = 0.299 for O and r = 0.180 for R."/><s v="P.9, Table 5 In R also states r = 0.241 for O and r = -0.011 for R."/><s v="P.9, Table 5 In R also states r = 0.274 for O and r = 0.095 for R."/><s v="P.9, Table 5 In R also states r = 0.186 for O and r = 0.012 for R."/><s v="P.9, Table 5 In R also states r = 0.178 for O and r = 0.036 for R."/><s v="P.10, Table 5 In R also states r = 0.271 for O and r = 0.012 for R."/><s v="P.10, Table 5 In R also states r = 0.246 for O and r = 0.038 for R."/><s v="P.10, Table 5 In R also states r = 0.197 for O and r = 0.041 for R."/><s v="P.10, Table 5 In R also states r = 0.400 for O and r = 0.009 for R."/><s v="P.10, Table 5 In R also states r = 0.245 for O and r = 0.003 for R."/><s v="P.10, Table 5 In R also states r = 0.251 for O and r = 0.013 for R."/><s v="P.10, Table 5 In R also states r = 0.258 for O and r = -0.003 for R."/><s v="P.10, Table 5 In R also states r = 0.195 for O and r = 0.000 for R."/><s v="P.10, Table 5 In R also states r = 0.189 for O and r = 0.061 for R."/><s v="P.10, Table 5 In R also states r = 0.171 for O and r = −0.007 for R."/><s v="P.10, Table 5 In R also states r = 0.208 for O and r = −0.031 for R."/><s v="No. of participants = 194 - 15 (excluded- could not identify shopping goal) = 179 (Study 2)"/><s v="P.10, Table 5 In R also states r = 0.261 for O and r = 0.022 for R."/><s v="P.10, Table 5 In R also states r = 0.386 for O and r = 0.394 for R."/><s v="Unsure whether the F-test controlled for nesting, thus whether it was a repeated measures ANOVA"/><s v="1. Second OSF link: https://osf.io/r8wt9&#xA; 2. Minor technical changes were made for the replication"/><s v="1. The second OSF link: https://osf.io/z4yqw&#xA; 2. Since there was a minor change in the experimental design (exclusion of duration condition) I consider the study as close replication"/><s v="1. This was an online replication, thus -&gt; conceptual"/><s v="1. Changes were mostly connected with sample and statistical tools"/><s v="The table states that the p-value of the original effect size is two-tailed but the report does not include this information.; Authors reported p-rep instead of p-value"/><s v="1. Most changes of the task were connected with its adaptation to another language. Depending on language (here Eng -&gt; Hebrew) it is a big or small change. I would consider this to be a big change, along with authors description&#xA; 2. Authors reported p-rep"/><s v="Exclusion"/><s v="1. No replication study"/><s v="1. There were severa differences in experimental setup (common room), but authors of replication and original authors stated that it does not produce big differences -&gt; close replication"/><s v="1. Minor changes to the paradigm&#xA; 2. Authors reported p-replication (probability of replication) instead of p-value"/><s v="Authors reported p-rep instead of p-value"/><s v="1. Authors of replication stated about potential differences on the effect due to cultural differences. Since it is an important factor for the results -&gt; conceptual replication&#xA; 2. Authors reported p-replication (probability of replication) instead of p-"/><s v="The ANOVA of the replication report deviates from the one in the table (I chose the report). The table states that the test was two-tailed, but this information is not provided in the report.; Authors reported p-rep instead of p-value"/><s v="1. In RPP table the study is attributed to Social studies, but it is rather Neuroscience&#xA; 2. Authors reported p-replication (probability of replication) instead of p-value"/><s v="1. Authors reported p-replication (probability of replication) instead of p-value"/><s v="The table states that the p-value of the original study was two-sided, while I can not collect this information from the original report. The t-test refers to values of a pre-post test. I only coded the test statistics, as the effect size was dz (from rep"/><s v="1. Minor sample and language differences&#xA; 2. For replication Cohen's dz is used"/><s v="1. Minor changes to the paradigm&#xA; 2. Authors reported p-replication (probability of replication) instead of p-value&#xA; 3. I am not sure whether the analsis was nested or not."/><s v="1. The second OSF link: https://osf.io/pgvej&#xA; 2. Confidence rating was excluded from the replication. Given that it was collected in the original study after the recall, I consider this study to be a close replication"/><s v="The table states that the correlation was tested one-tailed (in the original), the report does not specify this."/><s v="1. Although in RPP table this paper was in Social science, I would rather put it in Cognitive because of the studied phenomenon and methods. However, I report along with the RPP table the final Code."/><s v="Authors reported p-rep instead of p-value, another effect size was available, too (z = 5.43)"/><s v="1. The final report of replication in under another link: https://osf.io/nxp9w&#xA; 2. Although the study in RPP table is in Social sciences, it is more about neuroscience due to target and methodology. However, I report along with RPP table. &#xA; 3. Updates wer"/><s v="The authors of the original report report r-square as an effect size, but I was not sure whether you can use that effect size for further codings. The authors of the replication report report Cohens dz and I was not sure whether you can work with this eff"/><s v="1. Authors of replication stated that they did minor changes to screen size, but adjusted all paramaters to the renewed screen. Since this can affect the visual perception directly, I put the replication to conceptual category&#xA; 2. R-square is used for ES "/><s v="No replication"/><s v="1. No replication"/><s v="I was not sure whether you could use omega as an effect size. Therefore, I report test statistics.; Only p-rep is reported"/><s v="1. Two more OSF links: https://osf.io/fymue, https://osf.io/2uh78&#xA; 2. There was no information about Discipline in the RPP table, thus I put my considerations into the cell"/><s v="1. There is no replication"/><s v="The authors of the original report report a value of p = .000, but as a p-value can not be zero, I changed the value. A two-tailed paired t-test was used, thus the test should control for nesting."/><s v="1. Changes in distance between viewer and screen could affect the results -&gt; conceptual replication"/><s v="Only p-rep was reported (original report); The OSF page of the replication project does not work."/><s v="1. Minor changes to the paradigm"/><s v="1. The second OSF link: https://osf.io/d2yqj&#xA; 2. I would say it is a close replication, since authors only changed the software and instructional presentation was not detailed in original study&#xA; 3. The Effect can be either &quot;Numeracy&quot; (object, phenomenon) "/><s v="There were two replication studies (one from Amsterdam and one from the U.S.). The combined analysis is also described in the paper. However, the table only describes the amsterdam study."/><s v="1. There were two studies, with one more conceptual replication and one - close replication. Since Amsterdam study was reported in RPP table, I put conceptual &#xA; 2. The data for replicatgion was taken from this link: https://osf.io/nkaw4"/><s v="1. Multiple changes were made in the replicational procedure / design -&gt; conceptual &#xA; 2. The results in the original study are coded as significant, however neither p value or alpha level is indicated. I assume it to be 0.05 and put &quot;p &lt; 0.05&quot;"/><s v="The table and the replication report do not align with each other. I chose the effect of the replication report."/><s v="1. The correlation is partial&#xA; 2. There can be cultural effect on the results -&gt; conceptual replication&#xA; 3. Authors reported p-replication (probability of replication) instead of p-value"/><s v="Three preregistrations of replication; The table states that the effect of the replication study was tested two-sided while the report does not indicate so.; Authors reported prep instead of p-value in the original study."/><s v="Three preregistrations of replication report; Table states that study 2 is replicated while the report states that it is study 1"/><s v="1. Another OSF links: https://osf.io/bx64z&#xA; 2. There is no explanation of how participants were devided to groups, thus it is difficult to calculate Cohen's d. I reported the calculted in ES calculations Cohen's d"/><s v="Two preregistrations of replication report: Original study reports only prep (.95)"/><s v="1. Important difference in how groups were seated (together or separately) -&gt; conceptual replication&#xA; 2. The effect can be either &quot;Intragroup / intergroup conflict&quot; or &quot;Cooperation&quot;. The second term is broader, thus I chose it"/><s v="1. The study was partially online, thus it required modification in design&#xA; 2. The study is called &quot;main study&quot; in the original manuscript, rather than &quot;2&quot;."/><s v="1. There were modification (index card, that provided a review of ink color and keyboard key matches) which may influence the results -&gt; conceptual replication&#xA; 2. The Effect can be either &quot;Contingency&quot; or &quot;Item-specific proportion congruent effect&quot;. I ch"/><s v="1. In original study, no p-value is reported. However, the prep = .99"/><s v="1. The second OSF link: https://osf.io/u8g3x&#xA;2. Since stimulus were recreated, rather than reused, I would suggest to mark the study as conceptual replication&#xA;3. I can't understand how the effect can be significant if p &gt; 0.99. I am not sure that I unders"/><s v="1) 'doi_r' differs from the link provided on page 35 table from OSC 2015 PDF and their effect sizes differ, I coded the one from the link provided in PDF. 2) I coded d= 005 as in the link found in OSC 2015 PDF but the RPPdataConverted.xlsx table contained"/><s v="1. Minor changes were made for the replication&#xA;2. Authors reported p-replication (probability of replication) instead of p-value"/><s v="Link provided in OSC 2015 PDF not valid, so I had to find information on this link: https://osf.io/27cmh"/><s v="1, The data for replication was taken from this link: https://osf.io/27cmh"/><s v="1. There were slight difference in methodology and quite important age difference in sample -&gt; conceptual&#xA;2. P values were not provided in both original and replication studies"/><s v="1. In original study, no p-value is reported. However, the prep = .927 2) Block design was different hence conceptual"/><s v="1. There were differences in the block design -&gt; conceptual replication"/><s v="1. The replication was conducted not in the lab&#xA;2. The Effect is either &quot;Visual detection&quot; or &quot;Fear-irrelevance&quot;. The effect/object is the second, the effect is the second. I chose Visual detection as it is broader. "/><s v="1. In original study, no p-value is reported. However, the prep = .97"/><s v="1. There is a difference in the sample - high-school students (&quot; in the last 2 years of high school&quot;) or 1st year university students. I assume this groups to be quite equal in WM abilities (https://doi.org/10.1038/s41598-020-80866-1), thus the replicatio"/><s v="1. The differences with original study are mostly technical, thus - close replication"/><s v="Conceptual as experimental design was different"/><s v="1. In my opinion, quite big valuable changes were made in the replication for the experimental design"/><s v="1. Also there is a second OSF link: https://osf.io/nra37"/><s v="1. The second OSF link: https://osf.io/mghvs"/><s v="1. The second OSF link: https://osf.io/397fh&#xA;2. The effect can be either &quot;Additive effect&quot; (stated in the paper) or &quot;Familiarity&quot; (object / phenomenon). I chose the 1st as it is stated explicitly in the paper"/><s v="I couldn't find the effect size in the replication paper, so coded from the OSC dataset table"/><s v="1. The second OSF link: https://osf.io/8qrtd"/><s v="1. Stimuli size was slightly larger, thus I would treat it as the conceptual replication, rather than a close, since the experimental stimulus were manipulated."/><s v="1. The second OSF link: https://osf.io/avy86"/><s v="1. I am not sure in the Description. Authors of the original paper says the statistical inferences of Experiment 3 supported Prediction 1, but it seems that it was more about Prediction 3:&#xA;&quot;higher judgments of Cause A when there are 12 A instances than wh"/><s v="1. The second OSF link: https://osf.io/pxr93&#xA;2. Minor technical differences"/><s v="I reported the effect size found in the original replication paper d=.142 instead of the etasq of .122 reported in OSC 2015 PDF table as cannot find that in replication paper"/><s v="1. The sacond OSF link: https://osf.io/9x765"/><s v="1) The link to the replication paper does not work, I found report through this link: https://osf.io/k7chx 2) The partial etasq reported in OSC 2015 table for the replication efefct size is 0.00003 but in the original paper it is .0. Coded from original r"/><s v="1. There is also a second OSF link: https://osf.io/7ufyv&#xA;2. Conceptual replication because minor changes were made for the analysis (exception of 1 condition) and sample filtering process (based on Eng fluency)&#xA;3. In the replication, the Interaction resul"/><s v="The replication paper didn't report p-value so I coded it from the OSC 2015 table"/><s v="1. Authors of replication noted &quot;ns&quot; for significance level, which I consider as more than the threshold = 0.05 (they wrote this when they described G*Power calculations)"/><s v="1. The main difference was in population - they were Italians, which can affect the attitude&#xA;2. I am not sure in the nested / non nested version for regression analysis. "/><s v="Please note exact p-value of replication finding is p=2.2 × 10⁻¹⁶ "/><s v="1. Authors of replication used different cut-off intervals, which could affect the result (aka filteting)&#xA;2. Leven's test is not nested 3) Please note exact p-value of replication finding is p=2.2 × 10⁻¹⁶ "/><s v="1. F-square is used to report ES of replication&#xA;2. I am not sure whether the analsis was nested or not."/><s v="1, The data from replication is taken from: https://osf.io/2pbaf&#xA;2. The study sample age was changed as well as online experimental design was used&#xA;3. In the original study the division on groups is not specified: was it equal or not. The design is betwee"/><s v="The replication report found https://osf.io/v7bjc 2) no p-value reported in original study"/><s v="1. The second OSF link: https://osf.io/a9vrq&#xA;2. Authors did modification in replication (counterbalancing in a Latin square fasion)&#xA;3. No p-value was reported in the original study"/><s v="Couldn't find the effect size in original replication paper that was reported in the OSC 2015 table, I coded from the replication paper directly"/><s v="1. There was no indication of interaction in the original study (since it was not significant), thus I am not sure whether exactly this values should be reported. Moreover, they are different from RPP table."/><s v="The link here to the original paper is wrong, I coded from https://www.uky.edu/AS/PoliSci/Peffley/pdf/Sniderman/Amodio_et_al_2008_JPSP_Individual%20Differences%20in%20the%20Regulation%20of%20Intergroup%20Bias.pdf"/><s v="1. Also for OSF there is a second link: https://osf.io/dqybc&#xA;2. In the original paper there is a misinformation, as authors firtly wrote about 59 participants, from which 1 was excluded, somehow resulted in 48. &#xA;3. An updated file was uploaded for origina"/><s v="1. &quot;The experiment materials provided by the original authors included only 7 experimental descriptions for participants to rate. &quot; - thus it can't be assessed as close replication, even considering such an opinion of the authors&#xA;2. The study is about neu"/><s v="I coded directly from the replication paper, there is some inconsistency as the OSC 2015 table states that the d=.082 and p-value of .796 "/><s v="1. There minor changes, but there were a lot of them as well as the argue about the sample -&gt; conceptual replication"/><s v="1. The mateirial to replication study was taken from the link: https://osf.io/efjn3&#xA;2. The second OSF link is available: https://osf.io/xy9mv/"/><s v="2. The Effect is about either &quot;Social perception&quot; or &quot;Communal responsiveness&quot; I used the second as it is stated in the paper&#xA;3. Authors stated the modification of the procedure, which they believe have small influence on the replication. However, from my"/><s v="1. There are also 2 additional OSF links: https://osf.io/cbwgj, https://osf.io/zhxuy"/><s v="I coded directly from the replication paper, there is some inconsistency as the OSC 2015 table states that the d=-.01"/><s v="1. Authors added appreciation to the list of emotions"/><s v="Conceptual as study to design from being measured individual to groups"/><s v="1. Tags were combined from RPP table and the paper &#xA;2. There is also the second OSF link: https://osf.io/v3hfb&#xA;3. The study was conducted in groups instead of individually&#xA;4. Exploratory analyses was conducted with the usage of original sample, thus it is"/><s v="1. The second link for OSF is: https://osf.io/e4vqu"/><s v="1. There was a second OSF link: https://osf.io/p5en6&#xA;2. In my opinion the Discipline is more about &quot;Differential Psychology&quot;, however, in RPP table it is &quot;Social&quot;, thus I leave it to be along with the RPP table. "/><s v="Link from OSC 2015 table to replication paper didn't work but I found it here: https://osf.io/b9jtc"/><s v="1. Also, there is a second link for OSF: https://osf.io/bfzn9&#xA;2. There were differences with original study in the survey administration and sampling frame"/><s v="1. There were 2 additional links to OSF: https://osf.io/6c5kp, https://osf.io/f2gru&#xA;2. The values for effect size are given in order to calculate Cohen's h for binomial test: observed and hypothesized proportion (h = 0.944 and 0.914)"/><s v="For original study, I coded directly from original study as could not find values reported in OSC 2015 table"/><s v="1. In the RPP table there is a statement about t-test, however, in the original paper authors report ANOVA. I put the value like in the original study. &#xA;2. In the RPP table the Cohen's d is reported. However, it is not stated in the replication report and"/><s v="1. The second OSF link: https://osf.io/dwr2m&#xA;2. In my opinion the Discipline is more about &quot;Differential Psychology&quot;, however, in RPP table it is &quot;Social&quot;, thus I leave it to be along with the RPP table. "/><s v="1. There is also the second OSF link: https://osf.io/2kryw"/><s v="In replication paper, X^2(1, N=120) = 4.80 was reported too but I coded phi as it is more suitable for effect size. However, not sure if I coded the type correctly."/><s v="1. The second OSF link: https://osf.io/hctz9&#xA;2. The Effect is also &quot;Social deviance&quot;&#xA;3. The effect size of replication is Phi&#xA;4. There are four different districts in the replication. Each of them can be considered as separete replication"/><s v="In the replication paper,  β hat  = 0.4695"/><s v="1. Authors stated that the response rate was very low (approximetly 0%), which means that these results are effectively un-interpretable. The replication fialed."/><s v="1. Two more OSF links: https://osf.io/49xea, https://osf.io/24d7b"/><s v="Link to original paper is wrong, I used : https://kops.uni-konstanz.de/server/api/core/bitstreams/f8cf3efc-7de6-49c4-8ff8-ce1e1a9b6892/content"/><s v="1. An updated file was uploaded for original study (in the e-mail there is  a link to the corresponding folder)"/><s v="1) I coded p-value from original paper, the OSC 2015 table says p&lt;.05 2) Conceptual as story line changed"/><s v="1. There is another OSF link with the same files in it: https://osf.io/tue9g, https://osf.io/9bsqn"/><s v="1. The replication was conducted online"/><s v="1) The link to original paper is wrong, I coded from http://www.communicationcache.com/uploads/1/0/8/8/10887248/self-regulation_and_selective_exposure-_the_impact_of_depleted_self-regulation_resources_on_confirmatory_information_processing.pdf 2) I coded "/><s v="1. There are differences in the values from the RPP table and from the replication report. I marched the results from original study and replication&#xA;2. An updated file was uploaded for original study (in the e-mail there is  a link to the corresponding fo"/><s v="Coneptual as mutliple experimental materials were changed"/><s v="1. in Effect it can be either Racial Distancing (the phenomenon of interest) or the stepeotype threat theory (a framework)&#xA;2, The experimental procedure was slightly changed (more distracting topics, the time of the manipulation instruction)"/><s v="For original, I coded directly from paper but OSC 2015 table states r = .04. For replication paper, I coded directly from OSC 2015 table as couldn't find values directly from paper"/><s v="1. Several minor changes were made to the procedure (analyzing warmth, Y/N answers to several questions and so on)&#xA;2. It seems that values in RPP table are not exactly the values reported in the perlication report. I would suggest checking one more time, "/><s v="1. https://osf.io/ne9dy/registrations - there is no completed registrations of the project&#xA;2. No data of replication is provided both in RPP table and https://osf.io/ne9dy/&#xA;3. No data about science area is in RPP table. I consider &quot;Cognitive psychology&quot; t"/><s v="1)  For replication paper, I coded directly from OSC 2015 table as couldn't find values directly from paper 2) The link did not work to the original link so I coded from here: https://d1wqtxts1xzle7.cloudfront.net/39910353/Balancing_Connectedness_and_Self"/><s v="1. There is a second link for OSF, but it is taged with &quot;withdraw&quot;: https://osf.io/wys6d&#xA;2. I am not sure in the reported results of replication study. There is a mismatch with RPP table. &#xA;3. The effect is either &quot;relationship connectedness&quot; or &quot;self-este"/><s v="Had to code from OSC 2015 table for the replication paper as unexpected server response message kept coming up for replication paper https://osf.io/mptb2"/><s v="1. Additional OSF link: https://osf.io/8nqsh&#xA;2. Several differences with the original study: online, not equal groups, another statistical analysis"/><s v="1. Although Psychological Sciences is not present in the provided list, I have used cognitive psychology as a discipline as I found it more relevant relevant."/><s v="I relied on the effects from the replication study, which were fully reported in the text. Unfortunately, no effect sizes or statistics were provided that you could directly use. Therefore, I extracted the statistics from the text and table, hoping that y"/><s v="1. The original study is from &quot;Journal of Consumer Research&quot; - however, now Consumer psychology is in the Discipline list 2. First part of tags is from original study, second - from the replication  3. One subject was removed from the original study (p. 7"/><s v="ES for O changed in accordance with O (etasq partial instead of d). Replicated studies were not preregistered"/><s v="This row has been coded as Experiment 2 replication study of Experiment 2 in the original study."/><s v="I skipped that row, because I couldn't fine a file clearly indicating replication procedure and results"/><s v=" I need help coding this row. The information in the original study is unclear, and the link to the replication study only contains raw data, with the .csv file with the information on the methods and the results on the replication study is in German, a l"/><s v="Nested_r determined on the use of chi square test. Test statistics extracted from the O and R instead of SE that was already in the table"/><s v="1) The p-value has been indicated as ns (not significant); hence, it is coded as p&gt;0.05. 2) I wanted to calculate the effect size 𝑤 (Cohen’s w) for a Chi-square test using the Chi-square result and the sample size, N, reported in the original and replica"/><s v="One paper described both studies with slightly different conditions (study 1 - answered to  if they would be willing to either flip a switch that diverts the trolley so that it kills one person instead of five (switch dilemma) or push the individual off a"/><s v="OR for R calculated using information from Table 1 and ES calculator"/><s v="The test statistics for the replication study should be validated."/><s v="ES type for R changed to etasq partial in accordance with the paper&#xA;"/><s v="1) The replication study reports the number of participants for each of the three treatment conditions out of the 329 participants recruited for the study. This is what has been used to code the n_r variable. 2) Table 2 in the replication study reports th"/><s v="I am leaving the es_value and es_value_type how I originally received this spreadsheet as not sure how to code these. Please see original author's claim coded in this row and the following replication claim &quot;The one-sided Bayes factor for the time-to-exha"/><s v="1. The discipline can be also &quot;cognitive psychology&quot;  2. For the replication: BF (01) = 9.762 3. For the replication the ES was calculated based on the provided M + SE. The conversion to SD was conducted by the formula: SD=SE×sqrt(N). The ES was calculate"/><s v="1. The discipline can be also &quot;cognitive psychology&quot;  2. For the replication: BF (01) = 4.04 3. For the replication the ES was calculated based on the provided M + SE. Since we had only upper and lower CI, in order to calculate SE I used the following for"/><s v="1. The discipline can be also &quot;cognitive psychology&quot;  2. For the replication: BF (01) = 2.587 3. For the replication the ES was calculated based on the provided M + SE. Since we had only upper and lower CI, in order to calculate SE I used the following fo"/><s v="No preregistration of the r_paper but only supplementary materials: https://osf.io/6k5rg/registrations"/><s v="the results of the effect in the r_sttudy are not reported &quot;Next, feelings of guilt were not significantly related to recovery experience and vitality.&quot; (p.19)"/><s v="the results of the effect in the r_sttudy are not reported &quot;When looking at the direct relation between binge-watching and well-being, we found that respondents who binge-watched more also experienced more enjoyment ...No relations with recovery experienc"/><s v="1. I would mark this replication as conceptual, since the analysis plan was different from the original study and the data was gathered online"/><s v="1. I would mark this study conceptual replication, because it was online"/><s v="No statsitics were reported in the original paper, please see notes_validation by previous coder- I agree."/><s v="1. For ES measurement I used OR from the &quot;ES calculations&quot; page. The values, which were used, are: 89% of correct answers (in the paper - 11% of incorrect) and 74% of correct answers (in the paper - 26% for incorrect) (page 6)"/><s v="1. For ES measurement I used OR from the &quot;ES calculations&quot; page. The values, which were used, are: 60% of correct answers (in the paper - 40% of incorrect) and 90% of correct answers (in the paper - 10% for incorrect) (page 7, Trump and Clinton voters)"/><s v="Coded closeness as 1 due to same author (Olson)"/><s v="1. Two links to preregistration were provided. The second: https://osf.io/uyng7"/><s v="The main effect is an ombnibus F-test and so I couldn't do  a couldn't calculate the paired t-test without a t-value on the pos- and neg-valenced means"/><s v="I edited the cell of the effect size of the r_paper since only the test was reported. Note from the authors of the r_study:&quot;A between-subjects Cohen’s d was also calculated for familiarity, although this should be inter-preted with caution as it does not "/><s v="Data for R copied from Footnote 4, it also seems like R replicate some results from another paper, specifically Vaughn, L. A. (2018). Contents of hopes and duties: A linguistic analysis. Frontiers in Psychology, 9, 1–13. DOI: https://doi.org/10.3389/fpsyg"/><s v="1) The correct preregistration link for the replication study has been coded 2) The number of participants has been coded as 457 (t(1,455) = −4.503), i.e., 455+2 = 457, for the classic ISE (Contrast 1). This can, however, be validated"/><s v="Values for R extracted from the OSF project page"/><s v="This row needs validation because I'm not sure of the coded information since the replication study has limited information to compare with the original study."/><s v="N for the replication study from test statistic F1,84 = 107.831= 84+2 (df) = 86; Unsure if the replication is nested or not."/><s v="n_r = 81+2 =83; The rowid should be resolved because this is same replication study as the above row."/><s v="n_r = 72+2 =74 (t72 = 7.087). However, it needs to be validated to pick the right one between the pre-coded 85 and 74. The rowid should also be resolved because this is the same replication study as soscisubmission47."/><s v="For original study, I am not sure if I am coding the F values correctly or whether these should be coded seperately as two different rows (aka one for subject-level and one for item-level)"/><s v="1. In the manuscript along all the results only one result is matching. I also checked the results with: https://osf.io/yh5js.It seems in the end when comparing the results there was an error, since the corresponding tasks are in experiments 1b and 3b, in"/><s v="1. I would rather say that the Discipline is more about Developmental psychology 2. In the replication the DLS metric is used.  The DLS is the difference between looking time to the correct side and looking time to the incorrect side divided by the sum of"/><s v="1. Conceptual - because if was a testing of the same effect but on another age cohort 2. Four students were removed from the analysis (study 2) 3. The results are attributed to the period from entry 1st year to the end of the 2nd year"/><s v="ES for O changed in accordance with O (etasq partial instead of d).  A typo in R results description (p &lt; .05) , while it's clear from the description that it's not true. &quot;However, an independent samples t-test (one-tailed) showed no significant (p &lt; .05)"/><s v="This row has been coded as Experiment 1 replication study of Experiment 2 in the original study."/><s v="The pval_value_o was estimated based on t(84) = 2.40 sarahashjones@gmail.com Hello. Please help me understand this. This t(84) = 2.40 does not exist in the original study, therefore, I have discarded the entry. I hope this is correct. Thank you."/><s v="(1) P-value was not reported. As a result, I can't able to enter NA in the column &quot;pval_type_o&quot; as NA is not in listed in the dropdown menu; (2) I considered the adjusted p-value for the replicated effect size. sarahashjones@gmail.com This coder considere"/><s v="Although the replication used the same AAS measure for attachment, SVO was measured using the SLM rather than TDM as in the original study. As one key construct was measured differently, this is coded as a conceptual replication (closeness = 3). Original "/><s v="(1) P-value was not reported. As a result, I can't able to enter NA in the column &quot;pval_type_o&quot; as NA is not in listed in the dropdown menu; (2) I considered the adjusted p-value for the replicated effect size; (3) The categories individualists and compet"/><s v="This replication used the same 4-item composite for secure attachment as the original but measured SVO using SLM instead of TDM. As one key construct was operationalized differently, this is considered a conceptual replication (closeness = 3). Original p-"/><s v="Both constructs were measured differently in this replication (SLM for SVO and ECR-R for attachment), though the theoretical hypothesis remained the same. Coded as a conceptual replication (closeness = 3). Original p-value computed from t(48) = 2.46. "/><s v="This effect compares the number of siblings between prosocials and individualists using the same TDM measure and operationalization of sibling count as in the original study. Original authors were not involved; coded as a close replication (closeness = 2)"/><s v="This replication used the same TDM measure and conceptualization of sibling count as in the original study to compare prosocials and competitors. Original p-value estimated from F(2, 135) = 3.22. Coded as a close replication (closeness = 2)."/><s v="This replication used the same operationalization of sibling gender count (number of sisters) and TDM measure as the original. Original p-value estimated from F(2, 135) = 3.84. Coded as a close replication (closeness = 2)."/><s v="This effect compares prosocials and competitors on number of sisters using the same TDM measure and operationalization as the original. Original p-value estimated from F(2, 135) = 3.84. Coded as a close replication (closeness = 2)."/><s v="This effect compares prosocials and individualists on number of older siblings using the same measurement and operationalization as the original study. Original p-value estimated from F(2, 135) = 3.46. Coded as a close replication (closeness = 2)."/><s v="This replication used the same measure of SVO (TDM) and identical operationalization of number of older siblings as the original. Original p-value estimated from F(2, 135) = 3.46. Coded as a close replication (closeness = 2)."/><s v="This replication used the SLM measure for SVO rather than TDM as in the original study. While sibling count was operationalized the same way, the change in SVO measurement leads to coding this as a conceptual replication (closeness = 3). Original p-value "/><s v="Although this effect uses the same secure attachment composite (AAS 4-item average) as in the original study, it was labeled &quot;original&quot; in the replication paper to distinguish it from the subscales and ECR-R measures. It was Coded separately to match the "/><s v="(1) P-value was not reported. As a result, I can't able to enter NA in the column &quot;pval_type_o&quot; as NA is not in listed in the dropdown menu; (2) I considered the adjusted p-value for the replicated effect size."/><s v="While sibling count was measured identically to the original study, this replication used the SLM instead of the TDM measure for SVO. As a result, the replication is coded as conceptual (closeness = 3). Original p-value estimated from F(2, 135) = 3.22."/><s v="Although the same operationalization of sibling gender (number of sisters) was used, the replication employed the SLM measure for SVO instead of TDM. Therefore, this is coded as a conceptual replication (closeness = 3). Original p-value estimated from F(2"/><s v="This replication used the same operationalization of sibling gender (number of sisters), but measured SVO using SLM instead of TDM. Thus, this is coded as a conceptual replication (closeness = 3). Original p-value estimated from F(2, 135) = 3.84."/><s v="This replication examined number of older siblings using the same operationalization as the original study, but measured SVO using the SLM rather than TDM. Coded as a conceptual replication (closeness = 3). Original p-value estimated from F(2, 135) = 3.46"/><s v="The replication used the same operationalization of older sibling count but measured SVO using SLM instead of TDM. Coded as a conceptual replication (closeness = 3). Original p-value estimated from F(2, 135) = 3.46."/><s v="The replication examined the relationship between age and SVO using the same TDM measure and categorization logic. Original p-value estimated from χ²(4) = 10.61. Coded as a close replication (closeness = 2)"/><s v="Please kindly check the way I calculated Cramers V."/><s v="This replication examined the age–SVO relationship using the SLM measure instead of TDM. Although the hypothesis was the same, the change in SVO measurement warrants coding this as a conceptual replication (closeness = 3). Original p-value estimated from "/><s v="This replication used a different measure of attachment (ECR-R) than the original (AAS), although the theoretical construct and hypothesis remain the same. Therefore, coded as a conceptual replication (closeness = 3)."/><s v="Exact p-value (≈ 0.018) was computed from t(48) = 2.46, since the original study only reported p &lt; .05."/><s v="This replication used the ECR-R scale to measure secure attachment, unlike the original AAS measure. Since the theoretical claim is the same but measurement differs, coded as conceptual replication (closeness = 3). The original p-value was computed from r"/><s v="This replication used the SLM measure for social value orientation instead of TDM, while keeping the same attachment measure (AAS). Because of the change in SVO measurement, coded as a conceptual replication (closeness = 3). Original p-value computed from"/><s v="This replication used different measures for both constructs (SLM for SVO and ECR-R for attachment). Although the theoretical hypothesis remains the same, both methodological differences justify coding it as a conceptual replication (closeness = 3). Origi"/><s v="1. Since no paper / report or notes in the OSF, the values for REPLICATION statistical inferences were taken the site: https://osf.io/uxajg &#xA;2. Initial OSF registration is under the link: https://osf.io/jqzsf"/><s v="1. The description only focused on the &quot;low response effort condition&quot; because replication study mentions that it only replicates the low response effort condition. This was implied from sample size of the original effect. 2. Results for rhe replication a"/><s v="No statistics in O, extracted from XPHI"/><s v="In the post-replication report, there are also some results listed that provide insufficient statistical reporting. Therefore, I have not included them in this table for now but can gladly do so if needed.: &quot;To analyze the answers regarding the degree of "/><s v="The p-value in the original paper is described as &quot;p &lt; .05&quot; while the table states that the original p-value was p = 0.03."/><s v="XPHI states ES for O  w = 0.75, The p-value in the original paper is described as &quot;p &lt; .05&quot; while the table states that the original p-value was p = 0.03."/><s v="ES for O copied from XPHI dataset"/><s v="The study states that &quot;All analyses were conducted on the remaining sample of 632 participants.&quot;, but the replication states that only 307 participants were analzed (which seems to be more logically when having a look on the analyses) "/><s v="XPHI dataset states: partial η2 = .109 as ES"/><s v="additional entry based on postreplication report"/><s v="Replication report reports Cohens d as d = 0.42, while the original report report d = 0.43"/><s v="They used the RMEL fitting method as their test statistic; There was no preregistration under &quot;registrations&quot;"/><s v="XPHI doesn't have SE, but has F value. N for R extracted from XPHI ReplicationN_Overall"/><s v="XPHI doesn't provide ES, claim from O extracted based on the sample size and p value in XPHI. N for R extracted from XPHI ReplicationN_Overall"/><s v="In the original paper, it is stated that 3,422 individuals participated. In the table of the replication report, however, an effective sample size of 3,413 is listed. I used this number because it seems more plausible with regard to the t-test. I applied "/><s v="There was no preregistration under &quot;registrations&quot;; The correlation was not significant, but test statistics were not specified further"/><s v="XPHI dataset doesn't provide statistics for O, so not possible to extract data. Based on the sample size I would assume, that p. 353 of O has some results provided."/><s v="I calculated the original effect size using the ES calculation excel sheet. The original paper only reports a comparison between the positive, negative and neutral scenario. The replication table reports a p-value of p &lt; .05."/><s v="Mathcing statistics for O not found, copied from XPHI"/><s v="There was no preregistration under &quot;registrations&quot;; While the table reports d = 0.66 and p &lt; .001 for the replication, the post-replication report states that it was d = 0.672, p &lt; .0005"/><s v="There was no preregistration under &quot;registrations&quot;; While the table reports d = 0.52 for the replication, the post-replication report states that it was d = 0.51; I calculated the original effect size using the ES calculation excel sheet."/><s v="XPHI states N O as 148, while for study 1 it's 601 after exclusion. Data for O extracted based on the ES stated in XPHI. ES for O extracted from XPHI"/><s v="The number of participants corresponds to the effective sample size listed in the table. This number also aligns with the ANOVA."/><s v="The number of participants corresponds to the total number of reported participants. No exclusions were mentioned, but the ANOVA might suggest that fewer participants were possibly involved."/><s v="There was no testing of participants. The study was about search hits.; No test statistics are reported in the original article, but the table includes a reconstructed Chi-squared test: X2(1, N = 15664) = 1512.4, p &lt; 0.001"/><s v="There was no testing of participants. The study was about search hits.; No test statistics are reported in the original article, but the table includes a reconstructed Chi-squared test: X2(1, N = 15664) = 1512.4, p &lt; 0.001.  Matching statistics not found "/><s v="XPHI also statest partial η2 = .16 as ES for O"/><s v="There is a second preregistration: https://doi.org/10.17605/OSF.IO/ERB5W"/><s v="t value extracted in compliance with O, XPHI also ststes ES d = 0.61 "/><s v="There was no preregistration under &quot;registrations&quot;"/><s v="XPHI also states ES for O - partial η2 = .035, and for R - partial η2 = 0.019, also N for R extracted from N R overall (N ES is missing), looks correct based on F"/><s v="The authors of the replication study used a GEE analysis and described their results as follows &quot; We found a significant difference in knowledge ascriptions between Standard True Belief cases and Gettier cases (X2= 58.23, df =1, N = 63, p &lt; .001, r= 0.96)"/><s v="ES for O and R in XPHI are absent, so I calculated those myself based on the statistics"/><s v="The replication report states that the influence of participants gender was also analyzed. If this is also relevant, I am happy to code it too: &quot;Third, following up on Starmans and Friedman’s results (2009), the authors investigated whether participants’ "/><s v="O also states that r = 0.28., XPHI also states partial η2 = .078 for O and partial η2 = 0.12 for R"/><s v="Test statistics: Structural Equation Modelling (Chi-square)"/><s v="ES for O and R are absent"/><s v="3 preregistrations: https://doi.org/10.17605/OSF.IO/RX9ZP https://doi.org/10.17605/OSF.IO/VYWMY; The used a Sobel test; The replication report states that pearson correlation coefficients between the MR/FWand Bypassing composite scores were computed for e"/><s v="Not sure what exactly was replicated, ES for O absent in XPHI. Extracted claim is my best quess based on the available info. XPHI states for R: R2 = 0.066"/><s v="Number of participants derived from t-test"/><s v="XPHI also states ES for O d = 0.41,  η2 is also available for O and R, which are 0.040 and 0.007 respectively"/><s v="The original study does not include any test statistics. I calculated the effect sizes using the excel sheet."/><s v="data for O copied from XPHI dataset, matching statistics not present in the paper (were recalculated in XPHI)"/><s v="The Post Replication Form states that the replication analysis were performed with 129 participants, while the table states that 127 were part of the analysis. "/><s v="XPHI also states ES for O d = 0.41"/><s v="The effect size of the original study can not be determined using the effect size calculator. The replication study describes the effect as follows: &quot;Whereas not a single one of the subjects in Case 1 judged that John intentionally upset Susan [...],64% o"/><s v="Matching statistics not found, extracted from XPHI"/><s v="XPHI also states ES w = 0.52"/><s v="The Post Replication Form states that 123 were included in the analysis, while the tables states 128.; The effect size of the original study can not be calculated using the effect size calculator, but the replication report states &quot;85 (69%) participants c"/><s v="No statistics in O, extracted from XPHI. "/><s v="extension effect size: Ireland 2011-2016"/><s v="extension effect size: Norway"/><s v="Ireland 2005-2010"/></sharedItems></cacheField><cacheField name="notes_validation" numFmtId="0"><sharedItems containsBlank="1"><s v="only used by core team"/><m/><s v="corrected N from 150 to 137 "/><s v="- Please type &quot;NA&quot; if you could not find &quot;regis&quot; in the manuscript.&#xA;- Good catch with the N = 41!&#xA;- This is the preregistration: https://osf.io/8urxv It is linked at the top of the entry"/><s v="updated reference_r to report instead of the OSF page"/><s v="discarded because this is an extension that cannot be paired up with an original finding"/><s v="coded as nested due to hierarchical regression; a fourth effect is reported for the replication but NA for the original study; p_val_tails_r coded as one because it says in the note &quot;as reported in DM&amp;D&quot;, where p-values are one-tailed. Note that in the ta"/><s v="many different effect sizes and models, I chose the first ones; also, R has dyads and also includes effects from one partner to the other"/><s v="- missed the study number&#xA;- make sure to review and correct text that is copied (special characters were missing)"/><s v="There is a reporting error in the paper: N = 85 but t(84) and df = N-2.&#xA;&#xA;Feedback for Fabienne&#xA;- make sure to review and correct text that is copied (special characters were missing)&#xA;- you entered N = 85 with t(84) and Ntotal = 85. I was about to correct "/><s v="Changed label_r to &quot;replication&quot; instead of &quot;Close Replication&quot;; added tags that are also found in paper, changed n to 39; changed nested_o to yes, changed p_val_tails; changed pval_value_o to 0.025"/><s v="changed pval_value_o to 0.0004&#xA;here it says not replicated, therefore other entry for this claim was chosen and this discarded"/><s v="I dont understand this claim, seems to be the same as above with a different p-value that I cannot find in the original paper. "/><s v="changed n to 39&#xA;"/><s v="the values from the replication study that were put in are from a different finding, not replicating reach distance but reach direction"/><s v="sample size unclear"/><s v="added 1 to study_r; added 429 to claim_page_o, added ref_o; added 1 to study_o; corrected test statistic (included only the value)"/><s v="added ref_o;  added 1 to study_o, added 429 to claim_page_o; corrected test statistic (included only the value)"/><s v="added ref_o, added 1 to study_o and study_r, added 429 to claim_page_o; corrected test statistic (included only the value)"/><s v="added ref_o, added 1 to study_o and study_r,  added 429 to claim_page_o; corrected test statistic (included only the value)"/><s v="added conceptual replication to label_r"/><s v="dded conceptual replication to label_r"/><s v="These need to be reassigned and coded, they are missing effects"/><s v="simulation study, no new data was collected but merely &quot;generated&quot;"/><s v="- Two more rows could be added (containing and antipsychotic use). However, in this case, they would not be validated - should I add the rows? &#xA;- I added the study number of the replication and of the original&#xA;- I changed all page numbers from the documen"/><s v="- I added the study number of the replication and of the original&#xA;- I changed all page numbers from the document pages to the pages of the PDFs&#xA;- I changed the number of participants of both studies. I have no idea how the coders calculated their N initia"/><s v="- I added the study number of the replication and of the original&#xA;- I changed the effect description&#xA;- The claim was not a quote. I changed it too. &#xA;- I changed all page numbers from the document pages to the pages of the PDFs&#xA;- I changed the number of pa"/><s v="- If there are multiple rows for one finding, please rename &quot;id&quot; to id_b, id_c, etc. for the newly created rows."/><s v="feedback: please review copied text and correct it (a &quot;=&quot; was missing)&#xA;&#xA;notes:&#xA;- format in es value column has changed to drop-down"/><s v="- format in es value column has changed to drop-down"/><s v="- corrected page number (2 instead of 3)&#xA;- format in es value column has changed to drop-down"/><s v="Claims need validation (I do not have access to the original paper)"/><s v="Feedback for Vidhi:&#xA;'- please change &quot;date_entered&quot; to the day that you worked on the entry&#xA;- Ref_replication was not in APA format and doi_r was missing&#xA;- label &quot;systematic replication&quot; was missing&#xA;- can you please explain why you did not extract any sta"/><s v="After validating this entry for 30 minutes, I could not find out why Aleksandr chose the 15-s delay effect for the original and the overall effect for the replication. I replaced it with the overall delay (15 + 30s).&#xA;&#xA;Feedback for Aleksandr:&#xA;- description"/><s v="- I added the study number of the replication and of the original &#xA;- I changed the page numbers to the ones of the PDFs&#xA;- I added the effect&#xA;- I added nesting = yes (replication and original)&#xA;- I switched the investigated effects of the replication "/><s v="- I added the study number of the replication and of the original &#xA;- I changed the page numbers to the ones of the PDFs&#xA;- I added the effect&#xA;- I added nesting = yes (replication and original)&#xA;- I switched the investigated effects of the replication&#xA;- I ch"/><s v="Delete this row"/><s v="- The coder coded the explained common variance of the replication study as effect size and classified it as etasquared. Moreover, the wrong semantically wrong effects were coded. I texted Lukas regarding this paper.&#xA;- I deleted all effects an coded them "/><s v="everything is empty??"/><s v="added claim_page_o; added study_o and study_r"/><s v=" added study_o and study_r"/><s v=" added study_o and study_r; es_original is coded reversed and was computed as 0.42^(-1) = 2.38095238095"/><s v="Feedback for Ray&#xA;- Why did you not code any of the test statistics?"/><s v="Feedback for Daniel&#xA;- please enter your name and the date that you are working on into the variables contributors and date_entered"/><s v="- I added the number of the experiment (in replication and original study) &#xA;- I specified the effect: I changed &quot;participants&quot; to adolescents with anorexia nervosa and adolscents with major depression (since those spefic samples were the target sample) &#xA;-"/><s v="- I added the number of the experiment (in replication and original study) &#xA;- I specified the effect: I changed &quot;&quot;participants&quot; to adolescents with anorexia nervosa and adolscents with major depression (since those spefic samples were the target sample) &#xA;"/><s v="- This row was not double coded&#xA;- I added the number of the experiment (in replication and original study) &#xA;- I specified the effect: I changed &quot;&quot;participants&quot; to adolescents with anorexia nervosa and adolscents with major depression (since those spefic s"/><s v="Only a half row"/><s v="- I added the number of the experiment (in replication and original study) &#xA;- I added the effect and the effect description&#xA;- I changed the number of participants (the coder reported only the number of participants suffering from anorexia nervosa, but the"/><s v="Feedback for Roskana&#xA;- please also fill out the variable with the page numbers"/><s v="discarded due to missing replication effect"/><s v="- I changed the text claim since multiple effects were reported &#xA;- I added the study number of the replication study&#xA;- I changed the page numbers to the ones of the PDFs&#xA;- I changed eta-squared to partial "/><s v="- I added the study number of the replication study&#xA;- I changed the page numbers to the ones of the PDFs"/><s v="- I added the study number of the replication and of the original &#xA;- I changed the page numbers to the ones of the PDFs&#xA;- I added nesting = 0&#xA;- I changed the p-value of the replication to NA, since the text stated that the effect was significant, but the "/><s v="- I added the study numbers of the original study and of the replication study &#xA;- The results of the original study 1b were described, but Study 1c was replicated; I changed the text claim&#xA;- I changed the p-values of the original study to NA &#xA;- I calculat"/><s v="- I added the study number of the replication and of the original &#xA;- I changed the page numbers to the ones of the PDFs&#xA;- I corrected the p-value of the replication&#xA;- The coder coded again an effect of study 1b, which was not replicated; Therefore I chang"/><s v="Feedback for Ray&#xA;- please review the instructions again and code these entries"/><s v="Feedback for Daniel:&#xA;- one small typo when copying the Cohen's d from the table (.0185 instead of .0187)&#xA;- Claim and test statistics/effect sizes must be about the same thing. Convergent validity and mean difference is not the same thing, so you should ha"/><s v="Preregistration link does not work; There are two results: Regression + Mediation Model. The coder focused on different things so all entries were retained"/><s v="stage 1 registered report"/><s v="Not a replication"/><s v="Feedback for Roskana:&#xA;- please add pagenumbers into the respective variables (es_repr_o) even if it is the same as the claim page number&#xA;- coding is generally very good (not just for this entry)! thank you!&#xA;- additional studies 47_e: p value replication w"/><s v="Feedback for Thomas:&#xA;- if an eta squared is available, please code it and not the test statistics"/><s v="Feedback for Daniel&#xA;- Choosing the chi square test for fit in the matter scale development paper was a good decision!"/><s v="Feedback for Nikolay&#xA;- values in _o variables should not come from the replication report but only the original study's report"/><s v="Feedback for Daniel&#xA;- description should be matched for multiple rows per entry to specify what effect this is"/><s v="changed replicationt ype to conceptual because &quot;3rd sing&quot; was not part of original study"/><s v="this still needs coding"/><s v="see entry resciencex_01_1"/><s v="The other coder did not seem to have difficulties and reported test statistics. I do not have access and the PDF-Link does not work. sarahashjones@gmail.com can you please check whether the 2010 or 2011 article is the target? You can send both articles to"/><s v="Feedback for Thomas: &#xA;I could not find most of the numbers on this page. Can you please send a screenshot for what you are referring to as &quot;test statistics&quot;?"/><s v="- Changed replication type to internal because conceptual requires that none of the original authors was present.&#xA;&#xA;Feedback for Roksana&#xA;- If there is no preregistration, please type &quot;NA&quot; into the variable.&#xA;- Please fill out all mandatory variables, for ex"/><s v="Feedback for Thomas&#xA;- Please always fill out the claim variable. Please review the instructions to see which variables are optional.&#xA;- You noted Ws = 152 when it was actually Ws &gt; 152.&#xA;- Please change id to _b, _c, ... when creating multiple rows.&#xA;- There"/><s v="P-value corrected from .13 (that was the f value) to .72"/><s v="Changed r to Ws because r might correspond to the within-subjects correlation of the repeated variables and not the effect."/><s v="Changed nesting to &quot;NA&quot; instead of 1. It does not say how many tails there were only that one group is significantly faster than the other (which could be a combination of two-tailed significant test and positive correlation)"/><s v="Numbers could not be checked due to inaccessible paper; chose these entries over the f-values because of study differences"/><s v="Corrected nesting for replication from yes to no."/><s v="Feedback for Maria&#xA;- When the title of a replication says &quot;conceptual&quot;, you can code it as conceptual (you coded &quot;close&quot;)."/><s v="Corrected citation&#xA;OSF Link (https://osf.io/uqsf6/) has no preregistration, which is why it was removed from the prereg_r variable"/><s v="Corrected citation&#xA;OSF Link (https://osf.io/uqsf6/) has no preregistration, which is why it was removed from the prereg_r variable&#xA;&#xA;Feedback for Thomas&#xA;- When duplicating rows, please change the id for the second one (_b, _c, ...)"/><s v="Feedback for Maria&#xA;- This is a stage 1 registered report and it says at the beginning (eg p. 5) that the results are based on a randomized pseudo-dataset. "/><s v="Discarded for missing data (no replication test was conducted)"/><s v="Feedback for Maria&#xA;- If there is no effect size type reported alongside the effect size, please write es type as NA. For example, in an ANOVA standardized effect sizes are f, eta squared, and R² (R² and eta are out because it is larger than 1 here) depend"/><s v="replication accessed via https://se.ifi.uni-heidelberg.de/fileadmin/pdf/publications/2016_The_Role_of_Method_Chains.pdf"/><s v="I could not find the effect size of d = .68 or any others for that matter.&#xA;&#xA;Feedback for Hakile&#xA;- Please include test statistics in the claim.&#xA;- I could not find the effect size of d = .68 on page 5 in the original report of additional_studies59"/><s v="Corrected N to 106 (it was 105) because df for correlation are 104 and N-2=df"/><s v="corrected studynumber&#xA;&#xA;Corinna:&#xA;- The coder coded more than one effect per row. The effects are all correct. Therefore, I used them to validate the other rows, but reject them since they are unusable for any statistics program&#xA;- I added the link to the pr"/><s v="- I added the link to the pre-registration of the replication (it was a registered report, therefore the first manuscript is linked)&#xA;- I added closeness_r and coded that it was a close replication, as the authors wrote that it is a direct replication&#xA;- I "/><s v="- The coder coded more than one effect per row. The effects are all correct. Therefore, I used them to validate the other rows, but reject them since they are unusable for any statistics program&#xA;- I added the link to the pre-registration of the replicatio"/><s v="I would exclude this row from the table since it remains unclear which effect was replicated (all cells regarding the original study were left blank)"/><s v="Corrected citation and DOI, added effect sizes and duplicated row for both original subjects&#xA;&#xA;Feedback for Nikolay&#xA;- You could have coded the R² for additional_studies60&#xA;- Please copy text for the claim from the paper"/><s v="Corrected citation and DOI, added effect sizes and duplicated row for both original subjects"/><s v="cannot validate calculated effects"/><s v="OSF project contains no registrations, I changed prereg_o to &quot;NA&quot; and copied the link into the notes. Another finding is available (3rd model in O study) but was not part of the replication and is thus not coded."/><s v="added es_repr_o, added NA to prereg_r"/><s v="added es_repr_o; added degrees of freedem to es_value_o, added NA to prereg_r"/><s v="added es_repr_o, added degrees of freedem to es_value_o, added NA to prereg_r"/><s v="added es_repr_o, added degrees of freedem to es_value_o, added NA to prereg_r, discarded since the effect in o was not replicated"/><s v="added es_repr_o, added degrees of freedem to es_value_o, added NA to prereg_r, added the degrees of freedom to es_value_r"/><s v="added es_repr_o, added NA to prereg_r, added the degrees of freedom to es_value_r"/><s v="test statistic is chi squared so I used the reported cramers V that was calculated in the replication (table 2 on page 13) "/><s v="test statistic is chi squared"/><s v="Feedback for Husnain&#xA;- You were unsure about this but you did right: Please always use what is reported in the original paper for the _o variables.&#xA;- F is not an effect size. Please report the entire F test as a test statistic instead, eg F(1, 236) = 4.41"/><s v="Should in case of exclusion we left the row empty (except &quot;Exclusion&quot; column? "/><s v="Boyce datatable suggests that effect went in opposite direction - but we only have F. Yet correlation is so small (and noisy) that it makes no difference where the point estimate is."/><s v="Page incorrect"/><s v="added prereg_o, added es_repr_r, changed closeness_r to close"/><s v="claim page and es_repr_o page corrected, added prereg_o, changed closeness_r to close"/><s v="added es_repr_r, changed claim_o, es_repr_o, changed closeness_r to close"/><s v="added prereg_o, changed closeness_r to close"/><s v="changed closeness_r to close, changed es_value_o from eta squared to d"/><s v="changed closeness_r to close"/><s v="I assume that the results indicated by Aleksandr are not matching"/><s v="Page corrected"/><s v="1. The test statistics is t(41) = -5.0574 from the replication report (not d reported, but taken from Boyce table) &#xA;2. Effect. tags, prereg_r and description corrected"/><s v="Difference in n_o"/><s v="Page and ES incorrect"/><s v="No second coder data"/><s v="Focused on two pairwise comparisons, and thus entered sample size for two pairs. In replication, only overall sample (with non-missing data quality) visible, so equal group sizes assumed to calculate sample size for pairwise comparisons."/><s v="I assume the beta is unstandardized, while second coder - standardized"/><s v="Removed prereg link because no preregistration exists: https://osf.io/sxw48/, added link to report (https://osf.io/rjxwe)"/><s v="coded as between-subjects due to &quot;50 per group&quot;; added link to dataset with data for _O"/><s v="added study_o, added es_repr_r, added effect, added description"/><s v="Added no to prereg_o, changed n_r to 78, added prereg_r, found values in linked file"/><s v="changed n_o to 133 , changed n_r to 126, changed es_value_r to 0.370016595170749, changed pval_value_r to 0.0506886504493445"/><s v="refers to the same effect as row 752, so I chose 752 since there were more columns filled in already"/><s v="changed n_o to 133"/><s v="Preregistration consists of data only and was thus removed: https://osf.io/w3h9y/files/osfstorage"/><s v="corrected results based on final report version"/><s v="no results in replication report"/><s v="changed n_o to 133 (number included in analisis)"/><s v="corrected sample size"/><s v="Chose the front end amount interaction, added link to report (url_r)"/><s v="Page incorrect&#xA;We report different results, I assume that both can exist (like 114)"/><s v="We report different results, I assume that both can exist"/><s v="Registration exists but not timestamped and frozen: https://osf.io/8k4t5/."/><s v="Differences in discipline between 2 coders -&gt; I assume Psychology to fit better&#xA;Corrected p value"/><s v="Coded the comparison between weak and no BATNA as key claim"/><s v="No 2nd coder data"/><s v="N_o incorrect"/><s v="N_o incorrect in Boyce report?"/><s v="ES incorrect"/><s v="Added link to report and repr_r values"/><s v="Page and p-value incorrect"/><s v="Effect, tag and description added"/><s v="Effect, tag and description and claim added"/><s v="The results are from another experiment (Exp 3, while in the table it was Exp 1)"/><s v="validated - FReD but not COS"/><s v="corrected test statistic"/><s v="Effect, tags and description added&#xA;The data in the replication report is different from the table. Maybe I mismatch the results "/><s v="I am not sure whether beta or OR is indicated in original paper and replication manuscript"/><s v="Replication results corrected"/><s v="I am not sure that these are matching results`"/><s v=" study is possibly pregistered but links are not always included in the reports"/><s v="This row requires further validation study is possibly pregistered but links are not always included in the reports"/><s v="The study numbers are missing in all the rows; There is a need to resolve the replication type that the coder has categorized as close, very close, and exact; is closeness and replication type the same?  study is possibly pregistered but links are not alw"/><s v="This row needs to be validated further study is possibly pregistered but links are not always included in the reports"/><s v="Writing N/As in areas with no entries should be considered in all the rows. The discipline for this entry should be categorized as social psychology and not differential psychology (this can be validated, though) &#xA;study is possibly pregistered but links a"/><s v="This has been chosen but requires further validation study is possibly pregistered but links are not always included in the reports"/><s v="Chose central claim due to one replication finding, only&#xA;study is possibly pregistered but links are not always included in the reports"/><s v="This claim should be validated further study is possibly pregistered but links are not always included in the reports"/><s v="In agreement; There is no sufficient information to code this this task study is possibly pregistered but links are not always included in the reports"/><s v="Tags and description variables missing study is possibly pregistered but links are not always included in the reports"/><s v="Information on tags and description are missing study is possibly pregistered but links are not always included in the reports"/><s v="The test statistics reported in the original and replication studies are not clear and requires further validation; study is possibly pregistered but links are not always included in the reports"/><s v="The test statistics reported in the original and replication studies are not clear and requires further validation study is possibly pregistered but links are not always included in the reports"/><s v="There are few discrepancies that need further validation study is possibly pregistered but links are not always included in the reports"/><s v="There are a few discrepancies that need further validation study is possibly pregistered but links are not always included in the reports"/><s v="Help needed to validate the entries study is possibly pregistered but links are not always included in the reports -&gt; coded as conceptual R, took test statistic from claim"/><s v="Help needed to validate the calculated effect sizes study is possibly pregistered but links are not always included in the reports"/><s v=" study is possibly pregistered but links are not always included in the reports; took o es values from claim"/><s v="This requires further validation study is possibly pregistered but links are not always included in the reports"/><s v="Information on tags and description variables need to be added study is possibly pregistered but links are not always included in the reports"/><s v="Chosen but requires further validation; study is possibly pregistered but links are not always included in the reports"/><s v="Test statistics are not written in their complete form. This applies to all the test statistics highlighted in red. study is possibly pregistered but links are not always included in the reports"/><s v="Help needed to harmonize the entries study is possibly pregistered but links are not always included in the reports"/><s v="These are two separate entries treated the same; Hence requires further validation; study is possibly pregistered but links are not always included in the reports"/><s v=" study is possibly pregistered but links are not always included in the reports; coded as nested due to the experiments being repeated measures"/><s v="coded as nested (within-subjects = yes according to table), study is possibly pregistered but links are not always included in the reports"/><s v="Help is needed to harmonize the effect sizes of the original study study is possibly pregistered but links are not always included in the reports"/><s v="Coded as not nested (t test for 2 samples); study is possibly pregistered but links are not always included in the reports"/><s v="No sufficient information study is possibly pregistered but links are not always included in the reports"/><s v=" study is possibly pregistered but links are not always included in the reports; coded as nested (mixed-effects regression) and not reported tails (95% CI is two-tailed but no note on p-values is present for the table)"/><s v="The p value tails and nested variables values for the original and replication studies need to be validated further; study is possibly pregistered but links are not always included in the reports"/><s v="The number of participants for the memory test which was the main focus for this replication was 57. The three participants excluded were for the vocabulary test; therefore, the 51 participants is not correct. study is possibly pregistered but links are n"/><s v=" study is possibly pregistered but links are not always included in the reports; coded as within subjects (nested = yes)"/><s v="This needs to be validated further study is possibly pregistered but links are not always included in the reports"/><s v="There is a need to validate the calculated values for the original study study is possibly pregistered but links are not always included in the reports"/><s v="help needed to validate this entry study is possibly pregistered but links are not always included in the reports"/><s v=" study is possibly pregistered but links are not always included in the reports; replaced value from r report with test statistics from o report"/><s v="pairwise comparison was chosen over omnibus test"/><s v="The entries are both correct study is possibly pregistered but links are not always included in the reports"/><s v=" study is possibly pregistered but links are not always included in the reports; coded as conceptual (&quot;far&quot;), chose effect size as identified in R report"/><s v="The d is correct from the double coding study is possibly pregistered but links are not always included in the reports"/><s v="The double coding are similar; hence both are correct &quot;chosen&quot; study is possibly pregistered but links are not always included in the reports"/><s v=" study is possibly pregistered but links are not always included in the reports; original study coded as non-nested because oen DV was apparently chosen by condition and participants were in one of the two conditions; also main effect is coded"/><s v="No statistics for coding study is possibly pregistered but links are not always included in the reports"/><s v="help needed to validate the d chosen from the replication table study is possibly pregistered but links are not always included in the reports"/><s v="help needed to validate the entries study is possibly pregistered but links are not always included in the reports"/><s v="Claim is not clear, es_o was taken from replication report; study is possibly pregistered but links are not always included in the reports"/><s v="help needed to validate the claim; study is possibly pregistered but links are not always included in the reports -&gt; claim validated"/><s v=" study is possibly pregistered but links are not always included in the reports; coded as nested due to &quot;repeated-measures ANOVA&quot; being used (O p. 4)"/><s v="- Cohens f value chosen as original ES as reported on p. 5, &#xA;- Nestedness assumed to be not nested, mutiple regression but not explicitly hierarchical (maybe review - see prereg analysis paln here: https://aspredicted.org/yp5az.pdf and reported analysis o"/><s v="Needs further validation &#xA;study is possibly pregistered but links are not always included in the reports"/><s v="- The original effect size is chosen to be the np2 value from the original manuscript. This value requires a partial eta square label (currently just etasq on this sheet) --&gt; corrected&#xA;- Study is possibly pregistered but links are not always included in t"/><s v="- Claim from coder 2 was chosen as it was specific to the test statistic expressed in the replication spreadsheet. &#xA;- The test statistic for the original study was refined to present the effect size using the F value accurately. &#xA;- The pvalue was reported"/><s v="- The discrepancy between the N of the different coders was resolved as follows. Coder one suggested n = 30, coder 2 suggested n = 240, the replication project database suggests N = 30. On p. 101 of the original study the follow is reported: &quot;Two hundred "/><s v="The claim needs to be validated further study is possibly pregistered but links are not always included in the reports"/><s v="PLEASE CHECK ME!!! &#xA;- The replication project dataset does not contain any values for the replication in either the rep_calc_d or the rep_p_calc values (row 149 columns AM and AN), can we still include this study? &#xA;- The apparent discrepancy between the o"/><s v="- Replication datasheet contains no values for the replication p-value (cells all NA) and individual report does not report p-values either (https://rpubs.com/alv1nn/677256) &#xA;- Coder 2 notes that d value for replication not found in spreadsheet - this is "/><s v="- Primary claim established based on the original test values being defined in the replication spreadsheet as MSD2:m1=2.54(1.95),m2=.02(2.38), this allowed a direct comparison between groups 2 and 3 to be considered the key replication effect. (see Table "/><s v="- The replication ES was calculated in the OR format using values reported for reproducibility. (in favour of the F stat from the second coder). &#xA;- Coder one had recorded the ES from the replication report which was d = 2.0036922440074605, but this was di"/><s v="Corrected citation and doi to the one from the paper&#xA;&#xA;Feedback for Maureen:&#xA;- Please better indicate where the effect size comes from. I could not find the value in the paper.&#xA;- The original paper was published in psychological science, please thus code t"/><s v="- Estimated effect size not reproducible (runs on external R code) unless taking Cohen's D value, thus r value computed in R is discarded. The corresponding effect size value in the replication report was r = 0.27&#xA;- P-value tails original is selected as 1"/><s v="- Estimated effect size should not be r (this is a converted value from the replication study, not the orignnal paper which reports both cohens d and np2). The corresponding effect size value in the replication report was r = 0.602&#xA;- P-value tails origina"/><s v="- Changed effect_o to test stat as that can be converted, and matches repl report&#xA;- P-values tails replication is selected as 2 as post-completion replication report reports a two-sided approach. &#xA;- prereg_r - both links were assessed, one points to a pos"/><s v="- Estimated original effect size should not be r (this is a converted value from the replication study, not the original paper). The corresponding effect size value in the replication report was r = 0.45&#xA;- P-values tails replication is selected as 2 as po"/><s v="- Estimated original effect size should not be r (this is a converted value from the replication study, not the original paper). The corresponding effect size value in the replication report was r = 0.388.&#xA;- P-values tails replication is selected as 1 as "/><s v="- Estimated original effect size should not be r (this is a converted value from the replication study, not the original paper). The corresponding effect size value in the replication report was r = 0.453&#xA;- P-values tails replication is selected as 2 tail"/><s v="- Estimated original effect size should not be r (this is a converted value from the replication study, not the original paper). The corresponding effect size value in the replication report was r = 0.201.&#xA;- P-values tails replication is selected as 2 tai"/><s v="- Estimated original effect size should not be r (this is a converted value from the replication study, not the original paper). The corresponding effect size value in the replication report was r = 0.150.&#xA;- P-values tails replication is selected as 2 tai"/><s v="- Estimated original effect size should not be r (this is a converted value from the replication study, not the original paper). The corresponding effect size value in the replication report was r = 0.-0.098.&#xA;- It is unclear why coder 2 reported cohens d "/><s v="- Estimated original effect size should not be r (this is a converted value from the replication study, not the original paper). The corresponding effect size value in the replication report was r = 0.026.&#xA;- It is unclear why coder 2 reported cohens d for"/><s v="- Estimated original effect size should not be r (this is a converted value from the replication study, not the original paper). The corresponding effect size value in the replication report was r = -0.015&#xA;- It is unclear why coder 2 reported cohens d for"/><s v="- Estimated original effect size should not be r (this is a converted value from the replication study, not the original paper). The corresponding effect size value in the replication report was r = 0.961&#xA;- P-values tails replication is selected as 2 tail"/><s v="- Estimated original effect size should not be r (this is a converted value from the replication study, not the original paper). The corresponding effect size value in the replication report was r = 0.368&#xA;- Estimated replication effect sizes were reported"/><s v="- Estimated original effect size should not be r (this is a converted value from the replication study, not the original paper). The corresponding effect size value in the replication report was r = 0.674&#xA;- P-values tails replication is selected as 2 tail"/><s v="- The inter-coder discrepancy on the sample sizes arose due to an error in reporting in the pre-registration of the replication as clarified on p. 4 of the post-data collection report &quot; In the pre-replication version of this report, the standardized effec"/><s v="- The inter-coder discrepancy on the sample sizes arose due to misunderstanding of groups versus observations, as the core statistical test was a chi-squared test the total n based on total observations (not groups) was accepted. &#xA; - Estimated original ef"/><s v="- Study of original is 1b - double checked before selection over study 1 as reported by coder 2. &#xA; - Estimated original effect size should not be r (this is a converted value from the replication study, not the original paper). The corresponding effect si"/><s v="PLEASE CHECK ME: &#xA;- There is a discrepancy in the reported p-value (likely a rounding error but needs to be resolved) - in the Camerer replicaiton Table the p value for the replication is reported at 0.414, in the post-data collection report the value is "/><s v="PLEASE CHECK ME: &#xA;- The inter-coder discrepancy on the sample sizes for original study was explored as follows - coder 2 had reported total N, coder 1 reported N from the replication table (178) which was estimated to be accurate for the relevant 2 groups"/><s v=" - Estimated original effect size should not be r (this is a converted value from the replication study, not the original paper). The corresponding effect size value in the replication report was r = 0.816&#xA;-  Estimated effect size in replication was taken"/><s v="PLEASE CHECK ME: &#xA;- The inter-coder discrepancy on the sample sizes for original study was explored as follows - coder 2 had reported total N for individuals(105), coder 1 reported N of groups from the replication table (63) which was estimated to be accu"/><s v="Values were the same as in the Curatescience Database but not the same as in the papers (before: original effect d=0.59 - repl. effect d=0.47)"/><s v="Values are the same as in the Curatescience Database but not as in the original paper (before: original effect d = -.59, replication: d=-.10)"/><s v="Values are the same as in the Curatescience Database but not as in the original paper (before: original effect d = -.59, replication: d=-.20)"/><s v="- I added the study number&#xA;- I added the replication label&#xA;- I entered the effect name and copied the description of the effect (which was provided under „effect“) to the description&#xA;- I corrected n_original"/><s v="Values are the same as in the Curatescience Database but not the same as in original paper (before: original paper: d=-1.19) - which study in replication is supposed to replicate the egodepletion effect?"/><s v="Values are the same as in the Curatescience Database but have not been cross-checked with original papers"/><s v="corrected test statistics"/><s v="No values"/><s v="Insufficient values (personal communication in Lebel's github)"/><s v="Feedback for Diego&#xA;- please also copy the formula that resulted in the reported effect size"/><s v="Feedback for Corinna&#xA;- please also copy the formula that resulted in the reported effect size"/><s v="Changed replication closeness to conceptual because this is what the authers call it on p. 7"/><s v="Corrected: Study does not identify as a replication"/><s v="Corrected preregistration link (included a space)."/><s v="&quot;Prep&quot; is probably not a p-value.&#xA;Corrected n based on reported df."/><s v="duplicate to curatescience204_1 and _2"/><s v="added &quot;NA&quot; to prereg"/><s v="discarded because central effect is the priming effect"/><s v="it says &quot;6344 valid and complete sessions&quot; on p.2 and &quot;445 subjects failed to provide valid responses&quot; on p.7 resulting in 5899 estimates"/><s v="d original is for faces (names also has an effect), n is table 1 &quot;interpretable n&quot;. Removed p-value because it was not reported on p. 106 --&gt; Discarded because it is referring to wrong study (Nosek, Banaji and Greenwald published two papers in 2002"/><s v="Values are the same as in the Curatescience Database but not as in papers (before: original paper d=0.78,)"/><s v="Corrected preregistration link, added NA to column where it was not possible before; not coded as &quot;internal replication&quot; because none of the original authors is a replication author"/><s v="Values are the same as in the Curatescience Database but not as in papers (before: original paper d=0.78) but mentioned in the replication as d=0.78"/><s v="discarded because original effect is an interaction"/><s v="discarded because other coder found p-value"/><s v="Values are the same as in the Curatescience Database but not as in papers (before: original paper d=0.81,)"/><s v="Reproduction yielded phi = .05 (it said 0.03 before), see also https://osf.io/n7wsu"/><s v="Removed one digit as it was not reported"/><s v="Corrected sample size (r) based on df"/><s v="Values are the same as in the Curatescience Database but have not been cross-checked with original papers; Corinna: The replication study is indeed not available when using the link of the table, I found a meta-analysis via Google Scholar and the VPN of m"/><s v="Values are the same as in the Curatescience Database but have not been cross-checked with original papers&#xA;Corinna: &#xA;- It can only be inferred from the power analysis that the authors of the replication are conducting a two-tailed t-test, but it was not ex"/><s v="Values are the same as in the Curatescience Database but have not been cross-checked with original papers &#xA;Corinna: &#xA;- It can only be inferred from the power analysis that the authors of the replication are conducting a two-tailed t-test, but it was not e"/><s v="If the effect is based on eta = .01 it should say r = 0.1 instead of r = .01, see also https://osf.io/n7wsu; &#xA;Corinna: &#xA;- I added a description of the effect and added tags&#xA;- I changed the replication label&#xA;- I changed the statistics of the original study"/><s v="If the effect is based on eta = .01 it should say r = 0.1 instead of r = .01, see also https://osf.io/n7wsu&#xA;Corinna: &#xA;- I added a description of the effect&#xA;- I calculated the effect of the original study using the effect size calculation sheet, since the "/><s v="Values are the same as in the Curatescience Database but have not been cross-checked with original papers&#xA;Corinna:&#xA;- The coders coded two different studies (replication study 3 and 4) and both refer to differnt studies of the original study. However, I sa"/><s v="Values are the same as in the Curatescience Database but have not been cross-checked with original papers&#xA;Corinna: &#xA;- I added a more detailed description of the effect&#xA;- I added the reported effect size of the replication study (only test statistics were "/><s v="Values are the same as in the Curatescience Database but have not been cross-checked with original papers&#xA;Corinna:&#xA;- Originally it was coded that this entry refers to study 4 of the replication report. However, the replication includes only one study. The"/><s v="Values are the same as in the Curatescience Database but have not been cross-checked with original papers&#xA;Corinna: &#xA;- I added a more detailed effect description&#xA;- I changed the number of participants of the replication study (Originally 29 participants we"/><s v="Values are the same as in the Curatescience Database but have not been cross-checked with original papers&#xA;Corinna: &#xA;- I changed the replication label, since the coder just copied the replication studies title&#xA;- I added a more detailed description of the e"/><s v="Values are the same as in the Curatescience Database but have not been cross-checked with original papers&#xA;Corinna: &#xA;- I added a more detailed description of the effect&#xA;- I added the effect size of the original study&#xA;- The rows refer to different effects; "/><s v="OR replication: .67 but said .72&#xA;Corinna:&#xA;- I changed the replication label since the coder copied the studies title&#xA;- I added a more detailed description of the effect "/><s v="OR replication: .67 but said .72&#xA;Corinna: &#xA;- I added a more detailed description of the effect &#xA;- The authors performed a one way ANOVA in the original study. Therefore, the p-value should control for nesting&#xA;- It is not mentioned whether the p-value is o"/><s v="Online appendix link in the manuscript is broken, this is the current working version: https://www.ejwagenmakers.com/2012/Appendix_PoPS_WagenmakersEtAl.pdf"/><s v="Values are the same as in the Curatescience Database but have not been cross-checked with original papers&#xA;Corinna:&#xA;- Since the replication study does not include multiple substudies, I coded the study number with 1&#xA;- The reported result refers to study 1 "/><s v="Values are the same as in the Curatescience Database but have not been cross-checked with original papers&#xA;Corinna:&#xA;- she reports the number of participants (replication) that is reported, while Alexsandr inferrs the N from the test statistics "/><s v="Values are the same as in the Curatescience Database but have not been cross-checked with original papers&#xA;Corinna:&#xA;- ID needs to be changed&#xA;- I changed the experiment number (original) and the N &#xA;- the effect of the replication were explicitely nested"/><s v="Values are the same as in the Curatescience Database but have not been cross-checked with original papers&#xA;Corinna:&#xA;- ID needs to be changed&#xA;- I changed the experiment number (original) and the N&#xA;- the effect of the replication were explicitely nested "/><s v="Values are the same as in the Curatescience Database but have not been cross-checked with original papers&#xA;Corinna&#xA;- ID needs to be changed&#xA;- the effect of the replication were explicitely nested "/><s v="Values are the same as in the Curatescience Database but have not been cross-checked with original papersCorinna&#xA;- ID needs to be changed&#xA;- the effect of the replication were explicitely nested "/><s v="Values are the same as in the Curatescience Database but have not been cross-checked with original papers&#xA;Corinna: &#xA;- I changed the number of participant in the replication (I think the coder coded the group size of one group, but actually both groups wer"/><s v="&quot;Values are the same as in the Curatescience Database but have not been cross-checked with original papers&#xA;Corinna: &#xA;- I changed the number of participant in the replication (I think the coder coded the group size of one group, but actually both groups we"/><s v="Values are the same as in the Curatescience Database but have not been cross-checked with original papers&#xA;Corinna: &#xA;- I added the whole test statistics of the replication study (Only a F value was coded)&#xA;- I am not entirely sure that the p-value of the or"/><s v="Corrected replication effect based on values reported in the manuscript (no values could be find in the supplemental materials in the OSF project)"/><s v="Values are the same as in the Curatescience Database but have not been cross-checked with original papers&#xA;Corinna: &#xA;- I changed the effect from &quot;priming&quot; to &quot;priming theory of mind&quot;, since this seems to be more specific&#xA;- I added a description of the effe"/><s v="Values are the same as in the Curatescience Database but have not been cross-checked with original papers&#xA;- I changed the effect from &quot;priming&quot; to &quot;priming theory of mind&quot;, since this seems to be more specific&#xA;- I added a page number for the claim&#xA;- I cha"/><s v="Values are the same as in the Curatescience Database but have not been cross-checked with original papers&#xA;Corinna: &#xA;- I changed the effect from &quot;priming&quot; to &quot;priming theory of mind&quot;, since this seems to be more specific&#xA;- I added a page number for the cla"/><s v="Values are the same as in the Curatescience Database but have not been cross-checked with original papers&#xA;Corinna: &#xA;- I changed the effect from theory of mind to priming theory of mind&#xA;- I changed the effect of the original study "/><s v="Values are the same as in the Curatescience Database but have not been cross-checked with original papers&#xA;Corinna: &#xA;- I changed the effect from theory of mind to priming theory of mind &#xA;- I changed the claim&#xA;- I changed both effects (only partial effects "/><s v="Corinna:&#xA;- replication was explicitely labeled as close in abstract&#xA;- I changed the page numbers to those of the PDF&#xA;- The coder calculated alle effects himself. Although they are not necessarily  wrong, they are not the key results of the replication &#xA;- "/><s v="Values are the same as in the Curatescience Database but have not been cross-checked with original papers&#xA;Corinna:&#xA;- Everything was fine! I am unsure which kind of ANOVA the authors performed and was unsure regarding the nesting. However, I think it is no"/><s v="Corinna:&#xA;- As the authors report the combined effect, I would use the combined effect (as Meriem did above [ID 57]) "/><s v="Values are the same as in the Curatescience Database but have not been cross-checked with original papers&#xA;Corinna:&#xA;- As the authors report the combined effect, I would use the combined effect (as Meriem did above [ID 57]) "/><s v="Corinna:&#xA;- The replication study identifies as replication in the tital. However, in the introduction, methods, and discusssion section, it identifies as near-exact replication. Therefore, both codings are correct. &#xA;- this entry seems to be useless since "/><s v="Values are the same as in the Curatescience Database but have not been cross-checked with original papers&#xA;Corinna:&#xA;- The replication study identifies as replication in the tital. However, in the introduction, methods, and discusssion section, it identifie"/><s v="changed page to 659; changed n to 100; changed es_repr_o to page 651 and page 9 in pdf; changed n_r to 3,279; changed es_value_rep to 0.88; changed pval_tails_r to NA; I could not find the place where the input for es_repr_r came from"/><s v="Experiment 2 of the original study seems to be better fitting than study 1, since in study 1 the colour words are printed in black in the congruent condition"/><s v="n _othat was included in analysis is not 98 but 56 as indicated in the chi squared test statistic; n_r that is not correct; could not find place where values come from"/><s v="added the method of calculation for d of the original study, added ref_r; added doi_r, added study_r , added label_r, copied tags, copied description, added prereg_r, added es_repr_r"/><s v="added ref_r, added doi:r, copied description, copied tags, added study_r"/><s v="added ref_r, added doi_r, added effect, tags, description, added study_r, added label_r, added es_repr_r, es_repr_o, prereg_r, prereg_o"/><s v="Corrected osf-link, nesting type, and replaced reportings with study 2 (otherwise using study 1 + (study1 &amp; 2) would lead to an overlap)."/><s v="Values were the same as in the Curatescience Database but not the same as in the papers (before: original effect d=0.59 - repl. effect d=0.44)"/><s v="changed pval_value_o; added NA to prereg_o, changed es_value_r to  -0.098"/><s v="Retention condition"/><s v="Here only the results for the &quot;without confound&quot; condition are given because: &quot;It seems that curiosity does not tempt indulgence, at least not in a way that is detectable with 750 per cell. Rather, the authors’ original result was best explained by a conf"/><s v="changed claim_page_o to 15"/><s v="changed es_value_o to 0.045"/><s v="updated reference, used verion 9; effect sizes based on OSF post completion registration"/><s v="Corrected es_r (0 was missing)"/><s v="Data Curators were unsure about nesting. In all other reports it says &quot;mixed&quot; when nesting is present and here it does not, so I coded it as nested = no"/><s v="Original paper: p.52; Replication: p. 8,14&#xA;Added close replication to label_r&#xA;Changed claim_page_o to 4&#xA;Changed es_repr_o to p4 &#xA;"/><s v="Originalpaper: p.52; Replication: p.25"/><s v="Values are correct, but more detailled description of results between and over all vignettes was preffered; changed pval_value_r tp 0.667 (was mixed up with t value)"/><s v="Since replication claimed to wanting to replicate effect in the low effort group, n= 218, whereas n over both conditions is indeed 440. "/><s v="added prereg_o and copied es_repr_r from coder notes"/><s v="This row is chosen (could equally have been the row 02_c from coder 2) as it specifically looks at comparing the difference in correlations between the two studies (original versus replication)"/><s v="This is not the main replication effect"/><s v="This is the main replication effect (the difference in correlations) but the effect size is not extracted correctly - a test statistic instead of a q value is reported."/><s v="- Replication effect size was reported both as OR (coder 2) and as cohen's d (coder 1) - both are accurate, however cohen's d was chosen as it aligns with Tables of the replication study and with the difference in effect size calculations in the replicati"/><s v="This row was chosen over the other 07_1 row from coder 2 as it had a more accurate calculation of the p value represented for the replication effect"/><s v="This is a main replication effect of interest"/><s v="This is not the main replication result - should it be retained?"/><s v="Chosen for greater accuracy of reporting of pvalues, sample sizes, and test statistics - however, the values are hard to disentangle and could be worth examining in more detail."/><s v="PLEASE CHECK ME:&#xA;- Pvalue for replication calculated using spreadsheet formula function for accuracy. &#xA;- Pvalue for original study was calculated in the replication only (not present in the original paper) - coder 2 chose to report this value, this has be"/><s v="This is the main replication effect of interest, however the statistics in teh original paper (including the sample size) are opaque at best. Help is needed to validate the number, particualrly as they differ from coder 2. "/><s v="Secondary replication target - also needs validating on numbers because of the diffculty tracking from the original manuscript across to the replicaiton project. &#xA;NB - it is very unclear why there is a different aggregate sample size for this replication "/><s v="changed effect size to odds ratio so that it can be auto-converted"/><s v="This is not the main replication effect and it seems that the reported original effect sizes etc are reported only in the replication project - needs double checking before inclusion. Should it be a row we keep?"/><s v="This does not accurately record the effect size of interest for the main replication effect"/><s v="changed effect size to (calculated) d for auto-conversion"/><s v="Coder 2 could not access this paper, therefore it is not double coded. "/><s v="- Coder 1 recorded the relevant test statistic to be the interaction effect, coder 2 identified the main effect as the key test statistic for the replication. Neither is a direct one-to-one mapping with the replicaiton value (which is a correlation based "/><s v="Relevant original effect (pairwise comparison) not reported in original report - therefore, taken from replication"/><s v="Secondary replication - strange difference in N for this group compared with primary group, unexplained n = 8 difference?)"/><s v="This row codes for a whole sample result which was only used as a &quot;follow-up&quot; anlysis because of worries about linguistic and font differences in difficulties across languages in the replication sample. "/><s v="On review: the calculated OR is not valid in this row, the percentages are not comparable in this way, the test statistic from the other coder is accepted instead. "/><s v="calculated OR leads original effect size slightly different from ML - likely due to rounding"/><s v="The two rows are practically identical - however this row has a more accurate record of the replication p value due to it's use of the spreadsheet formula function. "/><s v="This is the best approximation of the US sample - I think"/><s v="It is unclear what this row is addressing and whether it should be kept"/><s v="This is the only approximation of the US sample but was not double coded by coder 2 - need reviews"/><s v="No values coded for Indian sample by coder 2"/><s v="The original study reports results for different cultural groups separately to compare them against each other. The replication compared a general sample only - here two of the three subsamples from the original study are compared to the replication sampl"/><s v="Coder 2 did not report any values for this &quot;study&quot; - therefore it has not been double coded "/><s v="P value reported using spreadsheet formula function for accuracy. "/><s v="- changed the link to the pre-registration of the replication study, since the link let to the OSF project. However, the study was preregisted at AsPredicted &#xA;- I added the effect&#xA;- I changed the claim to highlight which effect belongs to which &#xA;- I chang"/><s v="- I changed the es_repr_r since originally the table which includes the effect size was coded. However, to reproduce the effect, one needs the test statistics. &#xA;- As Leonard already mentioned, the original paper states that 171 participants took part in t"/><s v="- changed the link to the pre-registration of the replication study, since the link let to the OSF project. However, the study was preregisted at AsPredicted"/><s v="- Since it is indeed the same test (excluding one outlier) I would delete this row. "/><s v="- I added the effect"/><s v="- I corrected the sample size of the replication&#xA;- I added the effect&#xA;- I added the study number of the replication study&#xA;- I added label_r"/><s v="- I corrected the sample size of the replication&#xA;- I changed the effect of the original study and all corresponding cells&#xA;- I added the effect&#xA;- I added the study number of the replication study&#xA;- I added label_r"/><s v="- I changed the claim to clairify the target eff&#xA;- I added the effect&#xA;- I added the study number of the replication study&#xA;- I added label_r"/><s v="- I added the effect&#xA;- I added the study number of the replication study&#xA;- I added label_r&#xA;- I added the p-value of the original study"/><s v="- I corrected the sample size; since it can not be inferred from the test statistics (for sure) I coded the reported N&#xA;- I added the effect&#xA;- I added the study number of the replication study&#xA;- I added label_r"/><s v="- changed the omen of the test statistics in the original study&#xA;- I corrected the sample size; since it can not be inferred from the test statistics (for sure) I coded the reported N&#xA;- I added the effect&#xA;- I added the study number of the replication study"/><s v="- I added the effect&#xA;- I added the study number of the replication study&#xA;- I added label_r"/><s v="- I would exclude this row, as it targets the same effect and uses the same sample (despite of the additional careless responders)"/><s v="- I added the effect&#xA;- I added the study number of the replication study&#xA;- I added label_r&#xA;"/><s v="- I added the effect&#xA;- I added the study number of the replication study&#xA;- I added label_r&#xA;- I corrected the effect size, p-value and es_repr for the replicat"/><s v="Effects for a larger sample that includes careless responders are also reported in the article (see below)&#xA;- I added the effect size of the original study&#xA;- I added the study number of the replication study&#xA;- I added label_r&#xA;- I added the effect&#xA;- I am no"/><s v="Effects for a larger sample that includes careless responders are also reported in the article (see below)&#xA;- I added the study number of the replication study&#xA;- I added label_r&#xA;- I added the effect&#xA;- I am not sure whether the effect is reported in the rig"/><s v="I would exclude this row, as it targets the same effect and uses the same sample (despite of the additional careless responders)"/><s v="- I added the study number of the replication study&#xA;- I added label_r&#xA;- I added the effect"/><s v="- I corrected the effect size of the replication study&#xA;- I added the study number of the replication study&#xA;- I added label_r&#xA;- I added the effect"/><s v="- I coded the almost the whole row by myself (the coder only coded until the text claim)"/><s v="- I added the effect&#xA;- changed the link to the pre-registration of the replication study, since the link let to the OSF project. However, the study was preregisted at AsPredicted &#xA;- I changed the tails of the p-value (original) to NA&#xA;- the reported effect"/><s v="- I added the effect&#xA;- I changed the number of participants"/><s v="- I added the effect&#xA;- changed the link to the pre-registration of the replication study, since the link let to the OSF project. However, the study was preregisted at AsPredicted &#xA;- the reported effect size differs from the one coded by Maureen. However, "/><s v="- to be more specific, I changed the description from saturation to color saturation &#xA;- changed the link to the pre-registration of the replication study, since the link let to the OSF project. However, the study was preregisted at AsPredicte"/><s v="- to be more specific, I changed the description from saturation to color saturation &#xA;- I added the effect"/><s v="- to be more specific, I changed the description from saturation to color saturation &#xA;- I added a half sentence to the claim (interpretation)&#xA;- I added the effect"/><s v="- changed the link to the pre-registration of the replication study, since the link let to the OSF project. However, the study was preregisted at AsPredicte"/><s v="- changed the link to the pre-registration of the replication study, since the link let to the OSF project. However, the study was preregisted at AsPredicted&#xA;- There was no text claim. Therefore, I copied the ones of Maureen. "/><s v="- everything was correct"/><s v="- changed the link to the pre-registration of the replication study, since the link let to the OSF project. However, the study was preregisted at AsPredicted&#xA;- I changed nesting to &quot;no&quot;"/><s v="- changed the link to the pre-registration of the replication study, since the link let to the OSF project. However, the study was preregisted at AsPredicted&#xA;- I changed nesting to &quot;no&quot; (original), since the analysis contrasted two conditions&#xA;- I changed "/><s v="- changed the link to the pre-registration of the replication study, since the link let to the OSF project. However, the study was preregisted at AsPredicted&#xA;- I changed nesting to &quot;no&quot; (replication)"/><s v="- changed the link to the pre-registration of the replication study, since the link let to the OSF project. However, the study was preregisted at AsPredicted&#xA;- the t-value was negative&#xA;- I changed nesting to &quot;no&quot; (replication)"/><s v="The second coder coded etasqu as the effect size but it was partial etasqu, corrected;&#xA; coded as row as nested due to 160 trials per participant but no clear details about aggregation for the ANOVA, &#xA;updated url for replication report,&#xA;Updated and combine"/><s v="Differences regarding p-value of replication - report indicates it should be l&lt;, &#xA;updated links to replication report, &#xA;Updated and combined key words and description for best results. "/><s v="Main difference was that the second coder said that it is a conceptual replication. This is a rather subjective judgement call, both codings could be considered valid (validator CG)- (2-close chosen as seems most appropriate to me SAJ).&#xA;Updated links to r"/><s v="The codings largely align - only tags and effect size description differed, &#xA;Updated links to replication report, &#xA;Updated and combined keywords/tags and description for best results. &#xA;"/><s v="Difference is that the second coder said that it is a conceptual replication. I think this is a rather subjective judgement call and thus both codings should be valid (validator CG) - validator SAJ chose 2-close as most appropriate due to use of shared or"/><s v="Exclusion"/><s v="Difference between etasqu. and partial etasqu.; The report states that it is partial etasqu.; Difference in &quot;nested_r&quot; (yes versus no) but the report states that they used a repeated measure ANOVA; --&gt; coded as partial, nested_r = yes (Validator CG)&#xA;Updat"/><s v="Nesting in study resolved to be present"/><s v="Differences regarding the experiment, claim and effect. The authors report that the replicated Experiment 4a, which matches with the data in the table."/><s v="Both codings align"/><s v="All values align, except for the closeness. I think this would be again a jugdgement call."/><s v="Difference in &quot;nested_o&quot;: But the authors performed a repeated measures ANOVA"/><s v="The codings align."/><s v="The reported effect is for Cohens dz, thus for dependent samples. Therefore, the &quot;nested_r&quot; should be &quot;yes&quot; and Cohens d can not be used as an effect size (correct?). -&gt; yes, coded nested as yes and left the t statistic"/><s v="The codings largy align with each other. However, the second coder did not include the effect size for the replication of the table"/><s v="Difference in coding of nesting (both in replication and original). However, an 2 x 2 between subjects ANOVA was performed. -&gt; coded as nested"/><s v="Only difference: partial etasq versus regular etasq."/><s v="Only difference: coding whether the original effect size was tested one tailed or two-tailed --&gt; not reported in the manuscript on p. 3"/><s v="Difference in effect size of the replication study. The second coder did not code the effect size of the table."/><s v="Differences in coding of effect sizes --&gt; t tests were chosen over R²; reported replication test statistic is -9.59 but it says &quot;mean localization error for targets was higher than for distractors, p.4; which is why the sign was omitted here"/><s v="Difference in reporting of p-value. The second coder reports p-rep.; Difference in nesting: Both performed analysis were analysis of vaiance (no reporting of repeated measures). --&gt; p-rep is wrong, first coder's values were chosen"/><s v="Difference in p-value of original report and in &quot;pval_tails_r&quot;, but the replication report notes on p. 3 that a two-tailed paired t-test was used. Therefore, the test should also control for nesting (the test was also used in the original study). Correct?"/><s v="As this coding is not complete, I choose the second one."/><s v="Only difference in p-value of replication. The p-value was lower than .001."/><s v="The codings align to a large extant. However, coder 2 reported etasqu although it was partial etasqu. Moreover, my description of the effect is more general."/><s v="Replication and original study used a within-subjects analysis of variance and therefore controls for nesting. The original does not indicate any p-value or alpha level. Therefore, it should be NA."/><s v="The table and replication report do not align. Coder 2 seems to chose the table. Morover, the replication report states that the p-value is below .001."/><s v="SAJ:&#xA;-Coders were very similar. &#xA;-Fixed merged cell and scientific notation in cells on chosen row. &#xA;-Chosen row correctly identified the tails in the original report (not the replication project)"/><s v="SAJ: &#xA;- The codings align.&#xA;- Corrected typesetting errors, e.g. commas instead of decimel places&#xA;- Expanded tags by merging form 2 coders"/><s v="Corinna:&#xA;- A repeated measures ANOVA was performed, thus the nesting was selected in replication. &#xA;- Coder 2 used the table to code, which deviated at some points from the replication report.&#xA;SAJ:&#xA;-Discrepancies between coders reviewed, original replicati"/><s v="Corinna: &#xA;-It was a one-way ANOVA, thus the p-value is one-tailed.&#xA;SAJ:&#xA;- Validator 1s assertion of one-way equating to one tail is false, there is not information on tails in the replication report &#xA;- Original replicaiton report checked to understand dis"/><s v="Corinna: &#xA;- Codings align, but replication used partial etasqu.&#xA;SAJ:&#xA;- COders aligned&#xA;- Updated typesetting issues&#xA;- Combined tags to improve overall informational value"/><s v="Corinna: &#xA;- Codings align&#xA;SAJ:&#xA;- Coders aligned&#xA;-Fixed typsetting issues&#xA;-Agree with chosen row - has better tags/description"/><s v="Corinna:&#xA;- Codings largely align, but Coder 2 used the results of a table in the replication report (that summerizes the results). However, as the p-value can never be zero, I chose this row.&#xA;SAJ:&#xA;- Corrected typesetting issues in cells&#xA;- Combined coders "/><s v="Corinna: &#xA;- The conducted test was a within-subjects t-test&#xA;SAJ:&#xA;- Corrected typesetting issues&#xA;- Improved tags by combining values from both coders&#xA;- Nestedness in original clear - in replication it is a paired samples t-test (not nested)&#xA;- Tails indicat"/><s v="Corinna:&#xA;- Replication reports states that throughout the whole article all tests are two-tailed.&#xA;SAJ:&#xA;-Updated chosen row to correct typesetting - all values double checked against replicaiton report for accuracy when updating. "/><s v="Corinna:&#xA;- The ANOVA controlled for nesting and was one-way, but it is not clear whether the t-test was also tested one-tail&#xA;SAJ:&#xA;-Coder largely aligned&#xA;-Updated and corrected typesetting issues&#xA;-Checked replication report - no mention of tails on t-test "/><s v="Chosen as reported to 3.d.p"/><s v="I would argue that this is a close replication rather than conceptual as all central features are highly similar, the original materials had to be recreated but this was done in line with screenshots and description so doubt it differed that much"/><s v="Chosen as correct link for prereg used, otherwise all the same, I updated the description here from the other coder as mine were done already but updated one is more suitable"/><s v="Chosen due to more detailed notes explaining choice for conceptual"/><s v="Chosen due to more inclusion of links "/><s v="I would argue this is a close rather than conceptual replication"/><s v="I would argue chi-squared is better to report than those reported by coder 1"/><s v="Chosen as reported partial etasq for rep"/><s v="corrected reference"/><s v="Coded the wrong effect"/><s v="I would argue that this is a close instead of conceptual replication"/><s v="I would argue that this is a close replication"/><s v="I would argue that this is close replication"/><s v="I think this is a close instead of conceptual"/><s v="I would say this is a close replication"/><s v="Coder 2 noted I coded directly from the replication paper, there is some inconsistency as the OSC 2015 table states that the d=-.01"/><s v="I would argue this is a close replication "/><s v="I'm not sure which way is better to report the effects in this row [Luke: chose this row due to proportions reported as &quot;NA&quot; instead of test statistics]"/><s v="This effect size was not found directly in the replication paper"/><s v="The other coder correlates with RPP table too"/><s v="This one aligns more with RPP table"/><s v="I agree this is more close than conceptual"/><s v="Coded the overall sig. of interaction in Table 2"/><s v="Please see coder notes for reasons of help needed status"/><s v="Daten nachtragen aus https://docs.google.com/document/d/1zSjSPR1akPN8Hr4mWJ2fjx1UxbIINGzkeArliyzpTY4/edit"/><s v="Coded t = 1.51 from Table 1 in p.10 of the report because it corresponds most closely to the coded claim (DV = disregard, self-esteem * approach group)"/><s v="Replication report was accessible and reported results match what has been entered in both cases"/><s v="I agree that this is a conceptual"/><s v="replaced DOI with the one from the SSRN website"/><s v="SAJ:&#xA;- Coder 1 miscoded main effect from Study 4 not Study 3. Original values checked to confirm this.&#xA;- Coder 2 correct in sample size having 1 pp removed (i.e. 105-1 = 104).&#xA;-Updated tags to include informaiton form both coders. &#xA;- Added NA to empty cel"/><s v="- Coders were highly aligned on this row &#xA;- Small updates to description and tags to get most detail in the cell&#xA;- Coder 2 selected as slightly more detail in decription etc. "/><s v="- Both coders correctly indicated that there was not sufficient detail about the replication to code this entry. &#xA;- Entry excluded. "/><s v="LR: to reproduce w: srqt(chisq_value / N); see also https://www.oxfordreference.com/display/10.1093/oi/authority.20110803095743480&#xA;SAJ: &#xA;- Selected this row as it coded the main experiemtnal effect of the experiment 3 in the original study (the rejection-"/><s v="LR: to reproduce w: srqt(chisq_value / N); see also https://www.oxfordreference.com/display/10.1093/oi/authority.20110803095743480"/><s v="SAJ:&#xA;- This row is an internal conceptual replication of within a single paper (study 1 and study 2). It is not labelled as such however!&#xA;- I accept this as a replication (internal) , and reject the other coders suggestion to exclude this pair. &#xA;- I updat"/><s v="SAJ: &#xA;- Replication paper contains many extensions and expansions on the topic, relevant information on results pertain to page 10, table 1 on page 11, and figure 5 on page 12. &#xA;- Coders selected different comparisons between the papers. &#xA;- Validation has"/><s v="SAJ: &#xA;- Coders disagreed on which replication statistic to include, the replication paper was consulted. &#xA;- Coder 1 coded for the non-significant main effect of alcohol -  &quot;Critically, there was no significant main effect of Alcohol Group, F(2, 326) = 2.7"/><s v="The preregistration link was incorrect; it was the OSF link for the OSF folder."/><s v="changed label_r to replication, since it says that Study 3 is a close replication of Study 1 (of the replication studies) "/><s v="added NA to prereg_o and prereg_r"/><s v="Test statistics were not reported thoroughly in the original study. However, the p-value combined with the figure makes it clear what hypothesis was being tested and that the replication was successful."/><s v="Hedges’ g = 0.12, 95% CI [0.05, 0.20], z = 3.17, p = .002"/><s v="SAJ:&#xA;- Coder 1 coded study 2 instead of study 3 in the original study causing discrepancies, COder 2 original values were therefore retained. &#xA;- However, Coder 2 coded the main effect of primes not the interaction effect of prime by condition in the origi"/><s v="SAJ: &#xA;- Coders very similar in apprach&#xA;- Coder 2 row chosen as seems to code tails/nestedness more accurately (based on what is in the paper rather than intuition). &#xA;- Coder 2 row also properly identified no replicaiton prereg within the OSF environment"/><s v="t(426.01) = 7.70, p &lt; .001, mean difference = 0.86, 95% C.I. [0.64, 1.09], d = 0.728."/><s v="t(445) = 3.86, p &lt; .001, mean difference = 0.37, 95% C.I. [0.18, 0.55], d = 0.365."/><s v="t(455) = 4.33, p &lt; .001, mean difference = 0.49, 95% C.I. [0.27, 0.71], d = 0.409"/><s v="SAJ:&#xA;- The exact replicaiton value to be selected was reviewed and adjusted&#xA;- Instead of an omnibus t-test (df 1455) the within classic ISE effect on bonus payments was extracted from Table 5 (p. 7) to compare directly to the original study and effect &#xA;- "/><s v="SAJ:&#xA;-This coder chose the correct main effect to report (ANOVA based on RT not PC) so this row was selected.&#xA;-Additional information added to the original effect to align more closely with the description&#xA;- Nestedness updated for both papers (one-way ANO"/><s v="SAJ:&#xA;-Both coders coded very similiar rows&#xA;- Adjusted nestednes to yes due to mixed ANOVA for effect of interest. "/><s v="SAJ:&#xA;- Both coders coded very similiar rows&#xA;- Coder 2 row chosen as better description/tags&#xA;- Ongoing row_id discrepancy to be resolved. "/><s v="added 1 to study_o, added Experiment 1B to study_r"/><s v="added 1 to study_o, added Experiment 2B to study_r"/><s v="SAJ:&#xA;- Coders largely aligned&#xA;- Double checked sources for tails and nestedness. &#xA;- Neither indicates tails for effects of interest (original indicates tails for other analyses only). &#xA;- Nestedness assumed for original (repeated measures), but t-test for "/><s v="provided effect size is standardized beta and treated as a correlation. Preregistration Link was false. There is no preregistration"/><s v="SAJ:&#xA;- Coders coded very similar rows&#xA;- Coder 2 had stronger description/tags (updated to inlcude any extra terms from coder 1 for completeness). "/><s v="Removed &quot;Experiment 2&quot; after ref_o"/><s v="1. There are more effects in the original and the replication study that are not relevant to the main hypotheses. 2. The preregistration link was incorrect. It was the OSF link for the OSF folder. Added the correct preregistration link."/><s v="1. There are more effects in the original and the replication study which are not relevant to the main hypotheses. 2. The preregistration link was incorrect. It was the OSF link for the OSF folder. Added the correct preregistration link. 3. Corrected and "/><s v="1. There are more effects in the original and the replication study that are not relevant to the main hypotheses. 2. The preregistration link was incorrect. It was the OSF link for the OSF folder. Added the correct preregistration link. "/><s v="1. There are more effects in the original and the replication study that are not relevant to the main hypotheses. 2. The preregistration link was incorrect. It was the OSF link for the OSF folder. Added the correct preregistration link. 3. Corrected and u"/><s v="1. There are more effects in the original and the replication study which are not relevant to the main hypotheses. 2. The preregistration link was incorrect. It was the OSF link for the OSF folder. Added the correct preregistration link."/><s v="1. There are more effects in the original and the replication study which are not relevant to the main hypotheses. 2. The preregistration link was incorrect. It was the OSF link for the OSF folder. Added the correct preregistration link. 3. This row has b"/><s v="1. There are more effects in the original and the replication study which are not relevant to the main hypotheses. 2. The preregistration link was incorrect. It was the OSF link for the OSF folder. Added the correct preregistration link. "/><s v="1. There are more effects in the original and the replication study which are not relevant to the main hypotheses. 2. The preregistration link was incorrect. It was the OSF link for the OSF folder. Added the correct preregistration link. 3. Added claim_te"/><s v="1. There are more effects in the original and the replication study which are not relevant to the main hypotheses. 2. The preregistration link was incorrect. It was the OSF link for the OSF folder. Added the correct preregistration link. 3. sarahashjones@"/><s v="1. There are more effects in the original and the replication study that are not relevant to the main hypotheses. 2. The preregistration link was incorrect. It was the OSF link for the OSF folder. Added the correct preregistration link. 3. The coder provi"/><s v="1. There are more effects in the original and the replication study which are not relevant to the main hypotheses. 2. The preregistration link was incorrect. It was the OSF link for the OSF folder. Added the correct preregistration link. 3. There is no in"/><s v="1. There are more effects in the original and the replication study which are not relevant to the main hypotheses. 2. The preregistration link was incorrect. It was the OSF link for the OSF folder. Added the correct preregistration link. 3. The coder has "/><s v="1. The statistical results are not presented for the specific claim/finding. However, it is generally addressed. 2. The preregistration link was incorrect. It was the OSF link for the OSF folder. Added the correct preregistration link. 3. This row outlays"/><s v="1. The replication study conjoined the two of the SVOs i.e. individualists and competitors as proself. Therefore, finding out the comparisons of individual SVOs is not possible. 2. The preregistration link was incorrect. It was the OSF link for the OSF fo"/><s v="1. There are no statistical results for this specific claim in the orignal study 2. The preregistration link was incorrect. It was the OSF link for the OSF folder. Added the correct preregistration link."/><s v="1. There are no statistical results for this specific claim. 2. The preregistration link was incorrect. It was the OSF link for the OSF folder. Added the correct preregistration link."/><s v="1. I have used the p-value rather than the adjusted p-value for the replication study. 2. The preregistration link was incorrect. It was the OSF link for the OSF folder. Added the correct preregistration link."/><s v="1. I have used the p-value rather than the adjusted p-value. for the replication study. 2. The preregistration link was incorrect. It was the OSF link for the OSF folder. Added the correct preregistration link."/><s v="1. There are no statistical results for this specific claim in the orignal study. 2. The preregistration link was incorrect. It was the OSF link for the OSF folder. Added the correct preregistration link."/><s v="1. There are no exact claims in the replication study. 2.. The preregistration link was incorrect. It was the OSF link for the OSF folder. Added the correct preregistration link."/><s v="1. Main effect is not present in the replication study. 2. The preregistration link was incorrect. It was the OSF link for the OSF folder. Added the correct preregistration link."/><s v="1. There are no statistical results for this specific claim. 2. There are no such claim in the replication study.  3. The preregistration link was incorrect. It was the OSF link for the OSF folder. Added the correct preregistration link."/><s v="Entry from another coder not found"/><s v="additional entry with extra results - no second coder"/><s v="Mistake in p value of replication"/><s v="Tidied up row (especially links)  &#xA;Included description (missing from both rows)&#xA;Chose this row as it had the correct p value for the replication"/><s v="Tidied up links and changed F &quot;effect sizes&quot; to full F test statistics in results. &#xA;Think this row should be split in 5, one for each effect? "/><s v="extra result (not included in XPHI table)"/><s v="Added description&#xA;Updated file links&#xA;Correct pvalue replication to one tailed based on post replication report"/><s v="seems that statistics from O put in tn the wrong cells"/><s v="added row for machine-vignette"/><s v="seems that statistics from O put in tn the wrong cells, no statistics from R"/><s v="Emplty cells"/><s v="Corrected replication test statistic based on the single report at https://osf.io/6r74y"/><s v="correlations for original report are provided in footnote 3 on p 353 (pdf page = 3) but only significant correlations are reported, which is why none are coded"/><s v="Marked as help needed, cause both rows have correct info, but use different approach, Probably the best approach will be to combine them"/><s v="corrected N based on dfs; no Preregistration in osf project (osf.io/z2fj8) so changed prereg_r to NA"/><s v="extra result (not included in XPHI table), values for O wasn't filled, so I extracted it myself (Aleksandr P.)"/><s v="added study numbers in original ref"/><s v="Entry selected as it had most accurate reporitng of effect sizes (full test statistic), &#xA;Also added description (originally missing from both entries), &#xA;and investigated links - prereplication forms are not preregistrations (contain no information about p"/><s v="Entry selected as it had most accurate reporitng of effect sizes (full test statistic, not calculated values via R), &#xA;Also added description (originally missing from both entries), &#xA;and investigated links - prereplication forms are not preregistrations (c"/><s v="extra result (not included in XPHI table), basically the same, one coder extracted b (unstd), another one - test statistics X2. Otherwise  statistics checked, validated"/><s v="Entry selected as it had most accurate reporitng of effect sizes (full test statistic, not F value only), &#xA;Also added description (originally missing from both entries), &#xA;and investigated links - preregistration for replication added. "/><s v="Entry selected as it had most accurate reporting - reported sobel test as suggested by the XPHI data table and confirmed byt the original reports, &#xA;Also added description (originally missing from both entries), &#xA;and investigated links - preregistration fo"/><s v="extra result (not included in XPHI table) es_repr_r corrected"/><s v="Entry selected as it had most accurate reporting - replicated p value correct,&#xA;Also added description (originally missing from both entries), &#xA;and investigated links - preregistration for replication added. "/><s v="Entry selected as it had an accurate description,  &#xA;and investigated links - preregistration for replication added. "/><s v="Entry selected - though both are similar. &#xA;Original test statistics not reported but both coders correctly sourced them from the replication table. "/><s v="Entry selected as it had more accurate reported (full test statistics), &#xA;description added, &#xA;and investigated links. "/><s v="Entry selected though both rows were similar, &#xA;investigated the updated/corrected sample size - coders both agree and were correct, &#xA;description added, &#xA;and investigated links. "/><s v="corrected orignial sample size; cant find the statistic in column teststatistic_rep"/><s v="Entry selected though both rows were similar, &#xA;description added, &#xA;and investigated links. "/><s v="Both rows are chosen, differrent results extracted"/><s v="Entry selected as coded for the main effect as defined by the replication table, &#xA;test statistics updated (formatting in effect size columns), &#xA;and investigated links. "/><s v="Entry selected as managed to describe the original effect (qual) &#xA;test statistics updated (had to take estimated statstics from post-replication report nad XPHI table),&#xA;and investigated links. "/><s v="Entry selected although both coders were very similar,&#xA;test statistics updated (had to take estimated statistics from post-replication report and XPHI table combined for effect size reporting),&#xA;and investigated links. "/><s v="Entry selected as it had the correct sample size (123 not 128, 128 was before exclusions and was incorrectly reported on the main table - replicaiton report detailed the exclusions). &#xA;Test statistics updated - original statistics inferred in the prereplic"/><s v="Note from another coder = The Post Replication Form states that 123 were included in the analysis, while the tables states 128.; The effect size of the original study can not be calculated using the effect size calculator, but the replication report state"/><s v="- I changed the described effect from religious beliefs and behavior to only beliefs&#xA;- I added the study numbers&#xA;- I changed the page number of the original study&#xA;- I changed the p-value&#xA;- I changed the sides of the original p-value to NA&#xA;- I added the te"/><s v="- I changed the described effect from religious beliefs and behavior to only beliefs&#xA;- I added the study numbers&#xA;- I added the text claim&#xA;- I changed the page number of the original study&#xA;- I changed the p-value&#xA;- I changed the sides of the original p-val"/></sharedItems></cacheField><cacheField name="ref_o" numFmtId="0"><sharedItems containsBlank="1"><s v="Copy APA style from Google Scholar (or similar), without DOI"/><s v="Cunningham, W. A., Van Bavel, J. J., &amp; Johnsen, I. R. (2008). Affective flexibility: evaluative processing goals shape amygdala activity. Psychological Science, 19(2), 152-160."/><s v="Schaffer, J., &amp; Knobe, J. (2012). Contrastive knowledge surveyed. Noûs, 46(4), 675-708."/><s v="Mussweiler, T., &amp; Englich, B. (2005). Subliminal anchoring: Judgmental consequences and underlying mechanisms. Organizational Behavior and Human Decision Processes, 98(2), 133-143."/><s v="Rellensmann, J., &amp; Schukajlow, S. (2017). Does students’ interest in a mathematical problem depend on the problem’s connection to reality? An analysis of students’ interest and pre-service teachers’ judgments of students’ interest in problems with and wit"/><m/><s v="Darcy, I., Mora, J. C., &amp; Daidone, D. (2016). The role of inhibitory control in second language phonological processing. Language Learning, 66, 741–773. https://doi.org/10.1111/lang.12161"/><s v="Saxey, M. T., LeBaron-Black, A. B., &amp; Curran, M. A. (2022). The Sooner, the Better? Couples' First Financial Discussion, Relationship Quality, and Financial Conflict in Emerging Adulthood. Journal of Financial Therapy, 13 (1) 2. https://doi.org/10.4148/19"/><s v="Stellar, J. E., Gordon, A., Anderson, C. L., Piff, P. K., McNeil, G. D., &amp; Keltner, D. (2018). Awe and humility. Journal of Personality and Social Psychology, 114(2), 258–269. https://doi.org/10.1037/pspi0000109"/><s v="Johnston, W., Dolan, K., Reid, N., Coughlan, G. F., &amp; Caulfield, B. (2018). Investigating the effects of maximal anaerobic fatigue on dynamic postural control using the Y-Balance Test. Journal of science and medicine in sport, 21(1), 103-108. https://doi."/><s v="Vasterling, J. J., Aslan, M., Lee, L. O., Proctor, S. P., Ko, J., Jacob, S., &amp; Concato, J. (2018). Longitudinal Associations among Posttraumatic Stress Disorder Symptoms, Traumatic Brain Injury, and Neurocognitive Functioning in Army Soldiers Deployed to "/><s v="Watson-Manheim, M. B., &amp; Bélanger, F. (2007). Communication media repertoires: Dealing with the multiplicity of media choices. MIS quarterly, 267-293. https://doi.org/10.2307/25148791"/><s v="Gettinger, M., Kratochwill, T. R., Eubanks, A., Foy, A., &amp; Levin, J. R. (2021). Academic and behavior combined support: Evaluation of an integrated supplemental intervention for early elementary students. Journal of School Psychology, 89, 1-19. https://do"/><s v="Solheim, O. J., Frijters, J. C., Lundetræ, K., &amp; Uppstad, P. H. (2018). Effectiveness of an early reading intervention in a semi-transparent orthography: A group randomised control. Learning and Instruction, 58, 65–79. https://doi.org/10.1016/j.learninstr"/><s v="Pigott T. D., Valentine J. C., Polanin J. R., Williams R. T., Canada D. D. (2013). Outcome-reporting bias in education research. Educational Researcher, 42(8), 424–432. https://doi.org/10.3102/0013189X13507104"/><s v="Kanwit, M., &amp; Geeslin, K. L. (2014). The interpretation of Spanish subjunctive and indicative forms in adverbial clauses: A cross-sectional study. Studies in Second Language Acquisition, 36(3), 487-533. https:://doi.org/10.1017/S0272263114000126"/><s v="Dishop, C. R. (2022). Spurious inference in consensus emergence modeling due to the distinguishability problem. Psychological Methods. Advance online publication. https://doi.org/10.1037/met0000511"/><s v="Taipale, H., Solmi, M., Lähteenvuo, M., Tanskanen, A., Correll, C. U., &amp; Tiihonen, J. (2021). Antipsychotic use and risk of breast cancer in women with schizophrenia: a nationwide nested case-control study in Finland. The Lancet Psychiatry, 8(10), 883-891"/><s v="Gerlicher, A. M. V., Tüscher, O., &amp; Kalisch, R. (2018). Dopamine-dependent prefrontal reactivations explain long-term benefit of fear extinction. Nature communications, 9(1), 4294. https://doi.org/10.1038/s41467-018-06785-y"/><s v="Harper, L. M., &amp; Kim, Y. (2018). Attitudinal, normative, and resource factors affecting psychologists’ intentions to adopt an open data badge: An empirical analysis. International Journal of Information Management, 41(8), 23–32. https://doi.org/10.1016/j."/><s v="Cordeiro, M. C., Kodak, T., Reidy, J., Stoppleworth, A., Zelinski, K., &amp; Jainga, A. (2022). Comparison of mastery criteria applied to individual targets and stimulus sets on acquisition of tacts, intraverbals, and listener responses. Journal of Applied Be"/><s v="Valdesolo, P., &amp; DeSteno, D. (2007). Moral hypocrisy: Social groups and the flexibility of virtue. Psychological science, 18(8), 689-690. https://doi.org/10.1111/j.1467-9280.2007.01961.x"/><s v="Epley, N., Waytz, A., Akalis, S., &amp; Cacioppo, J. T. (2008). When we need a human: Motivational determinants of anthropomorphism. Social cognition, 26(2), 143-155. https://doi.org/10.1521/soco.2008.26.2.143"/><s v="Scott, M. (2013). Corollary discharge provides the sensory content of inner speech. Psychological science, 24(9), 1824-1830. https://doi.org/10.1177/0956797613478614"/><s v="Syropoulos, S., &amp; Markowitz, E. M. (2022). Perceived responsibility to address climate change consistently relates to increased pro-environmental attitudes, behaviors and policy support: Evidence across 23 countries. Journal of Environmental Psychology, 8"/><s v="Schenk, M., &amp; Miltenberger, R. (2019). A review of behavioral interventions to enhance sports performance. Behavioral Interventions, 34(2), 248–279. https://doi.org/10.1002/bin.1659"/><s v="May, A. C., Burrows, K., Figueroa-Hall, L. K., Kirlic, N., White, E. J., Smith, R., ... &amp; T1000 Investigators. (2021). Sex differences in circulating inflammatory mediators as a function of substance use disorder. Drug and alcohol dependence, 221, 108610."/><s v="Renda, C. R., Rung, J. M., Hinnenkamp, J. E., Lenzini, S. N., &amp; Madden, G. J. (2018). Impulsive choice and pre-exposure to delays: IV. Effects of delay-and immediacy-exposure training relative to maturational changes in impulsivity. Journal of the Experim"/><s v="Castro, A. A., Hur, J., &amp; Berenbaum, H. (2022). A bifactor approach to modeling the structure of repetitive thinking: Replication and extension. Personality and Individual Differences, 189, 111472. https://doi.org/10.1016/j.paid.2021.111472"/><s v="Pérez, A., Potocki, A., Stadtler, M., Macedo-Rouet, M., Paul, J., Salmerón, L., &amp; Rouet, J. F. (2018). Fostering teenagers' assessment of information reliability: Effects of a classroom intervention focused on critical source dimensions. Learning and Inst"/><s v="Blank, H., Panday, A., Edwards, R., Skopicz-Radkiewicz, E., Gibson, V., &amp;Reddy, V. (2022). Double misinformation: Effects on eyewitnessremembering.Journal of Applied Research in Memory and Cognition,11(1), 97–105.https://doi.org/10.1016/j.jarmac.2021.08.0"/><s v="Grainger, J., Snell, J., &amp; Beyersmann, E. (2021). Morphological processing in the flankers task. Language, Cognition and Neuroscience, 36(3), 288–295. https://doi.org/10.1080/23273798.2020.1810292"/><s v="Kormos, J., &amp; Dénes, M. (2004). Exploring measures and perceptions of fluency in the speech of second language learners. System, 32(2), 145–164. https://doi.org/10.1016/j.system.2004.01.001"/><s v="Rossiter, M. J. (2009). Perceptions of L2 fluency by native and non-native speakers of English. Canadian Modern Language Review, 65(3), 395–412. https://doi.org/10.3138/cmlr.65.3.395"/><s v="Davis, W. T., Rapp, J. T., Brogan, K. M., Pinkston, J. W., &amp; Chinnappan, B. (2021). Comparing stimulus preference and response force in a conjugate preparation. Journal of the Experimental Analysis of Behavior, 116(1), 96–113. https://doi.org/10.1002/jeab"/><s v="Sfärlea, A., Greimel, E., Platt, B., Dieler, A. C., &amp; Schulte‐Körne, G. (2018). Recognition of emotional facial expressions in adolescents with anorexia nervosa and adolescents with major depression. Psychiatry Research, 262, 586–594. https://doi.org/10.1"/><s v="Rothman, J. (2011). L3 syntactic transfer selectivity and typological determinacy: The typological primacy&#xA;model. Second Language Research, 27, 107–127. https://doi.org/10.1177/0267658310386439"/><s v="Bailey, C. N., Hasselback, J. R., &amp; Karcher, J. N. (2001). Research misconduct in accounting literature: A survey of the most prolific researchers’ actions and beliefs. Abacus, 37(1), 26-54. https://doi.org/10.1111/1467-6281.00073"/><s v="Bailey, C. N., Hasselback, J. R., &amp; Karcher, J. N. (2001). Research misconduct in accounting literature: A survey of the most prolific researchers’ actions and beliefs. Abacus, 37(1), 26-54. https://doi.org/10.1111/1467-6281.00074"/><s v="Bailey, C. N., Hasselback, J. R., &amp; Karcher, J. N. (2001). Research misconduct in accounting literature: A survey of the most prolific researchers’ actions and beliefs. Abacus, 37(1), 26-54. https://doi.org/10.1111/1467-6281.00075"/><s v="Zitek, E. M., &amp; Tiedens, L. Z. (2012). The fluency of social hierarchy: the ease with which hierarchical relationships are seen, remembered, learned, and liked. Journal of personality and social psychology, 102(1), 98."/><s v="Fath, S., &amp; Kay, A. C. (2018). “If hierarchical, then corrupt”: Exploring people’s tendency to associate hierarchy with corruption in organizations. Organizational Behavior and Human Decision Processes, 149, 145-164. https://doi.org/10.1016/j.obhdp.2018.1"/><s v="Burback, Shannon, &quot;Construct Validity of the Behavior Assessment System for Children-Third&#xA; Edition Teacher Rating Scales (BASC-3 TRS): Comparisons with the Adjustment Scales&#xA; for Children and Adolescents (ASCA)&quot; (2020). Masters Theses. 4783.&#xA; https://the"/><s v="Burback, Shannon, &quot;Construct Validity of the Behavior Assessment System for Children-Third&#xA;Edition Teacher Rating Scales (BASC-3 TRS): Comparisons with the Adjustment Scales&#xA;for Children and Adolescents (ASCA)&quot; (2020). Masters Theses. 4783.&#xA;https://thekee"/><s v="Van Ryzin, G. G. (2013). An experimental test of the expectancy‐disconfirmation theory of citizen satisfaction. Journal of Policy Analysis and Management, 32(3), 597-614. https://doi.org/10.1002/pam.21702"/><s v="Przepiórkowski, A., &amp; Woźniak, M. (2023, July). Conjunct Lengths in English, Dependency Length Minimization, and Dependency Structure of Coordination. In Proceedings of the 61st Annual Meeting of the Association for Computational Linguistics (Volume 1: Lo"/><s v="Shandler, R., Gross, M. L., &amp; Canetti, D. (2021). A fragile public preference for cyber strikes: Evidence from survey experiments in the United States, United Kingdom, and Israel. Contemporary Security Policy, 42(2), 135-162. https://doi.org/10.1080/13523"/><s v="Hazen, R.A., Vasey, M.W., &amp; Schmidt, N.B. (2009). Attentional retraining: A randomized clinical trial for pathological worry. Journal of psychiatric research, 43(6), 627-633. https://doi.org/10.1016/j.jpsychires.2008.07.004"/><s v="Hazen, R.A., Vasey, M.W., &amp; Schmidt, N.B. (2009). Attentional retraining: A randomized clinical trial for pathological worry. Journal of psychiatric research, 43(6), 627-633. https://doi.org/10.1016/j.jpsychires.2008.07.005"/><s v="Hazen, R.A., Vasey, M.W., &amp; Schmidt, N.B. (2009). Attentional retraining: A randomized clinical trial for pathological worry. Journal of psychiatric research, 43(6), 627-633. https://doi.org/10.1016/j.jpsychires.2008.07.006"/><s v="Hazen, R.A., Vasey, M.W., &amp; Schmidt, N.B. (2009). Attentional retraining: A randomized clinical trial for pathological worry. Journal of psychiatric research, 43(6), 627-633. https://doi.org/10.1016/j.jpsychires.2008.07.007"/><s v="Hazen, R.A., Vasey, M.W., &amp; Schmidt, N.B. (2009). Attentional retraining: A randomized clinical trial for pathological worry. Journal of psychiatric research, 43(6), 627-633. https://doi.org/10.1016/j.jpsychires.2008.07.008"/><s v="Autor, D. H., Katz, L. F., &amp; Kearney, M. S. (2008). Trends in US wage inequality: Revising the revisionists. The Review of economics and statistics, 90(2), 300-323. https://doi.org/10.1162/rest.90.2.300"/><s v="Larsson, T., Callies, M., Hasselgård, H., Laso, N. J., Van Vuuren, S., Verdaguer, I., &amp; Paquot, M. (2020). Adverb placement in EFL academic writing: Going beyond syntactic transfer. International Journal of Corpus Linguistics, 25(2), 156-185. https://doi."/><s v="Wiseheart, M., Viswanathan, M., &amp; Bialystok, E. (2016). Flexibility in task switching by monolinguals and bilinguals. Bilingualism: Language and Cognition, 19(1), 141–146. https://doi.org/10.1017/S1366728914000273"/><s v="Wilfong, R. (. (2021). The mattering model: The foundational elements of mattering for K-12 educators (Order No. 28319407). Available from ProQuest Dissertations &amp; Theses Global. (2537966312). Retrieved from https://www.proquest.com/dissertations-theses/m"/><s v="Lozano, C., &amp; Díaz-Negrillo, A. (2019). Using learner corpus methods in L2 acquisition research: The morpheme order studies revisited with Interlanguage Annotation. Revista Española de Lingüística Aplicada/Spanish Journal of Applied Linguistics, 32(1), 82"/><s v="Onwuegbuzie, A. J., Bailey, P., &amp; Daley, C. E. (2000). The validation of three scales measuring anxiety at different stages of the foreign language learning process: The input anxiety scale, the processing anxiety scale, and the output anxiety scale. Lang"/><s v="Tamm., G., Koster, E. H. W, &amp; Hoorelbeke, K. (2024). Multiple paths to rumination within a&#xA;network analytical framework. Scientific Reports, 14(1), 10874.&#xA; http://dx.doi.org/10.1038/s41598-024-61469-6"/><s v="Sastre, L. V., Defina, R., Garrett, P. M., Zacks, J. M., &amp; Dennis, S. (2024). Most daily events have no characteristic duration. Under review"/><s v="Brooke, J. H. (1991). Science and religion: Some historical perspectives. Cambridge University Press."/><s v="Croninger, R.G., Rice, J.K., Rathbun, A., &amp; Nishio, M.(2007).Teacher qualifications and early learning: Effects of certification, degree, and experience on first-grade student achievement.Economics of Education Review, 26(3), 312–324. http://doi.org/10.10"/><s v="Fuchs, C., &amp; Schreier, M. (2011). Customer empowerment in new product development. Journal of product innovation management, 28(1), 17-32. https://doi.org/10.1111/j.1540-5885.2010.00778.x"/><s v="Schroeder, P. A., Lohmann, J., Butz, M. V., &amp; Plewnia, C. (2016). Behavioral bias for food reflected in hand movements: a preliminary study with healthy subjects. Cyberpsychology, Behavior, and Social Networking, 19(2), 120-126. https://doi.org/10.1089/cy"/><s v="Simonson, I., &amp; Staw, B. M. (1992). Deescalation strategies: A comparison of techniques for reducing commitment to losing courses of action. Journal of Applied Psychology, 77, 419 – 426. http://dx.doi.org/10.1037/0021-9010.77.4.419"/><s v="Loibl, K., &amp; Rummel, N. (2014). Knowing what you don’t know makes failure productive. Learning and Instruction, 34, 74–85. https://doi.org/10.1016/j.learninstruc.2014.08.004"/><s v="Staw, B. M. (1976). Knee-deep in the big muddy: A study of escalating commitment to a chosen course of action. Organizational Behavior and Human Performance, 16, 27-44. https://doi.org/10.1016/0030-5073(76)90005-2"/><s v="Barrett, F. S., Grimm, K. J., Robins, R. W., Wildschut, T., Sedikides, C., &amp; Janata, P. (2010). Music-evoked nostalgia: affect, memory, and personality. Emotion (Washington, D.C.), 10(3), 390–403. https://doi.org/10.1037/a0019006"/><s v="Arkes, H. R., Joyner, C. A., Pezzo, M. V., Nash, J. G., Siegel-Jacobs, K., &amp; Stone, E. (1994). The psychology of windfall gains. Organizational behavior and human decision processes, 59(3), 331-347. https://doi.org/10.1006/obhd.1994.1063"/><s v="Hohensee, C. (2017). Preparing elementary prospective teachers to teach early algebra. Journal of Mathematics Teacher Education, 20, 231-257. https://doi.org/10.1007/s10857-015-9324-9"/><s v="Trafimow, D., &amp; Hughes, J. S. (2012). Testing the death thought suppression and rebound hypothesis: Death thought accessibility following mortality salience decreases during a delay. Social Psychological and Personality Science, 3(5), 622-629. https://doi"/><s v="Zhang, X., Bachmann, P., Schilling, T. M., Naumann, E., Schächinger, H., &amp; Larra, M. F. (2018). Emotional stress regulation: The role of relative frontal alpha asymmetry in shaping the stress&#xA;response. Biological psychology, 138, 231-239. https://doi.org/"/><s v="Edwards, S. H., Kandru, N., &amp; Rajagopal, M. B. (2017, August). Investigating static analysis errors in student Java programs. In Proceedings of the 2017 ACM Conference on International Computing Education Research (pp. 65-73). https://doi.org/10.1145/3105"/><s v="Börstler, J., &amp; Paech, B. (2016). The role of method chains and comments in software readability and comprehension—an experiment. IEEE Transactions on Software Engineering, 42(9), 886-898. https://doi.org/10.1109/TSE.2016.2527791"/><s v="Abend, R., Bajaj, M. A., Matsumoto, C., Yetter, M., Harrewijn, A., Cardinale, E. M., ... &amp; Pine, D. S. (2021). Converging multi-modal evidence for implicit threat-related bias in pediatric anxiety disorders. Research on child and adolescent psychopatholog"/><s v="Karmarkar, U. R., &amp; Tormala, Z. L. (2010). Believe me, I have no idea what I’m talking about: The effects of source certainty on consumer involvement and persuasion. Journal of Consumer Research, 36(6), 1033-1049. https://doi.org/10.1086/648381"/><s v="Falligant, J.M., Rooker, G.W. Further Analysis of the Response Deprivation Hypothesis: Application of the Disequilibrium Model to Novel Clinical Contexts. Psychol Rec 71, 307–311 (2021). https://doi.org/10.1007/s40732-020-00453-8"/><s v="He, J., Chen, G., Wu, S., Niu, R., &amp; Fan, X. (2020). Patterns of negative emotional eating among Chinese young adults: A latent class analysis. Appetite, 155, 104808. https://doi.org/10.1016/j.appet.2020.104808. Study 5"/><s v="He, J., Chen, G., Wu, S., Niu, R., &amp; Fan, X. (2020). Patterns of negative emotional eating among Chinese young adults: A latent class analysis. Appetite, 155, 104808. https://doi.org/10.1016/j.appet.2020.104808"/><s v="Krauss, S., Orth, U., &amp; Robins, R. W. (2020). Family environment and self-esteem development: A longitudinal study from age 10 to 16. Journal of Personality and Social Psychology, 119(2), 457–478. https://doi.org/10.1037/pspp0000263"/><s v="Reiff J. S., Hershfield H. E., Quoidbach J. (2020). Identity over time: Perceived similarity between selves predicts well-being 10 years later. Social Psychological and Personality Science, 11, 160–167. https://doi.org/10.1177/1948550619843931"/><s v="Gietzen, L. J., Lewis, H., &amp; Buchanan, J. A. (2023). Age-related microaggressions: A descriptive&#xA; study. The Gerontologist, 63(5), 820-830. https://doi.org/10.1093/geront/gnac158"/><s v="Gietzen, L. J., Lewis, H., &amp; Buchanan, J. A. (2023). Age-related microaggressions: A descriptive&#xA;study. The Gerontologist, 63(5), 820-830. https://doi.org/10.1093/geront/gnac158"/><s v="Akselevich, V., &amp; Gilaie-Dotan, S. (2022). Positive and negative facial valence perception are modulated differently by eccentricity in the parafovea. Scientific reports, 12(1), 21693. https://doi.org/10.1038/s41598-022-24919-7"/><s v="Akselevich, V., &amp; Gilaie-Dotan, S. (2022). Positive and negative facial valence perception are modulated differently by eccentricity in the parafovea. Scientific reports, 12(1), 21693. https://doi.org/10.1038/s41598-022-24919-8"/><s v="Akselevich, V., &amp; Gilaie-Dotan, S. (2022). Positive and negative facial valence perception are modulated differently by eccentricity in the parafovea. Scientific reports, 12(1), 21693. https://doi.org/10.1038/s41598-022-24919-9"/><s v="Zottoli, T. M., Helm, R. K., Edkins, V. A., &amp; Bixter, M. T. (2023). Developing a model of guilty plea decision-making: Fuzzy-trace theory, gist, and categorical boundaries. Law and Human Behavior, 47(3), 403–421. https://doi.org/10.1037/lhb0000532"/><s v="Honea, R. A., Vidoni, E., Harsha, A., &amp; Burns, J. M. (2009). Impact of APOE on the healthy aging brain: a voxel-based MRI and DTI study. Journal of Alzheimer's disease, 18(3), 553-564. 10.3233/JAD-2009-1163"/><s v="Ratcliffe, J. H. (2021). Policing and public health calls for service in Philadelphia. Crime Science, 10(1), 1–6. https://doi.org/10.1186/s40163-021-00141-0"/><s v="Lum, C., Koper, C. S., &amp; Wu, X. (2021). Can we really defund the police? A nine-agency study of police response to calls for service. Police Quarterly, July. https://doi.org/10.1177/2F10986111211035002"/><s v="Laniyonu, A. (2021). Phantom pains: The effect of police killings of black Americans on black British attitudes. British Journal of Political Science, 52(4), 1–17. https://doi.org/10.1017/S0007123421000557"/><s v="Bloomfield, J., Balsa, A., &amp; Cid, A. (2023). Using behavioral insights in early childhood interventions: The effects of Crianza Positiva e-messaging program on parental investment. Review of the Economics of the Household, 21, 95–130. https://doi.org/10.1"/><s v="Shelton-Strong, S., &amp; Mynard, J. (2018). Affective factors in self-access learning. Relay Journal, 1(2), 275–292. https://doi.org/10.37237/relay/010204"/><s v="Collins, H. K., Hagerty, S. F., Quoidbach, J., Norton, M. I., &amp; Brooks, A. W. (2022). Relational diversity in social portfolios predicts well-being. Proceedings of the National Academy of Sciences, 119(43), e2120668119. https://doi.org/10.1073/pnas.212066"/><s v="Shah, A.K., LaForest, M. Knowledge about others reduces one’s own sense of anonymity. Nature 603, 297–301 (2022). https://doi.org/10.1038/s41586-022-04452-3"/><s v="Saini, M., Pruett, M. K., Alschech, J., &amp; Sushchyk, A. R. (2019). A pilot study to assess coparenting across family structures (CoPAFS). Journal of Child and Family Studies, 28, 1392-1401. https://doi.org/10.1007/s10826-019-01370-3"/><s v="Seward, R., &amp; Redner, R. (2023). Step it UP! game increases steps of adults with disabilities. Journal of Applied Behavior Analysis, 56(1), 231–240. https://doi.org/10.1002/jaba.968"/><s v="Barceló, J. (2021). “The Long-term Effects of War Exposure on Civic Engagement.” Proceedings of the National Academy of Sciences, 118 (6) (February): e2015539118 https://doi.org/10.1073/pnas.2015539118"/><s v="Barceló, J. (2021). “The Long-term Effects of War Exposure on Civic Engagement.” Proceedings of the National Academy of Sciences, 118 (6) (February): e2015539118 https://doi.org/10.1073/pnas.2&#xA;015539118"/><s v="Longoni, A.M., Richardson, J.T.E. &amp; Aiello, A. Articulatory rehearsal and phonological storage in working memory. Memory &amp; Cognition 21, 11–22 (1993). https://doi.org/10.3758/BF03211160"/><s v="Teló, C., P.  Trofimovich, and M. G.  O’Brien.  2022. ‘Disentangling professional competence and foreign accent,’  Journal of Second Language Pronunciation  8/3: 413–43. https://doi.org/10.1075/jslp.22013.tel"/><s v="Teló, C., P. Trofimovich, and M. G. O’Brien. 2022. ‘Disentangling professional competence and foreign accent,’ Journal of Second Language Pronunciation 8/3: 413–43. https://doi.org/10.1075/jslp.22013.tel"/><s v="Segev, S., and J. Fernandes 2023. “The Anatomy of Viral Advertising: A Content Analysis of Viral Advertising from the Elaboration Likelihood Model Perspective.” Journal of Promotion Management 29 (1): 125–154. https://doi.org/10.1080/10496491.2022.2108189"/><s v="Meyer, A., Riesel, A., &amp; Hajcak Proudfit, G. (2013). Reliability of the ERN across multiple tasks&#xA;as a function of increasing errors. Psychophysiology, 50(12), 1220–1225.&#xA;https://doi.org/10.1111/psyp.12132"/><s v="King, A. A., &amp; Shaver, J. M. (2001). Are aliens green? Assessing foreign establishments' environmental conduct in the United States. Strategic Management Journal, 22(11), 1069-1085. https://doi.org/10.1002/smj.201"/><s v="Yiend, J., Mathews, A., Burns, T., Dutton, K., Fernández-Martín, A., Georgiou, G. A., ... &amp; Fox, E. (2015). Mechanisms of selective attention in generalized anxiety disorder. Clinical Psychological Science, 3(5), 758-771. https://doi.org/10.1177/216770261"/><s v="Yu, R., Mobbs, D., Seymour, B., Rowe, J. B., &amp; Calder, A. J. (2014). The neural signature of escalating frustration in humans. Cortex, 54, 165-178. https://doi.org/10.1016/j.cortex.2014.02.013"/><s v="Bunz, U. (2021). Investigating the Relationship Between Social Media Use, Big Five Personality, and Well-being. Journal of Communication Technology, 4(3), 25–52. https://doi.org/10.51548/joctec-2021-016"/><s v="Oberfield, E., &amp; Raval, D. (2021). Micro data and macro technology. Econometrica, 89(2), 703-732. https://doi.org/10.3982/ECTA12807"/><s v="McKenzie, C. R., Liersch, M. J., &amp; Finkelstein, S. R. (2006). Recommendations implicit in policy defaults. Psychological Science, 17(5), 414-420. https://doi.org/10.1111/j.1467-9280.2006.01721.x"/><s v="Karataş, M., &amp; Cutright, K. M. (2023). Thinking about God increases acceptance of artificial intelligence in decision-making. Proceedings of the National Academy of Sciences, 120(33), e2218961120. https://doi.org/10.1073/pnas.2218961120"/><s v="Alais, D., &amp; Burr, D. (2004). The ventriloquist effect results from near-optimal bimodal integration. Current biology, 14(3), 257-262."/><s v="Blair, K. S., Smith, B. W., Mitchell, D. G., Morton, J., Vythilingam, M., Pessoa, L., ... &amp; Blair, R. J. R. (2007). Modulation of emotion by cognition and cognition by emotion. Neuroimage, 35(1), 430-440."/><s v="Najemnik, J., &amp; Geisler, W. S. (2005). Optimal eye movement strategies in visual search. Nature, 434(7031), 387-391."/><s v="Nekmat, E., Gower, K. K., Zhou, S., &amp; Metzger, M. (2019). Connective-collective action on social media: Moderated mediation of cognitive elaboration and perceived source credibility on personalness of source. Communication Research, 46(1), 62-87."/><s v="Ngo, C. T., Horner, A. J., Newcombe, N. S., &amp; Olson, I. R. (2019). Development of holistic episodic recollection. Psychological science, 30(12), 1696-1706."/><s v="Nook, E. C., Schleider, J. L., &amp; Somerville, L. H. (2017). A linguistic signature of psychological distancing in emotion regulation. Journal of Experimental Psychology: General, 146(3), 337."/><s v="O'Brien, E. (2015). Mapping out past and future minds: The perceived trajectory of rationality versus emotionality over time. Journal of Experimental Psychology: General, 144(3), 624."/><s v="Oh, D., Buck, E. A., &amp; Todorov, A. (2019). Revealing hidden gender biases in competence impressions of faces. Psychological Science, 30(1), 65-79."/><s v="Okan, Y., Garcia-Retamero, R., Cokely, E. T., &amp; Maldonado, A. (2018). Biasing and debiasing health decisions with bar graphs: Costs and benefits of graph literacy. Quarterly Journal of Experimental Psychology, 71(12), 2506-2519."/><s v="O’Keefe, P. A., Dweck, C. S., &amp; Walton, G. M. (2018). Implicit theories of interest: Finding your passion or developing it?. Psychological science, 29(10), 1653-1664."/><s v="Okonofua, J. A., Paunesku, D., &amp; Walton, G. M. (2016). Brief intervention to encourage empathic discipline cuts suspension rates in half among adolescents. Proceedings of the National Academy of Sciences, 113(19), 5221-5226."/><s v="Otto, R. A., Skatova, A., Madlon-Kay, S., &amp; Daw, N. (2014). Cognitive Control Mode Predicts Behavioral Expression of Model-Based Reinforcement-Learning. In Proceedings of the Annual Meeting of the Cognitive Science Society (Vol. 36, No. 36)."/><s v="Blankenship, K. L., &amp; Wegener, D. T. (2008). Opening the mind to close it: considering a message in light of important values increases message processing and later resistance to change. Journal of Personality and Social Psychology, 94(2), 196."/><s v="Paxton, J. M., Ungar, L., &amp; Greene, J. D. (2012). Reflection and reasoning in moral judgment. Cognitive science, 36(1), 163-177."/><s v="Payne, J. D., Stickgold, R., Swanberg, K., &amp; Kensinger, E. A. (2008). Sleep preferentially enhances memory for emotional components of scenes. Psychological science, 19(8), 781-788."/><s v="Peer, E., Rothschild, D., Gordon, A., Evernden, Z., &amp; Damer, E. (2022). Data quality of platforms and panels for online behavioral research. Behavior Research Methods, 54(4), 1643-1662."/><s v="Petersen, M. B. (2017). Healthy out-group members are represented psychologically as infected in-group members. Psychological Science, 28(12), 1857-1863."/><s v="Piff, P. K., Stancato, D. M., Côté, S., Mendoza-Denton, R., &amp; Keltner, D. (2012). Higher social class predicts increased unethical behavior. Proceedings of the National Academy of Sciences, 109(11), 4086-4091."/><s v="Pilditch, T. D., Fenton, N., &amp; Lagnado, D. (2019). The zero-sum fallacy in evidence evaluation. Psychological science, 30(2), 250-260."/><s v="Porter, S. C., Rheinschmidt-Same, M., &amp; Richeson, J. A. (2016). Inferring identity from language: Linguistic intergroup bias informs social categorization. Psychological science, 27(1), 94-102."/><s v="Bourrat, P., Baumard, N., &amp; McKay, R. (2011). Surveillance cues enhance moral condemnation. Evolutionary Psychology, 9(2), 147470491100900206."/><s v="Proudfoot, D., Kay, A. C., &amp; Koval, C. Z. (2015). A gender bias in the attribution of creativity: Archival and experimental evidence for the perceived association between masculinity and creative thinking. Psychological science, 26(11), 1751-1761."/><s v="Ranzini, M., Dehaene, S., Piazza, M., &amp; Hubbard, E. M. (2009). Neural mechanisms of attentional shifts due to irrelevant spatial and numerical cues. Neuropsychologia, 47(12), 2615-2624."/><s v="Read, D., &amp; Scholten, M. (2012). Tradeoffs between sequences: Weighing accumulated outcomes against outcome-adjusted delays. Journal of Experimental Psychology: Learning, Memory, and Cognition, 38(6), 1675."/><s v="Reinecke, K., Yeh, T., Miratrix, L., Mardiko, R., Zhao, Y., Liu, J., &amp; Gajos, K. Z. (2013, April). Predicting users' first impressions of website aesthetics with a quantification of perceived visual complexity and colorfulness. In Proceedings of the SIGCH"/><s v="Reis, H. T., Lee, K. Y., O'Keefe, S. D., &amp; Clark, M. S. (2018). Perceived partner responsiveness promotes intellectual humility. Journal of Experimental Social Psychology, 79, 21-33."/><s v="Richter, F. R., &amp; Yeung, N. (2012). Memory and cognitive control in task switching. Psychological Science, 23(10), 1256-1263."/><s v="Risen, J. L., &amp; Gilovich, T. (2008). Why people are reluctant to tempt fate. Journal of personality and social psychology, 95(2), 293."/><s v="Rogers, T., Zeckhauser, R., Gino, F., Norton, M. I., &amp; Schweitzer, M. E. (2017). Artful paltering: The risks and rewards of using truthful statements to mislead others. Journal of personality and social psychology, 112(3), 456."/><s v="Rottman, J., &amp; Young, L. (2019). Specks of dirt and tons of pain: Dosage distinguishes impurity from harm. Psychological Science, 30(8), 1151-1160."/><s v="Brady, T. F., &amp; Alvarez, G. A. (2011). Hierarchical encoding in visual working memory: Ensemble statistics bias memory for individual items. Psychological science, 22(3), 384-392."/><s v="Rychlowska, M., Jack, R. E., Garrod, O. G., Schyns, P. G., Martin, J. D., &amp; Niedenthal, P. M. (2017). Functional smiles: Tools for love, sympathy, and war. Psychological science, 28(9), 1259-1270."/><s v="Santello, M., Flanders, M., &amp; Soechting, J. F. (1998). Postural hand synergies for tool use. Journal of neuroscience, 18(23), 10105-10115."/><s v="Savani, K., Markus, H. R., Naidu, N. V. R., Kumar, S., &amp; Berlia, N. (2010). What counts as a choice? US Americans are more likely than Indians to construe actions as choices. Psychological Science, 21(3), 391-398."/><s v="Savani, K., &amp; Rattan, A. (2012). A choice mind-set increases the acceptance and maintenance of wealth inequality. Psychological science, 23(7), 796-804."/><s v="Schaerer, M., Swaab, R. I., &amp; Galinsky, A. D. (2015). Anchors weigh more than power: Why absolute powerlessness liberates negotiators to achieve better outcomes. Psychological science, 26(2), 170-181."/><s v="Schechtman, E., Laufer, O., &amp; Paz, R. (2010). Negative valence widens generalization of learning. Journal of Neuroscience, 30(31), 10460-10464."/><s v="Schnall, S., Benton, J., &amp; Harvey, S. (2008). With a clean conscience: Cleanliness reduces the severity of moral judgments. Psychological science, 19(12), 1219-1222."/><s v="Scopelliti, I., Loewenstein, G., &amp; Vosgerau, J. (2015). You call it “Self-Exuberance”; I call it “Bragging” miscalibrated predictions of emotional responses to self-promotion. Psychological science, 26(6), 903-914."/><s v="Semrow, M., Zou, L. X., Liu, S., &amp; Cheryan, S. (2020). Gay Asian Americans are seen as more American than Asian Americans who are presumed straight. Social Psychological and Personality Science, 11(3), 336-344."/><s v="Brady, T. F., Konkle, T., Alvarez, G. A., &amp; Oliva, A. (2013). Real-world objects are not represented as bound units: independent forgetting of different object details from visual memory. Journal of Experimental Psychology: General, 142(3), 791."/><s v="Shah, A. K., Shafir, E., &amp; Mullainathan, S. (2015). Scarcity frames value. Psychological science, 26(4), 402-412."/><s v="Sharif, M. A., &amp; Oppenheimer, D. M. (2016). The effect of relative encoding on memory-based judgments. Psychological science, 27(8), 1136-1145."/><s v="Shariff, A. F., Greene, J. D., Karremans, J. C., Luguri, J. B., Clark, C. J., Schooler, J. W., ... &amp; Vohs, K. D. (2014). Free will and punishment: A mechanistic view of human nature reduces retribution. Psychological science, 25(8), 1563-1570."/><s v="Shavit, Y. Z., Chi, K., &amp; Carstensen, L. L. (2022). Age and Time Horizons Are Associated With Preferences for Helping Colleagues. Work, Aging and Retirement."/><s v="Sheppes, G., Scheibe, S., Suri, G., &amp; Gross, J. J. (2011). Emotion-regulation choice. Psychological science, 22(11), 1391-1396."/><s v="Sherman, G. D., Haidt, J., &amp; Clore, G. L. (2012). The faintest speck of dirt: Disgust enhances the detection of impurity. Psychological Science, 23(12), 1506-1514."/><s v="Sloman, S. A., &amp; Rabb, N. (2016). Your understanding is my understanding: Evidence for a community of knowledge. Psychological science, 27(11), 1451-1460."/><s v="Sofer, C., Dotsch, R., Wigboldus, D. H., &amp; Todorov, A. (2015). What is typical is good: The influence of face typicality on perceived trustworthiness. Psychological Science, 26(1), 39-47."/><s v="Stavrova, O., Ehlebracht, D., &amp; Vohs, K. D. (2020). Victims, perpetrators, or both? The vicious cycle of disrespect and cynical beliefs about human nature. Journal of Experimental Psychology: General, 149(9), 1736."/><s v="Brandone, A. C., Gelman, S. A., &amp; Hedglen, J. (2015). Children's developing intuitions about the truth conditions and implications of novel generics versus quantified statements. Cognitive science, 39(4), 711-738."/><s v="Storm, B. C., &amp; Stone, S. M. (2015). Saving-enhanced memory: The benefits of saving on the learning and remembering of new information. Psychological Science, 26(2), 182-188."/><s v="Störmer, V. S., &amp; Alvarez, G. A. (2016). Attention alters perceived attractiveness. Psychological Science, 27(4), 563-571."/><s v="Suppes, P., &amp; Schlag-Rey, M. (1965). Observable changes of hypotheses under positive reinforcement. Science, 148(3670), 661-662."/><s v="Tamir, D. I., &amp; Mitchell, J. P. (2012). Disclosing information about the self is intrinsically rewarding. Proceedings of the National Academy of Sciences, 109(21), 8038-8043."/><s v="Tarampi, M. R., Heydari, N., &amp; Hegarty, M. (2016). A tale of two types of perspective taking: Sex differences in spatial ability. Psychological Science, 27(11), 1507-1516."/><s v="Tieu, L., Yatsushiro, K., Cremers, A., Romoli, J., Sauerland, U., &amp; Chemla, E. (2017). On the role of alternatives in the acquisition of simple and complex disjunctions in French and Japanese. Journal of Semantics, 34(1), 127-152."/><s v="Todd, A. R., Thiem, K. C., &amp; Neel, R. (2016). Does seeing faces of young black boys facilitate the identification of threatening stimuli?. Psychological science, 27(3), 384-393."/><s v="Tribushinina, E. (2011). Once again on norms and comparison classes. Linguistics, 49(3), 525–553."/><s v="Tworek, C. M., &amp; Cimpian, A. (2016). Why do people tend to infer “ought” from “is”? The role of biases in explanation. Psychological Science, 27(8), 1109-1122."/><s v="Brown-Iannuzzi, J. L., Dotsch, R., Cooley, E., &amp; Payne, B. K. (2017). The relationship between mental representations of welfare recipients and attitudes toward welfare. Psychological science, 28(1), 92-103."/><s v="Van Koningsbruggen, G. M., Hartmann, T., Eden, A., &amp; Veling, H. (2017). Spontaneous hedonic reactions to social media cues. Cyberpsychology, Behavior, and Social Networking, 20(5), 334-340."/><s v="Knobe, J. (2003). Intentional Action and Side Effects in Ordinary Language. Analysis, 63, 190-193."/><s v="Knobe, J., &amp; Burra, A. (2006). The folk concepts of intention and intentional action: A cross-cultural study. Journal of Cognition and Culture, 6(1), 113-132."/><s v="Vasilyeva, N., Blanchard, T., &amp; Lombrozo, T. (2018). Stable causal relationships are better causal relationships. Cognitive Science, 42(4), 1265-1296."/><s v="Romero Verdugo, P., van Lieshout, L. L., de Lange, F. P., &amp; Cools, R. (2020). Choice boosts curiosity. Psychological Science, 09567976221082637."/><s v="Vohs, K. D., Mead, N. L., &amp; Goode, M. R. (2006). The psychological consequences of money. science, 314(5802), 1154-1156."/><s v="Vohs, K. D., Sengupta, J., &amp; Dahl, D. W. (2014). The price had better be right: Women’s reactions to sexual stimuli vary with market factors. Psychological science, 25(1), 278-283."/><s v="Ter Wal, M., Linde-Domingo, J., Lifanov, J., Roux, F., Kolibius, L. D., Gollwitzer, S., ... &amp; Wimber, M. (2021). Theta rhythmicity governs human behavior and hippocampal signals during memory-dependent tasks. Nature communications, 12(1), 1-15."/><s v="Wilkins, C. L., &amp; Kaiser, C. R. (2014). Racial progress as threat to the status hierarchy: Implications for perceptions of anti-White bias. Psychological science, 25(2), 439-446."/><s v="Wilson, T. D., Reinhard, D. A., Westgate, E. C., Gilbert, D. T., Ellerbeck, N., Hahn, C., ... &amp; Shaked, A. (2014). Just think: The challenges of the disengaged mind. Science, 345(6192), 75-77."/><s v="Wiltermuth, S. S. (2011). Cheating more when the spoils are split. Organizational Behavior and Human Decision Processes, 115(2), 157-168."/><s v="Xu, Y., &amp; Franconeri, S. L. (2015). Capacity for visual features in mental rotation. Psychological science, 26(8), 1241-1251."/><s v="Yang, F., Choi, Y. J., Misch, A., Yang, X., &amp; Dunham, Y. (2018). In defense of the commons: Young children negatively evaluate and sanction free riders. Psychological science, 29(10), 1598-1611."/><s v="Yeshurun, Y., &amp; Levy, L. (2003). Transient spatial attention degrades temporal resolution. Psychological Science, 14(3), 225-231."/><s v="Yousif, S. R., Aboody, R., &amp; Keil, F. C. (2019). The illusion of consensus: A failure to distinguish between true and false consensus. Psychological Science, 30(8), 1195-1204."/><s v="Zangger, C., &amp; Widmer, J. (2020). Choosing what is best for one’s children? Experimental evidence on parents’ responsiveness to childcare subsidies and their preferences for different childcare arrangements. Early childhood research quarterly, 51, 110-123"/><s v="Zaval, L., Markowitz, E. M., &amp; Weber, E. U. (2015). How will I be remembered? Conserving the environment for the sake of one’s legacy. Psychological science, 26(2), 231-236."/><s v="Zhao, M., Bülthoff, H. H., &amp; Bülthoff, I. (2016). Beyond faces and expertise: Facelike holistic processing of nonface objects in the absence of expertise. Psychological science, 27(2), 213-222."/><s v="Cao, J., Kleiman-Weiner, M., &amp; Banaji, M. R. (2019). People make the same Bayesian judgment they criticize in others. Psychological Science, 30(1), 20-31."/><s v="Catarino, A., Küpper, C. S., Werner-Seidler, A., Dalgleish, T., &amp; Anderson, M. C. (2015). Failing to forget: Inhibitory-control deficits compromise memory suppression in posttraumatic stress disorder. Psychological science, 26(5), 604-616."/><s v="Albarracín, D., Handley, I. M., Noguchi, K., McCulloch, K. C., Li, H., Leeper, J., ... &amp; Hart, W. P. (2008). Increasing and decreasing motor and cognitive output: a model of general action and inaction goals. Journal of Personality and Social Psychology, "/><s v="Charpentier, C. J., De Neve, J. E., Li, X., Roiser, J. P., &amp; Sharot, T. (2016). Models of affective decision making: how do feelings predict choice?. Psychological science, 27(6), 763-775."/><s v="Child, S., Oakhill, J., &amp; Garnham, A. (2018). You’re the emotional one: the role of perspective for emotion processing in reading comprehension. Language, cognition and neuroscience, 33(7), 878-889."/><s v="Chopra, S., Tessler, M. H., &amp; Goodman, N. D. (2019, July). The first crank of the cultural ratchet: Learning and transmitting concepts through language. In CogSci (pp. 226-232)."/><s v="Chou, E. Y., Parmar, B. L., &amp; Galinsky, A. D. (2016). Economic insecurity increases physical pain. Psychological Science, 27(4), 443-454."/><s v="Cohen, M. A., Alvarez, G. A., &amp; Nakayama, K. (2011). Natural-scene perception requires attention. Psychological science, 22(9), 1165-1172."/><s v="Correll, S. J., Benard, S., &amp; Paik, I. (2007). Getting a job: Is there a motherhood penalty?. American journal of sociology, 112(5), 1297-1338."/><s v="Craig, M. A., &amp; Richeson, J. A. (2014). On the precipice of a “majority-minority” America: Perceived status threat from the racial demographic shift affects White Americans’ political ideology. Psychological science, 25(6), 1189-1197."/><s v="Critcher, C. R., Inbar, Y., &amp; Pizarro, D. A. (2013). How quick decisions illuminate moral character. Social Psychological and Personality Science, 4(3), 308-315."/><s v="Daffner, K. R., Scinto, L. F., Calvo, V., Faust, R., Mesulam, M. M., West, W. C., &amp; Holcomb, P. J. (2000). The influence of stimulus deviance on electrophysiologic and behavioral responses to novel events. Journal of Cognitive Neuroscience, 12(3), 393-406"/><s v="Dai, X., Wertenbroch, K., &amp; Brendl, C. M. (2008). The value heuristic in judgments of relative frequency. Psychological Science, 19(1), 18."/><s v="Aryani, A., Isbilen, E. S., &amp; Christiansen, M. H. (2020). Affective arousal links sound to meaning. Psychological science, 31(8), 978-986."/><s v="Dale, R., &amp; Duran, N. D. (2011). The cognitive dynamics of negated sentence verification. Cognitive science, 35(5), 983-996."/><s v="Daw, N. D., Gershman, S. J., Seymour, B., Dayan, P., &amp; Dolan, R. J. (2011). Model-based influences on humans' choices and striatal prediction errors. Neuron, 69(6), 1204-1215."/><s v="Dehaene, S., Nakamura, K., Jobert, A., Kuroki, C., Ogawa, S., &amp; Cohen, L. (2010). Why do children make mirror errors in reading? Neural correlates of mirror invariance in the visual word form area. Neuroimage, 49(2), 1837-1848."/><s v="Djärv, K., Zehr, J., &amp; Schwarz, F. (2018). Cognitive vs. emotive factives: An experimental differentiation. In Proceedings of Sinn und Bedeutung (Vol. 21, No. 1, pp. 367-386)."/><s v="Dubey, R., &amp; Griffiths, T. L. (2020). Reconciling novelty and complexity through a rational analysis of curiosity. Psychological Review, 127(3), 455."/><s v="Durso, G. R., Briñol, P., &amp; Petty, R. E. (2016). From power to inaction: Ambivalence gives pause to the powerful. Psychological Science, 27(12), 1660-1666."/><s v="Endress, A. D., &amp; Hauser, M. D. (2009). Syntax-induced pattern deafness. Proceedings of the National Academy of Sciences, 106(49), 21001-21006."/><s v="Exline, J. J., Baumeister, R. F., Zell, A. L., Kraft, A. J., &amp; Witvliet, C. V. (2008). Not so innocent: Does seeing one's own capability for wrongdoing predict forgiveness?. Journal of Personality and Social Psychology, 94(3), 495."/><s v="Feinberg, M., &amp; Willer, R. (2013). The moral roots of environmental attitudes. Psychological science, 24(1), 56-62."/><s v="Fischer, P., Schulz-Hardt, S., &amp; Frey, D. (2008). Selective exposure and information quantity: how different information quantities moderate decision makers' preference for consistent and inconsistent information. Journal of personality and social psychol"/><s v="Atir, S., Rosenzweig, E., &amp; Dunning, D. (2015). When knowledge knows no bounds: Self-perceived expertise predicts claims of impossible knowledge. Psychological Science, 26(8), 1295-1303."/><s v="Forwood, S. E., Ahern, A., Hollands, G. J., Fletcher, P. C., &amp; Marteau, T. M. (2013). Underestimating calorie content when healthy foods are present: an averaging effect or a reference-dependent anchoring effect?. Plos one, 8(8), e71475."/><s v="Franke, M., &amp; Degen, J. (2016). Reasoning in reference games: Individual-vs. population-level probabilistic modeling. PloS one, 11(5), e0154854."/><s v="Freeman, J., &amp; Simoncelli, E. P. (2011). Metamers of the ventral stream. Nature neuroscience, 14(9), 1195-1201."/><s v="Fu, A. S., &amp; Markus, H. R. (2014). My mother and me: Why tiger mothers motivate Asian Americans but not European Americans. Personality and Social Psychology Bulletin, 40(6), 739-749."/><s v="Galperin, R. V., Hahl, O., Sterling, A. D., &amp; Guo, J. (2020). Too good to hire? Capability and inferences about commitment in labor markets. Administrative Science Quarterly, 65(2), 275-313."/><s v="García-Castro, J. D., Rodríguez-Bailón, R., &amp; Willis, G. B. (2020). Perceiving economic inequality in everyday life decreases tolerance to inequality. Journal of Experimental Social Psychology, 90, 104019."/><s v="Gibson, E., Bergen, L., &amp; Piantadosi, S. T. (2013). Rational integration of noisy evidence and prior semantic expectations in sentence interpretation. Proceedings of the National Academy of Sciences, 110(20), 8051-8056."/><s v="Gick, M. L., &amp; Holyoak, K. J. (1983). Schema induction and analogical transfer. Cognitive psychology, 15(1), 1-38."/><s v="Goff, P. A., Jackson, M. C., Di Leone, B. A. L., Culotta, C. M., &amp; DiTomasso, N. A. (2014). The essence of innocence: consequences of dehumanizing Black children. Journal of personality and social psychology, 106(4), 526."/><s v="Gong, X., Zhang, F., &amp; Fung, H. H. (2019). Are older adults more willing to donate? The roles of donation form and social relationship. The Journals of Gerontology: Series B, 74(3), 440-448."/><s v="Austerweil, J. L., &amp; Griffiths, T. L. (2011). Seeking confirmation is rational for deterministic hypotheses. Cognitive Science, 35(3), 499-526."/><s v="Gray, H. M., Gray, K., &amp; Wegner, D. M. (2007). Dimensions of mind perception. science, 315(5812), 619-619."/><s v="Gray, K., Ward, A. F., &amp; Norton, M. I. (2014). Paying it forward: generalized reciprocity and the limits of generosity. Journal of experimental psychology: General, 143(1), 247."/><s v="Greenberg, A. E., &amp; Spiller, S. A. (2016). Opportunity cost neglect attenuates the effect of choices on preferences. Psychological science, 27(1), 103-113."/><s v="Greene, J. D., Morelli, S. A., Lowenberg, K., Nystrom, L. E., &amp; Cohen, J. D. (2008). Cognitive load selectively interferes with utilitarian moral judgment. Cognition, 107(3), 1144-1154."/><s v="Griffiths, T. L., &amp; Tenenbaum, J. B. (2006). Optimal predictions in everyday cognition. Psychological science, 17(9), 767-773."/><s v="Haimovitz, K., &amp; Dweck, C. S. (2016). What predicts children’s fixed and growth intelligence mind-sets? Not their parents’ views of intelligence but their parents’ views of failure. Psychological science, 27(6), 859-869."/><s v="Hart, Y., Dillon, M. R., Marantan, A., Cardenas, A. L., Spelke, E., &amp; Mahadevan, L. (2018). The statistical shape of geometric reasoning. Scientific reports, 8(1), 1-12."/><s v="Heck, P. R., Chabris, C. F., Watts, D. J., &amp; Meyer, M. N. (2020). Objecting to experiments even while approving of the policies or treatments they compare. Proceedings of the National Academy of Sciences, 117(32), 18948-18950."/><s v="Henderson, M. D., De Liver, Y., &amp; Gollwitzer, P. M. (2008). The effects of an implemental mind-set on attitude strength. Journal of personality and social psychology, 94(3), 396."/><s v="Balas, B. J. (2006). Texture synthesis and perception: Using computational models to study texture representations in the human visual system. Vision research, 46(3), 299-309."/><s v="Hernandez, I. A., Silverman, D. M., &amp; Destin, M. (2021). From deficit to benefit: Highlighting lower-SES students' background-specific strengths reinforces their academic persistence. Journal of Experimental Social Psychology, 92, 104080."/><s v="Hopkins, E. J., Weisberg, D. S., &amp; Taylor, J. C. (2016). The seductive allure is a reductive allure: People prefer scientific explanations that contain logically irrelevant reductive information. Cognition, 155, 67-76."/><s v="Hughes, M. L., Geraci, L., &amp; De Forrest, R. L. (2013). Aging 5 years in 5 minutes: The effect of taking a memory test on older adults’ subjective age. Psychological Science, 24(12), 2481-2488."/><s v="Huh, Y. E., Vosgerau, J., &amp; Morewedge, C. K. (2016). More similar but less satisfying: Comparing preferences for and the efficacy of within-and cross-category substitutes for food. Psychological Science, 27(6), 894-903."/><s v="Huntington‐Klein, N. (2018). College choice as a collective decision. Economic Inquiry, 56(2), 1202-1219."/><s v="Jakesch, M., French, M., Ma, X., Hancock, J. T., &amp; Naaman, M. (2019, May). AI-mediated communication: How the perception that profile text was written by AI affects trustworthiness. In Proceedings of the 2019 CHI Conference on Human Factors in Computing S"/><s v="Jara-Ettinger, J., Levy, R., Sakel, J., Huanca, T., &amp; Gibson, E. (2022). The origins of the shape bias: Evidence from the Tsimane’. Journal of Experimental Psychology: General."/><s v="Jones, L. L., &amp; Estes, Z. (2006). Roosters, robins, and alarm clocks: Aptness and conventionality in metaphor comprehension. Journal of Memory and Language, 55(1), 18-32."/><s v="Jordan, J. J., Sommers, R., Bloom, P., &amp; Rand, D. G. (2017). Why do we hate hypocrites? Evidence for a theory of false signaling. Psychological science, 28(3), 356-368."/><s v="Belding, J. N., Naufel, K. Z., &amp; Fujita, K. (2015). Using high-level construal and perceptions of changeability to promote self-change over self-protection motives in response to negative feedback. Personality and Social Psychology Bulletin, 41(6), 822-83"/><s v="Kacperczyk, O., &amp; Younkin, P. (2022). A founding penalty: evidence from an audit study on gender, entrepreneurship, and future employment. Organization Science, 33(2), 716-745."/><s v="Keysar, B., Lin, S., &amp; Barr, D. J. (2003). Limits on theory of mind use in adults. Cognition, 89(1), 25-41."/><s v="Kim, H., &amp; Markus, H. R. (1999). Deviance or uniqueness, harmony or conformity? A cultural analysis. Journal of personality and social psychology, 77(4), 785."/><s v="Kiyonaga, A., &amp; Egner, T. (2014). The working memory Stroop effect: When internal representations clash with external stimuli. Psychological science, 25(8), 1619-1629."/><s v="Ko, S. J., Sadler, M. S., &amp; Galinsky, A. D. (2015). The sound of power: Conveying and detecting hierarchical rank through voice. Psychological Science, 26(1), 3-14."/><s v="Konkle, T., &amp; Oliva, A. (2011). Canonical visual size for real-world objects. Journal of Experimental Psychology: human perception and performance, 37(1), 23."/><s v="Korman, J., &amp; Khemlani, S. (2020). Teleological generics. Cognition, 200, 104157."/><s v="Kouchaki, M., Dobson, K. S., Waytz, A., &amp; Kteily, N. S. (2018). The link between self-dehumanization and immoral behavior. Psychological science, 29(8), 1234-1246."/><s v="Kovács, Á. M., Téglás, E., &amp; Endress, A. D. (2010). The social sense: Susceptibility to others’ beliefs in human infants and adults. Science, 330(6012), 1830-1834."/><s v="Krauss, S., &amp; Wang, X. T. (2003). The psychology of the Monty Hall problem: discovering psychological mechanisms for solving a tenacious brain teaser. Journal of Experimental Psychology: General, 132(1), 3."/><s v="Birch, S. A., &amp; Bloom, P. (2007). The curse of knowledge in reasoning about false beliefs. Psychological Science, 18(5), 382-386."/><s v="Kupor, D. M., Laurin, K., &amp; Levav, J. (2015). Anticipating divine protection? Reminders of god can increase nonmoral risk taking. Psychological science, 26(4), 374-384."/><s v="Lau, G. P., Kay, A. C., &amp; Spencer, S. J. (2008). Loving those who justify inequality: the effects of system threat on attraction to women who embody benevolent sexist ideals. Psychological Science."/><s v="Levine, S., Kleiman-Weiner, M., Schulz, L., Tenenbaum, J., &amp; Cushman, F. (2020). The logic of universalization guides moral judgment. Proceedings of the National Academy of Sciences, 117(42), 26158-26169."/><s v="Lewis Jr, N. A., &amp; Oyserman, D. (2015). When does the future begin? Time metrics matter, connecting present and future selves. Psychological science, 26(6), 816-825."/><s v="Li, Q., Joo, S. J., Yeatman, J. D., &amp; Reinecke, K. (2020). Controlling for participants’ viewing distance in large-scale, psychophysical online experiments using a virtual chinrest. Scientific reports, 10(1), 1-11."/><s v="Libby, L. K., Shaeffer, E. M., &amp; Eibach, R. P. (2009). Seeing meaning in action: a bidirectional link between visual perspective and action identification level. Journal of Experimental Psychology: General, 138(4), 503."/><s v="Lin, C., Adolphs, R., &amp; Alvarez, R. M. (2018). Inferring whether officials are corruptible from looking at their faces. Psychological science, 29(11), 1807-1823."/><s v="Liverence, B. M., &amp; Scholl, B. J. (2015). Object persistence enhances spatial navigation: A case study in smartphone vision science. Psychological Science, 26(7), 955-963."/><s v="Livingston, R. W., Rosette, A. S., &amp; Washington, E. F. (2012). Can an agentic Black woman get ahead? The impact of race and interpersonal dominance on perceptions of female leaders. Psychological science, 23(4), 354-358."/><s v="Lloyd, E. P., Hugenberg, K., McConnell, A. R., Kunstman, J. W., &amp; Deska, J. C. (2017). Black and White lies: Race-based biases in deception judgments. Psychological science, 28(8), 1125-1136."/><s v="Long, B., &amp; Konkle, T. (2017). A familiar-size Stroop effect in the absence of basic-level recognition. Cognition, 168, 234-242."/><s v="Luttrell, A., Philipp-Muller, A., &amp; Petty, R. E. (2019). Challenging moral attitudes with moral messages. Psychological Science, 30(8), 1136-1150."/><s v="Maddux, W. W., Galinsky, A. D., Cuddy, A. J., &amp; Polifroni, M. (2008). When being a model minority is good... and bad: Realistic threat explains negativity toward Asian Americans. Personality and Social Psychology Bulletin, 34(1), 74-89."/><s v="Mani, A., Mullainathan, S., Shafir, E., &amp; Zhao, J. (2013). Poverty impedes cognitive function. science, 341(6149), 976-980."/><s v="Markant, D. B., &amp; Gureckis, T. M. (2014). Is it better to select or to receive? Learning via active and passive hypothesis testing. Journal of Experimental Psychology: General, 143(1), 94."/><s v="Metaxa-Kakavouli, D., Wang, K., Landay, J. A., &amp; Hancock, J. (2018, April). Gender-inclusive design: Sense of belonging and bias in web interfaces. In Proceedings of the 2018 CHI Conference on human factors in computing systems (pp. 1-6)."/><s v="Minson, J. A., Chen, F. S., &amp; Tinsley, C. H. (2020). Why won’t you listen to me? Measuring receptiveness to opposing views. Management Science, 66(7), 3069-3094."/><s v="Mirault, J., Snell, J., &amp; Grainger, J. (2018). You that read wrong again! A transposed-word effect in grammaticality judgments. Psychological Science, 29(12), 1922-1929."/><s v="Monin, B., Sawyer, P. J., &amp; Marquez, M. J. (2008). The rejection of moral rebels: resenting those who do the right thing. Journal of personality and social psychology, 95(1), 76."/><s v="Morris, A. L., &amp; Still, M. L. (2008). Now you see it, now you don't: repetition blindness for nonwords. Journal of Experimental Psychology: Learning, Memory, and Cognition, 34(1), 146."/><s v="Abeler, J., Falk, A., Goette, L., &amp; Huffman, D. (2011). Reference points and effort provision. American Economic Review, 101(2), 470–492."/><s v="Fehr, E., Herz, H., &amp; Wilkening, T. (2013). The lure of authority: Motivation and incentive effects of power. American Economic Review, 103(4), 1325–1359."/><s v="Friedman, D., &amp; Oprea, R. (2012). A continuous dilemma. American Economic Review, 102(1), 337–363."/><s v="Fudenberg, D., Rand, D. G., &amp; Dreber, A. (2012). Slow to anger and fast to forgive: Cooperation in an uncertain world. American Economic Review, 102(2), 720–749."/><s v="Huck, S., Seltzer, A. J., &amp; Wallace, B. (2011). Deferred compensation in multiperiod labor contracts: An experimental test of Lazear’s model. American Economic Review, 101(2), 819–843."/><s v="Ifcher, J., &amp; Zarghamee, H. (2011). Happiness and time preference: The effect of positive affect in a random-assignment experiment. American Economic Review, 101(7), 3109–3129."/><s v="Kessler, J. B., &amp; Roth, A. E. (2012). Organ allocation policy and the decision to donate. American Economic Review, 102(5), 2018–2047."/><s v="Kirchler, M., Huber, J., &amp; Stöckl, T. (2012). Thar she bursts: Reducing confusion reduces bubbles. American Economic Review, 102(2), 865–883."/><s v="Kogan, S., Kwasnica, A. M., &amp; Weber, R. A. (2011). Coordination in the presence of asset markets. American Economic Review, 101(2), 927–947."/><s v="Kuziemko, I., Buell, R. W., Reich, T., &amp; Norton, M. I. (2014). “Last-place aversion”: Evidence and redistributive implications. Quarterly Journal of Economics, 129(1), 105–149."/><s v="Ambrus, A., &amp; Greiner, B. (2012). Imperfect public monitoring with costly punishment: An experimental study. American Economic Review, 102(7), 3317–3332."/><s v="Bartling, B., Fehr, E., &amp; Schmidt, K. M. (2012). Screening, competition, and job design: Economic origins of good jobs. American Economic Review, 102(2), 834–864."/><s v="Charness, G., &amp; Dufwenberg, M. (2011). Participation. American Economic Review, 101(4), 1211–1237."/><s v="Chen, R., &amp; Chen, Y. (2011). The potential of social identity for equilibrium selection. American Economic Review, 101(6), 2562–2589."/><s v="De Clippel, G., Eliaz, K., &amp; Knight, B. G. (2014). On the selection of arbitrators. American Economic Review, 104(11), 3434–3458."/><s v="Duffy, J., &amp; Puzzello, D. (2014). Gift exchange versus monetary exchange: Theory and evidence. American Economic Review, 104(6), 1735–1776."/><s v="Dulleck, U., Kerschbamer, R., &amp; Sutter, M. (2011). The economics of credence goods: An experiment on the role of liability, verifiability, reputation, and competition. American Economic Review, 101(2), 526–555."/><s v="Ericson, K. M. M., &amp; Fuster, A. (2011). Expectations as endowments: Evidence on reference-dependent preferences from exchange and valuation experiments. Quarterly Journal of Economics, 126(4), 1879–1907."/><s v="Ackerman, J. M., Nocera, C. C., &amp; Bargh, J. A. (2010). Incidental haptic sensations influence social judgments and decisions. Science, 328(5986), 1712-1715."/><s v="Karpicke, J. D., &amp; Blunt, J. R. (2011). Retrieval practice produces more learning than elaborative studying with concept mapping. Science, 331(6018), 772-775."/><s v="Kidd, D. C., &amp; Castano, E. (2013). Reading literary fiction improves theory of mind. Science, 342(6156), 377-380."/><s v="Lee, S. W., &amp; Schwarz, N. (2010). Washing away postdecisional dissonance. Science, 328(5979), 709-709."/><s v="Morewedge, C. K., Huh, Y. E., &amp; Vosgerau, J. (2010). Thought for food: Imagined consumption reduces actual consumption. Science, 330(6010), 1530-1533."/><s v="Nishi, A., Shirado, H., Rand, D. G., &amp; Christakis, N. A. (2015). Inequality and visibility of wealth in experimental social networks. Nature, 526(7573), 426-429."/><s v="Pyc, M. A., &amp; Rawson, K. A. (2010). Why testing improves memory: Mediator effectiveness hypothesis. Science, 330(6002), 335-335."/><s v="Ramirez, G., &amp; Beilock, S. L. (2011). Writing about testing worries boosts exam performance in the classroom. science, 331(6014), 211-213."/><s v="Rand, D. G., Greene, J. D., &amp; Nowak, M. A. (2012). Spontaneous giving and calculated greed. Nature, 489(7416), 427-430."/><s v="Shah, A. K., Mullainathan, S., &amp; Shafir, E. (2012). Some consequences of having too little. Science, 338(6107), 682-685."/><s v="Aviezer, H., Trope, Y., &amp; Todorov, A. (2012). Body cues, not facial expressions, discriminate between intense positive and negative emotions. Science, 338(6111), 1225-1229."/><s v="Sparrow, B., Liu, J., &amp; Wegner, D. M. (2011). Google effects on memory: Cognitive consequences of having information at our fingertips. science, 333(6043), 776-778."/><s v="Balafoutas, L., &amp; Sutter, M. (2012). Affirmative action policies promote women and do not harm efficiency in the laboratory. Science, 335(6068), 579-582."/><s v="Derex, M., Beugin, M. P., Godelle, B., &amp; Raymond, M. (2013). Experimental evidence for the influence of group size on cultural complexity. Nature, 503(7476), 389-391."/><s v="Duncan, K., Sadanand, A., &amp; Davachi, L. (2012). Memory’s penumbra: episodic memory decisions induce lingering mnemonic biases. Science, 337(6093), 485-487."/><s v="Gervais, W. M., &amp; Norenzayan, A. (2012). Analytic thinking promotes religious disbelief. Science, 336(6080), 493-496."/><s v="Gneezy, U., Keenan, E. A., &amp; Gneezy, A. (2014). Avoiding overhead aversion in charity. Science, 346(6209), 632-635."/><s v="Hauser, O. P., Rand, D. G., Peysakhovich, A., &amp; Nowak, M. A. (2014). Cooperating with the future. Nature, 511(7508), 220-223."/><s v="Janssen, M. A., Holahan, R., Lee, A., &amp; Ostrom, E. (2010). Lab experiments for the study of social-ecological systems. Science, 328(5978), 613-617."/><s v="Schnall, S., Benton, J., &amp; Harvey, S. (2008). With a clean conscience: Cleanliness reduces the severity of moral judgments. Psychological science, 19(12), 1219-1222. Study 1"/><s v="Kruger, J. (1999). Lake Wobegon be gone! The &quot;below-average effect&quot; and the egocentric nature of comparative ability judgments. Journal of Personality and Social Psychology, 77(2),  221–232. doi: 10.1037/0022-3514.77.2.221"/><s v="Gailliot, M. T., Baumeister, R. F., DeWall, C. N., Maner, J. K., Plant, E. A., Tice, D. M., Brewer, L. E., &amp; Schmeichel, B. J. (2007). Self-control relies on glucose as a limited energy source: Willpower is more than a metaphor. Journal of Personality and"/><s v="Wang, X. T., &amp; Dvorak, R. D. (2010). Sweet future: Fluctuating blood glucose levels affect future discounting. Psychological Science, 21(2), 183-188."/><s v="Muraven, M., Tice, D. M., &amp; Baumeister, R. F. (1998). Self-control as a limited resource: Regulatory depletion patterns. Journal of personality and social psychology, 74(3), 774."/><s v="Schmeichel, B. J., Vohs, K. D., &amp; Baumeister, R. F. (2003). Intellectual performance and ego depletion: role of the self in logical reasoning and other information processing. Journal of personality and social psychology, 85(1), 33."/><s v="Schmeichel, B. J. (2007). Attention control, memory updating, and emotion regulation temporarily reduce the capacity for executive control. Journal of experimental psychology: General, 136(2), 241."/><s v="Inzlicht, M., &amp; Gutsell, J. N. (2007). Running on empty: Neural signals for self-control failure. Psychological science, 18(11), 933-937."/><s v="Schwarz, N., Hippler, H. J., Deutsch, B., &amp; Strack, F. (1985).Response scales: Effects of category range on reportedbehavior  and  comparative  judgments.Public  OpinionQuarterly, 49, 388–395."/><s v="Bargh, J. A., Chen, M., &amp; Burrows, L. (1996). Automaticity of social behavior: Direct effects of trait construct and stereotype activation on action. Journal of Personality and Social Psychology, 71(2), 230–244. https://doi.org/10.1037/0022-3514.71.2.230."/><s v="Schwarz, N., Hippler, H. J., Deutsch, B., &amp; Strack, F. (1985).Response scales: Effects of category range on reportedbehavior  and  comparative  judgments. Public Opinion Quarterly, 49, 388–395."/><s v="Nosek, B. A., Banaji, M. R., &amp; Greenwald, A. G. (2002). Harvesting implicit group attitudes and beliefs from a demonstration web site. Group Dynamics: Theory, Research, and Practice, 6(1), 101."/><s v="Nosek, B. A., Banaji, M. R., &amp; Greenwald, A. G. (2002). Math = male, me = female, therefore math ≠ me. Journal of Personality and Social Psychology, 83(1), 44–59. https://doi.org/10.1037/0022-3514.83.1.44"/><s v="Slepian, M. L., Masicampo, E. J., Toosi, N. R., &amp; Ambady, N. (2012). The physical burdens of secrecy. Journal of Experimental Psychology: General, 141(4), 619. Study 1"/><s v="Tversky, A., &amp; Kahneman, D. (1981). The framing of decisions and the psychology of choice. science, 211(4481), 453-458."/><s v="Slepian, M. L., Masicampo, E. J., Toosi, N. R., &amp; Ambady, N. (2012). The physical burdens of secrecy. Journal of Experimental Psychology: General, 141(4), 619. Study 2"/><s v="Oppenheimer, D. M., &amp; Monin, B. (2009). The retrospective gambler’s fallacy: Unlikely events, constructing the past, and multiple universes. Judgment and Decision Making, 4(5), 326-334."/><s v="Rasinski, K. A., Visser, P. S., Zagatsky, M., &amp; Rickett, E. M. (2005). Using implicit goal priming to improve the quality of self-report data. Journal of Experimental Social Psychology, 41(3), 321-327."/><s v="Zhong, C. B., &amp; Liljenquist, K. (2006). Washing away your sins: Threatened morality and physical cleansing. Science, 313(5792), 1451-1452. "/><s v="Jacowitz, K. E., &amp; Kahneman, D. (1995). Measures of anchoring in estimation tasks. Personality and Social Psychology Bulletin, 21(11), 1161-1166."/><s v="Zhong, C. B., &amp; Liljenquist, K. (2006). Washing away your sins: Threatened morality and physical cleansing. Science, 313(5792), 1451-1452."/><s v="Correll, J. (2008). 1/f noise and effort on implicit measures of bias. Journal of personality and social psychology, 94(1), 48. Study 2"/><s v="Correll, J. (2008). 1/f noise and effort on implicit measures of bias. Journal of personality and social psychology, 94(1), 48."/><s v="Carney, D. R., Cuddy, A. J., &amp; Yap, A. J. (2010). Power posing: Brief nonverbal displays affect neuroendocrine levels and risk tolerance. Psychological science, 21(10), 1363-1368."/><s v="Bem, D. J. (2011). Feeling the future: experimental evidence for anomalous retroactive influences on cognition and affect. Journal of personality and social psychology, 100(3), 407."/><s v="Kidd, D. C., &amp; Castano, E. (2013). Reading literary fiction improves theory of mind. Science, 342(6156), 377-380. Study "/><s v="Kidd, D. C., &amp; Castano, E. (2013). Reading literary fiction improves theory of mind. Science, 342(6156), 377-380. Study 1"/><s v="Jostmann, N. B., Lakens, D., &amp; Schubert, T. W. (2009). Weight as an embodiment of importance. Psychological science, 20(9), 1169-1174."/><s v="Szymkow, A., Chandler, J., IJzerman, H., Parzuchowski, M., &amp; Wojciszke, B. (2013). Warmer hearts, warmer rooms. Social Psychology."/><s v="Kidd, D. C., &amp; Castano, E. (2013). Reading literary fiction improves theory of mind. Science, 342(6156), 377-380. Study 3"/><s v="Cacioppo, J. T., Petty, R. E., &amp; Morris, K. J. (1983). Effects of need for cognition on message evaluation, recall, and persuasion. Journal of personality and social psychology, 45(4), 805."/><s v="Kidd, D. C., &amp; Castano, E. (2013). Reading literary fiction improves theory of mind. Science, 342(6156), 377-380. Study 5"/><s v="DeVoe, S. E., &amp; House, J. (2012). Time, money, and happiness: How does putting a price on time affect our ability to smell the roses?. Journal of Experimental Social Psychology, 48(2), 466-474."/><s v="DeVoe, S. E., &amp; House, J. (2012). Time, money, and happiness: How does putting a price on time affect our ability to smell the roses?. Journal of Experimental Social Psychology, 48(2), 466-474. "/><s v="Ross, M., &amp; Wilson, A. E. (2002). It feels like yesterday: self-esteem, valence of personal past experiences, and judgments of subjective distance. Journal of personality and social psychology, 82(5), 792."/><s v="DeVoe, S. E., &amp; House, J. (2012). Time, money, and happiness: How does putting a price on time affect our ability to smell the roses?. Journal of Experimental Social Psychology, 48(2), 466-474. Study 3"/><s v="Bargh, J. A., &amp; Shalev, I. (2012). The substitutability of physical and social warmth in daily life. Emotion, 12(1), 154."/><s v="Bargh, J. A., &amp; Shalev, I. (2012). The substitutability of physical and social warmth in daily life. Emotion, 12(1), 154. "/><s v="Stroop, J. R. (1935). Studies of interference in serial verbal reactions. Journal of experimental psychology, 18(6), 643."/><s v="Boroditsky, L. (2000). Metaphoric structuring: Understanding time through spatial metaphors. Cognition, 75(1), 1-28."/><s v="Tversky, A., &amp; Kahneman, D. (1973). Availability: A heuristic for judging frequency and probability. Cognitive psychology, 5(2), 207-232."/><s v="Galinsky, A. D., Magee, J. C., Inesi, M. E., &amp; Gruenfeld, D. H. (2006). Power and perspectives not taken. Psychological science, 17(12), 1068-1074."/><s v="Vess, M. (2012). Warm thoughts: Attachment anxiety and sensitivity to temperature cues. Psychological science, 23(5), 472-474."/><s v="Caruso, E. M., Vohs, K. D., Baxter, B., &amp; Waytz, A. (2013). Mere exposure to money increases endorsement of free-market systems and social inequality. Journal of Experimental Psychology: General, 142(2), 301."/><s v="Husnu, S., &amp; Crisp, R. J. (2010). Elaboration enhances the imagined contact effect. Journal of Experimental Social Psychology, 46(6), 943-950."/><s v="Oppenheimer, D. M., Meyvis, T., &amp; Davidenko, N. (2009). Instructional manipulation checks: Detecting satisficing to increase statistical power. Journal of experimental social psychology, 45(4), 867-872."/><s v="Etkin, J. &amp; Memmi, S. (2021). Goal Conflict Encourages Work and Discourages Leisure. Journal of Consumer Research, 47(5), 716–736. https://doi.org/10.1093/jcr/ucaa019 Study 1a"/><s v="Wu, E.C., Moore, S.G., &amp; Fitzsimons, G.J. (2019). Wine for the Table: Self-Construal, Group Size, and Choice for Self and Others. Journal of Consumer Research. Study 3"/><s v="Savary, J., Dhar, R.K., JoharEditor, G.V., &amp; InmanEditor, J.J. (2020). The Uncertain Self: How Self-Concept Structure Affects Subscription Choice. Journal of Consumer Research. Study 4"/><s v="Wiggin, K., Reimann, M., &amp; Jain, S.P. (2018). Curiosity Tempts Indulgence. Journal of Consumer Research."/><s v="VanBergen, N., Irmak, C., &amp; Sevilla, J. (2020). Product Entitativity: How the Presence of Product Replicates Increases Perceived and Actual Product Efficacy. Journal of Consumer Research, 47, 192-214. Study 1"/><s v="Elliot, A. J., Niesta Kayser, D., Greitemeyer, T., Lichtenfeld, S., Gramzow, R. H., Maier, M. A., &amp; Lu, H. (2010). Red, rank, and romance in women viewing men. Journal of Experimental Psychology: General, 139(3), 399–417. DOI: https://doi.org/10.1037/ a00"/><s v="Cheung, B. Y., &amp; Heine, S. J. (2015). The double-edged sword of genetic accounts of criminality: Causal attributions from genetic ascriptions affect legal decision making. Personality and Social Psychology Bulletin, 41(12), 1723-1738."/><s v="Epley, N., &amp; Gilovich, T. (2006). The anchoring-and-adjustment heuristic: Why the adjustments are insufficient. Psychological science, 17(4), 311-318."/><s v="Reitsma-van Rooijen, M., &amp; Daamen, D. D. (2006). Subliminal anchoring: The effects of subliminally presented numbers on probability estimates. Journal of Experimental Social Psychology, 42(3), 380-387."/><s v="Williams, K. E. G., Sng, O., &amp; Neuberg, S. L. (2016). Ecology-driven stereotypes override race stereotypes. Proceedings of the National Academy of Sciences, 113(2), 310–315. https://doi.org/10/f76jnb"/><s v="Klein, N., &amp; O’Brien, E. (2018). People use less information than they think to make up their minds. Proceedings of the National Academy of Sciences, 115(52), 13222–13227. https://doi.org/10/gfs87p"/><s v="Jordan, J. J., Hoffman, M., Nowak, M. A., &amp; Rand, D. G. (2016). Uncalculating cooperation is used to signal trustworthiness. Proceedings of the National Academy of Sciences, 113(31), 8658–8663. https://doi.org/10/f8w9bk"/><s v="John, L. K., Barasz, K., &amp; Norton, M. I. (2016). Hiding personal information reveals the worst. Proceedings of the National Academy of Sciences, 113(4), 954–959. https://doi.org/10/f77w6d"/><s v="Hofstetter, R., Rüppell, R., &amp; John, L. K. (2017). Temporary sharing prompts unrestrained disclosures that leave lasting negative impressions. Proceedings of the National Academy of Sciences, 114(45), 11902–11907. https://doi.org/10/gckbgp"/><s v="Hoffman, K. M., Trawalter, S., Axt, J. R., &amp; Oliver, M. N. (2016). Racial bias in pain assessment and treatment recommendations, and false beliefs about biological differences between blacks and whites. Proceedings of the National Academy of Sciences, 113"/><s v="Halevy, N., &amp; Halali, E. (2015). Selfish third parties act as peacemakers by transforming conflicts and promoting cooperation. Proceedings of the National Academy of Sciences, 112(22), 6937–6942. https://doi.org/10/f7fzmv"/><s v="Guilbeault, D., Becker, J., &amp; Centola, D. (2018). Social learning and partisan bias in the interpretation of climate trends. Proceedings of the National Academy of Sciences, 115(39), 9714–9719. https://doi.org/10/gd4t95"/><s v="Gheorghiu, A. I., Callan, M. J., &amp; Skylark, W. J. (2017). Facial appearance affects science communication. Proceedings of the National Academy of Sciences, 114(23), 5970–5975. https://doi.org/10/b9dr"/><s v="Genschow, O., Rigoni, D., &amp; Brass, M. (2017). Belief in free will affects causal attributions when judging others’ behavior. Proceedings of the National Academy of Sciences, 114(38), 10071–10076. https://doi.org/10/gbxsnh"/><s v="Côté, S., House, J., &amp; Willer, R. (2015). High economic inequality leads higher-income individuals to be less generous. Proceedings of the National Academy of Sciences, 112(52), 15838–15843. https://doi.org/10/gfzkq8"/><s v="Vacharkulksemsuk, T., Reit, E., Khambatta, P., Eastwick, P. W., Finkel, E. J., &amp; Carney, D. R. (2016). Dominant, open nonverbal displays are attractive at zero-acquaintance. Proceedings of the National Academy of Sciences, 113(15), 4009–4014. https://doi."/><s v="Cooney, G., Gilbert, D. T., &amp; Wilson, T. D. (2016). When fairness matters less than we expect. Proceedings of the National Academy of Sciences, 113(40), 11168–11171. https://doi.org/10/f8646f"/><s v="Cheon, B. K., &amp; Hong, Y.-Y. (2017). Mere experience of low subjective socioeconomic status stimulates appetite and food intake. Proceedings of the National Academy of Sciences, 114(1), 72–77. https://doi.org/10/f9h49k"/><s v="Chao, M. (2017). Demotivating incentives and motivation crowding out in charitable giving. Proceedings of the National Academy of Sciences, 114(28), 7301–7306. https://doi.org/10/gbnk55"/><s v="Boswell, R. G., Sun, W., Suzuki, S., &amp; Kober, H. (2018). Training in cognitive strategies reduces eating and improves food choice. Proceedings of the National Academy of Sciences, 115(48), E11238–E11247. https://doi.org/10/gfqzv6"/><s v="Baldwin, M., &amp; Lammers, J. (2016). Past-focused environmental comparisons promote proenvironmental outcomes for conservatives. Proceedings of the National Academy of Sciences, 113(52), 14953–14957. https://doi.org/10/f9hmdp"/><s v="Atir, S., &amp; Ferguson, M. J. (2018). How gender determines the way we speak about professionals. Proceedings of the National Academy of Sciences, 115(28), 7278–7283. https://doi.org/10/crgh"/><s v="Ames, D. L., &amp; Fiske, S. T. (2015). Perceived intent motivates people to magnify observed harms. Proceedings of the National Academy of Sciences, 112(12), 3599–3605. https://doi.org/10/gsv6xm"/><s v="Stern, C., West, T. V., &amp; Rule, N. O. (2015). Conservatives negatively evaluate counterstereotypical people to maintain a sense of certainty. Proceedings of the National Academy of Sciences, 112(50), 15337–15342. https://doi.org/10/f74fb4"/><s v="Reeck, C., Wall, D., &amp; Johnson, E. J. (2017). Search predicts and changes patience in intertemporal choice. Proceedings of the National Academy of Sciences, 114(45), 11890–11895. https://doi.org/10/ggb75r"/><s v="Rai, T. S., Valdesolo, P., &amp; Graham, J. (2017). Dehumanization increases instrumental violence, but not moral violence. Proceedings of the National Academy of Sciences, 114(32), 8511–8516. https://doi.org/10/gg6grh"/><s v="Morris, A., MacGlashan, J., Littman, M. L., &amp; Cushman, F. (2017). Evolution of flexibility and rigidity in retaliatory punishment. Proceedings of the National Academy of Sciences, 114(39), 10396–10401. https://doi.org/10/gb4vmc"/><s v="McCall, L., Burk, D., Laperrière, M., &amp; Richeson, J. A. (2017). Exposure to rising inequality shapes Americans’ opportunity beliefs and policy support. Proceedings of the National Academy of Sciences, 114(36), 9593–9598. https://doi.org/10/gbwx4j"/><s v="Kraus, M. W., Rucker, J. M., &amp; Richeson, J. A. (2017). Americans misperceive racial economic equality. Proceedings of the National Academy of Sciences, 114(39), 10324–10331. https://doi.org/10/gb4sh4"/><s v="Kouchaki, M., &amp; Gino, F. (2016). Memories of unethical actions become obfuscated over time. Proceedings of the National Academy of Sciences, 113(22), 6166–6171. https://doi.org/10/f8qfrh"/><s v="Young, S. G., Thorstenson, C. A., &amp; Pazda, A. D. (2018). Facial redness, expression, and masculinity influence perceptions of anger and health. Cognition and Emotion, 32(1), 49–60. https://doi.org/10.1080/02699931.2016.1273201"/><s v="Huang, J. L. (2014). Does cleanliness influence moral judgments? Response effort moderates the effect of cleanliness priming on moral judgments. Frontiers in Psychology, 5, 1276."/><s v="Fiorito, R. &amp; Kollintzas, T. (2004). Public goods, merit goods, and the relation between private and government consumption. European Economic Review 48(6), 1367-1398. DOI:&#xA;10.1016/j.euroecorev.2004.01.004"/><s v="Svensson, L. E. O. (2015). The Possible Unemployment Cost of Average Inflation below a&#xA;Credible Target. American Economic Journal: Macroeconomics, 7 (1): 258-96. DOI: 10.1257/ma&#xA;c.20130176"/><s v="Chowdhury, S. M., Jeon, J. Y., Saha, B. (2017). Gender differences in the giving and&#xA;taking variants of the dictator game. Southern Economic Journal, 84(2), 474–83. DOI:&#xA;10.1002/soej.12223"/><s v="Fernández, R., &amp; Fogli, A. (2009). Culture: An Empirical Investigation of Beliefs, Work, and&#xA;Fertility. American Economic Journal: Macroeconomics, 1(1), 146–177. DOI: 10.1257/mac.1.1.&#xA;146"/><s v="Poole, J. P. (2013). Knowledge Transfers from Multinational to Domestic Firms: Evidence from Worker Mobility. The Review of Economics and Statistics, 95(2), 393–406. DOI:&#xA;10.1162/REST_a_00258"/><s v="Autor, D. H., Katz, L. F., &amp; Kearney, M. S. (2008). Trends in U.S. Wage Inequality: Revising&#xA;the Revisionists. Review of Economics and Statistics, 90 (2): 300–323. DOI: 10.1162/rest.90.&#xA;2.300"/><s v="Autor, D. H., Katz, L. F., &amp; Kearney, M. S. (2008). Trends in U.S. Wage Inequality: Revising the Revisionists. Review of Economics and Statistics, 90 (2): 300–323. DOI: 10.1162/rest.90.2.300"/><s v="Inbar, Y., Pizarro, D. A., Knobe, J., &amp; Bloom, P. (2009). Disgust sensitivity predicts intuitive disapproval of gays. Emotion, 9(3), 435–439. https://doi.org/10.1037/a0015960"/><s v="Schwarz, N., Strack, F., &amp; Mai, H. P. (1991). Assimilation and contrast effects in part-whole question sequences: A conversational logic analysis. Public Opinion Quarterly, 55, 3–23. doi:10.1086/269239 Study 1"/><s v="Miyamoto, Y., &amp; Kitayama, S. (2002). Cultural variation in correspondence bias: The critical role of attitude diagnosticity of socially constrained behavior. Journal of Personality and Social Psychology, 83, 1239–1248. doi:10.1037/0022-3514.83.5.1239 Stud"/><s v="Knobe, J. (2003). Intentional action and side effects in ordinary language. Analysis, 63(3), 190-194. Study 1"/><s v="Knobe, J. (2006). The concept of intentional action: A case study in the uses of folk psychology. Philosophical Studies, 130, 203–231. doi:10.1007/s11098-004-4510-0 Study 1"/><s v="Hauser, M. D., Cushman, F. A., Young, L., Jin, R., &amp; Mikhail, J. M. (2007). A dissociation between moral judgments and justifications. Mind &amp; Language, 22, 1–21. doi:10.1111/ j.1468-0017.2006.00297.x Scenarios 1 and 2"/><s v="Ross, L., Greene, D., &amp; House, P. (1977). The “false consensus effect”: An egocentric bias in social perception and attribution processes. Journal of Experimental Social Psychology, 13, 279–301. doi:10.1016/0022-1031(77)90049-X Study 1 - supermarket scena"/><s v="Ross, L., Greene, D., &amp; House, P. (1977). The “false consensus effect”: An egocentric bias in social perception and attribution processes. Journal of Experimental Social Psychology, 13, 279–301. doi:10.1016/0022-1031(77)90049-X Study 1 - traffic tickets"/><s v="Ross, L., Greene, D., &amp; House, P. (1977). The “false consensus effect”: An egocentric bias in social perception and attribution processes. Journal of Experimental Social Psychology, 13, 279–301. doi:10.1016/0022-1031(77)90049-X Study 1"/><s v="Gray, K., &amp; Wegner, D. M. (2009). Moral typecasting: Divergent perceptions of moral agents and moral patients. Journal of Personality and Social Psychology, 96, 505–520. doi:10.1037/a0013748 Study 1a"/><s v="Huang, Y., Tse, C. S., &amp; Cho, K. W. (2014). Living in the north is not necessarily favorable: Different metaphoric associations between cardinal direction and valence in Hong Kong and in the United States. European Journal of Social Psychology, 44, 360–36"/><s v="Tversky, A., &amp; Kahneman, D. (1981). The framing of decisions and the psychology of choice. Science, 211, 453–458. doi:10.1126/science.7455683 Study 10"/><s v="Graham, J., Haidt, J., &amp; Nosek, B. A. (2009). Liberals and conservatives rely on different sets of moral foundations Journal of Personality and Social Psychology, 96, 1029– 1046. doi:10.1037/a0015141 Study 1"/><s v="Graham, J., Haidt, J., &amp; Nosek, B. A. (2009). Liberals andconservatives rely on different sets of moral foundations Journal of Personality and Social Psychology, 96, 1029– 1046. doi:10.1037/a0015141 Study 1"/><s v="Hauser, M. D., Cushman, F. A., Young, L., Jin, R., &amp; Mikhail, J. M. (2007). A dissociation between moral judgments and justifications. Mind &amp; Language, 22, 1–21. doi:10.1111/j.1468-0017.2006.00297.x Study 1, Scenarios 3 and 4"/><s v="Risen, J. L., &amp; Gilovich, T. (2008). Why people are reluctant to  tempt fate. Journal of Personality and Social Psychology, 95, 293–307. doi:10.1037/0022-3514.95.2.293 Study 2"/><s v="Bauer, M. A., Wilkie, J. E., Kim, J. K., &amp; Bodenhausen, G. V. (2012). Cuing consumerism: Situational materialism undermines personal and social well-being. Psychological Science, 23, 517–523. doi:10.1177/0956797611429579 Study 4"/><s v="Critcher, C. R., &amp; Gilovich, T. (2008). Incidental environmental anchors. Journal of Behavioral Decision Making, 21, 241–251. doi:10.1002/bdm.586 Study 2"/><s v="Giessner, S. R., &amp; Schubert, T. W. (2007). High in the hierarchy: How vertical location and judgments of leaders’ power are interrelated. Organizational Behavior and Human Decision Processes, 104, 30–44. doi:10.1016/j .obhdp.2006.10.001 Study 1a"/><s v="Tversky, A., &amp; Gati, I. (1978). Studies of similarity. Cognition and Categorization, 1, 79–98. Study 2"/><s v="Zhong, C.-B., &amp; Liljenquist, K. (2006). Washing away your sins: Threatened morality and physical cleansing. Science, 313, 1451–1452. doi:10.1126/science.1130726 Study 2"/><s v="Kay, A. C., Laurin, K., Fitzsimons, G. M., &amp; Landau, M. J. (2014). A functional basis for structure-seeking: Exposure to structure promotes willingness to engage in motivated action. Journal of Experimental Psychology: General, 143, 486–491. doi:10.1037/a"/><s v="Van Lange, P. A. M., Otten, W., De Bruin, E. M. N., &amp; Joireman, J. A. (1997). Development of prosocial, individualistic, and competitive orientations: Theory and preliminary evidence. Journal of Personality and Social Psychology, 73, 733–746. doi:10.1037/"/><s v="Zaval, L., Keenan, E. A., Johnson, E. J., &amp; Weber, E. U. (2014). How warm days increase belief in global warming. Nature Climate Change, 4, 143–147. doi:10.1038/nclimate2093 Study 3a"/><s v="Alter, A. L., Oppenheimer, D. M., Epley, N., &amp; Eyre, R. N. (2007). Overcoming intuition: Metacognitive difficulty activates analytic reasoning. Journal of Experimental Psychology: General, 136, 569–576. doi:10.1037/0096- 3445.136.4.569 Study 4"/><s v="Anderson, C., Kraus, M. W., Galinsky, A. D., &amp; Keltner, D. (2012). The local-ladder effect: Social status and subjective well-being. Psychological Science, 23, 764–771. doi:10.1177/0956797611434537 Study 3"/><s v="Rottenstreich, Y., &amp; Hsee, C. K. (2001). Money, kisses, and electric shocks: On the affective psychology of risk. Psychological Science, 12, 185–190. doi:10.1111/1467- 9280.00334 Study 1"/><s v="Shafir, E. (1993). Choosing versus rejecting: Why some options are both better and worse than others. Memory &amp; Cognition, 21, 546–556. doi:10.3758/BF03197186 Study 1"/><s v="Savani, K., Markus, H. R., Naidu, N. V. R., Kumar, S., &amp; Berlia, N. (2010). What counts as a choice? U.S. Americans are more likely than Indians to construe actions as choices. Psychological Science, 21, 391–398. doi:10 .1177/0956797609359908 Study 5"/><s v="Norenzayan, A., Smith, E. E., Kim, B. J., &amp; Nisbett, R. E. (2002). Cultural preferences for formal versus intuitive reasoning. Cognitive Science, 26, 653–684. doi:10.1207/ s15516709cog2605_4 Study 2"/><s v="Norenzayan, A., Smith, E. E., Kim, B. J., &amp; Nisbett, R. E. (2002). Cultural preferences for formal versus intuitive reasoning. Cognitive Science, 26, 653–684. doi:10.1207/ s15516709cog2605_4 Study 3"/><s v="Hsee, C. K. (1998). Less is better: When low-value options are valued more highly than high-value options. Journal of Behavioral Decision Making, 11, 107–121. doi:10.1002/(SICI)1099-0771(199806)11:2&lt;107::AIDBDM292&gt;3.0.CO;2-Y Study 1"/><s v="Klink, R. R. (2000). Creating brand names with meaning: the use of sound symbolism. Market. Lett. 11, 5–20. doi: 10.1023/A:1008184423824 Study 1"/><s v="Madzharov, a V., and Block, L. G. (2010). Effects of product unit image on consumption of snack foods. J. Consum. Psychol. 20, 398–409. doi: 10.1016/j.jcps.2010.06.007 Study 1a"/><s v="Lee, S., Baumgartner, H., &amp; Winterich, K. P. (2018). Did they earn it? Observing unearned luxury consumption decreases brand attitude when observers value fairness. Journal of Consumer Psychology, 28(3), 412-436. Study 4"/><s v="S. M. Tully, H. E. Hershfield, T. Meyvis, Seeking lasting enjoyment with limited money: Financial constraints increase preference for material goods over experiences. J. Consum. Res. 42, 59–75 Study 5"/><s v="Monga, A., May, F., &amp; Bagchi, R. (2017). Eliciting time versus money: time scarcity underlies asymmetric wage rates. Journal of consumer research, 44(4), 833-852. Study 4"/><s v="Roux, C., Goldsmith, K., &amp; Bonezzi, A. (2015). On the psychology of scarcity: When reminders of resource scarcity promote selfish (and generous) behavior. Journal of consumer research, 42(4), 615-631. Study 4"/><s v="Mehta, R., &amp; Zhu, M. (2016). Creating when you have less: The impact of resource scarcity on product use creativity. Journal of Consumer Research, 42(5), 767-782. Study 2"/><s v="Kristofferson, K., McFerran, B., Morales, A. C., &amp; Dahl, D. W. (2017). The dark side of scarcity promotions: how exposure to limited-quantity promotions can induce aggression. Journal of Consumer Research, 43(5), 683-706. Study 5"/><s v="Shrum, L. J., Lowrey, T. M., Luna, D., Lerman, D. B., and Liu, M. (2012). Sound symbolism effects across languages: implications for global brand names. Int. J. Res. Market. 29, 275–279. doi: 10.1016/j.ijresmar.2012.03.002 Study 1a-c"/><s v="Shrum, L. J., Lowrey, T. M., Luna, D., Lerman, D. B., and Liu, M. (2012). Sound symbolism effects across languages: implications for global brand names. Int. J. Res. Market. 29, 275–279. doi: 10.1016/j.ijresmar.2012.03.002"/><s v="Hagtvedt, H., and Brasel, S. A. (2017). Color Saturation Increases Perceived Product Size. J. Consum. Res. 44, 396–413. doi: 10.1093/jcr/ucx039 Study 3"/><s v="Romero, M., and Biswas, D. (2016). Healthy-left, unhealthy-right: can displaying healthy. items to the left (vs. right) of unhealthy items nudge healthier choices? J. Consum. Res. 43, 103–112. doi: 10.1093/jcr/ucw008 Study 1b"/><s v="Yorkston, E., and Menon, G. (2004). A sound idea: phonetic effects of brand names on consumer judgments. J. Consum. Res. 31, 43–51. doi: 10.1086/383422 Study 1"/><s v="Elder, R. S., and Krishna, A. (2011). The “visual depiction effect” in advertising: facilitating. embodied mental simulation through product orientation. J. Consum. Res. 38, 988–1003. doi: 10.1086/661531 Study 4"/><s v="Elder, R. S., and Krishna, A. (2011). The “visual depiction effect” in advertising: facilitating embodied mental simulation through product orientation. J. Consum. Res. 38, 988–1003. doi: 10.1086/661531 Study 4"/><s v="Jiang, Y., Gorn, G. J., Galli, M., and Chattopadhyay, A. (2015). Does your company have the right logo? How and why circular- and angularlogo shapes influence brand attribute judgments. J. Consum. Res. 42, 709–726. doi: 10.1093/jcr/ucv049 Experiment 1"/><s v="Chae, B., and Hoegg, J. (2013). The future looks “right”: effects of the horizontal location. of advertising images on product attitude. J. Consum. Res. 40, 223–238. doi: 10.1086/669476 Study 2"/><s v="Cian, L., Krishna, A., and Elder, R. S. (2014). This logo moves me: dynamic imagery from static images. J. Market. Res. 51, 184–197. doi: 10.1509/jmr. 13.0023 Study 1"/><s v="Roelofs, A. (2008). Tracing attention and the activation flow in spoken word planning using eye movements. Journal of Experimental Psychology: Learning, Memory, and Cognition, 34(2), 353-368."/><s v="Ganor-Stern, D., &amp; Tzelgov, J. (2008). Across-notation automatic numerical processing. Journal of Experimental Psychology: Learning, Memory, and Cognition, 34(2), 430-437."/><s v="Alter, A.A., &amp; Oppenheimer, D.M. (2008). Effects of fluency on psychological distance and mental construal (or why New York is a large city, but New York is a civilized jungle). Psychological Science, 19, 161-167."/><s v="Dessalegn, B. &amp; Landau, B. (2008). More than meets the eye: The role of language in binding visual properties. Psychological Science, 19(2), 189-195."/><s v="Eitam, B., Hassin, R. R., &amp; Schul, Y. (2008). Nonconscious goal pursuit in novel environments: The case of implicit learning. Psychological Science, 19, 261-267."/><s v="Bannard, C., &amp; Matthews, D. (2008). Stored word sequences in language learning: The effect of familiarity on children's repetition of four-word combinations. Psychological science, 19(3), 241-248."/><s v="Mirman, D., &amp; Magnuson, J. S. (2008). Attractor dynamics and semantic neighborhood density: Processing is slowed by near neighbors and speeded by distant neighbors. Journal of Experimental Psychology: Learning, Memory, and Cognition, 34, 65-79."/><s v="Farris, C., Treat, T.A., Viken, R.J., &amp; McFall, R.M. (2008). Perceptual mechanisms that characterize gender differences in decoding women's sexual intent. Psychological Science, 19(4), 348-354."/><s v="Janiszewski, C., D. Uy. 2008. Anchor precision influences the amount of adjustment. Psychological Science, 19,121–127."/><s v="C McKinstry, R Dale, MJ Spivey (2008). Action dynamics reveal parallel competition in decision making. Psychological Science, 19.1: 22-24."/><s v="Armor, D.A., Massey, C., &amp; Sackett, A.M. 2008. Prescribed optimism: Is it right to be wrong about the future? Psychological Science, 19, 329-331."/><s v="Addis, D.R., Wong, A.T., &amp; Schacter, D.L. (2008). Age-related changes in the episodic simulation of future events. Psychological Science, 19(1), 33-41."/><s v="Nurmsoo, E., &amp; Bloom, P. (2008). Preschoolers' Perspective Taking in Word Learning Do They Blindly Follow Eye Gaze?. Psychological Science, 19(3), 211-215."/><s v="Vul, E., &amp; Pashler, H. (2008). Measuring the crowd within: Probabilistic representations within individuals. Psychological Science, 19, 645-647."/><s v="Vul, E., Nieuwenstein, M., &amp; Kanwisher, N. (2008). Temporal selection is suppressed, delayed, and diffused during the attentional blink. Psychological Science, 19(1), 55-61."/><s v="Masicampo, E.J., &amp; Baumeister, R.F. (2008). Toward a physiology of dual-process reasoning and judgment: Lemonade, willpower, and expensive rule-based analysis. Psychological Science, 19(3), 255-260."/><s v="Marsh, J.E., Vachon, F., &amp; Jones, D.M. (2008). When does between-sequence phonological similarity promote irrelevant sound disruption? Journal of Experimental Psychology: Learning, Memory, and Cognition, 34(1), 243-248."/><s v="Hajcak, G., &amp; Foti, D. (2008). Errors are aversive: Defensive motivation and the error-related negativity. Psychological science, 19(2), 103-108."/><s v="Tabibnia, G., Satpute, A.B., Lieberman, M.D. (2008). The sunny side of fairness: Preference for fairness activates reward circuitry (and disregarding unfairness activates self-control circuitry). Psychological Science, 19(4), 339-347."/><s v="Alvarez, G.A. &amp; Oliva, A. (2008). The representation of simple ensemble visual features outside the focus of attention. Psychological Science, 19(4), 392-398."/><s v="Woodman, G. F., Kang, M. S., Thompson, K., &amp; Schall, J. D. (2008). The effect of visual search efficiency on response preparation: neurophysiological evidence for discrete flow. Psychological science, 19(2), 128-136."/><s v="Lau, G.P., Kay, A.C., &amp; Spencer, S.J. (2008). Loving those who justify inequality: The effects of system threat on attraction to women who embody benevolent sexist ideals. Psychological Science, 19, 20-21."/><s v="Deary, I. J., Batty, G. D., &amp; Gale, C. R. (2008). Bright children become enlightened adults. Psychological science, 19(1), 1-6."/><s v="Winawer, Huk, and Boroditsky (2008). A Motion aftereffect from still photographs depicting motion. Psychological Science, 19, 276-283."/><s v="Richeson, J. A., &amp; Trawalter, S. (2008). The threat of appearing prejudiced and race-based attentional biases. Psychological Science, 19(2), 98-102."/><s v="Campbell, J.I., &amp; Robert, N.D. (2008). Bidirectional associations in multiplication memory: Conditions of negative and positive transfer. Journal of Experimental Psychology: Learning, Memory, and Cognition, 34(3), 546-555."/><s v="Crosby, J.R., Monin, B., &amp; Richardson, D. (2008). Where do we look during potentially offensive behavior? Psychological Science, 19(3), 226-228."/><s v="Nairne, J.S., Pandeirada, J.N.S., &amp; Thompson, S.R. (2008). Adaptive memory: The comparative value of survival processing. Psychological Science, 19(2), 176–180."/><s v="Larsen, J.T., &amp; McKibban, A.R. (2008). Is happiness having what you want, wanting what you have, or both? Psychological Science, 19, 371-377."/><s v="Ranganath, K. A., &amp; Nosek, B. A. (2008). Implicit attitude generalization occurs immediately; explicit attitude generalization takes time. Psychological Science, 19(3), 249-254."/><s v="KD Vohs, JW Schooler (2008). The value of believing in free will: encouraging a belief in determinism increases cheating. Psychological Science, 19.1: 49-54."/><s v="Demany, L., Trost, W., Serman, M., &amp; Semal, C. (2008). Auditory change detection: simple sounds are not memorized better than complex sounds. Psychological Science, 19(1), 85-91."/><s v="Williams, L. E. &amp; Bargh, J. A. (2008). Keeping one’s distance: The influence of spatial distance cues on affect and evaluation. Psychological Science, 19, 302 – 308."/><s v="Tamir, M., Mitchell, C., &amp; Gross, J.J. (2008). Hedonic and instrumental motives in anger regulation. Psychological Science, 19(4). 324-328."/><s v="Epley, N., Akalis, S., Waytz, A., &amp; Cacioppo, J.T. (2008). Creating social connection through inferential reproduction: Loneliness and perceived agency in gadgets, Gods and greyhounds. Psychological Science, 19(2), 114–120."/><s v="Halevy, N., Bornstein, G., &amp; Sagiv, L. (2008). “In-group love” and “out-group hate” as motives for individual participation in intergroup conflict: A new game paradigm. Psychological science, 19(4), 405-411."/><s v="Janssen, N., Alario, F.X., &amp; Caramazza, A. (2008). A word-order constraint on phonological activation. Psychological Science, 19(3), 216-220."/><s v="Bressan, P. &amp; Stranieri, D. (2008). The best men are (not always) already taken: Female preference for single versus attached males depends on conception risk. Psychological Science, 19, 145-151."/><s v="Schmidt, J. R., &amp; Besner, D. (2008). The Stroop effect: why proportion congruent has nothing to do with congruency and everything to do with contingency. Journal of Experimental Psychology: Learning, Memory, and Cognition, 34(3), 514."/><s v="Forti, S., &amp; Humphreys, G.W. (2008). Sensitivity to object viewpoint and action instructions during search for targets in the lower visual field. Psychological Science, 19(1), 42-48."/><s v="Schnall S., Benton J., &amp; Harvey S. (2008). With a clean conscience: Cleanliness reduces the severity of moral judgments. &lt;i&gt;Psychological Science&lt;/i&gt;, 19, 1219-1222."/><s v="SE Palmer, T Ghose (2008). Extremal edges: a powerful cue to depth perception and figure-ground organization. Psychological Science, 19.1: 77-84."/><s v="Heine, S.J., Buchtel, E.E., &amp; Norenzayan, A. (2008). What do cross‐national comparisons of personality traits tell us? The case of conscientiousness. Psychological Science, 19(4), 309-313."/><s v="Moeller, S.K., Robinson, M.D., Zabelina, D.L. (2008). Personality dominance and preferential use of the vertical dimension of space. Psychological Science, 19, 355-361."/><s v="Goschke, T., &amp; Dreisbach, G. (2008). Conflict-triggered goal shielding: response conflicts attenuate background monitoring for prospective memory cues. Psychological science, 19(1), 25–32."/><s v="LoBue,V., &amp; DeLoache, J.S. (2008). Detecting the snake in the grass: Attention to fear-relevant stimuli by adults and children. Psychological Science, 19, 284-289."/><s v="Dai, X., Wertenbroch, K., &amp; Brendl, C. M. (2008). The value heuristic in judgments of relative frequency. Psychological Science, 19, 18–19."/><s v="Estes, Z., Verges, M., &amp; Barsalou, L.W. (2008). Head up, foot down. Object words orient attention to the objects’ typical location. Psychological Science, 19(2), 93–97."/><s v="Fiedler, K. (2008). The ultimate sampling dilemma in experience-based decision making. Journal of Experimental Psychology: Learning, Memory, and Cognition, 34(1), 186."/><s v="Oberauer, Klaus. &quot;How to say no: Single-and dual-process theories of short-term recognition tested on negative probes.&quot; Journal of Experimental Psychology: Learning, Memory, and Cognition 34.3 (2008): 439"/><s v="Morris, A.L., Still, M.L. (2008). Now you see it, now you don't: Repetition blindness for nonwords. Journal of Experimental Psychology: Learning Memory and Cognition, 34(1), 146–166."/><s v="Sahakyan, L., Delaney, P. F., &amp; Waldum, E. R. (2008). Intentional forgetting is easier after two&quot; shots&quot; than one. Journal of Experimental Psychology: Learning, Memory, and Cognition, 34(2), 408."/><s v="Colzato, L. S., Bajo, M. T., Van den Wildenberg, W., Paolieri, D., Nieuwenhuis, S., La Heij, W., &amp; Hommel, B. (2008). How does bilingualism improve executive control? A comparison of active and reactive inhibition mechanisms. Journal of Experimental Psych"/><s v="Bassok, M., Pedigo, S.F., &amp; Oskarsson, A.T (2008). Priming Addition Facts with Semantic Relations. Journal of Experimental Psychology: Learning, Memory, and Cognition, 34, 343-352."/><s v="Couture, M., Lafond, D., &amp; Tremblay, S. (2008). Learning correct responses and errors in the hebb repetition effect: Two faces of the same coin. Journal of Experimental Psychology: Learning, Memory, and Cognition, 34(3), 524-532."/><s v="Reynolds, M., &amp; Besner, D. (2008). Contextual effects on reading aloud: Evidence for pathway control. Journal of Experimental Psychology: Learning, Memory, and Cognition, 34(1), 50."/><s v="MJ Yap, DA Balota, CS Tse, D Besner. (2008) On the additive effects of stimulus quality and word frequency in lexical decision: evidence for opposing interactive influences revealed by RT distributional analyses. Journal of Experimental Psychology: Learni"/><s v="N Janssen, W Schirm, BZ Mahon, A Caramazza (2008).“Semantic Interference in a Delayed Naming Task: Evidence for the Response Exclusion Hypothesis.” Journal of Experimental Psychology: Learning Memory and Cognition, 34(1), 249-256."/><s v="Turk-Browne, N. B., Isola, P. J., Scholl, B. J., &amp; Treat, T. A. (2008). Multidimensional Visual Statistical Learning. Journal of Experimental Psychology: Learning, Memory, and Cognition, 34(2), 399–407. doi:10.1037/0278-7393.34.2.399"/><s v="Liefooghe, B., Barrouillet, P., Vandierendonck, A., &amp; Camos, V. (2008). Working memory costs of task switching. Journal of Experimental Psychology: Learning, Memory, and Cognition, 34(3), 478-494. doi: 10.1037/0278-7393.34.3.478"/><s v="White, P.A. (2008). Accounting for Occurrences: A New View of the Use of Contingency Information in Causal Judgment. Journal of Experimental Psychology: Learning, Memory, and Cognition, 34(1), 204–218."/><s v="Farrell, S. (2008). Multiple roles for time in short-term memory: Evidence from serial recall of order and timing. Journal of Experimental Psychology: Learning, Memory, and Cognition, 34(1), 128."/><s v="Pacton, S., &amp; Perruchet, P. (2008). An attention-based associative account of adjacent and nonadjacent dependency learning. Journal of Experimental Psychology: Learning, Memory, and Cognition, 34, 80-96."/><s v="Makovski, Tal; Sussman, Rachel; Jiang, Yuhong V. (2008). Orienting attention in visual working memory reduces interference from memory probes. Journal of Experimental Psychology: Learning, Memory, and Cognition, 34.2: 369-380."/><s v="Decision making and learning while taking sequential risks. Journal of Experimental Psychology: Learning, Memory, and Cognition, 34(1), 167-185."/><s v="Storm, B.C., Bjork, E.L., &amp; Bjork, R.A. 2008. Accelerated relearning after retrieval-induced forgetting: The benefit of being forgotten. Journal of Experimental Psychology: Learning, Memory, and Cognition, 34, 230-236."/><s v="B Monin, PJ Sawyer, MJ Marquez (2008). The rejection of moral rebels: resenting those who do the right thing. Journal of Personality and Social Psychology, 95.1: 76-93."/><s v="Payne, B. K. Burkley, M. A. Stokes, M. B. (2008). Why Do Implicit and Explicit Attitude Tests Diverge? The Role of Structural Fit. Journal of Personality and Social Psychology, 94, 16–31."/><s v="Soto, C.J., John, O.P., Gosling, S.D., &amp; Potter, J. (2008). The developmental psychometrics of big five self-reports: Acquiescence, factor structure, coherence, and differentiation from ages 10 to 20. Journal of Personality and Social Psychology, 94(4), 7"/><s v="Cox, C.R., Arndt, J., Pyszczynski, T., Greenberg, J., Abdollahi, A., &amp; Solomon, S. (2008). Terror management and adults' attachment to their parents: The safe haven remains. Journal of Personality and Social Psychology, 94(4), 696-717."/><s v="D Albarracín, IM Handley, K Noguchi, KC McCulloch, H Li, J Leeper, RD Brown, A Earl, WP Hart (2008). Increasing and decreasing motor and cognitive output: a model of general action and inaction goals. Journal of Personality and Social Psychology, 95.3: 51"/><s v="C Mitchell, S Nash, G Hall (2008). The intermixed-blocked effect in human perceptual learning is not the consequence of trial spacing. Journal of Experimental Psychology: Learning, Memory, and Cognition, 34.1 (2008): 237-242."/><s v="Albarracín, D., Handley, I.M., Noguchi, K., McCulloch, K.C., Li, H., Leeper, J., Brown, R.D., Earl, A., &amp; Hart, W.P. (2008). Increasing and decreasing motor and cognitive output: A model of general action and inaction goals. Journal of Personality and Soc"/><s v="Centerbar, D.B., Schnall, S., Clore, G.L., &amp; Garvin, E.D. (2008). Affective incoherence: When affective concepts and embodied reactions clash. Journal of Personality and Social Psychology, 94(4), 560-578. doi: 10.1037/0022-3514.94.4.560"/><s v="Amodio, D. M., Devine, P. G., &amp; Harmon-Jones, E. (2008). Individual differences in the regulation of intergroup bias: The role of conflict monitoring and neural signals for control. Journal of Personality and Social Psychology, 94(1), 60-74."/><s v="Harmon-Jones, E., Harmon-Jones, C., Fearn, M., Sigelman, J.D., &amp; Johnson, P. (2008). Left frontal cortical activation and spreading of alternatives: Test of the action-based model of dissonance. Journal of Personality and Social Psychology, 94(1), 1-15."/><s v="van Dijk, E., van Kleef, G.A., Steinel, W., &amp; van Beest, I. (2008). A social functional approach to emotions in bargaining: When communicating anger pays and when it backfires. Journal of Personality and Social Psychology, 94(4), 600-614."/><s v="Lemay, E.P., &amp; Clark, M.S. Walking on eggshells: How expressing relationship insecurities perpetuates them. Journal of Personality and Social Psychology, 95(2), 420-441."/><s v="How the head liberates the heart: projection of communal responsiveness guides relationship promotion. Journal of Personality and Social Psychology, 95(4), 647-671."/><s v="Lemay, E.P., &amp; Clark, M.S. How the head liberates the heart: projection of communal responsiveness guides relationship promotion. Journal of Personality and Social Psychology, 95(4), 647-671."/><s v="Berry, C.J., Shanks, D.R., &amp; Henson, R.N. A single-system account of the relationship between priming, recognition, and fluency. Journal of Experimental Psychology: Learning, Memory, and Cognition, 34(1), 97-111."/><s v="Ersner-Hershfield, H. H., Mikels, J. A., Sullivan, S. J., &amp; Carstensen, L. L. (2008). Poignancy: mixed emotional experience in the face of meaningful endings. Journal of Personality and Social Psychology, 94(1), 158-167."/><s v="Correll, J. (2008). 1/f noise and effort on implicit measures of bias. Journal of Personality and Social Psychology, 94, 48-59."/><s v="Förster, J., Liberman, N., &amp; Kuschel, S. (2008). The effect of global versus local processing styles on assimilation versus contrast in social judgment. Journal of Personality and Social Psychology, 94, 579-599."/><s v="JJ Exline, RF Baumeister, AL Zell, AJ Kraft, CV Witvliet (2008). Not so innocent: does seeing one's own capacity for wrongdoing predict forgiveness? Journal of Personality and Social Psychology: 94.3: 495-515."/><s v="JL Risen, T Gilovich (2008). Why people are reluctant to tempt fate. Journal of Personality and Social Psychology, 95.2: 293-307."/><s v="Tracy, J.L., &amp; Robins, R.W. (2008). The nonverbal expression of pride: Evidence for cross-cultural recognition. Journal of Personality and Social Psychology, 94(3), 516-530."/><s v="Beaman, C.P., Neath, I., &amp; Suprenant, A.M. (2008). Modeling Distributions of Immediate Memory Effects: No Strategies Needed? Journal of Experimental Psychology: LMC, 34 (1), 219 - 239."/><s v="KE Stanovich, RF West (2008). On the relative independence of thinking biases and cognitive ability. Journal of Personality and Social Psychology, 94(4):672-95. doi: 10.1037/0022-3514.94.4.672."/><s v="Blankenship, K. L., &amp; Wegener, D. T. (2008). Opening the mind to close it: Considering a message in light of important values increases message processing and later resistance to change. Journal of Personality and Social Psychology, 94, 196-213."/><s v="Morrison, Kimberly Rios, and Dale T. Miller. &quot;Distinguishing between silent and vocal minorities: Not all deviants feel marginal.&quot; Journal of Personality and Social Psychology 94.5 (2008): 871"/><s v="Koo, M., &amp; Fishbach, A. (2008). Dynamics of self-regulation: How (un)accomplished goal actions affect motivation. Journal of Personality and Social Psychology, 94(2), 183-195."/><s v="Dodson, C.S., Darragh, J., &amp; Williams, A. (2008). Stereotypes and retrieval-provoked illusory source recollections. Journal of Experimental Psychology: Learning, Memory, and Cognition, 34(3), 460-477."/><s v="MD Henderson, Y de Liver, PM Gollwitzer (2008). The effects of an implemental mind-set on attitude strength. Journal of Personality and Social Psychology, 94.3: 396-411."/><s v="Shnabel, Nurit, and Arie Nadler. &quot;A needs-based model of reconciliation: satisfying the differential emotional needs of victim and perpetrator as a key to promoting reconciliation.&quot; Journal of personality and social psychology 94.1 (2008): 116."/><s v="Rule, N., &amp; Ambady, N. (2008). The face of success: Inferences from chief executive officers' appearance predict company profits. Psychological Science 19(2), 109-111."/><s v="P Fischer, S Schulz-Hardt, D Frey (2008). Selective exposure and information quantity: how different information quantities moderate decision makers' preference for consistent and inconsistent information. Journal of Personality and Social Psychology, 94."/><s v="Fischer, P., Greitemeyer, T., &amp; Frey, D. (2008). Self-regulation and selective exposure: The impact of depleted self-regulation resources on confirmatory information processing. Journal of Personality and Social Psychology, 94(3), 382-395."/><s v="P.A. Goff, C.M. Steele, &amp; P.G. Davies, 2008. The space between us: Stereotype threat and distance in interracial contexts. Journal of Personality and Social Psychology, 94, 91-107."/><s v="Eastwick, P. W., &amp; Finkel, E. J. (2008). Sex differences in mate preferences revisited: Do people know what they initially desire in a romantic partner?. Journal Of Personality And Social Psychology, 94(2), 245-264. doi:10.1037/0022-3514.94.2.245"/><s v="Weidemann, C.T., Huber, D.E., &amp; Shiffrin, R.M. (2008). Prime diagnosticity in short-term repetition priming: Is primed evidence discounted, even when it reliably indicates the correct answer? Journal of Experimental Psychology: Learning, Memory, and Cogni"/><s v="Murray, S.L., Derrick, J.L., Leder, S., &amp; Holmes, J.G. (2008). Balancing connectedness and self-protection goals in close relationships: A levels-of-processing perspective on risk regulation. Journal of Personality and Social Psychology, 94(3), 429-459."/><s v="McCrea, SM. (2008). Self-handicapping, excuse making, and counterfactual thinking: Consequences for self-esteem and future motivation. Journal of Personality and Social Psychology, 95(2), 274-292"/><s v="Purdie-Vaughns, V., Steele, C.M., Davies, P.G., Ditlmann, R., &amp; Crosby, J.R. (2008). Social identity contingencies: How diversity cues signal threat or safety for african americans in mainstream institutions. Journal of Personality and Social Psychology, "/><s v="Croninger, R.G., Rice, J.K., Rathbun, A., &amp; Nishio, M.(2007).Teacher qualifications and early learning: Effects of certification, degree, and experience on first-grade student achievement.Economics of Education Review, 26(3), 312–324.http://doi.org/10.101"/><s v="Redden, J. P., &amp; Hoch, S. J. (2009). The presence of variety reduces perceived quantity. Journal of Consumer Research, 36(3), 406-417., Study 3"/><s v="Lichtenfeld, S. ,Maier, M. A., Elliot, A. J., &amp; Pekrun, R. (2009 ).The semantic red effect: Processing the word red undermines intellectual performance . Journal of Experimental Social Psychology , 45 ,1273 –1276 . https://doi.org/10.1016/j.jesp.2009.06.0"/><s v="Hoogeveen, S., Sarafoglou, A., &amp; Wagenmakers, E.-J. (2020). Laypeople Can Predict Which Social-Science Studies Will Be Replicated Successfully. Advances in Methods and Practices in Psychological Science, 3(3), 267–285. https://doi.org/10.1177/251524592091"/><s v="Cialdini, R. B., Vincent, J. E., Lewis, S. K., Catalan, J., Wheeler, D., &amp; Darby, B. L. (1975). Reciprocal concessions procedure for inducing compliance: The door-in-the-face technique. Journal of Personality and Social Psychology, 31(2), 206–215. https:/"/><s v="Duke, A. A., &amp; Bègue, L. (2015). The drunk utilitarian: Blood alcohol concentration predicts utilitarian responses in moral dilemmas. Cognition, 134, 121–127."/><s v="Marcora, S. M., Staiano, W., &amp; Manning, V. (2009). Mental fatigue impairs physical performance in humans. Journal of applied physiology. https://doi.org/10.1152/japplphysiol.91324.2008."/><s v="Granow, V. C., Reinecke, L., &amp; Ziegele, M. (2018). Binge-Watching and Psychological Well-Being: Media Use Between Lack of Control and Perceived Autonomy. Communication Research Reports, 35(5), 392–401. https://doi.org/10.1080/08824096.2018.1525347"/><s v="Redden, J. P., &amp; Hoch, S. J. (2009). The presence of variety reduces perceived quantity. Journal of Consumer Research, 36(3), 406-417., Study 1"/><s v="Schaffner, B. F., &amp; Luks, S. (2018). Misinformation or expressive responding? What an inauguration crowd can tell us about the source of political misinformation in surveys. Public Opinion Quarterly, 82(1), 135–147. https://doi.org/10.1093/poq/nfx042"/><s v="Olson, M. A., &amp; Fazio, R. H. (2001). Implicit attitude formation through classical conditioning. Psychological Science, 12(5), 413-417, Study 2"/><s v="Payne BK, Brown-Iannuzzi J, Burkley M, Arbuckle NL, Cooley E, Cameron CD, Lundberg KB. Intention invention and the affect misattribution procedure: reply to Bar-Anan and Nosek (2012). Personality and Social Psychology Bulletin, 39(3), 375-86."/><s v="Vaughn, L. A. (2017b). Foundational tests of the need support model: A framework for bridging regulatory focus theory and self-determination theory. Personality and Social Psychology Bulletin, 43, 313–328. https://doi.org/10.1177/0146167216684132, Combine"/><s v="Thürmer, J. L., &amp; McCrea, S. M. (2018). Beyond motivated reasoning: Hostile reactions to critical comments from the outgroup. Motivation Science, 4(4), 333-346. https://doi.org/10.1037/mot0000097"/><s v="Ulrich, R., Prislan, L., &amp; Miller, J. (2020). A bimodal extension of the Eriksen flanker task. Attention, Perception, &amp; Psychophysics. https://doi.org/10.3758/s13414-020-02150-8, Experiment 2"/><s v="Reiter, A. M. F., Kanske, P., Eppinger, B., &amp; Li, S. C. (2017). The Aging of the Social Mind - Differential Effects on Components of Social Understanding. Scientific reports, 7(1), 11046. https://doi.org/10.1038/s41598-017-10669-4"/><s v="Reiter, A.M.F., Kanske, P., Eppinger, B. et al. The Aging of the Social Mind - Differential Effects on Components of Social Understanding. Sci Rep 7, 11046 (2017). https://doi.org/10.1038/s41598-017-10669-4"/><s v="Lambon Ralph, M.A., &amp; Ehsan, S. (2006). Age of acquisition effects depend on the mapping between representations and the frequency of occurrence: Empirical and computational evidence, Visual Cognition, 13:7-8, 928-948. https://doi.org/10.1080/135062805440"/><s v="Southgate, V., Senju, A., &amp; Csibra, G. (2007). Action anticipation through attribution of false belief by 2-year-olds. Psychological science, 18(7), 587-592."/><s v="Blackwell, L. S., Trzesniewski, K. H., &amp; Dweck, C. S. (2007). Implicit theories of intelligence predict achievement across an adolescent transition: A longitudinal study and an intervention. Child development, 78(1), 246-263. https://doi.org/10.1111/j.146"/><s v="Van Lange, P. A. M., De Bruin, E., Otten, W., &amp; Joireman, J. A. (1997). Development of prosocial, individualistic, and competitive orientations: Theory and preliminary evidence. Journal of Personality and Social Psychology, 73(4), 733–746. https://doi.org"/><s v="Nahmias, E., Morris, S. G., Nadelhoffer, T., &amp; Turner, J. (2006). Is incompatibilism intuitive? Philosophy and Phenomenological Research, 73(1), 28-53"/><s v="Knobe, J., &amp; Burra, A. (2006). The folk concepts of intention andintentional action: A cross-cultural study. Journal of Cognition and Culture, 6(1), 113-132."/><s v="Nichols, S. (2006). Folk intuitions on free will. Journal of Cognition and Culture, 6(1), 57-86."/><s v="Nadelhoffer, T. (2006). Bad acts, blameworthy agents, and intentional actions: Some problems for juror impartiality. Philosophical explorations, 9(2), 203-219."/><s v="Nichols, S., &amp; Knobe, J. (2007). Moral responsibility and determinism: The cognitive science of folk intuitions. Nous, 41(4), 663-685."/><s v="Nahmias, E., Coates, D. J., &amp; Kvaran, T. (2007). Free will, moral responsibility, and mechanism: Experiments on folk intuitions. Midwest studies in Philosophy, 31(1), 214-242."/><s v="Livengood, J., &amp; Machery, E. (2007). The folk probably don't think what you think they think: Experiments on causation by absence. Midwest Studies in Philosophy, 31(1), 107-127."/><s v="Gonnerman, C. (2008). Reading conflicted minds: An empirical follow-up to Knobe and Roedder. Philosophical Psychology, 21(2), 193-205."/><s v="Nadelhoffer, T., &amp; Feltz, A. (2008). The actor–observer bias and moral intuitions: Adding fuel to Sinnott-Armstrong’s fire. Neuroethics, 1, 133-144."/><s v="Knobe, J. (2003). Intentional action in folk psychology: An experimental investigation. Philosophical Psychology, 16(2), 309-324."/><s v="Hitchcock, C., &amp; Knobe, J. (2009). Cause and norm. The Journal of Philosophy, 106(11), 587-612."/><s v="Roxborough, C., &amp; Cumby, J. (2009). Folk psychological concepts: Causation. Philosophical Psychology, 22(2), 205-213."/><s v="Nadelhoffer, T., Kvaran, T., &amp; Nahmias, E. (2009). Temperament and intuition: A commentary on Feltz and Cokely. Consciousness and cognition, 18(1), 351-355."/><s v="De Brigard, F. (2010). If you like it, does it matter if it's real?. Philosophical Psychology, 23(1), 43-57."/><s v="Beebe, J. R., &amp; Buckwalter, W. (2010). The epistemic side‐effect effect. Mind &amp; Language, 25(4), 474-498."/><s v="Sytsma, J., &amp; Machery, E. (2010). Two conceptions of subjective experience. Philosophical studies, 151, 299-327."/><s v="Alicke, M. D., Rose, D., &amp; Bloom, D. (2011). Causation, norm violation, and culpable control. The Journal of Philosophy, 108(12), 670-696."/><s v="Reuter, K. (2011). Distinguishing the appearance from the reality of pain. Journal of Consciousness Studies, 18(9-10), 94-109."/><s v="Sarkissian, H., Park, J., Tien, D., Wright, J. C., &amp; Knobe, J. (2011). Folk moral relativism. Mind &amp; Language, 26(4), 482-505."/><s v="Machery, E., Mallon, R., Nichols, S., &amp; Stich, S. P. (2004). Semantics, cross-cultural style. Cognition, 92(3), B1-B12."/><s v="May, J., &amp; Holton, R. (2012). What in the world is weakness of will?. Philosophical Studies, 157, 341-360."/><s v="Nagel, J., San Juan, V., &amp; Mar, R. A. (2013). Lay denial of knowledge for justified true beliefs. Cognition, 129(3), 652-661."/><s v="Beebe, J. R., &amp; Shea, J. (2013). Gettierized Knobe effects. Episteme, 10(3), 219-240."/><s v="Rose, D., &amp; Nichols, S. (2013). The lesson of bypassing. Review of Philosophy and Psychology, 4, 599-619."/><s v="Murray, D., &amp; Nahmias, E. (2014). Explaining away incompatibilist intuitions. Philosophy and Phenomenological Research, 88(2), 434-467."/><s v="Grau, C., &amp; Pury, C. L. (2014). Attitudes towards reference and replaceability. Review of Philosophy and Psychology, 5(2), 155-168"/><s v="Liao, S. Y., Strohminger, N., &amp; Sripada, C. S. (2014). Empirically investigating imaginative resistance. British Journal of Aesthetics, 54(3), 339-355."/><s v="Björnsson, G., Eriksson, J., Strandberg, C., Olinder, R. F., &amp; Björklund, F. (2015). Motivational internalism and folk intuitions. Philosophical Psychology, 28(5), 715–734. "/><s v="Björnsson, G., Eriksson, J., Strandberg, C., Olinder, R. F., &amp; Björklund, F. (2015). Motivational internalism and folk intuitions. Philosophical Psychology, 28(5), 715–734."/><s v="Buckwalter, W., &amp; Schaffer, J. (2015). Knowledge, stakes, and mistakes. Noûs, 49(2), 201-234."/><s v="Knobe, J. (2004). Intention, intentional action and moral considerations. Analysis, 64(282), 181-187."/><s v="Kominsky, J. F., Phillips, J., Gerstenberg, T., Lagnado, D., &amp; Knobe, J. (2015). Causal superseding. Cognition, 137, 196-209."/><s v="Nichols, S. (2004). After objectivity: An empirical study of moral judgment. Philosophical Psychology, 17(1), 3-26. Chicago."/><s v="Nadelhoffer, T. (2004). Blame, badness, andintentional action: A reply to Knobe and Mendlow. Journal of Theoretical and Philosophical Psychology, 24, 259–269."/><s v="Nahmias, E., Morris, S., Nadelhoffer, T., and Turner, J. (2005). Surveying Freedom: Folk Intuitions About Free Will and Moral Responsibility. Philosophical Psychology, 18(5), 561-584."/><s v="McCann, H. J. (2005). Intentional action and intending: Recent empirical studies. Philosophical Psychology, 18(6), 737-748."/><s v="Nadelhoffer, T. (2005). Skill, luck, control, and intentional action. Philosophical Psychology, 18(3), 341-352."/><s v="MacDonald, D. A. (2000). Spirituality: Description, measurement, and relation to the five factor model of personality. Journal of Personality, 68, 153-197."/></sharedItems></cacheField><cacheField name="doi_o"><sharedItems containsBlank="1" containsMixedTypes="1" containsNumber="1" containsInteger="1"><s v="without URL prefix, so starting with 10.xx"/><s v="10.1111/j.1467-9280.2008.02061.x"/><s v="10.1111/j.1468-0068.2010.00795.x"/><s v="10.1016/j.obhdp.2004.12.002"/><s v="10.1007/s11858-016-0819-3"/><s v="10.1111/lang.12161"/><s v="10.4148/1944-9771.1299"/><s v="10.1037/pspi0000109"/><s v="10.1016/j.jsams.2017.06.007"/><s v="10.1017/S1355617717001059"/><s v="10.2307/25148791"/><s v="10.1016/j.jsp.2021.09.004"/><s v="10.1016/j.learninstruc.2018.05.004"/><s v="10.3102/0013189X13507104"/><s v="10.1017/S0272263114000126"/><s v="10.1037/met0000511"/><s v="10.1016/S2215-0366(21)00241-8"/><s v="10.1038/s41467-018-06785-y"/><s v="10.1016/j.ijinfomgt.2018.03.001"/><s v="10.1002/jaba.946"/><s v="10.1111/j.1467-9280.2007.01961.x"/><s v="10.1521/soco.2008.26.2.143"/><s v="10.1177/0956797613478614"/><s v="10.1016/j.jenvp.2022.101868"/><s v="10.1002/bin.1659"/><s v="10.1016/j.drugalcdep.2021.108610"/><s v="10.1002/jeab.432"/><s v="10.1016/j.paid.2021.111472"/><s v="10.1016/j.learninstruc.2018.04.006"/><s v="10.1016/j.jarmac.2021.08.001"/><s v="10.1080/23273798.2020.1810292"/><s v="10.1016/j.system.2004.01.001"/><s v="10.3138/cmlr.65.3.395"/><s v="10.1002/jeab.705"/><s v="10.1016/j.psychres.2017.09.048"/><s v="10.1177/0267658310386439"/><s v="10.1111/1467-6281.00073"/><s v="10.1037/a0025345"/><s v="10.1016/j.obhdp.2018.10.004"/><s v="thekeep.eiu.edu/theses/4783"/><m/><s v="10.1002/pam.21702"/><s v="10.18653/v1/2023.acl-long.864"/><s v="10.1080/13523260.2020.1868836"/><s v="10.18653/v1/2023.acl-long.865"/><s v="10.18653/v1/2023.acl-long.866"/><s v="10.1016/j.jpsychires.2008.07.004"/><s v="10.1162/rest.90.2.300"/><s v="10.1075/ijcl.19131.lar"/><s v="https://doi.org/10.1075/ijcl.19131.lar"/><s v="10.1017/S1366728914000273"/><s v="scholars.indianastate.eduetds--2136"/><s v="10.1075/resla.17019.loz"/><s v="10.1111/0023-8333.00112"/><s v="10.1038/s41598-024-61469-6"/><s v="https://escholarship.org/uc/item/0qf9t9pc"/><s v="10.1016/j.econedurev.2005.05.008"/><s v="10.1111/j.1540-5885.2010.00778.x"/><s v="10.1089/cyber.2015.0311"/><s v="10.1037/0021-9010.77.4.419"/><s v="10.1016/j.learninstruc.2014.08.004"/><s v="10.1016/0030-5073(76)90005-2"/><s v="10.1037/a0019006"/><s v="10.1006/obhd.1994.1063"/><s v="10.1007/s10857-015-9324-9"/><s v="10.1177/1948550611432938"/><s v="10.1016/j.biopsycho.2018.08.007"/><s v="10.1145/3105726.3106182"/><s v="10.1109/TSE.2016.2527791"/><s v="10.1007/s10802-020-00712-w"/><s v="10.1086/648381"/><s v="10.1007/s40732-020-00453-8"/><s v="10.1016/j.appet.2020.104808"/><s v="10.1037/pspp0000263"/><s v="10.1177/1948550619843931"/><s v="10.1093/geront/gnac158"/><s v="10.1038/s41598-022-24919-7"/><s v="10.1038/s41598-022-24919-8"/><s v="10.1038/s41598-022-24919-9"/><s v="10.1037/lhb0000532"/><s v="10.3233/JAD-2009-1163"/><s v="10.1186/s40163-021-00141-0"/><s v="10.1177/2F10986111211035002"/><s v="10.1017/S0007123421000557"/><s v="10.1007/s11150-021-09593-4"/><s v="10.1007/s11150-021-09593-5"/><s v="10.1007/s11150-021-09593-6"/><s v="10.1007/s11150-021-09593-7"/><s v="10.1007/s11150-021-09593-8"/><s v="10.1007/s11150-021-09593-9"/><s v="10.1007/s11150-021-09593-10"/><s v="10.1007/s11150-021-09593-11"/><s v="10.1007/s11150-021-09593-12"/><s v="10.1007/s11150-021-09593-13"/><s v="10.37237/relay/010204"/><s v="10.1073/pnas.2120668119"/><s v="10.1038/s41586-022-04452-3"/><s v="10.1007/s10826-019-01370-3"/><s v="10.1002/jaba.968"/><s v="10.1073/pnas.2 015539118"/><s v="10.3758/BF03211160"/><s v="10.1075/jslp.22013.tel"/><s v="10.1080/10496491.2022.2108189"/><s v="10.1111/psyp.12132"/><s v="10.1002/smj.201"/><s v="10.1177/2167702614545216"/><s v="10.1016/j.cortex.2014.02.013"/><s v="10.51548/joctec-2021-016"/><s v="10.3982/ECTA12807"/><s v="10.1111/j.1467-9280.2006.01721.x"/><s v="10.1073/pnas.2218961120"/><s v="10.1016/j.cub.2004.01.029"/><s v="10.1016/j.neuroimage.2006.11.048"/><s v="10.1038/nature03390"/><s v="10.1177/0093650215609676"/><s v="10.1177/0956797619879441"/><s v="10.1037/xge0000263"/><s v="10.1177/0956797618813092"/><s v="10.1177/1747021817744546"/><s v="10.1177/0956797618780643"/><s v="10.1073/pnas.1523698113"/><s v="10.1162/jocn_a_00709"/><s v="10.1037/0022-3514.94.2.94.2.196"/><s v="10.1111/j.1551-6709.2011.01210.x"/><s v="10.1111/j.1467-9280.2008.02157.x"/><s v="10.3758/s13428-021-01694-3"/><s v="10.1177/0956797617728270"/><s v="10.1073/pnas.1118373109"/><s v="10.1177/0956797618818484"/><s v="10.1177/0956797615612202"/><s v="10.1177/147470491100900206"/><s v="10.1177/0956797615598739"/><s v="10.1016/j.neuropsychologia.2009.05.011"/><s v="10.1037/a0028216"/><s v="10.1145/2470654.2481281"/><s v="10.1016/j.jesp.2018.05.006"/><s v="10.1177/0956797612444613"/><s v="10.1037/0022-3514.95.2.293"/><s v="10.1037/pspi0000081"/><s v="10.1177/0956797619855382"/><s v="10.1177/0956797610397956"/><s v="10.1177/0956797617706082"/><s v="10.1523/JNEUROSCI.18-23-10105.1998"/><s v="10.1177/0956797609359908"/><s v="10.1177/0956797611434540"/><s v="10.1177/0956797614558718"/><s v="10.1523/JNEUROSCI.2377-10.2010"/><s v="10.1111/j.1467-9280.2008.02227.x"/><s v="10.1177/0956797615573516"/><s v="10.1177/1948550619849426"/><s v="10.1037/a0029649"/><s v="10.1177/0956797614563958"/><s v="10.1177/0956797616651973"/><s v="10.1177/0956797614534693"/><s v="10.1093/workar/waac024"/><s v="10.1177/0956797611418350"/><s v="10.1177/0956797612445318"/><s v="10.1177/0956797616662271"/><s v="10.1177/0956797614554955"/><s v="10.1037xge0000738"/><s v="10.1111/cogs.12176"/><s v="10.1177/0956797614559285"/><s v="10.1177/0956797616630964"/><s v="10.1126/science.148.3670.661"/><s v="10.1073/pnas.1202129109"/><s v="10.1177/0956797616667459"/><s v="10.1093/jos/ffw010"/><s v="10.1177/0956797615624492"/><s v="10.1515/ling.2011.016"/><s v="10.1177/0956797616650875"/><s v="10.1177/0956797616674999"/><s v="10.1089/cyber.2016.0530"/><s v="10.1111/1467-8284.00419"/><s v="10.1163/156853706776931222"/><s v="10.1111/cogs.12605"/><s v="10.1177/09567976221082637"/><s v="10.1126/science.1132491"/><s v="10.1177/0956797613502732"/><s v="10.1038/s41467-021-27323-3"/><s v="10.1177/0956797613508412"/><s v="10.1126/science.1250830"/><s v="10.1016/j.obhdp.2010.10.001"/><s v="10.1177/0956797615585002"/><s v="10.1177/0956797618779061"/><s v="10.1111/1467-9280.02436"/><s v="10.1177/0956797619856844"/><s v="10.1016/j.ecresq.2019.10.004"/><s v="10.1177/0956797614561266"/><s v="10.1177/0956797615617779"/><s v="10.1177/0956797618805750"/><s v="10.1177/0956797615569889"/><s v="10.1037/a0012833"/><s v="10.1177/0956797616634654"/><s v="10.1080/23273798.2018.1431397"/><s v="escholarship.orgucitem39d347bk"/><s v="10.1177/0956797615625640"/><s v="10.1177/0956797611419168"/><s v="10.1086/511799"/><s v="10.1177/0956797614527113"/><s v="10.1177/1948550612457688"/><s v="10.1162/089892900562219"/><s v="10.1111/j.1467-9280.2008.02039.x"/><s v="10.1177/0956797620927967"/><s v="10.1111/j.1551-6709.2010.01164.x"/><s v="10.1016/j.neuron.2011.02.027"/><s v="10.1016/j.neuroimage.2009.09.024"/><s v="djärv_2018"/><s v="10.1037/rev0000175"/><s v="10.1177/0956797616669947"/><s v="10.1073/pnas.0908963106"/><s v="10.1037/0022-3514.94.3.495"/><s v="10.1177/0956797612449177"/><s v="10.1037/0022-3514.94.2.94.2.231"/><s v="10.1177/0956797615588195"/><s v="10.1371/journal.pone.0071475"/><s v="10.1371/journal.pone.0154854"/><s v="10.1038/nn.2889"/><s v="10.1177/0146167214524992"/><s v="10.1177/0001839219840022"/><s v="10.1016/j.jesp.2020.104019"/><s v="10.1073/pnas.1216438110"/><s v="10.1016/0010-0285(83)90002-6"/><s v="10.1037/a0035663"/><s v="10.1093/geronb/gbx099"/><s v="10.1111/j.1551-6709.2010.01161.x"/><s v="10.1126/science.1134475"/><s v="10.1037/a0031047"/><s v="10.1177/0956797615608267"/><s v="10.1016/j.cognition.2007.11.004"/><s v="10.1111/j.1467-9280.2006.01780.x"/><s v="10.1177/0956797616639727"/><s v="10.1038/s41598-018-30314-y"/><s v="10.1073/pnas.2009030117"/><s v="10.1037/0022-3514.94.3.396 (1)"/><s v="10.1037/0022-3514.94.3.396"/><s v="10.1016/j.visres.2005.04.013"/><s v="10.1016/j.jesp.2020.104080"/><s v="10.1016/j.cognition.2016.06.011"/><s v="10.1177/0956797613494853"/><s v="10.1177/0956797616640705"/><s v="10.1111/ecin.12470"/><s v="10.1145/3290605.3300469"/><s v="10.1037/xge0001195"/><s v="10.1016/j.jml.2006.02.004"/><s v="10.1177/0956797616685771"/><s v="10.1177/0146167215580776"/><s v="10.1287/orsc.2021.1456"/><s v="10.1016/s0010-0277(03)00064-7"/><s v="10.1037/0022-3514.77.4.785"/><s v="10.1177/0956797614536739"/><s v="10.1177/0956797614553009"/><s v="10.1037/a0020413"/><s v="10.1016/j.cognition.2019.104157"/><s v="10.1177/0956797618760784"/><s v="10.1126/science.1190792"/><s v="10.1037/0096-3445.132.1.3"/><s v="10.1111/j.1467-9280.2007.01909.x"/><s v="10.1177/0956797614563108"/><s v="10.1111/j.1467-9280.2008.02040.x"/><s v="10.1073/pnas.2014505117"/><s v="10.1177/0956797615572231"/><s v="10.1038/s41598-019-57204-1"/><s v="10.1037/a0016795"/><s v="10.1177/0956797618788882"/><s v="10.1177/0956797614547705"/><s v="10.1177/0956797611428079"/><s v="10.1177/0956797617705399"/><s v="10.1016/j.cognition.2017.06.025"/><s v="10.1177/0956797619854706"/><s v="10.1177/0146167207309195"/><s v="10.1126/science.1238041"/><s v="10.1037/a0032108"/><s v="10.1145/3173574.3174188"/><s v="10.1287/mnsc.2019.3362"/><s v="10.1177/0956797618806296"/><s v="10.1037/0022-3514.95.1.76"/><s v="10.1037/0278-7393.34.1.146"/><s v="10.1257/aer.101.2.470"/><s v="10.1257/aer.103.4.1325"/><s v="10.1257/aer.102.1.337"/><s v="10.1257/aer.102.2.720"/><s v="10.1257/aer.101.2.819"/><s v="10.1257/aer.101.7.3109"/><s v="10.1257/aer.102.5.2018"/><s v="10.1257/aer.102.2.865"/><s v="10.1257/aer.101.2.927"/><s v="10.1093/qje/qjt035"/><s v="10.1257/aer.102.7.3317"/><s v="10.1257/aer.102.2.834"/><s v="10.1257/aer.101.4.1211"/><s v="10.1257/aer.101.6.2562"/><s v="10.1257/aer.104.11.3434"/><s v="10.1257/aer.104.6.1735"/><s v="10.1257/aer.101.2.526"/><s v="10.1093/qje/qjr034"/><s v="10.1126/science.1189993"/><s v="10.1126/science.1199327"/><s v="10.1126/science.1239918"/><s v="10.1126/science.1186799"/><s v="10.1126/science.1195701"/><s v="10.1038/nature15392"/><s v="10.1126/science.1191465"/><s v="10.1126/science.1199427"/><s v="10.1038/nature11467"/><s v="10.1126/science.1222426"/><s v="10.1126/science.1224313"/><s v="10.1126/science.1207745"/><s v="10.1126/science.1211180"/><s v="10.1038/nature12774"/><s v="10.1126/science.1221936"/><s v="10.1126/science.1215647"/><s v="10.1126/science.1253932"/><s v="10.1038/nature13530"/><s v="10.1126/science.1183532"/><s v="10.1037/0022-3514.77.2.221"/><s v="10.1037/0022-3514.92.2.325"/><s v="10.1016/j.jtbi.2005.02.010"/><s v="10.1177/0956797609358096"/><s v="10.1037/0022-3514.74.3.774"/><s v="10.1037/0022-3514.85.1.33"/><s v="10.1037/0096-3445.136.2.241"/><s v="10.1111/j.1467-9280.2007.02004.x"/><s v="10.1086/268936"/><s v="10.1037/0022-3514.71.2.230"/><s v="10.1037/1089-2699.6.1.101"/><s v="10.1037/0022-3514.83.1.44"/><s v="10.1037/a0027598"/><s v="10.1126/science.7455683"/><s v="10.1017/s1930297500001170"/><s v="10.1016/j.jesp.2004.07.001"/><s v="10.1126/science.1130726"/><s v="10.1177/01461672952111004"/><s v="10.1037/0022-3514.94.1.48"/><s v="10.1177/0956797610383437"/><s v="10.1037/a0021524"/><s v="10.1111/j.1467-9280.2009.02426.x"/><s v="10.1027/1864-9335/a000147"/><s v="10.1037/0022-3514.45.4.805"/><s v="10.1016/j.jesp.2011.11.012"/><s v="10.1037/0022-3514.82.5.792"/><s v="10.1037/a0023527"/><s v="10.1037/h0054651"/><s v="10.1016/s0010-0277(99)00073-6"/><s v="10.1016/0010-0285(73)90033-9"/><s v="10.1111/j.1467-9280.2006.01824.x"/><s v="10.1177/0956797611435919"/><s v="10.1037/a0029288"/><s v="10.1016/j.jesp.2010.05.014"/><s v="10.1016/j.jesp.2009.03.009"/><s v="10.1093/jcr/ucaa019"/><s v="10.1093/jcr/ucy082"/><s v="10.1093/jcr/ucz022"/><s v="10.1093/jcr/ucy055"/><s v="10.1093/jcr/ucaa006"/><s v="10.1037/a0019689"/><s v="10.1177/0146167215610520"/><s v="10.1111/j.1467-9280.2006.01704.x"/><s v="10.1016/j.jesp.2005.05.001"/><s v="10.1073/pnas.1519401113"/><s v="10.1073/pnas.1805327115"/><s v="10.1073/pnas.1601280113"/><s v="10.1073/pnas.1516868113"/><s v="10.1073/pnas.1706913114"/><s v="10.1073/pnas.1516047113"/><s v="10.1073/pnas.1505067112"/><s v="10.1073/pnas.1722664115"/><s v="10.1073/pnas.1620542114"/><s v="10.1073/pnas.1701916114"/><s v="10.1073/pnas.1511536112"/><s v="10.1073/pnas.1508932113"/><s v="10.1073/pnas.1606574113"/><s v="10.1073/pnas.1607330114"/><s v="10.1073/pnas.1616921114"/><s v="10.1073/pnas.1717092115"/><s v="10.1073/pnas.1610834113"/><s v="10.1073/pnas.1805284115"/><s v="10.1073/pnas.1501592112"/><s v="10.1073/pnas.1517662112"/><s v="10.1073/pnas.1707040114"/><s v="10.1073/pnas.1705238114"/><s v="10.1073/pnas.1704032114"/><s v="10.1073/pnas.1706253114"/><s v="10.1073/pnas.1707719114"/><s v="10.1073/pnas.1523586113"/><s v="10.1080/02699931.2016.1273201"/><s v="10.3389/fpsyg.2014.01276"/><s v="10.1016/j.euroecorev.2004.01.004"/><s v="10.1257/mac.20130176"/><s v="10.1002/soej.12223"/><s v="10.1257/mac.1.1.146"/><s v="10.1162/REST_a_00258"/><s v="10.1037/a0015960"/><s v="10.1086/269239"/><s v="10.1037/0022-3514.83.5.1239"/><n v="3329308.0"/><s v="10.1007/s11098-004-4510-0"/><s v="10.1111/ j.1468-0017.2006.00297.x"/><s v="10.1016/0022-1031(77)90049-X"/><s v="10.1037/a0013748"/><s v="10.1002/ejsp.2013"/><s v="10.1037/a0015141"/><s v="10.1177/0956797611429579"/><s v="10.1002/bdm.586"/><s v="10.1016/j .obhdp.2006.10.001"/><n v="9.781032633275E12"/><s v="10.1037/a0034462"/><s v="10.1037/0022-3514.73.4.733"/><s v="10.1038/nclimate2093"/><s v="10.1037/0096- 3445.136.4.569"/><s v="10.1177/0956797611434537"/><s v="10.1111/1467- 9280.00334"/><s v="10.3758/BF03197186"/><s v="10.1207/ s15516709cog2605_4"/><s v="10.1002/(SICI)1099-0771(199806)11:2%3C107::AID-BDM292%3E3.0.CO;2-Y"/><s v="10.1080/08911762.2012.744123"/><s v="10.1016/j.jcps.2010.06.007"/><s v="10.1002/jcpy.1028"/><s v="10.1093/jcr/ucv007"/><s v="10.1093/jcr/ucx066"/><s v="10.1093/jcr/ucv048"/><s v="10.1093/jcr/ucv051"/><s v="10.1093/jcr/ucw056"/><s v="10.1016/j.ijresmar.2012.03.002"/><s v="10.1093/jcr/ucx039"/><s v="10.1093/jcr/ucw008"/><s v="10.1086/383422"/><s v="10.1086/661531"/><s v="10.1093/jcr/ucv049"/><s v="10.1086/669476"/><s v="10.1509/jmr.13.0023"/><s v="10.1037/0278-7393.34.2.353"/><s v="10.1037/0278-7393.34.2.430"/><s v="10.1111/j.1467-9280.2008.02062.x"/><s v="10.1111/j.1467-9280.2008.02066.x"/><s v="10.1111/j.1467-9280.2008.02078.x"/><s v="10.1111/j.1467-9280.2008.02075.x"/><s v="10.1037/0278-7393.34.1.65"/><s v="10.1111/j.1467-9280.2008.02092.x"/><s v="10.1111/j.1467-9280.2008.02057.x"/><s v="10.1111/j.1467-9280.2008.02041.x"/><s v="10.1111/j.1467-9280.2008.02089.x"/><s v="10.1111/j.1467-9280.2008.02043.x"/><s v="10.1111/j.1467-9280.2008.02069.x"/><s v="10.1111/j.1467-9280.2008.02136.x"/><s v="10.1111/j.1467-9280.2008.02046.x"/><s v="10.1111/j.1467-9280.2008.02077.x"/><s v="10.1037/0278-7393.34.1.243"/><s v="10.1111/j.1467-9280.2008.02053.x"/><s v="10.1111/j.1467-9280.2008.02091.x"/><s v="10.1111/j.1467-9280.2008.02098.x"/><s v="10.1111/j.1467-9280.2008.02058.x"/><s v="10.1111/j.1467-9280.2008.02036.x"/><s v="10.1111/j.1467-9280.2008.02080.x"/><s v="10.1111/j.1467-9280.2008.02052.x"/><s v="10.1037/0278-7393.34.3.546"/><s v="10.1111/j.1467-9280.2008.02072.x"/><s v="10.1111/j.1467-9280.2008.02064.x"/><s v="10.1111/j.1467-9280.2008.02095.x"/><s v="10.1111/j.1467-9280.2008.02076.x"/><s v="10.1111/j.1467-9280.2008.02045.x"/><s v="10.1111/j.1467-9280.2008.02050.x"/><s v="10.1111/j.1467-9280.2008.02084.x"/><s v="10.1111/j.1467-9280.2008.02088.x"/><s v="10.1111/j.1467-9280.2008.02056.x"/><s v="10.1111/j.1467-9280.2008.02100.x"/><s v="10.1111/j.1467-9280.2008.02070.x"/><s v="10.1111/j.1467-9280.2008.02060.x"/><s v="10.1037/0278-7393.34.3.514"/><s v="10.1111/j.1467-9280.2008.02044.x"/><s v="10.1111/j.1467-9280.2008.02049.x"/><s v="10.1111/j.1467-9280.2008.02085.x"/><s v="10.1111/j.1467-9280.2008.02093.x"/><s v="10.1111/j.1467-9280.2008.02042.x"/><s v="10.1111/j.1467-9280.2008.02081.x"/><s v="10.1111/j.1467-9280.2008.02051.x"/><s v="10.1037/0278-7393.34.1.186"/><s v="10.1037/0278-7393.34.3.439"/><s v="10.1037/0278-7393.34.2.408"/><s v="10.1037/0278-7393.34.2.302"/><s v="10.1037/0278-7393.34.2.343"/><s v="10.1037/0278-7393.34.3.524"/><s v="10.1037/0278-7393.34.1.50"/><s v="10.1037/0278-7393.34.3.495"/><s v="10.1037/0278-7393.34.1.249"/><s v="10.1037/0278-7393.34.2.399"/><s v="10.1037/0278-7393.34.3.478"/><s v="10.1037/0278-7393.34.1.204"/><s v="10.1037/0278-7393.34.1.128"/><s v="10.1037/0278-7393.34.1.80"/><s v="10.1037/0278-7393.34.2.369"/><s v="10.1037/0278-7393.34.1.167"/><s v="10.1037/0278-7393.34.1.230"/><s v="10.1037/0022-3514.94.1.16"/><s v="10.1037/0022-3514.94.4.718"/><s v="10.1037/0022-3514.94.4.696"/><s v="10.1037/0278-7393.34.1.237"/><s v="10.1037/0022-3514.94.4.560"/><s v="10.1037/0022-3514.94.3.545"/><s v="10.1037/0022-3514.94.1.1"/><s v="10.1037/0022-3514.94.4.600"/><s v="10.1037/0022-3514.95.2.420"/><s v="10.1037/0022-3514.94.4.647"/><s v="10.1037/0278-7393.34.1.97"/><s v="10.1037/0022-3514.94.1.158"/><s v="10.1037/0022-3514.94.4.579"/><s v="10.1037/0022-3514.94.3.516"/><s v="10.1037/0278-7393.34.1.219"/><s v="10.1037/0022-3514.94.4.672"/><s v="10.1037/0022-3514.94.5.871"/><s v="10.1037/0022-3514.94.2.183"/><s v="10.1037/0278-7393.34.3.460"/><s v="10.1037/0022-3514.94.1.116"/><s v="10.1111/j.1467-9280.2008.02054.x"/><s v="10.1037/0022-3514.94.3.382"/><s v="10.1037/0022-3514.94.1.91"/><s v="10.1037/0022-3514.94.2.245"/><s v="10.1037/0278-7393.34.2.257"/><s v="10.1037/0022-3514.94.3.429"/><s v="10.1037/0022-3514.95.2.274"/><s v="10.1037/0022-3514.94.4.615"/><s v="10.1086/598971"/><s v="10.1016/j.jesp.2009.06.003"/><s v="10.1177/2515245920919667"/><s v="10.1037/h0076284"/><s v="10.1016/j.cognition.2014.09.006"/><s v="10.1152/japplphysiol.91324.2008"/><s v="10.1080/08824096.2018.1525347"/><s v="10.1093/poq/nfx042"/><s v="10.1111/1467-9280.00376"/><s v="10.1177/0146167212475225"/><s v="10.1177/0146167216684132"/><s v="10.1037/mot0000097"/><s v="10.3758/s13414-020-02150-8"/><s v="10.1038/s41598-017-10669-4"/><s v="10.1080/13506280544000110"/><s v="10.1111/j.1467-9280.2007.01944.x"/><s v="10.1111/j.1467-8624.2007.00995.x"/><s v="10.1111/j.1933-1592.2006.tb00603.x"/><s v="10.1163/156853706776931385"/><s v="10.1080/13869790600641905"/><s v="10.1111/j.1468-0068.2007.00666.x"/><s v="10.1111/j.1475-4975.2007.00158.x"/><s v="10.1111/j.1475-4975.2007.00150.x"/><s v="10.1080/09515080801978777"/><s v="10.1007/s12152-008-9015-7"/><s v="10.1080/09515080307771"/><s v="10.5840/jphil20091061128"/><s v="10.1080/09515080902802769"/><s v="10.1016/j.concog.2008.11.006"/><s v="10.1080/09515080903532290"/><s v="10.1111/j.1468-0017.2010.01398.x"/><s v="10.1007/s11098-009-9439-x"/><s v="10.5840/jphil20111081238"/><s v="art00005"/><s v="10.1111/j.1468-0017.2011.01428.x"/><s v="10.1016/j.cognition.2003.10.003"/><s v="10.1007/s11098-010-9651-8"/><s v="10.1016/j.cognition.2013.02.008"/><s v="10.1017/epi.2013.23"/><s v="10.1007/s13164-013-0154-3"/><s v="10.1111/j.1933-1592.2012.00609.x"/><s v="10.1007/s13164-013-0162-3"/><s v="10.1093/aesthj/ayu027"/><s v="10.1080/09515089.2014.894431"/><s v="10.1111/nous.12017"/><s v="10.1111/j.1467-8284.2004.00481.x"/><s v="10.1016/j.cognition.2015.01.013"/><s v="10.1080/0951508042000202354"/><s v="10.1037/h0091247"/><s v="10.1080/09515080500264180"/><s v="10.1080/09515080500355236"/><s v="10.1080/09515080500177309"/><s v="10.1111/1467-6494.t01-1-00094"/></sharedItems></cacheField><cacheField name="study_o"><sharedItems containsBlank="1" containsMixedTypes="1" containsNumber="1" containsInteger="1"><s v="Number of study in paper, e.g., 1 or 2A"/><n v="1.0"/><m/><n v="2.0"/><n v="3.0"/><s v="1c"/><n v="6.0"/><s v="1, 2, 3"/><s v="n/a"/><s v="2A"/><n v="4.0"/><n v="5.0"/><s v="2b"/><s v="1 (younger adults only)"/><s v="5A"/><s v="5B"/><n v="7.0"/><s v="1a"/><s v="Supp. 4"/><s v="1b-1c"/><s v="supplement -- 3 with study 1 images"/><s v="1,5"/><n v="8.0"/><s v="replicating control condition only for 2 DVs: gist and details"/><s v="1b"/><s v="1 (laboratory experiment)"/><s v="3a"/><s v="1,3"/><s v="4b"/><n v="9.0"/><s v="Scenarios 1 &amp; 2"/><s v="1 &amp; 2"/><n v="10.0"/><s v="3 &amp; 4"/><s v="1 (3 &amp; 4)"/><s v="1a-c"/><s v="4a"/><s v="2c"/><s v="1a-1c (combined samples)"/><s v="1a-1c (combined sample)"/><s v="NA"/><s v="1+2"/></sharedItems></cacheField><cacheField name="file_o" numFmtId="0"><sharedItems><s v="file-name for O PDF - only edit if DOI is missing"/><s v="10.1111--j.1467-9280.2008.02061.x.pdf"/><s v="10.1111--j.1468-0068.2010.00795.x.pdf"/><s v="10.1016--j.obhdp.2004.12.002.pdf"/><s v="10.1007--s11858-016-0819-3.pdf"/><s v="10.1111--lang.12161.pdf"/><s v="10.4148--1944-9771.1299.pdf"/><s v="10.1037--pspi0000109.pdf"/><s v="10.1016--j.jsams.2017.06.007.pdf"/><s v="10.1017--s1355617717001059.pdf"/><s v="10.2307--25148791.pdf"/><s v="10.1016--j.jsp.2021.09.004.pdf"/><s v="10.1016--j.learninstruc.2018.05.004.pdf"/><s v="10.3102--0013189x13507104.pdf"/><s v="10.1017--s0272263114000126.pdf"/><s v="10.1037--met0000511.pdf"/><s v="10.1016--s2215-0366(21)00241-8.pdf"/><s v="10.1038--s41467-018-06785-y.pdf"/><s v="10.1016--j.ijinfomgt.2018.03.001.pdf"/><s v="10.1002--jaba.946.pdf"/><s v="10.1111--j.1467-9280.2007.01961.x.pdf"/><s v="10.1521--soco.2008.26.2.143.pdf"/><s v="10.1177--0956797613478614.pdf"/><s v="10.1016--j.jenvp.2022.101868.pdf"/><s v="10.1002--bin.1659.pdf"/><s v="10.1016--j.drugalcdep.2021.108610.pdf"/><s v="10.1002--jeab.432.pdf"/><s v="10.1016--j.paid.2021.111472.pdf"/><s v="10.1016--j.learninstruc.2018.04.006.pdf"/><s v="10.1016--j.jarmac.2021.08.001.pdf"/><s v="10.1080--23273798.2020.1810292.pdf"/><s v="10.1016--j.system.2004.01.001.pdf"/><s v="10.3138--cmlr.65.3.395.pdf"/><s v="10.1002--jeab.705.pdf"/><s v="10.1016--j.psychres.2017.09.048.pdf"/><s v="10.1177--0267658310386439.pdf"/><s v="10.1111--1467-6281.00073.pdf"/><s v="10.1037--a0025345.pdf"/><s v="10.1016--j.obhdp.2018.10.004.pdf"/><s v="thekeep.eiu.edu--theses--4783.pdf"/><s v="10.1002--pam.21702.pdf"/><s v="10.18653--v1--2023.acl-long.864.pdf"/><s v="10.1080--13523260.2020.1868836.pdf"/><s v="10.1016--j.jpsychires.2008.07.004.pdf"/><s v="10.1162--rest.90.2.300.pdf"/><s v="10.1075--ijcl.19131.lar.pdf"/><s v="10.1017--s1366728914000273.pdf"/><s v="scholars.indianastate.eduetds--2136.pdf"/><s v="10.1075--resla.17019.loz.pdf"/><s v="10.1111--0023-8333.00112.pdf"/><s v="10.1038--s41598-024-61469-6.pdf"/><s v="escholarship.org--uc--item--0qf9t9pc.pdf"/><s v="Brooke, J. H. (1991). Science and religion-Some historical perspectives.pdf"/><s v="10.1016--j.econedurev.2005.05.008.pdf"/><s v="10.1111--j.1540-5885.2010.00778.x.pdf"/><s v="10.1089--cyber.2015.0311.pdf"/><s v="10.1037--0021-9010.77.4.419.pdf"/><s v="10.1016--j.learninstruc.2014.08.004.pdf"/><s v="10.1016--0030-5073(76)90005-2.pdf"/><s v="10.1037--a0019006.pdf"/><s v="10.1006--obhd.1994.1063.pdf"/><s v="10.1007--s10857-015-9324-9.pdf"/><s v="10.1177--1948550611432938.pdf"/><s v="10.1016--j.biopsycho.2018.08.007.pdf"/><s v="10.1145--3105726.3106182.pdf"/><s v="10.1109--tse.2016.2527791.pdf"/><s v="10.1007--s10802-020-00712-w.pdf"/><s v="10.1086--648381.pdf"/><s v="10.1007--s40732-020-00432-8.pdf"/><s v="10.1016--j.appet.2020.104808.pdf"/><s v="10.1037--pspp0000263.pdf"/><s v="10.1177--1948550619843931.pdf"/><s v="10.1093--geront--gnac158.pdf"/><s v="10.1038--s41598-022-24919-7.pdf"/><s v="10.1037--lhb0000532.pdf"/><s v="10.3233--jad-2009-1163.pdf"/><s v="10.1186--s40163-021-00141-0.pdf"/><s v="10.1177--2f10986111211035002.pdf"/><s v="10.1017--s0007123421000557.pdf"/><s v="10.1007--s11150-021-09593-4.pdf"/><s v="10.37237--relay--010204.pdf"/><s v="10.1073--pnas.212066811.pdf"/><s v="10.1038--s41586-022-04452-3.pdf"/><s v="10.1007--s10826-019-01370-3.pdf"/><s v="10.1002--jaba.968.pdf"/><s v="10.1073--pnas.2 015539118.pdf"/><s v="10.3758--bf03211160.pdf"/><s v="10.1075--jslp.22013.tel.pdf"/><s v="10.1080--10496491.2022.2108189.pdf"/><s v="10.1111--psyp.12132.pdf"/><s v="10.1002--smj.201.pdf"/><s v="10.1177--2167702614545216.pdf"/><s v="10.1016--j.cortex.2014.02.013.pdf"/><s v="10.51548--joctec-2021-016.pdf"/><s v="10.3982--ecta12807.pdf"/><s v="10.1111--j.1467-9280.2006.01721.x.pdf"/><s v="10.1073--pnas.2218961120.pdf"/><s v="10.1016--j.cub.2004.01.029.pdf"/><s v="10.1016--j.neuroimage.2006.11.048.pdf"/><s v="10.1038--nature03390.pdf"/><s v="10.1177--0093650215609676.pdf"/><s v="10.1177--0956797619879441.pdf"/><s v="10.1037--xge0000263.pdf"/><s v="10.1177--0956797618813092.pdf"/><s v="10.1177--1747021817744546.pdf"/><s v="10.1177--0956797618780643.pdf"/><s v="10.1073--pnas.1523698113.pdf"/><s v="10.1162--jocn_a_00709.pdf"/><s v="10.1037--0022-3514.94.2.94.2.196.pdf"/><s v="10.1111--j.1551-6709.2011.01210.x.pdf"/><s v="10.1111--j.1467-9280.2008.02157.x.pdf"/><s v="10.3758--s13428-021-01694-3.pdf"/><s v="10.1177--0956797617728270.pdf"/><s v="10.1073--pnas.1118373109.pdf"/><s v="10.1177--0956797618818484.pdf"/><s v="10.1177--0956797615612202.pdf"/><s v="10.1177--147470491100900206.pdf"/><s v="10.1177--0956797615598739.pdf"/><s v="10.1016--j.neuropsychologia.2009.05.011.pdf"/><s v="10.1037--a0028216.pdf"/><s v="10.1145--2470654.2481281.pdf"/><s v="10.1016--j.jesp.2018.05.006.pdf"/><s v="10.1177--0956797612444613.pdf"/><s v="10.1037--0022-3514.95.2.293.pdf"/><s v="10.1037--pspi0000081.pdf"/><s v="10.1177--0956797619855382.pdf"/><s v="10.1177--0956797610397956.pdf"/><s v="10.1177--0956797617706082.pdf"/><s v="10.1523--jneurosci.18-23-10105.1998.pdf"/><s v="10.1177--0956797609359908.pdf"/><s v="10.1177--0956797611434540.pdf"/><s v="10.1177--0956797614558718.pdf"/><s v="10.1523--jneurosci.2377-10.2010.pdf"/><s v="10.1111--j.1467-9280.2008.02227.x.pdf"/><s v="10.1177--0956797615573516.pdf"/><s v="10.1177--1948550619849426.pdf"/><s v="10.1037--a0029649.pdf"/><s v="10.1177--0956797614563958.pdf"/><s v="10.1177--0956797616651973.pdf"/><s v="10.1177--0956797614534693.pdf"/><s v="10.1093--workar--waac024.pdf"/><s v="10.1177--0956797611418350.pdf"/><s v="10.1177--0956797612445318.pdf"/><s v="10.1177--0956797616662271.pdf"/><s v="10.1177--0956797614554955.pdf"/><s v="10.1037xge0000738.pdf"/><s v="10.1111--cogs.12176.pdf"/><s v="10.1177--0956797614559285.pdf"/><s v="10.1177--0956797616630964.pdf"/><s v="10.1126--science.148.3670.661.pdf"/><s v="10.1073--pnas.1202129109.pdf"/><s v="10.1177--0956797616667459.pdf"/><s v="10.1093--jos--ffw010.pdf"/><s v="10.1177--0956797615624492.pdf"/><s v="10.1515--ling.2011.016.pdf"/><s v="10.1177--0956797616650875.pdf"/><s v="10.1177--0956797616674999.pdf"/><s v="10.1089--cyber.2016.0530.pdf"/><s v="10.1111--1467-8284.00419.pdf"/><s v="10.1163--156853706776931222.pdf"/><s v="10.1111--cogs.12605.pdf"/><s v="10.1177--09567976221082637.pdf"/><s v="10.1126--science.1132491.pdf"/><s v="10.1177--0956797613502732.pdf"/><s v="10.1038--s41467-021-27323-3.pdf"/><s v="10.1177--0956797613508412.pdf"/><s v="10.1126--science.1250830.pdf"/><s v="10.1016--j.obhdp.2010.10.001.pdf"/><s v="10.1177--0956797615585002.pdf"/><s v="10.1177--0956797618779061.pdf"/><s v="10.1111--1467-9280.02436.pdf"/><s v="10.1177--0956797619856844.pdf"/><s v="10.1016--j.ecresq.2019.10.004.pdf"/><s v="10.1177--0956797614561266.pdf"/><s v="10.1177--0956797615617779.pdf"/><s v="10.1177--0956797618805750.pdf"/><s v="10.1177--0956797615569889.pdf"/><s v="10.1037--a0012833.pdf"/><s v="10.1177--0956797616634654.pdf"/><s v="10.1080--23273798.2018.1431397.pdf"/><s v="escholarship.orgucitem39d347bk.pdf"/><s v="10.1177--0956797615625640.pdf"/><s v="10.1177--0956797611419168.pdf"/><s v="10.1086--511799.pdf"/><s v="10.1177--0956797614527113.pdf"/><s v="10.1177--1948550612457688.pdf"/><s v="10.1162--089892900562219.pdf"/><s v="10.1111--j.1467-9280.2008.02039.x.pdf"/><s v="10.1177--0956797620927967.pdf"/><s v="10.1111--j.1551-6709.2010.01164.x.pdf"/><s v="10.1016--j.neuron.2011.02.027.pdf"/><s v="10.1016--j.neuroimage.2009.09.024.pdf"/><s v="djärv_2018.pdf"/><s v="10.1037--rev0000175.pdf"/><s v="10.1177--0956797616669947.pdf"/><s v="10.1073--pnas.0908963106.pdf"/><s v="10.1037--0022-3514.94.3.495.pdf"/><s v="10.1177--0956797612449177.pdf"/><s v="10.1037--0022-3514.94.2.94.2.231.pdf"/><s v="10.1177--0956797615588195.pdf"/><s v="10.1371--journal.pone.0071475.pdf"/><s v="10.1371--journal.pone.0154854.pdf"/><s v="10.1038--nn.2889.pdf"/><s v="10.1177--0146167214524992.pdf"/><s v="10.1177--0001839219840022.pdf"/><s v="10.1016--j.jesp.2020.104019.pdf"/><s v="10.1073--pnas.1216438110.pdf"/><s v="10.1016--0010-0285(83)90002-6.pdf"/><s v="10.1037--a0035663.pdf"/><s v="10.1093--geronb--gbx099.pdf"/><s v="10.1111--j.1551-6709.2010.01161.x.pdf"/><s v="10.1126--science.1134475.pdf"/><s v="10.1037--a0031047.pdf"/><s v="10.1177--0956797615608267.pdf"/><s v="10.1016--j.cognition.2007.11.004.pdf"/><s v="10.1111--j.1467-9280.2006.01780.x.pdf"/><s v="10.1177--0956797616639727.pdf"/><s v="10.1038--s41598-018-30314-y.pdf"/><s v="10.1073--pnas.2009030117.pdf"/><s v="10.1037--0022-3514.94.3.396 (1).pdf"/><s v="10.1037--0022-3514.94.3.396.pdf"/><s v="10.1016--j.visres.2005.04.013.pdf"/><s v="10.1016--j.jesp.2020.104080.pdf"/><s v="10.1016--j.cognition.2016.06.011.pdf"/><s v="10.1177--0956797613494853.pdf"/><s v="10.1177--0956797616640705.pdf"/><s v="10.1111--ecin.12470.pdf"/><s v="10.1145--3290605.3300469.pdf"/><s v="10.1037--xge0001195.pdf"/><s v="10.1016--j.jml.2006.02.004.pdf"/><s v="10.1177--0956797616685771.pdf"/><s v="10.1177--0146167215580776.pdf"/><s v="10.1287--orsc.2021.1456.pdf"/><s v="10.1016--s0010-0277(03)00064-7.pdf"/><s v="10.1037--0022-3514.77.4.785.pdf"/><s v="10.1177--0956797614536739.pdf"/><s v="10.1177--0956797614553009.pdf"/><s v="10.1037--a0020413.pdf"/><s v="10.1016--j.cognition.2019.104157.pdf"/><s v="10.1177--0956797618760784.pdf"/><s v="10.1126--science.1190792.pdf"/><s v="10.1037--0096-3445.132.1.3.pdf"/><s v="10.1111--j.1467-9280.2007.01909.x.pdf"/><s v="10.1177--0956797614563108.pdf"/><s v="10.1111--j.1467-9280.2008.02040.x.pdf"/><s v="10.1073--pnas.2014505117.pdf"/><s v="10.1177--0956797615572231.pdf"/><s v="10.1038--s41598-019-57204-1.pdf"/><s v="10.1037--a0016795.pdf"/><s v="10.1177--0956797618788882.pdf"/><s v="10.1177--0956797614547705.pdf"/><s v="10.1177--0956797611428079.pdf"/><s v="10.1177--0956797617705399.pdf"/><s v="10.1016--j.cognition.2017.06.025.pdf"/><s v="10.1177--0956797619854706.pdf"/><s v="10.1177--0146167207309195.pdf"/><s v="10.1126--science.1238041.pdf"/><s v="10.1037--a0032108.pdf"/><s v="10.1145--3173574.3174188.pdf"/><s v="10.1287--mnsc.2019.3362.pdf"/><s v="10.1177--0956797618806296.pdf"/><s v="10.1037--0022-3514.95.1.76.pdf"/><s v="10.1037--0278-7393.34.1.146.pdf"/><s v="10.1257--aer.101.2.470.pdf"/><s v="10.1257--aer.103.4.1325.pdf"/><s v="10.1257--aer.102.1.337.pdf"/><s v="10.1257--aer.102.2.720.pdf"/><s v="10.1257--aer.101.2.819.pdf"/><s v="10.1257--aer.101.7.3109.pdf"/><s v="10.1257--aer.102.5.2018.pdf"/><s v="10.1257--aer.102.2.865.pdf"/><s v="10.1257--aer.101.2.927.pdf"/><s v="10.1093--qje--qjt035.pdf"/><s v="10.1257--aer.102.7.3317.pdf"/><s v="10.1257--aer.102.2.834.pdf"/><s v="10.1257--aer.101.4.1211.pdf"/><s v="10.1257--aer.101.6.2562.pdf"/><s v="10.1257--aer.104.11.3434.pdf"/><s v="10.1257--aer.104.6.1735.pdf"/><s v="10.1257--aer.101.2.526.pdf"/><s v="10.1093--qje--qjr034.pdf"/><s v="10.1126--science.1189993.pdf"/><s v="10.1126--science.1199327.pdf"/><s v="10.1126--science.1239918.pdf"/><s v="10.1126--science.1186799.pdf"/><s v="10.1126--science.1195701.pdf"/><s v="10.1038--nature15392.pdf"/><s v="10.1126--science.1191465.pdf"/><s v="10.1126--science.1199427.pdf"/><s v="10.1038--nature11467.pdf"/><s v="10.1126--science.1222426.pdf"/><s v="10.1126--science.1224313.pdf"/><s v="10.1126--science.1207745.pdf"/><s v="10.1126--science.1211180.pdf"/><s v="10.1038--nature12774.pdf"/><s v="10.1126--science.1221936.pdf"/><s v="10.1126--science.1215647.pdf"/><s v="10.1126--science.1253932.pdf"/><s v="10.1038--nature13530.pdf"/><s v="10.1126--science.1183532.pdf"/><s v="10.1037--0022-3514.77.2.221.pdf"/><s v="10.1037--0022-3514.92.2.325.pdf"/><s v="10.1177--0956797609358096.pdf"/><s v="10.1037--0022-3514.74.3.774.pdf"/><s v="10.1037--0022-3514.85.1.33.pdf"/><s v="10.1037--0096-3445.136.2.241.pdf"/><s v="10.1111--j.1467-9280.2007.02004.x.pdf"/><s v="10.1086--268936.pdf"/><s v="10.1037--0022-3514.71.2.230.pdf"/><s v="10.1037--1089-2699.6.1.101.pdf"/><s v="10.1037--0022-3514.83.1.44.pdf"/><s v="10.1037--a0027598.pdf"/><s v="10.1126--science.7455683.pdf"/><s v="10.1017--s1930297500001170.pdf"/><s v="10.1016--j.jesp.2004.07.001.pdf"/><s v="10.1126--science.1130726.pdf"/><s v="10.1177--01461672952111004.pdf"/><s v="10.1037--0022-3514.94.1.48.pdf"/><s v="10.1177--0956797610383437.pdf"/><s v="10.1037--a0021524.pdf"/><s v="10.1111--j.1467-9280.2009.02426.x.pdf"/><s v="10.1027--1864-9335--a000147.pdf"/><s v="10.1037--0022-3514.45.4.805.pdf"/><s v="10.1016--j.jesp.2011.11.012.pdf"/><s v="10.1037--0022-3514.82.5.792.pdf"/><s v="10.1037--a0023527.pdf"/><s v="10.1037--h0054651.pdf"/><s v="10.1016--s0010-0277(99)00073-6.pdf"/><s v="10.1016--0010-0285(73)90033-9.pdf"/><s v="10.1111--j.1467-9280.2006.01824.x.pdf"/><s v="10.1177--0956797611435919.pdf"/><s v="10.1037--a0029288.pdf"/><s v="10.1016--j.jesp.2010.05.014.pdf"/><s v="10.1016--j.jesp.2009.03.009.pdf"/><s v="10.1093--jcr--ucaa019.pdf"/><s v="10.1093--jcr--ucy082.pdf"/><s v="10.1093--jcr--ucz022.pdf"/><s v="10.1093--jcr--ucy055.pdf"/><s v="10.1093--jcr--ucaa006.pdf"/><s v="10.1037--a0019689.pdf"/><s v="10.1177--0146167215610520.pdf"/><s v="10.1111--j.1467-9280.2006.01704.x.pdf"/><s v="10.1016--j.jesp.2005.05.001.pdf"/><s v="10.1073--pnas.1519401113.pdf"/><s v="10.1073--pnas.1805327115.pdf"/><s v="10.1073--pnas.1601280113.pdf"/><s v="10.1073--pnas.1516868113.pdf"/><s v="10.1073--pnas.1706913114.pdf"/><s v="10.1073--pnas.1516047113.pdf"/><s v="10.1073--pnas.1505067112.pdf"/><s v="10.1073--pnas.1722664115.pdf"/><s v="10.1073--pnas.1620542114.pdf"/><s v="10.1073--pnas.1701916114.pdf"/><s v="10.1073--pnas.1511536112.pdf"/><s v="10.1073--pnas.1508932113.pdf"/><s v="10.1073--pnas.1606574113.pdf"/><s v="10.1073--pnas.1607330114.pdf"/><s v="10.1073--pnas.1616921114.pdf"/><s v="10.1073--pnas.1717092115.pdf"/><s v="10.1073--pnas.1610834113.pdf"/><s v="10.1073--pnas.1805284115.pdf"/><s v="10.1073--pnas.1501592112.pdf"/><s v="10.1073--pnas.1517662112.pdf"/><s v="10.1073--pnas.1707040114.pdf"/><s v="10.1073--pnas.1705238114.pdf"/><s v="10.1073--pnas.1704032114.pdf"/><s v="10.1073--pnas.1706253114.pdf"/><s v="10.1073--pnas.1707719114.pdf"/><s v="10.1073--pnas.1523586113.pdf"/><s v="10.1080--02699931.2016.1273201.pdf"/><s v="10.3389--fpsyg.2014.01276.pdf"/><s v="10.1016--j.euroecorev.2004.01.004.pdf"/><s v="10.1257--mac.20130176.pdf"/><s v="10.1002--soej.12223.pdf"/><s v="10.1257--mac.1.1.146.pdf"/><s v="10.1162--rest_a_00258.pdf"/><s v="10.1037--a0015960.pdf"/><s v="10.1086--269239.pdf"/><s v="10.1037--0022-3514.83.5.1239.pdf"/><s v="3329308.pdf"/><s v="10.1007--s11098-004-4510-0.pdf"/><s v="10.1111-- j.1468-0017.2006.00297.x.pdf"/><s v="10.1016--0022-1031(77)90049-x.pdf"/><s v="10.1037--a0013748.pdf"/><s v="10.1002--ejsp.2013.pdf"/><s v="10.1037--a0015141.pdf"/><s v="10.1177--0956797611429579.pdf"/><s v="10.1002--bdm.586.pdf"/><s v="10.1016--j .obhdp.2006.10.001.pdf"/><s v="9781032633275.pdf"/><s v="10.1037--a0034462.pdf"/><s v="10.1037--0022-3514.73.4.733.pdf"/><s v="10.1038--nclimate2093.pdf"/><s v="10.1037--0096- 3445.136.4.569.pdf"/><s v="10.1177--0956797611434537.pdf"/><s v="10.1111--1467- 9280.00334.pdf"/><s v="10.3758--bf03197186.pdf"/><s v="10.1207-- s15516709cog2605_4.pdf"/><s v="10.1002--(sici)1099-0771(199806)11_2_3c107_aid-bdm292_3e3.0.co_2-y.pdf"/><s v="10.1002--(sici)1099-0771(199806)11:2%3c107::aid-bdm292%3e3.0.co;2-y.pdf"/><s v="10.1080--08911762.2012.744123.pdf"/><s v="10.1016--j.jcps.2010.06.007.pdf"/><s v="10.1002--jcpy.1028.pdf"/><s v="10.1093--jcr--ucv007.pdf"/><s v="10.1093--jcr--ucx066.pdf"/><s v="10.1093--jcr--ucv048.pdf"/><s v="10.1093--jcr--ucv051.pdf"/><s v="10.1093--jcr--ucw056.pdf"/><s v="10.1016--j.ijresmar.2012.03.002.pdf"/><s v="10.1093--jcr--ucx039.pdf"/><s v="10.1093--jcr--ucw008.pdf"/><s v="10.1086--383422.pdf"/><s v="10.1086--661531.pdf"/><s v="10.1093--jcr--ucv049.pdf"/><s v="10.1086--669476.pdf"/><s v="10.1509--jmr.13.0023.pdf"/><s v="10.1037--0278-7393.34.2.353.pdf"/><s v="10.1037--0278-7393.34.2.430.pdf"/><s v="10.1111--j.1467-9280.2008.02062.x.pdf"/><s v="10.1111--j.1467-9280.2008.02066.x.pdf"/><s v="10.1111--j.1467-9280.2008.02078.x.pdf"/><s v="10.1111--j.1467-9280.2008.02075.x.pdf"/><s v="10.1037--0278-7393.34.1.65.pdf"/><s v="10.1111--j.1467-9280.2008.02092.x.pdf"/><s v="10.1111--j.1467-9280.2008.02057.x.pdf"/><s v="10.1111--j.1467-9280.2008.02041.x.pdf"/><s v="10.1111--j.1467-9280.2008.02089.x.pdf"/><s v="10.1111--j.1467-9280.2008.02043.x.pdf"/><s v="10.1111--j.1467-9280.2008.02069.x.pdf"/><s v="10.1111--j.1467-9280.2008.02136.x.pdf"/><s v="10.1111--j.1467-9280.2008.02046.x.pdf"/><s v="10.1111--j.1467-9280.2008.02077.x.pdf"/><s v="10.1037--0278-7393.34.1.243.pdf"/><s v="10.1111--j.1467-9280.2008.02053.x.pdf"/><s v="10.1111--j.1467-9280.2008.02091.x.pdf"/><s v="10.1111--j.1467-9280.2008.02098.x.pdf"/><s v="10.1111--j.1467-9280.2008.02058.x.pdf"/><s v="10.1111--j.1467-9280.2008.02036.x.pdf"/><s v="10.1111--j.1467-9280.2008.02080.x.pdf"/><s v="10.1111--j.1467-9280.2008.02052.x.pdf"/><s v="10.1037--0278-7393.34.3.546.pdf"/><s v="10.1111--j.1467-9280.2008.02072.x.pdf"/><s v="10.1111--j.1467-9280.2008.02064.x.pdf"/><s v="10.1111--j.1467-9280.2008.02095.x.pdf"/><s v="10.1111--j.1467-9280.2008.02076.x.pdf"/><s v="10.1111--j.1467-9280.2008.02045.x.pdf"/><s v="10.1111--j.1467-9280.2008.02050.x.pdf"/><s v="10.1111--j.1467-9280.2008.02084.x.pdf"/><s v="10.1111--j.1467-9280.2008.02088.x.pdf"/><s v="10.1111--j.1467-9280.2008.02056.x.pdf"/><s v="10.1111--j.1467-9280.2008.02100.x.pdf"/><s v="10.1111--j.1467-9280.2008.02070.x.pdf"/><s v="10.1111--j.1467-9280.2008.02060.x.pdf"/><s v="10.1037--0278-7393.34.3.514.pdf"/><s v="10.1111--j.1467-9280.2008.02044.x.pdf"/><s v="10.1111--j.1467-9280.2008.02049.x.pdf"/><s v="10.1111--j.1467-9280.2008.02085.x.pdf"/><s v="10.1111--j.1467-9280.2008.02093.x.pdf"/><s v="10.1111--j.1467-9280.2008.02042.x.pdf"/><s v="10.1111--j.1467-9280.2008.02081.x.pdf"/><s v="10.1111--j.1467-9280.2008.02051.x.pdf"/><s v="10.1037--0278-7393.34.1.186.pdf"/><s v="10.1037--0278-7393.34.3.439.pdf"/><s v="10.1037--0278-7393.34.2.408.pdf"/><s v="10.1037--0278-7393.34.2.302.pdf"/><s v="10.1037--0278-7393.34.2.343.pdf"/><s v="10.1037--0278-7393.34.3.524.pdf"/><s v="10.1037--0278-7393.34.1.50.pdf"/><s v="10.1037--0278-7393.34.3.495.pdf"/><s v="10.1037--0278-7393.34.1.249.pdf"/><s v="10.1037--0278-7393.34.2.399.pdf"/><s v="10.1037--0278-7393.34.3.478.pdf"/><s v="10.1037--0278-7393.34.1.204.pdf"/><s v="10.1037--0278-7393.34.1.128.pdf"/><s v="10.1037--0278-7393.34.1.80.pdf"/><s v="10.1037--0278-7393.34.2.369.pdf"/><s v="10.1037--0278-7393.34.1.167.pdf"/><s v="10.1037--0278-7393.34.1.230.pdf"/><s v="10.1037--0022-3514.94.1.16.pdf"/><s v="10.1037--0022-3514.94.4.718.pdf"/><s v="10.1037--0022-3514.94.4.696.pdf"/><s v="10.1037--0278-7393.34.1.237.pdf"/><s v="10.1037--0022-3514.94.4.560.pdf"/><s v="10.1037--0022-3514.94.3.545.pdf"/><s v="10.1037--0022-3514.94.1.1.pdf"/><s v="10.1037--0022-3514.94.4.600.pdf"/><s v="10.1037--0022-3514.95.2.420.pdf"/><s v="10.1037--0022-3514.94.4.647.pdf"/><s v="10.1037--0278-7393.34.1.97.pdf"/><s v="10.1037--0022-3514.94.1.158.pdf"/><s v="10.1037--0022-3514.94.4.579.pdf"/><s v="10.1037--0022-3514.94.3.516.pdf"/><s v="10.1037--0278-7393.34.1.219.pdf"/><s v="10.1037--0022-3514.94.4.672.pdf"/><s v="10.1037--0022-3514.94.5.871.pdf"/><s v="10.1037--0022-3514.94.2.183.pdf"/><s v="10.1037--0278-7393.34.3.460.pdf"/><s v="10.1037--0022-3514.94.1.116.pdf"/><s v="10.1111--j.1467-9280.2008.02054.x.pdf"/><s v="10.1037--0022-3514.94.3.382.pdf"/><s v="10.1037--0022-3514.94.1.91.pdf"/><s v="10.1037--0022-3514.94.2.245.pdf"/><s v="10.1037--0278-7393.34.2.257.pdf"/><s v="10.1037--0022-3514.94.3.429.pdf"/><s v="10.1037--0022-3514.95.2.274.pdf"/><s v="10.1037--0022-3514.94.4.615.pdf"/><s v="10.1086--598971.pdf"/><s v="10.1016--j.jesp.2009.06.003.pdf"/><s v="10.1177--2515245920919667.pdf"/><s v="10.1037--h0076284.pdf"/><s v="10.1016--j.cognition.2014.09.006.pdf"/><s v="10.1152--japplphysiol.91324.2008.pdf"/><s v="10.1080--08824096.2018.1525347.pdf"/><s v="10.1093--poq--nfx042.pdf"/><s v="10.1111--1467-9280.00376.pdf"/><s v="10.1177--0146167212475225.pdf"/><s v="10.1177--0146167216684132.pdf"/><s v="10.1037--mot0000097.pdf"/><s v="10.3758--s13414-020-02150-8.pdf"/><s v="10.1038--s41598-017-10669-4.pdf"/><s v="10.1080--13506280544000110.pdf"/><s v="10.1111--j.1467-9280.2007.01944.x.pdf"/><s v="10.1111--j.1467-8624.2007.00995.x.pdf"/><s v="10.1111--j.1933-1592.2006.tb00603.x.pdf"/><s v="10.1163--156853706776931385.pdf"/><s v="10.1080--13869790600641905.pdf"/><s v="10.1111--j.1468-0068.2007.00666.x.pdf"/><s v="10.1111--j.1475-4975.2007.00158.x.pdf"/><s v="10.1111--j.1475-4975.2007.00150.x.pdf"/><s v="10.1080--09515080801978777.pdf"/><s v="10.1007--s12152-008-9015-7.pdf"/><s v="10.1080--09515080307771.pdf"/><s v="10.5840--jphil20091061128.pdf"/><s v="10.1080--09515080902802769.pdf"/><s v="10.1016--j.concog.2008.11.006.pdf"/><s v="10.1080--09515080903532290.pdf"/><s v="10.1111--j.1468-0017.2010.01398.x.pdf"/><s v="10.1007--s11098-009-9439-x.pdf"/><s v="10.5840--jphil20111081238.pdf"/><s v="art00005.pdf"/><s v="10.1111--j.1468-0017.2011.01428.x.pdf"/><s v="10.1016--j.cognition.2003.10.003.pdf"/><s v="10.1007--s11098-010-9651-8.pdf"/><s v="10.1016--j.cognition.2013.02.008.pdf"/><s v="10.1017--epi.2013.23.pdf"/><s v="10.1007--s13164-013-0154-3.pdf"/><s v="10.1111--j.1933-1592.2012.00609.x.pdf"/><s v="10.1007--s13164-013-0162-3.pdf"/><s v="10.1093--aesthj--ayu027.pdf"/><s v="10.1080--09515089.2014.894431.pdf"/><s v="10.1111--nous.12017.pdf"/><s v="10.1111--j.1467-8284.2004.00481.x.pdf"/><s v="10.1016--j.cognition.2015.01.013.pdf"/><s v="10.1080--0951508042000202354.pdf"/><s v="10.1037--h0091247.pdf"/><s v="10.1080--09515080500264180.pdf"/><s v="10.1080--09515080500355236.pdf"/><s v="10.1080--09515080500177309.pdf"/><s v="10.1111--1467-6494.t01-1-00094.pdf"/></sharedItems></cacheField><cacheField name="link_o" numFmtId="0"><sharedItems containsBlank="1"><m/><s v="https://drive.google.com/file/d/140WKvPe6h8fNM79ffoPo5RX6uP0flGT4/view?usp=drivesdk"/><s v="https://drive.google.com/file/d/1O4mjB0-ZSujMTJYtaAoIsXTPuhxgEF-0/view?usp=drivesdk"/><s v="NA"/><s v="https://drive.google.com/file/d/1CZ8RmInPe2eqHwf-p8tl0IQxpn8_H_C5/view?usp=drivesdk"/><s v="https://drive.google.com/file/d/1A3A0XWewbvFp536VbiCjIAYxdIJwVP-9/view?usp=drivesdk"/><s v="https://drive.google.com/file/d/1W_KvsfbanYWBQG9nzoDuqDlzFW_jUYH2/view?usp=drivesdk"/><s v="https://drive.google.com/file/d/1OByNKNsjZqSFHFFyt-o1mPqDkVmgruBu/view?usp=drivesdk"/><s v="https://drive.google.com/file/d/1DO937F2xhbz54X6xu8qtsy63K6O9mEYa/view?usp=drivesdk"/><s v="https://drive.google.com/file/d/1bOamtHkDDCeR5rldqOBSgCXc_AFZb3yD/view?usp=drivesdk"/><s v="N/A"/><s v="https://drive.google.com/file/d/1R2VrRXYyejGfSg11kpe_vHbQr5DvYbiJ/view?usp=drivesdk"/><s v="https://drive.google.com/file/d/1RTiaFppoyqVSbs6ENCjo8xyaIVfjFhVI/view?usp=drivesdk"/><s v="https://drive.google.com/file/d/1GpQZNwn0thDz2IQRffeGzv6KDWQiKn_I/view?usp=drivesdk"/><s v="https://drive.google.com/file/d/1mMbXlq0wHwW3u94B3l_0KZ3_2GsCObmh/view?usp=drivesdk"/><s v="https://drive.google.com/file/d/1rAL0rmM0jbf9S7uX5DiL77r3bNeTGrOY/view?usp=drivesdk"/><s v="https://drive.google.com/file/d/1S1BDaMkHx3KW3osHCgZU9COckw9P0yzi/view?usp=drivesdk"/><s v="https://drive.google.com/file/d/1n-j6Aip_Ueqh39JoVXmnujoaVUR_DnRz/view?usp=drivesdk"/><s v="https://drive.google.com/file/d/15kKUsqyFArf82r6bAlXLuUVgHc1vD9sW/view?usp=drivesdk"/><s v="https://drive.google.com/file/d/1bHfJ-3gEyIURBJhF8bZZGAbZGtPK135A/view?usp=drivesdk"/><s v="https://drive.google.com/file/d/145Pa13zh5Prx2VW-au4YJBMHc37TXuej/view?usp=drivesdk"/><s v="https://drive.google.com/file/d/1PO93PC_ps2XExqA6N_FX_WnXnQAPrB_Q/view?usp=drivesdk"/><s v="https://drive.google.com/file/d/1CxhrkeSaHBzp5T2m5mVKo0v0N9tNA96j/view?usp=drivesdk"/><s v="https://drive.google.com/file/d/1DrC4ktWX9HamK4DWq_tF1P_2alxXHAnN/view?usp=drivesdk"/><s v="https://drive.google.com/file/d/1oqwZUfEfzfjGZaYk1A2E8B-PU-AQ6SKz/view?usp=drivesdk"/><s v="https://drive.google.com/file/d/1GCYFeLrlGpCBF1GyjSAAd1YFst71bifH/view?usp=drivesdk"/><s v="https://drive.google.com/file/d/1woJDHccS6Df_7DkKmeLElCzqxpjoRtns/view?usp=drivesdk"/><s v="https://drive.google.com/file/d/11FrEIq8nBGRjHM8n6665RHudNtasAq_q/view?usp=drivesdk"/><s v="https://drive.google.com/file/d/11NrpozUj6QEvSuPcqdy2reV2ZmG62r_Z/view?usp=drivesdk"/><s v="https://drive.google.com/file/d/1c0WTQTFC6wVjO3perznTR_rfzhpTPGnJ/view?usp=drivesdk"/><s v="https://drive.google.com/file/d/19ZhWLN_zymp-mzX14YC7jEv-MHZn0Qb4/view?usp=drivesdk"/><s v="https://drive.google.com/file/d/1hiobo976wpKGT4ybTmzucLhLBTnypf_I/view?usp=drivesdk"/><s v="https://drive.google.com/file/d/1bB5zAUL5oQPM2ClvdBCDeAd5AlkWVp4P/view?usp=drivesdk"/><s v="https://drive.google.com/file/d/1c_xOizbgC83hFcsc5jmN-idvU1vfACNB/view?usp=drivesdk"/><s v="https://drive.google.com/file/d/1Dm7RxWVN3iiT5GipgY8Gq3dl65EkIYDu/view?usp=drivesdk"/><s v="https://drive.google.com/file/d/1_YiZ9ym1etIoqiYTErFO56HCfNn-rWNe/view?usp=drivesdk"/><s v="https://drive.google.com/file/d/13W9ZIRuUntMYZ1V5eqz7utx5OSyGY3y3/view?usp=drivesdk"/><s v="https://drive.google.com/file/d/1NxD4srcP8NGAkHA1AWvYHXJLyf_l73EF/view?usp=drivesdk"/><s v="https://drive.google.com/file/d/14Tmk9XIOQYVh24x1jFR4QedpIbTx_n_e/view?usp=drivesdk"/><s v="https://drive.google.com/file/d/1gOWd02cezb5MHlIvhprXv-TgaFt5Ij8f/view?usp=drivesdk"/><s v="https://drive.google.com/file/d/150VkxMJ6Qzq8PM52a6Vi7Y9e4ojtHPne/view?usp=drivesdk"/><s v="https://drive.google.com/file/d/1ntHR-2TST8Pa9kLmC5CL_wNP2lafijMc/view?usp=drivesdk"/><s v="https://drive.google.com/file/d/1Baedt_RF56dAcd90mHgk4WyAWq0rNUNl/view?usp=drivesdk"/><s v="https://drive.google.com/file/d/1jZb-p-3Rc26saHcNX9fyKAs8ayXvLp_G/view?usp=drivesdk"/><s v="https://drive.google.com/file/d/1h26KXyOgQpabChNDwArC5YlDBW4_cfve/view?usp=drivesdk"/><s v="https://drive.google.com/file/d/1TtkPI6YvV3JyoWKI8Z0FTVrehrNka7__/view?usp=drivesdk"/><s v="https://drive.google.com/file/d/1vzu_sqHQexZD23Pac-duPSmK-pGIptlf/view?usp=drivesdk"/><s v="https://drive.google.com/file/d/1BfaybP8V5w-BiT0TlcUAV03BKBkfzWla/view?usp=drivesdk"/><s v="https://drive.google.com/file/d/1jEnrVGc2PxWYnqqR5b5QggE9HgY-tjOC/view?usp=drivesdk"/><s v="https://drive.google.com/file/d/1UOcUsx-QUxFrulQIBnkUuR_13YgQP2Vd/view?usp=drivesdk"/><s v="https://drive.google.com/file/d/1XtfL3wumyr6mb9iCgCxuHmUHHvQhg4yN/view?usp=drivesdk"/><s v="https://drive.google.com/file/d/1dE7-AS0QPxKoPMyquy5WhD3ojjC80SWY/view?usp=drivesdk"/><s v="https://drive.google.com/file/d/1ks4sYhMyRxNwDVYxivPVczl4gI-dQ94P/view?usp=drivesdk"/><s v="https://drive.google.com/file/d/1PYhLwP6tdLfH-XKRuD0puhoFxy-sMmFS/view?usp=drivesdk"/><s v="https://drive.google.com/file/d/1S6Y_7EBTIU64tChcmNNePtGMO2jWzVGk/view?usp=drivesdk"/><s v="https://drive.google.com/file/d/1JnjkuBqFgDqAEzZj1VnXDDzpULzqwUY4/view?usp=drivesdk"/><s v="https://drive.google.com/file/d/1H6qRZ24gIkLnBRWVbjI2jgKRf4KnrPQh/view?usp=drivesdk"/><s v="https://drive.google.com/file/d/1V8lTfv6HJ8IMLiB5gYCuvj2XX1Nry6fh/view?usp=drivesdk"/><s v="https://drive.google.com/file/d/1wq7-2vqDvzteuPzlUspBQRdnaX3rmhA1/view?usp=drivesdk"/><s v="https://drive.google.com/file/d/1NP74FAQ4UheeZ68AMDXl3P1f72HLwpaT/view?usp=drivesdk"/><s v="https://drive.google.com/file/d/1-hACoGBMYzWfW-abiG6hh6iaoZvehEax/view?usp=drivesdk"/><s v="https://drive.google.com/file/d/14GutnAtB1f13xcVqwnhfc_-RMT6AP_5B/view?usp=drivesdk"/><s v="https://drive.google.com/file/d/1JkE16HX10SxkzianGctH-9nm-XFaoMsF/view?usp=drivesdk"/><s v="https://drive.google.com/file/d/1qyGORRGdQy-kyOSM_2vtKP7-BEAhuKWX/view?usp=drivesdk"/><s v="https://drive.google.com/file/d/1v5DJu4qjqzVUJEfoj2GHrhMbmyHZ-m6z/view?usp=drivesdk"/><s v="https://drive.google.com/file/d/1mJVZEGRuGEHvjJLpaIkoRcJuDNXnANgI/view?usp=drivesdk"/><s v="https://drive.google.com/file/d/1LJ0WrqBtVRCt68G-AduIa1fUKucFOQw4/view?usp=drivesdk"/><s v="https://drive.google.com/file/d/1U7jcEsjlgt0luv4Qd8Q7JmbBb7qRDTdD/view?usp=drivesdk"/><s v="https://drive.google.com/file/d/10IpKBTm-TxBYPtbdDzTDyVDz6z5jT5CF/view?usp=drivesdk"/><s v="https://drive.google.com/file/d/1jpKVfN7bQV2qYmB0hMMFd61i7NfLKBWv/view?usp=drivesdk"/><s v="https://drive.google.com/file/d/16pg9MWE7EmtXDgvjDW9mExWkGIxt2MYX/view?usp=drivesdk"/><s v="https://drive.google.com/file/d/1YQ1rwTK8fHHydlCOqvw62rr4BQnhJ7v4/view?usp=drivesdk"/><s v="https://drive.google.com/file/d/1IfVJze_D0VNVGP0qGB9jOH8T88AinA4X/view?usp=drivesdk"/><s v="https://drive.google.com/file/d/1bQdPG6N4D0o1pKlwFaURIS3ouXnJPLk2/view?usp=drivesdk"/><s v="https://drive.google.com/file/d/1EOobtRYPjKeO9_gYW4bu-_TIpK_PjuLA/view?usp=drivesdk"/><s v="https://drive.google.com/file/d/1Dle9tBaQJnicGTbi-WNIWZLHBhpRMBFu/view?usp=drivesdk"/><s v="https://drive.google.com/file/d/1NONRrVPLj3_SNxu7Ptx53k4VBPMr7tIo/view?usp=drivesdk"/><s v="https://drive.google.com/file/d/1_lgC5OmIfmdyPUatcoMBb50JoLNHFpBH/view?usp=drivesdk"/><s v="https://drive.google.com/file/d/1BtYypYyY-PzT4y8FLAgHXAyFQwMz4y2O/view?usp=drivesdk"/><s v="https://drive.google.com/file/d/1UoK9lGyVfG2aSVu9UX62d1KXmmkZeMsj/view?usp=drivesdk"/><s v="https://drive.google.com/file/d/19vVZNnZqbHViA7ik9IZlctpt3T8O8e-i/view?usp=drivesdk"/><s v="https://drive.google.com/file/d/1-cST4Xer2glOXMG5eTrJVkRfofzfqFTW/view?usp=drivesdk"/><s v="https://drive.google.com/file/d/1QkWM8jiVqpN5vc_zuD8HexJx-ED2mGF0/view?usp=drivesdk"/><s v="https://drive.google.com/file/d/13vglHZTPgv6z9W5xPGWG5OyE_h91M3UK/view?usp=drivesdk"/><s v="https://drive.google.com/file/d/11B6RDsDdpDnOGVv1Bafc4t3LGTugpLfW/view?usp=drivesdk"/><s v="https://drive.google.com/file/d/1MFrh4TN71i6T_XH6VvEuarZ-bkTQmkjp/view?usp=drivesdk"/><s v="https://drive.google.com/file/d/1y96i0hMyOppZ0ZOc68SfdS2QELKNre-8/view?usp=drivesdk"/><s v="https://drive.google.com/file/d/1oLyXVFY64dU4qE6_b-iVXYa7asikLA1e/view?usp=drivesdk"/><s v="https://drive.google.com/file/d/1M2npXIoOra27xHNDnCsNwFJwuHLFn-QY/view?usp=drivesdk"/><s v="https://drive.google.com/file/d/1SrRdwzLZMo2zK6deXcTRyDZ9oh1TesUR/view?usp=drivesdk"/><s v="https://drive.google.com/file/d/1XTFfWFGSOorXaSHUTepn_NywZP0WRrna/view?usp=drivesdk"/><s v="https://drive.google.com/file/d/1dyQ7iPpa5tauqQ87v1ICVpmTb96xwrHK/view?usp=drivesdk"/><s v="https://drive.google.com/file/d/1dqZfs8CV4bFuIXsJrOSHM-_BKTXKhfGR/view?usp=drivesdk"/><s v="https://drive.google.com/file/d/1Ql7nMbQXZeIyS5tduYv7gRTiVRXJB9Dk/view?usp=drivesdk"/><s v="https://drive.google.com/file/d/12tiBV9g0PDIUv5jLNU3H9ESLvqe3_su6/view?usp=drivesdk"/><s v="https://drive.google.com/file/d/13EC3dwbwBg7gIijxdeeANvWmpAfQ8_ke/view?usp=drivesdk"/><s v="https://drive.google.com/file/d/1zRO2wTJdLmK-BV5hxThrZO8prUdJXbH2/view?usp=drivesdk"/><s v="https://drive.google.com/file/d/1PBsIeDN2jr1Pq3CNrSLb1Xsyr21P2pXL/view?usp=drivesdk"/><s v="https://drive.google.com/file/d/1UKyZSyadeWWKlD03-UFjhlFvSy-jY0H-/view?usp=drivesdk"/><s v="https://drive.google.com/file/d/1peHj2qn55XShERDto7FmUKmKRW04vw25/view?usp=drivesdk"/><s v="https://drive.google.com/file/d/1VNZVfi392roXkffFia5wqQeCQjwEpyCc/view?usp=drivesdk"/><s v="https://drive.google.com/file/d/1pWRSPkrpkB4P8JrAypP4cdltGfovv0wT/view?usp=drivesdk"/><s v="https://drive.google.com/file/d/1Oz7Zj6fZnvvCizj-IHEQF-K0o27fi6QN/view?usp=drivesdk"/><s v="https://drive.google.com/file/d/1Q984rmQXqbwrrnMY-wB5jcpYKEpb-2Qg/view?usp=drivesdk"/><s v="https://drive.google.com/file/d/1-BRDJtnfY2i7YBG-IeupwHTxHic0hQnP/view?usp=drivesdk"/><s v="https://drive.google.com/file/d/1d70WNl03Y6R-FQ2zFUG_7JzLtb7KIhMn/view?usp=drivesdk"/><s v="https://drive.google.com/file/d/1VohCyZYrYeQ8wnGKTyDD2fOk8y16yZw3/view?usp=drivesdk"/><s v="https://drive.google.com/file/d/1pCInedMgb6ub4Ncim1wJ4bHJ2ouwc85m/view?usp=drivesdk"/><s v="https://drive.google.com/file/d/1Wo_ZWAFaujgNZeZ0tdEdLIIUT-PUrDAy/view?usp=drivesdk"/><s v="https://drive.google.com/file/d/1IK98kxqzXUKr6oiSy5Yh1iZIS2v8ZtnC/view?usp=drivesdk"/><s v="https://drive.google.com/file/d/1gQEP5IJLffmqgeBD8cJqZD1njhiICXaO/view?usp=drivesdk"/><s v="https://drive.google.com/file/d/1bbOr5sJJaSFgt-aKadq5yMvKA8ywD97U/view?usp=drivesdk"/><s v="https://drive.google.com/file/d/1YxSLKvJhCAZvjLwh2Dxi3CO9YKNSkWkP/view?usp=drivesdk"/><s v="https://drive.google.com/file/d/1Gkz07e_5xnoHy7zdKAHfWY6layqbA2lX/view?usp=drivesdk"/><s v="https://drive.google.com/file/d/1GTnjtSM79S6hEZLXrpWxGtZd34NCBmBN/view?usp=drivesdk"/><s v="https://drive.google.com/file/d/1ITD043otUXSzSXwJBI77ZEGc7YfO0lXl/view?usp=drivesdk"/><s v="https://drive.google.com/file/d/10j2TatiM7HXzQ8gGJAAToPEOpY8k8IgA/view?usp=drivesdk"/><s v="https://drive.google.com/file/d/104J0KhnQN8hx7uBldyQ1evQEW8N7petE/view?usp=drivesdk"/><s v="https://drive.google.com/file/d/1tMrBtPVk07Vt3IgjI_4ese_KDvqQCuKK/view?usp=drivesdk"/><s v="https://drive.google.com/file/d/1CX-X4yZPIliMfb05V-exrVifx5i5gyZu/view?usp=drivesdk"/><s v="https://drive.google.com/file/d/1e8g4jGrxeuAKV2niPFAdDVB88LKnVgdm/view?usp=drivesdk"/><s v="https://drive.google.com/file/d/1VCKoEhCkZgWeNPsAklTrHzvyEtDe0UpM/view?usp=drivesdk"/><s v="https://drive.google.com/file/d/1tNWBEIyqVAkKjP7KUoSu2t3rEj4DPo_A/view?usp=drivesdk"/><s v="https://drive.google.com/file/d/1WZ-wmp0ZBZO-MwxvYanAL8j3J4k47183/view?usp=drivesdk"/><s v="https://drive.google.com/file/d/1JoVItYnEA8vA70xzVLnQEC3dgxMW-0on/view?usp=drivesdk"/><s v="https://drive.google.com/file/d/14jCdpBA20GeEpZdlt1OEEDrVjc2kp6h7/view?usp=drivesdk"/><s v="https://drive.google.com/file/d/1HOf675tEXfG2bMnJOIiHzWGLlDbzEY3d/view?usp=drivesdk"/><s v="https://drive.google.com/file/d/1ATJxg7zUvA3Wg_XCJFG6phaq9LgMmPHW/view?usp=drivesdk"/><s v="https://drive.google.com/file/d/1jx9eMAYbx0cHukSi87PadaXFTzz1n_mq/view?usp=drivesdk"/><s v="https://drive.google.com/file/d/1dcM9NQdz9QH53PQ7hkiNVOhT5nBAY9Vn/view?usp=drivesdk"/><s v="https://drive.google.com/file/d/17KV68RT0MMeGKz0n7gj1Dsmt7YXSfvOC/view?usp=drivesdk"/><s v="https://drive.google.com/file/d/1R_WL0AExjMKiypoB7mKpQqeDlLTVOzbM/view?usp=drivesdk"/><s v="https://drive.google.com/file/d/1a3fJ6JRdrPHSo50DdCUrYLisEZcHfG31/view?usp=drivesdk"/><s v="https://drive.google.com/file/d/144ul3eCkiKHuL75LCKm6YabVN-pgBX8u/view?usp=drivesdk"/><s v="https://drive.google.com/file/d/1epyBwvNQIzhoIzncHzNCghI35bEcM7FS/view?usp=drivesdk"/><s v="https://drive.google.com/file/d/1vqDYyUya1hGxUO3xOXp-fS4z5QiC8jwH/view?usp=drivesdk"/><s v="https://drive.google.com/file/d/1noF0-gFXnE925nL0unfvsQ-ANlXov76A/view?usp=drivesdk"/><s v="https://drive.google.com/file/d/1hgaLy7Pk7l8_uT0qzsdgGRA4OH5u_0hL/view?usp=drivesdk"/><s v="https://drive.google.com/file/d/149vWpYz3xUBwjR-0Vi63Qa-y5jEghDmg/view?usp=drivesdk"/><s v="https://drive.google.com/file/d/1LtoTK2zHVIYGFfb_cXHLXLWkOHpGikA0/view?usp=drivesdk"/><s v="https://drive.google.com/file/d/11Av49SlCGKMhtLvS_jk4226riFKcyhNh/view?usp=drivesdk"/><s v="https://drive.google.com/file/d/1xo-D0d5xWZy_-HQc9CNuFVE8l1hYTkzr/view?usp=drivesdk"/><s v="https://drive.google.com/file/d/10gwwst21XMDLdZDUQ3-UJKa2tLRTlO7K/view?usp=drivesdk"/><s v="https://drive.google.com/file/d/1MpP2-43GqkWDRpuwJ-apCbzIk2GwSMn_/view?usp=drivesdk"/><s v="https://drive.google.com/file/d/1OhQWWe3jm8WtNRylZvAGE-c4xHX8dswr/view?usp=drivesdk"/><s v="https://drive.google.com/file/d/1OIEvCCJvM-_IxEbcHAL2vNkKmVoEHa3G/view?usp=drivesdk"/><s v="https://drive.google.com/file/d/1wVhOcOsRL9M-ypPdSaPRTLv-PLlAWOf1/view?usp=drivesdk"/><s v="https://drive.google.com/file/d/1Z0u77Ei4pPZsjR5reXLadM9xd0tgKrac/view?usp=drivesdk"/><s v="https://drive.google.com/file/d/10xyzPhQJ8BoXAmXBEBA_mIn8qqh_KbTE/view?usp=drivesdk"/><s v="https://drive.google.com/file/d/1_KweoGhNrt_00Umu1vsjHfibTm4z9cNE/view?usp=drivesdk"/><s v="https://drive.google.com/file/d/1fqDwT6f6uPiUgL_jMbCxBCBzksaDNMma/view?usp=drivesdk"/><s v="https://drive.google.com/file/d/1ETLxNzxxAx38Kbjl_2clUvwzL5DDrTd8/view?usp=drivesdk"/><s v="https://drive.google.com/file/d/1OWk3W7aLK7NhvpfeOXWbAeYjSBS6on3O/view?usp=drivesdk"/><s v="https://drive.google.com/file/d/1oYbk_RfphQEQTiM6p882mmwIrb7aGJDY/view?usp=drivesdk"/><s v="https://drive.google.com/file/d/1E9n7K_S1QjugzYn-rTEbb--ETbvudVse/view?usp=drivesdk"/><s v="https://drive.google.com/file/d/1VYqvNkQuJmP378cGj71lJ4JV-clMH0Yv/view?usp=drivesdk"/><s v="https://drive.google.com/file/d/164yvRbDzBp4QTOt60ne0zLFnKfzz6qWW/view?usp=drivesdk"/><s v="https://drive.google.com/file/d/1zCYZDaOwE-K33Jkam-tMneBjxjoNVHza/view?usp=drivesdk"/><s v="https://drive.google.com/file/d/1hlj_PiSmruASavYOS4OPpCrR4tKfol15/view?usp=drivesdk"/><s v="https://drive.google.com/file/d/1TVEae0arGcjXygxgVD8laFAM0LcnW7EM/view?usp=drivesdk"/><s v="https://drive.google.com/file/d/1KeSwecAaGUPly_0Khma5VYzCJyRIWBpt/view?usp=drivesdk"/><s v="https://drive.google.com/file/d/1QWFGg5y_FwCsYU4iJVkw7s0HZoH7av3y/view?usp=drivesdk"/><s v="https://drive.google.com/file/d/1w5TanXJyS5YVblHirQgJO5zKr4e7CFnK/view?usp=drivesdk"/><s v="https://drive.google.com/file/d/1J0gXacFjwTY8lqoRS7-Ly_0MayhAFMtY/view?usp=drivesdk"/><s v="https://drive.google.com/file/d/1X5Fe2As7h--ByO5qoa79Jna-iqMIag53/view?usp=drivesdk"/><s v="https://drive.google.com/file/d/1Z9cXGn_9cINuuX5drvoG0YLH4tFIjcZ7/view?usp=drivesdk"/><s v="https://drive.google.com/file/d/15btD8-1-iJ6kKY4YOnmEB99Ty5jn30uV/view?usp=drivesdk"/><s v="https://drive.google.com/file/d/1HpcHlK2DyzZieaRbX6Fr0ov7Mf_R671v/view?usp=drivesdk"/><s v="https://drive.google.com/file/d/16TKGD5uIhjmxtnz9GYQUl5frMKkhZ7vE/view?usp=drivesdk"/><s v="https://drive.google.com/file/d/1quS4MAYvEPtehwNPw-pIZVscM1NFoUOj/view?usp=drivesdk"/><s v="https://drive.google.com/file/d/1S2bnWMra5cT3jybiRMXQyyKgjUU5M3mP/view?usp=drivesdk"/><s v="https://drive.google.com/file/d/1ufFlEetCWZtYqMqTTptc07s2XdkD4E4c/view?usp=drivesdk"/><s v="https://drive.google.com/file/d/1nanNymgjGLBTTIftwQHD0CPkPgFLXjko/view?usp=drivesdk"/><s v="https://drive.google.com/file/d/1kVWNkPYWfpPoaNfzdmDoKO9zV0jbI67W/view?usp=drivesdk"/><s v="https://drive.google.com/file/d/1eY8ustezkGTBEFCvn47T4iFMNEc9SoCR/view?usp=drivesdk"/><s v="https://drive.google.com/file/d/1Mvv6lSbYDT3w1CNkuj_yKZJZyGVo8_wu/view?usp=drivesdk"/><s v="https://drive.google.com/file/d/1ExZ7juOSUgumoSt5vCuDEvgISB_mT9vX/view?usp=drivesdk"/><s v="https://drive.google.com/file/d/17yvRZkdBULPZU-hy9QprgZuJeonQfAel/view?usp=drivesdk"/><s v="https://drive.google.com/file/d/1dU1UjhKXuYwEUy9G1SAQvFWoiujBUM-l/view?usp=drivesdk"/><s v="https://drive.google.com/file/d/1F1gmEthZ6jBt549BBg-rdg_5OVDXWokk/view?usp=drivesdk"/><s v="https://drive.google.com/file/d/1VgMcBc_Zck2mNomOuS1CZVLBzdiV_nWC/view?usp=drivesdk"/><s v="https://drive.google.com/file/d/1X_Hzp8yt2P-QO2WO8iH4EPgoVRh7R4xM/view?usp=drivesdk"/><s v="https://drive.google.com/file/d/1G_aU3PGCjrrMgJwOfzq2w1nbmT82GsuJ/view?usp=drivesdk"/><s v="https://drive.google.com/file/d/1nonM8jExC1mVvcGqlH7dSp0-DAzLBLtm/view?usp=drivesdk"/><s v="https://drive.google.com/file/d/12p5OEsz_Kqdr2WrmlHbpY-_JFlSEkooC/view?usp=drivesdk"/><s v="https://drive.google.com/file/d/1rj178it8sQtHMyNzyb90GXfEk1Hk5YnN/view?usp=drivesdk"/><s v="https://drive.google.com/file/d/1sVDcE0S8Au1V2yPyjhNJC-dbCas3mbhd/view?usp=drivesdk"/><s v="https://drive.google.com/file/d/1v5J8Cnv26X6sTt4VLBH9e2mvCWSnQGm4/view?usp=drivesdk"/><s v="https://drive.google.com/file/d/15DQQpECVr9NdJZ7O7RNWRdNwXQ6KQeXe/view?usp=drivesdk"/><s v="https://drive.google.com/file/d/1tE6_KVQyfFVpIfIuz7dnWR1i8_me3TIT/view?usp=drivesdk"/><s v="https://drive.google.com/file/d/10y7q496AX6_0sM8VYpwXFE_CfW3qWVER/view?usp=drivesdk"/><s v="https://drive.google.com/file/d/1-nd1hGa7j_Vwr7C63vLyw8Doq1Jw9jdo/view?usp=drivesdk"/><s v="https://drive.google.com/file/d/1MkAewK7ChXvXFt_yHeQBeosTp7ozsocw/view?usp=drivesdk"/><s v="https://drive.google.com/file/d/1oAjR8vSHaozIl7e-9ozgY9hFTpEChKb7/view?usp=drivesdk"/><s v="https://drive.google.com/file/d/1gbKPV2rhuEZ5YY7sLWcOmdMsnKF1lOwO/view?usp=drivesdk"/><s v="https://drive.google.com/file/d/1HOPgbT8B7cSul5cTHeEI8GnCvj5F-kiw/view?usp=drivesdk"/><s v="https://drive.google.com/file/d/1UjvynnYEPZHicucFMnLs5zd6tciLP1ET/view?usp=drivesdk"/><s v="https://drive.google.com/file/d/1VK50exEXQ_rClong6zFoFteT2CKKkjmO/view?usp=drivesdk"/><s v="https://drive.google.com/file/d/1CjT1O6wWYuXyGwX2IDXgjfNdv5kWTW3m/view?usp=drivesdk"/><s v="https://drive.google.com/file/d/1Y64s8GHxNrRvDcvruC4sJnxL8xzdZcO-/view?usp=drivesdk"/><s v="https://drive.google.com/file/d/1mu475Zzy_-pzVxpT6L8wHxxpOPeohqGN/view?usp=drivesdk"/><s v="https://drive.google.com/file/d/1JcrIIJziv9H4c66sUbolfvMwbkPdlR44/view?usp=drivesdk"/><s v="https://drive.google.com/file/d/1zdQKRoaKTgqYFpQsFj5QvQQ6FD0ed3fh/view?usp=drivesdk"/><s v="https://drive.google.com/file/d/1ZJao6drmlp_5iFzVLwLBVxZ7mZzQpGwX/view?usp=drivesdk"/><s v="https://drive.google.com/file/d/15WVNsHu4qw18Mufo3UCjKv6cq2gXORb0/view?usp=drivesdk"/><s v="https://drive.google.com/file/d/1OF9OzNZ0RezTr91hWpWHMHWrXH9SCFAS/view?usp=drivesdk"/><s v="https://drive.google.com/file/d/1_UEC3DvYLPby3ewaxAHguC5Mm0ainire/view?usp=drivesdk"/><s v="https://drive.google.com/file/d/1RLxYB-xp9gCuylzG8fMEpa5rGt6OdoMh/view?usp=drivesdk"/><s v="https://drive.google.com/file/d/133wAd9ADUXthw033LGhcEhvxSj0cXryx/view?usp=drivesdk"/><s v="https://drive.google.com/file/d/1mWjj8mxrG8UD8YXr2nZ-cGzIZBtUwLal/view?usp=drivesdk"/><s v="https://drive.google.com/file/d/11YlCMyN4uuL8Bm15aAIWE8inJeqhHaiW/view?usp=drivesdk"/><s v="https://drive.google.com/file/d/1tL5SefgazspPrHDE7uspX1rbNInieF1Y/view?usp=drivesdk"/><s v="https://drive.google.com/file/d/18nULESXZN8TdVjSkyh5ultgqH2EvBSm0/view?usp=drivesdk"/><s v="https://drive.google.com/file/d/117IKlIHBXRWO7KM1helymQPvsGoEIXdX/view?usp=drivesdk"/><s v="https://drive.google.com/file/d/1W2aCwE3Z8jN-Xdqb3awaTWO-3SquFMRh/view?usp=drivesdk"/><s v="https://drive.google.com/file/d/1lHQosDuo6gaE1kApTnMYX-PdVa7g5c2f/view?usp=drivesdk"/><s v="https://drive.google.com/file/d/1_3kOREsSMo-zmS04srVes69SaYsErPmR/view?usp=drivesdk"/><s v="https://drive.google.com/file/d/1lOqUFhZvkowPd-Ne3aczCZ30vQ08jqm-/view?usp=drivesdk"/><s v="https://drive.google.com/file/d/1v6kgKeSqXz-kIHf5HXexB2cCnGBup8pu/view?usp=drivesdk"/><s v="https://drive.google.com/file/d/1e5Wm6ChazDKUJftaKFfLoaBKNbaofYfP/view?usp=drivesdk"/><s v="https://drive.google.com/file/d/14l2Iyllp2BRKK4GUgjOnaxtE-5V5_oxZ/view?usp=drivesdk"/><s v="https://drive.google.com/file/d/1sQ8SgRlBMbqW6PR-9YQps9sVh-rL9tXw/view?usp=drivesdk"/><s v="https://drive.google.com/file/d/1AFvmNMhSk-QV-2cVhQI1IIbAhqjPhXWN/view?usp=drivesdk"/><s v="https://drive.google.com/file/d/1eermV6x-0NkuxwsqnprduFouBUdTshGn/view?usp=drivesdk"/><s v="https://drive.google.com/file/d/19BYjzsMkYCiipD-HEqq4sHumZDCTO5SQ/view?usp=drivesdk"/><s v="https://drive.google.com/file/d/1c-T-gBsf13rctIADi3rUqpv_LDEac7l1/view?usp=drivesdk"/><s v="https://drive.google.com/file/d/1ZRJcq-rd4pEQb0DmJ1HQenA2-OH5dbEb/view?usp=drivesdk"/><s v="https://drive.google.com/file/d/1s3htODPJ-fx2SsrGMPuuPnrS-QkOjVmW/view?usp=drivesdk"/><s v="https://drive.google.com/file/d/1vD03nf0a0BC3Ui7dZPBwsHBn8uBFVmTS/view?usp=drivesdk"/><s v="https://drive.google.com/file/d/17x3I7jUwdIldQm5GP-fj0zgsKCgIUoRP/view?usp=drivesdk"/><s v="https://drive.google.com/file/d/1Chyql9h2DEg41XAYeRupg6Etz-OFp0us/view?usp=drivesdk"/><s v="https://drive.google.com/file/d/1uSaalqURvSDrwFTwn8d56akyZ5pLqmJn/view?usp=drivesdk"/><s v="https://drive.google.com/file/d/1vWGgcW4pZ3FoyQKsaRTBIF-qNoze2NOS/view?usp=drivesdk"/><s v="https://drive.google.com/file/d/1CNUuCil5aZVO_tdA1GgelrRiq8I7q6J4/view?usp=drivesdk"/><s v="https://drive.google.com/file/d/1cd2Q3usXoNSUYACYaL4eodYUxZsj-SOb/view?usp=drivesdk"/><s v="https://drive.google.com/file/d/1OSEYoq50TRvyqkjozHLp1CtvXHG-6rLL/view?usp=drivesdk"/><s v="https://drive.google.com/file/d/1nhF9YyHcpfCFAHZNSHYOdrHjNY6W4OdA/view?usp=drivesdk"/><s v="https://drive.google.com/file/d/1-ByeeNB55CftwPMrOwFmhKHJtA2Cargu/view?usp=drivesdk"/><s v="https://drive.google.com/file/d/10tpM-QAfI0H0NH6vAvH9VLJJki0FnCbu/view?usp=drivesdk"/><s v="https://drive.google.com/file/d/18ZlWgEtYOKx4ampRaantI27kYPgBvB4J/view?usp=drivesdk"/><s v="https://drive.google.com/file/d/1hMU234raFGJtbZQ16uhu9mUFuosskYBK/view?usp=drivesdk"/><s v="https://drive.google.com/file/d/18dLuHsJaHfEuFpmJ9coLBrlcbxYHVgpG/view?usp=drivesdk"/><s v="https://drive.google.com/file/d/1yCifhK2ZQwpUZAjclr5TAmGCQqTbBrUa/view?usp=drivesdk"/><s v="https://drive.google.com/file/d/13eFbDRsrT4E_alMlB_gHi3f-ptev6t5p/view?usp=drivesdk"/><s v="https://drive.google.com/file/d/1a_-X1vjB6N4-IwfcVsM4fHxFavXCK8pH/view?usp=drivesdk"/><s v="https://drive.google.com/file/d/1Pb_juPmIU_Q7VY9NrSeQKbDclKBuO2i4/view?usp=drivesdk"/><s v="https://drive.google.com/file/d/18geCDJ5bRB3bpM43MHvE6GJwLIjojiV3/view?usp=drivesdk"/><e v="#N/A"/><s v="https://drive.google.com/file/d/12yIYc8a3z4MzJ_-PiAeu39d1ppwYynMI/view?usp=drivesdk"/><s v="https://drive.google.com/file/d/1St2O5UfYoWXX1n7crfXuAdRXy1k6nYoo/view?usp=drivesdk"/><s v="https://drive.google.com/file/d/1KanaZYJkrnwi0ABQ2gUtWRMUjQnhMt0r/view?usp=drivesdk"/><s v="https://drive.google.com/file/d/14KU35or-OxTWODmUyKwRoB3qwuTQZobO/view?usp=drivesdk"/><s v="https://drive.google.com/file/d/1qNTfBnw7SpCi3blakzyKQFcGYOfOx3la/view?usp=drivesdk"/><s v="https://drive.google.com/file/d/1nZRWE8YtR8lD6JVTIYbN9Kn9F6IO3Tol/view?usp=drivesdk"/><s v="https://drive.google.com/file/d/11sSauXb0HoVRgYDG9CnOlMBheFEjk0NQ/view?usp=drivesdk"/><s v="https://drive.google.com/file/d/1hWfokltwBkoqHFEcC6Y6_dIRzbc3xn2Q/view?usp=drivesdk"/><s v="https://drive.google.com/file/d/1CGw2aFqdeWSzTPWBi4Jhk_HVOrooYuQO/view?usp=drivesdk"/><s v="https://drive.google.com/file/d/1gPKErZn0U75GIXRc3TyDKhjO1YYEA8-a/view?usp=drivesdk"/><s v="https://drive.google.com/file/d/19J7SxgV3TKuAhMt2JaFPTLscquaGkcBh/view?usp=drivesdk"/><s v="https://drive.google.com/file/d/17yYMWhyDAG179mIfO09X_DXEZMxaYLjP/view?usp=drivesdk"/><s v="https://drive.google.com/file/d/1b2FC_ZxV315l7N6zoTHVU2AgAr7SbyXB/view?usp=drivesdk"/><s v="https://drive.google.com/file/d/1BktRBxUCABNKOmBS08ZeWLX5NwbuQmVb/view?usp=drivesdk"/><s v="https://drive.google.com/file/d/1AEIAMNY49STOE6ElNt-b8Hq1Zx5-39DC/view?usp=drivesdk"/><s v="https://drive.google.com/file/d/1vGGh8iNvz5riiPFFfaYWDPoBsN1DieSC/view?usp=drivesdk"/><s v="https://drive.google.com/file/d/15obABizUe2mVP6tTA7xfzSOU9zsFeGRP/view?usp=drivesdk"/><s v="https://drive.google.com/file/d/1NxbR_bwAiYFpZjIg55CMPxWtvCoOVIAQ/view?usp=drivesdk"/><s v="https://drive.google.com/file/d/1CufoZHl_KItNfmOr5x_-4R-WsAKrS65V/view?usp=drivesdk"/><s v="https://drive.google.com/file/d/1_GSFYpdpPE9KlDDSJISHSbkxPaGiv90y/view?usp=drivesdk"/><s v="https://drive.google.com/file/d/1wDNXb0olz39__EV_LKeVH7NGHiDMCeB6/view?usp=drivesdk"/><s v="https://drive.google.com/file/d/1DOLllL6R7032IvCSzFDDyxUuY_nU2qkX/view?usp=drivesdk"/><s v="https://drive.google.com/file/d/1aDSm4Lq4K8IFN4JH8XXWURoEKbUjjmL3/view?usp=drivesdk"/><s v="https://drive.google.com/file/d/1AKsdj68dbJXeSGboPcfZ2uD3ua_fvFPP/view?usp=drivesdk"/><s v="https://drive.google.com/file/d/1nLprzUcZjsicDG7JT3icjAuAK7g2gLY1/view?usp=drivesdk"/><s v="https://drive.google.com/file/d/1r4PVlL83grqiq4UZ0to7L57VLrbdB9hi/view?usp=drivesdk"/><s v="https://drive.google.com/file/d/1E31uybgDVJiRN0FEcJfVIX_of85BuGEz/view?usp=drivesdk"/><s v="https://drive.google.com/file/d/19X5spXSqhBiEOOUR62_YtANpegjkcJ1f/view?usp=drivesdk"/><s v="https://drive.google.com/file/d/1yPKBulDUT2sA_EL4XHrVvgND1nEVQNHI/view?usp=drivesdk"/><s v="https://drive.google.com/file/d/14xOP8LLETNXBDDadvwleV2pKnaxwaGBi/view?usp=drivesdk"/><s v="https://drive.google.com/file/d/1VlyFF2XH_n9dzHKe2EMaqBWsh-0cgYrJ/view?usp=drivesdk"/><s v="https://drive.google.com/file/d/1FElRRlWoVi2usxTFNme1Bwz9RgmJPLKp/view?usp=drivesdk"/><s v="https://drive.google.com/file/d/1wNBIYZ5dm9n9bSFCAgoMnPNgBJBMSCyH/view?usp=drivesdk"/><s v="https://drive.google.com/file/d/19EgT43RHjwkUo0_VH9RxY_gZl2qByBLZ/view?usp=drivesdk"/><s v="https://drive.google.com/file/d/1Ea_lj0SN0yiXoEUsbmTc67SPDOrQH-yU/view?usp=drivesdk"/><s v="https://drive.google.com/file/d/1SP5jHd3WRyyvYJcl4eFapcMBBizKeGUl/view?usp=drivesdk"/><s v="https://drive.google.com/file/d/1J8NYov-XHHaVlQCOR0yx9UGTvAN_EjiG/view?usp=drivesdk"/><s v="https://drive.google.com/file/d/1iB1iRJQEIss4hSoqw92nY3NXxa2obChZ/view?usp=drivesdk"/><s v="https://drive.google.com/file/d/1Vg-OUhY15FAok2mtyokmeZIHZaqgAHg5/view?usp=drivesdk"/><s v="https://drive.google.com/file/d/1u3UeZsgg-pu1ZHEEX1uaXHGyGnnbQIHr/view?usp=drivesdk"/><s v="https://drive.google.com/file/d/1-E1dAlVOdBXhL1-Ucgrt44k9SzyhPTJ-/view?usp=drivesdk"/><s v="https://drive.google.com/file/d/1evQDXWr9N4KV0RMwcCRfMKAkbspCGUUG/view?usp=drivesdk"/><s v="LINK"/><s v="https://drive.google.com/file/d/1gBF1OSh84_PEaQuwMpzqMOVewrJw3LKJ/view?usp=drivesdk"/><s v="https://drive.google.com/file/d/1u2KiampcOcT7G124TEOiIzae-KDknBmd/view?usp=drivesdk"/><s v="https://drive.google.com/file/d/1jvY3Sgds8iuvtsLXHlpUqcaSBliH2tJV/view?usp=drivesdk"/><s v="https://drive.google.com/file/d/1D8E42YuXrxlGwF61UWB4V8lYywAWr8dY/view?usp=drivesdk"/><s v="https://drive.google.com/file/d/15Wsn7yRLOjnPIu3oOYbA1lhbZIRp1-8K/view?usp=drivesdk"/><s v="https://drive.google.com/file/d/151z21j0N9goJiyhqVea_1u4UA83qXS6l/view?usp=drivesdk"/><s v="https://drive.google.com/file/d/1k_ITkShMoY3bps8YyiRV8_CnbYN3486s/view?usp=drivesdk"/><s v="https://drive.google.com/file/d/120bw0itAYyHMiW9T7e3mTuddlQMPW3x8/view?usp=drivesdk"/><s v="https://drive.google.com/file/d/1fhnK_MpUTUYrtfdIB-pGhbkxyiXV1Wjs/view?usp=drivesdk"/><s v="https://drive.google.com/file/d/1-8hoTcDzN7GjN92fqlhu7SLhxRSQTUrd/view?usp=drivesdk"/><s v="https://drive.google.com/file/d/1KdKryH9Qx-Olx2xYcWf9zZPlU9JsWLmq/view?usp=drivesdk"/><s v="https://drive.google.com/file/d/1htcfPlWHtz8E91jbq14ETkimhcWUSyMj/view?usp=drivesdk"/><s v="https://drive.google.com/file/d/13IdVrs_fFWj8hYxe5OVSE67tGuCcKPct/view?usp=drivesdk"/><s v="https://drive.google.com/file/d/1w2KBBoT3U7JrwQsTrJduC-AS9fihTDq0/view?usp=drivesdk"/><s v="https://drive.google.com/file/d/1DouZu51tYUlHCJt3ED5926-nk58IBtuY/view?usp=drivesdk"/><s v="https://drive.google.com/file/d/12hPE3_ROkrr-EwAg8DQR8e8OYrtwuoYT/view?usp=drivesdk"/><s v="https://drive.google.com/file/d/1qeprGIAy7AN_pByPqzOUMvJ-k5SpkEYf/view?usp=drivesdk"/><s v="https://drive.google.com/file/d/1Sg7pV5-MRMEfG7acPaIDjV0AQ3yqElU4/view?usp=drivesdk"/><s v="https://drive.google.com/file/d/1dqYztlMOBsUY1H2Tadvsh9mJOiZQ1nVh/view?usp=drivesdk"/><s v="https://drive.google.com/file/d/1Nb1xwSCq02ajI3h9-mZBwiuifn_7H1iR/view?usp=drivesdk"/><s v="https://drive.google.com/file/d/1VbP_Ewf88OEuvCt9ZwvGSNNhhGDSj19O/view?usp=drivesdk"/><s v="https://drive.google.com/file/d/1acuUVGe9a1FY0NzYPbpq8pAnbZKrjA2v/view?usp=drivesdk"/><s v="https://drive.google.com/file/d/1yhJ17uggr6j5uXr73Jms5KP35M6RDUxL/view?usp=drivesdk"/><s v="https://drive.google.com/file/d/1QDNRrzD1VCOwR4bsx3QJgYLm2e6VV-no/view?usp=drivesdk"/><s v="https://drive.google.com/file/d/16SOoUfTCSMe7mtchsl8axpkAxtRIR28i/view?usp=drivesdk"/><s v="https://drive.google.com/file/d/1-SOOgACp6dnzzYdlh2PFI-ANnAwmf5c6/view?usp=drivesdk"/><s v="https://drive.google.com/file/d/1p9X3tD24EWbnOA_5MSM9HTgujzLisIGn/view?usp=drivesdk"/><s v="https://drive.google.com/file/d/14h-UnLvc59XK91wSbRiIAUMtz5chtiz5/view?usp=drivesdk"/><s v="https://drive.google.com/file/d/1VcKqsyqYAl_exqLf4Zk_sKFNXaU3WlBH/view?usp=drivesdk"/><s v="https://drive.google.com/file/d/1vcCVkrjNwZHH8glmh9tGMygAb5DPf3dE/view?usp=drivesdk"/><s v="https://drive.google.com/file/d/1eGcl00TFvqtXToShjh3zwuqo-qNHAocO/view?usp=drivesdk"/><s v="https://drive.google.com/file/d/13E6exELEtdG2RSbqcPYafnphBAN0Qwtm/view?usp=drivesdk"/><s v="https://drive.google.com/file/d/1_IO4PdoMe7l8Q03W9hLBkKiHGidC5w-t/view?usp=drivesdk"/><s v="https://drive.google.com/file/d/1xUlRe3MC-gZV8Zhd6NQNLSAYxUKd-bXT/view?usp=drivesdk"/><s v="https://drive.google.com/file/d/1-8o-L3-LBDg-R5swBEF53YfzOD1dWuZJ/view?usp=drivesdk"/><s v="https://drive.google.com/file/d/1y_lQGjVlo6Fl18TxXjJCuEtRwnUYubwf/view?usp=drivesdk"/><s v="https://drive.google.com/file/d/105cRk7vC72JK1EA9WyGiYPQkLW7C53Ad/view?usp=drivesdk"/><s v="https://drive.google.com/file/d/1DQ-5qEEOtHAV_EO0dtcKuZKTfy6PHQQl/view?usp=drivesdk"/><s v="https://drive.google.com/file/d/1BbeoZ9CdBUXQMwPbOQkLBdsayafNFSX2/view?usp=drivesdk"/><s v="https://drive.google.com/file/d/1yHD_X4W7fLNjPrkn11Gu0-mHGcNqrpws/view?usp=drivesdk"/><s v="https://drive.google.com/file/d/1xfxst9Oa-ge7wewPL4HMH7DqgvOPP20b/view?usp=drivesdk"/><s v="https://drive.google.com/file/d/1E11EGVsEk8jXG4anLcX1DKLgm7aqhOmU/view?usp=drivesdk"/><s v="https://drive.google.com/file/d/1sCCY3KYGCCE3zAn1qtYymO7af6DAj-0M/view?usp=drivesdk"/><s v="https://drive.google.com/file/d/1eLY3wQhNqme2S7a_tXRX4gHwGifvXW1x/view?usp=drivesdk"/><s v="https://drive.google.com/file/d/1n72rgjSW6FtAclFquHlO8O2BBvlTnJas/view?usp=drivesdk"/><s v="https://drive.google.com/file/d/1AHAkX3IHAtNC1ywt3EKJgEjl7TvUilkM/view?usp=drivesdk"/><s v="https://drive.google.com/file/d/1wOKjiL59sTbYJAZUPb-UPMjoPu-4HWDV/view?usp=drivesdk"/><s v="https://drive.google.com/file/d/1GUMHnYj_hycM2gMFNTbvEGwdonZHVaEU/view?usp=drivesdk"/><s v="https://drive.google.com/file/d/1OmM2z06gBM63n800JtLoY_5328h0Kj-q/view?usp=drivesdk"/><s v="https://drive.google.com/file/d/1c91FKEwUnH0eT_Uzixr-mWli2LJ6mmul/view?usp=drivesdk"/><s v="https://drive.google.com/file/d/1n0koQ1yLwfPYdmBREVehxKIdhjOoUZSg/view?usp=drivesdk"/><s v="https://drive.google.com/file/d/1X_8gLoQL8UM8XESII7U1_3XXVMeR9N2z/view?usp=drivesdk"/><s v="https://drive.google.com/file/d/1VFtyqV5el7EJVeHaibxWMy34k9LMhbzJ/view?usp=drivesdk"/><s v="https://drive.google.com/file/d/1Z4TItg9VScF62xlkgC_PoPtT-7Vv0iWy/view?usp=drivesdk"/><s v="https://drive.google.com/file/d/1r8gz_OQgXRQyPABeOEgFy2rbZa10e60I/view?usp=drivesdk"/><s v="https://drive.google.com/file/d/1p1O3cA89Rortn-b4c3if2MEMXd31m4nv/view?usp=drivesdk"/><s v="https://drive.google.com/file/d/1egXsfHxw3enkl4JvCEY0lfs0BTX1O2u3/view?usp=drivesdk"/><s v="https://drive.google.com/file/d/1n2AFbrWCoSyUJoEu2sdAqSUYEEqLi3-i/view?usp=drivesdk"/><s v="https://drive.google.com/file/d/1j22rPSmrajVUMaZJ7ZQ_3oBwSfmIAktN/view?usp=drivesdk"/><s v="https://drive.google.com/file/d/1KgVy8pDNXw_rUPEflxR0eTSRI8bSGPLS/view?usp=drivesdk"/><s v="https://drive.google.com/file/d/1VjQnWh7tIM7zl21GEg_LipSiXaJr91Ht/view?usp=drivesdk"/><s v="https://drive.google.com/file/d/17CimGUvhLJDkg1bbuFUCRcNLQJR1151z/view?usp=drivesdk"/><s v="https://drive.google.com/file/d/1RNny0IG7SjWvCfMF8M1draCA9I3tK7lj/view?usp=drivesdk"/><s v="https://drive.google.com/file/d/1CSCUNAQZCt3s32RgzUwXe6pe5scvK0yY/view?usp=drivesdk"/><s v="https://drive.google.com/file/d/1EqvEPwgwndawziGmIPqgl3yNKOI51OAS/view?usp=drivesdk"/><s v="https://drive.google.com/file/d/1UuuzoS4yQn13IfYEyBMumYOQfdcrosni/view?usp=drivesdk"/><s v="https://drive.google.com/file/d/1MSm1yoidPn8M-5atsMIFyyg354c4jcsA/view?usp=drivesdk"/><s v="https://drive.google.com/file/d/18u8UZGmq2oMFWhXRxe2eL3wAp7RT1WdE/view?usp=drivesdk"/><s v="https://drive.google.com/file/d/11AH2LlIZsd9ZFfFjWFxFf5MBHzmbtt8i/view?usp=drivesdk"/><s v="https://drive.google.com/file/d/1hz1780nNZDOTtNpiczqkkXabV668BcRE/view?usp=drivesdk"/><s v="https://drive.google.com/file/d/1Wa36K9XT0urN9xsiAgUftQdgL9C9HECn/view?usp=drivesdk"/><s v="https://drive.google.com/file/d/1bUFd8EhwJ36bo-2xBlOdIPnQvw_apZ06/view?usp=drivesdk"/><s v="https://drive.google.com/file/d/1tin9nciEOGqNUz2Yx-ZnwQtqTwJGFR6v/view?usp=drivesdk"/><s v="https://drive.google.com/file/d/1O4qy3ZvKUUKMZck64Co6Vh7IIH6aPDik/view?usp=drivesdk"/><s v="https://drive.google.com/file/d/1H2OS8Rk6wh8PVpv13iom_WUpLu0fEeBU/view?usp=drivesdk"/><s v="https://drive.google.com/file/d/16b2RhNig_5iqWitXUKqz28-xsE4N6txd/view?usp=drivesdk"/><s v="https://drive.google.com/file/d/13LERMC05_TVKu6xv7g91wRtXxu0ET1Tj/view?usp=drivesdk"/><s v="https://drive.google.com/file/d/1KmyHkB13ZFEziyeMZJmfqm6YYEH53iJL/view?usp=drivesdk"/><s v="https://drive.google.com/file/d/1hVohJjrePDnbP3YuG-OoIFpV1SI20xvZ/view?usp=drivesdk"/><s v="https://drive.google.com/file/d/1qh6jn8CXzXmvxEifk6kq4pZRCYHNO1mu/view?usp=drivesdk"/><s v="https://drive.google.com/file/d/1j0mn959ZZSMHPHeyS9bW6vv9NzM9UaK_/view?usp=drivesdk"/><s v="https://drive.google.com/file/d/1APm26rD_UpSxwv_f7ANPXDv5utKWJ7q3/view?usp=drivesdk"/><s v="https://drive.google.com/file/d/1BpLhL82hbuMif1ihzgQr3rblWCHhGl8w/view?usp=drivesdk"/><s v="https://drive.google.com/file/d/1VIF6kuqnOCJkukqkxuMzonIlfG0vD2p3/view?usp=drivesdk"/><s v="https://drive.google.com/file/d/1FklynAHzflh7rbxQIU4qTxOz3VBhye8B/view?usp=drivesdk"/><s v="https://drive.google.com/file/d/17HYZXEqbs5qMTOba8cEHhBhSIrnkFKeu/view?usp=drivesdk"/><s v="https://drive.google.com/file/d/1HAhZicYSIRv7N-8s64Lp9_8_UnTnmDSR/view?usp=drivesdk"/><s v="https://drive.google.com/file/d/15LBKsey4dgrPQTiibNv2Qi9TOTbc3lk1/view?usp=drivesdk"/><s v="https://drive.google.com/file/d/124BmUuJPp02lcLBvH8AsEmEsbphUT5fW/view?usp=drivesdk"/><s v="https://drive.google.com/file/d/1mbPAy1TbNwV2XOfDjz6F7ail2VgA51o4/view?usp=drivesdk"/><s v="https://drive.google.com/file/d/1EqB8fMj26KyIHeW4JSKwYFh3F2LTTq5t/view?usp=drivesdk"/><s v="https://drive.google.com/file/d/1dD_RkFuxQxk3hkxXbqultnhFhN1opB9Y/view?usp=drivesdk"/><s v="https://drive.google.com/file/d/1hs6XpHWMiyMPANJzK7B4OuBvEZ7slY88/view?usp=drivesdk"/><s v="https://drive.google.com/file/d/1KTndRLnspP4bSM08LU5xlAb5egjHN1hx/view?usp=drivesdk"/><s v="https://drive.google.com/file/d/1MEpc9c6ksJJFPoeqztJd7l8g_1S5mA-8/view?usp=drivesdk"/><s v="https://drive.google.com/file/d/1k1zAeWl01m62ZgoBtOmSJCCoqfFGxddZ/view?usp=drivesdk"/><s v="https://drive.google.com/file/d/1SAkzHUXu2em_LOpzZzUsNAbEmhFQYt6z/view?usp=drivesdk"/><s v="https://drive.google.com/file/d/10N0LzNT1GTgGgvA6UUZUXzIdwFBBm26w/view?usp=drivesdk"/><s v="https://drive.google.com/file/d/1dnoOFsITQ-OlW3SSnEP3gasruwHVCneM/view?usp=drivesdk"/><s v="https://drive.google.com/file/d/1mWHWKkVq6BilZwniJ1YPf3kKFnahjts7/view?usp=drivesdk"/><s v="https://drive.google.com/file/d/18ezWy7djA945zL8CbFQlhWO8EZS4wwS1/view?usp=drivesdk"/><s v="https://drive.google.com/file/d/1ytNNieBfW6njVZa_pFpdio4LUZmKmvXl/view?usp=drivesdk"/><s v="https://drive.google.com/file/d/1GJ1TkFgZk1zziaW-LwEzlbPoGlAfjX81/view?usp=drivesdk"/><s v="https://drive.google.com/file/d/15z0y7asIfplDps5d3R71GhEJxQWqBU9w/view?usp=drivesdk"/><s v="https://drive.google.com/file/d/122eQrKxq-6WpHqYSHCbu_61qufpfQpP1/view?usp=drivesdk"/><s v="https://drive.google.com/file/d/1-SaG8WiDfkM6zwdVOonoQg1W2TXK8F2W/view?usp=drivesdk"/><s v="https://drive.google.com/file/d/19KQFSemeD8gmmrYhmcTweZW1cifRjRsN/view?usp=drivesdk"/><s v="https://drive.google.com/file/d/1UOMf-snqsk6_xm9569d5Yr7tIrEVriap/view?usp=drivesdk"/><s v="https://drive.google.com/file/d/1VxdhYWAzQnqcs07E_QIp8DFonsZrBpYe/view?usp=drivesdk"/><s v="https://drive.google.com/file/d/1-STrPNxtwFZUvuNyyXDlz1bTmYscRd6t/view?usp=drivesdk"/><s v="https://drive.google.com/file/d/15VbpcEsW9L5op3IMpHA4I2dI5ndZgOpe/view?usp=drivesdk"/><s v="https://drive.google.com/file/d/1WsASGCOfsob-mQCui8A8AumUCdwI1vZt/view?usp=drivesdk"/><s v="https://drive.google.com/file/d/1WwYYCOA_x1mX6TzeKfrhq1RdbnoCXoh0/view?usp=drivesdk"/><s v="https://drive.google.com/file/d/12tOopuzKbG82LEOynQuHYZ8im59EjTth/view?usp=drivesdk"/><s v="https://drive.google.com/file/d/1XfDlpkvCBdw9lQuqmsbfM7aoNwvrAoip/view?usp=drivesdk"/><s v="https://drive.google.com/file/d/1z9vM-OymRrqp1u2xxHltR_nTYkRN8Bhe/view?usp=drivesdk"/><s v="https://drive.google.com/file/d/1qgt58xRKt3k8Eix4-bV5OBupJ4bQXEgg/view?usp=drivesdk"/><s v="https://drive.google.com/file/d/1tLDYZKQb4z1ZUitzltLK7vgv1To8FFUF/view?usp=drivesdk"/><s v="https://drive.google.com/file/d/1vmwxHTrl9F3n9CjnCny5Gv7aZ_iSmn06/view?usp=drivesdk"/><s v="https://drive.google.com/file/d/1UsMzRx5dAyBC19d7_59BtDW0beEzge2i/view?usp=drivesdk"/><s v="https://drive.google.com/file/d/1DqdONyqsLP1eg0rgW71wKdPbcflRStOn/view?usp=drivesdk"/><s v="https://drive.google.com/file/d/1HyrNh-agatlqkBI_Y2cQxLTUdJmQoYlf/view?usp=drivesdk"/><s v="https://drive.google.com/file/d/1ZvAbdxhSZjsiTtoGCcl4wKGSEHyET-ky/view?usp=drivesdk"/><s v="https://drive.google.com/file/d/1hN-J6Uky5FuFHoIu7VleAWRSmSqB3wMb/view?usp=drivesdk"/><s v="https://drive.google.com/file/d/1SwGFI5Wz9iRzabOCXMcfTU90XgmL8lKJ/view?usp=drivesdk"/><s v="https://drive.google.com/file/d/1sINTPt9kd7F5Vgc5qW1iK2Ge6313RMjs/view?usp=drivesdk"/><s v="https://drive.google.com/file/d/1HvJhg-z__ZC4L2MVWwWJgR-8s9h67R34/view?usp=drivesdk"/><s v="https://drive.google.com/file/d/1pEsi_zCge4Xxz2XomVjcrFondU662vvE/view?usp=drivesdk"/><s v="https://drive.google.com/file/d/1WfPribPjrUnNwdjyMLceAC2yV6uOwcIj/view?usp=drivesdk"/><s v="https://drive.google.com/file/d/1kdZLBkUApDss7ySLJK034jl3rTKemhnJ/view?usp=drivesdk"/><s v="https://drive.google.com/file/d/1xSVM7VMKatYnl6XkKdkAikq6Hru3wdAI/view?usp=drivesdk"/><s v="https://drive.google.com/file/d/1uCFFMA_-qokNXypcjNJCz-kIkPjXgKuT/view?usp=drivesdk"/><s v="https://drive.google.com/file/d/1lRP53zTo3VPT-PsO3ntfyg-tGbdQtIIK/view?usp=drivesdk"/><s v="https://drive.google.com/file/d/19iYi-koeR6fi39K_iI9D0SdOP6whI2f7/view?usp=drivesdk"/><s v="https://drive.google.com/file/d/1OXOz_E9VpKDoMyophO2ymVaA6QjHkMCY/view?usp=drivesdk"/><s v="https://drive.google.com/file/d/1H1LGxInHGwZQlib48Sk8tAS3t5eXTLL_/view?usp=drivesdk"/><s v="https://drive.google.com/file/d/1-FUitYcnAKMu52rxwYLJUGd9TwUYmGfa/view?usp=drivesdk"/><s v="https://drive.google.com/file/d/1RWYs4BxngJFHCjARwIfsUfl_7-oYLebS/view?usp=drivesdk"/><s v="https://drive.google.com/file/d/1HlSsul-f2PZvtm7eAB3JNvLefgA9BMVI/view?usp=drivesdk"/><s v="https://drive.google.com/file/d/1xJDFi9AZRlHlZ8zxZ8pogfKFGSJiXpeB/view?usp=drivesdk"/><s v="https://drive.google.com/file/d/1XqhWmKG3ZvoLJmLnPSVfonhhVjkaOyOo/view?usp=drivesdk"/><s v="https://drive.google.com/file/d/1cOFI1sWmcyfR3tFVOvV90FUY4g-TwC4Z/view?usp=drivesdk"/><s v="https://drive.google.com/file/d/128D_xuWagaOC3zKfGWUi8CFf7zReyViC/view?usp=drivesdk"/><s v="https://drive.google.com/file/d/1jBszlwOALWIwLYvif4D3xVGXucPXKUwU/view?usp=drivesdk"/><s v="https://drive.google.com/file/d/13XRIYgF2yNC1qLHSQBITGa6oU0w9njVk/view?usp=drivesdk"/><s v="https://drive.google.com/file/d/1btjIxPMyuU5I6jNMm9c2DuyFxN8Pze7t/view?usp=drivesdk"/><s v="https://drive.google.com/file/d/1EbrmM7VFUrWNPY8NxA_ziNU_qOGIUYVa/view?usp=drivesdk"/><s v="https://drive.google.com/file/d/12OzFlZKms2M0ZvYy4yTBRvGof4FqM1Ud/view?usp=drivesdk"/><s v="https://drive.google.com/file/d/1ycY8rorKC9FDqVeTFdgVQQrTEuktcPox/view?usp=drivesdk"/><s v="https://drive.google.com/file/d/1G9_olsUh3tpfcqhh1KX72VpE0keeAnj7/view?usp=drivesdk"/><s v="https://drive.google.com/file/d/1y0oKhgHFMs_nXH4ufYi5ZaxDoesUnD71/view?usp=drivesdk"/><s v="https://drive.google.com/file/d/1NiPCpcI4sxnM3OTJQdqenG265Dkr8hRb/view?usp=drivesdk"/><s v="https://drive.google.com/file/d/1VkkAzt4eeAeZtV2ewwPlwMagejOBaOcs/view?usp=drivesdk"/><s v="https://drive.google.com/file/d/1Lf2mJhcl4k2IlhscpNWAcWIYn_DN1RLo/view?usp=drivesdk"/><s v="https://drive.google.com/file/d/16eIzUB6LjNl3GMULG3vB5p7EO1iC0SJ3/view?usp=drivesdk"/><s v="https://drive.google.com/file/d/15LyeMLPtv2yK2REXBqDLC63QQhUXXDVm/view?usp=drivesdk"/><s v="https://drive.google.com/file/d/1fP-Dr1DLCnPl-2Ya6EGtFK2aCF6SWr93/view?usp=drivesdk"/><s v="https://drive.google.com/file/d/1iTGkXjtQ0EE8-v45xZZ-Yv9zhQVAt2Pn/view?usp=drivesdk"/><s v="https://drive.google.com/file/d/1yQorPB990ECp--s5Y810aRf0XfraQ5Wv/view?usp=drivesdk"/><s v="https://drive.google.com/file/d/1_PDJ9HJdyc65HgAxy4hirK9FdTGjmJt6/view?usp=drivesdk"/><s v="https://drive.google.com/file/d/1uUa0wmROI0qE2xnTwxRVDmnwcW2lORPw/view?usp=drivesdk"/><s v="https://drive.google.com/file/d/1YjgU1oCfPf7_yAtASpZhwJS4TVj_g8CU/view?usp=drivesdk"/><s v="https://drive.google.com/file/d/17-wgGNPZwtL6rEYJQatdPfEg3Zj4LlVp/view?usp=drivesdk"/><s v="https://drive.google.com/file/d/16Fdz5Q4hZTnIAAvzSPJ1UmDOOND5AaDe/view?usp=drivesdk"/><s v="https://drive.google.com/file/d/1GCFNtGI_d_CgIPtrM02hpi0r-UNQaVqq/view?usp=drivesdk"/><s v="https://drive.google.com/file/d/1UTh20eT7TkvvPfQekHv-og8JNZ7R1WP8/view?usp=drivesdk"/><s v="https://drive.google.com/file/d/1EGlmFl81-d1oxiKpGgGytIRbyZhEQLuV/view?usp=drivesdk"/><s v="https://drive.google.com/file/d/1y8mrTT7_nUvHiOOj_Est9-y7QPFPn7bM/view?usp=drivesdk"/><s v="https://drive.google.com/file/d/16CJXCd6Rzqik5rD_iyUPgxYh8MalzPm4/view?usp=drivesdk"/><s v="https://drive.google.com/file/d/1FHV-u9hbFTbf5tQRw4AZBWXvlnvbsJuW/view?usp=drivesdk"/><s v="https://drive.google.com/file/d/1TnJyaUoRrpzVV53y8GXds5wdlyuM-9mX/view?usp=drivesdk"/><s v="https://drive.google.com/file/d/1IyaF2VJcgVfWLGGRX0Pw4RnInw7LvfCb/view?usp=drivesdk"/><s v="https://drive.google.com/file/d/11evBHOPkYEq9tia_AUJzn9cHtIQOUcWa/view?usp=drivesdk"/><s v="https://drive.google.com/file/d/1mE5XaAsbpzpaVByGMY_Y-yHafY0h2G_x/view?usp=drivesdk"/><s v="https://drive.google.com/file/d/1n-xkjkrGpKzc0Ew4FDfG-BXhbw4Koezu/view?usp=drivesdk"/><s v="https://drive.google.com/file/d/19DaZ3U3kDTGt8DNgyBPYTrh0pbrw_vwe/view?usp=drivesdk"/><s v="https://drive.google.com/file/d/12RwvQLmV6wPAqPP_X6JgA8Qo27g_8SJK/view?usp=drivesdk"/><s v="https://drive.google.com/file/d/1je9cw-vS4o0h7s6-W5SXMCb_uEat2QOt/view?usp=drivesdk"/><s v="https://drive.google.com/file/d/1TOZ9euIliRhkN1zDzYb6v8ankkIXs-ya/view?usp=drivesdk"/><s v="https://drive.google.com/file/d/1HdBN17kLB5Dti11EcyS-dTKrGQBVVhsc/view?usp=drivesdk"/><s v="https://drive.google.com/file/d/1Ic6aADz9FFftbyqRAxUFmh-o53coOang/view?usp=drivesdk"/><s v="https://drive.google.com/file/d/1eQcmhUZAM11qxH-mwM6jAouV_rCECXvM/view?usp=drivesdk"/><s v="https://drive.google.com/file/d/1ILNp7MaC4OusbPANu-7wOS3KK98RWdcz/view?usp=drivesdk"/><s v="https://drive.google.com/file/d/1oih40CT0uXiqw7e6vWDoDVi8-0MewGVn/view?usp=drivesdk"/><s v="https://drive.google.com/file/d/1a05JoYmLdyaqZqx1lMlnobPSBoVtshdG/view?usp=drivesdk"/><s v="https://drive.google.com/file/d/1VyZodnC88TkBiX9hwQqLISstx0--OlF9/view?usp=drivesdk"/><s v="https://drive.google.com/file/d/1gzyiuMNHruki0iqw9ZPuG1ROg8sPoSnR/view?usp=drivesdk"/><s v="https://drive.google.com/file/d/1qBoMlGJSxfD9Le6GQLq29-E2xuX5NtUI/view?usp=drivesdk"/><s v="https://drive.google.com/file/d/1LFgNyzLqTELlP9tfS2pwZ6Egg431WCHQ/view?usp=drivesdk"/><s v="https://drive.google.com/file/d/1kMj9bYJrk8644y4gPjpgYXSikwfmuYTS/view?usp=drivesdk"/><s v="https://drive.google.com/file/d/1jS6-wcsNs2BINT3z4pARWRtZLYGXCQno/view?usp=drivesdk"/><s v="https://drive.google.com/file/d/1bo9aASmCjIsAeU5__CNxEyKU60JbH_Oz/view?usp=drivesdk"/><s v="https://drive.google.com/file/d/1vaJaM70la8WjjudMF5sP3NGFuj_0wy9h/view?usp=drivesdk"/><s v="https://drive.google.com/file/d/11jqeGWUpUh79pKFzwZ3T_bBagRuPGFCi/view?usp=drivesdk"/><s v="https://drive.google.com/file/d/1xWbz_w1r9P1BGfJ_vctcFlsqK4cuVLq_/view?usp=drivesdk"/><s v="https://drive.google.com/file/d/1OxFDVNyZI1frRjeq-YzZQaUFqgYur5QQ/view?usp=drivesdk"/><s v="https://drive.google.com/file/d/13_FjItFP6GHekMwAss_IcUYD2Z-Q2DAK/view?usp=drivesdk"/><s v="https://drive.google.com/file/d/1EZllPY8-yvLte77cCpv9UnSzrQEaA1l4/view?usp=drivesdk"/><s v="https://drive.google.com/file/d/1F6e63Lvx_picFSFjsYovkHAFanA2uAHa/view?usp=drivesdk"/><s v="https://drive.google.com/file/d/156tAE8v5cFhpA2JE6GA1a7Ktomq0eLYG/view?usp=drivesdk"/><s v="https://drive.google.com/file/d/1tNde2WsKCKtTxCH7EfB-a1TjXERl50pJ/view?usp=drivesdk"/><s v="https://drive.google.com/file/d/1XAdHa8ntbQreOrtrubV-Qgfz8m_7szBt/view?usp=drivesdk"/><s v="https://drive.google.com/file/d/1Y8W4Pu0XmqnQ5lA-X7ANKZNlSBzl4UGP/view?usp=drivesdk"/><s v="https://drive.google.com/file/d/1KGwRGETP91kM9JQ1Lkln3MN4JSxyj4OW/view?usp=drivesdk"/><s v="https://drive.google.com/file/d/1Mbtg5W4r7YUV6SqGN7Y6QssV1kBq9eYn/view?usp=drivesdk"/><s v="https://drive.google.com/file/d/16qY0dLq9qys2p0JL-JepbP82uCNsmR0S/view?usp=drivesdk"/><s v="https://drive.google.com/file/d/1G4gv0ySakjef__T9l4MU6vM4mSqIKpQf/view?usp=drivesdk"/><s v="https://drive.google.com/file/d/1esh5oqCpj4F374ZeOWGrHgAoZG4Cbaxf/view?usp=drivesdk"/><s v="https://drive.google.com/file/d/1NZ8v6491Ny_LbUh8osKtj88hF7RAiobW/view?usp=drivesdk"/><s v="https://drive.google.com/file/d/1iPMC-k9xrxfHtNZFhdKSSGpPAPPmY3J4/view?usp=drivesdk"/><s v="https://drive.google.com/file/d/1FBVDq-txued5VjX89SxjAxiqVp_WzRYr/view?usp=drivesdk"/><s v="https://drive.google.com/file/d/1jf3ctwxwUpc5AYKxlkNN-odE2ElrZuqN/view?usp=drivesdk"/><s v="https://drive.google.com/file/d/1V4dif0GlZHpTSBPr0wrGGqKPzj36JjUm/view?usp=drivesdk"/><s v="https://drive.google.com/file/d/1Q-7NFLR9V_1Z9QaSQGnQmRUgw6UigOsQ/view?usp=drivesdk"/><s v="https://drive.google.com/file/d/1tY7SvX2n-lCVOB9eR5KtC31EmD0a4uX2/view?usp=drivesdk"/><s v="https://drive.google.com/file/d/1-XMlXEjoIspJ3kqVPF-O6pr1PklAU4DF/view?usp=drivesdk"/><s v="https://drive.google.com/file/d/1_mm78I7fP7y2ESrJlwaIrN7h22W30B5K/view?usp=drivesdk"/><s v="https://drive.google.com/file/d/1TdFZluOSkUInT8sXikux3vYR7IOX4RMk/view?usp=drivesdk"/><s v="https://drive.google.com/file/d/1iXbJmAfK9HnzZ8oDPYgQfHqZeVcgywaq/view?usp=drivesdk"/><s v="https://drive.google.com/file/d/1pcJJj-dcZ2YUNw-3w1ykB27KPj9Bj-By/view?usp=drivesdk"/><s v="https://drive.google.com/file/d/1kb4iozdFSFtKZKGvaK7sOkqlr4kI2jg5/view?usp=drivesdk"/><s v="https://drive.google.com/file/d/1xs7muWdyYdblxSMymp-O09c44czfutsh/view?usp=drivesdk"/><s v="https://drive.google.com/file/d/1sQtBrEeqN1XM_1Qv0mJvDeDfWVWHohWY/view?usp=drivesdk"/><s v="https://drive.google.com/file/d/1vevfUy0iTc6NQfF1T-jwqjcTM_yHdsf0/view?usp=drivesdk"/><s v="https://drive.google.com/file/d/1_iGxIOrj5vzUvhOaCiFYGOOkUVaaRx4p/view?usp=drivesdk"/><s v="https://drive.google.com/file/d/17zk5ntmJwRuglkdI2KDBsmDyHp9ZT9nk/view?usp=drivesdk"/><s v="https://drive.google.com/file/d/1zG4Fc_IEv6joOTyPj0JeBdLMNt-6vqsC/view?usp=drivesdk"/><s v="https://drive.google.com/file/d/1siDzTCg5TAqWvx1F7jfvqWF5y01jo9l6/view?usp=drivesdk"/><s v="https://drive.google.com/file/d/1KEBKYl19fq4HtJxW3DL6KczxjYJ94hp2/view?usp=drivesdk"/><s v="https://drive.google.com/file/d/15kuHQf8erGaSOBxt1lOz994u1DIsHk_v/view?usp=drivesdk"/><s v="https://drive.google.com/file/d/1kCe7dne_GNfNSHLYlAzOzBcQn9yFuOr2/view?usp=drivesdk"/><s v="https://drive.google.com/file/d/1awPCjIHvs8ahIhOincmP_HaNxC6Wg3ei/view?usp=drivesdk"/><s v="https://drive.google.com/file/d/1yWq9VA17bviusA1-gmEWYWL7w6FHKyMI/view?usp=drivesdk"/><s v="https://drive.google.com/file/d/1Dc0I6mdR5VNlZdfy9Q6SxLCujdERpq1s/view?usp=drivesdk"/><s v="https://drive.google.com/file/d/1wEFZG_VXnD2cJrOMtVKNCAqucbV5WQV9/view?usp=drivesdk"/><s v="https://drive.google.com/file/d/1yjVvr6RWduwEsSlj1T5hWk4kZsgSpX7e/view?usp=drivesdk"/></sharedItems></cacheField><cacheField name="ref_r" numFmtId="0"><sharedItems containsBlank="1"><s v="Copy APA style from Google Scholar (or similar), without DOI"/><s v="McRae, K., &amp; Lumian, D. S. (2023, September 28). Replication of WA Cunningham, JJ Van Bavel, IR Johnsen  (2008, PS 19 (2)). https://doi.org/10.17605/OSF.IO/2ZGF9"/><s v="Wilkenfeld, D. A., &amp; Hernández-Conde, J. V. (2017, September 12). Schaffer and Knobe Replication. https://doi.org/10.17605/OSF.IO/39XUW"/><s v="McRae, K., Lumian, D. S., &amp;  T. (2023, September 28). Materials. https://doi.org/10.17605/OSF.IO/7VGKQ"/><s v="Röseler, L., Schütz, A., Burlakovas, E., Dück, M., Fels, S., Janiczek, S., … Seida, C. (2022, September 15). Replication Mussweiler &amp; Englich, 2005, Study 2. https://doi.org/10.17605/OSF.IO/ACYKD"/><s v="Röseler, L., Schütz, A., Blank, P. A., Dück, M., Fels, S., Kupfer, J., ... &amp; Seida, C. (2021). Evidence against subliminal anchoring: Two close, highly powered, preregistered, and failed replication attempts. Journal of Experimental Social Psychology, 92,"/><s v="García-Cerdá, C., Segura, C., &amp; Ferrando, I. (2024). Influence of the Type of Mathematical Problems on Students’ and Pre-service Teachers’ Interest and Performance. A Replication and Elaboration Study. Implementation and Replication Studies in Mathematics"/><s v="Huensch, A. (2024). Clarifying the role of inhibitory control in L2 phonological processing: A preregistered, close replication of Darcy et al.(2016). Studies in Second Language Acquisition, 1-21. https://doi.org/10.1017/S0272263124000238"/><s v="Saxey, M. T., LeBaron‐Black, A. B., Inman, N. F., Yorgason, J. B., &amp; Holmes, E. K. (2024). The earlier couples first discussed finances, the better? A dyadic, longitudinal replication and extension. Family Relations. https://doi.org/10.1111/fare.13030"/><s v="Bertrand, A., Kimmel, J., Duhamel, S., Puel, H., Schifano, A., &amp; Wood, É. (2024). A Replication Study to Evaluate the Effects of Awe on Humility. McGill Science Undergraduate Research Journal, 19(1), 39-45. https://doi.org/10.26443/msurj.v19i1.231"/><s v="Byrne, C., Murphy, J., &amp; Warne, J. P. (2024). Replication Study: Investigating the effects of maximal anaerobic fatigue on dynamic postural control using the Y-Balance Test. Journal of Science and Medicine in Sport. https://doi.org/10.1016/j.jsams.2024.07"/><s v="Wolf, E. J., Miller, M. W., Zhang, R., Sherva, R., Harrington, K. M., Fonda, J. R., ... &amp; Logue, M. W. (2024). No replication of Alzheimer’s disease genetics as a moderator of the association between combat exposure and PTSD risk in 138,592 combat veteran"/><s v="Hüllmann, J. A., &amp; Krebber, S. (2021). Replication Study: Investigating Media Choice and Types of Media Collections of Distributed Workers Using Digital Traces. Available at SSRN 3816626. http://dx.doi.org/10.2139/ssrn.3816626"/><s v="Gettinger, M., Kratochwill, T. R., Levin, J. R., Eubanks, A., &amp; Foy, A. (2024). Academic and behavior combined support: A single-case practice-based replication study. Journal of School Psychology, 104, 101307. https://doi.org/10.1016/j.jsp.2024.101307"/><s v="Solheim, O. J., Foldnes, N., Walgermo, B. R., Bjerke, K. K., Birkedal, I. K., Uppstad, P. H., &amp; Lundetræ, K. (2024). Closing the Gap: A Conceptual Replication of an Early Reading Intervention. Journal of Research on Educational Effectiveness, 1-23. https:"/><s v="Talbott, E., Maggin, D. M., Chua, M., Ashley, L., Chen, X., Chin, P. A., &amp; Curry, M. K. (2024). Outcome-Reporting Bias in Special Education Intervention Research Using Experimental and Quasi-Experimental Group Designs: A Conceptual Replication. Remedial a"/><s v="Gudmestad, A., Edmonds, A., Henderson, C., &amp; Lindqvist, C. (2024). The interpretation of verbal moods in Spanish: A close replication of Kanwit and Geeslin (2014). Studies in Second Language Acquisition, 1–18. https://doi.org/10.1017/S027226312400010X"/><s v="Lang, J. W. B., &amp; Bliese, P. D. (2024). The plausibility of alternative data-generating mechanisms: Comment on and attempt at replication of Dishop (2022).Psychological Methods. Advance online publication. https://doi.org/10.1037/met0000650"/><s v="Solmi, M., Lähteenvuo, M., Tanskanen, A., Corbeil, O., Mittendorfer-Rutz, E., Correll, C. U., ... &amp; Taipale, H. (2024). Antipsychotic Use and Risk of Breast Cancer in Women With Severe Mental Illness: Replication of a Nationwide Nested Case–Control Databa"/><s v="Andres, E., Chuan-Peng, H., Gerlicher, A. M., Meyer, B., Tüscher, O., &amp; Kalisch, R. (2024). Replication study on the role of dopamine-dependent prefrontal reactivations in human extinction memory retrieval. Nature Communications, 15(1), 2699. https://doi."/><s v="Xu, J., &amp; Zhang, R. (2024). Attitudinal, Normative, and Resource Factors Affecting Communication Scholars’ Data Sharing: A Replication Study. Media and Communication, 12. https://doi.org/10.17645/mac.7666"/><s v="Xu, J., &amp; Zhang, R. (2024). Attitudinal, Normative, and Resource Factors Affecting Communication Scholars’ Data Sharing: A Replication Study. Media and Communication, 12. https://doi.org/10.17645/mac.7667"/><s v="Xu, J., &amp; Zhang, R. (2024). Attitudinal, Normative, and Resource Factors Affecting Communication Scholars’ Data Sharing: A Replication Study. Media and Communication, 12. https://doi.org/10.17645/mac.7668"/><s v="Xu, J., &amp; Zhang, R. (2024). Attitudinal, Normative, and Resource Factors Affecting Communication Scholars’ Data Sharing: A Replication Study. Media and Communication, 12. https://doi.org/10.17645/mac.7669"/><s v="Chang, H., Nainani, T., &amp; Kim, J. Y. (2024). Comparison of Acquisition Criteria Applied to Individual and Sets of Tacts: A Systematic Replication. Behavior Analysis in Practice, 1-6. https://doi.org/10.1007/s40617-024-00933-1"/><s v="Robertson, C. E., Akles, M., &amp; Van Bavel, J. J.(in press). Preregistered Replication and Extension of &quot;Moral Hypocrisy: Social Groups and the Flexibility of Virtue&quot;. Psychological Science. https://doi.org/10.31234/osf.io/453js"/><s v="Xiao, Q., Elsherif, M., Chu, H. Y., Tang, M. C., Wong, T. H. A., Wu, Y., ... &amp; Feldman, G. Revisiting the positive association between loneliness and anthropomorphism with an extension to belief in free will: A Registered Report replication and extension "/><s v="Delem, M., Stauffert, N., Nguyen, N., Debarnot, U., Guillot, A., &amp; Nalborczyk, L. (2024, March 27). Does the corollary discharge provide the sensory content of inner speech? A preregistered direct replication and extension of Scott  (2013). https://doi.or"/><s v="Tedaldi, E., Syropoulos, S., &amp; Markowitz, E. M. (2024). Re-examining feelings of responsibility as a predictor of climate belief and worry: A replication across 31 countries. Journal of Environmental Psychology, 102289. https://doi.org/10.1016/j.jenvp.202"/><s v="Macias Mendoza, S. (2024). A Replication of a Systematic Review of Behavioral Interventions in Sports. [Master's thesis, Youngstown State University]. OhioLINK Electronic Theses and Dissertations Center. http://rave.ohiolink.edu/etdc/view?acc_num=ysu17147"/><s v="Stewart, J. L., Burrows, K., May, A. C., McNaughton, B. A., Smith, R., Kuplicki, R., ... &amp; Figueroa-Hall, L. (2024). C-Reactive Protein Concentrations Diverge as a Function of Substance Use Disorder: A Pre-Registered Replication in a Clinical Sample. Drug"/><s v="Fox, A. E. (2024). Immediate Reinforcement Training Has Moderate Effect on Delay Discounting Behavior in Rats: A Systematic Replication. The Psychological Record, 1-6. https://doi.org/10.1007/s40732-024-00597-x"/><s v="Fox, A.E. Immediate Reinforcement Training Has Moderate Effect on Delay Discounting Behavior in Rats: A Systematic Replication. Psychol Rec (2024). https://doi.org/10.1007/s40732-024-00597-x"/><s v="Liu, K., Wright, M. E., Cole, L. A., &amp; Warren, S. L. (2024). Bi-factor model of repetitive thinking: Replication and extension. Personality and Individual Differences, 226, 112692. https://doi.org/10.1016/j.paid.2024.112692"/><s v="Martínez, M. A., Saux, G., Londra, F., &amp; Burin, D. I. (2024). Effects of a classroom intervention on college students’ sourcing skills: replication and extension study. Discourse Processes, 1–26. https://doi.org/10.1080/0163853X.2024.2339738"/><s v="Martínez, M. A., Saux, G., Londra, F., &amp; Burin, D. I. (2024). Effects of a classroom intervention on college students’ sourcing skills: replication and extension study. Discourse Processes, 1-26."/><s v="Smołka, E., &amp; Blank, H. (2024). Double misinformation and eyewitness performance: An experimental replication. Applied Cognitive Psychology, 38(3), e4202. https://doi.org/10.1002/acp.4202"/><s v="Beyersmann, E., &amp; Grainger, J. (2024). A replication of morphological flanker effects in French. Language, Cognition and Neuroscience, 1–6. https://doi.org/10.1080/23273798.2024.2337948"/><s v="Magne, V. (2024). Replication research in the domain of perceived L2 fluency: Approximate and close replications of Kormos and Dénes (2004) and Rossiter (2009). Language Teaching, 1–9. doi:10.1017/S0261444824000120"/><s v="Magne, V. (2024). Replication research in the domain of perceived L2 fluency: Approximate and close replications of Kormos and Dénes (2004) and Rossiter (2009). Language Teaching, 1-9."/><s v="Magne, V. (2024). Replication research in the domain of perceived L2 fluency: Approximate and close replications of Kormos and Dénes (2004) and Rossiter (2009). Language Teaching, 1–9. https://doi.org/10.1017/S0261444824000120"/><s v="Cook, J. L., Baruni, R. R., Pinkston, J. W., Rapp, J. T., Miltenberger, R. G., Deshmukh, S., Walker, E., &amp; Tai, S. (2024). Comparing stimulus preference and response force in a conjugate preparation: A replication with auditory stimulation. Journal of the"/><s v="Sfärlea, A., Buhl, C., Lukas, L., &amp; Schulte‐Körne, G. (2024). Superior facial emotion recognition in adolescents with anorexia nervosa–A replication study. European Eating Disorders Review. https://doi.org/10.1002/erv.3103"/><s v="Parrish, K. (2024). Statistical Insignificance is not wholesale transfer in L3 Acquisition: an approximate replication of Rothman (2011). Studies in Second Language Acquisition, 1-18. https://doi.org/10.1017/S0272263124000342"/><s v="Bailey, C.D. (2024), &quot;Fraudulent Research Practices in Accounting: A Replication and Extension of Bailey, Hasselback, and Karcher (2001)&quot;, Shawver, T.J. (Ed.) Research on Professional Responsibility and Ethics in Accounting (Research on Professional Respo"/><s v="Rode, J., Jonuschies, I., Matthiesen, S., &amp; Gericke, K. (2024). Replication studies in engineering design–a feasibility study. Proceedings of the Design Society, 4, 115-124. https://doi.org/10.1017/pds.2024.14"/><s v="Evans, T. R., Kviatkovskyte, R., O'Regan, S., Adolph, S. A.,  n., Chukwudi, F. O. N., … Krzan, M. (2024, February 5). Corruption and Hierarchy: A Replication of Studies 1c and 6 of Fath &amp; Kay 2018. https://doi.org/10.31234/osf.io/68jft"/><s v="Katla, J. (2024). Replication of Construct Validity of the Behavior Assessment System for Children-Teacher Rating Scales (BASC-3 TRS) and the Adjustment Scales for Children and Adolescents (ASCA). https://thekeep.eiu.edu/theses/5025?utm_source=thekeep.eiu"/><s v="Chen, W., Dong, B., Hsieh, C.-W., Lee, M. J., Liu, N., Walker, R. M., Wang, Y., Wen, B., Wen, W., Wu, P., Wu, X., &amp; Zhang, J. (2022). A replication of &quot;an experimental test of the expectancy-disconfirmation theory of citizen satisfaction&quot;. Public Administ"/><s v="Przepiórkowski, A., Borysiak, M., &amp; Głowacki, A. (2024, May). An Argument for Symmetric Coordination from Dependency Length Minimization: A Replication Study. In Proceedings of the 2024 Joint International Conference on Computational Linguistics, Language"/><s v="Tyvoll, A. (2024). Proportionality in Public Support for Terrorism Retaliation: A Replication and Extension Study. "/><s v="Tyvoll, A. (2024). Proportionality in Public Support for Terrorism Retaliation: A Replication and Extension Study."/><s v="Pond, N., Meeten, F., Dr, Clarke, P., Notebaert, L., &amp; Scott, R. B. (2023, September 15). The Efficacy of Attentional Bias Modification for Anxiety: A Registered Replication. https://doi.org/10.31234/osf.io/cf4xz"/><s v="Stephenson, Corinne (2024). Trends in U.S. Wage Inequality: Revising the Revisionists. A Replication Study of Autor, Katz, and Kearney (2008). Journal of Comments and Replications in Economics, Vol.3 (2024-4). https://doi.org/10.18718/81781.34"/><s v="Özkan Miller, V., &amp; Larsson, T. (2024). The effect of linguistic and extralinguistic features on EFL adverb placement: A partial replication study of Larsson et al.(2020). International Journal of Learner Corpus Research. https://doi.org/10.1075/ijlcr.000"/><s v="Ward, R., &amp; Awani, J. (2024). Bilingualism and flexibility in task switching: A close replication study. Studies in Second Language Acquisition, 1-17. https://doi.org/10.1017/S0272263124000378"/><s v="Thornton, K. B. (2024). PERCEPTIONS OF MATTERING AMONG GENERAL EDUCATION TEACHERS: REPLICATION, VALIDATION, AND EXTENSION OF THE FUNDAMENTAL ELEMENTS OF MATTERING SCALE FOR TEACHERS (FEMS-T)."/><s v="Kontkanen, J. (2024). Investigating the effect of proficiency level on the acquisition order of morphemes for L2 English learners: A replication of a corpus-based SLA study using Interlanguage Annotation."/><s v="Piniel, K. (2024). The Input, Process, and Output Anxiety Scales: An Approximate Replication Study. In: Investigating Foreign Language Anxiety. Second Language Learning and Teaching. Springer, Cham. https://doi.org/10.1007/978-3-031-55844-3_4"/><s v="Tamm, G., Koster, E. H., &amp; Hoorelbeke, K. Evaluating Theories of Repetitive Negative Thinking: Replication and Extension. http://dx.doi.org/10.31234/osf.io/kpcwv"/><s v="Sastre Gomez, V., Defina, R., Garrett, P. M., Zacks, J. M., &amp; Dennis, S. (2024). Event Distribution in Daily Life: A Replication Study. In Proceedings of the Annual Meeting of the Cognitive Science Society (Vol. 46)."/><s v="van den Brink, G., van Eyghen, H., &amp; Peels, R. (2024). Brooke on the Merton-thesis: A Direct Replication of John Hedley Brooke's Chapter on Scientific and Religious Reform. Zygon: Journal of Religion and Science, 59."/><s v="van den Brink, G., Pear, R., &amp; Peels, R. (2024). Jewish Responses to Copernican Thought: A Conceptual Replication of John Hedley Brooke's Chapter on Scientific and Religious Reform. Zygon: Journal of Religion and Science, 59."/><s v="Renbarger, R., Sulak, T., &amp; Morgan, G. (2022). The Importance of Teacher Credentials for Early Achievement: A Replication of Croninger et al. (2007) Econ. Edu. Rev. ReScience X, 1(1). Retrieved from http://rescience.org/x/article/view/8"/><s v="Bachouche, H., Hamdi-Kidar, L., &amp; Sabri, O. (2024). Empowerment strategies and their effects in digital contexts: corroboration, replication, and extension. International Journal of Advertising, 1-32. https://doi.org/10.1080/02650487.2024.2362015"/><s v="Schroeder, P. A., Collantoni, E., Lohmann, J., Butz, M. V., &amp; Plewnia, C. (2024). Virtual Reality Assessment of a High-Calorie Food Bias: Replication and Food-Specificity in Healthy Participants. Behavioural Brain Research, 115096. https://doi.org/10.1016"/><s v="Schulz-Hardt, S., Rollwage, J., Wanzel, S. K., Frisch, J. U., &amp; Häusser, J. A. (2021). Effects of process and outcome accountability on escalating commitment: A two-study replication. Journal of Experimental Psychology: Applied, 27(1), 112–124. https://do"/><s v="Loibl, K., Leuders, T. Can failure be made productive also in Bayesian reasoning? A conceptual replication study. Instr Sci (2024). https://doi.org/10.1007/s11251-024-09670-y"/><s v="Schultze, T., &amp; Schulz-Hardt, S. (2022). Does change of responsibility reduce escalating commitment? A replication and theoretical extension. Journal of Experimental Psychology: Applied, 28(1), 189–204. https://doi.org/10.1037/xap0000366"/><s v="Hennessy, S., Greer, T., Narayanan, S., &amp; Habibi, A. (2024). Unique affective profile of music-evoked nostalgia: An extension and conceptual replication of Barrett et al.’s (2010) study. Emotion, 24(8), 1803–1825. https://doi.org/10.1037/emo0001389"/><s v="Teng, X., Zhang, Y., Qi, R., Wu, Y., Mu, Z., Chow, K., &amp; Feldman, G. (2024, June 21). Revisiting the the psychology of windfall gains: Replication and extensions Registered Report of Arkes et al. (1994) Studies 1, 2, and 3. https://doi.org/10.17605/OSF.IO"/><s v="Hohensee, C., &amp; Borji, V. (2024). Preparing elementary pre-service teachers to teach early algebra: A conceptual replication study. The Journal of Mathematical Behavior, 75, 101174. https://doi.org/10.1016/j.jmathb.2024.101174"/><s v="Rife, S. C., Lambert, Q. S., Calin-Jageman, R., Adamkovic, M., Baník, G., Barberia, I., … Wiggins, B. J. (2024, July 3). Registered Replication Report: Study 3 from Trafimow and Hughes  (2012). https://doi.org/10.31234/osf.io/esu9z"/><s v="Bischoff, M. (2024). Evaluating the reliability of relative frontal alpha asymmetry as a state-dependent correlate of the stress response in a mixed-sex sample: A replication study (Master's thesis, University of Twente). Retrieved from https://purl.utwen"/><s v="Liu, D., Calver, J., &amp; Craig, M. (2024). Are a Static Analysis Tool Study's Findings Static? A Replication. In Proceedings of the 2024 on Innovation and Technology in Computer Science Education V. 1 (pp. 80-86). https://doi.org/10.1145/3649217.3653545"/><s v="Liu, D., Calver, J., &amp; Craig, M. (2024). Are a Static Analysis Tool Study's Findings Static? A Replication. In Proceedings of the 2024 on Innovation and Technology in Computer Science Education V. 1 (pp. 80-86). https://doi.org/10.1145/3649217.3653546"/><s v="Sampaio, I. B., &amp; Sampaio, A. (2024, June). Replication of a Study about the Impact of Method Chaining and Comments on Readability and Comprehension. In 2024 4th International Conference on Code Quality (ICCQ) (pp. 35-52). IEEE. https://doi.org/10.1109/IC"/><s v="Byrne, M. E., Kirschner, S., Harrewijn, A., Abend, R., Lazarov, A., Liuzzi, L., ... &amp; Pine, D. S. (2024). Eye-tracking measurement of attention bias to social threat among youth: A replication and extension study. Journal of Mood &amp; Anxiety Disorders, 1000"/><s v="Løhre, E., Chandrashekar, S. P., Mayiwar, L., &amp; Hærem, T. (2024). Uncertainty, expertise, and persuasion: A replication and extension of. Journal of Experimental Social Psychology, 113, 104619. https://doi.org/10.1016/j.jesp.2024.104619"/><s v="Ryan, M., King, H., Chesbrough, E. et al. Increasing Toy Engagement via Response Disequilibrium Theory: A Systematic Replication. Psychol Rec (2024). https://doi.org/10.1007/s40732-024-00601-4"/><s v="Dixit, U., He, J., Whited, M., Ellis, J. M., &amp; Zickgraf, H. F. (2023). Negative emotional eating patterns among American university students: A replication study. Appetite, 186, 106554."/><s v="Dixit, U., He, J., Whited, M., Ellis, J. M., &amp; Zickgraf, H. F. (2023). Negative emotional eating patterns among American university students : A replication study. Appetite, 186, 106554. "/><s v="Xu, Y., Song, J., Ren, Y., Barnhart, W. R., Dixit, U., Ji, F., Chen, C., &amp; He, J. (2024). Negative emotional eating patterns in general Chinese adults: A replication and expansion study examining group differences in eating disorder symptomatology, psycho"/><s v="Xu, Y., Song, J., Ren, Y., Barnhart, W. R., Dixit, U., Ji, F., Chen, C., &amp; He, J. (2024). Negative emotional eating patterns in general Chinese adults : A replication and expansion study examining group differences in eating disorder symptomatology, psych"/><s v="Krauss, S., &amp; Orth, U. (2024). Family environment and self-esteem development in adolescence: A replication and extension. Journal of Research in Personality, 104511. https://doi.org/10.1016/j.jrp.2024.104511"/><s v="Weidmann, R., Alabdullah, A., Warkentien, J., Vesikar, S., Denehy, M. E., Yang, H., Rakhshani, A., Brent Donnellan, M., &amp; Lucas, R. E. (2024). Does Perceived Similarity Between Present and Future Self Predict Well-Being? A Reanalysis and Replication of. S"/><s v="Patt, S. (2024). Age-Related Microaggressions: A Semi-Replication. https://cornerstone.lib.mnsu.edu/cgi/viewcontent.cgi?article=2424&amp;context=etds"/><s v="Akselevich, V., &amp; Gilaie-Dotan, S. (2024). Positive and negative facial valence perception are modulated differently by eccentricity in the parafovea: Replication from KDEF to NimStim. Scientific reports, 14(1), 13757. https://doi.org/10.1038/s41598-024-6"/><s v="Dolin, L., Stratton, J., &amp; Donatien, J. (2024). A Test of the Generalizability of a New Guilty Plea Decision-making Model Grounded in Fuzzy Trace Theory: A replication of Zottoli, Helm et al.(2023; Study 3). https://digitalcommons.montclair.edu/student-re"/><s v="Lacey, C., Paterson, T., Gawryluk, J. R., &amp; Alzheimer’s Disease Neuroimaging Initiative. (2024). Impact of APOE-ε alleles on brain structure and cognitive function in healthy older adults: A VBM and DTI replication study. Plos one, 19(4), e0292576. https:"/><s v="Langton, S., Ruiter, S., &amp; Verlaan, T. (2023). Describing the scale and composition of calls for police service: A replication and extension using open data. Police Practice and Research, 24(5), 523-538. https://doi.org/10.1080/15614263.2022.2102494"/><s v="Nivette, A., Nägel, C., &amp; Gilbert, E. (2023). Examining the effects of the killing of George Floyd by police in the United States on attitudes of Black Londoners: a replication. Police Practice and Research, 24(5), 575–596. https://doi.org/10.1080/1561426"/><s v="Balsa, A., Bloomfield, J. &amp; Cid, A. The Conceptual Replication of Crianza Positiva E-Messaging Program During the COVID-19 Pandemic: Too Much or Too Little Information?. J Fam Econ Iss (2024). https://doi.org/10.1007/s10834-024-09975-7"/><s v="Balsa, A., Bloomfield, J. &amp; Cid, A. The Conceptual Replication of Crianza Positiva E-Messaging Program During the COVID-19 Pandemic: Too Much or Too Little Information?. J Fam Econ Iss (2024). https://doi.org/10.1007/s10834-024-09975-8"/><s v="Balsa, A., Bloomfield, J. &amp; Cid, A. The Conceptual Replication of Crianza Positiva E-Messaging Program During the COVID-19 Pandemic: Too Much or Too Little Information?. J Fam Econ Iss (2024). https://doi.org/10.1007/s10834-024-09975-9"/><s v="Balsa, A., Bloomfield, J. &amp; Cid, A. The Conceptual Replication of Crianza Positiva E-Messaging Program During the COVID-19 Pandemic: Too Much or Too Little Information?. J Fam Econ Iss (2024). https://doi.org/10.1007/s10834-024-09975-10"/><s v="Balsa, A., Bloomfield, J. &amp; Cid, A. The Conceptual Replication of Crianza Positiva E-Messaging Program During the COVID-19 Pandemic: Too Much or Too Little Information?. J Fam Econ Iss (2024). https://doi.org/10.1007/s10834-024-09975-11"/><s v="Balsa, A., Bloomfield, J. &amp; Cid, A. The Conceptual Replication of Crianza Positiva E-Messaging Program During the COVID-19 Pandemic: Too Much or Too Little Information?. J Fam Econ Iss (2024). https://doi.org/10.1007/s10834-024-09975-12"/><s v="Balsa, A., Bloomfield, J. &amp; Cid, A. The Conceptual Replication of Crianza Positiva E-Messaging Program During the COVID-19 Pandemic: Too Much or Too Little Information?. J Fam Econ Iss (2024). https://doi.org/10.1007/s10834-024-09975-13"/><s v="Balsa, A., Bloomfield, J. &amp; Cid, A. The Conceptual Replication of Crianza Positiva E-Messaging Program During the COVID-19 Pandemic: Too Much or Too Little Information?. J Fam Econ Iss (2024). https://doi.org/10.1007/s10834-024-09975-14"/><s v="Balsa, A., Bloomfield, J. &amp; Cid, A. The Conceptual Replication of Crianza Positiva E-Messaging Program During the COVID-19 Pandemic: Too Much or Too Little Information?. J Fam Econ Iss (2024). https://doi.org/10.1007/s10834-024-09975-15"/><s v="Balsa, A., Bloomfield, J. &amp; Cid, A. The Conceptual Replication of Crianza Positiva E-Messaging Program During the COVID-19 Pandemic: Too Much or Too Little Information?. J Fam Econ Iss (2024). https://doi.org/10.1007/s10834-024-09975-16"/><s v="Menegale, M., &amp; Spricigo, L. (2024). Enhancing L2 confidence through learning diaries: A replication study on Italian lower-secondary school students. Studies in Self-Access Learning Journal, 15(2), 187–212. https://doi.org/10.37237/150205"/><s v="Metskas, A. K. (2024, June 26). Replication of a study from “Relational diversity in social portfolios predicts well-being”  (PNAS | Collins et al. 2022). https://doi.org/10.31234/osf.io/jfmsz"/><s v="Metskas, A. K. (2024, June 26). Replication of a study from “Knowledge about others reduces one’s own sense of anonymity”  (Nature | Shah &amp; LaForest 2022). https://doi.org/10.31234/osf.io/xjaty"/><s v="Pruett, M. K., Wang, X., Zhu, T., Alschech, J., &amp; Saini, M. (2024). The Co-Parenting Across Family Structures Scale: Replication for Mandarin parents. Family process, 10.1111/famp.12997. Advance online publication. https://doi.org/10.1111/famp.12997"/><s v="Seward, R., &amp; Redner, R. (2024). A replication of extended implementation and social interaction during the Step it UP! Game for adults with disabilities. Journal of Applied Behavior Analysis, 1–16. https://doi.org/10.1002/jaba.1098"/><s v="Malesky, E. J., &amp; Nguyen, T. A. (2024). Historical Communist Party Strength and Modern Party Loyalty. A Replication Study of Barceló (PNAS, 2021). Journal of Comments and Replications in Economics (JCRE), 3(2024-5), 1-27. https://doi.org/10.18718/81781.35"/><s v="Couture, C., Veilleux, C., Chinhama, S., de Boinod, O. J., Payment, B., Husereau, T., &amp; Ouellette, É. (2024). Articulatory rehearsal and phonological storage in working memory: A replication of Longoni et al. (1993). The Quantitative Methods for Psycholog"/><s v="Cesar Teló, Rosane Silveira, Ana Flávia Boeing Marcelino, Mary G O’Brien, Accent Bias in Professional Evaluations: A Conceptual Replication Study in Brazil, Applied Linguistics, 2024;, amae042, https://doi.org/10.1093/applin/amae042"/><s v="Cesar Teló, Rosane Silveira, Ana Flávia Boeing Marcelino, Mary G O’Brien, Accent Bias in Professional Evaluations: A Conceptual Replication Study in Brazil, Applied Linguistics, 2024;, amae042, https://doi.org/10.1093/applin/amae043"/><s v="Cesar Teló, Rosane Silveira, Ana Flávia Boeing Marcelino, Mary G O’Brien, Accent Bias in Professional Evaluations: A Conceptual Replication Study in Brazil, Applied Linguistics, 2024;, amae042, https://doi.org/10.1093/applin/amae044"/><s v="Fernandes, J., &amp; Segev, S. (2024). The persuasion cues that make video advertising go viral: a conceptual replication and extension comparing viral vs. Non-viral advertising. Journal of Marketing Communications, 1–27. https://doi.org/10.1080/13527266.2024"/><s v="Holbrook, A., Park, B., Baldwin, S., Riesel, A., Larson, M. J., &amp; Clayson, P. E. (2024, July 10). Psychometric Reliability of ERN and Pe Across Flanker, Stroop, and Go/No-Go Tasks: A Direct and Conceptual Replication. https://doi.org/10.31234/osf.io/xr6bn"/><s v="Lee, N., &amp; Hittmair, F. (2024). The Colors of Aliens: A Replication Study on Environmental Practices of Foreign-Owned Establishments. In Academy of Management Proceedings (Vol. 2024, No. 1, p. 19578). Valhalla, NY 10595: Academy of Management. https://doi"/><s v="MacDonald, J., Lee, S., &amp; Wilbiks, J. (2024). Generalized anxiety disorder and selective attention: An unsuccessful replication of Yiend et al.,(2015) in a student population. Visual Cognition, 1-9. https://doi.org/10.1080/13506285.2024.2343157"/><s v="Eben, C., Chen, Z., London, R. E., &amp; Verbruggen, F. (2024). Escalating frustration-A replication attempt and extension of Yu et al.(2014). Open Research Europe, 4(135), 135. https://doi.org/10.12688/openreseurope.17749.1"/><s v="Pruski, S. M. (2024). The impact of Screen Time, Social Media Use and Extraversion on Life Satisfaction among University Students: An extended replication study (Bachelor's thesis, University of Twente). Retrieved from https://purl.utwente.nl/essays/10045"/><s v="Yang, H., &amp; Zhang, W. Explaining the decline of China's labor share: A wide replication of Oberfield and Raval (2021). Journal of Applied Econometrics. https://doi.org/10.1002/jae.3082"/><s v="Teng, X., Lau, K. W., Ng, T. K., Chan, K. P., Yeung, W., Yeung, S. K., &amp; Feldman, G. Revisiting the mechanism underlying the default effect: Implicit recommendations, perceived trustworthiness, and preference uncertainty in a replication and extensions Re"/><s v="Moore, D. A., Schroeder, J., Bailey, E. R., Gershon, R., Moore, J. E., &amp; Simmons, J. P. (2024). Does thinking about God increase acceptance of artificial intelligence in decision-making? *Proceedings of the National Academy of Sciences of the United State"/><s v="Boyce, V., Mathur, M., &amp; Frank, M. C. (2023). Eleven years of student replication projects provide evidence on the correlates of replicability in psychology. Royal Society Open Science, 10(11), 231240. https://doi.org/10.1098/rsos.231240"/><s v="Boyce, V., Mathur, M., &amp; Frank, M. C. (2023). Eleven years of student replication projects provide evidence on the correlates of replicability in psychology. Royal Society Open Science, 10(11), 231240. https://doi.org/10.1098/rsos.231173"/><s v="Boyce, V., Mathur, M., &amp; Frank, M. C. (2023). Eleven years of student replication projects provide evidence on the correlates of replicability in psychology. Royal Society Open Science, 10(11), 231240. https://doi.org/10.1098/rsos.231076"/><s v="Cova, F., Strickland, B., Abatista, A., Allard, A., Andow, J., Attie, M., Beebe, J., Berniūnas, R., Boudesseul, J., Colombo, M., Cushman, F., Diaz, R., N'Djaye Nikolai van Dongen, N., Dranseika, V., Earp, B. D., Torres, A. G., Hannikainen, I., Hernández-C"/><s v="Boyce, V., Mathur, M., &amp; Frank, M. C. (2023). Eleven years of student replication projects provide evidence on the correlates of replicability in psychology. Royal Society Open Science, 10(11), 231240. https://doi.org/10.1098/rsos.231065"/><s v="Boyce, V., Mathur, M., &amp; Frank, M. C. (2023). Eleven years of student replication projects provide evidence on the correlates of replicability in psychology. Royal Society Open Science, 10(11), 231240. https://doi.org/10.1098/rsos.231091"/><s v="Boyce, V., Mathur, M., &amp; Frank, M. C. (2023). Eleven years of student replication projects provide evidence on the correlates of replicability in psychology. Royal Society Open Science, 10(11), 231240. https://doi.org/10.1098/rsos.231092"/><s v="Boyce, V., Mathur, M., &amp; Frank, M. C. (2023). Eleven years of student replication projects provide evidence on the correlates of replicability in psychology. Royal Society Open Science, 10(11), 231240. https://doi.org/10.1098/rsos.231093"/><s v="Boyce, V., Mathur, M., &amp; Frank, M. C. (2023). Eleven years of student replication projects provide evidence on the correlates of replicability in psychology. Royal Society Open Science, 10(11), 231240. https://doi.org/10.1098/rsos.231094"/><s v="Boyce, V., Mathur, M., &amp; Frank, M. C. (2023). Eleven years of student replication projects provide evidence on the correlates of replicability in psychology. Royal Society Open Science, 10(11), 231240. https://doi.org/10.1098/rsos.231095"/><s v="Boyce, V., Mathur, M., &amp; Frank, M. C. (2023). Eleven years of student replication projects provide evidence on the correlates of replicability in psychology. Royal Society Open Science, 10(11), 231240. https://doi.org/10.1098/rsos.231096"/><s v="Boyce, V., Mathur, M., &amp; Frank, M. C. (2023). Eleven years of student replication projects provide evidence on the correlates of replicability in psychology. Royal Society Open Science, 10(11), 231240. https://doi.org/10.1098/rsos.231097"/><s v="Boyce, V., Mathur, M., &amp; Frank, M. C. (2023). Eleven years of student replication projects provide evidence on the correlates of replicability in psychology. Royal Society Open Science, 10(11), 231240. https://doi.org/10.1098/rsos.231098"/><s v="Boyce, V., Mathur, M., &amp; Frank, M. C. (2023). Eleven years of student replication projects provide evidence on the correlates of replicability in psychology. Royal Society Open Science, 10(11), 231240. https://doi.org/10.1098/rsos.231099"/><s v="Boyce, V., Mathur, M., &amp; Frank, M. C. (2023). Eleven years of student replication projects provide evidence on the correlates of replicability in psychology. Royal Society Open Science, 10(11), 231240. https://doi.org/10.1098/rsos.231100"/><s v="Boyce, V., Mathur, M., &amp; Frank, M. C. (2023). Eleven years of student replication projects provide evidence on the correlates of replicability in psychology. Royal Society Open Science, 10(11), 231240. https://doi.org/10.1098/rsos.231066"/><s v="Boyce, V., Mathur, M., &amp; Frank, M. C. (2023). Eleven years of student replication projects provide evidence on the correlates of replicability in psychology. Royal Society Open Science, 10(11), 231240. https://doi.org/10.1098/rsos.231101"/><s v="Boyce, V., Mathur, M., &amp; Frank, M. C. (2023). Eleven years of student replication projects provide evidence on the correlates of replicability in psychology. Royal Society Open Science, 10(11), 231240. https://doi.org/10.1098/rsos.231102"/><s v="Boyce, V., Mathur, M., &amp; Frank, M. C. (2023). Eleven years of student replication projects provide evidence on the correlates of replicability in psychology. Royal Society Open Science, 10(11), 231240. https://doi.org/10.1098/rsos.231103"/><s v="Boyce, V., Mathur, M., &amp; Frank, M. C. (2023). Eleven years of student replication projects provide evidence on the correlates of replicability in psychology. Royal Society Open Science, 10(11), 231240. https://doi.org/10.1098/rsos.231104"/><s v="Boyce, V., Mathur, M., &amp; Frank, M. C. (2023). Eleven years of student replication projects provide evidence on the correlates of replicability in psychology. Royal Society Open Science, 10(11), 231240. https://doi.org/10.1098/rsos.231105"/><s v="Boyce, V., Mathur, M., &amp; Frank, M. C. (2023). Eleven years of student replication projects provide evidence on the correlates of replicability in psychology. Royal Society Open Science, 10(11), 231240. https://doi.org/10.1098/rsos.231106"/><s v="Boyce, V., Mathur, M., &amp; Frank, M. C. (2023). Eleven years of student replication projects provide evidence on the correlates of replicability in psychology. Royal Society Open Science, 10(11), 231240. https://doi.org/10.1098/rsos.231107"/><s v="Boyce, V., Mathur, M., &amp; Frank, M. C. (2023). Eleven years of student replication projects provide evidence on the correlates of replicability in psychology. Royal Society Open Science, 10(11), 231240. https://doi.org/10.1098/rsos.231108"/><s v="Boyce, V., Mathur, M., &amp; Frank, M. C. (2023). Eleven years of student replication projects provide evidence on the correlates of replicability in psychology. Royal Society Open Science, 10(11), 231240. https://doi.org/10.1098/rsos.231109"/><s v="Boyce, V., Mathur, M., &amp; Frank, M. C. (2023). Eleven years of student replication projects provide evidence on the correlates of replicability in psychology. Royal Society Open Science, 10(11), 231240. https://doi.org/10.1098/rsos.231110"/><s v="Boyce, V., Mathur, M., &amp; Frank, M. C. (2023). Eleven years of student replication projects provide evidence on the correlates of replicability in psychology. Royal Society Open Science, 10(11), 231240. https://doi.org/10.1098/rsos.231067"/><s v="Boyce, V., Mathur, M., &amp; Frank, M. C. (2023). Eleven years of student replication projects provide evidence on the correlates of replicability in psychology. Royal Society Open Science, 10(11), 231240. https://doi.org/10.1098/rsos.231111"/><s v="Boyce, V., Mathur, M., &amp; Frank, M. C. (2023). Eleven years of student replication projects provide evidence on the correlates of replicability in psychology. Royal Society Open Science, 10(11), 231240. https://doi.org/10.1098/rsos.231112"/><s v="Boyce, V., Mathur, M., &amp; Frank, M. C. (2023). Eleven years of student replication projects provide evidence on the correlates of replicability in psychology. Royal Society Open Science, 10(11), 231240. https://doi.org/10.1098/rsos.231113"/><s v="Boyce, V., Mathur, M., &amp; Frank, M. C. (2023). Eleven years of student replication projects provide evidence on the correlates of replicability in psychology. Royal Society Open Science, 10(11), 231240. https://doi.org/10.1098/rsos.231114"/><s v="Boyce, V., Mathur, M., &amp; Frank, M. C. (2023). Eleven years of student replication projects provide evidence on the correlates of replicability in psychology. Royal Society Open Science, 10(11), 231240. https://doi.org/10.1098/rsos.231115"/><s v="Boyce, V., Mathur, M., &amp; Frank, M. C. (2023). Eleven years of student replication projects provide evidence on the correlates of replicability in psychology. Royal Society Open Science, 10(11), 231240. https://doi.org/10.1098/rsos.231116"/><s v="Boyce, V., Mathur, M., &amp; Frank, M. C. (2023). Eleven years of student replication projects provide evidence on the correlates of replicability in psychology. Royal Society Open Science, 10(11), 231240. https://doi.org/10.1098/rsos.231117"/><s v="Boyce, V., Mathur, M., &amp; Frank, M. C. (2023). Eleven years of student replication projects provide evidence on the correlates of replicability in psychology. Royal Society Open Science, 10(11), 231240. https://doi.org/10.1098/rsos.231118"/><s v="Boyce, V., Mathur, M., &amp; Frank, M. C. (2023). Eleven years of student replication projects provide evidence on the correlates of replicability in psychology. Royal Society Open Science, 10(11), 231240. https://doi.org/10.1098/rsos.231119"/><s v="Boyce, V., Mathur, M., &amp; Frank, M. C. (2023). Eleven years of student replication projects provide evidence on the correlates of replicability in psychology. Royal Society Open Science, 10(11), 231240. https://doi.org/10.1098/rsos.231120"/><s v="Boyce, V., Mathur, M., &amp; Frank, M. C. (2023). Eleven years of student replication projects provide evidence on the correlates of replicability in psychology. Royal Society Open Science, 10(11), 231240. https://doi.org/10.1098/rsos.231068"/><s v="Boyce, V., Mathur, M., &amp; Frank, M. C. (2023). Eleven years of student replication projects provide evidence on the correlates of replicability in psychology. Royal Society Open Science, 10(11), 231240. https://doi.org/10.1098/rsos.231121"/><s v="Boyce, V., Mathur, M., &amp; Frank, M. C. (2023). Eleven years of student replication projects provide evidence on the correlates of replicability in psychology. Royal Society Open Science, 10(11), 231240. https://doi.org/10.1098/rsos.231122"/><s v="Boyce, V., Mathur, M., &amp; Frank, M. C. (2023). Eleven years of student replication projects provide evidence on the correlates of replicability in psychology. Royal Society Open Science, 10(11), 231240. https://doi.org/10.1098/rsos.231123"/><s v="Boyce, V., Mathur, M., &amp; Frank, M. C. (2023). Eleven years of student replication projects provide evidence on the correlates of replicability in psychology. Royal Society Open Science, 10(11), 231240. https://doi.org/10.1098/rsos.231124"/><s v="Boyce, V., Mathur, M., &amp; Frank, M. C. (2023). Eleven years of student replication projects provide evidence on the correlates of replicability in psychology. Royal Society Open Science, 10(11), 231240. https://doi.org/10.1098/rsos.231125"/><s v="Boyce, V., Mathur, M., &amp; Frank, M. C. (2023). Eleven years of student replication projects provide evidence on the correlates of replicability in psychology. Royal Society Open Science, 10(11), 231240. https://doi.org/10.1098/rsos.231126"/><s v="Boyce, V., Mathur, M., &amp; Frank, M. C. (2023). Eleven years of student replication projects provide evidence on the correlates of replicability in psychology. Royal Society Open Science, 10(11), 231240. https://doi.org/10.1098/rsos.231127"/><s v="Boyce, V., Mathur, M., &amp; Frank, M. C. (2023). Eleven years of student replication projects provide evidence on the correlates of replicability in psychology. Royal Society Open Science, 10(11), 231240. https://doi.org/10.1098/rsos.231128"/><s v="Boyce, V., Mathur, M., &amp; Frank, M. C. (2023). Eleven years of student replication projects provide evidence on the correlates of replicability in psychology. Royal Society Open Science, 10(11), 231240. https://doi.org/10.1098/rsos.231129"/><s v="Boyce, V., Mathur, M., &amp; Frank, M. C. (2023). Eleven years of student replication projects provide evidence on the correlates of replicability in psychology. Royal Society Open Science, 10(11), 231240. https://doi.org/10.1098/rsos.231130"/><s v="Boyce, V., Mathur, M., &amp; Frank, M. C. (2023). Eleven years of student replication projects provide evidence on the correlates of replicability in psychology. Royal Society Open Science, 10(11), 231240. https://doi.org/10.1098/rsos.231069"/><s v="Boyce, V., Mathur, M., &amp; Frank, M. C. (2023). Eleven years of student replication projects provide evidence on the correlates of replicability in psychology. Royal Society Open Science, 10(11), 231240. https://doi.org/10.1098/rsos.231131"/><s v="Boyce, V., Mathur, M., &amp; Frank, M. C. (2023). Eleven years of student replication projects provide evidence on the correlates of replicability in psychology. Royal Society Open Science, 10(11), 231240. https://doi.org/10.1098/rsos.231132"/><s v="Boyce, V., Mathur, M., &amp; Frank, M. C. (2023). Eleven years of student replication projects provide evidence on the correlates of replicability in psychology. Royal Society Open Science, 10(11), 231240. https://doi.org/10.1098/rsos.231133"/><s v="Boyce, V., Mathur, M., &amp; Frank, M. C. (2023). Eleven years of student replication projects provide evidence on the correlates of replicability in psychology. Royal Society Open Science, 10(11), 231240. https://doi.org/10.1098/rsos.231134"/><s v="Boyce, V., Mathur, M., &amp; Frank, M. C. (2023). Eleven years of student replication projects provide evidence on the correlates of replicability in psychology. Royal Society Open Science, 10(11), 231240. https://doi.org/10.1098/rsos.231135"/><s v="Boyce, V., Mathur, M., &amp; Frank, M. C. (2023). Eleven years of student replication projects provide evidence on the correlates of replicability in psychology. Royal Society Open Science, 10(11), 231240. https://doi.org/10.1098/rsos.231136"/><s v="Boyce, V., Mathur, M., &amp; Frank, M. C. (2023). Eleven years of student replication projects provide evidence on the correlates of replicability in psychology. Royal Society Open Science, 10(11), 231240. https://doi.org/10.1098/rsos.231137"/><s v="Boyce, V., Mathur, M., &amp; Frank, M. C. (2023). Eleven years of student replication projects provide evidence on the correlates of replicability in psychology. Royal Society Open Science, 10(11), 231240. https://doi.org/10.1098/rsos.231138"/><s v="Boyce, V., Mathur, M., &amp; Frank, M. C. (2023). Eleven years of student replication projects provide evidence on the correlates of replicability in psychology. Royal Society Open Science, 10(11), 231240. https://doi.org/10.1098/rsos.231139"/><s v="Boyce, V., Mathur, M., &amp; Frank, M. C. (2023). Eleven years of student replication projects provide evidence on the correlates of replicability in psychology. Royal Society Open Science, 10(11), 231240. https://doi.org/10.1098/rsos.231070"/><s v="Boyce, V., Mathur, M., &amp; Frank, M. C. (2023). Eleven years of student replication projects provide evidence on the correlates of replicability in psychology. Royal Society Open Science, 10(11), 231240. https://doi.org/10.1098/rsos.231140"/><s v="Boyce, V., Mathur, M., &amp; Frank, M. C. (2023). Eleven years of student replication projects provide evidence on the correlates of replicability in psychology. Royal Society Open Science, 10(11), 231240. https://doi.org/10.1098/rsos.231141"/><s v="Boyce, V., Mathur, M., &amp; Frank, M. C. (2023). Eleven years of student replication projects provide evidence on the correlates of replicability in psychology. Royal Society Open Science, 10(11), 231240. https://doi.org/10.1098/rsos.231142"/><s v="Boyce, V., Mathur, M., &amp; Frank, M. C. (2023). Eleven years of student replication projects provide evidence on the correlates of replicability in psychology. Royal Society Open Science, 10(11), 231240. https://doi.org/10.1098/rsos.231143"/><s v="Boyce, V., Mathur, M., &amp; Frank, M. C. (2023). Eleven years of student replication projects provide evidence on the correlates of replicability in psychology. Royal Society Open Science, 10(11), 231240. https://doi.org/10.1098/rsos.231144"/><s v="Boyce, V., Mathur, M., &amp; Frank, M. C. (2023). Eleven years of student replication projects provide evidence on the correlates of replicability in psychology. Royal Society Open Science, 10(11), 231240. https://doi.org/10.1098/rsos.231145"/><s v="Boyce, V., Mathur, M., &amp; Frank, M. C. (2023). Eleven years of student replication projects provide evidence on the correlates of replicability in psychology. Royal Society Open Science, 10(11), 231240. https://doi.org/10.1098/rsos.231146"/><s v="Boyce, V., Mathur, M., &amp; Frank, M. C. (2023). Eleven years of student replication projects provide evidence on the correlates of replicability in psychology. Royal Society Open Science, 10(11), 231240. https://doi.org/10.1098/rsos.231147"/><s v="Boyce, V., Mathur, M., &amp; Frank, M. C. (2023). Eleven years of student replication projects provide evidence on the correlates of replicability in psychology. Royal Society Open Science, 10(11), 231240. https://doi.org/10.1098/rsos.231148"/><s v="Boyce, V., Mathur, M., &amp; Frank, M. C. (2023). Eleven years of student replication projects provide evidence on the correlates of replicability in psychology. Royal Society Open Science, 10(11), 231240. https://doi.org/10.1098/rsos.231149"/><s v="Boyce, V., Mathur, M., &amp; Frank, M. C. (2023). Eleven years of student replication projects provide evidence on the correlates of replicability in psychology. Royal Society Open Science, 10(11), 231240. https://doi.org/10.1098/rsos.231150"/><s v="Boyce, V., Mathur, M., &amp; Frank, M. C. (2023). Eleven years of student replication projects provide evidence on the correlates of replicability in psychology. Royal Society Open Science, 10(11), 231240. https://doi.org/10.1098/rsos.231151"/><s v="Boyce, V., Mathur, M., &amp; Frank, M. C. (2023). Eleven years of student replication projects provide evidence on the correlates of replicability in psychology. Royal Society Open Science, 10(11), 231240. https://doi.org/10.1098/rsos.231152"/><s v="Boyce, V., Mathur, M., &amp; Frank, M. C. (2023). Eleven years of student replication projects provide evidence on the correlates of replicability in psychology. Royal Society Open Science, 10(11), 231240. https://doi.org/10.1098/rsos.231153"/><s v="Boyce, V., Mathur, M., &amp; Frank, M. C. (2023). Eleven years of student replication projects provide evidence on the correlates of replicability in psychology. Royal Society Open Science, 10(11), 231240. https://doi.org/10.1098/rsos.231154"/><s v="Boyce, V., Mathur, M., &amp; Frank, M. C. (2023). Eleven years of student replication projects provide evidence on the correlates of replicability in psychology. Royal Society Open Science, 10(11), 231240. https://doi.org/10.1098/rsos.231155"/><s v="Boyce, V., Mathur, M., &amp; Frank, M. C. (2023). Eleven years of student replication projects provide evidence on the correlates of replicability in psychology. Royal Society Open Science, 10(11), 231240. https://doi.org/10.1098/rsos.231156"/><s v="Boyce, V., Mathur, M., &amp; Frank, M. C. (2023). Eleven years of student replication projects provide evidence on the correlates of replicability in psychology. Royal Society Open Science, 10(11), 231240. https://doi.org/10.1098/rsos.231157"/><s v="Boyce, V., Mathur, M., &amp; Frank, M. C. (2023). Eleven years of student replication projects provide evidence on the correlates of replicability in psychology. Royal Society Open Science, 10(11), 231240. https://doi.org/10.1098/rsos.231158"/><s v="Boyce, V., Mathur, M., &amp; Frank, M. C. (2023). Eleven years of student replication projects provide evidence on the correlates of replicability in psychology. Royal Society Open Science, 10(11), 231240. https://doi.org/10.1098/rsos.231159"/><s v="Lumian, D. S., &amp; McRae, K. (2017). Preregistered Replication of “Affective Flexibility: Evaluative Processing Goals Shape Amygdala Activity”. Psychological Science, 28(9), 1193-1200. https://doi.org/10.1177/0956797617719730"/><s v="McRae, K., Lumian, D. S., &amp;  T. (2023, September 28). Data. https://doi.org/10.17605/OSF.IO/BTH36"/><s v="Camerer, C. F., Dreber, A., Forsell, E., Ho, T. H., Huber, J., Johannesson, M., ... &amp; Wu, H. (2016). Evaluating replicability of laboratory experiments in economics. Science, 351(6280), 1433-1436."/><s v="Camerer, C. F., Dreber, A., Holzmeister, F., Ho, T. H., Huber, J., Johannesson, M., ... &amp; Wu, H. (2018). Evaluating the replicability of social science experiments in Nature and Science between 2010 and 2015. Nature human behaviour, 2(9), 637-644."/><s v="Arbesfeld, J. Collins, T., Baldwin, D., &amp; Daubman, K. (2014, February 15). Clean thoughts lead to less severe moral judgment. Retrieved 16:26, February 18, 2014 from http://www.PsychFileDrawer.org/replicati on.php?attempt=MTc3"/><s v="Lee et al. (2013)   "/><s v="Huang JL (2014) Does cleanliness influence moral judgments? Response effort moderates the effect of cleanliness priming on moral judgments. Front. Psychol. 5:1276. doi: 10.3389/fpsyg.2014.01276 (Study 1)"/><s v="Korbmacher, M., Kwan, C. I., &amp; Feldman, G. (2022). Both better and worse than others depending on difficulty: Replication and extensions of Kruger’s (1999) above and below average effects. https://hdl.handle.net/11250/2990125"/><s v="Cesario, J., Corker, K. S., &amp; Jelinek, S. (2013). A self-regulatory framework for message framing. Journal of Experimental Social Psychology, 49(2), 238–249. https://doi.org/10.1016/j.jesp.2012.10.014"/><s v="Lange, F., &amp; Eggert, F. (2014). Sweet delusion. Glucose drinks fail to counteract ego depletion. Appetite, 75, 54–63. https://doi.org/10.1016/j.appet.2013.12.020"/><s v="Murtagh, A. M., &amp; Todd, S. A. (2004). Self-regulation: A challenge to the strength model. Journal of Articles in Support of the Null Hypothesis, 3(1), 19-51. (Study 2)"/><s v="Pond et al. (2011) Study 3  "/><s v="Healey, M. K., Hasher, L., &amp; Danilova, E. I. (2011). The stability of working memory: Do previous tasks influence complex span? Journal of Experimental Psychology: General, 140(4), 573–585. https://doi.org/10.1037/a0024587"/><s v="Carter, E. C., &amp; McCullough, M. E. (2013). After a pair of self-control-intensive tasks, sucrose swishing improves subsequent working memory performance. BMC Psychology, 1(1). https://doi.org/10.1186/2050-7283-1-22"/><s v="Lurquin JH, Michaelson LE, Barker JE, Gustavson DE, von Bastian CC, Carruth NP, et al. (2016) No Evidence of the Ego-Depletion Effect across Task Characteristics and Individual Differences: A Pre-Registered Study. PLoS ONE 11 (2): e0147770. doi:10.1371/jo"/><s v="Wang, Y., &amp; Yang, L. (2014). Suppression (but not reappraisal) impairs subsequent error detection: An ERP Study of Emotion Regulation’s Resource-Depleting Effect. PLOS ONE, 9(4), e96339. https://doi.org/10.1371/journal.pone.0096339"/><s v="Klein, R. A., Ratliff, K. A., Vianello, M., Adams, R. B., Bahník, Š., Bernstein, M. J., ... &amp; Nosek, B. A. (2014). Investigating variation in replicability: A &quot;Many Labs&quot; replication project. Social Psychology, 45(3), 142–152"/><s v="Hull, J. G., Slone, L. B., Meteyer, K., &amp; Matthews, A. R. (2002). The nonconsciousness of self-consciousness. Journal of Personality and Social Psychology, 83(2), 406–424. https://doi.org/10.1037/0022-3514.83.2.406 (Study 1a)"/><s v="Hull, J. G., Slone, L. B., Meteyer, K., &amp; Matthews, A. R. (2002). The nonconsciousness of self-consciousness. Journal of Personality and Social Psychology, 83(2), 406–424. https://doi.org/10.1037/0022-3514.83.2.407  (Study 1b)"/><s v="Cesario, J., Plaks, J. E., &amp; Higgins, E. T. (2006). Automatic social behavior as motivated preparation to interact. Journal of Personality and Social Psychology, 90(6), 893–910 (study 2)"/><s v="Pashler, H., Harris, C., &amp; Coburn, N.. Elderly-Related Words Prime Slow Walking . (2011, September 15). Retrieved 04:36, September 23, 2017 from http://www.PsychFileDrawer.org/replication.php?attempt=MTU%3D"/><m/><s v="Doyen, S., Klein, O., Pichon, C., &amp; Cleeremans, A. (2012). Behavioral priming: it’s all in the mind, but whose mind? PLOS ONE, 7(1), e29081. https://doi.org/10.1371/journal.pone.0029081"/><s v="Perfecto et al. (2012)  "/><s v="LeBel, E. P., &amp; Wilbur, C. J. (2013). Big secrets do not necessarily cause hills to appear steeper. Psychonomic Bulletin &amp; Review, 21(3), 696–700. https://doi.org/10.3758/s13423-013-0549-2 (Study 1)"/><s v="LeBel, E. P., &amp; Wilbur, C. J. (2013). Big secrets do not necessarily cause hills to appear steeper. Psychonomic Bulletin &amp; Review, 21(3), 696–700. https://doi.org/10.3758/s13423-013-0549-3 (Study 2)"/><s v="Pecher, D., Van Mierlo, H., Cañal‐Bruland, R., &amp; Zeelenberg, R. (2015). The burden of secrecy? No effect on hill slant estimation and beanbag throwing. Journal of Experimental Psychology: General, 144(4), e65–e72. https://doi.org/10.1037/xge0000090 (Study"/><s v="Pecher, D., Van Mierlo, H., Cañal‐Bruland, R., &amp; Zeelenberg, R. (2015). The burden of secrecy? No effect on hill slant estimation and beanbag throwing. Journal of Experimental Psychology: General, 144(4), e65–e72. https://doi.org/10.1037/xge0000091 (Study"/><s v="Cobb et al. (2014) "/><s v="Pashler, H., Rohrer, D., &amp; Harris, C. R. (2013). Can the goal of honesty be primed? Journal of Experimental Social Psychology, 49(6), 959–964. https://doi.org/10.1016/j.jesp.2013.05.011 (Study 1)"/><s v="Pashler, H., Rohrer, D., &amp; Harris, C. R. (2013). Can the goal of honesty be primed? Journal of Experimental Social Psychology, 49(6), 959–964. https://doi.org/10.1016/j.jesp.2013.05.012 (Study 2)"/><s v="Pashler, H., Rohrer, D., &amp; Harris, C. R. (2013). Can the goal of honesty be primed? Journal of Experimental Social Psychology, 49(6), 959–964. https://doi.org/10.1016/j.jesp.2013.05.013 (Study 3)"/><s v="Pashler, H., Rohrer, D., &amp; Harris, C. R. (2013). Can the goal of honesty be primed? Journal of Experimental Social Psychology, 49(6), 959–964. https://doi.org/10.1016/j.jesp.2013.05.014 (Study 4)"/><s v="Fayard, Jennifer &amp; Bassi, Aman &amp; Bernstein, Daniel &amp; Roberts, Brent. (2009). Is cleanliness next to godliness? Dispelling old wives' tales: Failure to replicate Zhong and Liljenquist (2006). J. Articles Support Null Hypothesis. 6. (Study 1)"/><s v="Gámez, E., Díaz, J. a. Á., &amp; Marrero, H. (2011). The Uncertain Universality of the Macbeth Effect with a Spanish Sample. The Spanish Journal of Psychology, 14(1), 156–162. https://doi.org/10.5209/rev_sjop.2011.v14.n1.13 (Study 3)"/><s v="Siev (2012) Study 1  "/><s v="Siev (2012) Study 2   "/><s v="Earp, B. D., Everett, J. a. C., Madva, E. N., &amp; Hamlin, J. K. (2014). Out, damned spot: Can the “Macbeth effect” be replicated? Basic and Applied Social Psychology, 36(1), 91–98. https://doi.org/10.1080/01973533.2013.856792"/><s v="Fayard, Jennifer &amp; Bassi, Aman &amp; Bernstein, Daniel &amp; Roberts, Brent. (2009). Is cleanliness next to godliness? Dispelling old wives' tales: Failure to replicate Zhong and Liljenquist (2006). J. Articles Support Null Hypothesis. 6. (Study 2)"/><s v="Reuven, O., Liberman, N., &amp; Dar, R. (2013). The effect of physical cleaning on Threatened morality in Individuals with Obsessive-Compulsive Disorder. Clinical Psychological Science, 2(2), 224–229. https://doi.org/10.1177/2167702613485565"/><s v="Madurski, C., &amp; LeBel, E. P. (2014). Making sense of the noise: Replication difficulties of Correll’s (2008) modulation of 1/f noise in a racial bias task. Psychonomic Bulletin &amp; Review, 22(4), 1135–1141. https://doi.org/10.3758/s13423-014-0757-4 (Study 1"/><s v="Madurski, C., &amp; LeBel, E. P. (2014). Making sense of the noise: Replication difficulties of Correll’s (2008) modulation of 1/f noise in a racial bias task. Psychonomic Bulletin &amp; Review, 22(4), 1135–1141. https://doi.org/10.3758/s13423-014-0757-4"/><s v="Madurski, C., &amp; LeBel, E. P. (2014). Making sense of the noise: Replication difficulties of Correll’s (2008) modulation of 1/f noise in a racial bias task. Psychonomic Bulletin &amp; Review, 22(4), 1135–1141. https://doi.org/10.3758/s13423-014-0757-4 (Study 2"/><s v="Ranehill, E., Dreber, A., Johannesson, M., Leiberg, S., Sul, S., &amp; Weber, R. A. (2015). Assessing the robustness of power posing. Psychological Science, 26(5), 653–656. https://doi.org/10.1177/0956797614553946"/><s v="Garrison, K., Tang, D., &amp; Schmeichel, B. J. (2016). Embodying power. Social Psychological and Personality Science, 7(7), 623–630. https://doi.org/10.1177/1948550616652209"/><s v="Wagenmakers, E., Wetzels, R., Borsboom, D., Van Der Maas, H. L. J., &amp; Kievit, R. A. (2012). An agenda for purely confirmatory research. Perspectives on Psychological Science, 7(6), 632–638. https://doi.org/10.1177/1745691612463078"/><s v="Panero, M. E., Weisberg, D. S., Black, J. E., Goldstein, T. R., Barnes, J. L., Brownell, H., &amp; Winner, E. (2016). Does reading a single passage of literary fiction really improve theory of mind? An attempt at replication. Journal of Personality and Social"/><s v="Ebersole, C. R., Atherton, O. E., Belanger, A. L., Skulborstad, H. M., Allen, J. M., Banks, J. B., ... &amp; Nosek, B. A. (2016). Many Labs 3: Evaluating participant pool quality across the academic semester via replication. Journal of Experimental Social Psy"/><s v="Dijkstra, K., Verkoeijen, P., van Kuijk, I., Yee Chow, S., Bakker, A., &amp; Zwaan, R. (2015). Leidt het lezen van literaire fictie tot meer empathie? : een replicatiestudie van Kidd en Castano (2013). De Psycholoog, 50(10), 10–21. Retrieved from http://hdl.h"/><s v="Connors, S., Khamitov, M., Moroz, S., Campbell, L., &amp; Henderson, C. (2016). Time, money, and happiness: Does putting a price on time affect our ability to smell the roses? Journal of Experimental Social Psychology, 67, 60–64. https://doi.org/10.1016/j.jes"/><s v="Wortman, J., Donnellan, M. B., &amp; Lucas, R. E. (2014). Can physical warmth (or coldness) predict trait loneliness? A replication of Bargh and Shalev (2012). Archives of Scientific Psychology, 2(1), 13–19. https://doi.org/10.1037/arc0000007"/><s v="LeBel, E. P., &amp; Campbell, L. (2013). Heightened sensitivity to temperature cues in individuals with high anxious attachment. Psychological Science, 24(10), 2128–2130. https://doi.org/10.1177/0956797613486983 (Study 1)"/><s v="LeBel, E. P., &amp; Campbell, L. (2013). Heightened sensitivity to temperature cues in individuals with high anxious attachment. Psychological Science, 24(10), 2128–2130. https://doi.org/10.1177/0956797613486983 (Study 2)"/><s v="Besman, M., Dubensky, C., Dunsmore, L., &amp; Daubman, K. (2013). Cleanliness primes less severe moral judgments. Retrieved from http://www.psychfiledrawer.org/replication.php?attempt=MTQ5"/><s v="Simmons, J. &amp;. Nelson, L.D. (2021, May 4). [97] Data Replicada #10: Does Goal Conflict Affect Time Spent on Work and Leisure? Data Colada. (Replication 1 Effect 1)"/><s v="Simmons, J. &amp;. Nelson, L.D. (2021, May 4). [97] Data Replicada #10: Does Goal Conflict Affect Time Spent on Work and Leisure? Data Colada. (Replication 1 Effect 2)"/><s v="Simmons, J. &amp;. Nelson, L.D. (2021, May 4). [97] Data Replicada #10: Does Goal Conflict Affect Time Spent on Work and Leisure? Data Colada. (Replication 2 Effect 1)"/><s v="Simmons, J. &amp;. Nelson, L.D. (2021, May 4). [97] Data Replicada #10: Does Goal Conflict Affect Time Spent on Work and Leisure? Data Colada. (Replication 2 Effect 2)"/><s v="Simmons, J. &amp;. Nelson, L.D. (2020). [83] Data Replicada #2: Do Self-Construal and Group Size Influence How People Make Choices on Behalf of a Group? Data Colada. (Replication 2)"/><s v="Simmons, J. &amp;. Nelson, L.D. (2020). [84] Data Replicada #3: Does Self-Concept Uncertainty Influence Magazine Subscription Choice?&#xA;Data Colada. https://datacolada.org/84  "/><s v="Simmons, J. &amp;. Nelson, L.D. (2020). [84] Data Replicada #3: Does Self-Concept Uncertainty Influence Magazine Subscription Choice? Data Colada. https://datacolada.org/84"/><s v="Simmons, J. &amp;. Nelson, L.D. (2020). [85] Data Replicada #4: The Problem of Hidden Confounds Data Colada. https://datacolada.org/85  Only Replication without Confounds"/><s v="Simmons, J. &amp;. Nelson, L.D. (2020). [90] Data Replicada #7: Does Displaying Multiple Copies of a Product Increase Its Perceived Effectiveness? Data Colada. (Replication 1)"/><s v="Simmons, J. &amp;. Nelson, L.D. (2020). [90] Data Replicada #7: Does Displaying Multiple Copies of a Product Increase Its Perceived Effectiveness? Data Colada. (Replication 2)"/><s v="Simmons, J. &amp;. Nelson, L.D. (2020). [90] Data Replicada #7: Does Displaying Multiple Copies of a Product Increase Its Perceived Effectiveness? Data Colada. (Replication 3)"/><s v="Wagge, J. R., Baciu, C., Banas, K., Nadler, J. T., Schwarz, S., Weisberg, Y. J., … Grahe, J. E. (2018, June 22). A Demonstration of the Collaborative Replication and Education Project: Replication Attempts of the Red-Romance Effect. https://doi.org/10.312"/><s v="Banas, K. (2014, June 17). Replication of Elliot et al.  (2010) for CREP at the University of Edinburgh. https://doi.org/10.17605/OSF.IO/DQV9Y"/><s v="Crawford, J. (2016, May 2). Syntax and output files for Cheung &amp; Heine 2015 study 3 replication. https://doi.org/10.17605/OSF.IO/E9D3K"/><s v="Röseler, L., Bögler, H. L., Koßmann, L., Krueger, S., Bickenbach, S., Bühler, R., … Ponader, S. (2023, July 11). Results Report: Replication of Epley and Gilovich  (2006, Study 2a). https://doi.org/10.17605/OSF.IO/FMD75"/><s v="Röseler, L., Schütz, A., Burlakovas, E., Dück, M., Fels, S., Janiczek, S., … Seida, C. (2022, September 15). Replication of Reitsma-van Rooijen and Daamen  (2006). https://doi.org/10.17605/OSF.IO/GH52K"/><s v="Holzmeister, F., Johannesson, M., Camerer, C. F., Chen, Y., Ho, T. H., Hoogeveen, S., ... &amp; Dreber, A. (2024). Examining the replicability of online experiments selected by a decision market. Nature Human Behaviour, 1-15."/><s v="Wolf, D., Röseler, L., Leder, J., &amp; Schütz, A. (2022, June 15). The Red-Anger Effect: Is it Nothing More Than Demand Characteristics?. https://doi.org/10.31234/osf.io/ntukz"/><s v="Mahlke, J., Weaver, A., Hall, M. M., Koenig, B., Poulter, L., Lee, A. A., … Gentry, A. (2018, April 27). Huang  (2014) Replication. https://doi.org/10.17605/OSF.IO/J8A4P"/><s v="Song, Z. (2022). The Relationship between Government and Private Consumption: A Replication Study of Fiorito and Kollintzas (2004). Journal of Comments and Replications in Economics, Vol 1(2022-1). DOI: 10.18718/81781.23"/><s v="Oraby, R. (2022). The Possible Unemployment Cost of Average Inflation Below a&#xA;Credible Target:A Replication Study of Svensson (2015). Journal of Comments and Replications in&#xA;Economics, Vol 1(2022-2). DOI: 10.18718/81781.24"/><s v="von Blanckenburg, K., Tebbe, E., Iseke, A. (2023). Giving and taking&#xA;in dictator games – differences by gender? A replication study of Chowdhury et al. (2017). Journal&#xA;of Comments and Replications in Economics, Vol 2(2023-1). DOI: 10.18718/81781.27"/><s v="Gay, V. (2023). Culture: An Empirical Investigation of Beliefs, Work, and Fertility: A Verification and Reproduction of Fernández and Fogli (2009). Journal of Comments and&#xA;Replications in Economics, Vol 2(2023-2). DOI: 10.18718/81781.28"/><s v="Haller, S. A., Flaherty, E. T., Balsvik, R. (2023). Knowledge Transfers&#xA;from Multinational to Domestic Firms: Evidence from Worker Mobility. A Replication Study of Poole (Review of Economics and Statistics, 2013). Journal of Comments and Replications in E"/><s v="Stephenson, C. (2024). Trends in U.S. Wage Inequality: Revising the Revisionists. A Replication Study of Autor, Katz, and Kearney (2008). Journal of Comments and Replications&#xA;in Economics, Vol.3 (2024-4). DOI: 10.18718/81781.34"/><s v="Klein, R. A., Vianello, M., Hasselman, F., Adams, B. G., Adams Jr, R. B., Alper, S., ... &amp; Sowden, W. (2018). Many Labs 2: Investigating variation in replicability across samples and settings. Advances in Methods and Practices in Psychological Science, 1("/><s v="Motoki, K., &amp; Iseki, S. (2022). Evaluating replicability of ten influential research on sensory marketing. Frontiers in Communication, 7, 1048896."/><s v="O’Donnell, M., Dev, A. S., Antonoplis, S., Baum, S. M., Benedetti, A. H., Brown, N. D., Carrillo, B., Choi, A. L., Connor, P., Donnelly, K., Ellwood-Lowe, M. E., Foushee, R., Jansen, R., Jarvis, S. N., Lundell-Creagh, R., Ocampo, J. M., Okafor, G. N., Aza"/><s v="Van Rijn, H., &amp; Scholz, S. (2023, September 28). Replication of A Roelofs (2008, JEPLMC 34(2), Exp 3). Retrieved from osf.io/qwkum"/><s v="Shaki, S. (2023, September 28). Replication of D Ganor-Stern, J Tzelgov (2008, JEPLMC 34(2), Exp. 2). Retrieved from osf.io/vmipw"/><s v="Foster, J. D. (2023, September 28). Replication of Alter &amp; Oppenheimmer (2008, PS, Study 2B). Retrieved from osf.io/kegmc"/><s v="Fitneva, S. A. (2023, September 28). Replication of Dessalegn &amp; Landau (2008, PS, Study 4). Retrieved from osf.io/iajp5"/><s v="Prenoveau, J. M., &amp; Kirkhart, M. W. (2023, September 28). Replication of Eitam, Hassin, &amp; Schul (2008, PS, Study 2). Retrieved from osf.io/edcr7"/><s v="Bosco, F., &amp; Field, J. G. (2016, August 19). Replication of Mirman &amp; Magnuson (2008, JEP:LMC, Study 2). Retrieved from osf.io/rvkc5"/><s v="Attwood, A. S., Andy, Easey, K., Penton-Voak, I., &amp; Munafo, M. R. (2016, August 19). Replication of C Farris, TA Treat, RJ Viken, and RM McFall (2008, PS 19(4)). Retrieved from osf.io/7dyp5"/><s v="Chandler, J. J. (2016, August 19). Replication of Janiszewski &amp; Uy (2008, PS, Study 4b). Retrieved from osf.io/aaudl"/><s v="Saxe, R., Vélez, N., &amp; Feather, J. (2016, August 19). Replication of McKinstry, Dale, &amp; Spivey (2008, PS). Retrieved from osf.io/d0n81"/><s v="Lassetter, B., Brandt, M. J., van ’t Veer, A. E., &amp; Mehta, P. (2023, September 28). Replication of Armor, Massey &amp; Sackett (2008, PS, Study 1). Retrieved from osf.io/qlzap"/><s v="Vásquez-Echeverría, A. (2023, September 28). Replication of DR Addis, AT Wong, DL Schacter (2008, PS 19(1)). Retrieved from osf.io/yaeu7"/><s v="Brown, B. T., Kleinberg, B., Hicks, G., Bentley, H., Attridge, P. R., Eboigbe, S., … Brown, K. (2023, September 28). Replication of Nurmsoo &amp; Bloom (2008, PS, Study 1). Retrieved from osf.io/aczvt"/><s v="steegen, sara, vanpaemel, wolf, tuerlinckx, francis, &amp; Dewitte, L. (2023, September 28). Replication of Vul &amp; Pashler (Psych Science, 2008). Retrieved from osf.io/ivfu6"/><s v="Barnett-Cowan, M. (2023, September 28). Replication of Vul et al (2008, PS, Study 1). Retrieved from osf.io/rzjvn"/><s v="Osborne, C., Vuu, G., &amp; Henninger, F. (2023, September 28). Replication of EJ Masicampo, RF Baumeister (2008, PS 19(3)). Retrieved from osf.io/3h29d"/><s v="Ricker, A. A., &amp; Saide, A. (2023, September 28). Replication of JI Campbell, ND Robert (2008, JEPLMC 34(3), Exp 3). Retrieved from osf.io/gxvd3"/><s v="Lewis, M., &amp; Pitts, M. (2023, September 28). Replication of Hajcak &amp; Foti (2008, PS, Study 1)."/><s v="Beer, J. S., Rigney, A. E., &amp; Flagan, T. (2016, August 19). Replication of G Tabibnia, AB Satpute, MD Lieberman (2008, PS 19(4)). Retrieved from osf.io/94j6h"/><s v="Schlegelmilch, R., &amp; van den Bergh, D. (2023, September 28). Replication of GA Alvarez, A Oliva (2008, PS 19(4), Exp. 3). Retrieved from osf.io/dnaxe"/><s v="Stieger, S., &amp; Kuhlmann, T. (2023, September 28). Replication of GP Lau, AC Kay, SJ Spencer (2008, PS 19(1)). Retrieved from osf.io/fxqsk"/><s v="Levitan, C., Errington, T. M., &amp; Gampa, A. (2023, September 28). Replication of Winawer, Huk, &amp; Boroditsky (Psychological Science, 2008). Retrieved from osf.io/mjasz"/><s v="Lai, C. K. (2023). Replication of Richeson &amp; Trawalter (2008, PS, Study 1). Retrieved from osf.io/c5fza"/><s v="Jonas, K., &amp; Skorinko, J. (2023, September 28). Replication of JR Crosby, B Monin, D Richardson (2008, PS 19(3)). Retrieved from osf.io/b98zw"/><s v="Renkewitz, F., &amp; Müller, S. M. (2023, September 28). Replication of Nairne, Pandeirada, &amp; Thompson (2008, PS, Study 2). Retrieved from osf.io/jhkpe"/><s v="Seibel, L., Vermue, M., van Dooren, R., Kolorz, F. M., Cillessen, L., &amp; Krause, R. W. (2023, September 28). Replication of Larsen &amp; McKibban (Psych Science, 2008, Exp. 2). Retrieved from osf.io/5dx4v"/><s v="Cohn, M. (2023, September 28). Replication of Ratliff (Ranganath) &amp; Nosek, 2008, Psych Science. Retrieved from osf.io/2gkjt"/><s v="Giner-Sorolla, R., Embley, J., &amp; Johnson, L. (2023, September 28). Replication of Vohs &amp; Schooler (2008, PS, Study 1). Retrieved from osf.io/i29mh"/><s v="Snyder, J. S., &amp; Irsik, V. C. (2023, September 28). Replication of L Demany, W Trost, M Serman, C Semal (2008, PS 19(1), Exp. 5). Retrieved from osf.io/ta3j8"/><s v="Joy-Gaba, J. A., Clay, R., &amp; Cleary, H. (2023, September 28). Replication of Williams &amp; Bargh (2008, PS, Study 4). Retrieved from osf.io/vnsqg"/><s v="Masicampo, E. J. (2016, August 19). Replication of M Tamir, C Mitchell, JJ Gross (2008, PS 19(4)). Retrieved from osf.io/k4y9i"/><s v="Dunn, E. W., &amp; Sandstrom, G. M. (2023, September 28). Replication of Epley, Akalis, Waytz &amp; Cacioppo (2008, PS, Study 3). Retrieved from osf.io/yuybh"/><s v="Thomae, M., Wood, M. J., &amp; Immelman, N. (2023, September 28). Replication of N Halevy, G Bornstein, L Sagiv (2008, PS 19(4)). Retrieved from osf.io/76qc5"/><s v="Melinger, A. (2023, September 28). Replication of N Janssen, FX Alario, A Caramazza (2008, PS 19(3), Exp. 2). Retrieved from osf.io/dncxa"/><s v="Frazier, R. S., &amp; Hasselman, F. (2023, September 28). Replication of Bressan &amp; Stranieri (2008, PS, Study 2). Retrieved from osf.io/blcj6"/><s v="Cloud, M. D., &amp; Kyc, M. (2023, September 28). Replication of Schmidt and Besner (2008, JEPLMC, Exp 2). Retrieved from osf.io/bscfe"/><s v="Dorrough, A. R., &amp; Fiedler, S. (2023, September 28). Replication of S Forti, GW Humphreys (2008, PS 19(1)). Retrieved from osf.io/tf8ky"/><s v="Cheung, F., Donnellan, B., &amp; Johnson, D. J. (2023, September 28). Replication of Schnall, Benton, &amp; Harvey (2008, PS). Retrieved from osf.io/apidb"/><s v="Saxe, R., Vélez, N., &amp; Johnston, W. (2023, September 28). Replication of Palmer &amp; Ghose (2008, PS). Retrieved from osf.io/0aifq"/><s v="Lazarevic, L. B., &amp; Knezevic, G. (2023, September 28). Replication of SJ Heine, EE Buchtel, A Norenzayan (2008, PS 19(4), exp 1). Retrieved from osf.io/siaqe"/><s v="Levitan, C., &amp; Fernández, B. (2023, September 28). Replication of SK Moeller, MD Robinson, DL Zabelina (2008, Psychological Science, Experiment 2). Retrieved from osf.io/tg2wd"/><s v="Costantini, G., &amp; Perugini, M. (2023, September 28). Replication of Goschke &amp; Dreisbach (2008, PS). Retrieved from osf.io/bk53t"/><s v="Cramblet Alvarez, L. D., Martinez, T., Zuni, K., Tapia, M., &amp; Pipitone, R. N. (2023, September 28). Replication of LoBue &amp; DeLoache (2008, PS, Study 3). Retrieved from osf.io/sd7kg"/><s v="Fuchs, H., Estel, V., &amp; Goellner, L. (2016, August 19). Replication of Dai, Wertenbroch, &amp; Brendl (2008, PS, Study 1). Retrieved from osf.io/q7f6w"/><s v="Renkewitz, F., &amp; Müller, S. M. (2023, September 28). Replication of Estes, Verges, &amp; Barsalou (2008, PS, Study 1). Retrieved from osf.io/vwnit"/><s v="Glöckner, A., &amp; Jekel, M. (2023, September 28). Replication of K Fiedler (2008, JEPLMC, Exp 2). Retrieved from osf.io/hp27x"/><s v="Neijenhuijs, K. I., Luteijn, I., Bosch, A., van der Hulst, M., Dorsthorst, A. t, van de Ven, M., &amp; Weerdmeester, J. W. (2023, September 28). Replication of K Oberauer (2008, JEPLMC 34(3), Exp 3). Retrieved from osf.io/gcj7x"/><s v="Goodbourn, P. T. (2023, September 28). Replication of Morris and Still (2008). Retrieved from osf.io/rmvk5"/><s v="Fiedler, S., &amp; May, M. (2023, September 28). Replication of Sahakyan et al. (2008, JEP:LMC, Study 3). Retrieved from osf.io/bzdr2"/><s v="Kappes, H. B. (2023, September 28). Replication of LS Colzato, MT Bajo, W van den Wildenberg, D Paolieri, S Nieuwenhuis, W La Heij, B Hommel (2008, JEPLMC 34(2), Exp. 3). Retrieved from osf.io/p9thw"/><s v="Hung, C. O., Lin, L., &amp; Tsang, S. (2023, September 28). Replication of M Bassok, SF Pedigo, AT Oskarsson (2008, JEPLMC, Study 1). Retrieved from osf.io/sqim7"/><s v="Roebke, M. A., &amp; Della Penna, N. (2023, September 28). Replication of Couture, Lafond, and Tremblay (2008, JEPLMC 34(3)). Retrieved from osf.io/k9gp6"/><s v="Lai, C. K., &amp; Simpson, W. B. (2023, September 28). Replication of Reynolds &amp; Besner (2008, JEP:LMC, Study 5). Retrieved from osf.io/hasfu"/><s v="Chartier, C. R., &amp; Nervi, T. (2023, September 28). Replication of MJ Yap, DA Balota, CS Tse, D Besner (2008, JEPLMC 34(3), Exp 4). Retrieved from osf.io/ahpik"/><s v="Galak, J. (2023, September 28). Replication of Janssen and colleagues (2008, JEP:LMC, Study 1). Retrieved from osf.io/uhpyr"/><s v="Ostkamp, L., &amp; Jäkel, F. (2023, September 28). Replication of Turk-Browne, Isola, Scholl, Treat (2008, JEP:LMC, Study 4b). Retrieved from osf.io/ujhlw"/><s v="Plessow, F., Möschl, M., &amp; Pavel, M. (2023, September 28). Replication of Liefooghe, Barrouillet, Vandierendonck, &amp; Camos (2008, JEPLMC, Experiment 4). Retrieved from osf.io/4dvzb"/><s v="Müller, S. M., &amp; Renkewitz, F. (2023, September 28). Replication of White (2008, JEP:LMC, Study 3). Retrieved from osf.io/rhbqj"/><s v="Olsson, C., &amp; Saxe, R. (2023, September 28). Replication of Farrell (2008, JEP:LMC, Study 2). Retrieved from osf.io/swrhy"/><s v="Jahn, G. (2023, September 28). Replication of Pacton &amp; Perruchet (2008, JEP:LMC, Study 4b). Retrieved from osf.io/vmz2e"/><s v="Moore, K. (2023, September 28). Replication of Makovski, Sussman, &amp; Jiang (2008, JEP:LMC). Retrieved from osf.io/0pxro"/><s v="Forsell, E., Heikensten, E. K., Dreber, A., &amp; Johannesson, M. (2023, September 28). Replication of TJ Pleskac (2008, JEPLMC 34(1)). Retrieved from osf.io/38ges"/><s v="Callahan, S. P. (2023, September 28). Replication of BC Storm, EL Bjork, RA Bjork (2008, JEPLMC 34(1), Exp 1). Retrieved from osf.io/8j9cg"/><s v="Frank, M. C., &amp; Holubar, T. (2023, September 28). Replication of Monin, Sawyer, &amp; Marquez (2008, JPSP 95(1), Exp. 4). Retrieved from osf.io/pz0my"/><s v="Vianello, M. (2023, September 28). Replication of Payne, Burkley &amp; Stokes (2008, JPSP, Study 4). Retrieved from osf.io/rc6mv"/><s v="Soderberg, C. K. (2023, September 28). Replication of CJ Soto, OP John, SD Gosling, J Potter (2008, JPSP 94(4)). Retrieved from osf.io/kez47"/><s v="Wissink, J., Hoogendoorn, G. E. A. M., Brohmer, H., Verschoor, M., Zeelenberg, M., &amp; Krijnen, J. M. T. (2016, August 19). Replication of CR Cox, J Arndt, T Pyszczynski, J Greenberg, A Abdollahi, S Solomon (2008, JPSP 94(4), Exp. 6). Retrieved from osf.io/"/><s v="Frank, M. C., Kim, S. K., &amp; Lee, K. J. (2023, September 28). Replication of Albarracín et al. (2008, JPSP). Retrieved from osf.io/vy1bc"/><s v="Lakens, D. (2023, September 28). Replication of Mitchell, Nash, &amp; Hall (2008, JEP:LMC). Retrieved from osf.io/4xdkk"/><s v="Voracek, M., &amp; Sonnleitner, C. (2016, August 19). Replication of D Albarracín, IM Handley, K Noguchi, KC McCulloch, H Li, J Leeper, RD Brown, A Earl, WP Hart (2008, JPSP 95(3), Exp. 7). Retrieved from osf.io/rgm6p"/><s v="Humphries, D., Brown, K., DeGaetano, M., Mainard, H., Attridge, P. R., Brown, B. T., &amp; Hicks, G. (2023, September 28). Replication of Centerbar, Schnall, Clore, &amp; Garvin (2008, JPSP, Study 5). Retrieved from osf.io/l8srm"/><s v="Johnson-Grey, K. M., Hayes, T. B., &amp; Graham, J. (2023, September 28). Replication of Amodio, Devine, &amp; Harmon-Jones (2008, JPSP, Study 2). Retrieved from osf.io/wkgpq"/><s v="Gable, P. A., &amp; Mechin, N. (2023, September 28). Replication of E Harmon-Jones, C Harmon-Jones, M Fearn, JD Sigelman, P Johnson (2008, JPSP 94(1), Exp. 2). Retrieved from osf.io/su6bm"/><s v="Voracek, M., &amp; Slowik, A. (2023, September 28). Replication of E van Dijk, GA van Kleef, W Steinel, I van Beest (2008, JPSP 94(4), Exp. 3). Retrieved from osf.io/xtsq6"/><s v="Baranski, E. (2023, September 28). Replication of Lemay and Clark (2008, JPSP 95(2), Exp 5). Retrieved from osf.io/ke43j"/><s v="Marigold, D. C., Forest, A. L., &amp; Anderson, J. (2023, September 28). Replication of Lemay and Clark (2008, JPSP 95(4), Exp 5). Retrieved from osf.io/h84qd"/><s v="Meixner, J. M., &amp; Brüning, J. (2023, September 28). Replication of CJ Berry, DR Shanks, RN Henson (2008, JEPLMC 34(1), Exp 1). Retrieved from osf.io/atgp5"/><s v="Talhelm, T., Eggleston, C., &amp; Lee, M. (2023, September 28). Replication of Ersner-Hershfield et al. (2008, JPSP, Study 2). Retrieved from osf.io/sq8k9"/><s v="LeBel, E. P. (2023, September 28). Replication of Correll (2008, JPSP, Study 2). Retrieved from osf.io/fejxb"/><s v="Reinhard, D. A. (2023, September 28). Replication of J Förster, N Liberman, &amp; S Kuschel (2008, JPSP, Study 1). Retrieved from osf.io/mxryb"/><s v="Lin, S. C., &amp; Frank, M. C. (2023, September 28). Replication of Exline et al. (2008, JPSP, Study 7). Retrieved from osf.io/imrx2"/><s v="Frank, M. C., &amp; Mathur, M. B. (2023, September 28). Replication of Risen &amp; Gilovich (2008, JPSP). Retrieved from osf.io/sg3su"/><s v="Sullivan, G. B. (2023, September 28). Replication of Tracy and Robins (2008, JPSP, Exp 4). Retrieved from osf.io/qthf2"/><s v="Kleinberg, B., &amp; Kunkels, Y. K. (2023, September 28). Replication of Beaman, Neath, &amp; Suprenant (2008, JEP:LMC, Experiment 2). Retrieved from osf.io/6n3bm"/><s v="Baranski, E. (2023, September 28). Replication of Stanovich and West (2008, JPSP 94(4), Exp. 8). Retrieved from osf.io/7ux8p"/><s v="Lemm, K. M. (2023, September 28). Replication of Blankenship &amp; Wegener (2008, JPSP, Study 5A). Retrieved from osf.io/2gx4k"/><s v="Motyl, M., &amp; Nosek, B. A. (2023, September 28). Replication of Morrison &amp; Miller (2008, JPSP, Study 3). Retrieved from osf.io/nhwv5"/><s v="Kidwell, M., &amp; Dodson, G. T. (2016, August 19). Replication of M Koo, A Fishbach (2008, JPSP 94(2), Exp. 4). Retrieved from osf.io/nr7d9"/><s v="Calhoun-Sauls, A. (2023, September 28). Replication of CS Dodson, J Darragh, A Williams (2008, JEPLMC 34(3), Exp. 3). Retrieved from osf.io/c5pbg"/><s v="Lane, K. A., &amp; Gazarian, D. (2016, August 19). Replication of Henderson, de Liver, &amp; Gollwitzer (2008, JPSP, Expt. 5). Retrieved from osf.io/79dey"/><s v="Gilbert, E. A. (2023, September 28). Replication of Shnabel &amp; Nadler (2008, JPSP, Study 4). Retrieved from osf.io/xse7q"/><s v="Talhelm, T., Eggleston, C., &amp; Lee, M. (2023, September 28). Replication of Rule &amp; Ambady (2008, PS, Study 1). Retrieved from osf.io/r5gpv"/><s v="Ratliff, K. A. (2023, September 28). Replication of Fischer et al. (2008, JPSP, Study 4). Retrieved from osf.io/v8vft"/><s v="Galliani, E. M. (2023, September 28). Replication of Fischer, Greitemeyer, &amp; Frey (2008, JPSP, Study 2). Retrieved from osf.io/j8bpa"/><s v="Kelso, K., Gampa, A., Wright, E. C., Spencer, N. B., &amp; Welsh, A. (2023, September 28). Replication of Goff, Steele, and Davies (JPSP, 2008, Study 4). Retrieved from osf.io/abxcj"/><s v="Selterman, D. F., Chagnon, E., &amp; Mackinnon, S. P. (2023, September 28). Replication of Eastwick &amp; Finkel (2008, JPSP). Retrieved from osf.io/ng6cc"/><s v="Miller, J. K., PhD. (2023, September 28). Replication of Weidemann, Huber, and Shiffrin (2008, JEPLMC, Exp 4). Retrieved from osf.io/ne9dy"/><s v="Sinclair, H. C., Goldberg, R. M., Wu, S., &amp; Smith, M. M. (2016, August 19). Replication of SL Murray, JL Derrick, S Leder, JG Holmes (2008, JPSP 94(3), Exp. 8). Retrieved from osf.io/cxmf6"/><s v="Chartier, C. R., &amp; Perna, O. K. (2023, September 28). Replication of SM McCrea (2008, JPSP 95(2), Exp. 5). Retrieved from osf.io/mua6d"/><s v="Schmidt, K. (2023, September 28). Secondary Replication of V Purdie-Vaughns, CM Steele, PG Davies, R Ditlmann, JR Crosby (2008, JPSP 94(4), Exp. 3)."/><s v="Röseler, L., Bögler, H. L., Koßmann, L., Krueger, S., Bickenbach, S., Bühler, R., … Ponader, S. (2023, July 11). Results Report: Replication of Epley and Gilovich  (2006, Study 2c). https://doi.org/10.17605/OSF.IO/Q6TV8"/><s v="Renbarger, R., Sulak, T., &amp; Morgan, G. (2022). The Importance of Teacher Credentials for Early Achievement: A Replication of Croninger et al. (2007) Econ. Edu. Rev. ReScience X, 1(1). https://doi.org/10.5281/zenodo.6426882"/><s v="Djordjević, S., &amp; IJzerman, H. (2015). Weight as an Embodiment of Importance: Replications and Extensions. https://dx.doi.org/10.2139/ssrn.2586261"/><s v="Djordjević, S., &amp; IJzerman, H. (2015, March 7). Weight as an Embodiment of Importance: Replications and Extensions. https://doi.org/10.17605/OSF.IO/RTN9S"/><s v="Röseler, L., Felser, G., Asberger, J., &amp; Schütz, A. (2020, October 23). No effect of variety on perceived quantity: Evidence from six studies. (Study 3)"/><s v="Gnambs, T., Kovacs, C., &amp; Stiglbauer, B. (2020). Processing the word red and Intellectual Performance: Four replication attempts. Collabra, 6(1). (Experiment 2)"/><s v="Rausch, M. (2023, April 13). Can Laypeople Predict which Social Science Studies Will be Replicated Successfully?."/><s v="Genschow, O., Westfal, M., Crusius, J., Bartosch, L., Feikes, K. I., Pallasch, N., &amp; Wozniak, M. (2021). Does social psychology persist over half a century? A direct replication of Cialdini et al.’s (1975) classic door-in-the-face technique. Journal of Pe"/><s v="Duke, A. A., &amp; Bègue, L. (2015). The drunk utilitarian: Blood alcohol concentration predicts utilitarian responses in moral dilemmas. Cognition, 134, 121–127."/><s v="Francis, K. B., Gummerum, M., Ganis, G., Howard, I. S., &amp; Terbeck, S. (2019). Alcohol, empathy, and morality: Acute effects of alcohol consumption on affective empathy and moral decision-making. Psychopharmacology, 236, 3477–3496."/><s v="Paruzel-Czachura, M., Pypno, K., Everett, J.A., Białek, M.J., &amp; Gawronski, B. (2023). The Drunk Utilitarian Revisited: Does Alcohol Really Increase Utilitarianism in Moral Judgment? Personality and Social Psychology Bulletin, 49, 20–31."/><s v="Holgado, D., Troya, E., Perales, J. C., Vadillo, M. A., &amp; Sanabria, D. (2019). Does mental fatigue impair physical performance? A replication study. European Journal of Sport Science, 2020."/><s v="Erdmann, E., &amp; Dienlin, T. (2022). Binge-watching, self-determination, and well-being: A partially successful direct replication and extension of Granow et al. (2018). Journal of Media Psychology, 1864-1105/a000334."/><s v="Röseler, L., Felser, G., Asberger, J., &amp; Schütz, A. (2020, October 23). No effect of variety on perceived quantity: Evidence from six studies. (Study 4)"/><s v="Röseler, L., Felser, G., Asberger, J., &amp; Schütz, A. (2020, October 23). No effect of variety on perceived quantity: Evidence from six studies. (Study 5)"/><s v="Ross, R. M., &amp; Levy, N. (2023). Expressive responding in support of Donald Trump: An Extended Replication of Schaffner and Luks (2018). Collabra, 9(1)."/><s v="Yorovich, T. M., Hughes, S., Hussey, I., Vadillo, M. A., Olson, M. A., Aust, F., Bading, K. C., Balas, R., Benedict, T., Corneille, O., Douglas, S. B., Ferguson, M. J., Fritzlen, K. A., Gast, A., Gawronski, B., Giménez‐Fernández, T., Hanusz, K., Heycke, T"/><s v="Hughes, S., Cummins, J., &amp; Hussey, I. (2022). Effects on the affect Misattribution procedure are strongly moderated by influence awareness. Behavior Research Methods, 55(4), 1558-1586."/><s v="Vaughn, L. A. (2019). Distinguishing Between Need Support and Regulatory Focus with LIWC. Collabra, 5(1). (Analyses of Study 2 reported in Footnote 4)"/><s v="Thürmer, J. L., &amp; McCrea, S. M. (2021). Disentangling the Intergroup Sensitivity Effect: Defending the ingroup or enforcing general norms? European Journal of Social Psychology, 51(7), 1061-1072."/><s v="Papenmeier, F., &amp; Rebholz, T. R. (2023, September). Bimodal Flanker: Audio vs. Visual. Retrieved from https://osf.io/8nzfm/"/><s v="Stietz, J., Pollerhoff, L., Kurtz, M., Li, S. C., Reiter, A. M. F., &amp; Kanske, P. (2021). The ageing of the social mind: replicating the preservation of socio-affective and the decline of socio-cognitive processes in old age. Royal Society open science, 8("/><s v="Catling, J., &amp; Elsherif, M. (2020). The hunt for the age of acquisition effect: It’s in the links! Acta Psychologica, 209, 103138. (Supplementary to compare Study 1 and Study 3)"/><s v="Kulke, L., Von Duhn, B., Schneider, D., &amp; Rakoczy, H. (2018). Is implicit theory of mind a real and robust phenomenon? results from a systematic replication study. Psychological Science, 29(6), 888–900."/><s v="Li, Y., &amp; Bates, T. C. (2020). Testing the association of growth mindset and grades across a challenging transition: Is growth mindset associated with grades? Intelligence, 81, 101471. (Study 2)"/><s v="Gnambs, T., Kovacs, C., &amp; Stiglbauer, B. (2020). Processing the word red and Intellectual Performance: Four replication attempts. Collabra, 6(1)."/><s v="Liu, Y., Wang, B., &amp; Van Lange, P. a. M. (2022). The development of social value orientation: Attachment styles, number of siblings, age, and a comparison of measures. European Journal of Personality, 37(4), 402–417."/><s v="Adams, D., Koenig, B., Sanders, C., Jackson, D., &amp; Davis, C. (2018, December 4). Response Effort on Cleanliness Priming for Moral Judgements. https://doi.org/10.17605/OSF.IO/UXAJG"/><s v="Soto, C. J. (2019). How Replicable Are Links Between Personality Traits and Consequential Life Outcomes? The Life Outcomes of Personality Replication Project. Psychological Science, 30(5), 711-727. https://doi.org/10.1177/0956797619831612"/></sharedItems></cacheField><cacheField name="doi_r" numFmtId="0"><sharedItems containsBlank="1"><s v="without URL prefix, so starting with 10.xx"/><s v="10.17605/OSF.IO/2ZGF9"/><s v="osf.io/wru8c"/><s v="osf.io/x4v53"/><s v="10.17605/OSF.IO/7VGKQ"/><s v="10.1016/j.jesp.2020.104066"/><s v="10.1163/26670127-bja10017"/><s v="10.1017/S0272263124000238"/><s v="10.1111/fare.13030"/><s v="10.26443/msurj.v19i1.231"/><s v="10.1016/j.jsams.2024.07.018"/><s v="10.1038/s44220-024-00225-1"/><m/><s v="10.2139/ssrn.3816626"/><s v="10.1016/j.jsp.2024.101307"/><s v="10.1080--19345747.2024.2333734"/><s v="10.1080/19345747.2024.2333734"/><s v="10.1177/07419325241240067"/><s v="10.1017/S027226312400010X"/><s v="10.1037/met0000650"/><s v="10.1093/schbul/sbae058"/><s v="10.1038/s41467-024-46936-y"/><s v="10.17645/mac.7666"/><s v="10.17645/mac.7667"/><s v="10.17645/mac.7668"/><s v="10.17645/mac.7669"/><s v="10.1007/s40617-024-00933-1"/><s v="10.1177/09567976241246552"/><s v="10.1037/cns0000401"/><s v="10.1177/0956797613478614"/><s v="10.1016/j.jenvp.2024.102289"/><s v="mendoza_2024"/><s v="10.1016/j.drugalcdep.2024.111323"/><s v="10.1007/s40732-024-00597-x"/><s v="10.1016/j.paid.2024.112692"/><s v="10.1080/0163853X.2024.2339738"/><s v="10.1002/acp.4202"/><s v="10.1080/23273798.2024.2337948"/><s v="10.1017/S0261444824000120"/><s v="10.1002/jeab.915"/><s v="10.1002/erv.3103"/><s v="10.1017/S0272263124000342"/><s v="10.1108/S1574-076520240000026005"/><s v="10.1017/pds.2024.14"/><s v="10.31234/osf.io/68jft"/><s v="thekeep.eiu.edu/theses/5025"/><s v="10.1111/padm.12860"/><s v="2024.lrec-main.91"/><s v="10.31234/osf.io/cf4xz"/><s v="10.18718/81781.34"/><s v="10.1075/ijlcr.00046.ozk"/><s v="10.1017/S0272263124000378"/><s v="digitalcommons.memphis.edu--etd--3538"/><s v="Kontkanen_Jaakko_thesis_2024"/><s v="10.1007/978-3-031-55844-3_4"/><s v="10.31234/osf.io/kpcwv"/><s v="qt8p5673qn"/><s v="10.16995/zygon.11497"/><s v="10.5281/zenodo.6426882"/><s v="10.1080/02650487.2024.2362015"/><s v="10.1016/j.bbr.2024.115096"/><s v="10.1037/xap0000321"/><s v="10.1007/s11251-024-09670-y"/><s v="10.1037/xap0000366"/><s v="10.1037/emo0001389"/><s v="10.17605/OSF.IO/B25TR"/><s v="10.1016/j.jmathb.2024.101174"/><s v="10.31234/osf.io/esu9z"/><s v="Bischoff_MA_BMS"/><s v="10.1145/3649217.3653545"/><s v="10.1109/ICCQ60895.2024.10576941"/><s v="10.1016/j.xjmad.2024.100075"/><s v="10.1016/j.jesp.2024.104619"/><s v="10.1007/s40732-024-00601-4"/><s v="10.1016/j.appet.2023.106554"/><s v="10.1016/j.eatbeh.2024.101899"/><s v="10.1016/j.jrp.2024.104511"/><s v="10.1177/19485506241257971"/><s v="patt_2024"/><s v="10.1038/s41598-024-63724-2"/><s v="NA"/><s v="10.1371/journal.pone.0292576"/><s v="10.1080/15614263.2022.2102494"/><s v="10.1080/15614263.2023.2185241"/><s v="10.1007/s10834-024-09975-7"/><s v="10.37237/150205"/><s v="10.31234/osf.io/jfmsz"/><s v="10.31234/osf.io/xjaty"/><s v="10.1111/famp.12997"/><s v="10.1002/jaba.1098"/><s v="10.18718/81781.35%0A"/><s v="10.20982/tqmp.20.1.r001"/><s v="10.1093/applin/amae042"/><s v="10.1080/13527266.2024.2376918"/><s v="10.31234/osf.io/xr6bn"/><s v="10.5465/AMPROC.2024.19578abstract"/><s v="10.1080/13506285.2024.2343157"/><s v="10.12688/openreseurope.17749.1"/><s v="vonpruski_2024"/><s v="10.1002/jae.3082"/><s v="10.17605/OSF.IO/E5K4J"/><s v="10.1073/pnas.2402315121"/><s v="10.1098/rsos.231240"/><s v="10.1098/rsos.231173"/><s v="10.1098/rsos.231076"/><s v="10.1007/s13164-018-0400-9"/><s v="10.1177/0956797617719730"/><s v="10.17605/OSF.IO/BTH36"/><s v="10.1126/science.aaf0918"/><s v="10.1038/s41562-018-0399-z"/><s v="lee_2013"/><s v="10.3389/fpsyg.2014.01276"/><s v="korbmacher_2022"/><s v="10.1016/j.jesp.2012.10.014"/><s v="10.1016/j.appet.2013.12.020"/><s v="murtagh_2004"/><s v="10.1037/a0024587"/><s v="10.1186/2050-7283-1-22"/><s v="10.1371/journal.pone.0147770"/><s v="10.1371/journal.pone.0096339"/><s v="10.1027/1864-9335/a000178"/><s v="10.1037/0022-3514.83.2.406"/><s v="10.1037/0022-3514.90.6.893"/><s v="pashler_2011"/><s v="10.1371/journal.pone.0029081"/><s v="10.3758/s13423-013-0549-2"/><s v="10.1037/xge0000090"/><s v="10.1016/j.jesp.2013.05.011"/><s v="fayard_2009"/><s v="10.5209/rev_sjop.2011.v14.n1.13"/><s v="10.1080/01973533.2013.856792"/><s v="10.1177/2167702613485565"/><s v="10.3758/s13423-014-0757-4"/><s v="10.1177/0956797614553946"/><s v="10.1177/1948550616652209"/><s v="10.1177/1745691612463078"/><s v="10.1037/pspa0000064"/><s v="10.1016/j.jesp.2015.10.012"/><s v="10.1016/j.jesp.2015.08.005"/><s v="10.1037/arc0000007"/><s v="10.1177/0956797613486983"/><s v="10.1525/collabra.177"/><s v="10.17605/OSF.IO/DQV9Y"/><s v="10.17605/OSF.IO/E9D3K"/><s v="10.17605/OSF.IO/FMD75"/><s v="10.1038--s41562-024-02062-9"/><s v="10.31234/osf.io/ntukz"/><s v="10.17605/OSF.IO/J8A4P"/><s v="10.18718/81781.23"/><s v="10.18718/81781.24"/><s v="10.18718/81781.27"/><s v="10.18718/81781.28"/><s v="10.18718/81781.29"/><s v="10.1177/2515245918810225"/><s v="10.3389/fcomm.2022.1048896"/><s v="10.1073/pnas.2103313118"/><s v="10.1126/science.aac4716"/><s v="10.17605/OSF.IO/ehjdm"/><s v="10.17605/osf.io/ictp5"/><s v="10.3389/fpsyg.2014.00786"/><s v="10.17605/osf.io/82bwv   "/><s v="10.17605/osf.io/nxp9w"/><s v="10.1027/1864-9335/a000186"/><s v="10.17605/OSF.IO/ETG7C"/><s v="10.31234/osf.io/bgp3m"/><s v="10.2139/ssrn.2586261"/><s v="10.31234/osf.io/v643q"/><s v="10.1525/collabra.277"/><s v="10.17605/OSF.IO/5Y7NE"/><s v="10.1037/pspa0000261"/><s v="10.1016/j.cognition.2014.09.006"/><s v="10.1007/s00213-019-05314-z"/><s v="10.1177/01461672211052120"/><s v="10.31236/osf.io/tzn6d"/><s v="10.1027/1864-1105/a000334"/><s v="10.1525/collabra.68054"/><s v="10.31234/osf.io/kavx4"/><s v="10.3758/s13428-022-01879-4"/><s v="10.1525/collabra.185"/><s v="10.1002/ejsp.2748"/><s v="10.1098/rsos.210641"/><s v="10.1016/j.actpsy.2020.103138"/><s v="10.1177/0956797617747090"/><s v="10.1016/j.intell.2020.101471"/><s v="10.1177/08902070221094216"/><s v="10.17605/OSF.IO/UXAJG"/><s v="10.1177/0956797619831612"/></sharedItems></cacheField><cacheField name="url_r" numFmtId="0"><sharedItems containsBlank="1"><s v="Link to R results - only when DOI missing or for aggregate report"/><m/><s v="http://rave.ohiolink.edu/etdc/view?acc_num=ysu1714739251583684"/><s v="Bailey, C.D. (2024), &quot;Fraudulent Research Practices in Accounting: A Replication and Extension of Bailey, Hasselback, and Karcher (2001)&quot;, Shawver, T.J. (Ed.) Research on Professional Responsibility and Ethics in Accounting (Research on Professional Respo"/><s v="https://thekeep.eiu.edu/theses/5025"/><s v="https://thekeep.eiu.edu/theses/5025/?utm_source=thekeep.eiu.edu%2Ftheses%2F5025&amp;utm_medium=PDF&amp;utm_campaign=PDFCoverPages"/><s v="https://aclanthology.org/2024.lrec-main.91"/><s v="https://keep-dev.lib.asu.edu/items/192630"/><s v="https://digitalcommons.memphis.edu/etd/3538/"/><s v="https://helda.helsinki.fi/bitstreams/b16ebd43-f83b-42c9-9996-adf6735845c1/download"/><s v="https://escholarship.org/uc/item/8p5673qn"/><s v="http://rescience.org/x/article/view/8"/><s v="https://purl.utwente.nl/essays/100571"/><s v="https://cornerstone.lib.mnsu.edu/etds/1424/"/><s v="https://digitalcommons.montclair.edu/student-research-symposium/2024/poster01/21/"/><s v="https://osf.io/gexhp"/><s v="https://rstudio-pubs-static.s3.amazonaws.com/817655_c94c0f2142fc466fa36a6790ee3fcdde.html"/><s v="https://osf.io/v3e2z"/><s v="https://osf.io/vewk7"/><s v="http://rpubs.com/kimiasaadatian/replicationreport"/><s v="https://rpubs.com/ShimaSalehi/155989"/><s v="https://github.com/vboyce/251-254-MA/blob/main/reports/read2012.pdf"/><s v="https://rpubs.com/cgarton/975073"/><s v="https://github.com/vboyce/251-254-MA/blob/main/reports/risen2008.docx"/><s v="https://rpubs.com/kagood/final-project-report, "/><s v="https://rpubs.com/cceballos-stanford/544019"/><s v="https://osf.io/p5hvr"/><s v="https://github.com/psych251/Semrow2019/blob/master/writeup/Apaza_replication_Semrow.html"/><s v="https://rpubs.com/wuphins/159194"/><s v="https://rpubs.com/ennachen/psych251_finalproject"/><s v="https://rpubs.com/hrlarry/YUIMU-final"/><s v="https://rpubs.com/mkmartykeil/replicationfinal"/><s v="https://rpubs.com/mlee17/262394"/><s v="https://rpubs.com/chuqihu8/pilot"/><s v="https://rpubs.com/mateusmazza/project_report_pilotB"/><s v="https://rpubs.com/klsanch/pilotAwriteup"/><s v="https://github.com/StanfordPsych254/Tribushinina2011/blob/master/writeup/Replication-Report.html"/><s v="https://rstudio-pubs-static.s3.amazonaws.com/426870_bb10c991135648a19be27ad27cb36a15.html"/><s v="https://osf.io/v6zk8 or http://rpubs.com/catherinecthomas/final_replication"/><s v="https://rpubs.com/ayl888/695975"/><s v="https://osf.io/4ewkh"/><s v="https://osf.io/wdp9b"/><s v="https://osf.io/v6zk8"/><s v="https://osf.io/z6rfa"/><s v="https://osf.io/ab9q3"/><s v="https://osf.io/agxwv"/><s v="https://osf.io/jpwd3"/><s v="https://osf.io/wj3bm"/><s v="https://osf.io/7d3ha"/><s v="N/A"/><s v="NA"/><s v="https://osf.io/d5e7b"/><s v="https://osf.io/9fcjx"/><s v="https://rpubs.com/lrborchers/450894"/><s v="https://osf.io/9hn4c"/><s v="https://osf.io/mgjxv"/><s v="https://osf.io/s73x6"/><s v="https://osf.io/jnq7e"/><s v="https://osf.io/jubxw"/><s v="https://osf.io/k2teb"/><s v="https://osf.io/67mzc"/><s v="https://osf.io/zj5n3"/><s v="https://osf.io/j8pbk"/><s v="https://osf.io/szcuk"/><s v="https://osf.io/5uw3j"/><s v="https://osf.io/367yu"/><s v="https://osf.io/84fyw"/><s v="https://osf.io/qwked"/><s v="https://osf.io/drvhe"/><s v="https://osf.io/kchf9 "/><s v="https://osf.io/s48ht  "/><s v="https://osf.io/r4dve "/><s v="https://osf.io/7ch92 "/><s v="https://osf.io/2mtr3 "/><s v="https://osf.io/knh6y "/><s v="https://web.archive.org/web/20191201181415/http://psychfiledrawer.org/replication.php?attempt=MTc3"/><s v="https://web.archive.org/web/20190426092919/http://psychfiledrawer.org/replication.php?attempt=MTc3"/><s v="https://drive.google.com/file/d/1DDCuEgQah24QordxkRGO0EIt6Q681jyL/view"/><s v="https://hdl.handle.net/11250/2990125"/><s v="https://web.archive.org/web/20220103002744/https://github.com/eplebel/science-commons/blob/master/curated/ego-depletion/Pond%20et%20al%20(2011%2C%20Study%203)%20unpublished%20dataset%20methodological%20details.pdf"/><s v="https://osf.io/y36m8"/><s v="https://web.archive.org/web/20220128104303mp_/https://curatescience.org/app/replications"/><s v="https://osf.io/ct89g/"/><s v="https://web.archive.org/web/20191117063540/http://www.psychfiledrawer.org/replication.php?attempt=MTQ5"/><s v="https://datacolada.org/97"/><s v="https://datacolada.org/83"/><s v="https://datacolada.org/84"/><s v="https://datacolada.org/85"/><s v="https://datacolada.org/90"/><s v="https://osf.io/sejyp "/><s v="https://osf.io/janu3"/><s v="https://osf.io/7mgwh"/><s v="https://osf.io/jym7h"/><s v="https://osf.io/83n4z"/><s v="https://osf.io/x75fq"/><s v="https://osf.io/r57hu"/><s v="https://osf.io/ertbg"/><s v="http://dx.doi.org/10.1027/1864-9335/a000186"/><s v="."/><s v="https://doi.org/10.31234/osf.io/bgp3m"/><s v="https://osf.io/5y7ne/?view_only="/><s v="https://osf.io/8nzfm/"/><s v="1b"/><s v="https://osf.io/4a7v6"/><s v="https://osf.io/dgc9w"/><s v="https://osf.io/fdjns"/><s v="https://osf.io/pvem4"/><s v="https://osf.io/skw9u"/><s v="https://osf.io/gme8f"/><s v="https://osf.io/qju6y"/><s v="https://osf.io/q267x"/><s v="https://osf.io/spwxg"/><s v="https://osf.io/9ahkt"/><s v="https://osf.io/2yuq3"/><s v="https://osf.io/pq7eb"/><s v="https://osf.io/juxpq"/><s v="https://osf.io/xv3uz"/><s v="https://osf.io/s8mrz"/><s v="https://osf.io/d478r"/><s v="https://osf.io/jge2k"/></sharedItems></cacheField><cacheField name="study_r"><sharedItems containsBlank="1" containsMixedTypes="1" containsNumber="1"><s v="Number of study in paper, e.g., 1 or 2A"/><n v="1.0"/><m/><n v="2.0"/><s v="1c"/><n v="6.0"/><s v="1 &amp; 2 (Meta)"/><s v="10.1016/j.eatbeh.2024.101899"/><n v="3.0"/><s v="n/a"/><n v="4.0"/><n v="5.0"/><s v="2a"/><s v="2b"/><s v="NA"/><n v="9.0"/><n v="10.0"/><n v="11.0"/><n v="12.0"/><n v="13.0"/><n v="14.0"/><n v="15.0"/><n v="16.0"/><n v="17.0"/><n v="7.0"/><n v="8.0"/><n v="18.0"/><n v="19.0"/><n v="20.0"/><n v="21.0"/><s v="05 (as labeled in the Many Labs supplement)."/><s v="1a"/><s v="1b"/><s v="12 (as labeled in the Many Labs supplement)."/><s v="02 (as labeled in the Many Labs supplement)."/><s v="04 (as labeled in the Many Labs supplement)."/><s v="03 (as labeled in the Many Labs supplement)."/><s v="4.6 (as labeled in Many Labs 3 supplement)."/><s v="4.7 (as labeled in Many Labs 3 supplement)."/><s v="4.8 (as labeled in Many Labs 3 supplement)."/><s v="4.9 (as labeled in Many Labs 3 supplement)."/><s v="4.1 (as labeled in Many Labs 3 supplement)."/><s v="4.2 (as labeled in Many Labs 3 supplement)."/><s v="4.3 (as labeled in Many Labs 3 supplement)."/><n v="4.3"/><s v="4.5 (as labeled in Many Labs 3 supplement)."/><s v="10 (as labeled in the Many Labs supplement)."/><s v="11 (as labeled in the Many Labs supplement)."/><s v="01 (as labeled in the Many Labs supplement)."/><s v="Replication 1 Effect 1"/><s v="1 (Effect 1)"/><s v="1 (Effect 2)"/><s v="2 (Effect 1)"/><s v="2 (Effect 2)"/><s v="Replication 1 Effect 2"/><s v="Replication 2 Effect 2"/><s v="Replication 2"/><s v="1 (with typo)"/><s v="2 (without typo)"/><s v="1 (retention condition)"/><s v="1 (acquisition condition)"/><s v="Only Replication without Confounds"/><s v="Replication 1"/><s v="Replication 3"/><s v="3b"/><s v="7b"/><n v="22.0"/><n v="23.0"/><n v="24.0"/><n v="25.0"/><n v="26.0"/><n v="27.0"/><n v="28.0"/><n v="29.0"/><n v="30.0"/><n v="31.0"/><n v="32.0"/><s v="Van Rijn, H., &amp; Scholz, S. (2023, September 28). Replication of A Roelofs (2008, JEPLMC 34(2), Exp 3). Retrieved from osf.io/qwkum"/><s v="Selterman, D. F., Chagnon, E., &amp; Mackinnon, S. P. (2023, September 28). Replication of Eastwick &amp; Finkel (2008, JPSP). Retrieved from osf.io/ng6cc"/><s v="Supplementary to compare Study 1 and Study 3 (Experiment 1B)"/><s v="Supplementary to compare Study 1 and Study 3 (Experiment 2B)"/><n v="33.0"/><n v="34.0"/><n v="35.0"/><n v="36.0"/><n v="37.0"/><n v="38.0"/><n v="39.0"/><n v="40.0"/><s v="Analyses of Study 2 reported in Footnote 4"/></sharedItems></cacheField><cacheField name="file_r" numFmtId="0"><sharedItems containsBlank="1"><s v="file-name for R PDF - only edit if DOI is missing"/><s v="10.17605--osf.io--2zgf9.pdf"/><s v="osf.io--wru8c.pdf"/><s v="osf.io--x4v53.pdf"/><s v="10.17605--osf.io--7vgkq.pdf"/><s v="10.1016--j.jesp.2020.104066.pdf"/><s v="10.1163--26670127-bja10017.pdf"/><s v="10.1017--s0272263124000238.pdf"/><s v="10.1111--fare.13030.pdf"/><s v="10.26443--msurj.v19i1.231.pdf"/><s v="10.1016--j.jsams.2024.07.018.pdf"/><s v="10.1038--s44220-024-00225-1.pdf"/><s v=".pdf"/><s v="10.2139--ssrn.3816626.pdf"/><s v="10.1016--j.jsp.2024.101307.pdf"/><s v="10.1080--19345747.2024.2333734.pdf"/><s v="10.1177--07419325241240067.pdf"/><s v="10.1017--s027226312400010x.pdf"/><s v="10.1037--met0000650.pdf"/><s v="10.1093--schbul--sbae058.pdf"/><s v="10.1038--s41467-024-46936-y.pdf"/><s v="10.17645--mac.7666.pdf"/><s v="10.17645--mac.7667.pdf"/><s v="10.17645--mac.7668.pdf"/><s v="10.17645--mac.7669.pdf"/><s v="10.1007--s40617-024-00933-1.pdf"/><s v="10.1177--09567976241246552.pdf"/><s v="10.1037--cns0000401.pdf"/><s v="10.1177--0956797613478614.pdf"/><s v="10.1016--j.jenvp.2024.102289.pdf"/><s v="mendoza_2024.pdf"/><s v="mendoza.2024.pdf"/><s v="10.1016--j.drugalcdep.2024.111323.pdf"/><s v="10.1007--s40732-024-00597-x.pdf"/><s v="10.1016--j.paid.2024.112692.pdf"/><s v="10.1080--0163853x.2024.2339738.pdf"/><s v="10.1002--acp.4202.pdf"/><s v="10.1080--23273798.2024.2337948.pdf"/><s v="10.1017--S0261444824000120.pdf"/><m/><s v="10.1002--jeab.915.pdf"/><s v="10.1002--erv.3103.pdf"/><s v="10.1017--s0272263124000342.pdf"/><s v="10.1108--s1574-076520240000026005.pdf"/><s v="10.1017--pds.2024.14.pdf"/><s v="10.31234--osf.io--68jft.pdf"/><s v="thekeep.eiu.edu--theses--5025.pdf"/><s v="10.1111--padm.12860.pdf"/><s v="2024.lrec-main.91.pdf"/><s v="10.31234--osf.io--cf4xz.pdf"/><s v="10.18718--81781.34.pdf"/><s v="10.1075--ijlcr.00046.ozk.pdf"/><s v="10.1017--s0272263124000378.pdf"/><s v="digitalcommons.memphis.edu--etd--3538.pdf"/><s v="kontkanen_jaakko_thesis_2024.pdf"/><s v="10.1007--978-3-031-55844-3_4.pdf"/><s v="10.31234--osf.io--kpcwv.pdf"/><s v="qt8p5673qn.pdf"/><s v="escholarship.org--uc--item--8p5673qn.pdf"/><s v="10.16995--zygon.11497.pdf"/><s v="10.5281--zenodo.6426882.pdf"/><s v="10.1080--02650487.2024.2362015.pdf"/><s v="10.1016--j.bbr.2024.115096.pdf"/><s v="10.1037--xap0000321.pdf"/><s v="10.1007--s11251-024-09670-y.pdf"/><s v="10.1037--xap0000366.pdf"/><s v="10.1037--emo0001389.pdf"/><s v="10.17605--osf.io--b25tr.pdf"/><s v="10.1016--j.jmathb.2024.101174.pdf"/><s v="10.31234--osf.io--esu9z.pdf"/><s v="bischoff_ma_bms.pdf"/><s v="10.1145--3649217.3653545.pdf"/><s v="10.1109--iccq60895.2024.10576941.pdf"/><s v="10.1016--j.xjmad.2024.100075.pdf"/><s v="10.1016--j.jesp.2024.104619.pdf"/><s v="10.1007--s40732-024-00601-4.pdf"/><s v="10.1016--j.appet.2023.106554.pdf"/><s v="10.1016--j.eatbeh.2024.101899.pdf"/><s v="10.1016--j.jrp.2024.104511.pdf"/><s v="10.1177--19485506241257971.pdf"/><s v="patt_2024.pdf"/><s v="10.1038--s41598-024-63724-2.pdf"/><s v="na.pdf"/><s v="10.1371--journal.pone.0292576.pdf"/><s v="10.1080--15614263.2022.2102494.pdf"/><s v="10.1080--15614263.2023.2185241.pdf"/><s v="10.1007--s10834-024-09975-7.pdf"/><s v="10.37237--150205.pdf"/><s v="10.31234--osf.io--jfmsz.pdf"/><s v="10.31234--osf.io--xjaty.pdf"/><s v="10.1111--famp.12997.pdf"/><s v="10.1002--jaba.1098.pdf"/><s v="10.18718--81781.35%0a.pdf"/><s v="10.20982--tqmp.20.1.r001.pdf"/><s v="10.1093--applin--amae042.pdf"/><s v="10.1080--13527266.2024.2376918.pdf"/><s v="10.31234--osf.io--xr6bn.pdf"/><s v="10.5465--amproc.2024.19578abstract.pdf"/><s v="10.1080--13506285.2024.2343157.pdf"/><s v="10.12688--openreseurope.17749.1.pdf"/><s v="vonpruski_2024.pdf"/><s v="10.1002--jae.3082.pdf"/><s v="10.17605--osf.io--e5k4j.pdf"/><s v="10.1073--pnas.2402315121.pdf"/><s v="10.1098--rsos.231240.pdf"/><s v="10.1007--s13164-018-0400-9.pdf"/><s v="10.1177--0956797617719730.pdf"/><s v="10.17605--osf.io--bth36.pdf"/><s v="10.1126--science.aaf0918.pdf"/><s v="10.1038--s41562-018-0399-z.pdf"/><s v="curatescience10.pdf"/><s v="lee_2013.pdf"/><s v="10.3389--fpsyg.2014.01276.pdf"/><s v="korbmacher_2022.pdf"/><s v="10.1016--j.jesp.2012.10.014.pdf"/><s v="10.1016--j.appet.2013.12.020.pdf"/><s v="murtagh_2004.pdf"/><s v="10.1037--a0024587.pdf"/><s v="10.1186--2050-7283-1-22.pdf"/><s v="10.1371--journal.pone.0147770.pdf"/><s v="10.1371--journal.pone.0096339.pdf"/><s v="10.1027--1864-9335--a000178.pdf"/><s v="10.1037--0022-3514.83.2.406.pdf"/><s v="10.1037--0022-3514.90.6.893.pdf"/><s v="pashler_2011.pdf"/><s v="10.1371--journal.pone.0029081.pdf"/><s v="10.3758--s13423-013-0549-2.pdf"/><s v="10.1037--xge0000090.pdf"/><s v="curatescience31_1.pdf"/><s v="10.1016--j.jesp.2013.05.011.pdf"/><s v="NA"/><s v="10.5209--rev_sjop.2011.v14.n1.13.pdf"/><s v="10.1080--01973533.2013.856792.pdf"/><s v="fayard_2009.pdf"/><s v="10.1177--2167702613485565.pdf"/><s v="10.3758--s13423-014-0757-4.pdf"/><s v="10.1177--0956797614553946.pdf"/><s v="10.1177--1948550616652209.pdf"/><s v="10.1177--1745691612463078.pdf"/><s v="10.1037--pspa0000064.pdf"/><s v="10.1016--j.jesp.2015.10.012.pdf"/><s v="10.1016--j.jesp.2015.08.005.pdf"/><s v="10.1037--arc0000007.pdf"/><s v="10.1177--0956797613486983.pdf"/><s v="curatescience9_1_Besman M.et_al.2013.pdf"/><s v="10.1525--collabra.177.pdf"/><s v="10.17605--osf.io--dqv9y.pdf"/><s v="10.17605--osf.io--e9d3k.pdf"/><s v="10.17605--osf.io--fmd75.pdf"/><s v="10.1038--s41562-024-02062-9.pdf"/><s v="10.31234--osf.io--ntukz.pdf"/><s v="10.17605--osf.io--j8a4p.pdf"/><s v="10.18718--81781.23.pdf"/><s v="10.18718--81781.24.pdf"/><s v="10.18718--81781.27.pdf"/><s v="10.18718--81781.28.pdf"/><s v="10.18718--81781.29.pdf"/><s v="10.1177--2515245918810225.pdf"/><s v="10.3389--fcomm.2022.1048896.pdf"/><s v="10.1073--pnas.2103313118.pdf"/><s v="https:----osf.io--janu3.pdf"/><s v="10.1126--science.aac4716.pdf"/><s v="10.17605--osf.io--ehjdm.pdf"/><s v="10.17605--osf.io--ictp5.pdf"/><s v="10.3389--fpsyg.2014.00786.pdf"/><s v="10.17605--osf.io--82bwv   .pdf"/><s v="10.17605--osf.io--nxp9w.pdf"/><s v="10.1027--1864-9335--a000186.pdf"/><s v="osf_68m2c.pdf"/><s v="10.17605--osf.io--etg7c.pdf"/><s v="10.31234--osf.io--bgp3m.pdf"/><s v="10.2139--ssrn.2586261.pdf"/><s v="10.31234--osf.io--v643q.pdf"/><s v="10.1525--collabra.277.pdf"/><s v="10.17605--osf.io--5y7ne.pdf"/><s v="10.1037--pspa0000261.pdf"/><s v="10.1016--j.cognition.2014.09.006.pdf"/><s v="10.1007--s00213-019-05314-z.pdf"/><s v="10.1177--01461672211052120.pdf"/><s v="10.31236--osf.io--tzn6d.pdf"/><s v="10.1027--1864-1105--a000334.pdf"/><s v="10.1525--collabra.68054.pdf"/><s v="10.31234--osf.io--kavx4.pdf"/><s v="10.3758--s13428-022-01879-4.pdf"/><s v="10.1525--collabra.185.pdf"/><s v="10.1002--ejsp.2748.pdf"/><s v="10.1098--rsos.210641.pdf"/><s v="10.1016--j.actpsy.2020.103138 .pdf"/><s v="10.1177--0956797617747090.pdf"/><s v="10.1016--j.intell.2020.101471.pdf"/><s v="10.1177--08902070221094216.pdf"/><s v="10.17605--osf.io--uxajg.pdf"/><s v="10.1177--0956797619831612.pdf"/></sharedItems></cacheField><cacheField name="label_r" numFmtId="0"><sharedItems containsBlank="1"><s v="How does R identify as replication in title or abstract? Usually &quot;replication&quot; but report different wording if used"/><s v="replication attempt"/><m/><s v="Replication"/><s v="Title - &quot;A replication and elaboration study&quot;&#xA;Abstract - &quot;... the process of conceptual replication of Rellensmann and Schukajlow’s (2017) research...&quot;"/><s v="A preregistered, close replication of Darcy et al. (2016)"/><s v="close replication"/><s v="dyadic, longitudinal replication and extension"/><s v="&quot;Replication&quot; in title"/><s v="Closing the Gap: A Conceptual Replication of an Early Reading Intervention"/><s v="Conceptual Replication"/><s v="A Conceptual Replication"/><s v="&quot;Comment on and Attempt at Replication&quot; in title"/><s v="The authors tested the robustness and validity of the original findings."/><s v="Systematic Replication"/><s v="The study identifies as a replication in the title."/><s v="A Systematic Replication"/><s v="Replication and extensions"/><s v="replication and extension"/><s v="Approximate and close replications of Kormos and Dénes (2004) and Rossiter (2009)"/><s v="A replication with auditory stimulation"/><s v="A replication study"/><s v="approximate replication"/><s v="&quot;Replication and extension&quot;"/><s v="As advised by Sarah, I have excluded this row since the original study and replication study in this row do not match."/><s v="A replication"/><s v="Replication of Construct Validity of the Behavior Assessment Replication of Construct Validity of the Behavior Assessment System for Children-Third Edition Teacher Rating Scales (BASC-3 System for Children-Third Edition Teacher Rating Scales (BASC-3 TRS) "/><s v="robust experimental&#xA;replications"/><s v="&quot;Replication&quot;"/><s v="&quot;Direct replication&quot;"/><s v="Registered Replication"/><s v="replication/extension"/><s v="A partial replication study of Larsson et al. (2020)"/><s v="Title - &quot;An Approximate Replication Study&quot;&#xA;Abstract - &quot;... conducting an approximate replication of Onwuegbuzie et al. in Language Learning, 50(1):87–117, 2000.&quot;"/><s v="A Direct Replication of John Hedley Brooke's Chapter on Scientific and Religious Reform"/><s v="&quot;Corrobation, replication and extension&quot;"/><s v="conceptual replication / extension"/><s v="direct replication"/><s v="replication "/><s v="two-study replication"/><s v="conceptual replication "/><s v="replication and theoretical extension"/><s v="Replication and extensions registered report"/><s v="A conceptual replication study"/><s v="Registered Replication Report"/><s v="replication study"/><s v="Replication and extension study"/><s v="Title - &quot;a replication and extension of Karmarkar and Tormala (2010)&quot;&#xA;Abstract - &quot;direct replication of Experiment 2 by Karmarkar and Tormala (2010)&quot;"/><s v="replication and expansion"/><s v="A replication and extension"/><s v="A semi-replication"/><s v="semi-replication"/><s v="Replication from KDEF to NimStim"/><s v="A replication of Zottoli, Helm et al.(2023; Study 3"/><s v="&quot;The contribution is made in replication and extension of analyses reported elsewhere in the United States.&quot;"/><s v="“A recent study [...] found that Eric Garner’s death in NYC lead to more negative attitudes towards the police in London among Black residents compared to White and Asian residents. The current study aimed to replicate this transnational effect by assessi"/><s v="title, &quot;conceptual replication&quot;"/><s v="title, &quot;replication&quot;"/><s v="A replication attempt"/><s v="close"/><s v="very close"/><s v="Very close replication"/><s v="far"/><s v="Far replication"/><s v="exact"/><s v="Exact replication"/><s v="Reproducibility Report"/><s v="Web-based replication"/><s v="Reproducibility Project"/><s v="N/A"/><s v="replicate"/><s v=" To contribute data about reproducibility in economics, we replicate 18 studies published in the American Economic Review and the Quarterly Journal of Economics in 2011-2014."/><s v="Fairly Direct Replication"/><s v="Online Replication"/><s v="Experiment 1 was designed to replicate the counteracting effect of sugar consumption on ego depletion (Gailliot et al., 2007; Hagger et al., 2010). Following the protocol of Wang and Dvorak (2010),"/><s v="experimental replication"/><s v="R does not identify as a replication in title or abstract but identifies as replication in the description of experiment 1"/><s v="R does not identify as a replication in title or abstract"/><s v="Identified as &quot;replication&quot; in the Many Labs documents."/><s v="R does not identify as a replication in title or abstract but the introduction of study 1 states that the authors &quot;attempt to replicate&quot; the effects observed by Bargh et al., (1996)"/><s v="NA"/><s v="R does not identify as a replication in title or abstract but the results section contains one headline named &quot;Analysis 1: Replication of Previous Automatic Social Behavior Effects&quot; P. 10"/><s v="Fairly Exact Replication"/><s v="replicating the original study"/><s v="independent direct replications"/><s v="curated replications"/><s v="An additional experiment which looked for an effect of &quot;Honesty Priming&quot; similar to the one reported by Rasinski, Visser, Zagatsky, and Rickett (2005)'"/><s v="Failure to replicate Zhong and Liljenquist (2006)"/><s v="conceptual replications"/><s v="In four studies we replicated the original Zhong &amp; Liljenquist’s experiments with Spanish samples. We were unsuccessful in replicating the Zhong &amp; Liljenquist´s results that supported cleansing as a psychological mechanism for compensating guilty: results"/><s v="Our aim is to replicate the Macbeth effect with Spanish participants."/><s v="The first attempt at replicating was an online study of Penn undergrads getting course credit."/><s v="direct replications"/><s v="replicating"/><s v="replicating Zhong and Liljenquist"/><s v="a conceptual replication and exten-sion"/><s v="confirmatory replication attempt"/><s v="close replications"/><s v="a near-exact replication"/><s v="identified as replication in title"/><s v="identified as &quot;replication&quot; in Title"/><s v="Identical replication"/><s v="Preregistered replication"/><s v="Replication of Williams et al., 2016 "/><s v="&quot;Close replication&quot;"/><s v="Replication of Klein and O’Brienet al. 2018"/><s v="Replication of Jordan et al. 2016"/><s v="Replication of John et al. 2016"/><s v="Replication of Hofstetter et al. 2017"/><s v="Replication of Hoffman et al 2016"/><s v="Replication of Halevy &amp; Halali2015"/><s v="Replication of Guilbeault et al. 2018"/><s v="Replication of Gheorghiu et al. 2017"/><s v="Replication of Genschow et al. 2017"/><s v="Replication of Côte et al., 2015"/><s v="Replication of Vacharkulksemsuk et al., 2016"/><s v="Replication ofCooneyet al2016"/><s v="Replication of Cheon and Hong,2017"/><s v="Replication of Chao201"/><s v="Replication ofBoswell et al2018"/><s v="Replication of Baldwin and Lammers,2016"/><s v="Replication of Atir and Ferguson, 2018"/><s v="Replication of AmesandFiske,2015"/><s v="Replication of Stern et al, 2015"/><s v="Replication of Reeck et al 2017"/><s v="Replication of Rai et al.2017"/><s v="Replication of Morris et al. 2017"/><s v="Replication of McCall et al. 2017"/><s v="Replication of Kraus et al 2017"/><s v="Replication of Kouchaki and Gino,201"/><s v="replication with same data"/><s v="replication with new data"/><s v="&quot;This paper replicates the main analysis of Svensson (2015) with some expansion to the original analysis, mainly for the United States.&quot;"/><s v="&quot;This study attempts to replicate experimental results from Chowdhury et al. published in Southern Economic Journal (2017)&quot;"/><s v="&quot;In this article, I perform a verification and a reproduction of the main results in Fernández and Fogli (2009) [...]&quot;"/><s v="&quot;This paper replicates Poole (2013) using comprehensive Norwegian and Irish register data.&quot;"/><s v="&quot;This paper successfully replicates Autor et al. (2008) and extends their analysis through 2022.&quot;"/><s v="aggregate replication"/><s v="direct"/><s v="Replication, 'exactly reproduced methodology'"/><s v="&quot;This study aimed to replicate a study prior to recent teacher education reforms [...]&quot;"/><s v=" replication"/><s v="Extended replication"/><s v="A Registered Replication Report"/><s v="Across eight preregistered studies (N = 1603) plus meta-analyses, we reexamined the ‘implicitness’ of AMP effects, and in particular, the idea that people are unaware of the prime’s influence on their evaluations"/><s v=" direct replication"/><s v="Partial replication"/><s v="Systematic Replication Study TC"/><s v="Near-replication"/></sharedItems></cacheField><cacheField name="link_r" numFmtId="0"><sharedItems containsBlank="1"><m/><s v="https://drive.google.com/file/d/15dLELTosbF1NWFYI0UOSPLIC70dnGG5S/view?usp=drivesdk"/><s v="https://drive.google.com/file/d/1Oux4UBwSd26986fxRHjyI5XNtU-07DOs/view?usp=drivesdk"/><s v="https://drive.google.com/file/d/101OwdNXwjKk-CSJMDDNBxSMU_jnE0JGh/view?usp=drivesdk"/><s v="N/A"/><s v="https://drive.google.com/file/d/1Q7xa-u3DEssueb6fBYD39BjDPub6xcHR/view?usp=drivesdk"/><s v="https://drive.google.com/file/d/1u_oSZ0fEx8q87XxieN1axHREEr_kiGBE/view?usp=drivesdk"/><s v="https://drive.google.com/file/d/1KQ2h_KjNuvgQPQ443vS97noydUJbOuPG/view?usp=drivesdk"/><s v="https://drive.google.com/file/d/1TGN_TAtoJI3jhMQTEG2wnN59FCyiXC2_/view?usp=drivesdk"/><s v="https://drive.google.com/file/d/12ZFslJnsSmpbIBYf9YKunwP3Ofv14HZ-/view?usp=drivesdk"/><s v="https://drive.google.com/file/d/1iWxdhqxc4T6twXLJR2WbGMzAHqB2cMPh/view?usp=drivesdk"/><s v="https://drive.google.com/file/d/15dFaGlw5PiU4FQdHXfm-MBl-bSuobzO2/view?usp=drivesdk"/><s v="https://drive.google.com/file/d/1VAdnhoiJmdHbv1LbvyIfcfg3rNALrpkj/view?usp=drivesdk"/><s v="https://drive.google.com/file/d/1Rle6yo3utupMLtWPIY-izoAHwsC7-l3z/view?usp=drivesdk"/><s v="https://drive.google.com/file/d/1gy34Rj2zubnsdFDxbY0YzwrhmT7eVu5B/view?usp=drivesdk"/><s v="https://drive.google.com/file/d/1gKS9Z0txNmobZApdh403VlFeWnSEs1mA/view?usp=drivesdk"/><s v="https://drive.google.com/file/d/1VSCtSsv8HPQ12k-JKTjSEPJB-QhdOcwt/view?usp=drivesdk"/><s v="https://drive.google.com/file/d/1WNCE1BHqI-1JTQSuMkdiS2Xt4dckCPmq/view?usp=drivesdk"/><s v="https://drive.google.com/file/d/1TJ6nnv7-YYGU9DUh1ApFGirYy6BbChHy/view?usp=drivesdk"/><s v="https://drive.google.com/file/d/1LH5FS1-bb7IdYkCgO31BjONeTKWAtRQN/view?usp=drivesdk"/><s v="https://drive.google.com/file/d/145Pa13zh5Prx2VW-au4YJBMHc37TXuej/view?usp=drivesdk"/><s v="https://drive.google.com/file/d/1y9Sta1A62b6o1louE7uCjU6m-n4q0e5j/view?usp=drivesdk"/><s v="https://drive.google.com/file/d/1uqPYsQnG8eSYcKJ1Tcphemj3KvGd0mXp/view?usp=drivesdk"/><s v="https://drive.google.com/file/d/1vapTuoFWQvT1qaSJqcvZzdcKGuZPcOor/view?usp=drivesdk"/><s v="https://drive.google.com/file/d/1hw6VxSN8dF8WIp6LhbqOOmsEo0dTvdbu/view?usp=drivesdk"/><s v="https://drive.google.com/file/d/1BuhIf3isP0KQXBW8CveCqOhEBWMkWgvl/view?usp=drivesdk"/><s v="https://drive.google.com/file/d/1maMe58N1aLmqdBUtveOinCFDUWOh5rcE/view?usp=drivesdk"/><s v="https://drive.google.com/file/d/1qKtm6cJaGp1OYT52DZ-rdF0umAGshXgk/view?usp=drivesdk"/><s v="https://drive.google.com/file/d/1GpMdw7ZFDWpDIdg1IjCcxRYXmuDta-6_/view?usp=drivesdk"/><s v="https://drive.google.com/file/d/1Aes0K1gD14f_6QAHkD9IPsvD4OgnIJ9K/view?usp=drivesdk"/><s v="https://drive.google.com/file/d/1sSSGJnEV4E18FQJXK-1-tt9r58Mi889H/view?usp=drivesdk"/><s v="https://drive.google.com/file/d/1s7Xp1h565EAKnPa_0Zp3RnS0qmb4t53a/view?usp=drivesdk"/><s v="https://drive.google.com/file/d/1bJ0BC-Xy_bNt41DXHAjv1ms0mnz9Vq86/view?usp=drivesdk"/><s v="https://drive.google.com/file/d/1fNwzy4f6SEAeVccICF8BD0SDAIH7uPVr/view?usp=drivesdk"/><s v="https://drive.google.com/file/d/14Gn77igqT7z48cFv6fyuoc9vsjaDleJT/view?usp=drivesdk"/><s v="https://drive.google.com/file/d/1TqbYPD6TfJF6VjNMngYfnoD5Y8nHUi0O/view?usp=drivesdk"/><s v="https://drive.google.com/file/d/1Fg206MUtjoN9d31kEAQ7bIDHvbUqwyGY/view?usp=drivesdk"/><s v="https://drive.google.com/file/d/1Zty8FHdgF4Nqed1S2bjomumBBiyC8Mfz/view?usp=drivesdk"/><s v="https://drive.google.com/file/d/1NIjwBw1HSQxLQI9DGPXfoBeD-8Wnntz5/view?usp=drivesdk"/><s v="https://drive.google.com/file/d/1Tsg1BvUDYPZ40L5izJMMYH7m3hZ-Z2QJ/view?usp=drivesdk"/><s v="https://drive.google.com/file/d/1Y24HtovNy5BwKos6_FsV4A_pE93bEfUv/view?usp=drivesdk"/><s v="https://drive.google.com/file/d/1lyco4NN8QUadLrLaxT4tk2Kth7hjO4p_/view?usp=drivesdk"/><s v="https://drive.google.com/file/d/19bZUP_N4YxLTtw7Y4tZumU1mxVv8t29B/view?usp=drivesdk"/><s v="https://drive.google.com/file/d/1mh0lOHypF2E9Nk9sQ57YmqKyEOyrqka8/view?usp=drivesdk"/><s v="https://drive.google.com/file/d/1AUxxuZsTugos0bfw5gX9jMDqt7bWDrfc/view?usp=drivesdk"/><s v="https://drive.google.com/file/d/1Eufb0NfIAz03c6rDvfbVDbjGjjReVYgi/view?usp=drivesdk"/><s v="https://drive.google.com/file/d/1cCkHaNWOPS3ds7SCRQ2FwENlloP5Ay-l/view?usp=drivesdk"/><s v="https://drive.google.com/file/d/1lAHnrSuQxWM2CdT06_FM1GDBh9d6nNTe/view?usp=drivesdk"/><s v="https://drive.google.com/file/d/1xNa3snr_hhHjS7pnwFaA2tVxjB_0VvqW/view?usp=drivesdk"/><s v="https://drive.google.com/file/d/1jvhXrkXP500Hc10PhmlgwF_pIcWK0diq/view?usp=drivesdk"/><s v="https://drive.google.com/file/d/1mK6ddl6CbjItWRFtU_KkouJP0UM3gV-6/view?usp=drivesdk"/><s v="https://drive.google.com/file/d/13DjN87PTnd1gRVtF4FDN_PrjD6syLFtl/view?usp=drivesdk"/><s v="https://drive.google.com/file/d/1pi6g99iJYyhyD_0jGvDca_hbleDdekCp/view?usp=drivesdk"/><s v="https://drive.google.com/file/d/1SZWqK44IKYVvgeBO_YR6iREgVqKc9hl7/view?usp=drivesdk"/><s v="https://drive.google.com/file/d/1EK0iig6kRzrCroz49dDEP_mf3A-HoVQR/view?usp=drivesdk"/><s v="https://drive.google.com/file/d/1Z88YOxFUdjB_N8RWvlHzVruajODQTnic/view?usp=drivesdk"/><s v="https://drive.google.com/file/d/1BxRopi0OntYhPQcXKMEC5xqZoDEptVYd/view?usp=drivesdk"/><s v="https://drive.google.com/file/d/1dsS2Zz_SrKiR1Wr9BLFEXM-_iHqMxxPd/view?usp=drivesdk"/><s v="https://drive.google.com/file/d/11I9BYw-LgWPOfVM-roaK7IeDdor9cI5n/view?usp=drivesdk"/><s v="https://drive.google.com/file/d/1AeJCeDtR27X7LIlQj69LZhU8lw_irjTZ/view?usp=drivesdk"/><s v="https://drive.google.com/file/d/1ljVoDtYBz0iPIIVFLmoGyAGWDfVCncq9/view?usp=drivesdk"/><s v="https://drive.google.com/file/d/1VUyjspRteJ5gkjs-fbYxT0CLPJf7x2H-/view?usp=drivesdk"/><s v="https://drive.google.com/file/d/1CclKKmhEg4wBmEAHmGyg_rBfw2qqAy8s/view?usp=drivesdk"/><s v="https://drive.google.com/file/d/1AxhabG9V7_RjgC05iqRfwY_LBYsC-1Lv/view?usp=drivesdk"/><s v="https://drive.google.com/file/d/16j_GiBODVfACftG20Niq4aIRC_kU8qsZ/view?usp=drivesdk"/><s v="https://drive.google.com/file/d/1WGY3X69XpAQRsdLRgO8nrxWGp5CpwgZF/view?usp=drivesdk"/><s v="https://drive.google.com/file/d/1_wLROYuywRItyX2cFnsLf0N4QfaR5Z8L/view?usp=drivesdk"/><s v="https://drive.google.com/file/d/1xNvXepqsFVWYkeFXaOCdP5f6pkQO7e5j/view?usp=drivesdk"/><s v="https://drive.google.com/file/d/1ThlzA-VvGBDO4Se-yoayt4Mn-HEfjYUo/view?usp=drivesdk"/><s v="https://drive.google.com/file/d/10CU4FiXsOc216jLudNBinSLadjKnYzKg/view?usp=drivesdk"/><s v="https://drive.google.com/file/d/1ldrzAt88fRJBOsSbplqW2NG4M3-xxKlP/view?usp=drivesdk"/><s v="https://drive.google.com/file/d/1fq5OO2numDQgQa5kWKk3UimuJGG6cyLq/view?usp=drivesdk"/><s v="https://drive.google.com/file/d/15ZlJQ8dYoTyaoh7HgVjWxbumKbhPC9XU/view?usp=drivesdk"/><s v="https://drive.google.com/file/d/1kvzfXjBDZmFTCeJVlsPrywrDLzw17fXw/view?usp=drivesdk"/><s v="https://drive.google.com/file/d/1mAgtvtRNwI_LQ2ccnmAWuBfkaX8itu_d/view?usp=drivesdk"/><s v="https://drive.google.com/file/d/1VVeqTkEjSzuu9KSkYUb2Q1_BeFG8ZFes/view?usp=drivesdk"/><s v="https://drive.google.com/file/d/1DMMXxQwzUbOxshIWiT8AwdGZ588_WZ8b/view?usp=drivesdk"/><s v="https://drive.google.com/file/d/1ULfnDtv84kgeFXRyMCCLbY1RRcrTQDB8/view?usp=drivesdk"/><s v="https://drive.google.com/file/d/14qlQgDUVz3KRZQVXwZQMkCR0K1msJHmK/view?usp=drivesdk"/><s v="https://drive.google.com/file/d/1vDgLj9eoT-VnSILsFHRQ12VvtSFTsWUV/view?usp=drivesdk"/><s v="https://drive.google.com/file/d/1VIxHSn4IKzp_dw4xNX6RMxFlMFrB02Na/view?usp=drivesdk"/><s v="https://drive.google.com/file/d/1lBAeCGIckBPanOLBGZwhA7XjuahS_0Dx/view?usp=drivesdk"/><s v="https://drive.google.com/file/d/1JQppLKOXxrmIyxFhDZtY85ZoIv_TVdh_/view?usp=drivesdk"/><s v="https://drive.google.com/file/d/1H6X8VsyVixAViuUZ-S2dfj2OJm-VwYrl/view?usp=drivesdk"/><s v="https://drive.google.com/file/d/17sgB6ScmXf8Wli1_dKWf0wpvxkNJRZtC/view?usp=drivesdk"/><s v="https://drive.google.com/file/d/1QDSkRCnuunpKbwNck3pYI8NlktZFtjZd/view?usp=drivesdk"/><s v="https://drive.google.com/file/d/1LvmKgU-0Swex9jXhSh89rVHkVzeNMucB/view?usp=drivesdk"/><s v="https://drive.google.com/file/d/1Mxrn43qE4Nlk4SUVbyTVjT4uEEPF5pZu/view?usp=drivesdk"/><s v="https://drive.google.com/file/d/17gaf2Zy_ljFfcAEDk5L8GBnTl5i7RGJE/view?usp=drivesdk"/><s v="https://drive.google.com/file/d/1hjI3aqifdfXjWhQAlvKCKKtvjuncAn5M/view?usp=drivesdk"/><s v="https://drive.google.com/file/d/1_tN97pqKnfamGcztRzQHZ9UG0A8Hag_0/view?usp=drivesdk"/><s v="https://drive.google.com/file/d/1g2LUlGntoVWUQi433rats2xlfqkwajdf/view?usp=drivesdk"/><s v="https://drive.google.com/file/d/1qJE0K3gDNeo5WCbf6KkP1a0pxT3faRns/view?usp=drivesdk"/><s v="https://drive.google.com/file/d/1DDCuEgQah24QordxkRGO0EIt6Q681jyL/view?usp=drivesdk"/><s v="https://drive.google.com/file/d/1CSCUNAQZCt3s32RgzUwXe6pe5scvK0yY/view?usp=drivesdk"/><s v="LINK"/><s v="https://drive.google.com/file/d/1_rFVHDaWBDKF-ni6stLki1Wt7mspwAb2/view?usp=drivesdk"/><s v="https://drive.google.com/file/d/1c8fXNnhmY13vK0FI3aMB_LAx3-JbSZd7/view?usp=drivesdk"/><s v="https://drive.google.com/file/d/1y0uavGuuD3FfKExlt9hI-j32m6j_RxXx/view?usp=drivesdk"/><s v="https://drive.google.com/file/d/1GYDJkUHLj_0GiFfIztass97sMyACxxL_/view?usp=drivesdk"/><s v="https://drive.google.com/file/d/177P2xO1D22ODvu0Zcz9Ls-wtsZM0ck_y/view?usp=drivesdk"/><s v="https://drive.google.com/file/d/1UXS2QTqJQUfE_Pyj2Qy0nOdEsfBcSrJD/view?usp=drivesdk"/><s v="https://drive.google.com/file/d/1gBBT6EBomzmICcRfzrG_6jxfvMnRuQIj/view?usp=drivesdk"/><s v="https://drive.google.com/file/d/1fIqa3RxgdnsQkWwGnLkF4XAbM2g_WN4q/view?usp=drivesdk"/><s v="https://drive.google.com/file/d/1OuxVCUkVnVBw7IH1mtlkV9HYUNX7kOe5/view?usp=drivesdk"/><s v="https://drive.google.com/file/d/1TGcGbqDcsz1Kyb3oCU4EoWJQ9dp-E7q6/view?usp=drivesdk"/><s v="https://drive.google.com/file/d/1i2aa1erQ9i9knP8Z5bgGiSt6DXX7U7Fa/view?usp=drivesdk"/><s v="https://drive.google.com/file/d/13yA5wer3pEP6DzO7ZMN-jDmSL2aYTKUo/view?usp=drivesdk"/><s v="https://drive.google.com/file/d/1x9sfN1Qyptlpks3NPyyD6PckLhoE6G6J/view?usp=drivesdk"/><s v="https://drive.google.com/file/d/1TOxKvkgLgldkEiOl4Cnst0AYk7w8IBCh/view?usp=drivesdk"/><s v="https://drive.google.com/file/d/1JdFF8pu65hv5yMW8kuJKZT-omhqW3568/view?usp=drivesdk"/><s v="https://drive.google.com/file/d/1G4tP3z0FT61HHKi1B51ImyPr28TywEAv/view?usp=drivesdk"/><s v="https://drive.google.com/file/d/1grC_-CjFVn77v-PGNS3-UDB1Sv0gUwum/view?usp=drivesdk"/><s v="https://drive.google.com/file/d/1TZ4v__dPOmI3xNzFpnJFIk9lq8TKq6BL/view?usp=drivesdk"/><s v="https://drive.google.com/file/d/1_Adjy9YHg45Gx42zRW_GMddJujIpRnLp/view?usp=drivesdk"/><s v="https://drive.google.com/file/d/1p5ydRsZ4brAO2FqzQtlUbRAhPkcmRVgm/view?usp=drivesdk"/><s v="https://drive.google.com/file/d/182GXuG3qegDOfzlWQwH4rNCoeEmBWZVE/view?usp=drivesdk"/><s v="https://drive.google.com/file/d/1Siah8cHN9e47_gL9zhIF1EGajvH1CyAB/view?usp=drivesdk"/><s v="https://drive.google.com/file/d/1SA7ZP2ow52I8kFKx4p2nJ0nUspPn6as_/view?usp=drivesdk"/><s v="https://drive.google.com/file/d/1RF-nEXDyW9UWyQIuqmtLdTtTuTs-52JT/view?usp=drivesdk"/><s v="https://drive.google.com/file/d/1xuc-fvipcLZQMaybgsFtBL29-3ClXZFF/view?usp=drivesdk"/><s v="https://drive.google.com/file/d/1-xurSGJuM3s6RBApJqwPJeMlgGlC3K_D/view?usp=drivesdk"/><s v="https://drive.google.com/file/d/1gyeq5B_qi3Jnlf4Z_IsX5vLD1Nya92z0/view?usp=drivesdk"/><s v="https://drive.google.com/file/d/1GB5oPjHVuDXBTZ2__Had-zRIf9ZK4G7S/view?usp=drivesdk"/><s v="https://drive.google.com/file/d/1SNviYFYkLPApLDE4sxFOX_wRepMI0nnI/view?usp=drivesdk"/><s v="https://drive.google.com/file/d/1VipPphabn-Kfe9AzHC0j5FX1Fqp3bd0q/view?usp=drivesdk"/><s v="https://drive.google.com/file/d/1ricWbnnQ27T1O2HoAIXHZb1YA8sK8_s2/view?usp=drivesdk"/><s v="https://drive.google.com/file/d/1w8pcOEpgkXG4574TMp8vmQlQVMYXLL8c/view?usp=drivesdk"/><s v="https://drive.google.com/file/d/1AetBiDxEiDABROgFar_KCyTHXjrAYAyC/view?usp=drivesdk"/><s v="https://drive.google.com/file/d/1Kwdqeb9S0RNT_hHV1vR81MPGAjymnUQq/view?usp=drivesdk"/><s v="https://drive.google.com/file/d/1UFSIBKXNmPXd3__1cxrsTy9PbNax45wB/view?usp=drivesdk"/><s v="https://drive.google.com/file/d/12vw9kcWfNgIH1QJC1wzCOEbjp_P3Df3W/view?usp=drivesdk"/><s v="https://drive.google.com/file/d/1B0bpIVPknZVh5AfVAO6FnFkgh37GF9dx/view?usp=drivesdk"/><s v="https://drive.google.com/file/d/10OfxM8Xr_vLp1xZdWVqasjH0oVNLXD6c/view?usp=drivesdk"/><s v="https://drive.google.com/file/d/1al8eDyU6ngpVrQ3pelC_b0wECY353CCu/view?usp=drivesdk"/><s v="https://drive.google.com/file/d/1rGqHLpg3OEGQnWLvlAEJr7JSMWJ2p-Ar/view?usp=drivesdk"/><s v="https://drive.google.com/file/d/1Irbmig3rfLDvz-G09jDAVwJvv1drYEqO/view?usp=drivesdk"/><s v="https://drive.google.com/file/d/1UMAh9VGta6ExS2-Lb6GkDF4fmnI2EMeM/view?usp=drivesdk"/><s v="https://drive.google.com/file/d/1GV4zWU9q5kR-RIu3cmHk_E669d6rWRsW/view?usp=drivesdk"/><s v="https://drive.google.com/file/d/1aZbByDdOVHRhBNFrVHpONghJoQFgQzen/view?usp=drivesdk"/><s v="https://drive.google.com/file/d/1X8xl-ktO34rqHxXEr72Dhva7VBCdkSZl/view?usp=drivesdk"/><s v="https://drive.google.com/file/d/1yS8koYLoBzTIOnY0Iveg0atwD_kYj-_v/view?usp=drivesdk"/><s v="https://drive.google.com/file/d/1tKM1PILFcJ_p1wV0Jul0zI6ZVlWSKpjf/view?usp=drivesdk"/><s v="https://drive.google.com/file/d/1fXdEI1kl0lQt_4qWiP91lWgenOEsMrKg/view?usp=drivesdk"/><s v="https://drive.google.com/file/d/1LNTqrRGiajQW8AmTfTYGS-EuhKSBbzXe/view?usp=drivesdk"/><s v="https://drive.google.com/file/d/1hVwbIyW3epWRQsMMft62XMBr_6n68gLn/view?usp=drivesdk"/><s v="https://drive.google.com/file/d/1H4h52o-2l4VeH6zifkEQWasrzj-Pi8k3/view?usp=drivesdk"/><s v="https://drive.google.com/file/d/1FM8L4aEO4RUDs49kJAJIdOCQaOMgYN0P/view?usp=drivesdk"/><s v="https://drive.google.com/file/d/1gqkCLQ8YLn27JACJIv51ycR1U6cUfNAJ/view?usp=drivesdk"/><s v="https://drive.google.com/file/d/1yu5hD1Fq1gaQ5iAk9Sy1oujO3qnlBxsm/view?usp=drivesdk"/><s v="https://drive.google.com/file/d/1kMj9bYJrk8644y4gPjpgYXSikwfmuYTS/view?usp=drivesdk"/><s v="https://drive.google.com/file/d/1gdDOOMTIigM-6Ed3enxRZxDW_ycizIYq/view?usp=drivesdk"/><s v="https://drive.google.com/file/d/1qykbPSroz40PGKkag9WEI54L9tC55d5r/view?usp=drivesdk"/><s v="https://drive.google.com/file/d/1M6Ltzqhoq6i38u_uKwWyzNhrrtQbazWq/view?usp=drivesdk"/><s v="https://drive.google.com/file/d/15PNrZmOOUmljg2u3ulDQT64Zk426YNiM/view?usp=drivesdk"/><s v="https://drive.google.com/file/d/1rBJAGWTtBimqdJkF-7AeLyVrGIG8EBnW/view?usp=drivesdk"/><s v="https://drive.google.com/file/d/1tBea1xcrmrgSGVymZfDDDZH7SLB5aF-6/view?usp=drivesdk"/><s v="https://drive.google.com/file/d/1yMYVS-DUlP_U3zcoWL7wKPwZrYzyiImV/view?usp=drivesdk"/><s v="https://drive.google.com/file/d/1Xoam7f13E5M2EddKf56QMnzGorZg_Rlu/view?usp=drivesdk"/><s v="https://drive.google.com/file/d/1d6qI-QqNlpjQgx9Vwa0NjPkDpYx45iMg/view?usp=drivesdk"/><s v="https://drive.google.com/file/d/1YzEqH7QTG95vm-E-CJt-CI-rq6sFA3bV/view?usp=drivesdk"/><s v="https://drive.google.com/file/d/1CVrT0V-MeqSfZShwoRY6MMjJJXISWk02/view?usp=drivesdk"/><s v="https://drive.google.com/file/d/12vr4IdpuKGHum4clozdFiyxIbQP3jx5f/view?usp=drivesdk"/><s v="https://drive.google.com/file/d/1hYNUJrx3yjyMoTgcG7Qz4pix-8ruWFMC/view?usp=drivesdk"/><s v="https://drive.google.com/file/d/17mZvRs3ue7pXwqu8bmIDvgNdc95PGEcV/view?usp=drivesdk"/></sharedItems></cacheField><cacheField name="exclusion" numFmtId="0"><sharedItems containsBlank="1"><s v="Reason for study exclusion (usually only if R is not a replication)"/><m/><s v="no replication report available but only a post completion registration"/><s v="Not replicated"/><s v="original study relied on testing and neuropsychological performance (Visual Reproductions immediate recall/ Visual Reproductions delayed recall/ Verbal Paired Associates I /Verbal Paired Associates II/ Simple Reaction Time efficiency / Continuous Performa"/><s v="Even though theoretically relevant aspects of the studies are the same, the original study relied on qualitative methodology, hence there is no quantitative data to compare the studies."/><s v="no new data was collected"/><s v="literature review"/><s v="yes, the row is double coded"/><s v="yes, this row mus be excluded"/><s v="Not a replication, just a proposal for potential replication"/><s v="Not a replication, just a proposal for potential reolication"/><s v="the two papers are not related, study diffrent topics and belongs to diffrent fields"/><s v="Email response from LR: I think the &quot;replication&quot; part is actually a reproduction because both reports use the same sources (Current Population Surveys, CPS). We will discuss if the &quot;extension&quot; part meets our inclusion criteria and get back to you if it d"/><s v="In both research articles, the authors want to investigate which linguistic variables are most important for distinguishing between adverb positions in the written data. In both cases, they report running a Random Forest classifier using R. However, no qu"/><s v="I do not consider this to be a direct replication study because the authors used a different method to overcome a methodological/conceptual limitation of the original study. Even if the phenomenon being studied is the same, the introduction of a method to"/><s v="This study and replication does not constitute a quantitative measurement of phenomena but a textual analysis where no quantitative data or effect sizes are available for meta-analysis purposes."/><s v="It is the same original and replication study as ID resciencex_01_1"/><s v="The replication study uses different outcome variables (o: customer orientation, r: psychological ownership) and also uses a different study design specifically mediators which the original does not "/><s v="The replication study has not yet occured"/><s v="Although R is a replication, no real quantitative analysis have done. Both of them are kind of overview and descriptive only."/><s v="There is no specified original study in the &quot;replication&quot;. The &quot;replication&quot; in this table investigates psychometric properties of the short form scale of CoPAFS, the &quot;original&quot; in this table investigates these properties in the full scale (in a different"/><s v="reproduction, not replication"/><s v="no full paper available yet"/><s v="Completely different samples (medical patients with students. Not sure about exclusion, but the closeness is questionable)"/><s v="No replication report / data"/><s v="No statistical outcome both in original study and replication data"/><s v="No replication. The OSF report was registered only in Dec 2024."/><s v="No replication"/><s v="The replication was not completed"/><s v="There is no matching results"/><s v="No replication results"/><s v="No replication data for experiment 2"/><s v="The results from the original and &quot;replication&quot; studies investigate the phenomenon using different dependent variables and analysis. The replication is not strictly speaking replication"/><s v="No replication data available"/><s v="No replication data available (the report does not contain information)"/><s v="There is no numerical data in the replication"/><s v="duplicate"/><s v="report not available anymore (was on psychfiledrawer), Materials (working link): https://web.archive.org/web/20220103002723/https://web.archive.org/web/20170107102034/http://www.psychfiledrawer.org/files/8531391990603Materials.pdf results (dead link): htt"/><s v="could not get access to the r_paper "/><s v="It's a very different experiment than the original"/><s v="I am not sure what exclusion criteria for studies the project has. This one seems to be in German, so I don't know if it's eligible."/><s v="I wonder if this should be an exclusion if we cannot get the full values from the replication"/><s v="NA"/><s v="The authors use the same dataset for Sweden and an updated dataset for the U.S. (thus the dataset is also partly the same) see p. 3 (p. 5 when respecting the whole document: https://www.econstor.eu/bitstream/10419/253653/1/JCRE-2022-2.pdf)"/><s v="It is a reproduction and not a replication"/><s v="Please check again: I think that the replication study uses at least to some extant the same data. The replication adds only more recently obtained data."/><s v="The replication paper state &quot;Given the low number of observations, the results of this replication are likely unreliable. &quot;"/><s v="Very small response rate (~0%)"/><s v="There is no replication for this row neither on the OSC 2015 table or p35 replication links"/><s v="There is no replication for this entry"/><s v="I skipped that row, because I couldn't fine a file clearly indicating replication procedure and results"/><s v="replication study not available"/><s v="This study should be excluded because the original study and the replication study are the same, authored by the same authors. The links for the original and replication studies lead me to the same paper"/><s v="the hypothesis for prosocicals vs. competitors was not conducted in the original study"/><s v="the hypothesis for social value orientation (SLM) vs. age were not conducted both in the original  and replication studies (for sample 1)"/></sharedItems></cacheField><cacheField name="discipline" numFmtId="0"><sharedItems containsBlank="1"><s v="Which broad field does the finding come from - e.g., Social Psychology or Labor Economics"/><s v="Political Science"/><s v="Cognitive Psychology"/><s v="Experimental Philosophy"/><s v="Judgment and Decision Making"/><s v="Social Psychology"/><s v="Education"/><s v="Educational Sciences"/><s v="Linguistics"/><s v="Science and Medicine in Sport "/><s v="Medicine"/><s v="Communication Science"/><s v="Education Science"/><m/><s v="Methods"/><s v="Neuroscience"/><s v="Psychology"/><s v="Sports Sciences"/><s v="Differential Psychology"/><s v="Education Sciences"/><s v="Organizational Psychology"/><s v="Developmental Psychology"/><s v="Management"/><s v="Medicine (Psychiatry)"/><s v="Economics"/><s v="Psychopathology"/><s v="Political Psychology"/><s v="Marketing"/><s v="Neuroscience (biological psychology)"/><s v="Education (computer science)"/><s v="Consumer Research"/><s v="Clinical Psychology"/><s v="Evolutionary Psychology"/><s v="Judgement and Decision Making "/><s v="Consumer Psychology"/><s v="Meta Science"/></sharedItems></cacheField><cacheField name="effect" numFmtId="0"><sharedItems containsBlank="1"><s v="x"/><m/><s v="Contrast sensitivity of knowledge ascription (contrastivism)"/><s v="contrastive knowledge"/><s v="subliminal anchoring"/><s v="interest in mathematics"/><s v="Production accuracy - /e/ format"/><s v="Production accuracy - /ei̯/ ~ /e/"/><s v="Production accuracy - /ei̯/ z score"/><s v="Production accuracy - Consonant accuracy"/><s v="Second Language Phonological Processing"/><s v="First Financial Discussion Effect"/><s v="maximal anaerobic fatigue"/><s v="Dynamic postural control"/><s v="Sentence reading / Reading comprehension"/><s v="Spelling"/><s v="Word reading"/><s v="Effect of time to publication (moderator variable) in outcome-reporting bias."/><s v="Effect of sample size (moderator variable) in outcome-reporting bias."/><s v="Effect of number of statistical tests (moderator variable) in outcome-reporting bias."/><s v="Effect of type of outcome measure (moderator variable) in outcome-reporting bias."/><s v="Odds ratio for publish findings"/><s v="Interpretation of sociolinguistic variation"/><s v="interpretation of verbal moods in second language learning"/><s v="Prolactin-increasing antipsychotics' effect on breast cancer&#xA;"/><s v="Prolactin-sparing antipsychotics' effect on breast cancer&#xA;"/><s v="Fear extintion"/><s v="&quot;Dopamine-dependent prefrontal reactivations explain long-term benefit of fear extinction&quot; "/><s v="Behavioral intentions"/><s v="The nature of hipocrisy"/><s v="Motivational determinants of anthropomorphism"/><s v="Sensory attenuation"/><s v="perceived responsibility"/><s v="biomarkes of substace use diorder"/><s v="Repetitve Negative Thinking (RNT)"/><s v="knowledge application task"/><s v="transfer task"/><s v="misinformation effect"/><s v="discrepancy detection"/><s v="morphological family&#xA;size effects"/><s v="Response force in a conjugate preparation (VMSWO Rank 1-5 by Mean&#xA;Force Rank 1-5)"/><s v="Percentage of correct answers: Effect of emotion"/><s v="Percentage of correct answers: Effect of Task X group interaction"/><s v="Percentage of correct answers: Effect of Task X emotion interaction"/><s v="Percentage of correct answers: Effect of Task X Emotion X Group interaction"/><s v="Emotion discrimination task: Effect of emotion"/><s v="Emotion discrimination task: Effect of group"/><s v="Emotion discrimination task: Effect of emotion X group interaction"/><s v="Emotion discrimination task: Effect of group on happy faces"/><s v="Emotion discrimination task: Effect of group on sad faces"/><s v="Emotion discrimination task: Effect of group for afraid faces"/><s v="Emotion discrimination task: Effect of group for neutral faces"/><s v="Emotion discrimination task: Effect of group for angry faces"/><s v="Gender discrimination: Effect of emotion"/><s v="Gender discrimination: Effect of group"/><s v="Mean reaction time for correct answers: Effect of Task X Emotion X Group interaction"/><s v="Mean reaction time for correct answers: Effect of emotion"/><s v="Mean reaction time for correct answers: Effect of task X emotion interaction"/><s v="Mean reaction time for correct answers: Effect of group"/><s v="Misclassification analysis: Effect of Error type X group for faces being misclassified as sad"/><s v="Misclassification analysis: Effect on group for afraid faces being misclassified as sad"/><s v="Misclassification analysis: Effect on group for faces being misclassified as angry"/><s v="Misclassification analysis: Effect on group for faces being misclassified as neutral"/><s v="Misclassification analysis: Effect on group for happy faces being misclassified as neutral"/><s v="Misclassification analysis: Effect on group for sad faces being misclassified as neutral"/><s v="Misclassification analysis: Effect on group for faces being misclassified as happy"/><s v="Misclassification analysis: Effect on group for faces being misclassified as afraid"/><s v="Percentage of correct answers: Effect of task"/><s v="Adolescents with anorexia nervosa and major depression identifying correct facial expressions: Effect of task"/><s v="Adolescents with anorexia nervosa and major depression identifying correct facial expressions: Effect of emot"/><s v="syntatic transfer/noun-raising"/><s v="Research misconduct"/><s v="&quot;If hierarchical, then corrupt&quot;"/><s v="Hierarchy-Corruption Association"/><s v="Attention deficit/problems"/><s v="Hyperactivity /Attention Deficit Hyperactive"/><s v="Withdrawal/Avoidant "/><s v="Conduct Problems /Delinquent "/><s v="Conduct Problems/Oppositional Defiant"/><s v="Aggression / Solitary Aggressive Provocative "/><s v="Aggression/  Solitary Aggressive Impulsive "/><s v="Externalizing/  Overactivity"/><s v=" Internalizing / Underactivity"/><s v="Expectancy-Disconfirmation Theory"/><s v="Expectancy-disconfirmation theory of citizen satisfaction"/><s v="Attention bias"/><s v="attentional bias"/><s v="wage inequality"/><s v="The transferability of language-switching skills to nonlinguistic task switching"/><s v="bilingual advantage (task switching)"/><s v="mattering scale"/><s v="Foundational factors of Mattering"/><s v="grammar acquisition"/><s v="Proficiency use of progressive (ing)"/><s v="Proficiency use of plural (plural)"/><s v="Proficiency use of copula be (be-cop)"/><s v="Proficiency use of auxiliary be (be-aux)"/><s v="Proficiency use of article (article)"/><s v="Proficiency use of irregular past (past-irreg)"/><s v="Proficiency use of regular past (past-reg)"/><s v="Proficiency use of possessive (poss)"/><s v="Proficiency use of 3rd person singular (3rd sing)"/><s v="foreign langauage learning anxiety"/><s v="effect of rumination in psychopathology"/><s v="Rumination"/><s v="Customer Empowerment"/><s v="Behavioural bias for food"/><s v="commitment escalation"/><s v="Effects of Process and Outcome Accountability on Escalating Commitment"/><s v="Problem-solving prior to instruction"/><s v="escalating commitment"/><s v="nostalgia proneness"/><s v="music-evoked nostalgia"/><s v="windfall gains"/><s v="early algebra"/><s v="Death Thought Suppression and Rebound Hypothesis:"/><s v="The role of relative frontal alpha asymmetry in shaping the stress response"/><s v="emotion stress regulation: the role of of relative frontal&#xA;alpha asymmetry"/><s v="static analysis"/><s v="static analysis errors in student programming"/><s v="Impact of Method Chains and Comment Variants on Code Readability and Comprehension "/><s v="implicit threat bias"/><s v="Attentional threat bias"/><s v="expertise persuasion incongruity effect"/><s v="Response disequilibrium"/><s v="Emotional Eating Patterns"/><s v="Negative emotional eating"/><s v="emotional eating"/><s v="Self-esteem development"/><s v="age-related microaggressions"/><s v="n/a"/><s v="attitude change after police killings"/><s v="positive parenting intervention on frequency of parental involvement in physical games"/><s v="positive parenting intervention on frequency of parental involvement in didactic activities"/><s v="positive parenting behaviors "/><s v="self-directed learning skills"/><s v="social porfolio diversity"/><s v="perception of self and others "/><s v="Co-Parenting Across Family Structures Effect"/><s v="NA"/><s v="physical activity, step count"/><s v="war exposure and civic engagement"/><s v="Articulatory rehearsal and phonological storage"/><s v="Articulatory rehearsal and phonological storage in working memory:"/><s v="Accent bias"/><s v="accent bias and competence perception "/><s v="Event-related potential"/><s v="Error-Related Negativity (ERN)"/><s v="Environmental Practices of Foreign-Owned Establishments"/><s v="effects of proximity and effort across [...] on escalating frustration"/><s v="Escalating frustration"/><s v="default effect"/><s v="God Salience"/><s v="Emotion modulation"/><s v="Personalness of source"/><s v="Holistic recollection"/><s v="Linguistic Distancing"/><s v="Mind perception"/><s v="Within-the-bar bias"/><s v="Implicit theories of interest"/><s v="Empathic mindset"/><s v="Cognitive control"/><s v="Persuasion"/><s v="Moral reflection"/><s v="Sleep effect on emotional memory"/><s v="Data quality on Prolific vs MTurk"/><s v="Data quality on CR vs MTurk"/><s v="Data quality"/><s v="Prejudice"/><s v="Priming"/><s v="Reasoning error"/><s v="Linguistic intergroup bias"/><s v="Stereotype"/><s v="Attentional orienting effect "/><s v="Intertemporal decisions"/><s v="Intellectual humility "/><s v="Task switching"/><s v="Cognitive load"/><s v="Negotiation "/><s v="Judgment"/><s v="Ensemble statistics and item memory"/><s v="Cultural Differences"/><s v="Choice Perception"/><s v="Anchoring"/><s v="Clean Conscience"/><s v="Self-promotion"/><s v="Stigmatization"/><s v="Feature dependency"/><s v="Scarcity"/><s v="Memory-based judgments"/><s v="Free-will"/><s v="Age differences"/><s v="Emotion regulation"/><s v="Emotions"/><s v="Community-of-knowledge hypothesis"/><s v="Face recognition"/><s v="Cynicism"/><s v="Generic language"/><s v="Saving-Enhanced Memory"/><s v="Attentional cuing"/><s v="Self-disclosure"/><s v="Sex difference"/><s v="Language acquisition"/><s v="Perception"/><s v="Hedonic Reaction"/><s v="Side effect"/><s v="intention and intentional action"/><s v="Causal relationship"/><s v="Curiosity"/><s v="Prime"/><s v="Memory"/><s v="Anti-White bias"/><s v="Loneliness"/><s v="Cheating"/><s v="Mental rotation"/><s v="Cheater detection"/><s v="Attention"/><s v="illusion of consensus"/><s v="Subsidizing"/><s v="Holistic processing"/><s v="Hierarchical social context "/><s v="Memory Suppression"/><s v="Word priming"/><s v="effect of perspective"/><s v="Emotion processing"/><s v="Learning"/><s v="Economic Insecurity"/><s v="Workplace discrimination"/><s v="Racial demographic shifts"/><s v="Moral judgement"/><s v="bouba-kiki"/><s v="negative calorie illusion."/><s v="A/B Effect"/><s v="seductive allure effect"/><s v="subjective-aging effect"/><s v="Contrast effect"/><s v="Marginal effecr"/><s v="Replicant effect"/><s v="Stroop effect"/><s v="Size-Stroop effect"/><s v="moral reproach"/><s v="repetition blindness"/><s v=" Average accumulated earnings "/><s v="Reluctance to delegate authority"/><s v="Cooperation in continuous prisoner's dilemma"/><s v="Cooperation in a continuous prisoner’s dilemma"/><s v="Leniency in Prisoner's Dilemma"/><s v="We see that there is markedly less cooperation when b/c = 1.5, both in the first round (1.5 versus 2, p = 0.016; 1.5 versus 2.5, p = 0.003; 1.5 versus 4, p = 0.004) and overall (1.5 versus 2, p = 0.001; 1.5 versus 2.5, p &lt; 0.001; 1.5 versus 4, p &lt; 0.001)"/><s v="Effect of deferred  compensation  in increasing  effort  and surplus."/><s v="Mood and time preference"/><s v="Effect  of  a  mood-inducing  film  clip  on  time  preference"/><s v="Registration of organ donors: giving waitlist priority"/><s v="Effects of different organ donation policies on the registration of organ donors"/><s v="Mispricing effect in  experimental  asset  markets  under  constant  fundamental value with declining fundamental value"/><s v="Effects of market communication in a “second-order statistic” coordination game."/><s v=" Effects of placement in the second-to-last place endowments in money redistribution. "/><s v="Effect of punishment depending on monitoring"/><s v="Effect of regular punishment and noise in net earnings."/><s v="Impact of screening treatment on the employers’ and employees’ average income"/><s v="Effect of communication"/><s v="Social identity and coordination"/><s v="Efficiency in coordination games"/><s v="Selection of arbitrators through shortlisting rather than veto-ranking"/><s v="Efficiency (average aggregate payoff) difference between veto-rank mechanism (VR) and shortlisting (SL) mechanisms."/><s v="Efficiency in the Lagos-Wright money model."/><s v="Efficience with credence goods"/><s v=" Efficiency between the B/LV treatment (liability/verifiability) and the B/V treatment (no liability/verifiability."/><s v="Willingness to accept (WTA) a mug (effect of expectations on subjects’ monetary valuation of an item)."/><s v="haptic priming"/><s v="memory retrieval"/><s v="Cognitive Dissonance"/><s v="Mediator Memory Effectiveness"/><s v="emotion discrimination"/><s v="transactive memory,"/><s v="affirmative action"/><s v="mneumonic biases"/><s v="analytic prime"/><s v="cooperation and public goods"/><s v="Cleanliness Priming"/><s v="above-average effects"/><s v="people tend to perceive themselves as above average when considering easy abilities"/><s v="future (delay) discounting"/><s v="ego depletion"/><s v="strength model (also known as ego-strength model or resource model)"/><s v="Use of race information in WIT"/><s v="limited resource model of executive control"/><s v="Response scale range affects reported behavior and judgments"/><s v="Low vs. high category scales"/><s v="stereotype priming"/><s v="Implicit attitudes measured via IAT demonstrate biases (e.g., race, age, gender) that may differ from explicit self-reports."/><s v="Gender-Math-Stereotype"/><s v="embodiment of secrets effect"/><s v="Framing effects influence risk preferences in decision-making."/><s v="Framing effect"/><s v="Retrospective gambler’s fallacy: unlikely events are perceived as more plausible in hindsight."/><s v="honesty priming"/><s v="Macbeth effect"/><s v="Modulation of 1/f noise in a racial bias task."/><s v="implicit bias measures"/><s v="Power Posing"/><s v="precognition"/><s v="Theory of Mind"/><s v="Embodiment of weight influences judgments of importance."/><s v="Weight priming"/><s v="Communal traits influence ambient temperature perception."/><s v="Warmth priming"/><s v="Priming theory of mind"/><s v="Need for cognition effect"/><s v="Time is money effect"/><s v="Happiness"/><s v="Impatience"/><s v="Subjective distancing of past experiences."/><s v="Warmth-Need Effect"/><s v="trait loneliness"/><s v="Stroop effect: Interference of conflicting stimuli in serial verbal reactions."/><s v="Spatial metaphors influence temporal reasoning."/><s v="Structure mapping"/><s v="Availability heuristic"/><s v="Availability effects"/><s v="Power reduces perspective-taking"/><s v="Attachment-warmth embodiment effect"/><s v="Anxiety and Sensitivity to Temperature"/><s v="Money priming and system justification"/><s v="meer exposure effect"/><s v="Imagined contact enhances future contact intentions"/><s v="imagined context effect"/><s v="Instructional manipulation checks improve data quality and increase statistical power"/><s v="Instructional manipulation checks"/><s v="goal conflict"/><s v="attention to others as mediator"/><s v="Unilateral decisions on behalf of the self and multiple others"/><s v="Self-concept uncertainty"/><s v="Self-concept clarity"/><s v="curiosity desires"/><s v="Curiosity in indulgence-related decisions"/><s v="Product efficacy"/><s v="Displayed quantity"/><s v="red-romance effect"/><s v="influence of color condition on perceived attractiveness"/><s v="influence of color condition on desired sexual behavior"/><s v="effect of color condition on perceived likability."/><s v="mediation model"/><s v="Anchoring-and-Adjustment Heuristic"/><s v="Anchoring and Adjustment "/><s v="Subliminial anchoring"/><s v="stereotypes"/><s v="Ecology-driven stereotypes overriding race stereotypes"/><s v="information processing"/><s v="Overestimation of decision-making time"/><s v="Uncalculating cooperation"/><s v="Uncalculating cooperation driven by reputation concerns"/><s v="disclosure"/><s v="Deliberate non-disclosure "/><s v="impression formation"/><s v="The impact of temporary vs. permanent sharing on digital disclosures "/><s v="racial bias"/><s v="Racial bias in pain assessment and treatment"/><s v="conflict resolution"/><s v="Conflict resolution and third-party intervention"/><s v="scientific communications"/><s v="Partisan Priming"/><s v="First impressions"/><s v="Competence-based bias in science communication"/><s v="free-will belief"/><s v="Free will and correspondance bias"/><s v="economic inequality"/><s v="Inequality-driven generosity gap"/><s v="romantic attraction,"/><s v="Dominance of open non-verbal displays"/><s v="fairness"/><s v="Affective forecasting error"/><s v="eating behavior"/><s v="The influence of subjective socioeconomic status (SSES) on implicit food preferences"/><s v="charitable giving"/><s v="Motivation crowding out"/><s v="craving"/><s v="Cognitive regulation of craving"/><s v="climate change"/><s v="Temporal framing on pro-environmental behavior"/><s v="gender bias"/><s v="Gender bias in professional recognition"/><s v="morality"/><s v="Intentionality bias, harm magnification"/><s v="stereotyping"/><s v="Conservatives' evaluations of counterstereotypical people"/><s v="intertemporal choice"/><s v="Search strategy and its impact on intertemporal choice"/><s v="Dehumanization"/><s v="Dehumanisation and instrumental harm"/><s v="retaliatory punishment"/><s v="Role-based flexibility in behaviour"/><s v="Impact of inequality exposure on opportunity beliefs and system justification"/><s v="racial economic equality"/><s v="Racial discrimination and racial economic equality perceptions"/><s v="unethical amnesia"/><s v="emotion perception"/><s v="cleanliness priming effect"/><s v="Moral priming (cleanliness)"/><s v="Government and Private Consumption"/><s v="Consumption"/><s v="non-vertical long run Phillips curve"/><s v="Assimilation and Contrast"/><s v="theoretical model"/><s v="Correspondence bias"/><s v="Perceived intentionality for side effects"/><s v="Trolley Dilemma"/><s v="False consensus"/><s v="False consensus effect"/><s v="Moral typecasting"/><s v="Framing"/><s v="moral foundations theory"/><s v="Trolley Dilemma: principle of double effect"/><s v="Heat priming"/><s v="Processing fluency depending on font"/><s v="local-ladder effect"/><s v="Less-is-better effect"/><s v="sensory marketing"/><s v="link between luxury consumption, brand attitude and perceived fairness"/><s v="link between scarcity and consumer preferences"/><s v="link between wages, eliction and future perspective"/><s v="link between social value orientation, scarcity and selfish behavior"/><s v="link between scarcity and creativity in product use"/><s v="link between scaricity promotion and aggressive tendencies in consumers"/><s v="visual depiction effect"/><s v="Picture–word asymmetry"/><s v="Comparative distance effect"/><s v="Conceptual priming fluency"/><s v="Effect of language on vision"/><s v="Language-vision interactions"/><s v="Nonconscious goal pursuit in novel environments"/><s v="Nonconscious Goal Pursuit"/><s v="semantic neighbohood effect"/><s v="Semantic nearness"/><s v="gender differences in perceptual mechanisms"/><s v="Perception of sexual intent"/><s v="Anchor heuristics"/><s v="Numerical judgments"/><s v="Decision making"/><s v="optimistic bias"/><s v="Episodic memory"/><s v="preschooler’s perspective taking in word learning"/><s v="Visual perspective"/><s v="Crowd effect"/><s v="Temporal selection of visual targets"/><s v="Temporal selection"/><s v="Attraction effect"/><s v="Phonological similarity"/><s v="Error-related negativity"/><s v="Fairness preferences"/><s v="Fairness acceptance"/><s v="Representation of ensemble visual features"/><s v="Ensemble perception"/><s v="Effects of System Threat on Attraction to Women Who Embody Benevolent Sexist Ideals"/><s v="Benevolent stereotyping"/><s v="Motion aftereffect"/><s v="Motion aftereffec"/><s v="Race-based attentional bias"/><s v="Bidirectional Associations in Multiplication Memory"/><s v="Numeracy"/><s v="Social referencing"/><s v="Survival processing"/><s v="Schachtel's maxim"/><s v="Implicit attitude generalization"/><s v="Belief in free will"/><s v="Free will"/><s v="Change detection"/><s v="Spatial priming"/><s v="Motives in anger regulation"/><s v="Compensating social connections"/><s v="Connection"/><s v="Individual Participation in Intergroup Conflict"/><s v="Cooperation"/><s v="Word-order constraints"/><s v="Word-order constraint"/><s v="Preference"/><s v="Item-specific proportion congruent (ISPC) effect"/><s v="Item-specific proportion congruent effect"/><s v="Visual search"/><s v="Moral judgment"/><s v="External edges"/><s v="Extremal edges"/><s v="Reference group effects"/><s v="Reference group effect"/><s v="Personality dominance"/><s v="Goal shielding"/><s v="Visual detection"/><s v="Value heuristics"/><s v="Value heuristic"/><s v="Object words orient attention"/><s v="Inhibition of return"/><s v="Inferences in probalistic world"/><s v="Inferences"/><s v="Short term recognition"/><s v="Recognition"/><s v="Directed forgetting "/><s v="Directed forgetting effect"/><s v="Inhibitory control"/><s v="Semantic relations"/><s v="Semantic alignment"/><s v="Hebb repetition effect"/><s v="Pathway control"/><s v="Phonological coding"/><s v="Additive effects"/><s v="Additive effect"/><s v="Semantic interference"/><s v="Multidimensional Visual Statistical Learning"/><s v="Visual statistical learning"/><s v="Memory in Task Switching"/><s v="Contingency information."/><s v="Short-term memory for time and"/><s v="order information,"/><s v="Attention in Adjacent and Nonadjacent Dependency Learning"/><s v="VWM updating and attention"/><s v="Retro-cue"/><s v="Risk-taking paradigm in decision making"/><s v="Retrieval-induced forgetting"/><s v="Rejection of moral rebels"/><s v="Rebel"/><s v="Implicit and explicit attitude"/><s v="Implicit attitude"/><s v="Personality self-reports and age"/><s v="Personality traits"/><s v="Mortality salience"/><s v="Increasing and Decreasing Motor and Cognitive Output"/><s v="The Intermixed- Block Effect"/><s v="Intermixed– blocked effect"/><s v="Affective coherence"/><s v="Regulation of Intergroup Bias"/><s v="Action-Based Model of Dissonance"/><s v="Bargaining in Emotional Regulation"/><s v="Relationship vulnerabilities"/><s v="Vulnerability"/><s v="Projected responsiveness bias"/><s v="Communal responsiveness"/><s v="Repetition priming"/><s v="Poignancy in mixed emotions"/><s v="1/f Noise"/><s v="Social Judgement Processing"/><s v="Categorization"/><s v="Self-perceived forgiveness"/><s v="Forgiveness"/><s v="Fate temptation"/><s v="Tempting fate"/><s v="The Nonverbal Expression of Pride:"/><s v="Modeling Distributions of Immediate Memory Effects"/><s v="Thinking bias"/><s v="Value- driven message processing"/><s v="Minority Deviance"/><s v="Social influence"/><s v="(Un)accomplished Goal Action Effects on Motivation"/><s v="Illusory Source Recollections"/><s v="Illusory recollections"/><s v="The Effects of an Implemental Mind-Set on Attitude Strengt"/><s v="Implemental Mind-Set"/><s v="A Needs-Based Model of Reconciliation"/><s v="Appearance inferences"/><s v="Selective Exposure to Information"/><s v="Selective information exposure"/><s v="Self-Regulation and Selective Exposure"/><s v="Self-Regulation"/><s v="Stereotype threat in racial distancing"/><s v="Racial Distancing"/><s v="Sex Differences in Mate Preferences"/><s v="Sex Differences"/><s v="Self-protection in romantic relationships"/><s v="Self-esteem"/><s v="Counterfactual Thinking:"/><s v="Affect"/><s v="Social identity contingencies"/><s v="Social identity"/><s v="Variety reduces perceived quantity"/><s v="Quantity Perceptions"/><s v="color priming, semantic red effect"/><s v="door-in-the-face technique"/><s v="drunk utilitarian"/><s v="Mental Fatigue"/><s v="binge-watching"/><s v="Expressive responding"/><s v="Implicit Attitude Formation"/><s v="Affective misattribution"/><s v="need-support model"/><s v="intergroup sensitivity effect"/><s v="bimodal flanker effect"/><s v="Age acquisition effect"/><s v="Age-of-Acquisition effect&#xA;"/><s v="Implicit theory of Mind"/><s v="Growth Mindset"/><s v="color priming"/><s v="semantic red effect"/><s v="Social value orientation"/><s v="experimental philosophy"/><s v="imaginative resistance "/><s v="Religious beliefs and behavior – Agreeableness"/><s v="Religious beliefs and behavior – Conscientiousness"/></sharedItems></cacheField><cacheField name="tags" numFmtId="0"><sharedItems containsBlank="1"><s v="tags to increase findability - e.g. keywords from abstract"/><s v="affective flexibility, amygdala, valence, stimulus"/><s v="affective flexibility, amygdala, positive names, negative names"/><s v="Contrastivism,  knowledge, knowledge ascription, &quot;rather than&quot; clause,  contrast, context"/><s v="contrastive model, invariantist models, contextualist models, knowlege acriptions, conversational context"/><s v="anchoring, subliminal priming, judgment bias, decision-making"/><s v="Anchoring; Heuristics; Comparison; Selective accessibility; Assimilation"/><s v="mathematics, interest, students, pre-service teachers, diagnostic competence, real-world problems, performance, problem-solving"/><s v="Students"/><s v="Pre-service teachers"/><s v="language processing, inhibitory control, second language, phonological processing"/><s v="emerging adulthood; financial communication; financial conflict; financial discussion, relationship quality"/><s v="awe, humilty, vastness, world views"/><s v="humility, awe, emotion, self-concept"/><s v="Dynamic postural control, Dynamic balance, Y-Balance Test, Fatigue, Replication, Balance, Anterior reach direction, Posterolateral reach direction, Posteromedial reach direction"/><s v="Dynamic postural control, Dynamic balance, Y-Balance Test, Fatigue"/><s v="Hypothesis 1, 2, 3"/><m/><s v="Academic and Behavior Combined Support, integrated supplemental intervention , Oral reading fluency outcomes, engaged behavior, disruptive behavior"/><s v="Supplemental support, Oral reading fluency, Engagement"/><s v="reading intervention; at-risk students; reading difficulties."/><s v="Intervention vs. Control, Word reading"/><s v="Intervention vs. Control, Reading comprehension"/><s v="Intervention vs. Control, Spelling"/><s v="quantitative research methodology, meta-analysis, special education, publication bias, scientific publications"/><s v="Outcome within 2 years"/><s v="More than 2 years"/><s v="Sample size less than 100 (79)"/><s v="Sample size equal or more 100 (79)"/><s v="Number of statistical significance tests &lt; 14 (21)"/><s v="Number of statistical significance tests more or eq 14 (21)"/><s v="Academic achievement"/><s v="Socioemotional-behavioral"/><s v="language learning, second language, subjunctive, adverbial clauses, verbal moods"/><s v="consensus emergence models, inference, type I error, monte carlo, groups"/><s v="prolactin/hyperprolactinemia/schizoaffective disorder/bipolar disorder/psychotic disorder/psychiatry"/><s v="Fear extintion, vmPFC, L-DOPA"/><s v="Communication scholars, open science, theory of planned behavior"/><s v="Comprehensive Application of Behavior Analysis to Schooling model, acquisition criteria, mastery criteria, Tact training, Response maintenance"/><s v="autism spectrum disorder, false positives, listener training, mastery criteria, tact, training"/><s v="Moral hipocrisy, intergroup bias, in-group, out-group"/><s v="Anthropomorphism, agents, motivation, traits"/><s v="Perception, motor processes, speech, motor simulation"/><s v="climate change responsibility, pro-environmental attitudes, meta-analysis "/><s v="Climate change, Perceived responsibility, Proenvironmental outcomes, European social survey, Sustainability, "/><s v="behavioral interventions, sports performance"/><s v="substance use disorder,  C-reactive protein,  interleukin 8 ,  body mass index , sex differences, Cytokines"/><s v="Substance use disorder, Depression, Inflammation, Cytokines, Chemokines, Interleukin-8, Interleukin-10, C-reactive protein, Tumor necrosis factor-alpha, "/><s v="LLR, IE, CONT"/><s v="bifactor/worry/rumination/structure/repetitive thinking"/><s v="Worry, Rumination, Reflection, Big Five, Depression, Anxiety, Emotion regulation, Emotional awareness"/><s v="knowledge application task, group"/><s v="knowledge application task, phase"/><s v="knowledge application task, condition"/><s v="knowledge application task, interaction"/><s v="Near ransfer task, group"/><s v="Near ransfer task, phase"/><s v="Near ransfer task, 2 factors interaction, post test 1"/><s v="Near ransfer task, 2 factors interaction, post test 2"/><s v="Double misinformation, eyewitness memory, discrepancy detection"/><s v="discrepancy detection, eyewitness memory, misinformation availability, misinformation effect"/><s v="flanker task, morphological family&#xA;size effects, suffixes"/><s v="conjugate reinforcement, MSWO, response force, stimulus preference"/><s v="adolescence, anorexia nervosa, eating disorders, emotion recognition, emotional faces"/><s v="Anorexia nervosa (AN), Task effect"/><s v="Anorexia nervosa (AN), Emotion effect"/><s v="Anorexia nervosa (AN),  TASK   EMOTION   GROUP interaction"/><s v="Anorexia nervosa (AN),  Discrimination task, Group effect"/><s v="Anorexia nervosa (AN), TASK   Discrimination task, Emotion effect"/><s v="Anorexia nervosa (AN),  Discrimination task, Group x Emotion interaction"/><s v="Anorexia nervosa (AN),  Discrimination task, AN/HC, afraid faces"/><s v="Anorexia nervosa (AN),  RT Task"/><s v="Anorexia nervosa (AN),  Gender discrimination, Group effect"/><s v="Anorexia nervosa (AN),  RT Emotion"/><s v="Anorexia nervosa (AN),  RT, Task Emotion Interaction"/><s v="L3 acquisition, language transfer, multilingualism, statistical significance, language learning, transfer effects, linguistic theory, applied linguistics, language acquisition research, cross-linguistic influence."/><s v="Codes of ethics, questionable research practices, randomized response, research ethics, research misconduct, sensitive surveys, accounting, ethics, fraud, research, scientific method."/><s v="Corruption/Hierarchy/Organisational Design/Organisational Structure"/><s v="Corruption; hierarchy;&#xA;organisational design;&#xA;organisational structure;&#xA;replication"/><s v="NA"/><s v="Behavior Assessment System for Children-Teacher Rating Scales (BASC-3 TRS), Adjustment Scales for Children and Adolescents (ASCA), inattention, distractibility, attention deficits, hyperactivity, impulsivity"/><s v="Behavior Assessment System for Children-Teacher Rating Scales (BASC-3 TRS), Adjustment Scales for Children and Adolescents (ASCA), motor activity, restlessness, hyperactive-impulsive, attention deficit"/><s v="Behavior Assessment System for Children-Teacher Rating Scales (BASC-3 TRS), Adjustment Scales for Children and Adolescents (ASCA), social detachment, emotional distancing, anxiety-driven avoidance"/><s v="Behavior Assessment System for Children-Teacher Rating Scales (BASC-3 TRS), Adjustment Scales for Children and Adolescents (ASCA), rule-breaking, norm violations, antisocial behavior"/><s v="Behavior Assessment System for Children-Teacher Rating Scales (BASC-3 TRS), Adjustment Scales for Children and Adolescents (ASCA), disobedience, argumentative behavior, persistent defiance, noncompliance."/><s v="Behavior Assessment System for Children-Teacher Rating Scales (BASC-3 TRS), Adjustment Scales for Children and Adolescents (ASCA), hostility, provoked aggression, threatening behaviors."/><s v="Behavior Assessment System for Children-Teacher Rating Scales (BASC-3 TRS), Adjustment Scales for Children and Adolescents (ASCA), anger outbursts, impulsivity-driven aggression, impulse control."/><s v="Behavior Assessment System for Children-Teacher Rating Scales (BASC-3 TRS), Adjustment Scales for Children and Adolescents (ASCA),  hyperactivity, restlessness, disruptive behavior."/><s v="Behavior Assessment System for Children-Teacher Rating Scales (BASC-3 TRS), Adjustment Scales for Children and Adolescents (ASCA), distress, anxiety, low engagement, reduced motivation."/><s v="Expectancy-Disconfirmation Theory...public services...citizen satisfaction"/><s v="Expectancy Disconfirmation Theory, Citizen Satisfaction, Public Administration, Experimental Research, Social Psychology, Satisfaction Theory, Expectations in Public Services, Disconfirmation, Citizen Perceptions, Government Performance, Public Opinion, E"/><s v="Coordination, Dependency Length Minimization, Syntax, Stanza, Universal Dependencies"/><s v="Attention, Treatment, Randomized clinical trial, Anxiety, Worry, Generalized anxiety disorder, Attention bias, Cognitive bias modification, Attentional bias modification"/><s v="Attention,Treatment, Randomized clinical trial, Anxiety, Worry"/><s v="Wage Structure, Inequality, Technological Change, Labor Market Institutions, Minimum Wage"/><s v="Bilingual advantage, bilingualism, executive control, executive functioning, task switching"/><s v="task switching, bilingualism, executive function"/><s v="Mattering, K–12 education, teachers, meaning, teaching"/><s v="Mattering, self-esteem, health, depression, marginalization, teachers, porpuse"/><s v="Second Language Acquisition, Learner Corpus Research, Interlanguage Annotation, COREFL, acquisition order, Morpheme Order Studies, UAM Corpus Tool"/><s v="Second Language Acquisition (SLA), Interlanguage Annotation, &#xA;Morpheme Order Studies (MOS), Grammatical Morphemes, &#xA;COREFL (Corpus of English as a Foreign Language)"/><s v="language learning, anxiety, validation, scale"/><s v="Input"/><s v="Process"/><s v="Output"/><s v="Rumination; Worry; Depression; Anxiety; Network analysis; Bayesian networks; Replication"/><s v="rumination, repetitive, negative thinking, metacognitive frameworks, self-regulation"/><s v="John Hedley Brooke, Reform, Conceptual replication, Judaism, Science"/><s v="Empowerment strategies, psychological ownership, corporate attitude"/><s v="empowerment strategies, customer perception, New Product Development (NPD), consumer empowerment"/><s v="Approach bias, Behavioural bias for food, Virtual reality, VR, Motion-tracking"/><s v="Approach bias; Behavioural bias for food; Virtual reality; VR; Motion-tracking"/><s v="escalation of commitment, process accountability, outcome accountability,"/><s v="escalation of commitment, process accountability, outcome accountability"/><s v="Problem-solving prior to instruction, Conceptual replication, Bayesian reasoning, Composite instructional design, Comparison, Delaying instruction, Knowledge gap, Learning from errors, Productive failure"/><s v="escalation of commitment, responsibility effect, decision-making"/><s v="escalation of commitment; responsibility effect; decision-making"/><s v="music, emotion, nostalgia, affect, personality"/><s v="Windfall gains, bias, judgment and decision making (JDM), registered replication, choice"/><s v="Early algebra, Pre-symbolic algebraic reasoning, Elementary pre-service teachers"/><s v="terror management theory, suppression, rebound, concept accessibility, death-thought accessibility"/><s v="stress; emotion; cold pressor test; feet; cortisol; EEG; cardiovascular&#xA;"/><s v="stress; emotion; cold pressor test; feet; cortisol; EEG; cardiovascular"/><s v="Java; Web-CAT; static analysis; Checkstyle; PMD; coding style; &#xA;formatting; documentation; coding standard"/><s v="Java; Web-CAT; static analysis; Checkstyle; PMD; coding style;  formatting; documentation; coding standard, replication, style checker, error messages"/><s v="Software readability, software comprehension, software measurement, comments, method chains, experiment"/><s v="anxiety, implicit bias, attention bias, pediatric psychopathology, eye-tracking, behavioral avoidance, threat response"/><s v="Attention bias, Eye-tracking, Youth Anxiety, Irritability, Negative affect, Social Threat"/><s v="persuasion, attitudes, uncertainty, confidence, expertise"/><s v="Anxiety, threat, bias,  attention, avoidance, contingent activity, disequilibrium theory, instrumental activity"/><s v="Anxiety, threat, bias,  attention, avoidance"/><s v="Emotional over-eating, Emotional under-eating, Latent class analysis, Eating disorder, Psychological distress"/><s v="Adult eating behavior questionnaire; Disordered eating; Emotional eating; Latent class analysis."/><s v="family environment, self-esteem, adolescence, longitudinal, replication"/><s v="family environment; parenting behavior; self-esteem; childhood and adolescence; longitudinal"/><s v="identity over time, future self, well-being, life span development"/><s v="age-related microaggression, ageism, everyday ageism, ambivalent ageism, benevolent ageism, microaggression, qualitative method, older adults"/><s v="Ageism, Qualitative method, Thematic analysis"/><s v="Emotional valence, Face expression, Periphery, Replication study, Emotion perception"/><s v="shadow of the trial, guilty pleas, plea bargaining, fuzzy-trace theory, guilty plea decision-making"/><s v="Cognitive score"/><s v="VBM"/><s v="DTI"/><s v="police, calls for service, 911, demand"/><s v="Philadelphia, Police, Public health, Medical, Calls for service, CAD"/><s v="Calls for service, police reform, police response, defund, George Floyd"/><s v="protest policing; attitudes towards police; George Floyd; ethnicity; replication"/><s v="Protest policing, attitudes towards police, George Floyd, ethnicity, replication"/><s v="parenting, child development, parenting, stimulation, evaluation studies"/><s v="Parenting, Early Childhood, Information and Communication Technology, Behavioural Economics, Child Development"/><s v="Self-directed Learning, Language Learning, Emotions, Affect, Positive Psychology Interventions"/><s v="well-being, relationships, diversity, conversation"/><s v="social, anonymity"/><s v="Social ties, Self-perception, Self-concept, Social interactions"/><s v="Coparenting"/><s v="co-parenting, cross-cultural, family structures, measurement,&#xA;parenting"/><s v="physical activity"/><s v="Good Behavior Game, Physical Activity, Public Health, Step it UP! Game"/><s v="Conflict, Civic Engagement, Vietnam War, Historical Legacies"/><s v="phonological loop replication, word length effect, phonemic similarity, working memory, replicability predicament."/><s v="second langauge, accent"/><s v="Accentism, Speech Assessment, Workplace Performance, Competence, Treatment Preference "/><s v="Anxiety, Individual differences, EEG/ERP, Psychometrics, Error-related negativity, Error processing"/><s v="Foreign-owned establishments, environmental practices, corporate social responsibility, sustainability, green practices, international business, environmental conduct, strategic management"/><s v="Experiment 1 GAD"/><s v="Experiment 1 Control/Healthy"/><s v="Experiment 1 High Trait anxiety"/><s v="frustration, reward, response force, facial EMG"/><s v="social media use, social media engagement, social media intensity, big five personality, positive well-being, negative well-being, positive affect, negative affect, subjective well-being"/><s v="elasticity"/><s v="default effect, judgment and decision making, registered report, replication, behavioral policy, choice architecture"/><s v="artificial intelligence, religion, algorithm aversion, decision-making"/><s v="fMRI, Emotion, Attention, Stroop interference, Emotional interference"/><s v="Social media, collective action, connective action, source effects, cognitive elaboration, source credibility"/><s v="holistic recollection, memory development, pattern completion, episodic memory, open data, open materials"/><s v="Linguistic Distancing, Reappraise Negative condition"/><s v="Emotion, emotion regulation, psychological distance, language"/><s v="Study 4"/><s v="Mind perception; change; mental time travel; emotions; rationality"/><s v="Experiment 3"/><s v="Graph comprehension; graph design; medical decision-making; graph literacy; risk communication"/><s v="Study 2"/><s v="Motivation, social cognition, interest, passion, implicit self-theories"/><s v="Teacher–student relationships, empathy,  respect, school suspensions, discipline"/><s v="experiment 1, Reward × Transition × Stroop (infrequent)"/><s v="Behavior, reinforcement learning, cognitive control, decision making, individual differences, neural substrate, sequential choice, control paradigm"/><s v="Values, information processing, resistance to persuasion"/><s v="Dual-process model; Moral decision making; Moral judgment; Moral psychology; Moral reasoning; Morality; Reflection; Social intuitionist model"/><s v="after sleep"/><s v="Arousal, Attention, Circadian Rhythm, Emotions, Humans, Pattern Recognition, Visual, Retention, Sleep, Wakefulness"/><s v="Data quality, Online research, Attention, Comprehension, Reliability, Honesty, Amazon mechanical turk, Prolific"/><s v="Out-group prejudice, pathogen avoidance, disgust sensitivity, social categories, open data, open materials"/><s v="Socioeconomic status, immoral action, ethical judgment, self-interest"/><s v="experiment 2"/><s v="Zero sum, intuitive judgment, cognitive bias, evidential reasoning, probabilistic reasoning, open data, open materials"/><s v="Social category inference."/><s v="Policy ratings"/><s v="Social cognition, social perception, attitudes, intergroup dynamics, language, open data"/><s v="Study 1"/><s v="Stereotyped attitudes, social perception, prejudice, sex-role attitudes"/><s v="Attention, Visuospatial attention, Number processing, ERPs, early directing attention negativity, anterior directing attention negativity"/><s v="relative magnitude effect,"/><s v="Intertemporal choice, discounting, tradeoffs, sequences"/><s v="Intellectual Humility, Self-Serving Bias, Perceived Partner Responsiveness,  Interpersonal Affirmation, global-local visual processing task, self-affirmation"/><s v="Task switching and memory"/><s v="Attention, long-term memory"/><s v="Tempt fate, magical thinking, accessibility, negativity"/><s v="Study 3"/><s v="Deception, lying, negotiation, paltering, risk"/><s v="Moral cognition, purity, harm, scope insensitivity, open data, open materials, preregistered"/><s v="Experiment 1"/><s v="Working memory, constructive memory, ensemble statistics, summary statistics"/><s v="Choice, construal, action identification, culture, India"/><s v="Participants who perceived more choice were less disturbed by wealth inequality compared to those in the control condition"/><s v="Experiment 1a"/><s v="Negotiation, power, alternatives, first offer, anchoring, negotiator focus"/><s v="Moral Judgment, Intuitive Processes, Physical Purity, Disgust and Cleanliness, Moral Intuition"/><s v="Social interaction, emotions, interpersonal relationships, judgment, social behavior, open data, open materials"/><s v="Experiment 2, emotion x condition"/><s v="Experiment 2, happy"/><s v="Experiment 2, proud"/><s v="Experiment 2, jealous"/><s v="Experiment 2, annoyed"/><s v="Experiment 2, upset"/><s v="Experiment 2, angry"/><s v="Experiment 2, inferior"/><s v="Race, sexual orientation, intersectionality, foreign stereotypes, acceptance"/><s v="Binding, visual working memory, visual long-term memory, object-based attention"/><s v="Context effects, judgment and decision making, scarcity, open data, open materials"/><s v="Memory, judgments, ordinal rank, encode, open data, open materials"/><s v="Punishment and blameworthiness."/><s v="Free will, punishment, morality, responsibility, blame, open materials"/><s v="Motivation, socioemotional selectivity theory, time horizons, work preferences, older workers"/><s v="Choice, emotion, emotion regulation, self-regulation, emotional control, self-control"/><s v="Emotions, perception, individual differences"/><s v="Cognitive processes, knowledge level, judgment, monitoring, open data, open materials"/><s v="Experiment 1, regression"/><s v="Social perception, face perception, face typicality, distinctiveness, trustworthiness, attractiveness, familiarity, open data, open materials"/><s v="Study 3, Cynicism"/><s v="Bidirectional effects, cynicism, disrespect, hostility"/><s v="Cognitive development; Concepts; Generic language; Language understanding; Language acquisition; Semantics"/><s v="Recall performance for File B"/><s v="Memory, human-computer interaction, cognition(s), forgetting"/><s v="Attention, perception, face perception, visual attention"/><s v="Self-reference, social cognition, reward, functional MRI"/><s v="Spatial ability, perspective taking, individual differences, stereotype threat, gender, open materials"/><s v="Child language acquisition, disjunction interpretation, scalar implicatures, cross-linguistic comparison, logical reasoning in children"/><s v="RTS"/><s v="Age, process dissociation, stereotyping, threat, weapon identification task"/><s v="Relative adjectives, reference points, norm-based interpretation, scale sensitivity, real-time processing"/><s v="Cognitive development, inherence heuristic, sociomoral judgments, explanation, open data, open materials, preregistered"/><s v="Stereotyped attitudes, socioeconomic status, social cognition, open data, open materials"/><s v="Social media, Facebook, self-control, temptation, craving"/><s v="intentional action, side effect"/><s v="experimental philosophy"/><s v="Theory of mind, moral cognition, intention, intentional action, cross-cultural evidence, experimental philosophy"/><s v="Stability, Robustness, Invariance, Sensitivity, Causality, Explanation, Background conditions, Moderating variables"/><s v="Choice and preference independently enhanced curiosity"/><s v="Curiosity, choice, uncertainty, expected value, information seeking, open data, open materials, preregistered"/><s v="Money, Motivation, Behavior, Self-sufficiency, Dependency, Priming, Money reminders, Causal behavior, Interpersonal relationships, Financial strain"/><s v="Sex, judgment, decision making, sex differences, sexual economics"/><s v="Cues, Electrocorticography, Hippocampus, Humans, Magnetic Resonance Imaging, Mental Recall, Pattern Recognition, Theta Rhythm"/><s v="Does SLB endorsement moderate perceptions of anti-White bias?"/><s v="Anti-White bias, discrimination, status-legitimizing beliefs, prejudice, racial-ethnic attitudes and relations, social perception"/><s v="Attention, Electroshock, Loneliness, Pleasure"/><s v="Ethics, Cheating, Decision making, Dishonesty, Rationalization, Justification"/><s v="Mental rotation, capacity, attention, selection, tracking, eye tracking, visual working memory"/><s v="Free riding, common good, norm enforcement, moral development, cooperation, open data, open materials, preregistered"/><s v="Temporal perception, Spatial perception, Transient spatial attention, Temporal resolution, Two-flash fusion threshold"/><s v="Consensus, conformity, social learning, reasoning, open data, open materials, preregistered"/><s v="Amount of subsidies (in Swiss Francs)"/><s v="Childcare, Preferences, Choice experiment, Subsidies, Families"/><s v="Decision making, judgment, environmental effects, climate change, open data, open material"/><s v="Holistic processing, composite-face effect, expertise, face perception, Gestalt"/><s v="Processing fluency, social hierarchy, liking, asymmetry, familiarity"/><s v="study 5"/><s v="Judgment, accuracy, fairness, social cognition, base rates, open data, open materials"/><s v="Memory suppression, forgetting, trauma, PTSD, inhibitory control, thought control"/><s v="Action goals, self-regulation, behavior"/><s v="Reading; comprehension; emotion; perspective; pronouns"/><s v="Concept Learning, Cultural Ratchet, Language Transmission, Generics and Quantifiers, Boolean Concepts"/><s v="Economic insecurity, pain, sense of control"/><s v="experiment 1 inattentional blindness"/><s v="Motherhood penalty, workplace discrimination, wage gap, competence bias, hiring bias"/><s v="Political conservatism, conservative shift, demographic changes"/><s v="Decision speed, motives, moral judgment, moral character, certainty"/><s v="heuristic, value, stimuli, judgment"/><s v="bouba-kiki effect, arousal, emotional mediation hypothesis, language evolution, affective iconicity, open data, open materials, preregistered"/><s v="negation, discrete and continuous processing, sentence verification, cognitive dynamics, action, pluralism"/><s v="model-based, model-free, prediction errors, choice"/><s v="mirror errors, mirror invariance, recognition, children"/><s v="semantics, experimental pragmatics, presupposition, factivity, entailment"/><s v="curiosity, exploration, rational analysis, computational model"/><s v="power, ambivalence, self-validation, action, decision time, open data"/><s v="illusions, language acquisition, modularity, perception, syntax"/><s v="forgiveness, vengefulness, humility, empathy, gender"/><s v="study 7"/><s v="morality, policymaking, personal values, scientific communication"/><s v="information seeking, selective exposure, information quantity, selection criterion, information direction"/><s v="knowledge level, judgment, inference, thinking, open data"/><s v="calorie content, negative calorie illusion, healthy, food"/><s v="probabilistic pragmatics, probabilistic model, reference games, reasoning"/><s v="metamers, ventral stream, population model, stimuli"/><s v="culture, motivation, interdependence, academic achievement"/><s v="hiring, signaling, organizational commitment, credentialing, labor markets"/><s v="economic inequality, everyday life, perceived inequality, tolerance to inequality, attitudes toward redistribution"/><s v="communication, psycholinguistics, rational inference"/><s v="analogical transfer, analogical thinking, schema induction"/><s v="dehumanization, racial discrimination, police bias, intergroup processes, juvenile justice"/><s v="aging, donation, kin selection, prosocial behavior, social discounting"/><s v="confirmation bias, rational analysis, hypothesis testing, decision making, bayesian inference, determinism"/><s v="dimension, mind perception"/><s v="morality, gratitude, evolution, victims, altruism"/><s v="opportunity costs, choices, preferences, open data, open materials"/><s v="moral judgment, morality, utilitarian, cognitive control, cognitive load"/><s v="cognitive judgements, optimal predictions, perception, memory"/><s v="academic achievement, childhood development, educational psychology, motivation, open materials"/><s v="haimovitz2016_1"/><s v="haimovitz2016_2"/><s v="geometric reasoning, Eclidean, statistics, shape, planar triangles"/><s v="field experiments, A/B tests, randomized controlled trials, research ethics, pragmatic trials"/><s v="extremity, ambivalence, accessibility, mind-set, attitude strength"/><s v="attitude ambivalence"/><s v="texture, perception, computational vision, natural images"/><s v="socioeconomic status, strengths-based, adversity, academic persistence, motivation"/><s v="explanations, seductive allure, decision making"/><s v="reductive explanations"/><s v="aging, memory, subjective age, context, stereotypes"/><s v="substitution, preferences, satiation, contrast effect, categorization, open data, open materials"/><s v="choice, college, decision, education"/><s v="AI-MC, artificial Intelligence, CMC, trust"/><s v="word learning, shape bias, cross-cultural studies"/><s v="metaphor comprehension, career of metaphor, conventionality, aptness"/><s v="ease of comprehension"/><s v="moral psychology, condemnation, vignettes, deception, social signaling, open data, open materials"/><s v="construal level theory, perceived changeability, defensive information processing, self-threat, self-change, health communication"/><s v="entrepreneurship, gender inequality, field study"/><s v="theory of mind, perspective taking, egocentrism"/><s v="deviance, uniqueness, harmony, conformity, cultural values"/><s v="working memory, short-term memory, visual attention, selective attention, open materials"/><s v="social cognition, social perception, open data, open materials"/><s v="canonical perspective, canonical viewpoint, visual size, physical size, object representation"/><s v="generics, teleology, concepts, principled connections, formal explanations"/><s v="morality, self-dehumanization, repeated dishonesty, open data, preregistered"/><s v="marginally lower"/><s v="social sense, beliefs, infants, adults"/><s v="monty hall problem, tenacious brain teaser, mental models, frequency"/><s v="curse of knowledge, false belief, social cognition, reasoning"/><s v="risk taking, God, religion, risk tolerance"/><s v="system threat, benevolent sexist ideals, attraction"/><s v="moral judgment, moral development, universalization"/><s v="motivation, future, judgment, time, situated cognition, open materials"/><s v="viewing distance, psychophysical, online experiments, virtual chinrest"/><s v="visual imagery, perspective-taking, action representation, social perception"/><s v="face perception, corruption, social attribution, stereotyping, political psychology, open data, pen materials, preregistered"/><s v="study 1, corruptibility"/><s v="object persistence, spatial navigation, spatiotemporal continuity, virtual interfaces"/><s v="prejudice, racial and ethnic attitudes and relations"/><s v="intergroup dynamics, social perception, prejudice, open data"/><s v="paired samples"/><s v="object recognition, semantic access, real-world size, stroop effect"/><s v="congruency"/><s v="persuasion, morality, attitudes, attitude strength, moral conviction, open data, open materials, preregistered"/><s v="Asian Americans, model minorities, prejudice, realistic threat, emotions, attitudes"/><s v="poor, poverty, cognitive function, cognitive control"/><s v="cognitive control"/><s v="hypothesis testing, self-directed learning, category learning, Bayesian modeling, hypothesis-dependent sampling bias        "/><s v="gender-inclusive interfaces, web interface psychology, inclusive design, ambient belonging"/><s v="masculine condition"/><s v="negotiations, individual differences, judgment biases, conflict"/><s v="transposed words, grammaticality judgments, sentence comprehension, parallel word processing, reading, open data, open materials"/><s v="moral rebels, whistleblowers, implicit moral reproach, resentment, self-affirmation"/><s v="repetition blindness, nonwords, lexical, sublexical, word recognition"/><s v="experiment 6"/><s v="reference points, effort provision"/><s v="effort provision,  average accumulated earnings, real-effort experiment, rational expectations."/><s v="authority, power, motivation"/><s v="prisoner dilemma, continuous dilemma, cooperation"/><s v="Prisoner's dilemma, mutual cooperation, decision-making."/><s v="prisoner's dilemma, cooperation, forgiveness"/><s v="Prisoner's dilemma, mutual cooperation, decision-making, cooperative equilibria, punishment."/><s v="defered compensation, lazears model, labor contracts"/><s v="Deferred Compensation, Lazear’s Model, multiperiod environment, dismissal avoidance,  monetary incentives, social preferences, reciprocity."/><s v="happiness, positive affect, time preference"/><s v="Positive affect,  Random-Assignment Experiment, time preference, effect of happiness on time preference, decision-making, emotions. "/><s v="organ donation, decision making, organ allocation"/><s v="Organ Allocation Policy, decision-making, organ donation, experimental game"/><s v="bubbles, cash–to–asset value ratio, asset market model, overvaluation"/><s v="stock market, Experimental asset market model, value process, cash–to–asset value ratio, overvaluation, fundamental value."/><s v="coordination, asset markets"/><s v="last place aversion, redistribution"/><s v="Money redistribution, last-place aversion, gambling"/><s v="punishment, public monitoring, public good contribution games, cooperation"/><s v="Imperfect Public Monitoring, punishment, cooperation, perfect monitoring, punishment technology"/><s v="Screening, Competition, Job design, High-performance work systems,"/><s v="High-performance work systems, effort productivity, work attitude screening, labor market competition"/><s v="communication, collaboration, participation"/><s v="Communication, Pareto-improving outcome, cost-of-lying, guilt-fromblame"/><s v="social identity, efficiency, coordination games, social preference model, minimum effort game,  high-effort equilibrium."/><s v="efficiency, coordination games, social preference model, minimum effort game,  high-effort equilibrium."/><s v="arbitration, selection, short-listing, veto ranking"/><s v="Arbitration, selection of the arbitrator, implementation theory, veto-rank, shortlisting, "/><s v="Lagos-Wright model, monetary exchange, monetary equilibrium, gift exchange"/><s v="Lagos-Wright model, monetary exchange, monetary equilibrium "/><s v="credence goods, liability, verifiability, reputation, competition"/><s v="endowment, expectation, valuation, exchange"/><s v="Expectations, reference-dependent preferences, exchange experiments, valuation experiments, reference points. "/><s v="Social Science Replication Project, Science, Nature, Human Behavior"/><s v="social networks, inequality, wealth generation"/><s v="priming, moral judgment, response effort, replication, cleanliness"/><s v="moral judgment, cleanliness, moral purity, physical purity"/><s v="CORE, Judgment, Decision Making, JDM, Heuristics, Biases"/><s v="self-regulation, glucose, attention, emotion regulation, prejudice"/><s v="intertemporal choice, future (delay) discounting, blood glucose"/><s v="intertemporal choice, future (delay) discounting, blood glucose, Ego depletion, Self-control, Oral glucose sensing"/><s v="self-regulation, self-control, regulatory, depletion"/><s v="self regulation, self-control, thoughts, strength model"/><s v="sef regulation, intellectual performance, ego depletion, logical reasoning, information processing, Regulatory resources, complex thinking, attention regulation, emotion regulation, depleted participants"/><s v="Emotion regulation, Executive control, Limited resources, Self-regulation, Working memory"/><s v="self-control, neural, stroop task, suppression"/><s v="self-control, neural signals, error related negativity (ERN), neuroscience"/><s v="response scales, behavior reporting, social comparison, many labs"/><s v="self-consciousness, automatic behaviors"/><s v="automaticity, automatic social behavior, preparatory interaction, perception– behavior link"/><s v="IAT, implicit attitudes, implicit bias, many labs, replication"/><s v="secrets, embodiment, metaphor, perception, action"/><s v="Embodied cognition. Secrecy. Concealment of secrets. Independent direct replication "/><s v="framing effect, decision-making, risk, many labs, replication"/><s v="conceptual metaphor, embodied cognition, secrets, perceptual judgment, replication"/><s v="retrospective gambler’s fallacy, decision-making, hindsight bias"/><s v="honesty, candor, social desireability, priming, social priming"/><s v="Implicit Goal Priming, Self-Report Accuracy, Honesty Priming, Social Desirability Bias, Psychological Research"/><s v="bodily purity, moral purity, Macbeth effect, unethical&#xA;behavior"/><s v="morality, social cognition, interpersonal sensibility, guilt, Macbeth effect."/><s v="bodily purity, moral purity, Macbeth effect, unethical behavior"/><s v="anchoring effect, numerical estimation, cognitive bias, many labs, replication"/><s v="bodily puity, moral purity, macbeth effect, cleansing, unethical behavior"/><s v="bodily purity, moral purity, Macbeth effect, unethical behavior, moral emotions"/><s v="cleaning, morality, obsessive-compulsive disorder, washers, embodiment"/><s v="1/f noise, racial bias, weapon identification task, implicit bias, replication study."/><s v="1/f noise, effort, stereotyping, prejudice, Implicit racial bias, Weapon identification task"/><s v="cortisol, embodiment, hormones, neuroendocrinology, nonverbal behavior, power, risk taking, testosterone"/><s v="dominance, embodiment, eye gaze, power pose, replication"/><s v="ESP, precognition, retrocausation, Bayesian analysis, confirmatory research, extrasensory perception, erotic stimuli"/><s v="psi, parapsychology, ESP, precognition, retrocausation"/><s v="Literary Fiction, Theory of Mind, Author Recognition Test, RMET"/><s v="Condition, Literary Fiction Versus Nonfiction"/><s v="ART (author recognition test), Literary Fiction Versus Nonfiction"/><s v="ART - Condition intercation, Literary Fiction Versus Nonfiction"/><s v="weight embodiment, importance judgments, many labs 3, replication"/><s v="communal traits, embodiment, temperature perception, social cognition"/><s v="Condition, literary fiction versus popular fiction condition."/><s v="ART (author recognition test), literary fiction versus popular fiction condition."/><s v="ART - Condition intercation, literary fiction versus popular fiction condition."/><s v="need for cognition, message processing, persuasion, argument quality, elaboration likelihood"/><s v="Condition, Literary Fiction Versus Popular fiction Versus No Reading"/><s v="ART (author recognition test) Literary Fiction Versus Popular fiction Versus No Reading"/><s v="ART - Condition intercation, Literary Fiction Versus Popular fiction Versus No Reading"/><s v="Time, Money, Impatience, Happiness, Replication, Reproducibility"/><s v="Time, Money, Impatience, Happiness"/><s v="subjective distance, self-esteem, valence, temporal self-appraisal, personal past experiences."/><s v="Unconscious, Self-regulation, Embodiment, Warmth"/><s v="stroop effect, cognitive interference, attention, color-word task, selective attention."/><s v="spatial metaphors, time perception, cognitive linguistics, temporal reasoning, embodied cognition"/><s v="availability heuristic, frequency judgment, probability estimation, cognitive bias, decision-making"/><s v="power, perspective-taking, social cognition, communication"/><s v="Social proximity, attachment anxiety, physical priming,  semantic priming, priming, regression, temperature"/><s v="money, system justification, many labs, replication"/><s v="imagined contact, future intentions, many labs, replication"/><s v="IMC, satisficing, many labs, replication"/><s v="goal conflict, time allocation, work/leisure, justification, scarcity, productivity"/><s v="self-construal, choice, group size, joint consumption"/><s v="Self-concept clarity, subscription services, self-signaling, retention choice, self-concept structure, identity signaling"/><s v="Self-concept clarity, subscription services, self-signaling, retention choice, self concept structure, identity signaling"/><s v="curiosity, desire for rewards, indulgent consumption, consumer neuroscience, fMRI, insula, multimethod mediation"/><s v="Curiosity, Desire for rewards, Indulgent consumption, Consumer neuroscience, fMRI, Insula, Multi-method mediation."/><s v="Entitativity, product quantity, perceived efficacy"/><s v="color, red, attractiveness, status, attraction"/><s v="genetic essentialism, attribution theory, legal decision making, psychological essentialism"/><s v="Anchoring effect, self-generated, replication, anchoring and adjustment, adjustment model"/><s v="anchoring-and- adjustment, heuristic, biases, self-generated"/><s v="Anchoring, Subliminal Anchoring, Subliminal Priming, Numeric Priming"/><s v="race stereotypes, life history theory, stereotype content, ecology, affordance management "/><s v="Race stereotypes, life history theory, stereotype content, ecology, affordance management"/><s v="tipping point,  change, self-insight,  judgment, information processing"/><s v="Tipping point, change, self-insight, judgment, information processing"/><s v="reputation, social evaluation, decision-making, experimental economics, moral psychology"/><s v="disclosure, transparency, trust, policy making, privacy"/><s v="disclosure, privacy, self-presentation, impression formation, social media"/><s v="racial bias, pain perception,  health care disparities, pain treatment"/><s v="Racial bias, pain perception, health care disparities, pain treatment"/><s v="conflict, dispute resolution, war and peace, incentives, social dilemma"/><s v="Conflict, dispute resolution, war and peace, incentives, social dilemma."/><s v="social networks, collective intelligence, motivated reasoning, polarization, science communication"/><s v="science communication, impression formation, social cognition"/><s v="free-will belief, interpersonal perception, correspondence bias"/><s v="inequality, income, generosity"/><s v="attraction, postural expansiveness, mate selection, nonverbal behavior, romantic relationships"/><s v="fairness, affective forecasting, decision-making"/><s v="Fairness, affective forecasting, decision-making."/><s v="subjective socioeconomic status, social class, appetite, eating behavior, food preferences"/><s v="motivation crowding out, charitable giving, multiattribute choice, attention, saliency"/><s v="cognitive strategies, craving, food, obesity, self control"/><s v="Cognitive strategies, craving, food, obesity, self-control"/><s v="climate change, temporal comparison, political ideology, attitudes, framing"/><s v="gender, gender bias, reference, judgment, evaluation"/><s v="intent, motivation, harm, blame, morality"/><s v="ideology, stereotyping, social evaluation"/><s v="temporal discounting, delay of gratification, decision making, process tracing, choice architecture"/><s v="moral, violence, dehumanization, instrumental, aggression"/><s v="punishment, evolution, reinforcement learning, game theory, commitment"/><s v="economic inequality, opportunity beliefs, policy preferences, redistribution, system justification"/><s v="economic inequality, racial disparities, socioeconomic status, racial stratification, motivated perception"/><s v="dishonesty, memory, unethical behavior, psychological dissonance, morality"/><s v="facial redness, demand characteristics, emotion perception, emotion recognition"/><s v="priming, moral judgment, response effort, cleanliness"/><s v="Public goods; Merit goods; Government consumption; Dynamic panel estimation"/><s v="Public goods, Merit goods, Government consumption, Consumption, Dynamic panel estimation, Crowding Out Effect "/><s v="dictator game, gender differences"/><s v="Multinational Firms, Wage Spillovers, Worker Mobility"/><s v="replication; ECLS-K; teacher certification; teacher qualifications"/><s v="disgust, disgust sensitivity, moral judgment, homosexuality"/><s v="assimilation effects, contrast effects, general question, specific question, judgement"/><s v="Many Labs 2"/><s v="attitude, behaviour, correspondence, bias"/><s v="intentional action, folk psychology, prediction, explanation, control, behaviour"/><s v="double effect, moral judgments, justifications, moral dilemma"/><s v="false consensus, egocentric bias, social perception, attribution processes, choices"/><s v="morality, perception, judgment, decision making, reasoning"/><s v="cardinal direction, valence, preference, cultural differences, metaphoric associations"/><s v="decision problems, preference, perception, rational choice"/><s v="morality, ideology, liberal, conservative"/><s v="consumerism, materialism, situationism, social engagement, well-being, personal values"/><s v="basic anchoring, numeric priming, incidental anchoring, accessibility"/><s v="leadership, power, person perception, embodiment, metaphor"/><s v="physical cleansing, effect, sins, physical purity, moral purity"/><s v="structure seeking, pattern perception, self-regulation, goal pursuit, compensatory control"/><s v="prosocial, individualistic, competitive orientations, social interaction"/><s v="climate change, global warming, judgements, belief, temperature"/><s v="fluency, disfluency, dual-system processing, reasoning, judgment"/><s v="social structure, socioeconomic status, well-being"/><s v="prospect theory, affective, s-shaped, affect-rich, affect-poor, outcome"/><s v="compatibility, choosing, rejecting, enriched option, impoverished option, preference"/><s v="cross-cultural analysis, epistemology, reasoning, concepts"/><s v="preference reversal, evaluability, dominance violation, joint and separate evaluation, willingness to pay"/><s v="Brand names, linguistics, sound symbolism"/><s v="brand name, sound symbolism, international marketing"/><s v="Anchoring; Packaging; Food consumption"/><s v="anchoring, packaging, food consumption"/><s v="Moral values, Fairness, Luxury consumption. Consumption resources, Brand attitude"/><s v="financial constraints, discretionary spending, experiences and material goods, longevity, myopia"/><s v="time, money, scarcity, time-money tradeoffs, wage rates, procedural invariance"/><s v="resource scarcity, competitive orientation, welfare advancement, selfish, generous"/><s v="creativity, innovativeness, product use, scarcity, abundance, resource constraints"/><s v="Advertising, Aggression, Consumer promotions, Scarcity, Violence"/><s v="Phonetic symbolism, Sound symbolism, Brand names, Psycholinguistics"/><s v="Sensory Marketing"/><s v="color, saturation, size, aesthetics, attention, arousal"/><s v="healthy, unhealthy, healthy item, unhealthy item, lateral display, lateral position, mental organization"/><s v="Brand Equity/Extension, Information Processing, Language, Sensory Marketing"/><s v="sound symbolism, phonemes, phonetic effects, brand name, brand evaluation, consumers, language"/><s v="mental simulation, embodied mental simulation, visual depiction effect, purchase intentions,"/><s v="visual marketing, brand logo design, shape, product visualization, mental imagery, working memory"/><s v="Sensory Marketing, Positioning"/><s v="consumers, cultures, horizontal position, product attitude, advertising images"/><s v="dynamic imagery, logo design, brand attitudes, engagement, perceived movement"/><s v="Association Learning, Attention, Color Perception, Computer Simulation, Eye Movements, Field Dependence-Independence, Humans, Pattern Recognition, Visual, Phonetics, Reaction Time, Reading, Semantics, Verbal Behavior,  cascade processing, word production"/><s v="Association Learning, Attention, Color Perception, Computer Simulation, Eye Movements, Field Dependence-Independence, Humans, Pattern Recognition, Visual, Phonetics, Reaction Time, Reading, Semantics, Verbal Behavior, cascade processing, word production"/><s v="Association Learning, Attention, Automatism [psychology], Comprehension, Discrimination (Psychology), Humans, Multilingualism, Paired-Associate Learning, Pattern Recognition, Visual, Problem Solving, Psychophysics, Reaction Time, Size Perception, numerica"/><s v="Adult, Distance Perception, Environment, Female, Humans, Male, Perception, Questionnaires, Visual Perception, Сonstrual level theory, distance perception, environment, questionnaires, fluency"/><s v="Child, Preschool, Cognition, Cues, Female, Humans, Language, Male, color-location conjunctions, language-vision interactions"/><s v="Achievement, Awareness, Cues, Goals, Humans, Mental Recall, Motivation, Orientation, Pattern Recognition, Visual, Problem Solving, Reaction Time, Serial Learning, Social Environment, Unconscious (Psychology), Verbal Learning"/><s v="Achievement, Awareness, Cues, Goals, Mental Recall, Motivation, Orientation, Pattern Recognition, Visual, Problem Solving, Reaction Time, Serial Learning, Social Environment, Unconscious, Verbal Learning"/><s v="Attention, Child, Preschool, Female, Generalization (Psychology), Humans, Language Development, Male, Mental Recall, Reaction Time, Retention (Psychology), Semantics, Serial Learning, Speech Perception"/><s v="Association Learning, Attention, Humans, Inhibition (Psychology), Orientation, Reaction Time, Reading, Semantics, neighborhood density, word recognition, attractor networks"/><s v="Adult, Decision Making, Female, Humans, Intention, Male, Models, Psychological, Pilot Projects, Sex Factors, Sexual Behavior, Social Perception"/><s v="Decision Making, Intention, Models, Psychological, Pilot Projects, Sex Factors, Sexual Behavior, Social Perception, perception bias, choice-prediction model, GLM"/><s v="Humans, Judgment, Mathematics"/><s v="Numerical anchor, numerical judgments, bias"/><s v="Adolescent, Adult, Attention, Choice Behavior, Conflict (Psychology), Decision Making, Female, Humans, Male, Psychomotor Performance, Reaction Time, Set (Psychology), Thinking"/><s v="Choice, conflict Decision making, Female, Humans, Male, psychomotor performance, multiple response alternatives"/><s v="Affect, Attitude, Coercion, Forecasting, Humans, Time Perception"/><s v="Affect, Attitude, Coercion, Forecasting, Humans, Time Perception, predictions"/><s v="Adult, Aged, Aging [psychology], Female, Humans, Imagination, Life Change Events, Male, Mental Recall, Middle Aged, Neuropsychological Tests, Word Association Tests"/><s v="Aged, Aging, Imagination, Life Change Events, Mental Recall, Middle Aged, Neuropsychological Tests, Word Association Tests"/><s v="Attention, Child, Preschool, Comprehension, Female, Humans, Language Development, Male, Personal Construct Theory, Semantics, Verbal Learning, Visual Perception"/><s v="Attention, Preschool, Comprehension, Language Development, Personal Construct Theory, Semantics, Verbal Learning, Visual Perception"/><s v="Crowding, Humans, Models, Statistical"/><s v="Crowd effect, wisdom of the crowd, Crowding, probability"/><s v="Adolescent, Adult, Attentional Blink, Cues, Female, Humans, Inhibition (Psychology), Male, Pattern Recognition, Visual, Probability, Reaction Time, Serial Learning, Time Perception"/><s v="Temporal selection, attentional blink, stimulus onset asynchronies, efficacy, latency, precision, selective attention"/><s v="Adult, Association, Attention [physiology], Beverages, Blood Glucose [metabolism], Brain [physiology], Female, Humans, Inhibition (Psychology), Interpersonal Relations, Intuition [physiology], Judgment [physiology], Logic, Male, Motivation, Physical Exert"/><s v="Association, Attention, Beverages, Blood Glucose, Brain, Inhibition, Interpersonal Relations, Judgment, Logic, Motivation, Physical Exertion, Problem Solving, Set, dual-process reasoning"/><s v="Attention, Humans, Mental Recall, Phonetics, Psychoacoustics, Semantics, Serial Learning, Speech Perception, Verbal Learning"/><s v="Auditory distraction, phonological similarity, selective attention, free recall, serial recall"/><s v="Affect, Defense Mechanisms, Female, Humans, Male, Motivation, Time Factors, Verbal Behavior, Vocabulary"/><s v="Error-related negativity, motivation, affect, defense mechanisms, verbal behavior, vocabulary"/><s v="Adolescent, Adult, Affect, Cerebral Cortex [physiology], Conflict (Psychology), Female, Happiness, Humans, Male, Prefrontal Cortex [physiology], Reward, Social Control, Informal, Social Justice"/><s v="Affect, Cerebral Cortex, Conflict, Happiness, Prefrontal Cortex, Reward, Social Control, Informal, Social Justice, fairness, acceptance, ultimatum game"/><s v="Adolescent, Adult, Attention, Humans, Visual Perception"/><s v="Attention, Visual Perception, object tracking task, local visual features, statistical summary features"/><s v="Animals, Macaca mulatta, Macaca radiata, Neurophysiology, Reaction Time, Saccades [physiology], Visual Fields [physiology], Visual Perception"/><s v="Adolescent, Adult, Canada, Cross-Cultural Comparison, Culture, Humans, Male, Politics, Prejudice, Rationalization, Social Change, Social Desirability, Socioeconomic Factors, Stereotyping"/><s v="Prejudice, rationalization, social change, social desirability, socioeconomic factors, stereotyping, system-justification theory, benevolent stereotyping, relationship"/><s v="Adolescent, Adult, Child, Child Development, Cohort Studies, Educational Status, Female, Great Britain, Humans, Individuality, Intelligence, Male, Models, Psychological, Politics, Prejudice, Social Class, Social Justice, Social Values"/><s v="Attention, Cues, Figural Aftereffect, Humans, Imagination, Motion Perception, Orientation, Pattern Recognition, Visual, Photography, Psychophysics, Transfer (Psychology)"/><s v="Attention, Cues, Figural Aftereffect, Humans, Imagination, Motion Perception, Orientation, Pattern Recognition, Visual, Photography, Psychophysics"/><s v="Adult, Anxiety [psychology], Arousal [physiology], Attention, Attitude, Bias (Epidemiology), Facial Expression, Female, Humans, Male, Prejudice"/><s v="Attentional bias, prejudice, anxiety, dot-probe detection paradigm, threatening cues, race, motivation"/><s v="Adolescent, Adult, Female, Humans, Male, Mathematics, Mental Recall, Practice (Psychology), Problem Solving, Retention (Psychology), Transfer (Psychology)"/><s v="Arithmetic, factoring, multiplication, transfer, identical elements"/><s v="African Continental Ancestry Group [psychology], Association, Attention, European Continental Ancestry Group [psychology], Eye Movements, Fixation, Ocular, Humans, Interpersonal Relations, Orientation, Prejudice, Social Identification"/><s v="African Continental Ancestry Group, Association, Attention, European Continental Ancestry Group, Eye Movements, Fixation, Ocular, Interpersonal Relations, Orientation, Prejudice, Social Identification, social referencing, association hypothesis, offensive"/><s v="Adaptation, Physiological, Adaptation, Psychological, Humans, Memory [physiology], Survival, Vocabulary"/><s v="Adaptation, memory, survival, survival-based processing"/><s v="Adult, Attitude, Female, Happiness, Humans, Male, Pilot Projects, Quality of Life [psychology], Questionnaires"/><s v="Attitude, Happiness, Quality of Life, Questionnaires, will, desire, probability theory"/><s v="Adult, Association, Attitude, Decision Making, Feedback, Psychological, Female, Generalization, Response, Humans, Individuality, Interpersonal Relations, Judgment, Male, Mental Recall, Middle Aged, Personality Inventory, Social Behavior, Social Identifica"/><s v="Association, Attitude, Decision Making, Feedback, Generalization, Response, Individuality, Interpersonal Relations, Judgment, Mental Recall, Personality Inventory, Social Behavior, Social Identification"/><s v="Culture, Deception, Female, Genetic Determinism, Humans, Internal-External Control, Male, Moral Development, Personal Autonomy, Persuasive Communication, Problem Solving, Social Environment"/><s v="Free will, determinism, mathematical task, cheating, anti-free-will, Culture, Deception, Female, Genetic Determinism, Humans, Internal-External Control, Male, Moral Development, Personal Autonomy, Persuasive Communication, Problem Solving, Social Environm"/><s v="Attention, Humans, Judgment, Mental Recall, Music, Pitch Perception, Psychoacoustics, Reaction Time, Sound Spectrography, change detection, change perception"/><s v="Attention, Judgment, Mental Recall, Music, Pitch Perception, Psychoacoustics, Reaction Time, Sound Spectrography, change detection, change perception"/><s v="Adult, Affect, Cues, Culture, Dangerous Behavior, Energy Intake, Female, Food Habits [psychology], Humans, Judgment, Male, Object Attachment, Personal Space, Reading, Self-Assessment, Social Facilitation, Social Perception, Violence [psychology]"/><s v="Priming, spatial priming, Affect, Cues, Culture, Dangerous Behavior, Energy Intake, Food Habits, Judgment, Object Attachment, Personal Space, Reading, Self-Assessment, Social Facilitation, Social Perception, Violence"/><s v="Adult, Affect, Anger, Humans, Leisure Activities, Male, Motivation, Music, Social Control, Informal, hedonic emotion regulation, instrumental emotion regulation"/><s v="Affect, Anger, Leisure Activities, Motivation, Music, Social Control, Informal, hedonic emotion regulation, instrumental emotion regulation"/><s v="Adult, Female, Humans, Interpersonal Relations, Loneliness, Male, Motivation, Object Attachment, Questionnaires, Religion and Psychology, Social Behavior"/><s v="Interpersonal relations, loneliness, motivation, object attachment, seclusion, human-like agents, anthropomorphism, fear, connection, disconnection"/><s v="Adult, Conflict (Psychology), Female, Hate, Humans, Interpersonal Relations, Love, Male, Motivation, intergroup prisoner’s dilemma-maximizing difference, intergroup prisoner’s dilemma"/><s v="Conflict, Hate, Interpersonal Relations, Love, Motivation, intergroup prisoner’s dilemma-maximizing difference, intergroup prisoner’s dilemma"/><s v="Color Perception, Humans, Language, Pattern Recognition, Visual, Phonetics, Psycholinguistics, Semantics, Verbal Behavior, cross-linguistic contrast, word-order constraints"/><s v="Color Perception, Language, Pattern Recognition, Visual, Phonetics, Semantics, Verbal Behavior, cross-linguistic contrast, word-order constraints"/><s v="Adult, Choice Behavior, Female, Humans, Male, Marriage [psychology], Reproductive Behavior [psychology], Sexual Behavior [psychology], Social Behavior, Social Desirability"/><s v="Choice behavior, marriage, reproductive behavior, sexual behavior, social behavior, social desirability, sexual preference"/><s v="Attention, Color Perception, Conflict (Psychology), Cues, Discrimination Learning, Humans, Mental Recall, Probability Learning, Reaction Time, Reading, Semantics"/><s v="Contingency learning, Stroop, proportion congruent, ISPC, attention"/><s v="Adolescent, Adult, Attention, Discrimination Learning, Eye Movements, Female, Fixation, Ocular, Humans, Male, Orientation, Probability, Psychomotor Performance, Reaction Time, Semantics, Visual Fields"/><s v="Attention, discrimination learning, eye movements, ocular, orientation, probability, semantics, visual search, dorsal stream, ventral stream"/><s v="Adult, Analysis of Variance, Communication, Conscience, Cues, Emotions [physiology], Female, Great Britain, Humans, Intuition [physiology], Judgment [physiology], Male, Morals, Social Behavior, Social Perception, Students [psychology], Young Adult"/><s v="Adult, Analysis of Variance, Communication, Conscience, Cues, Emotions, Female, Great Britain, Humans, Intuition, Judgment, Male, Morals, Social Behavior, Social Perception, Students, Young Adult, Replication, Embodiment, Cleanliness, Morality, Effect Siz"/><s v="Attention, Contrast Sensitivity, Depth Perception, Discrimination Learning, Field Dependence-Independence, Humans, Optical Illusions, Orientation, Pattern Recognition, Visual"/><s v="Attention, Contrast Sensitivity, Depth Perception, Discrimination Learning, Field Dependence-Independence,  Optical Illusions, Orientation, Pattern Recognition, Visual, Extremal edges"/><s v="Attitude, Cross-Cultural Comparison, Culture, Humans, Morals, Personality, Personality Inventory"/><s v="Attitude, Cross-Cultural Comparison, Culture, Morals, Personality, Personality Inventory, Reference group effect, perceptions of national character, Fragile State Index"/><s v="Adult, Attention, Choice Behavior, Female, Humans, Male, Metaphor, Personality, Social Dominance, Space Perception, Spatial Behavior"/><s v="Attention, Choice Behavior, Metaphor, Personality, Social Dominance, Space Perception, Spatial Behavior, verticality/power relationship,  spatial attention task"/><s v="Attention, Conflict (Psychology), Cues, Goals, Humans, Inhibition (Psychology), Intention, Memory, Short-Term, Orientation, Pattern Recognition, Visual, Psychomotor Performance, Reaction Time"/><s v="Goal shielding, attention, conflict, cues, inhibition, prespectice memory, pattern recognition"/><s v="Adult, Age Factors, Animals, Attention, Child, Preschool, Fear, Field Dependence-Independence, Humans, Pattern Recognition, Visual, Reaction Time, Snakes"/><s v="Age Factors, Animals, Attention, Preschool, Fear, Field Dependence-Independence, Pattern Recognition, Visual, Reaction Time, Snakes"/><s v="Adult, Attention, Concept Formation, Discrimination Learning, Female, Humans, Judgment, Male, Memory, Short-Term, Motivation, Pattern Recognition, Visual, Problem Solving"/><s v="Value heuristic, judgement, frequency, attention, concept formation, discrimination learning, short-term memory, pattern recognition, problem solving"/><s v="Attention, Cues, Head, Humans, Space Perception, Vocabulary"/><s v="Language and perception, mental imagery, perceptual simulation, reflexive orienting, spatial attention"/><s v="Adult, Bias (Epidemiology), Choice Behavior, Cognition, Computer Simulation, Decision Making, Decision Theory, Feedback, Psychological, Female, Humans, Judgment, Male"/><s v="Sampling, decision making, sampling bias, natural sampling, information search"/><s v="Adolescent, Adult, Association Learning, Attention, Color Perception, Cues, Discrimination Learning, Female, Humans, Male, Memory, Short-Term, Orientation, Reaction Time, Serial Learning"/><s v="Recognition, working memory, serial position curves, recollection, familiarity"/><s v="Attentional Blink, Humans, Judgment, Memory, Short-Term, Pattern Recognition, Visual, Reading, Semantics, Serial Learning, Verbal Learning"/><s v="Attention, Humans, Inhibition (Psychology), Intention, Mental Recall, Paired-Associate Learning, Psycholinguistics, Semantics, Verbal Learning"/><s v="Directed forgetting, context change, list-strength effect, spacing effect"/><s v="Adult, Attention, Color Perception, Cues, Female, Functional Laterality, Humans, Inhibition (Psychology), Male, Multilingualism, Orientation, Pattern Recognition, Visual, Psychomotor Performance, Reaction Time"/><s v="Bilingualism, inhibition, executive functions"/><s v="Adult, Attention, Female, Humans, Male, Mathematics, Mental Recall, Paired-Associate Learning, Problem Solving, Reaction Time, Semantics"/><s v="Analogy, relational priming, cognitive arithmetic, mathematical reasoning, conceptual integration"/><s v="Adult, Attention, Discrimination Learning, Humans, Memory, Short-Term, Pattern Recognition, Visual, Practice (Psychology), Probability Learning, Retention (Psychology), Serial Learning"/><s v="Hebb repetition effect, implicit memory, sequence learning, serial recall, error analysis"/><s v="Attention, Humans, Phonetics, Reaction Time, Reading, Semantics, Speech, Writing"/><s v="Pathway control hypothesis, reading aloud, exogenous control, executive control, phonology"/><s v="Adolescent, Adult, Attention, Decision Making, Discrimination Learning, Female, Humans, Male, Mental Recall, Phonetics, Reaction Time, Reading, Semantics"/><s v="Additive effects, distributional analysis, stimulus quality, word frequency, lexical decision"/><s v="Attention, Conflict (Psychology), Field Dependence-Independence, Humans, Inhibition (Psychology), Pattern Recognition, Visual, Reaction Time, Reading, Semantics"/><s v="Semantic interference effect, lexical selection by competition, picture–word interference, delayed naming, response exclusion hypothesis"/><s v="Association Learning, Color Perception, Discrimination Learning, Humans, Motion Perception, Orientation, Pattern Recognition, Visual, Perceptual Masking, Probability Learning, Problem Solving, Psychophysics"/><s v="Statistical learning, feature binding, objects, feature dimensions"/><s v="Attention, Color Perception, Decision Making, Discrimination Learning, Functional Laterality, Humans, Memory, Short-Term, Pattern Recognition, Visual, Perceptual Masking, Psychomotor Performance, Psychophysics, Reaction Time, Size Perception"/><s v="Task switching, working memory, resource sharing, complex span tasks"/><s v="Association Learning, Causality, Humans, Judgment, Likelihood Functions, Probability Learning, Problem Solving"/><s v="Cause prevalence effect"/><s v="Association Learning, Attention, Discrimination Learning, Humans, Memory, Short-Term, Pattern Recognition, Visual, Reading, Serial Learning, Speech Perception, Time Perception"/><s v="Serial recall, timing, short-term memory, recall latencies, grouping"/><s v="Association Learning, Attention, Field Dependence-Independence, Humans, Orientation, Pattern Recognition, Visual, Problem Solving, Reproducibility of Results"/><s v="Attention, statistical computation, sssociative learning, language"/><s v="Adolescent, Adult, Attention, Color Perception, Cues, Discrimination Learning, Female, Humans, Inhibition (Psychology), Male, Memory, Short-Term, Orientation, Pattern Recognition, Visual, Psychophysics, Reaction Time, Retention (Psychology)"/><s v="Visual working memory, visual attention, memory decay, memory interference, change detection, Simplified Comparison Hypothesis, Interim Interference, Probe Interference Hypothesis"/><s v="Adolescent, Adult, Association Learning, Bayes Theorem, Choice Behavior, Culture, Decision Making, Decision Theory, Female, Gambling [psychology], Health Behavior, Humans, Individuality, Male, Pattern Recognition, Visual, Psychomotor Performance, Risk-Tak"/><s v="Risk taking, learning, Bayesian, individual differences, cognitive psychometrics"/><s v="Attention, Cues, Humans, Memory, Short-Term, Mental Recall, Paired-Associate Learning, Practice (Psychology)"/><s v="Retrieval-induced forgetting, inhibition, learning, memory, forgetting"/><s v="Adult, Character, Culture, Defense Mechanisms, Female, Humans, Imagination, Judgment, Male, Morals, Prejudice, Rejection (Psychology), Self Concept, Social Conformity, Social Desirability, Social Perception, Social Responsibility"/><s v="Adolescent, Adult, Alcohol Drinking, Analysis of Variance, Attitude, Behavioral Research [methods], Cognition, Emotions, Factor Analysis, Statistical, Female, Humans, Male, Prejudice, Psychological Tests, Reproducibility of Results, Social Conformity, Soc"/><s v="Implicit, explicit, attitude, automatic, measurement, prejudice, social conformity, social perception, truth disclosure"/><s v="Adolescent, Adult, Child, Comprehension, Data Collection, Extraversion (Psychology), Female, Humans, Informed Consent, Internet, Language Development, Male, Patient Selection, Personality Development, Personality Inventory [statistics &amp; numerical data], P"/><s v="Five-factor model, personality structure, reliability, validity"/><s v="Adaptation, Psychological, Adolescent, Adult, Adult Children [psychology], Attitude to Death, Defense Mechanisms, Fear, Female, Humans, Male, Mental Recall, Middle Aged, Object Attachment, Parent-Child Relations, Self Efficacy, Social Support"/><s v="Terror management, mortality salience, adult attachment, close relationships, parents"/><s v="Attention, Awareness, Cues, Culture, Decision Making, Feeding Behavior, Female, Goals, Humans, Internal-External Control, Judgment, Male, Mental Recall, Persuasive Communication, Problem Solving, Psychomotor Performance, Semantics, Set (Psychology)"/><s v="Attention, Color Perception, Discrimination Learning, Field Dependence-Independence, Humans, Memory, Short-Term, Mental Recall, Pattern Recognition, Visual, Practice (Psychology), Psychophysics"/><s v="Perceptual learning, spaced practice, memory, discrimination"/><s v="Affect, Attention, Comprehension, Concept Formation, Conflict (Psychology), Cues, Culture, Female, Humans, Male, Memory, Short-Term, Mental Recall, Motivation, Reading, Retention (Psychology)"/><s v="Affective coherence, embodiment, affect, motor behavior, facial expression"/><s v="African Americans, Analysis of Variance, Cognition, Conflict (Psychology), European Continental Ancestry Group, Evoked Potentials, Female, Group Processes, Humans, Inhibition (Psychology), Models, Psychological, Motivation, Neuropsychology, Prejudice, Uni"/><s v="Prejudice, control, ERP, ERN, conflict monitoring"/><s v="Analysis of Variance, Attitude, Biofeedback, Psychology, Brain Mapping, Cognitive Dissonance, Decision Making, Female, Humans, Male, Models, Psychological, Prefrontal Cortex [physiology]"/><s v="Cognitive dissonance, action-based model, approach motivation, asymmetrical frontal cortical activity, neurofeedback"/><s v="Adult, Anger, Communication, Deception, Dominance-Subordination, Emotions, Fear, Female, Goals, Humans, Interpersonal Relations, Male, Motivation, Negotiating, Power (Psychology), Rejection (Psychology)"/><s v="Emotions, bargaining, deception, fairness, self-interest"/><s v="Adult, Affect, Analysis of Variance, Female, Humans, Interpersonal Relations, Male, Models, Psychological, Object Attachment, Questionnaires, Rejection (Psychology), Self Concept, Sexual Partners [psychology], Social Desirability, Social Perception, Spous"/><s v="Close relationships, egocentrism, relationship security, acceptance, emotion expression, expression-based authenticity doubts, vulnerability"/><s v="Adolescent, Adult, Communication, Data Collection, Female, Friends [psychology], Humans, Internet, Interpersonal Relations, Longitudinal Studies, Male, Marriage, Middle Aged, Projection, Questionnaires, Self Concept, Social Support, Spouses [psychology]"/><s v="Projection of responsiveness, assumed similarity, social support, communal relationships, self-disclosure"/><s v="Adult, Attention, Cues, Decision Making, Female, Humans, Judgment, Male, Memory, Short-Term, Models, Statistical, Psychomotor Performance, Reaction Time, Reading, Retention (Psychology), Serial Learning, Signal Detection, Psychological, Speech, Verbal Lea"/><s v="Fluency, repetition priming, recognition, computational model"/><s v="Adult, Age Factors, Aged, Aging [psychology], Analysis of Variance, Emotions, Female, Human Development, Humans, Imagination, Male, United States"/><s v="Aging, emotions, mixed emotions, human development, poignancy, endings, socioemotional selectivity theory, experience of ending"/><s v="African Americans, Behavioral Research [statistics &amp; numerical data], Bias (Epidemiology), European Continental Ancestry Group [psychology], Fourier Analysis, Humans, Prejudice, Reaction Time, Regression Analysis, Stereotyping"/><s v="1/f noise, effort, stereotyping, prejudice, bias, fourier analysis"/><s v="Association Learning, Attention, Concept Formation, Dominance, Cerebral, Female, Field Dependence-Independence, Generalization (Psychology), Gestalt Theory, Humans, Judgment, Male, Pattern Recognition, Visual, Psychomotor Performance, Self Concept, Social"/><s v="Assimilation and contrast; exclusion versus inclusion; processing styles"/><s v="Adolescent, Adult, Anger [physiology], Attitude, Empathy, Female, Group Processes, Guilt, Humans, Individuality, Interpersonal Relations, Male, Mental Recall [physiology], Motivation, Sex Factors, Social Behavior, Social Perception, Students [psychology]"/><s v="Culture, Female, Humans, Intuition, Judgment, Male, Motivation, Negativism, Probability, Social Environment"/><s v="Adult, Affect [physiology], Africa, Western, Aged, Anger [physiology], Cross-Cultural Comparison, Emotions [physiology], Ethnic Groups [psychology], Facial Expression, Fear [psychology], Female, Happiness, Humans, Italy, Male, Middle Aged, Nonverbal Commu"/><s v="Pride, self-conscious emotion, cross-cultural, universal, emotion recognition"/><s v="Attention, Humans, Individuality, Memory, Short-Term, Models, Statistical, Phonetics, Psychomotor Performance, Semantics, Serial Learning, Verbal Learning"/><s v="Word Length Effect"/><s v="Adolescent, Adult, Aptitude, Cognition, Culture, Decision Making, Female, Humans, Judgment, Male, Probability Learning, Problem Solving, Thinking"/><s v="Thinking biases, heuristics and biases, intelligence, cognitive ability"/><s v="Attitude, Cognition, Humans, Mental Processes, Persuasive Communication, Thinking"/><s v="Values, information processing, resistance to persuasion, message, communication, attitude"/><s v="Conflict (Psychology), Culture, Female, Group Processes, Humans, Individuality, Male, Motivation, Personal Satisfaction, Social Conformity, Social Dominance, Social Identification"/><s v="Minorities, deviance, social norms"/><s v="Adolescent, Adult, Aged, Attitude, Charities [economics], Female, Fund Raising [ethics], Goals, Humans, Male, Middle Aged, Motivation, Social Control, Informal"/><s v="Goals, self-regulation, motivation, commitment, progress, charities, fund raising, social control"/><s v="Association Learning, Attention, Awareness, Humans, Illusions [psychology], Lawyers [psychology], Mental Recall, Physicians [psychology], Reading, Set (Psychology), Social Perception, Stereotyping"/><s v="Source memory, stereotypes, remember, recollection, false memory"/><s v="Adult, Attitude, Behavior [physiology], Decision Making [physiology], Female, Goals, Humans, Self Concept, Set (Psychology), Students [psychology], Task Performance and Analysis"/><s v="Adaptation, Psychological, Adult, Analysis of Variance, Conflict (Psychology), Cooperative Behavior, Emotions, Female, Humans, Israel, Male, Models, Psychological, Negotiating, Power (Psychology), Role, Social Perception"/><s v="reconciliation, conflict resolution, emotional needs, victims, perpetrators, adaptation, conflict, cooperative behavior, emotions, negotiating, social acceptance"/><s v="Adolescent, Adult, Awareness, Cues, Face, Female, Hair, Heterosexuality [psychology], Homosexuality, Male [psychology], Humans, Judgment, Male, Nonverbal Communication, Sexual Behavior, Social Perception, Stereotyping, Young Adult"/><s v="Heuristic, inference, subjective predictor, objective performance, personality traits"/><s v="Adolescent, Adult, Choice Behavior, Decision Making, Female, Humans, Male, Mental Processes, Middle Aged"/><s v="Adolescent, Adult, Cognition [physiology], Decision Making [physiology], Ego, Female, Humans, Internal-External Control, Male, Middle Aged, Motivation, Self Concept, Students [psychology]"/><s v="Self-regulation, depletion of self-regulation resources, confirmatory information processing, selective exposure, decision making, ego, internal-external control, , motivation, self concept"/><s v="African Americans, Analysis of Variance, European Continental Ancestry Group [psychology], Humans, Male, Prejudice, Social Distance, Stereotyping, United States"/><s v="Stereotype threat, racial bias, racial discrimination, social distance, prejudice"/><s v="Adult, Choice Behavior, Empathy, Female, Humans, Love, Male, Marriage [psychology], Questionnaires, Sexual Behavior [psychology], Sex differences, mate preferences, speed dating, empathy gap, a priori theories, love, partner, sexual behavior, physical att"/><s v="Sex differences, mate preferences, speed dating, empathy gap, a priori theories, love, partner, sexual behavior, physical attractiveness"/><s v="Attention, Choice Behavior, Color Perception, Data Interpretation, Statistical, Humans, Memory, Short-Term, Paired-Associate Learning, Reaction Time, Semantics"/><s v="Adolescent, Adult, Conflict (Psychology), Courtship [psychology], Female, Goals, Humans, Intention, Interpersonal Relations, Male, Models, Psychological, Questionnaires, Rejection (Psychology), Risk Reduction Behavior, Self Concept, Students [psychology],"/><s v="Relationships, risk, connectedness, self-protection, interpersonal Relations, Rejection, Risk Reduction Behavior, Self Concept"/><s v="Affect, Decision Making, Defense Mechanisms, Female, Humans, Internal-External Control, Male, Motivation, Self Concept, Social Responsibility, Thinking"/><s v="Counterfactual thinking, self-handicapping, self-protection, motivation"/><s v="Adolescent, Adult, African Continental Ancestry Group [psychology], Cues, Cultural Diversity, Female, Hierarchy, Social, Humans, Judgment, Male, Organizational Culture, Prejudice, Rejection (Psychology), Social Identification, Social Values, Stereotyping,"/><s v="Identity threat, African Americans, diversity, stigma"/><s v="ECLS-L, teacher certification, teacher qualifications, teacher quality, input output analysis, productivity"/><s v="weight, importance, judgements, decision-making"/><s v="Gestalt, heterogeneity, homogeneity, quantity estimation, variety"/><s v="Cognitive Processes, Perceptual Processes, Judgment and Decision Making, Experimental Design and Analysis (ANOVA); File-drawer report, quantity estimation, variety, Gestalt, replication, heterogeneity, homogeneity"/><s v="color red, cognitive performance, intelligence, reasoning,"/><s v="color, performance, semantic red effect, avoidance, red color, cognitive performance, intelligence, general knowledge, reasoning"/><s v="replication success, laypeople, Intuitive plausibility"/><s v="replication success, laypeople, Intuitive plausibility, open science, meta-science, replication crisis, prediction survey, open data, open materials, preregistered"/><s v="Door in the face technique, Persuasion, Reciprocity, Social influence, replication, reciprocal concession, "/><s v="Door-in-the-face technique, social influence, replication, reciprocal concession, persuasion, reciprocity"/><s v="utilitarianism, alcohol, CNI Model, trolley dilemma, moral dilemma, moral judgment, alcohol intoxication, ethanol, dual-process model"/><s v="utilitarian, moral dilemma, moral judgment, alcohol intoxication, ethanol, dual-process model"/><s v="utilitarianism, alcohol, CNI Model, trolley dilemma, moral judgment, moral action, alcohol intoxication, alcohol, dual-process model, moral decision-making, empathy, virtual reality"/><s v="utilitarian, moral dilemma, moral judgment, moral action, alcohol intoxication, alcohol, dual-process model, moral decision-making, empathy, virtual reality"/><s v="utilitarianism, alcohol, CNI Model, trolley dilemma, moral dilemma, moral judgment, alcohol intoxication, alcohol, dual-process model"/><s v="utilitarianism, Utilitarian, moral dilemma, moral judgment, alcohol intoxication, alcohol, CNI model, dual-process model"/><s v="Exercise performance; endurance; perceived exertion; motivation"/><s v="binge-watching; self-determination theory; media psychology; well-being"/><s v="Cognitive Processes, Perceptual Processes, Judgment and Decision Making, Experimental Design and Analysis (ANOVA); File-drawer report, quantity estimation, variety, Gestalt, replication"/><s v="Expressive Responding, Partisan Bias, Political Misinformation, Political Psychology, Survey Research, Motivated Reasoning, Partisan Cheerleading, False Beliefs, Political Cognition, Crowd Size Controversy, Donald Trump, Barack Obama, Political Interest, "/><s v="Belief, dual process, expressive responding, identity fusion, partisan"/><s v="Attitude formation, Implicit learning, Classical conditioning, Covariation detection, Conditioning paradigm, Valenced stimuli, Unconditioned stimuli, Conditioned stimuli, Attitudinal conditioning, Explicit measures, Implicit measures, Evaluation task, Sur"/><s v="implicit attitude, Evaluative conditioning,  conditioned stimuli"/><s v="Affect Misattribution Procedure, implicit measures, Implicit Association Test, bias awareness, implicit social cognition"/><s v="affect misattribution procedure, implicit social cognition, implicit attitudes,  Implicit Association Test, bias awareness, "/><s v="Regulatory focus theory, Self-determination theory, Need satisfaction, Need support, Goals and motivation"/><s v="motivation, regulatory focus theory, self-determination theory, psychological needs, need support "/><s v="intergroup sensitivity effect, intergroup criticism, behavior, costly punishment,"/><s v="intergroup sensitivity effect, intergroup criticism, behavior,  motivation-goals, self-defensiveness, social identity, bystander effect, costly punishment, general norms"/><s v="Flanker task, congruency, bimodal, interference effect, facilitation effect, bimodal stimulation, conflict tasks, Eriksen flanker task, auditory flankers"/><s v="Flanker task, congruency, bimodal,  bimodal stimulation, interference effect, facilitation effect, conflict tasks, Eriksen flanker task, auditory flankers"/><s v="Differential Age Effects in ToM and Factual Reasoning"/><s v="social affect, empathy, compassion, social cognition, theory of mind, adult lifespan"/><s v="No Age Diferences in Empathy and Positive Age Diferences in Compassion."/><s v="Age of acquisition, Picture naming, word naming, Direct replication, lexical retrieval"/><s v="Age of acquisition, Word naming, Picture naming, Verification, Subtraction"/><s v="social value orientation (TDM); older siblings; sample 1"/><s v="False Beliefs, Mental State Attribution, Eye Tracking, Infant Development, Cognitive Psychology, Theory of Mind, 25-Month-Old Infants, Action Prediction, Child Psychology, Infant Behavior, Developmental Psychology, Mental State Understanding, Cognitive De"/><s v="Implicit theory of mind, False-Belief Task, Anticipatory Looking Reality Bias, Infants, Eyetracking, False Beliefs, Mental State Attribution, Infant Development, Cognitive Psychology, Theory of Mind, 25-Month-Old Infants, Action Prediction, Child Psycholo"/><s v="Implicit theory of mind, False-Belief Task, Anticipatory Looking Reality Bias, Infants, Eyetracking"/><s v="Implicit Theories of Intelligence, Achievement Motivation, Adolescent Development, Mathematics Achievement, Incremental Theory, Entity Theory, Longitudinal Study, Educational Psychology, Growth Mindset, Fixed Mindset, Intervention Study, Classroom Motivat"/><s v="Adolescent, Child, Cohort Studies, Educational Status, Helplessness, Learned Humans Intelligence, Internal-External Control, Longitudinal Studies, Teaching, incremental theory, entity theory"/><s v="red color, cognitive performance, reasoning, intelligence,"/><s v="color, performance, semantic red effect, avoidance, red color, cognitive performance, intelligence, general knowledge, reasoning "/><s v=" social value orientation (TDM); secure attachment (AAS); sample 1"/><s v="social value orientation (TDM), secure attachment (AAS), sample 1, social interaction, prosocials, individualists, competitors"/><s v="social value orientation (SLM); secure attachment (AAS); sample 1"/><s v="social value orientation (SLM), secure attachment (AAS), sample 1, social interaction, prosocials, individualists, competitors"/><s v="social value orientation (SLM); secure attachment (original); sample 1"/><s v="social value orientation (SLM), secure attachment (original), sample 1, social interaction, prosocials, individualists, competitors"/><s v="social value orientation (SLM); secure attachment (ECR-R); sample 1"/><s v="social value orientation (SLM), secure attachment (ECR-R), sample 1, social interaction, prosocials, individualists, competitors"/><s v="social value orientation (TDM); total siblings; sample 1"/><s v="social value orientation (TDM), total siblings, sample 1"/><s v="social value orientation (TDM); sister; sample 1"/><s v="social value orientation (TDM), sister, sample 1"/><s v="social value orientation (TDM), older siblings, sample 1"/><s v="social value orientation (SLM); total siblings; sample 1"/><s v="social value orientation (SLM), total siblings, sample 1"/><s v="social value orientation (TDM); secure attachment (original); sample 1"/><s v="social value orientation (TDM), secure attachment (original), sample 1"/><s v="social value orientation (SLM); sister; sample 1"/><s v="social value orientation (SLM), sister, sample 1"/><s v="social value orientation (SLM); older siblings; sample 1"/><s v="social value orientation (SLM), older siblings, sample 1"/><s v="social value orientation (TDM); age; sample 1"/><s v="social value orientation (TDM), age, sample 1"/><s v="social value orientation (SLM), age, sample 1"/><s v="social value orientation (TDM), secure attachment (ECR-R), sample 1"/><s v="social value orientation (TDM), secure attachment (AAS), sample 1"/><s v="social value orientation (SLM), secure attachment (AAS), sample 1"/><s v="social value orientation (SLM), secure attachment (original), sample 1"/><s v="social value orientation (SLM), secure attachment (ECR-R), sample 1"/><s v="social value orientation, secure attachment, adult attachment"/><s v="social value orientation, adult attachment, siblings, replication"/><s v="Theory of mind, moral cognition, intention, intentional action, cross-cultural evidence"/><s v="Free will, responsibility, folk intuitions, experimental philosophy, conceptual analysis"/><s v="Free will, moral responsibility, folk intuitions, experimental philosophy, conceptual analysis"/><s v="Experimental Evidence: First Phase"/><s v="free will, moral responsibility, folk intuitions"/><s v="moral responisbility"/><s v="blame"/><s v="praise"/><s v="causation by absence"/><s v="moral judgement, morality, utilitarian, cognitive control, cognitive load"/><s v="egocentric biases in mindreading, valuing"/><s v="3.1. Folk Attributions of Desires"/><s v="cause, norm"/><s v="atypicality, causality, folk psychology"/><s v="free will, moral responsibility, personality, extraversion, folk intuitions"/><s v="experience machine, Nozick, pleasure, reality, status quo bias"/><s v="epistemic side-effect"/><s v="phenomenal consciousness, folk concept of subjective experience, hard problem of consciousness"/><s v="causation, norm violation, culpable control"/><s v="reality of pain, appearance of pain"/><s v="Dual-process model, Moral decision making, Moral judgment, Moral psychology, Moral reasoning, Morality, Reflection, Social intuitionist model"/><s v="Semantic intuitions, Proper names, Reference, Cultural differences, Kripke, Descriptivism;,Causal historical theory"/><s v="Akrasia  Weakness of will,  Intention, Resolution, Prototype concepts, Knobe effect"/><s v="Justified true belief, Knowledge ascription, Gettier cases, Mental state inference, Individual differences, Lay beliefs"/><s v="Knowledge ascription scores"/><s v="Story type"/><s v="Standard True Belief versus Skeptical Pressure"/><s v="Standard True Belief vs False Belief"/><s v="Skeptical Pressure vs False Belief"/><s v="Gettier vs False belief"/><s v="Standard True Belief versus Gettier Cases"/><s v="knobe effects, experimental philosophy"/><s v="knobe effects"/><s v="incompatilism, bypassing, experimental philosophy"/><s v="incompatilism, bypassing"/><s v="replaceability, attitude towards refernce"/><s v="experimental philosophy, imaginative resistance "/><s v="Belief, Folk Intuitions, Moral Judgment, Motivational Internalism, Shaun Nichols, Understanding, experimental philosophy"/><s v="Belief, Folk Intuitions, Moral Judgment, Motivational Internalism, Shaun Nichols, Understanding"/><s v="knowledge, stakes, mistakes "/><s v="Typo low hope, Typo high short hope"/><s v="verb type"/><s v="interaction effect, verb type"/><s v="intention, intentional action, moral considerations, experimental philosophy"/><s v="Causal reasoning, Counterfactuals, Morality, Superseding"/><s v="moral judgement, canonical moral, moral objectivity, experimental philosophy"/><s v="moral judgement, canonical moral, moral objectivity"/><s v="blame, badness, intentional action, side effect, experimental philosophy"/><s v="Free Will, Moral Responsibility, Folk Psychology, experimental philosophy"/><s v="Free Will, Moral Responsibility, Folk Psychology,  experimental philosophy"/><s v="skill, luck, control, intentional action., experimental philosophy"/><s v="skill, luck, control, intentional action, experimental philosophy"/><s v="Big Five, life outcomes, metascience, personality traits, replication, open data, open materials, preregistered"/></sharedItems></cacheField><cacheField name="description" numFmtId="0"><sharedItems containsBlank="1"><s v="Description of the effect under investigation (e.g., x is associated with y, x leads to y), possibly a part of the original publication's title (abstract claim)"/><s v="interaction between scanning condition (positive or negative) and stimulus valence"/><m/><s v="The two conditions of the experiment involve ascribing knowledge of the very same proposition (&quot;rather than&quot; clause) and they differ only in that they pick out two different contrasts to that proposition: subject or object. "/><s v="Thief contrast codition tend to agree more compared to jewel contrast condition with knowledge ascription"/><s v="estimates for numeric judgments are assimilated toward anchor values, even when these anchors are presented subliminally and outside of conscious awareness"/><s v="Subliminally presented numerical anchors influence judgment, causing estimates to shift toward the anchor values without participants being consciously aware of the anchors."/><s v="Influence of the Type of Mathematical Problems on Students’ Interest"/><s v="Influence of the Type of Mathematical Problems on Students’ and Pre-service Teachers’ Interest and Performance"/><s v="Influence of the Type of Mathematical Problems on Pre-service Teachers’ Interest"/><s v="Influence of the Type of Mathematical Problems on Student Performance"/><s v="Influence of the Type of Mathematical Problems on Pre-service Teacher Performance"/><s v="Influence of the Type of Mathematical Problems on Student Interest*Performance relationship"/><s v="Influence of the Type of Mathematical Problems on Pre-service Teacher Interest*Performance relationship"/><s v="The study measured the production accuracy of  /e/ format using a delayed sentence repetition task."/><s v="The study measured the production accuracy of  /ei/ ~ /e/ format using a delayed sentence repetition task."/><s v="The study measured the production accuracy of  /ei/ ~ z score format using a delayed sentence repetition task."/><s v="The study measured the production accuracy for consonants using a delayed sentence repetition task."/><s v="Role of inhibitory control in L2 phonological processing (Retrieval–induced inhibition)"/><s v="Role of inhibitory control in L2 phonological processing (ABX error (vowels))"/><s v="Role of inhibitory control in L2 phonological processing (Vowel production z score)"/><s v="Role of inhibitory control in L2 phonological processing (Consonant production (max. 8))"/><s v="The study measured the perceptual processing of Spanish vowels using the speeded ABX categorization&#xA;task."/><s v="Indirect effect present for relationship quality (replication: cross-sectional, wives' answers, effect on themselves)"/><s v="Indirect effect present for relationship quality (replication: cross-sectional, wives' answers, effect on partner)"/><s v="Indirect effect present for relationship quality (replication: cross-sectional, husbands' answers, effect on themselves)"/><s v="Indirect effect present for relationship quality (replication: cross-sectional, husbands' answers, effect on partner)"/><s v="Indirect effect present for relationship quality (replication: longitudinal, wives' answers, effect on themselves)"/><s v="Indirect effect present for relationship quality (replication: longitudinal, wives' answers, effect on partner)"/><s v="Indirect effect present for relationship quality (replication: longitudinal, husbands' answers, effect on themselves)"/><s v="Indirect effect present for relationship quality (replication: longitudinal, husbands' answers, effect on partner)"/><s v="No direct effect present for relationship quality (replication: cross-sectional, wives' answers, effect on themselves)"/><s v="No direct effect present for relationship quality (replication: cross-sectional, wives' answers, effect on partner)"/><s v="No direct effect present for relationship quality (replication: cross-sectional, husbands' answers, effect on themselves)"/><s v="No direct effect present for relationship quality (replication: cross-sectional, husbands' answers, effect on partner)"/><s v="No direct effect present for relationship quality (replication: longitudinal, wives' answers, effect on themselves)"/><s v="No direct effect present for relationship quality (replication: longitudinal, wives' answers, effect on partner)"/><s v="No direct effect present for relationship quality (replication: longitudinal, husbands' answers, effect on themselves)"/><s v="No direct effect present for relationship quality (replication: longitudinal, husbands' answers, effect on partner)"/><s v="Indirect effect present for financial conflict (replication: cross-sectional, wives' answers, effect on themselves)"/><s v="Indirect effect present for financial conflict (replication: cross-sectional, wives' answers, effect on partner)"/><s v="Indirect effect present for financial conflict (replication: cross-sectional, husbands' answers, effect on themselves)"/><s v="Indirect effect present for financial conflict (replication: cross-sectional, husbands' answers, effect on partner)"/><s v="Indirect effect present for financial conflict (replication: longitudinal, wives' answers, effect on themselves)"/><s v="Indirect effect present for financial conflict (replication: longitudinal, wives' answers, effect on partner)"/><s v="Indirect effect present for financial conflict (replication: longitudinal husbands' answers, effect on themselves)"/><s v="Indirect effect present for financial conflict (replication: longitudinal husbands' answers, effect on partner)"/><s v="Direct effect present for financial conflict (replication: cross-sectional, wives' answers, effect on themselves)"/><s v="Direct effect present for financial conflict (replication: cross-sectional, wives' answers, effect on partner)"/><s v="Direct effect present for financial conflict (replication: cross-sectional, husbands' answers, effect on themselves)"/><s v="Direct effect present for financial conflict (replication: cross-sectional, husbands' answers, effect on partner)"/><s v="Direct effect present for financial conflict (replication: longitudinal, wives' answers, effect on themselves)"/><s v="Direct effect present for financial conflict (replication: longitudinal, wives' answers, effect on partner)"/><s v="Direct effect present for financial conflict (replication: longitudinal, husbands' answers, effect on themselves)"/><s v="Direct effect present for financial conflict (replication: longitudinal, husbands' answers, effect on partner)"/><s v="Effect of Financial Communication on Relationship Satisfaction"/><s v="Effect of Financial Communication on Reducing Financial Disagreements"/><s v="&quot;Inducing awe led participants to present a more balanced view of their strengths and&#xA;weaknesses to others (Study 3).&quot;"/><s v="Awe leads to humility"/><s v="Maximal anaerobic fatigue significantly reduces Y-Balance Test scores in ANT"/><s v="Investigating the effects of maximal anaerobic fatigue on dynamic postural control with Y Balance test by comparing pre-fatigue and post-fatigue (0, 10, 20 min) in anterior direction"/><s v="Maximal anaerobic fatigue significantly reduces Y-Balance Test scores in PM"/><s v="Maximal anaerobic fatigue significantly reduces Y-Balance Test scores in PL"/><s v="Dynamic postural control for ANT returned to pre-fatigue level with least significant"/><s v="Dynamic postural control for PM returned to pre-fatigue level with less"/><s v="Dynamic postural control for PL returned to pre-fatigue level with most"/><s v="Intraclass correlation coefficients for the Y-Balance Test indicate good intra-session reliability for ANT"/><s v="Intraclass correlation coefficients for the Y-Balance Test indicate best intra-session reliability for PM"/><s v="Intraclass correlation coefficients for the Y-Balance Test indicate least intra-session reliability PL"/><s v="Investigating the effects of maximal anaerobic fatigue on dynamic postural control with Y Balance test by comparing pre-fatigue and post-fatigue (0, 10, 20 min) in posteromedial direction"/><s v="Investigating the effects of maximal anaerobic fatigue on dynamic postural control with Y Balance test by comparing pre-fatigue and post-fatigue (0, 10, 20 min) in posterolateral direction"/><s v="Alzheimer’s disease genetics as a moderator of the association between combat exposure and PTSD risk"/><s v="Media Choice and Types of Media Collections"/><s v="&quot;..integrated supplemental intervention for early elementary students [...] (produces) significant improvement from baseline to intervention for both reading and behavior outcomes.&quot;"/><s v="Academic and Behavior Combined Support (ABC Support)"/><s v="Early Reading Intervention"/><s v="&quot;Word reading was measured with 8 words ranging from easy to difficult presented on the tablet, one at a time. The words represented a variety of letters and letter sequences (CV, VC, CVC, VCC, VCC, CVCV, CVCC, CVCVC). The students were asked to read the "/><s v="The authors investigated whether the time to publication had an effect on publication bias."/><s v="The authors investigated whether the sample size had an effect on publication bias."/><s v="The authors investigated whether number of statistical tests had an effect on publication bias."/><s v="The authors investigated whether the type of outcome measure had an effect on publication bias."/><s v="Outcome-Reporting Bias in Special Education Intervention Research"/><s v="Overall odds ratio that significant and nonsignificant findings reported in special education dissertations would also be reported in corresponding journal publications"/><s v="interpretation of verbal moods in Spanish"/><s v=" interpretation of verbal moods in Spanish"/><s v="Table D1"/><s v="Figure D1A"/><s v="Figure D1B"/><s v="&quot;Long-term exposure to prolactin-increasing, but not to prolactin sparing, antipsychotics is significantly associated with increased odds of breast cancer.&quot;"/><s v="≥5 years of exposure to prolactin-increasing antipsychotics and the association with breast cancer"/><s v="1–4 years of exposure to prolactin-increasing antipsychotics and the association with breast cancer"/><s v="&quot;number of postextinction reactivations of an extinction learning-related vmPFC pattern (day 2)&#xA;predicts extinction memory retrieval at test (day 3).&quot;"/><s v="&quot;spontaneous post-extinction vmPFC reactivations predict extinction memory retrieval&quot; (45 MINUTES after extinction) (replication paper p. 1)"/><s v="&quot;spontaneous post-extinction vmPFC reactivations predict extinction memory retrieval&quot; (90 MINUTES after extinction) (replication paper p. 1)"/><s v="&quot;L-DOPA administration significantly enhances retrieval&quot; (replication paper p. 1)"/><s v="&quot;L-DOPA administration significantly enhances retrieval and that this is MEDIATED by enhancement of the number of vmPFC reactivations&quot; (replication paper p. 1)"/><s v="&quot;.....pharmacologically enhancing dopaminergic activity during extinction consolidation [...] improves extinction memory retrieval at test.&quot;"/><s v="&quot;Critically, L-DOPA also increases the number of vmPFC pattern reactivations, and this effect mediates the effect of L-DOPA on extinction memory retrieval. &quot;"/><s v="factors affecting psychologists’ intentions to adopt an open data badge"/><s v="Results showed the target mastery criterion required fewer sessions of tact training for 3 of 5 participants and AVCD training for both participants. "/><s v="The Operant Analysis condition requires fewer instructional trials than the Set Analysis condition."/><s v="Maintenance is similar between Operant Analysis and Set Analysis conditions."/><s v="tendency for people to consider themselves morally good while behaving selfishly (moral hypocrisy)"/><s v="positive association between loneliness and anthropomorphism"/><s v="Corollary discharge provides the sensory content of inner speech"/><s v="&quot;we find that perceived responsibility to address climate change relates to 10 different pro-environmental outcomes.&quot;"/><s v="effect of perceived responsibility to address climate change (...) on worry about chlimate change"/><s v="effect of perceived responsibility to address climate change (...) on belief climate change is caused by humans"/><s v="&quot;Within females, SUD + exhibited higher IL-8 and IL-10 but lower CRP levels than SUD-. In contrast, SUD was not associated with biomarker levels in males.&quot;"/><s v="level of C-reactive protein in femals with substance use disorder"/><s v="level of interleukin 8 in females with substance use disorder"/><s v="level of interleukin 10 in females with substance use disorder"/><s v="Immediate Reinforcement Training and Delay Discounting Behavior in Rats"/><s v="bi-factor structure of repetitive thinking with both shared variance in repetitive thinking and unique variance specific to each form of repetitive thinking, specifically worry, rumination, and reflection"/><s v="Reflection-Specific Factor"/><s v="Effects of a classroom intervention on college students’ sourcing skills"/><s v="&quot;noticing contradictions between multiple pieces of misinformation undermines credibility and decreases the effect (all relative to the effect of a single piece of misinformation).&quot;"/><s v="misinformatio aviability correlates with misinformation endorsement "/><s v="misinformatio aviability correlates with accuracy operationalisations of the misinformation effect"/><s v="&quot;we expected to see a significant effect of flanker relatedness when flankers had a true morphological relation with targets, and these effects should be significantly greater than the effects of flanker relatedness seen in the pseudo-morphological and no"/><s v="Second language fluency"/><s v="Conjugate schedules are variations of continuous reinforcement schedules where the consequent events co-vary proportionally with a specific dimension of the response. The participants apply force to a dynamometer that adjusts the clarity of visual stimuli"/><s v="Researchers showed images to the adolescents with anorexia nervosa and adolescents with major depression to make decisions on the nature of the stimulus presented. They had to indicate which emotion (happy, sad, afraid, angry, or neutral) the face express"/><s v="Researchers showed images to the adolescents with anorexia nervosa and adolescents with major depression to make decisions on the nature of the stimulus presented. They had to decide if the person depicted was male or female. The effects of the factors in"/><s v="Researchers showed images to the participants (adolescents with anorexia nervosa and adolescents with major depression) to make decisions on the nature of the stimulus presented. They had to indicate which emotion (happy, sad, afraid, angry, or neutral) t"/><s v="Researchers showed images to the participants (adolescents with anorexia nervosa and adolescents with major depression)  to make decisions on the nature of the stimulus presented. They had to indicate which emotion (happy, sad, afraid, angry, or neutral) "/><s v="Researchers showed images to the participants (adolescents with anorexia nervosa and adolescents with major depression) to make decisions on the nature of the stimulus presented. They had to decide if the person depicted was male or female. The effects of"/><s v="Superior facial emotion recognition in adolescents with anorexia nervosa"/><s v="Interaction between item type and language group on performance (semantic interpretation task)"/><s v="Evidence is provided in support of the position that third language (L3) transfer is selective, whereby, at least under certain conditions, it is driven by the typological proximity of the target L3 measured against the other previously acquired linguisti"/><s v="Effect of item type (preposed vs. postposed) on performance (semantic interpretation task)"/><s v="Effect of language group on performance (semantic interpretation task)"/><s v="Interaction between item type and language group on performance. (collocation task)"/><s v="Effect of item type (preposed vs. postposed) on performance. (collocation task)"/><s v="Effect of language group on performance (collocation task)"/><s v="This effect measures the percentage of accounting authors who admit that a portion of their own published research articles is tainted by unethical practices"/><s v="This effect measures the percentage of published research articles that accounting authors believe, based on their own perceptions, to be tainted by unethical practices,"/><s v="The effect examines whether accounting researchers attribute research malfeasance to internal motivations or external pressures"/><s v="&quot;We find that people expect more corruption to manifest among the employees of relatively more hierarchical organizations&quot;"/><s v="indirect effect of hierarchy condition through corruption perceptions, on beliefs about whether the anti-corruption petition was justified"/><s v="indirect effect of hierarchy condition through corruption perceptions, on (...) desire to sign the anti-corruption petition"/><s v="people expect more corruption to manifest among the employees of relatively more hierarchical organizations"/><s v="BASC Attention Problems assess tendencies to be easily distracted, have difficulty focusing, and struggle to complete tasks that require sustained attention. ASCA Attention Deficit Hyperactive assesses behaviors commonly associated with Attention-Deficit/"/><s v="BASC Hyperactivity focuses on excessive motor activity, restlessness, impulsivity, and difficulty remaining still. ASCA Attention Deficit Hyperactive, as noted above, covers both inattentive and hyperactive-impulsive elements, reflecting a broader ADHD-re"/><s v="BASC Withdrawal measures a child’s tendency to pull back from social interaction, show limited involvement in activities, and appear emotionally distant or introverted. ASCA Avoidant focuses on avoidance driven by fear or anxiety, such as fear of social j"/><s v="BASC Conduct Problems identifies rule-breaking, oppositional, and potentially aggressive behaviors that violate expected social norms. ASCA Delinquent emphasizes more serious antisocial acts, potentially involving illegal activity or more severe violation"/><s v="BASC Conduct Problems is a broad measure of disruptive behaviors, which can include aggression, theft, and other norm-violating actions. ASCA Oppositional Defiant zeros in on persistent defiance, hostility, and argumentative behavior directed at authority"/><s v="BASC Aggression measures harmful or hostile actions such as fighting, threatening others, or acting violently. ASCA Solitary Aggressive Provocative highlights aggressive behaviors that seem proactively harmful and unprovoked, often initiated independently"/><s v="BASC Aggression focuses on a range of hostile or violent behaviors. ASCA Solitary Aggressive Impulsive captures impulsive, spur-of-the-moment aggressive actions that occur in isolation, reflecting poor impulse control and sudden anger outbursts."/><s v="BASC Externalizing encompasses various outwardly directed problem behaviors, including aggression, hyperactivity, and oppositionality. ASCA Overactivity focuses on excessive energy, restlessness, and an inability to settle down, highlighting the high-ener"/><s v="BASC Internalizing measures inwardly focused problems, such as anxiety, depression, somatic complaints, and social withdrawal due to emotional distress. ASCA Underactivity emphasizes low energy, low drive, and a lack of engagement in activities, reflectin"/><s v="citizens judge public services not only on experienced service quality but also on an implicit comparison&#xA;of service quality with prior expectations."/><s v="Higher expectations produce more negative disconfirmation, all else being equal (Hong Kong sample)"/><s v="Higher performance leads to more positive disconfirmation, all else being equal (Hong Kong sample)"/><s v="Positive disconfirmation (performance exceeding expectations) leads to higher satisfaction (Hong Kong sample)"/><s v="Performance directly and positively influences satisfaction, separate from its effect on disconfirmation. (Hong Kong sample)"/><s v="Expectations have a direct effect on satisfaction, separate from its effect on disformation (Hong Kong sample)"/><s v="Higher expectations produce more negative disconfirmation, all else being equal (Shenhzen sample)"/><s v="Higher performance leads to more positive disconfirmation, all else being equal. (Shenhzen sample)"/><s v="Positive disconfirmation (performance exceeding expectations) leads to higher satisfaction (Shenhzen sample)"/><s v="Performance directly and positively influences satisfaction, separate from its effect on disconfirmation. (Shenhzen sample)"/><s v="Expectations have a direct effect on satisfaction, separate from its effect on disformation (Shenhzen sample)"/><s v="When the governor is on the left the relationship between the proportion of shorter length conjuncts are positively related to the absolute difference in words and characters"/><s v="When the governor is absent the relationship between the proportion of shorter length conjuncts are positively related to the absolute difference in words and characters"/><s v="When the governor is on the right the relationship between the proportion of shorter length conjuncts are negatively related to the absolute difference in words and characters"/><s v="This effect investigates whether threat bias scores change over time across treatment conditions."/><s v="the present study tested the efficacy of such attentional training in a sample of severe&#xA;worriers over an extended period of time using psychometrically validated measures of anxiety and depression."/><s v="This effect explores whether the change in threat bias over time differs between the ARTS and Sham-ARTS groups."/><s v="This effect examines whether composite symptoms improve over time across treatment conditions."/><s v="This effect looks at whether the change in composite symptoms over time differs between the ARTS and Sham-ARTS groups."/><s v="This effect examines how block type (switch vs. non-switch) affects reaction times (global switch cost condition)"/><s v="relationship between bilingualism and improved task-switching flexibility, via  reduced global switch costs (GSC)"/><s v="This effect explores whether language status (bilingual vs. monolingual) has an impact on global switch costs (global switch cost condition)"/><s v="This interaction effect investigates how block type (switch vs. non-switch) and language status interact to affect global switch costs (global switch cost condition)"/><s v="This effect examines the difference in reaction times between switch and non-switch trials within the switch block (local switch cost)"/><s v="This effect tests whether language status (bilingual vs. monolingual) influences the local switch cost  (local switch cost condition)"/><s v="This interaction effect examines whether the relationship between switch status (switch vs. non-switch trials) and local switch costs is moderated by language status (local switch cost condition)"/><s v="Mattering is the feeling that one’s actions are significant, and that one would be missed if&#xA;one were gone"/><s v="The purpose of this study is to investigate the effect of proficiency level on the acquisition order of certain grammatical morphemes for L1 Spanish learners of L2 English"/><s v="Progressive -ing. The annotation covers OCs of the progressive verb form in&#xA;main lexical verbs occurring in finite verb phrases. Present"/><s v="Plural -s. The annotation covers OCs of the regular plural number form in nouns, while irregular nominal plurals or plural number forms with other lexical categories (adjectives) were not annotated, as done in previous MOS."/><s v="Copula be. The annotation covers OCs of copula be in finite verb phrases, so imperatives and other non-finite forms were not annotated. Copulas in the&#xA;negative form were tagged because, unlike lexical verbs, the negator does not force the verb be to appea"/><s v="Auxiliary be. The annotation covers OCs of auxiliary be, specifically in progressive and passive contexts."/><s v="Article. The annotation covers OCs of (in)definite articles (a(n)/the). Given&#xA;that the ‘zero article’ was disregarded in previous MOS, it was also disregarded here for comparative purposes. The non-suppliance of an article in an (in)definite OC was tagge"/><s v="Irregular past. The annotation covers OCs of the irregular past tense form of&#xA;lexical verbs only. Similarly to the rationale with irregular plural, cases of misformation (and also oversuppliance) are those where the learner applies the regular past -ed r"/><s v="Regular past. The annotation covers OCs of the simple past tense -(e)d form&#xA;of regular lexical verbs."/><s v="Possessive. The annotation covers OCs of the genitive structure [noun’s + NP]. Cases showing absence of the apostrophe have been marked as TLU, as we understand that the morpheme has been produced and the apostrophe represents a spelling issue."/><s v="3rd person singular. The annotation covers OCs of 3rd person singular -(e)s&#xA;forms of lexical verbs only."/><s v="Input, Process, and Output Anxiety Scales"/><s v="Input Anxiety Scales"/><s v="Process Anxiety Scales"/><s v="Output Anxiety Scales"/><s v="Rumination is a form of repetitive negative thinking with a focus on negative past experiences and feelings."/><s v="Jewish responses to Copernican thought provide evidence that social and cultural factors, in combination with theological considerations, shape the reception of scientific reform."/><s v="Customer empowerment -to-select leads to higher purchase intention (t-shirts)"/><s v="Customer empowerment -to-select leads to higher purchase intention (furniture)"/><s v="Customer empowerment -to-select leads to higher purchase intention (bicycles)"/><s v="Customer empowerment-to-select leads to higher WOM (t-shirts)"/><s v="Customer empowerment-to-select leads to higher WOM (furniture)"/><s v="Customer empowerment-to-select leads to higher WOM (bicycles)"/><s v="Customer empowerment-to-select leads to higher brand attitude (t-shirts)"/><s v="Customer empowerment-to-select leads to higher brand attitude (furniture)"/><s v="Customer empowerment-to-select leads to higher brand attitude (bicycles)"/><s v="Customer empowerment -to-create leads to higher purchase intention (t-shirts)"/><s v="Customer empowerment -to-create leads to higher purchase intention (furniture)"/><s v="Customer empowerment-to-create leads to higher WOM (t-shirts)"/><s v="Customer empowerment-to-create leads to higher WOM (furniture)"/><s v="Customer empowerment-to-create leads to higher WOM (bicycles)"/><s v="Customer empowerment-to-create leads to higher brand attitude (t-shirts)"/><s v="Customer empowerment-to-create leads to higher brand attitude (furniture)"/><s v="Customer empowerment-to-create leads to higher brand attitude (bicycles)"/><s v="The effect examines whether food objects elicit faster movement initiation compared to non-food objects (replicated condition: grasp)"/><s v="Behavioral bias for food in hand movements"/><s v="The effect examines whether food objects elicit faster movement initiation compared to non-food objects (replicated condition: push)"/><s v="This effect investigates the interaction between movement type (grasp vs. ward) and response time to objects."/><s v="This effect investigates how the type of object interacts with movement type in determining response time."/><s v="This effect examines whether grasp movements differ in execution time compared to ward movements."/><s v="This effect investigates whether the type of object (food vs. other objects) influences movement initiation or reaching times. (replication condition: grasp)"/><s v="This effect investigates whether the type of object (food vs. other objects) influences movement initiation or reaching times. (replication condition: push)"/><s v="This effect explores how the combination of object type and movement direction affects movement times."/><s v="This effect investigates whether the type of object (food vs. ball) influences collection times."/><s v="This effect examines whether there is a bias in how food objects are collected compared to other objects during different movement phases."/><s v="This effect investigates the relationship between BMI with collection time advantages for food."/><s v="The effect investigates whether objects' edibility influences their positive valence ratings compared to non-edible objects (replicated condition: high-calorie food)"/><s v="The effect investigates whether objects' edibility influences their positive valence ratings compared to non-edible objects. (replicated condition: low-calorie food)"/><s v="Whether holding decision makers accountable for the decision process decreases escalating commitment, while accountability for the decision outcomes increases it."/><s v="Effect of deescalation techniques on the allocation of resources"/><s v="Effect of deescalation techniques on the allocation of resources (outcome accountability)-planned contrasts with baseline"/><s v="Effect of deescalation techniques on the allocation of resources (process accountability vs outcome accountability) "/><s v="To progress from intuitive ideas to deep conceptual understanding, students need to become aware of&#xA;gaps in their ideas. Attempting to solve problems prior to instruction may lead to a global awareness of&#xA;knowledge gaps"/><s v="effect of type of instruction on conceptual knowledge"/><s v="effect of timing of instruction on conceptual knowledge"/><s v="effect of type of instruction on procedural skills"/><s v="effect of timing of instruction on procedural skills"/><s v="interaction of timing and type of instruction on procedural skills"/><s v="interaction of timing and type of instruction on conceptual knowledge"/><s v="Examined the role of personal responsibility and consequences of decisions in escalating commitment."/><s v="Effects of personal responsibility on escalating commitment"/><s v="Effects of decision consequences on escalating commitment"/><s v="Effects of Personal Responsibility and Decision Consequences on escalating commitment (interaction)"/><s v="Nostalgia proneness (trait-level nostalgia) is associated with stronger music-evoked nostalgia"/><s v="Effects of context-level measures on music-evoked nostalgia (arousal)"/><s v="Effects of context-level measures on music-evoked nostalgia (positive emotions)"/><s v="Effects of context-level measures on music-evoked nostalgia (mixed emotions)"/><s v="Effects of person level predictors on music-evoked nostalgia (Nostalgia proneness) "/><s v="Interaction of context-level and person-level predictors on music-evoked nostalgia (nostalgia proneness x arousal)"/><s v="windfall gains are spent more easily than other types of assets"/><s v="money earned while working hard are less likely to be spent than money earned while doing an easier job"/><s v="death thought accessibility would be greater in the Mortality Salience no delay condition than in the other three conditions (MS delay, Dental Pain delay, Dental Pain no delay)"/><s v="Frontal EEG asymmetry has been proposed as an index of emotional regulation, reflecting both state and trait components, and there is evidence that these factors influence the cortisol response to stress. Here, we asked whether cold pressor stress modulat"/><s v="2 way interaction condition x time on frontal alpha asymetry"/><s v="We examine the differences between the error rates of CS major and non-major beginners, and also examine how these patterns change over time as students progress through the CS major course sequence."/><s v="most frequent static analysis errors"/><s v="Impact of student experience levels on the most frequent errors"/><s v="relationship between overall grades and all static analysis errors"/><s v="relationship between overall grades and coding flaws"/><s v="impact of code variants on code perceived readability"/><s v="impact of code variants on code comprehension"/><s v="impact of method chains on code perceived readability"/><s v="pediatric anxiety disorders are associated with implicit threat bias, manifesting as heightened attention to negative-valence stimuli and behavioral avoidance of threatening stimuli"/><s v="The effect under investigation explores the relationship between attentional threat bias (x) and negative affectivity (y), including anxiety and irritability among youth. Specifically, the study examines how greater attention allocation to negative-valenc"/><s v="Success of persuasion depends on strategy and expertise (incongruity hypothesis)"/><s v="Experiment 2 Manipulation check Certainty Conditions"/><s v="Experiment 2 Attitudes Main effect"/><s v="Experiment 2 Attitudes Certainty Conditions"/><s v="Experiment 2 Involvement Main effect"/><s v="Experiment 2 Involvement Certainty Conditions"/><s v="Relationship between predicted and actual instrumental activity (original condition: Dave) "/><s v="Relationship between predicted and actual instrumental activity (original condition: Drew) "/><s v="The study investigates patterns of emotional eating (overeating and undereating) and their association with emotional distress and disordered eating behaviors"/><s v="(Non-emotional eating)The study identified four latent patterns of negative emotional eating among Chinese young adults using Latent Class Analysis. "/><s v="(Emotional over- and under-eating)The study identified four latent patterns of negative emotional eating among Chinese young adults using Latent Class Analysis. "/><s v="(Emotional over-eating)The study identified four latent patterns of negative emotional eating among Chinese young adults using Latent Class Analysis. "/><s v="(Emotional under-eating)The study identified four latent patterns of negative emotional eating among Chinese young adults using Latent Class Analysis. "/><s v="negative emotional eating is closely related to disordered eating behaviors...In this study, we used a person-oriented approach, latent class analysis (LCA), to examine the negative emotional eating patterns and to characterize these patterns in a sample "/><s v="Parental Warmth (Child Rates Mother): Family environment (x) is associated with self-esteem development (y) during adolescence."/><s v="Parental Warmth (Child Rates Father): Family environment (x) is associated with self-esteem development (y) during adolescence."/><s v="Parental Hostility (Child Rates Mother): Family environment (x) is associated with self-esteem development (y) during adolescence."/><s v="Parental Hostility (Child Rates Father): Family environment (x) is associated with self-esteem development (y) during adolescence."/><s v="Monitoring (Child Rates Mother): Family environment (x) is associated with self-esteem development (y) during adolescence."/><s v="Monitoring (Child Rates Father): Family environment (x) is associated with self-esteem development (y) during adolescence."/><s v="Involvement in Education (Child Rates Mother): Family environment (x) is associated with self-esteem development (y) during adolescence."/><s v="Parental Relationship (Mother's Rating): Family environment (x) is associated with self-esteem development (y) during adolescence."/><s v="Depression of Mother: Family environment (x) is associated with self-esteem development (y) during adolescence."/><s v="Depression of Father: Family environment (x) is associated with self-esteem development (y) during adolescence."/><s v="Economic Hardship (Father Rates Subscale A): Family environment (x) is associated with self-esteem development (y) during adolescence."/><s v="Perceived similarity over life-span is positively correlated with life satisfaction"/><s v="Perceived Similarity (Model 1): Perceived similarity between one’s present and future self is associated with greater well-being 10 years later."/><s v="Perceived Similarity (Model 2, controlling for demographics): Perceived similarity between one’s present and future self is associated with greater well-being 10 years later."/><s v="Perceived Similarity (Model 3, controlling for demographics and baseline life satisfaction): Perceived similarity between one’s present and future self is associated with greater well-being 10 years later."/><s v="The majority of older adults have experienced microagressions and find them bothersome."/><s v="microinsults: Age-related microaggressions are common and are associated with negative emotional and behavioral responses in older adults."/><s v="microassaults: Age-related microaggressions are common and are associated with negative emotional and behavioral responses in older adults."/><s v="microinvalidations: Age-related microaggressions are common and are associated with negative emotional and behavioral responses in older adults."/><s v="An effect of eccentricity and valence on accuracy and RTs, with positive valence showing highest performance across eccentricities, measures and studies"/><s v="Plea rates were similar within and different between groupings that comprised plea offers of similarly meaningful distance from the potential trial sentence (Study 3)."/><s v="Impact of APOE-ε alleles on brain structure and cognitive function in healthy older adults"/><s v="The scale and composition of emergency demand for police services "/><s v="The effect of police killings on attitudes towards the police - Satisfaction"/><s v="The effect of police killings on attitudes towards the police - Perceptions of fairness"/><s v="The effect of police killings on attitudes towards the police - Community engagement"/><s v="police killings in other contexts play a role in shaping attitudes towards local police "/><s v="Crianza Positiva e-messaging program has incremental effect on the physical games."/><s v="Crianza Positiva e-messaging program has incremental effect on the didactive activities."/><s v="Crianza Positiva e-messaging program has incremental effect on the social activities."/><s v="parental time invesment in physical games improves intention to treat"/><s v="parental time invesment in didactic activites improves intention to treat"/><s v="parental time invesment in social activites improves intention to treat"/><s v="higher scores on positive parenting scales is correlated with intention to treat"/><s v="parental stress index is correlated with intention to treat"/><s v="main effect, parental involvement in physical games and intention to treat"/><s v="interaction effect, parental involvement in physical games and intention to treat * negative shocks "/><s v="main effect, parental involvment in didactic activities and intention to treat"/><s v="interaction effect, parental involvement in didactic activities and intention to treat * negative shocks "/><s v="main effect, parental involvment in social activities and intention to treat"/><s v="interaction effect,  parental involvment in social activities and intention to treat*negative shocks"/><s v="main effect, parental knowledge and intention to treat"/><s v="interaction effect, parental knowledge and intention to treat*negative shock"/><s v="main effect parental stress index and intention to treat"/><s v="interaction effect, parental stress index and intention to treat*negative shock"/><s v="Keeping a diary improves' students motivation for learning "/><s v="Variety and amount of interpersonal interactions improves well-being"/><s v="Our sense of anonymity depends not only on what people know about us but also on what we know about them."/><s v="H1: Participants in the information&#xA;condition will report a significantly&#xA;higher percentage chance of lie&#xA;detection by their ‘partner’ than&#xA;participants in the no information&#xA;condition.(entire sample)"/><s v="H2: Participants in the information&#xA;condition will report significantly&#xA;higher responses to how well they&#xA;believe they know their ‘partner’.&#xA;(entire sample)"/><s v="Knowledge of the ‘partner’&#xA;mediates the relationship between&#xA;the condition participants were&#xA;assigned to and their assessment&#xA;of the percentage chance that their&#xA;‘partner’ will detect their lie. (entire&#xA;sample)"/><s v="Participants in the information&#xA;condition will report a significantly&#xA;higher percentage chance of lie&#xA;detection by their ‘partner’ than&#xA;participants in the no information&#xA;condition.(manipulation check&#xA;passed only)"/><s v="H5: Participants in the information&#xA;condition will report significantly&#xA;higher responses to how well they&#xA;believe they know their ‘partner’.&#xA;(manipulation check passed only)"/><s v="H6: Knowledge of the ‘partner’&#xA;mediates the relationship between&#xA;the condition participants were&#xA;assigned to and their assessment&#xA;of the percentage chance that their&#xA;‘partner’ will detect their lie.&#xA;(manipulation check passed only)"/><s v="Difference in co-parenting quality between groups"/><s v="Step it UP! Game increases steps of adults with disabilities"/><s v="Conflict affected individuals tend to engage more in social organization and hold greater expressive values, at least 26 year after the individual’s exposure to the war."/><s v="Greater exposure to bombing leads to greater civic engagement years after the exposure "/><s v="Word length effect reflects the contribution of the articulatory rehearsal process"/><s v="Phonemic similarity effect reflects the phonological storage capacity."/><s v="Articulatory suppression effect"/><s v="effects of articulatory suppression  [...] upon the number of sequences recalled"/><s v="phonemic similarity  [...] upon the number of sequences recalled"/><s v="word length  [...]  upon the number of sequences recalled"/><s v="effect of phonemic similarity [..] recall performance"/><s v="word length  [...]  upon the recall performance"/><s v="effect of blocks [...] on percentage of items correctly recalled"/><s v="effect of word length [...] on percentage of items correctly recalled"/><s v="effect of unattended speech [...] on percentage of items correctly recalled"/><s v="effects of presentation rate [...] on total number of [...] correctly recalled times"/><s v="effects of phonemic similarity [...] on total number of [...] correctly recalled times"/><s v="effects of articulatory suppression [...] on total number of [...] correctly recalled times"/><s v="effects of phonemic similarity [...] percentage of items that were correctly recalled"/><s v="effects of articulatory suppression [...] percentage of items that were correctly recalled"/><s v="effects of recall delay [...] percentage of items that were correctly recalled"/><s v="Compared to English speakers, Tagalog speakers were rated as less competent."/><s v="A significant three-way interaction was driven by the competence ratings in low-performance scenarios, where both English and Tagalog speakers received higher competence ratings in low- versus high-prestige jobs, but the magnitude of this difference was g"/><s v="Compared to English speakers, Tagalog speakers were rated as less treated."/><s v="A significant three-way interaction was driven by the treatment preference ratings given to Tagalog speakers (rather than English speakers) in low-performance scenarios, where Tagalog speakers received higher ratings in low- versus high-prestige jobs."/><s v="Compared to English speakers, Tagalog speakers were rated as less comprehensible."/><s v="A significant three-way interaction between speaker L1, prestige, and performance level was driven by the ratings in low-performance scenarios, where both English and Tagalog speakers were evaluated as sounding more comprehensible in low- versus high-pres"/><s v="directly comparing the ERN and its psychometric properties when derived from the flankers [...] tasks as a function of increasing trial numbers."/><s v="directly comparing the ERN and its psychometric properties when derived from the [...] Stroop [..] tasks as a function of increasing trial numbers."/><s v="directly comparing the ERN and its psychometric properties when derived from the [...] go/no-go tasks as a function of increasing trial numbers."/><s v="Flanker Task"/><s v="Go/No-Go Task"/><s v="Stroop Task"/><s v="Generalized anxiety disorder and selective attention"/><s v="confirm RT on Proximity effect 1/4, 1/3, 1/2, 1/1"/><s v="Motivation on Proximity effect 2/4, 2/3, 2/2"/><s v="confirm RT on Proximity effect 2/4, 2/3, 2/2"/><s v="Motivation on Proximity effect 3/4, 3/3"/><s v="confirm RT on Proximity effect 3/4, 3/3"/><s v="Motivation on Proximity effect combined effect"/><s v="confirm RT on Proximity effect combined effect"/><s v="Motivation on Effort effect 4/4, 3/3, 2/2, 1/1"/><s v="confirm RT on Effort effect 4/4, 3/3, 2/2, 1/1"/><s v="Motivation on Effort effect 3/4, 2/3, 1/2 3.88"/><s v="confirm RT on Effort effect 3/4, 2/3, 1/2 3.88"/><s v="Motivation on Effort effect 2/4, 1/3"/><s v="confirm RT on Effort effect 2/4, 1/3"/><s v="Motivation on Effort effect combined effect"/><s v="confirm RT on Effort effect combined effect"/><s v="Frustration on Proximity effect 1/4, 1/3, 1/2, 1/1"/><s v="Frustration on Proximity effect 2/4, 2/3, 2/2"/><s v="Frustration on Proximity effect 3/4, 3/3"/><s v="Frustration on Proximity effect combined effect"/><s v="Frustration on Effort effect 4/4, 3/3, 2/2, 1/1"/><s v="Frustration on Effort effect 3/4, 2/3, 1/2 3.88"/><s v="Frustration on Effort effect 2/4, 1/3"/><s v="Frustration on Effort effect combined effect"/><s v="Surprise on Proximity effect 1/4, 1/3, 1/2, 1/1"/><s v="Surprise on Proximity effect 2/4, 2/3, 2/2"/><s v="Surprise on Proximity effect 3/4, 3/3"/><s v="Surprise on Proximity effect combined effect"/><s v="Surprise on Effort effect 4/4, 3/3, 2/2, 1/1"/><s v="Surprise on Effort effect 3/4, 2/3, 1/2 3.88"/><s v="Surprise on Effort effect 2/4, 1/3"/><s v="Surprise on Effort effect combined effect"/><s v="Motivation on Proximity effect 1/4, 1/3, 1/2, 1/1"/><s v="The study investigates the neural signature of escalating frustration in humans, focusing on how proximity to a blocked goal and expended effort influence frustration levels and neural activation patterns."/><s v="Extraversion predicts social media use."/><s v="The aggregate elasticity for the U.S. manufacturing sector is in the range of 0.5–0.7."/><s v="relation between willingness to be a donor and the chosen default."/><s v="relation between opinion if people ought to be a donor and the chosen default."/><s v="relation between the policymakers’ chosen default and the resulting inferences about their personal preferences."/><s v="the relation between the policymakers’ chosen default and participants’ inferences regarding the policymakers’ beliefs about whether people ought to be donors."/><s v="enrollment condtion vs probably think that employees ought to enroll in a retirement plan&#xA;"/><s v="enrollment condtion vs probably think that employees want to be enrolled"/><s v="enrollment condtion vs are probably enrolled themselves"/><s v="effect of the chosen default vs greater enrolment"/><s v="effect of the chosen default vs more likely enrollment"/><s v="Experiment 1 - Willing to be a donor"/><s v="Experiment 1 - Think people ought to be donors"/><s v="Experiment 2 - Policymakers willing"/><s v="Experiment 2 - Policymakers think people ought to be donors"/><s v="Experiment 3 - Enrolled"/><s v="Experiment 3 - Not Enrolled"/><s v="Thinking about God reduces reliance on human recommendations in favor of AI recommendations across various contexts"/><s v="God salience influence the preference between human expert and AI recommendations across 24 different daily tasks"/><s v="God salience influence the preference between human expert and AI recommendations about mutual fund"/><s v="God salience influence the preference between human expert and AI recommendations of songs listened"/><s v="God salience influence the preference between human expert and AI recommendations in medical decision context"/><s v="Perception of AI as &quot;black box&quot; influences the choise of investment to the mutual fund recommended by human and AI because of the similarity in mysteriousness between God and AI "/><s v="Algorithm aversion was weaker among participants reminded of God when choosing mutual funds."/><s v="God salience increases preference for AI recommendations in music selection."/><s v="The impact of God salience on AI acceptance is mediated by feelings of smallness and belief in human imperfection."/><s v="God salience weakens algorithm aversion across mysterious and non-mysterious conditions."/><s v="Modulation of emotion by cognition and cognition by emotion"/><s v="Moderated mediation of cognitive elaboration and perceived source credibility on personalness of source"/><s v="Development of holistic episodic recollection"/><s v="Linguistic signature of psychological distancing in emotion regulation"/><s v="Reappraisal success is positively correlated with linguistic distance"/><s v="Reappraisal is not correlated with positive affect words"/><s v="Reappraisal is negatively correlated with negative affect words"/><s v="Participants reported feeling less negative when writing about images in the Reappraise Negative conditionm than in Look Negative"/><s v="Participants used fewer negative affect words in the Reappraise Negative condition than in the Look Negative condition"/><s v="Participants’ writing was more distanced in the Reappraise Negative condition than in the Look Negative condition"/><s v="Participants completed more “fun” tasks than “self-control” tasks"/><s v="For the fun version of the task, participants motivated by their past self completed more trials than did participants motivated by their future self, however this logic reversed in the self-control version of the task"/><s v="Within-the-bar condition resulted in a larger and significant bias in rating"/><s v="Within-the-dot condition resulted in a non-significant bias in rating"/><s v="The model explained moderate varience"/><s v="Dot plots reduced the bias"/><s v="Graph literacy was positively correlated with bias"/><s v="The relation between graph literacy and display type was not significantly different in bar and dot conditions"/><s v="The more students endorsed a fixed theory, the less interest they expressed in the article that mismatched their interest identity"/><s v="Brief intervention to encourage empathic discipline cuts suspension rates in half among adolescents"/><s v="Stroop interference predicts a decreased model-based choice contribution"/><s v="Predictive effect of susceptibility to response conflict was limited to model-based rather than model-free choice contribution in the infrequent condition"/><s v="Rewards significantly influence the repetition of the previous choice"/><s v="Rewards and transition interaction (rare / common) significantly influence the repetition of the previous choice"/><s v="Transition interaction (rare / common) did not influence the repetition of the previous choice"/><s v="Predictive effect of susceptibility to response conflict was not limited to model-based choice in the frequent condition"/><s v="Considering a message in light of important values increases message processing and later resistance to change"/><s v="The responses before and after in the test are equal, highlighling the reliability across dilemmas"/><s v="Subjects in the CRT-First condition (inducing more reflective attributions) judged the utilitarian actions to be more acceptable"/><s v="Higher CRT scores would correlate positively with utilitarian judgments"/><s v="The relationships between the variables are not equal since the correlation coefficients are different"/><s v="The reported effects of the CRT was not the effects of performing a task of some non-specific kind"/><s v="There is an emotional-memory trade-off: general recognition is significantly influenced by the interaction of condition (sleep, wake) and scene component (object, background)"/><s v="There is an emotional-memory trade-off: general recognition is significantly influenced by the interaction of condition (sleep, wake) and valence (negative, neutral)"/><s v="There is an emotional-memory trade-off: general recognition is significantly influenced by the interaction of factors"/><s v="Sleep selectively preserved memory for the scene’s negative emotional objects"/><s v="Sleep does not preserve memory for the scene’s background regardless their valence"/><s v="Healthy out-group members are represented psychologically as infected in-group members"/><s v="The decrease of correct recall was mostly due to the increase in the number of within-group errors"/><s v="Participants primed with positive features of greed expressed more favorable attitudes toward greed "/><s v="Higher social class predicts increased unethical behavior"/><s v="In the neutral-prime condition, upper-class participants reported significantly more unethical behavior, but when priming with positive aspects of greed, lower-class articipants exhibited high levels of unethical behavior"/><s v="Participants were more accurate or correct in their responses when they received a negative test result "/><s v="Participants in the favorable LIB condition were more likely to believe that the communicatior had the same political affiliation as the target compared to participants in the unfavorable LIB condition. "/><s v="Belief that communicator would support democratic leaning social policies was bigger in the favorable LIB condition than in the unfavorable condition"/><s v="Participants who received favorable information about Peter perceived him as more likely to act helpfully"/><s v="Participants in the favorable-LIB condition were significantly more likely to believe the communicator and target shared political-group membership"/><s v="There was no significant interaction between the LIB condition and the target’s political affiliation"/><s v="Favorable Linguistic intergroup bias lead to higher believs that Peter was more likely to be helpful in the future "/><s v="Favorable Linguistic intergroup bias lead to higher believs that Peter was less likely to be rude in the future"/><s v="Being in the favorable Favorable Linguistic intergroup lead to higher believe that the communicator was a Democrat"/><s v="Participants in the favorable-LIB condition believed that the communicator was less likely to support the policy"/><s v="Participants in the favorable-LIB condition were more likely excplicitly beliving that the communicator was more from Democratics"/><s v="The target’s political affiliation (Democrat vs. Republican) did not significantly influence participants’ judgments about shared group membership"/><s v="The interaction between the LIB condition and the participant’s political affiliation was not significant"/><s v="Participants rated different types of traits (masculine vs. feminine) differently, regardless of the condition"/><s v="The difference in how masculine and feminine traits were rated marginally depended on whether participants were in the divergent-thinking or convergent-thinking condition"/><s v="In the divergent-thinking condition, participants strongly associated creativity with masculine-agentic traits"/><s v="In the convergent-thinking condition, participants still associated creativity more with masculine-agentic traits"/><s v="Masculine traits were seen as more important for creativity in the divergent-thinking condition"/><s v="There was no significant difference in how feminine traits were perceived across the divergent-thinking and convergent-thinking conditions."/><s v="Mean reaction times were faster when the target location was congruent with that indicated by the numeric cue"/><s v="Interest rates decrease as A0:2 increases - tradeoff model"/><s v="Explicitly stating zero outcomes increases patience"/><s v="Increasing the smaller sooner reward reduces patience"/><s v="For larger later rewards, increasing the smaller sooner reward increases patience"/><s v="The effect of adding amounts to rewards depends on the specific reward structure"/><s v="Responsive conditions increase global focus"/><s v="Mood does not mediate global processing effects"/><s v="Responsive conditions increase global focus when the mood was considered as a factor"/><s v="Switching reverses memory effects for attended and unattended items"/><s v="Cognitive load amplifies perceived risk"/><s v="Tempting fate increases perceived risk"/><s v="Load amplifies the effect of tempting fate"/><s v="Participants perceive paltering as more unethical compared to honest responses"/><s v="Lying by commission and paltering are perceived as equally unethical"/><s v="Lying by commission is perceived as more unethical than honesty"/><s v="Paltering and lying by commission are perceived equivalently in terms of unethicality"/><s v="Participants trust the honest buyer more than the one who paltered"/><s v="Participants trust the honest buyer more than the one who lied by commission"/><s v="Lying by commission and paltering are perceived as equally untrustworthy"/><s v="Participants are less likely to negotiate again with a buyer who paltered compared to one who answered honestly."/><s v="Pparticipants are less likely to negotiate again with a buyer who lied by commission compared to one who answered honestly"/><s v="Participants perceive lying by commission and paltering as equally undesirable for future negotiation likelihood"/><s v="The difference in wrongness ratings between the high-dosage and low-dosage versions was substantially higher for the harm transgressions"/><s v="Participants had greater sensitivity to dosage for harm-based transgressions"/><s v="High-dosage transgressions were judged to be more wrong than low-dosage transgressions"/><s v="The harm and purity transgressions were well matched for severity"/><s v="Observers are biased by the ensemble statistics of a display when representing display items in visual working memory"/><s v="Participants identified significantly fewer actions in the construal-of-choice condition compared to the control condition"/><s v="A choice mind-set increases the acceptance and maintenance of wealth inequality"/><s v="Negotiators with a weak BATNA made significantly lower first offers than those with no alternative"/><s v="Cleanliness reduces the severity of moral judgments"/><s v="Condition does not independently affect emotional ratings"/><s v="Self-promoters misjudge recipients' emotions"/><s v="Emotions differ in intensity across conditions"/><s v="Self-promoters perceived greater happiness in recipients than recipients actually reported"/><s v="Self-promoters believed recipients felt prouder of them than recipients actually did"/><s v="Despite expectations, self-promoters thought recipients felt more jealous than they actually reported"/><s v="Self-promoters failed to recognize the extent of recipients' annoyance toward their self-promotion"/><s v="Self-promoters and recipients did not differ significantly in perceptions of recipients' upset emotions"/><s v="There was no notable discrepancy between self-promoters' and recipients' perceptions of anger"/><s v="Self-promoters slightly overestimated how inferior recipients felt in comparison to them, though not significantly"/><s v="Sexual orientation (gay vs. straight) influences perceptions of American identity"/><s v="Perceived acceptance of one's country of origin (equally accepting vs. less accepting) affects perceptions of American identity"/><s v="The relationship between sexual orientation and perceptions of American identity depends on the level of acceptance associated with one's country of origin"/><s v="Dependence of state on exemplar is reduced compared to short-delay conditions, though not significantly"/><s v="Dependence of exemplar on state is significantly reduced compared to short-delay conditions"/><s v="Higher-income participants showed greater willingness to pay "/><s v="Higher income predicting a stronger effect of context on WTP"/><s v="There is an interaction between income and context"/><s v="Higher income amplifying the influence of context (resort vs. grocery store) on WTP"/><s v="Participants' choices of the target singer are influenced by the quality of the comparison set "/><s v="Participants' evaluations of the target singer persist despite changes in the comparison set"/><s v="Participants who read the neuroscience articles recommended significantly shorter prison sentences "/><s v="Participants in the expanded time horizon condition are less likely to help others compared to the control condition"/><s v="The relationship between age and likelihood of helping others differs by time horizon condition"/><s v="Participants in the unspecified (limited) time horizon condition are less likely to help others compared to the expanded condition"/><s v="Age predicts likelihood of helping others in the expanded time horizon condition"/><s v="Older individuals are more likely to help others when faced with limited time horizons, compared to younger individuals"/><s v="Participants chose to employ reappraisal on 76.3% of the low-intensity trials, but chose to employ distraction on 70.7% of the high-intensity trials"/><s v="Spectrum and Trait interation was significant"/><s v="Participants demonstrated significantly higher understanding scores in the common knowledge (CK) condition"/><s v="Participants' ratings of understanding differ significantly across conditions"/><s v="Ratings of understanding are significantly higher in the public CK condition than in the public no-CK condition"/><s v="Ratings of understanding in the public CK condition are nearly significantly higher than in the secret CK condition"/><s v="There is no significant difference in ratings of understanding between the public no-CK and secret CK conditions"/><s v="face typicality and perceived trustworthiness"/><s v="Distance from the typical face (DFT) influences attractiveness judgments."/><s v="The relationship between DFT and attractiveness judgments follows a quadratic trend"/><s v="The influence of DFT on judgments differs between trustworthiness and attractiveness"/><s v="The more distant the face from the typical face, the less trustworthy it was judged"/><s v="Trustworthiness judgments are systematically lower than attractiveness judgments"/><s v="Participants exposed to a disrespect condition reported higher levels of cynicism"/><s v="Children's developing intuitions about the truth conditions and implications of novel generics versus quantified statementsThere is a significant difference between mean prevalence level for generic wording in adults between truth condition and implied pr"/><s v="Participants recalled significantly more words on save trials than no-save trials in the eight-word condition"/><s v="Better recall on save trials and lower recall on no-save trials "/><s v="Saving File A improved recall of words from File B in the eight-word condition, suggesting a cognitive offloading effect"/><s v="No significant difference in File B recall was found when File A contained only two words, implying the effect depends on task complexity"/><s v="The interaction between trial type (save vs. no-save) and condition (eight-word vs. two-word) confirms that the impact of saving varies by word count"/><s v="Participants chose the face with higher contrast around the eye region more often"/><s v="The attended (cued) face tended to be judged to have higher contrast than the same face that was unattended to some degree"/><s v="Disclosing information about the self is intrinsically rewarding"/><s v="Males and females differ significantly in performance on the spatial-orientation test"/><s v="Performance on the spatial-orientation test differs significantly between the social and spatial conditions"/><s v="The effect of condition on spatial-orientation test performance varies significantly by sex"/><s v="Role of alternatives in the acquisition of simple and complex disjunctions in French and Japanese"/><s v="Potential racial biases in threat perception"/><s v="Participants misidentified safe words as threatening more often after Black primes than after White primes"/><s v="Participants more frequently categorized stimuli into the &quot;klein&quot; range compared to the &quot;groot&quot; range"/><s v="The perceived acceptable size range (&quot;groot zone&quot;) differs based on the prototypical size category (PROTOTYPICALLY SMALL vs. PROTOTYPICALLY BIG) of an object"/><s v="The predicted interaction between the measure of inherence bias and behavior typicality was significant"/><s v="Framing the policy differently does not significantly affect support for basic income policies"/><s v="The cue type did not have a significant main effect on the outcome variable"/><s v="Facebook use did not have a significant main effect on the outcome variable"/><s v="Side effects of behavior aimed at a different target"/><s v="Intentional Action and Side Effects in Ordinary Language"/><s v="There was a significant interaction effect between cue type and Facebook use on the outcome variable, with a noticeable difference in their combined impact"/><s v="Participants were significantly less likely to agree with claims about causal and explanatory relationships when a relationship was moderated"/><s v="Choice boosts curiosity"/><s v="occurs when an individual's exposure to a certain stimulus influences their response to a subsequent prompt, without any awareness of the connection."/><s v="Money makes people self-sufficient (primed with money donated significantly less)"/><s v="Women reported more positive attitudes toward sexual imagery for expensive goods"/><s v="Interaction between gender and price in emotional response was marginally significant"/><s v="Behavioral responses are more theta-oscillatory in memory-dependent compared to memory-independent tasks"/><s v="Judgments of trustworthiness and attractiveness are strongly predicted by interactions, with an excellent model fit.&quot;"/><s v="Stronger SLB endorsement predicts greater perceptions of anti-White bias"/><s v="The racial progress condition did not independently influence perceptions of anti-White bias"/><s v="Participants enjoyed the external activities much more than justthinking"/><s v="Cheating more when the spoils are split"/><s v="Capacity for visual features in mental rotation was significantly lower"/><s v="Accuracy was significantly lower in the object-rotation condition compared to the no-rotation condition"/><s v="Young children negatively evaluate and sanction free riders"/><s v="Transient spatial attention degrades temporal resolution"/><s v="Participants in the false-consensus condition showed slightly higher confidence than those in the no-consensus condition"/><s v="Participants in the false-consensus condition reported significantly lower confidence compared to those in the true-consensus condition"/><s v="Parents’ responsiveness to childcare subsidies and their preferences for different childcare arrangements in model 1"/><s v="Parents’ responsiveness to childcare subsidies and their preferences for different childcare arrangements in model 2"/><s v="Parents’ responsiveness to childcare subsidies and their preferences for different childcare arrangements in model 3"/><s v="Parents’ responsiveness to childcare subsidies and their preferences for different childcare arrangements in model 4"/><s v="Parents’ responsiveness to childcare subsidies and their preferences for different childcare arrangements in model 5"/><s v="Subsidies and ISEI interaction in 3rd model"/><s v="Subsidies and migration background interaction in 4th model"/><s v="Subsidies and gender interaction in 5th model"/><s v="ISEI for professional caregiver in model 2"/><s v="ISEI for professional caregiver in model 4"/><s v="ISEI for professional caregiver in model 5"/><s v="ISEI for care by family members in model 5"/><s v="Participants exposed to a legacy prime reported greater behavioral intentions compared to those not primed"/><s v="Writing an essay enhanced participants' legacy motives"/><s v="Priming legacy motives increased participants' belief scores regarding climate-change behaviors"/><s v="The effect of the legacy prime on climate-change beliefs was partially mediated by increased legacy motives"/><s v="The legacy prime's influence on behavioral intentions was partially mediated by increased legacy motives"/><s v="Congruency (e.g., consistency between stimuli and responses) influences task performance across conditions"/><s v="The influence of congruency on task performance depends on alignment"/><s v="The combined effects of alignment, congruency, and task type significantly influence performance."/><s v="Congruency affects performance specifically in the face task"/><s v="The relationship between congruency and performance varies by alignment in the face task"/><s v="Congruency significantly impacts performance in the aligned condition"/><s v="Congruency consistently affects performance across both tasks"/><s v="The interaction between congruency and alignment is significant across line task"/><s v="Congruency significantly affects performance in the aligned condition across line task"/><s v="Congruency significantly affects performance in the misaligned condition across line task"/><s v="learning and remembering heirarchical relationships"/><s v="Participants judged the man as more likely to be the pilot than the woman,"/><s v="The very same participants who criticized person X’s morality and intellect had just made judgments that were conceptually identical to person X’s Bayesian judgment"/><s v="Condition significantly interacts with the group"/><s v="Inhibitory-control deficits compromise memory suppression in posttraumatic stress disorder"/><s v="Action and inaction primes produced, respectively, higher and lower levels of cognitive output"/><s v="reading about self or third person"/><s v="Reading times were faster for passages that were written from a personal perspective for positive emotions"/><s v="There was a positive effect of perspective on reading times"/><s v="There was no effect of valence on reading times"/><s v="There was a negative effect of valence and perspective interactionon reading times"/><s v="There was a marginal positive effect of perspective on emotional self-rating"/><s v="There was a negative effect of valence on emotional self-rating"/><s v="There was an effect of valence and perspective interaction on emotional self-rating"/><s v="Teacher confidence results in stronger alignment between students and teachers"/><s v="Lack of control is a proximal mechanism that produces physical pain"/><s v="Mothers were judged as significantly less competent"/><s v="Mothers, relative to other applicants, are believed to be less suitable for hiring"/><s v="Female participants, relative to other applicants, are believed to be less suitable for hiring"/><s v="Participants in the status-threat condition supported conservative positions more than did participants in the control condition"/><s v="Returning the wallet was an indicator of moral (vs. immoral) character"/><s v="The value heuristic in judgments of relative frequency (flowers endowed)"/><s v="The value heuristic in judgments of relative frequency (birds endowed)"/><s v="Affective arousal links sound to meaning (shape condition)"/><s v="Affective arousal links sound to meaning (word condition)"/><s v="cognitive dynamics of negated sentence verification (interaction between negation and x-flips)"/><s v="cognitive dynamics of negated sentence verification (negation and truth)"/><s v="cognitive dynamics of negated sentence verification (negation and acceleration ⁄ deceleration events)"/><s v="cognitive dynamics of negated sentence verification (negation and veracity)"/><s v="Model-based influences on humans' choices and striatal prediction errors"/><s v="Neural correlates of mirror invariance in the visual word form area"/><s v="Cognitive vs. emotive factives"/><s v="Reconciling novelty and complexity through a rational analysis of curiosity"/><s v="Ambivalence gives pause to the powerful"/><s v="Syntax-induced pattern deafness"/><s v="Seeing one's own capability for wrongdoing predicts forgiveness"/><s v="moral roots of environmental attitudes"/><s v="moral roots of environmental attitudes (neutral condition)"/><s v="information quantities moderate decision makers' preference for consistent and inconsistent information"/><s v="Self-perceived expertise predicts claims of impossible knowledge"/><s v="Underestimating calorie content when healthy foods are present: an averaging effect or a reference-dependent anchoring effect (reference food on calorie estimates)"/><s v="Underestimating calorie content when healthy foods are present: an averaging effect or a reference-dependent anchoring effect"/><s v="a cognitive bias that describes the common human tendency to rely too heavily on the first piece of information offered (the “anchor”) when making decisions."/><s v="Individual-vs. population-level probabilistic modeling of reasoning in reference games (simple versus complex implicature situations)"/><s v="Individual-vs. population-level probabilistic modeling of reasoning in reference games (in complex implicature situations versus on ambiguous filler trials)"/><s v="Metamers of the ventral stream"/><s v="tiger mothers motivate Asian Americans but not European Americans"/><s v="Capability and inferences about commitment in labor markets"/><s v="Perceiving economic inequality in everyday life decreases tolerance to inequality (PEIEL condition)"/><s v="Perceiving economic inequality in everyday life decreases tolerance to inequality(control condition)"/><s v="Rational integration of noisy evidence and prior semantic expectations in sentence interpretation"/><s v="Schema induction and analogical transfer"/><s v="consequences of dehumanizing Black children"/><s v="Are older adults more willing to donate?"/><s v="Seeking confirmation is rational for deterministic hypotheses"/><s v="Mind perception"/><s v="generalized reciprocity and the limits of generosity"/><s v="Opportunity cost neglect attenuates the effect of choices on preferences"/><s v="Cognitive load selectively interferes with utilitarian moral judgment"/><s v="Optimal predictions in everyday cognition"/><s v="children’s fixed and growth intelligence mind-sets and parents' view of failure"/><s v="statistical shape of geometric reasoning"/><s v="Objecting to experiments even while approving of the policies or treatments they compare"/><s v="effects of an implemental mind-set on attitude strength"/><s v="texture representations in the human visual system"/><s v="Highlighting lower-SES students' background-specific strengths reinforces their academic persistence"/><s v="People prefer scientific explanations that contain logically irrelevant reductive information"/><s v="effect of taking a memory test on older adults’ subjective age"/><s v="preferences for and the efficacy of within-and cross-category substitutes for food"/><s v="College choice as a collective decision"/><s v="How the perception that profile text was written by AI affects trustworthiness (Control)"/><s v="How the perception that profile text was written by AI affects trustworthiness (Unlabeled)"/><s v="How the perception that profile text was written by AI affects trustworthiness (Labeled)"/><s v="How the perception that profile text was written by AI affects trustworthiness (Primed)"/><s v="shape bias: Evidence from the Tsimane’"/><s v="Aptness and conventionality in metaphor comprehension"/><s v="Disliking hypocrites (theory of false signaling)"/><s v="Promoting self-change over self-protection motives in response to negative feedback using high-level construal and perceptions and changeability"/><s v="A founding penalty: evidence from an audit study on gender, entrepreneurship, and future employment"/><s v="Limits on theory of mind use in adults"/><s v="Deviance or uniqueness, harmony or conformity?"/><s v="working memory Stroop effect"/><s v="Conveying and detecting hierarchical rank through voice"/><s v="Canonical visual size for real-world objects (effect of the size rank of the object on the drawn size of the object)"/><s v="Canonical visual size for real-world objects (effect of paper size on drawn size)"/><s v="Canonical visual size for real-world objects (interaction between the paper size and the effect of the object size)"/><s v="Teleological generics"/><s v="link between self-dehumanization and immoral behavior"/><s v="Susceptibility to others’ beliefs in human infants and adults"/><s v="Monty Hall problem: discovering psychological mechanisms for solving a tenacious brain teaser"/><s v="curse of knowledge (red container versus ignorance condition)"/><s v="curse of knowledge (blue container versus ignorance condition)"/><s v="Reminders of god can increase nonmoral risk taking"/><s v="effects of system threat on attraction to women who embody benevolent sexist ideals"/><s v="The logic of universalization guides moral judgment"/><s v="Time metrics matter, connecting present and future selves"/><s v="Controlling for participants’ viewing distance in large-scale, psychophysical online experiments using a virtual chinrest"/><s v="bidirectional link between visual perspective and action identification level"/><s v="Inferring whether officials are corruptible from looking at their faces"/><s v="Object persistence enhances spatial navigation"/><s v="impact of race and interpersonal dominance on perceptions of female leaders"/><s v="Race-based biases in deception judgments"/><s v="curse of knowledge"/><s v="A familiar-size Stroop effect in the absence of basic-level recognition"/><s v="Challenging moral attitudes with moral messages"/><s v="Realistic threat explains negativity toward Asian Americans"/><s v="Poverty impedes cognitive function"/><s v="Learning via active and passive hypothesis testing"/><s v="Sense of belonging and bias in web interfaces (Enrollment Intentions)"/><s v="Sense of belonging and bias in web interfaces (Ambient Belonging)"/><s v="Sense of belonging and bias in web interfaces (Anticipated Success)"/><s v="Sense of belonging and bias in web interfaces (Self Confidence)"/><s v="Sense of belonging and bias in web interfaces (Future CS Study Intentions)"/><s v="Sense of belonging and bias in web interfaces (Gender-related Anxiety)"/><s v="Measuring receptiveness to opposing views"/><s v="transposed-word effect in grammaticality judgments"/><s v="resenting those who do the right thing"/><s v="repetition blindness for nonwords"/><s v="If expected earnings are high, subjects work longer and earn more money than if expectations are low"/><s v="The accumulated monetary earnings in an experimental card game."/><s v="Individuals often retain authority even when its delegation is in their material interest—suggesting that authority has nonpecuniary consequences for utility."/><s v="It is the tendency to avoid transferring decision-making power to others."/><s v="Capacity to respond rapidly stabilizes cooperation and destabilizes defection in the prisoner’s dilemma."/><s v="Level of cooperation in the prisoner's dilemma comparing the outcome of two treatment groups &quot;Continuous treatment&quot; and &quot;Grid-8 treatment&quot;. "/><s v="Subjects cooperate more when game has cooperative equilibria - and benefit from being lenient and forgiving to some extent"/><s v="The researchers investigate the cost-benefit ratio (b/c) on cooperation levels in repeated interactions."/><s v="If firms can ex ante commit to a wage schedule with deferred compensation, workers should respond by supplying sufficient effort to avoid dismissal."/><s v="Is the ability to pay future deferred compensation when commitment is enforced (fct) compared to non-enforcement (nct)."/><s v="mild positive affect significantly reduces time preference over money"/><s v="It investigates if a positive affect impacts time preference, where time preference denotes a preference for present over future utility."/><s v="An organ allocation policy giving priority on waiting lists to those who previously registered as donors has a significant positive impact on registration."/><s v="They investigated the decision to register as an organ donor and how changes in the management of organ waiting lists might impact donations (comparison of the fraction of donors choosing to be a donor between the priority condition treatment and the cont"/><s v="High mispricing occurs with a declining fundamental value, while overvaluation emerges when coupled with an increasing C/A ratio."/><s v="They investigated how the effect of a declining fundamental value (FV) increases mispricing in experimental asset markets (a com-parison of the mean relative absolute deviation (RAD) between treatment 1 (t1) and treatment 2(t2))."/><s v="Assess whether markets guide behavior towards more or less efficient equilibria"/><s v="Last-place aversion suggests that low-income individuals might oppose redistribution because it could differentially help the group just beneath them."/><s v="Investigation of how positioning in second-to-last place endowments affect the probability to allocate money to the person one rank below them in a choice of distributing $2."/><s v="The effects of a costly punishment option on cooperation and social welfare in long, finitely repeated public good contribution games depends on whether monitoring is perfect or imperfect"/><s v="Is the effect of regular punishment under conditions of imperfect public monitoring (noise) on net earnings in a sequential goods game."/><s v="Screening for work attitude and labor market competition are causal determinants of the viability of high-performance work systems"/><s v="This is how providing employers with information about employees’ past performance influences the wages employers offer, the efforts of employees, and the financial outcomes for both."/><s v="Whether communication achieves beneficial social outcomes in a hidden-information context depends crucially on whether low-talent agents can participate in a Pareto-improving outcome."/><s v="The experimenters introduced a group where communication between players in a game was allowed ."/><s v="Groups with a salient ingroup identity can develop ingroup coordination to reach the efficient high-effort equilibrium."/><s v="Assessing how much the combined effort under the Ingroup treatment differs from the combined effort under the Outgroup treatment"/><s v="Arbitrators are usually chosen with a veto-rank method, yet this paper shows that an alternative shortlisting mechanism yields superior outcomes"/><s v="&quot;In the veto-rank mechanism (VR), two parties receive a list of n (an odd number) potential arbitrators. Each party independently vetoes or removes (n-1)/2 names from the list, and ranks the remaining (n + 1)/2 candidates&quot;. shortlisting is proposed as a m"/><s v="avoidance of gift exchange equilibria in favor of the monetary equilibrium."/><s v="Is the ability of the economy to maximize welfare by facilitating trade and coordination among agents."/><s v="Liability enables efficiency for credence goods, while verifiability has little effect"/><s v="The objective is to evaluate the impact of liability on efficiency in a credence goods market when verifiability is present, comparing the efficiency outcomes between two scenarios: one where both liability and verifiability exist (B/LV treatment) and one"/><s v="reference points are influenced by expectations"/><s v="&quot;Our second experiment measures the effect of expectations on subjects’ monetary valuation of an item. Subjects are not initially endowed with any item but learn that they will receive a mug for free with either high (80%) or low(10%) probability. All sub"/><s v="Incidental Haptic Sensations Influence Social Judgments and Decisions"/><s v="Retrieval practice produces more learning than elaborative studying with concept mapping"/><s v="Reading literary fiction improves theory of mind"/><s v="postdecisional dissonance"/><s v="imagined consumption reduces actual consumption"/><s v="Inequality and visibility of wealth in experimental social networks"/><s v="testing improves memory"/><s v="Writing about testing worries boosts exam performance in the classroom"/><s v="Spontaneous giving and calculated greed"/><s v="scarcity changes how people allocate attention"/><s v="Body cues, not facial expressions, discriminate between intense positive and negative emotions"/><s v="Google effects on memory: cognitive consequences of having information at our fingertips"/><s v="participants typically do not enjoy spending 6 to 15 minutes in a room by themselves with nothing to do but think"/><s v="Affirmative action policies promote women and do not harm effciency"/><s v="infuence of group size on cultural complexity"/><s v="episodic memory decisions induce lingering mnemonic biases"/><s v="Analytic thinking promotes religious disbelief"/><s v="Avoiding overhead aversion in charity"/><s v="Intergenerational Goods Game"/><s v="costly punishment in ecological systems is used but lacks a gross positive effect on resource harvesting unless combined with communication"/><s v="cleanliness priming effect (scrambled…"/><s v="people tend to perceive themselves as above average when considering easy abilities; using a mouse"/><s v="driving"/><s v="riding a bicycle"/><s v="saving money"/><s v="telling jokes"/><s v="playing chess"/><s v="Juggling"/><s v="Programming"/><s v="self-control relies on glucose as a limited energy source"/><s v="This study explored metabolic mechanisms of future (delay) discounting, a choice phenomenon where people value present goods over future goods. Using fluctuating blood glucose as an index of body-energy budget, optimal discounting should regulate choice a"/><s v="Glucose drinks fail to counteract ego depletion"/><s v="Participants with no emotional control"/><s v="Participants with decrease emotional control"/><s v="Participants with increase emotional control"/><s v="Self regulation is associated with logical reasoning and other information processing"/><s v="This study investigates how performing tasks requiring executive control depletes the capacity for subsequent tasks that also require self-control."/><s v="Controlling the focus of visual attention undermines performance on subsequent tests of working memory span, reverse digit span, and response inhibition."/><s v="manipulation check to determine whether subjects in the control condition attempted to regulate their emotions"/><s v="Behavioral measures"/><s v="manipulation check to determine whether subjects in the suppression condition attempted to regulate their emotions"/><s v="Mediation of Stroop Interference"/><s v="Error-related negativity (ERN)"/><s v="The replication tested whether the range of response categories influences reported TV watching behavior and its perceived importance. Participants in the high-category range reported significantly higher TV consumption (M = 4.87, SD = 1.12) compared to t"/><s v="Whether the activation or priming of an elderly stereotype affects participants' walking speed."/><s v="The replication tested implicit biases using the IAT and compared them with explicit attitudes. It found robust effects consistent with the original: race bias (d = 0.71) and gender-science stereotypes (d = 0.72)."/><s v="gender stereotypes and attitudes and identification with mathematics"/><s v="the larger the secret, the steeper a hill seemed"/><s v="the larger the secret, the steeper a hill seemed (replication sample 1)"/><s v="embodiment of secrets effect"/><s v="the larger the secret, the steeper a hill seemed (replication sample 2)"/><s v="The replication tested framing effects on risk preferences. It confirmed the original finding: participants were risk-averse in the gain frame (e.g., Program A: 200 lives saved) and risk-seeking in the loss frame (e.g., Program B: 400 lives lost)."/><s v="the bigger the secret, distances to seem farther away"/><s v="Results showed no significant retrospective gambler’s fallacy effect, as the data violated the normality assumption. Effect size: d = 0.02, p = .27."/><s v="honesty priming"/><s v="Participants who were exposed to honesty-related words admitted to having engaged in more excessive alcohol consumption behaviors than did participants who were exposed to neutral words."/><s v="Participants who were exposed to honesty-related words are more honest in the BIDR than participants who were exposed to neutral words. (SDE subscale)"/><s v="Participants who were exposed to honesty-related words are more honest in the BIDR than participants who were exposed to neutral words. (IM subscale)"/><s v="Macbeth effect ([im]moral act…"/><s v="anchoring effect: high anchors led to significantly higher numerical estimates"/><s v="anchoring - mt. everest"/><s v="anchoring - chicago"/><s v="anchoring - distance to nyc"/><s v="anchoring - babies born"/><s v="threat to one’s moral purity induces the need to cleanse oneself."/><s v="Macbeth effect ([im]moral act text…"/><s v="Macbeth effect: Threat to one’s moral purity induces the need to cleanse oneself."/><s v="Macbeth effect: Recalling unethical behavior followed by actual physical cleansing leads to a reduction in moral emotion."/><s v="Macbeth effect: physical cleansing as a psychological machanism for compensating guilty"/><s v="Effort to avoid or use racial information in a weapon identification task was hypothesized to modulate the emission of 1/f noise, with less negative PSD slopes (indicating reduced 1/f noise) expected under increased effort conditions."/><s v="Effort causally affects the emission of 1/f noise."/><s v="Effort to use or avoid racial information in a weapon identification task is hypothesized to reduce the emission of 1/f noise, with less negative PSD slopes expected under increased effort conditions"/><s v="power posing effect: power posing (physical postures that express power and dominance) affects levels of hormones such as testosterone and cortisol, financial risk taking, and self-reported feelings of power"/><s v="Participants’ ability to correctly predict the location of erotic pictures"/><s v="Precognitive detection of erotic stimuli: Future events influence current cognition and affect (retroactive influence)."/><s v="Participants’ ability to correctly predict the location of non-erotic pictures"/><s v="Literary fiction leads to (temporarily) better performance on tests of affective ToM (Theory of Mind) and cognitive ToM compared with reading nonfiction, popular fiction nothing at all."/><s v="Reading literature can led to better performance on tests of affective theory of mind and and cognitive theory of mind"/><s v="Replicated the effect of clipboard weight on perceived importance. No significant differences were observed (p = .54)."/><s v="Replicated the original study testing if communal traits affect temperature perception. The replication failed to detect the effect."/><s v="Reading segments of literary fiction (but not popular fiction or nonfiction) immediately and significantly improves performance on reading the mind in the eyes test, which is an theory-of-mind test."/><s v="The replication tested the impact of need for cognition on message evaluation, showing that individuals high in need for cognition evaluate strong arguments more favorably and are less influenced by weak arguments compared to those low in need for cogniti"/><s v="Thinking about time as money reduces enjoyment and increases impatience during leisure activities; financial compensation moderates these effects."/><s v="we investigate how the impatience that results from placing a price on time impairs individuals' ability to derive happiness from pleasurable experiences."/><s v="The replication tested whether people feel closer to positive past experiences and farther from negative ones, with high self-esteem individuals showing stronger distancing effects for negative outcomes."/><s v="The study investigates how physical warmth (e.g., holding a warm object) increases the need for emotional warmth, such as seeking social connection."/><s v="feelings of social warmth or coldness can be induced by experiences of physical warmth or coldness, and vice versa. Here we show that people tend to self-regulate their feelings of social warmth through applications of physical warmth, apparently without "/><s v="The replication tested whether naming ink colors is slower when the ink spells incongruent color words, demonstrating the cognitive interference effect caused by automatic reading processes."/><s v="The replication tested whether using spatial metaphors to describe time affects reasoning about temporal sequences. For example, participants exposed to spatial frames of reference (e.g., “ahead,” “behind”) processed temporal questions differently, suppor"/><s v="The replication tested whether individuals overestimate the frequency or likelihood of events that are more easily retrievable from memory, demonstrating the availability heuristic. For example, participants judged more frequent exposure to names of famou"/><s v="The replication tested whether individuals primed with high power are less likely to consider others' perspectives during communication tasks compared to individuals primed with low power."/><s v="Attachment anxiety positively predicts sensitivity to temperature cues in first study"/><s v="warm-temperature desirability ratings  the Reflection Condition × Attachment Anxiety interaction was significant"/><s v="attachment anxiety and desirability ratings of warm-temperature refreshments were positively related in the romantic-breakup condition"/><s v="attachment anxiety and desirability ratings of warm-temperature refreshments were unrelated in the ordinary-event condition"/><s v="Attachment anxiety positively predicts sensitivity to temperature cues in second study"/><s v="The replication tested whether money priming increases system justification. It did not replicate: d = -0.02, p = .43, indicating differences from the original study."/><s v="The replication tested whether imagining positive contact with an outgroup increases intentions to engage in future intergroup contact. It found a small but statistically significant effect: d = .13, p &lt; .001​ML.web.Supplement (1)"/><s v="Attachment anxiety positively predicts sensitivity to temperature cues in corrected study"/><s v="The replication tested whether instructional manipulation checks (IMCs) reduce noise and improve data reliability. The effect was confirmed with key statistical results: e.g., F(1, 113) = 3.55, p = .06 for data reliability among participants passing the I"/><s v="cleanliness priming effect"/><s v="People who are faced with a goal conflict are (1) more likely to spend time on work and (2) less likely to spend time on leisure."/><s v="People who are faced with a goal conflict increase the time spent on the book-browsing task when it is framed as work"/><s v="People who are faced with a goal conflict goal decrease the time spent on the book-browsing task when it is framed as leisure"/><s v="Interdependent consumers consistently make choices that balance self and others’ preferences, regardless of group size. In contrast, the choices of independent consumers differ depending on group size: for smaller groups, independents make choices that ba"/><s v="Independent consumers who choose on behalf of large groups tend to choose more selfishly"/><s v="Consumers with “low self-concept clarity” should be more motivated to keep their identities stable by retaining products that are relevant to their identities"/><s v="Participants with low self-concept clarity were more likely to retain the identity-relevant subscription"/><s v="Consumers with “low self-concept clarity” should be more motivated to keep their identities stable by choosing not to acquire new products that are relevant to their identities"/><s v="In that study, participants were induced to feel curious or not and then were asked to (hypothetically) choose between two gym memberships, one for a “normal” gym and one for an “indulgent” gym (on a 9-point scale). The authors reported that those induced"/><s v="Participants who are induced to feel curious are more likely to choose the indulgent gym over the normal gym"/><s v="Presenting multiple product replicates as a group (vs. presenting a single item) increases product efficacy perceptions"/><s v="Multiple products influenced participants belief of Dettol effectivity"/><s v="effect of red on attractiveness perceptions"/><s v="color not only has aesthetic value but can carry meaning&#xA;and impact psychological functioning in subtle, important, and provocative ways"/><s v="effect of red on sexual attraction"/><s v="effect of red on overall likability judgements"/><s v="main effect of condition on the applicability of the insanity defense"/><s v="to test whether genetic ascriptions affect people’s judgments&#xA;because they expect perpetrators to have stronger impulses&#xA;toward violence or have less control of their impulses."/><s v="main effect of condition for the diminished capacity defense"/><s v="main effect of condition on the intoxication defense"/><s v="main effect of condition on the sentencing"/><s v="significant effect of condition on perceived conscious control"/><s v="effect of condition on perceived recidivism "/><s v="effect of condition on perceived intention to kill"/><s v="effect of condition on criminal responsibility"/><s v="effect of condition on causal locus"/><s v="effect of condition on causal stability"/><s v="effect of condition on causal specificity"/><s v="effect of condition on causal control"/><s v="effect of condition on causal malleability"/><s v="The magnitude of adjustment-based anchoring is moderated by the need for cognition with low NFC leading to less adjustment from self-generated anchors"/><s v="High Need for Cognition (NFC) individuals adjust more from self-generated anchors."/><s v="Subliminally presented anchor values influence probability estimates under time pressure"/><s v="In a series of studies, we demonstrate that (i) individuals possess ecology-driven stereotypes; (ii) these stereotypes are not derivative of race stereotypes; and (iii) the application of race stereotypes to targets is greatly diminished when more immedia"/><s v="This effect investigates how ecological conditions (e.g., harsh vs. resource-rich environments) shape behavior, leading to ecology-driven stereotypes, often linked to race."/><s v="People do not fully appreciate this immediacy of judgment, in-stead assuming that they and others will consider more infor- mation before forming conclusions than they and others actually do. This discrepancy in perceived versus actual information use rev"/><s v="The effect being investigated is the discrepancy between the expected and actual number of paintings participants believe they need to see in order to form a verdict on whether they like or dislike a painting style."/><s v="In both experiments, we find that participants are more likely to engage in uncalculating cooperation when their decision-making process is observable to others. Furthermore, we confirm that people who engage in un-calculating cooperation are perceived as"/><s v="The effect being investigated is how observability of decision-making influences uncalculating cooperation when reputation is at stake."/><s v="Seven experiments explore people’s decisions to withhold or disclose personal information—and the wisdom of such decisions. Declining a request to disclose often makes a worse impression even than divulging unsavory personal information. Moreover, those w"/><s v="The effect being invesigated is whether deliberate non-disclosure is judged more negatively than inadvertent non-disclosure, influencing interpersonal preferences (e.g., dating interest)."/><s v="Relative to traditional, offline forms of communication, there is an enhanced permanence to digital sharing. Digital disclosures can come back to haunt, making it challenging for people to manage the impressions they make upon others. Nine studies show th"/><s v="The effect being investigated is whether temporary sharing of selfies reduces privacy concerns, leading to increased disinhibition in disclosures"/><s v="The present work examines beliefs associated with racial bias in pain management, a critical health care domain with well-docu-mented racial disparities. Specifically, this work reveals that a substantial number of white laypeople and medical students and"/><s v="The effect being investigated is whether racial bias in pain perception among non-medically trained white individuals is influenced by false beliefs about biological differences between Black and White people."/><s v="These findings highlight the interdependence between disputants and third parties, thereby complementing existing models that solely focus on unidirectional influence of third parties on disputants. These findings underscore the role self-interest plays i"/><s v="The effect being investigated is whether recalling and describing a past experience of intervening in a conflict vs not intervening affects individuals' perceptions of the benefits of intervening in future conflicts."/><s v="belief exchange in structured bipartisan networks can significantly improve the ability of both conservatives and liberals to interpret climate data, eliminating belief polarization. We also find that social learning can be reduced, and polarization maint"/><s v="The effect of partisan priming on reducing trend accuracy in predicting climate trends within networks."/><s v="The dissemination of scientific findings to the wider public is increasingly important to public opinion and policy. We show that this process is influenced by the facial appearance of the scientist. We identify the traits that engender interest in a scie"/><s v="The effect being investigated is whether participants are more likely to select articles when they are paired with photographs of researchers perceived as highly competent."/><s v="In six studies, we tested whether believing in free will is related to the correspondence bias—that is, people’s automatic tendency to overestimate the influence of internal as compared to external factors when interpreting others’ behavior. Overall, we d"/><s v="The effect being investigated is the impact of reducing belief in free will on the correspondence bias."/><s v="We test a new, multilevel perspective on the relationship between income and generosity that in-corporates economic inequality. In a nationally representative survey study and an experiment, we find that higher-income individuals are only less generous if"/><s v="The effect being investigated is whether high economic inequality reduces the generosity of high-income individuals compared to low-income individuals."/><s v="Dominant, open nonverbal displays are attractive at zero-acquaintance"/><s v="Postural expansiveness is associated with increased romantic dominance"/><s v="in a series of experiments, we show that those to whom resources are allocated often care less about fairness than those who allocate the resources expect them to. This “allocator’s illusion” results from the fact that fairness seems more important before"/><s v="The effect being investigated is whether participants predict that they would feel less bad about not receiving the bonus under a fair procedure compared to an unfair procedure"/><s v="We demonstrate here that the mere subjective experience of being lower in SES relative to others is alone sufficient to causally elicit behaviors that may risk obesity (e.g., preference, selection, and intake of greater calories), independent of actual ec"/><s v="The effect being investigated is whether participants in the low SSES condition exhibit stronger implicit preferences for calorie-dense foods compared to fruits/vegetables relative to those in the high SSES condition."/><s v="This study tests for the effect of thank-you gifts during a nonprofit’s direct-mail fund-raising campaign and finds that gifts reduced donation rates in this campaign. A complementary online experiment confirms that thank-you gifts can reduce donation rat"/><s v="The effect examines how the visibility of a gift card (extrinsic incentive) shifts attention away from intrinsic motivation (e.g., altruism) and leads to reduced donation rates"/><s v="Across two studies, we demonstrate that cognitive strategies decrease craving for unhealthy foods, increase craving for healthy foods, and modulate subjective valuation. Importantly, across four additional studies we show that brief training in such cogni"/><s v="The effect evaluates whether the ROC-T training leads to an increase in healthy food choices despite the availability of unhealthy tempting options"/><s v="We found that conservatives’ proenvironmental attitudes and be-haviors improved consistently and drastically when we presented messages that compared the environment today with that of the past. This research shows how ideological differences can arise fr"/><s v="The effect examines how presenting climate change appeals as past-focused comparisons (rather than future-focused) can increase pro-environmental attitudes and behaviors among conservatives"/><s v="Across eight studies combining archival and experimental methods, we report evidence for a gender bias in how people speak about professionals. Men and women were, on average across studies, more than twice as likely to describe a male (vs. female) profes"/><s v="The effect being investigated here is the influence of gender bias in how professionals are referred to (surname vs. full name) on perceptions of status, eminence, and allocation of resources or rewards (e.g., award money)"/><s v="This paper examines how detecting harmful intent creates downstream consequences for assessing damage, magnifying its cost. If intentional harms seem worse, society may spend more money on them than on objectively more damaging unintentional harms or on n"/><s v="The effect examines whether participants who read about an intentional act (mixing up medications intentionally) are more likely to choose a task involving blame compared to those who read about an unintentional act (mixing up medications unintentionally)"/><s v="conservatives are not only more likely to use stereotypes than are liberals, but are especially likely to negatively evaluate counterstereotypical people to organize the social world with greater certainty."/><s v="Conservatives negatively evaluate counterstereotypical people to maintain a sense of certainty"/><s v="People often make decisions with consequences that unfold over time. When facing such intertemporal choices, people use differ-ent search strategies. We examine how these search strategies differ and how they relate to patience in intertemporal choice."/><s v="The effect under investigation is how comparative searchers make more patient choices (i.e., choose a larger monetary reward which is delivered later) than integrative searchers"/><s v="Across five experiments, we show that dehumanization—the act of perceiving victims as not completely human—increases instrumen-tal, but not moral, violence."/><s v="The effect being investigated is whether people are more willing to harm a stranger described in dehumanised terms rather than humanised terms when the motives are instrumental."/><s v="Two aims of behavioral science, often pursued separately, are to model the evolutionary dynamics and cognitive mechanisms governing behavior in social conflicts. Combining these approaches, we show that the dynamics of proximate mechanisms such as reward "/><s v="The effect being investigated is that in repeated games against rigid opponents, thieves exhibit flexible stealing behavior, while victims display rigid punishment behavior."/><s v="Exposure to rising inequality shapes Americans’ opportunity beliefs and policy support...perceptions of rising economic inequality spark skepticism about the existence of economic opportunity in society that, in turn, may motivate support for equity-enhan"/><s v="The effect being investigated is the effect of inequality exposure on attributing success to structural factors compared to individual factors"/><s v="The present research documents the widespread misperception of race-based economic equality in the United States. Across four studies (n = 1,377) sampling White and Black Americans from the top and bottom of the national income distribution, participants "/><s v="The effect being investigated is the impact of inducing consideration of the persistence of racial discrimination on the overestimation of racial economic equality"/><s v="as compared with people who en-gaged in ethical behavior and those who engaged in positive or negative actions, people who acted unethically are the least likely to remember the details of their actions. That is, people experi-ence unethical amnesia: unet"/><s v="The effect being investigated is how prior cheating in a die-throwing game influences increased dishonesty in a subsequent Boggle game, after a three-day delay"/><s v="Facial redness increases perceived anger"/><s v="the cleanliness and neutral conditions revealed non-significant difference"/><s v="Cleanliness condition in the low response effort group significantly influenced the moral judgements averaged across all vignettes"/><s v="Cleanliness condition in the low response effort group significantly influenced the moral judgements in the &quot;Dog&quot; vignettes"/><s v="Cleanliness condition in the low response effort group did not achienve significant influence on the moral judgements in the &quot;Kitten&quot; vignettes"/><s v="Cleanliness condition in the low response effort group did not achienve significant influence on the moral judgements in the &quot;Plane&quot; vignettes"/><s v="Cleanliness condition in the low response effort group did not achienve significant influence on the moral judgements in the &quot;Resume&quot; vignettes"/><s v="Cleanliness condition in the low response effort group did not achienve significant influence on the moral judgements in the &quot;Trolley&quot; vignettes"/><s v="Cleanliness condition in the low response effort group did not achienve significant influence on the moral judgements in the &quot;Walley&quot; vignettes"/><s v="public goods are substitutes and merit goods are complements to private goods consumption"/><s v="Per capita household consumption (private consumption) together with public and merit goods, aggregate consumption in this economy"/><s v="Justified per capita household consumption (private consumption) together with public and merit goods, aggregate consumption in this economy"/><s v="Working age population share influence the consumption"/><s v="Public goods substitute private consumption"/><s v="Public order and defence government (public goods) substitute private consumption"/><s v="Public goods substitute private consumption in the past periods"/><s v="Public order and defence government (public goods) substitute private consumption in past periods"/><s v="Hansen J-test supports the notion of plausible restrictions in GMM."/><s v="Merit goods complement private consumption"/><s v="Education and health government (merit goods) complement private consumption"/><s v="Merit goods complement private consumption in the past periods"/><s v="Education and health government (merit goods) complement private consumption in past periods"/><s v="After tax real interest rate influence the consumption"/><s v="After tax real interest rate  influence the consumption"/><s v="Disposable income captures some transient income eHect but is not sustained enough to provide a convincing alternative to the permanent income mode"/><s v="Disposable income captures some transient income eHect but is not sustained enough to provide a convincing alternative to the permanent income mode in past periods"/><s v="Estimating the unemployment cost of having the average inflation rate below the targeted level requires estimating the long run Philips curve. Following Svensson (2015), the long run Phillips curve is estimated by taking the unconditional mean of the shor"/><s v=" Dictator games have been used extensively to study social preferences and framing effects of giving vs. taking."/><s v="Gender differences in the giving and taking variants of the dictator game can occur"/><s v="Women from countries with traditionally higher rates of female labor force participation (FLFP) are more likely to be in the labor force and that those from countries with traditionally lower total fertility rates (TFR) have relatively less children."/><s v="When workers leave multinationals and are rehired at domestic establishments, the wages of their new coworkers who have already been present in the establishment increase"/><s v="Certain teacher qualifications [...]  positively   impacted reading and  math achievement  for first grade  students  in  the  United  States."/><s v="disgust sensitivity is associated with stronger judgments of intentionality"/><s v="Encouraging gay kissing than generally encouraging kissing"/><s v="disgust sensitivity not predicting intentionality judgments (control condition)"/><s v="Assimilation and contrast effects in question sequences"/><s v="Correlation between the responses to the two questions when the specific question is asked first"/><s v="Correlation between the responses to the two questions when the specific question is asked second"/><s v="The difference between the correlations"/><s v="Correspondence bias (WEIRD samples)"/><s v="Correspondence bias (less WEIRD samples)"/><s v="perceived attitudes of the writer who wrote in favor of capital punishment"/><s v="perceived attitudes of the writer who wrote against capital punishment"/><s v="Harmful side-effects are more likely to be judged as having been brought about intentionally than helpful side effects"/><s v="an act that harms other people is seen as more morally permissible if the act is a foreseen side effect rather than the means to the greater good"/><s v="The difference in proportions of permeability judgements"/><s v="False consensus: supermarket scenario"/><s v="False consensus: traffic-ticket scenario"/><s v="False consensus: supermarket scenario (Slate 1)"/><s v="False consensus: traffic-ticket scenario (Slate 2)"/><s v="Moral typecasting"/><s v="Degree to which the person who committed the act is responsible"/><s v=" how intentional the act is"/><s v=" how much pain is felt by the victim"/><s v="Cardinal direction and socioeconomic status (all participants)"/><s v="Cardinal direction and socioeconomic status (western participants)"/><s v="Cardinal direction and socioeconomic status (non-western participants)"/><s v="Interaction between SES (high vs. low) and population (United States vs. Hong Kong)"/><s v="Likelihood of living preference for high-SES and low-SES individuals (US participants)"/><s v="Likelihood of living preference for high-SES and low-SES individuals (Hong Kong participants)"/><s v="Effect of framing on decision making"/><s v="Moral foundations of liberals versus conservatives (binding foundations)"/><s v="Moral foundations of liberals versus conservatives (individualizing foundations)"/><s v="Items that emphasized concerns for the in-group, authority, or purity (binding foundations)"/><s v="Reluctance to tempt fate"/><s v="The likelihood that the protagonist (themselves or Jon) would be called on by the professor"/><s v="Consumerism undermines trust"/><s v="Effects of consumer cues on feelings of responsibility"/><s v="Effects of consumer cues on feelings of obligation"/><s v="Effects of consumer cues on trust in other people"/><s v="Effects of consumer cues on viewing other people as partners"/><s v="Effects of consumer cues on believing other people should use less water"/><s v="Influence of incidental anchors on judgment"/><s v="Vertical position and power"/><s v="Relating vertical position with power"/><s v="Directionality and similarity"/><s v="Moral violations and desire for cleansing"/><s v="Moral violations create a desire for cleansing (and thus here a higher valuing of cleaning products)"/><s v="Structure promotes goal pursuit"/><s v="Prosociality is associated with the number of siblings"/><s v="Investigating the correlation between prosocial orientation and the number of siblings"/><s v="Priming “heat” increases belief in global warming"/><s v="Effect of condition on concern about global warming"/><s v="Investigating whether a deliberate, analytic processing style can be activated by incidental disfluency cues that suggest task difficulty"/><s v="Sociometric status and well-being"/><s v="The relationships among the high- and low- sociometric status (SMS) conditions and well-being "/><s v="Affect and risk"/><s v=" Whether to prefer an affectively attractive option (a kiss from a favorite movie star) or a financially attractive option ($50) depends on certainty"/><s v="Effect of choosing versus rejecting on relative desirability"/><s v=" Effect of choosing versus rejecting on relative desirability"/><s v="Construing actions as choices (Americans)"/><s v="logistic HLM model with construal of choice as the dependent measure"/><s v="logistic HLM model with culture and condition as participant-level predictors"/><s v="logistic HLM model with importance of decision as a trial-level covariate"/><s v="Construing actions as choices (indians)"/><s v="Preferences for formal versus intuitive Reasoning (european americans)"/><s v="Preferences for formal versus intuitive Reasoning (east asians)"/><s v="classification whether the mean percentages for the two experimental (judgment condition (decide “which group the target object belongs to”) or “which group the target object is more similar to)”                                                            "/><s v="A less expensive gift can be perceived as more generous than a more expensive gift when the less expensive gift is a high-priced item compared with other items in its category, and the more expensive item is a low-priced item compared with other items in "/><s v="The less-is-better effect, wherein a less expensive gift can be perceived as more generous than a more expensive gift when the less expensive gift is a high-priced item compared with other items in its category, and the more expensive item is a low-priced"/><s v="Products with brand names containing front vowel sounds, as opposed to back vowel sounds, are perceived as: (a) smaller"/><s v="Products with brand names containing back vowel sounds, as opposed to front vowel sounds, are perceived as: (b) darker (relative to lighter)"/><s v="Products with brand names containing front vowel sounds, as opposed to back vowel sounds, are perceived as: (c) milder"/><s v="Products with brand names containing back vowel sounds, as opposed to front vowel sounds, are perceived as: (d) thicker"/><s v="Products with brand names containing front vowel sounds, as opposed to back vowel sounds, are perceived as:  (e) softer"/><s v="Products with brand names containing front vowel sounds, as opposed to back vowel sounds, are perceived as: (f) faster"/><s v="Products with brand names containing back vowel sounds, as opposed to front vowel sounds, are perceived as: (g) warmer"/><s v="Products with brand names containing front vowel sounds, as opposed to back vowel sounds, are perceived as: (h) more bitter"/><s v="Products with brand names containing back vowel sounds, as opposed to front vowel sounds, are perceived as: (i) more masculine"/><s v="Products with brand names containing front vowel sounds, as opposed to back vowel sounds, are perceived as: (j) friendlier"/><s v="Products with brand names containing back vowel sounds, as opposed to front vowel sounds, are perceived as: (k) stronger"/><s v="Products with brand names containing back vowel sounds, as opposed to front vowel sounds, are perceived as: (l) heavier"/><s v="Products with brand names containing front vowel sounds, as opposed to back vowel sounds, are perceived as: (m) prettier"/><s v="Products with brand names containing back vowel sounds, as opposed to front vowel sounds, are perceived as: (c) milder"/><s v="The effect of product units displayed on the package on perceived product quantity"/><s v="The effect of product units displayed on the package on the serving size"/><s v="Unearned luxury consumption will lead to lower brand attitude than earned luxury consumption when consumers' fairness concerns are salient, but less so when fairness concerns are not salient."/><s v="The consideration of financial constraints shifts consumers’ preferences toward material goods rather than experiences. (I.e. Inducing financial scarcity will lead individuals to prefer purchasing material goods over experiences."/><s v="By manipulating the timing of an activity, the Time-Elicit (TEL) procedure of stating the maximum amount of hours required for a task should be more sensitive to a change in time scarcity, because time of money required for a task). Analogously, the TEL p"/><s v="When scarcity is salient, pro-self individuals will engage in even more selfish behavior compared to prosocial individuals. The difference between proself individual’s behavior and prosocial individual’s behavior is attenuated when scarcity is not salient"/><s v="Participants who encounter scarcity salience in a prior unrelated context would be more likely to use the provided products in novel but appropriate ways to solve the given task."/><s v="This study predicts that there will be higher preferences for violent experiences after exposure to the limited-quantity scarcity promotion (vs. control) among participants who did not reduce the competitive threat via the affiliation task (perceived comp"/><s v="Particular words will be preferred as brand names when the phonetic connotations of the words are consistent with the product attributes. Vowel sound-product category interaction"/><s v="Particular words will be preferred as brand names when the phonetic connotations of the words are consistent with the product attributes (Vowel sound-product category interaction)"/><s v="Particular words will be preferred as brand names when the phonetic connotations of the words are consistent with the product attributes. Front vowel sound words will be preferred over back vowel sound words for 2-seater convertible and knife"/><s v="Particular words will be preferred as brand names when the phonetic connotations of the words are consistent with the product attributes (Front vowel sound words will be preferred over back vowel sound words for 2-seater convertible and knife)"/><s v="Particular words will be preferred as brand names when the phonetic connotations of the words are consistent with the product attributes. Back vowelsound words will be preferred over front vowel sound words for  4×4 vehicle and hammer."/><s v="Particular words will be preferred as brand names when the phonetic connotations of the words are consistent with the product attributes (Back vowel  sound words will be preferred over front vowel sound words for 4×4 vehicle and hammer&quot;"/><s v="High (vs. low) color  saturation increases product size estimates"/><s v="High (vs. low) saturation increases attention"/><s v="High (vs. low) saturation increases arousal"/><s v="High (vs. low) color saturation increases product size estimates"/><s v="High (vs. low) color saturation increases product size estimatesHigh (vs. low) color saturation increases product size estimates"/><s v="Participants tend to prefer the healthy item (broccoli salad) when it is on the left (vs. right) of the images"/><s v="Attribute Perception Index (Main effect of brand name)"/><s v="Attribute Perception Index (2-way interaction)"/><s v="Attribute Perception Index (3-way interaction)"/><s v="Brand Evaluation Index (Main effect of brand name)"/><s v="Brand Evaluation Index (2-way interaction)"/><s v="Brand Evaluation Index (3-way interaction)"/><s v="Visual product depictions within advertisements, such as the manipulation of orienting a product toward a participant’s dominant hand, facilitate purchase intention; Purchase intention"/><s v="Visual product depictions within advertisements, such as the manipulation of orienting a product toward a participant’s dominant hand, facilitate purchase intention; Mental simulation"/><s v="Logo shape-by-product-attribute interaction"/><s v="Comfortable: circular-logo (vs. angular-logo)"/><s v="Durable: angular-logo (vs. circular-logo)"/><s v="Attitude: logoshape vs control"/><s v="Interaction between position and desirable attribute on product attitude"/><s v="Antique conditions increase favorable responses to product image on the left than on the right"/><s v="Modern conditions increase favorable responses to product image on the right than on the left"/><s v="Main effect of the desirable attribute"/><s v="Main effect of the position"/><s v="The effect of logo dynamism (high and low) on brand attitudes."/><s v="The effect of logo dynamism (high and low) on perceived movement as a manipulation check"/><s v="The effect of logo dynamism (high and low) on brand attitudes"/><s v="Tracing attention and the activation flow in spoken word planning using eye movements."/><s v="Across-notation automatic numerical processing."/><s v="Effects of fluency on psychological distance and mental construal (or why New York is a large city, but New York is a civilized jungle), primed participants (conceptually fluent participants) preferred concrete descriptions of the prime later, moreso than"/><s v="More than meets the eye: the role of language in binding and maintaining feature conjunctions.; table: directional language (e.g., to the left) helps children bind color and shape information to a greater extent than relational language alone ( e.g., next"/><s v="Directional language (e.g., to the left) helps children bind color and shape information to a greater extent"/><s v="goal primed participants learned more than participants in the control group"/><s v="Goal priming leads to better learning"/><s v="Stored word sequences in language learning"/><s v="Words with many near neighbors (e.g., chicken) were associated with an increased level of processing (i.e., categorized more slowly) compared to words with few near neighbors"/><s v="male participants were less sensitive to the distinction between friendliness and sexual interest than women, suggesting that gender differences are due to perceptual insensitivity in men"/><s v="Male participants were less sensitive to the distinction between friendliness and sexual interest (perceptual insensitivity in men)"/><s v="increased anchor precision leads to decreased adjustment by participants"/><s v="Sample entropy was higher for middle-truth-value questions than for low- and high-truth-value questions"/><s v="among accurate, optimistic, or pessimistic predictions, participants are most likely to recommend optimisitic predictions"/><s v="Participants are most likely to recommend optimisitic predictions"/><s v="Age-related changes in the episodic simulation of future events"/><s v="Older adults produced fewer internal details, but more external details than young adults"/><s v="When learning an object name, young children often assume that the name refers to the object the speaker is looking at, even if the children themselves are looking at a different object when the word is used"/><s v="Older children were able to disregard these gaze cues and identify the correct referent, although the younger children were not"/><s v="Measuring the crowd within: Probabilistic representations within individuals."/><s v="Averaging two guesses within one person provides a more accurate answer than either guess alone"/><s v="Temporal selection is suppressed, delayed, and diffused during the attentional blink."/><s v="Selection is suppressed (efficacy), delayed (latency), and diffused (precision) in time during the attentional blink"/><s v="The attraction effect was larger in the depletion with placebo group than among participants in the other three groups (depletion with sugar, no depletion with sugar, no depletion with placebo)"/><s v="Free recall, but not serial recall, of lists of phonologically related to-be-remembered items are disrupted by an irrelevant sound stream (end rhymes) sharing similar phonological content"/><s v="Phonologically similar irrelevant items disrupted recall compared with phonologically dissimilar items in free recall"/><s v="The magnitude of the startle response following an error is correlated to the amplitude of the Error-Related Negativity (ERN)"/><s v="Accepting unfair offers increases right ventrolateral prefrontal cortex activation"/><s v="Reporting error on the location of missing distractors items was less when the targets were spatially distinct"/><s v="The effect of visual search efficiency on response preparation"/><s v="Male participants whose faith in the federal system was threatened showed greater romantic interest in women who embody benevolent sexist ideals than in women who do not embody these ideals"/><s v="Bright children become enlightened adults"/><s v="Motion aftereffects were present following the presentation of a still photograph depicting motion"/><s v="High External Motivation (EM) participants exhibit attentional biases for neutral Black faces, but not happy Black faces."/><s v="High External Motivation (EM) participants exhibit attentional biases for neutral Black faces, but not happy Black faces"/><s v="response times were faster when participants were given the same mathematical operation to practice and to test, relative to operational change or a new problem"/><s v="Practising the same mathematical operation which will occur in experimental part increased the response time in comparison to operational change)"/><s v="Seeking out the responses of potentially victimized group member to help assess the situation."/><s v="When a White man made a potentially offensive comment in the presence of a Black man, participants would look at the Black man for a longer period of time if he could hear the comment than if he could not"/><s v="Humans show a superior memory when words were rated for survival relevance"/><s v="Words rated for survival relevance were recalled more often"/><s v="People who have what they want are happier."/><s v="People who had what they wanted were happier than others, even after controlling for the degree to which they wanted what they had"/><s v="Associative links (e.g., shared group membership) are sufficient for implicit attitude generalization, but deliberative logic (e.g., individual group members are not necessarily the same) can reduce explicit generalization by association."/><s v="Participants were unable to prevent the information about the original individuals from influencing their implicit responses toward the new individuals"/><s v="Exposure to the deterministic message increased cheating on a task in which participants could passively allow a flawed computer program to reveal answers to mathematical problems that they had been instructed to solve themselves. Moreover, increased chea"/><s v="Participants cheated more frequently after reading the anti-free-will essay than after reading the control essay"/><s v="Mechanisms of change detection are dissimilar in vision and audition; specifically, auditory memory makes change detection easier in audition than in vision"/><s v="When people are primed with a sense of spatial distance, rather than closeness, they report weaker bonds to their siblings, parents, and hometown"/><s v="Individuals prefer activities that increase their level of anger when they are anticipating confrontational but not nonconfrontational tasks"/><s v="Preferences for anger-inducing activities were higher than preferences for exciting and neutral activities when participants anticipated playing confrontational games"/><s v="People are motivated to maintain social con- nection with others, and those who lack social connection with other humans may try to compensate by creating a sense of human connection with nonhuman agents. This may occur in at least two ways—by anthropomor"/><s v="People who were feeling socially disconnected attempted to restore feelings of belonging by demonstrating more beliefs in supernatural agents and events, and by attributing more social traits to pets"/><s v="Contributions in the intergroup prisoner's dilemma-maximizing difference game are made almost exclusively in the within-group pool."/><s v="The contribution rate to Between-group Pool was significantly lower in the IPD-MD game than the contribution rate to Between-group Pool in the IPD game (contributions were made almost exclusively to the cooperative, within-group pool)"/><s v="Word-order influences phronological representation in language production"/><s v="Object naming times in the congruent condition were faster than in the incongruent condition, althought not significantly"/><s v="The Best Men Are (Not Always) Already Taken: Female Preference for Single Versus Attached Males Depends on Conception Risk"/><s v="Stroop effect is larger for words that are presented mostly in congruent colours (e.g., BLUE presented 75% of the time in blue), and smaller for words that are presented mostly in a given incongruent colour (e.g., YELLOW presented 75% of the time in orang"/><s v="Low contingency trials produced significantly more errors than the medium contingency trials"/><s v="There was a significant interaction between viewpoint (prototypical or non-prototypical) and visual field (upper visual field or lower visual field) on the probability of the first fixation being on the target: The effect of visual field was enhanced for "/><s v="Hand-washing after experiencing disgust led participants to judge moral vignettes with less severity than participants who did not wash their hands"/><s v="Surfaces with a single EE along the shared contour were perceived as closer than surfaces with two EE's orthogonal to the shared contour"/><s v="What Do Cross_National Comparisons of Personality Traits Tell Us? The Case of Conscientiousness"/><s v="Conscientiousness measured by aggregated self-reports on the NEO-PI-R correlated with Postal workers’ speed, Clock accuracy, Walking speed, GDP, Longevity"/><s v="Participants who scored as more dominant in personality were more likely to have relatively faster response times to vertical stimuli than horizontal stimuli in predictable-location task"/><s v="Conflict-triggered goal shielding: Response conflicts attenuate background monitoring for prospective memory cues."/><s v="An interaction between Perspective Memory (PM) cue dimension and compatibility predicted the mean proportion of missed PM cues"/><s v="Detecting the snake in the grass: attention to fear-relevant stimuli by adults and young children."/><s v="Young children detect threat-relevant targets more quickly than threat-irrelevant ones"/><s v="Participants were more likely to underestimate the number of pictures in their value category than in the 'other' category."/><s v="Attentional effect of object words interfered with the visual perception of a target in the typical location of the object"/><s v="The tendency to underestimate the frequency of positive and to overestimate the frequency of negative observations increased from the provider with the smallest to the provider with the highest overall frequency due to differential regression effects"/><s v="Accuracy was significantly lower in long list as it is harder to reject such probes due to more memory matching episodes on the context dimension"/><s v="Significant repetition blindness (RB) effect was inducted in nonword condition"/><s v="Direct forgetting had bigger effect on spaced items, rather than on mass items"/><s v="The two language groups were comparable in most measures, but bilinguals showed a larger dip of T2 report — a bigger blink, that  is — at Lag 3, which can be attributed to more reactive inhibition in bilinguals"/><s v="Priming addition facts with semantic relations."/><s v="As predicted by the semantic alignment hypothesis, the sum effect occurred in the aligned-categorical but did not occur in the misaligned-unrelated condition"/><s v="Prior occurances of the erroneous remembered item lead to increase in error rates (error are more probable as they occured previously)"/><s v="There was no delay in response when switching between pronouncing regular words and nonwords"/><s v="On the additive effects of stimulus quality and word frequency in lexical decision: Evidence for opposing interactive influences revealed by RT distributional analyses."/><s v="Significant stimulus quality and word frequency interaction with larger frequency effects for the degraded words"/><s v="Semantically unrelated word-picture pairs significantly slower average reaction time"/><s v="Low covariance between feature dimensions allowed VSL to operate in parallel in each of these dimensions"/><s v="The average recall score was larger in low switch lists with normal digits than in low-switch lists with degraded digits"/><s v="The predicted values are higher for B and lower for A when the prevalence of B is high than when it is low"/><s v="Instructing participants to group items induces a temporal gap between the groups both  when trying to recall the timing of the items"/><s v="The type of dependency influence the  number of correct respones"/><s v="Orienting attention in visual working memory reduces interference from memory probes."/><s v="For both the shape and color conditions, there will be an effect of cue type (retro cue better than simultaneous cue) on recall at all set sizes except for set size 1"/><s v="Decision making and learning while taking sequential risks."/><s v="Only in well-defined versions of the ART that do not require a learning process do the adjusted ART scores identify the risky use of drugs"/><s v="Accelerated relearning after retrieval-induced forgetting: The benefit of being forgotten."/><s v="Effect of relearning was significantly larger for non-practiced items from practiced categories than non-practiced items from non-practiced categories"/><s v="Nonaffirmed actors liked the rebel significantly less than the obedient, self-affirmed participants showed no such rejection of the rebel"/><s v="Why do implicit and explicit attitude tests diverge? The role of structural fit."/><s v="Relationship between authors' direct and indirect procedures is moderated by percieved pressure to respond in a socially desirable manner"/><s v="The developmental psychometrics of big five self-reports: Acquiescence, factor structure, coherence, and differentiation from ages 10 to 20."/><s v="Younger respondents show greater individual differences (variance) in their acquiescent response tendencies than older respondents"/><s v="Participants who scored low on avoidance but high on anxiety demonstrated an increased relative preference for a parent after mortality salience as opposed to dental pain"/><s v="The action and inaction primes produced, respectively, higher and lower levels of cognitive output (higher or lower performance measured by number of solved problems"/><s v="Perceptual learning (better discrimination of AX and BX on test) was observed when AX and BX were intermixed in preexposure but not when AX was intermixed with BY."/><s v="Action goal led to a greated number of thoughts supporting goal-mediation interpretation"/><s v="Affective incoherence: When affective concepts and embodied reactions clash."/><s v="Affective coherence (as opposed to affective incoherence) produced a linear increase in cognitive complexity across three participant-generated narratives"/><s v="Low-prejudice participants whose non-prejudiced responses were motivated by internal (but not external) factors exhibited better control on a stereotype-inhibition task than did participants motivated by a combination of internal and external factors, and"/><s v="Action-oriented mindset resulted in attitude changes from pre- to post-decision to both chosen and rejected alternatives"/><s v="Participants offered significantly fewer chips to angry recipients than to happy recipients in low consequence situations"/><s v="Walking on eggshells: How expressing relationship insecurities perpetuates them."/><s v="Participants perceived the confederate’s expressions of happiness as less authentic when they were told, after the interaction, that the confederate had been informed beforehand that participants were especially vulnerable to rejection"/><s v="Participants own responsiveness was a significant predictor of their perception of their partners' responsiveness"/><s v="A single-system account of the relationship between priming, recognition, and fluency."/><s v="Response times to misses were significantly faster than those to correct rejections, indicating that memory sources for priming and recognition are independent."/><s v="Poignancy: Mixed emotional experience in the face of meaningful endings."/><s v="Participants in the limited-time condition (poignancy) experienced more sadness than participants in the control condition"/><s v="1/f noise and effort on implicit measures of bias."/><s v="Participants instructed to use race and avoid race exhibited less 1/f noise (as reflected in PSD slopes) than participants in the control condition"/><s v="Processing style (global and local) affected the impact of the prime: participants judged the target person to be more aggressive after aggression priming in global style compared to local style"/><s v="Not so innocent: Does seeing one's own capacity for wrongdoing predict forgiveness?"/><s v="When not primed with capability– empathy items, men reported more vengefulness than women, but when capability– empathy items preceded the TRIM, men’s vengefulness scores were significantly reduced"/><s v="When participants were not under load, those who imagined that they had not done the reading believed that it was more likely that they would be called on"/><s v="The nonverbal expression of pride: Evidence for cross-cultural recognition."/><s v="Participants recognized conveyed emotions as pride at an above chance level, no matter what culture the target represented"/><s v="Participants remembered the order of words better when the presented word lists contained only short words compared to lists that only contained long words."/><s v="Participants who answered correctly were more often of higher cognitive ability (measured via SAT scores)"/><s v="People who focus on important values in persuasive messages are more sensitive to argument quality compared to people who focus on unimportant values"/><s v="Distinguishing between silent and vocal minorities: Not all deviants feel marginal."/><s v="There were disproportionately more descriptive deviant (Republican) stickers than prescriptive deviant (Democratic) stickers in more Republician location (second attempt)"/><s v="Participants from the hot list (certain commitment) donated more money in the to-go condition than did participants in the to-date condition"/><s v="Correct source attributions creates no difference in the subjective state of remembering between schema-consistent or schema-inconsistent condition, whereas in case of incorrect source attribution participants are more often in a subjective state of remem"/><s v="Participants in the one-sided focus condition had less ambivalence than participants in the two-sided focus condition."/><s v="After condition a message of acceptance was more effective in promoting reconciliation among perpetrators, whereas a message of empowerment was more effective in promoting reconciliation among victims"/><s v="Composite ratings of both power and leadership correlated with company profits, even after controlling for CEO age, CEO attractiveness, and the affect CEOs were displaying in the pictures"/><s v="The amount of information influence the decision among consistent and inconsistent conditions"/><s v="Self-regulation and selective exposure: The impact of depleted self-regulation resources on confirmatory information processing."/><s v="Reduced self regulation resources are associated with increased biases in confirmatory information processing"/><s v="When learning goals were absent, participants sat closer to one another when they discussed love and relationships than when they discussed racial profiling"/><s v="Sex differences in mate preferences revisited: Do people know what they initially desire in a romantic partner?"/><s v="There are no significant sex differences correllation for relationship initiation variables with ratings of earning prospects"/><s v="Prime diagnosticity in short-term repetition priming: Is primed evidence discounted, even when it reliably indicates the correct answer?"/><s v="Priming approach intensified the hurt and pain of partner rejection for low self-esteem people"/><s v="Considering counterfactuals about a self-handicap reduces motivation to improve on subsequent tasks"/><s v="Social identity contingencies: How diversity cues signal threat or safety for African Americans in mainstream institutions."/><s v="For african american participants the fairness cue affected their racial identity, while for white participants it didn't"/><s v="The magnitude of adjustment-based anchoring is moderated by the cognitive load with high cognitive load leading to less adjustment from self-generated anchors&#xA;"/><s v="Cognitively busy participants adjusted less from self-generated anchors than those not cognitively busy."/><s v="Relationships between teacher  qualifications and elementary student achievement"/><s v="importance of weight on having a voice in a decision-making procedure"/><s v="Variety reduces perceived quantity"/><s v="Having variety leads people to pour more candy, presumably because variety lowers the perceived quantity."/><s v="Reading the word &quot;red&quot; before an achievement test reduces test performance as compared to reading the word of a control color"/><s v="Laypeople are able to predict the replication success of social science findings based on their intuitive plausibility"/><s v="Laypeople are able to predict the replication success of social science findings based on their intuitive plausibility (description-only condition)"/><s v="The Door-in-the-Face (DITF) technique suggests that people are more likely to agree to a target request after initially rejecting a larger request."/><s v="The Door-in-the-Face (DITF) technique suggests that people are more likely to agree to a target request after initially rejecting a larger request (statistical difference between the two control conditions (i.e., smaller request only condition vs. equival"/><s v="drunk utilitarian"/><s v="drunk utilitarian (alcohol condition)"/><s v="Mental fatigue impairs physical performance in humans"/><s v="Posttreatment fatigue was significantly higher compared with the control condition"/><s v="Mental fatigue resulted in higher average HR during AX-CPT"/><s v="binge-goal conflict"/><s v="guilt-enjoy"/><s v="autonomy-enjoy"/><s v="binge-enjoy"/><s v="binge-autonomy"/><s v="goal conflict-guilt"/><s v="guilt-recovery"/><s v="autonomy-recovery"/><s v="binge-recovery"/><s v="guilt-vitality"/><s v="autonomy-vitality"/><s v="binge-vitality"/><s v="The presence of variety lowers the perceived quantity"/><s v="People gave larger estimates as the percentage filled increased"/><s v="People gave larger estimates when the items consisted of colored dots rather than unfilled shapes"/><s v="People estimates depends on both the percentage filled and number of types"/><s v="Trump voters/Republicans select the incorrect inauguration crowd photo more often than non-Trump voters/non-Republicans"/><s v="Less educated Trump supporters (republicants) chose the wrong image less often"/><s v="Trump voters (republicants) identified correct picture more often than Clinton voter (democrats)"/><s v="Conditioned stimuli (CS) paired with positive stimuli are evaluated more positively than the CS paired with negative stimuli"/><s v="Participants assessed CS+ more positively than CS- in the explicit condition"/><s v="Effects in the Affect Misattribution Procedure are moderated by awareness of influence of the prime stimulus on evaluations of the target stimulus"/><s v="In three experiments, we tested the claim that reliable and valid measurement in the AMP depends on awareness and intentions to rate the primes rather than the targets. In short, it does not."/><s v="Participants reported higher need satisfaction in experiences of pursuing hopes than in experiences of pursuing duties (need for autonomy)"/><s v="Participants reported higher need satisfaction in experiences of pursuing hopes than in experiences of pursuing duties (need for competence)"/><s v="Participants reported higher need satisfaction in experiences of pursuing hopes than in experiences of pursuing duties (need for relatedness)"/><s v="We investigated the hypothesis that group members would reject outgroup criticism (as compared to the same criticism from the ingroup) using costly punishment"/><s v="For auditory flankers, correct responses are significantly faster in the perceptual-congruent condition than in the response-congruent and incongruent conditions, with no difference in response times between the latter two conditions."/><s v="For auditory flankers, correct responses are significantly faster in the perceptual-congruent condition than in the response-congruent and incongruent conditions, with no difference in response times between the latter two conditions (evidence for bimodal"/><s v="behavioral age group differences in Theory of Mind (ToM) in adulthood"/><s v="behavioral age group differences in empathy in adulthood"/><s v="behavioral age group differences in compassion in adulthood"/><s v="The magnitude of the age of acquisition effect I(i.e. early-acquired words are named more quickly than later-acquired words) in lexical retrieval is larger in picture naming than visual word naming."/><s v="Picture naming times were significantly faster for early than late acquired words"/><s v="Word naming times were insignificantly faster for late acquired words"/><s v="Implicit Theory of Mind can be measured through anticipatory looking patterns measured through eye-tracking."/><s v="Infants can differentiate the false-belief as they looked longer for the correct window, Implicit Theory of Mind can be measured through anticipatory looking patterns measured through eye-tracking."/><s v="The looking duration to the correct window doesn't depend on the interaction between window and condition"/><s v="Growth mindset is associated with the change of grades in a challenging educational transition."/><s v="Growth mindset led to higher math grades in the end of the 2nd year"/><s v="prosocials have a higher level of secure attachment than individualists"/><s v="prosocials have a higher level of secure attachment than competitors"/><s v="prosocials have more siblings than individualists"/><s v="prosocials have more siblings than competitors"/><s v="prosocials have more sisters than individualists"/><s v="prosocials have more sisters than competitors"/><s v="prosocials have more older siblings than individualists"/><s v="prosocials have more older siblings than competitors"/><s v="more prosocials in older age group"/><s v="social value orientation (TDM); secure attachment (AAS); sample 2 - prosocials have a higher level of secure attachment than individualists"/><s v="a multivariate main effect for social value orientation"/><s v="social value orientation (SLM); secure attachment (AAS); sample 2 - prosocials have a higher level of secure attachment than competitors"/><s v="Prosocials had significantly lower anxious-ambivalent attachment when compared with individualists and competitors"/><s v="social value orientation (SLM); secure attachment (original); sample 2 - prosocials have a higher level of secure attachment than competitors"/><s v="prosocial-security hypothesis contrast between individualists and competitors was not significant"/><s v="social value orientation (SLM); secure attachment (ECR-R); sample 2 - prosocials have a higher level of secure attachment than competitors"/><s v="The association between social value orientation and number of siblings"/><s v="social value orientation (TDM); total siblings; sample 2 - prosocials have more siblings than individualists"/><s v="Following sibling-prosocial hypothesis the number of siblings is greater for prosocials than for individualists and competitors"/><s v="social value orientation (TDM); total siblings; sample 2 - prosocials have more siblings than competitors"/><s v="Following sibling-prosocial hypothesis differences between individualists and competitors were not significant."/><s v="social value orientation (TDM); sister; sample 2 - prosocials have more sisters than individualists"/><s v="Social value orientation affects number of older siblings and number of sisters-mutivariate effect"/><s v="social value orientation (TDM); sister; sample 2 - prosocials have more sisters than competitors"/><s v="social value orientation for number of older siblings-univariate level"/><s v="social value orientation (TDM); older siblings; sample 2 - prosocials have more older siblings than individualists"/><s v="social value orientation for number of sisters-univariate level"/><s v="social value orientation (TDM); older siblings; sample 2 - prosocials have more older siblings than competitors"/><s v="the number of older siblings was greater for prosocials than for individualistsa reveled by a significant contrast between prosocials versus individualists and competitors."/><s v="social value orientation (SLM); total siblings; sample 2 - prosocials have more siblings than individualists"/><s v="siblings diffeences between individualists and competitors were not significant."/><s v="social value orientation (TDM); secure attachment (original); sample 2 - prosocials have a higher level of secure attachment than individualists"/><s v="relationship between social value orientation and level of secure attachment-univariate level"/><s v="social value orientation (SLM); total siblings; sample 2 - prosocials have more siblings than competitors"/><s v="the number of sisters was greater for prosocials than for individualists or competitors revealed by a significant contrast between prosocials versus individualists and competitors"/><s v="social value orientation (SLM); sister; sample 2 - prosocials have more sisters than individualists"/><s v="Differences between individualists and competitors were not significant"/><s v="social value orientation (SLM); sister; sample 2 - prosocials have more sisters than competitors"/><s v="The association of age, level of education, and gender with social value orientation-main effects"/><s v="social value orientation (SLM); older siblings; sample 2 - prosocials have more older siblings than individualists"/><s v="The association of age with Social value orienatation-main effect"/><s v="social value orientation (SLM); older siblings; sample 2 - prosocials have more older siblings than competitors"/><s v="Social Value Orientation and Age Interaction"/><s v="social value orientation (TDM); age; sample 2 - more prosocials in older age group"/><s v="social value orientation (SLM); age; sample 2 - more prosocials in older age group"/><s v="social value orientation (TDM); secure attachment (ECR-R); sample 2 - prosocials have a higher level of secure attachment than individualists"/><s v="relationship between social value orientation and level of avoidant attachment-univariate level"/><s v="social value orientation (TDM); secure attachment (AAS); sample 2 - prosocials have a higher level of secure attachment than competitors"/><s v="relationship between social value orientation and level of anxious-ambivalent attachment-univariate level"/><s v="social value orientation (TDM); secure attachment (original); sample 2 - prosocials have a higher level of secure attachment than competitors"/><s v="No main or Interaction effect of gender on attachmant styles"/><s v="social value orientation (TDM); secure attachment (ECR-R); sample 2 - prosocials have a higher level of secure attachment than competitors"/><s v="prosocial-security hypothesis comparisons revealed a significant contrast between prosocials versus individualists and competitors"/><s v="social value orientation (SLM); secure attachment (AAS); sample 2 - prosocials have a higher level of secure attachment than individualists"/><s v="prosocial-security hypothesis comparisons revealed a marginal difference between individualists and competitors"/><s v="social value orientation (SLM); secure attachment (original); sample 2 - prosocials have a higher level of secure attachment than individualists"/><s v="Prosocials had significantly lower avoidant attachment contrasted with individualists and competitors"/><s v="social value orientation (SLM); secure attachment (ECR-R); sample 2 - prosocials have a higher level of secure attachment than individualists"/><s v="The cleanliness condition had a lower mean composite rating than the neutral condition in the low response effort condition"/><s v="this paper explores the psychological underpinnings of folk intuitions about free will and responsibility"/><s v="exploring the intuition that “if our brain makes us do it, then we aren’t morally responsible.” people tend to see reductive mechanism as incompatible with Free will and Moral responsibility."/><s v="People do deny some sentences that assert that an absence caused an event. However, people sometimes agree significantly more with sentences asserting that an event e occurred because an absence a obtained than with sentences asserting that a caused the o"/><s v="cognitive load interferee with utilitarian moral judgments"/><s v="folk attributions of valuing tend to vary according to the perceived moral goodness of the object of value"/><s v="In the absence of skill, murder is judged intentional but achievement is not"/><s v="cusation and breaking norms (drug-vignette)"/><s v="cusation and breaking norms (machine-vignette)"/><s v="folk psychological concept, causation"/><s v="the personality trait extraversion predicts people’s intuitions about the relationship of determinism to free will and moral responsibility"/><s v="epistemic side-effect"/><s v="ascribing consciousness to machines"/><s v="CAUSATION, NORM VIOLATION, AND CULPABLE CONTROL"/><s v="causation, norm violation, culpable control"/><s v="distinguishing the appearance from the reality of pain"/><s v="Moral decision making"/><s v="individuals who reflected more on the CRT made more utilitarian judgments"/><s v="Westerners are more likely than East Asians to report intuitions that are consistent with the causal-historical view"/><s v="When looking at action valence, people are more inclined to agree with the attribution of weakness of will when the valence of the action the agent ends up succumbing to perform is bad as opposed to neutral."/><s v="Knowledge was ascribed standard cases versus in Gettier cases (where a belief can be both justified and true, yet not qualify as knowledge)"/><s v="Lay denial of knowledge for justified true beliefs"/><s v="People are more likely to attribute knowledge in familiar Gettier cases when the would-be knowers are performing actions that are negative in some way (e.g. harmful, blameworthy, norm-violating) than when they are performing positive or neutral actions"/><s v="the bypassing results suggest that incompatibilism runs even deeper than previously recognized"/><s v="When participants understand what determinism does mean, the vast majority take it to be compatible with free will. Further results indicate that most people’s concepts of choice and the ability to do otherwise do not commit them to incompatibilism, eithe"/><s v="Individuals with Kripkean intuitions were indeed more likely to value loved ones (and other persons and things) as irreplaceable"/><s v="&quot;Imaginative resistance refers to a phenomenon in which people resist engaging in particular prompted imaginative activities.&quot; (p.1)"/><s v="Motivational internalism postulates a necessary connection between moral judgments and motivation."/><s v="Folk stakes sensitivity: All else equal, people are less likely to ascribe knowledge to a&#xA;high stakes subject than to a low stakes subject."/><s v="To better understanding of people’s concept of intentional action, drawing on ordinary language as a key source of evidence."/><s v="norm violations also affect the causality attributed to other agents, a phenomenon we refer to as ‘‘causal superseding.’’"/><s v="participants who respond as nonobjectivists about canonical moral violations still treat such violations in typical ways"/><s v="moral judgement"/><s v="the moral blameworthiness of an agent can influence folk intuitions about intentional action."/><s v="agents in deterministic scenarios  were judged by participants as acting of their own free will and are morally responsible for their actions."/><s v="in order for an action to be performed intentionally it must be performed with a relevant amount of skill or control—i.e., an intentional actioncannot simply be the result of luck."/><s v="drunk utilitarian(placebo control condition)"/><s v="drunk utilitarian(alcohol condition (participants will drink 1.6 g of alcohol at 40% strength for each 1 kg of their body weight))"/><s v="The Door-in-the-Face (DITF) technique suggests that people are more likely to agree to a target request after initially rejecting a larger request (difference between the rejection-moderation condition and the combined control conditions (i.e., smaller re"/><s v="Laypeople are able to predict the replication success of social science findings based on their intuitive plausibility (description-plus-evidence condition.)"/><s v="For auditory flankers, correct responses are significantly faster in the perceptual-congruent condition than in the response-congruent and incongruent conditions, with no difference in response times between the latter two conditions (interaction of congr"/><s v="Macbeth effect (physical cleansing)"/><s v="Religious beliefs are positively correlated with agreeableness."/><s v="Religious beliefs are positively correlated with conscientiousness."/></sharedItems></cacheField><cacheField name="claim_text_o" numFmtId="0"><sharedItems containsBlank="1"><s v="The authors’ key statistical result and its interpretation"/><s v="&quot;results were consistent with the idea of affective flexibility. There was a significant interaction between scanning condition (positive or negative) and stimulus valence (postscan ratings of positivity or negativity), F(1, 11) = 9.67, p &lt; .01, prep = .9"/><m/><s v="&quot;Participants in the thief contrast condition tended to agree with the knowledge ascription they received (mean rating: 4.6), while participants in the jewel contrast condition tended to disagree with the knowledge ascription they received (mean rating: 3"/><s v="&quot;N = 100 people spending time in the Canberra Centre Mall in Canberra, Australia, t (98) = 3.4, p = .001.&quot;"/><s v="Participants who were presented with the high anchor value estimated the car price to be higher (M = 21,219 Euro) than those presented with the low anchor value (M = 17,150 Euro), t(39) = 2.02, p &lt; .05, r = .31."/><s v="A t-test for dependent samples indicated that the difference in students’ interest in the two problem types was statistically significant [t(99) = −2.96, p &lt; 0.01]."/><s v="Students reported a mean level of interest of Madj = 2.71 (SDadj = 0.90) in solving problems with a connection to reality and Madj = 2.91 (SDadj = 1.00) in solving problems without a connection to reality when the impact of task difficulty was controlled "/><s v="A t-test for dependent samples showed a significant difference in pre-service teachers’ judgments of students’ interest in solving the two types of problems [t(162) = 14.33, p &lt; 0.01]. Cohen’s d = 1.12"/><s v="Pre-service teachers predicted a mean of Madj = 3.18 (SDadj = 0.48) for students’ interest in problems with a connection to reality and Madj = 2.47 (SDadj = 0.60) for their interest in problems without a connection to reality (Table 2). Means and standard"/><s v="Instead, they produced both vowels as a monophthongal /e/, with very little formant movement (1.18 for diphthongs vs. 0.92 for monophthongs, SD = 0.36), t(18) = 1.92, p = .071, r = .17, but distinguished them through duration."/><s v="Table 7 summarizes the results of correlation analyses between inhibition&#xA;scores and the four phonological accuracy scores (controlling for proficiency).&#xA;These correlations show that error rate and z scores in ABX perception were&#xA;significantly negative"/><s v="The test subconditions consE and vowelE did not differ from each other (Merr = 4.6%, CI = 1.0–8.2; and Merr = 3.6%, CI = 0–7.2, respectively), but they triggered significantly fewer errors than the nonnative consS and vowelS subconditions (Merr = 24.0%, C"/><s v="Indirect effect present for relationship quality: “initiating financial discussion earlier in a romantic relationship may benefit relationship quality—through financial communication” (most emphasised claim in original)"/><s v="No direct effect present for relationship quality: “Nonetheless, couples’ first financial discussion was not directly associated with their relationship quality.” (however not emphasised in original)"/><s v="Indirect effect present for financial conflict: &quot;The pathway from the first financial discussion to financial conflict through financial communication was significant (β = -.06; p &lt; .001)&quot; (however not emphasised in original)"/><s v="Direct effect present for financial conflict: “However, having an earlier first financial discussion as a couple was also positively associated with financial conflict.” (p. 1, emphasised in original) (also p. 11: &quot;The pathway from the first financial dis"/><s v="couples’ first financial discussion was directly associated with their financial communication (β = .23; p &lt; .001)"/><s v="couples’ first financial discussion was directly associated with their ... financial conflict (β = .07; p &lt; .05)."/><s v="&quot;awe and neutral conditions had a different balance between disclosing their strengths and weaknesses, t(84) = 2.38, p = .02.&quot;"/><s v="&quot;More specific analyses revealed that participants in the awe condition discussed significantly fewer strengths (M=1.20, SD=.53) before choosing to write about their weaknesses than participants in the neutral condition (M =1.48, SD=.44), t(84)=2.64, p= ."/><s v="&quot;...there was no effect of condition on the number of weaknesses participants listed (awe: M= .82, SD =.58; neutral: M = .79, SD=.49), t(84)=.27, p =.79.&quot;"/><s v="&quot;Post-hoc paired sample t-tests demonstrated that all three reach directions demonstrated statistically significant differences between pre-fatigue and the first post-fatigue measurement (ANT: p = 0.019, PM: p = 0.004, PL: p = 0.003)&quot;"/><s v="&quot;A repeated measures ANOVA with a Greenhouse-Geisser correction determined that the mean reach distances for the anterior (F = 3.818, p = 0.025) reach directions were statistically significantly different between time points.&quot;"/><s v="&quot;The anterior reach direction returned to pre-fatigue levels within 10 min (p = 0.632). The posteromedial reach direction returned to pre-fatigue levels within 20 min (p = 0.236), while the posterolateral direction maintained a statistically significant d"/><s v="&quot;The posteromedial reach direction was approaching significance (F = 2.215, p = 0.059).&quot;"/><s v="&quot;A repeated measures ANOVA with a Greenhouse-Geisser correction determined that the mean reach distances for the posterolateral (F = 6.503, P = 0.0004) reach directions were statistically significantly different between time points.&quot;"/><s v="Results: Autoregressive analyses indicated that visual reproduction scores were inversely related to subsequent PTSD symptom severity at subsequent assessments. Conversely, increases in PTSD symptom severity over each measurement interval were associated "/><s v="&quot;A randomization test conducted on these data revealed a statistically significant change in level across students following the introduction of the intervention (p = .001), from a baseline mean of 60.0 WCPM to an intervention mean of 91.2.&quot;"/><s v="&quot;Visual and statistical analyses revealed significant improvement from baseline to intervention for both reading and (...) outcomes.&quot;, Reading outcome, STANDARD reading passages: &quot;The visual analysis was supported by a multiple-baseline randomization test"/><s v="&quot;Visual and statistical analyses revealed significant improvement from baseline to intervention for both reading and (...) outcomes.&quot;, Reading outcome, TRAINING reading passages: &quot;A randomization test conducted on these data revealed a statistically signi"/><s v="&quot;...there was a statistically significant increase in frequency of engaged behavior (p = .001), from an average of 63% engagement during baseline to 82% during intervention.&quot;"/><s v="&quot;Visual and statistical analyses revealed significant improvement from baseline to intervention for both (...) and behaviour outcomes.&quot; Behaviour outcome ENGAGED behaviour: &quot;analyses. Specifically, there was a statistically significant increase in frequen"/><s v="&quot;Visual and statistical analyses revealed significant improvement from baseline to intervention for both (...) and behaviour outcomes.&quot; Behaviour outcome DISRUPTIVE behaviour: &quot;There was a statistically significant decrease in students’ disruptive behavio"/><s v="&quot;There was a statistically significant decrease in students' disruptive behavior (p = .001), from an average of 18% occurrence during baseline to 7% during intervention. &quot;"/><s v="The sentence reading task consisted of 10 items in which a written sentence was followed by four pictures. The child was asked to choose the picture that best corresponded to the meaning of the sentence. The correct stimuli were presented in a random orde"/><s v="Spelling was measured by 14 items. For all items, the tester read a short sentence containing the target word, for example, “It was a difficult test. Write ‘test’”. The number of correctly spelled words was measured (maximum=14).	Significant ceiling effec"/><s v="Word Reading: Estimate: 3.29, SE: 1.08, pnorm: .002, 95% CI: [1.22, 5.66] Table 4 [...] Intervention effect sizes relative to control. Table 5."/><s v="Sentence Reading: Estimate: 2.64, SE: 0.98, pnorm: .007, 95% CI: [0.71, 4.56] Table 4 and Intervention effect sizes relative to control. Table 5."/><s v="Spelling: Estimate: 3.23, SE: 1.09, pnorm: &lt;.001, 95% CI: [1.20, 5.86] Table 4 and Intervention effect sizes relative to control. Table 5."/><s v="&quot;Significant ceiling effects were observed for the intervention children on all outcomes, with proportion of the sample censored from above as follows: word reading, 21.4%, sentence reading, 35.1%, spelling, 9.4%, and letter writing, 56.5%.&quot; See also tabl"/><s v="Not one of these moderator analyses was statistically significant (all p’s &gt; .20; see Table 3)"/><s v="Time to publication, Within 2 years: OR: 2.00, 95% CI: [1.34, 3.00], χ²(1), p: 1.62, .20 Table 3&#xA;"/><s v="Time to publication, More than 2 years: OR: 2.97, 95% CI: [1.89, 4.66] Table 3"/><s v="Sample size, &lt;100: OR: 2.35, 95% CI: [1.65, 3.36], χ²(1), p: 0.53, .47 Table 3&#xA;"/><s v="Sample size, ≥100: OR: 3.05, 95% CI: [1.66, 5.55] Table 3&#xA;"/><s v="Number of statistical significance tests, ≤14: OR: 2.68, 95% CI: [1.76, 4.08], χ²(1), p: 0.51, .48 Table 3&#xA;"/><s v="Number of statistical significance tests, &gt;14: OR: 2.16, 95% CI: [1.41, 3.30] Table 3&#xA;"/><s v="Type of outcome measure, Academic achievement: OR: 2.46, 95% CI: [1.71, 3.52], χ²(1), p: 0.37, .55 Table 3&#xA;"/><s v="Type of outcome measure, Socioemotional-behavioral: OR: 1.99, 95% CI: [1.13, 3.53] Table 3"/><s v="We next computed the Mantel–Haenszel odds ratio, which allowed us to weight studies by the number of statistical tests that were reported in the dissertation. The mean odds ratio was 2.41 (with a 95% confidence interval ranging from a low of 1.79 to a hig"/><s v="Non-native speakers' interpretation align with grammatical rules at higher proficiency."/><s v="Advanced learners interpret indicative forms similarly to non-native speakers."/><s v="Learners rely on linguistic factors to interpret languages."/><s v="Copied from replication paper (p. 7) because would have taken too long otherwise: &quot;In Figure 1, notice that our simulated data differ substantially from the graphs in Figure D1. Specifically, our data do not uniformly start around a single point and show "/><s v="1-4 years: &quot;When compared with less than 1 year of exposure to prolactin-increasing antipsychotics (all other antipsychotics), 1–4 years of exposure was not associated with an increased risk (...)"/><s v="5+ years: &quot;When compared with less than 1 year of exposure to prolactin-increasing antipsychotics (all other antipsychotics), (...) exposure for 5 or more years was associated with an increased risk (adjusted OR 1·56 [1·27–1·92], p&lt;0·001).&quot; (...) &quot;Long-te"/><s v="1-4 years: &quot;Compared with 5339 matched controls, 1–4 years cumulative exposure (adjusted odds ratio [OR] 0·95, 95% CI 0·73–1·25) (...) to prolactin-sparing antipsychotics (including clozapine, quetiapine, or aripiprazole) was not associated with an increa"/><s v="5+ years: &quot;Compared with 5339 matched controls, (...)5 or more years exposure (adjusted OR 1·19, 0·90–1·58) to prolactin-sparing antipsychotics (including clozapine, quetiapine, or aripiprazole) was not associated with an increased risk of breast cancer i"/><s v="&quot;Critically, the number of potential vmPFC pattern reactivations during the 45-min postextinction scan negatively predicted CRs at test on day 3&quot;"/><s v="45 minutes: &quot;Critically, the number of potential vmPFC pattern reactivations during the 45-min postextinction scan negatively predicted CRs at test on day 3 (multiple linear regression: β45 min = −0.13, SE = 0.03, T30 = −4.05, P = 0.0003; n = 35; Fig. 2b;"/><s v="90 minutes: &quot;Critically, the number of potential vmPFC pattern reactivations during the 45-min postextinction scan negatively predicted CRs at test on day 3 (multiple linear regression: β45 min = −0.13, SE = 0.03, T30 = −4.05, P = 0.0003; n = 35; Fig. 2b;"/><s v="&quot;L-DOPA administration significantly enhances retrieval&quot; (replication paper p. 1)"/><s v="&quot;L-DOPA administration significantly enhances retrieval and that this is MEDIATED by enhancement of the number of vmPFC reactivations&quot; (replication paper p. 1)"/><s v="&quot;Reactivations during the scans 10 [...] min after extinction did not significantly predict CRs &quot;"/><s v="&quot;Reactivations during the scans [...] 90 min after extinction did not significantly predict CRs &quot;"/><s v="&quot;As predicted, the postextinction administration of L-DOPA compared to placebo (see Fig. 1a) enhanced extinction memory retrieval and reduced the expression of fear at test on day 3 (stimulus: F1,33 = 44.61, P &lt; .001, partial η2 = 0.58, stimulus × group: "/><s v="&quot;postextinction L-DOPA administration significantly increased the number of potential CS+ offset-related vmPFC pattern reactivations (time × group: F(3,114) = 3.51, P = 0.02, partial η2 = 0.09; n = 40), particularly 45 min after extinction&quot;"/><s v="Attitude toward the adoption of open data badges was the strongest predictor of psychologists' behavioral intention to adopt the badge (β = 0.415, p &lt; 0.001). A positive attitude significantly increased psychologists' intentions to adopt an open science b"/><s v="Norm on data sharing significantly influenced behavioral intention (β = 0.201, p &lt; 0.001)."/><s v="Perceived effort had a negative influence on behavioral intention  (β = -0.226, p &lt; 0.001)."/><s v="Open science journal pressure did not have significant effects on behavioral intention  (β = 0.001, p &gt; 0.05)."/><s v="The availability of a data repository did not have significant effects on behavioral intention (β = 0.062, p &gt; 0.05)."/><s v="To acquire 10 operants, all four participants required fewer instructional trials in the Operant compared to the Set Analysis condition."/><s v="&quot;Josh required 30, Tim required 21, and Connor required eight additional sessions of instruction to reach mastery in the set condition in comparison to the target condition. Omar’s and Billy’s results showed minimal differences between conditions, and the"/><s v="&quot;Maintenance was similar across conditions and experiments&quot;"/><s v="Hipocrisy was evident at both in-group and out-group levels F(1, 72) = 11.75, p = .001, d = 1.11. Participants perceived their own transgressions and those of in-group members more favorably compared to others."/><s v="Loneliness was positively associated with attributing social connection to nonhuman gadgets (r = -.18, p = .02)"/><s v="Inner speech attenuates the sensory impact of matching external sounds, demonstrating that corollary discharge is a key mechanism in inner speech."/><s v="Greater attenuation in the matching condition suggests that sensory attenuation is specifically tied to the congruence between inner speech and external auditory inputs, reinforcing the role of motor-to-sensory prediction"/><s v="Inner speech attenuation mirrors overt speech mechanisms, supporting corollary discharge theory"/><s v="Table 2: &quot;Climate change worry&quot;"/><s v="Climate change worry ...b = .16, SE =.01"/><s v="Climate change caused by humans, ..., .b = 07 SE = 0.01"/><s v="Table 2: &quot;Climate change (is) caused by humans&quot;"/><s v="&quot;In females, higher interleukin 8 [..] levels were linked to presence of SUD.&quot; (substance use disorder)"/><s v="CRP. Predictors explained 45 % of the variance (Adjusted R2 =.45)"/><s v="IL-8. Predictors explained 15 % of the variance (Adjusted R2 =.15)"/><s v="IL-10. Predictors explained 9% of the variance (Adjusted R2&#xA;=.09)"/><s v="&quot;In females, higher interleukin [...] 10 levels were linked to presence of SUD.&quot; (substance use disorder)"/><s v="&quot;In females, higher C-reactive protein levels were linked to absence of SUD.&quot; (substance use disorder)"/><s v="DE training reduced impulsive choice relative to both IE and CONT rats. Replicating previous studies, DE rats showed signiﬁcantly greater percent LLR choice than IE rats at both the 15-s (59.76% vs. 8.43%;z = 4.57, p &lt; .0001) and 30-s delays (30.11% vs. 3"/><s v="&quot;The content-specific bifactor model was superior to the fit of the alternative models. Specifically, the content-specific model provided a statistically significant better fit to the data than a single-factor model, ΔX2 (3) = 35,419.8, p &lt; .001,&quot;"/><s v="&quot;The content-specific bifactor model was superior to the fit of the alternative models. Specifically, [...] the valence bifactor model in turn improved fit to the content-specific model, ΔX2 (26) = 1163.1, p &lt; .001&quot;"/><s v="&quot;the content-specific bifactor model in turn improved fit to the valence bifactor structure (model with the next best fit) ΔX2(11) = 2302.6, p &lt; .001.&quot;"/><s v="Content-specific bifactor model had a better fit than valence bifactor model"/><s v="It was also positively associated with attention to emotion, suggesting that this factor captures a tendency for contemplative self-analysis."/><s v="The three main effects were significant: group, X2 (1)=5.49, p &lt; .05, dv=0.09,"/><s v="Phase X2 (2)=9.17, p &lt; .05, dv=0.08"/><s v="condition, X2 (3)=62.69, p &lt; .001, dv=0.37,"/><s v="More importantly, the three-way interaction of group, phase and condition was significant, X2 (6)=12.64, p &lt; .05, dv=0.04"/><s v="The model demonstrated a significant main effect of group, X2 (1)=10.68, p &lt; .01, with more correct responses in the trained (M=0.72, SE=0.18) than in the control group (M=0.53, SE=0.15; OR=0.39, CI 0.23–0.64);"/><s v="The model demonstrated a significant main effect of ... phase, X2 (2)=8.13, p &lt; .05, with more correct responses in the posttest 1 (M=0.65, SE=0.20) and post-test 2 (M=0.71, SE=0.21) than in the pre-test (M=0.52, SE=0.19; OR=0.52, CI 0.27–0.99 and OR=0.42"/><s v="More importantly, the interaction between these two factors was also significant, X2 (2)=9.73, p &lt; .01 (see Fig. 4). Post-hoc comparisons showed no group differences in the pre-test phase, X2 (1)=0.0001, p ≃ 1.00 (OR=0.99, CI 0.34–2.95); whereas the train"/><s v="Figure 1: &quot;Net change in the misinformation effect (MIE; operationalised as either misinformation endorsement or accuracy with double misinformation compared to standard misinformation) as a function of misinformation availability. Positive (negative) cha"/><s v="misinformation availability and net changes in the misinformation effect while, controlling for original detail availability. We used simple correlations on the basis of the data, points in Figure 1 as a starting point (r = -.69 and r = -.70, both p &lt; .00"/><s v="&quot;A main effect of flanker relatedness was observed, with&#xA;faster responses in the presence of related flankers&quot;"/><s v="&quot;Crucially, interaction effects were observed between morphological structure and flanker relatedness: between the truly morphological and pseudo-morphological conditions...&quot;"/><s v="&quot;Crucially, interaction effects were observed between morphological structure and flanker relatedness: [...], and between the truly morphological and non-morphological conditions,&quot;"/><s v="&quot;On the other hand, the effect of flanker relatedness did not differ between the pseudo-morphological and non-morphological conditions...&quot;"/><s v="&quot;In the error rates we again established interactions between morphological and orthographic relatedness when isolating the truly morphological and non-morphological conditions ..&quot;"/><s v="&quot;In the error rates we again established interactions between [...] but not when isolating the truly morphological and pseudomorphological conditions&quot;"/><s v="&quot;In the error rates we again established interactions between [...] but not when isolating [...] or when isolating the pseudo-morphological and non-morphological conditions &quot;"/><s v="family values (i.e., importance and centrality of the family) of mother and father"/><s v="Table 2 shows the result for three omnibus Chi-squares tests of independence. All three tests yielded statistically significant findings at p &lt; .05, suggesting there were significant associations between participants’ (a) VMSWO rank and mean force rank, ("/><s v="The TASK × EMOTION × GROUP ANOVA on percentage of correct answers revealed a significant main effect of [...] EMOTION (F3.5,298.9 =107.8, p&lt;.001, ηp 2 = .556)."/><s v="In addition, a TASK × GROUP interaction (F2.9,123.2 = 3.1, p = .031, ηp 2 = .067) [...] emerged."/><s v="In addition, a [...] TASK × EMOTION interaction (F4.2,361.9 = 92.5, p&lt;.001, ηp 2 = .518) emerged."/><s v="were further qualified by a TASK × EMOTION × GROUP interaction (F8.4,361.9 =2.6, p = .009, ηp 2 = .056)."/><s v="For the emotion discrimination task (see Fig. 2), the follow-up ANOVA yielded a significant main effect of EMOTION (F3.3,281.8 = 114.5, p&lt;.001, ηp 2= .571) "/><s v="For the emotion discrimination task (see Fig. 2), the follow-up ANOVA yielded a significant main effect of [..]GROUP (F2,86 = 3.3, p = .040, ηp2 = .072)."/><s v="These main effects were qualified by a significant EMOTION × GROUP interaction (F6.6,281.8 = 2.7, p = .012, ηp 2 = .059)"/><s v="For happy faces, the ANOVA yielded a significant effect of GROUP (F2,86 =4.2, p = .018, ηp 2 = .089) indicating that the AN group performed better than the MD group (t35.2=2.6, p=.013, d=.73)."/><s v="For sad faces, a significant effect of GROUP (F2,86 = 3.6, p = .030, ηp 2 = .078) indicated a higher percentage of correct answers in the AN than the MD group (t50 = 2.7, p = .010, d = .74)."/><s v="For afraid faces, the significant effect of GROUP (F2,86 = 5.4, p = .006, ηp 2 = .112) indicated that the AN group performed better than both, MD (t50 = 2.7, p = .009, d = .75) and HC (t61.0 = 3.4, p = .001, d = .84) groups."/><s v="MD and the HC groups did not differ significantly in any of the post-hoc comparisons. For angry and neutral faces no significant GROUP effects emerged (Fs&lt;1)."/><s v="The follow-up ANOVA for the gender discrimination task yielded only a significant main effect of EMOTION (F4,344= 26.1, p&lt;.001, ηp2=.233) "/><s v="The follow-up ANOVA for the gender discrimination task yielded [...] no main effect or interaction involving GROUP (Fs&lt;1)"/><s v="The TASK × EMOTION × GROUP ANOVA on RTs yielded a significant main effect of TASK (F1.7,146.1 = 947.0, p&lt;.001, ηp2 = .917)"/><s v="The TASK × EMOTION × GROUP ANOVA on RTs yielded a significant main effect of [...] EMOTION (F3.6,311.2 = 93.0, p&lt;.001, ηp 2 = .519)."/><s v="The TASK × EMOTION × GROUP ANOVA on RTs yielded a [...] significant TASK × EMOTION interaction (F4.7,405.1 = 99.5, p&lt;.001, ηp 2 = .536)."/><s v="No main effect or interactions of GROUP were found (Fs ≤ 1.4, ps&gt;.05)."/><s v="For faces being misclassified as sad, the ANOVA yielded an ERRORTYPE × GROUP interaction (F4.7,203.5 = 2.6, p = .029, ηp 2 = .057)."/><s v="A significant effect of GROUP emerged only for afraid faces being misclassified as sad (F2,86 = 4.8, p = .011, ηp 2 = .100), indicating that the MD group misclassified less afraid faces as sad than the HC group (t61 = 2.6, p = .011, d = .71)."/><s v="For faces being misclassified as angry, a main effect of GROUP (F2,86 = 3.2, p = .046, ηp 2 = .069) was found."/><s v="For faces being misclassified as neutral, a main effect of GROUP (F2,86 = 3.2, p = .047, ηp2 = .069) emerged"/><s v="Follow-up ANOVAs revealed significant effects of GROUP for happy (F2,86 = 3.7, p = .030, ηp 2 = .078) as well as sad (F2,86 = 4.0, p = .023, ηp 2 = .084) faces being misclassified as neutral"/><s v="Follow-up ANOVAs revealed significant effects of GROUP for [...] sad (F2,86 = 4.0, p = .023, ηp 2 = .084) faces being misclassified as neutral"/><s v="For faces being misclassified as happy [...] the ANOVAs yielded no significant effects involving GROUP (Fs ≤ 1.4, ps&gt;.05)."/><s v="For faces being misclassified as [...] afraid, the ANOVAs yielded no significant effects involving GROUP (Fs ≤ 1.4, ps&gt;.05)."/><s v="The TASK × EMOTION × GROUP ANOVA on percentage of correct answers revealed a significant main effect of TASK (F1.4,123.2 = 395.8, p&lt;.001, ηp 2 = .822) "/><s v="The TASK   EMOTION   GROUP ANOVA on percentage of correct answers revealed a significant main effect of TASK (F1.4,123.2 = 395.8, p&lt;.001, ηp 2 = .822) "/><s v="The TASK   EMOTION   GROUP ANOVA on percentage of correct answers revealed ... a significant main effect of EMOTION (F3.5,298.9 = 107.8, p&lt;.001, ηp 2 = .556)."/><s v="were further qualified by a TASK   EMOTION   GROUP interaction (F8.4,361.9 = 2.6, p = .009, ηp 2 = .056)."/><s v="For the emotion discrimination task (see Fig. 2), the follow-up ANOVA yielded a significant main effect of EMOTION (F3.3,281.8 = 114.5, p&lt;.001, ηp 2= .571)"/><s v="For the emotion discrimination task (see Fig. 2) ...  a significant main effect of GROUP (F2,86 = 3.3, p = .040, ηp 2 = .072). "/><s v="For the emotion discrimination task ... a significant EMOTION x  GROUP interaction (F6.6,281.8 = 2.7, p = .012, ηp 2 = .059)"/><s v="AN group performed better than ...  HC (t61.0 = 3.4, p = .001, d = .84) groups"/><s v="The TASK   EMOTION   GROUP ANOVA on RTs yielded a significant main effect of TASK (F1.7,146.1 = 947.0, p&lt;.001, ηp 2 = .917)  "/><s v="The follow-up ANOVA for the gender discrimination task yielded only a significant main effect of EMOTION (F4,344= 26.1, p&lt;.001, ηp 2= .233) but no main effect or interaction involving GROUP (Fs&lt;1),"/><s v="The follow-up ANOVA for the gender discrimination ... but no main effect or interaction involving GROUP (Fs&lt;1),"/><s v="The TASK   EMOTION   GROUP ANOVA on RTs yielded a significant main effect of ... EMOTION (F3.6,311.2 = 93.0, p&lt;.001, ηp 2 = .519)"/><s v="RT ... a significant TASK   EMOTION interaction (F4.7,405.1 = 99.5, p&lt;.001, ηp 2 = .536)."/><s v="&quot;A statistical analysis showed that there were in fact no significant interactions between item type and group (F(2,57) = .105; p = .901).&quot;  &quot;The statistical analyses presented above demonstrate that both sets of L3 learners were successful on the experim"/><s v="Results of the first experiment, the Semantic Interpretation Task…All groups performed comparably on this experiment, deriving about the same number correct interpretations for both preposed and postposed adjectives. A statistical analysis showed that the"/><s v="&quot;Furthermore there was no significant effect for item type (preposed v. postposed: F(1,57) = 0.011; p = .917)&quot;  &quot;The statistical analyses presented above demonstrate that both sets of L3 learners were successful on the experiments without any statisticall"/><s v="Results of the first experiment, the Semantic Interpretation Task…All groups performed comparably on this experiment, deriving about the same number correct interpretations for both preposed and postposed adjectives...no significant effect for...language "/><s v="&quot;Furthermore there was no significant effect...for language group (F(2,57) = 0.404; p = 0.669)&quot;. &quot;The statistical analyses presented above demonstrate that both sets of L3 learners were successful on the experiments without any statistically significant d"/><s v="Results of the second experiment, the Collocation Task… All groups performed comparably, providing about the same number of correct adjective placements based on context for both preposed and postposed adjectives. A statistical analysis showed that there "/><s v="&quot;There were no significant interactions between item type and group (F(2,57) = .288; p = .751).&quot; &quot;The statistical analyses presented above demonstrate that both sets of L3 learners were successful on the experiments without any statistically significant d"/><s v="Results of the second experiment, the Collocation Task… All groups performed comparably, providing about the same number of correct adjective placements based on context for both preposed and postposed adjectives...Moreover, a statistical analysis showed "/><s v="&quot;There were no significant effects for item type (preposed v. postposed: F(1,57) = 2.526; p = .118)&quot;. &quot;The statistical analyses presented above demonstrate that both sets of L3 learners were successful on the experiments without any statistically signific"/><s v="&quot;There were no significant effects...for language group (F(2,57) = 0.272; p = 0.763).&quot; &quot;The statistical analyses presented above demonstrate that both sets of L3 learners were successful on the experiments without any statistically significant deviance fr"/><s v="&quot;The overall mean estimate for self-reported (actual) falsification is 3.68 per cent, which is significantly different from zero (t = 2.82, p = 0.0025, one-tailed).&quot; &quot;The estimated percentage of seriously tainted articles in the top thirty accounting jour"/><s v="&quot;The estimate for the overall percentage of articles affected (in respondents’ opinion) is 20.92 per cent, also significantly different from zero (t = 5.06, p &lt; 0.0001). Thus respondents estimate the extent of research falsification to be about six times "/><s v="&quot;The attributions to internal causes were almost identical for the two sequences, at 36 and 35 per cent.&quot;"/><s v="&quot;We conducted a 2 (workplace: social vs remote)×2 (hierarchy: high vs low) ANOVA with corruption beliefs as the dependent variable. This analysis yielded a main effect of hierarchy F(1, 401)=17.49, p &lt; .001, ηp 2=0.042, [...] These results indicated that "/><s v="&quot;Consistent with Hypothesis 1, participants in the high hierarchy condition expected there to be more corruption among the employees of the Finance Department than participants in the low hierarchy condition, t (95)=2.32, p=.023, Cohen’s d=0.48 (see Table"/><s v="&quot;Consistent with Hypothesis 3, mediation bootstrapping procedures (Model 4; 5000 bootstraps; Hayes, 2012) revealed an indirect effect of hierarchy condition (1=high hierarchy, 0=low hierarchy), through corruption perceptions, on beliefs about whether the "/><s v="&quot;Consistent with Hypothesis 3, mediation bootstrapping procedures (Model 4; 5000 bootstraps; Hayes, 2012) revealed an indirect effect of hierarchy condition (1=high hierarchy, 0=low hierarchy), through corruption perceptions, on (...) desire to sign the p"/><s v="&quot;That is, across both levels of workplace sociality, participants in the high hierarchy condition (M = 4.25, SD = 1.62) expected more corruption among the employees in the company than participants in the low hierarchy condition (M = 3.55, SD = 1.69).&quot;"/><s v="&quot;Consistent with Hypothesis 1, participants in the high hierarchy condition expected there to be more corruption among the employees of the Finance Department than participants in the low hierarchy condition, t(95) = 2.32, p = .023, Cohen’s d = 0.48 (see "/><s v="The BASC-3 TRS-C Externalizing Problems Composite&#xA;scale was significantly correlated with the ASCA Overactivity syndrome (r = .79, p &lt;&#xA;.01) and supported convergent validity, sharing 62% measurement variance"/><s v="&quot;Table 6 presents the descriptive statistics and t-test results for specific BASC-3 TRS-C&#xA;and ASCA comparisons.&quot; Comparison of &quot;BASC Attention Problems ASCA Attention Deficit Hyperactive&quot;"/><s v="&quot;Table 6 presents the descriptive statistics and t-test results for specific BASC-3 TRS-C&#xA;and ASCA comparisons.&quot; Comparison of &quot;BASC Hyperactivity ASCA Attention Deficit Hyperactive&quot;"/><s v="&quot;Table 6 presents the descriptive statistics and t-test results for specific BASC-3 TRS-C&#xA;and ASCA comparisons.&quot; Comparison of &quot;BASC Withdrawal ASCA Avoidant&quot;"/><s v="&quot;Table 6 presents the descriptive statistics and t-test results for specific BASC-3 TRS-C&#xA;and ASCA comparisons.&quot; Comparison of &quot;BASC Conduct Problems ASCA Delinquent&quot;"/><s v="&quot;Table 6 presents the descriptive statistics and t-test results for specific BASC-3 TRS-C&#xA;and ASCA comparisons.&quot; Comparison of &quot;BASC Conduct Problems ASCA Oppositional Defiant&quot;"/><s v="&quot;Table 6 presents the descriptive statistics and t-test results for specific BASC-3 TRS-C&#xA;and ASCA comparisons.&quot; Comparison of &quot;BASC Aggression ASCA Solitary Aggressive Provocative&quot;"/><s v="&quot;Table 6 presents the descriptive statistics and t-test results for specific BASC-3 TRS-C&#xA;and ASCA comparisons.&quot; Comparison of &quot;BASC Aggression ASCA Solitary Aggressive Impulsive&quot;"/><s v="&quot;Table 6 presents the descriptive statistics and t-test results for specific BASC-3 TRS-C&#xA;and ASCA comparisons.&quot; Comparison of &quot;BASC Externalizing ASCA Overactivity&quot;"/><s v="&quot;Table 6 presents the descriptive statistics and t-test results for specific BASC-3 TRS-C&#xA;and ASCA comparisons.&quot; Comparison of &quot;BASC Internalizing ASCA Underactivity&quot;"/><s v="performance had a large and statistically significant main effect on satisfaction… b = 0.55, p &lt; .01"/><s v="&quot;Figure 6&quot; &quot;Overall, the empirical model in Figure 6 explains 26 percent of variance in satisfaction. More importantly, all of the core relationships were in the expected direction and were both substantively strong and highly significant statistically (p"/><s v="The expectations factor had only a very small negative main effect, which was not at all significant statistically… b = -0.01, p = n.s"/><s v="The interaction effect was positive, meaning that high expectations seemed to amplify the effect of performance on satisfaction judgments… b = 0.08, p = n.s"/><s v="Not reported - only a figure"/><s v="the slopes are very significantly negative (p &lt; 0.01), especially when length is measured in words (p ≪ 0.001)."/><s v="&quot;Results revealed significant effects for Time, F(1,15) = 16.49, p = .001, partial g2 = .52&quot; &quot;Consistent with predictions, participants in the ARTS condition showed a significant reduction in threat bias whereas those in the Sham-ARTS condition did not.&quot;"/><s v="Effects of treatment on threat bias were tested through a repeated measures analysis of variance (ANOVA)…Results revealed significant effects for Time, F(1,15) = 16.49, p = .001, partial η² = .52"/><s v="&quot;Results revealed significant effects... for the Group X Time, interaction, F(1,15) = 6.64, p = .021, partial g2 = .31&quot; &quot;Consistent with predictions, participants in the ARTS condition showed a significant reduction in threat bias whereas those in the Sha"/><s v="Effects of treatment on threat bias were tested through a repeated measures analysis of variance (ANOVA)…Results revealed significant effects…for the Group X Time interaction, F(1,15) = 6.64, p = .021, partial η² = .31… participants in the ARTS condition "/><s v="&quot;Results revealed significant effects for Time, F(1,21) = 13.66, p= .001, partial g2 = .39&quot; &quot;Significantly greater improvement on such measures in the ARTS versus Sham-ARTS group would suggests that the emo- tional effects of attentional retraining extend"/><s v="Effects of treatment on composite symptoms were tested through a repeated measures analysis of variance (ANOVA)… Results revealed significant effects for Time, F(1,21) = 13.66, p = .001, partial η² = .39"/><s v="&quot;Results revealed significant effects….for the Group X Time interaction, F(1,15) = 13.24, p = .002, partial g2 = .39&quot; &quot;Significantly greater improvement on such measures in the ARTS versus Sham-ARTS group would suggests that the emo- tional effects of att"/><s v="Effects of treatment on composite symptoms were tested through a repeated measures analysis of variance (ANOVA)… Results revealed significant effects… d for the Group X Time interaction, F(1,15) = 13.24, p = .002, partial η² = .39… the emotional effects o"/><s v="higher PC scores will lead to greater reductions in the CSI in the ARTS vs. the Sham Arts condition. This &#xA;prediction is derived from the hypothesis that individuals with higher PC scores may &#xA;(consciously or unconsciously) utilise PC to experience the "/><s v="Panel A of table 4 shows that male 90/50 (upper-tail) residual wage inequality rose during both halves of the sample: by 4.4 log points from 1973 to 1989 and by 4.0 log points from 1989 to 2005. ... Male 50/10 residual inequal- ity rose by 5.7 log points "/><s v="&quot;There was a main effect of block type, with longer RTs for non- switch trials in the switch block, F(1,64) = 228.4, p &lt; .001, η2, p = .78&quot;"/><s v="There was a main effect of block type, with longer RTs for non-switch trials in the switch block, F(1,64) = 228.4, p &lt; .001, η²p = .78... and an interaction between block type and language status, F(1,64) = 4.9, p = .03, η²p = .07, in which the difference"/><s v="There was a main effect of switch status, with longer RTs for switch trials, F(1,64) = 53.2, p &lt; .001, η2p = .45"/><s v="&quot;No main effect of language status, F &lt; 1&quot;"/><s v="There was &quot;An interaction between block type and language status, F(1, 64) = 4.9, p = .03, η²_p = .07, in which the difference between RT in switch and non-switch blocks was smaller for bilinguals, consistent with smaller GSC&quot; &quot;our study found that young "/><s v="&quot;There was a main effect of switch status, with longer RTs for switch trials, F(1, 64) = 53.2, p &lt; .001, η²_p = .45&quot;"/><s v="&quot;Neither the language status main effect nor the interaction reached significance, Fs &lt; 1&quot; &quot;our study found that young adult bilinguals displayed a GSC advantage, but no LSC advantage.&quot;"/><s v="The final result identified eight factors with 40 total items. Table 12 shows the third and final rotated factor matrix, with the loading for each item. Factors six, seven, and eight are the least stable with only three items each. The researcher determin"/><s v="The key findings from the studies have suggested that accuracy scores of the morphemes reflect a somewhat fixed order of morpheme acquisition for L2 English learners irrespective of L1 background, age, or learning environment."/><s v="By conflating A1 and A2 together into ‘beginners’ and B1 and B2 into ‘intermediates’ (Figure 6B),7 beginners significantly differ from intermediates for each morpheme&#xA;(p &lt; 0.02 for all X2 contrasts),8 except for plural -s (TLU = 14/15 vs. 51/54, X2 = 0.02"/><s v="By conflating A1 and A2 together into ‘beginners’ and B1 and B2 into ‘intermediates’ (Figure 6B),7 beginners significantly differ from intermediates for each morpheme&#xA;(p &lt; 0.02 for all X2 contrasts),8 except for plural -s (TLU = 14/15 vs. 51/54, X2 = 0.0"/><s v="The regression analysis revealed that all three scales contributed significantly to the prediction of global foreign language anxiety, F(3, 254) = 191.15, p &lt; .0001. These three scales together explained 69.4% of the variance in global anxiety (adjusted R"/><s v="There are  multiple paths to rumination. Major theories of rumination that put different emphasis on metacognitive and self-regulatory aspects of rumination complement each other."/><s v="One of the author’s key conclusions is that the relationship between science and religion is dynamic, diverse, and highly dependent on historical and cultural contexts, challenging simplified narratives of inherent conflict or complete separation between "/><s v="When contrasting the different empowerment scenarios, patterns similar to those identified in corporate attitudes are found. First, full empowerment tends to receive the highest observed frequencies for furniture and bicycles (for T-shirts, full empowerme"/><s v="In support of H2a and H2b, respectively, it is first found (using repeated measures ANOVAs) that the ‘‘empowerment to create’’ scenario (mean = 4.49) as well as the ‘‘empowerment to select’’ scenario (mean = 4.57) produced significantly stronger corporate"/><s v="In a similar vein, the ‘‘empowerment to cocreate’’ (mean =4.76), ‘‘empowerment to select’’ (mean = 4.76), as well as the full-empowerment scenario (mean = 5.18) are clearly superior in terms of corporate attitudes compared with the zero-empowerment scenar"/><s v="Third, the same patterns are found for bicycles: ‘‘cocreate’’ (mean = 4.67), ‘‘select’’ (mean = 4.90), and full-empowerment (mean = 5.09) companies are associated with significantly higher corporate attitudes than zero-empowerment firms (mean 5 3.69; p &lt; "/><s v="&quot;There was a significant Objectball,food main effect, F(1, 19) = 4.32, p = 0.05, np2 = 0.19, reflecting earlier movement initiations toward Food objects (M = 1,361 milliseconds, SE = 112 milliseconds) compared to Ball objects (M = 1,417 milliseconds, SE ="/><s v="&quot;Neither the main effect Interactiongrasp,ward, F(1, 19) = 2.80, p = 0.11&quot;"/><s v="&quot;Neither….nor the two-way interaction was significant, F(1, 19) = 0.13, p = 0.72.&quot;"/><s v="&quot;Ward movements were executed faster than grasp move- ments (mean difference: 218.72 milliseconds, SE = 60.88 milliseconds), as reflected by a significant main effect of Interactiongrasp,ward, F(1, 19) = 12.90, p = 0.002, gp2 = 0.41."/><s v="&quot;Again, a timely advantage emerged for Food objects, F(1, 19) = 4.50, p = 0.05, gp2 = 0.19&quot; &quot;Complementing previous findings, food objects were grasped and collected significantly faster than nonfood objects. This result replicates an attentional bias for"/><s v="&quot;there was no sig- nificant two-way interaction effect, F(1, 19) = 1.19, p = 0.29&quot;"/><s v="&quot;we indeed found that Food objects were gathered faster than Ball objects, and the difference was significant, t(19) = 3.692, p = 0.002, d = 0.16&quot; &quot;Complementing previous findings, food objects were grasped and collected significantly faster than nonfood "/><s v="&quot;Compared with the initial bias observed in movement-onset times, the behavioral bias for food appar- ently increased by 39.5 percent (D = 44.33 milliseconds, SE = 24.81 milliseconds), and we noted a statistical trend for significance, t(19) = 1.79, p = 0"/><s v="&quot;With increasing BMI, the collection time advantage in collecting food was indeed larger, r = 0.428, p = 0.030.&quot; &quot;In contrast to neutral cues, both appetizing and unappetizing food cues elicited faster responses with increasing BMI in a dot-probe paradigm"/><s v="&quot;As expected, there was a trend for edible objects to be rated more positively than ball objects, although the biserial correlation of object type and valence ratings was rather small, r = 0.15, p = 0.059.&quot;"/><s v="The 1 X 7 analysis of variance yielded a significant effect of experimental condition, (6, 183) = 4.02, p &lt; .00 … holding subjects accountable for the decision process produced a significant decrease in resource allocation compared with the baseline condi"/><s v="&quot;a significant effect of experimental condition on resource allocation F(6, 183) = 4.02, p &lt; .001&quot;"/><s v="The 1 X 7 analysis of variance yielded a significant effect of experimental condition, (6, 183) = 4.02, p &lt; .001. (outcome accountability)"/><s v="&quot;holding subjects accountable for the decision process produced a significant decrease in resource allocation&#xA;compared with the baseline condition. F(l, 183) = 4.07, p &lt; .05&quot;"/><s v="As predicted, process accountability was associated with significantly lower alloca- tions to the initial choice than was outcome accountability, /-&quot;(I, 183)= 12.41, p&lt;.01."/><s v="&quot;An additional planned contrast was between process accountability and outcome accountability. As predicted, process accountability was associated with significantly lower allocations to the initial choice than was outcome accountability, /-&quot;(I, 183)= 12."/><s v="For conceptual knowledge, our analysis revealed a significant, large effect for the form of instruction (F[1,200] = 34.29, p &lt; .001, η² partial = .15) favoring instruction based on typical student solutions"/><s v="&quot;The ANCOVA for conceptual knowledge revealed significant differences between conditions (F[2,94] = 17.49, p &lt; .001&quot;."/><s v="The timing of instruction (F[1,200] = 1.65, p = .20) "/><s v="&quot;Second, we tested the effect of timing of instruction when the form of instruction is held constant. While PS-Icontrast outperformed Icontrast-PS (hypothesis 1b) in descriptive terms, this difference failed to reach statistical significance (F[1,94] 1= 2"/><s v="And the interaction (F[1,200] = 1.08, p = .30) were not significant "/><s v="&quot;The ANCOVA for procedural skills revealed significant differences between conditions (F[2,94] = 4.86, p = .01)&quot;."/><s v="For procedural skills, we found a significant, small effect for the timing of instruction (F[1,200] = 3.98, p = .047, η² partial = .02) favoring instruction prior to problem-solving"/><s v="&quot;The form of instruction in the instruction prior to problem-solving conditions (F[1,94] = .13, p = .72) had no significant effect on the acquisition of procedural skills&quot;."/><s v="but no significant effect for the form of instruction (F[1,200] = 0.39, p = .53), "/><s v="&quot;For conceptual knowledge, we found a significant effect with a large effect size for form of instruction (F[1,243] = 45.35, p &lt; .001, favoring instruction based on typical student solutions (i.e., supporting hypothesis 1a)&quot;"/><s v="or for the interaction (F[1,200] = 1.32, = .25)."/><s v="&quot;For conceptual knowledge, we found a significant effect with medium effect size for timing of instruction (F[1,234] = 21.30, p &lt; .001,&#xA; favoring problem-solving prior to instruction&quot;"/><s v="&quot;For procedural skills, neither the timing of instruction (F [1,234] = 1.35, p = .25; i.e., no support for hypothesis&quot;"/><s v="&quot;The interaction of the two factors (F[1,234] = 3.25, p = .07) was marginally significant&quot;."/><s v="&quot;For procedural skills form of instruction (F[1,234] = 0.002, p = .97) was significant&quot;"/><s v="&quot;We further found a significant interaction (F[1,234] = 4.68, p = .03, indicating that the form of instruction had a higher effect in the problem-solving prior to instruction conditions&quot;."/><s v="&quot;Under high personal responsibility conditions, subjects allocated an average of 11.08 million dollars to the corporate divisions they had earlier&#xA;chosen for extra R &amp; D funding. Under low personal responsibility conditions, subjects allocated an addition"/><s v="&quot;Under positive decision consequences, subjects allocated an average of 8.77&#xA;million to the previously chosen alternative, while 11.20 million was allocated under negative consequences&quot;"/><s v="&quot;the amount invested in the previously chosen alternative was greater in the high personal responsibility-negative consequences condition than in any of the other three experimental conditions."/><s v="When we included only the SNS, it significantly predicted the strength of music-evoked nostalgia in the expected direction, β=.1082,t(224)=2.81,p=.01\beta = .1082, t(224) = 2.81, p = .01β=.1082,t(224)=2.81,p=.01. …"/><s v="&quot;Participants reported more music-evoked nostalgia when listening to songs that they found arousing&quot;"/><s v="&quot;Participants reported more music-evoked nostalgia when listening to songs that evoked in them greater numbers of positive and negative emotions&quot;"/><s v="&quot;Participants reported more music-evoked nostalgia when listening to songs that gave rise to mixed emotions&quot;"/><s v="&quot;When estimating a model including the ANPS, PANAS, and SNS, the positive association of SNS with music-evoked&#xA;nostalgia remained significant, β = .1116, t(215)  2.62, p  .01, whereas the previously significant associations of Negative Affect&#xA;and Play wit"/><s v="Interaction of context-level and person-level predictors on music-evoked nostalgia (nostalgia proneness x arousal), Table 2"/><s v="&quot;Those who won the money on a radio contest were more likely to spend the money (M = 3.11) than those who earned it by working overtime (M = 4.25). This difference was statistically significant, t(91) = 2.97, p &lt; .01&quot;"/><s v="&quot;The tax rebate group was more likely to make the investment, whereas the savings group exhibited no marked preference between investing and not investing &quot;"/><s v="&quot;Despite obvious differences in job difficulty, the groups in the main experiment did not differ in their willingness to buy the television. The chi square analysis comparing questionnaires 3A and 3B did not approach significance&quot;."/><s v="&quot;developing informal representations for variables and unknowns and learning about the&#xA;two interpretations of the equal sign were meaningful new insights for the prospective&#xA;teachers.&quot;"/><s v="&quot;A planned contrast showed that the number of death words created in the MS no delay condition (M 1⁄4 0.94, SD 1⁄4 1.21) was&#xA;greater than the number of death words created in the other three conditions (MS delay: M 1⁄4 0.56, SD 1⁄4 0.67; DPS delay:&#xA;M 1⁄4 "/><s v="cold pressor stress induced a shift towards greater right frontal activation which, however, was limited to F7/F8... A CONDITION * &#xA;TIME * LOCATION within-subjects ANOVA resulted in...marginally significant three-way interaction of CONDITION*TIME*LOCATION"/><s v="&quot;A CONDITION *TIME * LOCATION within-subjects ANOVA resulted in a significant two-way interactions of CONDITION*TIME (F[1,20] = 5.38, p = .031, η² = .118)&quot;"/><s v="Frontal asymmetry during acute stress was unrelated to other stress response components…asymmetry at F3/F4 remained unchanged during stress...(r = . -.204, p = .375)"/><s v="Cortisol responses were best predicted by resting asymmetry at electrodes F3/F4…the correlation with cortisol only reached significance during baseline (r = . -.512, p = .018)"/><s v="Are static analysis errors related to student achievement, in terms of earning grades?...examining a scatterplot of the two variables...ndividual error rate on an assignment and the corresponding score...does not reveal a clear visible trend (correlation "/><s v="&quot;formatting errors occur most often 49%&quot; "/><s v="An analysis of variance including course, the presence of coding errors in the final product, and the presence of coding errors at any point during development of the solution indicated that coding flaws are significantly related to program grades earned "/><s v="&quot;A one-way analysis of variance shows that the overall error rates do differ significantly by course (F = 526, p &lt; 0.0001). Tukey’s HSD indicates that each course is different from the three others, with its own distinct overall error rate. Among CS major"/><s v="&quot;While an ANCOVA suggests a relationship between individual error rate on an assignment and the corresponding score (F = 5211, pp &lt; 0.0001), examining a scatterplot of the two variables does not reveal a clear visible trend (correlation R = -0.27)&quot;"/><s v="&quot;presence of coding flaws in the final submission itself was associated with dramatically lower scores (mean without flaws in final work = 91.4%, mean with flaws in final work = 48.2%, F = 7710, p &lt; 0.0001), with an effect size of 1.97&quot;"/><s v="&quot;Regarding RQ1, there are significant differences between the comment variants (X2 = 16.1; α = 0.003). Code snippets with good comments (GC) are perceived as the most readable and the variants without comments (NC) are perceived as the least readable&quot;."/><s v="&quot;For snippets S1–S5, our data shows significant differences in their mean answer accuracy (Acc) (ANOVA p = 0.0013 at α &lt; 0.01)&quot;."/><s v="&quot;Regarding RQ2, our data does not show any significant differences in the perceived readability (R1) for the MC variants&quot;."/><s v="Quantified in terms of bias (dwell time on negative faces minus non-negative faces), youth with anxiety demonstrated significantly greater bias relative to their healthy peers, t (31.25) = 2.14, p = 0.041, d = 0.65"/><s v="Patients displayed longer gaze duration on negative relative to non-negative valence faces than healthy peers."/><s v="Dimensionally, a similar pattern was noted, with a positive correlation between dwell time bias score and overall anxiety symptom severity, r (48) = 0.29, p = 0.043"/><s v="Main effect: There were no main effects, but we did find a significant interaction between source expertise and source certainty. (on attitude)&#xA;Simple effects:The nonexpert source was more persuasive, as indicated by more favorable attitudes, when he expr"/><s v="Analysis of the perceived expertise data revealed only a main effect for the expertise manipulation (F (1, 64) = 4.60, p &lt; .04). Participants rated the source as having more expertise in the high (M = 7.06) rather than low (M = 6.08) expertise condition."/><s v="Main effect: no main effects for source expertise or source certainty but a significant interaction between these variables. (on involvement)&#xA;Simple effects: with low expertise reported greater involvement with the high rather than low certainty review, u"/><s v="There was no main effect for source certainty (F(1, 64) = 2.36, p &gt; 0.12)"/><s v="There were no main effects (F's &lt; 1),"/><s v="we did find a significant interaction between source expertise and source certainty (F(1, 64) = 9.70, p &lt; .004). As illustrated in figure 2, this interaction assumed the predicted form. "/><s v="no main effects for source expertise or source certainty (F’s &lt; 1)"/><s v="a significant interaction between expertise and source certainty (F(1, 64) = 11.02, p &lt; .002). A"/><s v="As predicted, the I/C schedule produced a response deficit for leisure time for both Drew and Dave. For example, the initial Oi /Oc ratio for Drew was 0.025 (8.1 instances of compliance /313.1 s of leisure time).  "/><s v="Constraining access to a preferred activity increased engagement with a less-preferred activity to restore equilibrium."/><s v="Four distinct negative emotional eating patterns were identified: non-emotional eating, emotional overeating, emotional undereating, and mixed emotional eating. Key result: Wald χ²(12) = 234.76, p &lt; .001."/><s v="Associated with lower levels of stress-related eating and healthier eating behaviors overall."/><s v="Showed the highest scores on measures of depression and anxiety (statistically significant)."/><s v="Significantly correlated with increased caloric intake during negative emotional states (p &lt; 0.01)."/><s v="Associated with significant reductions in food consumption during periods of stress and sadness."/><s v="results of comparisons of the four patterns on other measures, and significant pattern differences were found in ARFID symptoms (X2 = 67.52, p &lt; .01)"/><s v="results of comparisons of the four patterns on other measures, and significant pattern differences were found ... in traditional eating disorder symptoms (X2 = 26.07, p &lt; .01)"/><s v="results of comparisons of the four patterns on other measures, and significant pattern differences were found... in psychological distress (X2 = 39.22, p &lt; .01)."/><s v="significant positive effects on children’s self-esteem emerged for warmth, monitoring, low maternal depression, economic security (vs. hardship), and presence (vs. absence) of father. With regard to the reciprocal effects, children’s self-esteem predicted"/><s v="Results from the CLPMs indicated that a number of family environment variables affected child self-esteem. Specifically, parental warmth, parental monitoring, and presence of father positively predicted subsequent child self-esteem, whereas maternal depre"/><s v="Perceived similarity predicted higher levels of concurrent life satisfaction."/><s v="Perceived similarity between one's present and future self is significantly associated with greater life satisfaction 10 years later."/><s v="The effect of perceived similarity remains significant when controlling for age, gender, education, and income."/><s v="The effect of perceived similarity is reduced but remains significant when controlling for demographic variables and baseline life satisfaction."/><s v="Microinsults involve subtle communications of rudeness or stereotypes, such as assumptions about older adults' abilities or experiences of &quot;elderspeak.&quot;"/><s v="These are more overt forms of discrimination, including verbal assaults like name-calling (&quot;Okay, Boomer!&quot;) or physical actions, such as being pushed or rushed."/><s v="Microinvalidations include dismissing or nullifying older adults’ experiences and feelings. "/><s v="monitoring, low maternal depression, economic security (vs. hardship), and presence (vs."/><s v="absence) of father. With regard to the reciprocal effects, children’s self-esteem predicted positive"/><s v="Subjects with an APOEε4 allele had significantly decreased global cognition (global index) compared to subjects with no ε4 allele, characterized by global cognition (p = 0.047, Table 1)."/><s v="ε4-carriers had a trend for lower gray matter regional volumes in the left lingual/parahippocampal gyrus,right inferior parietal cortex, left superior frontal cortex,left angular gyrus, left amygdala, and right precuneus (p &lt; 0.001, uncorrected, Table 2, "/><s v="There were no regions where FA was significantly higher or lower in healthy elderly ε4 carriers versus noncarriers at p &lt; 0.05 corrected level of significance. More in Table 1"/><s v="“In Philadelphia, public health calls concentrate in the Center City (A in Fig. 2) and Kensington (B) neighborhoods of the city. [...]  Health-related policing calls are up to four times more frequent in the afternoon and evening compared to the early hou"/><s v="&quot;For more detail, in Fig. 1 box size indicates the time spent on each CAD code type in 2019, based on initial classifcation assigned by the dispatcher and weighted for the number of ofcers in attendance. Te crime category dominates (54.7% of time committe"/><s v="“[...] the average time elapsed per call type varied from a low of 12 minutes (for alarms) to a high of 87 minutes (for medical calls). However, most call types averaged somewhere between 20 to 60 minutes. Here, the types of calls that appear to take long"/><s v="&quot;A large proportion of calls that police agencies are receiving from citizens do not seem to be for serious crimes or obvious emergencies. Rather, the most common types of calls to which officers were dispatched, on average, were traffic-related events (a"/><s v="&quot;Consistent with Hypothesis 1, the results suggest that black Londoners’ overall satisfaction of the Metropolitan Police did fall significantly follow- ing the killing of Eric Garner in New York. I estimate that overall satisfaction with the police fell b"/><s v="&quot; [...] overall perception of police fairness fell by 2.44 [...]&quot;"/><s v="&quot;[...] and perceptions of community engagement fell by 3.16.&quot;"/><s v="&quot;Table 2 presents estimates of the effect of Eric Garner’s killing on the attitudes of black Londoners toward the Metropolitan Police. Consistent with Hypothesis 1, the results suggest that black Londoners’ overall satisfaction of the Metropolitan Police "/><s v="We find that the messaging intervention increases the frequency of parental involvement in physical games with the child in a magnitude of 0.27 standard deviations (I considered values reported in Column (3) as it's prefered by authors)."/><s v="We also find that the intervention increases the average frequency of parental engagement in didactic activities with the child by 0.29 standard deviations."/><s v="The ITT effect on the frequency of parental involvement in social activities with the child has a magnitude of 0.27 standard deviations."/><s v="We find that the messaging intervention increases the&#xA;frequency of parental involvement in physical games with the child in a magnitude of&#xA;0.27 standard deviations. This estimate is significant at a level of 5% when considering&#xA;unadjusted p values, cluste"/><s v="The ITT effect on the fre-&#xA;quency of parental involvement in social activities with the child has a magnitude of&#xA;&#xA;0.27 standard deviations and is significant at the 5% level, but loses significance in the&#xA;absence of controls (Column (1))."/><s v="Regarding the quality of parental investment, we find a positive effect of 0.31 stan-&#xA;dard deviations on the index of positive parenting when considering unadjusted&#xA;&#xA;p values."/><s v="We find no evidence&#xA;of an effect of the intervention on parental stress, discount rate, or parental knowledge."/><s v="In particular,&#xA;families facing a larger number of negative shocks are more likely to implement&#xA;routines, are less likely to use violent discipline, and have a stronger sense of parental&#xA;competence at follow-up."/><s v="&quot;In this paper, we have considered ways in which to embed a focus on affect into a&#xA;self-directed learning course, and the implications this may have for language learners. We&#xA;&#xA;have given some examples of tools that could be used for awareness-raising and "/><s v="In support of our preregistered hypothesis, respondents’ in­person social portfolio diversity predicted higher well­being over and above this relationship (β = 0.13, b = 0.54, 95% CI [0.15, 0.92], P = 0.007, n = 576)."/><s v="Participants in the information condition believed that there was a higher likelihood that their partner would detect their lie (information: M = 41.06%, 95% CI = 37.76–44.35%; versus no information: M = 33.29%, 95% CI = 30.34–36.24%), independent samples"/><s v="1.91–5.99). In this paradigm, participants in the information&#xA;condition were more likely to believe that they were connected to another&#xA;person (58.3% (information condition) versus 40.6% (no information&#xA;condition), X2&#xA;= 14.53, P &lt; 0.001, Cramer’s V = 0.18"/><s v="Participants were not asked how well they knew&#xA;their partner or the suspicion question. Again, when participants had&#xA;information about their partners, they thought that their partners&#xA;would be better at detecting their lies (F(2, 549) = 4.98, P = 0.007,&#xA;η"/><s v="Moreover, participants in the information condition felt as if they&#xA;knew their partner better (information: M = 4.55, 95% CI = 4.39–4.72&#xA;versus no information: M = 3.89, 95% CI = 3.70–4.08), unequal variances&#xA;t-test t(979.85) = 5.23, P &lt; 0.001, d = 0.33)."/><s v="In addition, participants&#xA;&#xA;in the information condition felt as if their partner knew them bet-&#xA;ter (information: M = 4.32, 95% CI = 4.15–4.49 versus no information:&#xA;&#xA;M = 3.94, 95% CI = 3.76–4.13), unequal variances t-test t(994.87) = 2.96,&#xA;P = 0.003, d ="/><s v="Participants’ feelings of knowing their partner and&#xA;their feeling of their partner knowing them significantly mediated the&#xA;effect of information on (dis)honesty (knowing their partner: indirect&#xA;effect = −0.09, bias-corrected 95% CI = −0.15 to −0.04; their"/><s v="Mean step count increased from 24.35 steps per minute during baseline to 54.76 steps per minute during the intervention."/><s v="&quot;Overall, the results of the current study are consistent with previous research that used the Step it&#xA;UP! Game to increase step counts&quot;"/><s v="The impact of having experienced the Vietnam War is about three times—0.30 standardized effect in the OLS full model—and five times—0.56 standardized effect in the IV full model (see also Table 1)."/><s v="Indicates that longer words are harder to recall than shorter words, reflecting the role of the articulatory rehearsal process."/><s v="Indicates that phonemically similar words are harder to recall than phonemically distinct words, reflecting the phonological storage capacity."/><s v="Suggests that articulatory suppression abolishes the word length effect but does not diminish the phonemic similarity effect, supporting the distinction between the two processes."/><s v="effects of articulatory suppression [F(1,22) == 17.62, MSe == 14.95, P &lt; .001] [...] upon the number of sequences recalled"/><s v="phonemic similarity [F(1,22) == 121.10,MSe == 2.76,p &lt; .001] [...] upon the number of sequences recalled"/><s v="word length [F(1,22) == 35.41,MSe == 1.84,p &lt;.001] [...]  upon the number of sequences recalled"/><s v="effect of phonemic similarity [F(I,15) = 214.17, MSe = 3.10, p &lt; .001"/><s v="effect of word length [F(I, 15) = 34.34, MSe = 1.33, P &lt; .001],"/><s v="effect of blocks [F(I,22) = 11.09, MS. = 12.21, P &lt; .005]"/><s v="effect of word length [F(I,22) = 13.53, MS. = 14.66, P &lt; .001]"/><s v="effect of unattended speech [F(I,22) = 30.80, MS.e = 12.21, p &lt; .001]"/><s v="effects of presentation rate [F(l,20) = 31.04, MSe = 56.96,p &lt; .001]"/><s v="phonemic similarity [F(l,20) = 23.33, MSe = 14.79, P &lt; .001]"/><s v="articulatory suppression [F(I,20) = 33.24, MSe = 8.43,p &lt; .001]"/><s v="phonemic similarity [F(1,20) = 55.60, MSe = 15.86, P &lt; .001]"/><s v="articulatory suppression [F(1,20) = 41.96, MSe = 14.18, p &lt; .001]."/><s v="recall delay [...] [F(1,20) = 6.48, MSe = 70.20, P &lt; .02],"/><s v="Listeners rated English speakers as more competent than Tagalog speakers (in Table 1: beta=-3.22, p&lt;0.001)."/><s v="A significant three-way interaction was driven by the competence ratings in low-performance scenarios, where both English and Tagalog speakers received higher competence ratings in low- versus high-prestige jobs, but the magnitude of this difference was g"/><s v="Listeners gave higher preference ratings to English than Tagalog speakers (in Table 2: beta=-3.56, p&lt;0.001)."/><s v="A significant three-way interaction was driven by the treatment preference ratings given to Tagalog speakers (rather than English speakers) in low-performance scenarios, where Tagalog speakers received higher ratings in low- versus high-prestige jobs."/><s v="Listeners rated Tagalog speakers as less comprehensible than English speakers."/><s v="A significant three-way interaction between speaker L1, prestige, and performance level was driven by the ratings in low-performance scenarios, where both English and Tagalog speakers were evaluated as sounding more comprehensible in low- versus high-pres"/><s v="listeners rated English speakers as more competent than&#xA;Tagalog speakers."/><s v="The effect for speaker L1 was qualified by an interaction with accentedness rating,&#xA;where English speakers were rated as more competent than Tagalog speakers when the&#xA;speaker’s foreign accent was stronger,"/><s v="The effect for speaker L1 was qualified by an interaction with accentedness rating,&#xA;where English speakers were rated as more competent than Tagalog speakers when the&#xA;speaker’s foreign accent was stronger, but not when the accent was weaker "/><s v="The effect for job prestige was qualified by an interaction with speaker L1, whereby&#xA;English speakers were rated as more competent than Tagalog speakers in high-prestige&#xA;positions but not in low-prestige positions where the ratings for english and tagalog"/><s v="As can be seen in Figure 4, moderate internal reliability was achieved in both the flankers ,"/><s v="reliability of the Stroop task remained low even after 20 errors per subject were examined"/><s v="As can be seen in Figure 4, moderate internal reliability was achieved in both the [...] go/no-go,"/><s v="This suggests that the Flanker task provides adequate reliability for the ERN, even with a relatively small number of error trials."/><s v="The Go/No-Go task demonstrates acceptable reliability for the ERN but requires slightly more error trials compared to the Flanker task"/><s v="These results indicate that the Stroop task provides poor reliability for the ERN and may not be suitable for assessing individual differences in performance monitoring."/><s v="one-way ANOVAs were conducted [...]. GAD group, the main effect of Valence of Face was significant, F(2, 26) = 5.68, MSE = 1404.72, p &lt;.01. Table 2"/><s v="one-way ANOVAs were conducted [...]. The main effect of Valence of Face did not reach significance for the matched control group, F(2, 26) = 1.49, MSE = 1499.52, η2p = .10, p = .24, Table 2"/><s v="one-way ANOVAs were conducted [...]. The main effect of Valence of Face did not reach significancethe high trait anxious group, F(2, 26) = 1.72, MSE = 2582.33, η2p = .12, p = .20. Table 2"/><s v="Subjective emotion ratings completed after Experiment 1a&#xA;showed that participants’ motivation increased as a function&#xA;of increasing goal proximity (Stouffer’s combined p &lt; .001),&#xA;and as a function of increasing expended effort (Stouffer’s&#xA;combined p &lt; .00"/><s v="Frustration increased with proximity to the goal and with effort investment. Significant neural activation was observed in the amygdala, periaqueductal gray (PAG), anterior insula, and dorsal anterior cingulate cortex (dACC)."/><s v="A simple linear regression analysis shows that extraversion predicts SMEI, F(1,422) = 18.27, p&lt;.001 (R2 = .042, beta = .241)."/><s v="Our estimates indicated that the aggregate elasticity of substitution between capital and labor for the manufacturing sector has been between 05 and 07, with a slight decline from 1972 to 2007."/><s v="participants who were unwilling to be donors and 15% of the participants who were unsure selected that default, w2 (2, N 5 102) 5 8.0, p 5 .018."/><s v="42% of the participants who thought that people  generally ought to be donors selected ‘‘organ donor’’ as the default, but only 12% of the participants who did not think that  people generally ought to be donors and only 15% who were unsure chose this def"/><s v="to infer that the policymakers probably thought that people ought to be donors (86% vs. 10%), were less likely to infer that the policymakers probably did not think that people ought to be donors (0% vs. 31%), and were less likely to concludethat nothing "/><s v="‘‘not an organ donor’’ default, participants told that the policymakers had selected the ‘‘organ donor’’  default were more likely to infer that the policymakers probably thought that people ought to be donors (86% vs. 10%), were less likely to infer that"/><s v="A significant difference was found between those willing to be donors and those not willing. "/><s v="A significant difference was found between those who think others should be donors and those who don't. "/><s v=" A very significant difference was found between those who perceived policymakers as willing to be donors, depending on the default."/><s v="A very significant difference was found between those who perceived HR staff as supportive of automatic enrollment, depending on the default. T"/><s v="A significant but moderate difference was found between those who perceived HR staff as not enrolled, depending on the default."/><s v="the high salience condition reported thinking about God during the study more than the low salience condition [Mlow God salience = 1.32, SD = 0.79; Mhigh God salience = 2.24, SD = 1.53; F(1, 319) = 47.28, P &lt; 0.001], The attrition rates between the low sa"/><s v="&quot;a one-way ANOVA on an index score computed by averaging each person's responses across the 24 decisions resulted in a significant effect of God salience [F(1,319) = 12.91, P &lt; 0.001; effect size f = 0.20]&quot;, &quot;The effect of God salience remained significan"/><s v="&quot;a one-way ANOVA on an index score computed by averaging each person's responses across the 24 decisions resultsed in a significant effect of God salience [F(1,319) = 12.91, P &lt; 0.001; effect size f = 0.20]&quot;, &quot;The effect of God salience remained significa"/><s v="&quot;In study 2a, 35.7% of participants in the low God salience condition picked the mutual fund recommended by the robo-advisor compared to 50.5% of participants in the high God salience condition [X2 = (1) = 4.46, P = 0.035; Ф = 0.15]&quot;"/><s v="“In study 2b, while 31% of participants in the low God salience condition listened to the song recommended by AI, 44.6% of those in the high God salience condition listened to the song recommended by AI [X2 = (1) = 6.80, P = 0.009; Ф = 0.14]”"/><s v="“We replicated the expected effect: 33.5% of participants in the low God salience condition preferred the recommendation by the AI, while 44.3% of participants in the high God salience condition preferred the recommendation by the AI [X2(1) = 4.12, P = 0."/><s v="&quot;The main effect of God salience was significant [F(1,236) = 9.25, P = 0.003]&quot;"/><s v="&quot;A two-way ANOVA with God salience and AI type as predictors resulted in an insignificant main effect of the mysteriousness of the AI (F(1, 236) = .03, P &gt; .8) and an insignificant interaction term (F(1,236) = .006, P &gt; .9).&quot;"/><s v="&quot;35.7% of participants in the low God salience condition picked the mutual fund recommended by the robo-advisor compared to 50.5% of participants in the high God salience condition [X2(1) = 4.46, P = 0.035; Φ = 0.15]. In exploratory analyses, we found tha"/><s v="&quot;31% of participants in the low God salience condition listened to the song recommended by AI, 44.6% of those in the high God salience condition listened to the song recommended by AI [X2(1) = 6.80, P = 0.009; Φ = 0.14], an effect that remained significan"/><s v="&quot;33.5% of participants in the low God salience condition preferred the recommendation by the AI, while 44.3% of participants in the high God salience condition preferred the recommendation by the AI [X2(1) = 4.12, P = 0.042; Φ = 0.11]&quot;"/><s v="&quot;the main effect of God salience was significant [F(1, 236) = 9.25, P = 0.003]&quot;"/><s v="Comparison of the best unimodal performance with bimodal performance predicted by Equation 1,  in a one-tailed, matched samples t test produces a clearly significant result, with t5 =  3.69 and p&lt;0.01."/><s v="a significant main effect for task (F(1,21) = 25.75; p&lt; 0.001);"/><s v="&quot;There was also a significant main effect for task (F(1,21) = 25.75; p &lt; 0.001); subjects were significantly slower to respond to incongruent, relative to congruent trials (M(incongruent) = 746.31, S.E. = 25.83; M(congruent) = 706.98, S.E. = 25.83)&quot;"/><s v="NA"/><s v="when compared with messages passed by organizational sources, those passed by personally closer people (e.g., friends, family) would lead to greater willingness to participate in collective activities on social media. This was supported."/><s v="&quot;Results from hierarchical regression analysis blocking for control variables showed that personally closer sources were significantly more influential (M = 5.44, SD = 1.21) than organizational sources (M = 4.02, SD = 1.41), with ΔR2 = .194, F(5, 207) = 1"/><s v="whether holistic recollection is evident at the ages of 4 and 6 years, during a crucial developmental window of robust gains in episodic memory,"/><s v="&quot;We found that within-event retrieval accuracy was dependent in young adults: Dependency (M = .07, SE = .01, 95% CI = [.05, .08]) was significantly greater than zero, t(30) = 7.37, p &lt; .001, d = 1.32, 95% CI = [0.83, 1.80]&quot;"/><s v="Participants’ writing was more distanced in the Reappraise Negative condition (M = 0.10, SD = 0.24) than in the Look Negative condition (M = -0.11, SD = 0.32), t(106) = 7.71, p &lt; .001, 95% CI = [0.15, 0.26], d = 0.72."/><s v="&quot;Participants’ writing was more distanced in the Reappraise Negative condition (M = 0.10, SD = 0.24) than in the Look Negative condition (M = -0.11, SD = 0.32), t(106) = 7.71, p &lt; .001, 95% CI = [0.15, 0.26], d = 0.72&quot;"/><s v="&quot;We observed a significant correlation between reappraisal success and the extent to which participants increased their linguistic distance when regulating their emotions, r(105) = .28, p = .004, 95% CI = [.09, .44]&quot;"/><s v="&quot;Reappraisal success was not associated with changes in the use of positive affect words, r(105) = .06, p = .560&quot;"/><s v="&quot;Greater reappraisal success was also associated with reduced use of negative affect words when regulating as compared to when responding naturally, r(105) = -.32, p &lt; .001&quot;"/><s v="&quot;Self-reported negative affect ratings differed significantly across conditions, F(2,212) = 297.20, p &lt; .001, partial eta-square = .74, 90% CI = [.69, .77]&quot;"/><s v="&quot;The prevalence of negative affect terms differed significantly across conditions, F(2, 212) = 185.49, p &lt; .001, partial eta-square = .64, 90% CI = [.57, .68]&quot;"/><s v="&quot;The composite measure of linguistic distancing differed significantly across conditions, F(2, 212) = 35.97, p &lt; .001, partial eta-square = .25, 90% CI = [.17, .33]&quot;"/><s v="For the fun version of the task, participants motivated by their past self completed more trials (M  6.90, SD  3.57) than did participants motivated by their&#xA;future self (M  5.03, SD  3.43), F(1, 220)  9.95, p  .002, n2  .04."/><s v="&quot;There was [...] an incidental effect of task such that participants completed more “fun” tasks (M = 5.92) than “self-control” tasks (M = 4.06), F(1, 220) = 19.91, p &lt; .001, eta-square = .08&quot;"/><s v="&quot;Importantly, this effect was qualified by a predicted interaction with role model, F(1, 220) = 12.45, p &lt; .001, eta-square = .05&quot;"/><s v="&quot;Consistent with previous findings, participants presented with bars judged the value below the mean (M=5.26, SD=1.82) to be more likely than the value above the mean (M=2.62, SD=1.62), paired t(201)=14.06, p&lt;.001, d=1.40, 95% CI=[1.15, 1.62], revealing a"/><s v="&quot;A tendency in the same direction was also observed among those presented with [...] the dot plot (judgement below: M=4.41, SD=2.21; judgement above: M=2.72, SD=1.67)&quot;"/><s v="&quot;This model explained a moderate and significant amount of variance, R2=.05, F(5, 605)=6.57, p&lt;.001&quot;"/><s v="&quot;As expected, [...] dot plots significantly reduced the bias, β=−.17, t=3.66, p&lt;.001 (see Figure 5)&quot;"/><s v="&quot;[...] higher graph literacy related to stronger bias, β=.22, t=3.23, p=.001&quot;"/><s v="&quot;The interaction terms between graph literacy and display type were [...] marginally significant ([...] β=−.10, t=1.82, p=.07 for bars vs dot plot)&quot;"/><s v="The more students endorsed a fixed theory, the less interest they expressed in the article that mismatched their inter- est identity,"/><s v="A repeated measures analysis of covariance yielded the predicted interaction between theories of interest and article type, F(1, 137) = 7.46, p = .007, partial eta-square = .05. The more students endorsed a fixed theory, the less interest they expressed i"/><s v="As predicted, college students reported that, as middle-school students, they would respect the teacher far more in the empathic- mindset than in the punitive-discipline condition"/><s v="&quot;College students reported that, as middle-school students, they would respect the teacher far more in the empathic-mindset than in the punitive-discipline condition (M = 5.23, SD = 1.14 versus M = 2.47, SD = 1.09), t(300) = 20.98, P &lt; 0.001, d = 2.42&quot;"/><s v="interference effects in the Stroop color-naming task relate to the expression of model-based choice in sequential choice.. ... Table 2 - Reward × Transition × Stroop (infrequent)"/><s v="&quot;Statistically, in testing infrequent IE as a linear covariate modulating model-based choice, we found a significant three-way interaction between infrequent IE, reward, and transition type (p&lt;.05, Table 2), revealing that Stroop interference predicts a d"/><s v="&quot;There was no significant effect of infrequent IE upon previous reward (p = .307) suggesting that the predictive effect of susceptibility to response conflict was limited to model-based rather than model-free choice contribution&quot;"/><s v="&quot;A logistic regression revealed a significant main effect of reward (p&lt;.0001), indicating model-free learning [...] (the third through fifth coefficients in Table 2)&quot;"/><s v="&quot;A logistic regression revealed a significant [...] interaction between reward and transition type (p&lt;.01), the signature of model-based contributions (the third through fifth coefficients in Table 2)&quot;"/><s v="&quot;[...] the signature of model-based contributions (the third through fifth coefficients in Table 2)&quot;"/><s v="&quot;However, we found no significant (or even negatively trending) relationship between frequent IE and model-based choice (p=.143, Figure 2B) [...]&quot;"/><s v="participants reported greater involvement with the issue of whether more nuclear power plants should be built in Canada when they had previously considered values that were important (M  7.22, SD  1.48) rather than unimportant (M  6.49, SD  2.06)."/><s v="The predicted Value x Argument Quality interaction was significant for Study 5A, F(1, 257) = 11.58, p = .002 [...]. That is, the difference between the strong and weak argument conditions was greater when values were important rather than unimportant."/><s v="&quot;Similarly, participants reported greater involvement with the issue of whether more nuclear power plants should be built in Canada when they had previously considered values that were important (M = 7.22, SD = 1.48) rather than unimportant (M = 6.49, SD "/><s v="&quot;Critically, the proportion of subjects in each condition was statistically indistinguishable before and after exclusion (Pre-Exclusion CRT-First: 65 of 150 [43%], Post-Exclusion CRT-First: 41 of 92 [45%], chi-square = .003, p = .96)&quot;"/><s v="&quot;Subjects in the CRT-First condition judged the utilitarian actions to be more acceptable (CRT-First: M = 3.77; Dilemmas-First: M = 3.25; t(90) = 2.03, p = .05, d = 0.43)&quot;"/><s v="&quot;Again collapsing across all three dilemmas, we examined data from subjects in the CRT-First condition and observed a robust positive correlation between CRT scores and moral acceptability ratings, consistent with our second prediction (r = .39, p = .001;"/><s v="&quot;A Fischer r–z test confirmed that these correlations differed significantly (z = 2.6, p = .01)."/><s v="&quot;To test this hypothesis, we compared the CRT scores across the two conditions and found no significant effect (CRT-First: M = 1.32; Dilemmas-First: M = 1.16; t(148) = 0.83, p = .41)&quot;"/><s v="Negative, but not neutral, objects were better remembered after&#xA;sleep than after wake,"/><s v="&quot;A 2 (condition: sleep, wake) x 2 (valence: negative, neutral) x 2 (scene component: object, background) mixed ANOVA on general recognition revealed interaction [...] between condition and scene component, F(1, 46) = 7.6, p = .008, partial eta-square = .1"/><s v="&quot;A 2 (condition: sleep, wake) x 2 (valence: negative, neutral) x 2 (scene component: object, background) mixed ANOVA on general recognition revealed interactions between condition and valence, F(1, 46) = 13.1, p = .001, partial eta-square = .20&quot;"/><s v="&quot;A 2 (condition: sleep, wake) x 2 (valence: negative, neutral) x 2 (scene component: object, background) mixed ANOVA on general recognition revealed interaction [...] among the three factors, F(1, 46) = 4.7, p = .03, partial eta-square = .10 (see Figs. 3a"/><s v="&quot;Negative, but not neutral, objects were better remembered after sleep than after wake, F(1, 46) = 11.5, p = .001, partial eta-square = .20.&quot;"/><s v="&quot;In contrast, sleep offered no benefit for backgrounds, regardless of whether they were presented with negative or neutral objects (Valence x Condition interaction, p &gt; .10)&quot;"/><s v="Overall data quality score: [...] We found statistically significant differences between the sites on this measure, F(2, 1458) = 129.4, p &lt; .001, which showed higher scores for Prolific (M = 5.87, SD = 1.0) [...] compared to MTurk (M = 4.55, SD = 1.9)"/><s v="Overall data quality score: [...] We found statistically significant differences between the sites on this measure, F(2, 1458) = 129.4, p &lt; .001, which showed higher scores for [...] CR (M = 5.78, SD = 1.1) compared to MTurk (M = 4.55, SD = 1.9)"/><s v="&quot;We found statistically significant differences between the sites on this measure, F(2, 1458) = 129.4, p &lt; .001, which showed higher scores for Prolific (M = 5.87, SD = 1.0) and CR (M = 5.78, SD = 1.1) compared to MTurk (M = 4.55, SD = 1.9)&quot;"/><s v="the number of between-group errors increased in the treatment condition, b = 0.34, p = .007, 95% CI = [0.10, 0.61]."/><s v="&quot;As in the previous studies, [...] the number of between-group errors increased in the treatment condition, b = 0.34, p = .007, 95% CI = [0.10, 0.61]&quot;"/><s v="&quot;But, in contrast to Study 1 and Study 2, the decrease in correct recall was due to a very large increase in the number of within-group errors, b = 0.80, p &lt; .001, 95% CI = [0.56, 1.04]&quot;"/><s v="a significant effect for the greed manipulation ...  These effects were qualified by the predicted significant&#xA;interaction between social class and the greed manipulation, "/><s v="&quot;As expected, participants primed with positive features of greed expressed more favorable attitudes toward greed (M = 3.12) compared with participants in the neutral-prime condition (M = 2.42), t(87) = .72, P &lt; 0.01, d = 0.58&quot;"/><s v="&quot;Results yielded a significant effect for social class, such that upper-class participants reported more unethical behavior than lower-class participants, b = 0.13, SE b = 0.07, t(84) = 2.00, P &lt; 0.05&quot;"/><s v="&quot;These effects were qualified by the predicted significant interaction between social class and the greed manipulation, b =−0.24, SE b=0.18, t(84) = −2.34, P &lt; 0.03&quot;"/><s v="&quot;Correct responding was significantly higher in the negative- than the positive-test-result condition, BFinclusion = 607.57, [...] as can be seen in Table 1&quot;"/><s v="As predicted, participants in the favorable-LIB condition were significantly more likely to believe that the communicator was a Democrat, and thus shared a party affiliation with the target, than were participants in the unfavorable-LIB condition, t(86) ="/><s v="As predicted, participants in the favorable-LIB condition believed that the communicator was more likely to support these Democratic-leaning&#xA;social policies (M = 4.90, SD = 0.99), compared with participants in the unfavorable-LIB condition (M = 4.33, SD ="/><s v="&quot;As expected, participants in the favorable-LIB condition believed that Peter was more likely to be helpful in the future (M = 71.63%, SD = 18.68) compared with participants in the unfavorable-LIB condition (M = 60.39%, SD = 21.52), F(1, 129) = 10.14, p &lt;"/><s v="&quot;Results revealed the predicted main effect of LIB condition: Participants in the favorable-LIB condition, relative to those in the unfavorable-LIB condition, were significantly more likely to believe that the communicator and target shared political-grou"/><s v="Participants in the favorable-LIB condition, relative to those in the unfavorable-LIB condition, were significantly more likely to believe that the communicator and target shared political-group membership, F(1, 121) = 8.67, p &lt; .01, d = 0.51"/><s v="&quot;&quot;Further, there was no [...] interaction between the LIB condition and target’s political affiliation, F(1, 121) = 0.02&quot;"/><s v="“As expected, participants in the favorable-LIB condition believed that Peter was more likely to be helpful in the future (M = 70.29%, SD = 23.58) than did participants in the unfavorable-LIB condition (M = 57.83%, SD = 24.08), t(86) = 2.45, p = .016, d ="/><s v="&quot;Similarly, participants in the favorable-LIB condition indicated that Peter was less likely to be rude in the future (M = 33.67%, SD = 25.48) compared with participants in the unfavorable-LIB condition (M = 53.93%, SD = 25.22), t(86) = 3.73, p &lt; .001, d "/><s v="&quot;As predicted, participants in the favorable-LIB condition were significantly more likely to believe that the communicator was a Democrat, and thus shared a party affiliation with the target, than were participants in the unfavorable-LIB condition, t(86) "/><s v="&quot;Participants in the favorable-LIB condition believed that the communicator was less likely to support the policy (M = 3.83, SD = 1.44) than did participants in the unfavorable-LIB condition (M = 4.45, SD = 1.13), t(116) = 2.61, p = .01&quot;"/><s v="&quot;Participants in the favorable-LIB condition believed that the communicator was more likely to support these Democratic-leaning social policies (M = 4.90, SD = 0.99), compared with participants in the unfavorable-LIB condition (M = 4.33, SD = 0.90), t(116"/><s v="&quot;Likewise, participants in the unfavorable-LIB condition believed that Peter was more likely to be rude in the future (M = 53.82%, SD = 23.99) compared with participants in the favorable-LIB condition (M = 42.18%, SD = 19.73), F(1, 129) = 9.40, p &lt; .01, d"/><s v="&quot;Further, there was no main effect of target’s political affiliation, F(1, 121) = 0.87&quot;"/><s v="&quot; The LIB Condition × Participant’s Political Affiliation interaction was not reliable, F(2, 121) = 0.92&quot;"/><s v="whether the creative thought process tends to be masculinized."/><s v="&quot;A mixed-model ANOVA with condition as the between subjects factor and trait type as the within-subjects factor revealed a main effect of trait type, F(1, 78) = 75.02, p &lt; .001, partial eta-square = .49&quot;"/><s v="&quot;A mixed-model ANOVA with condition as the between subjects factor and trait type as the within-subjects factor revealed [...] a marginally significant interaction between trait type and condition, F(1, 78) = 3.05, p = .084, partial eta-square = .04 (see "/><s v="&quot;Follow-up tests revealed that participants associated creativity more with stereotypically masculine-agentic personality traits than with stereotypically feminine communal personality traits in both the divergent-thinking condition (M = 7.22, SD = 1.26, "/><s v="&quot;Follow-up tests revealed that participants associated creativity more with stereotypically masculine-agentic personality traits than with stereotypically feminine communal personality traits in [...] the convergent-thinking condition (M = 6.26, SD = 1.43"/><s v="&quot;The masculine traits were perceived as more central to creativity when divergence was emphasized, rather than convergence, F(1, 78) = 10.21, p = .002, d = 0.71&quot;"/><s v="&quot;There was no effect of condition on the perceived centrality of the feminine traits, F &lt; 1, p = .536&quot;"/><s v="The Cue Direction/Magnitude × Target Position interactions ...  approached significance for numbers (F(1,14) = 4.1,&#xA;P = 0.06)."/><s v="The Cue Direction/Magnitude × Target Position interactions [...] approached significance for numbers (F(1,14) = 4.1, P = 0.06). Although these results are not significant, mean reaction times were faster when the target location was congruent with that in"/><s v="First, preference for LL decreased as A0;2 increased, F(2, 550) =125.46, p &lt;.005, n2p  .31."/><s v="&quot;First, preference for LL decreased as A0.2 increased, F(2, 550) = 125.46, p &lt; .005, partial eta-square = .31&quot;"/><s v="&quot;Furthermore, preference for LL increased when zero outcomes were stated explicitly, F(1, 275) = 41.07,p &lt; .005, partial eta-square= .13&quot;"/><s v="&quot;For A0:2 = €0 (Cells A, B, and C), preference for LL decreased as AQ increased, F(2, 550) = 11.19, p &lt; .005, partial eta-square = .06&quot;"/><s v="&quot;For A0:2 = €500 (Cells D, E, and F) and €1,000 (Cells G, H, and I), however, preference for LL increased as AQ increased, F(2, 550) = 61.12, p &lt; .005, partial eta-square = .18&quot;"/><s v="&quot;A0:2 interacted with A0, F(4, 1100) = 48.76, p &lt; .005, partial eta-square = .15. For A0:2 = €0 (Cells A, B, and C)&quot;"/><s v="The main effect for condition was significant, F(2,483) = 5.99, p = .003, eta2 = 0.024,"/><s v="The main effect for condition was significant, F(2,483) = 5.99, p = .003, eta-square = 0.024. [...] Participants in the responsive condition showed a significantly more global focus than participants in the unresponsive condition (p = .001)"/><s v="&quot;Mood was not significantly related to global orientation scores, F(1,468) = 1.75, p = .187, eta-square = 0.004&quot;"/><s v="&quot;To ensure that these effects were not attributable to mood differences, we repeated the above one-way analysis of variance controlling for mood. [...] the condition main effect remained significant, F(2,468) = 7.11, p = .001, eta-square = 0.029&quot;"/><s v="memory for attended items was worse on switch trials than on repeat trials, t(17) = −2.60, p &lt; .05,"/><s v="&quot;&quot;Thus, a main effect of attention [...] was reliably modulated by switching [...]: Whereas memory for attended items was worse on switch trials than on repeat trials, t(17) = −2.60, p &lt; .05&quot;"/><s v="when participants were not under load, those who imagined that they had not done the reading believed that it was more likely that they would be called on  than participants who imagined that they had done the reading"/><s v="&quot;A 2 (behavior: had read vs. had not read) x 2 (load: yes vs. no) ANOVA revealed main effects for [...] load, F(1, 116) = 17.34, p &lt; .001&quot;"/><s v="&quot;A 2 (behavior: had read vs. had not read) x 2 (load: yes vs. no) ANOVA revealed main effects for reading, F(1, 116) = 22.88, p &lt; .001 [...]&quot;"/><s v="&quot;The main effects were qualified by the predicted interaction, however, F(1,116) = 4.15, p &lt; .05&quot;"/><s v="The buyer who paltered and the buyer who lied by commission were regarded as equally unethical"/><s v="&quot;Participants rated the behavior of the buyer who paltered as more unethical than the behavior of the buyer who answered honestly (B = 1.06, SE = .36, p = .002)&quot;"/><s v="&quot;Participants rated the behavior of the buyer who paltered no different from the buyer who lied by commission (B = −.31, SE = .34, p = .36)."/><s v="&quot;Participants rated the buyer who [...] lied by commission to be more unethical than the buyer who answered honestly, ([...] B=.87, SE=.33, p=.01, respectively)&quot;"/><s v="&quot;The buyer who paltered and the buyer who lied by commission were regarded as equally unethical (B=.04, SE=.34, p=.91 )&quot;"/><s v="&quot;Participants had more trust in the honest buyer than the one who paltered [...] (B = −1.0, SE = .32, p = .002&quot;"/><s v="&quot;Participants had more trust in the honest buyer than the one who lied by commission ([...] B = −1.36, SE = .32, p &lt; .001, respectively)&quot;"/><s v="&quot;The latter two were regarded as equally untrustworthy (B = .36, SE = .32, p = .26)&quot;"/><s v="&quot;Participants reported that they were more likely to negotiate again with the buyer who answered honestly than the buyer who paltered (B = −.78, SE = .33, p = .02)&quot;"/><s v="&quot;Participants reported that they were more likely to negotiate again with [...] the buyer who lied by commission (B = −.77, SE = .33, p = .02)&quot;"/><s v="&quot;The latter two had the same likelihood of securing another negotiation (B = −.01, SE = .33, p = .97)&quot;"/><s v="The difference in wrongness ratings between the high- dosage and low-dosage versions of the scenarios was substantially higher for the harm transgressions (mean difference = 14.605; SD = 20.395)"/><s v="&quot;Crucially, there was a significant interaction between domain and dosage, b = 9.599, SE = 1.821, p &lt; .001&quot;"/><s v="&quot;Rerunning this model without the interaction term (to ensure more interpretable main effects) indicated [...] there was a clear effect of dosage, b = 9.199, SE = 0.915, p &lt; .001&quot;"/><s v="“Rerunning this model without the interaction term (to ensure more interpretable main effects) indicated that there was no overall effect of domain, b = 3.400, SE = 6.803, p = .625&quot;"/><s v="On average, the reported size of the tested circle was 1.11 times greater (SEM = 0.03) on trials with the larger same- colored circles than on trials with the smaller same-colored circles (see Fig. 2b). This ratio was significantly greater than 1.0, t(20)"/><s v="On average, the reported size of the tested circle was 1.11 times greater (SEM = 0.03) on trials with the larger same colored circles than on trials with the smaller same-colored circles (see Fig. 2b). This ratio was significantly greater than 1.0, t(20) "/><s v="Indian participants identified substantially fewer actions in the construal-of-choice condition, t(32) = 4.25, p &lt; .001, prep &gt; .99, d = 1.03"/><s v="&quot;Simple-effects t-tests revealed that, while Indians and Americans identified a similar number of actions in the control condition (t &lt; 1), Indian participants identified substantially fewer actions in the construal-of-choice condition, t(32) = 4.25, p &lt; "/><s v="that participants in the choice condition were less disturbed by wealth inequality than participants in the control condition were, b = –0.97, SE = 0.43, t(42) = 2.29, p &lt; .03, Bayes factor = 12.76,3 d = 0.594 (see Fig. 1)."/><s v="&quot;Controlling for political orientation, gender, perceived social class, and task difficulty, participants in the choice condition reported significantly lower disturbance by wealth inequality (b = –0.97, SE = 0.43, t(42) = 2.29, p &lt; .03, d = 0.594, Bayes "/><s v="We also predicted that participants with a weak BATNA would make the lowest first offers, and we found that as well"/><s v="&quot;Negotiators with a weak BATNA (M = $4.57, SD = 1.74, 95% CI = [4.33, 4.92]) made lower offers than negotiators in both other conditions, ts(285) &gt; 6.18, ps &lt; .001, ds &gt; 0.76&quot;"/><s v="&quot;As predicted, participants gave lower ratings after the cleanliness priming (M = 4.98, SD = 1.26) than they did after the neutral priming (M = 5.81, SD = 1.47), F(1, 38) = 3.63, p-rep 5.90, partial eta-square = .09&quot;"/><s v="Whereas profile writers who tried to maximize interest in themselves believed that they would be liked more (M = 5.28, SD = 1.20) than did profile writers in the control condition (M = 4.85, SD = 1.36), b = 0.434, robust SE = 0.257, t(257) = 1.69, p = .09"/><s v="&quot;Also as predicted, self-promoters underestimated the extent to which recipients were annoyed (M = 3.54, SD = 1.94, vs. M = 4.82, SD = 2.15), F(1, 145) = 11.56, p = .001, eta-square = .07&quot;"/><s v="&quot;The interaction of condition and emotion was significant, F(6, 912) = 10.90, p &lt; .001, η2 = .07 (see Table 5)&quot;"/><s v="self-promoters will overestimate the extent to which their behavior elicits positive emotional reactions in others, and underestimate the extent to which their behavior elicits negative emotional reactions"/><s v="&quot;We conducted a two-way mixed analysis of variance on ratings of the seven emotional reactions, with condition (self-promotion vs. recipient) as a between-subjects factor, emotion as a within-subjects factor, and topic dummy variables as covariates (luck "/><s v="&quot;Self-promoters overestimated the extent to which recipients felt happy for them (M=4.88 vs. M=3.70), F(1,145)=10.85,p=.001,η2=.07&quot;"/><s v="&quot;Self-promoters overestimated the extent to which recipients felt proud of them (M=4.33 vs. M=3.08), F(1,145)=12.12,p&lt;.001,η2=.08&quot;"/><s v="&quot;Contrary to predictions, self-promoters overestimated the extent to which recipients felt jealous of them (M=3.60 vs. M=2.82), F(1,145)=3.76,p=.054,η2=.03&quot;"/><s v="&quot;As predicted, self-promoters underestimated the extent to which recipients were annoyed (M=3.54 vs. M=4.82), F(1,145)=11.56,p=.001,η2=.07&quot;"/><s v="&quot;No significant differences were observed in ratings of upset (M=2.58 vs. M=3.04), F(1,145)=1.15,p&gt;.250,η2=.01&quot;"/><s v="&quot;No significant differences were observed in ratings of anger (M=2.74 vs. M=2.97), F(1,145)=0.25,p&gt;.250,η2=.002&quot;"/><s v="&quot;Self-promoters marginally overestimated the extent to which recipients felt inferior to them (M=2.93 vs. M=2.43), F(1,145)=2.75,p=.10,η2=.02&quot;"/><s v="A 2 (sexual orientation: gay, straight; between)  2 (country of origin: equally accepting, less accepting; within) mixed-model ANOVA on American identity revealed  a significant interaction, F(1, 98) = 22.39, p &lt; .001"/><s v="&quot;A 2 (sexual orientation: gay, straight; between) x 2 (country of origin: equally accepting, less accepting; within) mixed-model ANOVA on American identity revealed main effects of sexual orientation,  F(1, 98) = 12.54, p = .001, d = .52 [...]&quot;"/><s v="&quot;A 2 (sexual orientation: gay, straight; between) x 2 (country of origin: equally accepting, less accepting; within) mixed-model ANOVA on American identity revealed main effects of [...] country of origin, F(1, 98) = 8.21, p = .005, d-av = .34, and a sign"/><s v="&quot;A 2 (sexual orientation: gay, straight; between) x 2 (country of origin: equally accepting, less accepting; within) mixed-model ANOVA on American identity revealed [...] a significant interaction, F(1, 98) = 22.39, p &lt; .001 (see Figure 3)&quot;"/><s v="&quot;In addition, these values of dependence were lower than those observed in the short-delay condition: state given exemplar, t(26) = 1.99, p = .057, d = 0.75; exemplar given state, t(26) = 2.06, p = .05, d = 0.78&quot;"/><s v="The interaction between income and context was significant,"/><s v="&quot;The interaction between income and context was significant, F(1, 145) = 11.18, p &lt; .01, partial eta-square = .07 (see Fig. 1b)&quot;"/><s v="&quot;The interaction was also significant when income was treated as a continuous variable, β = 2.27, t(145) = 2.17, p &lt; .05&quot;"/><s v="&quot;The interaction between income and context was significant, F(1, 574) = 5.68, p &lt; .05, partial eta-square = .01 (see Fig. 1c)&quot;"/><s v="&quot;The interaction was also significant when income was treated continuously, β = 1.65, t(574) = 3.27, p &lt; .01&quot;"/><s v="they were significantly more likely to choose the target singer than to choose one of the other average-quality singers"/><s v="&quot;They were significantly more likely to choose the target singer as the winner when the distribution included two bad singers (the T1-top condition; 40.8%) than when the distribution included two good singers (the T1-bottom condition; 2.0%), X2(2, N = 100"/><s v="&quot;[...] they were significantly more likely to choose the target singer than to choose one of the other average-quality singers (43% chose the target singer, chance = 33.33%), X2(2, N = 90) = 4.05, p = .044,  r = .212 &quot;"/><s v="As predicted, participants who read the neuroscience articles recommended significantly shorter prison sentences than did participants who read the other science articles (M = 3.10, SD = 1.48, vs. M = 3.83, SD = 1.77), t(86) = 2.09, p =.04, d = 0.45 (Fig."/><s v="&quot;As predicted, participants who read the neuroscience articles recommended significantly shorter prison sentences than did participants who read the other science articles (M = 3.10, SD = 1.48, vs. M = 3.83, SD = 1.77), t(86) = 2.09, p = .04, d = 0.45 (Fi"/><s v="Furthermore, the interaction term between age and expanded time horizons was negative, although it failed to reach the conventional threshold for statistical significance in the traditional two-tailed test (β = −0.42, 95% CI: −0.88 – 0.02, Z = −1.86, p = "/><s v="&quot;In support of the second hypothesis, we found a main effect of expanded time horizons on preferences, whereby the likelihood of helping others was reduced in the expanded horizons condition (β = −0.7, Z = −3.15, p = .002).&quot;"/><s v="&quot;The interaction term between age and expanded time horizons was negative, although it failed to reach conventional significance in a two-tailed test (β = −0.42, Z = −1.86, p = .07), but significant with a one-tailed test (p(one-tailed) = .035).&quot;"/><s v="&quot;Contrary to the third hypothesis, the main effect of limited time horizons was also negative (β = −0.45, Z = −2.01, p = .05).&quot;"/><s v="&quot;Age was not significantly associated with the likelihood of helping a colleague or a friend under expanded time horizons (β = 0.17, Z = 1.06, p = .29).&quot;"/><s v="&quot;However, under limited time horizons, the effect of age on increasing the likelihood of helping others fell just short of reaching the traditional threshold for statistical significance (β = 0.3, 95% CI: −0.01 – 0.61, Z = 1.9, p = .06).&quot;"/><s v="that participants chose to employ .... distraction on 70.7% of the high-intensity trials (95% CI: [60.7, 80.7]), F(1, 19) = 47.54, p &lt; .000001, ηp2 = .71."/><s v="&quot;Participants chose to employ reappraisal more frequently in low-intensity trials (76.3%, 95% CI: [66.3, 86.3]) compared to distraction in high-intensity trials (70.7%, 95% CI: [60.7, 80.7]), with a significant difference observed, F (1, 19) = 47.54, p &lt; "/><s v="&quot;Second, the predicted End of Spectrum × Trait Disgust interaction was significant, b = −0.04, SE = 0.02, t(17586) = −2.11, p = .04, OR = 0.96&quot;"/><s v="Planned comparisons showed that ratings in the public CK condition (M = 0.21, 95% CI = [0.16, 0.25]) were significantly higher than those in ... the secret CK condition (M = 0.18, 95% CI = [0.13, 0.22]), t(105) = −1.96, p = .052."/><s v="&quot;A paired-samples t-test on the log-transformed ratings of understanding showed that scores were significantly higher in the CK condition (M = 0.28, 95% CI [0.21, 0.35]) compared to the no-CK condition (M = 0.20, 95% CI [0.15, 0.25]), t(69) = −3.40, p = ."/><s v="&quot;A repeated measures analysis of variance (ANOVA) on the log-transformed ratings of understanding revealed a main effect of condition on understanding, F(2, 210) = 5.62, p = .004, partial eta-square = .051&quot;"/><s v="&quot;Planned comparisons showed that ratings in the public CK condition (M = 0.21, 95% CI = [0.16, 0.25]) were significantly higher than those in the public no-CK condition (M = 0.15, 95% CI = [0.11, 0.19]), t(105) = −3.20, p = .002.&quot;"/><s v="&quot;Planned comparisons showed that ratings in the public CK condition were nearly significantly higher than those in the secret CK condition (M = 0.18, 95% CI = [0.13, 0.22]), t(105) = −1.96, p = .052.&quot;"/><s v="&quot;The means for the public no-CK and secret CK conditions were not significantly different, t(105) = −1.51, p = .134&quot;"/><s v="These results were confirmed in a multiple regression analysis in which we predicted the judgments using DFT, DFT-squared, judgment type (trustworthiness = 1, attractiveness = 0), and their interactions (all predictors centered), F(5, 16) = 285.81, p &lt; .0"/><s v="&quot;These results were confirmed in a multiple regression analysis predicting judgments from DFT, DFT-squared, judgment type (trustworthiness = 1, attractiveness = 0), and their interactions (all predictors centered), F(5, 16) = 285.81, p &lt; .001, R² = .99.&quot;"/><s v="&quot;The significant effect of DFT, β = 2.27, p &lt; .001, revealed that DFT influenced attractiveness judgments, such that the more distant faces were from the typical face, the more attractive they were judged.&quot;"/><s v="&quot;A significant quadratic effect of DFT on attractiveness judgments, β = −1.09, p &lt; .001; the effect of DFT became weaker at higher values of DFT.&quot;"/><s v="&quot;The interactions between [...] DFT-squared and judgment type, β = 0.34, p &lt; .03, indicated that trustworthiness and attractiveness judgments followed different trends as a function of DFT.&quot;"/><s v="&quot;The interactions between DFT and judgment type, β = −1.54, p &lt; .001 [...], indicated that trustworthiness and attractiveness judgments followed different trends as a function of DFT.&quot;"/><s v="&quot;On average, trustworthiness judgments were lower than attractiveness judgments, as revealed by the significant effect of judgment type, β = −0.26, p &lt; .001.&quot;"/><s v="showed that participants in the disrespect condition reported a higher level of cynicism (M  3.90, SD  1.29) than participants in the control condition (M  3.40, SD  1.22), t(221)  2.95, p  .004, d .40."/><s v="&quot;Cynicism. An independent-samples t-test showed that participants in the disrespect condition reported a higher level of cynicism (M = 3.90, SD = 1.29) than those in the control condition (M = 3.40, SD = 1.22), t(221) = 2.95, p = .004, d = 0.40&quot;"/><s v="Results showed significant main effects of wording, F(3, 129) = 31.45, p &lt; .001,"/><s v="&quot;The average prevalence level that led to right responses for each wording condition at each age group is displayed in Table 1&quot;"/><s v="ANOVA revealed a significant interaction, F(1, 46) = 7.89, MSE = 0.01, p = .007, η2 = .15."/><s v="&quot;In the eight-word condition, the proportion of words recalled was significantly greater on save trials (M = .80, SE = .03) than on no-save trials (M = .29, SE = .03), t(23) = 14.24, p &lt; .001, d = 2.91, mean difference = .51 (95% CI = [.43, .58])&quot;"/><s v="&quot;A similar difference was observed in the two-word condition, with performance being perfect on save trials (M = 1.00, SE = .00) and significantly worse than perfect on no-save trials (M = .79, SE = .05), t(23) = 3.98, p = .001, d = 0.81, mean difference "/><s v="&quot; [...] participants in the eight-word condition recalled significantly more words from File B when they had saved File A than when they had not saved File A, t(23) = 4.56, p &lt; .001, d = 0.93, mean difference = .13 (95% CI = [.07, .18])&quot;"/><s v="&quot;When File A consisted of only two words, participants did not recall significantly more words from File B after they had saved File A than after they had not saved File A, t(23) = 0.40, p = .69, d = 0.08, mean difference = .01 (95% CI = [−.05, .07]).&quot;"/><s v="&quot;A 2 (trial type: save vs. no save) × 2 (condition: eight word vs. two word) mixed-design ANOVA revealed a significant interaction, F(1, 46) = 7.89, MSE = 0.01, p = .007, η2 = .15&quot;"/><s v="when the two faces were physically identical, participants tended to judge the face at the cued location to have higher con-&#xA;trast than the face at the uncued location (55.8% vs. 45.8%), t(15) = 2.51, p = .02, η2 = .30."/><s v="&quot;There was a main effect of actual contrast level on contrast judgments, F(4, 15) = 27.93, p = .0001, eta-square = .31&quot;"/><s v="&quot;As shown in Figure 4b, when the two faces were physically identical, participants tended to judge the face at the cued location to have higher contrast than the face at the uncued location (55.8% vs. 45.8%), t(15) = 2.51, p = .02, eta-square = .30&quot;"/><s v="Participants gave up an average of 0.63¢ per trial to perform the self task instead of judging another person [t(36) = 3.32, P = . 002, d = 1.11]"/><s v="&quot;Participants gave up an average of 0.63¢ per trial to perform the self-task instead of judging another person, t(36) = 3.32, p = .002, d = 1.11&quot;"/><s v="Consistent with our hypothesis, the analysis showed that females were more accurate in the social condition (M = 11.59, SD = 5.29, 95% CI = [9.80, 13.37]) than in the spatial condition (M = 7.69, SD = 3.80, 95% CI = [5.96, 9.43]),"/><s v="&quot;We first tested our predictions for the spatial-orientation test. A 2 (sex: male, female) × 2 (condition: social, spatial) between-subjects analysis of variance (ANOVA) found significant main effects of sex, F(1, 131) = 14.22, p &lt; .001, partial η² = .10,"/><s v="&quot;We first tested our predictions for the spatial-orientation test. A 2 (sex: male, female) × 2 (condition: social, spatial) between-subjects analysis of variance (ANOVA) found significant main effects of [...] condition, F(1, 131) = 16.84, p &lt; .001, parti"/><s v="&quot;As predicted, there was a statistically significant interaction between sex and condition, F(1, 131) = 14.18, p &lt; .001, partial η² = .10&quot;"/><s v="A 2 (race of prime: Black, White) × 2 (target object: gun, toy) repeated measures analysis of variance (ANOVA) revealed a significant interaction, F(1, 62) = 17.21, p &lt; .001, ηp2 = .22."/><s v="&quot;A 2 (race of prime: Black, White) × 2 (target object: gun, toy) repeated measures analysis of variance (ANOVA) revealed a significant interaction, F(1, 62) = 17.21, p &lt; .001, partial η² = .22&quot;"/><s v="&quot;Analyses of error-rate data revealed that, as with the RT data, there was a significant Race of Prime × Target Word interaction, F(1, 61) = 32.30, p &lt; .001, partial η² = .35&quot;"/><s v="Further, the ranges dubbed groot ‘big’ and klein ‘small’ were not equal. The zone labeled klein was significantly larger than the groot zone: Z = 3.1, p &lt; .005"/><s v="&quot;The zone labeled klein was significantly larger than the groot zone: Z = 3.1, p &lt; .005 (Wilcoxon Signed-ranks test)&quot;"/><s v="&quot;The &quot;groot zone&quot; (i.e., the range of sizes considered appropriate for an object) was significantly larger for objects from the PROTOTYPICALLY SMALL category compared to the PROTOTYPICALLY BIG category, as evidenced by a Friedman test: χ²(2) = 9.5, p &lt; .0"/><s v="The predicted interaction between the measure of inherence bias and behavior typicality was significant in this model, b = 2.44, 95% CI = [0.78, 4.10], p = .004 (for results for the full model, see Table 4)."/><s v="&quot;Additionally, participants were less supportive of giving cash assistance to the person depicted in the welfare image (M = 2.95, 95% CI [2.78, 3.13]) than the non-recipient image (M = 3.80, 95% CI [3.65, 3.96]), partial eta-square = .26. (supplementary m"/><s v="&quot;As predicted, the person depicted in the welfare-recipient image was rated as less responsible (generally), and less responsible with food stamps and cash assistance, than the person depicted in the non-welfare-recipient image&quot;"/><s v="&quot;The indirect effect was not significant when mediated by perceived race alone, b = −0.04, 95% CI = [−0.46, 0.36].&quot;"/><s v="a significant interaction effect between cue type and Facebook use, F(1, 126) = 8.91, p = 0.003, and g2 p = 0.066 (Fig. 2B)."/><s v="&quot;The main effects of cue type, F(1, 126) = 2.28, p = 0.134, partial η² = 0.018 [...]&quot;"/><s v="&quot;The main effects of [...] Facebook use, F(1, 126) = 0.26, p = 0.609, partial η² = 0.002, were not significant&quot;"/><s v="&quot;As predicted, the two conditions elicited two radically different patterns of responses. In the harm condition, most subjects (82%) said that the agent brought about the side effect intentionally, whereas in the help condition, most subjects (77%) said t"/><s v="As predicted, the two conditions elicited two radically different patterns of responses. In the harm condition, most subjects (82%) said that the agent brought about the side effect intentionally, whereas in the help condition, most subjects (77%) said th"/><s v="&quot;However, the results again revealed a significant interaction effect between cue type and Facebook use, F(1, 126) = 8.91, p = 0.003, partial η² = 0.066 (Fig. 2B)&quot;"/><s v="&quot;Overall, then, the results point to a surprising conclusion about the relationship between the words ‘intentionally’ and ‘jaan-bujhkar.’ It appears that, despite their radically different morphologies, these two words are expressing the same basic concep"/><s v="Subjects were significantly more likely to say that the chairman acted jaan-bujhkar in the harm condition than in the help condition,"/><s v="a main effect of moderator: as shown in Fig. 2a, participants were significantly less likely to agree with claims about causal and explanatory relationships when a relationship was moderated than non-moderated"/><s v="&quot;A 2 moderator (moderated relationship, non-moderated relationship) × 2 judgment (causal, explanatory) × 2 target (type, token) mixed ANOVA on causal and explanatory ratings revealed a main effect of moderator: as shown in Fig. 2a, participants were signi"/><s v="Choice enhanced curiosity; participants were more curious about lotteries that they had chosen themselves (curiosity ratings: M = 2.94, SD = 0.33; willingness to wait: M = 47.19%, SD = 19.81%) than about those that had been provided to them (matching thei"/><s v="&quot;Choice enhanced curiosity; participants were more curious about lotteries that they had chosen themselves (curiosity ratings: M = 2.94, SD = 0.33; willingness to wait: M = 47.19%, SD = 19.81%) than about those that had been provided to them (matching the"/><s v="Participants who were primed with money were less helpful than participants not primed with money [t(42) = 2.13, P &lt; 0.04; Cohen’s d = 0.63]."/><s v="&quot;We found that participants primed with money donated significantly less money to the student fund than participants not primed with money, t(38) = 2.13, p &lt; 0.05, Cohen’s d = 0.64 (Table 1).&quot;"/><s v="Women reported more positive attitudes toward sexual imagery that promoted an expensive watch than toward sexual imagery that promoted a cheap watch, F(1, 83) = 7.55, p &lt; .01, hp2 = .144."/><s v="&quot;Women reported more positive attitudes toward sexual imagery that promoted an expensive watch than toward sexual imagery that promoted a cheap watch, F(1, 83) = 7.55, p &lt; .01, partial η² = .144&quot;"/><s v="&quot;This hypothesis was supported, F(1, 82) = 3.68, p = .059, partial eta-square = .043&quot;"/><s v="We found strong support for an effect of memory dependency on O-score, with significantly higher Z-scores for memory- dependent than memory-independent task phases (Fig. 3A; coefficient = 0.28; 95% CI: 0.19–0.36; t(556) = 6.55; p &lt; 0.001)."/><s v="&quot;We found strong support for an effect of memory dependency on O-score, with significantly higher Z-scores for memory dependent than memory-independent task phases (Fig. 3A; coefficient = 0.28; 95% CI: 0.19–0.36; t(556) = 6.55; p&lt;0.001)&quot;"/><s v="a significant interaction between condition and SLB endorsement, F(3, 156) = 10.70, p &lt; .001; R2 change = .04; b = 0.49, SE = 0.18, t(156) = 2.66, p = .01."/><s v="&quot;Step 2 revealed a significant interaction between condition and SLB endorsement, F(3, 156) = 10.70, p &lt; .001; R2  change = .04; b = 0.49, SE = 0.18, t(156) = 2.66, p = .01&quot;"/><s v="&quot;Stronger SLB endorsement was associated with increased perceptions of anti-White bias (b = 0.45, SE = 0.09, t(157) = 4.90, p &lt; .001)&quot;"/><s v="&quot;There was no main effect of condition (b = 0.10, SE = 0.17, t(157) = 0.59, p = .56)&quot;"/><s v="&quot;As seen in Table 1, participants enjoyed the external activities much more than just thinking [t(28) = 4.83, p &lt; 0.001], found it easier to concentrate [t(28) = 4.16, p &lt; 0.001], and reported that their minds wandered less [t(28) = 3.61, p = 0.001].&quot;"/><s v="&quot;Specifically, participants in the self-and-other high benefit condition cheated significantly more often (37%) than did those in the other-alone benefits condition, 16%, χ²(1) = 5.59, p = .02.&quot;"/><s v="We found that they could keep only a single feature attached during mental rotation,"/><s v="&quot;But capacity in the object-rotation condition was dramatically lower: Only a single feature could remain attached to a moving part (M = 0.96, SE = 0.10, 95% CI = [0.74, 1.18]), F(1, 11) = 32.04, p &lt; .001, partial η² = .74 (Fig. 2b)&quot;"/><s v="&quot;An analysis of the results in terms of accuracy instead of capacity also revealed that performance was significantly lower in the object-rotation condition (M = 76%, SE = 2.1%, 95% CI = [71.3%, 80.7%]) than in the no-rotation condition (M = 87.5%, SE = 2"/><s v="preschoolers rated contributors (M = 3.74) more positively than the free riders (M = 2.24; d = 1.40)"/><s v="&quot;We carried out the same analysis as in Study 1 and observed effects for target (β = 1.72, 95% CI = [1.44, 2.00])&quot;"/><s v="performance was significantly less accurate in the cued than the neutral trials, F(1, 17)  8.01, p  .01."/><s v="&quot;As can be seen in Figure 2a, performance was significantly less accurate in the cued than the neutral trials, F(1, 17) = 8.01, p &lt;=  .01&quot;"/><s v="&quot;Bonferroni corrected confidence ratings in the false-consensus condition [...] were slightly higher than those in the no-consensus condition, t(94) = 2.77, p = .019, d = 0.50&quot;"/><s v="&quot;Although confidence ratings in the false-consensus condition were still significantly lower than those in the true-consensus condition, t(94) = 7.77, p &lt; .001, d = 1.72, [...]&quot;"/><s v="&quot;Although confidence ratings in the false-consensus condition were [...] slightly higher than those in the no-consensus condition, t(94) = 2.77, p = .019, d = 0.50, Bonferroni corrected&quot;"/><s v="Each unit increase in subsidies for the corresponding childcare alternative is associated with a 2.5% increase in the odds of pre- ferring that mode of childcare."/><s v="&quot;Model 1 in Table 4 reports the effects of the experimentally altered dimensions of the different alternatives and the situational context&quot;"/><s v="&quot;Finally, all the reported effects of the experimentally altered dimensions are persistent when including additional controls, namely, respondents’ gender and their social and migration background (models 2–5 in Table 4).&quot;"/><s v="&quot;Model 2 in Table 4 demonstrates that there is no effect of parental social status, measured by the ISEI, on the likelihood of recommending one particular childcare alternative to their friend&quot;"/><s v="&quot;To this end, models 3, 4, and 5 in Table 4 include alternative-specific interaction effects of the amount of subsidies with individual social status (ISEI), migration background, and gender&quot;"/><s v="We also found a significant effect of the legacy prime on behavioral intentions. Participants who were primed reported greater behavioral intentions (M = 3.05, SD = 0.86) than those who were not primed (M = 2.73, SD = 0.85), F(1, 309) = 10.07, p = .002, d"/><s v="“We also found a significant effect of the legacy prime on behavioral intentions. Participants who were primed reported greater behavioral intentions (M = 3.05, SD = 0.86) than those who were not primed (M=2.73,SD=0.85), F(1,309)=10.07, p=.002, d=0.36.”"/><s v="“As expected, the essay manipulation successfully enhanced overall legacy motives. Almost 10 min after being exposed to the manipulation, participants who wrote the essay reported higher legacy motives (M = 4.47, SD = 1.06), compared with those in the con"/><s v="“Moreover, as predicted, we found a significant effect of the legacy prime on willingness to engage in behaviors aimed at combating climate change. Participants who were primed with legacy motives had higher belief scores (M = 5.39, SD = 1.08) than those "/><s v="&quot;This analysis showed that the indirect effect of the legacy prime on climate-change beliefs through legacy motives was significant, with a 95% confidence interval (CI) that excluded zero (β = 0.041, 95% CI = [0.01, 0.09], p = .029)&quot;"/><s v="&quot;When we replaced climate-change attitudes with behavioral intentions as the outcome variable, behavioral intentions were also partially mediated by increases in legacy motives—direct effect of priming condition on intentions: [...] the indirect effect wa"/><s v="the interaction between congruency and alignment, F(1, 21) = 22.80, p &lt; .001, ηp2 = .52, .... was significant."/><s v="&quot;A 2 (alignment) × 2 (congruency) × 2 (task) repeated measures analysis of variance (ANOVA) revealed a main effect of congruency, F(1, 21) = 41.84, p &lt; .001, partial eta-square = .67&quot;"/><s v="&quot;The interaction between congruency and alignment was also significant, F(1, 21) = 25.81, p &lt; .001, partial eta-square = .55&quot;"/><s v="&quot;The three-way interaction of alignment, congruency, and task was not significant, F(1, 21) = 3.80, p = .065, partial eta-square = .15&quot;"/><s v="&quot;For the face task, the congruency effect, F(1, 21) = 26.35, p &lt; .001, partial eta-square = .56 [...], were both significant&quot;"/><s v="&quot;The interaction between congruency and alignment, F(1, 21) = 7.97, p = .010, partial eta-square = .28, were both significant&quot;"/><s v="&quot; Moreover, the congruency effect was significant only in the aligned condition, t(21) = 5.41, p &lt; .001, Cohen’s d = 1.15&quot;"/><s v="&quot; Moreover, the congruency effect was significant [...] not in the misaligned condition, t(21) = 0.00, p = .059, Cohen’s d = 0.43&quot;"/><s v="&quot;Both the congruency effect, F(1, 21) = 26.30, p &lt; .001, partial eta-square = .56, [...] were significant&quot;"/><s v="&quot;Both the congruency effect,  [...] and the interaction between congruency and alignment, F(1, 21) = 22.80, p &lt; .001, partial eta-square = .52, were significant&quot;"/><s v="&quot;Again, a significant congruency effect was observed in the aligned condition, t(21) = 5.95, p &lt; .001, Cohen’s d = 1.27&quot;"/><s v="&quot;Again, a significant congruency effect was observed [,,,] not in the misaligned condition, t(21) = 0.96, p = .348, Cohen’s d = 0.20.&quot;"/><s v="&quot;Paticipants responded the fastest (in milliseconds) to the pairs in the hierarchy condition (M = 459.32, SD = 63.06), and they were slower to respond in the equality (submissive) (M = 462.22, SD = 64.82), equality (dominant) (M = 469.42, SD = 68.35), and"/><s v="But as shown in Figure 4, participants judged that the man was more likely than the woman to be the pilot, regardless of their evaluation of person X, F(1, 344) = 84.58, p &lt; .0001, η2 = .19, 95% CI = [.13, .27]."/><s v="&quot;But as shown in Figure 4, participants judged that the man was more likely than the woman to be the pilot, regardless of their evaluation of person X, F(1,344) = 84.58,p &lt; .0001, eta-square = .19,95% CI = [.13,.27].&quot;"/><s v="&quot;[...] means below the midpoint of 4 on the scales, Cronbach’s α = .91, composite M = 3.29, SE = 0.08, one sample t(347) = −8.90, p &lt; .0001, Cohen’s d = 0.48, 95% CI = [0.37, 0.60]&quot;"/><s v="&quot;This interaction was driven once again by a significant suppression effect in the control group (M = 1.19), F(1, 15) = 33.548, p &lt; .001, partial eta-square = .691&quot;"/><s v="&quot;A significant group difference in suppression induced forgetting was observed, as indicated by a significant condition-by-group interaction, F(1, 30) = 4.573, p = .041, partial eta-square = .132&quot;"/><s v="&quot;As for the two previous measures, a significant group difference in suppression-induced forgetting was observed, established by a significant condition-by-group interaction, F(1, 30) = 14.231, p = .001, partial eta-square = .322&quot;"/><s v="participants primed with action performed better than participants primed with inaction did (M  12.83, SD  1.86 vs. M  10.78, SD  3.15, respectively)."/><s v="&quot;The analysis revealed a main effect of prime on number of solved problems, F(1, 34) = 5.68, p = .02, demonstrating that participants primed with action performed better than participants primed with inaction did (M = 12.83, SD = 1.86 vs. M = 10.78, SD = "/><s v="for positive emotions, reading times were faster for passages that were written from a personal perspective (M = 2201, SD = 1284) than from an onlooker perspective (M = 2350, SD = 1351; t(4408) = 3.73, p &lt; .001; see Figure 1)."/><s v="&quot;For positive emotions, reading times were faster for passages that were written from a personal perspective (M=2201,SD=1284) than from an onlooker perspective (M=2350,SD=1351; t(4408)=3.73,p&lt;.001; see Figure 1)&quot;"/><s v="&quot;The analysis revealed an effect of perspective on reading times (see Table 1)&quot;"/><s v="&quot;The analysis did not reveal a main effect of valence (see Table 1)&quot;"/><s v="&quot;An interaction of valence and perspective was found (see Table 1)&quot;"/><s v="&quot;Self-ratings were only marginally affected by perspective (see Table2)&quot;"/><s v="&quot;For the self-ratings of emotions, we found differences between negatively and positively valenced texts (see Table 2)&quot;"/><s v="&quot;The analysis revealed an interaction between perspective and valence for self-reported emotions (see Table 2).&quot;"/><s v="&quot;We find a strong relationship: language seems to yield stronger alignment between students and teachers when the teachers are (expected to be) confident in what they have learned (r =−0.75, p &lt; 001)&quot;"/><s v="Participants in the lack-of-control condition reported more than double the physical pain (M = 13.75, SD = 21.49) reported by participants in the complete-control condition (M = 6.57, SD = 11.62), t(98) = 2.04, p = .04, d = 0.41. "/><s v="&quot;Participants in the lack-of-control condition reported more than double the physical pain (M = 13.75, SD = 21.49) reported by participants in the complete-control condition (M = 6.57, SD = 11.62), t(98) = 2.04, p = .04, d = 0.41&quot;"/><s v="In Experiment 1a, 64% of participants experienced complete inattentional blindness on the critical trial (Fig. 1b). Only 18% of participants detected the scene immediately. However, in the post–inattentional blindness testing, in which participants were e"/><s v="As predicted, mothers were judged as significantly less competent and committed than women without children."/><s v="&quot;As predicted, mothers were judged as significantly less competent and committed than women without children.&quot;"/><s v="&quot;Mothers are also less likely than other types of applicants to be recommended for management (second column of table 4)&quot;"/><s v="Analyses of variance confirmed that participants in the status-threat condition expressed greater perceived group-status threat than did participants in the assuaged-threat or control conditions— Study 3a: F(2, 166) = 7.23, p &lt; .001, ηp2 = .08;"/><s v="&quot;Results revealed a main effect of experimental condition on overall policy attitudes, F(2, 161) = 4.92, p = .008, partial eta-square = .06&quot;"/><s v="Unsurprisingly, we found a main effect of moral decision on the moral character evaluation composite, F(1,117) = 127.07, p &lt; .001,"/><s v="The Decision Speed interaction was significant, F(1, 117) = 127.07, p &lt; .001. An analysis of the simple effects showed that, as predicted, quick (vs. slow) immoral decisions prompted more negative moral character evaluations, t(54) = 8.28, p &lt; .001, where"/><s v="&quot;participants were more likely to underestimate the number of flower pictures relative to bird pictures when they expected payment for flower pictures (15 of 31 participants, 48%) than when they expected payment for bird pictures (8 of 32 participants, 25"/><s v="&quot;they were more likely to underestimate the number of bird pictures relative to flower pictures when they expected payment for bird pictures (21 of 32 participants, 66%) than when they expected payment for flower pictures (12 of 31 participants, 39%), x^2"/><s v="In contrast, they were more likely to underestimate the number of bird pictures relative to flower pictures when they expected payment for bird pictures (21 of 32 participants, 66%) than when they expected payment for flower pictures (12 of 31 participant"/><s v="&quot;A comparison of the arousal ratings in the shape condition revealed significantly higher arousal for spiky shapes than rounded shapes (spiky: M = 3.45, SE = 0.039; rounded: M = 2.43, SE = 0.037; p &lt; .0001, d = 0.92) &quot;,&quot; the ratings for both shapes and wo"/><s v="&quot;In the word condition, we compared arousal ratings for bouba-like and kiki-like words; kiki-like words were rated significantly higher in arousal than bouba-like words (kiki: M = 3.16, SE = 0.033; bouba: M = 2.53, SE = 0.033; p &lt; .0001, d = 0.57) &quot;,&quot; the"/><s v="A comparison of the arousal ratings in the shape condition revealed significantly higher arousal for spiky shapes than rounded shapes (spiky: M = 3.45, SE = 0.039; rounded: M = 2.43, SE = 0.037; p &lt; .0001, d = 0.92)."/><s v="&quot;For x-flips, the model revealed a main effect of negation, showing that negation significantly increases x-flips by 0.35, F(1,655) = 14.5, p &lt; .0005 &quot;,&quot; These findings reveal the predicted patterns for simple sentence verification with negation. Negation"/><s v="the model revealed ... and a significant interaction between negation and truth, F(1,655) = 6.9, p &lt; .01."/><s v="&quot;a significant interaction between negation and truth, F(1,655) = 6.9, p &lt; .01.&quot;,&quot; These findings reveal the predicted patterns for simple sentence verification with negation. Negation overall produced more ‘‘discrete-like’’ trajectories as participants r"/><s v="&quot;Negation increases of the number of acceleration ⁄ deceleration events by approximately 0.70, F(1,655) = 19.1, p &lt; .0001 &quot;,&quot; These findings reveal the predicted patterns for simple sentence verification with negation. Negation overall produced more ‘‘dis"/><s v="&quot;its interaction with veracity is significant, F(1,655) = 13.3, p &lt; .0005. &quot;,&quot; These findings reveal the predicted patterns for simple sentence verification with negation. Negation overall produced more ‘‘discrete-like’’ trajectories as participants respo"/><s v="N/A"/><s v="&quot;There was also an interaction between predicate type and answer type (simple model: t = 4.083, b = 0.8605, SE = 0.2108; t &gt;= 2.61 and b &gt;= 0.67 otherwise) &quot;,&quot; the results from Experiment 2 are not in line with the predictions of such an alternative view:"/><s v="&quot;Only the predicted main effect of employee profile was found, F(1, 305) = 168.49, p &lt; .001, ηp2 = .356; participants who read the ambivalent information reported significantly more ambivalence toward Bob (M = 7.21) than did those who read the univalent i"/><s v="&quot;participants in Experiment 1 failed to learn the repetition patterns [percentage correct: M = 53.0%, SD = 10.7%), t (19) = 1.26, P &gt; 0.05] &quot;,&quot; The results presented so far suggest that participants have severe difficulties learning repetition patterns ov"/><s v="participants in Experiment 1 failed to learn the repetition patterns [percentage correct: M  53.0%, SD  10.7%), t (19)  1.26, P  0.05]. There was no difference n performance for AAB as opposed to ABB;"/><s v="&quot;When vengefulness came first, vengefulness also correlated negatively with personal capability, r(45) = .36, p &lt; .01, and empathic understanding, r(45) = .44, p &lt; .01 &quot;,&quot; For men, vengefulness was reduced simply by answering questions about their capabil"/><s v="we examined&#xA;whether a more subtle manipulation could be effective."/><s v="&quot;revealed a significant difference between the Purity/Sanctity Condition × Ideology interaction and both the Harm/Care Condition × Ideology, β = −0.29, p &lt; .001 &quot;,&quot; presenting conservatives with proenvironmental messages couched within a particularly cons"/><s v="&quot;and the Neutral Condition × Ideology interactions, β = −0.17, p &lt; .05 &quot;,&quot; presenting conservatives with proenvironmental messages couched within a particularly conservative moral domain led them to adopt more proenvironmental attitudes, comparable to tho"/><s v="our findings suggest that reframing environmental messages in terms of purity and&#xA;sanctity can reduce or even eliminate the differences in liberal and conservative environmental attitudes."/><s v="&quot;that participants in the 2-information condition selected more inconsistent (69%) than consistent pieces of information (31%), x2 (1, N = 26) = 3.85, p = .05, whereas participants in the 10-information condition selected significantly more consistent (81"/><s v="indicating that participants in the 2-information condition selected more inconsistent (69%) than&#xA;consistent pieces of information (31%), 2 (1, N  26)  3.85, p  .05, whereas participants in the 10-information condition selected significantly more consiste"/><s v="in Study 1b, self-perceived knowledge of personal finance (M = 4.43, SD = 1.17) positively pre- dicted overclaiming, b = 0.10, t(199) = 13.07, p &lt; .001."/><s v="&quot;a significant effect of healthy side in the reference food on calorie estimates (F(1,431) = 4.63, p = 0.03) &quot;,&quot; Looking at the data reveals that when the reference food was a main meal alone, the test food with a healthy side was estimated to have fewer "/><s v="&quot;a significant interaction between a healthy side in the reference and a healthy side in the test food on calorie estimates (F(1,431) = 5.24, p = 0.02)&quot;"/><s v="a significant effect of healthy side in the reference food on calorie estimates (F(1,431) = 4.63, p = 0.03),"/><s v="&quot;participants made more target choices in simple than in complex implicature situations (β = 1.28, SE = .12, p &lt; .0001) &quot;,&quot; what we are calling simple implicatures are indeed simpler than what we are calling complex implicatures.&quot;"/><s v="&quot;made more target choices in complex implicature situations than on ambiguous filler trials (β = .44, SE = .13, p &lt; .001) &quot;,&quot; while participants performed similarly on complex and ambiguous trials, they nevertheless performed significantly above chance on"/><s v="participants made more target choices in simple than in complex implicature situations (β = 1.28, SE = .12, p &lt; .0001),"/><s v="a significant interaction between culture and condition (mother vs. self) on motivation, F(1, 113) = 6.12, p = .01."/><s v="By contrast, in the high- commitment conditions, participants randomly assigned to the extremely high-capability condition (N = 53, mean = 6.04, S.D. = 1.18) were more likely to give the candidate an offer (t = − 3.34, d.f. = 105, p = .001, two-tailed tes"/><s v="Based on our preregistered hypotheses, participants assigned to the PEIEL condition showed higher intolerance of inequality (M = 5.50, 95% CI [5.31, 5.68]) compared to those assigned to the control group (M = 5.18, 95% CI [5.00, 5.37], t(370) = 2.303, p ="/><s v="the rate of literal interpretation was higher when the plausible alternative involved positing more string edits (major change) compared with fewer (minor change): experiment 1: 93.4% for major change alternations (1 and 2 in Table 1); 56.1% for minor cha"/><s v="&quot;62% of the subjects in the with-principle condition produced the convergence solution without a hint, as compared to only 40% of those in the without-principle condition, G2( 1) = 6.75, p &lt; .01. The frequency of noticing in the former condition is in fac"/><s v="&quot;a significant three-way interaction of age × donation form × kinship, F(1,134) = 4.03, p &lt; .05, ηp2 = .03 , suggesting that the age difference could be moderated by kinship and donation form.&quot;"/><s v="a significant three-way inter- action of age × donation form × kinship, F(1,134) = 4.03, p &lt; .05, ηp 2 = .03 , suggesting that the age difference could be moderated by kinship and donation form."/><s v="Fig. 5 shows the average numbers of tests of each type made by participants in Experiment 4. Replicating Experiment 3, participants adapt their tests appropriately to their environment. Participants in the sum last two condition test the sum last two rule"/><s v="&quot;the predicted interaction effect, F(1, 161) = 7.00, p &lt; .01, on the number of good tasks given &quot;,&quot; provide evidence that the tendency to symmetrically pay forward greed stems from negative affect&quot;"/><s v="&quot;The test of interest is the interaction. Controlling for prechoice spread, the degree to which postchoice spread varied with the proportion of options chosen depended on whether opportunity costs were explicit at the time of choice.&quot;"/><s v="test whether the effect of opportunity cost consideration on spread was driven by the salience of opportunity costs at the time of choice or at the time of evaluations,"/><s v="&quot;we observed the predicted interaction between load and judgment (F(1, 62.9) = 8.5, p = .005) &quot;,&quot; Cognitive load selectively increased RT for utilitarian judgment, yielding the predicted interaction between load and judgment type.&quot;"/><s v="we observed the predicted interaction between load and judgment (F(1, 62.9) = 8.5, p = .005)."/><s v="&quot;Parents who were induced to hold a failure-is-debilitating mind-set were more likely to react with concerns about their child’s performance and lack of ability, t(131) = 3.246, p &lt; .001, ηp2 = .075, &quot;,&quot; findings indeed show that parents who believe failu"/><s v="Participants also demonstrated the A/B Effect by rating each A/B test as less appropriate than their average rating of policies (Table 1)"/><s v="Specific comparisons revealed that the implemental mind-set group evidenced a significantly lower amount of ambivalence  ... compared with the deliberative (M   2.74, SD   0.67), t(80)   2.02, p   .05, d   0.45,"/><s v="&quot;These analyses showed a significant effect of C1, F(2,196) = 22.33, p &lt; .001, β = 0.32, 95% CI [0.19, 0.45] &quot;,&quot; college students from lower-SES backgrounds who reflected on their background specific-strengths were significantly more likely to: 1) endorse"/><s v="Participants randomly assigned to the BSS condition displayed significantly greater endorsement of background-specific strengths than participants in the control conditions"/><s v="&quot;The primary research questions were whether participants would prefer reductive explanations and whether this would differ by the science of the phenomenon. The regression revealed a significant main effect of explanation level&quot;"/><s v="whether participants would prefer reductive explanations and whether this would differ by the science of the phenomenon."/><s v="&quot;Participants felt older after taking a memory test (M = 54.79 years, SD = 16.79) than at baseline (M = 50.04 years, SD = 13.80), t(27) = 2.71, SE = 1.75; d = 0.76, 95% CI = [0.33, 1.18] &quot;,&quot; the subjective-aging effect observed in Studies 1 and 2 was repl"/><s v="Participants felt older after taking a memory test (M = 54.79 years, SD = 16.79) than at baseline (M = 50.04 years, SD = 13.80), t(27) = 2.71, SE = 1.75; d = 0.76, 95% CI = [0.33, 1.18]."/><s v="&quot;participants expected to enjoy eating the desired foods (M = 3.85, SD = 0.83) more than the cross-category substitutes (M = 3.48, SD = 0.81), and they expected to enjoy both more than the within-category substitutes (M = 2.86, SD = 0.90), all t(100)s &gt; 7"/><s v="On average, participants expected to enjoy eating the desired foods (M = 3.85, SD = 0.83) more than the cross-category substitutes (M = 3.48, SD = 0.81),"/><s v="Parents put more emphasis on the student’s opinion than the student puts on the parent’s opinion, at least for the higher two marginal effects. The difference is especially strong for the change from Dislike to Like."/><s v="&quot;None of the main effects were significant predictors; as expected, the treatment did not have a significant effect on the evaluation of “human” pro files. However, in the labeled and primed conditions hosts with AI-like profiles received significantly lo"/><s v="However, in ... primed condition hosts with Al-like profiles received significantly lower trust ratings. "/><s v="&quot;the majority of U.S. adults preferred to generalize the object label by shape (68.75% of choices) over material (28.48% of choices) and color (2.77% of choices) &quot;,&quot; that humans generalize object labels based on the features that they believe will be diag"/><s v="&quot;The main effect of Aptness was highly significant in the analyses of both comprehension times [Fp (1, 59) = 77.05, p &lt; .001 and Fi(1, 124) = 34.88, p &lt; .001] and ease-of-interpretation ratings [Fp (1, 59) = 121.14, p &lt; .001 and Fi(1, 124) = 57.69, p &lt; .0"/><s v="Aptness facilitated both the speed and the ease of comprehension. The main effect of Aptness was highly significant in the analyses of ... comprehension times [ F(1, 59) = 77.05, p &lt; .001"/><s v="&quot;a significant effect of condition, F(2, 448) = 26.48, p &lt; .001, ηp2 = .106 &quot;,&quot; This result confirmed our prediction that hypocrites would be seen as worse than liars. It also  demonstrates that people disapprove of false signalers (hypocrites and liars) "/><s v="We followed up with pairwise comparisons and found that hypocrites (M = 32.07, SD = 15.93) were evaluated as worse than liars (M = 36.15, SD = 15.37), mean difference = −4.08, 95% CI = [−7.63, −0.53], t(299) =&#xA;−2.26, p = .025, d = −0.26,"/><s v="Pairwise comparisons revealed that traditional hypocrites (M = 34.35, SD = 13.76) were evalu-&#xA;ated more negatively than both honest hypocrites (M = 46.62, SD = 14.01), mean difference = −12.28, 95% CI = [−15.41, −9.14], t(301) = −7.69, p &lt; .001, d = −0.8"/><s v="&quot;a significant effect of condition, F(2, 449) = 35.62, p &lt; .001, ηp2 = .137 &quot;,&quot; as predicted, our honest hypocrite manipulation fully eliminated disapproval of &#xA;hypocrisy; honest hypocrites received ratings that were no worse than the ratings of control "/><s v="&quot;when one’s risk was portrayed as changeable, high-level construal (M3A = 3.95, SD3A = 1.55) generally increased motivation to get supplementary information relative to low-level construal (M3A = 3.51, SD3A = 1.74), F3A(1, 160) = 7.81, p = .006, d = 0.44 "/><s v="when one’s risk was portrayed as changeable, high-level construal (M3A = 3.95, SD3A = 1.55) generally increased motivation to get supplementary information relative to low-level construal (M3A = 3.51, SD3A = 1.74), F3A(1, 160) = 7.81, p = .006, d = 0.44 ("/><s v="&quot;participants gave a significantly stronger (t = 2.05, p = 0.04) interview recommendation to confounders (mean  5.73) than to ex-founders (mean = 5.40), and female ex-founders received a significantly higher recommendation (t = 4.33, p = 0.01, mean = 5.89"/><s v="Consistent with the audit results, participants gave a significantly stronger (t  2.05, p  0.04) interview recommendation to nonfounders"/><s v="&quot;In contrast to the baseline condition when participants never attempted to move the bag, in almost a third of the cases participants attempted to move the bag in the experimental condition (30%). The great majority of participants (71%) attempted to move"/><s v="&quot; there was a strong cultural difference for both unique and plural minority subfigures. Planned comparisons showed that liking for the unique subfigures differed between European Americans (M = 5.88, SD = 2.11) and Koreans (M 3.81, SD = 1.91), t(74) = 4."/><s v="a strong cultural difference for both unique and plural minority subfigures. Planned comparisons showed that liking for the unique subfigures differed between European Americans (M = 5.88, SD = 2.11) and Koreans (M = 3.81, SD = 1.91), t (74) = 4.55, p &lt; 0"/><s v="&quot;participants were much slower to make the ink-color response in the incongruent condition than in the congruent condition, F(1, 33) = 74.14, p &lt; .001, ηp2 = .69 &quot;,&quot; internally maintaining a color word incongruent with an external color patch drastically "/><s v="For both tasks combined, participants were much slower to make the ink-color response in the incongruent condition than in the congruent condition, F(1, 33) = 74.14, p &lt; .001, ηp2 = .69."/><s v="&quot;a main effect of speaker’s condition, F(1, 55) = 83.67, p &lt; .001 (all other ps &gt; .22). Speakers who had been in the high-rank condition - regardless of their sex—were rated as more likely to engage in high-rank behaviors (M = 4.30, SD = 0.28) than were t"/><s v="We found only a main effect of speaker’s condition, F(1, 55) = 83.67, p &lt; .001"/><s v="&quot;There was a significant main effect of the size rank of the object on the drawn size of the object (F(7, 391) = 30.1, p &lt; .001, np2 = .35). That is, objects that are small in the world were drawn smaller on the page than objects that are large in the wor"/><s v="&quot;There was also a significant effect of paper size on drawn size (F(2, 41) = 70.9, p &lt; .001, np2 = .78), where the average drawn size of objects increased as the paper size increased &quot;,&quot; show a clear linear relationship between the drawn size and the size"/><s v="&quot;there was a significant interaction between the paper size and the effect of the object size (F(14, 391) = 4.3, p &lt; .001, np2 = .13). In other words, there was a smaller range of drawn object sizes on the small paper, with progressively greater ranges of"/><s v="&quot;A one-way analysis of variance on self-dehumanization scores revealed a significant difference among the three conditions, F(2, 153) = 3.50, p = .033, ηp2 = .04. Participants who recalled an unethical act self-reported marginally lower human capabilities"/><s v="Participants who recalled an unethical act self-reported marginally lower human capabilities (M = 5.82, SD = 1.11) ... and significantly lower human capabilities compared with those who recalled an ethical act (M = 6.23, SD = 0.65, p = .022)."/><s v="&quot;Our critical comparison involves the baseline condition and the condition where only the agent believed that the ball was behind the occluder. Results showed that participants were faster than in the baseline condition when only the agent believed the ba"/><s v="&quot;Subjects in the knowledge-plausible condition, who were told that the violin was moved to the red container, which was in a location where Vicki might plausibly look, assigned significantly higher probabilities to the red container than did subjects in t"/><s v="&quot;subjects in the knowledge-plausible condition assigned significantly lower probabilities to the blue container than did subjects in the ignorance condition, t(105) = 2.35, prep = .95, d = 0.459 &quot;,&quot; an adult’s own knowledge can compromise his or her abili"/><s v="Subjects in the knowledge-plausible condition, who were told that the violin was moved to the red container, which was in a location where Vicki might plausibly look, assigned significantly higher probabilities to the red container than did subjects in th"/><s v="&quot;participants in the God condition reported a higher willingness to take risks, b = 0.61, t(99) = 2.29, p = .024, and also perceived less danger associated with these risks, b = −0.44, t(99) = −2.97, p = .004, than did participants in the control conditio"/><s v="participants in the God condition reported a higher willingness to take risks, b = 0.61, t(99) = 2.29, p = .024,"/><s v="&quot;A 2 (system threat vs. no threat)  2 (benevolent-stereotypic vs. non-benevolent-stereotypic) analysis of variance conducted on the mean ratings of romantic interest revealed a significant two-&#xA;way interaction, F(1, 34) = 5.89, prep = .93, o2 = .02 &quot;,&quot; me"/><s v="A 2 (system threat vs. no threat)  2 (benevolent-stereotypic vs. non-benevolent-stereotypic) analysis of variance conducted on the mean ratings of romantic interest revealed a significant two-&#xA;way interaction"/><s v="&quot;subjects judged John’s action to be significantly more morally acceptable in the low-interest condition than in the high-interest condition (low interest: 76%; high interest: 44%; X2 (1) = 62.0,P &lt; 0.001, two-tailed, VCramer = 0.32, CI95%[0.25, 0.40], n "/><s v="&quot;The average visual crowding effects were significantly different between target eccentricity of 4° (mean=1.61°) and 6° (mean=2.66°) &quot;,&quot; that people who self-reported having been diagnosed with dyslexia (N=59, excluding 10 who reported having additional i"/><s v="Te average visual crowding efects were signifcantly diferent between target eccentricity of 4° (mean=1.61°) and 6° (mean=2.66°), and between participants with (e=4 : 1.90°; e=6°: 3.03 )"/><s v="&quot;The effect was in the predicted direction for 10 of the 11 actions (binomial p &lt; .05), and on average, the coefficient for action identification level was significantly different from zero in the predicted direction (M = 1.00, SD = 0.67), t(10) = 4.95, p"/><s v="on average, the coefficient for action identification level was significantly different from zero in the predicted direction (M  1.00, SD  0.67), t(10)  4.95, p  .001, d  1.49."/><s v="&quot;Our primary interest in the current study was the extent to which trait inferences from a face were associated with actual corruption records.&quot;"/><s v="showed that at an individual level, judgments of a face for traits with the same valence were positively correlated"/><s v="&quot;Across all trials, participants were on average 1.41 s faster per trial on slide transition blocks than on fade-transition blocks (9.27 s vs. 10.68 s, a difference of 15.2%), t(17) = 5.22, p &lt; .001, d = 1.23. This difference was also highly robust nonpar"/><s v="Across all trials, participants were on average 1.41 s faster per trial on slidetransition blocks than on fade-transition blocks (9.27 s vs. 0.68 s, a difference of 15.2%), t(17) = 5.22, p &lt; .001, d = 1.23."/><s v="&quot;This main effect was qualified by a significant three-way interaction, F(1, 76) = 11.53, p &lt; .001, η2 = .13 &quot;,&quot; This study illustrates the importance of considering both race and gender when examining the impact of agency, and specifically dominance, on "/><s v="This main effect was qualified by a significant three-way interaction, F(1, 76) = 11.53, p &lt; .001, η2 = .13.1"/><s v="&quot;Participants used the truth response more for Black targets (mean c = 0.48, SD = 0.61, 95% CI = [0.32, 0.64]) than for White targets (mean c = −0.03, SD = 0.60, 95% CI = [−0.19, 0.12]), paired-samples t(57) = 8.30, p &lt; .001, 95% CI for the difference bet"/><s v="Participants used the truth response more for Black targets (mean c = 0.48, SD = 0.61, 95% CI = [0.32, 0.64]) than for White targets (mean c = −0.03, SD = 0.60, 95% CI = [−0.19, 0.12]), paired-samples t(57) = 8.30, p &lt; .001, 95% CI for&#xA;the difference betw"/><s v="&quot;Overall, we found evidence for a Size-Stroop effect: on incongruent trials, participants were slower to make visual size judgments when the real-world size of original objects were incongruent with their sizes on the screen (Mdiff = 12.92 ms, SDdiff = 13"/><s v="Overall, we found evidence for a  ... , main effect of congruency, F(1,15) = 14.3, p = 0.002, g2 p = 0.489, Cohen’s d = 0.95,"/><s v="A significant interaction between message type and moral attitude basis, b = −0.27, 95% CI = [−0.42, −0.11], t(410) = −3.34, p &lt; .001, f2 = .03."/><s v="was a significant interaction between message type and moral attitude basis, b = −0.27, 95% CI = [−0.42, −0.11], t(410) = −3.34, p &lt; .001, f2 = .03 (Fig. 1)."/><s v="Global affect toward Asian Americans was significantly more negative in the realistic threat condition (partner: Jamal, M = 62.11, SD = 22.91) than in the no realistic threat condition (partner: Yoshi, M = 78.57, SD = 17.90), F(1, 39) = 6.48, p = .015, η2"/><s v="A two-way analysis of variance revealed a robust interaction between income and condition [cognitive control: F(1,97) = 7.86, P &lt; 0.01]."/><s v="A two-way analysis of variance revealed a robust interaction between income and ... cognitive control: F(1,97) = 7.86, P &lt; 0.01]."/><s v="In the RB task, the overall accuracy was marginally higher in the S condition than in the R condition, t(57) = 1.82, p = .07."/><s v="In the RB task, overall accuracy was marginally higher in the S condition than in the R condition, t(57)  1.82, p  .07,"/><s v="&quot;In contrast with members of all other groups, women in the masculine condition were less likely to want to enroll in the course, t(108) = 3.20, p = 0.001, d = 0.62 &quot;,&quot; Our manipulation check shows similar results to the main measures.&quot;"/><s v="&quot;were less likely to feel they would belong in that class, t(108) = 3.47, p &lt; 0.001, d = 0.67 &quot;,&quot; Our manipulation check shows similar results to the main measures.&quot;"/><s v="&quot;anticipated lesser success if they were to take the course, t(108) = 2.41, p = 0.01, d = 0.47 &quot;,&quot; Our manipulation check shows similar results to the main measures.&quot;"/><s v="&quot;reported lower levels of confidence in their technical abilities relative to others who might take the introductory course, t(108) = 3.18, p = 0.001, d = 0.61; &quot;,&quot; Our manipulation check shows similar results to the main measures.&quot;"/><s v="&quot;expressed less interest in learning computer science or programming in the long term, t(108) = 3.33, p &lt; 0.001, d = 0.64; &quot;,&quot; Our manipulation check shows similar results to the main measures.&quot;"/><s v="&quot;and were much more anxious about the way their gender would be perceived in the course, t(108) = −4.57, p &lt; 0.001, d = −0.88 &quot;,&quot; Our manipulation check shows similar results to the main measures.&quot;"/><s v="In contrast with members of all other groups, women in the masculine condition ... were less likely to feel they would belong in that class, t(108) = 3.47, p &lt; 0.001, d = 0.67;"/><s v="Observed a significant relationship between receptiveness and selective exposure (b = −0.27, SE = 0.08, z = −3.29, p &lt; 0.01). Thus increased receptiveness substantially decreased participants’ odds of choosing a same-party versus opposing-party senator."/><s v="We observed a significant relationship between receptiveness and selective exposure (b = −0.27, SE = 0.08, z = −3.29, p &lt; 0.01)."/><s v="Participants were significantly slower at classifying transposed-word sequences as being ungrammatical compared with the control sequences, b = 0.03, SE = 0.00, t = 8.57 this is the first demonstration of a transposed-word effect in grammaticality judgmen"/><s v="Participants were significantly slower at classifying transposed-word sequences as being ungrammatical compared with the control sequences, b = 0.03, SE = 0.00, t = 8.57,"/><s v="In terms of attraction: nonaffirmed (obedient) actors liked the rebel significantly less (M  .02) than self-affirmed (self affirm rebels) participants who showed no such rejection of the rebel (M =2.54)."/><s v="The placement of affect mea- sures in the rebel control condition did not have a significant impact on any of the variables analyzed below."/><s v="Repeated-measures ANOVAs with the factors condition, lexicality, and neighborhood size demonstrated that joint report of words was higher than that for nonwords (51.2% vs. 12.7%), F1(1, 23)  92.34, p &lt; .001 ."/><s v="Repeated-measures ANOVAs with the factors condition, lexicality, and neighborhood size demonstrated that joint report of words was higher than that for nonwords (51.2% vs. 12.7%), F1(1, 23)  92.34, ... both ps  .001;"/><s v="There was a significant interaction between scanning condition (positive or negative) and stimulus valence (postscan ratings of positivity or negativity), F(1, 11) 5 9.67, p &lt; .01, prep 5 .95 (see Fig. 3). More positively rated names were associated with "/><s v="Subjects in the HI treatment work significantly more than subjects in the LO treatment. The treatment difference of 1.85 euros is almost half as large as the amount of the treatment manipulation (7 − 3 = 4 euros). [In Table 1]: 1.850**, SE = 0.917, ** p &lt;"/><s v="&quot;The treatment difference of 1.85 euros is almost half as large as the amount of the treatment manipulation (7 − 3 = 4 euros). The marginal effect compared to effort provision in LO is 25.1 percent. The treatment difference in effort provision is signific"/><s v="Recall that the difference between the HIGH NOREC and the PHIGH25 treatment is that in the former the principals cannot be overruled. Therefore, if the principals derive disutility from being overruled they should be more willing to delegate in HIGH NOREC"/><s v="&quot;Recall that the difference between the HIGH NOREC and the PHIGH25 treatment is that in the former the principals cannot be overruled. Therefore, if the principals derive disutility from being overruled they should be more willing to delegate in HIGH NORE"/><s v="Cooperation prevails in the Continuous treatment, is less than half as common in Grid-8. [Table 2:] median cooperation rate of .893 for continuous and .250 for Grid-8, Mann-Whitney p &lt; .01"/><s v="&quot;Results are striking. For each parameter set, these rates are all zero in One-Shot, but in Continuous they range from 81 percent (in Hard) to over 93 percent (in Easy). The cooperation rates in Grid-8 are far more heterogeneous, ranging from zero (in Har"/><s v="We see that there is markedly less cooperation when b/c = 1.5 [...] overall (1.5 versus 2, p = 0.001; 1.5 versus 2.5, p &lt; 0.001; 1.5 versus 4, p &lt; 0.001). [...] Cooperation [is] more frequent in treatments where there are coop-&#xA;erative equilibria."/><s v="&quot;We see that there is markedly less cooperation when b/c = 1.5, both in the first round (1.5 versus 2, p = 0.016; 1.5 versus 2.5, p = 0.003; 1.5 versus 4, p = 0.004) and overall (1.5 versus 2, p = 0.001; 1.5 versus 2.5, p &lt; 0.001; 1.5 versus 4, p &lt; 0.001)"/><s v="If firms can ex ante commit to a wage schedule with deferred compensation, workers should respond by supplying sufficient effort to avoid dismissal. We contrast this full-commitment case to controls with no commitment. [...] Interestingly there is little "/><s v="&quot;The next two, rows show the mean wage offers. Wage offers declined over the session in each treatment. Interestingly there is little difference between stage 1 offers in the FCT and NCT, with both averaging about 20 overall and 15 in the last 10 rounds. "/><s v="The positive-affect inducement unambiguously reduces time preference. [...] With the restricted sample, the magnitude and the significance of the treatment effect increase (see columns 5 through 8 of Table 3). The positive-affect inducement now increases "/><s v="Averaging across the first 15 rounds of the game, the priority condition averaged a donation rate of 74.2 percent while control condition averaged a much lower donation rate of 35.9 percent."/><s v="&quot;Using estimates from regression 2, we find that Priority outperforms Discount and Rebate in the first 15 rounds of the experiment but the 3 are indistinguishable in the second half of the experiment&quot;."/><s v="We find high mispricing in treatments with declining FVs [fundamental values], z = −2.402 (T1 vs T2)"/><s v="&quot;While the results for overvaluation look similar on the aggregate level (with a significant difference of 17.1 percentage points), a closer inspection of Table 6 reveals that overvaluation is very strong in T1( \+) compared to T2(— +) and T3( \=)&quot;"/><s v="&quot;There is a market communication effect whereby the market also influences output by negatively affecting players’ beliefs. [...] The results show that output in the Market treatment is significantly lower than in the Control treatment in all specificatio"/><s v="&quot;Table 8 reports ordered probit regressions with group random effects, similar to those for Experiment 1. The results show that output in the Market treatment is significantly lower than in the Control treatment in all specifications, and for both Insider"/><s v="Players are the least likely to give to the last-place player when they are in second-to-last place and this difference is pairwise significant for the first-, third-, and last-place players, and marginally significant (p = .120) for the second-place play"/><s v="&quot;Column (1) shows that the second-to-last-place player is significantly less likely to give to the lower-ranked player relative to other players&quot;."/><s v="When there is noise in addition to punishment, net payoffs are significantly reduced. [...] Hypothesis F-tests confirm at the 5 percent level that the joint effect of Regular Punishment and Noise × Regular Punishment is negative."/><s v="&quot;Hypothesis F-tests confirm at the 5 percent level that the joint effect of Regular Punishment and Noise × Regular Punishment is negative, but cannot reject that the joint effect of Strong Punishment and Noise × Strong Punishment is different from zero (p"/><s v="The average per-period total surplus is 58 percent higher in the screening treatment [than the control]—a difference that is highly significant (rank-sum test on matching group averages, p = 0.007)."/><s v="&quot;Overall, the average per-period total surplus is 58 percent higher in the screening treatment—a difference that is highly significant (rank-sum test on matching group averages, p = 0.007). This increase in the total surplus has two main sources—the highe"/><s v="Whether and how communication can achieve beneficial social outcomes in a hidden-information context [...] depends crucially on whether low-talent agents can participate in an outcome that, compared to no contractual agreement, is a Pareto improvement for"/><s v="&quot;Summarizing the results, the only case in which communication led to a significant increase was for low-talent B’s in the (5, 7)-game, where the Don’t rate nearly doubles, to 78 percent.&quot;"/><s v="In the enhanced sessions, participants in the ingroup sessions choose significantly higher effort than those in the [...] outgroup sessions. A test that the sum of the coefficients on the ingroup dummy and ingroup-enhanced interaction term is equal to the"/><s v="&quot;A test that the sum of the coefficients on the in-group dummy and ingroup-enhanced interaction term is equal to 0 yields p  &lt;0.0001forcolumn 1 andp= 0.0005 for column 2, while a test that the previous sum is equal to the corresponding outgroup sum yields"/><s v="Finally, we provide evidence on payoffs under the two mechanisms. As shown in Table 7, when summed across the two agents, payoffs are higher under SL under all three preference profiles. Moreover, while the differences are not statistically significant fo"/><s v="&quot;Finally, we provide evidence on payoffs under the two mechanisms. As shown in Table 7, when summed across the two agents, payoffs are higher under SL under all three preference profiles. Moreover, while the differences are not statistically significant f"/><s v="A Wilcoxon Mann-Whitney test indicates that we can reject the null hypothesis of no difference in efficiency ratios between [...] the M6 and NM6 treatments [...] in favor of the alternative that efficiency ratios are higher in each of the two M treatments"/><s v="&quot;Nevertheless, using the session-level efficiency ratios over all rounds as reported in Table 7 for the money treatment sessions and in the last three columns of Table 12 for the no money treatment sessions, a Wilcoxon Mann-Whitney test indicates that we "/><s v="Efficiency is below 20 percent without liability, but significantly higher and above 80 percent with liability. [Table 3]: Mann-Whitney U-tests for pairwise differences between treatments (with matching groups of 8 subjects as one independent observation)"/><s v="&quot;Efficiency is below 20 percent without liability, but significantly higher and above 80 percent with liability.&quot;"/><s v="Subjects who have a high chance of leaving with the mug value the mug significantly higher than subjects who have a low chance of leaving with the mug. [...] The mean ln (WTAmug) is 1.30 in Treatment MH and 1.11 in Treatment ML; this difference is not qui"/><s v="&quot;However,when we consider the subject level difference between ln (WTAmug) and ln (WTApen), we find a mean of 0.33 for subjects in the MH treatment and 0.01 for subjects in the ML treatment. This difference is statistically significant (p = .03, t-test).&quot;"/><s v="Clipboard weight (heavy or light) nonconsciously influenced impressions and decisions formed about unrelated people - specifically for ratings of job candidates (scale = 1 to 7), where higher numbers indicate stronger&#xA;evaluations. F(1, 52) = 4.08, p = 0.0"/><s v="Participants using heavy clipboards rated the candidate as better overall"/><s v="On the final test 1 week later, collapsed across question type (verbatim and inference), the advantage of retrieval practice (M = 0.67) over elaborative studying with concept mapping (M = 0.45) represented about a 50% improvement in long-term retention sc"/><s v="the advantage of retrieval practice (M = 0.67) over elaborative studying with concept mapping (M = 0.45) represented about a 50% improvement in long-term retention scores"/><s v="Theory of Mind task scores were higher in the literary fiction than nonfiction condition [F1,82 = 6.40, p =0.01]"/><s v="Scores for the affective ToM task were higher in the literary fiction than nonfiction condition"/><s v="Participants computed the agent’s belief and that this belief influenced their behavior even though it was inconsistent with their own belief. This is shown when participants were faster than in the baseline condition when only the agent believed the ball"/><s v="participants were faster than in the baseline condition when only the agent believed the ball to be behind the occluder"/><s v="Hand washing significantly reduced the need to justify one’s choice by increasing the perceived difference between alternatives [F(1, 38) = 6.74, P = 0.01, for the interaction of time and hand-washing &#xA;manipulation]."/><s v="hand washing significantly reduced the need to justify one’s choice by increasing the perceived difference between alternatives"/><s v="Testing if repeatedly imagining the consumption of a food would increase or decrease the amount of that food that people would subsequently consume.&#xA;Planned comparisons revealed that participants in the 30-repetition condition ate significantly fewer M&amp;M’"/><s v="the amount of M&amp;M’s eaten by participants was influenced by the imagination induction"/><s v="In the high initial inequality condition, making neighbours’ wealth visible results in significantly higher levels of inequality compared to when neighbours’ wealth is invisible (difference in final round Gini = 0.104, P = 0.004)."/><s v="In the high initial inequality condition, making neighbours’ wealth visible results in significantly higher levels of inequality compared to when neighbours’ wealth is invisible "/><s v="Confirming the prediction of increased mediator retrieval, recall of mediators at final test in the CMR group was greater after test-restudy versus restudy practice (51% versus 34%)."/><s v="recall of mediators at final test in the CMR group was greater after test-restudy versus restudy practice (51% versus 34%)"/><s v="Control participants showed an accuracy drop from pretest to posttest, whereas students who expressed their thoughts before the high-pressure test (expressive writing group) showed a significant  math accuracy improvement from the pretest to posttest. &#xA;Fo"/><s v="in the posttest, the expressive writing group performed significantly better than the control group "/><s v="Priming intuition (or inhibiting reflection) increases cooperation relative to priming reflection (or inhibiting intuition).  Contributions are significantly higher when subjects are primed to promote intuition relative to reflection ( rank sum, P = 0.011"/><s v="contributions are significantly higher when subjects are primed to promote intuition relative to reflection"/><s v="Poor participants performedworse  than did rich participants  in the attention task (Dots-Mixed Task). &#xA;The poor engage more deeply and could be more fatigued despite spending less time on the WHeel of Fortune task. &#xA;[F(1, 54) = 4.16, P &lt; 0.05]"/><s v="We measured the total number of correct responses in the attention task. Four participants were removed from the analyses for having zero correct responses. Poor participants performed worse (mean T SD, 45.12 T 15.87) than did rich participants"/><s v="Affective valence was higher for winners than losers when ratings were based on the body alone (p&lt; 0.001)"/><s v="participants failed to rate the affective valence of winners as more positive than the affective valence of losers when seeing the face alone, they succeeded when seeing the body alone"/><s v="Computer words were more accessible [color-naming RT mean (M) = 712 ms, SD = 413 ms] than general words (M = 591 ms, SD = 204 ms) after participants had encountered a series of questions to which they did not know the answers, t(68) = 3.26, P &lt; 0.003, two"/><s v="Although the concept of knowledge in general seems to prime thoughts of computers, even when answers are known, not knowing the answer to general-knowledge questions primes the need to search for the answer, and subsequently computer interference is parti"/><s v="Participants enjoyed the external activities much more than just thinking [t(28) = 4.83, P &lt; 0.001]."/><s v="participants enjoyed the external activities much more than just thinking"/><s v="Comparisons to the control treatment CTR reveal that the frequency of competing women is significantly higher in PT1 [chi-squared(1) = 5.62, P = 0.018] &#xA;(where preferential treatment 1 (PT1) means each woman’s performance is automatically increased by one"/><s v="Bilateral comparisons with the control treatment CTR reveal that the frequency of competing women is significantly higher in PT1"/><s v="The probability of maintaining cultural diversity (that is, observing both tasks in the group) increased with group size (x2 = 16.3, d.f. = 1, p &lt; 0.0001)"/><s v="the probability of maintaining cultural diversity (that is, observing both tasks in the group) increased with group size"/><s v="Similar object trials were more accurately identified as being similar when they were preceded by new object trials than when they were preceded by old ones [ t(14) = 3.41, P &lt; 0.005]."/><s v="similar trials were more accurately identified as being similar when they were preceded by new trials than when they were preceded by old ones"/><s v="A novel visual prime that triggers analytic thinking (The Thinker) also encouraged disbelief in God, [t(55) = 2.24, P = 0.03]."/><s v="viewing The Thinker significantly promoted religious disbelief"/><s v="When 50% covered overhead, 71.43% of participants donated to charity: water, which  is significantly higher than when  there is a 50% uncovered&#xA;overhead, (z = 3.00, P &lt; 0.01). "/><s v="at 50% covered overhead, 71.43% of participants donated to charity: water, which is significantly higher than those in treatment three (50% uncovered overhead"/><s v="In 20 IGGs using d = 0.8 and T 5 50%, with an applied the voting rule, we found a dramatic increase in sustainability (Fig. 2b): all 20 common pools were sustained across all generations (unregulated versus voting: linear probability model (LPM) predictin"/><s v="the fraction of cooperators was 20% larger under voting than unregulated"/><s v="When participants started with three periods of  &quot;neither communicaiton nor punishment&quot; (NCP), the resource was consistently depleted within about 90 s,. &#xA;When participants started with &quot;communication&quot; (C) periods, the amount of earnings did not drop sign"/><s v="Periods with communication lead on average to a slower harvesting rate and more resource regeneration"/><s v="participants gave lower ratings after the cleanliness priming (M 5 4.98, SD 5 1.26) than they did after the neutral priming (M 5 5.81, SD 5 1.47), F(1, 38) 5 3.63, prep 5.90, Zp  2 1⁄4 :09. "/><s v="&quot;participants gave lower ratings after the cleanliness priming (M 5 4.98, SD 5 1.26) than they did after the neutral priming (M 5 5.81, SD 5 1.47), F(1, 38) 5 3.63, prep 5.90, np2=.09.&quot;"/><s v="As Table 2 indicates, the easier the ability, the higher participants' estimates of how they compare with their peers:  The ease or difficulty of the abilities also determined whether participants believed they were above or below average. On aver- age, p"/><s v="As Table 2 indicates, the easier the ability, the higher participants' estimates of how they compare with their peers:  : The correlation between domain difficulty and participants' compara- tive ability estimates across the eight abilities was —.96 (df ="/><s v="As Table 2 indicates, the easier the ability, the higher participants' estimates of how they compare with their peers:  :Similarly, the correlation between participants' ratings of their own absolute abilities and their comparative abilities was .95 (df ="/><s v="We conducted an ANCOVA, with condition as the between-sub-jects factor and the natural log of the discounting parameters at T1 and T2 as the within-subjects factor. Gender, T1 blood glu-cose, time of day, and pleasantness of the drink were added as covari"/><s v="As predicted, there was a significant interaction between condition and time (i.e., T1 future discount to T2 future discount), F(1, 59) = 15.61, prep &gt; .999, ηp2 = .21. ... Our results showed that human preferences for future versus current rewards fluctu"/><s v="&quot;found that on a 7-point scale the groups differed in how effortful they found the self-regulation instructions (i.e., how much effort did it take to watch the movie, decrease your emotional response as you watched the movie, or increase your emotional re"/><s v="&quot;participants in the decrease emotional response condition reported that they found the manipulation of regulatory exertions much more effortful (Af = 33) than participants in the no emotional control condition (M = 1.9), /(38) = 3.47, p &lt; .01&quot;"/><s v="&quot;participants in the increase emotional response condition indicated that the manipula-tion of regulatory exertion instructions was much more effortful (M = 3.0) than participants in the no emotional control condi-tion, r(37) = 3.59, p &lt; .001.2&quot;"/><s v="Engaging in demanding executive control tasks temporarily depletes resources for subsequent self-regulation. Key result: F(1, 95) = 5.38, p = .023, η² = 0.055."/><s v="&quot;Each of the recall measures offered strong support for the executive depletion hypothesis. Participants who had previously exercised attention control scored worse than participants who had not previously attempted attention control. Specifically, partic"/><s v="&quot;Participants in the attention control condition reported somewhat less positive mood (M = 8.49, SD = 11.05) than did participants in the no control condition (M = 12.19, SD = 10.90), F(1, 137) = 3.72, p = .06, d = 0.34.&quot;, &quot;Experiment 1 supported the hypo"/><s v="&quot;Ratings of the difficulty of the initial viewing task verified that the attention control instructions (M = 4.77, SD = 1.64) were more difficult to follow than the no control instructions (M = 2.78, SD = 1.63), F(1, 137) = 50.46, p &lt; .001. This pattern i"/><s v="&quot;a t test showed the expected main effect, t(31) = 3.05, prep = .97, d = 1.10...&quot;"/><s v="&quot;We examined responses to the manipulation check to determine whether subjects in the suppression condition attempted to regulate their emotions. A t test showed the expected main effect, t(31)5 3.05, prep5 .97, d5 1.10, with the emotion-sup-&#xA;pression gro"/><s v="&quot;...with the emotion-suppression group (M = 5.03, SD = 1.69) reporting more regulation than the control group (M = 3.11, SD = 1.89)&quot;"/><s v="Respondents provided higher frequency estimates for their TV watching behavior when the response scale included a high range (e.g., 4–6 times per week) compared to a low range (e.g., 0–2 times per week). The difference was statistically significant: F(1, "/><s v="only 16.2 percent of the respondents who were presented the low category range reported watching TV for more than two and a half hours, while 37.5 percent of the respondents presented the high category range did so"/><s v="&quot;Participants in the elderly priming condition (M = 8.28 s) had a slower walking speed compared to participants in the neutral priming condition (M= 7.30 s), t(2S) = 2.86,p&lt; .01, as predicted.&quot;,&quot;The results of the present experiments suggest that exposing"/><s v="Implicit attitudes toward social groups were significantly stronger than explicit attitudes. For example, implicit race bias showed d = 0.71 (p &lt; .001), compared to explicit race bias with d = 0.27."/><s v="Though both men and women negatively evaluated math (men: t[38] = -4.94, p = 10^-5, d = -0.80; women: t[39] = -12.88, p = 10^-15, d = -2.06), women’s attitudes were significantly more negative, t(77) = 4.42, p = 10^-5, d = 1.01."/><s v="A t test was computed to ascertain the effect of the priming manipulation on walking speed. Participants in the elderly priming condition (M = 8.28 s) had a slower walking speed compared to participants in the neutral priming condition (M= 7.30 s), t(2S) "/><s v="A 2 (condition: big secret, small secret) x 2 (measure type: hill slant, control estimates) ANOVA revealed no main effects of condition, F(1, 38) = 0.01, p = .94, or of measure type, F(1, 38) = 0.69, p = .41, but did reveal the predicted interaction, F(1,"/><s v="A 2 (condition: big secret, small secret)  2 (measure type: hill  slant, control estimates) ANOVA revealed no main effects of condition, F(1, 38) =0.01, p =.94, or of measure type, F(1, 38)= 0.69,  p= .41, but did reveal the predicted interaction, F(1, 38"/><s v="Choices involving gains are often risk-averse, while choices involving losses are often risk-seeking. For example, in Problem 1 (N = 152), 72% of participants chose the safe option (Program A: 200 lives saved, p &lt; .05), compared to 28% who chose the risky"/><s v="choices involving gains are often risk averse and choices involving losses are often risk taking"/><s v="Participants thinking of big secrets (M =17.03 cm, SD= 27.5) relative  to trivial secrets (M =1.32 cm, SD= 18.44) overthrew more  (Mann–Whitney U =90.5, p =.02). "/><s v="Participants thinking of big secrets (M = 17.03 cm, SD = 27.5) relative to trivial secrets (M = 1.32 cm, SD = 18.44) overthrew more (Mann–Whitney U = 90.5, p = .02). Thus, thinking of burdensome secrets led participants to overthrow a beanbag at a contain"/><s v="Hill steepness was estimated to be greater by those recalling big (M =  46.05°, SD = 16.40°) relative to small (M =  32.90°, SD=  17.98°) secrets, t(38) = 2.42, p =  .02, r = .37, "/><s v="Participants believed that a sequence of die rolls was more than three times as long when a set of three 6’s were observed (M = 34.2) than when there were only two 6’s (M = 10.6), which in turn was believed to be longer than the representatively random se"/><s v="However, given the very large effect size reported in their original study (d = 1.21 for the alcohol questions first group) and the confidence interval for the effect size found in our combined sample (−0.219 to +0.234), we suspect the difference between "/><s v="As expected, an analysis of variance (ANOVA) revealed a highly significant effect of the experimental manipulation on the composite index, F(1, 62) = 14.05, p &lt; .001. Participants who had been exposed to words related to honesty admitted having performed "/><s v="However, given the very large effect size reported in their original study (d = 1.21 for the alcohol questions first group) and the confidence interval for the effect size found in our combined sample (−0.219 to+0.234), we suspect the difference between t"/><s v="Those who recalled an unethical deed were more likely to take the antiseptic wipe (67%) than were those who recalled an ethical deed (33%) (c2 0 4.57, P 0 0.03)"/><s v="our next study examined the likelihood of taking an antiseptic cleansing wipe after recalling an ethical or unethical deed. Participants engaged in the same recall task as in Study 1 and were then offered a free gift and given a choice between an antisept"/><s v="Participants who recalled an unethical deed generated more cleansingrelated words than those who recalled an ethical deed F(1, 58) = 4.26, p = 0.04"/><s v="Participants exposed to high anchors provided significantly higher estimates (M = 45.2, SD = 12.3) compared to those exposed to low anchors (M = 18.4, SD = 10.6), t(78) = 8.34, p &lt; .001, Cohen’s d = 1.87."/><s v="There was a highly significant difference between individual averages of the transformed estimates made with high and low anchors, t(102) = 7.00, p &lt; .01. Thus high and low anchors were both very effective, but the effect of high anchors was significantly"/><s v="Participants who recalled an unethical deed generated more cleansingrelated words than those who recalled an ethical deed EF(1,58) 0 4.26, P 0 0.04^"/><s v="Study 2 investigated whether an implicit threat to moral purity produces a psychological desire for cleansing, through expressed preferences for cleansing products...As expected, copying the unethical story in-creased the desirability of cleansing product"/><s v="As expected, copying the unethical story increased the desirability of cleansing products as compared to copying the ethical story EF(1,25) 0 6.99, P 0 0.01^, with no differences between conditions for the noncleansing products EF(1,25) 0 0.02, P 0 0.89^ "/><s v="Presumably, participants who had cleansed their hands before being solicited for help would be less motivated to volunteer because the sanitation wipes had already washed away their moral stains and restored a suitable moral self. As predicted, physical c"/><s v="Explicit instructions to use or avoid racial information during a weapon identification task reduced the emission of 1/f noise, as evidenced by less negative PSD slopes in the experimental conditions (mean slope = -0.27) compared to the control condition "/><s v="&quot;As predicted, analysis revealed a significant difference between the control condition and the average of the two experimental conditions in terms of the magnitude of the PSD slopes, F(1, 68) = 5.52, p &lt; .02 (see Table 2 and Figure 4).&quot;, &quot;Those who were "/><s v="&quot;As predicted, analysis revealed a significant difference between the control condition and the average of the two experimental conditions in terms of the magnitude of the PSD slopes, F(1, 68) % 5.52, p &amp; .02 (see Table 2 and Figure 4).&quot;, &quot;Those who were "/><s v="As hypothesized, high-power poses caused an increase in testosterone compared with low-power poses, which caused a decrease in testosterone, F(1, 39) = 4.29, p &lt; .05; r = .34"/><s v="Also consistent with predictions, high-power posers were more likely than low-power posers to focus on rewards—86.36% took the gambling risk (only 13.63% were risk averse). In contrast, only 60% of the low-power posers took the risk (and 40% were risk ave"/><s v="Participants correctly identified the future position of the erotic pictures significantly more frequently than the 50% hit rate expected by chance: 53.1%, t(99) = 2.51, p = .01, d = 0.25."/><s v="As predicted, participants correctly identified the future position of the erotic pictures significantly more frequently than the 50% hit rate expected by chance."/><s v="hit rate on the nonerotic pictures did not differ significantly from chance: 49.8%, t(99)=-0.15, p = .56."/><s v="&quot;for the affective ToM task&quot; [...] &quot;Scores were higher in the literary fiction than nonfiction condition (Table 2)&quot;"/><s v="Higher Author Recognition Test scores (indicating more familiarity with fiction) predicted higher RMET scores."/><s v="Author Recognition Test x Condition"/><s v="RMET scores were higher in the literary fiction condition than in the popular fiction condition."/><s v="There were no effects involving the Author Recognition Test (for test, Table 1; for means, Table 2)."/><s v="RMET scores were higher in the literary fic-tion condition than in the popular fiction condi-tion (for tests, see Table 1; for means, see Table 2)."/><s v="Author Recognition Test scores predicted RMET scores."/><s v="Results on the RMET were analyzed as in the previous experiments. The effect of condi-tion was significant (see Table 1). Scores were significantly higher in the literary fiction condition than in the popular fiction and no-reading conditions (see Table 2"/><s v="A significant main effect of Author Recognition Test scores emerged (see Table 1)."/><s v="Scores for the affective ToM task ... were higher in the literary fiction than nonfiction condition (Table 2). "/><s v="No other covariates approached significance... (In this case no interaction effect - Aleksandr P.)"/><s v="Participants in the heavy-clipboard condition (M = 5.27, SD = 1.28) found it more important that the committee listen to students' opinions compared to participants in the light-clipboard condition (M = 4.21, SD = 2.10), F(1, 49) = 4.33, p &lt; .05, Cohen’s "/><s v="participants in the heavyclipboard condition (M 5 5.27, SD 5 1.28) found it more important that the committee listen to the students’ opinions than did participants in the light-clipboard condition (M 5 4.21, SD 5 2.10), F(1, 49) 5 4.33, p &lt; .05, prep 5 ."/><s v="Participants in the communion condition estimated the ambient room temperature as significantly warmer (M = 20.95, SD = 2.24) than participants in the agency condition (M = 18.95, SD = 2.41), t(78) = 3.85, p &lt; .001, Cohen's d = 0.86."/><s v="Participants in the communion condition perceived the target person as having a warmer personality (M = 5.65, SD = 0.80) than those in the agency condition (M = 4.65, SD = 0.97), t(78) = 5.01, p &lt; .001, d = 1.12"/><s v="Experiment 3 (N = 69) aimed to replicate the literary fiction versus popular fiction comparison. Using the same analytical strategy used in experiment 1, it was found that RMET scores were higher in the literary fiction condition than in the popular ficti"/><s v="There were no effects involving the Author Recognition Test"/><s v="Experiment 3 (N = 69) aimed to replicate the literary fiction versus popular fiction comparison. [...] Using the same analytical strategy used in experiment 1, it was found that RMET scores were higher in the literary fiction condition than in the popular"/><s v="The interaction between need for cognition and argument quality was significant, F(1, 110) = 22.45, p &lt; .001, showing that individuals high in need for cognition evaluated strong arguments more favorably (M = 5.86) compared to weak arguments (M = 2.26)."/><s v="people scrutinize a persuasive message more when they believe the recommendation is personally relevant than when they believe it is irrelevant"/><s v="Results on the RMET were analyzed as in the previous experiments. The effect of condition was significant (see Table 1). Scores were significantly higher in the literary fiction condition than in the popular fiction and no-reading conditions (see Table 2)"/><s v="A main effect of additional compensation emerged as significant where those paid to listen to the music derived greater enjoyment from the music...than did those who were not paid...The main effect of calculation was not significant...but this main effect"/><s v="Similar results were obtained on the impatience measure. A main effect of compensation emerged as significant whereby those explicitly paid to listen to the music reported feeling less impatient...than those who were not paid...The main effect of calculat"/><s v="Participants with high self-esteem felt subjectively closer to courses in which they received better grades (M = 3.91, SD = 1.05) than courses in which they received poorer grades (M = 6.30, SD = 1.22). The Grade Condition × Self-Esteem interaction was si"/><s v="HSEs (one standard deviation above the mean) felt more distant from courses in which they received their worst rather than their best grades"/><s v="Thinking about time as money reduces enjoyment and increases impatience during leisure activities. Financial compensation moderates these effects. Key results: F(1, 141) = 4.81, p = .03 for happiness, and F(1, 141) = 7.13, p = .008 for impatience."/><s v="Physical warmth increases the need for emotional warmth (affiliation). Key result: β = 0.28, t = 3.48, p = .001 (Experiment 2, Study 1)."/><s v="We expected that the cold temperature prime would increase participants’ scores on the loneliness scale, as experiences of physical coldness should increase feelings of social coldness (dis-connectedness)...Planned comparisons indicated that the cold-pack"/><s v="The interference of conflicting word stimuli upon the time for naming 100 colors increased the mean reaction time by 47.0 seconds, a 74.3% increase over the normal time for naming colors printed in squares."/><s v="it took an average of 2.3 seconds longer to read 100 color names printed in colors different from that named by the word than to read the same names printed in black"/><s v="Participants in the ego-moving condition interpreted the ambiguous temporal statement in a consistent manner 73% of the time, while participants in the time-moving condition chose a different consistent interpretation 69% of the time. A significant effect"/><s v="people used primed spatial information to think about time. Overall, 71.3% of the participants responded in a prime-consistent manner"/><s v="Participants judged English words beginning with certain letters (e.g., 'K') to be more frequent than words with those letters in the third position, despite statistical evidence to the contrary."/><s v="Among the 152 subjects, 105 judged the first position to be more likely for a majority of the letters, and 47 judged the third position to be more likely for a majority of the letters."/><s v="High-power participants thought the message would be perceived as more sarcastic by the naive recipient (M = 3.74, SD = 1.54) than did low-power participants (M = 4.84, SD = 1.30), t(40) = 2.47, p = .02, d = 0.77."/><s v="High-power participants thought the message would be perceived as more sarcastic by the naive recipient (M 5 3.74, SD 5 1.54) than did low-power participants (M 5 4.84, SD 5 1.30), t(40) 5 2.47, prep 5 .93, d 5 0.77."/><s v="&quot;For warm-temperature desirability ratings, however, the Reflection Condition × Attachment Anxiety interaction was significant, β = −0.42, t(49) = 2.26, p = .028 (other ps &gt; .316).&quot;"/><s v="warm-temperature desirability ratings, however, the Reflec- tion Condition × Attachment Anxiety interaction was signifi- cant, β = −0.42, t(49) = 2.26, p = .028 (other ps &gt; .316)"/><s v="ttachment anxiety and desirability ratings of warm-temperature refreshments were positively related in the romantic-breakup condition, β = 0.44, t(49) = 2.30, p = .025, but unrelated in the ordinary-event condition, β = −0.19, p = .350."/><s v="Subtle reminders of the concept of money, relative to nonmoney concepts, led participants to endorse more strongly the existing social system in the United States (Experiment 1) (Table 1: d = 0.80, p = .043)"/><s v="participants in the money condition more strongly endorsed system justification than did participants in the control condition, i(28) = 2.12, p = .043, d = 0.80"/><s v="Participants who imagined contact reported greater intentions to engage in future actual contact (M = 5.93, SD = 1.67) than did participants in the control condition (M = 4.69, SD = 1.26), t(31) = -2.39, p = .023, d = .86."/><s v="when individuals were instructed to imagine contact with a British Muslim stranger they subsequently reported greater intentions to engage in future social contact with British Muslims in general"/><s v="Participants who passed the IMC were more likely to show the expected price expectation effect: F(1, 113) = 7.72, p &lt; .01, η² = .06, compared to those who failed the IMC: F(1, 96) = 0.34, p &gt; .1."/><s v="Participants who clicked on the sports categories or the continue button rather than the title (as they were instructed to do), were coded as having failed the IMC. Overall, 46% of the sample failed the IMC."/><s v="&quot;When shopping for books was framed as work, perceiving greater goal conflict increased how much time people spent browsing the set of books (Mhigh conflict = 81.32 seconds, SD = 60.12 vs. Mlow conflict = 52.50 seconds, SD = 47.99; F(1, 206) = 5.66, p=0.1"/><s v="As predicted, goal conflict encouraged work and discouraged leisure. When shopping for books was framed as work, perceiving greater goal conflict increased how much time people spent browsing the set of books (Mhigh conflict = 81.32 seconds, SD = 60.12 vs"/><s v="When shopping for books was framed as leisure, however, the opposite occurred: Perceiving greater goal conflict decreased the time spent (Mhigh conflict = 70.53 seconds, SD = 77.51 vs. Mlow conflict = 83.88 seconds, SD = 75.12; F(1, 206) = 4.08, p = .045,"/><s v="&quot;When shopping for books was framed as leisure, however, the opposite occurred: Perceiving greater goal conflict decreased the time spent (Mhigh conflict = 70.53 seconds, SD = 77.51 vs. Mlow conflict = 83.88 seconds, SD = 75.12; F(1, 206) = 4.08, p = .045"/><s v="&quot;Results revealed a significant three-way interaction (β = 0.33, t(239) = 2.20, p = .03).&quot;"/><s v="Next, we regressed book deal choice (M = 4.06, SD = 0.89) on self-construal prime, group size, book preference, and their interactions, with frequency of reading each genre (Mnon-fiction = 5.25, SD = 1.69, β = -0.13, t(239) = -1.78, p = .08; Mfiction = 5."/><s v="&quot;Among participants who made a retention choice, those in the low SCC condition were more likely to retain the identity-relevant subscription than those in the high SCC condition, MlowSCC/RetainSubscription = 63.3, SD = 39.1 vs. MhighSCC/RetainSubscriptio"/><s v="Among participants who made a retention choice, those in the low SCC condition were more likely to retain the identity-relevant subscription than those in the high SCC condition, M (lowSCC/RetainSubscription) = 63.3, SD = 39.1 vs. M (highSCC/RetainSubscri"/><s v="&quot;However, we found the reverse effect for the acquisition choices. Specifically, participants in the low SCC condition were significantly less likely to acquire the identity-relevant subscription, MlowSCC/AcquireSubscription = 46.6, SD = 39.4 vs. MhighSCC"/><s v="&quot;Participants in the high curiosity condition were significantly more curious (MHigh = 3.11, SD = .53) than were participants in the control condition (MControl = 2.72, SD = .59), t(195) = 4.91, p &lt; .001, d = .70.&quot;"/><s v="Curiosity Increases Indulgence. Participants in the high curiosity condition were significantly more likely to choose the indulgent reward option (MHigh = 6.52, SD = 3.92) than were those in the control condition (MControl = 4.69, SD = 3.86), t(194) = 3.2"/><s v="&quot;An independent samples t-test on the efficacy composite revealed that participants believed Dettol would be significantly more effective when the ad featured multiple products (M = 7.02, SD = 1.55) than a single unit (M = 6.36, SD = 1.50; t(85) = 2.00, p"/><s v="An independent samples t-test on the efficacy composite revealed that participants believed Dettol would be significantly more effective when the ad featured multiple products (M = 7.02, SD = 1.55) than a single unit (M = 6.36, SD = 1.50; t(85) = 2.00, p "/><s v="&quot;an independent-samples t test exam-ining the influence of color condition on perceived attractiveness revealed a significant color effect, t(32)  2.44, p  .05, d  0.86. Participants in the red condition, compared with those in the gray condition, rated t"/><s v="&quot;an independent-samples t test examining the influ-ence of color condition on desired sexual behavior revealed a significant color effect, t(32)  2.43, p  .05, d  0.85. Partici-pants in the red condition, compared with those in the gray condition, wanted "/><s v="&quot;an independent-samples t test was used to examine the effect of color condition on perceived likability. The analysis yielded a null effect ( p  .63)&quot;"/><s v="&quot;Defense claims. There was a main effect of Condition on the applicability of the insanity defense, F(3, 290) = 4.53, p = .004, ηp2= 0.04, 95% CI = [0.00, 0.09]. It was endorsed less in the Environmental condition (M = 2.06, SE = 0.22) than in the Genetic"/><s v="&quot;there was a main effect of Condition for the diminished capacity defense, F(3, 289) = 12.82, p &lt; .001, ηp2= 0.12, 95% CI = [0.05, 0.18]. It was endorsed less in the Environmental condition (M = 2.96, SE = 0.22) than in the Genetic (M = 4.56, SE = 0.22), "/><s v="&quot;there was no main effect of Condition on the intoxica-&#xA;tion defense, F(3, 289) = 1.10, p = .349, ηp2= 0.01, 95% &#xA;CI = [0.00, 0.04]."/><s v="&quot;Sentencing. Unlike Studies 1 and 2, but replicating other research (e.g., Aspinwall et al., 2012; Dar-Nimrod et al.,&#xA;2011), there was a main effect of Condition, F(3, 291) =7.48, p &lt; .001, ηp2= 0.07, 95% CI = [0.02, 0.13]. It was sig-nificantly longer i"/><s v="&quot;perpetrator-relevant perceptions. Replicating previous studies, there was a significant effect of condition on perceived con-trol, F(3, 290) = 10.82, p &lt; .001, ηp2 = 0.10, 95% CI = [0.04, 0.16]. It was significantly higher in the Environmental con-dition"/><s v="&quot;condition did not affect perceived recidivism or intention to kill, Fs &lt; 2.00, ps &gt; .200, ηp2s = 0.01&quot;"/><s v="&quot;condition significantly affected criminal responsibility, F(3, 291) = 4.31, p = .005, ηp2 = 0.04, 95% CI = [0.00, 0.09]. It was significantly higher in the Environmental condition (M = 6.37, SE = 0.14) than in the Genetic (M = 5.83, SE = 0.14), p = .005,"/><s v="&quot;causal attributions. Condition significantly affected causal locus, F(3, 290) = 8.65, p &lt; .001, ηp2= 0.08, 95% CI = [0.03, 0.14]. It is significantly more external (lower) in the Environmental condition (M = 4.72, SE = 0.17) than in the Genetic condition"/><s v="&quot;condition did not affect causal stability, F(3, 291) = 0.67, p = .568, ηp2 = .01, 95% CI = [0.00, 0.03]&quot;"/><s v="&quot;condition significantly affected causal specificity, F(3, 289) = 11.50, p &lt; .001, ηp2 = 0.11, 95% CI = [0.04, 0.17]. Participants saw less causal specificity in the Environmental condition (M = 2.25, SE = 0.18) than in the Genetic (M = 3.08, SE = 0.18), "/><s v="&quot;condition did not affect causal control, F(3, 289) = 0.60, p = .613, ηp2 = 0.01, 95% CI = [0.00, 0.02]&quot;"/><s v="&quot;condition marginally affected causal malleability, F(3, 290) = 2.15, p = .095, ηp2 = 0.02, 95% CI = [0.00, 0.06]. Participants saw greater causal malleability in the Environmental condition (M = 4.68, SE = 0.17) than in the Gene-Impulse condition (M = 4."/><s v="&quot;In Study 2a, participants who scored high in NFC provided estimates further from their self-generated anchor values (mean z score 5 0.14) than participants who scored low (mean z score = 0.18),t(77) = 2.13, p &lt; .05, p_rep = .90, d = 0.49.&quot;"/><s v="&quot;participants who scored high in NFC provided estimates further from their self-generated anchor values (mean z score 5 0.14) than participants who scored low (mean z score 5 􏰀0.18), t(77) 5 2.13, p &lt; .05, prep 5 .90, d 5 0.49&quot;"/><s v="&quot;A 2 (Anchor: low, high) × 2 (Time Pressure: absent, present) ANOVA revealed a significant main effect of Time Pressure, F(1, 58) = 8.56, p &lt; .01.&quot; &quot;The results of our study indicate that there is a subliminal anchor eVect and that this eVect is short-liv"/><s v="A 2 (Anchor: low, high) × 2 (Time Pressure: absent, present) ANOVA revealed a significant interaction effect between Anchor and Time Pressure, F(1, 58) = 5.06, p &lt; .05. … The results of our study indicate that there is a sub- liminal anchor eVect and that"/><s v="&quot;There were no significant main effects, Fs(1, 58) &lt; 1, ns. Thus, the anchor effect critically depended on whether there was Time Pressure or not.&quot; &quot;The results of our study indicate that there is a subliminal anchor eVect and that this eVect is short-liv"/><s v="&quot;A 2 (Anchor: low, high) × 2 (Time Pressure: absent, present) ANOVA revealed a significant interaction effect between Anchor and Time Pressure, F(1, 58) = 5.06, p &lt; .05.&quot; &quot;The results of our study indicate that there is a subliminal anchor eVect and that "/><s v="We find that participants readily apply ecology stereotypes to persons even within levels of personal wealth: for each of the five life history strategy constructs, indi-viduals from desperate ecologies were stereotyped as possessing faster life history s"/><s v="&quot;…our findings provide strong evidence for the importance of ecology as a cue used by social perceivers in anticipating the affordances of others. Study 1 demonstrated that individuals hold ecology stereotypes, stereotyping individuals from desperate ecol"/><s v="yet, in the test trial, participants made up their minds sooner than they expected: Predictors expected they would need to see many more paintings to make up their minds (M = 16.29, SD =12.04) than experiencers actually needed to see to make up their mind"/><s v="&quot;In the test trial, participants made up their minds sooner than they expected: Predictors expected they would need to see many more paintings to make up their minds (M = 16.29, SD = 12.04) than experiencers actually needed to see to make up their minds ("/><s v="In Exp. 1, 70% of player As looked at the cost of helping in the process hidden condition compared with only 59% in the process observable condition (n = 735; P = 0.002)"/><s v="&quot;In Exp. 1, 70% of player As looked at the cost of helping in the process hidden condition compared with only 59% in the process observable condition (n = 735; P = 0.002) (Fig. 2A).&quot; , &quot;Thus, we confirm our key prediction: Across two experiments, subjects"/><s v="There were significant differences in dating interest between conditions...interest in the Inadvertent Nondiscloser (M = 6.8, SD = 1.5) was higher than that of the Hider [t(140) = 2.08, P = 0.04]"/><s v="&quot;Most importantly, interest in the Inadvertent Nondiscloser (M = 6.8, SD = 1.5) was higher than that of the Hider t(140) = 2.08, P = 0.04; it was also lower than that of the Revealer t(142) = 1.99, P = 0.05.&quot;"/><s v="Privacy concerns mediated the relationship between temporary sharing and selfie disinhibition:Temporariness decreased privacy concerns (βtemporary = −0.70, SE = 0.22, P &lt; 0.005), which in turn accounted for increased disinhibition"/><s v="&quot;Privacy concerns mediated the relationship between temporary sharing and selfie disinhibition: Temporariness decreased privacy concerns (βtemporary = −0.70, SE = 0.22, P &lt; 0.005)&quot;"/><s v="We regressed pain ratings on target race, false beliefs, and their in- teraction, controlling for age, gender, and self-ratings of pain...interaction between target race and false beliefs [β = −0.07, SE = 0.03, F(1,85) = 4.36, P = 0.040, η2p = 0.05; Fig. "/><s v="&quot;The effect was qualified by the predicted interaction between target race and false beliefs [β = −0.07, SE = 0.03, F(1, 85) = 4.36, P = 0.040, η²p = 0.05].&quot;"/><s v="compared with participants who described a situ-ation in which they chose not to intervene, participants who de-scribed a situation in which they chose to intervene perceived intervention to be...more beneficial [... t(196) = 6.34, P &lt; 0.001]."/><s v="&quot;As Fig. 4 shows, compared with participants who described a situation in which they chose not to intervene, participants who described a situation in which they chose to intervene perceived intervention to be less costly [independent samples t tests: exp"/><s v="by round 3, bipartisan networks without partisan cues showed significantly greater trend accuracy than liberal control groups (by 9.4 percentage points: n = 24; P &lt; 0.01, Wilcoxon rank sum test). More generally, by round 3, subjects in bipartisan networks"/><s v="&quot;In particular, at round 1, there were no significant differences between liberal control groups and bipartisan networks without partisan cues (n = 24; P = 0.32, Wilcoxon rank sum test); however, by round 3, bipartisan networks without partisan cues showe"/><s v="Study 4 built on the finding that competence and attractiveness were two key predictors of interest judgments in studies 1 and 2 by varying the attractiveness and competence of the scientists in a 2 × 2 within-subject design...interest was positively rela"/><s v="Please see Table S16 in the SI appendix - link copied in https://www.pnas.org/action/downloadSupplement?doi=10.1073%2Fpnas.1620542114&amp;file=pnas.1620542114.sapp.pdf "/><s v="anti–free-will participants showed a smaller correspondence bias (M = 1.02, SD = 1.10) than control participants (M = 1.24, SD = 1.20) (t = 2.10, P = 0.036, d = 0.19)"/><s v="&quot;Crucially, however, the interaction between belief manipulation and attribution was significant [F(1,502) = 4.41, P = 0.036, ηp2 = 0.01]. This indicates that anti–free-will participants showed a smaller correspondence bias (M = 1.02, SD = 1.10) than cont"/><s v="To test our hypothesis that income and generosity are only negatively related under unequal conditions, we used ordinary least-squares regression, regressing generosity on household income (centered at its grand mean across partici-pants), inequality cond"/><s v="Table 2"/><s v="Overall (across photographs of men and women), the expansive photographs were rated as more dominant (mean = 3.78, SD =0.63) than the contractive photographs (mean = 2.44, SD = 0.88), [t(424) = 18.02, P &lt; 0.0001, 95% CI (1.19, 1.48)]... in modern-day dati"/><s v="&quot;Overall (across photographs of men and women), the expansive photographs were rated as more dominant (mean = 3.78, SD = 0.63) than the contractive photographs (mean = 2.44, SD = 0.88), [t(424) = 18.02, P &lt; 0.0001, 95% CI (1.19, 1.48)].&quot;"/><s v="In study 5, we asked receivers before the allocation was made to predict how they would feel afterward...As the right side of Fig. 4 shows, receivers in study 5 expected that the fairness of the al-location procedure would matter to them. Indeed, their re"/><s v="Supplementary Information, however link for it found in original paper not working"/><s v="Participants in the low subjective status condition (M = 0.51, SD = 0.75) exhibited a trend for stronger implicit preferences for calorie-dense foods over fruits/vegetables compared with those in the high SSES condition (M = 0.27, SD = 0.70), suggesting t"/><s v="&quot;Study 3 examined whether the experience of low SSES stimulates actual food intake from snacks during a fixed time interval. Eighty-three nondieting participants (41 female, age M = 20.29, SD = 1.38) completed the SSES manipulation from studies 1 and 2, t"/><s v="Only 16% (41/255, five gifts requested) of subjects in the gift/image treatment donated, which is significantly different from both other treatments (difference-in-means: P = 0.001 and P = 0.021, respectively). Therefore, increasing the visual saliency of"/><s v="&quot;Only 16% (41/255, five gifts requested) of subjects in the gift/image treatment donated, which is significantly different from both other treatments (difference-in-means: P = 0.001 and P = 0.021, respectively). Therefore, increasing the visual saliency o"/><s v="both ROC-T conditions significantly increased healthy food choices and were signifi-cantly different from CONTROL"/><s v="&quot;The training conditions did not significantly differ (p = .28), but were each different than CONTROL (POSITIVE vs. CONTROL: t(193.22) = 4.43, p &lt; .001; NEGATIVE vs. CONTROL: t(173.36) = 5.37, p &lt; .001)."/><s v="As expected, conservatives expressed less favorable attitudes in the future-focused comparison...but this association was greatly attenuated in the past-focused comparison...interaction b = 0.008, P = 0.03)"/><s v="&quot;As expected, conservatives expressed less favorable attitudes in the future-focused comparison (b = −0.015, P &lt; 0.0001), but this association was greatly attenuated in the past-focused comparison (b = −0.007, P = 0.011; interaction b = 0.008, P = 0.03). "/><s v="Some professional outcomes, such as career awards, are partic-ularly tied to eminence. In study 8 (n = 554), we tested whether researchers referred to by surname (vs. full name) are judged as more deserving of a fictitious NSF career award and award-relat"/><s v="&quot;Researchers referred to by surname were also allocated a larger share of the award money by 6%: F(1,551) = 4.61, P = 0.032 (Fig. 3).&quot;"/><s v="However, in the intentional harm condition—that is, when the vignette was identical except that the medi-cations were switched intentionally—selection of the “blame” task more than doubled, X2(1) = 6.7, P = 0.009. Although other tasks could have been simi"/><s v="&quot;However, in the intentional harm condition—that is, when the vignette was identical except that the medications were switched intentionally—selection of the &quot;blame&quot; task more than doubled, X2(1) = 6.7, P = 0.009.&quot;"/><s v="Conservatives allocated less money to the counterstereotypical targets than to the stereotypical targets [B = 0.52, SE = 0.14, Z = 3.65, P &lt; 0.001]...These studies demonstrate that conservatives negatively eval-uate people who deviate from stereotypes mor"/><s v="&quot;Conservatives allocated less money to counterstereotypical targets than to stereotypical targets [B = 0.52, SE = 0.14, Z = 3.65, P &lt; 0.001], but liberals did not [B = −0.05, SE = 0.10, Z = −0.50, P = 0.62]. Conservatives therefore allocated fewer economi"/><s v="we experimentally manipulated search patterns in experiment 2 and examined their influence on intertemporal choice..There was a significant effect of search condition, β = −0.23, SE = 0.10, P = 0.027, with participants in the easy comparative condi-tion e"/><s v="&quot;A hierarchical logistic regression was conducted to examine whether the search condition influenced participants' decisions, with choices modeled as a function of framing (acceleration or delay) and search condition (easy comparative or easy integrative)"/><s v="Participants were significantly more likely to report that they would break the stranger’s thumb for money when he was described in dehumanized (M = 4.64, SD = 2.14) rather than humanized terms (M = 3.90, SD = 2.36; t = 2.26, P = 0.025)."/><s v="&quot;Participants were significantly more likely to report that they would break the stranger’s thumb for money when he was described in dehumanized (M = 4.64, SD = 2.14) rather than humanized terms (M = 3.90, SD = 2.36; t = 2.26, P = 0.025).&quot;"/><s v="We fit a mixed-effects model, regressing participant choices on their role, the round number, and the interaction between role and round. The interaction between role and round is significant likelihood ratio test, X2(1)=21. P &lt; 0.001; = 0.03, 95% CI = (0"/><s v="&quot;We fit a mixed-effects model, regressing participant choices on their role, the round number, and the interaction between role and round. The interaction between role and round is significant likelihood ratio test, X2(1)=21.7, P &lt; 0.001, = 0.03, 95% CI ="/><s v="Regres-sions revealed that participants in the inequality treatment con-dition rated structural factors as more important to getting ahead, and individual factors as less important, than did participants in the control condition [β = 0.353, SE = 0.076, P "/><s v="&quot;Regressions revealed that participants in the inequality treatment condition rated structural factors as more important to getting ahead, and individual factors as less important, than did participants in the control condition [β = 0.353, SE = 0.076, P &lt;"/><s v="inducing consideration of the persistence of racial discrimination in the United States resulted in estimates of racial income equality that were much closer to reality, t(201) = 17.51, P &lt; 0.001, dRM = 0.50... overestimates of Black–White economic equali"/><s v="&quot;As in study 3, experimentally inducing reflection on a similar Black family increased overestimates of Black–White income equality in this mostly White American sample [t(201) = 10.93, p &lt; 0.001, dRM = 0.31], whereas inducing consideration of the persist"/><s v="As predicted, participants in the likely-cheating condition...were more likely to cheat at time 2 [X2(n = 258) = 10.48, P = 0.001, Cramer’s V = 0.20]...than those in the no-cheating condition...providing further evidence for the consequences of unethical "/><s v="&quot;As predicted, participants in the likely-cheating condition recalled the die-throwing task less precisely (M = 2.59, SD = 1.08) than those in the no-cheating condition (M = 2.97, SD = 1.22) [t(256) = −2.66, P = 0.008, d = 0.33]. They also were more likel"/><s v="For anger ratings, the effect of red was significant, F(6, 234) = 4.91, p &lt; .001, η2p = .11...perceived anger was most affected by high levels of redness, whereby more redness was associ-ated with more anger."/><s v="&quot;the cleanliness and neutral conditions revealed non-significant difference, t(438) = −0.42, p = 0.68, d = −0.04.&quot;"/><s v="&quot;The cleanliness condition had a lower mean composite rating than the neutral condition, d = −0.29, p = 0.04 in the low response effort condition&quot;"/><s v="&quot;In particular, the cleanliness priming resulted in a significantly less extreme rating on the “dog” scenario than the neutral condition, d = −0.38, p = 0.005&quot;"/><s v="&quot;A further examination of the cleanliness hypothesis on individual vignettes in the low response effort condition revealed a pattern consistent with the expectation, with ds ranging from – 0.03 to −0.38 (see Table 2).&quot;"/><s v="&quot;public goods are substitutes and merit goods are complements to private goods consumption &quot;"/><s v="&quot;The main finding of Tables 5–7 is that in all cases they substantiate the fact that public goods are substitutes and merit goods are complements to private goods consumption&quot; [...] &quot;These results imply [...] an aggregate relation for private and governme"/><s v="&quot;Merit goods are mostly education and health expenditures and both should be inversely related to the working age population share."/><s v="&quot;The public goods variables tend to be insignificant the higher is their public good content, irrespective of the deflator choice&quot;"/><s v="&quot;Defence spending has a smaller elasticity than public order and in most cases its elasticity is null. We take this to be consistent with the very nature of these goods. That is, the purer the public goods category the less the expected interaction with p"/><s v="&quot;The main finding of our paper is in Table 5. [...] The J -tests support the plausibility of the instrument restrictions&quot;"/><s v="&quot;In the same table we find that education has a bigger effect on private consumption than health when the interest rate variable is omitted, while the effect is about the same when the latter enters the specification&quot;"/><s v="&quot;An important result of our estimates is that we found for aggregate NIPA data rather than for individual data units a significant and positive effect of the after tax real interest rate variable&quot;"/><s v="&quot;In Table 5(1), however, we estimated an analog to Eq. (9) by adding to each equation on Table 5 the current and the past value of the logged per capita disposable income changes. The relevant results still con1rm the complementarity of the merit goods va"/><s v="&quot;A Mann-Whitney test shows no&#xA;significant difference in final amount allocated to recipients between the two treatments (p-&#xA;value = 0.583)&quot;"/><s v="&quot;In the GG, the amounts given by males and females are not different (p-value = 0.594).&quot;"/><s v="&quot;The TG, however, shows gender differences. The average amount left by the male dictators is significantly lower than the amount left by the female dictators at 1%&#xA;level.&quot;"/><s v="&quot;Table 1 shows the average amount allocated (amount given in the GG, or (£10—amount taken) in the TG) for both the aggregated data and for males and females by treatment. In the GG, an average of £2.066 is given to the recipients. In the TG, the dictators"/><s v="&quot;In column 1, I estimate multinational wage spillovers by pooled ordinary least squares. The results are consistent with multinational spillovers, though without controls for individual and establishment heterogeneity, the result is difficult to interpret"/><s v="&quot;Students taught by teachers with an elementary education degree, however, gain more in reading (0.08 SD) than students taught by teachers with a different type of degree (e.g., early childhood education) [...]&quot;"/><s v="In the gay kissing condition, disgust sensitivity was associated with stronger judgments of intentionality, β =  .79, t(19) = 4.49, p &lt;  .001, while in the control condition, disgust sensitivity did not predict intentionality judgments,  β = .20, t(19) = "/><s v="&quot;participants viewed the director’s action as more intentional when he encouraged public gay kissing (M  4.36) than when he encouraged public straight kissing (M  2.91), β =  .41, t(39) = 3.39, p &lt; .01 &quot;,&quot; disgust sensitivity predicts implicit moral respo"/><s v="&quot;in the gay kissing condition, disgust sensitivity was associated with stronger judgments of intentionality, β =  .79, t(19) = 4.49, p &lt;  .001, &quot;,&quot; disgust sensitivity predicts implicit moral responses to male-male sexual contact—as measured through inten"/><s v="&quot;while in the control condition, disgust sensitivity did not predict intentionality judgments, β = .20, t(19) = .88, ns (see Figure 1) &quot;,&quot; disgust sensitivity predicts implicit moral responses to male-male sexual contact—as measured through intentionality"/><s v="As expected, the correlation between both measures increased from r = .32, in the general-specific condition, to r = .67, z = 2.32, p &lt; .01 for the difference in correlations, when the specific question preceded the life-satisfaction question. [...] indic"/><s v="&quot;the correlation between both measures increased from r = .32, in the general-specific condition, to r = .67 &quot;,&quot; when the specific question preceded the life-satisfaction question &quot;,&quot; indicating that respondents used the previously activated specific info"/><s v="&quot;the correlation between both measures increased from r = .32, in the general-specific condition &quot;,&quot; indicating that respondents used the previously activated specific information in answering the general question&quot;"/><s v="&quot;z = 2.32, p &lt; .01 for the difference in correlations, when the specific question preceded the life-satisfaction question &quot;,&quot; indicating that respondents used the previously activated specific information in answering the general question&quot;"/><s v="[Replication does not target an explicit claim, but a pairwise comparison in Table 1] Americans ascribe a more pro-capital-punishment attitude to the write of an essay in favour of capital punishment than against it, t(98) = 6.66, p &lt; .001. &quot;Americans sho"/><s v="In the harm condition, most subjects (82%) said that the agent brought about the side effect intentionally, whereas in the help condition, most subjects (77%) said that the agent did not bring about the side effect intentionally. This difference was highl"/><s v="&quot;Denise’s action was judged permissible by 89% of subjects (p[.87 &lt; μ &lt;. 91] = 0.05), while Frank’s action was judged permissible by 11% of subjects (p[.09 &lt; μ &lt;. 13] = 0.05). These proportions differ significantly ( 2 [1, N = 2646] = 1615.96, p &lt; 0.001),"/><s v="Subjects who claimed that they personally would follow a given behavioral alternative also tended to rate that alternative as relatively probable for “people in general”; those subjects who claimed that they would reject the alternative tended to rate it "/><s v="&quot;For two of the stories (Supermarket Story and Term Paper Story), the effect of Rater’s Own Choice upon the difference in ratings for the two behavioral alternatives was clearly significant, F(1,78) = 17.27, p &lt; .001  &quot;,&quot; like perceptions of behavioral co"/><s v="&quot;For one story (Traffic Ticket Story) the effect was marginally significant, F = 3.18, p &lt; .10, &quot;,&quot; like perceptions of behavioral consensus, trait inferences are systematically influenced by the rater’s own behavioral choices, although the effect is less"/><s v="People rated the child as less responsible than the adult, t(68) = 3.32, p &lt; .01."/><s v="&quot;People rated the child as less responsible than the adult, t(68)  3.32, p  .01 &quot;,&quot; age of harm-doer and age of victim have complementary effects on perceptions of moral agency and moral patiency the older victim is seen as more responsible, and the young"/><s v="&quot;People rated the child &quot;,&quot; as having less intentionality than the adult for the moral transgression, t(68)  2.20, p  .05 &quot;,&quot; age of harm-doer and age of victim have complementary effects on perceptions of moral agency and moral patiency the older victim "/><s v="&quot;Relative to the adult, children were rated as experiencing more pain, t(68)  3.49, p  .01. &quot;,&quot; age of harm-doer and age of victim have complementary effects on perceptions of moral agency and moral patiency the older victim is seen as more responsible, a"/><s v="For the south–north axis, the interaction between SES and population was significant, F(1, 176) = 20.39, MSE = 5.63, p &lt; .001, η2p = 0.10.&#xA;"/><s v="US participants considered that high-SES andlow-SES individuals were more likely to live in the northern(+0.98, SD = 1.85), t(39) = 3.34, p &lt; .01, d = 0.53, and southernareas (0.69, SD = 2.19), t(39) = 2.00, p = .05, d = 0.32, respectively. "/><s v="HK participants considered that high-SESand low-SES individuals were more likely to live in the southern area (0.92, SD = 2.47), t(49) = 2.62, p = .01, d = 0.37, and descriptively but not signiﬁcantly in the northern area (+0.63,SD = 2.75), t(49) = 1.61, "/><s v="&quot;the interaction between SES and population was significant, F(1, 176) = 20.39, MSE = 5.63, p &lt; .001, η2p 1= 0.10 &quot;,&quot; participants differing in demographic knowledge about the affluent population distribution have different cardinal direction–valence meta"/><s v="&quot;US participants considered that high-SES and low-SES individuals were more likely to live in the northern (+0.98, SD = 1.85), t(39) = 3.34, p &lt; .01, d = 0.53, and southern areas (0.69, SD = 2.19), t(39) = 2.00, p = .05, d = 0.32, respectively &quot;,&quot; partici"/><s v="&quot;HK participants considered that high-SES and low-SES individuals were more likely to live in the southern area (0.92, SD = 2.47), t(49) = 2.62, p = .01, d = 0.37, and descriptively but not significantly in the northern area (+0.63, SD = 2.75), t(49) = 1."/><s v="The response to the two versions of problem 10 were markedly different: 68 percent of the respondents were willing to make an extra trip to save $5 on a $15 calculator; only 29 percent were willing to exert the same effort when the price of the calculator"/><s v="&quot;The response to the two versions of problem 10 were markedly different: 68 percent of the respondents were willing to make an extra trip to save $5 on a $15 calculator; only 29 percent were willing to exert the same effort when the price of the calculato"/><s v="Including the covariates, political identity still predicted all five foundations in the predicted direction, all ps &lt; .001. Political identity was the key explanatory variable: It was the only consistent significant predictor (average beta =  .25; range "/><s v="&quot;the aggregated moral relevance ratings for individualizing foundations were higher than the aggregated ratings for the binding foundations, F(1, 1207) = 1,895.09, p &lt; .001, n2p =   .61 &quot;,&quot; The moral thinking of liberals and conservatives may not be a mat"/><s v="&quot;this effect was moderated by politics, F(1, 1207) = 224.34, p &lt;  .001, n2p =  .16, such that the more liberal participants showed a greater difference between the individualizing and binding moral foundations. &quot;,&quot; The moral thinking of liberals and conse"/><s v="In the intended harm case, 56% of subjects judged the action permissible (p[.53 &lt; μ &lt; .59] = 0.05), whereas in [...] the foreseen harm case, 72% of subjects judged the action permissible (p[.69 &lt; μ &lt; .74] = 0.05). These percentages differ significantly (c"/><s v="&quot;In Scenario 3, the intended harm case, 56% of subjects judged the action permissible (p[.53 &lt; μ &lt; .59] = 0.05), whereas in scenario 4, the foreseen harm case, 72% of subjects judged the action permissible (p[.69 &lt; μ &lt; .74] = 0.05). These percentages diff"/><s v="Participants believed that students were more likely to be called on if they had not done the reading (M = 3.43, SD = 2.34) than if they had (M = 2.53, SD = 2.24), F(1, 116) = 4.60, p  &lt; .05, d = 0.39. [This indicates that]  people believe that negative o"/><s v="&quot;students were more likely to be called on if they had not done the reading (M  3.43, SD  2.34) than if they had (M  2.53, SD 2.24), F(1, 116)  4.60, p &lt; .05, d = 0.39 &quot;,&quot; people believe that negative outcomes are more likely following behaviors that temp"/><s v="The consumer framing resulted in lower feelings of personal responsibility for dealing with the resource dilemma, markedly lower trust in the other parties, and a significantly lower tendency to view the others as partners in facing the dilemma. t(76) = –"/><s v="&quot;the consumer framing resulted in lower feelings of personal responsibility for dealing with the resource dilemma &quot;,&quot; in general, it is clear that the consumer identity did not unite—it divided. Thinking like a consumer again seemed to work against positi"/><s v="&quot;There were no significant effects on participants’ feelings of obligation &quot;,&quot; in general, it is clear that the consumer identity did not unite—it divided. Thinking like a consumer again seemed to work against positive, cooperative engagement with other p"/><s v="&quot;markedly lower trust in the other parties &quot;,&quot; in general, it is clear that the consumer identity did not unite—it divided. Thinking like a consumer again seemed to work against positive, cooperative engagement with other people&quot;"/><s v="&quot;a significantly lower tendency to view the others as partners in facing the dilemma &quot;,&quot; in general, it is clear that the consumer identity did not unite—it divided. Thinking like a consumer again seemed to work against positive, cooperative engagement wi"/><s v="&quot;There were no significant effects on &quot;,&quot; belief that the other parties should use less water than they themselves did. &quot;,&quot; in general, it is clear that the consumer identity did not unite—it divided. Thinking like a consumer again seemed to work against "/><s v="Participants making judgments about the P97 estimated that a higher percentage of smartphones (M = 58.1%, SD = 19.6%) would be sold in the United States than did those making estimates about the P17 (M = 51.9%, SD = 21.7%), t(197.5) = 2.12, p = .03, d = ."/><s v="&quot;participants making judgments about the P97 estimated that a higher percentage of smartphones (M = 58.1%, SD = 19.6%) would be sold in the United States than did those making estimates about the P17 (M 1= 51.9%, SD = 21.7%), t(197.5) = 2.12, p 1= .03, d "/><s v="The averaged leader power score was submitted to an independent-samples t-test. The analysis yielded the expected significant effect of vertical difference, t(62) = 2.20, p = .03, etasq = .07. &#xA;Participants in the large vertical difference condition perce"/><s v="&quot;The analysis yielded the expected significant effect of vertical difference, t(62) = 2.20, p = .03, g2 = .07. Participants in the large vertical difference condition perceived the leader as being more powerful (M = 5.01, SD = .60) than participants in th"/><s v="The average s(q, p) was significantly higher than the average s(p, q) across all subjects and pairs: t = 2.92, df= 20, and p &lt; .01.&#xA;The average difference (in similarity rating) (.42) was significantly positive : t = 2 .99, df= 153, p &lt; .01 . "/><s v="The foregoing study was repeated with judgments of difference instead of judgments of similarity: t = 2 .72, df = 20, p &lt; .01&#xA;The average difference between d(p, q) and d(q, p), computed as previously for each subject (.63), was significantly positive : t"/><s v="Copying the unethical story increased the desirability of cleansing products as compared to copying the ethical story F(1,25) = 6.99, P = 0.01"/><s v="Participants in the structure condition reported higher willingness to expend effort and make sacrifices to pursue their goal&#xA;compared to participants in the random condition, t(65) = 2.00, p = .05"/><s v="Participants in the structure condition reported higher willingness to expend effort and make sacrifices to pursue their goal compared to participants in the random condition (Mstructure =5.26, SDstructure = 0.88; Mrandom= 4.72, SDrandom= 1.32), t(65) = 2"/><s v="Analysis revealed a significant main effect for social value orientation, F(2, 535) = 4.82, p &lt; .01. Consistent with the sibling-prosocial hypothesis [...] the number of siblings is greater for prosocials (M = 2.03, SD = 1.56) than for individualists (M ="/><s v="&quot;analysis revealed a significant main effect for social value orientation, F(2, 535) = 4.82, p &lt; .01. Consistent with the sibling-prosocial hypothesis, Panel A &quot;,&quot; reveals that the number of siblings is greater for prosocials (A/ = 2.03, SD = 1.56) than f"/><s v="There was a significant main effect of condition on global warming concern, F(2,288) = 4.74, p = 0.01&#xA;Post hoc comparisons showed that those in the heat condition exhibited greater concern for global warming than those in the control condition (p = 0.02) "/><s v="&quot;priming individuals with heat-related cognitions increases levels of belief and concern in global warming. The priming manipulation had a direct effect on average ratings of reported belief in and concern about global warming  &quot;,&quot; There was a significant"/><s v="Priming individuals with heat-related cognitions increases levels of belief and concern in global warming. The priming manipulation had a direct effect on average ratings of reported belief in and concern about global warming. There was a significant main"/><s v="Participants in the disfluent condition answered a greater proportion of the questions correctly (M  = 64%) than did participants in the fluent condition (M = 43%), t(39) = 2.01, p  &lt; .05"/><s v="&quot;participants in the disfluent condition answered a greater proportion of the questions correctly (M  64%) than did participants in the fluent condition (M  43%), t(39) = 2.01, p &lt; .05, n2  .09 &quot;,&quot; People make different decisions depending on whether they"/><s v="Inserting SWB scores to a 2 (level: high, low) × 2 (type of status: sociometric, socioeconomic) between participants ANOVA. There was a main effect of level, F(1, 224) = 5.06, p = .03, but more important, there was also a significant interaction between l"/><s v="Individuals in the high-sociometric-status condition had higher SWB than those in the low-sociometric-status condition, t(115) = 3.05, p = .003, these findings provide evidence for a causal effect of sociometric status on SWB that is stronger than the eff"/><s v="In the certainty condition, 70% of participants preferred the cash over the kiss, but in the low-probability condition, 65% of participants preferred the kiss lottery over the cash lottery, x2 (1, N = 40) =4.91, p &lt;.05."/><s v="In the certainty condition, 70% of participants preferred the cash over the kiss, but in the low-probability condition, 65% of participants preferred the kiss lottery over the cash lottery, x2(1, N = 40) = 4.91, p &lt; .05, indicating that the weight of a 1%"/><s v="Parent B is the modal choice both for being awarded custody of the child and for being denied it. As predicted, the value of Πc + Πr, for Parent B (64+55 = 119) is significantly greater than the 100 that we would expect if choosing and rejecting were comp"/><s v="&quot;the value of Il, + II, for Parent B (64+55 = 119) is significantly greater than the 100 that we would expect if choosing and rejecting were complementary (z = 2.48, p &lt; .02)&quot;"/><s v="Among Americans, there was no difference between the proportion of personal actions construed as choices (M = .83, SD = .15) and the proportion of interpersonal actions construed as choices (M = .82, SD = .14), t(88) = 0.39, p = .65, d = 0.04"/><s v="&quot;Indians were less likely than Americans to construe actions as choices, β = –1.07, OR = 0.34, t(101) = 5.70, prep = .99, p &lt; .001 &quot;,&quot; Americans were more likely than Indians to construe all actions as choices, and were equally likely to construe personal"/><s v="&quot;We did not find a main effect of condition, β = –0.13, OR = 0.88, t(101) = 0.71, prep = .69, p = .48, &quot;,&quot; Americans were more likely than Indians to construe all actions as choices, and were equally likely to construe personal and interpersonal actions a"/><s v="&quot;but we found a significant Culture × Condition interaction, β = 0.53, OR = 1.70, t(101) = 1.98, prep = .92, p &lt; .05. &quot;,&quot; Americans were more likely than Indians to construe all actions as choices, and were equally likely to construe personal and interper"/><s v="Indians were less likely than Americans to construe actions as choices, β = –1.07, OR = 0.34, t(101) = 5.70, prep = .99, p &lt; .001. We did not find a main effect of condition, β = –0.13, OR = 0.88, t(101) = 0.71, prep = .69, p = .48, but we found a signifi"/><s v="When participants were asked to judge the similarity of the target object to the categories: European Americans gave many more responses based on the unidimensional rule than on family resemblance (M = 69% vs. M = 31%), t(17) = 3.68, p&lt;.005."/><s v="When participants were asked to judge the similarity of the target object to the categories: East Asians gave fewer rule-based responses than family resemblance responses (M =41%vs.M =59%), t(17) = 2.09,p = .05"/><s v="&quot;only a main effect of judgment condition emerged, indicating that participants overall were slower when classifying than when judging similarity (in ms: M = 7,516 and SD = 3,160 vs. M = 6,260 and SD = 4,379), F (1, 151) = 4.25, p&lt;.05. There were no main "/><s v="A less-is-better effect emerged from this study. Although the $55 coat is certainly more expensive than the $45 scarf, those receiving the scarf considered their gift giver to be signficantly more generous than those receiving the coat (M = 5.63 and 5.00,"/><s v="&quot;Although the $55 coat is certainly more expensive than the $45 scarf, those receiving the scarf considered their gift giver to be significantly more generous than those receiving the coat (M = 5.63 and 5.00, respectively, t = 3:13; p &lt; 0:01) &quot;,&quot; If gift "/><s v="No significant differences were found between front versus back vowels in brand names for conveying size, ,&quot; illustrates how sound symbolism can help create global brand names that convey consistent meaning across languages.&quot;"/><s v="products with brand names containing front vowels, as opposed to back vowels, are perceived as lighter (relative to darker),&quot; illustrates how sound symbolism can help create global brand names that convey consistent meaning across languages.&quot;"/><s v="No significant differences were found between front versus back vowels in brand names for [...], mildness,,&quot; illustrates how sound symbolism can help create global brand names that convey consistent meaning across languages.&quot;"/><s v="products with brand names containing front vowels, as opposed to back vowels, are perceived as  [...] thinner ,&quot; illustrates how sound symbolism can help create global brand names that convey consistent meaning across languages.&quot;"/><s v="products with brand names containing front vowels, as opposed to back vowels, are perceived as lighter [...] softer ,&quot; illustrates how sound symbolism can help create global brand names that convey consistent meaning across languages.&quot;"/><s v="products with brand names containing front vowels, as opposed to back vowels, are perceived as [...] faster, ,&quot; illustrates how sound symbolism can help create global brand names that convey consistent meaning across languages.&quot;"/><s v="products with brand names containing front vowels, as opposed to back vowels, are perceived as l[...] colder,  ,&quot; illustrates how sound symbolism can help create global brand names that convey consistent meaning across languages.&quot;"/><s v="products with brand names containing front vowels, as opposed to back vowels, are perceived as [...] more bitter ,&quot; illustrates how sound symbolism can help create global brand names that convey consistent meaning across languages.&quot;"/><s v="No significant differences were found between front versus back vowels in brand names for [...]masculinity ,&quot; illustrates how sound symbolism can help create global brand names that convey consistent meaning across languages.&quot;"/><s v="No significant differences were found between front versus back vowels in brand names for [...] friendliness, &quot; illustrates how sound symbolism can help create global brand names that convey consistent meaning across languages.&quot;"/><s v="No significant differences were found between front versus back vowels in brand names for [...] strength ,&quot; illustrates how sound symbolism can help create global brand names that convey consistent meaning across languages.&quot;"/><s v="products with brand names containing front vowels, as opposed to back vowels, are perceived as [...] lighter (relative to heavier)&quot; illustrates how sound symbolism can help create global brand names that convey consistent meaning across languages.&quot;"/><s v="products with brand names containing front vowels, as opposed to back vowels, are [...] prettier ,&quot; illustrates how sound symbolism can help create global brand names that convey consistent meaning across languages.&quot;"/><s v="The results suggest that products with brand names containing front vowels, as opposed to back vowels, are perceived more feminine/less masculine"/><s v="study participants thought that the package that displayed more product units contained more quantity than the package that displayed fewer product units. An ANOVA with number of cookies on the package as a between-subjects factor revealed a significant m"/><s v="Additionally, study participants thought there were more cookies in a serving from the package that displayed seven cookies compared to the package that displayed four cookies"/><s v="study participants thought there were more cookies in a serving from the package that displayed seven cookies compared to the package that displayed four cookies (M7= 6.60 vs. M4= 4.41; F(1, 35) = 4.83, p &lt; .05) ,&quot; provides initial evidence that the numbe"/><s v="An ANOVA was performed using consumption resources, fairness, and their interaction as independent variables and brand attitude as the dependent variable.  The effect of consumption resources was significant"/><s v="An ANOVA was performed using consumption resources, fairness, and their interaction as independent variables and brand attitude as the dependent variable. The effect of consumption resources was significant, which was qualified by its interaction with fai"/><s v="An ANOVA was performed using consumption resources, fairness, and their interaction as independent variables and brand attitude as the dependent variable. [...] the effect of fairness was NS (F(1, 245) =1.67, p &gt; .15, n2 = .006)."/><s v="When fairness was salient, unearned resources led to lower brand attitude compared to earned or unspecified resources [...]"/><s v="When fairness was salient, unearned resources led to lower brand attitude compared to earned or unspecified resources, but this effect did not occur when fairness was not salient"/><s v="In addition, prestige perceptions affected brand attitude"/><s v="The indirect effect of consumption resources on brand attitude via prestige perceptions was significant for participants whose fairness was salient"/><s v="but there was no support for an indirect effect when fairness was not salient"/><s v="the index of moderated mediation was significant, suggesting that a unit change in fairness values significantly changed the magnitude of the indirect effect"/><s v="participants who had written about their financial constraints reported thinking about their financial constraints more (Mfinancial = 5.61, SD = 1.62) than did participants in the control condition(Mcontrol= 4.19, SD = 2.09; F(1, 375) = 53.91, p &lt; .001)."/><s v="participants in the financial constraint condition reported feeling more financially constrained than those in the control condition"/><s v="A repeated-measures ANOVA with pair as a within-subjects factor and financial constraints as a between-subjects factor revealed a significant effect of financial constraints. As predicted, participants who were asked to consider their financial constraint"/><s v="This effect again did not differ across pairs (F(4, 1500) =1.24, NS)."/><s v="A main effect of procedure emerged, such that the desired wage rate was higher in the TEL (vs.MEL) condition"/><s v="Additionally, a main effect of timing emerged, such that the wage rate was lower in the distant (vs. near) future"/><s v="More importantly, as predicted, there was a significant two-way interaction between procedure and timing"/><s v="An analysis of variance testing for the effect of the scarcity manipulation on allocation behavior revealed that, after being exposed to reminders of resource scarcity, participants allocated less money to the other player (M = $2.86; SD = 1.25) than part"/><s v="Most importantly, there was a significant interaction between the scarcity manipulation and SVO on the allocation measure, as predicted."/><s v="The results showed a significant main effect of scarcity on the amount of money allocated to the other player"/><s v="Moreover, the results showed a significant effect of SVO on the amount of money allocated to the other player, which suggests that the more participants exhibited a prosocial orientation, the more money they allocated to the other player."/><s v="Overall, 35 of the 133 participants (i.e., 26.3%) correctly solved the problem. A chi-square test revealed a significant main effect of resource availability on the correctness of the solutions"/><s v="The results showed that a higher percentage of participants in the scarcity condition (M = 44.2%) correctly solved the candle problem as compared to those in the abundance condition"/><s v="The results showed that a higher percentage of participants in the scarcity condition (M = 44.2%) correctly solved the candle problem as compared to those in the control condition"/><s v="No difference was observed between the abundance and control conditions"/><s v="The manipulation check was successful. Participants perceived the iPhone promotional package quantity to be more scarce in the scarcity versus the control ad (1 = Very scarce to 7 = Very abundant;"/><s v="The manipulation check was successful. Participants perceived the iPhone promotional package quantity to be more scarce in the scarcity versus the control ad. No main effect (p &gt; .75)"/><s v="The manipulation check was successful. Participants perceived the iPhone promotional package quantity to be more scarce in the scarcity versus the control ad. No interactions with perceived threat emerged (p &gt; .13)."/><s v="The ANOVA revealed a main effect of perceived threat (higher threat led to more violent game choices;"/><s v="The ANOVA revealed .... no effect of scarcity promotion (p &gt; .20)."/><s v="However, the main effect was qualified by the expected interaction."/><s v="However, the main effect was qualified by the expected interaction. As predicted, participants in the scarcity-high threat condition expressed a significantly higher preference for violent games than participants in the control-high threat condition (PSca"/><s v="As predicted, the interaction between vowel sound and product category was significant (F(1, 367)=63.87, p &lt; 001)."/><s v="the interaction between vowel sound and product category was significant (F(1, 367)=63.87, p &lt;.001) ,&quot; Thus, the predicted crossover interaction was observed.&quot;"/><s v="front vowel sound words were preferred over back vowel sound words for convertible and knife"/><s v="front vowel sound words were preferred over back vowel sound words for convertible and knife (58% to 42%; t(188)=5.33, p &lt;.001, one-tailed). ,&quot; Thus, the predicted crossover interaction was observed.&quot;"/><s v="In contrast, for 4×4 vehicle and hammer, the predicted opposite pattern was observed: Back vowel sound words were preferred over front vowel sound words."/><s v="for 4×4 vehicle and hammer, the predicted opposite pattern was observed: Back vowel sound words were preferred over front vowel sound words (59% to 41%; t(185)=5.37, p &lt;.001, one-tailed) ,&quot; Thus, the predicted crossover interaction was observed.&quot;"/><s v="An ANOVA with color saturation as the independent variable and size estimate as the dependent variable revealed that the laptop with high (vs. low) saturation was perceived to be larger"/><s v="Attention. A similar ANOVA on the attention scale revealed that the laptop with high (vs. low) saturation captured more attention"/><s v="Arousal. A similar ANOVA on arousal revealed that the laptop with high (vs. low) saturation stimulated higher arousal"/><s v="&quot;An ANOVA with color saturation as the independent variable and size estimate as the dependent variable revealed that the laptop with high (vs. low) saturation was perceived to be larger (Mhigh = 15.28, SD = 1.26 vs. Mlow = 14.41, SD = 1.59, F(1, 75) = 7."/><s v="&quot;A similar ANOVA on the attention scale revealed that the laptop with high (vs. low) saturation captured more attention (Mhigh = 5.19, SD = 1.08 vs. Mlow = 4.66, SD = .98, F(1, 75) = 4.95, p &lt; .05, ηp2 = .06). This result supports hypothesis 2&quot;; &quot;They als"/><s v="&quot;A similar ANOVA on arousal revealed that the laptop with high (vs. low) saturation stimulated higher arousal (Mhigh = 6.05, SD = 1.34 vs. Mlow = 5.14, SD = 1.62, F(1, 75) = 7.35, p &lt; .01, ηp2 = .09)&quot; ,&quot; the results from Study 3 illustrated the role of ar"/><s v="Consistent with our hypothesis and the findings of study 1a, preference for the healthy item (broccoli salad) was relatively higher when it was on the left (vs. right) of the unhealthy item (41.30% vs. 19.14%; χ 2 = 5.42, p &lt; .05)."/><s v="preference for the healthy item (broccoli salad) was relatively higher when it was on the left (vs. right) of the unhealthy item (41.30% vs. 19.14%; X2 = 5.42, p &lt; .05). This replicates the finding of study 1a using a display pattern that featured only tw"/><s v="&quot;the main effect of brand name was significant (F(1, 117) = 9.51, p &lt; .01)&quot; ,&quot; The results of this study provide evidence that sound symbolism influences attribute perceptions&quot;"/><s v="&quot;ANCOVA revealed a significant two-way interaction (F(1, 121) = 4.34, p &lt; .05), accompanied by a significant main effect of brand name ((F(1, 121) = 10.07, p &lt; .01)&quot;, &quot; The results of this study provide evidence that sound symbolism influences attribute p"/><s v="&quot;We conducted a 2 x 2 x 2 ANCOVA on the Attribute Perception Index that revealed the predicted three-way interaction (F(1, 117) = 3.84, p &lt; .05)&quot;, &quot; The results of this study provide evidence that sound symbolism influences attribute perceptions&quot;"/><s v="&quot;the main effect of brand name was significant (F(1, 118) = 9.39, p &lt; .01); no other effect was significant&quot;, ,&quot; The results of this study provide evidence that sound symbolism influences attribute perceptions&quot;"/><s v="&quot;a significant interaction (F(1, 121) = 7.77, p &lt; .01), accompanied by a significant main effect of brand name ((F(1, 121) = 10.83, p &lt; .01)&quot;, &quot; The results of this study provide evidence that sound symbolism influences attribute perceptions&quot;"/><s v="&quot;A 2 x 2 x 2 ANCOVA on the Brand Evaluation Index revealed the predicted three-way interaction (F(1, 118) = 4.78, p &lt; .05)&quot;, &quot; The results of this study provide evidence that sound symbolism influences attribute perceptions&quot;"/><s v="An ANOVA with orientation as the independent variable and our purchase intentions scale as the dependent variable revealed significantly higher purchase intentions in the match versus mismatch conditions (Mmatch p 4.79, Mmismatch p 3.44; F(1, 76) p 14.47,"/><s v="Finally, we examined the impact of orientation on the amount and ease of mental simulation. Although directionally the mismatch condition led to greater ease of mental simulation, these differences were only marginally significant ("/><s v="&quot;An ANOVA with orientation as the independent variable and our purchase intentions scale as the dependent variable revealed significantly higher purchase intentions in the match versus mismatch conditions (Mmatch = 4.79, Mmismatch = 3.44; F(1, 76) = 14.47"/><s v="&quot;we examined the impact of orientation on the amount and ease of mental simulation. Although directionally the mismatch condition led to greater ease of mental simulation, these differences were only marginally significant (Mmatch = 6.26, Mmismatch = 5.53"/><s v="A 2 3 mixed-measures analysis of variance (ANOVA), with comfortableness and durability treated as a repeated factor, revealed only a significant logo- shape-by-product-attribute interaction (F(2, 106)=7.63, p &lt; .01; see Figure 1)."/><s v="Contrasts revealed that participants rated the shoe as more comfortable in the circular-logo condition (Mcir= 6.50, standard deviation [SD]= 1.66) than in either the angular- (Mang=5.35, SD=1.65; F(1, 106)=8.17, p &lt; .01; n2 p = .113)"/><s v="Participants rated the shoe as more durable in the angular-logo condition (Mang= 6.27, SD= 1.28) than in either the circular- (Mcir= 5.39, SD= 1.65; F(1, 106) = 4.36, p &lt; .05; n2p = .085)"/><s v="The effect of logo shape on overall attitude was not significant ("/><s v="A 2 x 3 mixed-measures analysis of variance (ANOVA), with comfortableness and durability treated as a repeated factor, revealed only a significant logo-shape-by-product-attribute interaction (F(2, 106) = 7.63, p &lt; .01) ,&quot; A circular logo enhanced percepti"/><s v="Contrasts revealed that participants rated the shoe as more comfortable in the circular-logo condition (Mcir = 6.50, standard deviation [SD] = 1.66) than in either the angular- (Mang = 5.35, SD = 1.65; F(1, 106) = 8.17, p &lt; .01; n2p = .113) ,&quot; Supporting "/><s v="Participants rated the shoe as more durable in the angular-logo condition (Mang = 6.27, SD = 1.28) than in either the circular- (Mcir = 5.39, SD = 1.65; F(1, 106) = 4.36, p &lt; .05; n2p = .085) ,&quot; Supporting hypothesis 1 &quot;,&quot; the angular logo led to more fav"/><s v="A 2 (position: left vs. right) # 3 (desirable attribute: antique vs. modern vs. control) ANOVA ... reveal an interaction between position and desirable attribute on product attitude"/><s v="participants in the antique conditions were more favorable to the product when the ad displayed the product image on the left than on the right"/><s v="participants right in the modern conditions were more favorable to the product when the ad displayed the product image on the right than on the left"/><s v="A 2 (position: left vs. right) x 3 (desirable attribute: antique vs. modern vs. control) ANOVA indicated no main effects (F values  &lt; 1)"/><s v="&quot;A 2 (position: left vs. right) x 3 (desirable attribute: antique vs. modern vs. control) ANOVA indicated no main effects (F values &lt;1) but did reveal an interaction between position and desirable attribute on product attitude (F(2, 173) = 6.62, p &lt; .01)&quot;"/><s v="&quot;participants in the antique conditions were more favorable to the product when the ad displayed the product image on the left than on the right (vs. Mleft vs. Mright = 5.69; t(173) = 2.28, p &lt; .05)&quot;, &quot; when participants were primed to desire an antique, "/><s v="&quot;participants in the modern conditions were more favorable to the product when the ad displayed the product image on the right than on the left (Mleft vs. Mright = 7.12; t(173) = -2.80, p &lt; .01)&quot;, &quot; We found that when participants were primed to desire a "/><s v="As we anticipated, there was a significant impact of logo dynamism on attitudes toward the brand (Mlower dynamism = 4.75, Mhigher dynamism = 5.58; F(1, 72) = 5.26, p &lt; .05), with higher logo dynamism leading to more favorable attitudes than the lower dyna"/><s v="the two logos differ in level of perceived movement (Mlower dynamism = 4.18, Mhigher dynamism = 5.47; F(1, 72) = 12.61, p &lt; .01), with higher logo dynamism leading to more perceived movement than lower logo dynamism."/><s v="&quot;there was a significant impact of logo dynamism on attitudes toward the brand (Mlower dynamism = 4.75, Mhigher dynamism = 5.58; F(1, 72) = 5.26, p &lt; .05), with higher logo dynamism leading to more favorable attitudes than the lower dynamism logo&quot;, &quot; show"/><s v="&quot;the two logos differ in level of perceived movement (Mlower dynamism = 4.18, Mhigher dynamism = 5.47; F(1, 72) = 12.61, p &lt; .01), with higher logo dynamism leading to more perceived movement than lower logo dynamism.&quot;,&quot; showing the consequential impact o"/><s v="&quot;Moreover, there were interactions of […] task and relation, F1(1, 13) = 7.11, MSE = 1,234, p = .02&quot;, &quot;latencies of picture naming […] were longer in the semantically related than unrelated condition&quot;"/><s v="There were interactions of task and type, [...] task and relation, F1(1, 13) = 7.11, MSE = 1,234, p = .02 [...]"/><s v="&quot;performance was enhanced in pairs with large compared with small intrapair numerical difference in both RT [reaction time], F(1, 28) 26.69, MSE 5,845, p .001, [...] a revealing a CDE&#xA; consistent with the one found in Experiment 1.&quot;"/><s v="Performance was enhanced in pairs with large compared with small intrapair numerical difference in [...] RT, F(1, 28) = 26.69, MSE = 5,845, p &lt; .001"/><s v="&quot;As expected, the percentage of concrete- preferring participants was higher when Los Angeles had been primed earlier in the study (53%) than when Los Angeles had not been primed (41%), X2(1, N = 236) = 3.83, p = .05, prep = .92, phi = .13.&quot;"/><s v="The percentage of concrete-preferring participants was higher when Los Angeles had been primed earlier in the study (53%) than when Los Angeles had not been primed (41%), X2(1,N=236) = 3.83, p = .05, p-rep = .92, V = .13"/><s v="&quot;A 2 (condition) x 3 (target type) mixed analysis of variance on percentage correct showed a main effect of condition, F(1, 34) = 5.8, p &lt; .05, prep &gt; .90, d = 0.82, but no effect of target type and no interaction. Children who heard directional terms cho"/><s v="A 2 (condition) × 3 (target type) mixed analysis of variance on percentage correct showed a main effect of condition, F(1,34) = 5.8, p &lt; .05, p-rep &gt; .90, d = 0.82, but no effect of target type and no interaction"/><s v="&quot;As hypothesized, primed participants learned more than participants in the control group, t(84) = 2.09, prep = .92, d = 0.45 (see Table 2).&quot;, &quot;Goal priming led to improved implicit learning without a concomitant increase in participants’ explicit motivat"/><s v="As hypothesized, primed participants learned more than participants in the control group, t(84) = 2.09, p-rep = .92, d = 0.45 (see Table 2)"/><s v="&quot;As predicted, words with many near neighbors were categorized more slowly than words with few near neighbors (24 ms), F1(1, 21) = 17.3, p &lt; .001, partial η2 = 0.45&quot;, &quot;Our results suggest that previous findings of facilitative SND effects were primarily d"/><s v="As predicted, words with many near neighbors were categorized more slowly than words with few near neighbors (24 ms), F1​(1,21) = 17.3, p &lt; .001, partial η2 = 0.45; F2(1,95) = 4.6, p &lt; .05, partial η2 = 0.05, and words with many distant neighbors were cat"/><s v="&quot;Compared with women (ln(a) 5 2.30), men (ln(a) 5 1.61) were significantly less sensitive to the dis- tinction between friendliness and sexual interest, F(1, 278) = 123.38, p &lt; .001, ηp2 = .326.&quot;"/><s v="Compared with women (ln(a) = 2.30), men (ln(a) = 1.61) were significantly less sensitive to the distinction between friendliness and sexual interest, F(1,278) = 123.38, p &lt; .001, partial η2​ = .326"/><s v="&quot;In Experiment 4a, there was a Motivation to Adjust X Scale Unit Width interaction, F(1, 55) = 6.88, prep = .947, w2 = .02.&quot;"/><s v="In Experiment 4b, there was also a Motivation to Adjust × Scale Unit Width interaction, F(1, 145) = 4.01, p-rep = .882, omega² = .02"/><s v="&quot;Sample entropy was higher for middle-truth-value questions than for low- and high-truth-value questions (see Fig. 1d), quadratic r = .70, F(1, 9) = 8.7, p &lt; .05, prep 5 .939.&quot;"/><s v="Sample entropy was higher for middle-truth-value questions than for low- and high-truth-value questions (see Fig. 1d), quadratic r = -.70, F(1,9) = 8.7, p &lt; .05, prep = .939"/><s v="&quot;Participants clearly prescribed optimism. Those asked to pro- vide prescriptions recommended predictions that were opti- mistic (M = 1.12), t(124) = 10.36, prep &gt; .99, d = 0.93.&quot;"/><s v="Those asked to provide prescriptions recommended predictions that were optimistic (M = 1.12), t(124) = 10.36, p-rep &gt; .99, d = 0.93"/><s v="&quot;Of most interest here, we found significant group differences, with older adults producing fewer internal details, F(1, 30) = 14.49, prep = .99, η2 = .326&quot;"/><s v="Of most interest here, we found significant group differences, with older adults producing fewer internal details, F(1,30) = 14.49, p-rep = .99, η2 = .326, but more external details, F(1,30) = 6.54, p-rep &gt; .94, η2 = .179, than young adults (see Fig. 1a)"/><s v="&quot;Only older children’s performance was consistently above chance level, t(31) = 3.23, p-rep = .97&quot;"/><s v="Only older children’s performance was consistently above chance level, t(31) = 3.23, p-rep = .97"/><s v="&quot;In the delayed condition, the error of the average was also smaller than the error of the first guess, t(172) = 3.94, p &lt; .01&quot;"/><s v="In the delayed condition, the error of the average was also smaller than the error of the first guess, t(172) = 3.94, p &lt; .01, and of the second guess, t(172) = 6.59, p &lt; .01"/><s v="&quot;All effects and interactions were significant at a p value of .0001; most important, the three-way interaction was highly significant, F(18, 660) = 16.31, p &lt; .00001&quot;"/><s v="All effects and interactions were significant at a p value of .0001; most important, the three-way interaction was highly significant, F(18, 660) = 16.31, p &lt; .00001"/><s v="&quot;We tested this prediction using a focused interaction contrast pitting the depletion-plus-placebo condi- tion against the combination of the other three conditions. This interaction was significant, F(1,111) = 5.311, p-rep = .92, partial η2 ​= .045&quot;"/><s v="This interaction was significant, F(1,111) = 5.311, p-rep = .92, partial η2 ​= .045"/><s v="&quot;Of particular importance for the purpose of the present study is the significant interaction between instruction type and sound condition, F(2, 92) = 3.13, p &lt; .05, d = 0.52.&quot;"/><s v="The purpose of the present study is the significant interaction between instruction type and sound condition, F(2, 92) = 3.13, p &lt; .05, d = 0.52"/><s v="&quot;The amplitude of the ERN predicted the degree to which errors potentiated the startle response (see Fig. 2; r = .38, p &lt; .05). Because the magnitude of the ERN is negative and startle potentiation following errors is positive, this negative correlation i"/><s v="The amplitude of the ERN predicted the degree to which errors potentiated the startle response (see Fig. 2; r = .38, p &lt; .05)"/><s v="&quot;However, a large cluster (k = 834) in right VLPFC was active in this comparison (x = 50, y = 44, z = 8), t(11) = 5.39, p-rep &gt; .99, d = 3.25, a finding consistent with the hypothesis that accepting unfair offers may involve emotion regulation&quot;"/><s v="However, a large cluster (k = 834) in right VLPFC was active in this comparison (x = 50, y = 44, z = 8), t(11) = 5.39, p-rep &gt; .99, d = 3.25, a finding consistent with the hypothesis that accepting unfair offers may involve emotion regulation"/><s v="&quot;As Figure 4b illustrates, localization error in the centroid condition was significantly lower for targets than for distractors,[..] but centroid localization was better than chance for both targets [...] and distractors, t(7) = 2.76, p = .028, r-square "/><s v="As Figure 4b illustrates, localization error in the centroid condition was significantly lower for targets than for distractors, t(7) = 3.17, p = .016, r-square = .59, but centroid localization was better than chance for both targets, t(7) = 8.32, p &lt; .00"/><s v="&quot;A 2 (system threat vs. no threat) × 2 (benevolent-stereotypic vs. non-benevolent-stereotypic) analysis of variance conducted on the mean ratings of romantic interest revealed a significant two-way interaction, F(1,34) = 55.89, p = .93, w-square = .02&quot;"/><s v="A 2 (system threat vs. no threat) × 2 (benevolent-stereotypic vs. non-benevolent-stereotypic) analysis of variance conducted on the mean ratings of romantic interest revealed a significant two-way interaction, F(1,34) = 55.89, p = .93, w-square = .02"/><s v="&quot;Subjects in the third experiment showed significant adapta- tion to inward and outward implied motion. The point of per- ceived null motion shifted by 0.17  0.04 units of normalized coherence, t(28) = 4.98, p = .000, prep = .99&quot;"/><s v="The point of perceived null motion shifted by 0.17 ± 0.04 units of normalized coherence, t(28) = 4.98, p &lt; .001, p-rep = .99, or 5.7 ± 1.0% of actual coherence, t(28) = 5.48, p &lt; .001, p-rep = .99"/><s v="&quot;The three-way interaction of group, presentation duration, and facial expression was reliable, F(1,26) = 4.17, p-rep = .92, d = 0.80&quot;"/><s v="The three-way interaction of group, presentation duration, and facial expression was reliable, F(1,26) = 4.17, p-rep = .92, d = 0.80"/><s v="&quot;There was a robust Group X Problem Type interaction, F(2,68) = 41.59, MSE = 4470.55, p &lt; .001&quot;"/><s v="There was a robust Group X Problem Type interaction, F(2,68) = 41.59, MSE = 4470.55, p &lt; .001"/><s v="&quot;We performed a 2 (headphones on vs. off) × 4 (discussant) analysis of variance on the total looking times to the discussants during the potentially offensive comments and found a significant interaction, F(3,69) = 5.15, p &lt; .005, p-rep = .997, partial η2"/><s v="&quot;Once again, survival processing produced a clear and significant recall advantage — this time against a contextually rich but non-survival-related control, F(1,23) = 5.70, MSE = 0.028, partial η2 ​= .20&quot;"/><s v="Once again, survival processing produced a clear and significant recall advantage — this time against a contextually rich but non-survival-related control, F(1,23) = 5.70, MSE = 0.028, partial η2 ​= .20"/><s v="&quot;Similarly, people who had what they wanted more than others did tended to be happier even after we controlled for the number of things they had and the extent to which they wanted what they had, pr = .21, p-rep = .92&quot;"/><s v="Similarly, people who had what they wanted more than others did tended to be happier even after we controlled for the number of things they had and the extent to which they wanted what they had, pr = .21, p-rep = .92"/><s v="&quot;There was no difference between the effectiveness of the induction on attitudes toward the original people (M = 0.07, SD = 0.42) and attitudes toward the new people (M = 0.08, SD = 0.45), t(562) = 0.11, p-rep = .18, d = -0.004, even though the new indivi"/><s v="There was no difference between the effectiveness of the induction on attitudes toward the original people (M = 0.07, SD = 0.42) and attitudes toward the new people (M = 0.08, SD = 0.45), t(562) = 0.11, p-rep = .18, d = -0.004, even though the new individ"/><s v="&quot;Analysis of the main dependent measure, degree of cheating, revealed that, as predicted, participants cheated more frequently after reading the anti-free-will essay (M = 14.00, SD = 4.17) than after reading the control essay (M = 9.67, SD = 5.58), t(28) "/><s v="Analysis of the main dependent measure, degree of cheating, revealed that, as predicted, participants cheated more frequently after reading the anti-free-will essay (M = 14.00, SD = 4.17) than after reading the control essay (M = 9.67, SD = 5.58), t(28) ="/><s v="&quot;In Experiment 5 (see Fig. 2d), ISI again had a significant main effect, F(3,9) = 8.5, p = .005, p-rep = .97, η2 = .74&quot;"/><s v="In Experiment 5 (see Fig. 2d), ISI again had a significant main effect, F(3,9) = 8.5, p = .005, p-rep = .97, η2 = .74"/><s v="&quot;An ANOVA revealed that the three spatial-prime groups differed significantly in the reported strength of their bonds to their family and hometown, F(2,81) = 4.97, p-rep = .95, η2 = .11&quot;"/><s v="An ANOVA revealed that the three spatial-prime groups differed significantly in the reported strength of their bonds to their family and hometown, F(2,81) = 4.97, p-rep = .95, η2 = .11"/><s v="&quot;As expected, we found a significant Game Type × Emotion interaction, F(2,162) = 192.89, p &lt; .001 (see Fig. 1). Preferences for anger-inducing activities were higher than preferences for exciting and neutral activities when participants anticipated playin"/><s v="As expected, we found a significant Game Type × Emotion interaction, F(2,162) = 192.89, p &lt; .001 (see Fig. 1)."/><s v="&quot;A 3 (condition: disconnected, fear, control) × 3 (measure: supernatural agents, social-connection traits, faces identified) mixed-model ANOVA using these standardized measures yielded only the predicted interaction presented in the results already discus"/><s v="A 3 (condition: disconnected, fear, control) × 3 (measure: supernatural agents, social-connection traits, faces identified) mixed-model ANOVA using these standardized measures yielded only the predicted interaction presented in the results already discuss"/><s v="&quot;In the no-communication condition, participants contributed an average of 47% of their en- dowment to pool W and less than 6% to pool B. The contribution rate to pool B in the IPD-MD game was significantly lower than the contribution rate to pool B (the "/><s v="The contribution rate to pool B in the IPD-MD game was significantly lower than the contribution rate to pool B (the only pool) in the IPD game, F(1,76) = 109.74, p = .001"/><s v="&quot;The RT analysis revealed an effect of congruency, t1​(14) = 3.20, p &lt; .007, p-rep = .960, d = 1.71&quot;"/><s v="The RT analysis revealed an effect of congruency, t1​(14) = 3.20, p &lt; .007, p-rep = .960, d = 1.71"/><s v="&quot;More interestingly, man’s availability and participant’s conception risk did not have significant main effects (both Fs&lt;1), but were involved in a significant triple interaction with participant’s partnership status, F(1,194) = 7.16, p = .008, p-rep = .9"/><s v="More interestingly, man’s availability and participant’s conception risk did not have significant main effects (both Fs&lt;1), but were involved in a significant triple interaction with participant’s partnership status, F(1,194) = 7.16, p = .008, p-rep = .96"/><s v="&quot;low contingency trials (31.4%) generated more errors than medium contingency trials, t(94) = 1.929, SEdiff = 0.7, p = .028 (one-tailed), partial eta-squared = .038&quot;"/><s v="Planned comparisons revealed that [...] low contingency trials (31.4%) [...] generated more errors than medium contingency trials, t(94) = 1.929, SEdiff = 0.7, p = .028 (one-tailed), partial eta-squared = .038"/><s v="&quot;These two factors interacted, F(1, 13) = 14.2, prep &gt; .99. The effect of visual field was enhanced for objects depicted in a prototypical orientation, though visual field was significant for both views.&quot;"/><s v="These two factors interacted, F(1,13) = 14.2, p-rep &gt; .99: The effect of visual field was enhanced for objects depicted in a prototypical orientation, though visual field was significant for both views"/><s v="&quot;We computed the mean composite of all six moral vignettes and predicted that participants who washed their hands following the disgusting film clip would make less severe judgments than would participants who did not wash their hands. Indeed, a one-way A"/><s v="We computed the mean composite of all six moral vignettes and predicted that participants who washed their hands following the disgusting film clip would make less severe judgments than would participants who did not wash their hands. Indeed, a one-way AN"/><s v="&quot;The quarter-cylinder EE regions (EE1) were also seen as closer than the rotated convex versions on 85% of the trials with half-cylinder non-EE regions (Convex2) and 90% of the trials with quarter-cylinder non-EE regions (Convex1), ts(7) = 4.45 and 6.13, "/><s v="The quarter-cylinder EE regions (EE1) were also seen as closer than the rotated convex versions on 85% of the trials with half-cylinder non-EE regions (Convex2) and 90% of the trials with quarter-cylinder non-EE regions (Convex1), ts(7) = 4.45 and 6.13, p"/><s v="&quot;The analyses revealed that the aggregate self-report data from the NEO-PI-R correlated negatively with all the validity criteria for both sets of countries (average r = .43).&quot;"/><s v="&quot;Both correlations were significant, r = .28, p &lt; .05, for the random-location task and r = .31, p &lt; .05, for the predictable-location task.&quot;"/><s v="Both correlations were significant, r = -.28, p &lt; .05, for the random-location task and r = -.31, p &lt; .05, for the predictable-location task."/><s v="&quot;Moreover, the interaction of these two variables was reliable, F(1, 38) = 6.21, prep = .927, etasq= .14, reflecting the fact that the detrimental effect of incompatibility on the detection of PM cues was markedly larger for PM cues referring to the task-"/><s v="&quot;The ANOVA revealed significant main effects of target stimulus, F(1, 44) = 13.42, p &lt; .01, prep = .96, and age, F(1, 44) = 29.05, p &lt; .01, prep = 1.0, as well as an age-by-target interaction, F(1, 44) = 5.12, p &lt; .05, prep = .91.&quot;"/><s v="The ANOVA revealed significant main effects of target stimulus, F(1,44) = 13.42, p &lt; .01, p-rep = .96, and age, [...] as well as an age-by-target interaction"/><s v="&quot;In contrast, they were more likely to underestimate the number of bird pictures relative to flower pictures when they expected payment for bird pictures (21 of 32 participants, 66%) than when they expected payment for flower pictures (12 of 31 participan"/><s v="They were more likely to underestimate the number of bird pictures relative to flower pictures when they expected payment for bird pictures (21 of 32 participants, 66%) than when they expected payment for flower pictures (12 of 31 participants, 39%), χ²(1"/><s v="&quot;In the error-rate data, this effect was also significant, F1(1, 17) = 9.33, prep = .97, and F2(1, 58) = 18.96, prep = 1.00, and robust (4.83%, η² = .35).&quot;"/><s v="In the error-rate data, this effect was also significant, F1​(1,17) = 9.33, p-rep= .97 [...]"/><s v="&quot;The tendency to underestimate positive and to overestimate negative observations increased from domain T to C, F(1, 38) = 9.73, p &lt; .01, and from P3 to P2 to P1, F(2, 76) = 8.67, p &lt; .001; and the inaccuracy difference between providers was more apparent"/><s v="The tendency to underestimate positive and to overestimate negative observations increased from domain T to C, F(1,38) = 9.73, p &lt; .01, and from P3 to P2 to P1, F(2,76) = 8.67, p &lt; .001"/><s v="&quot;Accuracies on new probes were significantly lower for long lists, F(1, 31) = 14.2, p &lt; .001, η²p = .31.&quot;"/><s v="Accuracies on new probes were significantly lower for long lists, F(1, 31) = 14.2, p &lt; .001, partial eta-square = 0.31"/><s v="&quot;Further analysis of the Condition × Lexicality interaction revealed that the RB effect was significant for words, F1(1, 23) = 40.54, F2(1, 46) = 33.41, both ps &lt; .001; and nonwords, F1(1, 23) = 13.71, F2(1, 46) = 9.69, both ps &lt; .005. As in Experiment 5,"/><s v="Further analysis of the Condition X Lexicality interaction revealed that the RB effect was significant for words, F1(1,23) = 40.54, F2(1, 46) = 33.41, both ps &lt; .001; and nonwords [...]"/><s v="&quot;In addition, the interaction was significant, F(1, 94) = 4.97, p &lt; .05, MSE = .029, η² = .05, showing that there was significant directed forgetting of spaced items, t(94) = 3.95, p &lt; .001, but not of massed items (t = 1; see Figure 3). The lack of forge"/><s v="In addition, the interaction was significant, F(1, 94) = 4.97, p &lt; .05, MSE = .029, eta-square = .05, showing that there was significant directed forgetting of spaced items, t(94) = 3.95, p &lt; .001, but not of massed items (t = 1; see Figure 3)"/><s v="&quot;An ANOVA of conditional T2 report revealed a significant effect of lag, F(3, 93) = 38.76, p &lt; .001, MSE = 0.009, that was involved in a two-way interaction with group, F(3, 93) = 5.23, p = .002, MSE = 0.009.&quot;"/><s v="An ANOVA of conditional T2 report revealed a significant effect of lag, F(3, 93) = 38.76, p = .001, MSE = 0.009, that was involved in a two-way interaction with group, F(3, 93) = 5.23, p = .002, MSE = 0.009."/><s v="&quot;More important, there was a highly significant Priming Words × Digit Target interaction that was consistent with our semantic alignment hypothesis, F(1, 152) = 23.176, MSE = 6,101, p &lt; .001.&quot;"/><s v="More important, there was a highly significant Priming Words × Digit Target interaction that was consistent with our semantic alignment hypothesis, F(1, 152) = 23.176, MSE = 6.101, p &lt; .001"/><s v="&quot;For the experimental data, a significant effect of prior occurrences was observed for both correct responses, F(3, 32) = 5.47, p &lt; .01, d = 1.43 (mean slope = 0.09), and errors, F(3, 48) = 9.14, p &lt; .001, d = 1.51 (mean slope = 0.08).&quot;"/><s v="A significant effect of prior occurrences was observed for both correct responses, [...] and errors, F(3, 48) = 9.14, p &lt; .001, d = 1.51 (mean slope = 0.08)"/><s v="&quot;There was no switch cost (F1 = 1, 2 = .001; F2 = 1, 2 = .001), nor was there an interaction between stimulus type and switch condition, F1(1, 15) = 1.2, p = .15, MSE = 23.7, η² = .077; F2(1, 94) = 2.5, p = .10, MSE = 45.9, η² = .026.&quot;"/><s v="More errors were made to nonwords than to words, F1(1, 15) = 16.9, p &lt; .001, MSE = 49.1, eta-square = .529; F2(1, 94) = 11.5, p &lt; .001, MSE = 200, eta-square = .111. There was no switch cost (F1 &lt; 1, eta-square &lt; .001; F2 &lt; 1, eta-square &lt; .001), nor was "/><s v="&quot;The stimulus quality × word frequency interaction was again significant, F(1, 31) = 5.17, p = .030, MSE = 2,641.78, η² = .14, with larger frequency effects for the degraded words.&quot;"/><s v="&quot;In the delayed naming condition, the RT analysis revealed a main effect of semantic relatedness, F1(1, 31) = 4.1, MSE = 1,504.6, p = .06; F2(1, 38) = 4.4, MSE = 1,137.2, p = .05, indicating slower RTs in the semantically related than the unrelated condit"/><s v="The RT analysis revealed a main effect of semantic relatedness, F1(1, 31) = 4.1, MSE = 1,504.6, p = .06; F2 (1, 38) = 4.4, MSE = 1,137.2, p = .05, indicating slower RTs in the semantically related than the unrelated condition"/><s v="&quot;As depicted in Figure 3d, observers expressed robust VSL for the two color triplets despite the removal of shape at test (72%), t(7) = 2.892, p = .023, d = 1.023, thus providing further evidence that VSL can operate in a feature-based manner if the covar"/><s v="As depicted in Figure 3d, observers expressed robust VSL for the two color triplets despite the removal of shape at test (72%), t(7) = 2.892, p = .023, d = 1.023, thus providing further evidence that VSL can operate in a feature-based manner if the covari"/><s v="&quot;As we expected, the average recall score was larger in low-switch lists with normal digits (53.84 out of 72) than in high-switch lists with normal digits (49.24), F(1, 24) = 5.77, p = .05, and than in low-switch lists with degraded digits (49.22), F(1, 2"/><s v="As we expected, the average recall score was larger in low-switch lists with normal digits (53.84 out of 72) than in high-switch lists with normal digits (49.24), F(1, 24) = 5.77, p &lt; .05, and than in low-switch lists with degraded digits (49.22), F(1, 24"/><s v="&quot;Judgments of B were analyzed in the same way. There was a significant effect of A, F(1, 36) = 22.88, MSE = 439.82, p &lt; .001, with a higher mean at A = 2 (54.12) than at A = 6 (40.66). This is a cause prevalence effect, supporting Prediction 1.&quot;"/><s v="Judgments of B were analyzed in the same way. There was a significant effect of A+, F(1,36) = 22.88, MSE = 439.82, p &lt; .001, with a higher mean at A+ = 2 (54.12) than at A+ = 6 (40.66)"/><s v="&quot;Paired samples t-tests comparing grouping deviations in the ungrouped and grouped conditions revealed significantly larger (more positive) differences for both the order task, t(39) = 3.64, p &lt; .001, Cohen’s d = 0.58, and the timing task, t(39) = 3.77, p"/><s v="Paired samples t tests comparing grouping deviations in the ungrouped and grouped conditions revealed larger (more positive) differences under grouping conditions for both the order task, t(39) = 5.52, p &lt; .001, d = 0.87, and the timing task, t(39) = 2.82"/><s v="&quot;The number of correct responses differed only as a function of the type of dependency, F(1, 20) = 20.79, p &lt; .01, MSE = 2.31, η² = .51, with better performance on items with nonadjacent dependencies (M = 74.48, SE = 2.86) than on items with adjacent depe"/><s v="&quot;The number of correct responses differed only as a function of the type of dependency, F(1, 20) = 20.79, p &lt; .01, MSE = 2.31, partial eta-square = .51, with better performance on items with nonadjacent&#xA;dependencies (M = 74.48, SE = 2.86) than on items wi"/><s v="&quot;When comparing the cue effect between Set Size 1 and Set Size 2, a significant interaction was found, F(1, 11) = 4.80, p &lt; .05, with an observed power of 0.61.&quot;"/><s v="When comparing the cue effect between Set Size 1 and Set Size 2, a significant interaction was found, F(1,11) = 4.80, p = .05, with an observed power of 0.61."/><s v="&quot;However, in support of the prediction that the learning process hinders the diagnosticity of the ART, the adjusted ART scores in the cloudy tournaments were not significantly correlated with the self-reported risky use of drugs. An a priori planned compa"/><s v="An a priori planned comparison showed that the correlations in the sunny conditions were significantly greater than in the cloudy, z = 3.10, p &lt; .05 (see Meng, Rosenthal, &amp; Rubin, 1992)"/><s v="&quot;More important, however, the effect of relearning was significantly larger for Rp– items than it was for Nrp items, F(1, 190) = 10.49, p &lt; .001, MSE = 0.15.&quot;"/><s v="More important, however, the effect of relearning was significantly larger for Rp– items than it was for Nrp– items, F(1, 190) = 10.49, p &lt; .001, MSE = 0.15. Whereas Nrp items were recalled at a rate of 0.36 (SE = 0.02) and 0.42 (SE = 0.02) before and aft"/><s v="&quot;Attraction (Table 1). The three groups differed significantly on an attraction composite of liking to work on a project, liking as a friend, and respect (α = .88). Replicating previous studies, nonaffirmed actors liked the rebel significantly less (M = 0"/><s v="Attraction (Table 1). The three groups differed significantly on an attraction composite of liking to work on a project, liking as a friend, and respect (α = .88). Replicating previous studies, nonaffirmed actors liked the rebel significantly less (M = −0"/><s v="&quot;Instead, the effect of social pressure to avoid prejudice depended on participants’ automatic biases, as shown by a significant Indirect Social Pressure interaction, β = .31, t(67) = 3.08, p &lt; .01.&quot;"/><s v="&quot;As expected, variance in acquiescence scores was substantially larger in younger age groups; for Levene’s test for equality of variance, F(21, 230025) = 118.15, p &lt; .001.&quot;"/><s v="As expected, variance in acquiescence scores was substantially larger in younger age groups; for Levene’s test for equality of variance, F(21,230025) = 118.15, p &lt; .001"/><s v="&quot;At high levels of attachment anxiety and low levels of attachment avoidance, MS participants allocated significantly more time to a parent than did their dental pain condition counterparts (b = –32.04, SE = 14.47, t = –2.22, p = .03).&quot;"/><s v="At high levels of attachment anxiety and low levels of attachment avoidance, MS participants allocated significantly more time to a parent than did their dental pain condition counterparts (β = −32.04, SE = 14.47, t = −2.22, p = .03)"/><s v="The number of correctly solved problems was submitted to an ANOVA with prime as the independent variable. The analysis revealed a main effect of prime on number of solved problems, F(1,34) = 5.68, p = .02, demonstrating that participants primed with actio"/><s v="&quot;A contrast comparing overall performance across the two types of test confirmed this observation, F(1, 31) = 8.38, MSE = 0.106.&quot;"/><s v="A contrast comparing overall performance across the two types of test confirmed this observation, F(1, 31) = 8.38, MSE = 0.106. There was no interaction between the training conditions (AX/BX and CX/DY) and the test trial type (same and different; F &lt; 1)"/><s v="&quot;This analysis revealed a significant two-way interaction between prime and task, F(2, 92) = 4.36, p = .02.&quot;"/><s v="This analysis revealed a significant two-way interaction between prime and task, F(2, 92) = 4.36, p = .02, and a significant effect of task"/><s v="&quot;Indeed, a repeated measures ANOVA with condition (coherent vs. incoherent) and story (1 vs. 2 vs. 3) produced a significant linear trend for the interaction of Condition × Story, F(1, 131) = 5.79, p = .02, η² = .04.&quot;"/><s v="&quot;The critical interaction was significant, F(1, 31) = 5.14, p = .03, providing more direct support for the hypothesis that these two groups of low-prejudice participants would differ in PD control on the weapons identification task but not on the flankers"/><s v="We conducted a more focused 2 (Group: high IMS/low EMS vs. high IMS/high EMS) X 2 (Task: weapons vs. flankers) ANOVA on PD-control estimates. The critical interaction was significant, F(1, 31) = 5.14, p = .03,"/><s v="&quot;To test the effects of mindset manipulation on attitudes, a 3 (mindset) between-participants 2 (predecision vs. postdecision) 2 (chosen vs. rejected alternative) within-participants ANOVA was performed. It produced the critical three-way interaction, F(2"/><s v="To test the effects of mindset manipulation on attitudes, a 3 (mindset) between-participants x 2 (predecision vs. postdecision)  x 2 (chosen vs. rejected alternative) within-participants ANOVA was performed. It produced the critical three-way interaction,"/><s v="&quot;Moreover, in the low-consequences conditions, participants offered fewer chips to an angry recipient than to a happy recipient, F(1, 99) = 16.62, p &lt; .0001.&quot;"/><s v="Moreover, in the low-consequences conditions, participants offered fewer chips to an angry recipient than to a happy recipient, F(1,99) = 16.62, p &lt; .0001"/><s v="&quot;A significant main effect for type of rating, F(1, 182) = 47.65, p &lt; .001, suggesting that, on average, participants viewed the confederate as expressing more happiness than was truly felt, was qualified by the Type of Rating × Condition interaction, F(1"/><s v="&quot;Suggesting projection of responsiveness, perceivers’ own responsiveness to targets was a significant predictor of perceived partner responsiveness while controlling for these accuracy effects (b = .68, p &lt; .001). The projection effect was notably stronge"/><s v="Suggesting projection of responsiveness, perceivers’ own responsiveness to targets was a significant predictor of perceived partner responsiveness while controlling for these accuracy effects (b = .68, p &lt; .001)"/><s v="&quot;Of primary interest for this experiment, RTs to misses were significantly faster than RTs to correct rejections, t(23) 3.55, p .002 (mean priming for items judged new 63 ms, SEM 18), replicating Stark and McClelland (2000).&quot;"/><s v="Of primary interest for this experiment, RTs to misses were significantly faster than RTs to correct rejections, t(23) = 3.55, p = .002 (mean priming for items judged new 63 ms, SEM = 18), replicating Stark and McClelland (2000)"/><s v="&quot;As hypothesized, making the ending of graduation day more salient caused participants in the limited-time condition to show higher mixed emotion scores than participants in the control condition, t(108) 2.34, p .05.&quot;"/><s v="&quot;As predicted, analysis revealed a significant difference between the control condition and the average of the two experimental conditions in terms of the magnitude of the PSD slopes, F(1, 68) 5.52, p .02 (see Table 2 and Figure 4).&quot;"/><s v="Analysis revealed a significant difference between the control condition and the average of the two experimental conditions in terms of the magnitude of the PSD slopes, F(1, 68) = 5.52, p &lt; .02"/><s v="&quot;Most important, these two main effects were qualified by the predicted interaction, F(2, 76) 21.57, p .0001, showing that processing style affected the impact of the prime.&quot;"/><s v="Most important, these two main effects were qualified by the predicted interaction, F(2, 76) = 21.57, p  &lt; .0001, showing that processing style affected the impact of the prime."/><s v="Table 3"/><s v="As Table 3 shows, results revealed a marginally significant interaction predicting TRIMs"/><s v="&quot;The main effects were qualified by the predicted interaction, however, F(1,116) 4.15, p &lt;.05.&quot;"/><s v="A 2 (behavior: had read vs. had not read) X 2 (load: yes vs. no) X ANOVA revealed main effects for reading, F(1, 116) = 22.88, p &lt; .001, and for load, F(1, 116) = 17.34, p &lt; .001"/><s v="&quot;On the basis of binomial tests, recognition rates for all six pride expressions (M 78%, range 70%–87%) were significantly greater than chance (p .05), with chance set at 33% (see Figure 6 for recognition rates by target).&quot;"/><s v="On the basis of binomial tests, recognition rates for all six pride expressions (M = 78%, range = 70%–87%) were significantly greater than chance (p &lt; .05), with chance set at 33% (see Figure 6 for recognition rates by target)"/><s v="&quot;Participants correctly recalled in order more short words (.48) than long words (.40), indicating that the word-length manipulation was successful, as confirmed by ANOVA, F(1, 99) 103.7, MSE 9.30, p .05.&quot;"/><s v="Participants correctly recalled in order more short words (.48) than long words (.40), indicating that the word-length manipulation was successful, as confirmed by ANOVA, F(1, 99) = 103.7, MSE = 9.30, p &lt; .05. The mean WLE was .16 (lower quartile = .060; "/><s v="&quot;Partitioning the sample somewhat differently, we found that the mean SAT score (1214, SD 96) of the group answering correctly was significantly higher than the mean SAT score (1163, SD 106) of those giving an incorrect answer, t(373) 4.40, p .001, Cohen’"/><s v="&quot;For both studies, the attitude measure was submitted to a 2 (value: important vs. unimportant) 2 (argument quality: strong vs. weak) ANOVA. The predicted Value Argument Quality interaction was significant for Study 5A, F(1, 257) 11.58, p .002, and Study "/><s v="The predicted Value X Argument Quality interaction was significant for Study 5A, F(1, 257) = 11.58, p = .002"/><s v="&quot;However, the Democratic-to-Republican sticker ratio was significantly lower than the Democratic-to-Republican registered voter ratio in San Diego County, χ²(1, N = 37) = 3.85, p = .05 (see Table 4). That is, there were disproportionately more descriptive"/><s v="However, the Democratic-to-Republican sticker ratio was significantly lower than the Democratic-to-Republican registered voter ratio in San Diego County, chi-squared(1, N = 37) = 3.85, p &lt; .05 (see Table 4)"/><s v="&quot;In support of the hypothesis, this ANOVA yielded the predicted Commitment Focus interaction, F(1, 242) =10.47, p &lt;.01&quot;"/><s v="In support of the hypothesis, this ANOVA yielded the predicted Commitment × Focus interaction, F(1,242) = 10.47, p &lt; .01"/><s v="&quot;There was also a three-way interaction, F(1, 37) = 17.03, MSE = .033, p &lt; .001, η² = .32, but no other significant effects (all Fs &lt; 1.13).&quot;"/><s v="There was also a three-way interaction, F(1, 37) = 17.03, MSE = .033, p &lt; .001, η² = .32, but no other significant effects (all Fs &lt; 1.13)"/><s v="&quot;As expected, the condition effect was significant, F(2, 43) = 3.36, p &lt; .05.&quot;"/><s v="Participants’ ambivalence score was entered into an ANOVA, with mind-set condition (implemental one-sided, implemental two-sided, and neutral) as a between-participant variable. As expected, the condition effect was significant, F(2, 43) = 3.36, p &lt; .05"/><s v="&quot;In line with our predictions, although the Message × Role interaction was nonsignificant in the before condition, F(1, 90) = .00, ns, η² = .00, it was significant in the after condition, F(1, 90) = 6.98, p &lt; .01, η² = .07.&quot;"/><s v="In line with our predictions, although the Message × Role interaction was nonsignificant in the before condition, F(1,90) = .00, ns, η2 = .00, it was significant in the after condition, F(1,90) = 6.98, p &lt; .01, η2 = .07"/><s v="&quot;Further, ratings of CEO leadership were also strongly related to company profits, r(41) = .30, p &lt; .05.&quot;"/><s v="Ratings of power-related traits from CEOs’ faces, after controlling for age, affect, and attractiveness, were significantly related to company profits, r(41) = .36, p &lt; .025."/><s v="&quot;Given no induction, the analysis revealed a significant interaction between the factors Information Quantity and Information Selection, χ²(1, N = 52) = 13.18, p &lt; .001, indicating that participants in the 2-information condition selected more inconsisten"/><s v="Given no induction, the analysis revealed a significant interaction between the factors Information Quantity and Information Selection, X2(1,N=52) = 13.18, p &lt; .001, indicating that participants in the 2-information condition selected more inconsistent (6"/><s v="&quot;A one-way ANOVA with the experimental condition (low depletion vs. high depletion vs. ego threat) as the independent variable and confirmatory information processing as the dependent variable revealed a significant overall effect, F(2, 82) = 4.05, p = .0"/><s v="&quot;However, as shown in Figure 4, this main effect was qualified by the predicted interaction, F(1, 51) = 9.46, p = .01, η² = .16.&quot;"/><s v="However, [...] this main effect was qualified by the predicted interaction, F(1, 51) = 9.46, p &lt; .01, eta-squared = .16"/><s v="&quot;Again, there were no significant sex differences in these overall associations; the difference between the male and female rs were again descriptively very small (r = -.04, p = .480, and r = .02, p = .825, for speed-dating partners/matches and write-ins,"/><s v="Again, there were no significant sex differences in these overall associations; the difference between the male and female rs were again descriptively very small (r= -.04, p = .480, and r = .02, p = .825, for speed-dating partners/matches and write-ins, r"/><s v="&quot;When primed with approach goals, lows in the partner criticism condition believed their partner regarded them significantly more negatively than did controls, B = .59, sr2 = .07, t(83) = 3.05, p &lt; .01.)&quot;"/><s v="When primed with approach goals, lows in the partner criticism condition believed their partner regarded them significantly more negatively than did controls, β = .59, sr-square =.07, t(83) = 3.05, p &lt; .01"/><s v="Table 6, &quot;Furthermore, as a proportion of items attempted, participants in the control condition outperformed those in the handicap-related counterfactual condition (see Table 6).&quot;"/><s v="A proportion of items attempted, participants in the control condition outperformed those in the handicap-related counterfactual condition (see Table 6)"/><s v="&quot;The 2 (participant race: African American or White) × 2 (fairness cue: high or low) ANOVA on trust and comfort yielded a significant main effect of race, F(1, 73) = 4.63, p = .03, and a significant main effect of fairness, F(1, 73) = 14.29, p &lt; .001, whi"/><s v="&quot;In Study 2c, participants who were not cognitively busy provided estimates further from their self-generated anchor values (mean z score 5 0.14) than those who were cognitively encumbered (mean z score =0.13), t(92) = 3.18, p &lt; .01, prep = .98, d = 0.66"/><s v="&quot;There was a significant interaction between our manipulations (NFC, alcohol consumption, or busyness) and question type (self-generated or experimenter-provided anchor) [...] and a marginally significant interaction in Study 2c, F(1, 90) = 3.22, p = .08,"/><s v="&quot;participants who were not cognitively busy provided estimates further from their self-generated anchor values (mean z score 5 0.14) than those who were cognitively encumbered (mean z score 5 􏰀0.13), t(92) 5 3.18, p &lt; .01, prep 5 .98, d 5 0.66.&quot;"/><s v="[reading achievement: teacher reading methods course] Reading course ratio, b06;  -0.001 [Table 3]"/><s v="&quot;revealed that participants in the heavy-clipboard ondition (M = 5.27, SD = 1.28) found it more im-portant that the committee listen to the students’ opinions than did participants in the light-clipboard condition (M = 4.21, SD 5 2.10), F(1, 49) = 4.33, p"/><s v="&quot;The analysis found a main effect of the number of colors poured (F(1, 63) = 6.45, p &lt; .02), indicating that people poured more when pouring multiple colors versus a single color. People presumably perceived that they had poured less onto the plate so far"/><s v="The results indicate that people poured more when using mixed colors (M = 59.2 grams) than a single color (M = 53.0 grams). The planned contrast was statistically significant (F(1,99) = 4.00 p &lt; .05)."/><s v="An ANOVA revealed a significant effect of experimental condition on performance, F(1, 42) = 5.95, P &lt; 0.05, g2 p = 0.12; participants in the red condition performed worse (M = 11.13, SD = 2.65) than those in the gray condition (M = 13.24, SD = 3.08). No p"/><s v="&quot;An ANOVA revealed a significant effect of experimental condition on performance, F(1, 42) = 5.95, P &lt; 0.05, n2p = 0.12; participants in the red condition performed worse (M = 11.13, SD = 2.65) than those in the gray condition (M = 13.24, SD = 3.08). No p"/><s v="the rejection-moderation condition against the combined controls; a marginally significant difference occurred, x 2 = 2.88, p = .091. ... Each experiment indicated that proposing an extreme request which is rejected and then moving to a smaller request in"/><s v="&quot;The first contrasted the two control conditions; no significant difference resulted, x2 = 0.0, ns. &quot;,&quot; the data from this experiment argue against the interpretation that a requester's persistence in making requests accounts for the superiority of the re"/><s v="blood alcohol concentration (BAC) was positively correlated to endorsement of the utilitarian response in the footbridge dilemma (r = .29, p = .023).... Both studies found significant correlations between BAC and willingness to push a man to his death in "/><s v="&quot;BAC was positively correlated to endorsement of the utilitarian response in the footbridge dilemma (r = .29, p = .023), but not in the switch dilemma (r = .17, p = .17) &quot;,&quot; significant correlations between BAC and willingness to push a man to his death i"/><s v="&quot;Time to exhaustion was significantly lower in the mental fatigue condition (640 ± 316 s) compared with control (754 ± 339 s) (P = 0.003) with no significant order effect (P = 0.901). Individual time to exhaustion was shorter in the mental fatigue conditi"/><s v="Time to exhaustion was significantly lower in the mental fatigue condition (640 +/- 316 s) compared with control (754 +/- 339 s) (P = 0.003)"/><s v="This state of mental fatigue was associated with a significant decline in the proportion of correct responses to the AX trials during the AX-CPT (first 15-min period 94.8 +/- 3.4%, last 15-min period 88.9 +/- 4.5%, P &lt; 0.001).	4, 5	16	1.479	d	p. 5	0.001	l"/><s v="Average HR was significantly higher during the AX-CPT (65 +/- 8 min) compared with control treatment (62 +/- 8 min) (P = 0.046)"/><s v="Binge-watching was associated with increased goal conflicts (β = .65, p &lt; .001),"/><s v="Guilt was a negative predictor of recovery experience ... and vitality ... but unrelated to enjoyment (β = –.04, p = .43)."/><s v="the data showed the expected positive correlation between binge-watching and perceived autonomy...The latter correlated significantly with recovery experience... and enjoyment (β = .29, p &lt; .001) but not with vitality"/><s v="The positive total effect of binge-watching on enjoyment was significant (β = .38, p = .001)."/><s v="Regarding potential positive effects of binge-watching, the data showed the expected positive correlation between binge-watching and perceived autonomy (β = .15, p &lt; .01)."/><s v="Binge-watching was associated with increased goal conflicts...which in turn strongly correlated with feelings of guilt (β = .47, p &lt; .001)."/><s v="Guilt was a negative predictor of recovery experience (β = –.11, p &lt; .05)"/><s v="the data showed the expected positive correlation between binge-watching and perceived autonomy... The latter correlated significantly with recovery experience (β = .27, p &lt; .001)"/><s v="The total effects of binge-watching on recovery experience (β = .08, p = .11)"/><s v="Guilt was a negative predictor of recovery experience... and vitality (β = –.15, p &lt; .01)"/><s v="Regarding potential positive effects of binge-watching, the data showed the expected positive correlation between binge-watching and perceived autonomy ... The latter correlated significantly with recovery experience ...and enjoyment ... but not with vita"/><s v="The total effects of binge-watching on recovery experience ... and Vitality (β = .04, p = .55) were not significant."/><s v="&quot;As predicted, people judged a pattern to have more items when it had only one color or shape versus multiple colors or shapes (M = 53.5 vs. M = 56.8, F(1, 79) = 110.19, p &lt; .0001).&quot;"/><s v="[...] people judged a pattern to have more items when it had only one color or shape versus multiple colors or shapes (M = 56.8 vs 53.5; F(1,79) = 110.19, p &lt; .0001)"/><s v="There were main effects for each of the three factors: percentage filled (F(4, 76) = 495.31, p &lt; .0001)"/><s v="There were main effects for each of the three factors: [...]  basis of variety (F(1, 79) = 5.02, p &lt; .03)"/><s v="The analysis also found evidence of a percentage filled by number of types interaction (F(16, 64) = 4.85, p &lt; .0001)"/><s v="&quot;The difference in selecting the incorrect photo based on one’s vote choice or approval of Trump is statistically significant (p &lt; .01).&quot;"/><s v="While only 11 percent of less educated Trump supporters chose the wrong image as having more people, 26 percent of Trump supporters with college degrees selected the incorrect photo (difference of proportions p = .054)"/><s v="About 40 percent of Trump voters misidentified which picture went with which president’s inauguration, compared to about 20 percent of nonvoters and less than 10 percent of Clinton voters"/><s v="&quot;The analysis revealed a significant conditioning effect, F(1, 46) = 6.45, p = .015, unmoderated by either task order or type of measure, both Fs &lt; 1.&quot;"/><s v="Subsequent t tests indicated that the CS was evaluated more positively than the CS on both the implicit measure (IAT), t(48) = 2.59, p = .007, and the explicit (paper-and-pencil) measure, t(48) = 1.92, p = .03"/><s v="Participants passed much less when the primes were pleasant (M = 0.14) or unpleasant (M = 0.17) than when the prime was neutral (M = 0.54), F(2, 70) = 28.23, p &lt; .001"/><s v="there was a strong main effect of priming, F(2, 134) = 91.37, p &lt; .001...Providing participants an option to pass offered them an opportunity to adjust their behavior based on subjective experience. Results indicated that they did not take advan-tage of t"/><s v="Table 1. Cronbach’s Alphas and Tests of Between-Condition Differences in Studies 1a to 1c."/><s v="&quot;There were significant differences between the three conditions on autonomy, competence, and relatedness support &quot;,&quot; These differences in need support could reflect motivated inflation versus deflation of need support in promotion-focused versus preventi"/><s v="Entering bonus decisions as outcome in the t-test revealed the predicted group differences in punishment: Individuals assigned smaller bonuses for the outgroup comment than for the ingroup comment, resulting in significantly reduced pay (see Table 3)."/><s v="&quot;Participants across conditions were equally likely to solve the trivia questions (ingroup M = .984, SD = 1.123; outgroup M = .932, SD = 1.018), t(133) = .284, p = .777, and the number of trivia questions solved did not interact with the comment-source co"/><s v="The three conditions produced different mean RTs, F(2, 70) = 47.05, p &lt; .01, η2 = 0.57; although RT was virtually identical in response-congruent (492.4±2.1ms) and incongruent trials. (491.3±1.4ms), there was a speed advantage in perceptual congruent tria"/><s v="&quot;no statistically significant difference between the three conditions, F(2, 70) = 1.45, p = .24, η2 = 0.04 &quot;,&quot; This result is consistent with the hypothesis that auditory flankers facilitate the processing of visual targets when their letter names are ide"/><s v="Tis analysis revealed a signifcant main efect of age group (F(1,105)=126.03 p&lt;0.001, ηpartial2=0.55) ... "/><s v="&quot;a significant main efect of age group (F(1,105)=126.03, p&lt;0.001, ηpartial2=0.55), with the elderly answering less accurately (t(105)=11.23, p&lt;0.001), and a signifcant efect of question type (F(1,105)=37.84, p&lt;0.001, ηpartial2=0.27; Fig. 1a), with a highe"/><s v="Howewer, we observed no signifcant main efect of age group (F(1,105)=2.45, p=0.12, ηpartial2=0.02)"/><s v="&quot;no signifcant main efect of age group (F(1,105)=2.45, p=0.12, ηpartial2=0.02) and no signifcant age group x emotionality interaction (F(1,105)=0.008, p=0.93, ηpartial2&lt;0.001). Tus, emotionally negative videos triggered empathic responding in both age gro"/><s v="an independent t-test showed signifcant age diferences (t(82.74)=5.20, p&lt;0.001, Cohen’s d=0.99); older adults indicated higher ratings of compassion than younger adults (Fig. 3b)."/><s v="&quot;an independent t-test showed signifcant age diferences (t(82.74)=5.20, p&lt;0.001, Cohen’s d=0.99); older adults indicated higher ratings of compassion than younger adults&quot;"/><s v="&quot;The AoA effect interacted strongly with task, F1(l, 42) = 168.4, F2(l, 76) = 48.1&quot;"/><s v="Post-hoc t-tests conducted on the by-items and by-subjects data confirmed that picture naming times were significantly faster for early than late acquired words, t1(21) = 13.5; t2(78) = 6.33"/><s v="Post hoc t-tests conducted on the by-items and by-subjects data confirmed [...] the small difference in mean reading times favouring late acquired items was not statistically reliable, t1(21) = 2.49, p = .02; t2(78) = 0.71, n.s."/><s v="&quot;A repeated measures analysis of variance with window (correct vs. incorrect) as a within-subjects factor and condition (FB1 vs. FB2) as a between-subjects factor confirmed that the infants looked significantly longer toward the correct window than toward"/><s v="A repeated measures analysis of variance with window (correct vs. incorrect) as a within-subjects factor and condition (FB1 vs. FB2) as a between subjects factor confirmed that the infants looked significantly longer toward the correct window than toward "/><s v="The interaction between window and condition was not significant"/><s v="&quot;However, there was a significant effect of theory of intelligence on change in grades (β = .53, t = 2.93, p &lt; 0.05). The significant effect of theory of intelligence at Level 2 represents an interaction between theory of intelligence and time.&quot;"/><s v="An incremental theory of intelligence at the beginning of junior high school predicted higher mathematics grades earned at the end of the second year of junior high school (b = .17, t = 3.40, p &lt; .05)"/><s v="An ANOVA revealed a significant effect of experimental condition on performance, F(1, 42) = 5.95, P &lt; 0.05, n2 p = 0.12; participants in the red condition performed worse (M = 11.13, SD = 2.65) than those in the gray condition (M = 13.24, SD = 3.08). No p"/><s v="consistent with the prosocial-security hypothesis, prosocials (M = 6.24, SD = 1.38) exhibited greater levels of secure attachment than did individualists (M = 5.92, SD = 1.35)."/><s v="consistent with the prosocial-security hypothesis, prosocials (M = 6.24, SD = 1.38) exhibited greater levels of secure attachment than did competitors (M = 5.51, SD = 1.59)."/><s v="consistent with the sibling-prosocial hypothesis, Panel A of Figure 3 reveals that the number of siblings is greater for prosocials (M = 2.03, SD = 1.56) than for individualists (M = 1.63, SD = 1.00)."/><s v="consistent with the sibling-prosocial hypothesis, Panel A of Figure 3 reveals that the number of siblings is greater for prosocials (M = 2.03, SD = 1.56) than for competitors (M = 1.71, SD = 1.35)."/><s v="Panel C of Figure 3 reveals that the number of sisters was greater for prosocials (M = 1.05, SD = 1.14) than for individualists (M = 0.74, SD = 0.75)."/><s v="Panel C of Figure 3 reveals that the number of sisters was greater for prosocials (M = 1.05, SD = 1.14) than for competitors (M = 0.76, SD = 0.88)."/><s v="Panel B of Figure 3 reveals that the number of older siblings was greater for prosocials (M = 0.96, SD = 1.25) than for individualists (M = 0.67, SD = 0.79)."/><s v="&quot;Panel B of Figure 3 reveals that the number of older siblings was greater for prosocials (M = 0.96, SD = 1.25) than for individualists (M = 0.67, SD = 0.79) &quot;,&quot; Although several specific explanations may account for these findings, they are congruent wit"/><s v="as can be seen in Figure 4, the percentages of prosocials systematically elevated with increasing age (varying from 55.9% to 67.3%, 77.5%, and 81.5%), whereas the percentages of individualists (varying from 30.7% to 24.9%, 16.3%. and 15.1%) and competitor"/><s v="prosocials (M = 5.25, SD = 1.90) exhibited greater levels of secure attachment than did individualists (M = 4.91, SD = 1.76) "/><s v="analysis revealed a multivariate main effect for social value orientation, F(6, 886) = 3.05, p &lt; .01"/><s v="prosocials (M = 5.25, SD = 1.90) exhibited greater levels of secure attachment than did (...) competitors (M = 3.68, SD - 2.14). "/><s v="ongruent with the prosocial-security hypothesis, contrasts relevant to the marginal relationship between social value orientation and avoidant attachment revealed that prosocials (M = 3.56, SD = 1.61) exhibited lower levels of avoidant attachment than did"/><s v="contrast between individualists and competitors was not significan"/><s v="This analysis revealed a significant main effect for social value orientation, F(2, 535) = 4.82, p &lt; .01"/><s v="number of siblings is greater for prosocials (A/ = 2.03, SD = 1.56) than for individualists (M = 1.63, SD = 1.00) and  competitors (M = 1.71, SD — 1.35). "/><s v="the number of siblings is greater for prosocials (A/ = 2.03, SD = 1.56) than for individualists (M = 1.63, SD = 1.00) and competitors (M = 1.71, SD — 1.35). ubsequent planned comparisons revealed a significant contrast between prosocials versus individual"/><s v="Differences between individualists and competitors were not significant."/><s v="number of sisters was greater for prosocials (M = 1.05, SD = 1.14) than for individualists (M = 0.74, SD = 0.75) or competitors (M = 0.76, SD = 0.88). "/><s v="a multivariate main effect for social value orientation, F(8, 1066) = 1.99, p &lt; .05"/><s v="a significant main effect for social value orientation for number of older siblings, F(2, 535) = 3.64, p &lt; .05"/><s v="number of older siblings was greater for prosocials (M ~ 0.96, SD = 1.25) than for individualists (M = 0.67, SD = 0.79). "/><s v="a significant main effect for social value orientation for number of older siblings, F(2, 535) = 3.64, p &lt; .05, and number of sisters, F(2, 535) = 6.16, p &lt; .005"/><s v="the number of older siblings was greater for prosocials (M ~ 0.96, SD = 1.25) than for individualists (M = 0.67, SD = 0.79). Subsequent comparisons revealed a significant contrast between prosocials versus individualists and competitors, F{1, 535) = 4.94,"/><s v="Differences between individualists and competitors (M = 0.90, SD = 1.02) were not significant"/><s v="At the univariate level, the main effect for social value orientation was significant for level of secure attach- ment, F(2, 444) = 7.07, p &lt; .001"/><s v="the number of sisters was greater for prosocials (M = 1.05, SD = 1.14) than for individualists (M = 0.74, SD = 0.75) or competitors (M = 0.76, SD = 0.88). Subsequent comparisons revealed a significant contrast between prosocials versus individualists and "/><s v="Differences between individualists and competitors were not significant"/><s v="This analysis revealed significant main effects for social value orientation, partial X2 (2, N = 1593) = 1061.72"/><s v="This analysis revealed significant main effects for social value orientation, partial X2 (2, N = 1593) = 1061.72; age, partial X2 (3, N = 1593) = 166.88; education, partial X2 (2, N = 1593) = 314.90; and gender, partial X2 (1, N = 1593) = 12.85, (all p s&lt;"/><s v="the analysis revealed a Social Value Orientation x Age interaction, partial X2 ( 6 , N = 1593) = 62.25, p &lt; .001"/><s v="Social Value Orientation x Age  interaction, partial x 2 (6,# = 1593) = 62.25,/? &lt; .001. "/><s v="marginal for level of avoidant attachment, F(2, 444) = 2.47, p &lt; .10"/><s v="Marginal for both level of avoidant attachment, F(2, 444) = 2.47, p &lt; .10 and evel of anxious-ambivalent attachment, F(2, 444) = 2.76, p &lt; .10."/><s v="The two-factor MANOVA did not reveal any effects involving gender, indicating that the association of social value orientation and secure attachment is independent of participant's gender."/><s v="planned comparisons revealed a significant contrast between prosocials versus individualists and competitors, F(1, 444) = 11.09, p &lt; .001"/><s v="comparisons revealed a significant contrast between prosocials versus individ- ualists and competitors, F(1, 444) = 11.09, p &lt; .001, and a maginal difference between individualists and competitors, F ( l , 444) = 3.04, p &lt; .10"/><s v="congruent with the prosocial-security hypothesis, contrasts relevant to the marginal relationship between social value orientation and avoidant attachment revealed that proso- cials (M = 3.56, SD = 1.61) exhibited lower levels of avoidant attachment than "/><s v="contrast between individualists and competitors was not significant"/><s v="&quot;Similarly, subjects were significantly more likely to say that the chairman did jaan that the environment would be helped than that he helped the environment jaan-bujhkar, x2 (1, N = 31) = 16.3, p &lt; .001.&quot; "/><s v="&quot;For Part I, 6 responded as determinists, and 2 responded as indeterminists.&quot;, &quot;The appeal to indeterminist choice was extremely rare when subjects were asked to predict the decision of psychological duplicates. This provides some rudimentary support for "/><s v="Thus, when we consider subjects who either initially abide by the conditions of the thought experiment or who are corrected, we find that 7 out of 8 gave a determinist response when asked to predict the decision of a psychological duplicate. As in experim"/><s v="the participants in C1 were more likely to say that the thief knowingly brought about the officer’s death (75 percent) than the participants in C2 were to say that the driver knowingly brought about the death of the car thief"/><s v="50% of subjects gave the compatibilist response, which is still significantly different from the very low number of compatibilist responses in the abstract condition.8"/><s v="free will: &quot;A 2 (mechanism: Psych, Neuro) X 2 (universe: Real, Erta) Analysis of Variance (ANOVA) was run on the mean responses to our five primary variables of interest (“up to,” FW, MR, blame, and praise; questions 1–5).12 For judgments of each of the f"/><s v="For judgments of each of the five variables, we found similar results that indicated highly significant differences (p &lt; .001) depending on whether agents’ decision-making in the scenario was described in psychological terms or neuroscientific (mechanisti"/><s v="moral responsibility: &quot;A 2 (mechanism: Psych, Neuro) X 2 (universe: Real, Erta) Analysis of Variance (ANOVA) was run on the mean responses to our five primary variables of interest (“up to,” FW, MR, blame, and praise; questions 1–5).12 For judgments of ea"/><s v="blame: &quot;A 2 (mechanism: Psych, Neuro) X 2 (universe: Real, Erta) Analysis of Variance (ANOVA) was run on the mean responses to our five primary variables of interest (“up to,” FW, MR, blame, and praise; questions 1–5).12 For judgments of each of the five "/><s v="praise: &quot;A 2 (mechanism: Psych, Neuro) X 2 (universe: Real, Erta) Analysis of Variance (ANOVA) was run on the mean responses to our five primary variables of interest (“up to,” FW, MR, blame, and praise; questions 1–5).12 For judgments of each of the five"/><s v="agents decisions were up to them: &quot;A 2 (mechanism: Psych, Neuro) X 2 (universe: Real, Erta) Analysis of Variance (ANOVA) was run on the mean responses to our five primary variables of interest (“up to,” FW, MR, blame, and praise; questions 1–5).12 For jud"/><s v="&quot;Subjects were also significantly more likely to agree with the target sentence in the explanation condition (“Susan reached the rafters because the rope did not break”) than with the target sentence in the causation condition (“The rope not breaking caus"/><s v="Subjects were also significantly more likely to agree with the target sentence in the explanation condition (“Susan reached the rafters because the rope did not break”) than with the target sentence in the causation condition (“The rope not breaking cause"/><s v="&quot;Critically, we observed the predicted interaction between load and judgment (F(1, 62.9) = 8.5, p = .005).&quot;, &quot;Cognitive load selectively increased RT for utilitarian judgment, yielding the predicted interaction between load and judgment type. In the full "/><s v="we predicted that increasing cognitive load by imposing another control-demanding task would interfere with utilitarian moral judgments, yielding increased RT and/or decreased frequency for utilitarian moral judgment. we observed the predicted interaction"/><s v="&quot;As predicted, in the analysis of the data, we found results similar to Knobe and Roedder’s. That is, we found a K&amp;R-pattern in attributions of desires. The mean rating in the first condition was 0.320 (N = 25), and in the second it was 1.05 (N = 19). A t"/><s v="we found a K&amp;R-pattern in attributions of desires... This suggests that in general, people are more willing to say that what racist George really wants is racial equality than they are willing to say that what liberal George really wants is racial equalit"/><s v="Sixty-five percent of the participants in the actor condition judged that it was morally permissible for them to hit the switch, 90% of the participants in the observer condition judged that it was morally permissible for John to hit the switch"/><s v="Notice in particular the results for vignettes in the no-skill conditions. Only 28% of subjects in the achievement condition said the behavior was intentional, but a full 76% of subjects in the immoral condition&#xA;thought the behavior was intentional."/><s v="&quot;Here the attending doctor is clearly violating a norm, but there is no sense at all in which he can be considered blameworthy for the patient's recovery. (Mter all, the patient's recovery is something good, and there can therefore be no question about wh"/><s v="Yet despite the lack of blame, people were more inclined to say that the doctor's decision caused the recovery than they were to say that the pharmacist's decision caused the recovery. This result indicates that people's causal intuitions can be affected "/><s v="&quot;Here again, wt' have a case of norm violation without blameworthiness. Specifically, it seems that the red wire is violating a certain kind of norm, but it also seems clear that no one could literally blame the red wire for the short circuit. Nonethelt's"/><s v="&quot;Prima facie, our hypothesis was not satisfied since a comparison of the means of agreement with the claim that the Administrative Assistant caused the problem, did not yield a statistically significant difference. This result was surprising, but perhaps "/><s v="&quot;We did not, however, find the widespread correlation between extraversion and compatibilism that Feltz and Cokely found.&quot;, &quot;This suggests to us that while extraversion may help predict how compatibilist-friendly an individual’s intuitions about desert-ba"/><s v="&quot;the personality trait extraversion predicts people’s intuitions about the relationship of determinism to free will and moral responsibility&quot;, &quot;We did not, however, find the widespread correlation between extraversion and compatibilism that Feltz and Coke"/><s v="&quot;The results were quite surprising (figure 1). For the Negative scenario, only 13% of the participants said to prefer reality; 87% of them would prefer to remain connected. In the Positive scenario, the distribution evened out: 50% of the participants sai"/><s v="&quot;Like the original side-effect effect results, our findings reveal an asymmetry in mean levels of participant responses between survey conditions. On the Gradient scoring method, participants’ mean level of agreement in the harm condition (M = 2.25, SD = "/><s v="&quot;Consistent with our hypothesis, philosophers [...] were unwilling to ascribe [...]  the perceptual experience of seeing red [...]  to the robot (the mean answers are significantly lower than 4). By contrast, philosophers were willing to ascribe [...]  st"/><s v="The difference between the average folk ascription of seeing red and of feeling pain is statistically significant..."/><s v="Significant interactions between the drug decision (that is, to violate the norm and administer the drug or to adhere to the norm and reftise the drug) and ... on ratings of his causal involvement, E{1, 213) = 13.05, p &lt; .001, supported culpable-control p"/><s v="Significant interactions between the drug decision (that is, to violate the norm and administer the drug or to adhere to the norm and reftise the drug) and ... on ratings of his causal involvement, F{1, 213) = 13.05, p &lt; .001, supported culpable-control p"/><s v="&quot;Significant interactions between the drug decision (that is, to violate the norm and administer the drug or to adhere to the norm and reftise the drug) and the outcome of the decision (that is, recovery, death, or no outcome) on evaluations (that is, bla"/><s v="&quot;When the physician followed hospital policy, evaluations of his decision were relatively favorable regardless of the outcome, although they were significantly reduced by the fact of the patient's death, F(1, 313) = 23.92, p &lt; .0001.&quot;, &quot;In general, theref"/><s v="&quot;These findings show that when the physician violated hospital policy, he was viewed more negatively when the patient died than when he lived, F(1, 313) = 48.59, p &lt; .0001&quot;, &quot;In general, therefore, the findings of this study are consistent with the culpab"/><s v="&quot;These findings show that when the physician violated hospital policy, he was viewed more […] causal in the former case [patient died] than in the latter [patient lived], F(1, 213) = 9.59, p &lt; .01.&quot;, &quot;In general, therefore, the findings of this study are "/><s v="&quot;First, the physician who violated the hospital's policy but had the fortuitous outcome of the patient recovering (as in Hitchcock and Knobe's scenario) was viewed far more negatively (that is, as relatively more blameworthy) than the physician who respec"/><s v="&quot;Comparisons between the no-outcome conditions were also revealing. As we assumed, the physician who violated hospital policy was viewed very negatively, whereas the physician who followed hospital policy was viewed very positively, F(1, 313) = 188.24, p "/><s v="&quot;On average, when pain is less intense, people use the ‘feeling pain’ expression slightly more often compared to the ‘having pain’ expression, but when the pain is intense, people choose to express themselves with the ‘having pain’ expression around three"/><s v="There was no main effect of transgression and no interaction effect. However, there was a significant main effect of condition,"/><s v="&quot;Results confirmed our first prediction: Subjects in the CRT-First condition judged the utilitarian actions to be more acceptable (CRT-First: M = 3.77; Dilemmas-First: M = 3.25; t(90) = 2.03, p = .05, d = 0.43).&quot;, &quot;overall results of Experiment 1 indicate"/><s v="Results confirmed our first prediction: Subjects in the CRT-First condition judged the utilitarian actions to be more&#xA;acceptable "/><s v="&quot;Again collapsing across all three dilemmas, we examined data from subjects in the CRT-First condition and observed a robust positive correlation between CRT scores and moral acceptability ratings, consistent with our second prediction (r = .39, p = .001&quot;"/><s v="&quot;An independent samples t-test yielded a significant difference between Chinese and Western participants on the Godel cases (t(70 = -2.55, P &lt; 0.05) (all tests two-tailed). The Westerners were more likely than the Chinese to give causal-historical respons"/><s v="Participants in the thief contrast condition tended to agree with the knowledge ascription they received (mean rating: 4.6), while participants in the jewel contrast condition tended to disagree with the knowledge ascription they received (mean rating: 3."/><s v="&quot;an analysis of the data revealed a significant effect of the Action-Valence variable such that subjects are more inclined to agree with the attribution of weakness of will when the valence of the action the agent ends up succumbing to perform is bad as o"/><s v="Moreover, an analysis of the data revealed a significant effect of the Action-Valence variable such that subjects are more inclined to agree with the attribution of weakness of will when the valence of the action the agent ends up succumbing to perform is"/><s v="&quot;There was a greater likelihood of ascribing knowledge in cases of: […] Standard True Belief versus Gettier Cases (X2 = 107.81, df = 1, N = 202, p &lt; .001, B = 1.62, Exp(B) = 5.07)&quot;, &quot;Although we have demonstrated that the rates of knowledge ascription for"/><s v="There was a greater likelihood of ascribing knowledge in cases of: ... (2) Standard True Belief versus Gettier Cases"/><s v="A significant effect of story type was observed (X2 = 247.97, df = 3, N = 207, p &lt; .001)"/><s v="&quot;A significant effect of story type was observed (X2 = 247.97, df = 3, N = 207, p &lt; .001)&quot;"/><s v="There was a greater likelihood of ascribing knowledge in cases of: (1) Standard True Belief versus Skeptical Pressure (X2 = 81.52, df = 1, N = 204, p &lt; .001, B = 1.35, Exp(B) = 3.87)"/><s v="&quot;There was a greater likelihood of ascribing knowledge in cases of: (1) Standard True Belief versus Skeptical Pressure (X2 = 81.52, df = 1, N = 204, p &lt; .001, B = 1.35, Exp(B) = 3.87)&quot;"/><s v="There was a greater likelihood of ascribing knowledge in cases of: Standard True Belief vs False Belief"/><s v="&quot;There was a greater likelihood of ascribing knowledge in cases of: Standard True Belief vs False Belief (X2 = 231.60, df = 1, N = 204, p &lt; .001, B = 2.71, Exp(B) = 14.99)&quot;"/><s v="There was a greater likelihood of ascribing knowledge in cases of: Skeptical Pressure vs False Belief"/><s v="&quot;There was a greater likelihood of ascribing knowledge in cases of: Skeptical Pressure vs False Belief (X2 = 59.48, df = 1, N = 197, p &lt; .001, B = 1.45, Exp(B) = 4.27)&quot;"/><s v="There was a greater likelihood of ascribing knowledge in cases of: Gettier vs False belief (X2 = 49.08, df = 1, N = 196, p &lt; .001, B = 1.13, Exp(B) = 3.09).&quot;"/><s v="&quot;There was a greater likelihood of ascribing knowledge in cases of: Gettier vs False belief (X2 = 49.08, df = 1, N = 196, p &lt; .001, B = 1.13, Exp(B) = 3.09).&quot;"/><s v="&quot;Nevertheless, treating Experiment 1 as having a 4 × 2 design and analyzing the results with a two-way ANOVA reveals a main effect for the ‘full/violate’ variable with a small to medium effect size.&quot; "/><s v="Nevertheless, treating Experiment 1 as having a 4 × 2 design and analyzing the results with a two-way ANOVA reveals a main effect for the ‘fulll/violate’ variable with a small to medium effect size"/><s v="&quot;However, only in WATER and NAZI was the difference between the means in the ‘fulll’ and ‘violate’ conditions statistically signicant; the effect sizes were small and medium, respectively.&quot;, &quot;Water: t(88) = −2.462, p &lt; 0.05, r = 0.25;&quot;"/><s v="&quot;However, only in WATER and NAZI was the difference between the means in the ‘full’ and ‘violate’ conditions statistically signicant; the effect sizes were small and medium, respectively.&quot;, &quot;Movies: t(92) = −1.804, p &gt; 0.05, r = 0.18;&quot;"/><s v="&quot;However, only in WATER and NAZI was the difference between the means in the ‘full’ and ‘violate’ conditions statistically signicant; the effect sizes were small and medium, respectively.&quot;, &quot;Sales: t(92) = −1.807, p &gt; 0.05, r = 0.19;&quot;"/><s v="&quot;However, only in WATER and NAZI was the difference between the means in the ‘full’ and ‘violate’ conditions statistically signicant; the effect sizes were small and medium, respectively.&quot;, &quot;Nazi: t(90) = −5.15, p &lt; 0.0001, r = 0.48.&quot;"/><s v="&quot;The model returned from GES [Greedy Equivalence Search] was the MR/FW [moral responsibility and free will] Incompatibilist Model. The model indicates that Determinism directly causes MR/FW and that MR/FW causes Bypassing. The model also tells us that onc"/><s v="The model returned from GES was the MR/FW Incompatibilist Model."/><s v="&quot;Mediation Analysis. Standardized regression coefficients for the relationships between Description of Determinism (N&amp;K vs.NMNT),  MR⁄FW  judgments,  and  Bypassing  judgments.  (Sobeltest = 2.286,p&lt; .022). *p= .022, **p&lt; .001.&quot;; &quot;Once we take into accoun"/><s v="Mediation analyses involve the speci- fication of a causal model between three variables and the strengths of the paths between them using multiple regression (see Figure 2). They are designed to determine whether the effect of one variable (in our case, "/><s v="&quot;The first regression equation useddescription of determinism (N&amp;K abstract, NMNT abstract) to predict MR⁄FW score and yielded a significant effect: t(132) = 2.973, p= .004, showing that N&amp;K abstract prompted participants to respond that agents donothave "/><s v="&quot;The second regression equation estimated changes in Bypassing score using description of determinism and also yielded a significant effect: t(132) = - 2.319, p = .022, showing that participants interpreted N&amp;K abstract to involve bypassing more than they"/><s v="&quot;As predicted by Hypothesis 1 and shown in the first row, Kripkeans rated having the same feelings toward a replaced Loved One as significantly both less likely and less appropriate than Descriptivists. t(160) = 2.58, p = 0.01, eta_squared = 0.04&quot;, &quot;What "/><s v="As predicted by Hypothesis 1 and shown in the first row, Kripkeans rated having the same feelings toward a replaced Loved One as significantly both less likely and less appropriate than Descriptivists."/><s v="&quot;The experimental manipulation produced a statistically significant large effect with respect to the Morality question (t (29) = 3.42, p = 0.002, effect size r = 0.54; Figure 3b). On the hypothesis we advanced, the reason that the same proposition can evo"/><s v="The experimental manipulation produced a statistically significant large effect with respect to the Morality question (t (29) = 3.42, p = 0.002, effect size r = 0.54; Figure 3b)."/><s v="&quot;The results for Psychopath were: Understands (N = 83): Yes 76% No 24%, Believes (N = 79): Yes 46% No 54%&quot;, &quot;Consider first the Understands question. The result we obtained is similar to Nichols’, but different from the result we obtained replicating his "/><s v="The results for Psychopath were: Understands (N = 83): Yes 76% No 24%, Believes (N = 79): Yes 46% No 54%&quot;, &quot;Consider first the Understands question. The result we obtained is similar to Nichols’, but different from the result we obtained replicating his s"/><s v="&quot;The results for Psychopath were: Understands (N = 83): Yes 76% No 24%, […] Herself Thinks (N = 86): Yes 49% No 51%&quot;, &quot;Consider first the Understands question. The result we obtained is similar to Nichols’, but different from the result we obtained replic"/><s v="&quot;Typo low hope (M = 2.50, SD = 1.04), Typo high short hope (M = 5.37, SD = 2.61). Combined from above, a 2 (stakes) x 3 (verb type) between-subjects analysis of variance reveals a main effect for the factor of stakes, F (1, 260) = 99.46, p &lt; 0.001.&quot;, &quot;As "/><s v="Typo low hope (M = 2.50, SD = 1.04), Typo high short hope (M = 5.37, SD = 2.61). Combined from above, a 2 (stakes) x 3 (verb type) between-subjects analysis of variance reveals a main effect for the factor of stakes, F (1, 260) = 99.46, p &lt; 0.001. ... [.."/><s v="However a main effect was not found for verb type F (2,260) = 1.45, p = 0.24, and no interaction effect was detected between these two factors, F (2,260) = 0.191, p = 0.83."/><s v="&quot;However a main effect was not found for verb type F (2,260) = 1.45, p = 0.24,&quot; , &quot;As we predicted, we found that Pinillos’s stakes effect persisted even with Typo probe hope. Stakes were shown to be statistically significant, but no significant effect of"/><s v="&quot;no interaction effect was detected between these two factors [stakes and verb type], F(2,260) = 0.191, p = 0.83. We also reconfirmed these findings using the Wilcoxon-Mann-Whitney test, which revealed significant stakes effects for all predicates, but no"/><s v="&quot;The average rating for subjects in the harm condition was +.6; the average for subjects in the help condition was -1. This difference is statistically significant, t (77) = 2.65, p = 0.01.&quot;, &quot;Adams and Steadman are right to point out that, if a person sa"/><s v="The average rating for subjects in the harm condition was +.6; the average for subjects in the help condition was -1."/><s v="&quot;For the fixed agent (Sue), we found a clear causal superseding effect. Agreement ratings for the fixed agent were lower when the varied agent violated a norm (M = 3.37, SD = 2.059) than when he did not (M = 4.40, SD = 1.522), t(58) = 2.210, p = .031, d ="/><s v="Agreement ratings for the fixed agent were lower when the varied agent violated a norm than when he did not"/><s v="&quot;Replicating many previous studies, agreement ratings for the varied agent (Bill) were higher when he violated a norm (M = 5.97, SD = 1.564) than when he did not (M = 4.80, SD = 1.495), t(58) = 2.953, p = .005, d = .764.&quot;, &quot;To sum up, we demonstrated the "/><s v="&quot;On permissibility, there was no significant difference (F(1,8) = 1, p  = 0.347, n.s.). This is not surprising, since a less permissible item (leaving class without permission) was explicitly sought and added.&quot;, &quot;Participants who give nonobjectivist respo"/><s v="However, there were clear main effects for ... authority contingence."/><s v="&quot;However, there were clear main effects for seriousness (F(1,9) = 30.519, p &lt; 0.001)&quot;, &quot;Participants who give nonobjectivist responses to moral cases still draw the moral/ conventional distinction.&quot;"/><s v="&quot;However, there were clear main effects for […] justification (F(1,8)  21.333, p &lt; 0.01)&quot;, &quot;Participants who give nonobjectivist responses to moral cases still draw the moral/ conventional distinction.&quot;&#xA;"/><s v="&quot;However, there were clear main effects for […] and authority contingence (F(1,8) = 18, p &lt; 0.01).&quot;, &quot;Participants who give nonobjectivist responses to moral cases still draw the moral/ conventional distinction.&quot;"/><s v="&quot;Whereas not a single one of the subjects in Case 1 judged that John intentionally upset Susan (with an average blame rating of 1.41), 64% of the subjects in Case 2 judged that he intentionally upset her (with an average blame rating of 3.76).&quot;, First, de"/><s v="&quot;The results indicate that a significant majority of participants (76%) judged that Jeremy robs the bank of his own free will.18&quot;, &quot;We offer two related interpretations of these interesting results. First, the results may suggest that some folk have Frank"/><s v="The results indicate that a significant majority of participants (76%) judged that Jeremy robs the bank of his own free will"/><s v="&quot;a surprising majority of them (viz., 73%) were willing to say that Fred intentionally prevented the explosion. Thus, the participants’ responses Q3 do not line up with Mele and Moser’s claim that it is implausible to think that Fred intentionally prevent"/><s v="&quot;Male dictators on average allocate £2.117 in the GG and £0.997 in the TG toward the recipients, and a Mann-Whitney test shows significant difference at 1% level.&quot;, &quot;Both nonparametric tests and regressions reaffirm the observations from existing studies "/><s v="&quot;However, the average allocation by female dictators is £2.014 in the GG and £3.263 in the TG, and the difference is significant at 5% level. The results also confirm within treatment gender differences.&quot;, &quot;Both nonparametric tests and regressions reaffir"/><s v="&quot;In the GG, the amounts given by males and females are not different (p-value = 0.594).&quot;, &quot;Both nonparametric tests and regressions reaffirm the observations from existing studies (Dreber et al. 2013; Grossman and Eckel 2015) that overall there is no fram"/><s v="&quot;The TG, however, shows gender differences. The average amount left by the male dictators is significantly lower than the amount left by the female dictators at 1% level.&quot;, &quot;Both nonparametric tests and regressions reaffirm the observations from existing "/><s v="&quot;In column 2, I allow for average wage trends across all workers. The large, positive effects in columns 1 and 2 resemble the early generations of work on knowledge spillovers from multinational enterprises (for example, Blomstrom &amp; Kokko, 1998, and the r"/><s v="&quot;I include establishment fixed effects (FE) in column 3, which control for any fixed factor that may affect an establishment’s decision to hire former multinational workers, such as management style or time-invariant productivity levels. As was found in t"/><s v="&quot;In column 4, I include individual FEs to control for time-invariant, unobservable worker characteristics, such as innate ability or motivation. With individual FEs, the coefficients of interest are more precisely estimated, and it becomes clear that dome"/><s v="[reading achievement: school with greater average SES] Ave. socioeconomic status, g008,  0.075*** [Table 3]"/><s v="[reading achievement: students previous achievement] Kindergarten achievement, p5, 0.686*** [Table 3]"/><s v="[reading achievement: time] Elapsed time between testing, p6,  0.061*** [Table 3]"/><s v="[reading achievement: student SES] Socioeconomic status, p4,  0.062*** [Table 3]"/><s v="[reading achievement: gender] Female student, p2, 0.046* [Table 3]"/><s v="[mathematics achievement: time between testing administration] Elapsed time between testing, p6, 0.050*** [Table 3]"/><s v="[mathematics achievement: student SES] "/><s v="mathematics achievement: gender] Female student p2, 0.025 [Table 3]"/><s v="&quot;The second tested the rejection-moderation condition against the combined controls; a marginally significant difference occurred, x2 = 2.88, p = .091 &quot;,&quot; the data from this experiment argue against the interpretation that a requester's persistence in mak"/><s v="&quot;the three conditions produced different mean RTs, F(2, 70) = 47.05, p &lt; .01, η2 = 0.57; although RT was virtually identical in response-congruent (492.4 ± 2.1 ms) and incongruent trials (491.3±1.4 ms), there was a speed advantage in perceptual-congruent "/><s v="As predicted, physical cleansing significantly reduced volunteerism: 74% of those in the not-cleansed condition offered help, whereas only 41% of participants who had a chance to cleanse their hands offered help (c2 0 5.02, P 0 0.025)."/><s v="&quot;ESI-Religiousness associates most clearly with NEO-PIR Agreeableness and Conscientiousness&quot;"/></sharedItems></cacheField><cacheField name="claim_page_o"><sharedItems containsDate="1" containsBlank="1" containsMixedTypes="1"><s v="Page number(s) for claim_text_o"/><s v="p. 7"/><m/><n v="16.0"/><s v="p. 16"/><n v="137.0"/><n v="7.0"/><s v="7(373)"/><s v="p. 17"/><n v="21.0"/><n v="33.0"/><n v="1.0"/><n v="11.0"/><n v="13.0"/><n v="263.0"/><s v="p. 1, 3"/><n v="3.0"/><s v="p. 1, 4"/><s v="1, 6, 7, 8, 9"/><n v="25.0"/><s v="1 and 12"/><s v="1 and 13"/><s v="25-26"/><s v="1 and 15"/><n v="26.0"/><s v="p. 70"/><s v="70,73"/><n v="429.0"/><s v="p. 428"/><s v="p. 1"/><n v="2.0"/><n v="5.0"/><n v="28.0"/><n v="8.0"/><n v="690.0"/><n v="148.0"/><n v="4.0"/><n v="59.0"/><n v="60.0"/><n v="30.0"/><n v="96.0"/><n v="107.0"/><s v="p. 4"/><s v="pp. 4-5"/><s v="p. 5"/><s v="pp. 5-6"/><s v="p. 6"/><n v="118.0"/><n v="12.0"/><s v="12-13"/><n v="119.0"/><n v="9.0"/><s v="p. 15"/><n v="52.0"/><n v="57.0"/><d v="2024-12-11T00:00:00Z"/><n v="10.0"/><n v="1026.0"/><d v="2024-05-04T00:00:00Z"/><d v="2024-06-05T00:00:00Z"/><s v="p. 314"/><n v="6.0"/><n v="77.0"/><n v="100.0"/><n v="99.0"/><s v="60–85"/><n v="27.0"/><s v="Abstract"/><n v="17.0"/><s v="2-17-20"/><s v="2-17"/><s v="p. 8"/><n v="18.0"/><n v="37.0"/><s v="p1"/><n v="623.0"/><n v="827.0"/><n v="21693.0"/><n v="403.0"/><n v="556.0"/><n v="557.0"/><s v="p.2"/><s v="p.267-269"/><s v="11-13"/><s v="p.1661"/><s v="p. 11, p. 12, p. 13"/><n v="23.0"/><n v="24.0"/><s v="15,16"/><n v="238.0"/><n v="19.0"/><n v="20.0"/><n v="15.0"/><n v="1223.0"/><n v="165.0"/><n v="415.0"/><n v="416.0"/><n v="417.0"/><s v="p. 2 &amp; 3"/><s v="p. 3"/><s v="p.3 "/><n v="261.0"/><n v="534.0"/><s v="NA"/><s v="12, 13"/><s v="632-633"/><d v="1900-11-20T00:00:00Z"/><d v="2025-09-08T00:00:00Z"/><n v="208.0"/><s v="p. 208"/><n v="785.0"/><s v="p. 1655"/><n v="4088.0"/><d v="2025-06-05T00:00:00Z"/><n v="2617.0"/><s v="p. 2617"/><n v="1680.0"/><n v="29.0"/><s v="p. 29"/><n v="1259.0"/><n v="302.0"/><n v="466.0"/><n v="386.0"/><n v="394.0"/><n v="798.0"/><n v="172.0"/><s v="p. 172"/><n v="285.0"/><n v="1391.0"/><n v="1742.0"/><n v="8039.0"/><n v="1511.0"/><n v="540.0"/><n v="14.0"/><n v="338.0"/><s v="3, 4"/><s v="p.3"/><s v="15, 18, 19"/><s v="p. 18"/><n v="1273.0"/><n v="105.0"/><n v="1155.0"/><n v="279.0"/><n v="442.0"/><n v="1272.0"/><n v="227.0"/><n v="116.0"/><n v="216.0"/><d v="2025-04-03T00:00:00Z"/><n v="517.0"/><s v="p. 449"/><n v="1168.0"/><n v="1316.0"/><n v="309.0"/><s v="1,2"/><s v="7,8"/><n v="989.0"/><s v="N/A"/><s v="4,5"/><s v="1,3"/><n v="21101.0"/><n v="510.0"/><s v="5,6"/><n v="62.0"/><n v="241.0"/><n v="744.0"/><n v="8054.0"/><n v="444.0"/><n v="519.0"/><n v="106.0"/><s v="6,8"/><n v="1149.0"/><s v="9,10"/><n v="401.0"/><n v="71.0"/><s v="3,8"/><n v="1210.0"/><s v="6,7"/><s v="26,27"/><s v="8,9"/><n v="829.0"/><s v="16,17,18"/><n v="730.0"/><n v="789.0"/><n v="1622.0"/><s v="3,4"/><n v="384.0"/><n v="122.0"/><n v="512.0"/><n v="959.0"/><n v="356.0"/><n v="237.0"/><s v="p. 83"/><n v="83.0"/><s v="p. 977"/><n v="977.0"/><s v="p. 105"/><n v="614.0"/><s v="p. 10 + 11"/><s v="p. 1927"/><n v="1927.0"/><s v="p. 87"/><n v="86.0"/><s v="p. 162"/><n v="162.0"/><s v="p. 478 &amp; 479"/><s v="p .478"/><s v="p. 1347"/><s v="p. 345"/><s v="p. 732-733"/><s v="pp. 732-733"/><s v="p. 819 + 838"/><s v="p. 838"/><s v="p. 3121"/><s v="p. 2027"/><s v="p. 2030"/><s v="p.  875"/><s v="p. 875"/><s v="p. 940-943"/><s v="p. 941"/><s v="p. 127-128"/><s v="p. 128"/><s v="p. 3325"/><s v="p. 854"/><s v="p. 1219 + 1231"/><s v="p. 1219"/><s v="p. 2577"/><s v="p. 3448"/><s v="p. 3449"/><s v="p. 1764"/><s v="p. 539"/><s v="p. 1896"/><s v="p.1712 - 1713"/><n v="1713.0"/><s v="p. 773"/><n v="773.0"/><s v="p. 378"/><n v="378.0"/><s v="p. 1832"/><n v="1832.0"/><s v="p. 709"/><n v="709.0"/><s v="p. 1531"/><n v="1531.0"/><s v="p. 2"/><s v="p. 335"/><n v="335.0"/><s v="p. 212"/><n v="212.0"/><n v="428.0"/><s v="p. 683"/><n v="683.0"/><s v="p. 1226"/><n v="1226.0"/><s v="p. 776"/><n v="776.0"/><s v="p. 76"/><n v="76.0"/><s v="p. 580"/><n v="580.0"/><s v="p. 389"/><n v="389.0"/><s v="p. 486"/><n v="486.0"/><s v="p. 495"/><n v="494.0"/><s v="p. 633"/><n v="633.0"/><s v="p. 615 (key claim) &#xA;p. S17 (key statistic)"/><n v="615.0"/><s v="p.4"/><s v="p. 4-5"/><s v="p. 245"/><s v="p. 4, 5"/><n v="245.0"/><s v="p.935"/><s v="Page 391"/><n v="390.0"/><s v="p.8"/><n v="391.0"/><s v="Page 106"/><n v="49.0"/><s v="Page 454"/><n v="453.0"/><s v="Page 328-329"/><n v="328.0"/><s v=" p. 16 of replication paper"/><s v="Page 1163"/><n v="1163.0"/><d v="2025-02-01T00:00:00Z"/><n v="55.0"/><d v="2024-10-09T00:00:00Z"/><n v="409.0"/><n v="411.0"/><s v="2,3"/><n v="1171.0"/><s v="Page 169-170"/><n v="170.0"/><s v="p. 2,3"/><n v="809.0"/><s v="Page 796"/><n v="796.0"/><n v="470.0"/><n v="1215.0"/><s v="Page 659"/><n v="649.0"/><s v="Page 9"/><s v="Page 214"/><s v="Page 1070-1071"/><n v="1071.0"/><s v="Page 301-302"/><s v="Page 945"/><n v="945.0"/><s v="Page 869"/><n v="868.0"/><s v="p.16"/><s v="p.26"/><s v="p.25"/><s v="p. 9"/><s v="p. 9-10"/><s v="p. 10"/><s v="Appendix"/><d v="2025-04-01T00:00:00Z"/><s v="Supplementary Information, however link for it found in original paper not working"/><s v="Supplementary Appendix, p12, linked here: https://www.pnas.org/doi/suppl/10.1073/pnas.1717092115"/><s v="p. 22"/><n v="22.0"/><s v="18, 19"/><s v="p. 477"/><s v="4, 7 &amp; 8"/><s v="p. 320"/><s v="p. 437"/><d v="2025-03-02T00:00:00Z"/><s v="p. 11"/><s v="p. 1242"/><s v="p. 192"/><s v="p. 508"/><s v="p. 44"/><s v="p. 457"/><s v="p. 1032"/><d v="2025-05-04T00:00:00Z"/><s v="p. 295"/><s v="p. 522 + p. 519 (Table 1)"/><s v="p. 246"/><s v="p. 33"/><s v="p.  1452"/><s v="p. 487"/><s v="p. 486-487"/><s v="p. 739"/><s v="p. 145"/><s v="p. 574"/><d v="2025-07-06T00:00:00Z"/><s v="p. 768"/><s v="p. 187"/><s v="p. 549"/><s v="p. 396"/><s v="p. 666"/><s v="p. 667"/><s v="p. 109"/><s v="p. 5,8"/><s v="5,8"/><s v="p.17"/><s v="p.11"/><s v="p.10"/><s v="p. 27"/><s v="p.28"/><s v="p.27"/><s v="p.6"/><s v="p. 35"/><s v="p. 35,36"/><s v="p.36"/><s v="p. 36"/><s v="15,17"/><s v="15, 17"/><s v="16, 17"/><s v="11,12"/><s v="p.7"/><s v="p.5"/><d v="1900-01-07T00:00:00Z"/><d v="1900-01-03T00:00:00Z"/><d v="1900-01-10T00:00:00Z"/><s v="13-14"/><s v="p.7 &amp; 8"/><s v="p.9"/><s v="p.4 &amp; 5"/><s v="p. 210"/><s v="p. 670"/><s v="15, 19"/><s v="10, 14, 15"/><s v="p. 116"/><s v="6, 8"/><s v="p 6,8"/><s v="7, 8"/><s v="p. 198"/><s v="pp. 140-141"/><s v="pp. 313-314"/><s v="p. 8, 10"/><s v="6, 7"/><s v="p. 476 / 3"/><s v="9, 10"/><s v="p 10,11"/><s v="10, 11"/><s v="p. 488"/><s v="4, 7"/><s v="p. 166"/><s v="p. 690"/><s v="15, 16"/><s v="p. 355"/><s v="6, 7, 8"/><s v="p.  6"/><s v="p. 226"/><s v="14, 15"/><s v="p. 352"/><s v="p 9,10"/><s v="31, 13, 14"/><s v="p. 31, 13"/><s v="p.31"/><s v="5, 6"/><s v="7, 9"/><s v="8, 10"/></sharedItems></cacheField><cacheField name="n_o"><sharedItems containsBlank="1" containsMixedTypes="1" containsNumber="1" containsInteger="1"><s v="O's sample size [used for the critical test, i.e., after exclusion criteria have been applied], must contain only one value and must not contain text"/><n v="12.0"/><n v="100.0"/><m/><n v="41.0"/><n v="163.0"/><n v="25.0"/><n v="18.0"/><s v="Linguistics"/><n v="1950.0"/><n v="86.0"/><n v="85.0"/><n v="20.0"/><n v="272.0"/><n v="6.0"/><n v="140.0"/><n v="744.0"/><n v="79.0"/><n v="97.0"/><n v="899.0"/><n v="4196.0"/><n v="455.0"/><n v="525.0"/><n v="35.0"/><n v="40.0"/><n v="341.0"/><n v="5.0"/><n v="76.0"/><n v="166.0"/><n v="24.0"/><n v="44387.0"/><n v="96.0"/><n v="93.0"/><n v="63.0"/><n v="34.0"/><n v="2428.0"/><n v="4711.0"/><n v="137.0"/><n v="198.0"/><n v="30.0"/><n v="54.0"/><n v="89.0"/><n v="60.0"/><n v="250.0"/><n v="405.0"/><n v="101.0"/><n v="908.0"/><s v="6506 total (not broken down by governor position/absense)"/><n v="17.0"/><n v="23.0"/><s v="NA"/><n v="68.0"/><n v="1110.0"/><n v="258.0"/><n v="498.0"/><n v="92.0"/><n v="158.0"/><n v="153.0"/><n v="156.0"/><n v="193.0"/><n v="202.0"/><n v="98.0"/><n v="240.0"/><n v="226.0"/><n v="217.0"/><n v="67.0"/><n v="13.0"/><n v="120.0"/><n v="22.0"/><n v="21.0"/><n v="3691.0"/><n v="104.0"/><n v="53.0"/><n v="185.0"/><n v="50.0"/><n v="2.0"/><n v="1068.0"/><n v="395.0"/><n v="149.0"/><n v="316.0"/><n v="674.0"/><n v="4963.0"/><n v="3578.0"/><n v="51.0"/><n v="126.0"/><n v="87.0"/><n v="19.0"/><n v="37.0"/><n v="1232.0"/><n v="1065444.0"/><n v="4300000.0"/><n v="47.0"/><n v="338.0"/><n v="358.0"/><n v="318.0"/><n v="346.0"/><n v="260.0"/><n v="332.0"/><n v="344.0"/><n v="314.0"/><n v="380.0"/><n v="259.0"/><n v="39.0"/><n v="576.0"/><n v="462.0"/><n v="228.0"/><n v="252.0"/><n v="10.0"/><n v="862.0"/><n v="1000.0"/><n v="16.0"/><n v="551.0"/><n v="556.0"/><n v="564.0"/><n v="43.0"/><n v="14.0"/><n v="27.0"/><n v="304.0"/><n v="102.0"/><n v="103.0"/><n v="70.0"/><n v="31.0"/><n v="71.0"/><n v="52.0"/><n v="321.0"/><n v="201.0"/><n v="349.0"/><n v="340.0"/><n v="208.0"/><n v="107.0"/><n v="224.0"/><n v="611.0"/><n v="141.0"/><n v="302.0"/><n v="300.0"/><n v="45.0"/><n v="124.0"/><n v="48.0"/><n v="972.0"/><n v="661.0"/><n v="500.0"/><n v="600.0"/><n v="80.0"/><n v="90.0"/><n v="88.0"/><n v="118.0"/><n v="145.0"/><n v="133.0"/><n v="91.0"/><n v="15.0"/><n v="277.0"/><n v="184.0"/><n v="350.0"/><n v="155.0"/><n v="177.0"/><n v="73.0"/><n v="128.0"/><n v="288.0"/><n v="555.0"/><n v="151.0"/><n v="28.0"/><n v="577.0"/><n v="122.0"/><n v="106.0"/><n v="223.0"/><n v="32.0"/><n v="139.0"/><n v="62.0"/><n v="112.0"/><n v="234.0"/><n v="229.0"/><n v="78.0"/><n v="182.0"/><n v="168.0"/><n v="127.0"/><n v="540.0"/><n v="312.0"/><n v="94.0"/><n v="348.0"/><n v="36.0"/><n v="56.0"/><n v="188.0"/><n v="170.0"/><n v="119.0"/><n v="26.0"/><n v="253.0"/><n v="308.0"/><n v="430.0"/><n v="117.0"/><n v="212.0"/><n v="372.0"/><n v="180.0"/><n v="143.0"/><n v="123.0"/><n v="29.0"/><n v="1800.0"/><n v="2399.0"/><n v="165.0"/><n v="82.0"/><n v="132.0"/><n v="301.0"/><n v="8.0"/><n v="199.0"/><n v="147.0"/><n v="57.0"/><n v="484.0"/><n v="108.0"/><n v="144.0"/><n v="451.0"/><n v="457.0"/><n v="327.0"/><n v="413.0"/><n v="38.0"/><n v="608.0"/><n v="793.0"/><n v="172.0"/><n v="84.0"/><n v="58.0"/><n v="415.0"/><n v="59.0"/><n v="110.0"/><n v="400.0"/><n v="42.0"/><n v="216.0"/><n v="162.0"/><n v="72.0"/><n v="200.0"/><n v="343.0"/><n v="46.0"/><n v="366.0"/><n v="178.0"/><n v="449.0"/><n v="105.0"/><n v="65.0"/><n v="33.0"/><n v="61.0"/><n v="160857.0"/><s v="152 (Problem 1), 155 (Problem 2)"/><n v="307.0"/><n v="64.0"/><n v="69.0"/><n v="356.0"/><n v="114.0"/><n v="115.0"/><n v="357.0"/><n v="77.0"/><n v="75.0"/><n v="152.0"/><n v="213.0"/><n v="210.0"/><n v="197.0"/><n v="298.0"/><n v="81.0"/><n v="207.0"/><n v="735.0"/><n v="142.0"/><n v="323.0"/><n v="408.0"/><n v="504.0"/><n v="704.0"/><n v="426.0"/><n v="167.0"/><n v="519.0"/><n v="370.0"/><n v="554.0"/><n v="273.0"/><n v="480.0"/><n v="440.0"/><n v="218.0"/><n v="324.0"/><n v="96560.0"/><n v="1342.0"/><n v="44.0"/><n v="49.0"/><n v="2646.0"/><n v="181.0"/><n v="1548.0"/><n v="1209.0"/><n v="2612.0"/><n v="154.0"/><n v="631.0"/><n v="157.0"/><n v="83.0"/><n v="171.0"/><n v="251.0"/><n v="377.0"/><n v="179.0"/><n v="160.0"/><n v="368.0"/><n v="189.0"/><n v="186.0"/><n v="109.0"/><n v="194.0"/><n v="74.0"/><n v="236.0"/><n v="280.0"/><n v="125.0"/><n v="173.0"/><n v="4.0"/><n v="3412.0"/><n v="95.0"/><n v="230047.0"/><n v="211.0"/><n v="375.0"/><n v="261.0"/><n v="246.0"/><n v="55.0"/><n v="5167.0"/><s v="Marcora, S. M., Staiano, W., &amp; Manning, V. (2009). Mental fatigue impairs physical performance in humans. Journal of applied physiology. https://doi.org/10.1152/japplphysiol.91324.2008."/><n v="499.0"/><n v="651.0"/><n v="601.0"/><n v="135.0"/><n v="373.0"/><n v="573.0"/><n v="1728.0"/><n v="458.0"/><n v="447.0"/><n v="544.0"/><n v="471.0"/><n v="384.0"/><n v="1593.0"/><n v="3413.0"/><n v="233.0"/><n v="749.0"/><n v="111.0"/><n v="15664.0"/><n v="204.0"/><n v="196.0"/><n v="376.0"/><n v="249.0"/><n v="134.0"/><n v="169.0"/><n v="264.0"/><n v="595.0"/></sharedItems></cacheField><cacheField name="es_value_o"><sharedItems containsBlank="1" containsMixedTypes="1" containsNumber="1"><s v="original effect size value, must contain only one value and must not contain text"/><s v="F(1, 11) = 9.67"/><m/><s v="t(98) = 3.4"/><s v="3.4"/><n v="9.67"/><n v="0.31"/><n v="0.3"/><n v="1.12"/><n v="0.17"/><n v="-0.42"/><n v="-0.04"/><n v="0.34"/><s v="Perceptual processing - Spanish Consonant"/><n v="0.13"/><n v="-0.06"/><n v="0.23"/><n v="0.07"/><s v="t(84) = 2.38"/><s v="t(84)=2.64"/><s v="t(84)=.27"/><s v="F(3, 57) = 3.818"/><n v="6503.0"/><s v="F(3, 57) = 2.215"/><s v="F(3, 57) = 6.503"/><n v="1.21"/><n v="1.33"/><n v="2.8"/><n v="1.03"/><n v="1.14"/><n v="-0.85"/><s v="−0.76"/><n v="0.66"/><n v="0.58"/><n v="0.75"/><n v="0.61"/><n v="0.57"/><s v="X2(1) = 1.62"/><s v="X2(1) = 0.53"/><s v="X2(1) = 0.51"/><s v="X2(1) = 0.37"/><n v="2.0"/><n v="2.97"/><n v="2.35"/><n v="3.05"/><n v="2.68"/><n v="2.16"/><n v="2.46"/><n v="1.99"/><n v="2.41"/><s v="needs to be calculted"/><n v="-0.48"/><n v="-0.82"/><n v="-0.52"/><n v="1.04"/><n v="1.56"/><n v="0.95"/><n v="1.19"/><n v="-0.13"/><n v="0.06"/><n v="-0.01"/><n v="0.09"/><n v="415.0"/><n v="201.0"/><n v="-226.0"/><n v="1.0"/><n v="62.0"/><n v="0.98"/><n v="1.11"/><n v="-0.18"/><s v="needs to be calculated"/><n v="0.16"/><n v="0.27"/><n v="10.87"/><n v="3.08"/><n v="2.11"/><n v="0.35"/><n v="-0.2"/><n v="0.22"/><n v="0.19"/><s v="−.03"/><s v=" z = 2.81, N = 34"/><s v="X2(3) = 35,419.8"/><s v="X2(26) = 1163.1"/><s v="X2(11) = 2302.6"/><n v="0.4"/><n v="0.08"/><n v="0.37"/><n v="0.04"/><n v="0.39"/><n v="2.38095238095"/><n v="-0.69"/><n v="-0.7"/><n v="-33.42"/><n v="29.71"/><n v="28.31"/><n v="-1.4"/><n v="-0.63"/><s v="−0.30"/><s v="−0.33"/><s v="X2(8) = 104.09"/><n v="0.556"/><n v="0.067"/><n v="0.518"/><n v="0.056"/><n v="0.571"/><n v="0.072"/><n v="0.059"/><n v="0.73"/><n v="0.74"/><n v="0.84"/><s v="F&lt;1"/><n v="0.233"/><n v="0.917"/><n v="0.519"/><n v="0.536"/><s v="F&lt; 1.4"/><n v="0.057"/><n v="0.1"/><n v="0.069"/><n v="0.078"/><n v="0.084"/><n v="0.822"/><s v="Fs&lt;1"/><s v="Fs &lt; 1.4"/><s v="F(2,57) = .105"/><s v="F(1,57) = 0.011"/><s v="F(2,57) = 0.404"/><s v="F(2,57) = .288"/><s v="F(2,57) = 0.272"/><s v="F(1,57) = 2.526"/><s v="t = 2.82"/><s v="t = 5.06"/><s v="N/A"/><n v="0.042"/><n v="0.48"/><n v="0.21"/><n v="0.423"/><n v="0.79"/><n v="0.18"/><n v="0.45"/><n v="0.24"/><n v="0.25"/><n v="0.14"/><n v="0.38"/><n v="0.55"/><n v="-0.903"/><n v="1.445"/><n v="0.354"/><n v="0.583"/><n v="0.314"/><n v="0.52"/><n v="4.4"/><n v="4.0"/><n v="5.7"/><n v="1.3"/><n v="0.78"/><n v="228.4"/><n v="4.9"/><n v="53.2"/><s v="NA"/><s v="X2(712) = 1991.413"/><s v="X2(1)=22.77"/><s v="X2(1)=0.03"/><s v="X2(1)=11.59"/><s v="X2(1)=24.44"/><s v="X2(1)=23.46"/><s v="X2(1)=37.43"/><s v="X2(1)=42.12"/><s v="X2(1)=1.4"/><s v="X2 =1.4"/><n v="0.32"/><n v="44.25"/><n v="7.0"/><n v="7.5"/><n v="4.5"/><n v="8.0"/><n v="-3.0"/><n v="-4.5"/><n v="-2.5"/><n v="-13.5"/><n v="4.32"/><n v="12.9"/><n v="3.692"/><n v="0.428"/><s v="F(1, 19) = 2.80"/><s v="F(1, 19) = 0.13"/><n v="0.41"/><s v="F(1, 19) = 1.19"/><n v="0.28"/><n v="0.15"/><n v="0.598"/><s v="F(6, 183) = 4.02"/><n v="-0.374"/><s v="F(1, 183) = 4.07, p &lt; .05"/><n v="0.9"/><s v="F (1, 183)= 12.41, p&lt;.01"/><s v="F(1,200) = 1.65"/><s v="F(1,94) = 2.16 "/><s v="F(1,200) = 1.08"/><n v="0.02"/><s v="F(1,94) = .13"/><s v="F(1,200) = 0.39"/><s v="F(1,200) = 1.32"/><s v="F(1,234)= 0.002"/><s v="F(1,234) = 3.25"/><s v="F(1,234) = 1.35"/><n v="14.4"/><n v="17.93"/><s v="F(1, 235) = 14.40"/><s v="F(1, 235) = 17.93"/><s v="F(1, 235) = 5.56"/><n v="0.1082"/><n v="0.1116"/><n v="0.1697"/><n v="0.1348"/><n v="0.0353"/><n v="0.0422"/><s v="t(91) = 2.97"/><n v="2.72"/><n v="1.195"/><s v="F(1,20) = 3.57"/><n v="0.118"/><n v="-0.204"/><n v="-0.512"/><n v="-0.27"/><s v="F = 2755"/><s v="F = 526"/><s v="F = 7710"/><s v="X2 = 16.1"/><n v="0.65"/><n v="0.68"/><n v="0.29"/><s v="Main: all F's &lt; 1&#xA;Interaction:  F(1,64) = 9.70&#xA;Simple: non expert - F(1,64) = 4.77, expert - F(1,64) = 4.94"/><s v="F(1, 64) = 4.60"/><s v="Main: all F's &lt; 1&#xA;Interaction:  F(1,64) = 11.02&#xA;Simple: non expert - F(1,64) = 7.43, expert - F(1,64) = 3.97"/><s v="F(1, 64) = 2.36"/><s v="F(1, 64) = 9.70"/><s v="F(1, 64) = 11.02"/><n v="0.96"/><n v="0.8"/><n v="0.33"/><n v="0.0"/><n v="-0.49"/><n v="-0.68"/><s v="X2 = 67.52"/><s v="X2 = 26.07"/><s v="X2 = 39.22"/><n v="-0.65"/><n v="-0.16"/><n v="-0.41"/><n v="-1.45"/><n v="-0.21"/><n v="-0.11"/><n v="0.204"/><n v="0.163"/><n v="0.066"/><n v="11.83"/><n v="9.41"/><n v="4.1"/><n v="0.853"/><n v="0.355"/><n v="0.201"/><n v="621.0"/><n v="3.23"/><s v="−3.54"/><s v="−2.44"/><s v="−3.16"/><s v="Regression discontinuity estimator = -3.54, robust SE = 1.44, robust CI (-6.37, -0.7)"/><n v="0.273"/><n v="0.292"/><n v="0.269"/><n v="0.309"/><n v="0.324"/><n v="-0.058"/><n v="0.26"/><n v="-0.005"/><n v="0.215"/><n v="-0.043"/><n v="-0.15"/><n v="0.029"/><n v="0.062"/><n v="0.72"/><n v="3.83"/><n v="0.36"/><n v="0.5"/><n v="4.18"/><n v="-0.5"/><n v="30.41"/><n v="2.84"/><n v="24.6"/><n v="683.5"/><n v="0.62"/><n v="0.85"/><n v="0.44"/><s v="F(1,22) = 17.62"/><s v="F(1,22) =121.10"/><s v="F(1,22) = 35.41"/><s v="F(I,15) = 214.17"/><s v="F(1,15) = 34.34"/><s v="F(I,22) = 11.09"/><s v="F(I,22) = 13.53"/><s v="F(I,22) = 30.8"/><s v="F(l,20) = 31.04"/><s v="F(l,20) = 23.33"/><s v="F(I,20) = 33.24"/><s v="F(1,20) = 55.60"/><s v="F(1,20) = 41.96"/><s v="F(1,20) = 6.48"/><n v="-3.22"/><n v="-0.99"/><n v="-3.56"/><n v="1.26"/><n v="1.53"/><n v="-0.84"/><n v="7.13"/><n v="1.59"/><n v="0.6"/><s v=" F(2, 26) = 5.68"/><s v="F(2, 26) = 1.49"/><s v="F(2, 26) = 1.72"/><n v="5.93"/><n v="6.12"/><n v="7.17"/><n v="5.16"/><n v="16.69"/><n v="2.34"/><n v="27.5"/><n v="9.26"/><n v="20.47"/><n v="3.97"/><n v="9.4"/><n v="24.91"/><n v="51.07"/><n v="9.2"/><n v="10.35"/><n v="3.85"/><n v="2.87"/><n v="0.811"/><n v="0.47"/><n v="10.76"/><n v="0.241"/><n v="0.71"/><n v="0.83"/><n v="0.87"/><n v="0.198"/><n v="0.217"/><n v="0.46"/><s v="0.20"/><n v="0.2"/><n v="0.11"/><s v="F(1,236) = 9.25"/><s v="F(1,236) = .0006"/><s v="X2(1)=4.46"/><s v="X2(1)=6.80"/><s v="X2(1)=4.12"/><s v="F(1,21) = 25.75"/><n v="1.523"/><n v="1.32"/><n v="-0.32"/><s v="F(2,212) = 297.20"/><s v="F(2, 212) = 185.49"/><n v="0.05"/><n v="1.4"/><n v="0.863"/><n v="-0.17"/><n v="-0.1"/><n v="7.46"/><s v="F(1, 137) = 7.46"/><n v="2.42"/><n v="-0.02"/><n v="5.12"/><s v="F(1, 257) = 11.58"/><n v="0.40700273690976"/><s v="χ²(1) = 0.003"/><n v="0.43"/><s v="z = 2.6"/><s v="t(148) = 0.83"/><n v="11.5"/><n v="0.869"/><n v="0.792"/><s v="F(2, 1458) = 129.4"/><n v="-0.24"/><n v="0.612803903785751"/><s v="0.6128039037857511"/><n v="0.56"/><n v="0.51"/><s v="F(1, 121) = 0.02"/><n v="0.53"/><s v="t(116) = 2.61"/><s v="F(1, 121) = 0.87"/><s v="F(2, 121) = 0.92"/><n v="75.02"/><n v="0.49"/><n v="1.25"/><n v="0.94"/><s v="F &lt; 1"/><s v="(F(1,14) = 4.1"/><s v="F(1, 14) = 4.1"/><s v="F(2, 550) =125.46"/><n v="0.024"/><n v="0.373"/><n v="0.004"/><s v="-0.61."/><n v="0.612825877028341"/><n v="4.15"/><s v="F(1,116) = 17.34"/><s v="F(1,116) = 22.88"/><s v="F(1,116) = 4.15"/><n v="1.06"/><n v="-0.31"/><n v="-1.0"/><n v="-1.36"/><n v="-0.78"/><n v="-0.77"/><n v="0.56766426264502"/><n v="9.599"/><n v="9.199"/><n v="3.4"/><n v="0.909968602284088"/><s v="t(20) = 4.17"/><n v="0.594"/><n v="0.76"/><n v="0.625"/><n v="0.7"/><s v="F(6, 912) = 21.92"/><s v="F(1, 145) = 2.10"/><n v="0.03"/><n v="0.01"/><n v="0.002"/><s v="F(1, 98) = 22.39"/><n v="5.68"/><n v="2.27"/><n v="1.65"/><n v="0.212"/><n v="0.477"/><n v="-0.45"/><s v="F(1, 19) = 47.54"/><n v="0.124354626824745"/><n v="0.051"/><s v="t(105) = -3.20"/><s v="t(105) = -1.96"/><s v="t(105) = -1.51"/><s v="F(5, 16) = 285.81"/><n v="0.99"/><n v="-1.09"/><n v="-1.54"/><n v="-0.26"/><s v="F(3, 129) = 31.45"/><n v="1.012734458295901"/><s v="F(1, 46) = 7.89"/><n v="2.91"/><n v="0.81"/><n v="0.93"/><n v="0.67"/><s v="F(1, 62) = 17.21"/><n v="0.548480826803157"/><s v="Z = 3.1, N = 10"/><s v="X2(2) = 9.5"/><n v="2.44"/><s v="F(1, 126) = 8.91"/><n v="0.018"/><s v="X2(1) = 27.2"/><s v="X2(1) = 15.3"/><n v="163.22"/><n v="0.478"/><n v="0.507361593764794"/><n v="0.63"/><n v="0.64"/><s v="F(1, 83) = 7.55"/><n v="0.144"/><n v="0.043"/><s v="t(556) = 6.55"/><s v="F(3, 156) = 10.70"/><s v="t(28) = 4.83"/><s v="X2(1) = 5.59"/><n v="32.04"/><n v="1.72"/><s v="F(1, 17)  8.01"/><n v="0.6864229531"/><n v="1.025"/><n v="1.026"/><n v="1.028"/><n v="1.027"/><n v="0.997"/><n v="0.999"/><n v="1.01"/><n v="1.009"/><n v="0.989"/><n v="0.034"/><s v="F(1, 21) = 22.80,"/><n v="1.15"/><n v="1.27"/><s v="0.022356441140367795"/><s v="F(1, 344) = 84.58"/><n v="0.691"/><n v="0.132"/><n v="0.322"/><s v="F(1, 34) = 5.68"/><n v="0.113056437869578"/><s v="t(4408) = 3.73"/><n v="-1.79"/><n v="-0.75"/><n v="0.849411594880563"/><s v="F(1,117) = 127.0"/><s v="F(1,117) = 127.07"/><s v="prop:15/31,8/32"/><n v="3.28"/><n v="0.92"/><s v=" F(1,655) = 14.5"/><s v=" F(1,655) = 6.9"/><s v="F(1,655) = 19.1"/><s v="F(1,655) = 13.3"/><n v="0.8605"/><n v="0.356"/><s v="t (19) = 1.26"/><s v="F(1,151)=9.40"/><n v="-0.29"/><s v="−0.17"/><s v="prop:8/26,21/26"/><n v="1.84377344"/><s v="t(199) = 13.07"/><s v="F(1,431) = 5.24"/><s v="(F(1,431) = 5.24"/><s v="F(1,431) = 4.63"/><n v="1.28"/><s v="F(1, 113) = 6.12"/><s v="t(105) = -3.34"/><n v="0.655414885369319"/><n v="3.37"/><s v="prop45/73,28/70"/><n v="0.727147426592434"/><s v="F(1,134)=4.03"/><s v="X2(2) = 8.14"/><n v="0.414462472492135"/><s v="F(1, 161) = 7.00"/><s v="t(96)=2.310"/><n v="1.011"/><s v="F(1,62.9)=8.5"/><s v="F(1, 62.9) = 8.5"/><s v="t(131) = 3.246"/><n v="0.075"/><s v="t(99)=-6.354"/><n v="0.6354"/><n v="0.724143923"/><n v="0.724143923024744"/><n v="0.618"/><s v="bseb=0.089(1.434)"/><s v="bseb=-3.096(1.981)"/><s v="bseb=-4.352(2.135)"/><s v="bseb=-4.976(2.028)"/><s v="proportion: 99/144"/><s v="F(1, 59) = 77.05"/><s v=" F(1, 59) = 77.05"/><n v="0.106"/><n v="-0.88"/><n v="0.137"/><n v="0.2017478108"/><n v="0.2017478108351"/><s v=" prop:27/38,0/38"/><n v="0.4365620244"/><n v="0.436562024402928"/><n v="0.69"/><n v="1.233398852"/><s v="F(1, 55) = 83.67"/><n v="5.41602791419206"/><n v="0.450767238816211"/><n v="0.4939804315"/><n v="0.472"/><n v="0.459"/><s v="t(99)=2.29"/><s v="F(1,34)=5.89"/><n v="0.5062683995"/><n v="0.506268399475705"/><n v="1.18059532"/><n v="60502.0"/><n v="1.49"/><n v="0.82"/><n v="1.23"/><s v=" F(1, 76) = 11.53"/><n v="1.09"/><s v=" t(105)=-2.42"/><n v="0.329099978906873"/><n v="0.146"/><s v="F(1, 39) = 6.48"/><s v=" F(1,97) = 7.86"/><s v="F(1,97) = 7.8"/><s v="t(57) = 1.82"/><n v="0.473887635970198"/><s v="−0.27"/><n v="-1.158"/><n v="1.15827489621123"/><n v="7.212"/><s v="F1(1, 23) =92.34"/><n v="0.3683339626988576"/><n v="2.899"/><n v="2.8987760989718647"/><n v="0.643"/><n v="0.27150462314373774"/><n v="1.9999999999999996"/><n v="33.43"/><n v="2.997"/><n v="2.217"/><n v="5.135086696465202"/><n v="9.34"/><n v="0.335"/><n v="0.035"/><n v="-2.739"/><n v="-4.2"/><n v="-0.116"/><n v="-0.181"/><n v="-2.914"/><n v="57.8"/><n v="5.92"/><n v="5.318181818181818"/><n v="23.8"/><n v="0.0517"/><n v="2.039636127355425"/><n v="0.5414312553775226"/><n v="1.5"/><n v="0.602"/><s v="F(1, 82) = 6.40"/><s v="t(23) = 2.42"/><n v="0.8705228793740944"/><n v="0.388"/><s v="F(1, 46) = 4.50"/><n v="0.453"/><n v="0.104"/><s v="t(34) = 2.37"/><n v="0.377"/><s v="F(1,18)=30.53"/><n v="0.793"/><n v="10.95"/><n v="0.141"/><n v="0.267"/><s v=", t(14) = 13.07"/><n v="0.961"/><n v="0.371"/><n v="0.437"/><n v="1.76767426631627"/><n v="0.674"/><n v="3.17"/><n v="0.197"/><s v="X2 = 16.3"/><n v="0.525"/><n v="1.301"/><n v="0.59"/><n v="0.289"/><n v="0.38892740882854915"/><n v="0.223"/><n v="0.816"/><s v="U=717 (48,15), z=5.761"/><n v="0.631"/><s v="F(1, 38)=3.63"/><n v="-0.96"/><s v="F(2, 56) = 7.58"/><s v="t(38) = 3.47"/><s v="t(37) = 3.50"/><n v="0.42"/><s v="F(1, 137) = 50.46"/><n v="1.1"/><n v="1.071"/><s v="t(28) = 2.86"/><s v="F(1, 127) = 8.8"/><s v="Not explicitly reported."/><n v="0.671"/><s v="F(1, 62) = 14.05"/><n v="0.77"/><s v="χ² = 4.57"/><s v="F(1, 58) = 4.26"/><n v="1.87"/><s v="t(102) = 7.99"/><s v="F(1,25) = 6.99"/><s v="χ² = 5.02"/><s v="X2 = 5.02"/><s v="F(1, 68) = 5.52"/><s v="0.30; X2 = 3.86"/><s v="t(99)=-0.15"/><n v="0.86"/><s v="F1,65 = 4.07"/><s v="F1,65 = 0.01"/><s v="F(1, 110) = 22.45"/><n v="0.767"/><n v="0.033"/><n v="0.048"/><s v="t(49) = 2.12"/><n v="4.35"/><n v="2.04"/><s v="Not reported"/><s v="t(49) = 2.26"/><s v="negative 0.42"/><s v="0.44"/><s v="negative 0.19"/><n v="-0.34"/><s v="t(239) = 2.20"/><n v="0.045"/><n v="2.43"/><s v="unavailable&#xA;"/><n v="0.12"/><s v="negative 0.49"/><s v="F(1, 58) = 8.56"/><s v=" F(1, 58) = 5.06"/><s v=" F(1, 58) &lt; 1"/><s v="F(1, 58) = 5.06"/><n v="0.951"/><s v="t(94) = 4.66"/><n v="1.45"/><s v=" t(205) = 10.60"/><n v="-0.486"/><n v="0.387"/><s v="t(140) = 2.08"/><s v="F(1,85) = 4.36"/><s v="t(196) = 6.34"/><s v="z = 3.207, N = 24"/><s v="z = 3.207"/><s v="t(404) = 2.151"/><s v="t(502) = 2.10"/><s v="t = –2.15"/><s v="t = -2.15"/><n v="1.751"/><s v="t(424) = 18.02"/><s v="F(1,119) = 54.23"/><n v="0.331"/><s v="t(165) = 2.07"/><s v=" t(173.36) = 5.37"/><s v="t(173.36) = 5.37"/><n v="0.008"/><s v="F(1,551) = 4.61"/><s v="X2(1) = 6.7"/><s v="(𝜒²(1) = 6.7"/><n v="-0.23"/><s v="t = 2.26"/><s v="X2(1)=21.7"/><s v="χ²(1) = 21.7"/><n v="0.353"/><s v="t(201) = 17.51"/><s v="t(201) = 10.93"/><s v="X2 = 10.48"/><s v="X2(n = 258)=10.48"/><s v="negative 0.04"/><n v="-0.38"/><n v="-0.03"/><n v="-0.14"/><s v="α = 0.773, (0.11)"/><s v="α = 0.530, (0.142)"/><s v="α = 0.464, (0.127)"/><s v="α = 0.633, (0.193)"/><s v="α = 0.543, (0.144)"/><s v="α = 0.513, (0.134)"/><s v="α = -0.375, (0.134)"/><s v="α = -0.239 , (0.156)"/><s v="α = 0.218 , (0.124)"/><s v="α = -0.179, (0.124)"/><s v="α = -0.203, (0.115)"/><s v="α = -0.215, (0.128)"/><s v="α = -0.067, (0.063)"/><s v="α = -0.123, (0.095)"/><s v="α = -0.062, (0.088)"/><s v="α = 0.012, (0.115)"/><s v="α = 0.011, (0.073)"/><s v="α = -0.029, (0.078)"/><s v="α = -0.093, (0.038)"/><s v="α = 0.057, (0.066)"/><s v="α = -0.248, (0.062)"/><s v="α = 0.063, (0.068)"/><s v="α = 0.055, (0.047)"/><s v="α = 0.101, (0.068)"/><s v="X2(15) = 15.3 "/><s v="X2(11) = 11.3 "/><s v="X2(13) = 11.4"/><s v="X2(13) = 9.4 "/><s v="X2(13) = 11.7"/><s v="X2(13) = 9.7 "/><s v="α = 0.498, (0.063)"/><s v="α = 0.534, (0.115)"/><s v="α = 0.504, (0.081)"/><s v="α = 0.554, (0.105)"/><s v="α = 0.610, (0.082)"/><s v="α = 0.661, (0.154)"/><s v="α = -0.277, (0.048)"/><s v="α = -0.239, (0.146)"/><s v="α = -0.010, (0.066)"/><s v="α = -0.311, (0.141)"/><s v="α = -0.359, (0.103)"/><s v="α = -0.365, (0.13)"/><s v="α = 0.082, (0.193)"/><s v="α = 0.054, (0.292)"/><s v="α = 0.139, (0.173)"/><s v="α = 0.374, (0.284)"/><s v="α = 0.428, (0.229)"/><s v="α = 0.199, (0.3)"/><s v="α = 0.453, (0.21)"/><s v="α = 0.309, (0.211)"/><s v="α = 0.22, (0.27)"/><s v="α = -0.340, (0.208)"/><s v="α = -0.403, (0.222)"/><s v="α = -0.252 , (0.226)"/><n v="-0.004"/><n v="1.097"/><n v="0.031"/><s v="F = 35.46"/><s v="t(39) = 3.39"/><s v="t(19) = 4.49"/><s v=" t(19) = .88"/><s v="z = 2.32, N = 100"/><n v="2.32"/><n v="2.446"/><n v="0.757"/><n v="15.251207729468597"/><n v="65.46280991735539"/><s v="F(1, 78) = 17.27"/><s v="F(1, 78) = 12.8"/><s v="F(1, 78) = 17.7"/><s v="t(68) =  3.32"/><s v="t(68) = 3.32"/><s v="t(68) = 2.20"/><s v="t(68)  = 3.49"/><n v="5.2025862068965525"/><n v="4.96"/><n v="2.02"/><n v="0.547"/><s v="t(153) = 2 .99, p &lt; .01 . "/><s v="t(45) = 2.24"/><s v="F(1, 25) = 6.99"/><s v="F(1, 535) = 9.14"/><s v="F(2, 535) = 4.82"/><s v="F(2,288) = 4.74"/><s v="F(2,288) = 3.88"/><s v=" t(39) = 2.01"/><s v="F(1, 224) = 4.73"/><s v="t(115) = 3.05"/><n v="1.2564102564102562"/><n v="4.333333333333333"/><s v="z = 2.48, N = 170"/><s v="z = 2.48"/><s v="t(101) = 5.70"/><s v="t(101) = 0.71"/><s v="t(101) = 1.98"/><s v="t(17) = 3.68"/><s v="t(17) = 2.09"/><s v="F (1, 151) = 4.25"/><s v="t(82) = 3.13"/><s v="t = 3.13"/><n v="0.623"/><n v="0.638"/><n v="0.283"/><n v="0.819"/><n v="0.411"/><n v="0.615"/><n v="0.245"/><n v="0.796"/><n v="0.336"/><s v="F(1, 35) = 6.93"/><s v="F(1, 35) =4.83"/><s v="F(1, 35) = 4.83"/><n v="0.006"/><n v="-0.51"/><s v="F(1, 375) = 53.91"/><s v="F(1, 375) = 6.48"/><s v="F(1, 375) = 10.02"/><s v="F(4, 1500) =1.24"/><s v="(F(1, 375) = 10.02"/><s v="(F(4, 1500) =1.24"/><n v="1.08"/><s v="F(1, 175) = 8.60"/><s v="B= 1.46, SE = .51, Wald = 8.07"/><s v="B = 1.15, SE = .48, Wald = 5.70"/><s v="B 1= .31, SE = .56, Wald = .30"/><s v="F(1, 156) = 209.4"/><s v="F(1, 156) = 4.14"/><s v="F(1, 156) = 3.96"/><s v="F(1, 156) = 4.42"/><s v="F(1, 367)=63.87"/><s v="t(188)=5.33"/><s v="t(185)=5.37"/><s v="F(1, 75) = 7.13"/><s v="F(1, 75) = 4.95"/><s v="F(1, 75)= 7.35"/><s v="χ 2 = 5.42"/><s v="X2 = 5.42"/><s v="F(1, 117) = 9.51"/><s v="F(1, 121) = 4.34"/><s v="(F(1, 117)  = 3.84,"/><s v="F(1, 118) =  9.39"/><s v="F(1, 121) =  7.77"/><s v="F(1, 118) = 4.78"/><s v="(F(1, 117) = 9.51"/><s v="F(1, 117) = 3.84"/><s v="F(1, 118) = 9.39"/><s v="F(1, 121) = 7.77"/><s v="(F(1, 118) = 4.78"/><s v="F(1, 76) = 14.47"/><s v="F(1, 76) = 3.20"/><s v="F(2, 106)=7.63"/><n v="0.113"/><n v="0.226"/><s v="F(2, 106) = 7.63"/><s v="F(1, 106) = 8.17"/><s v="F(1, 106) = 4.36"/><s v="(F(2, 173) = 6.62,"/><s v="t(173) = 2.28"/><s v="t(173) = -2.80"/><s v="F(2, 173) = 6.62"/><s v="F(1, 72) = 5.26"/><s v="F(1, 72) = 12.61"/><s v="F(1, 13) = 7.11"/><s v="F(1, 28) = 26.69"/><n v="0.326"/><s v="F(1, 55) = 6.88"/><s v="t(31) = 3.23"/><s v="t(172) = 3.94"/><s v="F(18, 660) = 16.31"/><n v="0.308"/><s v="r = -0.38"/><n v="3.25"/><s v="t(7) = 2.76"/><s v="F(1, 34) = 5.89"/><s v="t(28) = 4.98"/><s v="0.80; F(1, 26) = 4.17"/><s v="F(2, 68) = 41.59"/><n v="-4.0"/><s v="t(28) = 3.04"/><s v="F(2, 162) = 192.89"/><s v="F(1, 76) = 109.74"/><n v="1.71"/><s v="F(1, 194) = 7.16"/><s v="F(1,194) = 7.16"/><n v="0.038"/><s v="F(1, 13) = 14.2"/><s v="t(7) = 4.45"/><s v="ts(7) = 4.45"/><n v="-0.43"/><s v="F(1, 44) = 13.42"/><s v="X2(1, N=56) = 4.51"/><s v="F(1, 17) = 9.33"/><s v="F(2, 76) = 8.67"/><s v="F(1, 23) = 13.71"/><s v="F(3, 93) = 5.23"/><s v="F(1, 152) = 23.176"/><n v="1.51"/><n v="0.026"/><s v="F(1,31) = 4.1"/><s v="F(1, 31) = 4.1"/><n v="1.023"/><s v="F(1, 24) = 5.29"/><s v="F(1, 36) = 22.88"/><s v="F(1,11) = 4.8"/><s v="F(1, 11) = 4.80"/><s v="z = 3.1, N = 68"/><s v="z = 3.1"/><s v="F(1, 190) = 10.49"/><s v="F(1, 190) = 10.49,"/><s v="F(2, 64) = 10.17"/><s v="t(67) = 3.08"/><s v="F(21, 230025) = 118.15"/><n v="-32.04"/><s v="F(1,31) = 8.38"/><s v="F(1, 31) = 8.38"/><s v="F(2, 92) = 4.36"/><s v="F(1, 31) = 5.14"/><s v="F(1, 99) = 16.62"/><n v="0.1433"/><s v="t(23) = 3.55"/><s v="t(108) = -2.34"/><s v="F(2, 76) = 21.57"/><s v="F(1, 116) = 4.15"/><s v="Av. Proportion = 0.78"/><s v="Observed proportion = 78%, hypothesized proportion = 33%"/><s v="F(1,99) = 103.7"/><s v="F(1, 99) = 103.7"/><n v="0.493"/><s v="X^2(1, N=37) = 3.85"/><s v="X2(1, N = 37) = 3.85"/><s v="F(1, 242) = 10.47"/><s v="F(2, 43) = 3.36"/><s v="r = 0.30"/><s v="X2(1, N=52) = 13.18"/><s v="F(1, 73) = 12.19"/><s v="0.66"/><s v="beta = -0.001"/><s v="F(1, 63) = 6.45"/><s v="F(1,99) = 4.00"/><s v="X2 = 2.88"/><s v="X2 = 0.00"/><n v="0.348"/><s v="10.1152/japplphysiol.91324.2008"/><n v="0.375"/><s v="F(1, 79) = 110.19"/><s v="F(1,79) = 110.19"/><s v="F(4, 76) = 495.31"/><s v="F(1, 79) = 5.02"/><s v="F(16, 64) = 4.85"/><n v="0.352"/><n v="0.167"/><s v="F(1, 46) = 6.45"/><s v="t(48) = 1.92"/><s v="F(2, 134) = 0.60"/><s v="t(133)  = .284"/><s v="F1(1, 42) = 168.4, F2(1, 76) = 48.1"/><s v="t1(21) = 13.5"/><s v="t(78) = 0.71"/><n v="0.234"/><n v="0.305"/><n v="0.219"/><n v="0.321"/><n v="0.285"/><n v="0.277"/><n v="0.134"/><n v="0.183"/><s v="F(6, 886)=3.05"/><n v="0.803"/><s v="F(I, 444) = 4,88"/><n v="0.287"/><s v="F{1, 535) = 9.14"/><n v="0.303"/><s v="F(8, 1066) = 1.99"/><n v="0.265"/><s v="F(2, 535) = 3.64"/><s v="F(2, 535) = 6.16"/><s v="F{1, 535) = 4.94"/><s v="F(2, 444)=7.07"/><s v="F( 1, 535) = 12.27"/><s v="χ²(2, N = 1593) = 1061.72"/><s v="χ²(2, N = 1593) = 166.88,"/><s v="χ²(6, N = 1593) = 62.25"/><s v="X2(6,1593) = 62.25"/><s v="F(2, 444) = 2.47"/><s v="F(2, 444) = 2.76"/><s v="F(1, 444) = 11.09"/><s v="F ( l , 444) = 3.04"/><s v="F(I, 444) = 4,88,"/><s v="negative 0.29"/><s v="X2(1) = 16.3"/><s v="X2(1) = 4.500"/><s v="F(1, 298) = 36.375"/><s v="F(1, 295) = 52.81"/><s v="F(1, 294) = 44.973"/><s v="F(1, 297) = 18.84"/><s v="F(1, 301) = 36.45"/><s v="0.43"/><s v="t(3411) = 21.5"/><n v="0.6878307"/><s v="F(1, 213) = 13.05"/><s v=" F{1, 213) = 13.05"/><s v="F(2, 313) = 11.2"/><s v="F(1, 313) = 23.92"/><s v="F(1, 313) = 48.59"/><s v="F(1, 213) = 9.59"/><s v="F(1, 313) = 56.28"/><s v="F(1, 313) = 188.2"/><s v="F (2, 218) = 20.7"/><s v="0.39"/><s v="t(70) = -2.55"/><s v="F(1, 113) = 4.10"/><s v="X@(1) = 107.81"/><s v="X2(3) = 247.97"/><n v="1.35"/><s v="X2(1) = 81.52"/><n v="2.71"/><s v="X2(1) = 231.60"/><s v="X2(1) = 59.48"/><n v="1.13"/><s v="X2(1) = 49.08"/><n v="1.62"/><s v="0.28"/><s v="F(1, 368) = 31.127"/><s v="0.25"/><s v="0.18"/><s v="0.19"/><s v="0.48"/><s v="X2(1) = 0.9026"/><s v="sobel test = 2.286"/><s v="t(132) = 2.973"/><s v="t(132) = - 2.319"/><s v="t(160) = 2.58"/><n v="0.54"/><n v="3296.0"/><s v="F(1, 260) = 99.46"/><s v="F (1, 260) = 99.46"/><s v=" F (2,260) = 1.45"/><s v="F(2,260) = 1.45"/><s v=" F (2,260) = 0.191"/><s v="F(2,260) = 0.191"/><s v="t(77) = 2.65"/><s v="0.568"/><n v="0.568"/><s v="0.764"/><s v="F(1, 8) = 1"/><s v="F(1, 8) = 18"/><s v="F(1, 9) = 30.519"/><s v="F(1,8) = 21.333"/><s v="F(1,8) = 18"/><s v="X2(1) = 5.76"/><s v="Regression discontinuity estimator = -2.44, robust SE = 1.22, robust CI (-4.82, -0.05)"/><s v="Regression discontinuity estimator = -3.16, robust SE = 1.03, robust CI (-5.18, -1.14)"/><n v="0.718"/><n v="0.552"/><s v="-1.069"/><s v="F = 41.32"/><s v="F = 3.37"/><s v="F = 4.21"/><s v="gamma = 0.075"/><s v="pi = 0.686"/><s v="pi = 0.061"/><s v="pi = 0.062"/><s v="pi = 0.046"/><s v="pi = 0.050"/><s v="pi = 0.078"/><s v="pi = 0.025"/><n v="0.6814"/></sharedItems></cacheField><cacheField name="es_type_o" numFmtId="0"><sharedItems containsBlank="1"><s v="original effect size type (e.g., d, r, r², etasq)"/><s v="test statistic"/><m/><s v="r"/><s v="d"/><s v="partial r"/><s v="NA"/><s v="beta"/><s v="beta (std)"/><s v="hedges' g"/><s v="OR"/><s v="delta"/><s v="etasq (partial)"/><s v="etasq"/><s v="b (unstd)"/><s v="F"/><s v="dv"/><s v="descriptive "/><s v="Strength of centrality of the nodes"/><s v="r-squared"/><s v="cohen's h"/><s v="Cronbach's alpha"/><s v="cramer's V"/><s v="cohen's f"/><s v="proportion"/><s v="kendall's w"/><s v="median difference"/><s v="Mean difference"/><s v="Difference Between Means"/><s v="mean coefficient"/><s v="ordered probit regression coefficient"/><s v="probit beta (marginal change in odds)"/><s v="percentage difference"/><s v="Difference of average per-period total surplus between the two treatments."/><s v="Phi"/><s v="omega squared"/><s v="Standard deviation units"/><s v="q"/><s v="z"/><s v="omega"/><s v="partial r-square"/><s v="dz"/></sharedItems></cacheField><cacheField name="es_repr_o"><sharedItems containsBlank="1" containsMixedTypes="1" containsNumber="1"><s v="Reproducible origin/calculation method for es_value_o (&quot;p. xx&quot; when reported, link when available online - e.g., OSF, otherwise calculation process)"/><s v="p. 7"/><m/><s v="p.31"/><s v="p. 16, 31"/><s v="p. 137"/><s v="t(18) = 1.92"/><s v="p. 23"/><s v="The study measured the perceptual processing of Spanish consonants using the speeded ABX categorization task."/><s v="p. 11"/><s v="p. 13"/><s v="p. 263"/><s v="p. 3"/><s v="p.3"/><s v="p.24-25"/><s v="p. 12"/><s v="p.26"/><s v="p. 15"/><s v="p. 73"/><s v="X2(1) = 1.62"/><s v="X2(1) = 0.53"/><s v="X2(1) = 0.51"/><s v="X2(1) = 0.37"/><s v="p. 428"/><s v="r code"/><s v="p. 7 replication paper"/><s v="p. 5"/><s v="p. 2"/><n v="28.0"/><s v="p. 8, see my calculation here: https://docs.google.com/spreadsheets/d/1Da93yd8SPd-GwqOb8HCKeN1Hobk77X3_1anZLPku0G0/edit?usp=sharing"/><n v="690.0"/><n v="148.0"/><s v="p.4"/><n v="4.0"/><s v="p.5"/><n v="5.0"/><s v="p.6"/><s v="The article uses — z = 1.73, p = .08 — a. r needs to be calculated using z and both sample groups size (17 in both), so we have r = 1,73/ √34 =0,297&#xA;"/><s v="p. 6"/><s v="p. 59"/><s v="p. 60"/><s v="p.16"/><n v="16.0"/><s v="p. 105"/><s v="p. 4"/><s v="p. 159"/><s v="p. 16"/><s v="p. 53"/><s v="p. 58"/><s v="p. 10"/><s v="p. 313-314"/><s v="p. 165"/><s v="df inferred based on context; Table 4 in replication"/><s v="p. 101, df inferred based on description"/><s v="p.100"/><s v="p.108"/><s v="p.101"/><s v="p.27"/><n v="3.0"/><n v="0.5978393308265779"/><n v="-0.3738747636968581"/><n v="0.8998987670827345"/><s v="p.9"/><s v="p. 8 "/><s v="p. 9"/><s v="p. 9 "/><s v="p.37"/><s v="p.393-394"/><s v="=(p. 7/0.0305)/(/)"/><s v="=(/)/(p. 5/0.01)"/><s v="=(p. 5/0.01)/(p. 5/0.01)"/><n v="8.0"/><s v="p.17"/><s v="p. 21"/><s v="p.20"/><s v="p.8"/><s v="p. 8"/><s v="4, Figure 2"/><s v="Calculated based on means and SDs from p. 53"/><s v="p.42"/><s v="p.2"/><n v="827.0"/><s v="Calculated with SPSS"/><s v="Calculated based on the data provided in Table 1 - N1 = 39, Standardized Cognitive Score SD 0.08 (0.42) and N2 =14 Standardized Cognitive Score SD −0.20 (0.53)"/><s v="&#xA;Calculated based on the data provided in Table 2. Z-scores were used as proxies for Cohen's d. Z-scores for Decrease and Increase were averaged resulting in d 3.23."/><s v="Cannot be calculated"/><s v="n/a"/><s v="p. 12-14"/><s v="p. 1663"/><s v="p. 20"/><s v="Orindary least squares regression, p.17-18"/><s v="Orindary least squares regression, p.17-19"/><s v="Orindary least squares regression, p.17-20"/><s v="Orindary least squares regression, p.17-21"/><s v="Orindary least squares regression, p.17-22"/><s v="Orindary least squares regression, p.17-23"/><s v="Orindary least squares regression, p.17-24"/><s v="Orindary least squares regression, p.17-25"/><s v="Orindary least squares regression, p.17-26"/><s v="Orindary least squares regression, p.17-27"/><s v="Diary entries and semi-structured interviews, Qualitative content analysis"/><s v="Independent samples t-test, Welch's t-test, p. 3"/><s v="independent samples t-test, Student's t-test, p. 3"/><s v="mediation analysis, p.3"/><s v="NA"/><s v="Mean, p.6"/><s v="binary factor analysis, p. 5; ordinary least squares p.6"/><s v="p.13"/><s v="p. 14"/><s v="p. 17"/><s v="p. 19"/><s v="generalized linear mixed effects model, p. 13"/><s v="p.1223"/><s v="5 (Table 1)"/><s v="p.13 replication"/><s v="p. 415"/><s v="p. 416"/><s v="p. 417"/><s v="p. 2 &amp; 7"/><s v="p. 534"/><s v="p. 5: =(746.31-706.98)/SQRT((25.83^2+25.83^2)/2)"/><s v="p.12"/><n v="12.0"/><s v="p.633"/><s v="p.10"/><s v="p.325"/><s v="p. 25"/><s v="p. 208"/><s v="p.785"/><s v="p. 13: =(5.87-4.55)/SQRT((1^2+1.9^2)/2)"/><s v="p. 13: =(5.78-4.55)/SQRT((1.1^2+1.9^2)/2)"/><s v="p. 4088"/><s v="p.6 in O (probably), but used statistics from Boyce"/><s v="p.6 in O (probably), but used statistics from Boyce https://github.com/vboyce/251-254-MA/blob/main/data/processed_data.csv"/><s v="p.2617"/><s v="p. 2617"/><s v="p.1680"/><s v="p.29"/><s v="p. 29: =(12.27-10.51)/SQRT(((178-1)*4.38^2+(172-1)*5.04^2)/(178+172-2)))"/><s v="p. 1259"/><s v="p. 302"/><s v="p. 466"/><s v="p. 386"/><s v="p.394"/><s v="p.798"/><s v="p. 172"/><s v="p. 6: =(3.54-4.82)/SQRT((1.94^2+2.15^2)/2)"/><s v="p. 5 "/><s v="p. 285"/><s v="p. 1393"/><s v="d copied from Boyce data set"/><s v="p. 1742"/><s v="p. 8039"/><s v="calculated based on the data in the paper, p. 1511 -  Consistent with our hypothesis, the analysis showed that females were more accurate in the social condition (M = 11.59, SD = 5.29, 95% CI = [9.80, 13.37]) than in the spatial condition (M = 7.69, SD = "/><s v="calculated based on data from p. 540, including table"/><s v="p.7"/><s v="p. 338"/><s v="p. 3 X2(1, N = 78) = 27.2, p &lt; .001."/><s v="p. 18-19"/><s v="p. 18-19, X2(1, N = 41) = 15.3, p &lt;.001"/><s v="p. 1273"/><s v="calculated based on Chosen Lotteries:  (M = 2.94, SD = 0.33; willingness to wait: M = 47.19%, SD = 19.81%) tand provided to them (M = 2.78, SD = 0.3; willingness to wait: M = 40.19%, SD = 19.23%)."/><s v="p. 1155"/><s v="p. 279"/><s v="calculated based on statistics page 4 (Fig. 3A; coefficient = 0.28; 95% CI: 0.19–0.36; t(556) = 6.55; p &lt; 0.001)."/><s v="p.442"/><n v="1274.0"/><s v="p. 227"/><s v="p. 117, Table 4"/><s v="p. 216"/><s v="p. 348"/><s v="p. 517"/><s v="p. 449"/><s v="p. 1316"/><s v="p. 26"/><s v="p. 309"/><s v="p. 1"/><s v="p. 1,2"/><n v="7.0"/><s v="p. 989"/><n v="14.0"/><s v="p.1 "/><s v="calculated based on the data in the paper - [percentage correct: M  53.0%,SD  10.7%), t (19) = 1.26, P  &gt; 0.05]. N = 20"/><s v="t. 3"/><s v="p. 506"/><s v="p. 61"/><s v="p.  190"/><s v="p. 9; bseb=1.28(.12)"/><s v="p. 9; bseb=.44(.13)"/><s v="p. 744"/><s v="p. 8054"/><s v="p. 444"/><s v="p. 519"/><s v="p.252"/><s v="t. 1/ p. 3"/><s v="p.105"/><s v="p.1149"/><s v="p. 401"/><s v="t. 2"/><s v="p.72"/><s v="p.1210, Table 2, row &quot;dislike to like&quot;, difference"/><s v="p.1210"/><s v="p.7, 8"/><s v="p. 829"/><s v="p.730"/><s v="p.789"/><s v="p. 1622"/><s v="p.3 "/><s v="p. 384"/><s v="p.21"/><s v="F(1,115)=7.497 (https://github.com/vboyce/251-254-MA/blob/main/data/processed_data.csv)"/><s v="taken from replication: https://github.com/vboyce/251-254-MA/blob/main/data/processed_data.csv"/><s v="p. 512"/><s v="t. 1"/><s v="p.959"/><s v="p.356"/><s v="p.237"/><s v="p. 83"/><s v="p. 977"/><s v="p. 614"/><s v="p. 1927"/><s v="=(0.02-2.54)/SQRT((2.38^2+1.95^2)/2)"/><s v="p.86"/><s v="=(0.512/(1-0.512))/(0.127/(1-0.127))"/><s v="p. 162"/><s v="p. 479, converted with 1.85/(.917 * sqrt(60*60/120)), as SE can be used to calculate SD from sample size in single predictor regression; matches report in Camerer"/><s v="SQRT((1.850/0.917)^2 / ((1.850/0.917)^2 + 118))"/><s v="=(0.671/(1-0.671))/(0.413/(1-0.413))"/><s v="(0.671/(1-0.671))/(0.413/(1-0.413))"/><s v="p. 345 - note that replication report calculates this as &quot;0.893−0.250 = 0.743&quot;, so same formula, different maths"/><s v="(0.893-0.25)/SQRT(((38-1)*0.009^2+(40-1)*0.105^2)/(38+40-2)))"/><s v="Table 4: =(0.57/(1-0.57))/(0.83/(1-0.83))"/><s v="=(0.29-0.17)/SQRT(((72-1)*0.06^2+(52-1)*0.06^2)/(72+52-2)))"/><s v="p. 839, 54.74  - 21.31"/><s v="54.74  - 21.31"/><s v="p. 3121"/><s v="2.997/1.352"/><s v="=(0.742/(1-0.742))/(0.359/(1-0.359))"/><s v="0.383 / 0.041"/><s v="p. 875 (.414 - .079)"/><s v="p. 943"/><s v="−2.739 / 0.651"/><s v="p. 129"/><s v="-0.116 / 0.064"/><s v="p. 3324 (.86-3.77)"/><s v="p. 854"/><s v="10.25 - 16.17"/><s v="=(0.78/(1-0.78))/(0.4/(1-0.4))"/><s v="(8.82 + 15.38) - (10.76 - 10.41) "/><s v=" Table 7"/><s v="Tables 7 and 12 (.43 - .27)"/><s v="=(0.43/(1-0.43))/(0.27/(1-0.27))"/><s v="p. 540, 0.81 - 0.16"/><s v="0.81 - 0.16"/><s v="=(0.33-0.01)/SQRT((^2+^2)/2)"/><s v="0.33 - 0.01        "/><s v="=(5.8-5.38)/SQRT(((26-1)*0.76^2+(28-1)*0.79^2)/(26+28-2)))"/><s v="R, compute.es pkg"/><s v="p. S4"/><s v="p. 378"/><s v="p. 1832"/><s v="(2.05-1)/SQRT(((20-1)*0.96^2+(20-1)*1.41^2)/(20+20-2)))"/><s v="p. 1531"/><s v="p. S18"/><s v="p. 50 (of Camerer SMs, Supplementary Table 1), and p.1 of post-data collection report"/><s v="p. S11"/><s v="p. S21"/><s v="p. 683"/><s v="p. 48 (of Camerer SMs, Supplementary Table 1), p. 1 of post-data collection report"/><s v="=(712-591)/SQRT((413^2+204^2)/2)"/><s v="MANUALLY REVERSED FROM =(3.2-6.87)/SQRT(((15-1)*2.23^2+(15-1)*1.91^2)/(15+15-2)))"/><s v="=1/((0.306/(1-0.306))/(0.583/(1-0.583))) (flipped to align with replication)"/><s v="p. 389"/><s v="=(0.677/(1-0.677))/(0.617/(1-0.617))"/><s v="p. 495"/><s v="=(0.493/(1-0.493))/(0.7143/(1-0.7143))"/><s v="p. S9"/><s v="p. S17"/><s v="p. 5 using a mouse        Mean percentile = 58.8        p &lt; .01&#xA;"/><s v="Driving        Mean percentile = 65.4        p &lt; .0001"/><s v="Riding a bicycle        Mean percentile = 64.0        p &lt; .0001"/><s v="Saving money        Mean percentile = 61.5        p &lt; .01"/><s v="Telling jokes        Mean percentile = 46.5        n.s."/><s v="Playing chess        Mean percentile = 27.8        p &lt; .0001"/><s v="Juggling        Mean percentile = 26.5        p &lt; .0001"/><s v="Programming        Mean percentile = 24.8        p &lt; .0001"/><s v="r—.96 (df = 6,p &lt; .001)."/><s v="r = 0.95 (df = 6, p &lt; .001)."/><s v="p.4, F(1, 59) = 15.61, prep &gt; .999, ηp2 = .21"/><s v="Calculated based on F(1, 95) = 5.38 and variance explained (η² = 0.055) reported on p. 245."/><s v="p.935"/><s v="Reported on page 391."/><s v="p.8 t(28) = 2.86,p&lt; .01, as predicted."/><s v="p. 391"/><s v="Reported on page 106."/><s v="p. 49"/><n v="2.0"/><s v="Reported in the text, Page 454, describing results from Problems 1 and 2."/><s v="p. 6 of replication paper"/><s v="Reported on page 329."/><s v="p. 16 of replication paper"/><s v="In R, cohens_h &lt;- 2 * (asin(sqrt(0.75)) - asin(sqrt(0.375)))"/><s v="Reported directly in the text on page 1163."/><s v="p. 3, n based on df"/><s v="Appendix of Correll (2008), p. 59"/><s v="p. 409; one-tailed is mentioned in footnote 1"/><n v="409.0"/><s v="p.2 (table 1)"/><s v="p.2, Table 2, F1,82 = 6.40 p = 0.01"/><s v="p.2, Table 2, b = 0.36, p = 0.0003"/><s v="p.2, Table 2, F1,82 = 1.06, p = 0.30"/><s v="Reported directly in the text, page 1171."/><s v="Reported directly in the text on page 169-170."/><s v="p.2, Table 2"/><s v="p.2, Table 2, b = –0.01 , p = 0.90"/><s v="p.2, Table 2, F1,65 = 4.07 p = 0.04"/><s v="p.2, Table 2, F1,65 = 0.01, p =0.90"/><n v="809.0"/><s v="p.2, Table 2, F2,352 =3.10, p = 0.04"/><s v="p.2, Table 2, b = 0.28, p &lt;0.001"/><s v="p.2, Table 2, F2,352 = 1.37, p = 0.25"/><s v="Calculated based on means and SDs from p. 470"/><s v="Reported in Table 2 on page 796."/><s v="Reported on p. 1215"/><s v="Reported directly in text on page 651, (page 9 in pdf)."/><s v="Reported in text on page 9."/><s v="calculated with N and chi squared"/><s v="Reported directly in the text, page 214."/><s v="reported in table "/><s v="Reported directly in the text, page 1070-1071."/><n v="1.0"/><s v="p.1"/><s v="Reported on page 302 and Table 1."/><n v="945.0"/><s v="Reported on page 869."/><s v="p.14, 15"/><s v="p.26, 27"/><s v="p. 28"/><s v="p. 29"/><s v="p.25"/><s v="p. 25- 26"/><s v="p.405"/><s v="p.406"/><s v="p.407"/><s v="p.384"/><s v="=(p.384-)/SQRT(((p. 5-1)*p. 5^2+(-1)*p.2^2)/(p. 5+-2)))"/><s v="p.4 SI"/><s v="=(-)/SQRT((p.3^2+^2)/2)"/><s v="p.12 SI"/><s v="p.19"/><s v="p. 478"/><s v="p. 320"/><s v="from replication report - diff in correlations was not formally tested"/><s v="p.  11"/><s v="Table 1: =(10.82-3.3)/SQRT((3.47^2+2.62^2)/2)"/><s v="=(9.27-7.02)/SQRT((2.88^2+3.06^2)/2)"/><s v="p. 192: =(0.82/(1-0.82))/(0.23/(1-0.23))"/><s v="p. 7, =(0.89/(1-0.89))/(0.11/(1-0.11))"/><s v="p. 283"/><s v="p. 508"/><s v="p. 44"/><s v="=(0.68/(1-0.68))/(0.29/(1-0.29))"/><s v="p. 18"/><s v="p. 1032 + 1033"/><s v="p. 8, =(0.72/(1-0.72))/(0.56/(1-0.56))"/><s v="p. 295"/><s v="Table 1: =(4.08-5.33)/SQRT((1.56^2+1.3^2)/2)"/><s v="p. 246"/><s v="p. 33"/><s v="p. 33: =(5.01-4.62)/SQRT(((200-1)*0.6^2+(200-1)*0.81^2)/(200+200-2)))"/><s v="p. 87"/><s v="p. 1452"/><s v="p. 487"/><s v="p. 740"/><s v="replication report"/><s v="p. 145"/><s v="p. 574: =(2.45-1.9)/SQRT(((20-1)*0.64^2+(20-1)*0.89^2)/(20+20-2)))"/><s v="p. 768"/><s v="=(0.7/(1-0.7))/(0.65/(1-0.65))"/><s v="p. 187: =(0.7/(1-0.7))/(0.35/(1-0.35))"/><s v="p. 549"/><s v="p. 396"/><s v="p. 666"/><s v="p. 667"/><s v="p. 109"/><s v="p. 9, Table 2"/><s v="p. 9/ t. 2"/><s v="p.3 M7= 71.55) (M4= 19.65"/><s v="p.3 (M7= 6.60 vs. M4= 4.41; ,"/><s v="p. 17 (F(2, 245) = 3.85, p &lt; .05, n2 = .029)"/><s v="p. 17 (F(2, 245) = 4.04, p &lt; .05, n2 = .031);"/><s v="p. 17 "/><s v="p. 17 (M = 5.53 vs. M = 6.50, t(247) = 2.81, p =.005, Cohen’s d = - 0.51)"/><s v="p. 17 (M = 6.65 vs. M = 6.38, t(247) = - 0.78, p &gt; .44, Cohen’s d = 0.16)."/><s v="p. 17 (b = 0.49, t(246) = 4.92, p &lt; .0001, n2 = .086)."/><s v="p. 17 (.09, 95% CI = 0.02–0.18),"/><s v="p.17 (-.02, 95% CI = -0.10 to 0.04)."/><s v="p.17  (.11, 95% CI = 0.02–0.24)."/><s v="p. 11 (Mfinancial = 5.61, SD = 1.62) (Mcontrol= 4.19, SD = 2.09; F(1, 375) = 53.91, p &lt; .001)."/><s v="p. 11 (Mfinancial = 5.43, SD =1.546; Mcontrol = 5.02, SD = 1.65; F(1, 375) = 6.48,p = .011)."/><s v="p. 11 ,(F(1, 375) 1⁄4 10.02, p 1⁄4 .002)."/><s v="p.11"/><s v="p. 10 (MTEL = $9.81, SD = $6.39; MMEL = $4.41, SD = $2.84; F(1, 175) = 53.72, p &lt; .01,Cohen’s d = 1.08)."/><s v="p.10 (Mnear future = $8.50, SD = $7.08; Mdstant future = $6.12, SD = $3.68; F(1, 175) = 6.92, p &lt; .01, Cohen’s d = .34)."/><s v="p.10 (F(1, 175) = 8.60, p &lt; .01),"/><s v="p. 26 (M = $2.86; SD = 1.25) (M = $3.24; SD = 1.01; F(1, 156) = 4.46; p = .04; np2= .03)."/><s v="p. 27  (β  = .01; SE = .005; t = 2.12; p = .04)"/><s v="p.27 β = -.38; SE = .14; t = 2.83; p = .005),"/><s v="p. 27 (β  (= .02; SE = .005; t = 4.07; p &lt; .001)"/><s v="p.6  (x2 (2,N = 133) =10.69, p = .005, Cohen’s d =.59)."/><s v="p.6  M = 44,2% , M =15.6%, B= 1.46, standard error [SE] = .51, Wald = 8.07, p = .005)"/><s v="p.6 M = 44,2%, (M = 20.0%, B = 1.15, SE = .48, Wald = 5.70, p = .017)"/><s v="p.6 (B 1= .31, SE = .56, Wald = .30, not significant)."/><s v="p. 35 MScarcity = 1.49 vs. MControl = 4.84; F(1, 156) = 209.4, p &lt;.001)."/><s v="p. 35 (p &gt; .75)"/><s v="p. 35 (p &gt; .13)."/><s v="p. 35 PHigh Threat = .37, SD = .23 vs. PLow Threat = .30, SD = .22, F(1, 156) = 4.14, p = .044),"/><s v="p. 35, p &gt; .20"/><s v="p.36 F(1, 156) = 3.96, p = .048)"/><s v="p. 36"/><s v="p. 3, (F(1, 367)=63.87, p &lt; 001)."/><s v="p.3 (58% to 42%; t(188)=5.33, p &lt;.001, one-tailed)."/><s v="p. 3, 59% to 41%; t(185)=5.37, pb.001, one-tailed)."/><s v="p. 5 (Mhigh = 15.28, SD = 1.26 vs. Mlow = 14.41, SD = 1.59, F(1, 75) = 7.13, p &lt;.01, ηp2 = .09)."/><s v="p. 5 ((Mhigh = 5.19, SD = 1.08 vs. Mlow = 4.66, SD = .98, F(1, 75) = 4.95, p &lt; .05, ηp 2 = .06)."/><s v="p. 6 (Mhigh = 6.05, SD = 1.34 vs. Mlow = 5.14, SD = 1.62, F(1, 75) = 7.35, p &lt; .01, ηp2 = .09)."/><s v="p. 8 41.30% vs. 19.14%; , p &lt; .05)."/><s v="p.11 Mmatch = 4.79, Mmismatch = 3.44; F(1, 76) = 14.47, )."/><s v="p. 11 Mmatch = 6.26, Mmismatch =  5.53; F(1, 76) = 3.20,p = .08)."/><s v="p.6. Mcir= 6.50,  [SD]= 1.66)  (Mang=5.35, SD=1.65; F(1, 106)=8.17, p &lt; .01;"/><s v="p.6, Mang= 6.27, SD= 1.28)  (Mcir= 5.39, SD= 1.65; F(1, 106) = 4.36, p &lt; .05;"/><s v="p.6 Mcir = 4.65, SD = 1.75 vs. Mang = 5.01, SD = 1.42 vs. Mno-logo = 5.06, SD = .96; F &lt; 1, NS)."/><s v="p. 7 (F(2, 173) = 6.62, p &lt; .01)."/><s v="p.7 (Mleft vs Mright = 5.69; t(173) = 2.28, p &lt;.05),"/><s v="p. 7 Mleft vs. Mright = 7.12 t(173) = 2.80, p&lt;01)."/><s v="p.5 (Mlower dynamism = 4.75, Mhigher dynamism = 5.58; , p &lt;.05),"/><s v="p.5 (Mlower dynamism = 4.18, Mhigher dynamism = 5.47; , p &lt; .01),"/><s v="p. 4; X^2 = 3.83"/><s v="p. 5; F(1, 34) = 5.8"/><s v="p. 5; t(84) = 2.09"/><s v="p. 12; F(1, 21) = 17.3"/><s v="p. 4; F(1, 278) = 123.38"/><s v="p. 3; F(1, 9) = 8.7"/><s v="p. 1; t(124) =10.36"/><s v="p. 4; F(1,30) = 14.49"/><s v="p. 4; F(1, 111) = 5.311"/><s v="p. 3; F(2, 92) = 3.13"/><s v="p. 5, 6; t(11) = 5.39"/><s v="p. 3; F(1, 26) = 4.17"/><s v="p.16 "/><s v="p. 24"/><s v="d=(754-640)/SQRT((339^2+316^2)/2)"/><s v="10.1152--japplphysiol.91324.2008.pdf"/><s v="p. 13-14"/><n v="6.0"/><n v="9.0"/><s v="X2(1, N = 82) = 8.2439, p = 0.004089)"/><s v="p. 210 X2(1, N = 126) = 7.62, p &lt; .01"/><s v="p. 682 X2(1, N = 41) = 6.034, p &lt; 0.05"/><s v="p. 116, t(93) = 2.07, p &lt; .05"/><s v="p. 6 F(1, 62.9) = 8.5, p = .005"/><s v="p. 140 X2(1, N = 85) = 7.873, p = .005"/><s v="p. 314 X2(1, N=37) = 7.7, df = 1, p &lt; .01"/><s v="p. 18 t(3411) = 21.5, p &lt; .001"/><s v="p. 10  t(117) = 7.47, p &lt; .001 "/><s v="X2(1, N = 48) = 6.2061, p &lt; .05"/><s v="p. 476 t = −10.126, df = 747, p&lt;.001"/><s v="p.325 t(109) = 7.12, p&lt;001] and the effect size (d = 0.87) i"/><s v="Interaction effect, F(1, 213) = 13.05, p &lt; .001, p. 10 second effect"/><s v="Interaction effect, F(1, 213) = 13.05, p &lt; .001"/><s v=" p. 10"/><s v="X2(1, N = 15664) = 1512.4, p &lt; 0.001 from replication dataset https://osf.io/4ewkh"/><s v="p. 488"/><s v="p. 166 CRT-First: M = 3.77; Dilemmas-First: M = 3.25; t(90) = 2.03, p = .05, d = 0.43)."/><s v="p, 7 t(70) = -2.55 p &lt; .05"/><s v="p. 705 t(98) = 3.4, p = .001"/><s v="p. 355"/><s v="X2 = 107.81, df = 1, N = 202, p &lt; .001, B = 1.62, Exp(B) = 5.07"/><s v="p. 226 "/><s v="X2(1, N = 60) =.9026, p=.3421"/><s v="p. 15, Figure 2. Sobel test = 2.286, p &lt; .022"/><s v="p. 10. Table 2 t(160)=2.58, p = .01, η2=0.040"/><s v="p. 352 t = 3.42, df = 29, p = .002"/><s v="p. 9 X2(1, N = 162) = 14.421, df = 1, p &lt; .001"/><s v="p. 31"/><s v="p. 4 t(75) = 2.65, p = 0.01"/><s v="p. 6 t(58) = -2.210, p = .031"/><s v="Post replication form page 2: X2(1, N = 44) = 20.53, p &lt;.001&#xA;https://osf.io/d478r"/><s v="X2(1, N = 44) = 20.53, p &lt;.001"/><s v="X2(1, N = 77) = 1.8348, p = 0.1756"/><s v="pg 1 - https://osf.io/ygv4e &#xA;“a surprising majority of [participants] (viz., 73%) were willing to say that Fredintentionally prevented the explosion”Inferring from reported sample size and reported percentages, there were 29 (out of 40) participants willi"/><s v="In R, cohens_h &lt;- 2 * (asin(sqrt(0.739)) - asin(sqrt(0.409)))"/><s v="p. 34, Table 6"/></sharedItems></cacheField><cacheField name="pval_value_o"><sharedItems containsBlank="1" containsMixedTypes="1" containsNumber="1"><s v="The reported p-value associated with the original finding, must contain only one value and must not contain text"/><n v="0.01"/><m/><n v="0.001"/><s v="0.001"/><n v="0.05"/><n v="0.71"/><n v="0.02"/><n v="0.79"/><n v="0.019"/><n v="0.025"/><n v="4.0E-4"/><s v="0.003"/><s v="0.632"/><s v="0.236"/><s v="0.023"/><n v="0.059"/><n v="0.006"/><n v="0.007"/><n v="0.07"/><n v="0.002"/><n v="0.2"/><n v="0.41"/><n v="0.48"/><n v="0.55"/><n v="0.47"/><n v="0.45"/><s v="NA"/><n v="1.0E-4"/><n v="3.0E-4"/><n v="0.1"/><n v="0.86"/><n v="0.09"/><n v="0.001155"/><n v="0.08"/><n v="0.00265"/><n v="0.4"/><n v="0.17"/><n v="0.26"/><n v="0.83"/><n v="0.005"/><n v="1.0E-5"/><n v="0.031"/><n v="0.009"/><n v="0.04"/><n v="0.012"/><n v="0.013"/><n v="0.029"/><n v="0.011"/><n v="0.46"/><n v="0.047"/><n v="0.03"/><n v="0.023"/><n v="0.5"/><n v="0.901"/><n v="0.917"/><n v="0.669"/><n v="0.751"/><n v="0.763"/><n v="0.118"/><n v="0.0025"/><s v="N/A"/><n v="0.0717"/><n v="0.3451"/><n v="0.0012"/><n v="0.0187"/><n v="0.0134"/><n v="0.0154"/><n v="0.1649"/><n v="2.0E-4"/><n v="0.21"/><n v="0.021"/><n v="0.0"/><n v="0.11"/><n v="0.72"/><n v="0.29"/><n v="0.15"/><n v="0.3"/><n v="0.53"/><n v="0.25"/><n v="0.97"/><n v="0.0364"/><n v="0.0305"/><s v="ns"/><n v="0.045"/><n v="0.073"/><n v="0.375"/><n v="0.018"/><n v="0.0013"/><n v="0.041"/><n v="0.043"/><s v="Main: p &gt; 0.05&#xA;Interaction: p&lt;0.004&#xA;Simple: non-expert p &lt; 0.04, expert p &lt; 0.03"/><s v="Main: p &gt; 0.05&#xA;Interaction: p&lt;0.002&#xA;Simple: non-expert p &lt; 0.01, expert p = 0.05"/><n v="0.12"/><n v="0.003"/><n v="0.67"/><n v="0.004"/><n v="0.026"/><n v="0.053"/><n v="0.037"/><n v="0.702"/><n v="0.008"/><n v="0.84"/><n v="0.24"/><n v="0.022"/><n v="0.056"/><n v="0.032"/><n v="0.139"/><n v="0.057"/><n v="0.223"/><n v="0.051"/><n v="0.592"/><n v="0.886"/><n v="0.455"/><n v="0.072"/><n v="0.421"/><n v="0.644"/><n v="0.227"/><n v="0.035"/><n v="0.042"/><n v="0.9"/><s v="0.035"/><s v="0.009"/><s v="0.042"/><n v="0.56"/><n v="0.307"/><n v="0.116"/><n v="0.143"/><n v="1.47769853598369E-5"/><n v="0.96"/><n v="0.58"/><n v="5.66347582420852E-15"/><n v="0.016"/><n v="0.536"/><n v="0.06"/><n v="0.187"/><n v="0.91"/><n v="0.36"/><n v="2.52625057832611E-12"/><n v="0.625"/><n v="0.093"/><n v="0.054"/><n v="0.044"/><n v="1.0E-6"/><n v="0.052"/><n v="0.134"/><n v="0.69"/><n v="9.21719900448522E-19"/><n v="6.62469529051993E-5"/><n v="0.609"/><s v="0.006352567590246201"/><n v="0.065"/><n v="0.348"/><n v="0.829773477380528"/><n v="0.547"/><n v="0.078"/><n v="7.83134738554709E-24"/><n v="5.0E-4"/><n v="1.37237492094605E-28"/><n v="0.00148066986056677"/><n v="0.23"/><n v="6.44373736390437E-9"/><n v="0.0409984059452884"/><n v="0.033"/><n v="0.017238199239407"/><n v="0.0206772695323613"/><n v="0.00716387110547914"/><n v="3.26311635515222E-152"/><n v="0.01723819924"/><n v="0.489"/><n v="0.015"/><n v="9.45528557450159E-14"/><n v="0.049"/><n v="3.9E-5"/><n v="0.0238"/><n v="0.0092"/><n v="0.0044"/><n v="0.0089"/><n v="0.046"/><n v="0.0021"/><n v="4.4E-5"/><n v="5.4E-5"/><n v="0.0042"/><n v="0.0027"/><n v="8.362E-9"/><n v="0.999"/><n v="0.22"/><n v="0.028"/><s v="0.028"/><s v="0.025"/><s v="0.350"/><n v="0.048"/><n v="0.63"/><n v="0.349"/><n v="0.568"/><n v="0.613"/><n v="0.095"/><s v="0.05"/><s v="1.0e−05 "/><n v="0.036"/><n v="0.027"/><s v="0.68"/><n v="0.34"/><n v="0.426"/><n v="0.418"/><n v="0.575"/><n v="0.581"/><n v="0.548"/><n v="0.553"/><n v="0.583"/><n v="0.594"/><n v="7.4E-7"/><s v="p. 396"/><n v="0.44"/><n v="0.017"/><n v="0.75"/><n v="0.13"/><n v="0.93"/><s v="0.01"/><n v="0.091"/><s v="LINK"/><n v="0.43"/><n v="0.777"/><n v="0.024"/><s v="0.04"/><n v="0.004089"/><n v="0.3421"/><n v="0.347"/><n v="0.1756"/><n v="0.039"/></sharedItems></cacheField><cacheField name="pval_type_o" numFmtId="0"><sharedItems containsBlank="1"><s v="How is p-val reported?&#xA;&quot;=&quot; (e) / &quot;&lt;&quot; (l) / &quot;&gt;&quot; (g) or combined (le, ge)?&#xA;&#xA;for example &quot;p &lt;= .05&quot; should be coded as &quot;le&quot;"/><s v="l (&lt;)"/><m/><s v="e (=)"/><s v="g (&gt;)"/><s v="NA"/><s v="N/A"/><s v="le (&lt;=)"/><s v="Holgado, D., Troya, E., Perales, J. C., Vadillo, M. A., &amp; Sanabria, D. (2019). Does mental fatigue impair physical performance? A replication study. European Journal of Sport Science, 2020."/></sharedItems></cacheField><cacheField name="pval_tails_o" numFmtId="0"><sharedItems containsBlank="1"><s v="How many tails associated with the p-value, taking on values of one, two, or unknown&#xA;&#xA;one: 1&#xA;two: 2&#xA;unknown / not specified: NA&#xA;missing: not coded"/><s v="2 (two)"/><m/><s v="NA (not reported)"/><s v="1 (one)"/><s v="Linguistics"/><s v="NA"/><s v="N/A"/><s v="10.31236/osf.io/tzn6d"/></sharedItems></cacheField><cacheField name="nested_o" numFmtId="0"><sharedItems containsBlank="1"><s v="Is pval based on a test that accounts for dependence between observations (e.g., multilevel, repeated measures)"/><s v="no"/><m/><s v="yes"/><s v="Production accuracy - /ei/ format"/><s v="NA"/><s v="N/A"/><s v="unsure"/></sharedItems></cacheField><cacheField name="prereg_o" numFmtId="0"><sharedItems containsBlank="1"><s v="Link to preregistration of O (only search for &quot;regist&quot;)"/><s v="NA"/><m/><s v="https://osf.io/jqpm8/?view_only=38a5b79a4f2a49b0a0b1a74c6afc8677"/><s v="https://osf.io/jqpm8/?view_only=38a5b79a4f2a49b0a0b1a74c6afc8679"/><s v="https://osf.io/yajmp"/><s v="https://osf.io/yqxme"/><s v="https://doi.org/10.1257/rct.3585-2.0"/><s v="https://aspredicted.org/blind.php?x=6w6gu4"/><s v="https://osf.io/fdh4m/"/><s v="https://osf.io/g6u9q"/><s v="https://osf.io/yxusb"/><s v="https://osf.io/x73nv"/><s v="https://osf.io/gwq48"/><s v="https://osf.io/r57d6"/><s v="https://osf.io/txe4d"/><s v="https://osf.io/8k4t5/."/><s v="https://osf.io/zxp9k/."/><s v="https://osf.io/xhz4q/"/><s v="https://osf.io/ajqzg"/><s v="https://aspredicted.org/ai7am.pdf"/><s v="https://aspredicted.org/public/205223581.pdf"/><s v="osf.io/gseqn"/><s v="https://aspredicted.org/uv6ha.pdf"/><s v="https://osf.io/g9yrc"/><s v="https://osf.io/9fdhb/"/><s v="https://aspredicted.org/mq97g.pdf"/><s v="https://osf.io/5ybej/."/><s v="https://osf.io/nsk8h/?view_only=b1e702d061484d1bb4150754892d9197"/><s v="https://osf.io/krx8m/?view_only=069f8366242e4dccb0309ccf89f88324."/><s v="https://osf.io/w6qub/"/><s v="https://osf.io/7dh3m"/><s v="https://osf.io/qg3m2/registrations"/><s v="https://osf.io/qg3m2/"/><s v="https://osf.io/egc9y/"/><s v="https://osf.io/egc9y/."/><s v="https://osf.io/92qp3/."/><s v="https://osf.io/vzmdj"/><s v="https://osf.io/ebhku/"/><s v="https://aspredicted.org/blind.php?x=fx3kz7"/><s v="Study 2a. Preregistration site is http://aspredicted.org/blind.php?x=fx3kz7.&#xA;Study 2b. Preregistration site is https://aspredicted.org/blind.php?x=hd589d.&#xA;Study 4a. Preregistration site is https://aspredicted.org/blind.php?x=c44jr2.&#xA;Study 4b. Preregistrat"/><s v="https://osf.io/mge8r/"/><s v="https://aspredicted.org/yp5az.pdf"/><s v="Study 1a: https://aspredicted.org/yp5az.pdf&#xA;Study 1b: https://aspredicted.org/n3pd9.pdf"/><s v="https://osf.io/xcg6e/?view_only=d0fcb2bb73fb4648ad6e3da300505f65"/><s v="Not mentioned"/><s v="https://osf.io/ev794"/><s v="https://aspredicted.org/w82be.pdf"/><s v="https://osf.io/qfhe4/"/><s v="https://aspredicted.org/ij46t.pdf"/><s v="N/A"/><s v="https://osf.io/xvqg2"/><s v="https://osf.io/wg9s3/."/><s v="no"/></sharedItems></cacheField><cacheField name="n_r"><sharedItems containsBlank="1" containsMixedTypes="1" containsNumber="1" containsInteger="1"><s v="R's sample size [used for the critical test, i.e., after exclusion criteria have been applied], must contain only one value and must not contain text"/><n v="39.0"/><m/><n v="137.0"/><n v="165.0"/><n v="80.0"/><n v="58.0"/><s v="The study measured the production accuracy of  /ei/ format using a delayed sentence repetition task."/><n v="1079.0"/><n v="71.0"/><n v="93.0"/><n v="84.0"/><n v="4.0"/><n v="486.0"/><n v="2421.0"/><n v="40.0"/><n v="119.0"/><n v="1684.0"/><n v="2072.0"/><n v="899.0"/><n v="574.0"/><n v="46.0"/><n v="70.0"/><n v="55.0"/><n v="351.0"/><n v="590.0"/><n v="885.0"/><n v="50.0"/><n v="40177.0"/><n v="40117.0"/><n v="123.0"/><n v="117.0"/><n v="61.0"/><n v="48.0"/><n v="3906.0"/><n v="229.0"/><n v="100.0"/><n v="81.0"/><n v="74.0"/><n v="211.0"/><n v="215.0"/><n v="198.0"/><n v="321.0"/><n v="103.0"/><n v="992.0"/><n v="1228.0"/><s v="Unsure. Only a range between around 1000 and over 310,000 obs is reported on p1025, but not broken down in simple cells"/><s v="NA"/><n v="78.0"/><n v="127.0"/><n v="134.0"/><n v="500.0"/><n v="5.0"/><n v="156.0"/><n v="151.0"/><n v="27.0"/><n v="404.0"/><n v="205.0"/><n v="199.0"/><n v="73.0"/><n v="75.0"/><n v="152.0"/><n v="161.0"/><n v="582.0"/><n v="754.0"/><n v="377.0"/><n v="1000.0"/><n v="15.0"/><n v="3415.0"/><n v="32.0"/><n v="68.0"/><n v="1270.0"/><n v="106.0"/><n v="109.0"/><n v="120.0"/><n v="1018.0"/><n v="1.0"/><n v="533.0"/><n v="190.0"/><n v="98.0"/><n v="97.0"/><n v="148.0"/><n v="600.0"/><n v="451.0"/><n v="4963.0"/><n v="1193.0"/><n v="1250.0"/><n v="303.0"/><n v="254.0"/><n v="51.0"/><n v="36.0"/><n v="37.0"/><n v="116.0"/><n v="258786.0"/><n v="132.0"/><n v="143.0"/><n v="571.0"/><n v="588.0"/><n v="42.0"/><n v="961.0"/><n v="475.0"/><n v="270.0"/><n v="729.0"/><n v="9.0"/><n v="862.0"/><n v="30.0"/><n v="18.0"/><n v="28.0"/><n v="24.0"/><n v="60.0"/><n v="182.0"/><n v="63.0"/><n v="41.0"/><n v="29.0"/><n v="149.0"/><n v="8.0"/><n v="10.0"/><n v="755.0"/><n v="297.0"/><n v="601.0"/><n v="1036.0"/><n v="881.0"/><n v="882.0"/><n v="879.0"/><n v="3.0"/><n v="2.0"/><n v="12.0"/><n v="56.0"/><n v="45.0"/><n v="25.0"/><n v="209.0"/><n v="82.0"/><n v="23.0"/><n v="108.0"/><n v="235.0"/><n v="224.0"/><n v="87.0"/><n v="168.0"/><n v="128.0"/><n v="126.0"/><n v="90.0"/><n v="64.0"/><n v="17.0"/><n v="292.0"/><n v="208.0"/><n v="226.0"/><n v="157.0"/><n v="19.0"/><n v="20.0"/><n v="124.0"/><n v="104.0"/><n v="6.0"/><n v="387.0"/><n v="150.0"/><n v="158.0"/><n v="95.0"/><n v="194.0"/><n v="26.0"/><n v="212.0"/><n v="14.0"/><n v="35.0"/><n v="136.0"/><n v="43.0"/><n v="13.0"/><n v="31.0"/><n v="86.0"/><n v="47.0"/><n v="52.0"/><n v="160.0"/><n v="250.0"/><n v="243.0"/><n v="11.0"/><n v="88.0"/><n v="114.0"/><n v="115.0"/><n v="221.0"/><n v="135.0"/><n v="53.0"/><n v="118.0"/><n v="179.0"/><n v="175.0"/><n v="54.0"/><n v="145.0"/><n v="349.0"/><n v="315.0"/><n v="102.0"/><n v="110.0"/><n v="147.0"/><n v="338.0"/><n v="300.0"/><n v="188.0"/><n v="22.0"/><n v="225.0"/><n v="131.0"/><n v="16.0"/><n v="77.0"/><n v="79.0"/><n v="318.0"/><n v="220.0"/><n v="144.0"/><n v="357.0"/><n v="360.0"/><n v="264.0"/><n v="96.0"/><n v="262.0"/><n v="599.0"/><n v="49.0"/><n v="714.0"/><n v="286.0"/><n v="89.0"/><n v="480.0"/><n v="306.0"/><n v="2136.0"/><n v="619.0"/><n v="234.0"/><n v="482.0"/><n v="92.0"/><n v="531.0"/><n v="407.0"/><n v="214.0"/><n v="240.0"/><n v="76.0"/><n v="72.0"/><n v="38.0"/><n v="228.0"/><n v="200.0"/><n v="6289.0"/><n v="5899.0"/><n v="66.0"/><n v="6120.0"/><n v="5842.0"/><n v="314.0"/><n v="1243.0"/><n v="6271.0"/><n v="5979.0"/><n v="5942.0"/><n v="153.0"/><n v="210.0"/><n v="6432.0"/><n v="5627.0"/><n v="5284.0"/><n v="5609.0"/><n v="335.0"/><n v="269.0"/><n v="57.0"/><n v="305.0"/><n v="369.0"/><n v="2374.0"/><n v="2285.0"/><n v="3119.0"/><n v="193.0"/><n v="290.0"/><n v="2365.0"/><n v="370.0"/><n v="520.0"/><n v="1200.0"/><n v="3136.0"/><n v="260.0"/><n v="3279.0"/><n v="3337.0"/><n v="1335.0"/><n v="1450.0"/><n v="3088.0"/><n v="2969.0"/><n v="105.0"/><n v="219.0"/><n v="233.0"/><n v="6340.0"/><n v="6333.0"/><n v="6335.0"/><n v="6336.0"/><n v="125.0"/><n v="1008.0"/><n v="1127.0"/><n v="1305.0"/><n v="1118.0"/><n v="1283.0"/><n v="1489.0"/><n v="3007.0"/><n v="636.0"/><n v="702.0"/><n v="743.0"/><n v="170.0"/><n v="112.0"/><n v="1826.0"/><n v="1224.0"/><n v="820.0"/><n v="503.0"/><n v="227.0"/><n v="2213.0"/><n v="2822.0"/><n v="3653.0"/><n v="450.0"/><n v="925.0"/><n v="2441.0"/><n v="291.0"/><n v="999.0"/><n v="2849.0"/><n v="723.0"/><n v="1044.0"/><n v="855.0"/><n v="679.0"/><n v="584.0"/><n v="111.0"/><n v="218.0"/><n v="232.0"/><n v="196.0"/><n v="185.0"/><n v="69.0"/><n v="1212558.0"/><n v="7117.0"/><n v="7460.0"/><n v="7197.0"/><n v="7982.0"/><n v="6842.0"/><n v="7205.0"/><n v="7827.0"/><n v="8002.0"/><n v="6591.0"/><n v="2200.0"/><n v="142.0"/><n v="7228.0"/><n v="6966.0"/><n v="6970.0"/><n v="7923.0"/><n v="8000.0"/><n v="6608.0"/><n v="6826.0"/><n v="7890.0"/><n v="3549.0"/><n v="3582.0"/><n v="7001.0"/><n v="6506.0"/><n v="6234.0"/><n v="4204.0"/><n v="4212.0"/><n v="2580.0"/><n v="6935.0"/><n v="6905.0"/><n v="7218.0"/><n v="7901.0"/><n v="3506.0"/><n v="5882.0"/><n v="122.0"/><n v="7396.0"/><n v="7646.0"/><n v="823.0"/><n v="604.0"/><n v="282.0"/><n v="688.0"/><n v="712.0"/><n v="467.0"/><n v="414.0"/><n v="422.0"/><n v="319.0"/><n v="327.0"/><n v="389.0"/><n v="738.0"/><n v="1146.0"/><n v="177.0"/><n v="140.0"/><n v="166.0"/><n v="238.0"/><n v="3597.0"/><n v="263.0"/><n v="242.0"/><n v="21.0"/><n v="91.0"/><n v="180.0"/><n v="455326.0"/><n v="113.0"/><n v="83.0"/><n v="280.0"/><n v="216.0"/><n v="222.0"/><n v="333.0"/><n v="251.0"/><n v="768703.0"/><n v="33.0"/><n v="141.0"/><n v="304.0"/><n v="1490.0"/><n v="2968.0"/><n v="698.0"/><n v="277.0"/><n v="391.0"/><n v="329.0"/><s v="10.31236--osf.io--tzn6d.pdf"/><n v="668.0"/><n v="954.0"/><n v="1340.0"/><n v="295.0"/><n v="446.0"/><n v="740.0"/><n v="457.0"/><n v="85.0"/><n v="1446.0"/><n v="3762.0"/><n v="2544.0"/><n v="4090.0"/><n v="2644.0"/><n v="3683.0"/><n v="259.0"/><n v="183.0"/><n v="272.0"/><n v="252.0"/><n v="3413.0"/><n v="206.0"/><n v="231.0"/><n v="749.0"/><n v="514.0"/><n v="217.0"/><n v="2211.0"/><n v="363.0"/><n v="298.0"/><n v="316.0"/><n v="181.0"/><n v="368.0"/><n v="418.0"/><n v="155.0"/><n v="99.0"/><n v="302.0"/><n v="442.0"/><n v="186.0"/><n v="67.0"/><n v="1396050.0"/><n v="1697752.0"/><n v="1550.0"/></sharedItems></cacheField><cacheField name="es_value_r"><sharedItems containsBlank="1" containsMixedTypes="1" containsNumber="1"><s v="replication effect size value, must contain only one value and must not contain text"/><n v="0.226"/><n v="0.313"/><n v="0.584"/><s v="0.584"/><n v="-0.148"/><s v="X2(2) = 9.99"/><m/><s v="X2(2) = 16.54"/><n v="0.27"/><n v="0.68"/><s v="intramathematical problem r = 0.25, word problem r = 0.29, modelling problem r = 0.31"/><s v="intramathematical problem r = 0.48, word problem r = 0.28, modelling problem r = 0.35"/><n v="3.31"/><n v="0.64"/><n v="-2.67"/><n v="1.94"/><n v="-0.13"/><n v="0.09"/><n v="0.07"/><s v="The two groups differed in the amount of formant movement during vowel production. The L2 Spanish learners were found to produce the Spanish diphthong /ei/ with much less formant movement (M = 1.18, SD = 0.55) than native controls (M = 3.19, SD = 0.71), a"/><n v="0.06"/><n v="0.02"/><n v="0.04"/><n v="-0.07"/><n v="-0.03"/><n v="-0.04"/><n v="-0.02"/><n v="0.16"/><n v="0.1"/><n v="-0.42"/><n v="-0.41"/><s v="t(69) = –0.34"/><s v="t(91) = 0.85,"/><s v="t(91) = 0.85"/><s v="t(82)=0.5"/><s v="0.159"/><n v="0.159"/><n v="0.052"/><n v="0.054"/><n v="2.06"/><n v="1.5"/><n v="3.59"/><n v="1.41"/><n v="1.25"/><n v="-0.91"/><n v="-1.07"/><n v="0.41"/><n v="0.46"/><n v="0.36"/><n v="0.58"/><n v="0.54"/><n v="0.9"/><s v="X2(1) = 1.35"/><s v="X2(1) = 6.15"/><s v="X2(1) = 2.48"/><s v="X2(1) = 8.70"/><n v="0.65"/><n v="1.88"/><n v="1.46"/><n v="1.57"/><n v="1.16"/><n v="1.43"/><n v="2.27"/><n v="0.55"/><n v="1.48"/><n v="0.74"/><n v="-0.37"/><n v="0.29"/><n v="-0.24"/><n v="0.12"/><n v="1.2"/><n v="1.47"/><n v="1.17"/><n v="0.99"/><n v="0.03"/><n v="-0.1"/><s v="−0.10"/><s v="F(1,53) = 0.02 "/><s v="F(1,44) = 0.48 "/><n v="565.0"/><n v="-159.0"/><n v="169.0"/><n v="197.0"/><n v="94.0"/><n v="3.0"/><n v="0.18"/><n v="0.19"/><n v="0.08"/><n v="8.02"/><n v="1.97"/><n v="1.51"/><n v="-0.01"/><n v="-0.33"/><s v="z = 2.08, p = .04"/><s v="X2(12) = 206.24"/><s v="X2(4) = 50.16"/><s v="X2(4) = 11.65"/><s v="X2 (4) = 11.65"/><s v="X2 (4) = 50.16"/><n v="-0.21"/><n v="3.38"/><n v="0.0588"/><n v="0.1601"/><n v="-0.385"/><n v="-0.57"/><s v="X2(1) = 140.71"/><n v="3.033"/><n v="-2.694"/><n v="0.329"/><n v="-2.23"/><n v="3.731"/><n v="1.923"/><n v="0.73"/><n v="0.547"/><n v="0.095"/><n v="0.369"/><n v="0.041"/><n v="0.501"/><n v="0.037"/><s v="t≤ 1.54"/><n v="0.51"/><n v="0.59"/><n v="0.363"/><s v="F&lt; 1"/><n v="0.849"/><n v="0.647"/><n v="0.595"/><n v="0.047"/><s v="t &lt; 1.83"/><s v="F≤ 3.50"/><n v="0.053"/><n v="0.243"/><s v="Fs &lt; 1"/><s v="F(1, 209) = 6.72"/><s v="F(1, 209) = 8.41"/><s v="F(1, 209) = 0.22"/><s v="F(1, 213) = 1.37"/><s v="F(1, 213) = 0.47"/><s v="F(1, 213) = 36.06"/><s v=" t(1) = 2.05"/><s v="t(45)=9.35"/><s v="N/A"/><n v="0.57"/><n v="0.76"/><n v="0.25"/><n v="0.45"/><n v="0.48"/><n v="0.26"/><n v="0.11"/><n v="0.0"/><n v="0.906"/><n v="-0.968"/><n v="0.031"/><n v="2.507"/><n v="-0.024"/><n v="0.274"/><n v="1.216"/><n v="1.121"/><n v="0.005"/><n v="0.33"/><n v="0.017"/><n v="-0.371"/><n v="3.051"/><n v="0.39"/><n v="1.243"/><n v="0.154"/><n v="3.9"/><n v="6.0"/><n v="6.2"/><n v="-2.7"/><n v="0.62"/><s v="F(1,76) = 125.97"/><s v="F(1, 76) =4.063,"/><s v="F(1, 76) = 54.66"/><n v="0.01"/><n v="0.051"/><n v="0.418"/><n v="0.029"/><n v="0.015"/><s v="X2(224) = 393.695"/><s v="X2(1)=2.34"/><s v="X2(1)=1.72"/><s v="X2(1)=1.96"/><s v="X2(1)=1.49"/><s v="X2(1)=19.09"/><s v="X2(1)=0.4"/><s v="X2(1)=1.02"/><s v="X2(1)=2.94"/><s v="x²(1)=11.91"/><n v="0.43"/><n v="0.31"/><n v="44.14"/><n v="-0.047"/><n v="-0.312"/><n v="-0.042"/><n v="-0.132"/><n v="-0.184"/><n v="-0.118"/><s v="W &gt; 152"/><s v="W =152"/><n v="7.05"/><n v="-0.19"/><s v="W&gt; 97"/><n v="0.012"/><s v="W&gt; 76"/><s v="W = 360"/><s v="W = 191"/><n v="0.21"/><s v="W &gt; 140"/><s v="NA"/><n v="0.47"/><n v="1.13"/><n v="0.003"/><n v="-0.08"/><n v="0.006"/><n v="0.002"/><n v="0.001"/><s v="F(1,71) = 0.01"/><s v="F(1,71) = 0.84"/><n v="4.4"/><n v="6.75"/><n v="174.49"/><n v="23.32"/><n v="0.05"/><n v="0.13"/><n v="3.89"/><n v="3.94"/><n v="0.49"/><n v="-0.05"/><n v="-0.14"/><n v="0.382"/><n v="0.173"/><n v="-0.53"/><s v="𝐹 = 688.7"/><n v="-0.54"/><s v="F(2,62) = 0.6243"/><s v="F(2,62) = 2.3742"/><s v="F(1,50) = 0.0184"/><s v="t(98.84)=-0.73"/><s v="Main effect source certainty:  ηp2 =0.01&#xA;Main effect expertise: ηp2 =0.00&#xA;Interaction effect certainty*expertise: ηp 2 =0.00&#xA;Simple effect - difference in attitude for high/low certainty : non-expert Cohen’s d =0.18, expert Cohen’s d = 0.28"/><s v="Main effect source certainty:  ηp2 =0.00&#xA;Main effect expertise: ηp2 =0.00&#xA;Interaction effect certainty*expertise: ηp2 =0.01&#xA;Simple effect - difference in attitude for high/low certainty :  nonexpert - Cohen’s d = 0.29, expert -Cohen’s d =-0.1"/><s v="Main effect source certainty:  ηp2 =0.01&#xA;Main effect expertise: ηp2 =0.00&#xA;Main effect reason: np2 = 0.00&#xA;Interaction effects: all np2 = 0.00"/><s v="NFC - non - standardized b = 0.11, p = 0.010, 95% CI[0.03–0.19]&#xA;Conducted a linear regression analysis including expertise, reason, certainty, NFC, and two interaction terms (expertise × certainty and certainty × NFC) as predictors of the attitude measure"/><s v="F&lt; 1.18"/><n v="0.85"/><n v="0.28"/><n v="53.19"/><n v="54.1"/><n v="32.76"/><n v="2.35"/><s v="X2 = 16.11"/><s v="X2 = 32.26"/><s v="X2 = 36.12"/><s v="X2 = 33.22"/><s v="X2 = 14.24"/><s v="X2 = 37.74"/><n v="0.35"/><s v="X2 = 47.78"/><s v="X2 = 50.40"/><s v="X2 = 115.88"/><s v="X2 = 128.12"/><n v="-0.16"/><n v="0.3"/><n v="0.302"/><n v="2.05"/><n v="0.79"/><n v="0.739"/><n v="0.284"/><n v="0.136"/><n v="-0.31"/><s v="Estimate = -0.31, robust CI = (-1.11, 0.49), robust SE = 0.41"/><n v="0.014"/><n v="0.076"/><n v="-0.254"/><n v="0.062"/><n v="0.124"/><n v="0.034"/><n v="-0.075"/><n v="-0.032"/><n v="-0.131"/><n v="-0.191"/><n v="-0.154"/><n v="0.334"/><n v="-0.003"/><n v="0.045"/><n v="0.009"/><n v="0.77"/><n v="2.83"/><n v="-0.008"/><n v="0.689"/><n v="3.25"/><n v="-0.32"/><n v="35.08"/><n v="0.23"/><n v="-0.11"/><n v="0.67"/><n v="0.98"/><s v="F (1, 20) = 1.048"/><s v="F (1, 20) =67.045"/><s v="F (1, 20) =0.378"/><s v="F (1, 20) = 124.61"/><s v="F (1, 20) = 0.83"/><s v="F (1, 20) = 0.68"/><n v="-0.15"/><n v="-1.01"/><n v="-0.66"/><n v="-0.43"/><n v="-9.91"/><n v="0.61"/><n v="0.32"/><n v="92.0"/><n v="1.78"/><n v="37.31"/><n v="1.12"/><n v="31.02"/><n v="1.04"/><n v="3.64"/><n v="4.35"/><n v="3.88"/><n v="7.29"/><n v="24.42"/><n v="49.99"/><n v="53.18"/><n v="9.46"/><n v="2.63"/><n v="0.42"/><n v="10.15"/><n v="14.69"/><n v="57.29"/><n v="5.39"/><n v="1.33"/><n v="27.62"/><n v="0.5"/><n v="0.71"/><n v="0.78"/><s v="0.03"/><n v="-0.031"/><n v="-0.016"/><s v="0.01"/><s v="0.002"/><s v="0.09"/><n v="3.49"/><s v="F(1, 3446) = 3.49"/><n v="0.135010281081558"/><n v="0.172292196901579"/><n v="0.15"/><n v="0.107320283791479"/><n v="-0.07617286"/><n v="-0.03345847"/><s v="t(1041) = -3.4396"/><s v="t(1116.5) = -0.27195"/><n v="-0.241428656113382"/><s v="F(1, 146) = 3.21"/><s v="F(1, 146) = 1.47"/><n v="1.23873102223789"/><n v="0.606295070252775"/><s v="t(41) = 5.06"/><s v="t(38) = -2.5608"/><n v="-0.22"/><n v="0.4"/><n v="-0.12"/><n v="0.187471902656676"/><s v="F(1, 70)=2.4602"/><n v="0.82579130976575"/><n v="-0.3"/><s v="Z = 1.992, N = 31"/><s v="Z = 2.28, N = 31"/><s v="Z = -2.75, N = 31"/><n v="0.0506346969034163"/><s v="F(1, 247) = .49"/><s v="0.05063469690341634"/><s v="X2(1) = 0.22801"/><s v="t(80) = -0.35568,"/><s v="t(48) = 1.0144"/><s v="z = 0.47"/><s v="t(139) = 1.3332"/><n v="0.637931439685434"/><n v="0.002712308"/><n v="0.008920207"/><n v="0.004606713"/><n v="0.025"/><n v="0.751"/><n v="-0.4249782071450829"/><s v="F(2, 159) = 13.63"/><n v="0.37"/><n v="0.24"/><s v="F(1, 92) = 0.20"/><s v="F(1, 92) = 3.20"/><s v="F(1,92) = 0.89"/><n v="0.92897291317576"/><s v="0.9289729131757601"/><n v="0.720525018664174"/><n v="0.141071199656719"/><n v="0.562417563503757"/><n v="0.2079"/><n v="0.370016595170749"/><n v="-9.25"/><n v="0.96"/><n v="0.72"/><n v="0.56"/><n v="24.0"/><n v="3.222"/><n v="1.91434434878218"/><s v="F(1,56) = 57.800"/><s v="F(1,56) = 0.022"/><n v="0.7293456"/><n v="0.9725716"/><n v="0.1427911"/><s v="F(1, 16) = 0.24"/><n v="203.397"/><n v="-0.38123103406236"/><n v="-0.193"/><n v="-0.3473"/><n v="0.494916379019953"/><n v="10.275"/><s v="F(1,222) = 10.275"/><s v="F(1,222) = 0.501"/><s v="F(1,222) = 0.002"/><n v="-0.9943"/><n v="0.04378"/><n v="0.9505"/><n v="-0.04378"/><n v="-2.0041"/><n v="-1.401"/><n v="-0.603"/><n v="-1.48"/><n v="-1.0783"/><n v="-0.4017"/><n v="0.398805704566971"/><n v="-6.8322"/><n v="7.356"/><n v="-3.523"/><n v="1.16543192806245"/><s v="t(18) = 5.08"/><n v="0.392151574194031"/><n v="0.00884651736929382"/><n v="0.927847827173882"/><n v="0.9655053"/><n v="0.0984246993206124"/><n v="-0.0580348785702567"/><n v="3.63"/><s v="F(6,294) = 21.83"/><s v="F(1,44) = 1.43"/><s v="F(1,44) = 3.43"/><n v="3.43"/><s v="F(1,44) = 3.44"/><n v="3.44"/><s v="F(1,44) = 3.31"/><s v="F(1,44) = 7.29"/><s v="F(1,44) = 0.18"/><s v="F(1,44) = 0.04"/><s v="F(1,44) = 0.28"/><n v="0.166673333200005"/><s v="F(1,100) = 2.205"/><s v="F(1,100) = 6.634"/><s v="F(1,100) = 2.778"/><n v="0.474"/><n v="-0.28"/><n v="0.312413728351264"/><n v="1.7102"/><n v="1.9297272"/><n v="-1.7295006"/><n v="0.395198"/><s v="X2(2) = 12.026"/><n v="0.125989102771126"/><n v="0.2664"/><n v="1.3587"/><n v="-1.3587"/><n v="0.4375"/><n v="-0.25933"/><n v="3.15158690186388"/><n v="0.91"/><n v="0.110133361942926"/><n v="0.199479675552594"/><n v="0.0588836"/><s v="t(157) = -4.25"/><s v="t(157) = -2.62"/><s v="t(157) = -1.91"/><n v="0.3754939"/><n v="91.11"/><n v="0.97"/><n v="0.02278"/><n v="-1.786E-4"/><n v="-0.0195"/><n v="9.845E-5"/><n v="-0.09845"/><n v="0.145882726528282"/><n v="0.0669198092463301"/><n v="2.23"/><n v="0.92"/><n v="0.280224269158902"/><n v="0.00917662935482247"/><s v="0.00917662935482247"/><n v="-0.0483174434709905"/><s v="F(1,4) = 0.015"/><s v="F(1,4) = 0.061"/><s v="F(1,4) = 1.527"/><s v="t(19) = 35.18"/><n v="-0.0204714248912809"/><s v="F(1,401 = 3.281"/><n v="0.0020787"/><n v="0.448958987300324"/><n v="0.902433572610701"/><n v="0.902"/><s v="X2(2) = 22.02"/><n v="3.737"/><n v="0.603040513083647"/><s v="F(1,56)=16.72"/><s v="t(41) = -0.39"/><n v="0.247796849633978"/><n v="-0.012222"/><n v="0.004395"/><n v="0.044627"/><n v="1.63866476810305"/><s v="1.63866476810305"/><n v="0.111879077901676"/><n v="0.124365054041184"/><s v="0.12436505404118418"/><n v="0.242790791466753"/><s v="F(1, 36) = 0.56"/><s v="F(1, 100) = 3.935"/><n v="0.389720527496613"/><n v="0.03912084"/><n v="0.139256851135717"/><n v="-1.0907"/><n v="1.7739"/><n v="-1.2391"/><n v="1.68033610083361"/><s v="X2(1) = 0"/><n v="0.374440967926238"/><s v="F(1,26) = 3.645357"/><s v="F(1,26) = 3.1593304"/><n v="-0.478539444560215"/><n v="-0.4785394446"/><n v="0.202495955602966"/><n v="0.44"/><n v="1.037"/><n v="1.038"/><n v="1.041"/><n v="1.0"/><n v="0.995"/><n v="0.994"/><n v="0.999"/><n v="0.997"/><n v="0.998"/><n v="0.196909487739417"/><n v="0.1761949"/><n v="0.3183289"/><n v="-0.0425567"/><n v="0.0688052"/><n v="0.076633"/><n v="1.51479879344267"/><s v="F(1,13) = 21.804"/><s v="F(1,13) = 15.466"/><s v="F(1,13) = 14.957"/><s v="F(1,13) = 14.04"/><s v="F(1,13) = 0.014"/><s v="t(13) = 2.707"/><s v="t(13) = 3.577"/><s v="F(1,13) = 9.312"/><n v="0.7"/><s v="t(13) = 4.478"/><s v="t(13) = 1.438"/><n v="2.78502426771112E-4"/><n v="7.4"/><s v="t(35) = -3.89"/><n v="0.218240494886478"/><s v="F(4,6) = 6.636"/><s v="F(4,6) = 1.4195"/><n v="-0.062337452058199"/><s v="F(1,86) = 0.08"/><n v="1.74017489282979"/><s v="t(934) = -0.99"/><n v="3.45"/><n v="-0.5293166"/><n v="-0.19040863130135"/><n v="0.0709264758253591"/><n v="-0.07071"/><n v="-0.03677"/><n v="-0.1356"/><n v="0.270426749845588"/><n v="0.01074317"/><n v="2.25666163594155"/><s v="X2(1) = 374.43"/><s v="prop:5/15,2/11"/><s v="proportion: 5/15,2/11"/><n v="2.08342966938226"/><s v="bseb=.26(.25)"/><n v="0.8082"/><n v="-0.009090909091"/><n v="-0.00909090909090922"/><s v="F(1,131)=0.018"/><n v="-0.496477592646435"/><s v="prop:29/38,33/38"/><n v="1.711971789"/><n v="1.711971788604"/><n v="0.67703646753951"/><n v="0.53003"/><n v="-0.122474487139158"/><n v="-0.07914981074"/><n v="-0.0791498107444243"/><n v="0.0985426851581148"/><n v="-1.827"/><s v="prop:32/82,13/93"/><n v="-0.0689775913850995"/><s v="F(1,70)=.06"/><n v="-0.0869048189253481"/><n v="0.8933932"/><n v="-0.396027643904869"/><n v="0.359779005115277"/><n v="1.06038990801828"/><n v="0.0632160750004422"/><n v="-0.638230402761701"/><n v="0.457207"/><n v="0.14"/><n v="1.19038369164456"/><n v="0.889133895505657"/><s v="bse:b=.061"/><s v="bseb=-2.63845(1.747710)"/><s v="proportion: 91/147"/><n v="0.256674071435679"/><n v="0.0817102066054265"/><n v="0.909813508242608"/><n v="0.0550913677484325"/><n v="-0.12765697549428"/><s v="prop:13/14,2/14"/><n v="0.0281000730772987"/><n v="0.827178432058932"/><n v="1.24362373730964"/><s v="F(1,20)=30.932"/><n v="0.298469090943318"/><n v="1.23747033259459"/><n v="0.5941373454"/><n v="0.194935210038986"/><n v="0.20193923478476"/><s v="F(1,38)=1.51"/><s v="prop:19/26,14/25"/><n v="0.187279695136782"/><n v="0.485734799228491"/><n v="1.35099963"/><n v="1.35099962990372"/><n v="0.5914796451"/><n v="0.591479645065082"/><n v="0.220239104515739"/><n v="0.112161169751389"/><n v="0.72336"/><n v="0.19493521"/><n v="0.938139826109804"/><s v="t(41)=-0.029"/><n v="0.498565288609021"/><n v="0.343443573781914"/><n v="0.6884827599"/><n v="0.688482759870062"/><n v="0.743298262941807"/><n v="0.0548801"/><n v="-0.138751917564751"/><n v="0.850778190489016"/><n v="0.15782068640480743"/><n v="2.737"/><n v="0.504"/><n v="14.23"/><n v="-0.057"/><n v="0.34"/><n v="0.108"/><n v="0.53"/><n v="-2.534"/><n v="2.021"/><n v="80.28"/><n v="0.66"/><n v="5.1"/><n v="5.204"/><n v="0.17"/><n v="0.167"/><n v="0.22"/><n v="0.063"/><n v="0.0627"/><n v="0.384"/><n v="0.38"/><n v="-0.027"/><n v="0.08204666802424937"/><n v="0.586204"/><n v="-0.046"/><n v="0.09145300219901326"/><n v="0.355"/><n v="0.750614756155934"/><n v="0.116"/><n v="0.1160417"/><n v="0.1192779"/><n v="-0.098"/><n v="-0.06"/><n v="0.026"/><n v="0.04352736305001212"/><n v="-0.015"/><n v="-0.029893513429658274"/><n v="0.829"/><n v="0.04959059"/><n v="0.594"/><n v="0.146"/><n v="0.361"/><n v="0.436"/><n v="0.43646"/><n v="-0.035"/><n v="0.182"/><n v="0.3702"/><n v="0.832"/><n v="0.8320501"/><n v="0.344"/><n v="-0.07313434738422134"/><s v="F(1, 88) = 0.20"/><n v="-0.17"/><n v="-0.85"/><n v="0.2"/><s v="F(2, 73) = 0.274"/><n v="-0.019"/><n v="0.091"/><n v="1.35"/><n v="0.439"/><s v="F(2, 229) = 3.54"/><n v="0.007"/><n v="0.454"/><s v="F(1,27) = 2.47"/><s v="F(1,27) = 4.44"/><s v=" F(1, 27)  = 2.47"/><s v="F(1, 36) = 2.95"/><s v="F(1, 36) = 6.77"/><s v="F(1, 36)  = 6.77"/><n v="0.225"/><s v="t(64) = -.88"/><s v="X2(1) = 342.39"/><n v="0.339"/><n v="0.295"/><n v="0.228"/><n v="0.011"/><n v="-0.319"/><n v="0.184"/><n v="-0.136"/><n v="-0.144"/><n v="-0.127"/><n v="0.042"/><s v="X2= .23"/><s v=" X2 = .99"/><n v="2.2"/><n v="1.79"/><n v="2.4"/><n v="0.029299"/><n v="-0.18"/><s v="t (151) = 0.03"/><s v="t(146) = –0.79"/><s v="t(260) = –1.83"/><n v="-0.09"/><n v="-0.2"/><s v=" −0.176"/><s v="F(1, 266) = 0.24"/><s v="F(1, 288) = 0.67"/><s v=" F(1, 361) = 139.37"/><s v="F(1, 361) = 4.06"/><n v="5.0E-5"/><n v="0.88"/><n v="2.28E-4"/><s v="0.000228"/><s v="0.069"/><s v="0.099"/><n v="5.63E-4"/><s v="0.000563"/><s v="0.107"/><s v="0.154"/><s v="t(58)=-1.8"/><n v="-1.8"/><n v="0.096"/><n v="0.162"/><s v="F(1, 3004) = 281.42"/><s v="F(1, 3003) = 18.53"/><n v="-0.23"/><n v="-0.017"/><s v="0.017"/><n v="0.019"/><n v="0.079"/><n v="0.621"/><n v="1.386"/><n v="0.039"/><n v="0.332"/><n v="0.092"/><n v="0.599"/><n v="-0.068"/><n v="0.145"/><n v="0.138"/><n v="-0.013"/><n v="0.974"/><n v="0.244"/><n v="-0.054"/><n v="0.104"/><n v="0.049"/><n v="0.027"/><n v="0.0112"/><n v="0.067"/><n v="0.185"/><n v="0.414"/><n v="0.188"/><n v="0.259"/><n v="-0.038"/><n v="-0.44"/><s v="0.06"/><n v="0.058"/><n v="0.189"/><n v="-0.043"/><s v="α = 0.843, (0.154)"/><s v="α = 0.743, (0.289)"/><s v="α = 1.001, (0.257)"/><s v="α = 0.688, (0.248)"/><s v="α = 0.880, (0.19)"/><s v="α = 0.719, (0.205)"/><s v="α = -0.420, (0.41)"/><s v="α = -0.465, (0.421)"/><s v="α = -0.551, (0.435)"/><s v="α = -0.422, (0.417)"/><s v="α = -0.137, (0.476)"/><s v="α = -0.270, (0.543)"/><s v="α = -0.106, (0.097)"/><s v="α = 0.024, (0.143)"/><s v="α = -0.085, (0.093)"/><s v="α = -0.010, (0.158)"/><s v="α = -0.090, (0.115)"/><s v="α = 0.019, (0.15)"/><s v="α = -0.011, (0.075)"/><s v="α = -0.084, (0.072)"/><s v="α = -0.104, (0.121)"/><s v="α = -0.005, (0.036)"/><s v="α = -0.073, (0.164)"/><s v="α = -0.057, (0.087)"/><s v="X2(15) = 8.55"/><s v="X2(11) = 3.17"/><s v="X2(13) = 2.51"/><s v="X2(13) = 3.11"/><s v="X2(13) = 3.98"/><s v="X2(13) = 1.43"/><s v="α = 0.517, (0.09)"/><s v="α = 0.357, (0.141)"/><s v="α = 0.442, (0.14)"/><s v="α = 0.386, (0.143)"/><s v="α = 0.448, (0.17)"/><s v="α = 0.373, (0.106)"/><s v="α = -0.430, (0.117)"/><s v="α = -0.248, (0.052)"/><s v="α = -0.407, (0.064)"/><s v="α = -0.265, (0.077)"/><s v="α = -0.372, (0.194)"/><s v="α = -0.255, (0.122)"/><s v="α = -0.005, (0.006)"/><s v="α = -0.013, (0.006)"/><s v="α = -0.007, (0.007)"/><s v="α = -0.010, (0.006)"/><s v="α = -0.006, (0.006)"/><s v="α = 0.413, (0.207)"/><s v="α = 0.389, (0.154)"/><s v="α = 0.398, (0.13)"/><s v="α = -0.022, (0.052)"/><s v="α = 0.005, (0.031)"/><s v="α = 0.008, (0.057)"/><n v="0.319"/><n v="-3.03"/><n v="1.82"/><n v="1.84"/><n v="1.75"/><n v="11.54"/><n v="1.18"/><n v="0.95"/><n v="1.03"/><n v="-0.55"/><n v="-0.27"/><n v="1.58"/><n v="0.86"/><n v="0.298"/><n v="0.196"/><n v="0.222"/><n v="0.303"/><n v="0.166"/><n v="-0.327"/><n v="0.252"/><n v="0.434"/><s v="t(281) = 2.61,"/><s v="t(317) = 1.52,"/><s v="t(599) = 10.24"/><s v="t(686) = -9.89"/><s v="t(686) = -7.29"/><n v="0.018"/><n v="0.008"/><s v="t = -9.98"/><s v="t = -7.42"/><s v="0.012."/><n v="0.179"/><n v="0.028"/><s v="F(1, 463) = 0.139"/><s v="X2(2,N=319)=2.224"/><s v="B=−.02,[SE]=.06,Wald=.063"/><s v="B=−.09,[SE]=.06,Wald=1.90"/><s v="B=−.07,[SE]=.06,Wald=1.2"/><s v="X2(2,N=327)=2.742"/><s v="B=−.03,[SE]=.06,Wald=.165"/><s v="B=−.10,[SE]=.06,Wald=2.422"/><s v="(B=−.07,[SE]=.06,Wald=1.269"/><n v="0.392"/><n v="0.004"/><n v="0.251"/><n v="0.106"/><n v="0.149"/><n v="0.387"/><n v="0.057"/><n v="0.033"/><n v="0.238"/><s v="X2 = 0.091"/><n v="-0.011"/><n v="0.036"/><n v="0.038"/><n v="1.0E-4"/><n v="0.013"/><n v="0.021"/><n v="0.061"/><n v="-0.007"/><n v="0.087"/><n v="0.022"/><n v="0.294"/><s v="F(1, 29) = 45.27"/><n v="0.218"/><n v="-0.75"/><n v="0.426"/><n v="0.422"/><s v="0.286; t(7) = -1.426"/><s v="t(7) = -1.426"/><s v="t(139) = 4.02"/><n v="0.261"/><s v="F(18, 660) = 12.98"/><n v="-0.25"/><s v="r = -0.25"/><s v="Z = 4.92, N = 24"/><s v="z = 4.92"/><s v="t(16)= 9.59"/><n v="-2.33"/><n v="-0.62"/><s v="0.00; F(1, 64) = .02"/><s v="F(2, 68) = 41.603"/><s v="F(1.48, 41.458) = 1.401"/><n v="497.0"/><s v="t(56) = -0.77"/><s v="F(4, 150) = 0.58"/><n v="0.548"/><n v="0.255"/><n v="0.0065"/><s v="t(7) = 0.32"/><n v="0.032"/><s v="X2(1, N = 51) = 1.57"/><n v="0.065"/><n v="4.0E-4"/><s v="F(1, 48) = 4.22"/><n v="0.224"/><s v="F(1, 31) = 5.17"/><s v="F(1, 70) = 11.78"/><n v="0.957"/><n v="0.046"/><n v="0.102"/><s v="z = 1.25, N = 153"/><s v="z = 1.25"/><s v="F(2, 72) = 1.97"/><n v="0.016"/><s v="F(21, 455304) = 261.93"/><s v="F(1, 86) = .08"/><s v="F(1, 86) = 0.08"/><s v="F (2, 110) = .759"/><s v="F(2, 110) = 0.759"/><s v="t(31) = 2.40"/><n v="0.0259"/><s v="F(1, 222) = 0.002"/><s v="Av. Proportion = 0.77"/><s v="Observed proportion = 77%, hypothesized proportion = 33%"/><s v="t(14) = 0.496"/><n v="0.4695"/><s v="F(1, 31) = .384"/><s v="F(1, 31) = 0.384"/><s v="F (2, 67) = 1.70"/><s v="F(1, 137) = 1.43"/><s v="F (1, 139) = 5.28"/><s v="r = 0.27"/><s v="X2(1, N=150) = 7.10"/><s v="X2(1, N = 150) = 7.10"/><s v="F(1, 47)= .008"/><s v="F(1, 47) = 0.008"/><s v="X2(1) = 0.66"/><s v="t(68) = 1.51"/><s v="t(59)=2.325"/><s v="t(59) = 2.325"/><n v="0.215"/><s v="0.215"/><s v="gamma = -0.30, CI = -0.58, -0.01"/><n v="0.114"/><n v="0.82"/><s v="X2 = 10.82"/><s v="X2 = 2.11"/><n v="0.128"/><s v="Replication"/><n v="0.467"/><n v="-0.039"/><n v="0.084"/><n v="0.777"/><s v="X2(1) = 5.365"/><s v="X2(1) = 1.347"/><s v="X2(1) = 4.569"/><s v="t(294) = 9.36"/><n v="0.728"/><n v="0.365"/><n v="0.409"/><n v="0.342"/><n v="0.117"/><n v="0.562"/><n v="1.55"/><s v="X2 (4) = 7.39"/><s v="X2(1) = 47.46"/><s v="X2(2) = 0.52"/><s v="X2(1) = 0.42"/><n v="1.515"/><n v="1.14"/><n v="-0.45"/><n v="1.05"/><n v="1.22"/><n v="-0.88"/><n v="-0.35"/><n v="1.07"/><n v="2.73"/><n v="1.11"/><n v="1.91"/><n v="0.6"/><n v="-1.28"/><n v="0.93"/><n v="0.12375"/><s v="X2(1) = 10"/><s v="F(1, 172) = 20.08"/><s v="F(1, 173) = 11.04"/><s v="F(1, 173) = 8.72"/><s v="F(1, 175) = 18.14"/><s v="F(1, 175) = 20.94"/><s v="0.57"/><s v="F (1, 828.54) = 1.20"/><s v="0.67"/><s v="t(3411) = 21.5"/><n v="0.63"/><s v="t(3410) = 30.2"/><s v="t(117) = 21.05"/><s v="t(204) = -1.387"/><s v="#"/><n v="0.139"/><s v="0.149"/><s v=" t(747) = −10.126"/><s v="0.875"/><n v="0.52"/><s v="F(1, 213) = 13.05 "/><s v="F(1, 213) = 0.98"/><s v="F(2, 313) = 11.28"/><s v="F(1, 313) = 23.92"/><s v="F(1, 313) = 48.59"/><s v="F(1, 213) = 9.59"/><s v="F(1, 313) = 56.28"/><s v="F(1, 313) = 188.24"/><s v="0.27"/><s v="F(2,360) = 20.9"/><s v="0.13"/><s v="0.08"/><s v="t(179) = 0.004"/><s v="F(1, 364) = 7.06"/><s v="X2(1) = 58.23"/><s v="X2(3) = 103.77"/><n v="0.87"/><s v="X2(1) = 28.90"/><n v="2.3"/><s v="X2(1) = 100.33"/><n v="1.44"/><s v="X2(1) = 50.04"/><s v="X2(1) = 26.37"/><n v="1.32"/><s v="F(1, 410) = 55.8"/><s v="0.66"/><s v="1.2"/><s v="0.75"/><s v="0.41"/><s v="X2(1) = 0.198"/><s v="sobel test = 3.82"/><s v="0.30"/><s v="0.21"/><s v="X2(1) = 33.487"/><s v="F(1, 436) = 87.36"/><s v="F(1, 436) = 87.36, "/><s v="F(2, 436) = 0.45"/><s v="F(2,  436)  = 1.06"/><n v="1.27"/><s v="0.58"/><s v="t(198) = 1.3948"/><s v="F(1,8) = 12"/><n v="0.83"/><n v="0.602"/><s v="Estimate = 0.45, robust CI = (-0.64, 1.54), robust SE = 0.56"/><s v="Estimate = 0.05, robust CI = (-0.78, 0.88), robust SE = 0.42"/><n v="0.212"/><s v="-0.005"/><s v="-0.203"/><s v="gamma = 0.03, CI = 0.00, 0.07"/><s v="beta = 0.74, CI = 0.71, 0.77"/><s v="beta = 0.10, CI = 0.07, 0.13"/><s v="beta = 0.04, CI = 0.01, 0.07"/><s v="beta = 0.12, CI = 0.07, 0.17"/><s v="beta = 0.06, CI = 0.03, 0.09"/><s v="beta = 0.05, CI = 0.02, 0.08"/><s v="beta = -0.15, CI = -0.10, -0.20"/></sharedItems></cacheField><cacheField name="es_type_r" numFmtId="0"><sharedItems containsBlank="1"><s v="replication effect size type"/><s v="etasq"/><m/><s v="d"/><s v="test statistic"/><s v="kendall's w"/><s v="r"/><s v="partial r"/><s v="NA"/><s v="beta (std)"/><s v="hedges' g"/><s v="OR"/><s v="delta"/><s v="b (unstd)"/><s v="F"/><s v="cramer's V"/><s v="etasq (partial)"/><s v="descriptive"/><s v="Strength of centrality of the nodes"/><s v="beta"/><s v="cohen's w"/><s v="r-squared"/><s v="cohen's h"/><s v="z"/><s v="Cronbach's alpha"/><s v="dependability"/><s v="cohen's f partial"/><s v="proportion"/><s v="median difference"/><s v="Mean difference"/><s v="ordered probit regression coefficient"/><s v="probit beta (marginal change in odds)"/><s v="percentage difference"/><s v="phi"/><s v="Cohen's f^2"/><s v="Cohen's f"/><s v="q"/><s v="Cohen's dz"/><s v="omega"/><s v="f-square"/><s v="dz"/></sharedItems></cacheField><cacheField name="es_repr_r"><sharedItems containsDate="1" containsBlank="1" containsMixedTypes="1"><s v="Reproducible origin/calculation method for es_value_r (&quot;p. xx&quot; when reported, otherwise calculation process)"/><s v="p. 6"/><m/><s v="p.2 of https://osf.io/k2cna"/><s v="p. 1,2"/><s v="p. 3"/><s v="preprint p. 22&#xA;Kendells W = X2/N(K-1), X2 = 9.99, N = 80, K = 3&#xA;W = 9.99/ (80*(3-1)), W = 9.99/ (160), W ~ 0.06"/><s v="Kendells W = X2/N(K-1), X2 = 16.54, N = 80, K = 3&#xA;W = 16.54/ (80*(3-1)), W = 16.54/ (160), W ~ 0.1"/><s v="Kendells W = X2/N(K-1), X2 = 43.61, N = 80, K = 3&#xA;W = 43.61/ (80*(3-1)), W = 43.61/ (160), W ~ 0.27"/><s v="Kendells W = X2/N(K-1), X2 = 108.75, N = 80, K = 3&#xA;W = 108.75/ (80*(3-1)), W = 108.75/ (160), W ~ 0.68"/><s v="1.26 / 0.38"/><s v="p. 11"/><s v="2.27 / 0.85"/><s v="4.50 / 2.31"/><s v="p. 15, Table 10"/><n v="25.0"/><s v="p. 2538"/><s v="p. 2536"/><s v="p. 2537"/><s v="p. 2539"/><s v="pp. 10-11 wives"/><s v="pp. 10-11 husbands"/><s v="p.41"/><s v="p. 41: &quot;The analyses showed that participants in the awe and the neutral conditiondid not significantly differ in their balance between strengths and weak-nesses disclosed (i.e., their humility score,t(69) = –0.34,p= 0.438); see Ap-pendix D for more infor"/><s v="p.4"/><s v="p.8"/><s v="p. 8"/><s v="p.9"/><s v="p. 9"/><s v="p.10"/><s v="p. 10"/><s v="p. 17"/><s v="X2(1) = 1.35"/><s v="X2(1) = 6.15"/><s v="X2(1) = 2.48"/><s v="X2(1) = 8.70"/><s v="p. 7"/><n v="6.0"/><s v="p. 5"/><s v="p. 4"/><s v="p.5"/><n v="10.0"/><s v="p. 8, see my calculation here: https://docs.google.com/spreadsheets/d/1Da93yd8SPd-GwqOb8HCKeN1Hobk77X3_1anZLPku0G0/edit?usp=sharing"/><n v="22.0"/><n v="422.0"/><s v="p.3"/><n v="3.0"/><n v="5.0"/><s v="p.6"/><s v="The artcile uses z = 2.08, sample size of both groups 48. r = 2.08/√48 = 0.300"/><s v="p.266"/><s v="p.268"/><s v="p.267"/><s v="p.11"/><n v="11.0"/><s v="p. 20"/><s v="online supplement; p. 2"/><n v="63.0"/><s v="p.68"/><n v="9.0"/><s v="NA"/><s v="p.17"/><s v="p.27"/><s v="df inferred based on context; Table 4"/><s v="p.31"/><s v="p.13"/><n v="-0.04672126144670165"/><n v="-0.3121038032880354"/><n v="-0.04212924684138517"/><n v="-0.13183100894308278"/><n v="-0.18379404786172265"/><n v="-0.11836190117722928"/><s v="p.120"/><s v="p. 14"/><s v="p.195"/><s v="p.198"/><s v="p. 195"/><s v="p. 24"/><s v="p. 26"/><s v="p. 34"/><s v="pp.1806-1807"/><s v="p. 5-6"/><s v="p. 36"/><s v="p. 42"/><s v="p. 1"/><s v="p. 21"/><s v="p.19"/><s v="p. 12"/><s v="p. 8 "/><s v="5, Figure 2"/><s v="Calculated based on means and SDs from p. 10"/><s v="Calculated based on means and SDs from p. 14"/><s v="p.42"/><s v="p. 18"/><s v="Calculated with SPSS"/><s v="n/a"/><s v="p. 4 - Supplemental material"/><s v="Appendix B1"/><s v="Reduced form model regression, p.6 "/><s v="Diary entries, semi-structured interviews, qualitative content analysis, p. 192-194"/><s v="Independent samples/ Welch's t-test"/><s v="Independent samples/ Student's t-test "/><s v="mediation analysis"/><s v="mean, p. 3"/><s v="binary factor analysis, p.3"/><s v="p. 3-4"/><n v="4.0"/><n v="7.0"/><n v="8.0"/><s v="generalized linear mixed effects models, p.6"/><n v="19.0"/><n v="20.0"/><s v="p. 40 "/><s v="Calculated based on the data provided in Table 2. Group means and standard deviations for each group were used to calculate the total mean across all groups. The variance between groups and within groups was computed, followed by dividing the variances by"/><s v="p. 543"/><s v="p. 27"/><s v="p. 32 Table 8"/><s v="p.2"/><s v="p.20"/><s v="p.22"/><s v="p. 7 &amp; 8"/><s v="p. 11 &amp; 12"/><s v="p. 12 &amp; 13"/><s v="p. 14, 15 &amp; 16"/><s v="p. 17 &amp; 18"/><s v="https://osf.io/kspm6"/><s v="from Data sheet : https://docs.google.com/spreadsheets/d/1GZtAzaS9SynEVwyT-fs-bVPDZh374b78kaKIWves5pM/edit?gid=288814287#gid=288814287"/><s v="https://rstudio-pubs-static.s3.amazonaws.com/694306_59178dc09b8648e598a3e535876c9246.html#Results"/><s v="https://rstudio-pubs-static.s3.amazonaws.com/695666_50d31a83674d49bd8c1f5c55c3647f10.html"/><s v="Boyce dataset: https://osf.io/kspm6"/><s v="p. 9, https://github.com/vboyce/251-254-MA/blob/main/reports/otto2014.pdf "/><s v="p. 9,https://github.com/vboyce/251-254-MA/blob/main/reports/otto2014.pdf "/><s v="p. 6, https://github.com/vboyce/251-254-MA/blob/main/reports/otto2014.pdf "/><s v="p. 13"/><s v="p. 7, https://github.com/vboyce/251-254-MA/blob/main/reports/RPubs%20-%20PSYCH251%20replication%20report%20(Payne%20et%20al.%202008)_files/441449_2ab956b7171d461482fea234aafa8710.html"/><s v="p. 8, p. 7, https://github.com/vboyce/251-254-MA/blob/main/reports/RPubs%20-%20PSYCH251%20replication%20report%20(Payne%20et%20al.%202008)_files/441449_2ab956b7171d461482fea234aafa8710.html"/><s v="https://rpubs.com/kimiasaadatian/replicationreport: =(6.26-4.75)/SQRT((1.41^2+2.47^2)/2)"/><s v="https://rpubs.com/kimiasaadatian/replicationreport: =(3.75-4.75)/SQRT((2.23^2+2.47^2)/2)"/><s v="p. 40"/><s v="p. 2 of https://osf.io/rjxwe"/><s v="p. 16"/><s v="https://docs.google.com/spreadsheets/d/1GZtAzaS9SynEVwyT-fs-bVPDZh374b78kaKIWves5pM/edit?gid=288814287#gid=288814287"/><s v="https://www.rpubs.com/sansiropp/256552"/><s v="https://github.com/vboyce/251-254-MA/blob/main/data/processed_data.csv"/><s v=" https://www.rpubs.com/sansiropp/256552"/><s v="https://github.com/lrhasak/porter2016/blob/master/writeup/Porter2016_Study2_ReplicationReportFinal.html"/><s v="https://rpubs.com/ShimaSalehi/155989"/><s v="https://rpubs.com/cgarton/975073: =(9.45-10.34)/SQRT(((110-1)*4.58^2+(98-1)*4.65^2)/(110+98-2)))"/><s v="p. 6 https://github.com/vboyce/251-254-MA/blob/main/reports/risen2008.docx"/><s v="https://rpubs.com/kagood/final-project-report, p. 11"/><s v="https://rpubs.com/kagood/final-project-report, p. 10"/><s v="https://rpubs.com/kagood/final-project-report, p. 12"/><s v="https://rpubs.com/kagood/final-project-report, p. 16"/><s v="https://rpubs.com/kagood/final-project-report, p. 17"/><s v="https://rpubs.com/cceballos-stanford/544019"/><s v="https://rpubs.com/wuphins/159194, p. 11"/><s v="https://rpubs.com/wuphins/159194, p. 12"/><s v="https://rpubs.com/ennachen/psych251_finalproject"/><s v="https://rpubs.com/hrlarry/YUIMU-final"/><s v="p. 15"/><s v="p. 19"/><s v="https://rpubs.com/mlee17/262394"/><s v="https://rpubs.com/chuqihu8/pilot"/><s v="https://rpubs.com/mateusmazza/project_report_pilotB"/><s v="https://rpubs.com/klsanch/pilotAwriteup"/><s v="https://github.com/StanfordPsych254/Tribushinina2011/blob/master/writeup/Replication-Report.html"/><s v="https://rpubs.com/catherinecthomas/final_replication"/><s v="https://rpubs.com/ayl888/695975, p. 21"/><s v="https://osf.io/4ewkh"/><s v="X2(1, N = 48) = 17.85, p &lt; .001"/><s v="p. 28"/><s v="https://github.com/vboyce/251-254-MA/blob/main/data/processed_data.csv column rep_d_calc"/><s v="https://github.com/vboyce/251-254-MA/blob/main/data/processed_data.csv column rep_d_calc (haimovitz2016_1)"/><s v="https://github.com/vboyce/251-254-MA/blob/main/data/processed_data.csv column rep_d_calc (haimovitz2016_2)"/><s v="https://rpubs.com/Lsantos/442792 - recoded to match direction of original"/><s v="p. 4, converted with .667/(.474 * sqrt(159*159/318)), as SE can be used to calculate SD from sample size in single predictor regression; matches report in Camerer"/><s v="p.3 - =(0.6747/(1-0.6747))/(0.4311/(1-0.4311))"/><s v="p. 19 Camerer et al. 2018 - flipped to be in line with negative original effect"/><s v="p. 19 Camerer et al. 2018 - we do not report results from the replication report as they do not match anything reported in original study"/><s v="p. 3, =(0.8056/(1-0.8056))/(0.4483/(1-0.4483))"/><s v="p. 55"/><s v="p. 54"/><s v="=(25.85-25.4)/SQRT(((365-1)*5.47^2+(349-1)*5.5^2)/(365+349-2)))"/><s v="In R, r &lt;- sqrt(7.0152^2 / (7.0152^2 + 94))"/><s v="=(1.67-1.48)/SQRT(((147-1)*2.4^2+(139-1)*1.67^2)/(147+139-2)))"/><s v="=(10.3-6.69)/SQRT(((44-1)*5.28^2+(45-1)*4.3^2)/(44+45-2)))"/><s v="In R, r &lt;- sqrt(2.5543^2 / (2.5543^2 + 478))"/><s v="in R, h &lt;- 2 * (asin(sqrt(0.5353) - asin(sqrt(0.4757)))"/><s v="=(23.61-22.87)/SQRT(((1058-1)*16.93^2+(1078-1)*17.07^2)/(1058+1078-2)))"/><s v="=(44.63-45.07)/SQRT(((321-1)*14.69^2+(298-1)*14.75^2)/(321+298-2)))"/><s v="In R, r &lt;- sqrt(0.7579^2 / (0.7579^2 + 233))"/><s v="In R, r &lt;- sqrt(4.6276^2 / (4.6276^2 + 91))"/><s v="in R, h &lt;- 2 * (asin(sqrt(0.7277)) - asin(sqrt(0.5512)))"/><s v="In R (based on two-tailed z statistic), r &lt;- sqrt(6.7082^2 / (6.7082^2 + 20))"/><s v="p.1"/><d v="2025-04-03T00:00:00Z"/><s v="p.16 Using a mouse        Mean percentile = 71.2        p &lt; .001&#xA;"/><s v="Driving        Mean percentile = 65.2        p &lt; .001"/><s v="Riding a bicycle        Mean percentile = 61.0        p &lt; .001"/><s v="Saving money        Mean percentile = 62.9        p &lt; .001"/><s v="Telling jokes        Mean percentile = 52.4        n.s."/><s v="Playing chess        Mean percentile = 41.0        p &lt; .001"/><s v="Juggling        Mean percentile = 32.0        p &lt; .001"/><s v="Programming        Mean percentile = 40.7        p &lt; .001"/><s v="p.17 (r(6) = –0.85, p = .0073, 95% CI [–0.97 -0.37])."/><s v="p.15 (r(6) = 0.99, p &lt; .001, 95% CI [0.96, .99])."/><s v="p.5, F(1,68) = 1.12, p = .29, n2p=09."/><s v="p. 32"/><s v="p. 33"/><s v="Calculated based on means and SDs from p. 578"/><s v="Calculated based on means and SDs from p. 5"/><s v="p. 4-5"/><s v="Calculated based on means and SDs from p. 6"/><s v="Reported in Many Labs supplementary materials, Section 5: Response scales and reported behavior​"/><s v="p.4 "/><s v="p. 9 F(2, 64)  = 2.93, p =  .06, partial  2  = .08."/><s v="p. 2"/><s v="t(64) = -.88, p=.38."/><s v="Reported in Many Labs supplementary materials, Section 5: Response scales and reported behavior​ p. 7 (https://osf.io/y36m8)"/><s v="Reported in Many Labs supplementary materials, Section 12: Implicit Association Test and Implicit Attitudes."/><s v="p. 9, N based on df"/><s v="p.3, (F (1, 119) &lt; 1, n2= .01)."/><s v="Calculated based on framing effect results from Many Labs replication, Section 2: Framing effects in decision-making."/><s v="Reported in Many Labs supplementary materials, Section 4: Retrospective Gambler’s Fallacy."/><s v="p.15"/><s v="I used the data reported in p. 3 of supplementary material of the published article to calculate d"/><s v="Microsoft Word - PRH Supplementary Experiment Report.doc"/><s v="In R, cohens_h &lt;- 2 * (asin(sqrt(0.356)) - asin(sqrt(0.311)))"/><s v="Reported in Many Labs supplementary materials, Section 3: Measures of anchoring in estimation tasks."/><s v="In R, cohens_h &lt;- 2 * (asin(sqrt(0.8765)) - asin(sqrt(0.8667))"/><s v="In R (using compute.es), tes(t=-.930, n.1=60, n.2=48, level=95, dig=2)"/><s v="p.7"/><s v="p.6 X2= 1.04"/><s v="Calculated using SAS syntax provided in Correll (2008)"/><s v="Calculated using SAS syntax from Correll (2008)"/><s v="p. 5, F(1, 167) = 0.08, p  =  .775, d =  0.07."/><s v="p. 5, F(1, 266)   44.22, p  &lt;  .001, b =  0.19"/><s v="p.5, F(1, 266) = 0.24, p =  .625"/><n v="73.0"/><s v="p.6, F(1, 191) = 0.83, p = .363, d = 0.05."/><s v="p.6, F(1, 288)  = 95.16, p &lt;  .001, b  = 0.37"/><s v="p.6,  F(1, 288) = 0.67, p = .412."/><s v="F(1, 53.6) = 0.08, p =  .775, d =  0.01."/><s v="p.6,  F(1, 361)  = 139.37, p &lt;  .001"/><s v="p.6,  F(1, 361)  = 4.06, p =  .045:"/><s v="Calculated based on means and SDs from p. 62"/><s v="p.3 (table1)"/><s v="p.3 (table2)"/><s v="Reported in Many Labs supplementary materials, Section 4.9: Self-esteem, valence, and subjective distance."/><s v="Calculated based on means and SDs from p. 63"/><s v="Calculated based on means and SDs from p. 22"/><s v="Calculated based on means and SDs from p. 23"/><s v="Calculated based on means and SDs from p. 24"/><s v="Reported in Many Labs supplementary materials, Section 4.1: Stroop Effect and Cognitive Interference."/><s v="Reported in supplementary materials of replication study, Section 4.2: spatial metaphors and temporal reasoning."/><s v="reported in Table 3 "/><s v="Reported in Many Labs supplementary materials, Section 4.3: Availability heuristic and frequency judgments."/><s v="reported in table"/><s v="Reported in Many Labs supplementary materials, Section 4.5: Power and Perspective-Taking replication."/><s v="reported in text on page 75"/><s v="Reported in Many Labs supplementary materials, Section 10: Currency priming and system justification"/><s v="Reported in Many Labs supplementary materials, Section 11: Imagined contact and future contact intentions"/><s v="Reported in Many Labs supplementary materials, Section 1: Instructional Manipulation Checks and Detecting Satisficing"/><s v="[97] Data Replicada #10: Does Goal Conflict Affect Time Spent on Work and Leisure? - Data Colada"/><s v="[83] Data Replicada #2: Do Self-Construal and Group Size Influence How People Make Choices on Behalf of a Group? - Data Colada"/><s v="[85] Data Replicada #4: The Problem of Hidden Confounds - Data Colada"/><s v="https://osf.io/dqv9y"/><s v="p.16"/><s v="https://osf.io/gh52k?mode=&amp;revisionId=&amp;view_only="/><s v="p.14"/><s v="p.25"/><s v="ES for replication study was calculated based on the test statistics (M, SD, N)"/><s v="p.12"/><s v="p. 9 "/><s v="p. 457"/><s v="p. 465"/><s v="p. 23"/><s v="p. 466"/><s v="p. 459"/><s v="p. 460"/><s v="p. 464"/><s v="p. 454"/><s v="p. 455"/><s v="p. 461"/><s v="p. 456"/><s v="p. 458"/><s v="p.  460"/><s v="p. 467"/><s v="p. 462"/><s v="p. 463"/><s v="p. 22"/><s v="p.6, Table 2: Front vowels chosen = 512, Back vowels chosen = 311 χ² = 49.09, p &lt; 0.001"/><s v="p.6, Table 2: Front vowels chosen = 289, Back vowels chosen = 534 χ² = 72.934, p &lt; 0.001"/><s v="p.6, Table 2: Front vowels chosen = 331, Back vowels chosen = 492 χ² = 31.496, p &lt; 0.001"/><s v="p.6, Table 2: Front vowels chosen = 320, Back vowels chosen = 503 χ² = 40.691, p &lt; 0.001"/><s v="p.6, Table 2: Front vowels chosen = 536, Back vowels chosen = 287 χ² = 75.335, p &lt; 0.001"/><s v="p.6, Table 2: Front vowels chosen = 539, Back vowels chosen = 284 χ² = 79.01, p &lt; 0.001"/><s v="p.6, Table 2: Front vowels chosen = 343, Back vowels chosen = 480 χ² = 22.806, p &lt; 0.001"/><s v="p.6, Table 2: Front vowels chosen = 456, Back vowels chosen = 367 χ² = 9.6245, p = 0.002"/><s v="p.6, Table 2: Front vowels chosen = 452, Back vowels chosen = 371 χ² = 7.9721, p = 0.005"/><s v="p.6, Table 2: Front vowels chosen = 515, Back vowels chosen = 308 χ² = 52.064, p &lt; 0.001"/><s v="p.6, Table 2: Front vowels chosen = 546, Back vowels chosen = 277 χ² = 87.923, p &lt; 0.001"/><s v="p.6, Table 2: Front vowels chosen = 233, Back vowels chosen = 590 χ² = 154.86, p &lt; 0.001"/><s v="p.6, Table 2: Front vowels chosen = 461, Back vowels chosen = 362 χ² = 11.909, p &lt; 0.001"/><s v="p.6, Table 2"/><s v="p. 7 (f our: M = 21.40, SD = 100.28; seven: M = 17. 71, SD = 9.14; F1,821 = 0.565, p = 0.452, η 2p = 0.001)."/><s v="p. 7 (f our: M = 4.45, SD = 3.00, vs. seven: M = 4.80, SD = 3.52; F1,821 = 2.380, p = 0.123, η2p = 0.003)."/><s v="p. 7 (U = 78,727, Z = 1.743,p = 0.081, r = 0.061)."/><s v="p. 10 / t. 5"/><s v="p. 17. F(2, 598) = 4.28, p = .014, ηp2 = .014, η2 = .014"/><s v="p. 17 F(2, 598) = 1.05, p = .351, ηp2 = .003, η2 = .003;"/><s v="p. 18 F(1, 598) = 1.01, p = .315, ηp2 = .002, η2 = .002."/><s v="p. 18  (M = 4.74, SD = 2.03), (M = 5.52, SD = 1.97), t(281) = 2.61, p = .029"/><s v="p. 18 t(317) = 1.52, p = .387"/><s v="p. 18 β = 0.62, t(599) = 10.24, p &lt; .001."/><s v="p. 18 (0.07, 95% CI = [-0.0012, 0.14])"/><s v="p. 18, (0.04, 95% CI = [-0.02, 0.11])."/><s v="p. 18 (0.02, 95% CI = [-0.07, 0.12]),"/><s v="p. 67; Mscarcity = 5.53, SE = 1.81, Mcontrol = 4.04, SE = 2.14, t = -9.89, p &lt; .001; added DFs from N"/><s v="p. 67; Mscarcity = 5.37, SE = 1.69, Mcontrol = 4.35,SE = 2.00, t = -7.29, p &lt; .001; added DFs from N"/><s v="p. 67; (F(1, 686) = 12.84, p = .0004, partial h2 = .018)"/><s v="p. 67; (F(4, 686) = 5.59, p &lt; .001, partial h2 = .008)"/><s v="Mscarcity = 5.53, SE = 1.78, Mcontrol = 4.07, SE = 2.12, t = -9.98, p &lt; .001,"/><s v="Mscarcity = 5.40, SE = 1.66, Mcontrol = 4.39,SE = 2.00, t = -7.42, p &lt; .001."/><s v="(F(1, 710) = 8.64, p = .0034, partial h2 = .012.)."/><s v="(F(4, 710) = 6.07, p &lt; .001, partial h2 = .008)."/><s v="A (MTEL = $15.06, SD = $9.54; MMEL = $8.71, SD = $8.21; F(1, 463) = 22.26, p &lt; .01, Cohen’s d = 0.179)."/><s v="p. 56"/><s v="(F(1, 463) = 0.139, p = 0.71; MTEL-Near Future = $15.71, SD = $10.68;MMEL-Near Future = $9.05, SD = $9.49; MTEL-Distant Future = 14.43, SD =8.27; MMEL-distant future = 8.38, SD = 6.80)"/><s v="(M  = $1.65, SD  = 1.18)  (M  = $1.48, SD  = 1.17; F (1, 412) = 0.56, p  = .45; ηp2= .001)."/><s v="β = .01, SE = .04, t(410) = 0.16, p = .88; ηp2= .00"/><s v="(β = 0.001, SE = .04, t(410) = -0.13, p = .90; ηp2= .00)."/><s v="(β = .43, SE = .04, t(410) = 9.73, p &lt; .001; ηp2= .19)"/><s v="(M  = $1.67, SD  = 1.19)  (M  = $1.78, SD  = 1.20; F (1, 420) = 0.89, p  = .34; ηp2= .00"/><s v="(β = .02, SE = .04, t(418) = 0.49, p = .62;ηp2= .00)"/><s v="(β = -.1, SE = .04, t(418) = -0.30, p = .76; ηp2= .00)"/><s v="(β = .41, SE =.04, t(418) = 9.04, p &lt; .001; ηp2= .16)"/><s v="(X2(2,N=319)=2.224,p=.329)."/><s v="(M=27%) (M=29%,B=−.02,[SE]=.06,Wald=.063,p=.802)"/><s v="(M=27%) (M=36%,B=−.09,[SE]=.06,Wald=1.90,p=.174)"/><s v="(B=−.07,[SE]=.06,Wald=1.2,p=.278)"/><s v="X2(2,N=327)=2.742,p=.254)."/><s v="(M=26%)  (M=29%,B=−.03,[SE]=.06,Wald=.165,p=.685),"/><s v="M = 26% (M=36%,B=−.10,[SE]=.06,Wald=2.422,p=.120.)"/><s v="(B=−.07,[SE]=.06,Wald=1.269,p=.260)"/><s v="MScarcity = 4.44 vs. MControl= 1.80; F(1, 385) = 249.20, p &lt; .001, partial eta-squared = .392"/><s v="(F(1, 385) = 2.31, p =.12, partial eta-squared = .004)"/><s v="(F(1, 385) = 1.31, p = .253, partial eta-squared = .003)"/><s v="PHigh Threat= .30, SD = .23 vs. PLow Threat= .34, SD = .25, F(1, 385) = 2.64, p = .105, partial eta-squared = .003"/><s v="PScarcity= .32, SD= .25 vs. PControl= .32, SD = .25, F(1, 385) = 0.03, p = .843, partial eta-squared = .000"/><s v="F(1, 385) = 0.005, p = .945, partial eta-squared = .000"/><s v="p.5 (F1,821 = 55.002, p &lt; 0.001, η2p = 0.063)."/><s v="p. 9 / t. 5"/><s v="p.5 (52.56–47.45%; F1,821 = 4.717, p = 0.030, η2p = 0.011)."/><s v="p.5 (59.59–40.41%; F1,821 = 70.981, p &lt; 0.001,η2p = 0.149)."/><s v="p. 5 (high saturation: M = 15.46, SD = 1.94, vs. low saturation: M = 15.42, SD = 1.84; F1,821 = 0.095, p = 0.758, η 2p = 0.000)."/><s v="p.5 (high saturation: M = 5.30, SD = 1.07; vs. low saturation: M = 4.75, SD = 1.14; F1,821 = 49.238, p &lt; 001,η2p = 0.057)"/><s v="p. 5 (high saturation: M = 5.83, SD = 1.10; vs. low saturation: M = 5.41, SD = 1.20; F1,821 = 27.539, p &lt;0.001, η2p = 0.033)."/><s v="p.5 on the left (24.44%) or the right (25.59%) of the unhealthy food (, p = 0.763)."/><s v="p. 5 (F1,821 = 7.492, p = 0.006, η2p = 0.009)"/><s v="p.5  (F1,821 = 0.118, p = 0.731, η2p = 0.000)."/><s v="p.5 (F1,821 = 1.053, p = 0.305, η2p = 0.001)"/><s v="p.5 (F1,821 = 0.114, p = 0.736, η2p = 0.000),"/><s v="p.6 (F1,821 = 1.174, p = 0.279, η2p = 0.001)."/><s v="p.6 (F1,821 = 1.400, p = 0.237, η2p = 0.002),"/><s v="p. 9,10 / t. 5"/><s v="p. 6 (match: M = 3.39, SD = 1.75; mismatch: M = 3.36, SD = 1.82; F1,821 = 0.068, p = 0.794, η2p = 0.0001)."/><s v="p.6 (match: M = 4.87, SD = 2.00 vs. mismatch: M = 4.86, SD = 2.03; F1,821 = 0.006, p = 0.941, η2p = 0.0000)."/><s v="p. 6 (F2,820 = 0.141, p = 0.868, η 2p = 0.000)."/><s v="p.6 (circular-logo: M = 5.33, SD = 1.35, vs. angular-logo: M = 5.34, SD = 1.30; F1,550 = 0.004, p = 0.949, η 2p = 0.000)"/><s v="p.6 (angular-logo: M = 5.37, SD = 1.31 vs. circular-logo: M = 5.37, SD = 1.32; F1,550 = 0.0001, p = 0.994, η2p = 0.000)."/><s v="p.6 (circular-logo: M = 5.08, SD = 1.23, vs. angular-logo: M = 5.13, SD = 1.20, vs. control: M = 5.18, SD = 1.21; F2,820 = 0.478, p = 0.620, n2p = 0.001)."/><s v="p. 7 (F2,732 = 2.758, p = 0.064, η2p = 0.008)."/><s v="p.7 (left: M = 5.95, SD = 1.47 vs. right: M = 5.98, SD = 1.53; F1,732 = 0.032, p = 0.859, η2p= 0.000)."/><s v="p.7 (right: M = 5.47, SD = 1.41 vs. left: M = 5.63, SD = 1.68; F1,732 = 0.695, p = 0.405, η2p = 0.001)."/><s v="p.7 (F2,732 = 7.952, p &lt; 0.001, η2p = 0.021)"/><s v="p.7 (F1,732 = 1.093, p = 0.296, η2p = 0.002)."/><s v="p. 7 M = 5.64, SD = 1.05; vs. low dynamism: M = 5.59, SD = 1.15; F1,821 = 0.393, p = 0.531, η2p = 0.001)."/><s v="p. 7 (high dynamism: M = 5.85, SD = 1.27, vs. low dynamism: M = 5.00, SD = 1.50; F1,821 = 77.863, p &lt; 0.001, η2p = 0.087)."/><s v="p. 5; X2(1) = .387"/><s v="p. 15; t(156) = 1.318"/><s v="p. 4; F (1, 29) = 8.064"/><s v="p. 4; F(1, 142) = 1.19"/><s v="p. 2; F(1,116) = 6.28"/><s v="p. 4; F(1, 9) = 11.6"/><s v="p. 6; t(175) = 15.64"/><s v="p. 5; F (1,30) = 21.92"/><s v="p. 6; F(18, 660) = 12.98"/><s v="p. 5; F(1, 158) = 0.379"/><s v="p. 7; F(2, 232) = 1.63"/><s v="p. 4; changed sign"/><s v="p. 3; F(1, 68) = 0.08"/><s v="p. 4; t(25)=-3.1029; changed sign"/><s v="p. 4; F(1, 64) = .02"/><s v="p. 25"/><s v="p.10,11, 12"/><s v="T. 2"/><s v="(765.5-705.4)/SQRT((504.178614183505^2+435.384660960857^2)/2)"/><s v="p.xx"/><s v="https://osf.io/8nzfm/wiki/home/"/><s v="p. 12 of supplementary material"/><s v="p. 14 of supplementary material"/><s v="p. 5 &amp; 6"/><s v="X2(1, N = 161) = 2.2422 df = 1, p = 0.1343"/><s v="https://osf.io/mr3nb"/><s v="X2(1, N = 50) = 9.68, p = 0.001863"/><s v="X2(1, N = 259) = 43.02, p &lt; 0.001"/><s v="X2 = 42.2, df = 1, p&lt;.001"/><s v="https://osf.io/n4573"/><s v="https://osf.io/fdjns , p. 2"/><s v="t(270) = 4.7265, p &lt; .001"/><s v="F (1, 828.54) = 1.20, p = .27"/><s v="X2(1, N = 150) = 0.33, p = 0.56"/><s v="X2(1, N = 145) = 52.5, p &lt; .001"/><s v="t(198) = 4.44, p &lt; 0.001; p. 2 in report at OSF: https://osf.io/c639t"/><s v="t(188.64) = 8.27, p &lt; 0.001; p. 2 in report at OSF: https://osf.io/c639t"/><s v="p. 10 from https://osf.io/6r74y"/><s v="t(204) = -1.387, p = 0.917 from p. 10 https://osf.io/6r74y"/><s v="r = 0.139, p = 0.002 from https://osf.io/4ewkh"/><s v="p. 6-7"/><s v="X2(1, 60) = 4.3015, p = 0.04"/><s v="t(512) = 7.4773, p &lt; .001 from https://osf.io/4ewkh"/><s v="t(86) = 2.420, p = .018 from https://osf.io/4ewkh"/><s v="p. 10 and https://osf.io/4ewkh"/><s v="X2(1, N = 2211) = 159.39, p &lt; 0.001 from &quot;Reuter&quot; row in https://osf.io/4ewkh"/><s v="t(296) = 1.16, p = 0.24"/><s v="https://osf.io/mjvsd"/><s v="t(179) = 0.004, p =.99"/><s v="p &lt;.001"/><s v="p. 2 X2(1, N = 63) = 58.23, p &lt; .001, B = 0.42, Exp(B) = 1.52"/><s v="p. 2 X2= 103.77, df =3, N = 63, p &lt; .001"/><s v="https://osf.io/exqch"/><s v="(X2= 28.90, df =1, N = 63, p &lt; .001, B= 0.87)"/><s v="p. 2 X2=100.33, df =1, N = 63, p &lt; .001, B= 2.30"/><s v="p. 2 X2=50.04, df =1, N = 63, p &lt; .001, B= 1.44"/><s v="p. 2 X2= 26.37, df =1, N = 63, p &lt; .001, B= 1.07)"/><s v="p. 2 X2= 58.23, df =1, N = 63, p &lt; .001, B= 1.32"/><s v="https://osf.io/4ydaf"/><s v="X2(1, N = 155) = .198, p = .656"/><s v="Sobel test = 3.82, p = 0.0001"/><s v="https://osf.io/spwxg"/><s v="t(385)=1.69, p=0.092, η2=0.007"/><s v="t(97) = 6.483, p &lt; .001"/><s v="X2(1, N = 302) = 19.945, p &lt; .001"/><s v="https://osf.io/682ga"/><s v="https://osf.io/j2m8u"/><s v="https://osf.io/juxpq"/><s v="t(125) = 7.15, p &lt; 0.001"/><s v="https://osf.io/xv3uz"/><s v="t(198) = 4.1119, p &lt; .001"/><s v="https://osf.io/m5q6z"/><s v="https://osf.io/s8mrz"/><s v="https://osf.io/mykq6"/><s v="https://osf.io/d478r, page 2"/><s v="X2(1, N = 47) = 32.36, p &lt;.001"/><s v="X2(1, N = 186) = 67.4, p &lt; .001, kendallsW at https://osf.io/4ewkh"/><s v="X2(1, N = 221) = 0.42374, p = 0.5151"/><s v="p. 1 https://osf.io/7s5vy&#xA;X2(1, N = 123) = 17.959, p = 0.000023, w = 0.38."/><s v="Table 1, p. 4"/></sharedItems></cacheField><cacheField name="pval_value_r"><sharedItems containsBlank="1" containsMixedTypes="1" containsNumber="1"><s v="The reported p-value associated with the replication finding, must contain only one value and must not contain text"/><n v="0.02"/><s v="unavailable"/><n v="0.001"/><m/><n v="0.83"/><n v="0.01"/><s v="p &lt; 0.05"/><s v="p &lt; 0.01"/><s v="intramathematical problem p &lt; 0.05, word problem p &lt; 0.01, modelling problem p &lt; 0.01"/><s v="intramathematical problem p &lt; 0.01, word problem p &lt; 0.01, modelling problem p &lt; 0.01"/><n v="0.379"/><n v="0.529"/><n v="0.61"/><n v="0.71"/><n v="0.05"/><n v="0.438"/><n v="0.397"/><n v="0.618"/><s v="0.002"/><n v="0.002"/><s v="0.632"/><n v="0.122"/><n v="0.11"/><n v="0.25"/><n v="0.042"/><n v="0.29"/><n v="0.33"/><n v="0.073"/><n v="0.0"/><n v="0.031"/><n v="0.015"/><n v="0.047"/><n v="0.12"/><n v="0.407"/><n v="0.003"/><n v="0.548"/><n v="0.887"/><n v="0.7"/><s v="p &lt; 0.001"/><n v="0.101"/><s v="p = 0.66"/><s v="p = .261"/><n v="0.47"/><n v="0.06"/><n v="0.16"/><n v="0.86"/><n v="0.56"/><n v="0.8"/><n v="0.41"/><n v="0.04"/><n v="0.686"/><n v="1.0E-4"/><n v="0.07"/><n v="0.007"/><n v="0.742"/><n v="0.023"/><n v="0.054"/><n v="1.0E-5"/><n v="0.008"/><n v="0.021"/><n v="0.036"/><n v="0.1"/><s v="NA"/><n v="0.035"/><n v="0.072"/><n v="0.065"/><n v="0.049"/><n v="0.64"/><n v="0.5"/><s v="N/A"/><n v="0.38"/><n v="0.45"/><n v="0.27"/><n v="0.97"/><n v="0.49"/><n v="0.384"/><n v="0.133"/><n v="0.282"/><n v="0.126"/><n v="0.19"/><n v="0.162"/><n v="0.222"/><n v="0.22"/><n v="0.528"/><n v="0.311"/><n v="0.087"/><n v="0.999"/><s v="n.s."/><n v="0.73"/><n v="0.572"/><n v="0.125"/><n v="0.77"/><n v="0.81"/><n v="0.55"/><n v="0.54"/><n v="0.82"/><n v="0.53"/><n v="0.36"/><n v="0.84"/><n v="0.94"/><n v="0.038"/><n v="0.546"/><n v="0.424"/><n v="0.058"/><n v="1.0"/><n v="0.027"/><n v="0.146"/><n v="0.381"/><n v="0.344"/><n v="0.53895"/><n v="0.101498"/><n v="0.8926"/><n v="0.74"/><s v="Main effect source certainty:  p = .039&#xA;Main effect expertise: p = .247&#xA;Interaction effect certainty*expertise:  p =.361&#xA;Simple effect: non-expert  p = .439, expert  p = .027"/><s v="Main effect source certainty:  p &gt; 0.05&#xA;Main effect expertise: p  &gt; 0.05&#xA;Interaction effect certainty*expertise:  p = 0.030&#xA;Simple effect: non-expert  p = .023, expert  p = .437"/><s v="Main effect source certainty:  p &lt; 0.001&#xA;Main effect expertise: p  &gt; 0.05&#xA;Main effect reason: p  &gt; 0.05&#xA;Interaction effects: all  p  &gt; 0.05"/><n v="0.39"/><s v="Main effect Need For Closure: p = 0.010"/><n v="0.247"/><n v="0.03"/><n v="0.004"/><n v="0.08"/><s v="p = 0.20"/><s v="p &gt;0.05"/><n v="0.444"/><n v="0.422"/><n v="0.908"/><s v="not reported"/><s v="ns"/><n v="0.014"/><n v="0.924"/><n v="0.95"/><s v="NOT REPORTED "/><n v="0.46"/><n v="0.79"/><n v="0.37"/><n v="0.42"/><n v="0.607"/><n v="0.151"/><n v="0.928"/><n v="0.156"/><n v="0.332"/><n v="0.315"/><n v="0.564"/><n v="0.017"/><n v="0.026"/><n v="0.011"/><n v="0.792"/><n v="0.287"/><n v="0.523"/><n v="0.272"/><n v="0.993"/><n v="0.658"/><n v="0.217"/><n v="0.995"/><n v="0.3"/><n v="0.455"/><n v="0.328"/><n v="0.861"/><n v="0.292"/><s v="0.38"/><n v="0.077"/><n v="0.547"/><n v="0.375"/><n v="0.96"/><n v="0.76"/><n v="0.009"/><n v="0.651"/><s v="0.077"/><s v="0.547"/><s v="0.375"/><s v="0.96"/><s v="0.76"/><s v="0.009"/><n v="0.0618253867610742"/><n v="0.312441601669666"/><n v="0.579197556876244"/><n v="0.303"/><n v="3.80739424115181E-4"/><n v="3.807E-4"/><n v="0.01077"/><n v="0.2632"/><n v="0.1238"/><n v="6.056E-4"/><n v="0.7857"/><n v="0.0039689311852333"/><n v="0.15"/><n v="0.00173447003936064"/><n v="6.21E-7"/><n v="9.321999999999998E-6"/><n v="0.01454"/><n v="0.87"/><n v="0.4"/><n v="0.121273607571615"/><n v="0.0208742712467195"/><n v="0.6"/><n v="0.466054495151454"/><s v="0.46605449515145414"/><n v="0.633"/><n v="0.723"/><n v="0.3155"/><n v="0.1847"/><n v="0.141014403121108"/><n v="0.640291853"/><n v="0.144231002"/><n v="0.371"/><n v="0.141"/><n v="0.761"/><n v="3.4399999999999997E-6"/><n v="0.13"/><n v="0.21"/><n v="0.66"/><n v="0.35"/><n v="3.28644168173073E-9"/><n v="3.2864416817307304E-9"/><n v="1.44241082036131E-4"/><n v="0.517488992438142"/><n v="4.61188901659452E-6"/><n v="0.159"/><n v="0.0506886504493445"/><n v="5.85E-4"/><n v="0.0126"/><n v="0.88295"/><n v="0.199011"/><n v="2.03963080148808E-13"/><n v="0.0169"/><n v="0.8952"/><n v="0.076"/><n v="0.144"/><n v="0.689"/><n v="0.52"/><n v="0.63"/><n v="0.169"/><n v="1.20468940918332E-7"/><n v="0.1663"/><n v="0.635"/><n v="0.191"/><n v="0.00181562866269216"/><n v="0.48"/><n v="0.961"/><n v="0.09"/><n v="0.00662"/><n v="0.90065"/><n v="0.00905"/><n v="4.42E-9"/><n v="2.2400000000000002E-5"/><n v="0.0549"/><n v="1.0600000000000002E-5"/><n v="0.00107"/><n v="0.20379"/><n v="1.66062956998421E-6"/><n v="7.8106E-5"/><n v="3.9E-5"/><n v="0.254372799634103"/><n v="0.976202719702489"/><n v="7.47984211800734E-21"/><n v="0.355669153365095"/><n v="0.521018327214011"/><n v="0.238"/><n v="0.071"/><n v="0.672"/><n v="0.847"/><n v="0.598"/><n v="0.0986966719237651"/><n v="0.1407"/><n v="0.0115"/><n v="0.0987"/><n v="0.00233092847095222"/><n v="0.00233"/><n v="6.746E-4"/><n v="0.0031099"/><n v="0.002447"/><n v="0.321193881265947"/><n v="2.0E-4"/><n v="0.4793"/><n v="0.492"/><n v="1.00409150080624E-9"/><n v="0.169558754526223"/><n v="0.127565381522381"/><n v="7.280000000000001E-5"/><n v="0.00382"/><n v="6.28E-13"/><n v="3.63E-4"/><n v="1.23E-9"/><n v="0.098598"/><n v="0.207203"/><n v="0.044079512790297"/><n v="0.652055010791243"/><n v="0.006"/><n v="0.048"/><n v="0.066"/><n v="0.0881902635199541"/><n v="0.968533455924623"/><s v="0.9685334559246237"/><n v="0.483548956401245"/><n v="0.817"/><n v="0.284"/><n v="0.919289815940389"/><n v="0.212"/><n v="0.4551992"/><n v="0.129496379178315"/><n v="7.8E-6"/><n v="2.2000000000000002E-16"/><n v="1.654E-5"/><n v="3.33E-4"/><n v="1.4E-4"/><n v="0.33715549846412"/><n v="0.306"/><n v="8.29167038817029E-4"/><n v="8.291670388170291E-4"/><n v="0.544634947869308"/><n v="0.563448936597826"/><n v="0.459121525224115"/><n v="0.459"/><n v="0.04869"/><n v="0.115563444416586"/><n v="0.116"/><n v="0.687444834440912"/><n v="0.6871"/><n v="0.01574"/><n v="0.00788"/><n v="2.3404303906210502E-7"/><n v="0.067319915476862"/><n v="0.0673199"/><n v="0.0871952"/><n v="3.2E-4"/><n v="3.25485366864697E-4"/><n v="0.184939813686217"/><n v="0.0185"/><n v="0.47425673913639"/><n v="0.1009"/><n v="0.98"/><n v="0.0791635471444569"/><n v="0.0791605"/><n v="0.0218658"/><n v="0.5663768"/><n v="1.09027208418848E-4"/><n v="0.348"/><s v="0.9965467603884997"/><n v="0.0104556436019021"/><n v="4.189E-4"/><n v="0.505808759221724"/><n v="0.0216"/><n v="0.3334461"/><n v="0.562461465954232"/><n v="2.3039353399823E-13"/><n v="0.323"/><n v="0.533"/><n v="0.361"/><n v="0.157"/><n v="5.306E-4"/><n v="0.0182407236142778"/><n v="0.31949202403835"/><n v="0.0593"/><n v="0.41435"/><n v="0.00205"/><n v="0.00484125243751612"/><n v="0.5491"/><n v="4.02218906166799E-22"/><n v="3.29154931197221E-10"/><n v="0.935803955360774"/><n v="0.8934787321"/><n v="0.893478732094815"/><n v="0.124705614184336"/><n v="1.56719549264669E-7"/><n v="0.0469833588964036"/><n v="0.810049856157626"/><n v="0.357634457118059"/><n v="0.288681420512208"/><n v="0.640831197761496"/><n v="0.807212595250987"/><n v="0.604146530304818"/><n v="0.0355327857460011"/><n v="0.0566541751146468"/><n v="0.0562263367816061"/><n v="1.74700225281248E-7"/><n v="0.520567835597779"/><n v="0.00692284686075806"/><n v="0.00292409499639768"/><n v="2.35092757182492E-8"/><n v="0.0281747341040883"/><n v="0.134553425569185"/><n v="5.12986065631356E-41"/><n v="0.348108250387705"/><n v="0.424197305150009"/><n v="0.878746428689911"/><n v="6.63139204670043E-5"/><n v="1.91723363847369E-5"/><n v="0.00539563199687963"/><n v="5.74940043546499E-4"/><n v="5.90006114667716E-5"/><s v="MA"/><n v="0.232036496781515"/><n v="0.212129833599919"/><n v="0.2"/><n v="0.226694821848151"/><n v="0.363766425742599"/><n v="0.00617483036055436"/><n v="0.0413395620626535"/><n v="0.0189471698469944"/><n v="0.349774194915251"/><n v="0.531821336454792"/><n v="0.00137873815724571"/><n v="0.2320364968"/><n v="0.00245187028514065"/><n v="0.977005295638734"/><n v="4.2900000000000006E-5"/><n v="4.28962951808074E-5"/><n v="0.266690424017411"/><n v="0.0226713058255987"/><n v="0.00994269298"/><n v="0.00994269297968994"/><n v="0.236503257258824"/><n v="1.93056826666521E-5"/><n v="0.142"/><n v="0.933"/><n v="0.016"/><n v="0.154"/><n v="0.012"/><n v="0.571"/><n v="0.674"/><n v="0.055"/><n v="0.468"/><n v="0.4681"/><n v="3.497E-10"/><n v="0.436"/><n v="0.4362"/><n v="6.0E-4"/><n v="0.0109"/><n v="0.0087"/><n v="0.394"/><n v="0.234"/><n v="0.2336"/><n v="0.7095"/><n v="1.338E-4"/><n v="0.449"/><n v="0.4493"/><n v="6.8E-5"/><n v="0.022"/><n v="0.0223"/><n v="1.222E-5"/><n v="0.415"/><n v="0.414"/><n v="2.1E-4"/><n v="1.58E-6"/><n v="0.025"/><n v="0.0252"/><n v="0.23"/><n v="0.0073"/><n v="0.929"/><n v="0.666"/><n v="0.17"/><n v="0.78"/><n v="0.851"/><n v="0.636"/><n v="0.68"/><n v="0.26"/><n v="0.406"/><n v="0.437"/><n v="0.789"/><n v="0.927"/><n v="0.43"/><n v="0.62"/><n v="0.215"/><n v="0.167"/><n v="0.775"/><n v="0.625"/><n v="0.363"/><n v="0.412"/><n v="0.045"/><n v="0.543"/><n v="0.827"/><n v="0.72"/><n v="0.079"/><n v="0.494"/><n v="0.826"/><s v="0.826"/><n v="0.44"/><s v="0.720"/><n v="0.088"/><n v="0.261"/><n v="0.108"/><n v="0.88"/><n v="0.432"/><n v="0.496"/><n v="0.443"/><n v="0.513"/><n v="0.489"/><n v="0.174"/><n v="0.349"/><n v="0.24"/><n v="0.32"/><n v="0.383"/><s v="0.383"/><n v="0.743"/><n v="0.31"/><n v="6.2E-20"/><n v="0.288"/><n v="2.4E-6"/><n v="0.605"/><n v="0.904"/><n v="0.799"/><n v="8.9E-12"/><n v="2.6E-4"/><n v="0.841"/><n v="1.4E-22"/><n v="0.408"/><n v="5.7E-11"/><n v="0.699"/><n v="0.639"/><n v="0.714"/><n v="0.801"/><n v="0.278"/><n v="0.019"/><n v="2.7E-4"/><n v="0.646"/><n v="0.145"/><s v="0.667"/><n v="0.667"/><n v="0.824"/><n v="0.184"/><n v="0.763"/><n v="0.964"/><n v="0.679"/><n v="0.918"/><n v="0.9"/><n v="0.988"/><n v="0.99"/><n v="0.997"/><n v="0.991"/><n v="0.665"/><n v="0.457"/><n v="1.2E-13"/><n v="2.48E-5"/><n v="2.2E-16"/><n v="3.32E-285"/><n v="8.300000000000001E-109"/><n v="1.5E-159"/><n v="2.1499999999999998E-57"/><n v="6.5300000000000005E-115"/><n v="2.15E-57"/><n v="6.53E-115"/><n v="1.01E-50"/><n v="6.5E-34"/><n v="2.54E-29"/><n v="6.05E-34"/><n v="4.66E-23"/><n v="7.7E-16"/><n v="8.619999999999999E-7"/><n v="8.62E-7"/><n v="0.91"/><n v="0.18"/><n v="1.1000000000000001E-9"/><n v="1.1E-9"/><n v="2.0E-16"/><n v="2.37E-5"/><n v="3.0399999999999996E-275"/><n v="3.04E-275"/><n v="5.5000000000000005E-236"/><n v="4.5E-236"/><n v="0.005"/><n v="0.452"/><n v="0.123"/><n v="0.081"/><n v="0.351"/><n v="0.029"/><n v="0.387"/><n v="0.034"/><n v="0.34"/><n v="0.329"/><n v="0.802"/><n v="0.254"/><n v="0.685"/><n v="0.253"/><n v="0.105"/><n v="0.843"/><n v="0.945"/><n v="0.862"/><n v="0.758"/><n v="0.731"/><n v="0.305"/><n v="0.736"/><n v="0.279"/><n v="0.237"/><n v="0.794"/><n v="0.941"/><n v="0.868"/><n v="0.949"/><n v="0.994"/><n v="0.064"/><n v="0.859"/><n v="0.405"/><n v="0.296"/><n v="0.531"/><n v="0.435"/><n v="0.132"/><n v="0.189"/><n v="0.28"/><n v="0.197"/><n v="0.539"/><n v="0.00471"/><n v="0.89"/><n v="3.0E-10"/><n v="0.628"/><n v="0.369"/><n v="3.5E-5"/><n v="3.0E-5"/><n v="0.0269"/><n v="0.269"/><n v="0.229"/><n v="0.044"/><n v="0.1469"/><n v="0.335"/><n v="0.085"/><n v="0.471"/><n v="0.426"/><n v="0.314"/><n v="0.028"/><n v="0.235"/><n v="0.086"/><n v="0.93"/><n v="0.01175"/><n v="0.925"/><n v="0.216"/><s v="0.925"/><n v="0.172"/><n v="0.872"/><n v="0.039"/><s v="=(0.146/e (=))/(0.039/e (=))"/><s v="Medicine"/><n v="0.024"/><n v="0.727"/><n v="0.419"/><n v="0.574"/><n v="0.256"/><n v="0.033"/><n v="0.51"/><n v="0.083"/><n v="0.592"/><n v="0.018"/><n v="0.182"/><n v="0.106"/><n v="0.075"/><n v="0.121"/><n v="0.173"/><n v="0.259"/><n v="0.219"/><n v="0.551"/><n v="0.241"/><n v="0.179"/><n v="0.201"/><n v="0.447"/><n v="0.131"/><n v="0.1343"/><n v="0.002863"/><n v="0.001863"/><n v="0.917"/><n v="5.0E-4"/><n v="0.032"/><n v="0.656"/><n v="0.092"/><n v="0.1647"/><n v="0.5151"/><n v="2.3E-5"/><n v="0.725"/><n v="0.655"/></sharedItems></cacheField><cacheField name="pval_type_r" numFmtId="0"><sharedItems containsBlank="1"><s v="How is p-val reported?&#xA;&quot;=&quot; (e) / &quot;&lt;&quot; (l) / &quot;&gt;&quot; (g) or combined (le, ge)?&#xA;&#xA;for example &quot;p &lt;= .05&quot; should be coded as &quot;le&quot;"/><s v="l (&lt;)"/><m/><s v="e (=)"/><s v="r"/><s v="g (&gt;)"/><s v="NA"/><s v="N/A"/><s v="gr (&gt;)"/><s v="l(&lt;)"/><s v="ge (&gt;)"/><s v="le (&lt;=)"/><s v="Mental fatigue"/></sharedItems></cacheField><cacheField name="pval_tails_r" numFmtId="0"><sharedItems containsBlank="1"><s v="How many tails associated with the p-value, taking on values of one, two, or unknown&#xA;&#xA;one: 1&#xA;two: 2&#xA;unknown: NA&#xA;missing: not coded"/><s v="2 (two)"/><m/><s v="1 (one)"/><s v="NA (not reported)"/><s v="p. 17"/><s v="NA"/><s v="N/A"/><s v="Exercise performance; endurance; perceived exertion; motivation"/></sharedItems></cacheField><cacheField name="nested_r"><sharedItems containsBlank="1" containsMixedTypes="1" containsNumber="1"><s v="Is pval based on a test that accounts for dependence between observations (e.g., multilevel, repeated measures)"/><s v="yes"/><m/><s v="no"/><n v="0.001"/><s v="NA"/><s v="N/A"/><s v="unsure"/><s v="Vigor significantly decreased in both conditions"/></sharedItems></cacheField><cacheField name="prereg_r" numFmtId="0"><sharedItems containsBlank="1"><s v="Link to preregistration of R (only search for &quot;regist&quot;)"/><s v="https://doi.org/10.17605/OSF.IO/2ZGF9"/><m/><s v="https://osf.io/39xuw"/><s v="https://doi.org/10.17605/OSF.IO/7VGKQ"/><s v="https://pdf.sciencedirectassets.com/272387/1-s2.0-S0022103120X00060/1-s2.0-S0022103120304066/main.pdf?X-Amz-Security-Token=IQoJb3JpZ2luX2VjEBgaCXVzLWVhc3QtMSJGMEQCICnHJqcNsP62IhJ5t%2BlQbccPwseA76qFfK6Rgkom8dtRAiB1LS%2BiM%2B0b%2BvwiyOom715iyNnHeXVQbXmSm95p"/><s v="https://osf.io/8urxv"/><s v="NA"/><s v="https://osf.io/w4gj2"/><s v="l (&lt;)"/><s v="https://osf.io/5beqa"/><s v="https://osf.io/x64cn/ "/><s v="osf.io/x64cn"/><s v="https://osf.io/x64cn/"/><s v="https://aspredicted.org/3KR_RSK"/><s v="https://aspredicted.org/"/><s v="https://osf.io/8ga4s?view_only=38d7630a8c6e4eb6aee200540eec175d"/><s v="(https://osf.io/8ga4s/"/><s v="https://osf.io/8kzgd"/><s v="https://www.prolific.co"/><s v="https://osf.io/zb5j2"/><s v="https://osf.io/zb5j2/"/><s v="https://aspredicted.org/~AhaPdyHcZf"/><s v="PsyArXiv Preprints | The Efficacy of Attentional Bias Modification for Anxiety: A Registered Replication"/><s v="https://osf.io/preprints/psyarxiv/cf4xz"/><s v="https://osf.io/8t9qj"/><s v="https://osf.io/j8n59"/><s v="https://osf.io/uqsf6/"/><s v="https://osf.io/g4xcb"/><s v="https://osf.io/preprints/psyarxiv/esu9z"/><s v="https://osf.io/8qub2"/><s v="https://osf.io/mptud"/><s v="https://osf.io/6m5tb)"/><s v="https://osf.io/6m5tb"/><s v="https://osf.io/ja3wc)"/><s v="https://osf.io/ja3wc"/><s v="https://osf.io/8hz3s)"/><s v="n/a"/><s v="https://osf.io/tjr7a/"/><s v="https://doi.org/10.17605/OSF.IO/DT24J"/><s v="https://researchbox.org/1499"/><s v="https://aspredicted.org/PHY_PZZ"/><s v="https://osf.io/p2hr3"/><s v="https://osf.io/8cbua/"/><s v="https://osf.io/e5k4j/"/><s v="https://aspredicted.org/XHN_76L"/><s v="https://aspredicted.org/Y47_RW5"/><s v="https://aspredicted.org/TBY_14V"/><s v="https://aspredicted.org/16C_RCH"/><s v="https://aspredicted.org/YZ9_THH"/><s v="https://aspredicted.org/G5N_YRH"/><s v="https://aspredicted.org/737_DYZ"/><s v="https://osf.io/t3rpq"/><s v="https://osf.io/92der"/><s v="https://osf.io/tyvbw"/><s v="https://osf.io/8e5cg"/><s v="https://osf.io/5fzqp/"/><s v="https://osf.io/4uj6v"/><s v="https://osf.io/mj7nd"/><s v="https://osf.io/e6cps"/><s v="https://osf.io/apgqj"/><s v="https://osf.io/xwn9m/"/><s v="https://osf.io/cxatn"/><s v="https://osf.io/9j2ym"/><s v="https://osf.io/86p4e/"/><s v="https://osf.io/dn6gz"/><s v="https://osf.io/x4m6w"/><s v="https://osf.io/3xcq7"/><s v="https://doi.org/10.17605/OSF.IO/N5ZSX"/><s v="osf.io/p48sa/"/><s v="https://osf.io/5ausj"/><s v="https://osf.io/62jvk"/><s v="https://osf.io/vcmdp"/><s v="https://osf.io/h37qu"/><s v="https://osf.io/wsj2f"/><s v="https://osf.io/yt5q8/"/><s v="https://osf.io/vk2cs"/><s v="https://osf.io/vmfue"/><s v="https://osf.io/uw36p"/><s v="https://doi.org/10.17605/OSF.IO/BTH36"/><s v="https://osf.io/v89qn"/><s v="https://osf.io/fsv82"/><s v="https://osf.io/qvc8s"/><s v="https://osf.io/nb4wk"/><s v="https://osf.io/t974m"/><s v="https://osf.io/wcvnu"/><s v="https://osf.io/hsrbu"/><s v="https://osf.io/d5t2b"/><s v="https://osf.io/kx5mj"/><s v="https://osf.io/9z5nv"/><s v="https://osf.io/tpmnq"/><s v="https://osf.io/r9xc6"/><s v="https://osf.io/s5qzk"/><s v="https://osf.io/2anqg"/><s v="https://osf.io/vdmz6"/><s v="https://osf.io/ypcz5"/><s v="https://osf.io/d3h4u"/><s v="https://osf.io/a3394"/><s v="https://osf.io/bstxp/"/><s v="https://osf.io/9hn4c"/><s v="https://osf.io/3cgxv"/><s v="https://osf.io/mgjxv"/><s v="https://osf.io/bmnca"/><s v="https://osf.io/s73x6"/><s v="https://osf.io/zpyj3"/><s v="https://osf.io/jnq7e"/><s v="https://osf.io/efzv3"/><s v="https://osf.io/jubxw"/><s v="https://osf.io/wh5gb"/><s v="https://osf.io/k2teb"/><s v="https://osf.io/r3dt9"/><s v="https://osf.io/67mzc"/><s v="https://osf.io/6h5af"/><s v="https://osf.io/zj5n3"/><s v="https://osf.io/jqaac"/><s v="https://osf.io/j8pbk"/><s v="https://osf.io/3kpjx"/><s v="https://osf.io/szcuk"/><s v="https://osf.io/qb4f4"/><s v="https://osf.io/5uw3j"/><s v="https://osf.io/69xfj"/><s v="https://osf.io/367yu"/><s v="https://osf.io/b4ga9"/><s v="https://osf.io/84fyw"/><s v="https://osf.io/27cuc"/><s v="https://osf.io/qwked"/><s v="https://osf.io/t64fw"/><s v="https://osf.io/drvhe"/><s v="https://osf.io/yrbq9"/><s v="https://osf.io/kchf9"/><s v="https://osf.io/kmqtq"/><s v="https://osf.io/s48ht"/><s v="https://osf.io/g4phs"/><s v="https://osf.io/r4dve"/><s v="https://osf.io/mwzdy"/><s v="https://osf.io/7ch92"/><s v="https://osf.io/kgwf6"/><s v="https://osf.io/srgg5"/><s v="https://osf.io/knh6y"/><s v="https://osf.io/7yfkc/files/osfstorage"/><s v="https://osf.io/cifn3"/><s v="Not mentioned"/><s v="no"/><s v="https://osf.io/scayl"/><s v="https://osf.io/tvszz"/><s v="http://bit.ly/16MSSx8"/><s v="https://osf.io/EUZwH/"/><s v="https://osf.io/hmfxt"/><s v="https://osf.io/qc3pz"/><s v="https://osf.io/v3hfb/"/><s v="https://osf.io/czbzg/"/><s v="https://osf.io/8tikd"/><s v="https://osf.io/ryfse/"/><s v="https://osf.io/u6ghv"/><s v="https://osf.io/ct89g/"/><s v="https://osf.io/wamcn"/><s v="https://osf.io/kizyn"/><s v="https://osf.io/5kyjt"/><s v="http://osf.io/Cju65/files/ReplicationProtocol_%20for_Vess2012_Replication_2_-_LeBel.doc"/><s v="Wave 1: https://aspredicted.org/ni9xq.pdf; Wave 2: https://aspredicted.org/zi4ue.pdf"/><s v="https://aspredicted.org/ni9xq.pdf"/><s v="https://aspredicted.org/zi4ue.pdf"/><s v="https://aspredicted.org/mi7km.pdf"/><s v="https://aspredicted.org/mz4h8.pdf"/><s v="aspredicted.org/mz4h8.pdf"/><s v="https://aspredicted.org/gi726.pdf"/><s v="https://aspredicted.org/pw4tv.pdf"/><s v="https://aspredicted.org/n5tu8.pdf"/><s v="https://doi.org/10.17605/OSF.IO/YCQN9"/><s v="https://doi.org/10.17605/OSF.IO/E9D3K"/><s v="https://osf.io/fmd75"/><s v="https://osf.io/8k9nt"/><s v="https://osf.io/qxwhv"/><s v="https://osf.io/ugnsq"/><s v="https://osf.io/tg9ny"/><s v="https://osf.io/sqxe8"/><s v="https://osf.io/r5mtg"/><s v="https://osf.io/wc4xm"/><s v="https://osf.io/6vnm5"/><s v="https://osf.io/xd947"/><s v="https://osf.io/e37nu"/><s v="https://osf.io/eknym"/><s v="https://osf.io/7qnv4"/><s v="https://osf.io/tg2xb"/><s v="https://osf.io/nuw8e"/><s v="https://osf.io/8z2tm"/><s v="https://osf.io/j7syt"/><s v="https://osf.io/e6pq5"/><s v="https://osf.io/gq2fr"/><s v="https://osf.io/cyg6v"/><s v="https://osf.io/kpvwg"/><s v="https://osf.io/4aqu7"/><s v="https://osf.io/3pu8d"/><s v="https://osf.io/szntm"/><s v="https://osf.io/9avrm"/><s v="https://osf.io/yd69c"/><s v="https://osf.io/cs82h"/><s v="https://osf.io/yt9vb"/><s v="https://osf.io/nc49e"/><s v="https://osf.io/7pw4c?view_only=ca3860721b4048f5a3ff7d27687d2e46"/><s v="https://osf.io/caf6h?view_only=f5bd34199dd447b8af03b6b207f9e5d6"/><s v="https://osf.io/3xcnm/"/><s v="https://osf.io/j8a4p"/><s v="https://osf.io/ejcfw"/><s v="https://aspredicted.org/ZW2_C76"/><s v="https://osf.io/j4ers"/><s v="https://osf.io/k6ytw"/><s v="https://osf.io/8z3qb"/><s v="https://osf.io/4a5ej"/><s v="https://osf.io/zmcsw"/><s v="https://osf.io/p7952"/><s v="https://osf.io/sptyb"/><s v="https://doi.org/10.17605/OSF.IO/693JY"/><s v="https://osf.io/693jy"/><s v="https://doi.org/10.17605/OSF.IO/8EW6S"/><s v="https://osf.io/8ew6s"/><s v="https://doi.org/10.17605/OSF.IO/4KR6E"/><s v="https://osf.io/4kr6e"/><s v="https://doi.org/10.17605/OSF.IO/NMRJG"/><s v="https://osf.io/nmrjg"/><s v="https://doi.org/10.17605/OSF.IO/PK952"/><s v="https://osf.io/pk952"/><s v="https://doi.org/10.17605/OSF.IO/WMBP2"/><s v="https://osf.io/wmbp2"/><s v="https://doi.org/10.17605/OSF.IO/HPK2M"/><s v="https://osf.io/hpk2m"/><s v="https://doi.org/10.17605/OSF.IO/WZXQ9"/><s v="https://osf.io/wzxq9"/><s v="https://osf.io/wbs96"/><s v="https://osf.io/e89gh"/><s v="https://doi.org/10.17605/OSF.IO/VK6D9"/><s v="https://osf.io/ictp5"/><s v="https://osf.io/2hk76"/><s v="https://osf.io/pyt4e"/><s v="https://osf.io/8ybk5"/><s v="https://osf.io/vj2xr"/><s v="https://osf.io/hsntd"/><s v="https://osf.io/vqzx9"/><s v="https://osf.io/fs3ut"/><s v="https://osf.io/tpzk9"/><s v="https://osf.io/m9suf"/><s v="https://osf.io/s2d6t"/><s v="https://osf.io/689xc"/><s v="https://doi.org/10.17605/OSF.IO/HB7KJ"/><s v="https://doi.org/10.17605/OSF.IO/ZC468"/><s v="https://osf.io/zc468"/><s v="https://doi.org/10.17605/OSF.IO/K5CWT"/><s v="https://osf.io/k5cwt"/><s v="https://doi.org/10.17605/OSF.IO/PX56H"/><s v="https://osf.io/px56h"/><s v="https://doi.org/10.17605/OSF.IO/PPPJG"/><s v="https://osf.io/pppjg"/><s v="https://doi.org/10.17605/OSF.IO/WM2A8"/><s v="https://osf.io/wm2a8"/><s v="https://doi.org/10.17605/OSF.IO/P87CN"/><s v="https://osf.io/p87cn"/><s v="https://doi.org/10.17605/OSF.IO/TR7FP"/><s v="https://osf.io/tr7fp"/><s v="https://doi.org/10.17605/OSF.IO/HT9DU"/><s v="https://osf.io/ht9du"/><s v="https://osf.io/k82yb"/><s v="https://osf.io/qmpky"/><s v="https://osf.io/j3cfm"/><s v="https://osf.io/x5b6d"/><s v="https://osf.io/9r7au"/><s v="https://osf.io/fj6e8"/><s v="https://osf.io/a8zvk"/><s v="https://osf.io/7xupr"/><s v="https://osf.io/jb2pw/"/><s v="https://osf.io/gknau"/><s v="https://osf.io/knc2b"/><s v="https://osf.io/pua6s"/><s v="https://osf.io/ywk2q"/><s v="https://osf.io/76j48"/><s v="https://osf.io/zjmkg/"/><s v="https://osf.io/rkqw2"/><s v="https://osf.io/csm3d"/><s v="https://osf.io/b2agf"/><s v="https://osf.io/p6jxm"/><s v="https://osf.io/2rnj5"/><s v="https://osf.io/z6qw2"/><s v="https://osf.io/ny7t5"/><s v="https://osf.io/3fjvt"/><s v="https://osf.io/9p2qr"/><s v="https://osf.io/s9m2k"/><s v="https://osf.io/6xjqm"/><s v="https://osf.io/bk79y"/><s v="https://osf.io/bxumv"/><s v="https://osf.io/x2gmb"/><s v="https://osf.io/g754e"/><s v="https://osf.io/3va2j"/><s v="https://osf.io/ca8t2"/><s v="https://osf.io/ca8t3"/><s v="https://osf.io/rc2kz"/><s v="https://osf.io/3ubv9"/><s v="https://osf.io/f59hn"/><s v="https://osf.io/chf7m"/><s v="https://osf.io/ep2an"/><s v="https://osf.io/psab8"/><s v="https://osf.io/y8njt"/><s v="https://osf.io/bvu63"/><s v="https://osf.io/bvu64"/><s v="https://osf.io/fsut3"/><s v="https://osf.io/fsut4"/><s v="https://osf.io/bhnkq"/><s v="https://osf.io/3amj3"/><s v="https://osf.io/3amj4"/><s v="https://osf.io/9mkae"/><s v="https://osf.io/9apd7"/><s v="https://osf.io/suyfc"/><s v="https://osf.io/tys7b"/><s v="https://osf.io/u3x7s"/><s v="https://osf.io/853ue"/><s v="https://osf.io/36dr4"/><s v="https://osf.io/36dr5"/><s v="https://osf.io/c8qhv"/><s v="https://osf.io/ctvej"/><s v="https://osf.io/ngxye"/><s v="https://osf.io/dqybc"/><s v="https://osf.io/rqtgz"/><s v="https://osf.io/4hqd5"/><s v="https://osf.io/4hqd6"/><s v="https://osf.io/cehgp"/><s v="https://osf.io/3rtvz"/><s v="https://osf.io/vdc5m"/><s v="https://osf.io/x5szy"/><s v="https://osf.io/8dzpj"/><s v="https://osf.io/ak3rj"/><s v="https://osf.io/nrjs5"/><s v="https://osf.io/6vsc3"/><s v="https://osf.io/6vsc4"/><s v="https://osf.io/ty9xh"/><s v="https://osf.io/q7hm3"/><s v="https://osf.io/q7hm4"/><s v="https://osf.io/7bnfp"/><s v="https://osf.io/kg2x4"/><s v="https://osf.io/kg2x5"/><s v="https://osf.io/jhn4g"/><s v="https://osf.io/7czwd"/><s v="https://osf.io/nx6dr"/><s v="https://osf.io/45vwm"/><s v="https://osf.io/3m7qw"/><s v="https://osf.io/3uw95"/><s v="https://osf.io/3uw96"/><s v="https://osf.io/cy9v3"/><s v="https://osf.io/cy9v4"/><s v="https://osf.io/e35y2"/><s v="https://osf.io/pktma"/><s v="https://osf.io/zdw87"/><s v="https://osf.io/t75e3"/><s v="https://osf.io/2kjgz"/><s v="https://osf.io/2r7nk"/><s v="https://osf.io/q6tv8"/><s v="https://osf.io/ktjc4/"/><s v="https://osf.io/rtn9s/"/><s v="https://osf.io/wg9s3"/><s v="https://aspredicted.org/jq5fe.pdf"/><s v="https://osf.io/avf49"/><s v="OSF"/><s v="https://osf.io/7hz3x"/><s v="The BRUMS questionnaire revealed a significant decrease in vigor (from 6.2 +/- 3.1 to 3.5 +/- 2.2) in both conditions (main effect of time, P &lt; 0.001)"/><s v="https://osf.io/gc6zh"/><s v="OSF Registries | Deviation from Sampling Strategy"/><s v="https://osf.io/xqv8b"/><s v="https://osf.io/gv7cm/"/><s v="https://osf.io/p6e3c/registrations"/><s v="https://osf.io/m2cyn/"/><s v="https://osf.io/49yza"/><s v="https://osf.io/2dqxv"/><s v="https://osf.io/9bf3s"/><s v="OSF Registries | Implicit Theory of Mind – myth or mindreading mechanism"/><s v="https://osf.io/dxb5n"/><s v="https://doi.org/10.17605/OSF.IO/U6ZW9"/><s v="https://osf.io/uxajg"/><s v="https://osf.io/658pq/ "/><s v="osf.io/m8t3k/"/><s v="https://doi.org/10.17605/OSF.IO/TFC6X"/><s v="https://osf.io/fxqpr"/><s v="osf.io/bv42c/"/><s v="osf.io/693bm/"/><s v="https://doi.org/10.17605/OSF.IO/69DQC"/><s v="https://osf.io/69dqc"/><s v="osf.io/pjdkg"/><s v="https://doi.org/10.17605/OSF.IO/N9HDV"/><s v="osf.io/7er6r/"/><s v="osf.io/yb38c"/><s v="https://doi.org/10.17605/OSF.IO/CKJTF"/><s v="osf.io/wy8ab"/><s v="osf.io/jb8yp/"/><s v="osf.io/78sqa/"/><s v="https://doi.org/10.17605/OSF.IO/JW84M"/><s v="https://doi.org/10.17605/OSF.IO/P56KE"/><s v="osf.io/txs86"/><s v="https://doi.org/10.17605/OSF.IO/ZWKMN"/><s v="osf.io/cvuwy/"/><s v="https://doi.org/10.17605/OSF.IO/QP8V3"/><s v="osf.io/4yuym"/><s v="osf.io/dbx75/"/><s v="https://doi.org/10.17605/OSF.IO/5NZ6W"/><s v="osf.io/ejmyw"/><s v="https://doi.org/10.17605/OSF.IO/SSDMT"/><s v="https://osf.io/ssdmt"/><s v="osf.io/pfng2"/><s v="osf.io/s37h6/"/><s v="osf.io/6yfxz"/><s v="https://doi.org/10.17605/OSF.IO/THM7D"/><s v="https://osf.io/ay2ye"/><s v="https://doi.org/10.17605/OSF.IO/AY2YE"/><s v="https://osf.io/7en89"/><s v="https://osf.io/3g3hv"/><s v="https://doi.org/10.17605/OSF.IO/3G3HV"/><s v="https://osf.io/y62dh"/><s v="https://osf.io/w62xy"/><s v="https://doi.org/10.17605/OSF.IO/R3KTH"/><s v="https://doi.org/10.17605/OSF.IO/M9VRK"/><s v="osf.io/2ukpq"/><s v="https://doi.org/10.17605/OSF.IO/9E3T5"/><s v="https://doi.org/10.17605/OSF.IO/DNQE7"/><s v="osf.io/f5svw"/><s v="https://doi.org/10.17605/OSF.IO/9VXSF"/><s v="https://doi.org/10.17605/OSF.IO/HBPXN"/><s v="osf.io/w9bza/"/><s v="https://doi.org/10.17605/OSF.IO/26YZU"/><s v="osf.io/jtsnn/"/><s v="https://doi.org/10.17605/OSF.IO/Q2E5K"/><s v="https://osf.io/d3xb7"/></sharedItems></cacheField><cacheField name="closeness_r"><sharedItems containsBlank="1" containsMixedTypes="1" containsNumber="1" containsInteger="1"><s v="NA: unknown&#xA;1: internal: all central features are highly similar AND conducted by at least one of the original researchers&#xA;2: close/direct: central features are highly similar AND none of the original authors is involved&#xA;3: conceptual/constructive/extensi"/><s v="2 - close"/><s v="3 - conceptual"/><m/><s v="extension"/><s v="close"/><s v="NA (not reported)"/><s v="1 - internal"/><s v="NA: unknown"/><s v="internal"/><s v="4 - conceptual"/><n v="4.0"/></sharedItems></cacheField><cacheField name="feedback_for_coder"><sharedItems containsBlank="1" containsMixedTypes="1" containsNumber="1" containsInteger="1"><m/><s v="- Please type &quot;NA&quot; if you could not find &quot;regis&quot; in the manuscript.&#xA;- Good catch with the N = 41!&#xA;- This is the preregistration: https://osf.io/8urxv It is linked at the top of the entry"/><s v="Feedback for Hakile:&#xA;- The degreees of freedom for the t test are 39, indicating that N = 41&#xA;- the number of tails was actually not reported (it does not say anywhere whether it is one-tailed or two-tailed but was coded as 2)&#xA;- I could not find the d = 0."/><s v="yes"/><s v="- missed the study number&#xA;- make sure to review and correct text that is copied (special characters were missing)"/><s v="Feedback for Fabienne&#xA;- make sure to review and correct text that is copied (special characters were missing)&#xA;- you entered N = 85 with t(84) and Ntotal = 85. I was about to correct it to N = 86 because N = t-2 for two sample t tests but there appears to "/><s v="- please report test statistics with all details: F(x, y) = value (and not just the value)"/><s v="- please choose &quot;NA&quot; for pval_tails, when the paper does not clearly state it. Even if an F-Test is used"/><s v="- please describe notes in more detail (e.g., what do you mean with &quot;not replicated&quot;&#xA;- please do not code values for claims for which no replication finding exists&#xA;- please look closely in the replication paper since here the finding was replicated"/><s v="- please watch out for the n that was included in analysis and not the n before exclusions were made"/><s v="- do not code tests as one-tailed unless it is explicitly said in the text (eg &quot;one-tailed)"/><s v="The claim does not fit to the reported d, d should be 2.8 for this case"/><s v="Please only provide a numer for N (you wrote 1 and 12) and if you cannot, write an explanation into the notes variable or explain where it comes from."/><s v="simulation study, no new data was collected but merely &quot;generated&quot;"/><s v="- If there are multiple rows for one finding, please rename &quot;id&quot; to id_b, id_c, etc. for the newly created rows."/><s v="feedback: please review copied text and correct it (a &quot;=&quot; was missing)"/><s v="nothing filled out, should code again"/><s v="Feedback for Vidhi:&#xA;'- please change &quot;date_entered&quot; to the day that you worked on the entry&#xA;- Ref_replication was not in APA format and doi_r was missing&#xA;- label &quot;systematic replication&quot; was missing&#xA;- can you please explain why you did not extract any sta"/><s v="Feedback for Aleksandr:&#xA;- description was missing&#xA;- please do not conduct effect size conversions but only copy what is in the paper. You may do calculations using the sheet in the table. If you do so, please save one sheet for each calculation&#xA;- if you d"/><s v="what is the purpose of this row, please fill in the columns"/><s v="please fill in the column &quot;effect&quot;"/><s v="Feedback for Ray&#xA;- Why did you not code any of the test statistics?"/><s v="Feedback for Daniel&#xA;- please enter your name and the date that you are working on into the variables contributors and date_entered"/><s v="The es_type_r says &quot;F&quot;. Is this an f Test or Cohen's f (this is a mistake on our side because we have it as a selectable option, sorry!)?"/><s v="Feedback for Roksana&#xA;- please also fill out the variable with the page numbers"/><s v="Feedback for Ray&#xA;- please review the instructions again and code these entries"/><s v="Feedback for Daniel:&#xA;- one small typo when copying the Cohen's d from the table (.0185 instead of .0187)&#xA;- Claim and test statistics/effect sizes must be about the same thing. Convergent validity and mean difference is not the same thing, so you should ha"/><s v="Feedback for Roskana:&#xA;- please add pagenumbers into the respective variables (es_repr_o) even if it is the same as the claim page number&#xA;- coding is generally very good (not just for this entry)! thank you!&#xA;- additional studies 47_e: p value replication w"/><s v="Feedback for Thomas:&#xA;- if an eta squared is available, please code it and not the test statistics"/><s v="Feedback for Daniel&#xA;- Choosing the chi square test for fit in the matter scale development paper was a good decision!"/><s v="Feedback for Nikolay&#xA;- values in _o variables should not come from the replication report but only the original study's report"/><s v="Feedback for Daniel&#xA;- description should be matched for multiple rows per entry to specify what effect this is"/><s v="changed replicationt ype to conceptual because &quot;3rd sing&quot; was not part of original study"/><s v="The other coder did not seem to have difficulties and reported test statistics. I do not have access and the PDF-Link does not work. sarahashjones@gmail.com can you please check whether the 2010 or 2011 article is the target? You can send both articles to"/><s v="Feedback for Thomas: &#xA;I could not find most of the numbers on this page. Can you please send a screenshot for what you are referring to as &quot;test statistics&quot;?"/><s v="Feedback for Roksana&#xA;- If there is no preregistration, please type &quot;NA&quot; into the variable.&#xA;- Please fill out all mandatory variables, for example you forgot to note the page for the replication finding (Ws &gt; 152).&#xA;- Please familiarize yourself with the re"/><s v="Feedback for Thomas&#xA;- Please always fill out the claim variable. Please review the instructions to see which variables are optional.&#xA;- You noted Ws = 152 when it was actually Ws &gt; 152.&#xA;- Please change id to _b, _c, ... when creating multiple rows.&#xA;- There"/><s v="P-value corrected from .13 (that was the f value) to .72"/><s v="Changed r to Ws because r might correspond to the within-subjects correlation of the repeated variables and not the effect."/><s v="Changed nesting to &quot;NA&quot; instead of 1. It does not say how many tails there were only that one group is significantly faster than the other (which could be a combination of two-tailed significant test and positive correlation)"/><s v="Feedback for Maria&#xA;- When the title of a replication says &quot;conceptual&quot;, you can code it as conceptual (you coded &quot;close&quot;)."/><s v="Feedback for Thomas&#xA;- When entering test statistics, please enter the entire test statistic and type &quot;test statistic&quot; into the effect type variable (eg not 7.2 but F(1, 243) = 7.2)"/><s v="Feedback for Thomas&#xA;- When duplicating rows, please change the id for the second one (_b, _c, ...)&#xA;- When entering multiple effects, please use the &quot;description&quot; variable to explain what the difference is"/><s v="Feedback for Maria&#xA;- This is a stage 1 registered report and it says at the beginning (eg p. 5) that the results are based on a randomized pseudo-dataset. "/><s v="Feedback for Maria&#xA;- If there is no effect size type reported alongside the effect size, please write es type as NA. For example, in an ANOVA standardized effect sizes are f, eta squared, and R² (R² and eta are out because it is larger than 1 here) depend"/><s v="There was a typo in one of the p-values. Please double check the entries and rather copy them than type them in."/><s v="I could not find the effect size of d = .68 or any others for that matter.&#xA;&#xA;Feedback for Hakile&#xA;- Please include test statistics in the claim.&#xA;- I could not find the effect size of d = .68 on page 5 in the original report of additional_studies59"/><s v="Corrected citation and DOI, added effect sizes and duplicated row for both original subjects&#xA;&#xA;Feedback for Nikolay&#xA;- You could have coded the R² for additional_studies60&#xA;- Please copy text for the claim from the paper"/><s v="Study 1 was a reproduction and should not have been coded (only replications with new data)."/><s v="The original study was not preregistered as the OSF-link does not contain a registration: please double-check under the tab &quot;registrations&quot;: https://osf.io/yqxme/registrations. Moreover, it didn't say in the report that it was registered but there was mer"/><s v="please put NA in &quot;prereg_r&quot; if no prereg is mentioned"/><s v="Well done! :-)"/><s v="es_repr_r codes the page, the es_value_r was found on"/><s v="This was an internal replication (same authors, same study) but you coded it as &quot;conceptual&quot;."/><s v="- You took the wrong model for the reproduction.&#xA;- This is a reproduction and not a replication, so you should not have coded it in the first place."/><s v="- I could not find the values that you reported for the original paper in the original paper but only in the replication paper. Please only put values from the original report into the _o variables.&#xA;- You reported an incorrect sample size. Each model has "/><s v="please be consistent and report the full test statistic"/><s v="please fill in the variable study_o and study_r"/><s v="please put NA for prereg_r, please add es_repr_o"/><s v="Feedback for Husnain&#xA;- You were unsure about this but you did right: Please always use what is reported in the original paper for the _o variables.&#xA;- F is not an effect size. Please report the entire F test as a test statistic instead, eg F(1, 236) = 4.41"/><s v="You wrote &quot;Should in case of exclusion we left the row empty (except &quot;Exclusion&quot; column? &quot; - I did not understand the question entirely, I think. You were right to leave the cells empty as this is an exclusion anyway."/><s v="- Es repr_r was missing and prereg (for the chosen row). Please make sure that all cells are filled out.&#xA;- When there is no reference to a preregistration, please code it as &quot;NA&quot; because nothing is reported. Use &quot;no&quot; only when it is explicitly stated, tha"/><s v="please add in which document you found the statistical values for the replication (dataset) "/><s v="please add the link you put into the notes for coder also to the variable es_repr_r"/><s v="Here - and in some other places - prereg_o contains the repl prereg. this must be for the original study"/><s v="please add the varibale es_repr_r and prereg_r, please add a description"/><s v=":  please add the link to the file where you found the data to the variable &quot;es_repr_r&quot;"/><s v="please put in the n that was included in the analysis for n_o "/><s v="please add the link to the file where you found the values for the replication in the column &quot;es_repr_r&quot;, please put the number of observations that were included in the analisis in the column for n_o"/><s v="Please specify to which document/ source you are referring in the column &quot;es_repr_r&quot;"/><s v="let's use journal page numbers, not PDF page numbers (where available)"/><s v="If you are validating an entry and there are two identical rows, please mark one as &quot;validated - chosen&quot; and one as &quot;validated - discarded&quot;"/><s v="Corrected citation and doi to the one from the paper&#xA;&#xA;Feedback for Maureen:&#xA;- Please better indicate where the effect size comes from. I could not find the value in the paper.&#xA;- The original paper was published in psychological science, please thus code t"/><s v="In multi-level models, R2 *can* include ICC - and this value seems far too high to be the experimental manipulation alone"/><s v="z-scores from Mann-Whitney cannot be converted (or are at least not comparable)"/><s v="Economics papers often use different stars, beware of that (*** = &lt; .01)"/><s v="Many p-values from wrong row - be careful w/ tables"/><s v="claim should be stats + interpretation (better slightly too long when coding?)"/><s v="please put NA if there is no prereg available; please put &quot;1&quot; in study, even if there is only one experiment&#xA;"/><s v="please put NA instead of &quot;no&quot; in prereg"/><s v="- Please enter test statistics (regardless if F, t, ...) in their entirety: eg &quot;F(2, 56) = 7.58&quot; as value and &quot;test statistic&quot; as type&#xA;- Fill out all variables and write &quot;NA&quot; if you cannot find a value (except for variable &quot;exclusion&quot;)"/><s v="Feedback for Diego&#xA;- please also copy the formula that resulted in the reported effect size"/><s v="Feedback for Corinna&#xA;- please also copy the formula that resulted in the reported effect size"/><s v="Feedback&#xA;- study by Carter &amp; McCullough did not actually self-identify as replication in title or abstract but only in text (=conceptual replication)."/><s v="Feedback&#xA;- You coded a study label as replication when it actually did not self-identify as a replication in the title or abstract. Please keep in mind the variable labels for future cases.&#xA;"/><s v="Feedback&#xA;- The link didn't work because it included a space. I removed the space and the ?view-only part and it now works.&#xA;"/><s v="Feedback&#xA;- Please remember to fill out the label for the replication type and indicate that none was used if that was the case.&#xA;- Review text copied from the manuscript and make sure it is readable (eg = is often mistaken as 1/4)"/><s v="Feedback&#xA;Every entry should have a claim and coded statistics"/><s v="I could not find the N anywhere and you reported an eta squared, which was not in the report nor on the page that you indicated. Please report exactly what is in the respective report and do not calculate any values without providing the exact formula.Als"/><s v="- You entered data from ref_o which did not match up with ref_r. ref_o was wrong and you should have noticed when checking if the replication is actually investigating the same claim. Apologies for matching up the wrong studies. Please try to understand t"/><s v="- Please review text copied from the manuscript and correct it (eg &quot;=&quot; is turned into &quot;5&quot;)&#xA;- The ref_o did not match the one that you used. Yours is correct but please check this next time."/><s v="please put &quot;NA&quot; for prereg_r if it is not mentioned in the text"/><s v="- The effect that you reported for the replication was a quotation of the original effect.&#xA;- There was a preregistration for the many labs project, which is also referred to in the report."/><s v="- I could not find out where the repliation effect sizes and sample sizes came from, so I used what is on p. 5 here (https://osf.io/y36m8). One sample size was wrong based on df+2. Two ds had 2 digits in the spreadsheet but only 1 digit in the report.&#xA;- G"/><s v="I could not find the passage of the text and had to replace it with what I could find."/><s v="Please fill out all variables. References and DOIs are missing in several cases."/><s v="You write that COhens d was reported in the text and quote SDs but neither could be found"/><s v="please put NA for pval_tails_r, if the source does not directly specify that a two tailed t test was used"/><s v="please look at the test statistic of the chi square test for the final n"/><s v="please specify how you calculated d from the chi squared test statistic as it makes it easier for the validator"/><s v="Please provide a link to the supplementary material, since I could not find it in the osf"/><s v="please specify where you found or how you attained the d values"/><s v="please fill out all fields, even if the original study information is the same as the rows above"/><s v="Please review closeness types. Authorship overlap is necessary for replications to be internal. There was no overlap in this study.&#xA;Please review nesting types. If there is repeated measurement on any of the involved factors, nesting is the case."/><s v="Please rather use test statistics than beta coefficients. This makes conversions easier for us."/><s v="- Please also add the page number for the effect sizes (eg es_rep_r)&#xA;- You could have added the individual pdf files for the reports in the file_r variable."/><s v="please add the information on how you attained the es_repr_r in the variable and not only in the notes for coders"/><s v="Where we can calculate d (or OR), let's do it - more useful than ES that are not convertible (omega, eta-sq)"/><s v="Make sure special characters are corrected after copy-pasting from old papers - here Π"/><s v="Overall your validation work was very good and transparent,. I could easily understand the comments and issues, thank you!&#xA;A few minor points:&#xA;- please remove merged cells (this can happen if you copy from MS Excel to Google Spreadsheets and when the text"/><s v="Please review text after copying it and correct it (eg &quot;=&quot; gets copied as &quot;5&quot;)"/><n v="16.0"/><s v="please add NA for prereg_o if there is no preregistration"/><s v="- Corinna, you mistook multiple original effects as replication effects. I think this is because you swa them listed in the prereg (eg https://osf.io/p56ke) but this is just the &quot;effect I am trying to replicate&quot; section."/></sharedItems></cacheField><cacheField name="validator"><sharedItems containsBlank="1" containsMixedTypes="1" containsNumber="1"><s v="name of the person who validated the entry"/><s v="LR"/><m/><s v="LR, Sophie"/><s v="SMS"/><s v="Corinna "/><s v="SMS, LR"/><s v="Corinna"/><s v="Sophie (to do)"/><s v="Nikita"/><s v="Nikita, LW"/><s v="Nikita, SMS, LR"/><s v="Nikita, LR"/><s v="Nikita, LW, LR"/><s v="Nikita, SMS"/><s v="Nikita, LR, SMS"/><s v="Aleksandr Pravednikov"/><s v="Maureen Osano, LR"/><s v="Maureen Osano, LR, SAJ"/><s v="Lukas Wallrich"/><s v="Sarah Ashcroft-Jones"/><s v="Sarah Ashcroft-Jones, LW"/><s v="Sarah Ashcroft-Jones, LR"/><s v="Corinna - to do"/><s v="Sophie, LR"/><s v="SMS (to do)"/><s v="SMS "/><s v="Corinna, SAJ"/><s v="Roksana"/><s v="Roksana, LR"/><n v="1.004"/><s v="Nikita (to do)"/><s v="Maureen "/><s v="Maureen"/><s v="Maureen - to do"/><s v="Aleksandr Pravednikov, SAJ"/><s v="Aleksandr Pravednikov, Sarah Ashcroft-Jones"/><s v="Aleksandr Pravednikov, LR"/></sharedItems></cacheField></cacheFields></pivotCach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92" Type="http://schemas.openxmlformats.org/officeDocument/2006/relationships/hyperlink" Target="https://doi.org/10.1037/emo0001389" TargetMode="External"/><Relationship Id="rId391" Type="http://schemas.openxmlformats.org/officeDocument/2006/relationships/hyperlink" Target="https://doi.org/10.1037/emo0001389" TargetMode="External"/><Relationship Id="rId390" Type="http://schemas.openxmlformats.org/officeDocument/2006/relationships/hyperlink" Target="https://osf.io/864nx/" TargetMode="External"/><Relationship Id="rId2180" Type="http://schemas.openxmlformats.org/officeDocument/2006/relationships/hyperlink" Target="http://osf.io/c5fza" TargetMode="External"/><Relationship Id="rId2181" Type="http://schemas.openxmlformats.org/officeDocument/2006/relationships/hyperlink" Target="https://osf.io/s2d6t" TargetMode="External"/><Relationship Id="rId2182" Type="http://schemas.openxmlformats.org/officeDocument/2006/relationships/hyperlink" Target="http://osf.io/c5fza" TargetMode="External"/><Relationship Id="rId2183" Type="http://schemas.openxmlformats.org/officeDocument/2006/relationships/hyperlink" Target="https://osf.io/s2d6t" TargetMode="External"/><Relationship Id="rId385" Type="http://schemas.openxmlformats.org/officeDocument/2006/relationships/hyperlink" Target="https://osf.io/uqsf6/" TargetMode="External"/><Relationship Id="rId2184" Type="http://schemas.openxmlformats.org/officeDocument/2006/relationships/hyperlink" Target="https://osf.io/689xc" TargetMode="External"/><Relationship Id="rId384" Type="http://schemas.openxmlformats.org/officeDocument/2006/relationships/hyperlink" Target="https://osf.io/uqsf6/" TargetMode="External"/><Relationship Id="rId2185" Type="http://schemas.openxmlformats.org/officeDocument/2006/relationships/hyperlink" Target="https://osf.io/689xc" TargetMode="External"/><Relationship Id="rId383" Type="http://schemas.openxmlformats.org/officeDocument/2006/relationships/hyperlink" Target="https://osf.io/uqsf6/" TargetMode="External"/><Relationship Id="rId2186" Type="http://schemas.openxmlformats.org/officeDocument/2006/relationships/hyperlink" Target="https://doi.org/10.17605/OSF.IO/HB7KJ" TargetMode="External"/><Relationship Id="rId382" Type="http://schemas.openxmlformats.org/officeDocument/2006/relationships/hyperlink" Target="https://osf.io/uqsf6/" TargetMode="External"/><Relationship Id="rId2187" Type="http://schemas.openxmlformats.org/officeDocument/2006/relationships/hyperlink" Target="https://doi.org/10.17605/OSF.IO/HB7KJ" TargetMode="External"/><Relationship Id="rId389" Type="http://schemas.openxmlformats.org/officeDocument/2006/relationships/hyperlink" Target="https://doi.org/10.1037/emo0001389" TargetMode="External"/><Relationship Id="rId2188" Type="http://schemas.openxmlformats.org/officeDocument/2006/relationships/hyperlink" Target="https://doi.org/10.17605/OSF.IO/ZC468" TargetMode="External"/><Relationship Id="rId388" Type="http://schemas.openxmlformats.org/officeDocument/2006/relationships/hyperlink" Target="https://osf.io/864nx/" TargetMode="External"/><Relationship Id="rId2189" Type="http://schemas.openxmlformats.org/officeDocument/2006/relationships/hyperlink" Target="https://osf.io/zc468" TargetMode="External"/><Relationship Id="rId387" Type="http://schemas.openxmlformats.org/officeDocument/2006/relationships/hyperlink" Target="https://osf.io/uqsf6/" TargetMode="External"/><Relationship Id="rId386" Type="http://schemas.openxmlformats.org/officeDocument/2006/relationships/hyperlink" Target="https://osf.io/uqsf6/" TargetMode="External"/><Relationship Id="rId381" Type="http://schemas.openxmlformats.org/officeDocument/2006/relationships/hyperlink" Target="https://osf.io/uqsf6/" TargetMode="External"/><Relationship Id="rId380" Type="http://schemas.openxmlformats.org/officeDocument/2006/relationships/hyperlink" Target="https://osf.io/uqsf6/" TargetMode="External"/><Relationship Id="rId379" Type="http://schemas.openxmlformats.org/officeDocument/2006/relationships/hyperlink" Target="https://osf.io/uqsf6/" TargetMode="External"/><Relationship Id="rId2170" Type="http://schemas.openxmlformats.org/officeDocument/2006/relationships/hyperlink" Target="https://osf.io/vqzx9" TargetMode="External"/><Relationship Id="rId2171" Type="http://schemas.openxmlformats.org/officeDocument/2006/relationships/hyperlink" Target="https://osf.io/vqzx9" TargetMode="External"/><Relationship Id="rId2172" Type="http://schemas.openxmlformats.org/officeDocument/2006/relationships/hyperlink" Target="https://osf.io/fs3ut" TargetMode="External"/><Relationship Id="rId374" Type="http://schemas.openxmlformats.org/officeDocument/2006/relationships/hyperlink" Target="https://doi.org/10.1037/xap0000321" TargetMode="External"/><Relationship Id="rId2173" Type="http://schemas.openxmlformats.org/officeDocument/2006/relationships/hyperlink" Target="https://osf.io/fs3ut" TargetMode="External"/><Relationship Id="rId373" Type="http://schemas.openxmlformats.org/officeDocument/2006/relationships/hyperlink" Target="https://doi.org/10.1037/xap0000321" TargetMode="External"/><Relationship Id="rId2174" Type="http://schemas.openxmlformats.org/officeDocument/2006/relationships/hyperlink" Target="https://osf.io/tpzk9" TargetMode="External"/><Relationship Id="rId372" Type="http://schemas.openxmlformats.org/officeDocument/2006/relationships/hyperlink" Target="https://doi.org/10.1037/xap0000321" TargetMode="External"/><Relationship Id="rId2175" Type="http://schemas.openxmlformats.org/officeDocument/2006/relationships/hyperlink" Target="https://osf.io/tpzk9" TargetMode="External"/><Relationship Id="rId371" Type="http://schemas.openxmlformats.org/officeDocument/2006/relationships/hyperlink" Target="https://doi.org/10.1037/xap0000321" TargetMode="External"/><Relationship Id="rId2176" Type="http://schemas.openxmlformats.org/officeDocument/2006/relationships/hyperlink" Target="https://osf.io/ertbg" TargetMode="External"/><Relationship Id="rId378" Type="http://schemas.openxmlformats.org/officeDocument/2006/relationships/hyperlink" Target="https://osf.io/uqsf6/" TargetMode="External"/><Relationship Id="rId2177" Type="http://schemas.openxmlformats.org/officeDocument/2006/relationships/hyperlink" Target="https://osf.io/ertbg" TargetMode="External"/><Relationship Id="rId377" Type="http://schemas.openxmlformats.org/officeDocument/2006/relationships/hyperlink" Target="https://osf.io/uqsf6/" TargetMode="External"/><Relationship Id="rId2178" Type="http://schemas.openxmlformats.org/officeDocument/2006/relationships/hyperlink" Target="https://osf.io/m9suf" TargetMode="External"/><Relationship Id="rId376" Type="http://schemas.openxmlformats.org/officeDocument/2006/relationships/hyperlink" Target="https://osf.io/uqsf6/" TargetMode="External"/><Relationship Id="rId2179" Type="http://schemas.openxmlformats.org/officeDocument/2006/relationships/hyperlink" Target="https://osf.io/m9suf" TargetMode="External"/><Relationship Id="rId375" Type="http://schemas.openxmlformats.org/officeDocument/2006/relationships/hyperlink" Target="https://doi.org/10.1037/xap0000321" TargetMode="External"/><Relationship Id="rId2190" Type="http://schemas.openxmlformats.org/officeDocument/2006/relationships/hyperlink" Target="https://doi.org/10.17605/OSF.IO/K5CWT" TargetMode="External"/><Relationship Id="rId2191" Type="http://schemas.openxmlformats.org/officeDocument/2006/relationships/hyperlink" Target="https://osf.io/k5cwt" TargetMode="External"/><Relationship Id="rId2192" Type="http://schemas.openxmlformats.org/officeDocument/2006/relationships/hyperlink" Target="https://doi.org/10.17605/OSF.IO/PX56H" TargetMode="External"/><Relationship Id="rId2193" Type="http://schemas.openxmlformats.org/officeDocument/2006/relationships/hyperlink" Target="https://osf.io/px56h" TargetMode="External"/><Relationship Id="rId2194" Type="http://schemas.openxmlformats.org/officeDocument/2006/relationships/hyperlink" Target="https://doi.org/10.17605/OSF.IO/PPPJG" TargetMode="External"/><Relationship Id="rId396" Type="http://schemas.openxmlformats.org/officeDocument/2006/relationships/hyperlink" Target="https://osf.io/uqsf6/" TargetMode="External"/><Relationship Id="rId2195" Type="http://schemas.openxmlformats.org/officeDocument/2006/relationships/hyperlink" Target="https://osf.io/pppjg" TargetMode="External"/><Relationship Id="rId395" Type="http://schemas.openxmlformats.org/officeDocument/2006/relationships/hyperlink" Target="https://doi.org/10.1037/emo0001389" TargetMode="External"/><Relationship Id="rId2196" Type="http://schemas.openxmlformats.org/officeDocument/2006/relationships/hyperlink" Target="https://doi.org/10.17605/OSF.IO/WM2A8" TargetMode="External"/><Relationship Id="rId394" Type="http://schemas.openxmlformats.org/officeDocument/2006/relationships/hyperlink" Target="https://osf.io/uqsf6/" TargetMode="External"/><Relationship Id="rId2197" Type="http://schemas.openxmlformats.org/officeDocument/2006/relationships/hyperlink" Target="https://osf.io/wm2a8" TargetMode="External"/><Relationship Id="rId393" Type="http://schemas.openxmlformats.org/officeDocument/2006/relationships/hyperlink" Target="https://osf.io/uqsf6/" TargetMode="External"/><Relationship Id="rId2198" Type="http://schemas.openxmlformats.org/officeDocument/2006/relationships/hyperlink" Target="https://doi.org/10.17605/OSF.IO/P87CN" TargetMode="External"/><Relationship Id="rId2199" Type="http://schemas.openxmlformats.org/officeDocument/2006/relationships/hyperlink" Target="https://osf.io/p87cn" TargetMode="External"/><Relationship Id="rId399" Type="http://schemas.openxmlformats.org/officeDocument/2006/relationships/hyperlink" Target="https://osf.io/uqsf6/" TargetMode="External"/><Relationship Id="rId398" Type="http://schemas.openxmlformats.org/officeDocument/2006/relationships/hyperlink" Target="https://doi.org/10.1037/emo0001389" TargetMode="External"/><Relationship Id="rId397" Type="http://schemas.openxmlformats.org/officeDocument/2006/relationships/hyperlink" Target="https://osf.io/uqsf6/" TargetMode="External"/><Relationship Id="rId1730" Type="http://schemas.openxmlformats.org/officeDocument/2006/relationships/hyperlink" Target="https://osf.io/qxwhv" TargetMode="External"/><Relationship Id="rId1731" Type="http://schemas.openxmlformats.org/officeDocument/2006/relationships/hyperlink" Target="https://osf.io/qxwhv" TargetMode="External"/><Relationship Id="rId1732" Type="http://schemas.openxmlformats.org/officeDocument/2006/relationships/hyperlink" Target="https://osf.io/qxwhv" TargetMode="External"/><Relationship Id="rId1733" Type="http://schemas.openxmlformats.org/officeDocument/2006/relationships/hyperlink" Target="https://osf.io/qxwhv" TargetMode="External"/><Relationship Id="rId1734" Type="http://schemas.openxmlformats.org/officeDocument/2006/relationships/hyperlink" Target="https://osf.io/qxwhv" TargetMode="External"/><Relationship Id="rId1735" Type="http://schemas.openxmlformats.org/officeDocument/2006/relationships/hyperlink" Target="https://www.pnas.org/action/downloadSupplement?doi=10.1073%2Fpnas.1519401113&amp;file=pnas.201519401SI.pdf" TargetMode="External"/><Relationship Id="rId1736" Type="http://schemas.openxmlformats.org/officeDocument/2006/relationships/hyperlink" Target="https://doi.org/10/f76jnb" TargetMode="External"/><Relationship Id="rId1737" Type="http://schemas.openxmlformats.org/officeDocument/2006/relationships/hyperlink" Target="https://osf.io/sejyp" TargetMode="External"/><Relationship Id="rId1738" Type="http://schemas.openxmlformats.org/officeDocument/2006/relationships/hyperlink" Target="https://osf.io/5zxvt" TargetMode="External"/><Relationship Id="rId1739" Type="http://schemas.openxmlformats.org/officeDocument/2006/relationships/hyperlink" Target="https://doi.org/10/f76jnb" TargetMode="External"/><Relationship Id="rId1720" Type="http://schemas.openxmlformats.org/officeDocument/2006/relationships/hyperlink" Target="https://osf.io/fmd75" TargetMode="External"/><Relationship Id="rId1721" Type="http://schemas.openxmlformats.org/officeDocument/2006/relationships/hyperlink" Target="https://osf.io/fmd75" TargetMode="External"/><Relationship Id="rId1722" Type="http://schemas.openxmlformats.org/officeDocument/2006/relationships/hyperlink" Target="https://osf.io/8k9nt" TargetMode="External"/><Relationship Id="rId1723" Type="http://schemas.openxmlformats.org/officeDocument/2006/relationships/hyperlink" Target="https://osf.io/8k9nt" TargetMode="External"/><Relationship Id="rId1724" Type="http://schemas.openxmlformats.org/officeDocument/2006/relationships/hyperlink" Target="https://osf.io/qxwhv" TargetMode="External"/><Relationship Id="rId1725" Type="http://schemas.openxmlformats.org/officeDocument/2006/relationships/hyperlink" Target="https://osf.io/qxwhv" TargetMode="External"/><Relationship Id="rId1726" Type="http://schemas.openxmlformats.org/officeDocument/2006/relationships/hyperlink" Target="https://osf.io/gh52k?mode=&amp;revisionId=&amp;view_only=" TargetMode="External"/><Relationship Id="rId1727" Type="http://schemas.openxmlformats.org/officeDocument/2006/relationships/hyperlink" Target="https://osf.io/gh52k?mode=&amp;revisionId=&amp;view_only=" TargetMode="External"/><Relationship Id="rId1728" Type="http://schemas.openxmlformats.org/officeDocument/2006/relationships/hyperlink" Target="https://osf.io/gh52k?mode=&amp;revisionId=&amp;view_only=" TargetMode="External"/><Relationship Id="rId1729" Type="http://schemas.openxmlformats.org/officeDocument/2006/relationships/hyperlink" Target="https://osf.io/qxwhv" TargetMode="External"/><Relationship Id="rId1752" Type="http://schemas.openxmlformats.org/officeDocument/2006/relationships/hyperlink" Target="https://doi.org/10/f77w6d" TargetMode="External"/><Relationship Id="rId1753" Type="http://schemas.openxmlformats.org/officeDocument/2006/relationships/hyperlink" Target="https://osf.io/sejyp" TargetMode="External"/><Relationship Id="rId1754" Type="http://schemas.openxmlformats.org/officeDocument/2006/relationships/hyperlink" Target="https://osf.io/r5mtg" TargetMode="External"/><Relationship Id="rId1755" Type="http://schemas.openxmlformats.org/officeDocument/2006/relationships/hyperlink" Target="https://doi.org/10/f77w6d" TargetMode="External"/><Relationship Id="rId1756" Type="http://schemas.openxmlformats.org/officeDocument/2006/relationships/hyperlink" Target="https://osf.io/sejyp" TargetMode="External"/><Relationship Id="rId1757" Type="http://schemas.openxmlformats.org/officeDocument/2006/relationships/hyperlink" Target="https://doi.org/10/gckbgp" TargetMode="External"/><Relationship Id="rId1758" Type="http://schemas.openxmlformats.org/officeDocument/2006/relationships/hyperlink" Target="https://osf.io/sejyp" TargetMode="External"/><Relationship Id="rId1759" Type="http://schemas.openxmlformats.org/officeDocument/2006/relationships/hyperlink" Target="https://osf.io/wc4xm" TargetMode="External"/><Relationship Id="rId1750" Type="http://schemas.openxmlformats.org/officeDocument/2006/relationships/hyperlink" Target="https://doi.org/10/f8w9bk" TargetMode="External"/><Relationship Id="rId1751" Type="http://schemas.openxmlformats.org/officeDocument/2006/relationships/hyperlink" Target="https://osf.io/sejyp" TargetMode="External"/><Relationship Id="rId1741" Type="http://schemas.openxmlformats.org/officeDocument/2006/relationships/hyperlink" Target="https://doi.org/10/gfs87p" TargetMode="External"/><Relationship Id="rId1742" Type="http://schemas.openxmlformats.org/officeDocument/2006/relationships/hyperlink" Target="https://osf.io/sejyp" TargetMode="External"/><Relationship Id="rId1743" Type="http://schemas.openxmlformats.org/officeDocument/2006/relationships/hyperlink" Target="https://osf.io/tg9ny" TargetMode="External"/><Relationship Id="rId1744" Type="http://schemas.openxmlformats.org/officeDocument/2006/relationships/hyperlink" Target="https://doi.org/10/gfs87p" TargetMode="External"/><Relationship Id="rId1745" Type="http://schemas.openxmlformats.org/officeDocument/2006/relationships/hyperlink" Target="https://osf.io/sejyp" TargetMode="External"/><Relationship Id="rId1746" Type="http://schemas.openxmlformats.org/officeDocument/2006/relationships/hyperlink" Target="https://www.pnas.org/action/downloadSupplement?doi=10.1073%2Fpnas.1601280113&amp;file=pnas.1601280113.sapp.pdf" TargetMode="External"/><Relationship Id="rId1747" Type="http://schemas.openxmlformats.org/officeDocument/2006/relationships/hyperlink" Target="https://doi.org/10/f8w9bk" TargetMode="External"/><Relationship Id="rId1748" Type="http://schemas.openxmlformats.org/officeDocument/2006/relationships/hyperlink" Target="https://osf.io/sejyp" TargetMode="External"/><Relationship Id="rId1749" Type="http://schemas.openxmlformats.org/officeDocument/2006/relationships/hyperlink" Target="https://osf.io/sqxe8" TargetMode="External"/><Relationship Id="rId1740" Type="http://schemas.openxmlformats.org/officeDocument/2006/relationships/hyperlink" Target="https://osf.io/sejyp" TargetMode="External"/><Relationship Id="rId1710" Type="http://schemas.openxmlformats.org/officeDocument/2006/relationships/hyperlink" Target="https://doi.org/10.17605/OSF.IO/E9D3K" TargetMode="External"/><Relationship Id="rId1711" Type="http://schemas.openxmlformats.org/officeDocument/2006/relationships/hyperlink" Target="https://doi.org/10.17605/OSF.IO/E9D3K" TargetMode="External"/><Relationship Id="rId1712" Type="http://schemas.openxmlformats.org/officeDocument/2006/relationships/hyperlink" Target="https://doi.org/10.17605/OSF.IO/E9D3K" TargetMode="External"/><Relationship Id="rId1713" Type="http://schemas.openxmlformats.org/officeDocument/2006/relationships/hyperlink" Target="https://doi.org/10.17605/OSF.IO/E9D3K" TargetMode="External"/><Relationship Id="rId1714" Type="http://schemas.openxmlformats.org/officeDocument/2006/relationships/hyperlink" Target="https://doi.org/10.17605/OSF.IO/E9D3K" TargetMode="External"/><Relationship Id="rId1715" Type="http://schemas.openxmlformats.org/officeDocument/2006/relationships/hyperlink" Target="https://doi.org/10.17605/OSF.IO/E9D3K" TargetMode="External"/><Relationship Id="rId1716" Type="http://schemas.openxmlformats.org/officeDocument/2006/relationships/hyperlink" Target="https://doi.org/10.17605/OSF.IO/E9D3K" TargetMode="External"/><Relationship Id="rId1717" Type="http://schemas.openxmlformats.org/officeDocument/2006/relationships/hyperlink" Target="https://doi.org/10.17605/OSF.IO/E9D3K" TargetMode="External"/><Relationship Id="rId1718" Type="http://schemas.openxmlformats.org/officeDocument/2006/relationships/hyperlink" Target="https://doi.org/10.17605/OSF.IO/FMD75" TargetMode="External"/><Relationship Id="rId1719" Type="http://schemas.openxmlformats.org/officeDocument/2006/relationships/hyperlink" Target="https://doi.org/10.17605/OSF.IO/FMD75" TargetMode="External"/><Relationship Id="rId1700" Type="http://schemas.openxmlformats.org/officeDocument/2006/relationships/hyperlink" Target="https://doi.org/10.17605/OSF.IO/E9D3K" TargetMode="External"/><Relationship Id="rId1701" Type="http://schemas.openxmlformats.org/officeDocument/2006/relationships/hyperlink" Target="https://doi.org/10.17605/OSF.IO/E9D3K" TargetMode="External"/><Relationship Id="rId1702" Type="http://schemas.openxmlformats.org/officeDocument/2006/relationships/hyperlink" Target="https://doi.org/10.17605/OSF.IO/E9D3K" TargetMode="External"/><Relationship Id="rId1703" Type="http://schemas.openxmlformats.org/officeDocument/2006/relationships/hyperlink" Target="https://doi.org/10.17605/OSF.IO/E9D3K" TargetMode="External"/><Relationship Id="rId1704" Type="http://schemas.openxmlformats.org/officeDocument/2006/relationships/hyperlink" Target="https://doi.org/10.17605/OSF.IO/E9D3K" TargetMode="External"/><Relationship Id="rId1705" Type="http://schemas.openxmlformats.org/officeDocument/2006/relationships/hyperlink" Target="https://doi.org/10.17605/OSF.IO/E9D3K" TargetMode="External"/><Relationship Id="rId1706" Type="http://schemas.openxmlformats.org/officeDocument/2006/relationships/hyperlink" Target="https://doi.org/10.17605/OSF.IO/E9D3K" TargetMode="External"/><Relationship Id="rId1707" Type="http://schemas.openxmlformats.org/officeDocument/2006/relationships/hyperlink" Target="https://doi.org/10.17605/OSF.IO/E9D3K" TargetMode="External"/><Relationship Id="rId1708" Type="http://schemas.openxmlformats.org/officeDocument/2006/relationships/hyperlink" Target="https://doi.org/10.17605/OSF.IO/E9D3K" TargetMode="External"/><Relationship Id="rId1709" Type="http://schemas.openxmlformats.org/officeDocument/2006/relationships/hyperlink" Target="https://doi.org/10.17605/OSF.IO/E9D3K" TargetMode="External"/><Relationship Id="rId40" Type="http://schemas.openxmlformats.org/officeDocument/2006/relationships/hyperlink" Target="https://osf.io/5beqa" TargetMode="External"/><Relationship Id="rId3513" Type="http://schemas.openxmlformats.org/officeDocument/2006/relationships/hyperlink" Target="https://osf.io/xv4h3" TargetMode="External"/><Relationship Id="rId3512" Type="http://schemas.openxmlformats.org/officeDocument/2006/relationships/hyperlink" Target="https://osf.io/xv4h3" TargetMode="External"/><Relationship Id="rId42" Type="http://schemas.openxmlformats.org/officeDocument/2006/relationships/hyperlink" Target="https://doi.org/10.1016/j.jsp.2024.101307" TargetMode="External"/><Relationship Id="rId3515" Type="http://schemas.openxmlformats.org/officeDocument/2006/relationships/hyperlink" Target="https://osf.io/5vqzy" TargetMode="External"/><Relationship Id="rId41" Type="http://schemas.openxmlformats.org/officeDocument/2006/relationships/hyperlink" Target="https://osf.io/5beqa" TargetMode="External"/><Relationship Id="rId3514" Type="http://schemas.openxmlformats.org/officeDocument/2006/relationships/hyperlink" Target="https://osf.io/xv4h3" TargetMode="External"/><Relationship Id="rId44" Type="http://schemas.openxmlformats.org/officeDocument/2006/relationships/hyperlink" Target="https://doi.org/10.1016/j.jsp.2024.101307" TargetMode="External"/><Relationship Id="rId3517" Type="http://schemas.openxmlformats.org/officeDocument/2006/relationships/hyperlink" Target="https://osf.io/5vqzy" TargetMode="External"/><Relationship Id="rId43" Type="http://schemas.openxmlformats.org/officeDocument/2006/relationships/hyperlink" Target="https://doi.org/10.1016/j.jsp.2024.101307" TargetMode="External"/><Relationship Id="rId3516" Type="http://schemas.openxmlformats.org/officeDocument/2006/relationships/hyperlink" Target="https://osf.io/6nn57" TargetMode="External"/><Relationship Id="rId46" Type="http://schemas.openxmlformats.org/officeDocument/2006/relationships/hyperlink" Target="https://doi.org/10.1016/j.jsp.2024.101307" TargetMode="External"/><Relationship Id="rId3519" Type="http://schemas.openxmlformats.org/officeDocument/2006/relationships/hyperlink" Target="https://osf.io/pysgd" TargetMode="External"/><Relationship Id="rId45" Type="http://schemas.openxmlformats.org/officeDocument/2006/relationships/hyperlink" Target="https://doi.org/10.1016/j.jsp.2024.101307" TargetMode="External"/><Relationship Id="rId3518" Type="http://schemas.openxmlformats.org/officeDocument/2006/relationships/hyperlink" Target="https://osf.io/y9p7u/" TargetMode="External"/><Relationship Id="rId48" Type="http://schemas.openxmlformats.org/officeDocument/2006/relationships/hyperlink" Target="https://osf.io/yhk47" TargetMode="External"/><Relationship Id="rId47" Type="http://schemas.openxmlformats.org/officeDocument/2006/relationships/hyperlink" Target="https://doi.org/10.1016/j.jsp.2024.101307" TargetMode="External"/><Relationship Id="rId49" Type="http://schemas.openxmlformats.org/officeDocument/2006/relationships/hyperlink" Target="https://doi.org/10.1037/met0000650" TargetMode="External"/><Relationship Id="rId3511" Type="http://schemas.openxmlformats.org/officeDocument/2006/relationships/hyperlink" Target="https://osf.io/75h98" TargetMode="External"/><Relationship Id="rId3510" Type="http://schemas.openxmlformats.org/officeDocument/2006/relationships/hyperlink" Target="https://osf.io/xv4h3" TargetMode="External"/><Relationship Id="rId3502" Type="http://schemas.openxmlformats.org/officeDocument/2006/relationships/hyperlink" Target="https://osf.io/e859v" TargetMode="External"/><Relationship Id="rId3501" Type="http://schemas.openxmlformats.org/officeDocument/2006/relationships/hyperlink" Target="https://osf.io/e859v" TargetMode="External"/><Relationship Id="rId31" Type="http://schemas.openxmlformats.org/officeDocument/2006/relationships/hyperlink" Target="https://doi.org/10.1016/j.jsams.2024.07.018" TargetMode="External"/><Relationship Id="rId3504" Type="http://schemas.openxmlformats.org/officeDocument/2006/relationships/hyperlink" Target="https://osf.io/e859v" TargetMode="External"/><Relationship Id="rId30" Type="http://schemas.openxmlformats.org/officeDocument/2006/relationships/hyperlink" Target="https://osf.io/kqdpm" TargetMode="External"/><Relationship Id="rId3503" Type="http://schemas.openxmlformats.org/officeDocument/2006/relationships/hyperlink" Target="https://osf.io/e859v" TargetMode="External"/><Relationship Id="rId33" Type="http://schemas.openxmlformats.org/officeDocument/2006/relationships/hyperlink" Target="https://osf.io/5beqa" TargetMode="External"/><Relationship Id="rId3506" Type="http://schemas.openxmlformats.org/officeDocument/2006/relationships/hyperlink" Target="https://osf.io/e859v" TargetMode="External"/><Relationship Id="rId32" Type="http://schemas.openxmlformats.org/officeDocument/2006/relationships/hyperlink" Target="https://doi.org/10.1016/j.jsams.2024.07.018" TargetMode="External"/><Relationship Id="rId3505" Type="http://schemas.openxmlformats.org/officeDocument/2006/relationships/hyperlink" Target="https://osf.io/e859v" TargetMode="External"/><Relationship Id="rId35" Type="http://schemas.openxmlformats.org/officeDocument/2006/relationships/hyperlink" Target="https://osf.io/kqdpm" TargetMode="External"/><Relationship Id="rId3508" Type="http://schemas.openxmlformats.org/officeDocument/2006/relationships/hyperlink" Target="https://osf.io/e859v" TargetMode="External"/><Relationship Id="rId34" Type="http://schemas.openxmlformats.org/officeDocument/2006/relationships/hyperlink" Target="https://osf.io/5beqa" TargetMode="External"/><Relationship Id="rId3507" Type="http://schemas.openxmlformats.org/officeDocument/2006/relationships/hyperlink" Target="https://osf.io/e859v" TargetMode="External"/><Relationship Id="rId3509" Type="http://schemas.openxmlformats.org/officeDocument/2006/relationships/hyperlink" Target="https://osf.io/e859v" TargetMode="External"/><Relationship Id="rId37" Type="http://schemas.openxmlformats.org/officeDocument/2006/relationships/hyperlink" Target="https://osf.io/5beqa" TargetMode="External"/><Relationship Id="rId36" Type="http://schemas.openxmlformats.org/officeDocument/2006/relationships/hyperlink" Target="https://osf.io/5beqa" TargetMode="External"/><Relationship Id="rId39" Type="http://schemas.openxmlformats.org/officeDocument/2006/relationships/hyperlink" Target="https://doi.org/10.1016/j.jsams.2017.06.007" TargetMode="External"/><Relationship Id="rId38" Type="http://schemas.openxmlformats.org/officeDocument/2006/relationships/hyperlink" Target="https://osf.io/kqdpm" TargetMode="External"/><Relationship Id="rId3500" Type="http://schemas.openxmlformats.org/officeDocument/2006/relationships/hyperlink" Target="https://osf.io/e859v" TargetMode="External"/><Relationship Id="rId2203" Type="http://schemas.openxmlformats.org/officeDocument/2006/relationships/hyperlink" Target="https://osf.io/ht9du" TargetMode="External"/><Relationship Id="rId3535" Type="http://schemas.openxmlformats.org/officeDocument/2006/relationships/hyperlink" Target="https://osf.io/tvszz" TargetMode="External"/><Relationship Id="rId2204" Type="http://schemas.openxmlformats.org/officeDocument/2006/relationships/hyperlink" Target="https://osf.io/k82yb" TargetMode="External"/><Relationship Id="rId3534" Type="http://schemas.openxmlformats.org/officeDocument/2006/relationships/hyperlink" Target="https://osf.io/c89kq" TargetMode="External"/><Relationship Id="rId20" Type="http://schemas.openxmlformats.org/officeDocument/2006/relationships/hyperlink" Target="https://osf.io/w4gj2" TargetMode="External"/><Relationship Id="rId2205" Type="http://schemas.openxmlformats.org/officeDocument/2006/relationships/hyperlink" Target="https://osf.io/k82yb" TargetMode="External"/><Relationship Id="rId3537" Type="http://schemas.openxmlformats.org/officeDocument/2006/relationships/hyperlink" Target="https://osf.io/y36m8" TargetMode="External"/><Relationship Id="rId2206" Type="http://schemas.openxmlformats.org/officeDocument/2006/relationships/hyperlink" Target="https://osf.io/qmpky" TargetMode="External"/><Relationship Id="rId3536" Type="http://schemas.openxmlformats.org/officeDocument/2006/relationships/hyperlink" Target="http://bit.ly/11ngkZK" TargetMode="External"/><Relationship Id="rId22" Type="http://schemas.openxmlformats.org/officeDocument/2006/relationships/hyperlink" Target="https://osf.io/w4gj2" TargetMode="External"/><Relationship Id="rId2207" Type="http://schemas.openxmlformats.org/officeDocument/2006/relationships/hyperlink" Target="https://osf.io/qmpky" TargetMode="External"/><Relationship Id="rId3539" Type="http://schemas.openxmlformats.org/officeDocument/2006/relationships/hyperlink" Target="https://osf.io/scayl" TargetMode="External"/><Relationship Id="rId21" Type="http://schemas.openxmlformats.org/officeDocument/2006/relationships/hyperlink" Target="https://osf.io/w4gj2" TargetMode="External"/><Relationship Id="rId2208" Type="http://schemas.openxmlformats.org/officeDocument/2006/relationships/hyperlink" Target="https://osf.io/j3cfm" TargetMode="External"/><Relationship Id="rId3538" Type="http://schemas.openxmlformats.org/officeDocument/2006/relationships/hyperlink" Target="https://osf.io/y36m8" TargetMode="External"/><Relationship Id="rId24" Type="http://schemas.openxmlformats.org/officeDocument/2006/relationships/hyperlink" Target="https://osf.io/w4gj2" TargetMode="External"/><Relationship Id="rId2209" Type="http://schemas.openxmlformats.org/officeDocument/2006/relationships/hyperlink" Target="https://osf.io/j3cfm" TargetMode="External"/><Relationship Id="rId23" Type="http://schemas.openxmlformats.org/officeDocument/2006/relationships/hyperlink" Target="https://osf.io/w4gj2" TargetMode="External"/><Relationship Id="rId26" Type="http://schemas.openxmlformats.org/officeDocument/2006/relationships/hyperlink" Target="https://doi.org/10.26443/msurj.v19i1.231" TargetMode="External"/><Relationship Id="rId25" Type="http://schemas.openxmlformats.org/officeDocument/2006/relationships/hyperlink" Target="https://doi.org/10.26443/msurj.v19i1.231" TargetMode="External"/><Relationship Id="rId28" Type="http://schemas.openxmlformats.org/officeDocument/2006/relationships/hyperlink" Target="https://doi.org/10.26443/msurj.v19i1.231" TargetMode="External"/><Relationship Id="rId27" Type="http://schemas.openxmlformats.org/officeDocument/2006/relationships/hyperlink" Target="https://doi.org/10.26443/msurj.v19i1.231" TargetMode="External"/><Relationship Id="rId3531" Type="http://schemas.openxmlformats.org/officeDocument/2006/relationships/hyperlink" Target="https://osf.io/c89kq" TargetMode="External"/><Relationship Id="rId29" Type="http://schemas.openxmlformats.org/officeDocument/2006/relationships/hyperlink" Target="https://doi.org/10.26443/msurj.v19i1.231" TargetMode="External"/><Relationship Id="rId2200" Type="http://schemas.openxmlformats.org/officeDocument/2006/relationships/hyperlink" Target="https://doi.org/10.17605/OSF.IO/TR7FP" TargetMode="External"/><Relationship Id="rId3530" Type="http://schemas.openxmlformats.org/officeDocument/2006/relationships/hyperlink" Target="https://osf.io/c89kq" TargetMode="External"/><Relationship Id="rId2201" Type="http://schemas.openxmlformats.org/officeDocument/2006/relationships/hyperlink" Target="https://osf.io/tr7fp" TargetMode="External"/><Relationship Id="rId3533" Type="http://schemas.openxmlformats.org/officeDocument/2006/relationships/hyperlink" Target="https://osf.io/c89kq" TargetMode="External"/><Relationship Id="rId2202" Type="http://schemas.openxmlformats.org/officeDocument/2006/relationships/hyperlink" Target="https://doi.org/10.17605/OSF.IO/HT9DU" TargetMode="External"/><Relationship Id="rId3532" Type="http://schemas.openxmlformats.org/officeDocument/2006/relationships/hyperlink" Target="https://osf.io/c89kq" TargetMode="External"/><Relationship Id="rId3524" Type="http://schemas.openxmlformats.org/officeDocument/2006/relationships/hyperlink" Target="https://osf.io/c89kq" TargetMode="External"/><Relationship Id="rId3523" Type="http://schemas.openxmlformats.org/officeDocument/2006/relationships/hyperlink" Target="https://osf.io/8hr4t" TargetMode="External"/><Relationship Id="rId3526" Type="http://schemas.openxmlformats.org/officeDocument/2006/relationships/hyperlink" Target="https://osf.io/c89kq" TargetMode="External"/><Relationship Id="rId3525" Type="http://schemas.openxmlformats.org/officeDocument/2006/relationships/hyperlink" Target="https://osf.io/c89kq" TargetMode="External"/><Relationship Id="rId11" Type="http://schemas.openxmlformats.org/officeDocument/2006/relationships/hyperlink" Target="https://doi.org/10.17605/OSF.IO/7VGKQ" TargetMode="External"/><Relationship Id="rId3528" Type="http://schemas.openxmlformats.org/officeDocument/2006/relationships/hyperlink" Target="https://osf.io/c89kq" TargetMode="External"/><Relationship Id="rId10" Type="http://schemas.openxmlformats.org/officeDocument/2006/relationships/hyperlink" Target="http://osf.io/x4v53" TargetMode="External"/><Relationship Id="rId3527" Type="http://schemas.openxmlformats.org/officeDocument/2006/relationships/hyperlink" Target="https://osf.io/c89kq" TargetMode="External"/><Relationship Id="rId13" Type="http://schemas.openxmlformats.org/officeDocument/2006/relationships/hyperlink" Target="https://osf.io/8urxv." TargetMode="External"/><Relationship Id="rId12" Type="http://schemas.openxmlformats.org/officeDocument/2006/relationships/hyperlink" Target="https://doi.org/10.17605/OSF.IO/7VGKQ" TargetMode="External"/><Relationship Id="rId3529" Type="http://schemas.openxmlformats.org/officeDocument/2006/relationships/hyperlink" Target="https://osf.io/c89kq" TargetMode="External"/><Relationship Id="rId15" Type="http://schemas.openxmlformats.org/officeDocument/2006/relationships/hyperlink" Target="https://doi.org/10.1016/j.jesp.2020.104066" TargetMode="External"/><Relationship Id="rId14" Type="http://schemas.openxmlformats.org/officeDocument/2006/relationships/hyperlink" Target="https://osf.io/8urxv." TargetMode="External"/><Relationship Id="rId17" Type="http://schemas.openxmlformats.org/officeDocument/2006/relationships/hyperlink" Target="https://doi.org/10.1163/26670127-bja10017" TargetMode="External"/><Relationship Id="rId16" Type="http://schemas.openxmlformats.org/officeDocument/2006/relationships/hyperlink" Target="https://osf.io/acykd" TargetMode="External"/><Relationship Id="rId19" Type="http://schemas.openxmlformats.org/officeDocument/2006/relationships/hyperlink" Target="https://osf.io/w4gj2" TargetMode="External"/><Relationship Id="rId3520" Type="http://schemas.openxmlformats.org/officeDocument/2006/relationships/hyperlink" Target="https://osf.io/jky24" TargetMode="External"/><Relationship Id="rId18" Type="http://schemas.openxmlformats.org/officeDocument/2006/relationships/hyperlink" Target="https://osf.io/w4gj2" TargetMode="External"/><Relationship Id="rId3522" Type="http://schemas.openxmlformats.org/officeDocument/2006/relationships/hyperlink" Target="https://osf.io/c89kq" TargetMode="External"/><Relationship Id="rId3521" Type="http://schemas.openxmlformats.org/officeDocument/2006/relationships/hyperlink" Target="https://osf.io/pysgd" TargetMode="External"/><Relationship Id="rId84" Type="http://schemas.openxmlformats.org/officeDocument/2006/relationships/hyperlink" Target="https://doi.org/10.1007/s40617-024-00933-1" TargetMode="External"/><Relationship Id="rId1774" Type="http://schemas.openxmlformats.org/officeDocument/2006/relationships/hyperlink" Target="https://osf.io/e37nu" TargetMode="External"/><Relationship Id="rId83" Type="http://schemas.openxmlformats.org/officeDocument/2006/relationships/hyperlink" Target="http://dx.doi.org/10.1007/s40617-024-00933-1" TargetMode="External"/><Relationship Id="rId1775" Type="http://schemas.openxmlformats.org/officeDocument/2006/relationships/hyperlink" Target="https://doi.org/10/gd4t95" TargetMode="External"/><Relationship Id="rId86" Type="http://schemas.openxmlformats.org/officeDocument/2006/relationships/hyperlink" Target="https://docs.google.com/spreadsheets/d/1Da93yd8SPd-GwqOb8HCKeN1Hobk77X3_1anZLPku0G0/edit?usp=sharing" TargetMode="External"/><Relationship Id="rId1776" Type="http://schemas.openxmlformats.org/officeDocument/2006/relationships/hyperlink" Target="https://osf.io/sejyp" TargetMode="External"/><Relationship Id="rId85" Type="http://schemas.openxmlformats.org/officeDocument/2006/relationships/hyperlink" Target="https://doi.org/10.1007/s40617-024-00933-1" TargetMode="External"/><Relationship Id="rId1777" Type="http://schemas.openxmlformats.org/officeDocument/2006/relationships/hyperlink" Target="https://doi.org/10/b9dr" TargetMode="External"/><Relationship Id="rId88" Type="http://schemas.openxmlformats.org/officeDocument/2006/relationships/hyperlink" Target="https://docs.google.com/spreadsheets/d/1Da93yd8SPd-GwqOb8HCKeN1Hobk77X3_1anZLPku0G0/edit?usp=sharing" TargetMode="External"/><Relationship Id="rId1778" Type="http://schemas.openxmlformats.org/officeDocument/2006/relationships/hyperlink" Target="https://osf.io/sejyp" TargetMode="External"/><Relationship Id="rId87" Type="http://schemas.openxmlformats.org/officeDocument/2006/relationships/hyperlink" Target="https://docs.google.com/spreadsheets/d/1Da93yd8SPd-GwqOb8HCKeN1Hobk77X3_1anZLPku0G0/edit?usp=sharing" TargetMode="External"/><Relationship Id="rId1779" Type="http://schemas.openxmlformats.org/officeDocument/2006/relationships/hyperlink" Target="https://osf.io/ev794" TargetMode="External"/><Relationship Id="rId89" Type="http://schemas.openxmlformats.org/officeDocument/2006/relationships/hyperlink" Target="https://docs.google.com/spreadsheets/d/1Da93yd8SPd-GwqOb8HCKeN1Hobk77X3_1anZLPku0G0/edit?usp=sharing" TargetMode="External"/><Relationship Id="rId80" Type="http://schemas.openxmlformats.org/officeDocument/2006/relationships/hyperlink" Target="https://osf.io/x64cn/" TargetMode="External"/><Relationship Id="rId82" Type="http://schemas.openxmlformats.org/officeDocument/2006/relationships/hyperlink" Target="https://osf.io/x64cn/" TargetMode="External"/><Relationship Id="rId81" Type="http://schemas.openxmlformats.org/officeDocument/2006/relationships/hyperlink" Target="https://osf.io/x64cn/" TargetMode="External"/><Relationship Id="rId1770" Type="http://schemas.openxmlformats.org/officeDocument/2006/relationships/hyperlink" Target="https://doi.org/10/f7fzmv" TargetMode="External"/><Relationship Id="rId1771" Type="http://schemas.openxmlformats.org/officeDocument/2006/relationships/hyperlink" Target="https://osf.io/sejyp" TargetMode="External"/><Relationship Id="rId1772" Type="http://schemas.openxmlformats.org/officeDocument/2006/relationships/hyperlink" Target="https://doi.org/10/gd4t95" TargetMode="External"/><Relationship Id="rId1773" Type="http://schemas.openxmlformats.org/officeDocument/2006/relationships/hyperlink" Target="https://osf.io/sejyp" TargetMode="External"/><Relationship Id="rId73" Type="http://schemas.openxmlformats.org/officeDocument/2006/relationships/hyperlink" Target="http://osf.io/x64cn" TargetMode="External"/><Relationship Id="rId1763" Type="http://schemas.openxmlformats.org/officeDocument/2006/relationships/hyperlink" Target="https://osf.io/sejyp" TargetMode="External"/><Relationship Id="rId72" Type="http://schemas.openxmlformats.org/officeDocument/2006/relationships/hyperlink" Target="https://doi.org/10.1038/s41467-024-46936-y" TargetMode="External"/><Relationship Id="rId1764" Type="http://schemas.openxmlformats.org/officeDocument/2006/relationships/hyperlink" Target="https://osf.io/6vnm5" TargetMode="External"/><Relationship Id="rId75" Type="http://schemas.openxmlformats.org/officeDocument/2006/relationships/hyperlink" Target="https://osf.io/x64cn/" TargetMode="External"/><Relationship Id="rId1765" Type="http://schemas.openxmlformats.org/officeDocument/2006/relationships/hyperlink" Target="https://doi.org/10/f8jpjp" TargetMode="External"/><Relationship Id="rId74" Type="http://schemas.openxmlformats.org/officeDocument/2006/relationships/hyperlink" Target="http://osf.io/x64cn" TargetMode="External"/><Relationship Id="rId1766" Type="http://schemas.openxmlformats.org/officeDocument/2006/relationships/hyperlink" Target="https://osf.io/sejyp" TargetMode="External"/><Relationship Id="rId77" Type="http://schemas.openxmlformats.org/officeDocument/2006/relationships/hyperlink" Target="https://osf.io/x64cn/" TargetMode="External"/><Relationship Id="rId1767" Type="http://schemas.openxmlformats.org/officeDocument/2006/relationships/hyperlink" Target="https://doi.org/10/f7fzmv" TargetMode="External"/><Relationship Id="rId76" Type="http://schemas.openxmlformats.org/officeDocument/2006/relationships/hyperlink" Target="https://osf.io/x64cn/" TargetMode="External"/><Relationship Id="rId1768" Type="http://schemas.openxmlformats.org/officeDocument/2006/relationships/hyperlink" Target="https://osf.io/sejyp" TargetMode="External"/><Relationship Id="rId79" Type="http://schemas.openxmlformats.org/officeDocument/2006/relationships/hyperlink" Target="https://osf.io/x64cn/" TargetMode="External"/><Relationship Id="rId1769" Type="http://schemas.openxmlformats.org/officeDocument/2006/relationships/hyperlink" Target="https://osf.io/xd947" TargetMode="External"/><Relationship Id="rId78" Type="http://schemas.openxmlformats.org/officeDocument/2006/relationships/hyperlink" Target="https://osf.io/x64cn/" TargetMode="External"/><Relationship Id="rId71" Type="http://schemas.openxmlformats.org/officeDocument/2006/relationships/hyperlink" Target="https://doi.org/10.1038/s41467-024-46936-y" TargetMode="External"/><Relationship Id="rId70" Type="http://schemas.openxmlformats.org/officeDocument/2006/relationships/hyperlink" Target="http://osf.io/x64cn" TargetMode="External"/><Relationship Id="rId1760" Type="http://schemas.openxmlformats.org/officeDocument/2006/relationships/hyperlink" Target="https://doi.org/10/gckbgp" TargetMode="External"/><Relationship Id="rId1761" Type="http://schemas.openxmlformats.org/officeDocument/2006/relationships/hyperlink" Target="https://osf.io/sejyp" TargetMode="External"/><Relationship Id="rId1762" Type="http://schemas.openxmlformats.org/officeDocument/2006/relationships/hyperlink" Target="https://doi.org/10/f8jpjp" TargetMode="External"/><Relationship Id="rId62" Type="http://schemas.openxmlformats.org/officeDocument/2006/relationships/hyperlink" Target="http://osf.io/x64cn" TargetMode="External"/><Relationship Id="rId1796" Type="http://schemas.openxmlformats.org/officeDocument/2006/relationships/hyperlink" Target="https://osf.io/sejyp" TargetMode="External"/><Relationship Id="rId61" Type="http://schemas.openxmlformats.org/officeDocument/2006/relationships/hyperlink" Target="http://osf.io/x64cn" TargetMode="External"/><Relationship Id="rId1797" Type="http://schemas.openxmlformats.org/officeDocument/2006/relationships/hyperlink" Target="https://osf.io/nuw8e" TargetMode="External"/><Relationship Id="rId64" Type="http://schemas.openxmlformats.org/officeDocument/2006/relationships/hyperlink" Target="https://doi.org/10.1038/s41467-024-46936-y" TargetMode="External"/><Relationship Id="rId1798" Type="http://schemas.openxmlformats.org/officeDocument/2006/relationships/hyperlink" Target="https://doi.org/10/f8hms6" TargetMode="External"/><Relationship Id="rId63" Type="http://schemas.openxmlformats.org/officeDocument/2006/relationships/hyperlink" Target="https://doi.org/10.1038/s41467-024-46936-y" TargetMode="External"/><Relationship Id="rId1799" Type="http://schemas.openxmlformats.org/officeDocument/2006/relationships/hyperlink" Target="https://osf.io/sejyp" TargetMode="External"/><Relationship Id="rId66" Type="http://schemas.openxmlformats.org/officeDocument/2006/relationships/hyperlink" Target="http://osf.io/x64cn" TargetMode="External"/><Relationship Id="rId65" Type="http://schemas.openxmlformats.org/officeDocument/2006/relationships/hyperlink" Target="http://osf.io/x64cn" TargetMode="External"/><Relationship Id="rId68" Type="http://schemas.openxmlformats.org/officeDocument/2006/relationships/hyperlink" Target="https://doi.org/10.1038/s41467-024-46936-y" TargetMode="External"/><Relationship Id="rId67" Type="http://schemas.openxmlformats.org/officeDocument/2006/relationships/hyperlink" Target="https://doi.org/10.1038/s41467-024-46936-y" TargetMode="External"/><Relationship Id="rId60" Type="http://schemas.openxmlformats.org/officeDocument/2006/relationships/hyperlink" Target="https://doi.org/10.1038/s41467-024-46936-y" TargetMode="External"/><Relationship Id="rId69" Type="http://schemas.openxmlformats.org/officeDocument/2006/relationships/hyperlink" Target="http://osf.io/x64cn" TargetMode="External"/><Relationship Id="rId1790" Type="http://schemas.openxmlformats.org/officeDocument/2006/relationships/hyperlink" Target="https://osf.io/sejyp" TargetMode="External"/><Relationship Id="rId1791" Type="http://schemas.openxmlformats.org/officeDocument/2006/relationships/hyperlink" Target="https://osf.io/tg2xb" TargetMode="External"/><Relationship Id="rId1792" Type="http://schemas.openxmlformats.org/officeDocument/2006/relationships/hyperlink" Target="https://doi.org/10/gfzkq8" TargetMode="External"/><Relationship Id="rId1793" Type="http://schemas.openxmlformats.org/officeDocument/2006/relationships/hyperlink" Target="https://osf.io/sejyp" TargetMode="External"/><Relationship Id="rId1794" Type="http://schemas.openxmlformats.org/officeDocument/2006/relationships/hyperlink" Target="https://www.pnas.org/action/downloadSupplement?doi=10.1073%2Fpnas.1508932113&amp;file=pnas.201508932SI.pdf" TargetMode="External"/><Relationship Id="rId1795" Type="http://schemas.openxmlformats.org/officeDocument/2006/relationships/hyperlink" Target="https://doi.org/10/f8hms6" TargetMode="External"/><Relationship Id="rId51" Type="http://schemas.openxmlformats.org/officeDocument/2006/relationships/hyperlink" Target="https://doi.org/10.1037/met0000650" TargetMode="External"/><Relationship Id="rId1785" Type="http://schemas.openxmlformats.org/officeDocument/2006/relationships/hyperlink" Target="https://aspredicted.org/w82be.pdf" TargetMode="External"/><Relationship Id="rId50" Type="http://schemas.openxmlformats.org/officeDocument/2006/relationships/hyperlink" Target="https://doi.org/10.1037/met0000650" TargetMode="External"/><Relationship Id="rId1786" Type="http://schemas.openxmlformats.org/officeDocument/2006/relationships/hyperlink" Target="https://osf.io/7qnv4" TargetMode="External"/><Relationship Id="rId53" Type="http://schemas.openxmlformats.org/officeDocument/2006/relationships/hyperlink" Target="https://doi.org/10.1037/met0000650" TargetMode="External"/><Relationship Id="rId1787" Type="http://schemas.openxmlformats.org/officeDocument/2006/relationships/hyperlink" Target="https://doi.org/10/gbxsnh" TargetMode="External"/><Relationship Id="rId52" Type="http://schemas.openxmlformats.org/officeDocument/2006/relationships/hyperlink" Target="https://doi.org/10.1037/met0000650" TargetMode="External"/><Relationship Id="rId1788" Type="http://schemas.openxmlformats.org/officeDocument/2006/relationships/hyperlink" Target="https://osf.io/sejyp" TargetMode="External"/><Relationship Id="rId55" Type="http://schemas.openxmlformats.org/officeDocument/2006/relationships/hyperlink" Target="https://doi.org/10.1037/met0000650" TargetMode="External"/><Relationship Id="rId1789" Type="http://schemas.openxmlformats.org/officeDocument/2006/relationships/hyperlink" Target="https://doi.org/10/gfzkq8" TargetMode="External"/><Relationship Id="rId54" Type="http://schemas.openxmlformats.org/officeDocument/2006/relationships/hyperlink" Target="https://doi.org/10.1037/met0000650" TargetMode="External"/><Relationship Id="rId57" Type="http://schemas.openxmlformats.org/officeDocument/2006/relationships/hyperlink" Target="https://osf.io/x64cn/" TargetMode="External"/><Relationship Id="rId56" Type="http://schemas.openxmlformats.org/officeDocument/2006/relationships/hyperlink" Target="https://doi.org/10.1037/met0000650" TargetMode="External"/><Relationship Id="rId59" Type="http://schemas.openxmlformats.org/officeDocument/2006/relationships/hyperlink" Target="https://doi.org/10.1038/s41467-024-46936-y" TargetMode="External"/><Relationship Id="rId58" Type="http://schemas.openxmlformats.org/officeDocument/2006/relationships/hyperlink" Target="https://osf.io/x64cn/" TargetMode="External"/><Relationship Id="rId1780" Type="http://schemas.openxmlformats.org/officeDocument/2006/relationships/hyperlink" Target="https://osf.io/eknym" TargetMode="External"/><Relationship Id="rId1781" Type="http://schemas.openxmlformats.org/officeDocument/2006/relationships/hyperlink" Target="https://doi.org/10/b9dr" TargetMode="External"/><Relationship Id="rId1782" Type="http://schemas.openxmlformats.org/officeDocument/2006/relationships/hyperlink" Target="https://osf.io/sejyp" TargetMode="External"/><Relationship Id="rId1783" Type="http://schemas.openxmlformats.org/officeDocument/2006/relationships/hyperlink" Target="https://doi.org/10/gbxsnh" TargetMode="External"/><Relationship Id="rId1784" Type="http://schemas.openxmlformats.org/officeDocument/2006/relationships/hyperlink" Target="https://osf.io/sejyp" TargetMode="External"/><Relationship Id="rId2269" Type="http://schemas.openxmlformats.org/officeDocument/2006/relationships/hyperlink" Target="https://osf.io/853ue" TargetMode="External"/><Relationship Id="rId349" Type="http://schemas.openxmlformats.org/officeDocument/2006/relationships/hyperlink" Target="https://osf.io/j8n59" TargetMode="External"/><Relationship Id="rId348" Type="http://schemas.openxmlformats.org/officeDocument/2006/relationships/hyperlink" Target="https://osf.io/j8n59" TargetMode="External"/><Relationship Id="rId347" Type="http://schemas.openxmlformats.org/officeDocument/2006/relationships/hyperlink" Target="https://escholarship.org/uc/item/8p5673qn" TargetMode="External"/><Relationship Id="rId346" Type="http://schemas.openxmlformats.org/officeDocument/2006/relationships/hyperlink" Target="https://escholarship.org/uc/item/0qf9t9pc" TargetMode="External"/><Relationship Id="rId3591" Type="http://schemas.openxmlformats.org/officeDocument/2006/relationships/hyperlink" Target="https://osf.io/fdrn6/" TargetMode="External"/><Relationship Id="rId2260" Type="http://schemas.openxmlformats.org/officeDocument/2006/relationships/hyperlink" Target="https://osf.io/bhnkq" TargetMode="External"/><Relationship Id="rId3590" Type="http://schemas.openxmlformats.org/officeDocument/2006/relationships/hyperlink" Target="https://osf.io/fdrn6/" TargetMode="External"/><Relationship Id="rId341" Type="http://schemas.openxmlformats.org/officeDocument/2006/relationships/hyperlink" Target="https://doi.org/10.1075/resla.17019.loz" TargetMode="External"/><Relationship Id="rId2261" Type="http://schemas.openxmlformats.org/officeDocument/2006/relationships/hyperlink" Target="https://osf.io/bhnkq" TargetMode="External"/><Relationship Id="rId3593" Type="http://schemas.openxmlformats.org/officeDocument/2006/relationships/hyperlink" Target="https://osf.io/fdrn6/" TargetMode="External"/><Relationship Id="rId340" Type="http://schemas.openxmlformats.org/officeDocument/2006/relationships/hyperlink" Target="https://helda.helsinki.fi/bitstreams/b16ebd43-f83b-42c9-9996-adf6735845c1/download" TargetMode="External"/><Relationship Id="rId2262" Type="http://schemas.openxmlformats.org/officeDocument/2006/relationships/hyperlink" Target="https://osf.io/3amj4" TargetMode="External"/><Relationship Id="rId3592" Type="http://schemas.openxmlformats.org/officeDocument/2006/relationships/hyperlink" Target="https://osf.io/fdrn6/" TargetMode="External"/><Relationship Id="rId2263" Type="http://schemas.openxmlformats.org/officeDocument/2006/relationships/hyperlink" Target="https://osf.io/9mkae" TargetMode="External"/><Relationship Id="rId3595" Type="http://schemas.openxmlformats.org/officeDocument/2006/relationships/hyperlink" Target="https://osf.io/fdrn6/" TargetMode="External"/><Relationship Id="rId2264" Type="http://schemas.openxmlformats.org/officeDocument/2006/relationships/hyperlink" Target="https://osf.io/9mkae" TargetMode="External"/><Relationship Id="rId3594" Type="http://schemas.openxmlformats.org/officeDocument/2006/relationships/hyperlink" Target="https://osf.io/fdrn6/" TargetMode="External"/><Relationship Id="rId345" Type="http://schemas.openxmlformats.org/officeDocument/2006/relationships/hyperlink" Target="https://escholarship.org/uc/item/0qf9t9pc" TargetMode="External"/><Relationship Id="rId2265" Type="http://schemas.openxmlformats.org/officeDocument/2006/relationships/hyperlink" Target="https://osf.io/9apd7" TargetMode="External"/><Relationship Id="rId3597" Type="http://schemas.openxmlformats.org/officeDocument/2006/relationships/hyperlink" Target="https://osf.io/fdrn6/" TargetMode="External"/><Relationship Id="rId344" Type="http://schemas.openxmlformats.org/officeDocument/2006/relationships/hyperlink" Target="https://osf.io/8t9qj" TargetMode="External"/><Relationship Id="rId2266" Type="http://schemas.openxmlformats.org/officeDocument/2006/relationships/hyperlink" Target="https://osf.io/suyfc" TargetMode="External"/><Relationship Id="rId3596" Type="http://schemas.openxmlformats.org/officeDocument/2006/relationships/hyperlink" Target="https://osf.io/fdrn6/" TargetMode="External"/><Relationship Id="rId343" Type="http://schemas.openxmlformats.org/officeDocument/2006/relationships/hyperlink" Target="http://dx.doi.org/10.1038/s41598-024-61469-6" TargetMode="External"/><Relationship Id="rId2267" Type="http://schemas.openxmlformats.org/officeDocument/2006/relationships/hyperlink" Target="https://osf.io/tys7b" TargetMode="External"/><Relationship Id="rId3599" Type="http://schemas.openxmlformats.org/officeDocument/2006/relationships/hyperlink" Target="https://osf.io/fdrn6/" TargetMode="External"/><Relationship Id="rId342" Type="http://schemas.openxmlformats.org/officeDocument/2006/relationships/hyperlink" Target="https://helda.helsinki.fi/bitstreams/b16ebd43-f83b-42c9-9996-adf6735845c1/download" TargetMode="External"/><Relationship Id="rId2268" Type="http://schemas.openxmlformats.org/officeDocument/2006/relationships/hyperlink" Target="https://osf.io/u3x7s" TargetMode="External"/><Relationship Id="rId3598" Type="http://schemas.openxmlformats.org/officeDocument/2006/relationships/hyperlink" Target="https://osf.io/fdrn6/" TargetMode="External"/><Relationship Id="rId2258" Type="http://schemas.openxmlformats.org/officeDocument/2006/relationships/hyperlink" Target="https://osf.io/bvu64" TargetMode="External"/><Relationship Id="rId2259" Type="http://schemas.openxmlformats.org/officeDocument/2006/relationships/hyperlink" Target="https://osf.io/fsut4" TargetMode="External"/><Relationship Id="rId3589" Type="http://schemas.openxmlformats.org/officeDocument/2006/relationships/hyperlink" Target="https://osf.io/fdrn6/" TargetMode="External"/><Relationship Id="rId338" Type="http://schemas.openxmlformats.org/officeDocument/2006/relationships/hyperlink" Target="https://helda.helsinki.fi/bitstreams/b16ebd43-f83b-42c9-9996-adf6735845c1/download" TargetMode="External"/><Relationship Id="rId337" Type="http://schemas.openxmlformats.org/officeDocument/2006/relationships/hyperlink" Target="https://helda.helsinki.fi/bitstreams/b16ebd43-f83b-42c9-9996-adf6735845c1/download" TargetMode="External"/><Relationship Id="rId336" Type="http://schemas.openxmlformats.org/officeDocument/2006/relationships/hyperlink" Target="https://doi.org/10.1075/resla.17019.loz" TargetMode="External"/><Relationship Id="rId335" Type="http://schemas.openxmlformats.org/officeDocument/2006/relationships/hyperlink" Target="https://helda.helsinki.fi/bitstreams/b16ebd43-f83b-42c9-9996-adf6735845c1/download" TargetMode="External"/><Relationship Id="rId3580" Type="http://schemas.openxmlformats.org/officeDocument/2006/relationships/hyperlink" Target="https://osf.io/ed5mv" TargetMode="External"/><Relationship Id="rId339" Type="http://schemas.openxmlformats.org/officeDocument/2006/relationships/hyperlink" Target="https://doi.org/10.1075/resla.17019.loz" TargetMode="External"/><Relationship Id="rId330" Type="http://schemas.openxmlformats.org/officeDocument/2006/relationships/hyperlink" Target="https://doi.org/10.1075/resla.17019.loz" TargetMode="External"/><Relationship Id="rId2250" Type="http://schemas.openxmlformats.org/officeDocument/2006/relationships/hyperlink" Target="https://osf.io/f59hn" TargetMode="External"/><Relationship Id="rId3582" Type="http://schemas.openxmlformats.org/officeDocument/2006/relationships/hyperlink" Target="https://osf.io/meqrz" TargetMode="External"/><Relationship Id="rId2251" Type="http://schemas.openxmlformats.org/officeDocument/2006/relationships/hyperlink" Target="https://osf.io/f59hn" TargetMode="External"/><Relationship Id="rId3581" Type="http://schemas.openxmlformats.org/officeDocument/2006/relationships/hyperlink" Target="https://osf.io/cm67f" TargetMode="External"/><Relationship Id="rId2252" Type="http://schemas.openxmlformats.org/officeDocument/2006/relationships/hyperlink" Target="https://osf.io/chf7m" TargetMode="External"/><Relationship Id="rId3584" Type="http://schemas.openxmlformats.org/officeDocument/2006/relationships/hyperlink" Target="https://osf.io/cm67f" TargetMode="External"/><Relationship Id="rId2253" Type="http://schemas.openxmlformats.org/officeDocument/2006/relationships/hyperlink" Target="https://osf.io/chf7m" TargetMode="External"/><Relationship Id="rId3583" Type="http://schemas.openxmlformats.org/officeDocument/2006/relationships/hyperlink" Target="https://osf.io/ed5mv" TargetMode="External"/><Relationship Id="rId334" Type="http://schemas.openxmlformats.org/officeDocument/2006/relationships/hyperlink" Target="https://helda.helsinki.fi/bitstreams/b16ebd43-f83b-42c9-9996-adf6735845c1/download" TargetMode="External"/><Relationship Id="rId2254" Type="http://schemas.openxmlformats.org/officeDocument/2006/relationships/hyperlink" Target="https://osf.io/ep2an" TargetMode="External"/><Relationship Id="rId3586" Type="http://schemas.openxmlformats.org/officeDocument/2006/relationships/hyperlink" Target="https://osf.io/cm67f" TargetMode="External"/><Relationship Id="rId333" Type="http://schemas.openxmlformats.org/officeDocument/2006/relationships/hyperlink" Target="https://doi.org/10.1075/resla.17019.loz" TargetMode="External"/><Relationship Id="rId2255" Type="http://schemas.openxmlformats.org/officeDocument/2006/relationships/hyperlink" Target="https://osf.io/ep2an" TargetMode="External"/><Relationship Id="rId3585" Type="http://schemas.openxmlformats.org/officeDocument/2006/relationships/hyperlink" Target="https://osf.io/ed5mv" TargetMode="External"/><Relationship Id="rId332" Type="http://schemas.openxmlformats.org/officeDocument/2006/relationships/hyperlink" Target="https://helda.helsinki.fi/bitstreams/b16ebd43-f83b-42c9-9996-adf6735845c1/download" TargetMode="External"/><Relationship Id="rId2256" Type="http://schemas.openxmlformats.org/officeDocument/2006/relationships/hyperlink" Target="https://osf.io/psab8" TargetMode="External"/><Relationship Id="rId3588" Type="http://schemas.openxmlformats.org/officeDocument/2006/relationships/hyperlink" Target="https://osf.io/cm67f" TargetMode="External"/><Relationship Id="rId331" Type="http://schemas.openxmlformats.org/officeDocument/2006/relationships/hyperlink" Target="https://helda.helsinki.fi/bitstreams/b16ebd43-f83b-42c9-9996-adf6735845c1/download" TargetMode="External"/><Relationship Id="rId2257" Type="http://schemas.openxmlformats.org/officeDocument/2006/relationships/hyperlink" Target="https://osf.io/y8njt" TargetMode="External"/><Relationship Id="rId3587" Type="http://schemas.openxmlformats.org/officeDocument/2006/relationships/hyperlink" Target="https://osf.io/ed5mv" TargetMode="External"/><Relationship Id="rId370" Type="http://schemas.openxmlformats.org/officeDocument/2006/relationships/hyperlink" Target="https://doi.org/10.1037/xap0000321" TargetMode="External"/><Relationship Id="rId369" Type="http://schemas.openxmlformats.org/officeDocument/2006/relationships/hyperlink" Target="https://doi.org/10.1037/xap0000321" TargetMode="External"/><Relationship Id="rId368"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0" Type="http://schemas.openxmlformats.org/officeDocument/2006/relationships/hyperlink" Target="https://osf.io/dqybc" TargetMode="External"/><Relationship Id="rId2281" Type="http://schemas.openxmlformats.org/officeDocument/2006/relationships/hyperlink" Target="https://osf.io/dqybc" TargetMode="External"/><Relationship Id="rId2282" Type="http://schemas.openxmlformats.org/officeDocument/2006/relationships/hyperlink" Target="https://osf.io/rqtgz" TargetMode="External"/><Relationship Id="rId363"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3" Type="http://schemas.openxmlformats.org/officeDocument/2006/relationships/hyperlink" Target="https://osf.io/rqtgz" TargetMode="External"/><Relationship Id="rId362"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4" Type="http://schemas.openxmlformats.org/officeDocument/2006/relationships/hyperlink" Target="https://osf.io/4hqd6" TargetMode="External"/><Relationship Id="rId361"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5" Type="http://schemas.openxmlformats.org/officeDocument/2006/relationships/hyperlink" Target="https://osf.io/cehgp" TargetMode="External"/><Relationship Id="rId360"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6" Type="http://schemas.openxmlformats.org/officeDocument/2006/relationships/hyperlink" Target="https://osf.io/3rtvz" TargetMode="External"/><Relationship Id="rId367"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7" Type="http://schemas.openxmlformats.org/officeDocument/2006/relationships/hyperlink" Target="https://osf.io/3rtvz" TargetMode="External"/><Relationship Id="rId366"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8" Type="http://schemas.openxmlformats.org/officeDocument/2006/relationships/hyperlink" Target="https://osf.io/vdc5m" TargetMode="External"/><Relationship Id="rId365"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89" Type="http://schemas.openxmlformats.org/officeDocument/2006/relationships/hyperlink" Target="https://osf.io/vdc5m" TargetMode="External"/><Relationship Id="rId364"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95" Type="http://schemas.openxmlformats.org/officeDocument/2006/relationships/hyperlink" Target="https://aspredicted.org/3KR_RSK" TargetMode="External"/><Relationship Id="rId94" Type="http://schemas.openxmlformats.org/officeDocument/2006/relationships/hyperlink" Target="https://aspredicted.org/3KR_RSK" TargetMode="External"/><Relationship Id="rId97" Type="http://schemas.openxmlformats.org/officeDocument/2006/relationships/hyperlink" Target="https://aspredicted.org/3KR_RSK" TargetMode="External"/><Relationship Id="rId96" Type="http://schemas.openxmlformats.org/officeDocument/2006/relationships/hyperlink" Target="https://aspredicted.org/3KR_RSK" TargetMode="External"/><Relationship Id="rId99" Type="http://schemas.openxmlformats.org/officeDocument/2006/relationships/hyperlink" Target="https://aspredicted.org/3KR_RSK" TargetMode="External"/><Relationship Id="rId98" Type="http://schemas.openxmlformats.org/officeDocument/2006/relationships/hyperlink" Target="https://aspredicted.org/3KR_RSK" TargetMode="External"/><Relationship Id="rId91" Type="http://schemas.openxmlformats.org/officeDocument/2006/relationships/hyperlink" Target="https://docs.google.com/spreadsheets/d/1Da93yd8SPd-GwqOb8HCKeN1Hobk77X3_1anZLPku0G0/edit?usp=sharing" TargetMode="External"/><Relationship Id="rId90" Type="http://schemas.openxmlformats.org/officeDocument/2006/relationships/hyperlink" Target="https://docs.google.com/spreadsheets/d/1Da93yd8SPd-GwqOb8HCKeN1Hobk77X3_1anZLPku0G0/edit?usp=sharing" TargetMode="External"/><Relationship Id="rId93" Type="http://schemas.openxmlformats.org/officeDocument/2006/relationships/hyperlink" Target="https://doi.org/10.1007/s40617-024-00933-1" TargetMode="External"/><Relationship Id="rId92" Type="http://schemas.openxmlformats.org/officeDocument/2006/relationships/hyperlink" Target="https://doi.org/10.1007/s40617-024-00933-1" TargetMode="External"/><Relationship Id="rId359"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358"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357"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70" Type="http://schemas.openxmlformats.org/officeDocument/2006/relationships/hyperlink" Target="https://osf.io/853ue" TargetMode="External"/><Relationship Id="rId2271" Type="http://schemas.openxmlformats.org/officeDocument/2006/relationships/hyperlink" Target="https://osf.io/36dr5" TargetMode="External"/><Relationship Id="rId352" Type="http://schemas.openxmlformats.org/officeDocument/2006/relationships/hyperlink" Target="https://doi.org/10.1080/02650487.2024.2362015" TargetMode="External"/><Relationship Id="rId2272" Type="http://schemas.openxmlformats.org/officeDocument/2006/relationships/hyperlink" Target="https://osf.io/v7bjc" TargetMode="External"/><Relationship Id="rId351" Type="http://schemas.openxmlformats.org/officeDocument/2006/relationships/hyperlink" Target="mailto:sarahashjones@gmail.com" TargetMode="External"/><Relationship Id="rId2273" Type="http://schemas.openxmlformats.org/officeDocument/2006/relationships/hyperlink" Target="https://osf.io/c8qhv" TargetMode="External"/><Relationship Id="rId350" Type="http://schemas.openxmlformats.org/officeDocument/2006/relationships/hyperlink" Target="http://rescience.org/x/article/view/8" TargetMode="External"/><Relationship Id="rId2274" Type="http://schemas.openxmlformats.org/officeDocument/2006/relationships/hyperlink" Target="https://osf.io/c8qhv" TargetMode="External"/><Relationship Id="rId2275" Type="http://schemas.openxmlformats.org/officeDocument/2006/relationships/hyperlink" Target="https://osf.io/ctvej" TargetMode="External"/><Relationship Id="rId356" Type="http://schemas.openxmlformats.org/officeDocument/2006/relationships/hyperlink" Target="https://pdf.sciencedirectassets.com/271031/1-s2.0-S0166432824X00108/1-s2.0-S0166432824002523/main.pdf?X-Amz-Security-Token=IQoJb3JpZ2luX2VjEAwaCXVzLWVhc3QtMSJHMEUCIQCmj%2BJ0OIIhCFvH13ZoI4clbIWsTPr0cbNy%2B1GzAVLAmwIgd4KWLoxJgaWuXsrHG15dp6H6mAwhJMbc%2FnL3ArVyDZoqvAUIxf%2F%2F%2F%2F%2F%2F%2F%2F%2F%2FARAFGgwwNTkwMDM1NDY4NjUiDC47BieuD%2BVtLvPMcSqQBQUXEVWJDS7G4q8F06PDQcu2ZefiHA6rcNpSZF82PYDkBIt7r72DsGoYhuLinyEQkTThh0d6HW09RgSGOu9OYD63NdXvZDNoJ4zzifDT%2FB6DH5n3uWc0F4bltLNOUn7unNJaNmztXn1w6re8JR8vfHsksPc%2BOTNQk9bv2tTwpG3FrSrTqjpEkrZ2xrfleirbni5vL5%2BRCta99YlAplViezalUayTFgTxLPNic6UOm%2FTPnXMZJJvQlghdt9eaiUdaSZNB5ioG7EDbF%2FAjdhO7TkFJIHWsaGfE9EM%2BKxT7Fn5N3XE19drrJd7%2BGm5ulwIZdBanvAJTz4tMHMOsLADJNrnFr9KsZQ8Zn47iYS2gG9q6Ozm4eNZPhVkNJOY84E%2FrFiu5iu0xvP1vg3spHROJbV8RWnvroWvEeNMhsGio9C7%2Fe%2BDLpbwbPByTiXHxQwSOZNmbD1r%2FNIIMgHgbaGBJDAslAKJeRts91cuggqhmTUxC6qiM%2BsIDORku%2BGQy6qhbiSFcaIXqggrQ%2FnEjYcU%2FrhFcKl6wWkgo6KCBmdNeiYEV4GnJvwiqBZPdDjA%2B5M7FW8Dm8774HQEJw%2F02tlGuxOPlvc3ZKHGuuzZ1s%2BWwGedu5apwXbOqrw84RCai8knX8%2Fi8PUJif2KiHH3K1njYYBBODikylgGLOBrv4RY8%2F21xFXslWlVl6d1giNN27PgZp5PHiGwrvefKjfpzhKW5z1JzIarNzlCiGYBigDTQD20DjZs5RkEHgV%2FjsMFDz4T6mYsrsnk%2Fq4V29ttIcOjpidrANdAe43vUIb%2FRmUk4zFQh9VwGiNNjDnHMjb%2FnnhnWJlvzKq6NjIMV3pCzmB5ZPdD75mPCTs1XtNLuUIuw%2F9tHMPn37LoGOrEBeMQlcVjoUx%2FW4gJg7sFk8vbU1gd9LSeFmSRfbndGBCpth19eiy808YMW8QNFyCx9MLwjjZMUUtE2E8F%2BOnPhz4je7ZKXy4UTZayQseIQAYsEyZCeT4TWQrhI90ynZXhz36e8pg%2BLQfvs7cRdLk%2FiWWvlVMHjtJU3DDuQy9M8m9quK0DZZ7%2F%2Fl3MeJebu7R8y%2Fp%2BIrZbLqIQ6dH62R%2Fs4JliZpAR5kVQcRcuengccLUV6&amp;X-Amz-Algorithm=AWS4-HMAC-SHA256&amp;X-Amz-Date=20241212T204107Z&amp;X-Amz-SignedHeaders=host&amp;X-Amz-Expires=300&amp;X-Amz-Credential=ASIAQ3PHCVTY63SZL4XY%2F20241212%2Fus-east-1%2Fs3%2Faws4_request&amp;X-Amz-Signature=5fa804bd9a7550259b474d82ab882889661ead73d68b9017dec1796655127557&amp;hash=8984ac132d2eaa7068397bce0cb13ba74bd8b782bf703672e6eb4b128044110a&amp;host=68042c943591013ac2b2430a89b270f6af2c76d8dfd086a07176afe7c76c2c61&amp;pii=S0166432824002523&amp;tid=spdf-e96f0903-b7ec-4136-96b4-6f555aab8b8c&amp;sid=3632a4605325134d991bcac50ebe1131144cgxrqb&amp;type=client&amp;tsoh=d3d3LnNjaWV" TargetMode="External"/><Relationship Id="rId2276" Type="http://schemas.openxmlformats.org/officeDocument/2006/relationships/hyperlink" Target="https://osf.io/ctvej" TargetMode="External"/><Relationship Id="rId355" Type="http://schemas.openxmlformats.org/officeDocument/2006/relationships/hyperlink" Target="mailto:sarahashjones@gmail.com" TargetMode="External"/><Relationship Id="rId2277" Type="http://schemas.openxmlformats.org/officeDocument/2006/relationships/hyperlink" Target="https://osf.io/ngxye" TargetMode="External"/><Relationship Id="rId354" Type="http://schemas.openxmlformats.org/officeDocument/2006/relationships/hyperlink" Target="https://www.tandfonline.com/doi/epdf/10.1080/02650487.2024.2362015?needAccess=true" TargetMode="External"/><Relationship Id="rId2278" Type="http://schemas.openxmlformats.org/officeDocument/2006/relationships/hyperlink" Target="https://osf.io/ngxye" TargetMode="External"/><Relationship Id="rId353" Type="http://schemas.openxmlformats.org/officeDocument/2006/relationships/hyperlink" Target="https://www.tandfonline.com/doi/epdf/10.1080/02650487.2024.2362015?needAccess=true" TargetMode="External"/><Relationship Id="rId2279" Type="http://schemas.openxmlformats.org/officeDocument/2006/relationships/hyperlink" Target="https://www.uky.edu/AS/PoliSci/Peffley/pdf/Sniderman/Amodio_et_al_2008_JPSP_Individual%20Differences%20in%20the%20Regulation%20of%20Intergroup%20Bias.pdf" TargetMode="External"/><Relationship Id="rId2225" Type="http://schemas.openxmlformats.org/officeDocument/2006/relationships/hyperlink" Target="https://osf.io/76j48" TargetMode="External"/><Relationship Id="rId3557" Type="http://schemas.openxmlformats.org/officeDocument/2006/relationships/hyperlink" Target="https://osf.io/cm67f" TargetMode="External"/><Relationship Id="rId2226" Type="http://schemas.openxmlformats.org/officeDocument/2006/relationships/hyperlink" Target="https://osf.io/zjmkg/" TargetMode="External"/><Relationship Id="rId3556" Type="http://schemas.openxmlformats.org/officeDocument/2006/relationships/hyperlink" Target="https://osf.io/ed5mv" TargetMode="External"/><Relationship Id="rId2227" Type="http://schemas.openxmlformats.org/officeDocument/2006/relationships/hyperlink" Target="https://osf.io/rkqw2" TargetMode="External"/><Relationship Id="rId3559" Type="http://schemas.openxmlformats.org/officeDocument/2006/relationships/hyperlink" Target="https://osf.io/cm67f" TargetMode="External"/><Relationship Id="rId2228" Type="http://schemas.openxmlformats.org/officeDocument/2006/relationships/hyperlink" Target="https://osf.io/csm3d" TargetMode="External"/><Relationship Id="rId3558" Type="http://schemas.openxmlformats.org/officeDocument/2006/relationships/hyperlink" Target="https://osf.io/ed5mv" TargetMode="External"/><Relationship Id="rId2229" Type="http://schemas.openxmlformats.org/officeDocument/2006/relationships/hyperlink" Target="https://osf.io/csm3d" TargetMode="External"/><Relationship Id="rId305" Type="http://schemas.openxmlformats.org/officeDocument/2006/relationships/hyperlink" Target="https://doi.org/10.31234/osf.io/cf4xz" TargetMode="External"/><Relationship Id="rId304" Type="http://schemas.openxmlformats.org/officeDocument/2006/relationships/hyperlink" Target="https://osf.io/preprints/psyarxiv/cf4xz" TargetMode="External"/><Relationship Id="rId303" Type="http://schemas.openxmlformats.org/officeDocument/2006/relationships/hyperlink" Target="https://osf.io/preprints/psyarxiv/cf4xz" TargetMode="External"/><Relationship Id="rId302" Type="http://schemas.openxmlformats.org/officeDocument/2006/relationships/hyperlink" Target="https://doi.org/10.31234/osf.io/cf4xz" TargetMode="External"/><Relationship Id="rId309" Type="http://schemas.openxmlformats.org/officeDocument/2006/relationships/hyperlink" Target="https://www.econstor.eu/bitstream/10419/299993/1/JCRE-2024-4.pdf" TargetMode="External"/><Relationship Id="rId308" Type="http://schemas.openxmlformats.org/officeDocument/2006/relationships/hyperlink" Target="https://www.econstor.eu/bitstream/10419/299993/1/JCRE-2024-4.pdf" TargetMode="External"/><Relationship Id="rId307" Type="http://schemas.openxmlformats.org/officeDocument/2006/relationships/hyperlink" Target="https://osf.io/preprints/psyarxiv/cf4xz" TargetMode="External"/><Relationship Id="rId306" Type="http://schemas.openxmlformats.org/officeDocument/2006/relationships/hyperlink" Target="https://doi.org/10.31234/osf.io/cf4xz" TargetMode="External"/><Relationship Id="rId3551" Type="http://schemas.openxmlformats.org/officeDocument/2006/relationships/hyperlink" Target="https://osf.io/gea2s" TargetMode="External"/><Relationship Id="rId2220" Type="http://schemas.openxmlformats.org/officeDocument/2006/relationships/hyperlink" Target="https://osf.io/jb2pw/" TargetMode="External"/><Relationship Id="rId3550" Type="http://schemas.openxmlformats.org/officeDocument/2006/relationships/hyperlink" Target="https://datacolada.org/92" TargetMode="External"/><Relationship Id="rId301" Type="http://schemas.openxmlformats.org/officeDocument/2006/relationships/hyperlink" Target="https://doi.org/10.31234/osf.io/cf4xz" TargetMode="External"/><Relationship Id="rId2221" Type="http://schemas.openxmlformats.org/officeDocument/2006/relationships/hyperlink" Target="https://osf.io/gknau" TargetMode="External"/><Relationship Id="rId3553" Type="http://schemas.openxmlformats.org/officeDocument/2006/relationships/hyperlink" Target="https://osf.io/n6k84/" TargetMode="External"/><Relationship Id="rId300" Type="http://schemas.openxmlformats.org/officeDocument/2006/relationships/hyperlink" Target="https://osf.io/preprints/psyarxiv/cf4xz" TargetMode="External"/><Relationship Id="rId2222" Type="http://schemas.openxmlformats.org/officeDocument/2006/relationships/hyperlink" Target="https://osf.io/knc2b" TargetMode="External"/><Relationship Id="rId3552" Type="http://schemas.openxmlformats.org/officeDocument/2006/relationships/hyperlink" Target="https://osf.io/gea2s" TargetMode="External"/><Relationship Id="rId2223" Type="http://schemas.openxmlformats.org/officeDocument/2006/relationships/hyperlink" Target="https://osf.io/pua6s" TargetMode="External"/><Relationship Id="rId3555" Type="http://schemas.openxmlformats.org/officeDocument/2006/relationships/hyperlink" Target="https://osf.io/meqrz" TargetMode="External"/><Relationship Id="rId2224" Type="http://schemas.openxmlformats.org/officeDocument/2006/relationships/hyperlink" Target="https://osf.io/ywk2q" TargetMode="External"/><Relationship Id="rId3554" Type="http://schemas.openxmlformats.org/officeDocument/2006/relationships/hyperlink" Target="https://osf.io/fdrn6/" TargetMode="External"/><Relationship Id="rId2214" Type="http://schemas.openxmlformats.org/officeDocument/2006/relationships/hyperlink" Target="http://dx.doi.org/10.1027/1864-9335/a000186" TargetMode="External"/><Relationship Id="rId3546" Type="http://schemas.openxmlformats.org/officeDocument/2006/relationships/hyperlink" Target="https://datacolada.org/97" TargetMode="External"/><Relationship Id="rId2215" Type="http://schemas.openxmlformats.org/officeDocument/2006/relationships/hyperlink" Target="https://osf.io/a8zvk" TargetMode="External"/><Relationship Id="rId3545" Type="http://schemas.openxmlformats.org/officeDocument/2006/relationships/hyperlink" Target="https://aspredicted.org/9zw6i.pdf" TargetMode="External"/><Relationship Id="rId2216" Type="http://schemas.openxmlformats.org/officeDocument/2006/relationships/hyperlink" Target="http://dx.doi.org/10.1027/1864-9335/a000186" TargetMode="External"/><Relationship Id="rId3548" Type="http://schemas.openxmlformats.org/officeDocument/2006/relationships/hyperlink" Target="https://datacolada.org/92" TargetMode="External"/><Relationship Id="rId2217" Type="http://schemas.openxmlformats.org/officeDocument/2006/relationships/hyperlink" Target="https://osf.io/7xupr" TargetMode="External"/><Relationship Id="rId3547" Type="http://schemas.openxmlformats.org/officeDocument/2006/relationships/hyperlink" Target="https://datacolada.org/92" TargetMode="External"/><Relationship Id="rId2218" Type="http://schemas.openxmlformats.org/officeDocument/2006/relationships/hyperlink" Target="https://osf.io/27cmh" TargetMode="External"/><Relationship Id="rId2219" Type="http://schemas.openxmlformats.org/officeDocument/2006/relationships/hyperlink" Target="http://osf.io/0aifq" TargetMode="External"/><Relationship Id="rId3549" Type="http://schemas.openxmlformats.org/officeDocument/2006/relationships/hyperlink" Target="https://datacolada.org/92" TargetMode="External"/><Relationship Id="rId3540" Type="http://schemas.openxmlformats.org/officeDocument/2006/relationships/hyperlink" Target="https://web.archive.org/web/20220128104303mp_/https://curatescience.org/app/replications" TargetMode="External"/><Relationship Id="rId2210" Type="http://schemas.openxmlformats.org/officeDocument/2006/relationships/hyperlink" Target="https://osf.io/x5b6d" TargetMode="External"/><Relationship Id="rId3542" Type="http://schemas.openxmlformats.org/officeDocument/2006/relationships/hyperlink" Target="https://osf.io/624wf" TargetMode="External"/><Relationship Id="rId2211" Type="http://schemas.openxmlformats.org/officeDocument/2006/relationships/hyperlink" Target="https://osf.io/x5b6d" TargetMode="External"/><Relationship Id="rId3541" Type="http://schemas.openxmlformats.org/officeDocument/2006/relationships/hyperlink" Target="https://osf.io/624wf" TargetMode="External"/><Relationship Id="rId2212" Type="http://schemas.openxmlformats.org/officeDocument/2006/relationships/hyperlink" Target="https://osf.io/9r7au" TargetMode="External"/><Relationship Id="rId3544" Type="http://schemas.openxmlformats.org/officeDocument/2006/relationships/hyperlink" Target="https://datacolada.org/82" TargetMode="External"/><Relationship Id="rId2213" Type="http://schemas.openxmlformats.org/officeDocument/2006/relationships/hyperlink" Target="https://osf.io/fj6e8" TargetMode="External"/><Relationship Id="rId3543" Type="http://schemas.openxmlformats.org/officeDocument/2006/relationships/hyperlink" Target="https://datacolada.org/82" TargetMode="External"/><Relationship Id="rId2247" Type="http://schemas.openxmlformats.org/officeDocument/2006/relationships/hyperlink" Target="https://osf.io/rc2kz" TargetMode="External"/><Relationship Id="rId3579" Type="http://schemas.openxmlformats.org/officeDocument/2006/relationships/hyperlink" Target="https://osf.io/cm67f" TargetMode="External"/><Relationship Id="rId2248" Type="http://schemas.openxmlformats.org/officeDocument/2006/relationships/hyperlink" Target="https://osf.io/rc2kz" TargetMode="External"/><Relationship Id="rId3578" Type="http://schemas.openxmlformats.org/officeDocument/2006/relationships/hyperlink" Target="https://osf.io/ed5mv" TargetMode="External"/><Relationship Id="rId2249" Type="http://schemas.openxmlformats.org/officeDocument/2006/relationships/hyperlink" Target="https://osf.io/3ubv9" TargetMode="External"/><Relationship Id="rId327" Type="http://schemas.openxmlformats.org/officeDocument/2006/relationships/hyperlink" Target="https://doi.org/10.1075/resla.17019.loz" TargetMode="External"/><Relationship Id="rId326" Type="http://schemas.openxmlformats.org/officeDocument/2006/relationships/hyperlink" Target="https://helda.helsinki.fi/bitstreams/b16ebd43-f83b-42c9-9996-adf6735845c1/download" TargetMode="External"/><Relationship Id="rId325" Type="http://schemas.openxmlformats.org/officeDocument/2006/relationships/hyperlink" Target="https://helda.helsinki.fi/bitstreams/b16ebd43-f83b-42c9-9996-adf6735845c1/download" TargetMode="External"/><Relationship Id="rId324" Type="http://schemas.openxmlformats.org/officeDocument/2006/relationships/hyperlink" Target="https://doi.org/10.1075/resla.17019.loz" TargetMode="External"/><Relationship Id="rId329" Type="http://schemas.openxmlformats.org/officeDocument/2006/relationships/hyperlink" Target="https://helda.helsinki.fi/bitstreams/b16ebd43-f83b-42c9-9996-adf6735845c1/download" TargetMode="External"/><Relationship Id="rId328" Type="http://schemas.openxmlformats.org/officeDocument/2006/relationships/hyperlink" Target="https://helda.helsinki.fi/bitstreams/b16ebd43-f83b-42c9-9996-adf6735845c1/download" TargetMode="External"/><Relationship Id="rId3571" Type="http://schemas.openxmlformats.org/officeDocument/2006/relationships/hyperlink" Target="https://osf.io/ed5mv" TargetMode="External"/><Relationship Id="rId2240" Type="http://schemas.openxmlformats.org/officeDocument/2006/relationships/hyperlink" Target="https://osf.io/bk79y" TargetMode="External"/><Relationship Id="rId3570" Type="http://schemas.openxmlformats.org/officeDocument/2006/relationships/hyperlink" Target="https://osf.io/fh2mg" TargetMode="External"/><Relationship Id="rId2241" Type="http://schemas.openxmlformats.org/officeDocument/2006/relationships/hyperlink" Target="https://osf.io/bk79y" TargetMode="External"/><Relationship Id="rId3573" Type="http://schemas.openxmlformats.org/officeDocument/2006/relationships/hyperlink" Target="https://osf.io/ed5mv" TargetMode="External"/><Relationship Id="rId2242" Type="http://schemas.openxmlformats.org/officeDocument/2006/relationships/hyperlink" Target="https://osf.io/bxumv" TargetMode="External"/><Relationship Id="rId3572" Type="http://schemas.openxmlformats.org/officeDocument/2006/relationships/hyperlink" Target="https://osf.io/cm67f" TargetMode="External"/><Relationship Id="rId323" Type="http://schemas.openxmlformats.org/officeDocument/2006/relationships/hyperlink" Target="https://helda.helsinki.fi/bitstreams/b16ebd43-f83b-42c9-9996-adf6735845c1/download" TargetMode="External"/><Relationship Id="rId2243" Type="http://schemas.openxmlformats.org/officeDocument/2006/relationships/hyperlink" Target="https://osf.io/x2gmb" TargetMode="External"/><Relationship Id="rId3575" Type="http://schemas.openxmlformats.org/officeDocument/2006/relationships/hyperlink" Target="https://osf.io/meqrz" TargetMode="External"/><Relationship Id="rId322" Type="http://schemas.openxmlformats.org/officeDocument/2006/relationships/hyperlink" Target="https://helda.helsinki.fi/bitstreams/b16ebd43-f83b-42c9-9996-adf6735845c1/download" TargetMode="External"/><Relationship Id="rId2244" Type="http://schemas.openxmlformats.org/officeDocument/2006/relationships/hyperlink" Target="https://osf.io/g754e" TargetMode="External"/><Relationship Id="rId3574" Type="http://schemas.openxmlformats.org/officeDocument/2006/relationships/hyperlink" Target="https://osf.io/cm67f" TargetMode="External"/><Relationship Id="rId321" Type="http://schemas.openxmlformats.org/officeDocument/2006/relationships/hyperlink" Target="https://doi.org/10.1075/resla.17019.loz" TargetMode="External"/><Relationship Id="rId2245" Type="http://schemas.openxmlformats.org/officeDocument/2006/relationships/hyperlink" Target="https://osf.io/3va2j" TargetMode="External"/><Relationship Id="rId3577" Type="http://schemas.openxmlformats.org/officeDocument/2006/relationships/hyperlink" Target="https://osf.io/cm67f" TargetMode="External"/><Relationship Id="rId320" Type="http://schemas.openxmlformats.org/officeDocument/2006/relationships/hyperlink" Target="https://helda.helsinki.fi/bitstreams/b16ebd43-f83b-42c9-9996-adf6735845c1/download" TargetMode="External"/><Relationship Id="rId2246" Type="http://schemas.openxmlformats.org/officeDocument/2006/relationships/hyperlink" Target="https://osf.io/ca8t3" TargetMode="External"/><Relationship Id="rId3576" Type="http://schemas.openxmlformats.org/officeDocument/2006/relationships/hyperlink" Target="https://osf.io/ed5mv" TargetMode="External"/><Relationship Id="rId2236" Type="http://schemas.openxmlformats.org/officeDocument/2006/relationships/hyperlink" Target="https://osf.io/9p2qr" TargetMode="External"/><Relationship Id="rId3568" Type="http://schemas.openxmlformats.org/officeDocument/2006/relationships/hyperlink" Target="https://osf.io/cm67f" TargetMode="External"/><Relationship Id="rId2237" Type="http://schemas.openxmlformats.org/officeDocument/2006/relationships/hyperlink" Target="https://osf.io/9p2qr" TargetMode="External"/><Relationship Id="rId3567" Type="http://schemas.openxmlformats.org/officeDocument/2006/relationships/hyperlink" Target="https://osf.io/ed5mv" TargetMode="External"/><Relationship Id="rId2238" Type="http://schemas.openxmlformats.org/officeDocument/2006/relationships/hyperlink" Target="https://osf.io/s9m2k" TargetMode="External"/><Relationship Id="rId2239" Type="http://schemas.openxmlformats.org/officeDocument/2006/relationships/hyperlink" Target="https://osf.io/6xjqm" TargetMode="External"/><Relationship Id="rId3569" Type="http://schemas.openxmlformats.org/officeDocument/2006/relationships/hyperlink" Target="https://osf.io/cm67f" TargetMode="External"/><Relationship Id="rId316" Type="http://schemas.openxmlformats.org/officeDocument/2006/relationships/hyperlink" Target="https://digitalcommons.memphis.edu/etd/3538/" TargetMode="External"/><Relationship Id="rId315" Type="http://schemas.openxmlformats.org/officeDocument/2006/relationships/hyperlink" Target="https://www.proquest.com/dissertations-theses/mattering-model-foundational-elements-k-12/docview/2537966312/se-2" TargetMode="External"/><Relationship Id="rId314" Type="http://schemas.openxmlformats.org/officeDocument/2006/relationships/hyperlink" Target="https://digitalcommons.memphis.edu/etd/3538/" TargetMode="External"/><Relationship Id="rId313" Type="http://schemas.openxmlformats.org/officeDocument/2006/relationships/hyperlink" Target="https://doi.org/10.1075/ijlcr.00046.ozk" TargetMode="External"/><Relationship Id="rId319" Type="http://schemas.openxmlformats.org/officeDocument/2006/relationships/hyperlink" Target="https://helda.helsinki.fi/bitstreams/b16ebd43-f83b-42c9-9996-adf6735845c1/download" TargetMode="External"/><Relationship Id="rId318" Type="http://schemas.openxmlformats.org/officeDocument/2006/relationships/hyperlink" Target="https://doi.org/10.1075/resla.17019.loz" TargetMode="External"/><Relationship Id="rId317" Type="http://schemas.openxmlformats.org/officeDocument/2006/relationships/hyperlink" Target="https://helda.helsinki.fi/bitstreams/b16ebd43-f83b-42c9-9996-adf6735845c1/download" TargetMode="External"/><Relationship Id="rId3560" Type="http://schemas.openxmlformats.org/officeDocument/2006/relationships/hyperlink" Target="https://osf.io/cm67f" TargetMode="External"/><Relationship Id="rId2230" Type="http://schemas.openxmlformats.org/officeDocument/2006/relationships/hyperlink" Target="https://osf.io/b2agf" TargetMode="External"/><Relationship Id="rId3562" Type="http://schemas.openxmlformats.org/officeDocument/2006/relationships/hyperlink" Target="https://osf.io/ed5mv" TargetMode="External"/><Relationship Id="rId2231" Type="http://schemas.openxmlformats.org/officeDocument/2006/relationships/hyperlink" Target="https://osf.io/p6jxm" TargetMode="External"/><Relationship Id="rId3561" Type="http://schemas.openxmlformats.org/officeDocument/2006/relationships/hyperlink" Target="https://osf.io/fh2mg" TargetMode="External"/><Relationship Id="rId312" Type="http://schemas.openxmlformats.org/officeDocument/2006/relationships/hyperlink" Target="https://doi.org/10.1075/ijlcr.00046.ozk" TargetMode="External"/><Relationship Id="rId2232" Type="http://schemas.openxmlformats.org/officeDocument/2006/relationships/hyperlink" Target="https://osf.io/2rnj5" TargetMode="External"/><Relationship Id="rId3564" Type="http://schemas.openxmlformats.org/officeDocument/2006/relationships/hyperlink" Target="https://osf.io/cm67f" TargetMode="External"/><Relationship Id="rId311" Type="http://schemas.openxmlformats.org/officeDocument/2006/relationships/hyperlink" Target="https://doi.org/10.1075/ijcl.19131.lar" TargetMode="External"/><Relationship Id="rId2233" Type="http://schemas.openxmlformats.org/officeDocument/2006/relationships/hyperlink" Target="https://osf.io/z6qw2" TargetMode="External"/><Relationship Id="rId3563" Type="http://schemas.openxmlformats.org/officeDocument/2006/relationships/hyperlink" Target="https://osf.io/cm67f" TargetMode="External"/><Relationship Id="rId310" Type="http://schemas.openxmlformats.org/officeDocument/2006/relationships/hyperlink" Target="https://doi.org/10.1075/ijcl.19131.lar" TargetMode="External"/><Relationship Id="rId2234" Type="http://schemas.openxmlformats.org/officeDocument/2006/relationships/hyperlink" Target="https://osf.io/ny7t5" TargetMode="External"/><Relationship Id="rId3566" Type="http://schemas.openxmlformats.org/officeDocument/2006/relationships/hyperlink" Target="https://osf.io/fh2mg" TargetMode="External"/><Relationship Id="rId2235" Type="http://schemas.openxmlformats.org/officeDocument/2006/relationships/hyperlink" Target="https://osf.io/3fjvt" TargetMode="External"/><Relationship Id="rId3565" Type="http://schemas.openxmlformats.org/officeDocument/2006/relationships/hyperlink" Target="https://osf.io/cm67f" TargetMode="External"/><Relationship Id="rId297" Type="http://schemas.openxmlformats.org/officeDocument/2006/relationships/hyperlink" Target="https://doi.org/10.31234/osf.io/cf4xz" TargetMode="External"/><Relationship Id="rId296" Type="http://schemas.openxmlformats.org/officeDocument/2006/relationships/hyperlink" Target="https://osf.io/preprints/psyarxiv/cf4xz" TargetMode="External"/><Relationship Id="rId295" Type="http://schemas.openxmlformats.org/officeDocument/2006/relationships/hyperlink" Target="https://osf.io/preprints/psyarxiv/cf4xz" TargetMode="External"/><Relationship Id="rId294" Type="http://schemas.openxmlformats.org/officeDocument/2006/relationships/hyperlink" Target="https://doi.org/10.31234/osf.io/cf4xz" TargetMode="External"/><Relationship Id="rId299" Type="http://schemas.openxmlformats.org/officeDocument/2006/relationships/hyperlink" Target="https://osf.io/preprints/psyarxiv/cf4xz" TargetMode="External"/><Relationship Id="rId298" Type="http://schemas.openxmlformats.org/officeDocument/2006/relationships/hyperlink" Target="https://doi.org/10.31234/osf.io/cf4xz" TargetMode="External"/><Relationship Id="rId271" Type="http://schemas.openxmlformats.org/officeDocument/2006/relationships/hyperlink" Target="https://aspredicted.org/slogin.php?s=AhaPdyHcZf" TargetMode="External"/><Relationship Id="rId270" Type="http://schemas.openxmlformats.org/officeDocument/2006/relationships/hyperlink" Target="https://onlinelibrary.wiley.com/doi/pdf/10.1111/padm.12860" TargetMode="External"/><Relationship Id="rId269" Type="http://schemas.openxmlformats.org/officeDocument/2006/relationships/hyperlink" Target="https://aspredicted.org/slogin.php?s=AhaPdyHcZf" TargetMode="External"/><Relationship Id="rId264" Type="http://schemas.openxmlformats.org/officeDocument/2006/relationships/hyperlink" Target="https://aspredicted.org/~AhaPdyHcZf" TargetMode="External"/><Relationship Id="rId263" Type="http://schemas.openxmlformats.org/officeDocument/2006/relationships/hyperlink" Target="https://doi.org/10.1002/pam.21702" TargetMode="External"/><Relationship Id="rId262" Type="http://schemas.openxmlformats.org/officeDocument/2006/relationships/hyperlink" Target="https://aspredicted.org/slogin.php?s=AhaPdyHcZf" TargetMode="External"/><Relationship Id="rId261" Type="http://schemas.openxmlformats.org/officeDocument/2006/relationships/hyperlink" Target="https://onlinelibrary.wiley.com/doi/pdf/10.1111/padm.12860" TargetMode="External"/><Relationship Id="rId268" Type="http://schemas.openxmlformats.org/officeDocument/2006/relationships/hyperlink" Target="https://onlinelibrary.wiley.com/doi/pdf/10.1111/padm.12860" TargetMode="External"/><Relationship Id="rId267" Type="http://schemas.openxmlformats.org/officeDocument/2006/relationships/hyperlink" Target="https://aspredicted.org/slogin.php?s=AhaPdyHcZf" TargetMode="External"/><Relationship Id="rId266" Type="http://schemas.openxmlformats.org/officeDocument/2006/relationships/hyperlink" Target="https://onlinelibrary.wiley.com/doi/pdf/10.1111/padm.12860" TargetMode="External"/><Relationship Id="rId265" Type="http://schemas.openxmlformats.org/officeDocument/2006/relationships/hyperlink" Target="https://aspredicted.org/~AhaPdyHcZf" TargetMode="External"/><Relationship Id="rId260" Type="http://schemas.openxmlformats.org/officeDocument/2006/relationships/hyperlink" Target="https://aspredicted.org/~AhaPdyHcZf" TargetMode="External"/><Relationship Id="rId259" Type="http://schemas.openxmlformats.org/officeDocument/2006/relationships/hyperlink" Target="https://aspredicted.org/~AhaPdyHcZf" TargetMode="External"/><Relationship Id="rId258" Type="http://schemas.openxmlformats.org/officeDocument/2006/relationships/hyperlink" Target="https://doi.org/10.1002/pam.21702" TargetMode="External"/><Relationship Id="rId2290" Type="http://schemas.openxmlformats.org/officeDocument/2006/relationships/hyperlink" Target="https://osf.io/x5szy" TargetMode="External"/><Relationship Id="rId2291" Type="http://schemas.openxmlformats.org/officeDocument/2006/relationships/hyperlink" Target="https://osf.io/8dzpj" TargetMode="External"/><Relationship Id="rId2292" Type="http://schemas.openxmlformats.org/officeDocument/2006/relationships/hyperlink" Target="https://osf.io/ak3rj" TargetMode="External"/><Relationship Id="rId2293" Type="http://schemas.openxmlformats.org/officeDocument/2006/relationships/hyperlink" Target="https://osf.io/ak3rj" TargetMode="External"/><Relationship Id="rId253" Type="http://schemas.openxmlformats.org/officeDocument/2006/relationships/hyperlink" Target="https://doi.org/10.1002/pam.21702" TargetMode="External"/><Relationship Id="rId2294" Type="http://schemas.openxmlformats.org/officeDocument/2006/relationships/hyperlink" Target="https://osf.io/nrjs5" TargetMode="External"/><Relationship Id="rId252" Type="http://schemas.openxmlformats.org/officeDocument/2006/relationships/hyperlink" Target="https://aspredicted.org/slogin.php?s=AhaPdyHcZf" TargetMode="External"/><Relationship Id="rId2295" Type="http://schemas.openxmlformats.org/officeDocument/2006/relationships/hyperlink" Target="https://osf.io/b9jtc" TargetMode="External"/><Relationship Id="rId251" Type="http://schemas.openxmlformats.org/officeDocument/2006/relationships/hyperlink" Target="https://onlinelibrary.wiley.com/doi/pdf/10.1111/padm.12860" TargetMode="External"/><Relationship Id="rId2296" Type="http://schemas.openxmlformats.org/officeDocument/2006/relationships/hyperlink" Target="https://osf.io/6vsc4" TargetMode="External"/><Relationship Id="rId250" Type="http://schemas.openxmlformats.org/officeDocument/2006/relationships/hyperlink" Target="https://aspredicted.org/slogin.php?s=AhaPdyHcZf" TargetMode="External"/><Relationship Id="rId2297" Type="http://schemas.openxmlformats.org/officeDocument/2006/relationships/hyperlink" Target="https://osf.io/ty9xh" TargetMode="External"/><Relationship Id="rId257" Type="http://schemas.openxmlformats.org/officeDocument/2006/relationships/hyperlink" Target="https://aspredicted.org/slogin.php?s=AhaPdyHcZf" TargetMode="External"/><Relationship Id="rId2298" Type="http://schemas.openxmlformats.org/officeDocument/2006/relationships/hyperlink" Target="https://osf.io/ty9xh" TargetMode="External"/><Relationship Id="rId256" Type="http://schemas.openxmlformats.org/officeDocument/2006/relationships/hyperlink" Target="https://onlinelibrary.wiley.com/doi/pdf/10.1111/padm.12860" TargetMode="External"/><Relationship Id="rId2299" Type="http://schemas.openxmlformats.org/officeDocument/2006/relationships/hyperlink" Target="https://osf.io/q7hm4" TargetMode="External"/><Relationship Id="rId255" Type="http://schemas.openxmlformats.org/officeDocument/2006/relationships/hyperlink" Target="https://aspredicted.org/~AhaPdyHcZf" TargetMode="External"/><Relationship Id="rId254" Type="http://schemas.openxmlformats.org/officeDocument/2006/relationships/hyperlink" Target="https://aspredicted.org/~AhaPdyHcZf" TargetMode="External"/><Relationship Id="rId293" Type="http://schemas.openxmlformats.org/officeDocument/2006/relationships/hyperlink" Target="https://doi.org/10.31234/osf.io/cf4xz" TargetMode="External"/><Relationship Id="rId292" Type="http://schemas.openxmlformats.org/officeDocument/2006/relationships/hyperlink" Target="https://osf.io/preprints/psyarxiv/cf4xz" TargetMode="External"/><Relationship Id="rId291" Type="http://schemas.openxmlformats.org/officeDocument/2006/relationships/hyperlink" Target="https://osf.io/preprints/psyarxiv/cf4xz" TargetMode="External"/><Relationship Id="rId290" Type="http://schemas.openxmlformats.org/officeDocument/2006/relationships/hyperlink" Target="https://doi.org/10.31234/osf.io/cf4xz" TargetMode="External"/><Relationship Id="rId286" Type="http://schemas.openxmlformats.org/officeDocument/2006/relationships/hyperlink" Target="https://aclanthology.org/2024.lrec-main.91" TargetMode="External"/><Relationship Id="rId285" Type="http://schemas.openxmlformats.org/officeDocument/2006/relationships/hyperlink" Target="https://aclanthology.org/2024.lrec-main.91" TargetMode="External"/><Relationship Id="rId284" Type="http://schemas.openxmlformats.org/officeDocument/2006/relationships/hyperlink" Target="https://aclanthology.org/2024.lrec-main.91" TargetMode="External"/><Relationship Id="rId283" Type="http://schemas.openxmlformats.org/officeDocument/2006/relationships/hyperlink" Target="https://aclanthology.org/2024.lrec-main.91" TargetMode="External"/><Relationship Id="rId289" Type="http://schemas.openxmlformats.org/officeDocument/2006/relationships/hyperlink" Target="https://doi.org/10.31234/osf.io/cf4xz" TargetMode="External"/><Relationship Id="rId288" Type="http://schemas.openxmlformats.org/officeDocument/2006/relationships/hyperlink" Target="https://osf.io/preprints/psyarxiv/cf4xz" TargetMode="External"/><Relationship Id="rId287" Type="http://schemas.openxmlformats.org/officeDocument/2006/relationships/hyperlink" Target="https://osf.io/preprints/psyarxiv/cf4xz" TargetMode="External"/><Relationship Id="rId282" Type="http://schemas.openxmlformats.org/officeDocument/2006/relationships/hyperlink" Target="https://keep-dev.lib.asu.edu/items/192630" TargetMode="External"/><Relationship Id="rId281" Type="http://schemas.openxmlformats.org/officeDocument/2006/relationships/hyperlink" Target="https://doi.org/10.1080/13523260.2020.1868836" TargetMode="External"/><Relationship Id="rId280" Type="http://schemas.openxmlformats.org/officeDocument/2006/relationships/hyperlink" Target="https://keep-dev.lib.asu.edu/items/192630" TargetMode="External"/><Relationship Id="rId275" Type="http://schemas.openxmlformats.org/officeDocument/2006/relationships/hyperlink" Target="https://aspredicted.org/slogin.php?s=AhaPdyHcZf" TargetMode="External"/><Relationship Id="rId274" Type="http://schemas.openxmlformats.org/officeDocument/2006/relationships/hyperlink" Target="https://onlinelibrary.wiley.com/doi/pdf/10.1111/padm.12860" TargetMode="External"/><Relationship Id="rId273" Type="http://schemas.openxmlformats.org/officeDocument/2006/relationships/hyperlink" Target="https://aspredicted.org/slogin.php?s=AhaPdyHcZf" TargetMode="External"/><Relationship Id="rId272" Type="http://schemas.openxmlformats.org/officeDocument/2006/relationships/hyperlink" Target="https://onlinelibrary.wiley.com/doi/pdf/10.1111/padm.12860" TargetMode="External"/><Relationship Id="rId279" Type="http://schemas.openxmlformats.org/officeDocument/2006/relationships/hyperlink" Target="https://aclanthology.org/2024.lrec-main.91" TargetMode="External"/><Relationship Id="rId278" Type="http://schemas.openxmlformats.org/officeDocument/2006/relationships/hyperlink" Target="https://doi.org/10.18653/v1/2023.acl-long.864" TargetMode="External"/><Relationship Id="rId277" Type="http://schemas.openxmlformats.org/officeDocument/2006/relationships/hyperlink" Target="https://aclanthology.org/2024.lrec-main.91" TargetMode="External"/><Relationship Id="rId276" Type="http://schemas.openxmlformats.org/officeDocument/2006/relationships/hyperlink" Target="https://aclanthology.org/2024.lrec-main.91" TargetMode="External"/><Relationship Id="rId1851" Type="http://schemas.openxmlformats.org/officeDocument/2006/relationships/hyperlink" Target="https://osf.io/sejyp" TargetMode="External"/><Relationship Id="rId1852" Type="http://schemas.openxmlformats.org/officeDocument/2006/relationships/hyperlink" Target="https://doi.org/10/gg6grh" TargetMode="External"/><Relationship Id="rId1853" Type="http://schemas.openxmlformats.org/officeDocument/2006/relationships/hyperlink" Target="https://osf.io/sejyp" TargetMode="External"/><Relationship Id="rId1854" Type="http://schemas.openxmlformats.org/officeDocument/2006/relationships/hyperlink" Target="https://osf.io/9avrm" TargetMode="External"/><Relationship Id="rId1855" Type="http://schemas.openxmlformats.org/officeDocument/2006/relationships/hyperlink" Target="https://doi.org/10/gg6grh" TargetMode="External"/><Relationship Id="rId1856" Type="http://schemas.openxmlformats.org/officeDocument/2006/relationships/hyperlink" Target="https://osf.io/sejyp" TargetMode="External"/><Relationship Id="rId1857" Type="http://schemas.openxmlformats.org/officeDocument/2006/relationships/hyperlink" Target="https://doi.org/10/gb4vmc" TargetMode="External"/><Relationship Id="rId1858" Type="http://schemas.openxmlformats.org/officeDocument/2006/relationships/hyperlink" Target="https://osf.io/sejyp" TargetMode="External"/><Relationship Id="rId1859" Type="http://schemas.openxmlformats.org/officeDocument/2006/relationships/hyperlink" Target="https://osf.io/yd69c" TargetMode="External"/><Relationship Id="rId1850" Type="http://schemas.openxmlformats.org/officeDocument/2006/relationships/hyperlink" Target="https://doi.org/10/ggb75r" TargetMode="External"/><Relationship Id="rId1840" Type="http://schemas.openxmlformats.org/officeDocument/2006/relationships/hyperlink" Target="https://doi.org/10/gsv6xm" TargetMode="External"/><Relationship Id="rId1841" Type="http://schemas.openxmlformats.org/officeDocument/2006/relationships/hyperlink" Target="https://osf.io/sejyp" TargetMode="External"/><Relationship Id="rId1842" Type="http://schemas.openxmlformats.org/officeDocument/2006/relationships/hyperlink" Target="https://doi.org/10/f74fb4" TargetMode="External"/><Relationship Id="rId1843" Type="http://schemas.openxmlformats.org/officeDocument/2006/relationships/hyperlink" Target="https://osf.io/sejyp" TargetMode="External"/><Relationship Id="rId1844" Type="http://schemas.openxmlformats.org/officeDocument/2006/relationships/hyperlink" Target="https://osf.io/3pu8d" TargetMode="External"/><Relationship Id="rId1845" Type="http://schemas.openxmlformats.org/officeDocument/2006/relationships/hyperlink" Target="https://doi.org/10/f74fb4" TargetMode="External"/><Relationship Id="rId1846" Type="http://schemas.openxmlformats.org/officeDocument/2006/relationships/hyperlink" Target="https://osf.io/sejyp" TargetMode="External"/><Relationship Id="rId1847" Type="http://schemas.openxmlformats.org/officeDocument/2006/relationships/hyperlink" Target="https://doi.org/10/ggb75r" TargetMode="External"/><Relationship Id="rId1848" Type="http://schemas.openxmlformats.org/officeDocument/2006/relationships/hyperlink" Target="https://osf.io/sejyp" TargetMode="External"/><Relationship Id="rId1849" Type="http://schemas.openxmlformats.org/officeDocument/2006/relationships/hyperlink" Target="https://osf.io/szntm" TargetMode="External"/><Relationship Id="rId1873" Type="http://schemas.openxmlformats.org/officeDocument/2006/relationships/hyperlink" Target="https://osf.io/caf6h?view_only=f5bd34199dd447b8af03b6b207f9e5d6" TargetMode="External"/><Relationship Id="rId1874" Type="http://schemas.openxmlformats.org/officeDocument/2006/relationships/hyperlink" Target="https://osf.io/caf6h?view_only=f5bd34199dd447b8af03b6b207f9e5d6" TargetMode="External"/><Relationship Id="rId1875" Type="http://schemas.openxmlformats.org/officeDocument/2006/relationships/hyperlink" Target="https://osf.io/3xcnm/" TargetMode="External"/><Relationship Id="rId1876" Type="http://schemas.openxmlformats.org/officeDocument/2006/relationships/hyperlink" Target="https://osf.io/3xcnm/" TargetMode="External"/><Relationship Id="rId1877" Type="http://schemas.openxmlformats.org/officeDocument/2006/relationships/hyperlink" Target="https://osf.io/x9tq5" TargetMode="External"/><Relationship Id="rId1878" Type="http://schemas.openxmlformats.org/officeDocument/2006/relationships/hyperlink" Target="https://doi.org/10.17605/OSF.IO/J8A4P" TargetMode="External"/><Relationship Id="rId1879" Type="http://schemas.openxmlformats.org/officeDocument/2006/relationships/hyperlink" Target="https://doi.org/10.17605/OSF.IO/J8A4P" TargetMode="External"/><Relationship Id="rId1870" Type="http://schemas.openxmlformats.org/officeDocument/2006/relationships/hyperlink" Target="https://osf.io/nc49e" TargetMode="External"/><Relationship Id="rId1871" Type="http://schemas.openxmlformats.org/officeDocument/2006/relationships/hyperlink" Target="https://doi.org/10/f8qfrh" TargetMode="External"/><Relationship Id="rId1872" Type="http://schemas.openxmlformats.org/officeDocument/2006/relationships/hyperlink" Target="https://osf.io/7pw4c?view_only=ca3860721b4048f5a3ff7d27687d2e46" TargetMode="External"/><Relationship Id="rId1862" Type="http://schemas.openxmlformats.org/officeDocument/2006/relationships/hyperlink" Target="https://doi.org/10/gbwx4j" TargetMode="External"/><Relationship Id="rId1863" Type="http://schemas.openxmlformats.org/officeDocument/2006/relationships/hyperlink" Target="https://osf.io/sejyp" TargetMode="External"/><Relationship Id="rId1864" Type="http://schemas.openxmlformats.org/officeDocument/2006/relationships/hyperlink" Target="https://osf.io/cs82h" TargetMode="External"/><Relationship Id="rId1865" Type="http://schemas.openxmlformats.org/officeDocument/2006/relationships/hyperlink" Target="https://doi.org/10/gbwx4j" TargetMode="External"/><Relationship Id="rId1866" Type="http://schemas.openxmlformats.org/officeDocument/2006/relationships/hyperlink" Target="https://doi.org/10/gb4sh4" TargetMode="External"/><Relationship Id="rId1867" Type="http://schemas.openxmlformats.org/officeDocument/2006/relationships/hyperlink" Target="https://osf.io/yt9vb" TargetMode="External"/><Relationship Id="rId1868" Type="http://schemas.openxmlformats.org/officeDocument/2006/relationships/hyperlink" Target="https://doi.org/10/gb4sh4" TargetMode="External"/><Relationship Id="rId1869" Type="http://schemas.openxmlformats.org/officeDocument/2006/relationships/hyperlink" Target="https://doi.org/10/f8qfrh" TargetMode="External"/><Relationship Id="rId1860" Type="http://schemas.openxmlformats.org/officeDocument/2006/relationships/hyperlink" Target="https://doi.org/10/gb4vmc" TargetMode="External"/><Relationship Id="rId1861" Type="http://schemas.openxmlformats.org/officeDocument/2006/relationships/hyperlink" Target="https://osf.io/sejyp" TargetMode="External"/><Relationship Id="rId1810" Type="http://schemas.openxmlformats.org/officeDocument/2006/relationships/hyperlink" Target="https://osf.io/j7syt" TargetMode="External"/><Relationship Id="rId1811" Type="http://schemas.openxmlformats.org/officeDocument/2006/relationships/hyperlink" Target="https://doi.org/10/f9h49k" TargetMode="External"/><Relationship Id="rId1812" Type="http://schemas.openxmlformats.org/officeDocument/2006/relationships/hyperlink" Target="https://osf.io/sejyp" TargetMode="External"/><Relationship Id="rId1813" Type="http://schemas.openxmlformats.org/officeDocument/2006/relationships/hyperlink" Target="https://doi.org/10/gbnk55" TargetMode="External"/><Relationship Id="rId1814" Type="http://schemas.openxmlformats.org/officeDocument/2006/relationships/hyperlink" Target="https://osf.io/sejyp" TargetMode="External"/><Relationship Id="rId1815" Type="http://schemas.openxmlformats.org/officeDocument/2006/relationships/hyperlink" Target="https://osf.io/e6pq5" TargetMode="External"/><Relationship Id="rId1816" Type="http://schemas.openxmlformats.org/officeDocument/2006/relationships/hyperlink" Target="https://doi.org/10/gbnk55" TargetMode="External"/><Relationship Id="rId1817" Type="http://schemas.openxmlformats.org/officeDocument/2006/relationships/hyperlink" Target="https://osf.io/sejyp" TargetMode="External"/><Relationship Id="rId1818" Type="http://schemas.openxmlformats.org/officeDocument/2006/relationships/hyperlink" Target="https://ftp.ebi.ac.uk/biostudies/nfs/S-EPMC/472/S-EPMC6275472/Files/pnas.1717092115.sapp.pdf" TargetMode="External"/><Relationship Id="rId1819" Type="http://schemas.openxmlformats.org/officeDocument/2006/relationships/hyperlink" Target="https://doi.org/10/gfqzv6" TargetMode="External"/><Relationship Id="rId1800" Type="http://schemas.openxmlformats.org/officeDocument/2006/relationships/hyperlink" Target="https://www.pnas.org/action/downloadSupplement?doi=10.1073%2Fpnas.1606574113&amp;file=pnas.1606574113.sapp.pdf" TargetMode="External"/><Relationship Id="rId1801" Type="http://schemas.openxmlformats.org/officeDocument/2006/relationships/hyperlink" Target="https://doi.org/10/f8646f" TargetMode="External"/><Relationship Id="rId1802" Type="http://schemas.openxmlformats.org/officeDocument/2006/relationships/hyperlink" Target="https://doi.org/10/f8646f" TargetMode="External"/><Relationship Id="rId1803" Type="http://schemas.openxmlformats.org/officeDocument/2006/relationships/hyperlink" Target="https://osf.io/sejyp" TargetMode="External"/><Relationship Id="rId1804" Type="http://schemas.openxmlformats.org/officeDocument/2006/relationships/hyperlink" Target="https://osf.io/8z2tm" TargetMode="External"/><Relationship Id="rId1805" Type="http://schemas.openxmlformats.org/officeDocument/2006/relationships/hyperlink" Target="https://doi.org/10/f8646f" TargetMode="External"/><Relationship Id="rId1806" Type="http://schemas.openxmlformats.org/officeDocument/2006/relationships/hyperlink" Target="https://doi.org/10/f8646f" TargetMode="External"/><Relationship Id="rId1807" Type="http://schemas.openxmlformats.org/officeDocument/2006/relationships/hyperlink" Target="https://osf.io/sejyp" TargetMode="External"/><Relationship Id="rId1808" Type="http://schemas.openxmlformats.org/officeDocument/2006/relationships/hyperlink" Target="https://doi.org/10/f9h49k" TargetMode="External"/><Relationship Id="rId1809" Type="http://schemas.openxmlformats.org/officeDocument/2006/relationships/hyperlink" Target="https://osf.io/sejyp" TargetMode="External"/><Relationship Id="rId1830" Type="http://schemas.openxmlformats.org/officeDocument/2006/relationships/hyperlink" Target="https://osf.io/sejyp" TargetMode="External"/><Relationship Id="rId1831" Type="http://schemas.openxmlformats.org/officeDocument/2006/relationships/hyperlink" Target="https://doi.org/10/crgh" TargetMode="External"/><Relationship Id="rId1832" Type="http://schemas.openxmlformats.org/officeDocument/2006/relationships/hyperlink" Target="https://osf.io/sejyp" TargetMode="External"/><Relationship Id="rId1833" Type="http://schemas.openxmlformats.org/officeDocument/2006/relationships/hyperlink" Target="https://aspredicted.org/ij46t.pdf" TargetMode="External"/><Relationship Id="rId1834" Type="http://schemas.openxmlformats.org/officeDocument/2006/relationships/hyperlink" Target="https://osf.io/kpvwg" TargetMode="External"/><Relationship Id="rId1835" Type="http://schemas.openxmlformats.org/officeDocument/2006/relationships/hyperlink" Target="https://doi.org/10/crgh" TargetMode="External"/><Relationship Id="rId1836" Type="http://schemas.openxmlformats.org/officeDocument/2006/relationships/hyperlink" Target="https://osf.io/sejyp" TargetMode="External"/><Relationship Id="rId1837" Type="http://schemas.openxmlformats.org/officeDocument/2006/relationships/hyperlink" Target="https://doi.org/10/gsv6xm" TargetMode="External"/><Relationship Id="rId1838" Type="http://schemas.openxmlformats.org/officeDocument/2006/relationships/hyperlink" Target="https://osf.io/sejyp" TargetMode="External"/><Relationship Id="rId1839" Type="http://schemas.openxmlformats.org/officeDocument/2006/relationships/hyperlink" Target="https://osf.io/4aqu7" TargetMode="External"/><Relationship Id="rId1820" Type="http://schemas.openxmlformats.org/officeDocument/2006/relationships/hyperlink" Target="https://osf.io/sejyp" TargetMode="External"/><Relationship Id="rId1821" Type="http://schemas.openxmlformats.org/officeDocument/2006/relationships/hyperlink" Target="https://osf.io/qfhe4/" TargetMode="External"/><Relationship Id="rId1822" Type="http://schemas.openxmlformats.org/officeDocument/2006/relationships/hyperlink" Target="https://osf.io/gq2fr" TargetMode="External"/><Relationship Id="rId1823" Type="http://schemas.openxmlformats.org/officeDocument/2006/relationships/hyperlink" Target="https://doi.org/10/gfqzv6" TargetMode="External"/><Relationship Id="rId1824" Type="http://schemas.openxmlformats.org/officeDocument/2006/relationships/hyperlink" Target="https://osf.io/sejyp" TargetMode="External"/><Relationship Id="rId1825" Type="http://schemas.openxmlformats.org/officeDocument/2006/relationships/hyperlink" Target="https://www.pnas.org/doi/suppl/10.1073/pnas.1610834113" TargetMode="External"/><Relationship Id="rId1826" Type="http://schemas.openxmlformats.org/officeDocument/2006/relationships/hyperlink" Target="https://doi.org/10/f9hmdp" TargetMode="External"/><Relationship Id="rId1827" Type="http://schemas.openxmlformats.org/officeDocument/2006/relationships/hyperlink" Target="https://osf.io/sejyp" TargetMode="External"/><Relationship Id="rId1828" Type="http://schemas.openxmlformats.org/officeDocument/2006/relationships/hyperlink" Target="https://osf.io/cyg6v" TargetMode="External"/><Relationship Id="rId1829" Type="http://schemas.openxmlformats.org/officeDocument/2006/relationships/hyperlink" Target="https://doi.org/10/f9hmdp" TargetMode="External"/><Relationship Id="rId2302" Type="http://schemas.openxmlformats.org/officeDocument/2006/relationships/hyperlink" Target="https://osf.io/kg2x5" TargetMode="External"/><Relationship Id="rId3634" Type="http://schemas.openxmlformats.org/officeDocument/2006/relationships/hyperlink" Target="https://osf.io/n7yc4" TargetMode="External"/><Relationship Id="rId2303" Type="http://schemas.openxmlformats.org/officeDocument/2006/relationships/hyperlink" Target="https://osf.io/jhn4g" TargetMode="External"/><Relationship Id="rId3633" Type="http://schemas.openxmlformats.org/officeDocument/2006/relationships/hyperlink" Target="https://osf.io/n7yc4" TargetMode="External"/><Relationship Id="rId2304" Type="http://schemas.openxmlformats.org/officeDocument/2006/relationships/hyperlink" Target="https://osf.io/7czwd" TargetMode="External"/><Relationship Id="rId3636" Type="http://schemas.openxmlformats.org/officeDocument/2006/relationships/hyperlink" Target="https://osf.io/tp4zg" TargetMode="External"/><Relationship Id="rId2305" Type="http://schemas.openxmlformats.org/officeDocument/2006/relationships/hyperlink" Target="https://osf.io/7czwd" TargetMode="External"/><Relationship Id="rId3635" Type="http://schemas.openxmlformats.org/officeDocument/2006/relationships/hyperlink" Target="https://osf.io/tp4zg" TargetMode="External"/><Relationship Id="rId2306" Type="http://schemas.openxmlformats.org/officeDocument/2006/relationships/hyperlink" Target="https://osf.io/nx6dr" TargetMode="External"/><Relationship Id="rId3638" Type="http://schemas.openxmlformats.org/officeDocument/2006/relationships/hyperlink" Target="https://osf.io/tp4zg" TargetMode="External"/><Relationship Id="rId2307" Type="http://schemas.openxmlformats.org/officeDocument/2006/relationships/hyperlink" Target="https://osf.io/nx6dr" TargetMode="External"/><Relationship Id="rId3637" Type="http://schemas.openxmlformats.org/officeDocument/2006/relationships/hyperlink" Target="https://osf.io/tp4zg" TargetMode="External"/><Relationship Id="rId2308" Type="http://schemas.openxmlformats.org/officeDocument/2006/relationships/hyperlink" Target="https://kops.uni-konstanz.de/server/api/core/bitstreams/f8cf3efc-7de6-49c4-8ff8-ce1e1a9b6892/content" TargetMode="External"/><Relationship Id="rId2309" Type="http://schemas.openxmlformats.org/officeDocument/2006/relationships/hyperlink" Target="https://osf.io/45vwm" TargetMode="External"/><Relationship Id="rId3639" Type="http://schemas.openxmlformats.org/officeDocument/2006/relationships/hyperlink" Target="https://osf.io/tp4zg" TargetMode="External"/><Relationship Id="rId3630" Type="http://schemas.openxmlformats.org/officeDocument/2006/relationships/hyperlink" Target="https://osf.io/q5mvd" TargetMode="External"/><Relationship Id="rId2300" Type="http://schemas.openxmlformats.org/officeDocument/2006/relationships/hyperlink" Target="https://osf.io/7bnfp" TargetMode="External"/><Relationship Id="rId3632" Type="http://schemas.openxmlformats.org/officeDocument/2006/relationships/hyperlink" Target="https://osf.io/q5mvd" TargetMode="External"/><Relationship Id="rId2301" Type="http://schemas.openxmlformats.org/officeDocument/2006/relationships/hyperlink" Target="https://osf.io/7bnfp" TargetMode="External"/><Relationship Id="rId3631" Type="http://schemas.openxmlformats.org/officeDocument/2006/relationships/hyperlink" Target="https://osf.io/q5mvd" TargetMode="External"/><Relationship Id="rId3623" Type="http://schemas.openxmlformats.org/officeDocument/2006/relationships/hyperlink" Target="https://osf.io/y2emk/" TargetMode="External"/><Relationship Id="rId3622" Type="http://schemas.openxmlformats.org/officeDocument/2006/relationships/hyperlink" Target="https://osf.io/y2emk/" TargetMode="External"/><Relationship Id="rId3625" Type="http://schemas.openxmlformats.org/officeDocument/2006/relationships/hyperlink" Target="https://osf.io/y2emk/" TargetMode="External"/><Relationship Id="rId3624" Type="http://schemas.openxmlformats.org/officeDocument/2006/relationships/hyperlink" Target="http://osf.io/y2emk" TargetMode="External"/><Relationship Id="rId3627" Type="http://schemas.openxmlformats.org/officeDocument/2006/relationships/hyperlink" Target="https://doi.org/10.1038/oby.2005.12" TargetMode="External"/><Relationship Id="rId3626" Type="http://schemas.openxmlformats.org/officeDocument/2006/relationships/hyperlink" Target="https://osf.io/y2emk" TargetMode="External"/><Relationship Id="rId3629" Type="http://schemas.openxmlformats.org/officeDocument/2006/relationships/hyperlink" Target="http://osf.io/ux42g" TargetMode="External"/><Relationship Id="rId3628" Type="http://schemas.openxmlformats.org/officeDocument/2006/relationships/hyperlink" Target="https://doi.org/10.1037/xge0001503" TargetMode="External"/><Relationship Id="rId3621" Type="http://schemas.openxmlformats.org/officeDocument/2006/relationships/hyperlink" Target="http://osf.io/y2emk" TargetMode="External"/><Relationship Id="rId3620" Type="http://schemas.openxmlformats.org/officeDocument/2006/relationships/hyperlink" Target="https://osf.io/rge23" TargetMode="External"/><Relationship Id="rId2324" Type="http://schemas.openxmlformats.org/officeDocument/2006/relationships/hyperlink" Target="https://osf.io/2kjgz" TargetMode="External"/><Relationship Id="rId3656" Type="http://schemas.openxmlformats.org/officeDocument/2006/relationships/hyperlink" Target="https://osf.io/uxe4h" TargetMode="External"/><Relationship Id="rId2325" Type="http://schemas.openxmlformats.org/officeDocument/2006/relationships/hyperlink" Target="https://osf.io/2r7nk" TargetMode="External"/><Relationship Id="rId3655" Type="http://schemas.openxmlformats.org/officeDocument/2006/relationships/hyperlink" Target="https://doi.org/10.1016/j.cognition.2009.02.001" TargetMode="External"/><Relationship Id="rId2326" Type="http://schemas.openxmlformats.org/officeDocument/2006/relationships/hyperlink" Target="https://doi.org/10.31234/osf.io/bgp3m" TargetMode="External"/><Relationship Id="rId3658" Type="http://schemas.openxmlformats.org/officeDocument/2006/relationships/hyperlink" Target="https://osf.io/uxe4h" TargetMode="External"/><Relationship Id="rId2327" Type="http://schemas.openxmlformats.org/officeDocument/2006/relationships/hyperlink" Target="https://osf.io/q6tv8" TargetMode="External"/><Relationship Id="rId3657" Type="http://schemas.openxmlformats.org/officeDocument/2006/relationships/hyperlink" Target="https://doi.org/10.1016/j.cognition.2009.02.001" TargetMode="External"/><Relationship Id="rId2328" Type="http://schemas.openxmlformats.org/officeDocument/2006/relationships/hyperlink" Target="https://osf.io/q6tv8" TargetMode="External"/><Relationship Id="rId2329" Type="http://schemas.openxmlformats.org/officeDocument/2006/relationships/hyperlink" Target="https://doi.org/10.31234/osf.io/bgp3m" TargetMode="External"/><Relationship Id="rId3659" Type="http://schemas.openxmlformats.org/officeDocument/2006/relationships/hyperlink" Target="https://doi.org/10.1037/0096-3445.135.4.641" TargetMode="External"/><Relationship Id="rId3650" Type="http://schemas.openxmlformats.org/officeDocument/2006/relationships/hyperlink" Target="https://osf.io/uwzsb/" TargetMode="External"/><Relationship Id="rId2320" Type="http://schemas.openxmlformats.org/officeDocument/2006/relationships/hyperlink" Target="https://osf.io/zdw87" TargetMode="External"/><Relationship Id="rId3652" Type="http://schemas.openxmlformats.org/officeDocument/2006/relationships/hyperlink" Target="https://osf.io/c8wek/" TargetMode="External"/><Relationship Id="rId2321" Type="http://schemas.openxmlformats.org/officeDocument/2006/relationships/hyperlink" Target="https://osf.io/t75e3" TargetMode="External"/><Relationship Id="rId3651" Type="http://schemas.openxmlformats.org/officeDocument/2006/relationships/hyperlink" Target="https://www.sciencedirect.com/science/article/pii/S0001691822000129" TargetMode="External"/><Relationship Id="rId2322" Type="http://schemas.openxmlformats.org/officeDocument/2006/relationships/hyperlink" Target="https://osf.io/t75e3" TargetMode="External"/><Relationship Id="rId3654" Type="http://schemas.openxmlformats.org/officeDocument/2006/relationships/hyperlink" Target="https://osf.io/fb8fj/" TargetMode="External"/><Relationship Id="rId2323" Type="http://schemas.openxmlformats.org/officeDocument/2006/relationships/hyperlink" Target="https://osf.io/2kjgz" TargetMode="External"/><Relationship Id="rId3653" Type="http://schemas.openxmlformats.org/officeDocument/2006/relationships/hyperlink" Target="https://osf.io/fb8fj/" TargetMode="External"/><Relationship Id="rId2313" Type="http://schemas.openxmlformats.org/officeDocument/2006/relationships/hyperlink" Target="https://osf.io/3uw96" TargetMode="External"/><Relationship Id="rId3645" Type="http://schemas.openxmlformats.org/officeDocument/2006/relationships/hyperlink" Target="https://osf.io/9v5rd/" TargetMode="External"/><Relationship Id="rId2314" Type="http://schemas.openxmlformats.org/officeDocument/2006/relationships/hyperlink" Target="https://osf.io/cy9v4" TargetMode="External"/><Relationship Id="rId3644" Type="http://schemas.openxmlformats.org/officeDocument/2006/relationships/hyperlink" Target="https://osf.io/uwzsb/" TargetMode="External"/><Relationship Id="rId2315" Type="http://schemas.openxmlformats.org/officeDocument/2006/relationships/hyperlink" Target="http://www.communicationcache.com/uploads/1/0/8/8/10887248/self-regulation_and_selective_exposure-_the_impact_of_depleted_self-regulation_resources_on_confirmatory_information_processing.pdf" TargetMode="External"/><Relationship Id="rId3647" Type="http://schemas.openxmlformats.org/officeDocument/2006/relationships/hyperlink" Target="https://osf.io/uwzsb/" TargetMode="External"/><Relationship Id="rId2316" Type="http://schemas.openxmlformats.org/officeDocument/2006/relationships/hyperlink" Target="https://osf.io/e35y2" TargetMode="External"/><Relationship Id="rId3646" Type="http://schemas.openxmlformats.org/officeDocument/2006/relationships/hyperlink" Target="https://osf.io/9p34m/" TargetMode="External"/><Relationship Id="rId2317" Type="http://schemas.openxmlformats.org/officeDocument/2006/relationships/hyperlink" Target="https://osf.io/pktma" TargetMode="External"/><Relationship Id="rId3649" Type="http://schemas.openxmlformats.org/officeDocument/2006/relationships/hyperlink" Target="https://osf.io/uwzsb/" TargetMode="External"/><Relationship Id="rId2318" Type="http://schemas.openxmlformats.org/officeDocument/2006/relationships/hyperlink" Target="https://osf.io/pktma" TargetMode="External"/><Relationship Id="rId3648" Type="http://schemas.openxmlformats.org/officeDocument/2006/relationships/hyperlink" Target="https://osf.io/qtr9z/" TargetMode="External"/><Relationship Id="rId2319" Type="http://schemas.openxmlformats.org/officeDocument/2006/relationships/hyperlink" Target="https://osf.io/zdw87" TargetMode="External"/><Relationship Id="rId3641" Type="http://schemas.openxmlformats.org/officeDocument/2006/relationships/hyperlink" Target="https://osf.io/nxrg7" TargetMode="External"/><Relationship Id="rId2310" Type="http://schemas.openxmlformats.org/officeDocument/2006/relationships/hyperlink" Target="https://osf.io/45vwm" TargetMode="External"/><Relationship Id="rId3640" Type="http://schemas.openxmlformats.org/officeDocument/2006/relationships/hyperlink" Target="https://osf.io/xqc35" TargetMode="External"/><Relationship Id="rId2311" Type="http://schemas.openxmlformats.org/officeDocument/2006/relationships/hyperlink" Target="https://osf.io/3m7qw" TargetMode="External"/><Relationship Id="rId3643" Type="http://schemas.openxmlformats.org/officeDocument/2006/relationships/hyperlink" Target="https://osf.io/7kj84" TargetMode="External"/><Relationship Id="rId2312" Type="http://schemas.openxmlformats.org/officeDocument/2006/relationships/hyperlink" Target="https://osf.io/3m7qw" TargetMode="External"/><Relationship Id="rId3642" Type="http://schemas.openxmlformats.org/officeDocument/2006/relationships/hyperlink" Target="https://osf.io/uwzsb" TargetMode="External"/><Relationship Id="rId1895" Type="http://schemas.openxmlformats.org/officeDocument/2006/relationships/hyperlink" Target="https://osf.io/j8a4p" TargetMode="External"/><Relationship Id="rId1896" Type="http://schemas.openxmlformats.org/officeDocument/2006/relationships/hyperlink" Target="https://osf.io/j8a4p" TargetMode="External"/><Relationship Id="rId1897" Type="http://schemas.openxmlformats.org/officeDocument/2006/relationships/hyperlink" Target="https://osf.io/x9tq5" TargetMode="External"/><Relationship Id="rId1898" Type="http://schemas.openxmlformats.org/officeDocument/2006/relationships/hyperlink" Target="https://doi.org/10.17605/OSF.IO/J8A4P" TargetMode="External"/><Relationship Id="rId1899" Type="http://schemas.openxmlformats.org/officeDocument/2006/relationships/hyperlink" Target="https://doi.org/10.17605/OSF.IO/J8A4P" TargetMode="External"/><Relationship Id="rId1890" Type="http://schemas.openxmlformats.org/officeDocument/2006/relationships/hyperlink" Target="https://osf.io/j8a4p" TargetMode="External"/><Relationship Id="rId1891" Type="http://schemas.openxmlformats.org/officeDocument/2006/relationships/hyperlink" Target="https://osf.io/j8a4p" TargetMode="External"/><Relationship Id="rId1892" Type="http://schemas.openxmlformats.org/officeDocument/2006/relationships/hyperlink" Target="https://osf.io/x9tq5" TargetMode="External"/><Relationship Id="rId1893" Type="http://schemas.openxmlformats.org/officeDocument/2006/relationships/hyperlink" Target="https://doi.org/10.17605/OSF.IO/J8A4P" TargetMode="External"/><Relationship Id="rId1894" Type="http://schemas.openxmlformats.org/officeDocument/2006/relationships/hyperlink" Target="https://doi.org/10.17605/OSF.IO/J8A4P" TargetMode="External"/><Relationship Id="rId1884" Type="http://schemas.openxmlformats.org/officeDocument/2006/relationships/hyperlink" Target="https://doi.org/10.17605/OSF.IO/J8A4P" TargetMode="External"/><Relationship Id="rId1885" Type="http://schemas.openxmlformats.org/officeDocument/2006/relationships/hyperlink" Target="https://osf.io/j8a4p" TargetMode="External"/><Relationship Id="rId1886" Type="http://schemas.openxmlformats.org/officeDocument/2006/relationships/hyperlink" Target="https://osf.io/j8a4p" TargetMode="External"/><Relationship Id="rId1887" Type="http://schemas.openxmlformats.org/officeDocument/2006/relationships/hyperlink" Target="https://osf.io/x9tq5" TargetMode="External"/><Relationship Id="rId1888" Type="http://schemas.openxmlformats.org/officeDocument/2006/relationships/hyperlink" Target="https://doi.org/10.17605/OSF.IO/J8A4P" TargetMode="External"/><Relationship Id="rId1889" Type="http://schemas.openxmlformats.org/officeDocument/2006/relationships/hyperlink" Target="https://doi.org/10.17605/OSF.IO/J8A4P" TargetMode="External"/><Relationship Id="rId1880" Type="http://schemas.openxmlformats.org/officeDocument/2006/relationships/hyperlink" Target="https://osf.io/j8a4p" TargetMode="External"/><Relationship Id="rId1881" Type="http://schemas.openxmlformats.org/officeDocument/2006/relationships/hyperlink" Target="https://osf.io/j8a4p" TargetMode="External"/><Relationship Id="rId1882" Type="http://schemas.openxmlformats.org/officeDocument/2006/relationships/hyperlink" Target="https://osf.io/x9tq5" TargetMode="External"/><Relationship Id="rId1883" Type="http://schemas.openxmlformats.org/officeDocument/2006/relationships/hyperlink" Target="https://doi.org/10.17605/OSF.IO/J8A4P" TargetMode="External"/><Relationship Id="rId3612" Type="http://schemas.openxmlformats.org/officeDocument/2006/relationships/hyperlink" Target="https://osf.io/rge23" TargetMode="External"/><Relationship Id="rId3611" Type="http://schemas.openxmlformats.org/officeDocument/2006/relationships/hyperlink" Target="https://doi.org/10.17605/OSF.IO/RGE23" TargetMode="External"/><Relationship Id="rId3614" Type="http://schemas.openxmlformats.org/officeDocument/2006/relationships/hyperlink" Target="https://osf.io/rge23" TargetMode="External"/><Relationship Id="rId3613" Type="http://schemas.openxmlformats.org/officeDocument/2006/relationships/hyperlink" Target="https://doi.org/10.17605/OSF.IO/RGE23" TargetMode="External"/><Relationship Id="rId3616" Type="http://schemas.openxmlformats.org/officeDocument/2006/relationships/hyperlink" Target="https://osf.io/rge23" TargetMode="External"/><Relationship Id="rId3615" Type="http://schemas.openxmlformats.org/officeDocument/2006/relationships/hyperlink" Target="https://doi.org/10.17605/OSF.IO/RGE23" TargetMode="External"/><Relationship Id="rId3618" Type="http://schemas.openxmlformats.org/officeDocument/2006/relationships/hyperlink" Target="https://osf.io/rge23" TargetMode="External"/><Relationship Id="rId3617" Type="http://schemas.openxmlformats.org/officeDocument/2006/relationships/hyperlink" Target="https://doi.org/10.17605/OSF.IO/RGE23" TargetMode="External"/><Relationship Id="rId3619" Type="http://schemas.openxmlformats.org/officeDocument/2006/relationships/hyperlink" Target="https://doi.org/10.17605/OSF.IO/RGE23" TargetMode="External"/><Relationship Id="rId3610" Type="http://schemas.openxmlformats.org/officeDocument/2006/relationships/hyperlink" Target="https://osf.io/6ua4s" TargetMode="External"/><Relationship Id="rId3601" Type="http://schemas.openxmlformats.org/officeDocument/2006/relationships/hyperlink" Target="https://osf.io/fdrn6/" TargetMode="External"/><Relationship Id="rId3600" Type="http://schemas.openxmlformats.org/officeDocument/2006/relationships/hyperlink" Target="https://osf.io/fdrn6/" TargetMode="External"/><Relationship Id="rId3603" Type="http://schemas.openxmlformats.org/officeDocument/2006/relationships/hyperlink" Target="https://osf.io/fdrn6/" TargetMode="External"/><Relationship Id="rId3602" Type="http://schemas.openxmlformats.org/officeDocument/2006/relationships/hyperlink" Target="https://osf.io/fdrn6/" TargetMode="External"/><Relationship Id="rId3605" Type="http://schemas.openxmlformats.org/officeDocument/2006/relationships/hyperlink" Target="https://doi.org/10.17605/OSF.IO/RGE23" TargetMode="External"/><Relationship Id="rId3604" Type="http://schemas.openxmlformats.org/officeDocument/2006/relationships/hyperlink" Target="https://osf.io/52wpj" TargetMode="External"/><Relationship Id="rId3607" Type="http://schemas.openxmlformats.org/officeDocument/2006/relationships/hyperlink" Target="https://doi.org/10.17605/OSF.IO/RGE23" TargetMode="External"/><Relationship Id="rId3606" Type="http://schemas.openxmlformats.org/officeDocument/2006/relationships/hyperlink" Target="https://osf.io/akfzh" TargetMode="External"/><Relationship Id="rId3609" Type="http://schemas.openxmlformats.org/officeDocument/2006/relationships/hyperlink" Target="https://doi.org/10.17605/OSF.IO/RGE23" TargetMode="External"/><Relationship Id="rId3608" Type="http://schemas.openxmlformats.org/officeDocument/2006/relationships/hyperlink" Target="https://osf.io/6ua4s" TargetMode="External"/><Relationship Id="rId1059" Type="http://schemas.openxmlformats.org/officeDocument/2006/relationships/hyperlink" Target="https://rstudio-pubs-static.s3.amazonaws.com/426870_bb10c991135648a19be27ad27cb36a15.html" TargetMode="External"/><Relationship Id="rId228" Type="http://schemas.openxmlformats.org/officeDocument/2006/relationships/hyperlink" Target="https://thekeep.eiu.edu/theses/5025?utm_source=thekeep.eiu.edu%2Ftheses%2F5025&amp;utm_medium=PDF&amp;utm_campaign=PDFCoverPages" TargetMode="External"/><Relationship Id="rId227" Type="http://schemas.openxmlformats.org/officeDocument/2006/relationships/hyperlink" Target="https://thekeep.eiu.edu/theses/4783" TargetMode="External"/><Relationship Id="rId226" Type="http://schemas.openxmlformats.org/officeDocument/2006/relationships/hyperlink" Target="https://thekeep.eiu.edu/theses/5025/?utm_source=thekeep.eiu.edu%2Ftheses%2F5025&amp;utm_medium=PDF&amp;utm_campaign=PDFCoverPages" TargetMode="External"/><Relationship Id="rId225" Type="http://schemas.openxmlformats.org/officeDocument/2006/relationships/hyperlink" Target="http://thekeep.eiu.edu/theses/5025" TargetMode="External"/><Relationship Id="rId2380" Type="http://schemas.openxmlformats.org/officeDocument/2006/relationships/hyperlink" Target="https://osf.io/9bf3s" TargetMode="External"/><Relationship Id="rId229" Type="http://schemas.openxmlformats.org/officeDocument/2006/relationships/hyperlink" Target="http://thekeep.eiu.edu/theses/5025" TargetMode="External"/><Relationship Id="rId1050" Type="http://schemas.openxmlformats.org/officeDocument/2006/relationships/hyperlink" Target="https://github.com/StanfordPsych254/Tribushinina2011/blob/master/writeup/Replication-Report.html" TargetMode="External"/><Relationship Id="rId2381" Type="http://schemas.openxmlformats.org/officeDocument/2006/relationships/hyperlink" Target="https://doi.org/10.1038/s41598-017-10669-4" TargetMode="External"/><Relationship Id="rId220" Type="http://schemas.openxmlformats.org/officeDocument/2006/relationships/hyperlink" Target="https://thekeep.eiu.edu/theses/5025?utm_source=thekeep.eiu.edu%2Ftheses%2F5025&amp;utm_medium=PDF&amp;utm_campaign=PDFCoverPages" TargetMode="External"/><Relationship Id="rId1051" Type="http://schemas.openxmlformats.org/officeDocument/2006/relationships/hyperlink" Target="https://github.com/StanfordPsych254/Tribushinina2011/blob/master/writeup/Replication-Report.html" TargetMode="External"/><Relationship Id="rId2382" Type="http://schemas.openxmlformats.org/officeDocument/2006/relationships/hyperlink" Target="https://doi.org/10.1098/rsos.210641" TargetMode="External"/><Relationship Id="rId1052" Type="http://schemas.openxmlformats.org/officeDocument/2006/relationships/hyperlink" Target="https://github.com/StanfordPsych254/Tribushinina2011/blob/master/writeup/Replication-Report.html" TargetMode="External"/><Relationship Id="rId2383" Type="http://schemas.openxmlformats.org/officeDocument/2006/relationships/hyperlink" Target="https://osf.io/9bf3s" TargetMode="External"/><Relationship Id="rId1053" Type="http://schemas.openxmlformats.org/officeDocument/2006/relationships/hyperlink" Target="https://osf.io/3xcq7" TargetMode="External"/><Relationship Id="rId2384" Type="http://schemas.openxmlformats.org/officeDocument/2006/relationships/hyperlink" Target="https://osf.io/dxb5n" TargetMode="External"/><Relationship Id="rId1054" Type="http://schemas.openxmlformats.org/officeDocument/2006/relationships/hyperlink" Target="https://rstudio-pubs-static.s3.amazonaws.com/426870_bb10c991135648a19be27ad27cb36a15.html" TargetMode="External"/><Relationship Id="rId2385" Type="http://schemas.openxmlformats.org/officeDocument/2006/relationships/hyperlink" Target="https://osf.io/dxb5n" TargetMode="External"/><Relationship Id="rId224" Type="http://schemas.openxmlformats.org/officeDocument/2006/relationships/hyperlink" Target="https://thekeep.eiu.edu/theses/5025?utm_source=thekeep.eiu.edu%2Ftheses%2F5025&amp;utm_medium=PDF&amp;utm_campaign=PDFCoverPages" TargetMode="External"/><Relationship Id="rId1055" Type="http://schemas.openxmlformats.org/officeDocument/2006/relationships/hyperlink" Target="https://rstudio-pubs-static.s3.amazonaws.com/426870_bb10c991135648a19be27ad27cb36a15.html" TargetMode="External"/><Relationship Id="rId2386" Type="http://schemas.openxmlformats.org/officeDocument/2006/relationships/hyperlink" Target="https://osf.io/dxb5n" TargetMode="External"/><Relationship Id="rId223" Type="http://schemas.openxmlformats.org/officeDocument/2006/relationships/hyperlink" Target="https://thekeep.eiu.edu/theses/4783" TargetMode="External"/><Relationship Id="rId1056" Type="http://schemas.openxmlformats.org/officeDocument/2006/relationships/hyperlink" Target="https://aspredicted.org/public/205223581.pdf" TargetMode="External"/><Relationship Id="rId2387" Type="http://schemas.openxmlformats.org/officeDocument/2006/relationships/hyperlink" Target="https://osf.io/dxb5n" TargetMode="External"/><Relationship Id="rId222" Type="http://schemas.openxmlformats.org/officeDocument/2006/relationships/hyperlink" Target="https://thekeep.eiu.edu/theses/5025/?utm_source=thekeep.eiu.edu%2Ftheses%2F5025&amp;utm_medium=PDF&amp;utm_campaign=PDFCoverPages" TargetMode="External"/><Relationship Id="rId1057" Type="http://schemas.openxmlformats.org/officeDocument/2006/relationships/hyperlink" Target="https://osf.io/3xcq7" TargetMode="External"/><Relationship Id="rId2388" Type="http://schemas.openxmlformats.org/officeDocument/2006/relationships/hyperlink" Target="https://osf.io/dxb5n" TargetMode="External"/><Relationship Id="rId221" Type="http://schemas.openxmlformats.org/officeDocument/2006/relationships/hyperlink" Target="http://thekeep.eiu.edu/theses/5025" TargetMode="External"/><Relationship Id="rId1058" Type="http://schemas.openxmlformats.org/officeDocument/2006/relationships/hyperlink" Target="https://rstudio-pubs-static.s3.amazonaws.com/426870_bb10c991135648a19be27ad27cb36a15.html" TargetMode="External"/><Relationship Id="rId2389" Type="http://schemas.openxmlformats.org/officeDocument/2006/relationships/hyperlink" Target="mailto:sarahashjones@gmail.com" TargetMode="External"/><Relationship Id="rId1048" Type="http://schemas.openxmlformats.org/officeDocument/2006/relationships/hyperlink" Target="https://github.com/StanfordPsych254/Tribushinina2011/blob/master/writeup/Replication-Report.html" TargetMode="External"/><Relationship Id="rId2379" Type="http://schemas.openxmlformats.org/officeDocument/2006/relationships/hyperlink" Target="https://osf.io/9bf3s" TargetMode="External"/><Relationship Id="rId1049" Type="http://schemas.openxmlformats.org/officeDocument/2006/relationships/hyperlink" Target="https://github.com/vboyce/251-254-MA/blob/main/data/processed_data.csv" TargetMode="External"/><Relationship Id="rId217" Type="http://schemas.openxmlformats.org/officeDocument/2006/relationships/hyperlink" Target="http://thekeep.eiu.edu/theses/5025" TargetMode="External"/><Relationship Id="rId216" Type="http://schemas.openxmlformats.org/officeDocument/2006/relationships/hyperlink" Target="https://thekeep.eiu.edu/theses/5025?utm_source=thekeep.eiu.edu%2Ftheses%2F5025&amp;utm_medium=PDF&amp;utm_campaign=PDFCoverPages" TargetMode="External"/><Relationship Id="rId215" Type="http://schemas.openxmlformats.org/officeDocument/2006/relationships/hyperlink" Target="https://thekeep.eiu.edu/theses/4783" TargetMode="External"/><Relationship Id="rId214" Type="http://schemas.openxmlformats.org/officeDocument/2006/relationships/hyperlink" Target="https://thekeep.eiu.edu/theses/5025/?utm_source=thekeep.eiu.edu%2Ftheses%2F5025&amp;utm_medium=PDF&amp;utm_campaign=PDFCoverPages" TargetMode="External"/><Relationship Id="rId219" Type="http://schemas.openxmlformats.org/officeDocument/2006/relationships/hyperlink" Target="https://thekeep.eiu.edu/theses/4783" TargetMode="External"/><Relationship Id="rId218" Type="http://schemas.openxmlformats.org/officeDocument/2006/relationships/hyperlink" Target="https://thekeep.eiu.edu/theses/5025/?utm_source=thekeep.eiu.edu%2Ftheses%2F5025&amp;utm_medium=PDF&amp;utm_campaign=PDFCoverPages" TargetMode="External"/><Relationship Id="rId2370" Type="http://schemas.openxmlformats.org/officeDocument/2006/relationships/hyperlink" Target="https://osf.io/8nzfm/wiki/home/" TargetMode="External"/><Relationship Id="rId1040" Type="http://schemas.openxmlformats.org/officeDocument/2006/relationships/hyperlink" Target="https://rpubs.com/mateusmazza/project_report_pilotB" TargetMode="External"/><Relationship Id="rId2371" Type="http://schemas.openxmlformats.org/officeDocument/2006/relationships/hyperlink" Target="https://osf.io/2dqxv" TargetMode="External"/><Relationship Id="rId1041" Type="http://schemas.openxmlformats.org/officeDocument/2006/relationships/hyperlink" Target="https://rpubs.com/mateusmazza/project_report_pilotB" TargetMode="External"/><Relationship Id="rId2372" Type="http://schemas.openxmlformats.org/officeDocument/2006/relationships/hyperlink" Target="https://osf.io/9bf3s" TargetMode="External"/><Relationship Id="rId1042" Type="http://schemas.openxmlformats.org/officeDocument/2006/relationships/hyperlink" Target="https://rpubs.com/klsanch/pilotAwriteup" TargetMode="External"/><Relationship Id="rId2373" Type="http://schemas.openxmlformats.org/officeDocument/2006/relationships/hyperlink" Target="https://doi.org/10.1038/s41598-017-10669-4" TargetMode="External"/><Relationship Id="rId1043" Type="http://schemas.openxmlformats.org/officeDocument/2006/relationships/hyperlink" Target="https://rpubs.com/klsanch/pilotAwriteup" TargetMode="External"/><Relationship Id="rId2374" Type="http://schemas.openxmlformats.org/officeDocument/2006/relationships/hyperlink" Target="https://doi.org/10.1098/rsos.210641" TargetMode="External"/><Relationship Id="rId213" Type="http://schemas.openxmlformats.org/officeDocument/2006/relationships/hyperlink" Target="http://thekeep.eiu.edu/theses/5025" TargetMode="External"/><Relationship Id="rId1044" Type="http://schemas.openxmlformats.org/officeDocument/2006/relationships/hyperlink" Target="https://rpubs.com/klsanch/pilotAwriteup" TargetMode="External"/><Relationship Id="rId2375" Type="http://schemas.openxmlformats.org/officeDocument/2006/relationships/hyperlink" Target="https://osf.io/9bf3s" TargetMode="External"/><Relationship Id="rId212" Type="http://schemas.openxmlformats.org/officeDocument/2006/relationships/hyperlink" Target="https://thekeep.eiu.edu/theses/5025?utm_source=thekeep.eiu.edu%2Ftheses%2F5025&amp;utm_medium=PDF&amp;utm_campaign=PDFCoverPages" TargetMode="External"/><Relationship Id="rId1045" Type="http://schemas.openxmlformats.org/officeDocument/2006/relationships/hyperlink" Target="https://github.com/StanfordPsych254/Tribushinina2011/blob/master/writeup/Replication-Report.html" TargetMode="External"/><Relationship Id="rId2376" Type="http://schemas.openxmlformats.org/officeDocument/2006/relationships/hyperlink" Target="https://osf.io/9bf3s" TargetMode="External"/><Relationship Id="rId211" Type="http://schemas.openxmlformats.org/officeDocument/2006/relationships/hyperlink" Target="https://thekeep.eiu.edu/theses/4783" TargetMode="External"/><Relationship Id="rId1046" Type="http://schemas.openxmlformats.org/officeDocument/2006/relationships/hyperlink" Target="https://github.com/vboyce/251-254-MA/blob/main/data/processed_data.csv" TargetMode="External"/><Relationship Id="rId2377" Type="http://schemas.openxmlformats.org/officeDocument/2006/relationships/hyperlink" Target="https://doi.org/10.1038/s41598-017-10669-4" TargetMode="External"/><Relationship Id="rId210" Type="http://schemas.openxmlformats.org/officeDocument/2006/relationships/hyperlink" Target="https://thekeep.eiu.edu/theses/5025/?utm_source=thekeep.eiu.edu%2Ftheses%2F5025&amp;utm_medium=PDF&amp;utm_campaign=PDFCoverPages" TargetMode="External"/><Relationship Id="rId1047" Type="http://schemas.openxmlformats.org/officeDocument/2006/relationships/hyperlink" Target="https://github.com/StanfordPsych254/Tribushinina2011/blob/master/writeup/Replication-Report.html" TargetMode="External"/><Relationship Id="rId2378" Type="http://schemas.openxmlformats.org/officeDocument/2006/relationships/hyperlink" Target="https://doi.org/10.1098/rsos.210641" TargetMode="External"/><Relationship Id="rId249" Type="http://schemas.openxmlformats.org/officeDocument/2006/relationships/hyperlink" Target="https://doi.org/10.1002/pam.21702" TargetMode="External"/><Relationship Id="rId248" Type="http://schemas.openxmlformats.org/officeDocument/2006/relationships/hyperlink" Target="https://aspredicted.org/slogin.php?s=AhaPdyHcZf" TargetMode="External"/><Relationship Id="rId247" Type="http://schemas.openxmlformats.org/officeDocument/2006/relationships/hyperlink" Target="https://onlinelibrary.wiley.com/doi/pdf/10.1111/padm.12860" TargetMode="External"/><Relationship Id="rId1070" Type="http://schemas.openxmlformats.org/officeDocument/2006/relationships/hyperlink" Target="https://rpubs.com/ayl888/695975" TargetMode="External"/><Relationship Id="rId1071" Type="http://schemas.openxmlformats.org/officeDocument/2006/relationships/hyperlink" Target="https://rpubs.com/ayl888/695975" TargetMode="External"/><Relationship Id="rId1072" Type="http://schemas.openxmlformats.org/officeDocument/2006/relationships/hyperlink" Target="http://doi.org/10.1007/s13164-018-0400-9" TargetMode="External"/><Relationship Id="rId242" Type="http://schemas.openxmlformats.org/officeDocument/2006/relationships/hyperlink" Target="https://onlinelibrary.wiley.com/doi/pdf/10.1111/padm.12860" TargetMode="External"/><Relationship Id="rId1073" Type="http://schemas.openxmlformats.org/officeDocument/2006/relationships/hyperlink" Target="https://osf.io/4ewkh" TargetMode="External"/><Relationship Id="rId241" Type="http://schemas.openxmlformats.org/officeDocument/2006/relationships/hyperlink" Target="https://aspredicted.org/slogin.php?s=AhaPdyHcZf" TargetMode="External"/><Relationship Id="rId1074" Type="http://schemas.openxmlformats.org/officeDocument/2006/relationships/hyperlink" Target="https://rpubs.com/ayl888/695975" TargetMode="External"/><Relationship Id="rId240" Type="http://schemas.openxmlformats.org/officeDocument/2006/relationships/hyperlink" Target="https://doi.org/10.1111/padm.12860" TargetMode="External"/><Relationship Id="rId1075" Type="http://schemas.openxmlformats.org/officeDocument/2006/relationships/hyperlink" Target="https://rpubs.com/ayl888/695975" TargetMode="External"/><Relationship Id="rId1076" Type="http://schemas.openxmlformats.org/officeDocument/2006/relationships/hyperlink" Target="https://rstudio-pubs-static.s3.amazonaws.com/692885_b2ccf160054344dd86468e0fc9cc6e68.html" TargetMode="External"/><Relationship Id="rId246" Type="http://schemas.openxmlformats.org/officeDocument/2006/relationships/hyperlink" Target="https://aspredicted.org/slogin.php?s=AhaPdyHcZf" TargetMode="External"/><Relationship Id="rId1077" Type="http://schemas.openxmlformats.org/officeDocument/2006/relationships/hyperlink" Target="https://rpubs.com/ayl888/695975" TargetMode="External"/><Relationship Id="rId245" Type="http://schemas.openxmlformats.org/officeDocument/2006/relationships/hyperlink" Target="https://doi.org/10.1111/padm.12860" TargetMode="External"/><Relationship Id="rId1078" Type="http://schemas.openxmlformats.org/officeDocument/2006/relationships/hyperlink" Target="https://rpubs.com/ayl888/695975" TargetMode="External"/><Relationship Id="rId244" Type="http://schemas.openxmlformats.org/officeDocument/2006/relationships/hyperlink" Target="https://aspredicted.org/slogin.php?s=AhaPdyHcZf" TargetMode="External"/><Relationship Id="rId1079" Type="http://schemas.openxmlformats.org/officeDocument/2006/relationships/hyperlink" Target="http://doi.org/10.1007/s13164-018-0400-9" TargetMode="External"/><Relationship Id="rId243" Type="http://schemas.openxmlformats.org/officeDocument/2006/relationships/hyperlink" Target="https://aspredicted.org/slogin.php?s=AhaPdyHcZf" TargetMode="External"/><Relationship Id="rId239" Type="http://schemas.openxmlformats.org/officeDocument/2006/relationships/hyperlink" Target="https://doi.org/10.1002/pam.21702" TargetMode="External"/><Relationship Id="rId238" Type="http://schemas.openxmlformats.org/officeDocument/2006/relationships/hyperlink" Target="https://thekeep.eiu.edu/theses/5025/?utm_source=thekeep.eiu.edu%2Ftheses%2F5025&amp;utm_medium=PDF&amp;utm_campaign=PDFCoverPages" TargetMode="External"/><Relationship Id="rId237" Type="http://schemas.openxmlformats.org/officeDocument/2006/relationships/hyperlink" Target="http://thekeep.eiu.edu/theses/5025" TargetMode="External"/><Relationship Id="rId236" Type="http://schemas.openxmlformats.org/officeDocument/2006/relationships/hyperlink" Target="https://thekeep.eiu.edu/theses/5025?utm_source=thekeep.eiu.edu%2Ftheses%2F5025&amp;utm_medium=PDF&amp;utm_campaign=PDFCoverPages" TargetMode="External"/><Relationship Id="rId2390" Type="http://schemas.openxmlformats.org/officeDocument/2006/relationships/hyperlink" Target="https://doi.org/10.17605/OSF.IO/U6ZW9" TargetMode="External"/><Relationship Id="rId1060" Type="http://schemas.openxmlformats.org/officeDocument/2006/relationships/hyperlink" Target="https://osf.io/v6zk8" TargetMode="External"/><Relationship Id="rId2391" Type="http://schemas.openxmlformats.org/officeDocument/2006/relationships/hyperlink" Target="mailto:sarahashjones@gmail.com" TargetMode="External"/><Relationship Id="rId1061" Type="http://schemas.openxmlformats.org/officeDocument/2006/relationships/hyperlink" Target="https://github.com/vboyce/251-254-MA/blob/main/data/processed_data.csv" TargetMode="External"/><Relationship Id="rId2392" Type="http://schemas.openxmlformats.org/officeDocument/2006/relationships/hyperlink" Target="https://doi.org/10.17605/OSF.IO/U6ZW9" TargetMode="External"/><Relationship Id="rId231" Type="http://schemas.openxmlformats.org/officeDocument/2006/relationships/hyperlink" Target="https://thekeep.eiu.edu/theses/4783" TargetMode="External"/><Relationship Id="rId1062" Type="http://schemas.openxmlformats.org/officeDocument/2006/relationships/hyperlink" Target="https://osf.io/v6zk8" TargetMode="External"/><Relationship Id="rId2393" Type="http://schemas.openxmlformats.org/officeDocument/2006/relationships/hyperlink" Target="https://doi.org/10.17605/OSF.IO/U6ZW9" TargetMode="External"/><Relationship Id="rId230" Type="http://schemas.openxmlformats.org/officeDocument/2006/relationships/hyperlink" Target="https://thekeep.eiu.edu/theses/5025/?utm_source=thekeep.eiu.edu%2Ftheses%2F5025&amp;utm_medium=PDF&amp;utm_campaign=PDFCoverPages" TargetMode="External"/><Relationship Id="rId1063" Type="http://schemas.openxmlformats.org/officeDocument/2006/relationships/hyperlink" Target="https://github.com/vboyce/251-254-MA/blob/main/data/processed_data.csv" TargetMode="External"/><Relationship Id="rId2394" Type="http://schemas.openxmlformats.org/officeDocument/2006/relationships/hyperlink" Target="https://doi.org/10.17605/OSF.IO/U6ZW9" TargetMode="External"/><Relationship Id="rId1064" Type="http://schemas.openxmlformats.org/officeDocument/2006/relationships/hyperlink" Target="https://osf.io/v6zk8" TargetMode="External"/><Relationship Id="rId2395" Type="http://schemas.openxmlformats.org/officeDocument/2006/relationships/hyperlink" Target="https://doi.org/10.17605/OSF.IO/U6ZW9" TargetMode="External"/><Relationship Id="rId1065" Type="http://schemas.openxmlformats.org/officeDocument/2006/relationships/hyperlink" Target="https://rpubs.com/catherinecthomas/final_replication" TargetMode="External"/><Relationship Id="rId2396" Type="http://schemas.openxmlformats.org/officeDocument/2006/relationships/hyperlink" Target="https://doi.org/10.17605/OSF.IO/U6ZW9" TargetMode="External"/><Relationship Id="rId235" Type="http://schemas.openxmlformats.org/officeDocument/2006/relationships/hyperlink" Target="https://thekeep.eiu.edu/theses/4783" TargetMode="External"/><Relationship Id="rId1066" Type="http://schemas.openxmlformats.org/officeDocument/2006/relationships/hyperlink" Target="https://rstudio-pubs-static.s3.amazonaws.com/692885_b2ccf160054344dd86468e0fc9cc6e68.html" TargetMode="External"/><Relationship Id="rId2397" Type="http://schemas.openxmlformats.org/officeDocument/2006/relationships/hyperlink" Target="https://doi.org/10.17605/OSF.IO/U6ZW9" TargetMode="External"/><Relationship Id="rId234" Type="http://schemas.openxmlformats.org/officeDocument/2006/relationships/hyperlink" Target="https://thekeep.eiu.edu/theses/5025/?utm_source=thekeep.eiu.edu%2Ftheses%2F5025&amp;utm_medium=PDF&amp;utm_campaign=PDFCoverPages" TargetMode="External"/><Relationship Id="rId1067" Type="http://schemas.openxmlformats.org/officeDocument/2006/relationships/hyperlink" Target="https://rpubs.com/ayl888/695975" TargetMode="External"/><Relationship Id="rId2398" Type="http://schemas.openxmlformats.org/officeDocument/2006/relationships/hyperlink" Target="mailto:sarahashjones@gmail.com" TargetMode="External"/><Relationship Id="rId233" Type="http://schemas.openxmlformats.org/officeDocument/2006/relationships/hyperlink" Target="http://thekeep.eiu.edu/theses/5025" TargetMode="External"/><Relationship Id="rId1068" Type="http://schemas.openxmlformats.org/officeDocument/2006/relationships/hyperlink" Target="https://rpubs.com/ayl888/695975" TargetMode="External"/><Relationship Id="rId2399" Type="http://schemas.openxmlformats.org/officeDocument/2006/relationships/hyperlink" Target="https://doi.org/10.17605/OSF.IO/U6ZW9" TargetMode="External"/><Relationship Id="rId232" Type="http://schemas.openxmlformats.org/officeDocument/2006/relationships/hyperlink" Target="https://thekeep.eiu.edu/theses/5025?utm_source=thekeep.eiu.edu%2Ftheses%2F5025&amp;utm_medium=PDF&amp;utm_campaign=PDFCoverPages" TargetMode="External"/><Relationship Id="rId1069" Type="http://schemas.openxmlformats.org/officeDocument/2006/relationships/hyperlink" Target="https://rstudio-pubs-static.s3.amazonaws.com/692885_b2ccf160054344dd86468e0fc9cc6e68.html" TargetMode="External"/><Relationship Id="rId1015" Type="http://schemas.openxmlformats.org/officeDocument/2006/relationships/hyperlink" Target="https://rpubs.com/mkmartykeil/replicationfinal" TargetMode="External"/><Relationship Id="rId2346" Type="http://schemas.openxmlformats.org/officeDocument/2006/relationships/hyperlink" Target="https://doi.org/10.1037/h0076284" TargetMode="External"/><Relationship Id="rId1016" Type="http://schemas.openxmlformats.org/officeDocument/2006/relationships/hyperlink" Target="https://rpubs.com/mkmartykeil/replicationfinal" TargetMode="External"/><Relationship Id="rId2347" Type="http://schemas.openxmlformats.org/officeDocument/2006/relationships/hyperlink" Target="https://aspredicted.org/jq5fe.pdf" TargetMode="External"/><Relationship Id="rId1017" Type="http://schemas.openxmlformats.org/officeDocument/2006/relationships/hyperlink" Target="https://rpubs.com/mkmartykeil/replicationfinal" TargetMode="External"/><Relationship Id="rId2348" Type="http://schemas.openxmlformats.org/officeDocument/2006/relationships/hyperlink" Target="https://osf.io/avf49" TargetMode="External"/><Relationship Id="rId1018" Type="http://schemas.openxmlformats.org/officeDocument/2006/relationships/hyperlink" Target="https://rpubs.com/mkmartykeil/replicationfinal" TargetMode="External"/><Relationship Id="rId2349" Type="http://schemas.openxmlformats.org/officeDocument/2006/relationships/hyperlink" Target="https://osf.io/avf49" TargetMode="External"/><Relationship Id="rId1019" Type="http://schemas.openxmlformats.org/officeDocument/2006/relationships/hyperlink" Target="https://rpubs.com/mkmartykeil/replicationfinal" TargetMode="External"/><Relationship Id="rId3670" Type="http://schemas.openxmlformats.org/officeDocument/2006/relationships/vmlDrawing" Target="../drawings/vmlDrawing1.vml"/><Relationship Id="rId2340" Type="http://schemas.openxmlformats.org/officeDocument/2006/relationships/hyperlink" Target="https://osf.io/wg9s3" TargetMode="External"/><Relationship Id="rId1010" Type="http://schemas.openxmlformats.org/officeDocument/2006/relationships/hyperlink" Target="https://rpubs.com/mkmartykeil/replicationfinal" TargetMode="External"/><Relationship Id="rId2341" Type="http://schemas.openxmlformats.org/officeDocument/2006/relationships/hyperlink" Target="https://doi.org/10.1177/2515245920919667" TargetMode="External"/><Relationship Id="rId1011" Type="http://schemas.openxmlformats.org/officeDocument/2006/relationships/hyperlink" Target="https://rpubs.com/mkmartykeil/replicationfinal" TargetMode="External"/><Relationship Id="rId2342" Type="http://schemas.openxmlformats.org/officeDocument/2006/relationships/hyperlink" Target="https://osf.io/5y7ne/?view_only=" TargetMode="External"/><Relationship Id="rId1012" Type="http://schemas.openxmlformats.org/officeDocument/2006/relationships/hyperlink" Target="https://rpubs.com/mkmartykeil/replicationfinal" TargetMode="External"/><Relationship Id="rId2343" Type="http://schemas.openxmlformats.org/officeDocument/2006/relationships/hyperlink" Target="https://osf.io/wg9s3/." TargetMode="External"/><Relationship Id="rId1013" Type="http://schemas.openxmlformats.org/officeDocument/2006/relationships/hyperlink" Target="https://rpubs.com/mkmartykeil/replicationfinal" TargetMode="External"/><Relationship Id="rId2344" Type="http://schemas.openxmlformats.org/officeDocument/2006/relationships/hyperlink" Target="https://aspredicted.org/jq5fe.pdf" TargetMode="External"/><Relationship Id="rId1014" Type="http://schemas.openxmlformats.org/officeDocument/2006/relationships/hyperlink" Target="https://rpubs.com/mkmartykeil/replicationfinal" TargetMode="External"/><Relationship Id="rId2345" Type="http://schemas.openxmlformats.org/officeDocument/2006/relationships/hyperlink" Target="https://www.oxfordreference.com/display/10.1093/oi/authority.20110803095743480" TargetMode="External"/><Relationship Id="rId1004" Type="http://schemas.openxmlformats.org/officeDocument/2006/relationships/hyperlink" Target="https://rpubs.com/kleibow/338461" TargetMode="External"/><Relationship Id="rId2335" Type="http://schemas.openxmlformats.org/officeDocument/2006/relationships/hyperlink" Target="https://dx.doi.org/10.2139/ssrn.2586261" TargetMode="External"/><Relationship Id="rId3667" Type="http://schemas.openxmlformats.org/officeDocument/2006/relationships/hyperlink" Target="https://osf.io/zqwa2/" TargetMode="External"/><Relationship Id="rId1005" Type="http://schemas.openxmlformats.org/officeDocument/2006/relationships/hyperlink" Target="https://osf.io/x4m6w" TargetMode="External"/><Relationship Id="rId2336" Type="http://schemas.openxmlformats.org/officeDocument/2006/relationships/hyperlink" Target="https://osf.io/rtn9s/" TargetMode="External"/><Relationship Id="rId3666" Type="http://schemas.openxmlformats.org/officeDocument/2006/relationships/hyperlink" Target="https://osf.io/zqwa2/" TargetMode="External"/><Relationship Id="rId1006" Type="http://schemas.openxmlformats.org/officeDocument/2006/relationships/hyperlink" Target="https://aspredicted.org/ai7am.pdf" TargetMode="External"/><Relationship Id="rId2337" Type="http://schemas.openxmlformats.org/officeDocument/2006/relationships/hyperlink" Target="https://osf.io/rtn9s/" TargetMode="External"/><Relationship Id="rId3669" Type="http://schemas.openxmlformats.org/officeDocument/2006/relationships/drawing" Target="../drawings/drawing1.xml"/><Relationship Id="rId1007" Type="http://schemas.openxmlformats.org/officeDocument/2006/relationships/hyperlink" Target="https://github.com/vboyce/251-254-MA/blob/main/data/processed_data.csv" TargetMode="External"/><Relationship Id="rId2338" Type="http://schemas.openxmlformats.org/officeDocument/2006/relationships/hyperlink" Target="https://osf.io/5y7ne/?view_only=" TargetMode="External"/><Relationship Id="rId3668" Type="http://schemas.openxmlformats.org/officeDocument/2006/relationships/hyperlink" Target="https://osf.io/zqwa2/" TargetMode="External"/><Relationship Id="rId1008" Type="http://schemas.openxmlformats.org/officeDocument/2006/relationships/hyperlink" Target="https://github.com/vboyce/251-254-MA/blob/main/data/processed_data.csv" TargetMode="External"/><Relationship Id="rId2339" Type="http://schemas.openxmlformats.org/officeDocument/2006/relationships/hyperlink" Target="https://osf.io/xvqg2" TargetMode="External"/><Relationship Id="rId1009" Type="http://schemas.openxmlformats.org/officeDocument/2006/relationships/hyperlink" Target="https://github.com/vboyce/251-254-MA/blob/main/data/processed_data.csv" TargetMode="External"/><Relationship Id="rId3661" Type="http://schemas.openxmlformats.org/officeDocument/2006/relationships/hyperlink" Target="https://doi.org/10.1037/0096-3445.135.4.641" TargetMode="External"/><Relationship Id="rId2330" Type="http://schemas.openxmlformats.org/officeDocument/2006/relationships/hyperlink" Target="https://osf.io/q6tv8" TargetMode="External"/><Relationship Id="rId3660" Type="http://schemas.openxmlformats.org/officeDocument/2006/relationships/hyperlink" Target="https://osf.io/x4va5" TargetMode="External"/><Relationship Id="rId1000" Type="http://schemas.openxmlformats.org/officeDocument/2006/relationships/hyperlink" Target="https://rpubs.com/hrlarry/YUIMU-final" TargetMode="External"/><Relationship Id="rId2331" Type="http://schemas.openxmlformats.org/officeDocument/2006/relationships/hyperlink" Target="https://osf.io/q6tv8" TargetMode="External"/><Relationship Id="rId3663" Type="http://schemas.openxmlformats.org/officeDocument/2006/relationships/hyperlink" Target="https://doi.org/10.1093/humrep/13.11.3000" TargetMode="External"/><Relationship Id="rId1001" Type="http://schemas.openxmlformats.org/officeDocument/2006/relationships/hyperlink" Target="https://rpubs.com/hrlarry/YUIMU-final" TargetMode="External"/><Relationship Id="rId2332" Type="http://schemas.openxmlformats.org/officeDocument/2006/relationships/hyperlink" Target="https://doi.org/10.31234/osf.io/bgp3m" TargetMode="External"/><Relationship Id="rId3662" Type="http://schemas.openxmlformats.org/officeDocument/2006/relationships/hyperlink" Target="https://osf.io/xumwa" TargetMode="External"/><Relationship Id="rId1002" Type="http://schemas.openxmlformats.org/officeDocument/2006/relationships/hyperlink" Target="https://rpubs.com/hrlarry/YUIMU-final" TargetMode="External"/><Relationship Id="rId2333" Type="http://schemas.openxmlformats.org/officeDocument/2006/relationships/hyperlink" Target="https://osf.io/ktjc4/" TargetMode="External"/><Relationship Id="rId3665" Type="http://schemas.openxmlformats.org/officeDocument/2006/relationships/hyperlink" Target="https://osf.io/zqwa2/" TargetMode="External"/><Relationship Id="rId1003" Type="http://schemas.openxmlformats.org/officeDocument/2006/relationships/hyperlink" Target="https://osf.io/x4m6w" TargetMode="External"/><Relationship Id="rId2334" Type="http://schemas.openxmlformats.org/officeDocument/2006/relationships/hyperlink" Target="https://osf.io/ktjc4/" TargetMode="External"/><Relationship Id="rId3664" Type="http://schemas.openxmlformats.org/officeDocument/2006/relationships/hyperlink" Target="https://doi.org/10.1038/s41598-020-66915-9" TargetMode="External"/><Relationship Id="rId1037" Type="http://schemas.openxmlformats.org/officeDocument/2006/relationships/hyperlink" Target="https://rpubs.com/chuqihu8/pilot" TargetMode="External"/><Relationship Id="rId2368" Type="http://schemas.openxmlformats.org/officeDocument/2006/relationships/hyperlink" Target="https://osf.io/2dqxv" TargetMode="External"/><Relationship Id="rId1038" Type="http://schemas.openxmlformats.org/officeDocument/2006/relationships/hyperlink" Target="https://rpubs.com/masoud/tieu2016_replication" TargetMode="External"/><Relationship Id="rId2369" Type="http://schemas.openxmlformats.org/officeDocument/2006/relationships/hyperlink" Target="https://osf.io/8nzfm/" TargetMode="External"/><Relationship Id="rId1039" Type="http://schemas.openxmlformats.org/officeDocument/2006/relationships/hyperlink" Target="https://rpubs.com/mateusmazza/project_report_pilotB" TargetMode="External"/><Relationship Id="rId206" Type="http://schemas.openxmlformats.org/officeDocument/2006/relationships/hyperlink" Target="https://thekeep.eiu.edu/theses/5025/?utm_source=thekeep.eiu.edu%2Ftheses%2F5025&amp;utm_medium=PDF&amp;utm_campaign=PDFCoverPages" TargetMode="External"/><Relationship Id="rId205" Type="http://schemas.openxmlformats.org/officeDocument/2006/relationships/hyperlink" Target="http://thekeep.eiu.edu/theses/5025" TargetMode="External"/><Relationship Id="rId204" Type="http://schemas.openxmlformats.org/officeDocument/2006/relationships/hyperlink" Target="https://thekeep.eiu.edu/theses/5025?utm_source=thekeep.eiu.edu%2Ftheses%2F5025&amp;utm_medium=PDF&amp;utm_campaign=PDFCoverPages" TargetMode="External"/><Relationship Id="rId203" Type="http://schemas.openxmlformats.org/officeDocument/2006/relationships/hyperlink" Target="https://thekeep.eiu.edu/theses/4783" TargetMode="External"/><Relationship Id="rId209" Type="http://schemas.openxmlformats.org/officeDocument/2006/relationships/hyperlink" Target="http://thekeep.eiu.edu/theses/5025" TargetMode="External"/><Relationship Id="rId208" Type="http://schemas.openxmlformats.org/officeDocument/2006/relationships/hyperlink" Target="https://thekeep.eiu.edu/theses/5025?utm_source=thekeep.eiu.edu%2Ftheses%2F5025&amp;utm_medium=PDF&amp;utm_campaign=PDFCoverPages" TargetMode="External"/><Relationship Id="rId207" Type="http://schemas.openxmlformats.org/officeDocument/2006/relationships/hyperlink" Target="https://thekeep.eiu.edu/theses/4783" TargetMode="External"/><Relationship Id="rId2360" Type="http://schemas.openxmlformats.org/officeDocument/2006/relationships/hyperlink" Target="https://osf.io/m2cyn/" TargetMode="External"/><Relationship Id="rId1030" Type="http://schemas.openxmlformats.org/officeDocument/2006/relationships/hyperlink" Target="https://rpubs.com/chuqihu8/pilot" TargetMode="External"/><Relationship Id="rId2361" Type="http://schemas.openxmlformats.org/officeDocument/2006/relationships/hyperlink" Target="https://osf.io/m2cyn/" TargetMode="External"/><Relationship Id="rId1031" Type="http://schemas.openxmlformats.org/officeDocument/2006/relationships/hyperlink" Target="https://rpubs.com/chuqihu8/pilot" TargetMode="External"/><Relationship Id="rId2362" Type="http://schemas.openxmlformats.org/officeDocument/2006/relationships/hyperlink" Target="https://osf.io/m2cyn/" TargetMode="External"/><Relationship Id="rId1032" Type="http://schemas.openxmlformats.org/officeDocument/2006/relationships/hyperlink" Target="https://rpubs.com/chuqihu8/pilot" TargetMode="External"/><Relationship Id="rId2363" Type="http://schemas.openxmlformats.org/officeDocument/2006/relationships/hyperlink" Target="https://osf.io/49yza" TargetMode="External"/><Relationship Id="rId202" Type="http://schemas.openxmlformats.org/officeDocument/2006/relationships/hyperlink" Target="https://thekeep.eiu.edu/theses/5025/?utm_source=thekeep.eiu.edu%2Ftheses%2F5025&amp;utm_medium=PDF&amp;utm_campaign=PDFCoverPages" TargetMode="External"/><Relationship Id="rId1033" Type="http://schemas.openxmlformats.org/officeDocument/2006/relationships/hyperlink" Target="https://rpubs.com/chuqihu8/pilot" TargetMode="External"/><Relationship Id="rId2364" Type="http://schemas.openxmlformats.org/officeDocument/2006/relationships/hyperlink" Target="https://doi.org/10.1037/mot0000097" TargetMode="External"/><Relationship Id="rId201" Type="http://schemas.openxmlformats.org/officeDocument/2006/relationships/hyperlink" Target="http://thekeep.eiu.edu/theses/5025" TargetMode="External"/><Relationship Id="rId1034" Type="http://schemas.openxmlformats.org/officeDocument/2006/relationships/hyperlink" Target="https://rpubs.com/chuqihu8/pilot" TargetMode="External"/><Relationship Id="rId2365" Type="http://schemas.openxmlformats.org/officeDocument/2006/relationships/hyperlink" Target="https://osf.io/49yza" TargetMode="External"/><Relationship Id="rId200" Type="http://schemas.openxmlformats.org/officeDocument/2006/relationships/hyperlink" Target="https://thekeep.eiu.edu/theses/5025?utm_source=thekeep.eiu.edu%2Ftheses%2F5025&amp;utm_medium=PDF&amp;utm_campaign=PDFCoverPages" TargetMode="External"/><Relationship Id="rId1035" Type="http://schemas.openxmlformats.org/officeDocument/2006/relationships/hyperlink" Target="https://rpubs.com/chuqihu8/pilot" TargetMode="External"/><Relationship Id="rId2366" Type="http://schemas.openxmlformats.org/officeDocument/2006/relationships/hyperlink" Target="https://osf.io/8nzfm/" TargetMode="External"/><Relationship Id="rId1036" Type="http://schemas.openxmlformats.org/officeDocument/2006/relationships/hyperlink" Target="https://rpubs.com/chuqihu8/pilot" TargetMode="External"/><Relationship Id="rId2367" Type="http://schemas.openxmlformats.org/officeDocument/2006/relationships/hyperlink" Target="https://osf.io/8nzfm/wiki/home/" TargetMode="External"/><Relationship Id="rId1026" Type="http://schemas.openxmlformats.org/officeDocument/2006/relationships/hyperlink" Target="https://rpubs.com/mlee17/262394" TargetMode="External"/><Relationship Id="rId2357" Type="http://schemas.openxmlformats.org/officeDocument/2006/relationships/hyperlink" Target="https://osf.io/xqv8b" TargetMode="External"/><Relationship Id="rId1027" Type="http://schemas.openxmlformats.org/officeDocument/2006/relationships/hyperlink" Target="https://github.com/vboyce/251-254-MA/blob/main/data/processed_data.csv" TargetMode="External"/><Relationship Id="rId2358" Type="http://schemas.openxmlformats.org/officeDocument/2006/relationships/hyperlink" Target="https://osf.io/gv7cm/" TargetMode="External"/><Relationship Id="rId1028" Type="http://schemas.openxmlformats.org/officeDocument/2006/relationships/hyperlink" Target="https://github.com/vboyce/251-254-MA/blob/main/data/processed_data.csv" TargetMode="External"/><Relationship Id="rId2359" Type="http://schemas.openxmlformats.org/officeDocument/2006/relationships/hyperlink" Target="https://osf.io/p6e3c/registrations" TargetMode="External"/><Relationship Id="rId1029" Type="http://schemas.openxmlformats.org/officeDocument/2006/relationships/hyperlink" Target="https://rpubs.com/chuqihu8/pilot" TargetMode="External"/><Relationship Id="rId2350" Type="http://schemas.openxmlformats.org/officeDocument/2006/relationships/hyperlink" Target="https://osf.io/mv3kt" TargetMode="External"/><Relationship Id="rId1020" Type="http://schemas.openxmlformats.org/officeDocument/2006/relationships/hyperlink" Target="https://github.com/vboyce/251-254-MA/blob/main/data/processed_data.csv" TargetMode="External"/><Relationship Id="rId2351" Type="http://schemas.openxmlformats.org/officeDocument/2006/relationships/hyperlink" Target="https://osf.io/7hz3x" TargetMode="External"/><Relationship Id="rId1021" Type="http://schemas.openxmlformats.org/officeDocument/2006/relationships/hyperlink" Target="https://rpubs.com/mlee17/262394" TargetMode="External"/><Relationship Id="rId2352" Type="http://schemas.openxmlformats.org/officeDocument/2006/relationships/hyperlink" Target="https://osf.io/7hz3x" TargetMode="External"/><Relationship Id="rId1022" Type="http://schemas.openxmlformats.org/officeDocument/2006/relationships/hyperlink" Target="https://rpubs.com/mlee17/262394" TargetMode="External"/><Relationship Id="rId2353" Type="http://schemas.openxmlformats.org/officeDocument/2006/relationships/hyperlink" Target="https://osf.io/gc6zh" TargetMode="External"/><Relationship Id="rId1023" Type="http://schemas.openxmlformats.org/officeDocument/2006/relationships/hyperlink" Target="https://rpubs.com/mlee17/262394" TargetMode="External"/><Relationship Id="rId2354" Type="http://schemas.openxmlformats.org/officeDocument/2006/relationships/hyperlink" Target="https://osf.io/gc6zh" TargetMode="External"/><Relationship Id="rId1024" Type="http://schemas.openxmlformats.org/officeDocument/2006/relationships/hyperlink" Target="https://rpubs.com/mlee17/262394" TargetMode="External"/><Relationship Id="rId2355" Type="http://schemas.openxmlformats.org/officeDocument/2006/relationships/hyperlink" Target="https://osf.io/gc6zh" TargetMode="External"/><Relationship Id="rId1025" Type="http://schemas.openxmlformats.org/officeDocument/2006/relationships/hyperlink" Target="https://rpubs.com/mlee17/262394" TargetMode="External"/><Relationship Id="rId2356" Type="http://schemas.openxmlformats.org/officeDocument/2006/relationships/hyperlink" Target="https://osf.io/uyng7" TargetMode="External"/><Relationship Id="rId1910" Type="http://schemas.openxmlformats.org/officeDocument/2006/relationships/hyperlink" Target="https://osf.io/j8a4p" TargetMode="External"/><Relationship Id="rId1911" Type="http://schemas.openxmlformats.org/officeDocument/2006/relationships/hyperlink" Target="https://osf.io/j8a4p" TargetMode="External"/><Relationship Id="rId1912" Type="http://schemas.openxmlformats.org/officeDocument/2006/relationships/hyperlink" Target="https://www.econstor.eu/bitstream/10419/253653/1/JCRE-2022-2.pdf)" TargetMode="External"/><Relationship Id="rId1913" Type="http://schemas.openxmlformats.org/officeDocument/2006/relationships/hyperlink" Target="https://osf.io/ejcfw" TargetMode="External"/><Relationship Id="rId1914" Type="http://schemas.openxmlformats.org/officeDocument/2006/relationships/hyperlink" Target="https://doi.org/10.1037/a0015960" TargetMode="External"/><Relationship Id="rId1915" Type="http://schemas.openxmlformats.org/officeDocument/2006/relationships/hyperlink" Target="https://osf.io/ejcfw" TargetMode="External"/><Relationship Id="rId1916" Type="http://schemas.openxmlformats.org/officeDocument/2006/relationships/hyperlink" Target="https://doi.org/10.1037/a0015960" TargetMode="External"/><Relationship Id="rId1917" Type="http://schemas.openxmlformats.org/officeDocument/2006/relationships/hyperlink" Target="https://osf.io/ejcfw" TargetMode="External"/><Relationship Id="rId1918" Type="http://schemas.openxmlformats.org/officeDocument/2006/relationships/hyperlink" Target="https://doi.org/10.1037/a0015960" TargetMode="External"/><Relationship Id="rId1919" Type="http://schemas.openxmlformats.org/officeDocument/2006/relationships/hyperlink" Target="https://osf.io/ejcfw" TargetMode="External"/><Relationship Id="rId1900" Type="http://schemas.openxmlformats.org/officeDocument/2006/relationships/hyperlink" Target="https://osf.io/j8a4p" TargetMode="External"/><Relationship Id="rId1901" Type="http://schemas.openxmlformats.org/officeDocument/2006/relationships/hyperlink" Target="https://osf.io/j8a4p" TargetMode="External"/><Relationship Id="rId1902" Type="http://schemas.openxmlformats.org/officeDocument/2006/relationships/hyperlink" Target="https://osf.io/x9tq5" TargetMode="External"/><Relationship Id="rId1903" Type="http://schemas.openxmlformats.org/officeDocument/2006/relationships/hyperlink" Target="https://doi.org/10.17605/OSF.IO/J8A4P" TargetMode="External"/><Relationship Id="rId1904" Type="http://schemas.openxmlformats.org/officeDocument/2006/relationships/hyperlink" Target="https://doi.org/10.17605/OSF.IO/J8A4P" TargetMode="External"/><Relationship Id="rId1905" Type="http://schemas.openxmlformats.org/officeDocument/2006/relationships/hyperlink" Target="https://osf.io/j8a4p" TargetMode="External"/><Relationship Id="rId1906" Type="http://schemas.openxmlformats.org/officeDocument/2006/relationships/hyperlink" Target="https://osf.io/j8a4p" TargetMode="External"/><Relationship Id="rId1907" Type="http://schemas.openxmlformats.org/officeDocument/2006/relationships/hyperlink" Target="https://osf.io/x9tq5" TargetMode="External"/><Relationship Id="rId1908" Type="http://schemas.openxmlformats.org/officeDocument/2006/relationships/hyperlink" Target="https://doi.org/10.17605/OSF.IO/J8A4P" TargetMode="External"/><Relationship Id="rId1909" Type="http://schemas.openxmlformats.org/officeDocument/2006/relationships/hyperlink" Target="https://doi.org/10.17605/OSF.IO/J8A4P" TargetMode="External"/><Relationship Id="rId1090" Type="http://schemas.openxmlformats.org/officeDocument/2006/relationships/hyperlink" Target="https://github.com/vboyce/251-254-MA/blob/main/data/processed_data.csv" TargetMode="External"/><Relationship Id="rId1091" Type="http://schemas.openxmlformats.org/officeDocument/2006/relationships/hyperlink" Target="https://osf.io/5ausj" TargetMode="External"/><Relationship Id="rId1092" Type="http://schemas.openxmlformats.org/officeDocument/2006/relationships/hyperlink" Target="https://rstudio-pubs-static.s3.amazonaws.com/955939_50cc1f13803a4ee1beb7841644071e54.html" TargetMode="External"/><Relationship Id="rId1093" Type="http://schemas.openxmlformats.org/officeDocument/2006/relationships/hyperlink" Target="https://rstudio-pubs-static.s3.amazonaws.com/955939_50cc1f13803a4ee1beb7841644071e54.html" TargetMode="External"/><Relationship Id="rId1094" Type="http://schemas.openxmlformats.org/officeDocument/2006/relationships/hyperlink" Target="https://github.com/psych251/wilkins2014" TargetMode="External"/><Relationship Id="rId1095" Type="http://schemas.openxmlformats.org/officeDocument/2006/relationships/hyperlink" Target="https://github.com/psych251/wilkins2014" TargetMode="External"/><Relationship Id="rId1096" Type="http://schemas.openxmlformats.org/officeDocument/2006/relationships/hyperlink" Target="https://github.com/psych251/wilkins2014" TargetMode="External"/><Relationship Id="rId1097" Type="http://schemas.openxmlformats.org/officeDocument/2006/relationships/hyperlink" Target="https://rstudio-pubs-static.s3.amazonaws.com/257540_6659667fe79e4d43936e8bb9d045f803.html" TargetMode="External"/><Relationship Id="rId1098" Type="http://schemas.openxmlformats.org/officeDocument/2006/relationships/hyperlink" Target="https://rstudio-pubs-static.s3.amazonaws.com/155174_48b1633681bb4024b4098ed433d5a80a.html" TargetMode="External"/><Relationship Id="rId1099" Type="http://schemas.openxmlformats.org/officeDocument/2006/relationships/hyperlink" Target="https://osf.io/62jvk" TargetMode="External"/><Relationship Id="rId1080" Type="http://schemas.openxmlformats.org/officeDocument/2006/relationships/hyperlink" Target="https://osf.io/4ewkh" TargetMode="External"/><Relationship Id="rId1081" Type="http://schemas.openxmlformats.org/officeDocument/2006/relationships/hyperlink" Target="https://doi.org/10.17605/OSF.IO/N5ZSX" TargetMode="External"/><Relationship Id="rId1082" Type="http://schemas.openxmlformats.org/officeDocument/2006/relationships/hyperlink" Target="http://osf.io/p48sa/" TargetMode="External"/><Relationship Id="rId1083" Type="http://schemas.openxmlformats.org/officeDocument/2006/relationships/hyperlink" Target="https://github.com/vboyce/251-254-MA/blob/main/data/processed_data.csv" TargetMode="External"/><Relationship Id="rId1084" Type="http://schemas.openxmlformats.org/officeDocument/2006/relationships/hyperlink" Target="https://rpubs.com/pgzhu/vasilyeva2018" TargetMode="External"/><Relationship Id="rId1085" Type="http://schemas.openxmlformats.org/officeDocument/2006/relationships/hyperlink" Target="https://github.com/vboyce/251-254-MA/blob/main/data/processed_data.csv" TargetMode="External"/><Relationship Id="rId1086" Type="http://schemas.openxmlformats.org/officeDocument/2006/relationships/hyperlink" Target="http://osf.io/gseqn" TargetMode="External"/><Relationship Id="rId1087" Type="http://schemas.openxmlformats.org/officeDocument/2006/relationships/hyperlink" Target="https://osf.io/wdp9b" TargetMode="External"/><Relationship Id="rId1088" Type="http://schemas.openxmlformats.org/officeDocument/2006/relationships/hyperlink" Target="https://osf.io/wdp9b" TargetMode="External"/><Relationship Id="rId1089" Type="http://schemas.openxmlformats.org/officeDocument/2006/relationships/hyperlink" Target="http://osf.io/gseqn" TargetMode="External"/><Relationship Id="rId1972" Type="http://schemas.openxmlformats.org/officeDocument/2006/relationships/hyperlink" Target="https://osf.io/ejcfw" TargetMode="External"/><Relationship Id="rId1973" Type="http://schemas.openxmlformats.org/officeDocument/2006/relationships/hyperlink" Target="https://osf.io/ejcfw" TargetMode="External"/><Relationship Id="rId1974" Type="http://schemas.openxmlformats.org/officeDocument/2006/relationships/hyperlink" Target="https://osf.io/ejcfw" TargetMode="External"/><Relationship Id="rId1975" Type="http://schemas.openxmlformats.org/officeDocument/2006/relationships/hyperlink" Target="https://osf.io/ejcfw" TargetMode="External"/><Relationship Id="rId1976" Type="http://schemas.openxmlformats.org/officeDocument/2006/relationships/hyperlink" Target="https://osf.io/ejcfw" TargetMode="External"/><Relationship Id="rId1977" Type="http://schemas.openxmlformats.org/officeDocument/2006/relationships/hyperlink" Target="https://osf.io/ejcfw" TargetMode="External"/><Relationship Id="rId1978" Type="http://schemas.openxmlformats.org/officeDocument/2006/relationships/hyperlink" Target="https://osf.io/ejcfw" TargetMode="External"/><Relationship Id="rId1979" Type="http://schemas.openxmlformats.org/officeDocument/2006/relationships/hyperlink" Target="https://osf.io/ejcfw" TargetMode="External"/><Relationship Id="rId1970" Type="http://schemas.openxmlformats.org/officeDocument/2006/relationships/hyperlink" Target="https://osf.io/ejcfw" TargetMode="External"/><Relationship Id="rId1971" Type="http://schemas.openxmlformats.org/officeDocument/2006/relationships/hyperlink" Target="https://osf.io/ejcfw" TargetMode="External"/><Relationship Id="rId1961" Type="http://schemas.openxmlformats.org/officeDocument/2006/relationships/hyperlink" Target="https://osf.io/ejcfw" TargetMode="External"/><Relationship Id="rId1962" Type="http://schemas.openxmlformats.org/officeDocument/2006/relationships/hyperlink" Target="https://osf.io/ejcfw" TargetMode="External"/><Relationship Id="rId1963" Type="http://schemas.openxmlformats.org/officeDocument/2006/relationships/hyperlink" Target="https://osf.io/ejcfw" TargetMode="External"/><Relationship Id="rId1964" Type="http://schemas.openxmlformats.org/officeDocument/2006/relationships/hyperlink" Target="https://osf.io/ejcfw" TargetMode="External"/><Relationship Id="rId1965" Type="http://schemas.openxmlformats.org/officeDocument/2006/relationships/hyperlink" Target="https://osf.io/ejcfw" TargetMode="External"/><Relationship Id="rId1966" Type="http://schemas.openxmlformats.org/officeDocument/2006/relationships/hyperlink" Target="https://osf.io/ejcfw" TargetMode="External"/><Relationship Id="rId1967" Type="http://schemas.openxmlformats.org/officeDocument/2006/relationships/hyperlink" Target="https://osf.io/ejcfw" TargetMode="External"/><Relationship Id="rId1968" Type="http://schemas.openxmlformats.org/officeDocument/2006/relationships/hyperlink" Target="https://osf.io/ejcfw" TargetMode="External"/><Relationship Id="rId1969" Type="http://schemas.openxmlformats.org/officeDocument/2006/relationships/hyperlink" Target="https://osf.io/ejcfw" TargetMode="External"/><Relationship Id="rId1960" Type="http://schemas.openxmlformats.org/officeDocument/2006/relationships/hyperlink" Target="https://osf.io/ejcfw" TargetMode="External"/><Relationship Id="rId1994" Type="http://schemas.openxmlformats.org/officeDocument/2006/relationships/hyperlink" Target="https://osf.io/ejcfw" TargetMode="External"/><Relationship Id="rId1995" Type="http://schemas.openxmlformats.org/officeDocument/2006/relationships/hyperlink" Target="https://osf.io/ejcfw" TargetMode="External"/><Relationship Id="rId1996" Type="http://schemas.openxmlformats.org/officeDocument/2006/relationships/hyperlink" Target="https://osf.io/ejcfw" TargetMode="External"/><Relationship Id="rId1997" Type="http://schemas.openxmlformats.org/officeDocument/2006/relationships/hyperlink" Target="https://osf.io/ejcfw" TargetMode="External"/><Relationship Id="rId1998" Type="http://schemas.openxmlformats.org/officeDocument/2006/relationships/hyperlink" Target="https://aspredicted.org/ZW2_C76" TargetMode="External"/><Relationship Id="rId1999" Type="http://schemas.openxmlformats.org/officeDocument/2006/relationships/hyperlink" Target="https://aspredicted.org/ZW2_C76" TargetMode="External"/><Relationship Id="rId1990" Type="http://schemas.openxmlformats.org/officeDocument/2006/relationships/hyperlink" Target="https://doi.org/10.1126/science.aaf0918" TargetMode="External"/><Relationship Id="rId1991" Type="http://schemas.openxmlformats.org/officeDocument/2006/relationships/hyperlink" Target="https://osf.io/ejcfw" TargetMode="External"/><Relationship Id="rId1992" Type="http://schemas.openxmlformats.org/officeDocument/2006/relationships/hyperlink" Target="https://osf.io/ejcfw" TargetMode="External"/><Relationship Id="rId1993" Type="http://schemas.openxmlformats.org/officeDocument/2006/relationships/hyperlink" Target="https://osf.io/ejcfw" TargetMode="External"/><Relationship Id="rId1983" Type="http://schemas.openxmlformats.org/officeDocument/2006/relationships/hyperlink" Target="https://osf.io/ejcfw" TargetMode="External"/><Relationship Id="rId1984" Type="http://schemas.openxmlformats.org/officeDocument/2006/relationships/hyperlink" Target="https://osf.io/ejcfw" TargetMode="External"/><Relationship Id="rId1985" Type="http://schemas.openxmlformats.org/officeDocument/2006/relationships/hyperlink" Target="https://osf.io/ejcfw" TargetMode="External"/><Relationship Id="rId1986" Type="http://schemas.openxmlformats.org/officeDocument/2006/relationships/hyperlink" Target="https://osf.io/ejcfw" TargetMode="External"/><Relationship Id="rId1987" Type="http://schemas.openxmlformats.org/officeDocument/2006/relationships/hyperlink" Target="https://osf.io/ejcfw" TargetMode="External"/><Relationship Id="rId1988" Type="http://schemas.openxmlformats.org/officeDocument/2006/relationships/hyperlink" Target="https://osf.io/ejcfw" TargetMode="External"/><Relationship Id="rId1989" Type="http://schemas.openxmlformats.org/officeDocument/2006/relationships/hyperlink" Target="https://osf.io/ejcfw" TargetMode="External"/><Relationship Id="rId1980" Type="http://schemas.openxmlformats.org/officeDocument/2006/relationships/hyperlink" Target="https://osf.io/ejcfw" TargetMode="External"/><Relationship Id="rId1981" Type="http://schemas.openxmlformats.org/officeDocument/2006/relationships/hyperlink" Target="https://osf.io/ejcfw" TargetMode="External"/><Relationship Id="rId1982" Type="http://schemas.openxmlformats.org/officeDocument/2006/relationships/hyperlink" Target="https://osf.io/ejcfw" TargetMode="External"/><Relationship Id="rId1930" Type="http://schemas.openxmlformats.org/officeDocument/2006/relationships/hyperlink" Target="https://osf.io/ejcfw" TargetMode="External"/><Relationship Id="rId1931" Type="http://schemas.openxmlformats.org/officeDocument/2006/relationships/hyperlink" Target="https://osf.io/ejcfw" TargetMode="External"/><Relationship Id="rId1932" Type="http://schemas.openxmlformats.org/officeDocument/2006/relationships/hyperlink" Target="https://osf.io/ejcfw" TargetMode="External"/><Relationship Id="rId1933" Type="http://schemas.openxmlformats.org/officeDocument/2006/relationships/hyperlink" Target="https://osf.io/ejcfw" TargetMode="External"/><Relationship Id="rId1934" Type="http://schemas.openxmlformats.org/officeDocument/2006/relationships/hyperlink" Target="https://osf.io/ejcfw" TargetMode="External"/><Relationship Id="rId1935" Type="http://schemas.openxmlformats.org/officeDocument/2006/relationships/hyperlink" Target="https://osf.io/ejcfw" TargetMode="External"/><Relationship Id="rId1936" Type="http://schemas.openxmlformats.org/officeDocument/2006/relationships/hyperlink" Target="https://osf.io/ejcfw" TargetMode="External"/><Relationship Id="rId1937" Type="http://schemas.openxmlformats.org/officeDocument/2006/relationships/hyperlink" Target="https://osf.io/ejcfw" TargetMode="External"/><Relationship Id="rId1938" Type="http://schemas.openxmlformats.org/officeDocument/2006/relationships/hyperlink" Target="https://osf.io/ejcfw" TargetMode="External"/><Relationship Id="rId1939" Type="http://schemas.openxmlformats.org/officeDocument/2006/relationships/hyperlink" Target="https://osf.io/ejcfw" TargetMode="External"/><Relationship Id="rId1920" Type="http://schemas.openxmlformats.org/officeDocument/2006/relationships/hyperlink" Target="https://osf.io/ejcfw" TargetMode="External"/><Relationship Id="rId1921" Type="http://schemas.openxmlformats.org/officeDocument/2006/relationships/hyperlink" Target="https://osf.io/ejcfw" TargetMode="External"/><Relationship Id="rId1922" Type="http://schemas.openxmlformats.org/officeDocument/2006/relationships/hyperlink" Target="https://osf.io/ejcfw" TargetMode="External"/><Relationship Id="rId1923" Type="http://schemas.openxmlformats.org/officeDocument/2006/relationships/hyperlink" Target="https://osf.io/ejcfw" TargetMode="External"/><Relationship Id="rId1924" Type="http://schemas.openxmlformats.org/officeDocument/2006/relationships/hyperlink" Target="https://osf.io/ejcfw" TargetMode="External"/><Relationship Id="rId1925" Type="http://schemas.openxmlformats.org/officeDocument/2006/relationships/hyperlink" Target="https://osf.io/ejcfw" TargetMode="External"/><Relationship Id="rId1926" Type="http://schemas.openxmlformats.org/officeDocument/2006/relationships/hyperlink" Target="https://osf.io/ejcfw" TargetMode="External"/><Relationship Id="rId1927" Type="http://schemas.openxmlformats.org/officeDocument/2006/relationships/hyperlink" Target="https://osf.io/ejcfw" TargetMode="External"/><Relationship Id="rId1928" Type="http://schemas.openxmlformats.org/officeDocument/2006/relationships/hyperlink" Target="https://osf.io/ejcfw" TargetMode="External"/><Relationship Id="rId1929" Type="http://schemas.openxmlformats.org/officeDocument/2006/relationships/hyperlink" Target="https://osf.io/ejcfw" TargetMode="External"/><Relationship Id="rId1950" Type="http://schemas.openxmlformats.org/officeDocument/2006/relationships/hyperlink" Target="https://osf.io/ejcfw" TargetMode="External"/><Relationship Id="rId1951" Type="http://schemas.openxmlformats.org/officeDocument/2006/relationships/hyperlink" Target="https://osf.io/ejcfw" TargetMode="External"/><Relationship Id="rId1952" Type="http://schemas.openxmlformats.org/officeDocument/2006/relationships/hyperlink" Target="https://osf.io/ejcfw" TargetMode="External"/><Relationship Id="rId1953" Type="http://schemas.openxmlformats.org/officeDocument/2006/relationships/hyperlink" Target="https://osf.io/ejcfw" TargetMode="External"/><Relationship Id="rId1954" Type="http://schemas.openxmlformats.org/officeDocument/2006/relationships/hyperlink" Target="https://osf.io/ejcfw" TargetMode="External"/><Relationship Id="rId1955" Type="http://schemas.openxmlformats.org/officeDocument/2006/relationships/hyperlink" Target="https://osf.io/ejcfw" TargetMode="External"/><Relationship Id="rId1956" Type="http://schemas.openxmlformats.org/officeDocument/2006/relationships/hyperlink" Target="https://osf.io/ejcfw" TargetMode="External"/><Relationship Id="rId1957" Type="http://schemas.openxmlformats.org/officeDocument/2006/relationships/hyperlink" Target="https://osf.io/ejcfw" TargetMode="External"/><Relationship Id="rId1958" Type="http://schemas.openxmlformats.org/officeDocument/2006/relationships/hyperlink" Target="https://osf.io/ejcfw" TargetMode="External"/><Relationship Id="rId1959" Type="http://schemas.openxmlformats.org/officeDocument/2006/relationships/hyperlink" Target="https://osf.io/ejcfw" TargetMode="External"/><Relationship Id="rId1940" Type="http://schemas.openxmlformats.org/officeDocument/2006/relationships/hyperlink" Target="https://osf.io/ejcfw" TargetMode="External"/><Relationship Id="rId1941" Type="http://schemas.openxmlformats.org/officeDocument/2006/relationships/hyperlink" Target="https://osf.io/ejcfw" TargetMode="External"/><Relationship Id="rId1942" Type="http://schemas.openxmlformats.org/officeDocument/2006/relationships/hyperlink" Target="https://osf.io/ejcfw" TargetMode="External"/><Relationship Id="rId1943" Type="http://schemas.openxmlformats.org/officeDocument/2006/relationships/hyperlink" Target="https://osf.io/ejcfw" TargetMode="External"/><Relationship Id="rId1944" Type="http://schemas.openxmlformats.org/officeDocument/2006/relationships/hyperlink" Target="https://osf.io/ejcfw" TargetMode="External"/><Relationship Id="rId1945" Type="http://schemas.openxmlformats.org/officeDocument/2006/relationships/hyperlink" Target="https://osf.io/ejcfw" TargetMode="External"/><Relationship Id="rId1946" Type="http://schemas.openxmlformats.org/officeDocument/2006/relationships/hyperlink" Target="https://osf.io/ejcfw" TargetMode="External"/><Relationship Id="rId1947" Type="http://schemas.openxmlformats.org/officeDocument/2006/relationships/hyperlink" Target="https://osf.io/ejcfw" TargetMode="External"/><Relationship Id="rId1948" Type="http://schemas.openxmlformats.org/officeDocument/2006/relationships/hyperlink" Target="https://osf.io/ejcfw" TargetMode="External"/><Relationship Id="rId1949" Type="http://schemas.openxmlformats.org/officeDocument/2006/relationships/hyperlink" Target="https://osf.io/ejcfw" TargetMode="External"/><Relationship Id="rId2423" Type="http://schemas.openxmlformats.org/officeDocument/2006/relationships/hyperlink" Target="https://doi.org/10.17605/OSF.IO/U6ZW9" TargetMode="External"/><Relationship Id="rId2424" Type="http://schemas.openxmlformats.org/officeDocument/2006/relationships/hyperlink" Target="https://doi.org/10.17605/OSF.IO/U6ZW9" TargetMode="External"/><Relationship Id="rId2425" Type="http://schemas.openxmlformats.org/officeDocument/2006/relationships/hyperlink" Target="https://doi.org/10.17605/OSF.IO/U6ZW9" TargetMode="External"/><Relationship Id="rId2426" Type="http://schemas.openxmlformats.org/officeDocument/2006/relationships/hyperlink" Target="https://doi.org/10.17605/OSF.IO/U6ZW9" TargetMode="External"/><Relationship Id="rId2427" Type="http://schemas.openxmlformats.org/officeDocument/2006/relationships/hyperlink" Target="https://doi.org/10.17605/OSF.IO/U6ZW9" TargetMode="External"/><Relationship Id="rId2428" Type="http://schemas.openxmlformats.org/officeDocument/2006/relationships/hyperlink" Target="https://osf.io/uxajg" TargetMode="External"/><Relationship Id="rId2429" Type="http://schemas.openxmlformats.org/officeDocument/2006/relationships/hyperlink" Target="https://osf.io/uxajg" TargetMode="External"/><Relationship Id="rId509" Type="http://schemas.openxmlformats.org/officeDocument/2006/relationships/hyperlink" Target="https://osf.io/yajmp" TargetMode="External"/><Relationship Id="rId508" Type="http://schemas.openxmlformats.org/officeDocument/2006/relationships/hyperlink" Target="https://osf.io/yajmp" TargetMode="External"/><Relationship Id="rId503" Type="http://schemas.openxmlformats.org/officeDocument/2006/relationships/hyperlink" Target="https://osf.io/yajmp" TargetMode="External"/><Relationship Id="rId502" Type="http://schemas.openxmlformats.org/officeDocument/2006/relationships/hyperlink" Target="https://osf.io/yajmp" TargetMode="External"/><Relationship Id="rId501" Type="http://schemas.openxmlformats.org/officeDocument/2006/relationships/hyperlink" Target="https://osf.io/yajmp" TargetMode="External"/><Relationship Id="rId500" Type="http://schemas.openxmlformats.org/officeDocument/2006/relationships/hyperlink" Target="https://doi.org/10.1037/pspp0000263" TargetMode="External"/><Relationship Id="rId507" Type="http://schemas.openxmlformats.org/officeDocument/2006/relationships/hyperlink" Target="https://osf.io/yajmp" TargetMode="External"/><Relationship Id="rId506" Type="http://schemas.openxmlformats.org/officeDocument/2006/relationships/hyperlink" Target="https://doi.org/10.1037/pspp0000263" TargetMode="External"/><Relationship Id="rId505" Type="http://schemas.openxmlformats.org/officeDocument/2006/relationships/hyperlink" Target="https://osf.io/6m5tb" TargetMode="External"/><Relationship Id="rId504" Type="http://schemas.openxmlformats.org/officeDocument/2006/relationships/hyperlink" Target="https://osf.io/6m5tb" TargetMode="External"/><Relationship Id="rId2420" Type="http://schemas.openxmlformats.org/officeDocument/2006/relationships/hyperlink" Target="https://doi.org/10.17605/OSF.IO/U6ZW9" TargetMode="External"/><Relationship Id="rId2421" Type="http://schemas.openxmlformats.org/officeDocument/2006/relationships/hyperlink" Target="https://doi.org/10.17605/OSF.IO/U6ZW9" TargetMode="External"/><Relationship Id="rId2422" Type="http://schemas.openxmlformats.org/officeDocument/2006/relationships/hyperlink" Target="https://doi.org/10.17605/OSF.IO/U6ZW9" TargetMode="External"/><Relationship Id="rId2412" Type="http://schemas.openxmlformats.org/officeDocument/2006/relationships/hyperlink" Target="https://doi.org/10.17605/OSF.IO/U6ZW9" TargetMode="External"/><Relationship Id="rId2413" Type="http://schemas.openxmlformats.org/officeDocument/2006/relationships/hyperlink" Target="https://doi.org/10.17605/OSF.IO/U6ZW9" TargetMode="External"/><Relationship Id="rId2414" Type="http://schemas.openxmlformats.org/officeDocument/2006/relationships/hyperlink" Target="https://doi.org/10.17605/OSF.IO/U6ZW9" TargetMode="External"/><Relationship Id="rId2415" Type="http://schemas.openxmlformats.org/officeDocument/2006/relationships/hyperlink" Target="https://doi.org/10.17605/OSF.IO/U6ZW9" TargetMode="External"/><Relationship Id="rId2416" Type="http://schemas.openxmlformats.org/officeDocument/2006/relationships/hyperlink" Target="https://doi.org/10.17605/OSF.IO/U6ZW9" TargetMode="External"/><Relationship Id="rId2417" Type="http://schemas.openxmlformats.org/officeDocument/2006/relationships/hyperlink" Target="https://doi.org/10.17605/OSF.IO/U6ZW9" TargetMode="External"/><Relationship Id="rId2418" Type="http://schemas.openxmlformats.org/officeDocument/2006/relationships/hyperlink" Target="https://doi.org/10.17605/OSF.IO/U6ZW9" TargetMode="External"/><Relationship Id="rId2419" Type="http://schemas.openxmlformats.org/officeDocument/2006/relationships/hyperlink" Target="https://doi.org/10.17605/OSF.IO/U6ZW9" TargetMode="External"/><Relationship Id="rId2410" Type="http://schemas.openxmlformats.org/officeDocument/2006/relationships/hyperlink" Target="https://doi.org/10.17605/OSF.IO/U6ZW9" TargetMode="External"/><Relationship Id="rId2411" Type="http://schemas.openxmlformats.org/officeDocument/2006/relationships/hyperlink" Target="https://doi.org/10.17605/OSF.IO/U6ZW9" TargetMode="External"/><Relationship Id="rId1114" Type="http://schemas.openxmlformats.org/officeDocument/2006/relationships/hyperlink" Target="https://rstudio-pubs-static.s3.amazonaws.com/960761_d9b8d67ca3454d3db5b0023e3b583df6.html" TargetMode="External"/><Relationship Id="rId2445" Type="http://schemas.openxmlformats.org/officeDocument/2006/relationships/hyperlink" Target="https://doi.org/10.17605/OSF.IO/69DQC" TargetMode="External"/><Relationship Id="rId1115" Type="http://schemas.openxmlformats.org/officeDocument/2006/relationships/hyperlink" Target="https://rstudio-pubs-static.s3.amazonaws.com/960761_d9b8d67ca3454d3db5b0023e3b583df6.html" TargetMode="External"/><Relationship Id="rId2446" Type="http://schemas.openxmlformats.org/officeDocument/2006/relationships/hyperlink" Target="https://osf.io/dgc9w" TargetMode="External"/><Relationship Id="rId1116" Type="http://schemas.openxmlformats.org/officeDocument/2006/relationships/hyperlink" Target="https://rstudio-pubs-static.s3.amazonaws.com/960761_d9b8d67ca3454d3db5b0023e3b583df6.html" TargetMode="External"/><Relationship Id="rId2447" Type="http://schemas.openxmlformats.org/officeDocument/2006/relationships/hyperlink" Target="https://osf.io/69dqc" TargetMode="External"/><Relationship Id="rId1117" Type="http://schemas.openxmlformats.org/officeDocument/2006/relationships/hyperlink" Target="https://rstudio-pubs-static.s3.amazonaws.com/960761_d9b8d67ca3454d3db5b0023e3b583df6.html" TargetMode="External"/><Relationship Id="rId2448" Type="http://schemas.openxmlformats.org/officeDocument/2006/relationships/hyperlink" Target="http://doi.org/10.1007/s13164-018-0400-9" TargetMode="External"/><Relationship Id="rId1118" Type="http://schemas.openxmlformats.org/officeDocument/2006/relationships/hyperlink" Target="https://rstudio-pubs-static.s3.amazonaws.com/960761_d9b8d67ca3454d3db5b0023e3b583df6.html" TargetMode="External"/><Relationship Id="rId2449" Type="http://schemas.openxmlformats.org/officeDocument/2006/relationships/hyperlink" Target="https://osf.io/4ewkh" TargetMode="External"/><Relationship Id="rId1119" Type="http://schemas.openxmlformats.org/officeDocument/2006/relationships/hyperlink" Target="https://rstudio-pubs-static.s3.amazonaws.com/960761_d9b8d67ca3454d3db5b0023e3b583df6.html" TargetMode="External"/><Relationship Id="rId525" Type="http://schemas.openxmlformats.org/officeDocument/2006/relationships/hyperlink" Target="https://osf.io/yqxme" TargetMode="External"/><Relationship Id="rId524" Type="http://schemas.openxmlformats.org/officeDocument/2006/relationships/hyperlink" Target="https://osf.io/ja3wc)" TargetMode="External"/><Relationship Id="rId523" Type="http://schemas.openxmlformats.org/officeDocument/2006/relationships/hyperlink" Target="https://osf.io/6m5tb" TargetMode="External"/><Relationship Id="rId522" Type="http://schemas.openxmlformats.org/officeDocument/2006/relationships/hyperlink" Target="https://osf.io/6m5tb" TargetMode="External"/><Relationship Id="rId529" Type="http://schemas.openxmlformats.org/officeDocument/2006/relationships/hyperlink" Target="https://osf.io/yqxme" TargetMode="External"/><Relationship Id="rId528" Type="http://schemas.openxmlformats.org/officeDocument/2006/relationships/hyperlink" Target="https://osf.io/yqxme" TargetMode="External"/><Relationship Id="rId527" Type="http://schemas.openxmlformats.org/officeDocument/2006/relationships/hyperlink" Target="https://osf.io/yqxme" TargetMode="External"/><Relationship Id="rId526" Type="http://schemas.openxmlformats.org/officeDocument/2006/relationships/hyperlink" Target="https://doi.org/10.1177/1948550619843931" TargetMode="External"/><Relationship Id="rId2440" Type="http://schemas.openxmlformats.org/officeDocument/2006/relationships/hyperlink" Target="https://osf.io/fxqpr" TargetMode="External"/><Relationship Id="rId521" Type="http://schemas.openxmlformats.org/officeDocument/2006/relationships/hyperlink" Target="https://osf.io/yajmp" TargetMode="External"/><Relationship Id="rId1110" Type="http://schemas.openxmlformats.org/officeDocument/2006/relationships/hyperlink" Target="https://rpubs.com/ayodeledada/yousif2019" TargetMode="External"/><Relationship Id="rId2441" Type="http://schemas.openxmlformats.org/officeDocument/2006/relationships/hyperlink" Target="http://osf.io/bv42c/" TargetMode="External"/><Relationship Id="rId520" Type="http://schemas.openxmlformats.org/officeDocument/2006/relationships/hyperlink" Target="https://osf.io/yajmp" TargetMode="External"/><Relationship Id="rId1111" Type="http://schemas.openxmlformats.org/officeDocument/2006/relationships/hyperlink" Target="https://osf.io/g9yrc" TargetMode="External"/><Relationship Id="rId2442" Type="http://schemas.openxmlformats.org/officeDocument/2006/relationships/hyperlink" Target="http://osf.io/693bm/" TargetMode="External"/><Relationship Id="rId1112" Type="http://schemas.openxmlformats.org/officeDocument/2006/relationships/hyperlink" Target="https://osf.io/vcmdp" TargetMode="External"/><Relationship Id="rId2443" Type="http://schemas.openxmlformats.org/officeDocument/2006/relationships/hyperlink" Target="http://doi.org/10.1007/s13164-018-0400-9" TargetMode="External"/><Relationship Id="rId1113" Type="http://schemas.openxmlformats.org/officeDocument/2006/relationships/hyperlink" Target="https://rstudio-pubs-static.s3.amazonaws.com/960761_d9b8d67ca3454d3db5b0023e3b583df6.html" TargetMode="External"/><Relationship Id="rId2444" Type="http://schemas.openxmlformats.org/officeDocument/2006/relationships/hyperlink" Target="https://osf.io/4ewkh" TargetMode="External"/><Relationship Id="rId1103" Type="http://schemas.openxmlformats.org/officeDocument/2006/relationships/hyperlink" Target="https://aspredicted.org/uv6ha.pdf" TargetMode="External"/><Relationship Id="rId2434" Type="http://schemas.openxmlformats.org/officeDocument/2006/relationships/hyperlink" Target="https://osf.io/4ewkh" TargetMode="External"/><Relationship Id="rId1104" Type="http://schemas.openxmlformats.org/officeDocument/2006/relationships/hyperlink" Target="https://aspredicted.org/uv6ha.pdf" TargetMode="External"/><Relationship Id="rId2435" Type="http://schemas.openxmlformats.org/officeDocument/2006/relationships/hyperlink" Target="https://doi.org/10.17605/OSF.IO/N5ZSX" TargetMode="External"/><Relationship Id="rId1105" Type="http://schemas.openxmlformats.org/officeDocument/2006/relationships/hyperlink" Target="https://rstudio-pubs-static.s3.amazonaws.com/1159352_e9a668d9124f415e8831bab302f49b6b.html" TargetMode="External"/><Relationship Id="rId2436" Type="http://schemas.openxmlformats.org/officeDocument/2006/relationships/hyperlink" Target="http://doi.org/10.1007/s13164-018-0400-9" TargetMode="External"/><Relationship Id="rId1106" Type="http://schemas.openxmlformats.org/officeDocument/2006/relationships/hyperlink" Target="https://osf.io/g9yrc" TargetMode="External"/><Relationship Id="rId2437" Type="http://schemas.openxmlformats.org/officeDocument/2006/relationships/hyperlink" Target="https://osf.io/4ewkh" TargetMode="External"/><Relationship Id="rId1107" Type="http://schemas.openxmlformats.org/officeDocument/2006/relationships/hyperlink" Target="https://rpubs.com/ayodeledada/yousif2019" TargetMode="External"/><Relationship Id="rId2438" Type="http://schemas.openxmlformats.org/officeDocument/2006/relationships/hyperlink" Target="https://doi.org/10.17605/OSF.IO/TFC6X" TargetMode="External"/><Relationship Id="rId1108" Type="http://schemas.openxmlformats.org/officeDocument/2006/relationships/hyperlink" Target="https://osf.io/g9yrc" TargetMode="External"/><Relationship Id="rId2439" Type="http://schemas.openxmlformats.org/officeDocument/2006/relationships/hyperlink" Target="https://osf.io/4a7v6" TargetMode="External"/><Relationship Id="rId1109" Type="http://schemas.openxmlformats.org/officeDocument/2006/relationships/hyperlink" Target="https://osf.io/vcmdp" TargetMode="External"/><Relationship Id="rId519" Type="http://schemas.openxmlformats.org/officeDocument/2006/relationships/hyperlink" Target="https://osf.io/yajmp" TargetMode="External"/><Relationship Id="rId514" Type="http://schemas.openxmlformats.org/officeDocument/2006/relationships/hyperlink" Target="https://osf.io/yajmp" TargetMode="External"/><Relationship Id="rId513" Type="http://schemas.openxmlformats.org/officeDocument/2006/relationships/hyperlink" Target="https://osf.io/yajmp" TargetMode="External"/><Relationship Id="rId512" Type="http://schemas.openxmlformats.org/officeDocument/2006/relationships/hyperlink" Target="https://doi.org/10.1037/pspp0000263" TargetMode="External"/><Relationship Id="rId511" Type="http://schemas.openxmlformats.org/officeDocument/2006/relationships/hyperlink" Target="https://osf.io/6m5tb" TargetMode="External"/><Relationship Id="rId518" Type="http://schemas.openxmlformats.org/officeDocument/2006/relationships/hyperlink" Target="https://doi.org/10.1037/pspp0000263" TargetMode="External"/><Relationship Id="rId517" Type="http://schemas.openxmlformats.org/officeDocument/2006/relationships/hyperlink" Target="https://osf.io/6m5tb" TargetMode="External"/><Relationship Id="rId516" Type="http://schemas.openxmlformats.org/officeDocument/2006/relationships/hyperlink" Target="https://osf.io/6m5tb" TargetMode="External"/><Relationship Id="rId515" Type="http://schemas.openxmlformats.org/officeDocument/2006/relationships/hyperlink" Target="https://osf.io/yajmp" TargetMode="External"/><Relationship Id="rId510" Type="http://schemas.openxmlformats.org/officeDocument/2006/relationships/hyperlink" Target="https://osf.io/6m5tb" TargetMode="External"/><Relationship Id="rId2430" Type="http://schemas.openxmlformats.org/officeDocument/2006/relationships/hyperlink" Target="https://osf.io/uxajg" TargetMode="External"/><Relationship Id="rId1100" Type="http://schemas.openxmlformats.org/officeDocument/2006/relationships/hyperlink" Target="https://rstudio-pubs-static.s3.amazonaws.com/155174_48b1633681bb4024b4098ed433d5a80a.html" TargetMode="External"/><Relationship Id="rId2431" Type="http://schemas.openxmlformats.org/officeDocument/2006/relationships/hyperlink" Target="https://osf.io/658pq/" TargetMode="External"/><Relationship Id="rId1101" Type="http://schemas.openxmlformats.org/officeDocument/2006/relationships/hyperlink" Target="https://osf.io/62jvk" TargetMode="External"/><Relationship Id="rId2432" Type="http://schemas.openxmlformats.org/officeDocument/2006/relationships/hyperlink" Target="http://osf.io/m8t3k/" TargetMode="External"/><Relationship Id="rId1102" Type="http://schemas.openxmlformats.org/officeDocument/2006/relationships/hyperlink" Target="https://osf.io/v6zk8" TargetMode="External"/><Relationship Id="rId2433" Type="http://schemas.openxmlformats.org/officeDocument/2006/relationships/hyperlink" Target="http://doi.org/10.1007/s13164-018-0400-9" TargetMode="External"/><Relationship Id="rId2401" Type="http://schemas.openxmlformats.org/officeDocument/2006/relationships/hyperlink" Target="https://doi.org/10.17605/OSF.IO/U6ZW9" TargetMode="External"/><Relationship Id="rId2402" Type="http://schemas.openxmlformats.org/officeDocument/2006/relationships/hyperlink" Target="https://doi.org/10.17605/OSF.IO/U6ZW9" TargetMode="External"/><Relationship Id="rId2403" Type="http://schemas.openxmlformats.org/officeDocument/2006/relationships/hyperlink" Target="https://doi.org/10.17605/OSF.IO/U6ZW9" TargetMode="External"/><Relationship Id="rId2404" Type="http://schemas.openxmlformats.org/officeDocument/2006/relationships/hyperlink" Target="https://doi.org/10.17605/OSF.IO/U6ZW9" TargetMode="External"/><Relationship Id="rId2405" Type="http://schemas.openxmlformats.org/officeDocument/2006/relationships/hyperlink" Target="https://doi.org/10.17605/OSF.IO/U6ZW9" TargetMode="External"/><Relationship Id="rId2406" Type="http://schemas.openxmlformats.org/officeDocument/2006/relationships/hyperlink" Target="https://doi.org/10.17605/OSF.IO/U6ZW9" TargetMode="External"/><Relationship Id="rId2407" Type="http://schemas.openxmlformats.org/officeDocument/2006/relationships/hyperlink" Target="https://doi.org/10.17605/OSF.IO/U6ZW9" TargetMode="External"/><Relationship Id="rId2408" Type="http://schemas.openxmlformats.org/officeDocument/2006/relationships/hyperlink" Target="https://doi.org/10.17605/OSF.IO/U6ZW9" TargetMode="External"/><Relationship Id="rId2409" Type="http://schemas.openxmlformats.org/officeDocument/2006/relationships/hyperlink" Target="https://doi.org/10.17605/OSF.IO/U6ZW9" TargetMode="External"/><Relationship Id="rId2400" Type="http://schemas.openxmlformats.org/officeDocument/2006/relationships/hyperlink" Target="https://doi.org/10.17605/OSF.IO/U6ZW9" TargetMode="External"/><Relationship Id="rId590" Type="http://schemas.openxmlformats.org/officeDocument/2006/relationships/hyperlink" Target="https://osf.io/8cbua/" TargetMode="External"/><Relationship Id="rId589" Type="http://schemas.openxmlformats.org/officeDocument/2006/relationships/hyperlink" Target="https://osf.io/8cbua/" TargetMode="External"/><Relationship Id="rId588" Type="http://schemas.openxmlformats.org/officeDocument/2006/relationships/hyperlink" Target="https://osf.io/8cbua/" TargetMode="External"/><Relationship Id="rId1170" Type="http://schemas.openxmlformats.org/officeDocument/2006/relationships/hyperlink" Target="https://rpubs.com/dmetaxak/correll2007" TargetMode="External"/><Relationship Id="rId1171" Type="http://schemas.openxmlformats.org/officeDocument/2006/relationships/hyperlink" Target="https://rpubs.com/dmetaxak/correll2007" TargetMode="External"/><Relationship Id="rId583" Type="http://schemas.openxmlformats.org/officeDocument/2006/relationships/hyperlink" Target="https://osf.io/p2hr3" TargetMode="External"/><Relationship Id="rId1172" Type="http://schemas.openxmlformats.org/officeDocument/2006/relationships/hyperlink" Target="https://rpubs.com/staciaking/craig2014" TargetMode="External"/><Relationship Id="rId582" Type="http://schemas.openxmlformats.org/officeDocument/2006/relationships/hyperlink" Target="https://osf.io/p2hr3" TargetMode="External"/><Relationship Id="rId1173" Type="http://schemas.openxmlformats.org/officeDocument/2006/relationships/hyperlink" Target="https://doi.org/10.1098/rsos.231090" TargetMode="External"/><Relationship Id="rId581" Type="http://schemas.openxmlformats.org/officeDocument/2006/relationships/hyperlink" Target="https://osf.io/p2hr3" TargetMode="External"/><Relationship Id="rId1174" Type="http://schemas.openxmlformats.org/officeDocument/2006/relationships/hyperlink" Target="https://aspredicted.org/mq97g.pdf" TargetMode="External"/><Relationship Id="rId580" Type="http://schemas.openxmlformats.org/officeDocument/2006/relationships/hyperlink" Target="https://osf.io/p2hr3" TargetMode="External"/><Relationship Id="rId1175" Type="http://schemas.openxmlformats.org/officeDocument/2006/relationships/hyperlink" Target="https://osf.io/nra37" TargetMode="External"/><Relationship Id="rId587" Type="http://schemas.openxmlformats.org/officeDocument/2006/relationships/hyperlink" Target="https://osf.io/8cbua/" TargetMode="External"/><Relationship Id="rId1176" Type="http://schemas.openxmlformats.org/officeDocument/2006/relationships/hyperlink" Target="https://aspredicted.org/mq97g.pdf" TargetMode="External"/><Relationship Id="rId586" Type="http://schemas.openxmlformats.org/officeDocument/2006/relationships/hyperlink" Target="https://osf.io/p2hr3" TargetMode="External"/><Relationship Id="rId1177" Type="http://schemas.openxmlformats.org/officeDocument/2006/relationships/hyperlink" Target="https://aspredicted.org/mq97g.pdf" TargetMode="External"/><Relationship Id="rId585" Type="http://schemas.openxmlformats.org/officeDocument/2006/relationships/hyperlink" Target="https://osf.io/p2hr3" TargetMode="External"/><Relationship Id="rId1178" Type="http://schemas.openxmlformats.org/officeDocument/2006/relationships/hyperlink" Target="https://osf.io/avy86" TargetMode="External"/><Relationship Id="rId584" Type="http://schemas.openxmlformats.org/officeDocument/2006/relationships/hyperlink" Target="https://osf.io/p2hr3" TargetMode="External"/><Relationship Id="rId1179" Type="http://schemas.openxmlformats.org/officeDocument/2006/relationships/hyperlink" Target="https://osf.io/pxr93" TargetMode="External"/><Relationship Id="rId1169" Type="http://schemas.openxmlformats.org/officeDocument/2006/relationships/hyperlink" Target="https://rpubs.com/dmetaxak/correll2007" TargetMode="External"/><Relationship Id="rId579" Type="http://schemas.openxmlformats.org/officeDocument/2006/relationships/hyperlink" Target="https://osf.io/p2hr3" TargetMode="External"/><Relationship Id="rId578" Type="http://schemas.openxmlformats.org/officeDocument/2006/relationships/hyperlink" Target="https://osf.io/p2hr3" TargetMode="External"/><Relationship Id="rId577" Type="http://schemas.openxmlformats.org/officeDocument/2006/relationships/hyperlink" Target="https://osf.io/p2hr3" TargetMode="External"/><Relationship Id="rId2490" Type="http://schemas.openxmlformats.org/officeDocument/2006/relationships/hyperlink" Target="https://osf.io/c639t" TargetMode="External"/><Relationship Id="rId1160" Type="http://schemas.openxmlformats.org/officeDocument/2006/relationships/hyperlink" Target="https://osf.io/agxwv" TargetMode="External"/><Relationship Id="rId2491" Type="http://schemas.openxmlformats.org/officeDocument/2006/relationships/hyperlink" Target="https://doi.org/10.17605/OSF.IO/JW84M" TargetMode="External"/><Relationship Id="rId572" Type="http://schemas.openxmlformats.org/officeDocument/2006/relationships/hyperlink" Target="https://researchbox.org/1499" TargetMode="External"/><Relationship Id="rId1161" Type="http://schemas.openxmlformats.org/officeDocument/2006/relationships/hyperlink" Target="https://osf.io/vk2cs" TargetMode="External"/><Relationship Id="rId2492" Type="http://schemas.openxmlformats.org/officeDocument/2006/relationships/hyperlink" Target="https://doi.org/10.1037/a0015960" TargetMode="External"/><Relationship Id="rId571" Type="http://schemas.openxmlformats.org/officeDocument/2006/relationships/hyperlink" Target="https://aspredicted.org/blind.php?x=6w6gu4" TargetMode="External"/><Relationship Id="rId1162" Type="http://schemas.openxmlformats.org/officeDocument/2006/relationships/hyperlink" Target="https://osf.io/jpwd3" TargetMode="External"/><Relationship Id="rId2493" Type="http://schemas.openxmlformats.org/officeDocument/2006/relationships/hyperlink" Target="https://osf.io/4ewkh" TargetMode="External"/><Relationship Id="rId570" Type="http://schemas.openxmlformats.org/officeDocument/2006/relationships/hyperlink" Target="https://doi.org/10.1073/pnas.2120668119" TargetMode="External"/><Relationship Id="rId1163" Type="http://schemas.openxmlformats.org/officeDocument/2006/relationships/hyperlink" Target="https://osf.io/jpwd3" TargetMode="External"/><Relationship Id="rId2494" Type="http://schemas.openxmlformats.org/officeDocument/2006/relationships/hyperlink" Target="https://osf.io/c639t" TargetMode="External"/><Relationship Id="rId1164" Type="http://schemas.openxmlformats.org/officeDocument/2006/relationships/hyperlink" Target="https://osf.io/wj3bm" TargetMode="External"/><Relationship Id="rId2495" Type="http://schemas.openxmlformats.org/officeDocument/2006/relationships/hyperlink" Target="https://doi.org/10.17605/OSF.IO/JW84M" TargetMode="External"/><Relationship Id="rId576" Type="http://schemas.openxmlformats.org/officeDocument/2006/relationships/hyperlink" Target="https://osf.io/p2hr3" TargetMode="External"/><Relationship Id="rId1165" Type="http://schemas.openxmlformats.org/officeDocument/2006/relationships/hyperlink" Target="https://osf.io/wj3bm" TargetMode="External"/><Relationship Id="rId2496" Type="http://schemas.openxmlformats.org/officeDocument/2006/relationships/hyperlink" Target="http://doi.org/10.1007/s13164-018-0400-9" TargetMode="External"/><Relationship Id="rId575" Type="http://schemas.openxmlformats.org/officeDocument/2006/relationships/hyperlink" Target="https://osf.io/p2hr3" TargetMode="External"/><Relationship Id="rId1166" Type="http://schemas.openxmlformats.org/officeDocument/2006/relationships/hyperlink" Target="https://osf.io/vmfue" TargetMode="External"/><Relationship Id="rId2497" Type="http://schemas.openxmlformats.org/officeDocument/2006/relationships/hyperlink" Target="https://osf.io/4ewkh" TargetMode="External"/><Relationship Id="rId574" Type="http://schemas.openxmlformats.org/officeDocument/2006/relationships/hyperlink" Target="https://aspredicted.org/PHY_PZZ" TargetMode="External"/><Relationship Id="rId1167" Type="http://schemas.openxmlformats.org/officeDocument/2006/relationships/hyperlink" Target="https://osf.io/7d3ha" TargetMode="External"/><Relationship Id="rId2498" Type="http://schemas.openxmlformats.org/officeDocument/2006/relationships/hyperlink" Target="https://doi.org/10.17605/OSF.IO/JW84M" TargetMode="External"/><Relationship Id="rId573" Type="http://schemas.openxmlformats.org/officeDocument/2006/relationships/hyperlink" Target="https://aspredicted.org/PHY_PZZ" TargetMode="External"/><Relationship Id="rId1168" Type="http://schemas.openxmlformats.org/officeDocument/2006/relationships/hyperlink" Target="https://osf.io/7d3ha" TargetMode="External"/><Relationship Id="rId2499" Type="http://schemas.openxmlformats.org/officeDocument/2006/relationships/hyperlink" Target="https://doi.org/10.1037/a0015960" TargetMode="External"/><Relationship Id="rId1190" Type="http://schemas.openxmlformats.org/officeDocument/2006/relationships/hyperlink" Target="https://osf.io/nsk8h/?view_only=b1e702d061484d1bb4150754892d9197" TargetMode="External"/><Relationship Id="rId1191" Type="http://schemas.openxmlformats.org/officeDocument/2006/relationships/hyperlink" Target="https://osf.io/krx8m/?view_only=069f8366242e4dccb0309ccf89f88324." TargetMode="External"/><Relationship Id="rId1192" Type="http://schemas.openxmlformats.org/officeDocument/2006/relationships/hyperlink" Target="https://osf.io/ne9dy/registrations" TargetMode="External"/><Relationship Id="rId1193" Type="http://schemas.openxmlformats.org/officeDocument/2006/relationships/hyperlink" Target="https://osf.io/wys6d" TargetMode="External"/><Relationship Id="rId1194" Type="http://schemas.openxmlformats.org/officeDocument/2006/relationships/hyperlink" Target="https://osf.io/9fcjx" TargetMode="External"/><Relationship Id="rId1195" Type="http://schemas.openxmlformats.org/officeDocument/2006/relationships/hyperlink" Target="https://osf.io/q6tv8" TargetMode="External"/><Relationship Id="rId1196" Type="http://schemas.openxmlformats.org/officeDocument/2006/relationships/hyperlink" Target="https://osf.io/9fcjx" TargetMode="External"/><Relationship Id="rId1197" Type="http://schemas.openxmlformats.org/officeDocument/2006/relationships/hyperlink" Target="https://osf.io/q6tv8" TargetMode="External"/><Relationship Id="rId1198" Type="http://schemas.openxmlformats.org/officeDocument/2006/relationships/hyperlink" Target="https://osf.io/ktjc4/" TargetMode="External"/><Relationship Id="rId1199" Type="http://schemas.openxmlformats.org/officeDocument/2006/relationships/hyperlink" Target="https://dx.doi.org/10.2139/ssrn.2586261" TargetMode="External"/><Relationship Id="rId599" Type="http://schemas.openxmlformats.org/officeDocument/2006/relationships/hyperlink" Target="https://osf.io/e5k4j/" TargetMode="External"/><Relationship Id="rId1180" Type="http://schemas.openxmlformats.org/officeDocument/2006/relationships/hyperlink" Target="https://osf.io/9x765" TargetMode="External"/><Relationship Id="rId1181" Type="http://schemas.openxmlformats.org/officeDocument/2006/relationships/hyperlink" Target="https://osf.io/7ufyv" TargetMode="External"/><Relationship Id="rId1182" Type="http://schemas.openxmlformats.org/officeDocument/2006/relationships/hyperlink" Target="https://osf.io/5ybej/." TargetMode="External"/><Relationship Id="rId594" Type="http://schemas.openxmlformats.org/officeDocument/2006/relationships/hyperlink" Target="https://osf.io/gexhp" TargetMode="External"/><Relationship Id="rId1183" Type="http://schemas.openxmlformats.org/officeDocument/2006/relationships/hyperlink" Target="https://osf.io/efjn3" TargetMode="External"/><Relationship Id="rId593" Type="http://schemas.openxmlformats.org/officeDocument/2006/relationships/hyperlink" Target="https://doi.org/10.5465/AMPROC.2024.19578abstract" TargetMode="External"/><Relationship Id="rId1184" Type="http://schemas.openxmlformats.org/officeDocument/2006/relationships/hyperlink" Target="https://osf.io/d5e7b" TargetMode="External"/><Relationship Id="rId592" Type="http://schemas.openxmlformats.org/officeDocument/2006/relationships/hyperlink" Target="https://osf.io/8cbua/" TargetMode="External"/><Relationship Id="rId1185" Type="http://schemas.openxmlformats.org/officeDocument/2006/relationships/hyperlink" Target="https://osf.io/d5e7b" TargetMode="External"/><Relationship Id="rId591" Type="http://schemas.openxmlformats.org/officeDocument/2006/relationships/hyperlink" Target="https://osf.io/8cbua/" TargetMode="External"/><Relationship Id="rId1186" Type="http://schemas.openxmlformats.org/officeDocument/2006/relationships/hyperlink" Target="https://osf.io/dwr2m" TargetMode="External"/><Relationship Id="rId598" Type="http://schemas.openxmlformats.org/officeDocument/2006/relationships/hyperlink" Target="https://osf.io/gexhp" TargetMode="External"/><Relationship Id="rId1187" Type="http://schemas.openxmlformats.org/officeDocument/2006/relationships/hyperlink" Target="https://osf.io/2kryw" TargetMode="External"/><Relationship Id="rId597" Type="http://schemas.openxmlformats.org/officeDocument/2006/relationships/hyperlink" Target="http://dx.doi.org/10.17605/OSF.IO/E5K4J" TargetMode="External"/><Relationship Id="rId1188" Type="http://schemas.openxmlformats.org/officeDocument/2006/relationships/hyperlink" Target="https://osf.io/49xea" TargetMode="External"/><Relationship Id="rId596" Type="http://schemas.openxmlformats.org/officeDocument/2006/relationships/hyperlink" Target="https://osf.io/e5k4j/" TargetMode="External"/><Relationship Id="rId1189" Type="http://schemas.openxmlformats.org/officeDocument/2006/relationships/hyperlink" Target="https://osf.io/nsk8h/?view_only=b1e702d061484d1bb4150754892d9197" TargetMode="External"/><Relationship Id="rId595" Type="http://schemas.openxmlformats.org/officeDocument/2006/relationships/hyperlink" Target="https://osf.io/gexhp" TargetMode="External"/><Relationship Id="rId1136" Type="http://schemas.openxmlformats.org/officeDocument/2006/relationships/hyperlink" Target="https://osf.io/z6rfa" TargetMode="External"/><Relationship Id="rId2467" Type="http://schemas.openxmlformats.org/officeDocument/2006/relationships/hyperlink" Target="https://osf.io/4ewkh" TargetMode="External"/><Relationship Id="rId1137" Type="http://schemas.openxmlformats.org/officeDocument/2006/relationships/hyperlink" Target="https://osf.io/9fdhb/" TargetMode="External"/><Relationship Id="rId2468" Type="http://schemas.openxmlformats.org/officeDocument/2006/relationships/hyperlink" Target="https://doi.org/10.17605/OSF.IO/69DQC" TargetMode="External"/><Relationship Id="rId1138" Type="http://schemas.openxmlformats.org/officeDocument/2006/relationships/hyperlink" Target="https://osf.io/h37qu" TargetMode="External"/><Relationship Id="rId2469" Type="http://schemas.openxmlformats.org/officeDocument/2006/relationships/hyperlink" Target="http://doi.org/10.1007/s13164-018-0400-9" TargetMode="External"/><Relationship Id="rId1139" Type="http://schemas.openxmlformats.org/officeDocument/2006/relationships/hyperlink" Target="https://osf.io/ab9q3" TargetMode="External"/><Relationship Id="rId547" Type="http://schemas.openxmlformats.org/officeDocument/2006/relationships/hyperlink" Target="https://cornerstone.lib.mnsu.edu/etds/1424/" TargetMode="External"/><Relationship Id="rId546" Type="http://schemas.openxmlformats.org/officeDocument/2006/relationships/hyperlink" Target="https://osf.io/ja3wc" TargetMode="External"/><Relationship Id="rId545" Type="http://schemas.openxmlformats.org/officeDocument/2006/relationships/hyperlink" Target="https://osf.io/ja3wc" TargetMode="External"/><Relationship Id="rId544" Type="http://schemas.openxmlformats.org/officeDocument/2006/relationships/hyperlink" Target="https://osf.io/yqxme" TargetMode="External"/><Relationship Id="rId549" Type="http://schemas.openxmlformats.org/officeDocument/2006/relationships/hyperlink" Target="https://cornerstone.lib.mnsu.edu/etds/1424/" TargetMode="External"/><Relationship Id="rId548" Type="http://schemas.openxmlformats.org/officeDocument/2006/relationships/hyperlink" Target="https://cornerstone.lib.mnsu.edu/etds/1424/" TargetMode="External"/><Relationship Id="rId2460" Type="http://schemas.openxmlformats.org/officeDocument/2006/relationships/hyperlink" Target="http://doi.org/10.1007/s13164-018-0400-9" TargetMode="External"/><Relationship Id="rId1130" Type="http://schemas.openxmlformats.org/officeDocument/2006/relationships/hyperlink" Target="https://rpubs.com/rcatapano/Zaval_replication_report" TargetMode="External"/><Relationship Id="rId2461" Type="http://schemas.openxmlformats.org/officeDocument/2006/relationships/hyperlink" Target="https://osf.io/4ewkh" TargetMode="External"/><Relationship Id="rId1131" Type="http://schemas.openxmlformats.org/officeDocument/2006/relationships/hyperlink" Target="https://rpubs.com/rcatapano/Zaval_replication_report" TargetMode="External"/><Relationship Id="rId2462" Type="http://schemas.openxmlformats.org/officeDocument/2006/relationships/hyperlink" Target="http://osf.io/pjdkg" TargetMode="External"/><Relationship Id="rId543" Type="http://schemas.openxmlformats.org/officeDocument/2006/relationships/hyperlink" Target="https://osf.io/yqxme" TargetMode="External"/><Relationship Id="rId1132" Type="http://schemas.openxmlformats.org/officeDocument/2006/relationships/hyperlink" Target="https://osf.io/z6rfa" TargetMode="External"/><Relationship Id="rId2463" Type="http://schemas.openxmlformats.org/officeDocument/2006/relationships/hyperlink" Target="http://doi.org/10.1007/s13164-018-0400-9" TargetMode="External"/><Relationship Id="rId542" Type="http://schemas.openxmlformats.org/officeDocument/2006/relationships/hyperlink" Target="https://doi.org/10.1177/1948550619843931" TargetMode="External"/><Relationship Id="rId1133" Type="http://schemas.openxmlformats.org/officeDocument/2006/relationships/hyperlink" Target="https://osf.io/z6rfa" TargetMode="External"/><Relationship Id="rId2464" Type="http://schemas.openxmlformats.org/officeDocument/2006/relationships/hyperlink" Target="https://osf.io/4ewkh" TargetMode="External"/><Relationship Id="rId541" Type="http://schemas.openxmlformats.org/officeDocument/2006/relationships/hyperlink" Target="https://osf.io/yqxme" TargetMode="External"/><Relationship Id="rId1134" Type="http://schemas.openxmlformats.org/officeDocument/2006/relationships/hyperlink" Target="https://osf.io/9fdhb/" TargetMode="External"/><Relationship Id="rId2465" Type="http://schemas.openxmlformats.org/officeDocument/2006/relationships/hyperlink" Target="https://doi.org/10.17605/OSF.IO/69DQC" TargetMode="External"/><Relationship Id="rId540" Type="http://schemas.openxmlformats.org/officeDocument/2006/relationships/hyperlink" Target="https://osf.io/8hz3s)" TargetMode="External"/><Relationship Id="rId1135" Type="http://schemas.openxmlformats.org/officeDocument/2006/relationships/hyperlink" Target="https://osf.io/h37qu" TargetMode="External"/><Relationship Id="rId2466" Type="http://schemas.openxmlformats.org/officeDocument/2006/relationships/hyperlink" Target="http://doi.org/10.1007/s13164-018-0400-9" TargetMode="External"/><Relationship Id="rId1125" Type="http://schemas.openxmlformats.org/officeDocument/2006/relationships/hyperlink" Target="https://rstudio-pubs-static.s3.amazonaws.com/960761_d9b8d67ca3454d3db5b0023e3b583df6.html" TargetMode="External"/><Relationship Id="rId2456" Type="http://schemas.openxmlformats.org/officeDocument/2006/relationships/hyperlink" Target="http://osf.io/pjdkg" TargetMode="External"/><Relationship Id="rId1126" Type="http://schemas.openxmlformats.org/officeDocument/2006/relationships/hyperlink" Target="https://rstudio-pubs-static.s3.amazonaws.com/960761_d9b8d67ca3454d3db5b0023e3b583df6.html" TargetMode="External"/><Relationship Id="rId2457" Type="http://schemas.openxmlformats.org/officeDocument/2006/relationships/hyperlink" Target="http://doi.org/10.1007/s13164-018-0400-9" TargetMode="External"/><Relationship Id="rId1127" Type="http://schemas.openxmlformats.org/officeDocument/2006/relationships/hyperlink" Target="https://rpubs.com/rcatapano/Zaval_replication_report" TargetMode="External"/><Relationship Id="rId2458" Type="http://schemas.openxmlformats.org/officeDocument/2006/relationships/hyperlink" Target="https://osf.io/4ewkh" TargetMode="External"/><Relationship Id="rId1128" Type="http://schemas.openxmlformats.org/officeDocument/2006/relationships/hyperlink" Target="https://rpubs.com/rcatapano/Zaval_replication_report" TargetMode="External"/><Relationship Id="rId2459" Type="http://schemas.openxmlformats.org/officeDocument/2006/relationships/hyperlink" Target="https://doi.org/10.17605/OSF.IO/69DQC" TargetMode="External"/><Relationship Id="rId1129" Type="http://schemas.openxmlformats.org/officeDocument/2006/relationships/hyperlink" Target="https://rpubs.com/rcatapano/Zaval_replication_report" TargetMode="External"/><Relationship Id="rId536" Type="http://schemas.openxmlformats.org/officeDocument/2006/relationships/hyperlink" Target="https://osf.io/yqxme" TargetMode="External"/><Relationship Id="rId535" Type="http://schemas.openxmlformats.org/officeDocument/2006/relationships/hyperlink" Target="https://osf.io/yqxme" TargetMode="External"/><Relationship Id="rId534" Type="http://schemas.openxmlformats.org/officeDocument/2006/relationships/hyperlink" Target="https://doi.org/10.1177/1948550619843931" TargetMode="External"/><Relationship Id="rId533" Type="http://schemas.openxmlformats.org/officeDocument/2006/relationships/hyperlink" Target="https://osf.io/yqxme" TargetMode="External"/><Relationship Id="rId539" Type="http://schemas.openxmlformats.org/officeDocument/2006/relationships/hyperlink" Target="https://osf.io/ja3wc" TargetMode="External"/><Relationship Id="rId538" Type="http://schemas.openxmlformats.org/officeDocument/2006/relationships/hyperlink" Target="https://osf.io/ja3wc" TargetMode="External"/><Relationship Id="rId537" Type="http://schemas.openxmlformats.org/officeDocument/2006/relationships/hyperlink" Target="https://osf.io/yqxme" TargetMode="External"/><Relationship Id="rId2450" Type="http://schemas.openxmlformats.org/officeDocument/2006/relationships/hyperlink" Target="http://osf.io/pjdkg" TargetMode="External"/><Relationship Id="rId1120" Type="http://schemas.openxmlformats.org/officeDocument/2006/relationships/hyperlink" Target="https://rstudio-pubs-static.s3.amazonaws.com/960761_d9b8d67ca3454d3db5b0023e3b583df6.html" TargetMode="External"/><Relationship Id="rId2451" Type="http://schemas.openxmlformats.org/officeDocument/2006/relationships/hyperlink" Target="http://doi.org/10.1007/s13164-018-0400-9" TargetMode="External"/><Relationship Id="rId532" Type="http://schemas.openxmlformats.org/officeDocument/2006/relationships/hyperlink" Target="https://osf.io/yqxme/registrations." TargetMode="External"/><Relationship Id="rId1121" Type="http://schemas.openxmlformats.org/officeDocument/2006/relationships/hyperlink" Target="https://rstudio-pubs-static.s3.amazonaws.com/960761_d9b8d67ca3454d3db5b0023e3b583df6.html" TargetMode="External"/><Relationship Id="rId2452" Type="http://schemas.openxmlformats.org/officeDocument/2006/relationships/hyperlink" Target="https://osf.io/4ewkh" TargetMode="External"/><Relationship Id="rId531" Type="http://schemas.openxmlformats.org/officeDocument/2006/relationships/hyperlink" Target="https://osf.io/ja3wc" TargetMode="External"/><Relationship Id="rId1122" Type="http://schemas.openxmlformats.org/officeDocument/2006/relationships/hyperlink" Target="https://rstudio-pubs-static.s3.amazonaws.com/960761_d9b8d67ca3454d3db5b0023e3b583df6.html" TargetMode="External"/><Relationship Id="rId2453" Type="http://schemas.openxmlformats.org/officeDocument/2006/relationships/hyperlink" Target="https://doi.org/10.17605/OSF.IO/69DQC" TargetMode="External"/><Relationship Id="rId530" Type="http://schemas.openxmlformats.org/officeDocument/2006/relationships/hyperlink" Target="https://osf.io/ja3wc" TargetMode="External"/><Relationship Id="rId1123" Type="http://schemas.openxmlformats.org/officeDocument/2006/relationships/hyperlink" Target="https://rstudio-pubs-static.s3.amazonaws.com/960761_d9b8d67ca3454d3db5b0023e3b583df6.html" TargetMode="External"/><Relationship Id="rId2454" Type="http://schemas.openxmlformats.org/officeDocument/2006/relationships/hyperlink" Target="http://doi.org/10.1007/s13164-018-0400-9" TargetMode="External"/><Relationship Id="rId1124" Type="http://schemas.openxmlformats.org/officeDocument/2006/relationships/hyperlink" Target="https://rstudio-pubs-static.s3.amazonaws.com/960761_d9b8d67ca3454d3db5b0023e3b583df6.html" TargetMode="External"/><Relationship Id="rId2455" Type="http://schemas.openxmlformats.org/officeDocument/2006/relationships/hyperlink" Target="https://osf.io/4ewkh" TargetMode="External"/><Relationship Id="rId1158" Type="http://schemas.openxmlformats.org/officeDocument/2006/relationships/hyperlink" Target="https://osf.io/agxwv" TargetMode="External"/><Relationship Id="rId2489" Type="http://schemas.openxmlformats.org/officeDocument/2006/relationships/hyperlink" Target="https://osf.io/4ewkh" TargetMode="External"/><Relationship Id="rId1159" Type="http://schemas.openxmlformats.org/officeDocument/2006/relationships/hyperlink" Target="https://osf.io/vk2cs" TargetMode="External"/><Relationship Id="rId569" Type="http://schemas.openxmlformats.org/officeDocument/2006/relationships/hyperlink" Target="https://researchbox.org/1499" TargetMode="External"/><Relationship Id="rId568" Type="http://schemas.openxmlformats.org/officeDocument/2006/relationships/hyperlink" Target="https://aspredicted.org/blind.php?x=6w6gu4" TargetMode="External"/><Relationship Id="rId567" Type="http://schemas.openxmlformats.org/officeDocument/2006/relationships/hyperlink" Target="https://doi.org/10.1073/pnas.2120668119" TargetMode="External"/><Relationship Id="rId566" Type="http://schemas.openxmlformats.org/officeDocument/2006/relationships/hyperlink" Target="https://doi.org/10.1007/s10834-024-09975-9" TargetMode="External"/><Relationship Id="rId2480" Type="http://schemas.openxmlformats.org/officeDocument/2006/relationships/hyperlink" Target="https://doi.org/10.17605/OSF.IO/CKJTF" TargetMode="External"/><Relationship Id="rId561" Type="http://schemas.openxmlformats.org/officeDocument/2006/relationships/hyperlink" Target="https://doi.org/10.17605/OSF.IO/DT24J" TargetMode="External"/><Relationship Id="rId1150" Type="http://schemas.openxmlformats.org/officeDocument/2006/relationships/hyperlink" Target="https://osf.io/agxwv" TargetMode="External"/><Relationship Id="rId2481" Type="http://schemas.openxmlformats.org/officeDocument/2006/relationships/hyperlink" Target="http://osf.io/wy8ab" TargetMode="External"/><Relationship Id="rId560" Type="http://schemas.openxmlformats.org/officeDocument/2006/relationships/hyperlink" Target="https://osf.io/tjr7a/" TargetMode="External"/><Relationship Id="rId1151" Type="http://schemas.openxmlformats.org/officeDocument/2006/relationships/hyperlink" Target="https://osf.io/vk2cs" TargetMode="External"/><Relationship Id="rId2482" Type="http://schemas.openxmlformats.org/officeDocument/2006/relationships/hyperlink" Target="http://osf.io/jb8yp/" TargetMode="External"/><Relationship Id="rId1152" Type="http://schemas.openxmlformats.org/officeDocument/2006/relationships/hyperlink" Target="https://osf.io/agxwv" TargetMode="External"/><Relationship Id="rId2483" Type="http://schemas.openxmlformats.org/officeDocument/2006/relationships/hyperlink" Target="http://osf.io/78sqa/" TargetMode="External"/><Relationship Id="rId1153" Type="http://schemas.openxmlformats.org/officeDocument/2006/relationships/hyperlink" Target="https://osf.io/vk2cs" TargetMode="External"/><Relationship Id="rId2484" Type="http://schemas.openxmlformats.org/officeDocument/2006/relationships/hyperlink" Target="https://doi.org/10.1037/a0015960" TargetMode="External"/><Relationship Id="rId565" Type="http://schemas.openxmlformats.org/officeDocument/2006/relationships/hyperlink" Target="https://doi.org/10.1007/s11150-021-09593-6" TargetMode="External"/><Relationship Id="rId1154" Type="http://schemas.openxmlformats.org/officeDocument/2006/relationships/hyperlink" Target="https://osf.io/agxwv" TargetMode="External"/><Relationship Id="rId2485" Type="http://schemas.openxmlformats.org/officeDocument/2006/relationships/hyperlink" Target="http://doi.org/10.1007/s13164-018-0400-9" TargetMode="External"/><Relationship Id="rId564" Type="http://schemas.openxmlformats.org/officeDocument/2006/relationships/hyperlink" Target="https://doi.org/10.1257/rct.3585-2.0" TargetMode="External"/><Relationship Id="rId1155" Type="http://schemas.openxmlformats.org/officeDocument/2006/relationships/hyperlink" Target="https://osf.io/vk2cs" TargetMode="External"/><Relationship Id="rId2486" Type="http://schemas.openxmlformats.org/officeDocument/2006/relationships/hyperlink" Target="https://osf.io/4ewkh" TargetMode="External"/><Relationship Id="rId563" Type="http://schemas.openxmlformats.org/officeDocument/2006/relationships/hyperlink" Target="https://doi.org/10.1257/rct.3585-2.0" TargetMode="External"/><Relationship Id="rId1156" Type="http://schemas.openxmlformats.org/officeDocument/2006/relationships/hyperlink" Target="https://osf.io/agxwv" TargetMode="External"/><Relationship Id="rId2487" Type="http://schemas.openxmlformats.org/officeDocument/2006/relationships/hyperlink" Target="https://doi.org/10.17605/OSF.IO/JW84M" TargetMode="External"/><Relationship Id="rId562" Type="http://schemas.openxmlformats.org/officeDocument/2006/relationships/hyperlink" Target="https://doi.org/10.1257/rct.3585-2.0" TargetMode="External"/><Relationship Id="rId1157" Type="http://schemas.openxmlformats.org/officeDocument/2006/relationships/hyperlink" Target="https://osf.io/vk2cs" TargetMode="External"/><Relationship Id="rId2488" Type="http://schemas.openxmlformats.org/officeDocument/2006/relationships/hyperlink" Target="https://doi.org/10.1037/a0015960" TargetMode="External"/><Relationship Id="rId1147" Type="http://schemas.openxmlformats.org/officeDocument/2006/relationships/hyperlink" Target="https://osf.io/agxwv" TargetMode="External"/><Relationship Id="rId2478" Type="http://schemas.openxmlformats.org/officeDocument/2006/relationships/hyperlink" Target="http://doi.org/10.1007/s13164-018-0400-9" TargetMode="External"/><Relationship Id="rId1148" Type="http://schemas.openxmlformats.org/officeDocument/2006/relationships/hyperlink" Target="https://osf.io/agxwv" TargetMode="External"/><Relationship Id="rId2479" Type="http://schemas.openxmlformats.org/officeDocument/2006/relationships/hyperlink" Target="https://osf.io/4ewkh" TargetMode="External"/><Relationship Id="rId1149" Type="http://schemas.openxmlformats.org/officeDocument/2006/relationships/hyperlink" Target="https://osf.io/vk2cs" TargetMode="External"/><Relationship Id="rId558" Type="http://schemas.openxmlformats.org/officeDocument/2006/relationships/hyperlink" Target="https://osf.io/tjr7a/" TargetMode="External"/><Relationship Id="rId557" Type="http://schemas.openxmlformats.org/officeDocument/2006/relationships/hyperlink" Target="https://osf.io/tjr7a/" TargetMode="External"/><Relationship Id="rId556" Type="http://schemas.openxmlformats.org/officeDocument/2006/relationships/hyperlink" Target="https://osf.io/tjr7a/" TargetMode="External"/><Relationship Id="rId555" Type="http://schemas.openxmlformats.org/officeDocument/2006/relationships/hyperlink" Target="https://osf.io/tjr7a/" TargetMode="External"/><Relationship Id="rId559" Type="http://schemas.openxmlformats.org/officeDocument/2006/relationships/hyperlink" Target="https://osf.io/tjr7a/" TargetMode="External"/><Relationship Id="rId550" Type="http://schemas.openxmlformats.org/officeDocument/2006/relationships/hyperlink" Target="https://cornerstone.lib.mnsu.edu/etds/1424/" TargetMode="External"/><Relationship Id="rId2470" Type="http://schemas.openxmlformats.org/officeDocument/2006/relationships/hyperlink" Target="https://osf.io/fdjns" TargetMode="External"/><Relationship Id="rId1140" Type="http://schemas.openxmlformats.org/officeDocument/2006/relationships/hyperlink" Target="https://rstudio-pubs-static.s3.amazonaws.com/696061_39068ca5d4344e6894d818cbf8f2c60e.html" TargetMode="External"/><Relationship Id="rId2471" Type="http://schemas.openxmlformats.org/officeDocument/2006/relationships/hyperlink" Target="https://osf.io/fdjns" TargetMode="External"/><Relationship Id="rId1141" Type="http://schemas.openxmlformats.org/officeDocument/2006/relationships/hyperlink" Target="https://osf.io/ab9q3" TargetMode="External"/><Relationship Id="rId2472" Type="http://schemas.openxmlformats.org/officeDocument/2006/relationships/hyperlink" Target="https://doi.org/10.17605/OSF.IO/N9HDV" TargetMode="External"/><Relationship Id="rId1142" Type="http://schemas.openxmlformats.org/officeDocument/2006/relationships/hyperlink" Target="https://osf.io/wsj2f" TargetMode="External"/><Relationship Id="rId2473" Type="http://schemas.openxmlformats.org/officeDocument/2006/relationships/hyperlink" Target="http://osf.io/7er6r/" TargetMode="External"/><Relationship Id="rId554" Type="http://schemas.openxmlformats.org/officeDocument/2006/relationships/hyperlink" Target="https://doi.org/10.1186/s40163-021-00141-0" TargetMode="External"/><Relationship Id="rId1143" Type="http://schemas.openxmlformats.org/officeDocument/2006/relationships/hyperlink" Target="https://rstudio-pubs-static.s3.amazonaws.com/696061_39068ca5d4344e6894d818cbf8f2c60e.html" TargetMode="External"/><Relationship Id="rId2474" Type="http://schemas.openxmlformats.org/officeDocument/2006/relationships/hyperlink" Target="http://doi.org/10.1007/s13164-018-0400-9" TargetMode="External"/><Relationship Id="rId553" Type="http://schemas.openxmlformats.org/officeDocument/2006/relationships/hyperlink" Target="https://digitalcommons.montclair.edu/student-research-symposium/2024/poster01/21/" TargetMode="External"/><Relationship Id="rId1144" Type="http://schemas.openxmlformats.org/officeDocument/2006/relationships/hyperlink" Target="https://osf.io/ab9q3" TargetMode="External"/><Relationship Id="rId2475" Type="http://schemas.openxmlformats.org/officeDocument/2006/relationships/hyperlink" Target="https://osf.io/4ewkh" TargetMode="External"/><Relationship Id="rId552" Type="http://schemas.openxmlformats.org/officeDocument/2006/relationships/hyperlink" Target="https://digitalcommons.montclair.edu/student-research-symposium/2024/poster01/21/" TargetMode="External"/><Relationship Id="rId1145" Type="http://schemas.openxmlformats.org/officeDocument/2006/relationships/hyperlink" Target="https://osf.io/yt5q8/" TargetMode="External"/><Relationship Id="rId2476" Type="http://schemas.openxmlformats.org/officeDocument/2006/relationships/hyperlink" Target="https://osf.io/4ewkh" TargetMode="External"/><Relationship Id="rId551" Type="http://schemas.openxmlformats.org/officeDocument/2006/relationships/hyperlink" Target="https://cornerstone.lib.mnsu.edu/etds/1424/" TargetMode="External"/><Relationship Id="rId1146" Type="http://schemas.openxmlformats.org/officeDocument/2006/relationships/hyperlink" Target="https://osf.io/yt5q8/" TargetMode="External"/><Relationship Id="rId2477" Type="http://schemas.openxmlformats.org/officeDocument/2006/relationships/hyperlink" Target="http://osf.io/yb38c" TargetMode="External"/><Relationship Id="rId495" Type="http://schemas.openxmlformats.org/officeDocument/2006/relationships/hyperlink" Target="https://osf.io/yajmp" TargetMode="External"/><Relationship Id="rId494" Type="http://schemas.openxmlformats.org/officeDocument/2006/relationships/hyperlink" Target="https://doi.org/10.1037/pspp0000263" TargetMode="External"/><Relationship Id="rId493" Type="http://schemas.openxmlformats.org/officeDocument/2006/relationships/hyperlink" Target="https://osf.io/6m5tb" TargetMode="External"/><Relationship Id="rId492" Type="http://schemas.openxmlformats.org/officeDocument/2006/relationships/hyperlink" Target="https://osf.io/6m5tb" TargetMode="External"/><Relationship Id="rId499" Type="http://schemas.openxmlformats.org/officeDocument/2006/relationships/hyperlink" Target="https://osf.io/6m5tb" TargetMode="External"/><Relationship Id="rId498" Type="http://schemas.openxmlformats.org/officeDocument/2006/relationships/hyperlink" Target="https://osf.io/6m5tb" TargetMode="External"/><Relationship Id="rId497" Type="http://schemas.openxmlformats.org/officeDocument/2006/relationships/hyperlink" Target="https://osf.io/yajmp" TargetMode="External"/><Relationship Id="rId496" Type="http://schemas.openxmlformats.org/officeDocument/2006/relationships/hyperlink" Target="https://osf.io/yajmp" TargetMode="External"/><Relationship Id="rId1213" Type="http://schemas.openxmlformats.org/officeDocument/2006/relationships/hyperlink" Target="https://osf.io/w6qub/" TargetMode="External"/><Relationship Id="rId2544" Type="http://schemas.openxmlformats.org/officeDocument/2006/relationships/hyperlink" Target="http://doi.org/10.1007/s13164-018-0400-9" TargetMode="External"/><Relationship Id="rId1214" Type="http://schemas.openxmlformats.org/officeDocument/2006/relationships/hyperlink" Target="http://osf.io/pjdkg" TargetMode="External"/><Relationship Id="rId2545" Type="http://schemas.openxmlformats.org/officeDocument/2006/relationships/hyperlink" Target="https://osf.io/4ewkh" TargetMode="External"/><Relationship Id="rId1215" Type="http://schemas.openxmlformats.org/officeDocument/2006/relationships/hyperlink" Target="https://osf.io/w6qub/" TargetMode="External"/><Relationship Id="rId2546" Type="http://schemas.openxmlformats.org/officeDocument/2006/relationships/hyperlink" Target="https://doi.org/10.17605/OSF.IO/QP8V3" TargetMode="External"/><Relationship Id="rId1216" Type="http://schemas.openxmlformats.org/officeDocument/2006/relationships/hyperlink" Target="https://osf.io/4ewkh" TargetMode="External"/><Relationship Id="rId2547" Type="http://schemas.openxmlformats.org/officeDocument/2006/relationships/hyperlink" Target="http://doi.org/10.1007/s13164-018-0400-9" TargetMode="External"/><Relationship Id="rId1217" Type="http://schemas.openxmlformats.org/officeDocument/2006/relationships/hyperlink" Target="https://doi.org/10.17605/OSF.IO/N9HDV" TargetMode="External"/><Relationship Id="rId2548" Type="http://schemas.openxmlformats.org/officeDocument/2006/relationships/hyperlink" Target="https://osf.io/4ewkh" TargetMode="External"/><Relationship Id="rId1218" Type="http://schemas.openxmlformats.org/officeDocument/2006/relationships/hyperlink" Target="http://osf.io/7er6r/" TargetMode="External"/><Relationship Id="rId2549" Type="http://schemas.openxmlformats.org/officeDocument/2006/relationships/hyperlink" Target="https://doi.org/10.17605/OSF.IO/QP8V3" TargetMode="External"/><Relationship Id="rId1219" Type="http://schemas.openxmlformats.org/officeDocument/2006/relationships/hyperlink" Target="http://osf.io/yb38c" TargetMode="External"/><Relationship Id="rId2540" Type="http://schemas.openxmlformats.org/officeDocument/2006/relationships/hyperlink" Target="https://osf.io/nxp9w" TargetMode="External"/><Relationship Id="rId1210" Type="http://schemas.openxmlformats.org/officeDocument/2006/relationships/hyperlink" Target="http://osf.io/bv42c/" TargetMode="External"/><Relationship Id="rId2541" Type="http://schemas.openxmlformats.org/officeDocument/2006/relationships/hyperlink" Target="http://doi.org/10.1007/s13164-018-0400-9" TargetMode="External"/><Relationship Id="rId1211" Type="http://schemas.openxmlformats.org/officeDocument/2006/relationships/hyperlink" Target="http://osf.io/693bm/" TargetMode="External"/><Relationship Id="rId2542" Type="http://schemas.openxmlformats.org/officeDocument/2006/relationships/hyperlink" Target="https://osf.io/4ewkh" TargetMode="External"/><Relationship Id="rId1212" Type="http://schemas.openxmlformats.org/officeDocument/2006/relationships/hyperlink" Target="https://doi.org/10.17605/OSF.IO/69DQC" TargetMode="External"/><Relationship Id="rId2543" Type="http://schemas.openxmlformats.org/officeDocument/2006/relationships/hyperlink" Target="https://doi.org/10.17605/OSF.IO/QP8V3" TargetMode="External"/><Relationship Id="rId1202" Type="http://schemas.openxmlformats.org/officeDocument/2006/relationships/hyperlink" Target="https://osf.io/uxajg" TargetMode="External"/><Relationship Id="rId2533" Type="http://schemas.openxmlformats.org/officeDocument/2006/relationships/hyperlink" Target="https://osf.io/pgvej" TargetMode="External"/><Relationship Id="rId1203" Type="http://schemas.openxmlformats.org/officeDocument/2006/relationships/hyperlink" Target="https://doi.org/10.17605/OSF.IO/GZRMV" TargetMode="External"/><Relationship Id="rId2534" Type="http://schemas.openxmlformats.org/officeDocument/2006/relationships/hyperlink" Target="http://doi.org/10.1007/s13164-018-0400-9" TargetMode="External"/><Relationship Id="rId1204" Type="http://schemas.openxmlformats.org/officeDocument/2006/relationships/hyperlink" Target="http://osf.io/hdz5x" TargetMode="External"/><Relationship Id="rId2535" Type="http://schemas.openxmlformats.org/officeDocument/2006/relationships/hyperlink" Target="https://osf.io/4ewkh" TargetMode="External"/><Relationship Id="rId1205" Type="http://schemas.openxmlformats.org/officeDocument/2006/relationships/hyperlink" Target="http://osf.io/m8t3k/" TargetMode="External"/><Relationship Id="rId2536" Type="http://schemas.openxmlformats.org/officeDocument/2006/relationships/hyperlink" Target="https://doi.org/10.17605/OSF.IO/QP8V3" TargetMode="External"/><Relationship Id="rId1206" Type="http://schemas.openxmlformats.org/officeDocument/2006/relationships/hyperlink" Target="https://doi.org/10.17605/OSF.IO/N5ZSX" TargetMode="External"/><Relationship Id="rId2537" Type="http://schemas.openxmlformats.org/officeDocument/2006/relationships/hyperlink" Target="http://doi.org/10.1007/s13164-018-0400-9" TargetMode="External"/><Relationship Id="rId1207" Type="http://schemas.openxmlformats.org/officeDocument/2006/relationships/hyperlink" Target="http://osf.io/p48sa/" TargetMode="External"/><Relationship Id="rId2538" Type="http://schemas.openxmlformats.org/officeDocument/2006/relationships/hyperlink" Target="https://osf.io/4ewkh" TargetMode="External"/><Relationship Id="rId1208" Type="http://schemas.openxmlformats.org/officeDocument/2006/relationships/hyperlink" Target="https://doi.org/10.17605/OSF.IO/TFC6X" TargetMode="External"/><Relationship Id="rId2539" Type="http://schemas.openxmlformats.org/officeDocument/2006/relationships/hyperlink" Target="https://doi.org/10.17605/OSF.IO/QP8V3" TargetMode="External"/><Relationship Id="rId1209" Type="http://schemas.openxmlformats.org/officeDocument/2006/relationships/hyperlink" Target="http://osf.io/8kf3p/" TargetMode="External"/><Relationship Id="rId2530" Type="http://schemas.openxmlformats.org/officeDocument/2006/relationships/hyperlink" Target="http://doi.org/10.1007/s13164-018-0400-9" TargetMode="External"/><Relationship Id="rId1200" Type="http://schemas.openxmlformats.org/officeDocument/2006/relationships/hyperlink" Target="https://osf.io/rtn9s/" TargetMode="External"/><Relationship Id="rId2531" Type="http://schemas.openxmlformats.org/officeDocument/2006/relationships/hyperlink" Target="https://osf.io/4ewkh" TargetMode="External"/><Relationship Id="rId1201" Type="http://schemas.openxmlformats.org/officeDocument/2006/relationships/hyperlink" Target="https://osf.io/uxajg" TargetMode="External"/><Relationship Id="rId2532" Type="http://schemas.openxmlformats.org/officeDocument/2006/relationships/hyperlink" Target="https://doi.org/10.17605/OSF.IO/QP8V3" TargetMode="External"/><Relationship Id="rId1235" Type="http://schemas.openxmlformats.org/officeDocument/2006/relationships/hyperlink" Target="https://osf.io/qg3m2/registrations" TargetMode="External"/><Relationship Id="rId2566" Type="http://schemas.openxmlformats.org/officeDocument/2006/relationships/hyperlink" Target="https://osf.io/4ewkh" TargetMode="External"/><Relationship Id="rId1236" Type="http://schemas.openxmlformats.org/officeDocument/2006/relationships/hyperlink" Target="http://osf.io/n6r3b/" TargetMode="External"/><Relationship Id="rId2567" Type="http://schemas.openxmlformats.org/officeDocument/2006/relationships/hyperlink" Target="https://doi.org/10.17605/OSF.IO/SSDMT" TargetMode="External"/><Relationship Id="rId1237" Type="http://schemas.openxmlformats.org/officeDocument/2006/relationships/hyperlink" Target="https://osf.io/qg3m2/registrations" TargetMode="External"/><Relationship Id="rId2568" Type="http://schemas.openxmlformats.org/officeDocument/2006/relationships/hyperlink" Target="http://osf.io/qdekc/" TargetMode="External"/><Relationship Id="rId1238" Type="http://schemas.openxmlformats.org/officeDocument/2006/relationships/hyperlink" Target="https://osf.io/qg3m2/" TargetMode="External"/><Relationship Id="rId2569" Type="http://schemas.openxmlformats.org/officeDocument/2006/relationships/hyperlink" Target="http://osf.io/pfng2" TargetMode="External"/><Relationship Id="rId1239" Type="http://schemas.openxmlformats.org/officeDocument/2006/relationships/hyperlink" Target="http://osf.io/z2fj8" TargetMode="External"/><Relationship Id="rId409" Type="http://schemas.openxmlformats.org/officeDocument/2006/relationships/hyperlink" Target="https://osf.io/g4xcb" TargetMode="External"/><Relationship Id="rId404" Type="http://schemas.openxmlformats.org/officeDocument/2006/relationships/hyperlink" Target="https://doi.org/10.1037/emo0001389" TargetMode="External"/><Relationship Id="rId403" Type="http://schemas.openxmlformats.org/officeDocument/2006/relationships/hyperlink" Target="https://osf.io/uqsf6/" TargetMode="External"/><Relationship Id="rId402" Type="http://schemas.openxmlformats.org/officeDocument/2006/relationships/hyperlink" Target="https://osf.io/uqsf6/" TargetMode="External"/><Relationship Id="rId401" Type="http://schemas.openxmlformats.org/officeDocument/2006/relationships/hyperlink" Target="https://doi.org/10.1037/emo0001389" TargetMode="External"/><Relationship Id="rId408" Type="http://schemas.openxmlformats.org/officeDocument/2006/relationships/hyperlink" Target="https://osf.io/g4xcb" TargetMode="External"/><Relationship Id="rId407" Type="http://schemas.openxmlformats.org/officeDocument/2006/relationships/hyperlink" Target="https://osf.io/g4xcb" TargetMode="External"/><Relationship Id="rId406" Type="http://schemas.openxmlformats.org/officeDocument/2006/relationships/hyperlink" Target="https://osf.io/uqsf6/" TargetMode="External"/><Relationship Id="rId405" Type="http://schemas.openxmlformats.org/officeDocument/2006/relationships/hyperlink" Target="https://osf.io/uqsf6/" TargetMode="External"/><Relationship Id="rId2560" Type="http://schemas.openxmlformats.org/officeDocument/2006/relationships/hyperlink" Target="http://osf.io/ejmyw" TargetMode="External"/><Relationship Id="rId1230" Type="http://schemas.openxmlformats.org/officeDocument/2006/relationships/hyperlink" Target="http://osf.io/txs86" TargetMode="External"/><Relationship Id="rId2561" Type="http://schemas.openxmlformats.org/officeDocument/2006/relationships/hyperlink" Target="https://osf.io/fymue" TargetMode="External"/><Relationship Id="rId400" Type="http://schemas.openxmlformats.org/officeDocument/2006/relationships/hyperlink" Target="https://osf.io/uqsf6/" TargetMode="External"/><Relationship Id="rId1231" Type="http://schemas.openxmlformats.org/officeDocument/2006/relationships/hyperlink" Target="https://doi.org/10.17605/OSF.IO/ZWKMN" TargetMode="External"/><Relationship Id="rId2562" Type="http://schemas.openxmlformats.org/officeDocument/2006/relationships/hyperlink" Target="http://doi.org/10.1007/s13164-018-0400-9" TargetMode="External"/><Relationship Id="rId1232" Type="http://schemas.openxmlformats.org/officeDocument/2006/relationships/hyperlink" Target="https://osf.io/qg3m2/registrations" TargetMode="External"/><Relationship Id="rId2563" Type="http://schemas.openxmlformats.org/officeDocument/2006/relationships/hyperlink" Target="https://osf.io/4ewkh" TargetMode="External"/><Relationship Id="rId1233" Type="http://schemas.openxmlformats.org/officeDocument/2006/relationships/hyperlink" Target="http://osf.io/cvuwy/" TargetMode="External"/><Relationship Id="rId2564" Type="http://schemas.openxmlformats.org/officeDocument/2006/relationships/hyperlink" Target="https://doi.org/10.17605/OSF.IO/5NZ6W" TargetMode="External"/><Relationship Id="rId1234" Type="http://schemas.openxmlformats.org/officeDocument/2006/relationships/hyperlink" Target="https://osf.io/qg3m2/registrations" TargetMode="External"/><Relationship Id="rId2565" Type="http://schemas.openxmlformats.org/officeDocument/2006/relationships/hyperlink" Target="http://doi.org/10.1007/s13164-018-0400-9" TargetMode="External"/><Relationship Id="rId1224" Type="http://schemas.openxmlformats.org/officeDocument/2006/relationships/hyperlink" Target="http://osf.io/jb8yp/" TargetMode="External"/><Relationship Id="rId2555" Type="http://schemas.openxmlformats.org/officeDocument/2006/relationships/hyperlink" Target="https://osf.io/4ewkh" TargetMode="External"/><Relationship Id="rId1225" Type="http://schemas.openxmlformats.org/officeDocument/2006/relationships/hyperlink" Target="http://osf.io/78sqa/" TargetMode="External"/><Relationship Id="rId2556" Type="http://schemas.openxmlformats.org/officeDocument/2006/relationships/hyperlink" Target="http://osf.io/dbx75/" TargetMode="External"/><Relationship Id="rId1226" Type="http://schemas.openxmlformats.org/officeDocument/2006/relationships/hyperlink" Target="https://doi.org/10.17605/OSF.IO/JW84M" TargetMode="External"/><Relationship Id="rId2557" Type="http://schemas.openxmlformats.org/officeDocument/2006/relationships/hyperlink" Target="http://doi.org/10.1007/s13164-018-0400-9" TargetMode="External"/><Relationship Id="rId1227" Type="http://schemas.openxmlformats.org/officeDocument/2006/relationships/hyperlink" Target="http://osf.io/ykt7z" TargetMode="External"/><Relationship Id="rId2558" Type="http://schemas.openxmlformats.org/officeDocument/2006/relationships/hyperlink" Target="https://osf.io/4ewkh" TargetMode="External"/><Relationship Id="rId1228" Type="http://schemas.openxmlformats.org/officeDocument/2006/relationships/hyperlink" Target="https://doi.org/10.17605/OSF.IO/P56KE" TargetMode="External"/><Relationship Id="rId2559" Type="http://schemas.openxmlformats.org/officeDocument/2006/relationships/hyperlink" Target="https://doi.org/10.17605/OSF.IO/5NZ6W" TargetMode="External"/><Relationship Id="rId1229" Type="http://schemas.openxmlformats.org/officeDocument/2006/relationships/hyperlink" Target="http://osf.io/5eanz/" TargetMode="External"/><Relationship Id="rId2550" Type="http://schemas.openxmlformats.org/officeDocument/2006/relationships/hyperlink" Target="http://doi.org/10.1007/s13164-018-0400-9" TargetMode="External"/><Relationship Id="rId1220" Type="http://schemas.openxmlformats.org/officeDocument/2006/relationships/hyperlink" Target="https://doi.org/10.17605/OSF.IO/CKJTF" TargetMode="External"/><Relationship Id="rId2551" Type="http://schemas.openxmlformats.org/officeDocument/2006/relationships/hyperlink" Target="https://osf.io/4ewkh" TargetMode="External"/><Relationship Id="rId1221" Type="http://schemas.openxmlformats.org/officeDocument/2006/relationships/hyperlink" Target="https://osf.io/7dh3m" TargetMode="External"/><Relationship Id="rId2552" Type="http://schemas.openxmlformats.org/officeDocument/2006/relationships/hyperlink" Target="https://doi.org/10.17605/OSF.IO/QP8V3" TargetMode="External"/><Relationship Id="rId1222" Type="http://schemas.openxmlformats.org/officeDocument/2006/relationships/hyperlink" Target="http://osf.io/wy8ab" TargetMode="External"/><Relationship Id="rId2553" Type="http://schemas.openxmlformats.org/officeDocument/2006/relationships/hyperlink" Target="https://osf.io/4ewkh" TargetMode="External"/><Relationship Id="rId1223" Type="http://schemas.openxmlformats.org/officeDocument/2006/relationships/hyperlink" Target="https://osf.io/7dh3m" TargetMode="External"/><Relationship Id="rId2554" Type="http://schemas.openxmlformats.org/officeDocument/2006/relationships/hyperlink" Target="https://osf.io/4ewkh" TargetMode="External"/><Relationship Id="rId2500" Type="http://schemas.openxmlformats.org/officeDocument/2006/relationships/hyperlink" Target="http://doi.org/10.1007/s13164-018-0400-9" TargetMode="External"/><Relationship Id="rId2501" Type="http://schemas.openxmlformats.org/officeDocument/2006/relationships/hyperlink" Target="https://osf.io/4ewkh" TargetMode="External"/><Relationship Id="rId2502" Type="http://schemas.openxmlformats.org/officeDocument/2006/relationships/hyperlink" Target="https://doi.org/10.17605/OSF.IO/P56KE" TargetMode="External"/><Relationship Id="rId2503" Type="http://schemas.openxmlformats.org/officeDocument/2006/relationships/hyperlink" Target="https://osf.io/p56ke)" TargetMode="External"/><Relationship Id="rId2504" Type="http://schemas.openxmlformats.org/officeDocument/2006/relationships/hyperlink" Target="https://osf.io/4ewkh" TargetMode="External"/><Relationship Id="rId2505" Type="http://schemas.openxmlformats.org/officeDocument/2006/relationships/hyperlink" Target="https://osf.io/6r74y" TargetMode="External"/><Relationship Id="rId2506" Type="http://schemas.openxmlformats.org/officeDocument/2006/relationships/hyperlink" Target="https://doi.org/10.17605/OSF.IO/P56KE" TargetMode="External"/><Relationship Id="rId2507" Type="http://schemas.openxmlformats.org/officeDocument/2006/relationships/hyperlink" Target="http://doi.org/10.1007/s13164-018-0400-9" TargetMode="External"/><Relationship Id="rId2508" Type="http://schemas.openxmlformats.org/officeDocument/2006/relationships/hyperlink" Target="https://osf.io/4ewkh" TargetMode="External"/><Relationship Id="rId2509" Type="http://schemas.openxmlformats.org/officeDocument/2006/relationships/hyperlink" Target="https://osf.io/4ewkh" TargetMode="External"/><Relationship Id="rId2522" Type="http://schemas.openxmlformats.org/officeDocument/2006/relationships/hyperlink" Target="https://osf.io/4ewkh" TargetMode="External"/><Relationship Id="rId2523" Type="http://schemas.openxmlformats.org/officeDocument/2006/relationships/hyperlink" Target="https://osf.io/4ewkh" TargetMode="External"/><Relationship Id="rId2524" Type="http://schemas.openxmlformats.org/officeDocument/2006/relationships/hyperlink" Target="http://doi.org/10.1007/s13164-018-0400-9" TargetMode="External"/><Relationship Id="rId2525" Type="http://schemas.openxmlformats.org/officeDocument/2006/relationships/hyperlink" Target="https://osf.io/4ewkh" TargetMode="External"/><Relationship Id="rId2526" Type="http://schemas.openxmlformats.org/officeDocument/2006/relationships/hyperlink" Target="https://osf.io/4ewkh" TargetMode="External"/><Relationship Id="rId2527" Type="http://schemas.openxmlformats.org/officeDocument/2006/relationships/hyperlink" Target="https://doi.org/10.17605/OSF.IO/QP8V3" TargetMode="External"/><Relationship Id="rId2528" Type="http://schemas.openxmlformats.org/officeDocument/2006/relationships/hyperlink" Target="https://osf.io/4ewkh" TargetMode="External"/><Relationship Id="rId2529" Type="http://schemas.openxmlformats.org/officeDocument/2006/relationships/hyperlink" Target="http://osf.io/4yuym" TargetMode="External"/><Relationship Id="rId2520" Type="http://schemas.openxmlformats.org/officeDocument/2006/relationships/hyperlink" Target="http://doi.org/10.1007/s13164-018-0400-9" TargetMode="External"/><Relationship Id="rId2521" Type="http://schemas.openxmlformats.org/officeDocument/2006/relationships/hyperlink" Target="https://osf.io/4ewkh" TargetMode="External"/><Relationship Id="rId2511" Type="http://schemas.openxmlformats.org/officeDocument/2006/relationships/hyperlink" Target="http://osf.io/txs86" TargetMode="External"/><Relationship Id="rId2512" Type="http://schemas.openxmlformats.org/officeDocument/2006/relationships/hyperlink" Target="http://doi.org/10.1007/s13164-018-0400-9" TargetMode="External"/><Relationship Id="rId2513" Type="http://schemas.openxmlformats.org/officeDocument/2006/relationships/hyperlink" Target="https://osf.io/4ewkh" TargetMode="External"/><Relationship Id="rId2514" Type="http://schemas.openxmlformats.org/officeDocument/2006/relationships/hyperlink" Target="https://doi.org/10.17605/OSF.IO/ZWKMN" TargetMode="External"/><Relationship Id="rId2515" Type="http://schemas.openxmlformats.org/officeDocument/2006/relationships/hyperlink" Target="http://osf.io/cvuwy/" TargetMode="External"/><Relationship Id="rId2516" Type="http://schemas.openxmlformats.org/officeDocument/2006/relationships/hyperlink" Target="http://doi.org/10.1007/s13164-018-0400-9" TargetMode="External"/><Relationship Id="rId2517" Type="http://schemas.openxmlformats.org/officeDocument/2006/relationships/hyperlink" Target="https://osf.io/4ewkh" TargetMode="External"/><Relationship Id="rId2518" Type="http://schemas.openxmlformats.org/officeDocument/2006/relationships/hyperlink" Target="https://osf.io/4ewkh" TargetMode="External"/><Relationship Id="rId2519" Type="http://schemas.openxmlformats.org/officeDocument/2006/relationships/hyperlink" Target="https://osf.io/4ewkh" TargetMode="External"/><Relationship Id="rId2510" Type="http://schemas.openxmlformats.org/officeDocument/2006/relationships/hyperlink" Target="https://osf.io/4ewkh" TargetMode="External"/><Relationship Id="rId469" Type="http://schemas.openxmlformats.org/officeDocument/2006/relationships/hyperlink" Target="https://osf.io/6m5tb" TargetMode="External"/><Relationship Id="rId468" Type="http://schemas.openxmlformats.org/officeDocument/2006/relationships/hyperlink" Target="https://osf.io/6m5tb" TargetMode="External"/><Relationship Id="rId467" Type="http://schemas.openxmlformats.org/officeDocument/2006/relationships/hyperlink" Target="https://osf.io/yajmp" TargetMode="External"/><Relationship Id="rId1290" Type="http://schemas.openxmlformats.org/officeDocument/2006/relationships/hyperlink" Target="https://osf.io/4ewkh" TargetMode="External"/><Relationship Id="rId1291" Type="http://schemas.openxmlformats.org/officeDocument/2006/relationships/hyperlink" Target="https://aspredicted.org/blind.php?x=fx3kz7" TargetMode="External"/><Relationship Id="rId1292" Type="http://schemas.openxmlformats.org/officeDocument/2006/relationships/hyperlink" Target="https://osf.io/4ewkh" TargetMode="External"/><Relationship Id="rId462" Type="http://schemas.openxmlformats.org/officeDocument/2006/relationships/hyperlink" Target="https://osf.io/6m5tb" TargetMode="External"/><Relationship Id="rId1293" Type="http://schemas.openxmlformats.org/officeDocument/2006/relationships/hyperlink" Target="https://doi.org/10.17605/OSF.IO/Q2E5K" TargetMode="External"/><Relationship Id="rId461" Type="http://schemas.openxmlformats.org/officeDocument/2006/relationships/hyperlink" Target="https://osf.io/yajmp" TargetMode="External"/><Relationship Id="rId1294" Type="http://schemas.openxmlformats.org/officeDocument/2006/relationships/hyperlink" Target="https://osf.io/4ewkh" TargetMode="External"/><Relationship Id="rId460" Type="http://schemas.openxmlformats.org/officeDocument/2006/relationships/hyperlink" Target="https://osf.io/yajmp" TargetMode="External"/><Relationship Id="rId1295" Type="http://schemas.openxmlformats.org/officeDocument/2006/relationships/hyperlink" Target="https://osf.io/4ewkh" TargetMode="External"/><Relationship Id="rId1296" Type="http://schemas.openxmlformats.org/officeDocument/2006/relationships/hyperlink" Target="https://doi.org/10.17605/OSF.IO/N5ZSX" TargetMode="External"/><Relationship Id="rId466" Type="http://schemas.openxmlformats.org/officeDocument/2006/relationships/hyperlink" Target="https://osf.io/yajmp" TargetMode="External"/><Relationship Id="rId1297" Type="http://schemas.openxmlformats.org/officeDocument/2006/relationships/hyperlink" Target="https://osf.io/4ewkh" TargetMode="External"/><Relationship Id="rId465" Type="http://schemas.openxmlformats.org/officeDocument/2006/relationships/hyperlink" Target="https://osf.io/yajmp" TargetMode="External"/><Relationship Id="rId1298" Type="http://schemas.openxmlformats.org/officeDocument/2006/relationships/hyperlink" Target="http://osf.io/pjdkg" TargetMode="External"/><Relationship Id="rId464" Type="http://schemas.openxmlformats.org/officeDocument/2006/relationships/hyperlink" Target="https://doi.org/10.1037/pspp0000263" TargetMode="External"/><Relationship Id="rId1299" Type="http://schemas.openxmlformats.org/officeDocument/2006/relationships/hyperlink" Target="https://osf.io/4ewkh" TargetMode="External"/><Relationship Id="rId463" Type="http://schemas.openxmlformats.org/officeDocument/2006/relationships/hyperlink" Target="https://osf.io/6m5tb" TargetMode="External"/><Relationship Id="rId459" Type="http://schemas.openxmlformats.org/officeDocument/2006/relationships/hyperlink" Target="https://osf.io/yajmp" TargetMode="External"/><Relationship Id="rId458" Type="http://schemas.openxmlformats.org/officeDocument/2006/relationships/hyperlink" Target="https://doi.org/10.1037/pspp0000263" TargetMode="External"/><Relationship Id="rId457" Type="http://schemas.openxmlformats.org/officeDocument/2006/relationships/hyperlink" Target="https://osf.io/6m5tb)" TargetMode="External"/><Relationship Id="rId456" Type="http://schemas.openxmlformats.org/officeDocument/2006/relationships/hyperlink" Target="https://osf.io/yajmp" TargetMode="External"/><Relationship Id="rId1280" Type="http://schemas.openxmlformats.org/officeDocument/2006/relationships/hyperlink" Target="https://doi.org/10.17605/OSF.IO/9VXSF" TargetMode="External"/><Relationship Id="rId1281" Type="http://schemas.openxmlformats.org/officeDocument/2006/relationships/hyperlink" Target="https://rpubs.com/lrborchers/450894" TargetMode="External"/><Relationship Id="rId451" Type="http://schemas.openxmlformats.org/officeDocument/2006/relationships/hyperlink" Target="https://doi.org/10.1007/s40732-020-00453-8" TargetMode="External"/><Relationship Id="rId1282" Type="http://schemas.openxmlformats.org/officeDocument/2006/relationships/hyperlink" Target="http://osf.io/bv4ep" TargetMode="External"/><Relationship Id="rId450" Type="http://schemas.openxmlformats.org/officeDocument/2006/relationships/hyperlink" Target="https://osf.io/mptud" TargetMode="External"/><Relationship Id="rId1283" Type="http://schemas.openxmlformats.org/officeDocument/2006/relationships/hyperlink" Target="https://osf.io/4ewkh" TargetMode="External"/><Relationship Id="rId1284" Type="http://schemas.openxmlformats.org/officeDocument/2006/relationships/hyperlink" Target="https://doi.org/10.17605/OSF.IO/HBPXN" TargetMode="External"/><Relationship Id="rId1285" Type="http://schemas.openxmlformats.org/officeDocument/2006/relationships/hyperlink" Target="https://osf.io/4ewkh" TargetMode="External"/><Relationship Id="rId455" Type="http://schemas.openxmlformats.org/officeDocument/2006/relationships/hyperlink" Target="https://osf.io/yajmp" TargetMode="External"/><Relationship Id="rId1286" Type="http://schemas.openxmlformats.org/officeDocument/2006/relationships/hyperlink" Target="http://osf.io/w9bza/" TargetMode="External"/><Relationship Id="rId454" Type="http://schemas.openxmlformats.org/officeDocument/2006/relationships/hyperlink" Target="https://doi.org/10.1016/j.appet.2020.104808" TargetMode="External"/><Relationship Id="rId1287" Type="http://schemas.openxmlformats.org/officeDocument/2006/relationships/hyperlink" Target="https://osf.io/4ewkh" TargetMode="External"/><Relationship Id="rId453" Type="http://schemas.openxmlformats.org/officeDocument/2006/relationships/hyperlink" Target="https://doi.org/10.1007/s40732-020-00453-8" TargetMode="External"/><Relationship Id="rId1288" Type="http://schemas.openxmlformats.org/officeDocument/2006/relationships/hyperlink" Target="https://doi.org/10.17605/OSF.IO/26YZU" TargetMode="External"/><Relationship Id="rId452" Type="http://schemas.openxmlformats.org/officeDocument/2006/relationships/hyperlink" Target="https://doi.org/10.1007/s40732-020-00453-8" TargetMode="External"/><Relationship Id="rId1289" Type="http://schemas.openxmlformats.org/officeDocument/2006/relationships/hyperlink" Target="https://osf.io/4ewkh" TargetMode="External"/><Relationship Id="rId3018" Type="http://schemas.openxmlformats.org/officeDocument/2006/relationships/hyperlink" Target="https://doi.org/10.1126/science.283.5398.77" TargetMode="External"/><Relationship Id="rId3017" Type="http://schemas.openxmlformats.org/officeDocument/2006/relationships/hyperlink" Target="https://osf.io/c2xur" TargetMode="External"/><Relationship Id="rId3019" Type="http://schemas.openxmlformats.org/officeDocument/2006/relationships/hyperlink" Target="https://osf.io/gf7vh" TargetMode="External"/><Relationship Id="rId491" Type="http://schemas.openxmlformats.org/officeDocument/2006/relationships/hyperlink" Target="https://osf.io/yajmp" TargetMode="External"/><Relationship Id="rId490" Type="http://schemas.openxmlformats.org/officeDocument/2006/relationships/hyperlink" Target="https://osf.io/yajmp" TargetMode="External"/><Relationship Id="rId489" Type="http://schemas.openxmlformats.org/officeDocument/2006/relationships/hyperlink" Target="https://osf.io/yajmp" TargetMode="External"/><Relationship Id="rId484" Type="http://schemas.openxmlformats.org/officeDocument/2006/relationships/hyperlink" Target="https://osf.io/yajmp" TargetMode="External"/><Relationship Id="rId3010" Type="http://schemas.openxmlformats.org/officeDocument/2006/relationships/hyperlink" Target="https://drive.google.com/file/d/1Oyf6phoxDUGiryzACmCI2gdTcVIQO0rE/view?usp=drive_link" TargetMode="External"/><Relationship Id="rId483" Type="http://schemas.openxmlformats.org/officeDocument/2006/relationships/hyperlink" Target="https://osf.io/yajmp" TargetMode="External"/><Relationship Id="rId482" Type="http://schemas.openxmlformats.org/officeDocument/2006/relationships/hyperlink" Target="https://doi.org/10.1037/pspp0000263" TargetMode="External"/><Relationship Id="rId3012" Type="http://schemas.openxmlformats.org/officeDocument/2006/relationships/hyperlink" Target="https://osf.io/5fq4r" TargetMode="External"/><Relationship Id="rId481" Type="http://schemas.openxmlformats.org/officeDocument/2006/relationships/hyperlink" Target="https://osf.io/6m5tb" TargetMode="External"/><Relationship Id="rId3011" Type="http://schemas.openxmlformats.org/officeDocument/2006/relationships/hyperlink" Target="https://osf.io/g6kx3" TargetMode="External"/><Relationship Id="rId488" Type="http://schemas.openxmlformats.org/officeDocument/2006/relationships/hyperlink" Target="https://doi.org/10.1037/pspp0000263" TargetMode="External"/><Relationship Id="rId3014" Type="http://schemas.openxmlformats.org/officeDocument/2006/relationships/hyperlink" Target="https://osf.io/fzscv" TargetMode="External"/><Relationship Id="rId487" Type="http://schemas.openxmlformats.org/officeDocument/2006/relationships/hyperlink" Target="https://osf.io/6m5tb" TargetMode="External"/><Relationship Id="rId3013" Type="http://schemas.openxmlformats.org/officeDocument/2006/relationships/hyperlink" Target="https://osf.io/fzscv" TargetMode="External"/><Relationship Id="rId486" Type="http://schemas.openxmlformats.org/officeDocument/2006/relationships/hyperlink" Target="https://osf.io/6m5tb" TargetMode="External"/><Relationship Id="rId3016" Type="http://schemas.openxmlformats.org/officeDocument/2006/relationships/hyperlink" Target="https://doi.org/10.1037/ebs0000028" TargetMode="External"/><Relationship Id="rId485" Type="http://schemas.openxmlformats.org/officeDocument/2006/relationships/hyperlink" Target="https://osf.io/yajmp" TargetMode="External"/><Relationship Id="rId3015" Type="http://schemas.openxmlformats.org/officeDocument/2006/relationships/hyperlink" Target="https://osf.io/fzscv" TargetMode="External"/><Relationship Id="rId3007" Type="http://schemas.openxmlformats.org/officeDocument/2006/relationships/hyperlink" Target="https://osf.io/qbxp7" TargetMode="External"/><Relationship Id="rId3006" Type="http://schemas.openxmlformats.org/officeDocument/2006/relationships/hyperlink" Target="https://drive.google.com/file/d/1Oyf6phoxDUGiryzACmCI2gdTcVIQO0rE/view?usp=drive_link" TargetMode="External"/><Relationship Id="rId3009" Type="http://schemas.openxmlformats.org/officeDocument/2006/relationships/hyperlink" Target="https://osf.io/jdfbm" TargetMode="External"/><Relationship Id="rId3008" Type="http://schemas.openxmlformats.org/officeDocument/2006/relationships/hyperlink" Target="https://drive.google.com/file/d/1Oyf6phoxDUGiryzACmCI2gdTcVIQO0rE/view?usp=drive_link" TargetMode="External"/><Relationship Id="rId480" Type="http://schemas.openxmlformats.org/officeDocument/2006/relationships/hyperlink" Target="https://osf.io/6m5tb" TargetMode="External"/><Relationship Id="rId479" Type="http://schemas.openxmlformats.org/officeDocument/2006/relationships/hyperlink" Target="https://osf.io/yajmp" TargetMode="External"/><Relationship Id="rId478" Type="http://schemas.openxmlformats.org/officeDocument/2006/relationships/hyperlink" Target="https://osf.io/yajmp" TargetMode="External"/><Relationship Id="rId473" Type="http://schemas.openxmlformats.org/officeDocument/2006/relationships/hyperlink" Target="https://osf.io/yajmp" TargetMode="External"/><Relationship Id="rId472" Type="http://schemas.openxmlformats.org/officeDocument/2006/relationships/hyperlink" Target="https://osf.io/yajmp" TargetMode="External"/><Relationship Id="rId471" Type="http://schemas.openxmlformats.org/officeDocument/2006/relationships/hyperlink" Target="https://osf.io/yajmp" TargetMode="External"/><Relationship Id="rId3001" Type="http://schemas.openxmlformats.org/officeDocument/2006/relationships/hyperlink" Target="https://osf.io/43nfd" TargetMode="External"/><Relationship Id="rId470" Type="http://schemas.openxmlformats.org/officeDocument/2006/relationships/hyperlink" Target="https://doi.org/10.1037/pspp0000263" TargetMode="External"/><Relationship Id="rId3000" Type="http://schemas.openxmlformats.org/officeDocument/2006/relationships/hyperlink" Target="https://drive.google.com/file/d/1Oyf6phoxDUGiryzACmCI2gdTcVIQO0rE/view?usp=drive_link" TargetMode="External"/><Relationship Id="rId477" Type="http://schemas.openxmlformats.org/officeDocument/2006/relationships/hyperlink" Target="https://osf.io/yajmp" TargetMode="External"/><Relationship Id="rId3003" Type="http://schemas.openxmlformats.org/officeDocument/2006/relationships/hyperlink" Target="https://osf.io/qbxp7" TargetMode="External"/><Relationship Id="rId476" Type="http://schemas.openxmlformats.org/officeDocument/2006/relationships/hyperlink" Target="https://doi.org/10.1037/pspp0000263" TargetMode="External"/><Relationship Id="rId3002" Type="http://schemas.openxmlformats.org/officeDocument/2006/relationships/hyperlink" Target="https://drive.google.com/file/d/1Oyf6phoxDUGiryzACmCI2gdTcVIQO0rE/view?usp=drive_link" TargetMode="External"/><Relationship Id="rId475" Type="http://schemas.openxmlformats.org/officeDocument/2006/relationships/hyperlink" Target="https://osf.io/6m5tb" TargetMode="External"/><Relationship Id="rId3005" Type="http://schemas.openxmlformats.org/officeDocument/2006/relationships/hyperlink" Target="https://osf.io/qbxp7" TargetMode="External"/><Relationship Id="rId474" Type="http://schemas.openxmlformats.org/officeDocument/2006/relationships/hyperlink" Target="https://osf.io/6m5tb" TargetMode="External"/><Relationship Id="rId3004" Type="http://schemas.openxmlformats.org/officeDocument/2006/relationships/hyperlink" Target="https://drive.google.com/file/d/1Oyf6phoxDUGiryzACmCI2gdTcVIQO0rE/view?usp=drive_link" TargetMode="External"/><Relationship Id="rId1257" Type="http://schemas.openxmlformats.org/officeDocument/2006/relationships/hyperlink" Target="https://doi.org/10.17605/OSF.IO/AY2YE" TargetMode="External"/><Relationship Id="rId2588" Type="http://schemas.openxmlformats.org/officeDocument/2006/relationships/hyperlink" Target="https://osf.io/4ewkh" TargetMode="External"/><Relationship Id="rId1258" Type="http://schemas.openxmlformats.org/officeDocument/2006/relationships/hyperlink" Target="http://osf.io/k89fc" TargetMode="External"/><Relationship Id="rId2589" Type="http://schemas.openxmlformats.org/officeDocument/2006/relationships/hyperlink" Target="https://osf.io/exqch" TargetMode="External"/><Relationship Id="rId1259" Type="http://schemas.openxmlformats.org/officeDocument/2006/relationships/hyperlink" Target="https://doi.org/10.17605/OSF.IO/7EN89" TargetMode="External"/><Relationship Id="rId426" Type="http://schemas.openxmlformats.org/officeDocument/2006/relationships/hyperlink" Target="https://purl.utwente.nl/essays/100571" TargetMode="External"/><Relationship Id="rId425" Type="http://schemas.openxmlformats.org/officeDocument/2006/relationships/hyperlink" Target="https://purl.utwente.nl/essays/100571" TargetMode="External"/><Relationship Id="rId424" Type="http://schemas.openxmlformats.org/officeDocument/2006/relationships/hyperlink" Target="https://osf.io/preprints/psyarxiv/esu9z" TargetMode="External"/><Relationship Id="rId423" Type="http://schemas.openxmlformats.org/officeDocument/2006/relationships/hyperlink" Target="https://osf.io/preprints/psyarxiv/esu9z" TargetMode="External"/><Relationship Id="rId429" Type="http://schemas.openxmlformats.org/officeDocument/2006/relationships/hyperlink" Target="https://purl.utwente.nl/essays/100571" TargetMode="External"/><Relationship Id="rId428" Type="http://schemas.openxmlformats.org/officeDocument/2006/relationships/hyperlink" Target="https://purl.utwente.nl/essays/100571" TargetMode="External"/><Relationship Id="rId427" Type="http://schemas.openxmlformats.org/officeDocument/2006/relationships/hyperlink" Target="https://purl.utwente.nl/essays/100571" TargetMode="External"/><Relationship Id="rId2580" Type="http://schemas.openxmlformats.org/officeDocument/2006/relationships/hyperlink" Target="http://osf.io/6yfxz" TargetMode="External"/><Relationship Id="rId1250" Type="http://schemas.openxmlformats.org/officeDocument/2006/relationships/hyperlink" Target="http://osf.io/qdekc/" TargetMode="External"/><Relationship Id="rId2581" Type="http://schemas.openxmlformats.org/officeDocument/2006/relationships/hyperlink" Target="http://doi.org/10.1007/s13164-018-0400-9" TargetMode="External"/><Relationship Id="rId1251" Type="http://schemas.openxmlformats.org/officeDocument/2006/relationships/hyperlink" Target="https://doi.org/10.1177/0146167215580776" TargetMode="External"/><Relationship Id="rId2582" Type="http://schemas.openxmlformats.org/officeDocument/2006/relationships/hyperlink" Target="https://osf.io/4ewkh" TargetMode="External"/><Relationship Id="rId1252" Type="http://schemas.openxmlformats.org/officeDocument/2006/relationships/hyperlink" Target="http://osf.io/pfng2" TargetMode="External"/><Relationship Id="rId2583" Type="http://schemas.openxmlformats.org/officeDocument/2006/relationships/hyperlink" Target="https://doi.org/10.17605/OSF.IO/THM7D" TargetMode="External"/><Relationship Id="rId422" Type="http://schemas.openxmlformats.org/officeDocument/2006/relationships/hyperlink" Target="https://osf.io/preprints/psyarxiv/esu9z" TargetMode="External"/><Relationship Id="rId1253" Type="http://schemas.openxmlformats.org/officeDocument/2006/relationships/hyperlink" Target="http://osf.io/s37h6/" TargetMode="External"/><Relationship Id="rId2584" Type="http://schemas.openxmlformats.org/officeDocument/2006/relationships/hyperlink" Target="http://doi.org/10.1007/s13164-018-0400-9" TargetMode="External"/><Relationship Id="rId421" Type="http://schemas.openxmlformats.org/officeDocument/2006/relationships/hyperlink" Target="https://osf.io/preprints/psyarxiv/esu9z" TargetMode="External"/><Relationship Id="rId1254" Type="http://schemas.openxmlformats.org/officeDocument/2006/relationships/hyperlink" Target="http://osf.io/s37h6/" TargetMode="External"/><Relationship Id="rId2585" Type="http://schemas.openxmlformats.org/officeDocument/2006/relationships/hyperlink" Target="https://osf.io/4ewkh" TargetMode="External"/><Relationship Id="rId420" Type="http://schemas.openxmlformats.org/officeDocument/2006/relationships/hyperlink" Target="https://doi.org/10.1177/1948550611432938" TargetMode="External"/><Relationship Id="rId1255" Type="http://schemas.openxmlformats.org/officeDocument/2006/relationships/hyperlink" Target="https://doi.org/10.17605/OSF.IO/THM7D" TargetMode="External"/><Relationship Id="rId2586" Type="http://schemas.openxmlformats.org/officeDocument/2006/relationships/hyperlink" Target="http://osf.io/6yfxz" TargetMode="External"/><Relationship Id="rId1256" Type="http://schemas.openxmlformats.org/officeDocument/2006/relationships/hyperlink" Target="http://osf.io/6yfxz" TargetMode="External"/><Relationship Id="rId2587" Type="http://schemas.openxmlformats.org/officeDocument/2006/relationships/hyperlink" Target="http://doi.org/10.1007/s13164-018-0400-9" TargetMode="External"/><Relationship Id="rId1246" Type="http://schemas.openxmlformats.org/officeDocument/2006/relationships/hyperlink" Target="http://osf.io/dbx75/" TargetMode="External"/><Relationship Id="rId2577" Type="http://schemas.openxmlformats.org/officeDocument/2006/relationships/hyperlink" Target="http://osf.io/6yfxz" TargetMode="External"/><Relationship Id="rId1247" Type="http://schemas.openxmlformats.org/officeDocument/2006/relationships/hyperlink" Target="https://doi.org/10.17605/OSF.IO/5NZ6W" TargetMode="External"/><Relationship Id="rId2578" Type="http://schemas.openxmlformats.org/officeDocument/2006/relationships/hyperlink" Target="http://doi.org/10.1007/s13164-018-0400-9" TargetMode="External"/><Relationship Id="rId1248" Type="http://schemas.openxmlformats.org/officeDocument/2006/relationships/hyperlink" Target="http://osf.io/ejmyw" TargetMode="External"/><Relationship Id="rId2579" Type="http://schemas.openxmlformats.org/officeDocument/2006/relationships/hyperlink" Target="https://osf.io/4ewkh" TargetMode="External"/><Relationship Id="rId1249" Type="http://schemas.openxmlformats.org/officeDocument/2006/relationships/hyperlink" Target="https://doi.org/10.17605/OSF.IO/SSDMT" TargetMode="External"/><Relationship Id="rId415" Type="http://schemas.openxmlformats.org/officeDocument/2006/relationships/hyperlink" Target="https://osf.io/g4xcb" TargetMode="External"/><Relationship Id="rId414" Type="http://schemas.openxmlformats.org/officeDocument/2006/relationships/hyperlink" Target="https://osf.io/g4xcb" TargetMode="External"/><Relationship Id="rId413" Type="http://schemas.openxmlformats.org/officeDocument/2006/relationships/hyperlink" Target="https://osf.io/g4xcb" TargetMode="External"/><Relationship Id="rId412" Type="http://schemas.openxmlformats.org/officeDocument/2006/relationships/hyperlink" Target="https://osf.io/g4xcb" TargetMode="External"/><Relationship Id="rId419" Type="http://schemas.openxmlformats.org/officeDocument/2006/relationships/hyperlink" Target="https://doi.org/10.1007/s10857-015-9324-9" TargetMode="External"/><Relationship Id="rId418" Type="http://schemas.openxmlformats.org/officeDocument/2006/relationships/hyperlink" Target="https://osf.io/g4xcb" TargetMode="External"/><Relationship Id="rId417" Type="http://schemas.openxmlformats.org/officeDocument/2006/relationships/hyperlink" Target="https://osf.io/g4xcb" TargetMode="External"/><Relationship Id="rId416" Type="http://schemas.openxmlformats.org/officeDocument/2006/relationships/hyperlink" Target="https://osf.io/g4xcb" TargetMode="External"/><Relationship Id="rId2570" Type="http://schemas.openxmlformats.org/officeDocument/2006/relationships/hyperlink" Target="http://doi.org/10.1007/s13164-018-0400-9" TargetMode="External"/><Relationship Id="rId1240" Type="http://schemas.openxmlformats.org/officeDocument/2006/relationships/hyperlink" Target="https://osf.io/egc9y/" TargetMode="External"/><Relationship Id="rId2571" Type="http://schemas.openxmlformats.org/officeDocument/2006/relationships/hyperlink" Target="https://osf.io/pvem4" TargetMode="External"/><Relationship Id="rId1241" Type="http://schemas.openxmlformats.org/officeDocument/2006/relationships/hyperlink" Target="https://doi.org/10.17605/OSF.IO/QP8V3" TargetMode="External"/><Relationship Id="rId2572" Type="http://schemas.openxmlformats.org/officeDocument/2006/relationships/hyperlink" Target="https://osf.io/pvem4" TargetMode="External"/><Relationship Id="rId411" Type="http://schemas.openxmlformats.org/officeDocument/2006/relationships/hyperlink" Target="https://osf.io/g4xcb" TargetMode="External"/><Relationship Id="rId1242" Type="http://schemas.openxmlformats.org/officeDocument/2006/relationships/hyperlink" Target="https://osf.io/egc9y/." TargetMode="External"/><Relationship Id="rId2573" Type="http://schemas.openxmlformats.org/officeDocument/2006/relationships/hyperlink" Target="http://osf.io/s37h6/" TargetMode="External"/><Relationship Id="rId410" Type="http://schemas.openxmlformats.org/officeDocument/2006/relationships/hyperlink" Target="https://osf.io/g4xcb" TargetMode="External"/><Relationship Id="rId1243" Type="http://schemas.openxmlformats.org/officeDocument/2006/relationships/hyperlink" Target="http://osf.io/4yuym" TargetMode="External"/><Relationship Id="rId2574" Type="http://schemas.openxmlformats.org/officeDocument/2006/relationships/hyperlink" Target="http://doi.org/10.1007/s13164-018-0400-9" TargetMode="External"/><Relationship Id="rId1244" Type="http://schemas.openxmlformats.org/officeDocument/2006/relationships/hyperlink" Target="https://doi.org/10.17605/OSF.IO/QP8V3" TargetMode="External"/><Relationship Id="rId2575" Type="http://schemas.openxmlformats.org/officeDocument/2006/relationships/hyperlink" Target="https://osf.io/skw9u" TargetMode="External"/><Relationship Id="rId1245" Type="http://schemas.openxmlformats.org/officeDocument/2006/relationships/hyperlink" Target="http://osf.io/3sn6j" TargetMode="External"/><Relationship Id="rId2576" Type="http://schemas.openxmlformats.org/officeDocument/2006/relationships/hyperlink" Target="https://osf.io/skw9u" TargetMode="External"/><Relationship Id="rId1279" Type="http://schemas.openxmlformats.org/officeDocument/2006/relationships/hyperlink" Target="https://rpubs.com/lrborchers/450894" TargetMode="External"/><Relationship Id="rId448" Type="http://schemas.openxmlformats.org/officeDocument/2006/relationships/hyperlink" Target="https://osf.io/mptud" TargetMode="External"/><Relationship Id="rId447" Type="http://schemas.openxmlformats.org/officeDocument/2006/relationships/hyperlink" Target="https://osf.io/mptud" TargetMode="External"/><Relationship Id="rId446" Type="http://schemas.openxmlformats.org/officeDocument/2006/relationships/hyperlink" Target="https://osf.io/mptud" TargetMode="External"/><Relationship Id="rId445" Type="http://schemas.openxmlformats.org/officeDocument/2006/relationships/hyperlink" Target="https://osf.io/mptud" TargetMode="External"/><Relationship Id="rId449" Type="http://schemas.openxmlformats.org/officeDocument/2006/relationships/hyperlink" Target="https://osf.io/mptud" TargetMode="External"/><Relationship Id="rId1270" Type="http://schemas.openxmlformats.org/officeDocument/2006/relationships/hyperlink" Target="http://osf.io/d8uvg/" TargetMode="External"/><Relationship Id="rId440" Type="http://schemas.openxmlformats.org/officeDocument/2006/relationships/hyperlink" Target="https://osf.io/8qub2" TargetMode="External"/><Relationship Id="rId1271" Type="http://schemas.openxmlformats.org/officeDocument/2006/relationships/hyperlink" Target="https://doi.org/10.17605/OSF.IO/M9VRK" TargetMode="External"/><Relationship Id="rId1272" Type="http://schemas.openxmlformats.org/officeDocument/2006/relationships/hyperlink" Target="https://osf.io/ebhku/" TargetMode="External"/><Relationship Id="rId1273" Type="http://schemas.openxmlformats.org/officeDocument/2006/relationships/hyperlink" Target="http://osf.io/2ukpq" TargetMode="External"/><Relationship Id="rId1274" Type="http://schemas.openxmlformats.org/officeDocument/2006/relationships/hyperlink" Target="https://doi.org/10.17605/OSF.IO/9E3T5" TargetMode="External"/><Relationship Id="rId444" Type="http://schemas.openxmlformats.org/officeDocument/2006/relationships/hyperlink" Target="https://osf.io/mptud" TargetMode="External"/><Relationship Id="rId1275" Type="http://schemas.openxmlformats.org/officeDocument/2006/relationships/hyperlink" Target="http://osf.io/ka5wv/" TargetMode="External"/><Relationship Id="rId443" Type="http://schemas.openxmlformats.org/officeDocument/2006/relationships/hyperlink" Target="https://osf.io/mptud" TargetMode="External"/><Relationship Id="rId1276" Type="http://schemas.openxmlformats.org/officeDocument/2006/relationships/hyperlink" Target="https://doi.org/10.17605/OSF.IO/DNQE7" TargetMode="External"/><Relationship Id="rId442" Type="http://schemas.openxmlformats.org/officeDocument/2006/relationships/hyperlink" Target="https://osf.io/mptud" TargetMode="External"/><Relationship Id="rId1277" Type="http://schemas.openxmlformats.org/officeDocument/2006/relationships/hyperlink" Target="https://rpubs.com/lrborchers/450894" TargetMode="External"/><Relationship Id="rId441" Type="http://schemas.openxmlformats.org/officeDocument/2006/relationships/hyperlink" Target="https://osf.io/mptud" TargetMode="External"/><Relationship Id="rId1278" Type="http://schemas.openxmlformats.org/officeDocument/2006/relationships/hyperlink" Target="http://osf.io/f5svw" TargetMode="External"/><Relationship Id="rId1268" Type="http://schemas.openxmlformats.org/officeDocument/2006/relationships/hyperlink" Target="https://doi.org/10.17605/OSF.IO/R3KTH" TargetMode="External"/><Relationship Id="rId2599" Type="http://schemas.openxmlformats.org/officeDocument/2006/relationships/hyperlink" Target="http://osf.io/6yfxz" TargetMode="External"/><Relationship Id="rId1269" Type="http://schemas.openxmlformats.org/officeDocument/2006/relationships/hyperlink" Target="https://osf.io/vzmdj" TargetMode="External"/><Relationship Id="rId437" Type="http://schemas.openxmlformats.org/officeDocument/2006/relationships/hyperlink" Target="https://doi.org/10.1016/j.xjmad.2024.100075" TargetMode="External"/><Relationship Id="rId436" Type="http://schemas.openxmlformats.org/officeDocument/2006/relationships/hyperlink" Target="https://doi.org/10.1007/s10802-020-00712-w" TargetMode="External"/><Relationship Id="rId435" Type="http://schemas.openxmlformats.org/officeDocument/2006/relationships/hyperlink" Target="https://se.ifi.uni-heidelberg.de/fileadmin/pdf/publications/2016_The_Role_of_Method_Chains.pdf" TargetMode="External"/><Relationship Id="rId434" Type="http://schemas.openxmlformats.org/officeDocument/2006/relationships/hyperlink" Target="https://doi.org/10.1109/ICCQ60895.2024.10576941" TargetMode="External"/><Relationship Id="rId439" Type="http://schemas.openxmlformats.org/officeDocument/2006/relationships/hyperlink" Target="https://osf.io/8qub2" TargetMode="External"/><Relationship Id="rId438" Type="http://schemas.openxmlformats.org/officeDocument/2006/relationships/hyperlink" Target="https://doi.org/10.1016/j.xjmad.2024.100075" TargetMode="External"/><Relationship Id="rId2590" Type="http://schemas.openxmlformats.org/officeDocument/2006/relationships/hyperlink" Target="https://doi.org/10.17605/OSF.IO/THM7D" TargetMode="External"/><Relationship Id="rId1260" Type="http://schemas.openxmlformats.org/officeDocument/2006/relationships/hyperlink" Target="http://osf.io/ggw7c/" TargetMode="External"/><Relationship Id="rId2591" Type="http://schemas.openxmlformats.org/officeDocument/2006/relationships/hyperlink" Target="http://doi.org/10.1007/s13164-018-0400-9" TargetMode="External"/><Relationship Id="rId1261" Type="http://schemas.openxmlformats.org/officeDocument/2006/relationships/hyperlink" Target="https://doi.org/10.17605/OSF.IO/3G3HV" TargetMode="External"/><Relationship Id="rId2592" Type="http://schemas.openxmlformats.org/officeDocument/2006/relationships/hyperlink" Target="https://osf.io/4ewkh" TargetMode="External"/><Relationship Id="rId1262" Type="http://schemas.openxmlformats.org/officeDocument/2006/relationships/hyperlink" Target="http://osf.io/rpkjk/" TargetMode="External"/><Relationship Id="rId2593" Type="http://schemas.openxmlformats.org/officeDocument/2006/relationships/hyperlink" Target="http://osf.io/6yfxz" TargetMode="External"/><Relationship Id="rId1263" Type="http://schemas.openxmlformats.org/officeDocument/2006/relationships/hyperlink" Target="https://doi.org/10.17605/OSF.IO/Y62DH" TargetMode="External"/><Relationship Id="rId2594" Type="http://schemas.openxmlformats.org/officeDocument/2006/relationships/hyperlink" Target="http://doi.org/10.1007/s13164-018-0400-9" TargetMode="External"/><Relationship Id="rId433" Type="http://schemas.openxmlformats.org/officeDocument/2006/relationships/hyperlink" Target="https://doi.org/10.1145/3649217.3653545" TargetMode="External"/><Relationship Id="rId1264" Type="http://schemas.openxmlformats.org/officeDocument/2006/relationships/hyperlink" Target="http://osf.io/xrhqe/" TargetMode="External"/><Relationship Id="rId2595" Type="http://schemas.openxmlformats.org/officeDocument/2006/relationships/hyperlink" Target="https://osf.io/4ewkh" TargetMode="External"/><Relationship Id="rId432" Type="http://schemas.openxmlformats.org/officeDocument/2006/relationships/hyperlink" Target="https://doi.org/10.1145/3649217.3653545" TargetMode="External"/><Relationship Id="rId1265" Type="http://schemas.openxmlformats.org/officeDocument/2006/relationships/hyperlink" Target="https://doi.org/10.17605/OSF.IO/W62XY" TargetMode="External"/><Relationship Id="rId2596" Type="http://schemas.openxmlformats.org/officeDocument/2006/relationships/hyperlink" Target="https://doi.org/10.17605/OSF.IO/THM7D" TargetMode="External"/><Relationship Id="rId431" Type="http://schemas.openxmlformats.org/officeDocument/2006/relationships/hyperlink" Target="https://purl.utwente.nl/essays/100571" TargetMode="External"/><Relationship Id="rId1266" Type="http://schemas.openxmlformats.org/officeDocument/2006/relationships/hyperlink" Target="http://osf.io/7e8hz" TargetMode="External"/><Relationship Id="rId2597" Type="http://schemas.openxmlformats.org/officeDocument/2006/relationships/hyperlink" Target="http://doi.org/10.1007/s13164-018-0400-9" TargetMode="External"/><Relationship Id="rId430" Type="http://schemas.openxmlformats.org/officeDocument/2006/relationships/hyperlink" Target="https://purl.utwente.nl/essays/100571" TargetMode="External"/><Relationship Id="rId1267" Type="http://schemas.openxmlformats.org/officeDocument/2006/relationships/hyperlink" Target="https://osf.io/92qp3/." TargetMode="External"/><Relationship Id="rId2598" Type="http://schemas.openxmlformats.org/officeDocument/2006/relationships/hyperlink" Target="https://osf.io/4ewkh" TargetMode="External"/><Relationship Id="rId3070" Type="http://schemas.openxmlformats.org/officeDocument/2006/relationships/hyperlink" Target="https://osf.io/d3xb7/registrations" TargetMode="External"/><Relationship Id="rId3072" Type="http://schemas.openxmlformats.org/officeDocument/2006/relationships/hyperlink" Target="https://osf.io/d3xb7/registrations" TargetMode="External"/><Relationship Id="rId3071" Type="http://schemas.openxmlformats.org/officeDocument/2006/relationships/hyperlink" Target="https://drive.google.com/file/d/17mZvRs3ue7pXwqu8bmIDvgNdc95PGEcV/view" TargetMode="External"/><Relationship Id="rId3074" Type="http://schemas.openxmlformats.org/officeDocument/2006/relationships/hyperlink" Target="https://osf.io/d3xb7/registrations" TargetMode="External"/><Relationship Id="rId3073" Type="http://schemas.openxmlformats.org/officeDocument/2006/relationships/hyperlink" Target="https://drive.google.com/file/d/17mZvRs3ue7pXwqu8bmIDvgNdc95PGEcV/view" TargetMode="External"/><Relationship Id="rId3076" Type="http://schemas.openxmlformats.org/officeDocument/2006/relationships/hyperlink" Target="https://osf.io/d3xb7/registrations" TargetMode="External"/><Relationship Id="rId3075" Type="http://schemas.openxmlformats.org/officeDocument/2006/relationships/hyperlink" Target="https://drive.google.com/file/d/17mZvRs3ue7pXwqu8bmIDvgNdc95PGEcV/view" TargetMode="External"/><Relationship Id="rId3078" Type="http://schemas.openxmlformats.org/officeDocument/2006/relationships/hyperlink" Target="https://osf.io/d3xb7/registrations" TargetMode="External"/><Relationship Id="rId3077" Type="http://schemas.openxmlformats.org/officeDocument/2006/relationships/hyperlink" Target="https://drive.google.com/file/d/17mZvRs3ue7pXwqu8bmIDvgNdc95PGEcV/view" TargetMode="External"/><Relationship Id="rId3079" Type="http://schemas.openxmlformats.org/officeDocument/2006/relationships/hyperlink" Target="https://drive.google.com/file/d/17mZvRs3ue7pXwqu8bmIDvgNdc95PGEcV/view" TargetMode="External"/><Relationship Id="rId3061" Type="http://schemas.openxmlformats.org/officeDocument/2006/relationships/hyperlink" Target="https://osf.io/fb8fj" TargetMode="External"/><Relationship Id="rId3060" Type="http://schemas.openxmlformats.org/officeDocument/2006/relationships/hyperlink" Target="https://osf.io/gea2s" TargetMode="External"/><Relationship Id="rId3063" Type="http://schemas.openxmlformats.org/officeDocument/2006/relationships/hyperlink" Target="https://drive.google.com/file/d/17mZvRs3ue7pXwqu8bmIDvgNdc95PGEcV/view" TargetMode="External"/><Relationship Id="rId3062" Type="http://schemas.openxmlformats.org/officeDocument/2006/relationships/hyperlink" Target="https://osf.io/fb8fj" TargetMode="External"/><Relationship Id="rId3065" Type="http://schemas.openxmlformats.org/officeDocument/2006/relationships/hyperlink" Target="https://drive.google.com/file/d/17mZvRs3ue7pXwqu8bmIDvgNdc95PGEcV/view" TargetMode="External"/><Relationship Id="rId3064" Type="http://schemas.openxmlformats.org/officeDocument/2006/relationships/hyperlink" Target="https://osf.io/d3xb7/registrations" TargetMode="External"/><Relationship Id="rId3067" Type="http://schemas.openxmlformats.org/officeDocument/2006/relationships/hyperlink" Target="https://drive.google.com/file/d/17mZvRs3ue7pXwqu8bmIDvgNdc95PGEcV/view" TargetMode="External"/><Relationship Id="rId3066" Type="http://schemas.openxmlformats.org/officeDocument/2006/relationships/hyperlink" Target="https://osf.io/d3xb7/registrations" TargetMode="External"/><Relationship Id="rId3069" Type="http://schemas.openxmlformats.org/officeDocument/2006/relationships/hyperlink" Target="https://drive.google.com/file/d/17mZvRs3ue7pXwqu8bmIDvgNdc95PGEcV/view" TargetMode="External"/><Relationship Id="rId3068" Type="http://schemas.openxmlformats.org/officeDocument/2006/relationships/hyperlink" Target="https://osf.io/d3xb7/registrations" TargetMode="External"/><Relationship Id="rId3090" Type="http://schemas.openxmlformats.org/officeDocument/2006/relationships/hyperlink" Target="https://osf.io/d3xb7/registrations" TargetMode="External"/><Relationship Id="rId3092" Type="http://schemas.openxmlformats.org/officeDocument/2006/relationships/hyperlink" Target="https://osf.io/d3xb7/registrations" TargetMode="External"/><Relationship Id="rId3091" Type="http://schemas.openxmlformats.org/officeDocument/2006/relationships/hyperlink" Target="https://drive.google.com/file/d/17mZvRs3ue7pXwqu8bmIDvgNdc95PGEcV/view" TargetMode="External"/><Relationship Id="rId3094" Type="http://schemas.openxmlformats.org/officeDocument/2006/relationships/hyperlink" Target="https://osf.io/d3xb7/registrations" TargetMode="External"/><Relationship Id="rId3093" Type="http://schemas.openxmlformats.org/officeDocument/2006/relationships/hyperlink" Target="https://drive.google.com/file/d/17mZvRs3ue7pXwqu8bmIDvgNdc95PGEcV/view" TargetMode="External"/><Relationship Id="rId3096" Type="http://schemas.openxmlformats.org/officeDocument/2006/relationships/hyperlink" Target="https://osf.io/d3xb7/registrations" TargetMode="External"/><Relationship Id="rId3095" Type="http://schemas.openxmlformats.org/officeDocument/2006/relationships/hyperlink" Target="https://drive.google.com/file/d/17mZvRs3ue7pXwqu8bmIDvgNdc95PGEcV/view" TargetMode="External"/><Relationship Id="rId3098" Type="http://schemas.openxmlformats.org/officeDocument/2006/relationships/hyperlink" Target="https://osf.io/d3xb7/registrations" TargetMode="External"/><Relationship Id="rId3097" Type="http://schemas.openxmlformats.org/officeDocument/2006/relationships/hyperlink" Target="https://drive.google.com/file/d/17mZvRs3ue7pXwqu8bmIDvgNdc95PGEcV/view" TargetMode="External"/><Relationship Id="rId3099" Type="http://schemas.openxmlformats.org/officeDocument/2006/relationships/hyperlink" Target="https://drive.google.com/file/d/17mZvRs3ue7pXwqu8bmIDvgNdc95PGEcV/view" TargetMode="External"/><Relationship Id="rId3081" Type="http://schemas.openxmlformats.org/officeDocument/2006/relationships/hyperlink" Target="https://drive.google.com/file/d/17mZvRs3ue7pXwqu8bmIDvgNdc95PGEcV/view" TargetMode="External"/><Relationship Id="rId3080" Type="http://schemas.openxmlformats.org/officeDocument/2006/relationships/hyperlink" Target="https://osf.io/d3xb7/registrations" TargetMode="External"/><Relationship Id="rId3083" Type="http://schemas.openxmlformats.org/officeDocument/2006/relationships/hyperlink" Target="https://drive.google.com/file/d/17mZvRs3ue7pXwqu8bmIDvgNdc95PGEcV/view" TargetMode="External"/><Relationship Id="rId3082" Type="http://schemas.openxmlformats.org/officeDocument/2006/relationships/hyperlink" Target="https://osf.io/d3xb7/registrations" TargetMode="External"/><Relationship Id="rId3085" Type="http://schemas.openxmlformats.org/officeDocument/2006/relationships/hyperlink" Target="https://drive.google.com/file/d/17mZvRs3ue7pXwqu8bmIDvgNdc95PGEcV/view" TargetMode="External"/><Relationship Id="rId3084" Type="http://schemas.openxmlformats.org/officeDocument/2006/relationships/hyperlink" Target="https://osf.io/d3xb7/registrations" TargetMode="External"/><Relationship Id="rId3087" Type="http://schemas.openxmlformats.org/officeDocument/2006/relationships/hyperlink" Target="https://drive.google.com/file/d/17mZvRs3ue7pXwqu8bmIDvgNdc95PGEcV/view" TargetMode="External"/><Relationship Id="rId3086" Type="http://schemas.openxmlformats.org/officeDocument/2006/relationships/hyperlink" Target="https://osf.io/d3xb7/registrations" TargetMode="External"/><Relationship Id="rId3089" Type="http://schemas.openxmlformats.org/officeDocument/2006/relationships/hyperlink" Target="https://drive.google.com/file/d/17mZvRs3ue7pXwqu8bmIDvgNdc95PGEcV/view" TargetMode="External"/><Relationship Id="rId3088" Type="http://schemas.openxmlformats.org/officeDocument/2006/relationships/hyperlink" Target="https://osf.io/d3xb7/registrations" TargetMode="External"/><Relationship Id="rId3039" Type="http://schemas.openxmlformats.org/officeDocument/2006/relationships/hyperlink" Target="https://osf.io/qrbs8" TargetMode="External"/><Relationship Id="rId1" Type="http://schemas.openxmlformats.org/officeDocument/2006/relationships/comments" Target="../comments1.xml"/><Relationship Id="rId2" Type="http://schemas.openxmlformats.org/officeDocument/2006/relationships/hyperlink" Target="https://doi.org/10.17605/OSF.IO/2ZGF9" TargetMode="External"/><Relationship Id="rId3" Type="http://schemas.openxmlformats.org/officeDocument/2006/relationships/hyperlink" Target="https://doi.org/10.17605/OSF.IO/2ZGF9" TargetMode="External"/><Relationship Id="rId4" Type="http://schemas.openxmlformats.org/officeDocument/2006/relationships/hyperlink" Target="https://osf.io/k2cna" TargetMode="External"/><Relationship Id="rId3030" Type="http://schemas.openxmlformats.org/officeDocument/2006/relationships/hyperlink" Target="https://osf.io/97eqm" TargetMode="External"/><Relationship Id="rId9" Type="http://schemas.openxmlformats.org/officeDocument/2006/relationships/hyperlink" Target="https://osf.io/39xuw" TargetMode="External"/><Relationship Id="rId3032" Type="http://schemas.openxmlformats.org/officeDocument/2006/relationships/hyperlink" Target="https://osf.io/adwmg" TargetMode="External"/><Relationship Id="rId3031" Type="http://schemas.openxmlformats.org/officeDocument/2006/relationships/hyperlink" Target="https://osf.io/adwmg" TargetMode="External"/><Relationship Id="rId3034" Type="http://schemas.openxmlformats.org/officeDocument/2006/relationships/hyperlink" Target="https://osf.io/adwmg" TargetMode="External"/><Relationship Id="rId3033" Type="http://schemas.openxmlformats.org/officeDocument/2006/relationships/hyperlink" Target="https://osf.io/adwmg" TargetMode="External"/><Relationship Id="rId5" Type="http://schemas.openxmlformats.org/officeDocument/2006/relationships/hyperlink" Target="https://osf.io/39xuw" TargetMode="External"/><Relationship Id="rId3036" Type="http://schemas.openxmlformats.org/officeDocument/2006/relationships/hyperlink" Target="https://osf.io/8qrbv" TargetMode="External"/><Relationship Id="rId6" Type="http://schemas.openxmlformats.org/officeDocument/2006/relationships/hyperlink" Target="https://osf.io/39xuw" TargetMode="External"/><Relationship Id="rId3035" Type="http://schemas.openxmlformats.org/officeDocument/2006/relationships/hyperlink" Target="https://osf.io/pqt82" TargetMode="External"/><Relationship Id="rId7" Type="http://schemas.openxmlformats.org/officeDocument/2006/relationships/hyperlink" Target="http://osf.io/wru8c" TargetMode="External"/><Relationship Id="rId3038" Type="http://schemas.openxmlformats.org/officeDocument/2006/relationships/hyperlink" Target="https://osf.io/8qrbv" TargetMode="External"/><Relationship Id="rId8" Type="http://schemas.openxmlformats.org/officeDocument/2006/relationships/hyperlink" Target="https://osf.io/39xuw" TargetMode="External"/><Relationship Id="rId3037" Type="http://schemas.openxmlformats.org/officeDocument/2006/relationships/hyperlink" Target="https://osf.io/pqt82" TargetMode="External"/><Relationship Id="rId3029" Type="http://schemas.openxmlformats.org/officeDocument/2006/relationships/hyperlink" Target="https://osf.io/97eqm" TargetMode="External"/><Relationship Id="rId3028" Type="http://schemas.openxmlformats.org/officeDocument/2006/relationships/hyperlink" Target="https://osf.io/97eqm" TargetMode="External"/><Relationship Id="rId3021" Type="http://schemas.openxmlformats.org/officeDocument/2006/relationships/hyperlink" Target="https://osf.io/yb4j3" TargetMode="External"/><Relationship Id="rId3020" Type="http://schemas.openxmlformats.org/officeDocument/2006/relationships/hyperlink" Target="https://osf.io/yb4j3" TargetMode="External"/><Relationship Id="rId3023" Type="http://schemas.openxmlformats.org/officeDocument/2006/relationships/hyperlink" Target="https://datacolada.org/94" TargetMode="External"/><Relationship Id="rId3022" Type="http://schemas.openxmlformats.org/officeDocument/2006/relationships/hyperlink" Target="https://osf.io/ux42g" TargetMode="External"/><Relationship Id="rId3025" Type="http://schemas.openxmlformats.org/officeDocument/2006/relationships/hyperlink" Target="https://datacolada.org/94" TargetMode="External"/><Relationship Id="rId3024" Type="http://schemas.openxmlformats.org/officeDocument/2006/relationships/hyperlink" Target="https://researchbox.org/58" TargetMode="External"/><Relationship Id="rId3027" Type="http://schemas.openxmlformats.org/officeDocument/2006/relationships/hyperlink" Target="https://osf.io/97eqm" TargetMode="External"/><Relationship Id="rId3026" Type="http://schemas.openxmlformats.org/officeDocument/2006/relationships/hyperlink" Target="https://researchbox.org/58" TargetMode="External"/><Relationship Id="rId3050" Type="http://schemas.openxmlformats.org/officeDocument/2006/relationships/hyperlink" Target="https://pubmed.ncbi.nlm.nih.gov/37917442/" TargetMode="External"/><Relationship Id="rId3052" Type="http://schemas.openxmlformats.org/officeDocument/2006/relationships/hyperlink" Target="https://pubmed.ncbi.nlm.nih.gov/37917442/" TargetMode="External"/><Relationship Id="rId3051" Type="http://schemas.openxmlformats.org/officeDocument/2006/relationships/hyperlink" Target="https://pubmed.ncbi.nlm.nih.gov/37917442/" TargetMode="External"/><Relationship Id="rId3054" Type="http://schemas.openxmlformats.org/officeDocument/2006/relationships/hyperlink" Target="https://osf.io/y3bqa/" TargetMode="External"/><Relationship Id="rId3053" Type="http://schemas.openxmlformats.org/officeDocument/2006/relationships/hyperlink" Target="https://pubmed.ncbi.nlm.nih.gov/37917442/" TargetMode="External"/><Relationship Id="rId3056" Type="http://schemas.openxmlformats.org/officeDocument/2006/relationships/hyperlink" Target="https://osf.io/y3bqa/" TargetMode="External"/><Relationship Id="rId3055" Type="http://schemas.openxmlformats.org/officeDocument/2006/relationships/hyperlink" Target="https://osf.io/y3bqa/" TargetMode="External"/><Relationship Id="rId3058" Type="http://schemas.openxmlformats.org/officeDocument/2006/relationships/hyperlink" Target="https://osf.io/gea2s" TargetMode="External"/><Relationship Id="rId3057" Type="http://schemas.openxmlformats.org/officeDocument/2006/relationships/hyperlink" Target="https://osf.io/gea2s" TargetMode="External"/><Relationship Id="rId3059" Type="http://schemas.openxmlformats.org/officeDocument/2006/relationships/hyperlink" Target="https://osf.io/gea2s" TargetMode="External"/><Relationship Id="rId3041" Type="http://schemas.openxmlformats.org/officeDocument/2006/relationships/hyperlink" Target="https://osf.io/qrbs8" TargetMode="External"/><Relationship Id="rId3040" Type="http://schemas.openxmlformats.org/officeDocument/2006/relationships/hyperlink" Target="https://osf.io/qrbs8" TargetMode="External"/><Relationship Id="rId3043" Type="http://schemas.openxmlformats.org/officeDocument/2006/relationships/hyperlink" Target="https://osf.io/jfhkd" TargetMode="External"/><Relationship Id="rId3042" Type="http://schemas.openxmlformats.org/officeDocument/2006/relationships/hyperlink" Target="https://osf.io/qrbs8" TargetMode="External"/><Relationship Id="rId3045" Type="http://schemas.openxmlformats.org/officeDocument/2006/relationships/hyperlink" Target="https://osf.io/jfhkd" TargetMode="External"/><Relationship Id="rId3044" Type="http://schemas.openxmlformats.org/officeDocument/2006/relationships/hyperlink" Target="https://osf.io/jfhkd" TargetMode="External"/><Relationship Id="rId3047" Type="http://schemas.openxmlformats.org/officeDocument/2006/relationships/hyperlink" Target="https://aspredicted.org/d92dd.pdf" TargetMode="External"/><Relationship Id="rId3046" Type="http://schemas.openxmlformats.org/officeDocument/2006/relationships/hyperlink" Target="https://datacolada.org/87" TargetMode="External"/><Relationship Id="rId3049" Type="http://schemas.openxmlformats.org/officeDocument/2006/relationships/hyperlink" Target="https://aspredicted.org/md5q8.pdf" TargetMode="External"/><Relationship Id="rId3048" Type="http://schemas.openxmlformats.org/officeDocument/2006/relationships/hyperlink" Target="https://datacolada.org/89" TargetMode="External"/><Relationship Id="rId2600" Type="http://schemas.openxmlformats.org/officeDocument/2006/relationships/hyperlink" Target="http://doi.org/10.1007/s13164-018-0400-9" TargetMode="External"/><Relationship Id="rId2601" Type="http://schemas.openxmlformats.org/officeDocument/2006/relationships/hyperlink" Target="https://osf.io/4ewkh" TargetMode="External"/><Relationship Id="rId2602" Type="http://schemas.openxmlformats.org/officeDocument/2006/relationships/hyperlink" Target="https://doi.org/10.17605/OSF.IO/THM7D" TargetMode="External"/><Relationship Id="rId2603" Type="http://schemas.openxmlformats.org/officeDocument/2006/relationships/hyperlink" Target="http://doi.org/10.1007/s13164-018-0400-9" TargetMode="External"/><Relationship Id="rId2604" Type="http://schemas.openxmlformats.org/officeDocument/2006/relationships/hyperlink" Target="https://osf.io/4ewkh" TargetMode="External"/><Relationship Id="rId2605" Type="http://schemas.openxmlformats.org/officeDocument/2006/relationships/hyperlink" Target="http://osf.io/6yfxz" TargetMode="External"/><Relationship Id="rId2606" Type="http://schemas.openxmlformats.org/officeDocument/2006/relationships/hyperlink" Target="http://doi.org/10.1007/s13164-018-0400-9" TargetMode="External"/><Relationship Id="rId808" Type="http://schemas.openxmlformats.org/officeDocument/2006/relationships/hyperlink" Target="https://osf.io/sxw48/" TargetMode="External"/><Relationship Id="rId2607" Type="http://schemas.openxmlformats.org/officeDocument/2006/relationships/hyperlink" Target="https://osf.io/4ewkh" TargetMode="External"/><Relationship Id="rId807" Type="http://schemas.openxmlformats.org/officeDocument/2006/relationships/hyperlink" Target="https://osf.io/apgqj" TargetMode="External"/><Relationship Id="rId2608" Type="http://schemas.openxmlformats.org/officeDocument/2006/relationships/hyperlink" Target="https://doi.org/10.17605/OSF.IO/THM7D" TargetMode="External"/><Relationship Id="rId806" Type="http://schemas.openxmlformats.org/officeDocument/2006/relationships/hyperlink" Target="https://rpubs.com/kl2018/432454" TargetMode="External"/><Relationship Id="rId2609" Type="http://schemas.openxmlformats.org/officeDocument/2006/relationships/hyperlink" Target="http://doi.org/10.1007/s13164-018-0400-9" TargetMode="External"/><Relationship Id="rId805" Type="http://schemas.openxmlformats.org/officeDocument/2006/relationships/hyperlink" Target="https://osf.io/apgqj" TargetMode="External"/><Relationship Id="rId809" Type="http://schemas.openxmlformats.org/officeDocument/2006/relationships/hyperlink" Target="https://osf.io/rjxwe" TargetMode="External"/><Relationship Id="rId800" Type="http://schemas.openxmlformats.org/officeDocument/2006/relationships/hyperlink" Target="https://osf.io/e6cps" TargetMode="External"/><Relationship Id="rId804" Type="http://schemas.openxmlformats.org/officeDocument/2006/relationships/hyperlink" Target="https://rpubs.com/kl2018/432454" TargetMode="External"/><Relationship Id="rId803" Type="http://schemas.openxmlformats.org/officeDocument/2006/relationships/hyperlink" Target="https://osf.io/e6cps" TargetMode="External"/><Relationship Id="rId802" Type="http://schemas.openxmlformats.org/officeDocument/2006/relationships/hyperlink" Target="https://aspredicted.org/sk5up.pdf" TargetMode="External"/><Relationship Id="rId801" Type="http://schemas.openxmlformats.org/officeDocument/2006/relationships/hyperlink" Target="https://rstudio-pubs-static.s3.amazonaws.com/843645_4999687f04a2418cb522a69fb65ceeb8.html" TargetMode="External"/><Relationship Id="rId1334" Type="http://schemas.openxmlformats.org/officeDocument/2006/relationships/hyperlink" Target="https://osf.io/4ewkh" TargetMode="External"/><Relationship Id="rId2665" Type="http://schemas.openxmlformats.org/officeDocument/2006/relationships/hyperlink" Target="https://osf.io/4ewkh" TargetMode="External"/><Relationship Id="rId1335" Type="http://schemas.openxmlformats.org/officeDocument/2006/relationships/hyperlink" Target="http://osf.io/6yfxz" TargetMode="External"/><Relationship Id="rId2666" Type="http://schemas.openxmlformats.org/officeDocument/2006/relationships/hyperlink" Target="https://doi.org/10.17605/OSF.IO/R3KTH" TargetMode="External"/><Relationship Id="rId1336" Type="http://schemas.openxmlformats.org/officeDocument/2006/relationships/hyperlink" Target="https://osf.io/4ewkh" TargetMode="External"/><Relationship Id="rId2667" Type="http://schemas.openxmlformats.org/officeDocument/2006/relationships/hyperlink" Target="http://doi.org/10.1007/s13164-018-0400-9" TargetMode="External"/><Relationship Id="rId1337" Type="http://schemas.openxmlformats.org/officeDocument/2006/relationships/hyperlink" Target="https://osf.io/exqch" TargetMode="External"/><Relationship Id="rId2668" Type="http://schemas.openxmlformats.org/officeDocument/2006/relationships/hyperlink" Target="https://osf.io/pq7eb" TargetMode="External"/><Relationship Id="rId1338" Type="http://schemas.openxmlformats.org/officeDocument/2006/relationships/hyperlink" Target="https://doi.org/10.17605/OSF.IO/THM7D" TargetMode="External"/><Relationship Id="rId2669" Type="http://schemas.openxmlformats.org/officeDocument/2006/relationships/hyperlink" Target="https://doi.org/10.17605/OSF.IO/M9VRK" TargetMode="External"/><Relationship Id="rId1339" Type="http://schemas.openxmlformats.org/officeDocument/2006/relationships/hyperlink" Target="https://osf.io/4ewkh" TargetMode="External"/><Relationship Id="rId745" Type="http://schemas.openxmlformats.org/officeDocument/2006/relationships/hyperlink" Target="https://osf.io/fd9kq" TargetMode="External"/><Relationship Id="rId744" Type="http://schemas.openxmlformats.org/officeDocument/2006/relationships/hyperlink" Target="https://osf.io/92der" TargetMode="External"/><Relationship Id="rId743" Type="http://schemas.openxmlformats.org/officeDocument/2006/relationships/hyperlink" Target="https://rstudio-pubs-static.s3.amazonaws.com/694306_59178dc09b8648e598a3e535876c9246.html" TargetMode="External"/><Relationship Id="rId742" Type="http://schemas.openxmlformats.org/officeDocument/2006/relationships/hyperlink" Target="https://doi.org/10.1098/rsos.231240" TargetMode="External"/><Relationship Id="rId749" Type="http://schemas.openxmlformats.org/officeDocument/2006/relationships/hyperlink" Target="https://osf.io/8e5cg" TargetMode="External"/><Relationship Id="rId748" Type="http://schemas.openxmlformats.org/officeDocument/2006/relationships/hyperlink" Target="https://osf.io/tyvbw" TargetMode="External"/><Relationship Id="rId747" Type="http://schemas.openxmlformats.org/officeDocument/2006/relationships/hyperlink" Target="https://osf.io/fd9kq" TargetMode="External"/><Relationship Id="rId746" Type="http://schemas.openxmlformats.org/officeDocument/2006/relationships/hyperlink" Target="https://osf.io/tyvbw" TargetMode="External"/><Relationship Id="rId2660" Type="http://schemas.openxmlformats.org/officeDocument/2006/relationships/hyperlink" Target="https://doi.org/10.17605/OSF.IO/R3KTH" TargetMode="External"/><Relationship Id="rId741" Type="http://schemas.openxmlformats.org/officeDocument/2006/relationships/hyperlink" Target="https://rstudio-pubs-static.s3.amazonaws.com/694306_59178dc09b8648e598a3e535876c9246.html" TargetMode="External"/><Relationship Id="rId1330" Type="http://schemas.openxmlformats.org/officeDocument/2006/relationships/hyperlink" Target="http://osf.io/6yfxz" TargetMode="External"/><Relationship Id="rId2661" Type="http://schemas.openxmlformats.org/officeDocument/2006/relationships/hyperlink" Target="https://osf.io/2yuq3" TargetMode="External"/><Relationship Id="rId740" Type="http://schemas.openxmlformats.org/officeDocument/2006/relationships/hyperlink" Target="https://osf.io/92der" TargetMode="External"/><Relationship Id="rId1331" Type="http://schemas.openxmlformats.org/officeDocument/2006/relationships/hyperlink" Target="https://osf.io/4ewkh" TargetMode="External"/><Relationship Id="rId2662" Type="http://schemas.openxmlformats.org/officeDocument/2006/relationships/hyperlink" Target="https://doi.org/10.17605/OSF.IO/R3KTH" TargetMode="External"/><Relationship Id="rId1332" Type="http://schemas.openxmlformats.org/officeDocument/2006/relationships/hyperlink" Target="https://aspredicted.org/n3pd9.pdf" TargetMode="External"/><Relationship Id="rId2663" Type="http://schemas.openxmlformats.org/officeDocument/2006/relationships/hyperlink" Target="https://osf.io/u8g3x" TargetMode="External"/><Relationship Id="rId1333" Type="http://schemas.openxmlformats.org/officeDocument/2006/relationships/hyperlink" Target="https://doi.org/10.17605/OSF.IO/THM7D" TargetMode="External"/><Relationship Id="rId2664" Type="http://schemas.openxmlformats.org/officeDocument/2006/relationships/hyperlink" Target="http://doi.org/10.1007/s13164-018-0400-9" TargetMode="External"/><Relationship Id="rId1323" Type="http://schemas.openxmlformats.org/officeDocument/2006/relationships/hyperlink" Target="https://doi.org/10.17605/OSF.IO/QP8V3" TargetMode="External"/><Relationship Id="rId2654" Type="http://schemas.openxmlformats.org/officeDocument/2006/relationships/hyperlink" Target="https://osf.io/9ahkt" TargetMode="External"/><Relationship Id="rId1324" Type="http://schemas.openxmlformats.org/officeDocument/2006/relationships/hyperlink" Target="https://osf.io/4ewkh" TargetMode="External"/><Relationship Id="rId2655" Type="http://schemas.openxmlformats.org/officeDocument/2006/relationships/hyperlink" Target="https://osf.io/w62xy" TargetMode="External"/><Relationship Id="rId1325" Type="http://schemas.openxmlformats.org/officeDocument/2006/relationships/hyperlink" Target="https://doi.org/10.17605/OSF.IO/QP8V3" TargetMode="External"/><Relationship Id="rId2656" Type="http://schemas.openxmlformats.org/officeDocument/2006/relationships/hyperlink" Target="https://osf.io/9ahkt" TargetMode="External"/><Relationship Id="rId1326" Type="http://schemas.openxmlformats.org/officeDocument/2006/relationships/hyperlink" Target="https://osf.io/4ewkh" TargetMode="External"/><Relationship Id="rId2657" Type="http://schemas.openxmlformats.org/officeDocument/2006/relationships/hyperlink" Target="https://osf.io/w62xy" TargetMode="External"/><Relationship Id="rId1327" Type="http://schemas.openxmlformats.org/officeDocument/2006/relationships/hyperlink" Target="https://doi.org/10.17605/OSF.IO/5NZ6W" TargetMode="External"/><Relationship Id="rId2658" Type="http://schemas.openxmlformats.org/officeDocument/2006/relationships/hyperlink" Target="http://doi.org/10.1007/s13164-018-0400-9" TargetMode="External"/><Relationship Id="rId1328" Type="http://schemas.openxmlformats.org/officeDocument/2006/relationships/hyperlink" Target="https://osf.io/4ewkh" TargetMode="External"/><Relationship Id="rId2659" Type="http://schemas.openxmlformats.org/officeDocument/2006/relationships/hyperlink" Target="https://osf.io/2yuq3" TargetMode="External"/><Relationship Id="rId1329" Type="http://schemas.openxmlformats.org/officeDocument/2006/relationships/hyperlink" Target="https://aspredicted.org/yp5az.pdf" TargetMode="External"/><Relationship Id="rId739" Type="http://schemas.openxmlformats.org/officeDocument/2006/relationships/hyperlink" Target="https://rstudio-pubs-static.s3.amazonaws.com/694306_59178dc09b8648e598a3e535876c9246.html" TargetMode="External"/><Relationship Id="rId734" Type="http://schemas.openxmlformats.org/officeDocument/2006/relationships/hyperlink" Target="https://doi.org/10.1098/rsos.231240" TargetMode="External"/><Relationship Id="rId733" Type="http://schemas.openxmlformats.org/officeDocument/2006/relationships/hyperlink" Target="https://rstudio-pubs-static.s3.amazonaws.com/694306_59178dc09b8648e598a3e535876c9246.html" TargetMode="External"/><Relationship Id="rId732" Type="http://schemas.openxmlformats.org/officeDocument/2006/relationships/hyperlink" Target="https://osf.io/92der" TargetMode="External"/><Relationship Id="rId731" Type="http://schemas.openxmlformats.org/officeDocument/2006/relationships/hyperlink" Target="https://rstudio-pubs-static.s3.amazonaws.com/694306_59178dc09b8648e598a3e535876c9246.html" TargetMode="External"/><Relationship Id="rId738" Type="http://schemas.openxmlformats.org/officeDocument/2006/relationships/hyperlink" Target="https://doi.org/10.1098/rsos.231240" TargetMode="External"/><Relationship Id="rId737" Type="http://schemas.openxmlformats.org/officeDocument/2006/relationships/hyperlink" Target="https://rstudio-pubs-static.s3.amazonaws.com/694306_59178dc09b8648e598a3e535876c9246.html" TargetMode="External"/><Relationship Id="rId736" Type="http://schemas.openxmlformats.org/officeDocument/2006/relationships/hyperlink" Target="https://osf.io/92der" TargetMode="External"/><Relationship Id="rId735" Type="http://schemas.openxmlformats.org/officeDocument/2006/relationships/hyperlink" Target="https://rstudio-pubs-static.s3.amazonaws.com/694306_59178dc09b8648e598a3e535876c9246.html" TargetMode="External"/><Relationship Id="rId730" Type="http://schemas.openxmlformats.org/officeDocument/2006/relationships/hyperlink" Target="https://doi.org/10.1098/rsos.231240" TargetMode="External"/><Relationship Id="rId2650" Type="http://schemas.openxmlformats.org/officeDocument/2006/relationships/hyperlink" Target="https://osf.io/y62dh" TargetMode="External"/><Relationship Id="rId1320" Type="http://schemas.openxmlformats.org/officeDocument/2006/relationships/hyperlink" Target="https://osf.io/4ewkh" TargetMode="External"/><Relationship Id="rId2651" Type="http://schemas.openxmlformats.org/officeDocument/2006/relationships/hyperlink" Target="https://osf.io/spwxg" TargetMode="External"/><Relationship Id="rId1321" Type="http://schemas.openxmlformats.org/officeDocument/2006/relationships/hyperlink" Target="https://doi.org/10.17605/OSF.IO/QP8V3" TargetMode="External"/><Relationship Id="rId2652" Type="http://schemas.openxmlformats.org/officeDocument/2006/relationships/hyperlink" Target="https://osf.io/y62dh" TargetMode="External"/><Relationship Id="rId1322" Type="http://schemas.openxmlformats.org/officeDocument/2006/relationships/hyperlink" Target="https://osf.io/4ewkh" TargetMode="External"/><Relationship Id="rId2653" Type="http://schemas.openxmlformats.org/officeDocument/2006/relationships/hyperlink" Target="http://doi.org/10.1007/s13164-018-0400-9" TargetMode="External"/><Relationship Id="rId1356" Type="http://schemas.openxmlformats.org/officeDocument/2006/relationships/hyperlink" Target="https://doi.org/10.17605/OSF.IO/AY2YE" TargetMode="External"/><Relationship Id="rId2687" Type="http://schemas.openxmlformats.org/officeDocument/2006/relationships/hyperlink" Target="http://osf.io/f5svw" TargetMode="External"/><Relationship Id="rId1357" Type="http://schemas.openxmlformats.org/officeDocument/2006/relationships/hyperlink" Target="https://osf.io/4ewkh" TargetMode="External"/><Relationship Id="rId2688" Type="http://schemas.openxmlformats.org/officeDocument/2006/relationships/hyperlink" Target="http://doi.org/10.1007/s13164-018-0400-9" TargetMode="External"/><Relationship Id="rId1358" Type="http://schemas.openxmlformats.org/officeDocument/2006/relationships/hyperlink" Target="https://doi.org/10.17605/OSF.IO/AY2YE" TargetMode="External"/><Relationship Id="rId2689" Type="http://schemas.openxmlformats.org/officeDocument/2006/relationships/hyperlink" Target="https://osf.io/4ewkh" TargetMode="External"/><Relationship Id="rId1359" Type="http://schemas.openxmlformats.org/officeDocument/2006/relationships/hyperlink" Target="https://osf.io/4ewkh" TargetMode="External"/><Relationship Id="rId767" Type="http://schemas.openxmlformats.org/officeDocument/2006/relationships/hyperlink" Target="https://osf.io/5fzqp/" TargetMode="External"/><Relationship Id="rId766" Type="http://schemas.openxmlformats.org/officeDocument/2006/relationships/hyperlink" Target="https://osf.io/8e5cg" TargetMode="External"/><Relationship Id="rId765" Type="http://schemas.openxmlformats.org/officeDocument/2006/relationships/hyperlink" Target="https://rstudio-pubs-static.s3.amazonaws.com/695666_50d31a83674d49bd8c1f5c55c3647f10.html" TargetMode="External"/><Relationship Id="rId764" Type="http://schemas.openxmlformats.org/officeDocument/2006/relationships/hyperlink" Target="https://rstudio-pubs-static.s3.amazonaws.com/695666_50d31a83674d49bd8c1f5c55c3647f10.html" TargetMode="External"/><Relationship Id="rId769" Type="http://schemas.openxmlformats.org/officeDocument/2006/relationships/hyperlink" Target="https://osf.io/4uj6v" TargetMode="External"/><Relationship Id="rId768" Type="http://schemas.openxmlformats.org/officeDocument/2006/relationships/hyperlink" Target="https://osf.io/kspm6" TargetMode="External"/><Relationship Id="rId2680" Type="http://schemas.openxmlformats.org/officeDocument/2006/relationships/hyperlink" Target="https://doi.org/10.17605/OSF.IO/9E3T5" TargetMode="External"/><Relationship Id="rId1350" Type="http://schemas.openxmlformats.org/officeDocument/2006/relationships/hyperlink" Target="https://doi.org/10.17605/OSF.IO/THM7D" TargetMode="External"/><Relationship Id="rId2681" Type="http://schemas.openxmlformats.org/officeDocument/2006/relationships/hyperlink" Target="https://osf.io/juxpq" TargetMode="External"/><Relationship Id="rId1351" Type="http://schemas.openxmlformats.org/officeDocument/2006/relationships/hyperlink" Target="https://osf.io/4ewkh" TargetMode="External"/><Relationship Id="rId2682" Type="http://schemas.openxmlformats.org/officeDocument/2006/relationships/hyperlink" Target="https://doi.org/10.17605/OSF.IO/9E3T5" TargetMode="External"/><Relationship Id="rId763" Type="http://schemas.openxmlformats.org/officeDocument/2006/relationships/hyperlink" Target="https://osf.io/8e5cg" TargetMode="External"/><Relationship Id="rId1352" Type="http://schemas.openxmlformats.org/officeDocument/2006/relationships/hyperlink" Target="http://osf.io/6yfxz" TargetMode="External"/><Relationship Id="rId2683" Type="http://schemas.openxmlformats.org/officeDocument/2006/relationships/hyperlink" Target="http://doi.org/10.1007/s13164-018-0400-9" TargetMode="External"/><Relationship Id="rId762" Type="http://schemas.openxmlformats.org/officeDocument/2006/relationships/hyperlink" Target="https://rstudio-pubs-static.s3.amazonaws.com/695666_50d31a83674d49bd8c1f5c55c3647f10.html" TargetMode="External"/><Relationship Id="rId1353" Type="http://schemas.openxmlformats.org/officeDocument/2006/relationships/hyperlink" Target="https://osf.io/4ewkh" TargetMode="External"/><Relationship Id="rId2684" Type="http://schemas.openxmlformats.org/officeDocument/2006/relationships/hyperlink" Target="https://osf.io/xv3uz" TargetMode="External"/><Relationship Id="rId761" Type="http://schemas.openxmlformats.org/officeDocument/2006/relationships/hyperlink" Target="https://rstudio-pubs-static.s3.amazonaws.com/695666_50d31a83674d49bd8c1f5c55c3647f10.html" TargetMode="External"/><Relationship Id="rId1354" Type="http://schemas.openxmlformats.org/officeDocument/2006/relationships/hyperlink" Target="https://doi.org/10.17605/OSF.IO/AY2YE" TargetMode="External"/><Relationship Id="rId2685" Type="http://schemas.openxmlformats.org/officeDocument/2006/relationships/hyperlink" Target="https://osf.io/xv3uz" TargetMode="External"/><Relationship Id="rId760" Type="http://schemas.openxmlformats.org/officeDocument/2006/relationships/hyperlink" Target="https://osf.io/8e5cg" TargetMode="External"/><Relationship Id="rId1355" Type="http://schemas.openxmlformats.org/officeDocument/2006/relationships/hyperlink" Target="https://osf.io/4ewkh" TargetMode="External"/><Relationship Id="rId2686" Type="http://schemas.openxmlformats.org/officeDocument/2006/relationships/hyperlink" Target="https://doi.org/10.17605/OSF.IO/DNQE7" TargetMode="External"/><Relationship Id="rId1345" Type="http://schemas.openxmlformats.org/officeDocument/2006/relationships/hyperlink" Target="https://osf.io/4ewkh" TargetMode="External"/><Relationship Id="rId2676" Type="http://schemas.openxmlformats.org/officeDocument/2006/relationships/hyperlink" Target="https://doi.org/10.17605/OSF.IO/M9VRK" TargetMode="External"/><Relationship Id="rId1346" Type="http://schemas.openxmlformats.org/officeDocument/2006/relationships/hyperlink" Target="https://doi.org/10.17605/OSF.IO/THM7D" TargetMode="External"/><Relationship Id="rId2677" Type="http://schemas.openxmlformats.org/officeDocument/2006/relationships/hyperlink" Target="http://doi.org/10.1007/s13164-018-0400-9" TargetMode="External"/><Relationship Id="rId1347" Type="http://schemas.openxmlformats.org/officeDocument/2006/relationships/hyperlink" Target="https://osf.io/4ewkh" TargetMode="External"/><Relationship Id="rId2678" Type="http://schemas.openxmlformats.org/officeDocument/2006/relationships/hyperlink" Target="https://osf.io/juxpq" TargetMode="External"/><Relationship Id="rId1348" Type="http://schemas.openxmlformats.org/officeDocument/2006/relationships/hyperlink" Target="http://osf.io/6yfxz" TargetMode="External"/><Relationship Id="rId2679" Type="http://schemas.openxmlformats.org/officeDocument/2006/relationships/hyperlink" Target="https://osf.io/juxpq" TargetMode="External"/><Relationship Id="rId1349" Type="http://schemas.openxmlformats.org/officeDocument/2006/relationships/hyperlink" Target="https://osf.io/4ewkh" TargetMode="External"/><Relationship Id="rId756" Type="http://schemas.openxmlformats.org/officeDocument/2006/relationships/hyperlink" Target="https://rstudio-pubs-static.s3.amazonaws.com/695666_50d31a83674d49bd8c1f5c55c3647f10.html" TargetMode="External"/><Relationship Id="rId755" Type="http://schemas.openxmlformats.org/officeDocument/2006/relationships/hyperlink" Target="https://osf.io/8e5cg" TargetMode="External"/><Relationship Id="rId754" Type="http://schemas.openxmlformats.org/officeDocument/2006/relationships/hyperlink" Target="https://rstudio-pubs-static.s3.amazonaws.com/695666_50d31a83674d49bd8c1f5c55c3647f10.html" TargetMode="External"/><Relationship Id="rId753" Type="http://schemas.openxmlformats.org/officeDocument/2006/relationships/hyperlink" Target="https://rstudio-pubs-static.s3.amazonaws.com/695666_50d31a83674d49bd8c1f5c55c3647f10.html" TargetMode="External"/><Relationship Id="rId759" Type="http://schemas.openxmlformats.org/officeDocument/2006/relationships/hyperlink" Target="https://rstudio-pubs-static.s3.amazonaws.com/695666_50d31a83674d49bd8c1f5c55c3647f10.html" TargetMode="External"/><Relationship Id="rId758" Type="http://schemas.openxmlformats.org/officeDocument/2006/relationships/hyperlink" Target="https://osf.io/8e5cg" TargetMode="External"/><Relationship Id="rId757" Type="http://schemas.openxmlformats.org/officeDocument/2006/relationships/hyperlink" Target="https://rstudio-pubs-static.s3.amazonaws.com/695666_50d31a83674d49bd8c1f5c55c3647f10.html" TargetMode="External"/><Relationship Id="rId2670" Type="http://schemas.openxmlformats.org/officeDocument/2006/relationships/hyperlink" Target="https://osf.io/pq7eb" TargetMode="External"/><Relationship Id="rId1340" Type="http://schemas.openxmlformats.org/officeDocument/2006/relationships/hyperlink" Target="http://osf.io/6yfxz" TargetMode="External"/><Relationship Id="rId2671" Type="http://schemas.openxmlformats.org/officeDocument/2006/relationships/hyperlink" Target="https://doi.org/10.17605/OSF.IO/M9VRK" TargetMode="External"/><Relationship Id="rId752" Type="http://schemas.openxmlformats.org/officeDocument/2006/relationships/hyperlink" Target="https://osf.io/8e5cg" TargetMode="External"/><Relationship Id="rId1341" Type="http://schemas.openxmlformats.org/officeDocument/2006/relationships/hyperlink" Target="https://osf.io/4ewkh" TargetMode="External"/><Relationship Id="rId2672" Type="http://schemas.openxmlformats.org/officeDocument/2006/relationships/hyperlink" Target="http://dx.doi.org/10.1027/1864-9335/a000186" TargetMode="External"/><Relationship Id="rId751" Type="http://schemas.openxmlformats.org/officeDocument/2006/relationships/hyperlink" Target="https://rstudio-pubs-static.s3.amazonaws.com/695666_50d31a83674d49bd8c1f5c55c3647f10.html" TargetMode="External"/><Relationship Id="rId1342" Type="http://schemas.openxmlformats.org/officeDocument/2006/relationships/hyperlink" Target="https://doi.org/10.17605/OSF.IO/THM7D" TargetMode="External"/><Relationship Id="rId2673" Type="http://schemas.openxmlformats.org/officeDocument/2006/relationships/hyperlink" Target="http://osf.io/2ukpq" TargetMode="External"/><Relationship Id="rId750" Type="http://schemas.openxmlformats.org/officeDocument/2006/relationships/hyperlink" Target="https://rstudio-pubs-static.s3.amazonaws.com/695666_50d31a83674d49bd8c1f5c55c3647f10.html" TargetMode="External"/><Relationship Id="rId1343" Type="http://schemas.openxmlformats.org/officeDocument/2006/relationships/hyperlink" Target="https://osf.io/4ewkh" TargetMode="External"/><Relationship Id="rId2674" Type="http://schemas.openxmlformats.org/officeDocument/2006/relationships/hyperlink" Target="https://doi.org/10.17605/OSF.IO/M9VRK" TargetMode="External"/><Relationship Id="rId1344" Type="http://schemas.openxmlformats.org/officeDocument/2006/relationships/hyperlink" Target="http://osf.io/6yfxz" TargetMode="External"/><Relationship Id="rId2675" Type="http://schemas.openxmlformats.org/officeDocument/2006/relationships/hyperlink" Target="http://osf.io/2ukpq" TargetMode="External"/><Relationship Id="rId2621" Type="http://schemas.openxmlformats.org/officeDocument/2006/relationships/hyperlink" Target="https://osf.io/4ewkh" TargetMode="External"/><Relationship Id="rId2622" Type="http://schemas.openxmlformats.org/officeDocument/2006/relationships/hyperlink" Target="https://doi.org/10.17605/OSF.IO/AY2YE" TargetMode="External"/><Relationship Id="rId2623" Type="http://schemas.openxmlformats.org/officeDocument/2006/relationships/hyperlink" Target="http://doi.org/10.1007/s13164-018-0400-9" TargetMode="External"/><Relationship Id="rId2624" Type="http://schemas.openxmlformats.org/officeDocument/2006/relationships/hyperlink" Target="https://osf.io/4ewkh" TargetMode="External"/><Relationship Id="rId2625" Type="http://schemas.openxmlformats.org/officeDocument/2006/relationships/hyperlink" Target="https://doi.org/10.17605/OSF.IO/AY2YE" TargetMode="External"/><Relationship Id="rId2626" Type="http://schemas.openxmlformats.org/officeDocument/2006/relationships/hyperlink" Target="http://doi.org/10.1007/s13164-018-0400-9" TargetMode="External"/><Relationship Id="rId2627" Type="http://schemas.openxmlformats.org/officeDocument/2006/relationships/hyperlink" Target="https://osf.io/4ewkh" TargetMode="External"/><Relationship Id="rId2628" Type="http://schemas.openxmlformats.org/officeDocument/2006/relationships/hyperlink" Target="https://doi.org/10.17605/OSF.IO/AY2YE" TargetMode="External"/><Relationship Id="rId709" Type="http://schemas.openxmlformats.org/officeDocument/2006/relationships/hyperlink" Target="https://osf.io/fdh4m/" TargetMode="External"/><Relationship Id="rId2629" Type="http://schemas.openxmlformats.org/officeDocument/2006/relationships/hyperlink" Target="http://doi.org/10.1007/s13164-018-0400-9" TargetMode="External"/><Relationship Id="rId708" Type="http://schemas.openxmlformats.org/officeDocument/2006/relationships/hyperlink" Target="https://osf.io/fdh4m/" TargetMode="External"/><Relationship Id="rId707" Type="http://schemas.openxmlformats.org/officeDocument/2006/relationships/hyperlink" Target="https://osf.io/fdh4m/" TargetMode="External"/><Relationship Id="rId706" Type="http://schemas.openxmlformats.org/officeDocument/2006/relationships/hyperlink" Target="https://aspredicted.org/G5N_YRH" TargetMode="External"/><Relationship Id="rId701" Type="http://schemas.openxmlformats.org/officeDocument/2006/relationships/hyperlink" Target="https://aspredicted.org/YZ9_THH" TargetMode="External"/><Relationship Id="rId700" Type="http://schemas.openxmlformats.org/officeDocument/2006/relationships/hyperlink" Target="https://aspredicted.org/YZ9_THH" TargetMode="External"/><Relationship Id="rId705" Type="http://schemas.openxmlformats.org/officeDocument/2006/relationships/hyperlink" Target="https://aspredicted.org/G5N_YRH" TargetMode="External"/><Relationship Id="rId704" Type="http://schemas.openxmlformats.org/officeDocument/2006/relationships/hyperlink" Target="https://osf.io/fdh4m/" TargetMode="External"/><Relationship Id="rId703" Type="http://schemas.openxmlformats.org/officeDocument/2006/relationships/hyperlink" Target="https://osf.io/fdh4m/" TargetMode="External"/><Relationship Id="rId702" Type="http://schemas.openxmlformats.org/officeDocument/2006/relationships/hyperlink" Target="https://osf.io/fdh4m/" TargetMode="External"/><Relationship Id="rId2620" Type="http://schemas.openxmlformats.org/officeDocument/2006/relationships/hyperlink" Target="http://doi.org/10.1007/s13164-018-0400-9" TargetMode="External"/><Relationship Id="rId2610" Type="http://schemas.openxmlformats.org/officeDocument/2006/relationships/hyperlink" Target="https://osf.io/4ewkh" TargetMode="External"/><Relationship Id="rId2611" Type="http://schemas.openxmlformats.org/officeDocument/2006/relationships/hyperlink" Target="http://osf.io/6yfxz" TargetMode="External"/><Relationship Id="rId2612" Type="http://schemas.openxmlformats.org/officeDocument/2006/relationships/hyperlink" Target="http://doi.org/10.1007/s13164-018-0400-9" TargetMode="External"/><Relationship Id="rId2613" Type="http://schemas.openxmlformats.org/officeDocument/2006/relationships/hyperlink" Target="https://osf.io/gme8f" TargetMode="External"/><Relationship Id="rId2614" Type="http://schemas.openxmlformats.org/officeDocument/2006/relationships/hyperlink" Target="https://osf.io/ay2ye" TargetMode="External"/><Relationship Id="rId2615" Type="http://schemas.openxmlformats.org/officeDocument/2006/relationships/hyperlink" Target="https://osf.io/gme8f" TargetMode="External"/><Relationship Id="rId2616" Type="http://schemas.openxmlformats.org/officeDocument/2006/relationships/hyperlink" Target="https://osf.io/ay2ye" TargetMode="External"/><Relationship Id="rId2617" Type="http://schemas.openxmlformats.org/officeDocument/2006/relationships/hyperlink" Target="http://doi.org/10.1007/s13164-018-0400-9" TargetMode="External"/><Relationship Id="rId2618" Type="http://schemas.openxmlformats.org/officeDocument/2006/relationships/hyperlink" Target="https://osf.io/4ewkh" TargetMode="External"/><Relationship Id="rId2619" Type="http://schemas.openxmlformats.org/officeDocument/2006/relationships/hyperlink" Target="https://doi.org/10.17605/OSF.IO/AY2YE" TargetMode="External"/><Relationship Id="rId1312" Type="http://schemas.openxmlformats.org/officeDocument/2006/relationships/hyperlink" Target="https://doi.org/10.17605/OSF.IO/69DQC" TargetMode="External"/><Relationship Id="rId2643" Type="http://schemas.openxmlformats.org/officeDocument/2006/relationships/hyperlink" Target="https://doi.org/10.17605/OSF.IO/3G3HV" TargetMode="External"/><Relationship Id="rId1313" Type="http://schemas.openxmlformats.org/officeDocument/2006/relationships/hyperlink" Target="https://osf.io/4ewkh" TargetMode="External"/><Relationship Id="rId2644" Type="http://schemas.openxmlformats.org/officeDocument/2006/relationships/hyperlink" Target="http://doi.org/10.1007/s13164-018-0400-9" TargetMode="External"/><Relationship Id="rId1314" Type="http://schemas.openxmlformats.org/officeDocument/2006/relationships/hyperlink" Target="https://doi.org/10.17605/OSF.IO/JW84M" TargetMode="External"/><Relationship Id="rId2645" Type="http://schemas.openxmlformats.org/officeDocument/2006/relationships/hyperlink" Target="https://osf.io/4ewkh" TargetMode="External"/><Relationship Id="rId1315" Type="http://schemas.openxmlformats.org/officeDocument/2006/relationships/hyperlink" Target="https://osf.io/4ewkh" TargetMode="External"/><Relationship Id="rId2646" Type="http://schemas.openxmlformats.org/officeDocument/2006/relationships/hyperlink" Target="https://doi.org/10.17605/OSF.IO/3G3HV" TargetMode="External"/><Relationship Id="rId1316" Type="http://schemas.openxmlformats.org/officeDocument/2006/relationships/hyperlink" Target="https://osf.io/4ewkh" TargetMode="External"/><Relationship Id="rId2647" Type="http://schemas.openxmlformats.org/officeDocument/2006/relationships/hyperlink" Target="http://doi.org/10.1007/s13164-018-0400-9" TargetMode="External"/><Relationship Id="rId1317" Type="http://schemas.openxmlformats.org/officeDocument/2006/relationships/hyperlink" Target="https://doi.org/10.17605/OSF.IO/QP8V3" TargetMode="External"/><Relationship Id="rId2648" Type="http://schemas.openxmlformats.org/officeDocument/2006/relationships/hyperlink" Target="https://osf.io/spwxg" TargetMode="External"/><Relationship Id="rId1318" Type="http://schemas.openxmlformats.org/officeDocument/2006/relationships/hyperlink" Target="https://osf.io/4ewkh" TargetMode="External"/><Relationship Id="rId2649" Type="http://schemas.openxmlformats.org/officeDocument/2006/relationships/hyperlink" Target="https://osf.io/spwxg" TargetMode="External"/><Relationship Id="rId1319" Type="http://schemas.openxmlformats.org/officeDocument/2006/relationships/hyperlink" Target="https://doi.org/10.17605/OSF.IO/QP8V3" TargetMode="External"/><Relationship Id="rId729" Type="http://schemas.openxmlformats.org/officeDocument/2006/relationships/hyperlink" Target="https://rstudio-pubs-static.s3.amazonaws.com/694306_59178dc09b8648e598a3e535876c9246.html" TargetMode="External"/><Relationship Id="rId728" Type="http://schemas.openxmlformats.org/officeDocument/2006/relationships/hyperlink" Target="https://osf.io/92der" TargetMode="External"/><Relationship Id="rId723" Type="http://schemas.openxmlformats.org/officeDocument/2006/relationships/hyperlink" Target="https://rstudio-pubs-static.s3.amazonaws.com/694306_59178dc09b8648e598a3e535876c9246.html" TargetMode="External"/><Relationship Id="rId722" Type="http://schemas.openxmlformats.org/officeDocument/2006/relationships/hyperlink" Target="https://doi.org/10.1098/rsos.231240" TargetMode="External"/><Relationship Id="rId721" Type="http://schemas.openxmlformats.org/officeDocument/2006/relationships/hyperlink" Target="https://rstudio-pubs-static.s3.amazonaws.com/694306_59178dc09b8648e598a3e535876c9246.html" TargetMode="External"/><Relationship Id="rId720" Type="http://schemas.openxmlformats.org/officeDocument/2006/relationships/hyperlink" Target="https://osf.io/92der" TargetMode="External"/><Relationship Id="rId727" Type="http://schemas.openxmlformats.org/officeDocument/2006/relationships/hyperlink" Target="https://rstudio-pubs-static.s3.amazonaws.com/694306_59178dc09b8648e598a3e535876c9246.html" TargetMode="External"/><Relationship Id="rId726" Type="http://schemas.openxmlformats.org/officeDocument/2006/relationships/hyperlink" Target="https://doi.org/10.1098/rsos.231240" TargetMode="External"/><Relationship Id="rId725" Type="http://schemas.openxmlformats.org/officeDocument/2006/relationships/hyperlink" Target="https://rstudio-pubs-static.s3.amazonaws.com/694306_59178dc09b8648e598a3e535876c9246.html" TargetMode="External"/><Relationship Id="rId724" Type="http://schemas.openxmlformats.org/officeDocument/2006/relationships/hyperlink" Target="https://osf.io/92der" TargetMode="External"/><Relationship Id="rId2640" Type="http://schemas.openxmlformats.org/officeDocument/2006/relationships/hyperlink" Target="https://osf.io/3g3hv" TargetMode="External"/><Relationship Id="rId1310" Type="http://schemas.openxmlformats.org/officeDocument/2006/relationships/hyperlink" Target="https://doi.org/10.17605/OSF.IO/69DQC" TargetMode="External"/><Relationship Id="rId2641" Type="http://schemas.openxmlformats.org/officeDocument/2006/relationships/hyperlink" Target="http://doi.org/10.1007/s13164-018-0400-9" TargetMode="External"/><Relationship Id="rId1311" Type="http://schemas.openxmlformats.org/officeDocument/2006/relationships/hyperlink" Target="https://osf.io/4ewkh" TargetMode="External"/><Relationship Id="rId2642" Type="http://schemas.openxmlformats.org/officeDocument/2006/relationships/hyperlink" Target="https://osf.io/4ewkh" TargetMode="External"/><Relationship Id="rId1301" Type="http://schemas.openxmlformats.org/officeDocument/2006/relationships/hyperlink" Target="https://osf.io/4ewkh" TargetMode="External"/><Relationship Id="rId2632" Type="http://schemas.openxmlformats.org/officeDocument/2006/relationships/hyperlink" Target="https://osf.io/7en89" TargetMode="External"/><Relationship Id="rId1302" Type="http://schemas.openxmlformats.org/officeDocument/2006/relationships/hyperlink" Target="http://osf.io/pjdkg" TargetMode="External"/><Relationship Id="rId2633" Type="http://schemas.openxmlformats.org/officeDocument/2006/relationships/hyperlink" Target="https://osf.io/qju6y" TargetMode="External"/><Relationship Id="rId1303" Type="http://schemas.openxmlformats.org/officeDocument/2006/relationships/hyperlink" Target="https://osf.io/4ewkh" TargetMode="External"/><Relationship Id="rId2634" Type="http://schemas.openxmlformats.org/officeDocument/2006/relationships/hyperlink" Target="https://osf.io/7en89" TargetMode="External"/><Relationship Id="rId1304" Type="http://schemas.openxmlformats.org/officeDocument/2006/relationships/hyperlink" Target="https://doi.org/10.17605/OSF.IO/69DQC" TargetMode="External"/><Relationship Id="rId2635" Type="http://schemas.openxmlformats.org/officeDocument/2006/relationships/hyperlink" Target="http://doi.org/10.1007/s13164-018-0400-9" TargetMode="External"/><Relationship Id="rId1305" Type="http://schemas.openxmlformats.org/officeDocument/2006/relationships/hyperlink" Target="https://osf.io/4ewkh" TargetMode="External"/><Relationship Id="rId2636" Type="http://schemas.openxmlformats.org/officeDocument/2006/relationships/hyperlink" Target="https://osf.io/q267x" TargetMode="External"/><Relationship Id="rId1306" Type="http://schemas.openxmlformats.org/officeDocument/2006/relationships/hyperlink" Target="https://osf.io/mge8r/" TargetMode="External"/><Relationship Id="rId2637" Type="http://schemas.openxmlformats.org/officeDocument/2006/relationships/hyperlink" Target="https://osf.io/4ewkh" TargetMode="External"/><Relationship Id="rId1307" Type="http://schemas.openxmlformats.org/officeDocument/2006/relationships/hyperlink" Target="http://osf.io/pjdkg" TargetMode="External"/><Relationship Id="rId2638" Type="http://schemas.openxmlformats.org/officeDocument/2006/relationships/hyperlink" Target="https://osf.io/3g3hv" TargetMode="External"/><Relationship Id="rId1308" Type="http://schemas.openxmlformats.org/officeDocument/2006/relationships/hyperlink" Target="https://osf.io/4ewkh" TargetMode="External"/><Relationship Id="rId2639" Type="http://schemas.openxmlformats.org/officeDocument/2006/relationships/hyperlink" Target="https://osf.io/q267x" TargetMode="External"/><Relationship Id="rId1309" Type="http://schemas.openxmlformats.org/officeDocument/2006/relationships/hyperlink" Target="https://osf.io/mge8r/" TargetMode="External"/><Relationship Id="rId719" Type="http://schemas.openxmlformats.org/officeDocument/2006/relationships/hyperlink" Target="https://docs.google.com/spreadsheets/d/1GZtAzaS9SynEVwyT-fs-bVPDZh374b78kaKIWves5pM/edit?gid=288814287" TargetMode="External"/><Relationship Id="rId718" Type="http://schemas.openxmlformats.org/officeDocument/2006/relationships/hyperlink" Target="https://doi.org/10.1098/rsos.231240" TargetMode="External"/><Relationship Id="rId717" Type="http://schemas.openxmlformats.org/officeDocument/2006/relationships/hyperlink" Target="https://rstudio-pubs-static.s3.amazonaws.com/694306_59178dc09b8648e598a3e535876c9246.html" TargetMode="External"/><Relationship Id="rId712" Type="http://schemas.openxmlformats.org/officeDocument/2006/relationships/hyperlink" Target="https://osf.io/xwn9m/" TargetMode="External"/><Relationship Id="rId711" Type="http://schemas.openxmlformats.org/officeDocument/2006/relationships/hyperlink" Target="https://aspredicted.org/737_DYZ" TargetMode="External"/><Relationship Id="rId710" Type="http://schemas.openxmlformats.org/officeDocument/2006/relationships/hyperlink" Target="https://aspredicted.org/737_DYZ" TargetMode="External"/><Relationship Id="rId716" Type="http://schemas.openxmlformats.org/officeDocument/2006/relationships/hyperlink" Target="https://osf.io/t3rpq" TargetMode="External"/><Relationship Id="rId715" Type="http://schemas.openxmlformats.org/officeDocument/2006/relationships/hyperlink" Target="https://rstudio-pubs-static.s3.amazonaws.com/817655_c94c0f2142fc466fa36a6790ee3fcdde.html" TargetMode="External"/><Relationship Id="rId714" Type="http://schemas.openxmlformats.org/officeDocument/2006/relationships/hyperlink" Target="https://rstudio-pubs-static.s3.amazonaws.com/817655_c94c0f2142fc466fa36a6790ee3fcdde.html" TargetMode="External"/><Relationship Id="rId713" Type="http://schemas.openxmlformats.org/officeDocument/2006/relationships/hyperlink" Target="https://osf.io/kspm6" TargetMode="External"/><Relationship Id="rId2630" Type="http://schemas.openxmlformats.org/officeDocument/2006/relationships/hyperlink" Target="https://osf.io/qju6y" TargetMode="External"/><Relationship Id="rId1300" Type="http://schemas.openxmlformats.org/officeDocument/2006/relationships/hyperlink" Target="https://doi.org/10.17605/OSF.IO/69DQC" TargetMode="External"/><Relationship Id="rId2631" Type="http://schemas.openxmlformats.org/officeDocument/2006/relationships/hyperlink" Target="https://osf.io/4ewkh" TargetMode="External"/><Relationship Id="rId3117" Type="http://schemas.openxmlformats.org/officeDocument/2006/relationships/hyperlink" Target="https://osf.io/d3xb7/registrations" TargetMode="External"/><Relationship Id="rId3116" Type="http://schemas.openxmlformats.org/officeDocument/2006/relationships/hyperlink" Target="https://drive.google.com/file/d/17mZvRs3ue7pXwqu8bmIDvgNdc95PGEcV/view" TargetMode="External"/><Relationship Id="rId3119" Type="http://schemas.openxmlformats.org/officeDocument/2006/relationships/hyperlink" Target="https://osf.io/d3xb7/registrations" TargetMode="External"/><Relationship Id="rId3118" Type="http://schemas.openxmlformats.org/officeDocument/2006/relationships/hyperlink" Target="https://drive.google.com/file/d/17mZvRs3ue7pXwqu8bmIDvgNdc95PGEcV/view" TargetMode="External"/><Relationship Id="rId3111" Type="http://schemas.openxmlformats.org/officeDocument/2006/relationships/hyperlink" Target="https://osf.io/d3xb7/registrations" TargetMode="External"/><Relationship Id="rId3110" Type="http://schemas.openxmlformats.org/officeDocument/2006/relationships/hyperlink" Target="https://drive.google.com/file/d/17mZvRs3ue7pXwqu8bmIDvgNdc95PGEcV/view" TargetMode="External"/><Relationship Id="rId3113" Type="http://schemas.openxmlformats.org/officeDocument/2006/relationships/hyperlink" Target="https://osf.io/d3xb7/registrations" TargetMode="External"/><Relationship Id="rId3112" Type="http://schemas.openxmlformats.org/officeDocument/2006/relationships/hyperlink" Target="https://drive.google.com/file/d/17mZvRs3ue7pXwqu8bmIDvgNdc95PGEcV/view" TargetMode="External"/><Relationship Id="rId3115" Type="http://schemas.openxmlformats.org/officeDocument/2006/relationships/hyperlink" Target="https://osf.io/d3xb7/registrations" TargetMode="External"/><Relationship Id="rId3114" Type="http://schemas.openxmlformats.org/officeDocument/2006/relationships/hyperlink" Target="https://drive.google.com/file/d/17mZvRs3ue7pXwqu8bmIDvgNdc95PGEcV/view" TargetMode="External"/><Relationship Id="rId3106" Type="http://schemas.openxmlformats.org/officeDocument/2006/relationships/hyperlink" Target="https://drive.google.com/file/d/17mZvRs3ue7pXwqu8bmIDvgNdc95PGEcV/view" TargetMode="External"/><Relationship Id="rId3105" Type="http://schemas.openxmlformats.org/officeDocument/2006/relationships/hyperlink" Target="https://osf.io/d3xb7/registrations" TargetMode="External"/><Relationship Id="rId3108" Type="http://schemas.openxmlformats.org/officeDocument/2006/relationships/hyperlink" Target="https://drive.google.com/file/d/17mZvRs3ue7pXwqu8bmIDvgNdc95PGEcV/view" TargetMode="External"/><Relationship Id="rId3107" Type="http://schemas.openxmlformats.org/officeDocument/2006/relationships/hyperlink" Target="https://osf.io/d3xb7/registrations" TargetMode="External"/><Relationship Id="rId3109" Type="http://schemas.openxmlformats.org/officeDocument/2006/relationships/hyperlink" Target="https://osf.io/d3xb7/registrations" TargetMode="External"/><Relationship Id="rId3100" Type="http://schemas.openxmlformats.org/officeDocument/2006/relationships/hyperlink" Target="https://osf.io/d3xb7/registrations" TargetMode="External"/><Relationship Id="rId3102" Type="http://schemas.openxmlformats.org/officeDocument/2006/relationships/hyperlink" Target="https://osf.io/d3xb7/registrations" TargetMode="External"/><Relationship Id="rId3101" Type="http://schemas.openxmlformats.org/officeDocument/2006/relationships/hyperlink" Target="https://drive.google.com/file/d/17mZvRs3ue7pXwqu8bmIDvgNdc95PGEcV/view" TargetMode="External"/><Relationship Id="rId3104" Type="http://schemas.openxmlformats.org/officeDocument/2006/relationships/hyperlink" Target="https://drive.google.com/file/d/17mZvRs3ue7pXwqu8bmIDvgNdc95PGEcV/view" TargetMode="External"/><Relationship Id="rId3103" Type="http://schemas.openxmlformats.org/officeDocument/2006/relationships/hyperlink" Target="https://osf.io/d3xb7/registrations" TargetMode="External"/><Relationship Id="rId3139" Type="http://schemas.openxmlformats.org/officeDocument/2006/relationships/hyperlink" Target="https://doi.org/10.1016/j.jneuroling.2010.05.001" TargetMode="External"/><Relationship Id="rId3138" Type="http://schemas.openxmlformats.org/officeDocument/2006/relationships/hyperlink" Target="https://doi.org/10.1016/j.jneuroling.2010.05.001" TargetMode="External"/><Relationship Id="rId3131" Type="http://schemas.openxmlformats.org/officeDocument/2006/relationships/hyperlink" Target="https://drive.google.com/file/d/17mZvRs3ue7pXwqu8bmIDvgNdc95PGEcV/view" TargetMode="External"/><Relationship Id="rId3130" Type="http://schemas.openxmlformats.org/officeDocument/2006/relationships/hyperlink" Target="https://osf.io/d3xb7/registrations" TargetMode="External"/><Relationship Id="rId3133" Type="http://schemas.openxmlformats.org/officeDocument/2006/relationships/hyperlink" Target="https://doi.org/10.5018/economics-ejournal.ja.2018-3" TargetMode="External"/><Relationship Id="rId3132" Type="http://schemas.openxmlformats.org/officeDocument/2006/relationships/hyperlink" Target="https://osf.io/d3xb7/registrations" TargetMode="External"/><Relationship Id="rId3135" Type="http://schemas.openxmlformats.org/officeDocument/2006/relationships/hyperlink" Target="https://clinicaltrials.gov/study/NCT02339285?term=NCT02339285&amp;rank=1" TargetMode="External"/><Relationship Id="rId3134" Type="http://schemas.openxmlformats.org/officeDocument/2006/relationships/hyperlink" Target="https://clinicaltrials.gov/study/NCT02339285?term=NCT02339285&amp;rank=1" TargetMode="External"/><Relationship Id="rId3137" Type="http://schemas.openxmlformats.org/officeDocument/2006/relationships/hyperlink" Target="https://clinicaltrials.gov/study/NCT03449979" TargetMode="External"/><Relationship Id="rId3136" Type="http://schemas.openxmlformats.org/officeDocument/2006/relationships/hyperlink" Target="https://clinicaltrials.gov/study/NCT03449979" TargetMode="External"/><Relationship Id="rId3128" Type="http://schemas.openxmlformats.org/officeDocument/2006/relationships/hyperlink" Target="https://drive.google.com/file/d/17mZvRs3ue7pXwqu8bmIDvgNdc95PGEcV/view" TargetMode="External"/><Relationship Id="rId3127" Type="http://schemas.openxmlformats.org/officeDocument/2006/relationships/hyperlink" Target="https://osf.io/d3xb7/registrations" TargetMode="External"/><Relationship Id="rId3129" Type="http://schemas.openxmlformats.org/officeDocument/2006/relationships/hyperlink" Target="https://osf.io/d3xb7/registrations" TargetMode="External"/><Relationship Id="rId3120" Type="http://schemas.openxmlformats.org/officeDocument/2006/relationships/hyperlink" Target="https://drive.google.com/file/d/17mZvRs3ue7pXwqu8bmIDvgNdc95PGEcV/view" TargetMode="External"/><Relationship Id="rId3122" Type="http://schemas.openxmlformats.org/officeDocument/2006/relationships/hyperlink" Target="https://drive.google.com/file/d/17mZvRs3ue7pXwqu8bmIDvgNdc95PGEcV/view" TargetMode="External"/><Relationship Id="rId3121" Type="http://schemas.openxmlformats.org/officeDocument/2006/relationships/hyperlink" Target="https://osf.io/d3xb7/registrations" TargetMode="External"/><Relationship Id="rId3124" Type="http://schemas.openxmlformats.org/officeDocument/2006/relationships/hyperlink" Target="https://drive.google.com/file/d/17mZvRs3ue7pXwqu8bmIDvgNdc95PGEcV/view" TargetMode="External"/><Relationship Id="rId3123" Type="http://schemas.openxmlformats.org/officeDocument/2006/relationships/hyperlink" Target="https://osf.io/d3xb7/registrations" TargetMode="External"/><Relationship Id="rId3126" Type="http://schemas.openxmlformats.org/officeDocument/2006/relationships/hyperlink" Target="https://drive.google.com/file/d/17mZvRs3ue7pXwqu8bmIDvgNdc95PGEcV/view" TargetMode="External"/><Relationship Id="rId3125" Type="http://schemas.openxmlformats.org/officeDocument/2006/relationships/hyperlink" Target="https://osf.io/d3xb7/registrations" TargetMode="External"/><Relationship Id="rId1378" Type="http://schemas.openxmlformats.org/officeDocument/2006/relationships/hyperlink" Target="https://doi.org/10.17605/OSF.IO/M9VRK" TargetMode="External"/><Relationship Id="rId1379" Type="http://schemas.openxmlformats.org/officeDocument/2006/relationships/hyperlink" Target="https://osf.io/4ewkh" TargetMode="External"/><Relationship Id="rId789" Type="http://schemas.openxmlformats.org/officeDocument/2006/relationships/hyperlink" Target="https://osf.io/vewk7" TargetMode="External"/><Relationship Id="rId788" Type="http://schemas.openxmlformats.org/officeDocument/2006/relationships/hyperlink" Target="https://osf.io/mj7nd" TargetMode="External"/><Relationship Id="rId787" Type="http://schemas.openxmlformats.org/officeDocument/2006/relationships/hyperlink" Target="https://github.com/vboyce/251-254-MA/blob/main/reports/RPubs%20-%20PSYCH251%20replication%20report%20(Payne%20et%20al.%202008)_files/441449_2ab956b7171d461482fea234aafa8710.html" TargetMode="External"/><Relationship Id="rId786" Type="http://schemas.openxmlformats.org/officeDocument/2006/relationships/hyperlink" Target="https://osf.io/vewk7" TargetMode="External"/><Relationship Id="rId781" Type="http://schemas.openxmlformats.org/officeDocument/2006/relationships/hyperlink" Target="https://github.com/vboyce/251-254-MA/blob/main/reports/RPubs%20-%20PSYCH251%20replication%20report%20(Payne%20et%20al.%202008)_files/441449_2ab956b7171d461482fea234aafa8710.html" TargetMode="External"/><Relationship Id="rId1370" Type="http://schemas.openxmlformats.org/officeDocument/2006/relationships/hyperlink" Target="https://osf.io/4ewkh" TargetMode="External"/><Relationship Id="rId780" Type="http://schemas.openxmlformats.org/officeDocument/2006/relationships/hyperlink" Target="https://osf.io/vewk7" TargetMode="External"/><Relationship Id="rId1371" Type="http://schemas.openxmlformats.org/officeDocument/2006/relationships/hyperlink" Target="http://osf.io/2ukpq" TargetMode="External"/><Relationship Id="rId1372" Type="http://schemas.openxmlformats.org/officeDocument/2006/relationships/hyperlink" Target="https://osf.io/4ewkh" TargetMode="External"/><Relationship Id="rId1373" Type="http://schemas.openxmlformats.org/officeDocument/2006/relationships/hyperlink" Target="https://doi.org/10.17605/OSF.IO/M9VRK" TargetMode="External"/><Relationship Id="rId785" Type="http://schemas.openxmlformats.org/officeDocument/2006/relationships/hyperlink" Target="https://osf.io/mj7nd" TargetMode="External"/><Relationship Id="rId1374" Type="http://schemas.openxmlformats.org/officeDocument/2006/relationships/hyperlink" Target="https://osf.io/4ewkh" TargetMode="External"/><Relationship Id="rId784" Type="http://schemas.openxmlformats.org/officeDocument/2006/relationships/hyperlink" Target="https://github.com/vboyce/251-254-MA/blob/main/reports/RPubs%20-%20PSYCH251%20replication%20report%20(Payne%20et%20al.%202008)_files/441449_2ab956b7171d461482fea234aafa8710.html" TargetMode="External"/><Relationship Id="rId1375" Type="http://schemas.openxmlformats.org/officeDocument/2006/relationships/hyperlink" Target="http://osf.io/2ukpq" TargetMode="External"/><Relationship Id="rId783" Type="http://schemas.openxmlformats.org/officeDocument/2006/relationships/hyperlink" Target="https://osf.io/vewk7" TargetMode="External"/><Relationship Id="rId1376" Type="http://schemas.openxmlformats.org/officeDocument/2006/relationships/hyperlink" Target="https://osf.io/w4gj2" TargetMode="External"/><Relationship Id="rId782" Type="http://schemas.openxmlformats.org/officeDocument/2006/relationships/hyperlink" Target="https://osf.io/mj7nd" TargetMode="External"/><Relationship Id="rId1377" Type="http://schemas.openxmlformats.org/officeDocument/2006/relationships/hyperlink" Target="https://osf.io/4ewkh" TargetMode="External"/><Relationship Id="rId1367" Type="http://schemas.openxmlformats.org/officeDocument/2006/relationships/hyperlink" Target="https://osf.io/4ewkh" TargetMode="External"/><Relationship Id="rId2698" Type="http://schemas.openxmlformats.org/officeDocument/2006/relationships/hyperlink" Target="http://doi.org/10.1007/s13164-018-0400-9" TargetMode="External"/><Relationship Id="rId1368" Type="http://schemas.openxmlformats.org/officeDocument/2006/relationships/hyperlink" Target="https://osf.io/uw36p" TargetMode="External"/><Relationship Id="rId2699" Type="http://schemas.openxmlformats.org/officeDocument/2006/relationships/hyperlink" Target="https://osf.io/4ewkh" TargetMode="External"/><Relationship Id="rId1369" Type="http://schemas.openxmlformats.org/officeDocument/2006/relationships/hyperlink" Target="https://doi.org/10.17605/OSF.IO/R3KTH" TargetMode="External"/><Relationship Id="rId778" Type="http://schemas.openxmlformats.org/officeDocument/2006/relationships/hyperlink" Target="https://osf.io/vewk7" TargetMode="External"/><Relationship Id="rId777" Type="http://schemas.openxmlformats.org/officeDocument/2006/relationships/hyperlink" Target="https://osf.io/2gx4k/wiki/home/" TargetMode="External"/><Relationship Id="rId776" Type="http://schemas.openxmlformats.org/officeDocument/2006/relationships/hyperlink" Target="https://osf.io/v3e2z" TargetMode="External"/><Relationship Id="rId775" Type="http://schemas.openxmlformats.org/officeDocument/2006/relationships/hyperlink" Target="https://nyuscholars.nyu.edu/en/publications/cognitive-control-predicts-use-of-model-based-reinforcement-learn" TargetMode="External"/><Relationship Id="rId779" Type="http://schemas.openxmlformats.org/officeDocument/2006/relationships/hyperlink" Target="https://osf.io/kspm6" TargetMode="External"/><Relationship Id="rId770" Type="http://schemas.openxmlformats.org/officeDocument/2006/relationships/hyperlink" Target="https://nyuscholars.nyu.edu/en/publications/cognitive-control-predicts-use-of-model-based-reinforcement-learn" TargetMode="External"/><Relationship Id="rId2690" Type="http://schemas.openxmlformats.org/officeDocument/2006/relationships/hyperlink" Target="https://doi.org/10.17605/OSF.IO/DNQE7" TargetMode="External"/><Relationship Id="rId1360" Type="http://schemas.openxmlformats.org/officeDocument/2006/relationships/hyperlink" Target="https://doi.org/10.17605/OSF.IO/AY2YE" TargetMode="External"/><Relationship Id="rId2691" Type="http://schemas.openxmlformats.org/officeDocument/2006/relationships/hyperlink" Target="http://doi.org/10.1007/s13164-018-0400-9" TargetMode="External"/><Relationship Id="rId1361" Type="http://schemas.openxmlformats.org/officeDocument/2006/relationships/hyperlink" Target="https://osf.io/v5xg3view_only=d0fcb2bb73fb4648ad6e3da300505f65)" TargetMode="External"/><Relationship Id="rId2692" Type="http://schemas.openxmlformats.org/officeDocument/2006/relationships/hyperlink" Target="https://osf.io/s8mrz" TargetMode="External"/><Relationship Id="rId1362" Type="http://schemas.openxmlformats.org/officeDocument/2006/relationships/hyperlink" Target="https://osf.io/4ewkh" TargetMode="External"/><Relationship Id="rId2693" Type="http://schemas.openxmlformats.org/officeDocument/2006/relationships/hyperlink" Target="https://osf.io/s8mrz" TargetMode="External"/><Relationship Id="rId774" Type="http://schemas.openxmlformats.org/officeDocument/2006/relationships/hyperlink" Target="https://nyuscholars.nyu.edu/en/publications/cognitive-control-predicts-use-of-model-based-reinforcement-learn" TargetMode="External"/><Relationship Id="rId1363" Type="http://schemas.openxmlformats.org/officeDocument/2006/relationships/hyperlink" Target="https://doi.org/10.17605/OSF.IO/3G3HV" TargetMode="External"/><Relationship Id="rId2694" Type="http://schemas.openxmlformats.org/officeDocument/2006/relationships/hyperlink" Target="https://doi.org/10.17605/OSF.IO/9VXSF" TargetMode="External"/><Relationship Id="rId773" Type="http://schemas.openxmlformats.org/officeDocument/2006/relationships/hyperlink" Target="https://nyuscholars.nyu.edu/en/publications/cognitive-control-predicts-use-of-model-based-reinforcement-learn" TargetMode="External"/><Relationship Id="rId1364" Type="http://schemas.openxmlformats.org/officeDocument/2006/relationships/hyperlink" Target="https://osf.io/4ewkh" TargetMode="External"/><Relationship Id="rId2695" Type="http://schemas.openxmlformats.org/officeDocument/2006/relationships/hyperlink" Target="https://osf.io/s8mrz" TargetMode="External"/><Relationship Id="rId772" Type="http://schemas.openxmlformats.org/officeDocument/2006/relationships/hyperlink" Target="https://nyuscholars.nyu.edu/en/publications/cognitive-control-predicts-use-of-model-based-reinforcement-learn" TargetMode="External"/><Relationship Id="rId1365" Type="http://schemas.openxmlformats.org/officeDocument/2006/relationships/hyperlink" Target="https://osf.io/xcg6e/?view_only=d0fcb2bb73fb4648ad6e3da300505f65" TargetMode="External"/><Relationship Id="rId2696" Type="http://schemas.openxmlformats.org/officeDocument/2006/relationships/hyperlink" Target="https://osf.io/s8mrz" TargetMode="External"/><Relationship Id="rId771" Type="http://schemas.openxmlformats.org/officeDocument/2006/relationships/hyperlink" Target="https://nyuscholars.nyu.edu/en/publications/cognitive-control-predicts-use-of-model-based-reinforcement-learn" TargetMode="External"/><Relationship Id="rId1366" Type="http://schemas.openxmlformats.org/officeDocument/2006/relationships/hyperlink" Target="https://doi.org/10.17605/OSF.IO/3G3HV" TargetMode="External"/><Relationship Id="rId2697" Type="http://schemas.openxmlformats.org/officeDocument/2006/relationships/hyperlink" Target="https://doi.org/10.17605/OSF.IO/9VXSF" TargetMode="External"/><Relationship Id="rId1390" Type="http://schemas.openxmlformats.org/officeDocument/2006/relationships/hyperlink" Target="https://doi.org/10.1126/science.aaf0918" TargetMode="External"/><Relationship Id="rId1391" Type="http://schemas.openxmlformats.org/officeDocument/2006/relationships/hyperlink" Target="https://osf.io/qvc8s" TargetMode="External"/><Relationship Id="rId1392" Type="http://schemas.openxmlformats.org/officeDocument/2006/relationships/hyperlink" Target="https://doi.org/10.1126/science.aaf0918" TargetMode="External"/><Relationship Id="rId1393" Type="http://schemas.openxmlformats.org/officeDocument/2006/relationships/hyperlink" Target="https://doi.org/10.1126/science.aaf0918" TargetMode="External"/><Relationship Id="rId1394" Type="http://schemas.openxmlformats.org/officeDocument/2006/relationships/hyperlink" Target="https://osf.io/nb4wk" TargetMode="External"/><Relationship Id="rId1395" Type="http://schemas.openxmlformats.org/officeDocument/2006/relationships/hyperlink" Target="https://doi.org/10.1126/science.aaf0918" TargetMode="External"/><Relationship Id="rId1396" Type="http://schemas.openxmlformats.org/officeDocument/2006/relationships/hyperlink" Target="https://doi.org/10.1126/science.aaf0918" TargetMode="External"/><Relationship Id="rId1397" Type="http://schemas.openxmlformats.org/officeDocument/2006/relationships/hyperlink" Target="https://osf.io/t974m" TargetMode="External"/><Relationship Id="rId1398" Type="http://schemas.openxmlformats.org/officeDocument/2006/relationships/hyperlink" Target="https://doi.org/10.1126/science.aaf0918" TargetMode="External"/><Relationship Id="rId1399" Type="http://schemas.openxmlformats.org/officeDocument/2006/relationships/hyperlink" Target="https://doi.org/10.1126/science.aaf0918" TargetMode="External"/><Relationship Id="rId1389" Type="http://schemas.openxmlformats.org/officeDocument/2006/relationships/hyperlink" Target="https://doi.org/10.1126/science.aaf0918" TargetMode="External"/><Relationship Id="rId799" Type="http://schemas.openxmlformats.org/officeDocument/2006/relationships/hyperlink" Target="https://aspredicted.org/sk5up.pdf" TargetMode="External"/><Relationship Id="rId798" Type="http://schemas.openxmlformats.org/officeDocument/2006/relationships/hyperlink" Target="http://rpubs.com/kimiasaadatian/replicationreport" TargetMode="External"/><Relationship Id="rId797" Type="http://schemas.openxmlformats.org/officeDocument/2006/relationships/hyperlink" Target="https://osf.io/e6cps" TargetMode="External"/><Relationship Id="rId1380" Type="http://schemas.openxmlformats.org/officeDocument/2006/relationships/hyperlink" Target="https://doi.org/10.17605/OSF.IO/DNQE7" TargetMode="External"/><Relationship Id="rId792" Type="http://schemas.openxmlformats.org/officeDocument/2006/relationships/hyperlink" Target="https://osf.io/vewk7" TargetMode="External"/><Relationship Id="rId1381" Type="http://schemas.openxmlformats.org/officeDocument/2006/relationships/hyperlink" Target="https://doi.org/10.1177/0956797617719730" TargetMode="External"/><Relationship Id="rId791" Type="http://schemas.openxmlformats.org/officeDocument/2006/relationships/hyperlink" Target="https://osf.io/mj7nd" TargetMode="External"/><Relationship Id="rId1382" Type="http://schemas.openxmlformats.org/officeDocument/2006/relationships/hyperlink" Target="https://doi.org/10.17605/OSF.IO/BTH36" TargetMode="External"/><Relationship Id="rId790" Type="http://schemas.openxmlformats.org/officeDocument/2006/relationships/hyperlink" Target="https://github.com/vboyce/251-254-MA/blob/main/reports/RPubs%20-%20PSYCH251%20replication%20report%20(Payne%20et%20al.%202008)_files/441449_2ab956b7171d461482fea234aafa8710.html" TargetMode="External"/><Relationship Id="rId1383" Type="http://schemas.openxmlformats.org/officeDocument/2006/relationships/hyperlink" Target="https://doi.org/10.17605/OSF.IO/BTH36" TargetMode="External"/><Relationship Id="rId1384" Type="http://schemas.openxmlformats.org/officeDocument/2006/relationships/hyperlink" Target="https://doi.org/10.1126/science.aaf0918" TargetMode="External"/><Relationship Id="rId796" Type="http://schemas.openxmlformats.org/officeDocument/2006/relationships/hyperlink" Target="https://aspredicted.org/sk5up.pdf" TargetMode="External"/><Relationship Id="rId1385" Type="http://schemas.openxmlformats.org/officeDocument/2006/relationships/hyperlink" Target="https://osf.io/v89qn" TargetMode="External"/><Relationship Id="rId795" Type="http://schemas.openxmlformats.org/officeDocument/2006/relationships/hyperlink" Target="http://rpubs.com/kimiasaadatian/replicationreport" TargetMode="External"/><Relationship Id="rId1386" Type="http://schemas.openxmlformats.org/officeDocument/2006/relationships/hyperlink" Target="https://doi.org/10.1126/science.aaf0918" TargetMode="External"/><Relationship Id="rId794" Type="http://schemas.openxmlformats.org/officeDocument/2006/relationships/hyperlink" Target="https://osf.io/mj7nd" TargetMode="External"/><Relationship Id="rId1387" Type="http://schemas.openxmlformats.org/officeDocument/2006/relationships/hyperlink" Target="https://doi.org/10.1126/science.aaf0918" TargetMode="External"/><Relationship Id="rId793" Type="http://schemas.openxmlformats.org/officeDocument/2006/relationships/hyperlink" Target="https://github.com/vboyce/251-254-MA/blob/main/reports/RPubs%20-%20PSYCH251%20replication%20report%20(Payne%20et%20al.%202008)_files/441449_2ab956b7171d461482fea234aafa8710.html" TargetMode="External"/><Relationship Id="rId1388" Type="http://schemas.openxmlformats.org/officeDocument/2006/relationships/hyperlink" Target="https://osf.io/fsv82" TargetMode="External"/><Relationship Id="rId3191" Type="http://schemas.openxmlformats.org/officeDocument/2006/relationships/hyperlink" Target="https://drive.google.com/file/d/1niJ4qqlQ3w06lrmI_sfZvqDMPlcLvX7Z/view?usp=drivesdk" TargetMode="External"/><Relationship Id="rId3190" Type="http://schemas.openxmlformats.org/officeDocument/2006/relationships/hyperlink" Target="https://drive.google.com/file/d/1PchnSZs-XbYmB-ZYLgQBFosMAZs-ybjf/view?usp=drivesdk" TargetMode="External"/><Relationship Id="rId3193" Type="http://schemas.openxmlformats.org/officeDocument/2006/relationships/hyperlink" Target="https://drive.google.com/file/d/1niJ4qqlQ3w06lrmI_sfZvqDMPlcLvX7Z/view?usp=drivesdk" TargetMode="External"/><Relationship Id="rId3192" Type="http://schemas.openxmlformats.org/officeDocument/2006/relationships/hyperlink" Target="https://drive.google.com/file/d/1PchnSZs-XbYmB-ZYLgQBFosMAZs-ybjf/view?usp=drivesdk" TargetMode="External"/><Relationship Id="rId3195" Type="http://schemas.openxmlformats.org/officeDocument/2006/relationships/hyperlink" Target="https://drive.google.com/file/d/1niJ4qqlQ3w06lrmI_sfZvqDMPlcLvX7Z/view?usp=drivesdk" TargetMode="External"/><Relationship Id="rId3194" Type="http://schemas.openxmlformats.org/officeDocument/2006/relationships/hyperlink" Target="https://drive.google.com/file/d/1PchnSZs-XbYmB-ZYLgQBFosMAZs-ybjf/view?usp=drivesdk" TargetMode="External"/><Relationship Id="rId3197" Type="http://schemas.openxmlformats.org/officeDocument/2006/relationships/hyperlink" Target="https://drive.google.com/file/d/1niJ4qqlQ3w06lrmI_sfZvqDMPlcLvX7Z/view?usp=drivesdk" TargetMode="External"/><Relationship Id="rId3196" Type="http://schemas.openxmlformats.org/officeDocument/2006/relationships/hyperlink" Target="https://drive.google.com/file/d/1PchnSZs-XbYmB-ZYLgQBFosMAZs-ybjf/view?usp=drivesdk" TargetMode="External"/><Relationship Id="rId3199" Type="http://schemas.openxmlformats.org/officeDocument/2006/relationships/hyperlink" Target="https://drive.google.com/file/d/1niJ4qqlQ3w06lrmI_sfZvqDMPlcLvX7Z/view?usp=drivesdk" TargetMode="External"/><Relationship Id="rId3198" Type="http://schemas.openxmlformats.org/officeDocument/2006/relationships/hyperlink" Target="https://drive.google.com/file/d/1PchnSZs-XbYmB-ZYLgQBFosMAZs-ybjf/view?usp=drivesdk" TargetMode="External"/><Relationship Id="rId3180" Type="http://schemas.openxmlformats.org/officeDocument/2006/relationships/hyperlink" Target="https://drive.google.com/file/d/1PchnSZs-XbYmB-ZYLgQBFosMAZs-ybjf/view?usp=drivesdk" TargetMode="External"/><Relationship Id="rId3182" Type="http://schemas.openxmlformats.org/officeDocument/2006/relationships/hyperlink" Target="https://drive.google.com/file/d/1PchnSZs-XbYmB-ZYLgQBFosMAZs-ybjf/view?usp=drivesdk" TargetMode="External"/><Relationship Id="rId3181" Type="http://schemas.openxmlformats.org/officeDocument/2006/relationships/hyperlink" Target="https://drive.google.com/file/d/1niJ4qqlQ3w06lrmI_sfZvqDMPlcLvX7Z/view?usp=drivesdk" TargetMode="External"/><Relationship Id="rId3184" Type="http://schemas.openxmlformats.org/officeDocument/2006/relationships/hyperlink" Target="https://drive.google.com/file/d/1PchnSZs-XbYmB-ZYLgQBFosMAZs-ybjf/view?usp=drivesdk" TargetMode="External"/><Relationship Id="rId3183" Type="http://schemas.openxmlformats.org/officeDocument/2006/relationships/hyperlink" Target="https://drive.google.com/file/d/1niJ4qqlQ3w06lrmI_sfZvqDMPlcLvX7Z/view?usp=drivesdk" TargetMode="External"/><Relationship Id="rId3186" Type="http://schemas.openxmlformats.org/officeDocument/2006/relationships/hyperlink" Target="https://drive.google.com/file/d/1PchnSZs-XbYmB-ZYLgQBFosMAZs-ybjf/view?usp=drivesdk" TargetMode="External"/><Relationship Id="rId3185" Type="http://schemas.openxmlformats.org/officeDocument/2006/relationships/hyperlink" Target="https://drive.google.com/file/d/1niJ4qqlQ3w06lrmI_sfZvqDMPlcLvX7Z/view?usp=drivesdk" TargetMode="External"/><Relationship Id="rId3188" Type="http://schemas.openxmlformats.org/officeDocument/2006/relationships/hyperlink" Target="https://drive.google.com/file/d/1PchnSZs-XbYmB-ZYLgQBFosMAZs-ybjf/view?usp=drivesdk" TargetMode="External"/><Relationship Id="rId3187" Type="http://schemas.openxmlformats.org/officeDocument/2006/relationships/hyperlink" Target="https://drive.google.com/file/d/1niJ4qqlQ3w06lrmI_sfZvqDMPlcLvX7Z/view?usp=drivesdk" TargetMode="External"/><Relationship Id="rId3189" Type="http://schemas.openxmlformats.org/officeDocument/2006/relationships/hyperlink" Target="https://drive.google.com/file/d/1niJ4qqlQ3w06lrmI_sfZvqDMPlcLvX7Z/view?usp=drivesdk" TargetMode="External"/><Relationship Id="rId3151" Type="http://schemas.openxmlformats.org/officeDocument/2006/relationships/hyperlink" Target="https://osf.io/m4cyz" TargetMode="External"/><Relationship Id="rId3150" Type="http://schemas.openxmlformats.org/officeDocument/2006/relationships/hyperlink" Target="https://osf.io/m4cyz" TargetMode="External"/><Relationship Id="rId3153" Type="http://schemas.openxmlformats.org/officeDocument/2006/relationships/hyperlink" Target="https://drive.google.com/drive/folders/1ivB0CEmA0lPZW9FgIfklih849Awe0AHn?fbclid=IwAR1-au-XQdaRXsJBnw-w6esGES_qKYWeKBV0SnS-r6XGLb52A6RG0duPjXg" TargetMode="External"/><Relationship Id="rId3152" Type="http://schemas.openxmlformats.org/officeDocument/2006/relationships/hyperlink" Target="https://osf.io/m4cyz" TargetMode="External"/><Relationship Id="rId3155" Type="http://schemas.openxmlformats.org/officeDocument/2006/relationships/hyperlink" Target="https://doi.org/10.32714/ricl.10.01.08" TargetMode="External"/><Relationship Id="rId3154" Type="http://schemas.openxmlformats.org/officeDocument/2006/relationships/hyperlink" Target="https://doi.org/10.32714/ricl.10.01.08" TargetMode="External"/><Relationship Id="rId3157" Type="http://schemas.openxmlformats.org/officeDocument/2006/relationships/hyperlink" Target="https://doi.org/10.32714/ricl.10.01.08" TargetMode="External"/><Relationship Id="rId3156" Type="http://schemas.openxmlformats.org/officeDocument/2006/relationships/hyperlink" Target="https://doi.org/10.32714/ricl.10.01.08" TargetMode="External"/><Relationship Id="rId3159" Type="http://schemas.openxmlformats.org/officeDocument/2006/relationships/hyperlink" Target="https://aspredicted.org/jq5fe.pdf" TargetMode="External"/><Relationship Id="rId3158" Type="http://schemas.openxmlformats.org/officeDocument/2006/relationships/hyperlink" Target="https://aspredicted.org/jq5fe.pdf" TargetMode="External"/><Relationship Id="rId3149" Type="http://schemas.openxmlformats.org/officeDocument/2006/relationships/hyperlink" Target="https://osf.io/m4cyz" TargetMode="External"/><Relationship Id="rId3140" Type="http://schemas.openxmlformats.org/officeDocument/2006/relationships/hyperlink" Target="https://doi.org/10.1016/j.jneuroling.2010.05.001" TargetMode="External"/><Relationship Id="rId3142" Type="http://schemas.openxmlformats.org/officeDocument/2006/relationships/hyperlink" Target="https://aspredicted.org/bg2fh.pdf" TargetMode="External"/><Relationship Id="rId3141" Type="http://schemas.openxmlformats.org/officeDocument/2006/relationships/hyperlink" Target="https://doi.org/10.1016/j.jneuroling.2010.05.001" TargetMode="External"/><Relationship Id="rId3144" Type="http://schemas.openxmlformats.org/officeDocument/2006/relationships/hyperlink" Target="https://aspredicted.org/bg2fh.pdf" TargetMode="External"/><Relationship Id="rId3143" Type="http://schemas.openxmlformats.org/officeDocument/2006/relationships/hyperlink" Target="https://aspredicted.org/bg2fh.pdf" TargetMode="External"/><Relationship Id="rId3146" Type="http://schemas.openxmlformats.org/officeDocument/2006/relationships/hyperlink" Target="https://aspredicted.org/bg2fh.pdf" TargetMode="External"/><Relationship Id="rId3145" Type="http://schemas.openxmlformats.org/officeDocument/2006/relationships/hyperlink" Target="https://aspredicted.org/bg2fh.pdf" TargetMode="External"/><Relationship Id="rId3148" Type="http://schemas.openxmlformats.org/officeDocument/2006/relationships/hyperlink" Target="https://aspredicted.org/bg2fh.pdf" TargetMode="External"/><Relationship Id="rId3147" Type="http://schemas.openxmlformats.org/officeDocument/2006/relationships/hyperlink" Target="https://aspredicted.org/bg2fh.pdf" TargetMode="External"/><Relationship Id="rId3171" Type="http://schemas.openxmlformats.org/officeDocument/2006/relationships/hyperlink" Target="https://doi.org/10.31234/osf.io/mtsx8" TargetMode="External"/><Relationship Id="rId3170" Type="http://schemas.openxmlformats.org/officeDocument/2006/relationships/hyperlink" Target="https://drive.google.com/file/d/1niJ4qqlQ3w06lrmI_sfZvqDMPlcLvX7Z/view?usp=drivesdk" TargetMode="External"/><Relationship Id="rId3173" Type="http://schemas.openxmlformats.org/officeDocument/2006/relationships/hyperlink" Target="https://drive.google.com/file/d/1niJ4qqlQ3w06lrmI_sfZvqDMPlcLvX7Z/view?usp=drivesdk" TargetMode="External"/><Relationship Id="rId3172" Type="http://schemas.openxmlformats.org/officeDocument/2006/relationships/hyperlink" Target="https://drive.google.com/file/d/1PchnSZs-XbYmB-ZYLgQBFosMAZs-ybjf/view?usp=drivesdk" TargetMode="External"/><Relationship Id="rId3175" Type="http://schemas.openxmlformats.org/officeDocument/2006/relationships/hyperlink" Target="https://drive.google.com/file/d/1niJ4qqlQ3w06lrmI_sfZvqDMPlcLvX7Z/view?usp=drivesdk" TargetMode="External"/><Relationship Id="rId3174" Type="http://schemas.openxmlformats.org/officeDocument/2006/relationships/hyperlink" Target="https://drive.google.com/file/d/1PchnSZs-XbYmB-ZYLgQBFosMAZs-ybjf/view?usp=drivesdk" TargetMode="External"/><Relationship Id="rId3177" Type="http://schemas.openxmlformats.org/officeDocument/2006/relationships/hyperlink" Target="https://drive.google.com/file/d/1niJ4qqlQ3w06lrmI_sfZvqDMPlcLvX7Z/view?usp=drivesdk" TargetMode="External"/><Relationship Id="rId3176" Type="http://schemas.openxmlformats.org/officeDocument/2006/relationships/hyperlink" Target="https://drive.google.com/file/d/1PchnSZs-XbYmB-ZYLgQBFosMAZs-ybjf/view?usp=drivesdk" TargetMode="External"/><Relationship Id="rId3179" Type="http://schemas.openxmlformats.org/officeDocument/2006/relationships/hyperlink" Target="https://drive.google.com/file/d/1niJ4qqlQ3w06lrmI_sfZvqDMPlcLvX7Z/view?usp=drivesdk" TargetMode="External"/><Relationship Id="rId3178" Type="http://schemas.openxmlformats.org/officeDocument/2006/relationships/hyperlink" Target="https://drive.google.com/file/d/1PchnSZs-XbYmB-ZYLgQBFosMAZs-ybjf/view?usp=drivesdk" TargetMode="External"/><Relationship Id="rId3160" Type="http://schemas.openxmlformats.org/officeDocument/2006/relationships/hyperlink" Target="https://aspredicted.org/jq5fe.pdf" TargetMode="External"/><Relationship Id="rId3162" Type="http://schemas.openxmlformats.org/officeDocument/2006/relationships/hyperlink" Target="https://aspredicted.org/jq5fe.pdf" TargetMode="External"/><Relationship Id="rId3161" Type="http://schemas.openxmlformats.org/officeDocument/2006/relationships/hyperlink" Target="https://aspredicted.org/jq5fe.pdf" TargetMode="External"/><Relationship Id="rId3164" Type="http://schemas.openxmlformats.org/officeDocument/2006/relationships/hyperlink" Target="https://aspredicted.org/jq5fe.pdf" TargetMode="External"/><Relationship Id="rId3163" Type="http://schemas.openxmlformats.org/officeDocument/2006/relationships/hyperlink" Target="https://aspredicted.org/jq5fe.pdf" TargetMode="External"/><Relationship Id="rId3166" Type="http://schemas.openxmlformats.org/officeDocument/2006/relationships/hyperlink" Target="https://aspredicted.org/jq5fe.pdf" TargetMode="External"/><Relationship Id="rId3165" Type="http://schemas.openxmlformats.org/officeDocument/2006/relationships/hyperlink" Target="https://aspredicted.org/jq5fe.pdf" TargetMode="External"/><Relationship Id="rId3168" Type="http://schemas.openxmlformats.org/officeDocument/2006/relationships/hyperlink" Target="https://aspredicted.org/jq5fe.pdf" TargetMode="External"/><Relationship Id="rId3167" Type="http://schemas.openxmlformats.org/officeDocument/2006/relationships/hyperlink" Target="https://aspredicted.org/jq5fe.pdf" TargetMode="External"/><Relationship Id="rId3169" Type="http://schemas.openxmlformats.org/officeDocument/2006/relationships/hyperlink" Target="https://aspredicted.org/jq5fe.pdf" TargetMode="External"/><Relationship Id="rId2700" Type="http://schemas.openxmlformats.org/officeDocument/2006/relationships/hyperlink" Target="https://doi.org/10.17605/OSF.IO/9VXSF" TargetMode="External"/><Relationship Id="rId2701" Type="http://schemas.openxmlformats.org/officeDocument/2006/relationships/hyperlink" Target="http://doi.org/10.1007/s13164-018-0400-9" TargetMode="External"/><Relationship Id="rId2702" Type="http://schemas.openxmlformats.org/officeDocument/2006/relationships/hyperlink" Target="https://osf.io/4ewkh" TargetMode="External"/><Relationship Id="rId2703" Type="http://schemas.openxmlformats.org/officeDocument/2006/relationships/hyperlink" Target="https://doi.org/10.17605/OSF.IO/9VXSF" TargetMode="External"/><Relationship Id="rId2704" Type="http://schemas.openxmlformats.org/officeDocument/2006/relationships/hyperlink" Target="http://doi.org/10.1007/s13164-018-0400-9" TargetMode="External"/><Relationship Id="rId2705" Type="http://schemas.openxmlformats.org/officeDocument/2006/relationships/hyperlink" Target="https://osf.io/4ewkh" TargetMode="External"/><Relationship Id="rId2706" Type="http://schemas.openxmlformats.org/officeDocument/2006/relationships/hyperlink" Target="https://osf.io/mykq6" TargetMode="External"/><Relationship Id="rId2707" Type="http://schemas.openxmlformats.org/officeDocument/2006/relationships/hyperlink" Target="https://doi.org/10.17605/OSF.IO/9VXSF" TargetMode="External"/><Relationship Id="rId2708" Type="http://schemas.openxmlformats.org/officeDocument/2006/relationships/hyperlink" Target="http://doi.org/10.1007/s13164-018-0400-9" TargetMode="External"/><Relationship Id="rId2709" Type="http://schemas.openxmlformats.org/officeDocument/2006/relationships/hyperlink" Target="https://osf.io/d478r" TargetMode="External"/><Relationship Id="rId2720" Type="http://schemas.openxmlformats.org/officeDocument/2006/relationships/hyperlink" Target="http://doi.org/10.1007/s13164-018-0400-9" TargetMode="External"/><Relationship Id="rId2721" Type="http://schemas.openxmlformats.org/officeDocument/2006/relationships/hyperlink" Target="https://osf.io/4ewkh" TargetMode="External"/><Relationship Id="rId2722" Type="http://schemas.openxmlformats.org/officeDocument/2006/relationships/hyperlink" Target="https://doi.org/10.17605/OSF.IO/Q2E5K" TargetMode="External"/><Relationship Id="rId2723" Type="http://schemas.openxmlformats.org/officeDocument/2006/relationships/hyperlink" Target="https://osf.io/7s5vy" TargetMode="External"/><Relationship Id="rId2724" Type="http://schemas.openxmlformats.org/officeDocument/2006/relationships/hyperlink" Target="https://doi.org/10.17605/OSF.IO/Q2E5K" TargetMode="External"/><Relationship Id="rId2725" Type="http://schemas.openxmlformats.org/officeDocument/2006/relationships/hyperlink" Target="https://doi.org/10.17605/OSF.IO/DT24J" TargetMode="External"/><Relationship Id="rId2726" Type="http://schemas.openxmlformats.org/officeDocument/2006/relationships/hyperlink" Target="https://doi.org/10.17605/OSF.IO/DT24J" TargetMode="External"/><Relationship Id="rId2727" Type="http://schemas.openxmlformats.org/officeDocument/2006/relationships/hyperlink" Target="https://osf.io/avf49" TargetMode="External"/><Relationship Id="rId2728" Type="http://schemas.openxmlformats.org/officeDocument/2006/relationships/hyperlink" Target="https://osf.io/avf49" TargetMode="External"/><Relationship Id="rId2729" Type="http://schemas.openxmlformats.org/officeDocument/2006/relationships/hyperlink" Target="https://www.oxfordreference.com/display/10.1093/oi/authority.20110803095743480" TargetMode="External"/><Relationship Id="rId2710" Type="http://schemas.openxmlformats.org/officeDocument/2006/relationships/hyperlink" Target="https://osf.io/d478r" TargetMode="External"/><Relationship Id="rId2711" Type="http://schemas.openxmlformats.org/officeDocument/2006/relationships/hyperlink" Target="https://doi.org/10.17605/OSF.IO/HBPXN" TargetMode="External"/><Relationship Id="rId2712" Type="http://schemas.openxmlformats.org/officeDocument/2006/relationships/hyperlink" Target="https://osf.io/d478r" TargetMode="External"/><Relationship Id="rId2713" Type="http://schemas.openxmlformats.org/officeDocument/2006/relationships/hyperlink" Target="http://osf.io/w9bza/" TargetMode="External"/><Relationship Id="rId2714" Type="http://schemas.openxmlformats.org/officeDocument/2006/relationships/hyperlink" Target="http://doi.org/10.1007/s13164-018-0400-9" TargetMode="External"/><Relationship Id="rId2715" Type="http://schemas.openxmlformats.org/officeDocument/2006/relationships/hyperlink" Target="https://osf.io/jge2k" TargetMode="External"/><Relationship Id="rId2716" Type="http://schemas.openxmlformats.org/officeDocument/2006/relationships/hyperlink" Target="https://doi.org/10.17605/OSF.IO/26YZU" TargetMode="External"/><Relationship Id="rId2717" Type="http://schemas.openxmlformats.org/officeDocument/2006/relationships/hyperlink" Target="https://osf.io/jge2k" TargetMode="External"/><Relationship Id="rId2718" Type="http://schemas.openxmlformats.org/officeDocument/2006/relationships/hyperlink" Target="https://doi.org/10.17605/OSF.IO/26YZU" TargetMode="External"/><Relationship Id="rId2719" Type="http://schemas.openxmlformats.org/officeDocument/2006/relationships/hyperlink" Target="http://osf.io/jtsnn/" TargetMode="External"/><Relationship Id="rId1455" Type="http://schemas.openxmlformats.org/officeDocument/2006/relationships/hyperlink" Target="https://osf.io/6h5af" TargetMode="External"/><Relationship Id="rId2786" Type="http://schemas.openxmlformats.org/officeDocument/2006/relationships/hyperlink" Target="https://osf.io/d3xb7" TargetMode="External"/><Relationship Id="rId1456" Type="http://schemas.openxmlformats.org/officeDocument/2006/relationships/hyperlink" Target="https://osf.io/zj5n3" TargetMode="External"/><Relationship Id="rId2787" Type="http://schemas.openxmlformats.org/officeDocument/2006/relationships/hyperlink" Target="https://osf.io/d3xb7" TargetMode="External"/><Relationship Id="rId1457" Type="http://schemas.openxmlformats.org/officeDocument/2006/relationships/hyperlink" Target="https://osf.io/j8pbk" TargetMode="External"/><Relationship Id="rId2788" Type="http://schemas.openxmlformats.org/officeDocument/2006/relationships/hyperlink" Target="https://osf.io/d3xb7" TargetMode="External"/><Relationship Id="rId1458" Type="http://schemas.openxmlformats.org/officeDocument/2006/relationships/hyperlink" Target="https://osf.io/jqaac" TargetMode="External"/><Relationship Id="rId2789" Type="http://schemas.openxmlformats.org/officeDocument/2006/relationships/hyperlink" Target="https://osf.io/d3xb7" TargetMode="External"/><Relationship Id="rId1459" Type="http://schemas.openxmlformats.org/officeDocument/2006/relationships/hyperlink" Target="https://osf.io/j8pbk" TargetMode="External"/><Relationship Id="rId629" Type="http://schemas.openxmlformats.org/officeDocument/2006/relationships/hyperlink" Target="https://osf.io/gexhp" TargetMode="External"/><Relationship Id="rId624" Type="http://schemas.openxmlformats.org/officeDocument/2006/relationships/hyperlink" Target="https://osf.io/e5k4j/" TargetMode="External"/><Relationship Id="rId623" Type="http://schemas.openxmlformats.org/officeDocument/2006/relationships/hyperlink" Target="https://osf.io/gexhp" TargetMode="External"/><Relationship Id="rId622" Type="http://schemas.openxmlformats.org/officeDocument/2006/relationships/hyperlink" Target="https://osf.io/e5k4j/" TargetMode="External"/><Relationship Id="rId621" Type="http://schemas.openxmlformats.org/officeDocument/2006/relationships/hyperlink" Target="https://osf.io/e5k4j/" TargetMode="External"/><Relationship Id="rId628" Type="http://schemas.openxmlformats.org/officeDocument/2006/relationships/hyperlink" Target="https://osf.io/e5k4j/" TargetMode="External"/><Relationship Id="rId627" Type="http://schemas.openxmlformats.org/officeDocument/2006/relationships/hyperlink" Target="https://osf.io/e5k4j/" TargetMode="External"/><Relationship Id="rId626" Type="http://schemas.openxmlformats.org/officeDocument/2006/relationships/hyperlink" Target="https://osf.io/gexhp" TargetMode="External"/><Relationship Id="rId625" Type="http://schemas.openxmlformats.org/officeDocument/2006/relationships/hyperlink" Target="https://osf.io/e5k4j/" TargetMode="External"/><Relationship Id="rId2780" Type="http://schemas.openxmlformats.org/officeDocument/2006/relationships/hyperlink" Target="https://osf.io/d3xb7" TargetMode="External"/><Relationship Id="rId1450" Type="http://schemas.openxmlformats.org/officeDocument/2006/relationships/hyperlink" Target="https://osf.io/k2teb" TargetMode="External"/><Relationship Id="rId2781" Type="http://schemas.openxmlformats.org/officeDocument/2006/relationships/hyperlink" Target="https://osf.io/d3xb7" TargetMode="External"/><Relationship Id="rId620" Type="http://schemas.openxmlformats.org/officeDocument/2006/relationships/hyperlink" Target="https://osf.io/gexhp" TargetMode="External"/><Relationship Id="rId1451" Type="http://schemas.openxmlformats.org/officeDocument/2006/relationships/hyperlink" Target="https://osf.io/67mzc" TargetMode="External"/><Relationship Id="rId2782" Type="http://schemas.openxmlformats.org/officeDocument/2006/relationships/hyperlink" Target="https://osf.io/d3xb7" TargetMode="External"/><Relationship Id="rId1452" Type="http://schemas.openxmlformats.org/officeDocument/2006/relationships/hyperlink" Target="https://osf.io/r3dt9" TargetMode="External"/><Relationship Id="rId2783" Type="http://schemas.openxmlformats.org/officeDocument/2006/relationships/hyperlink" Target="https://drive.google.com/file/d/1-on_azF3SOQnkcXmO04jj2zt4-H3FlcG/view" TargetMode="External"/><Relationship Id="rId1453" Type="http://schemas.openxmlformats.org/officeDocument/2006/relationships/hyperlink" Target="https://osf.io/67mzc" TargetMode="External"/><Relationship Id="rId2784" Type="http://schemas.openxmlformats.org/officeDocument/2006/relationships/hyperlink" Target="https://osf.io/d3xb7" TargetMode="External"/><Relationship Id="rId1454" Type="http://schemas.openxmlformats.org/officeDocument/2006/relationships/hyperlink" Target="https://osf.io/zj5n3" TargetMode="External"/><Relationship Id="rId2785" Type="http://schemas.openxmlformats.org/officeDocument/2006/relationships/hyperlink" Target="https://drive.google.com/file/d/1-on_azF3SOQnkcXmO04jj2zt4-H3FlcG/view" TargetMode="External"/><Relationship Id="rId1444" Type="http://schemas.openxmlformats.org/officeDocument/2006/relationships/hyperlink" Target="https://osf.io/zpyj3" TargetMode="External"/><Relationship Id="rId2775" Type="http://schemas.openxmlformats.org/officeDocument/2006/relationships/hyperlink" Target="https://osf.io/d3xb7" TargetMode="External"/><Relationship Id="rId1445" Type="http://schemas.openxmlformats.org/officeDocument/2006/relationships/hyperlink" Target="https://osf.io/jnq7e" TargetMode="External"/><Relationship Id="rId2776" Type="http://schemas.openxmlformats.org/officeDocument/2006/relationships/hyperlink" Target="https://osf.io/d3xb7" TargetMode="External"/><Relationship Id="rId1446" Type="http://schemas.openxmlformats.org/officeDocument/2006/relationships/hyperlink" Target="https://osf.io/efzv3" TargetMode="External"/><Relationship Id="rId2777" Type="http://schemas.openxmlformats.org/officeDocument/2006/relationships/hyperlink" Target="https://osf.io/d3xb7" TargetMode="External"/><Relationship Id="rId1447" Type="http://schemas.openxmlformats.org/officeDocument/2006/relationships/hyperlink" Target="https://osf.io/jubxw" TargetMode="External"/><Relationship Id="rId2778" Type="http://schemas.openxmlformats.org/officeDocument/2006/relationships/hyperlink" Target="https://osf.io/d3xb7" TargetMode="External"/><Relationship Id="rId1448" Type="http://schemas.openxmlformats.org/officeDocument/2006/relationships/hyperlink" Target="https://osf.io/k2teb" TargetMode="External"/><Relationship Id="rId2779" Type="http://schemas.openxmlformats.org/officeDocument/2006/relationships/hyperlink" Target="https://osf.io/d3xb7" TargetMode="External"/><Relationship Id="rId1449" Type="http://schemas.openxmlformats.org/officeDocument/2006/relationships/hyperlink" Target="https://osf.io/wh5gb" TargetMode="External"/><Relationship Id="rId619" Type="http://schemas.openxmlformats.org/officeDocument/2006/relationships/hyperlink" Target="https://osf.io/e5k4j/" TargetMode="External"/><Relationship Id="rId618" Type="http://schemas.openxmlformats.org/officeDocument/2006/relationships/hyperlink" Target="https://osf.io/e5k4j/" TargetMode="External"/><Relationship Id="rId613" Type="http://schemas.openxmlformats.org/officeDocument/2006/relationships/hyperlink" Target="https://osf.io/e5k4j/" TargetMode="External"/><Relationship Id="rId612" Type="http://schemas.openxmlformats.org/officeDocument/2006/relationships/hyperlink" Target="https://osf.io/gexhp" TargetMode="External"/><Relationship Id="rId611" Type="http://schemas.openxmlformats.org/officeDocument/2006/relationships/hyperlink" Target="https://osf.io/e5k4j/" TargetMode="External"/><Relationship Id="rId610" Type="http://schemas.openxmlformats.org/officeDocument/2006/relationships/hyperlink" Target="https://osf.io/gexhp" TargetMode="External"/><Relationship Id="rId617" Type="http://schemas.openxmlformats.org/officeDocument/2006/relationships/hyperlink" Target="https://osf.io/gexhp" TargetMode="External"/><Relationship Id="rId616" Type="http://schemas.openxmlformats.org/officeDocument/2006/relationships/hyperlink" Target="https://osf.io/e5k4j/" TargetMode="External"/><Relationship Id="rId615" Type="http://schemas.openxmlformats.org/officeDocument/2006/relationships/hyperlink" Target="https://osf.io/e5k4j/" TargetMode="External"/><Relationship Id="rId614" Type="http://schemas.openxmlformats.org/officeDocument/2006/relationships/hyperlink" Target="https://osf.io/gexhp" TargetMode="External"/><Relationship Id="rId2770" Type="http://schemas.openxmlformats.org/officeDocument/2006/relationships/hyperlink" Target="https://osf.io/d3xb7" TargetMode="External"/><Relationship Id="rId1440" Type="http://schemas.openxmlformats.org/officeDocument/2006/relationships/hyperlink" Target="https://osf.io/3cgxv" TargetMode="External"/><Relationship Id="rId2771" Type="http://schemas.openxmlformats.org/officeDocument/2006/relationships/hyperlink" Target="https://osf.io/d3xb7" TargetMode="External"/><Relationship Id="rId1441" Type="http://schemas.openxmlformats.org/officeDocument/2006/relationships/hyperlink" Target="https://osf.io/mgjxv" TargetMode="External"/><Relationship Id="rId2772" Type="http://schemas.openxmlformats.org/officeDocument/2006/relationships/hyperlink" Target="https://osf.io/d3xb7" TargetMode="External"/><Relationship Id="rId1442" Type="http://schemas.openxmlformats.org/officeDocument/2006/relationships/hyperlink" Target="https://osf.io/bmnca" TargetMode="External"/><Relationship Id="rId2773" Type="http://schemas.openxmlformats.org/officeDocument/2006/relationships/hyperlink" Target="https://osf.io/d3xb7" TargetMode="External"/><Relationship Id="rId1443" Type="http://schemas.openxmlformats.org/officeDocument/2006/relationships/hyperlink" Target="https://osf.io/s73x6" TargetMode="External"/><Relationship Id="rId2774" Type="http://schemas.openxmlformats.org/officeDocument/2006/relationships/hyperlink" Target="https://osf.io/d3xb7" TargetMode="External"/><Relationship Id="rId1477" Type="http://schemas.openxmlformats.org/officeDocument/2006/relationships/hyperlink" Target="https://osf.io/kchf9" TargetMode="External"/><Relationship Id="rId1478" Type="http://schemas.openxmlformats.org/officeDocument/2006/relationships/hyperlink" Target="https://osf.io/yrbq9" TargetMode="External"/><Relationship Id="rId1479" Type="http://schemas.openxmlformats.org/officeDocument/2006/relationships/hyperlink" Target="https://osf.io/kchf9" TargetMode="External"/><Relationship Id="rId646" Type="http://schemas.openxmlformats.org/officeDocument/2006/relationships/hyperlink" Target="https://aspredicted.org/XHN_76L" TargetMode="External"/><Relationship Id="rId645" Type="http://schemas.openxmlformats.org/officeDocument/2006/relationships/hyperlink" Target="https://aspredicted.org/XHN_76L" TargetMode="External"/><Relationship Id="rId644" Type="http://schemas.openxmlformats.org/officeDocument/2006/relationships/hyperlink" Target="https://osf.io/g6u9q" TargetMode="External"/><Relationship Id="rId643" Type="http://schemas.openxmlformats.org/officeDocument/2006/relationships/hyperlink" Target="https://osf.io/g6u9q" TargetMode="External"/><Relationship Id="rId649" Type="http://schemas.openxmlformats.org/officeDocument/2006/relationships/hyperlink" Target="https://osf.io/yxusb" TargetMode="External"/><Relationship Id="rId648" Type="http://schemas.openxmlformats.org/officeDocument/2006/relationships/hyperlink" Target="https://osf.io/yxusb" TargetMode="External"/><Relationship Id="rId647" Type="http://schemas.openxmlformats.org/officeDocument/2006/relationships/hyperlink" Target="https://osf.io/yxusb" TargetMode="External"/><Relationship Id="rId1470" Type="http://schemas.openxmlformats.org/officeDocument/2006/relationships/hyperlink" Target="https://osf.io/b4ga9" TargetMode="External"/><Relationship Id="rId1471" Type="http://schemas.openxmlformats.org/officeDocument/2006/relationships/hyperlink" Target="https://osf.io/84fyw" TargetMode="External"/><Relationship Id="rId1472" Type="http://schemas.openxmlformats.org/officeDocument/2006/relationships/hyperlink" Target="https://osf.io/qwked" TargetMode="External"/><Relationship Id="rId642" Type="http://schemas.openxmlformats.org/officeDocument/2006/relationships/hyperlink" Target="https://osf.io/g6u9q" TargetMode="External"/><Relationship Id="rId1473" Type="http://schemas.openxmlformats.org/officeDocument/2006/relationships/hyperlink" Target="https://osf.io/27cuc" TargetMode="External"/><Relationship Id="rId641" Type="http://schemas.openxmlformats.org/officeDocument/2006/relationships/hyperlink" Target="https://aspredicted.org/XHN_76L" TargetMode="External"/><Relationship Id="rId1474" Type="http://schemas.openxmlformats.org/officeDocument/2006/relationships/hyperlink" Target="https://osf.io/qwked" TargetMode="External"/><Relationship Id="rId640" Type="http://schemas.openxmlformats.org/officeDocument/2006/relationships/hyperlink" Target="https://aspredicted.org/XHN_76L" TargetMode="External"/><Relationship Id="rId1475" Type="http://schemas.openxmlformats.org/officeDocument/2006/relationships/hyperlink" Target="https://osf.io/t64fw" TargetMode="External"/><Relationship Id="rId1476" Type="http://schemas.openxmlformats.org/officeDocument/2006/relationships/hyperlink" Target="https://osf.io/drvhe" TargetMode="External"/><Relationship Id="rId1466" Type="http://schemas.openxmlformats.org/officeDocument/2006/relationships/hyperlink" Target="https://osf.io/367yu" TargetMode="External"/><Relationship Id="rId2797" Type="http://schemas.openxmlformats.org/officeDocument/2006/relationships/hyperlink" Target="https://osf.io/d3xb7" TargetMode="External"/><Relationship Id="rId1467" Type="http://schemas.openxmlformats.org/officeDocument/2006/relationships/hyperlink" Target="https://osf.io/69xfj" TargetMode="External"/><Relationship Id="rId2798" Type="http://schemas.openxmlformats.org/officeDocument/2006/relationships/hyperlink" Target="https://osf.io/d3xb7" TargetMode="External"/><Relationship Id="rId1468" Type="http://schemas.openxmlformats.org/officeDocument/2006/relationships/hyperlink" Target="https://osf.io/367yu" TargetMode="External"/><Relationship Id="rId2799" Type="http://schemas.openxmlformats.org/officeDocument/2006/relationships/hyperlink" Target="https://osf.io/d3xb7" TargetMode="External"/><Relationship Id="rId1469" Type="http://schemas.openxmlformats.org/officeDocument/2006/relationships/hyperlink" Target="https://osf.io/84fyw" TargetMode="External"/><Relationship Id="rId635" Type="http://schemas.openxmlformats.org/officeDocument/2006/relationships/hyperlink" Target="https://aspredicted.org/XHN_76L" TargetMode="External"/><Relationship Id="rId634" Type="http://schemas.openxmlformats.org/officeDocument/2006/relationships/hyperlink" Target="https://osf.io/fdh4m/" TargetMode="External"/><Relationship Id="rId633" Type="http://schemas.openxmlformats.org/officeDocument/2006/relationships/hyperlink" Target="https://osf.io/fdh4m/" TargetMode="External"/><Relationship Id="rId632" Type="http://schemas.openxmlformats.org/officeDocument/2006/relationships/hyperlink" Target="https://osf.io/fdh4m/" TargetMode="External"/><Relationship Id="rId639" Type="http://schemas.openxmlformats.org/officeDocument/2006/relationships/hyperlink" Target="https://osf.io/g6u9q" TargetMode="External"/><Relationship Id="rId638" Type="http://schemas.openxmlformats.org/officeDocument/2006/relationships/hyperlink" Target="https://osf.io/g6u9q" TargetMode="External"/><Relationship Id="rId637" Type="http://schemas.openxmlformats.org/officeDocument/2006/relationships/hyperlink" Target="https://osf.io/g6u9q" TargetMode="External"/><Relationship Id="rId636" Type="http://schemas.openxmlformats.org/officeDocument/2006/relationships/hyperlink" Target="https://aspredicted.org/XHN_76L" TargetMode="External"/><Relationship Id="rId2790" Type="http://schemas.openxmlformats.org/officeDocument/2006/relationships/hyperlink" Target="https://osf.io/d3xb7" TargetMode="External"/><Relationship Id="rId1460" Type="http://schemas.openxmlformats.org/officeDocument/2006/relationships/hyperlink" Target="https://osf.io/szcuk" TargetMode="External"/><Relationship Id="rId2791" Type="http://schemas.openxmlformats.org/officeDocument/2006/relationships/hyperlink" Target="https://osf.io/d3xb7" TargetMode="External"/><Relationship Id="rId1461" Type="http://schemas.openxmlformats.org/officeDocument/2006/relationships/hyperlink" Target="https://osf.io/3kpjx" TargetMode="External"/><Relationship Id="rId2792" Type="http://schemas.openxmlformats.org/officeDocument/2006/relationships/hyperlink" Target="https://osf.io/d3xb7" TargetMode="External"/><Relationship Id="rId631" Type="http://schemas.openxmlformats.org/officeDocument/2006/relationships/hyperlink" Target="https://osf.io/e5k4j/" TargetMode="External"/><Relationship Id="rId1462" Type="http://schemas.openxmlformats.org/officeDocument/2006/relationships/hyperlink" Target="https://osf.io/szcuk" TargetMode="External"/><Relationship Id="rId2793" Type="http://schemas.openxmlformats.org/officeDocument/2006/relationships/hyperlink" Target="https://osf.io/d3xb7" TargetMode="External"/><Relationship Id="rId630" Type="http://schemas.openxmlformats.org/officeDocument/2006/relationships/hyperlink" Target="https://osf.io/e5k4j/" TargetMode="External"/><Relationship Id="rId1463" Type="http://schemas.openxmlformats.org/officeDocument/2006/relationships/hyperlink" Target="https://osf.io/5uw3j" TargetMode="External"/><Relationship Id="rId2794" Type="http://schemas.openxmlformats.org/officeDocument/2006/relationships/hyperlink" Target="https://osf.io/d3xb7" TargetMode="External"/><Relationship Id="rId1464" Type="http://schemas.openxmlformats.org/officeDocument/2006/relationships/hyperlink" Target="https://osf.io/qb4f4" TargetMode="External"/><Relationship Id="rId2795" Type="http://schemas.openxmlformats.org/officeDocument/2006/relationships/hyperlink" Target="https://osf.io/d3xb7" TargetMode="External"/><Relationship Id="rId1465" Type="http://schemas.openxmlformats.org/officeDocument/2006/relationships/hyperlink" Target="https://osf.io/5uw3j" TargetMode="External"/><Relationship Id="rId2796" Type="http://schemas.openxmlformats.org/officeDocument/2006/relationships/hyperlink" Target="https://osf.io/d3xb7" TargetMode="External"/><Relationship Id="rId1411" Type="http://schemas.openxmlformats.org/officeDocument/2006/relationships/hyperlink" Target="https://doi.org/10.1126/science.aaf0918" TargetMode="External"/><Relationship Id="rId2742" Type="http://schemas.openxmlformats.org/officeDocument/2006/relationships/hyperlink" Target="https://osf.io/d3xb7" TargetMode="External"/><Relationship Id="rId1412" Type="http://schemas.openxmlformats.org/officeDocument/2006/relationships/hyperlink" Target="https://osf.io/9z5nv" TargetMode="External"/><Relationship Id="rId2743" Type="http://schemas.openxmlformats.org/officeDocument/2006/relationships/hyperlink" Target="https://osf.io/d3xb7" TargetMode="External"/><Relationship Id="rId1413" Type="http://schemas.openxmlformats.org/officeDocument/2006/relationships/hyperlink" Target="https://doi.org/10.1126/science.aaf0918" TargetMode="External"/><Relationship Id="rId2744" Type="http://schemas.openxmlformats.org/officeDocument/2006/relationships/hyperlink" Target="https://osf.io/d3xb7" TargetMode="External"/><Relationship Id="rId1414" Type="http://schemas.openxmlformats.org/officeDocument/2006/relationships/hyperlink" Target="https://doi.org/10.1126/science.aaf0918" TargetMode="External"/><Relationship Id="rId2745" Type="http://schemas.openxmlformats.org/officeDocument/2006/relationships/hyperlink" Target="https://osf.io/d3xb7" TargetMode="External"/><Relationship Id="rId1415" Type="http://schemas.openxmlformats.org/officeDocument/2006/relationships/hyperlink" Target="https://osf.io/tpmnq" TargetMode="External"/><Relationship Id="rId2746" Type="http://schemas.openxmlformats.org/officeDocument/2006/relationships/hyperlink" Target="https://osf.io/d3xb7" TargetMode="External"/><Relationship Id="rId1416" Type="http://schemas.openxmlformats.org/officeDocument/2006/relationships/hyperlink" Target="https://doi.org/10.1126/science.aaf0918" TargetMode="External"/><Relationship Id="rId2747" Type="http://schemas.openxmlformats.org/officeDocument/2006/relationships/hyperlink" Target="https://osf.io/d3xb7" TargetMode="External"/><Relationship Id="rId1417" Type="http://schemas.openxmlformats.org/officeDocument/2006/relationships/hyperlink" Target="https://doi.org/10.1126/science.aaf0918" TargetMode="External"/><Relationship Id="rId2748" Type="http://schemas.openxmlformats.org/officeDocument/2006/relationships/hyperlink" Target="https://osf.io/d3xb7" TargetMode="External"/><Relationship Id="rId1418" Type="http://schemas.openxmlformats.org/officeDocument/2006/relationships/hyperlink" Target="https://osf.io/r9xc6" TargetMode="External"/><Relationship Id="rId2749" Type="http://schemas.openxmlformats.org/officeDocument/2006/relationships/hyperlink" Target="https://osf.io/d3xb7" TargetMode="External"/><Relationship Id="rId1419" Type="http://schemas.openxmlformats.org/officeDocument/2006/relationships/hyperlink" Target="https://doi.org/10.1126/science.aaf0918" TargetMode="External"/><Relationship Id="rId2740" Type="http://schemas.openxmlformats.org/officeDocument/2006/relationships/hyperlink" Target="https://osf.io/d3xb7" TargetMode="External"/><Relationship Id="rId1410" Type="http://schemas.openxmlformats.org/officeDocument/2006/relationships/hyperlink" Target="https://doi.org/10.1126/science.aaf0918" TargetMode="External"/><Relationship Id="rId2741" Type="http://schemas.openxmlformats.org/officeDocument/2006/relationships/hyperlink" Target="https://osf.io/d3xb7" TargetMode="External"/><Relationship Id="rId1400" Type="http://schemas.openxmlformats.org/officeDocument/2006/relationships/hyperlink" Target="https://osf.io/wcvnu" TargetMode="External"/><Relationship Id="rId2731" Type="http://schemas.openxmlformats.org/officeDocument/2006/relationships/hyperlink" Target="https://aspredicted.org/jq5fe.pdf" TargetMode="External"/><Relationship Id="rId1401" Type="http://schemas.openxmlformats.org/officeDocument/2006/relationships/hyperlink" Target="https://doi.org/10.1126/science.aaf0918" TargetMode="External"/><Relationship Id="rId2732" Type="http://schemas.openxmlformats.org/officeDocument/2006/relationships/hyperlink" Target="https://doi.org/10.1177/2515245920919667" TargetMode="External"/><Relationship Id="rId1402" Type="http://schemas.openxmlformats.org/officeDocument/2006/relationships/hyperlink" Target="https://doi.org/10.1126/science.aaf0918" TargetMode="External"/><Relationship Id="rId2733" Type="http://schemas.openxmlformats.org/officeDocument/2006/relationships/hyperlink" Target="https://osf.io/5y7ne/?view_only=" TargetMode="External"/><Relationship Id="rId1403" Type="http://schemas.openxmlformats.org/officeDocument/2006/relationships/hyperlink" Target="https://osf.io/hsrbu" TargetMode="External"/><Relationship Id="rId2734" Type="http://schemas.openxmlformats.org/officeDocument/2006/relationships/hyperlink" Target="https://osf.io/wg9s3/." TargetMode="External"/><Relationship Id="rId1404" Type="http://schemas.openxmlformats.org/officeDocument/2006/relationships/hyperlink" Target="https://doi.org/10.1126/science.aaf0918" TargetMode="External"/><Relationship Id="rId2735" Type="http://schemas.openxmlformats.org/officeDocument/2006/relationships/hyperlink" Target="https://osf.io/8nzfm/" TargetMode="External"/><Relationship Id="rId1405" Type="http://schemas.openxmlformats.org/officeDocument/2006/relationships/hyperlink" Target="https://doi.org/10.1126/science.aaf0918" TargetMode="External"/><Relationship Id="rId2736" Type="http://schemas.openxmlformats.org/officeDocument/2006/relationships/hyperlink" Target="https://osf.io/8nzfm/wiki/home/" TargetMode="External"/><Relationship Id="rId1406" Type="http://schemas.openxmlformats.org/officeDocument/2006/relationships/hyperlink" Target="https://osf.io/d5t2b" TargetMode="External"/><Relationship Id="rId2737" Type="http://schemas.openxmlformats.org/officeDocument/2006/relationships/hyperlink" Target="https://osf.io/2dqxv" TargetMode="External"/><Relationship Id="rId1407" Type="http://schemas.openxmlformats.org/officeDocument/2006/relationships/hyperlink" Target="https://doi.org/10.1126/science.aaf0918" TargetMode="External"/><Relationship Id="rId2738" Type="http://schemas.openxmlformats.org/officeDocument/2006/relationships/hyperlink" Target="https://osf.io/d3xb7" TargetMode="External"/><Relationship Id="rId1408" Type="http://schemas.openxmlformats.org/officeDocument/2006/relationships/hyperlink" Target="https://doi.org/10.1126/science.aaf0918" TargetMode="External"/><Relationship Id="rId2739" Type="http://schemas.openxmlformats.org/officeDocument/2006/relationships/hyperlink" Target="https://osf.io/d3xb7" TargetMode="External"/><Relationship Id="rId1409" Type="http://schemas.openxmlformats.org/officeDocument/2006/relationships/hyperlink" Target="https://osf.io/kx5mj" TargetMode="External"/><Relationship Id="rId2730" Type="http://schemas.openxmlformats.org/officeDocument/2006/relationships/hyperlink" Target="https://doi.org/10.1037/h0076284" TargetMode="External"/><Relationship Id="rId1433" Type="http://schemas.openxmlformats.org/officeDocument/2006/relationships/hyperlink" Target="https://osf.io/d3h4u" TargetMode="External"/><Relationship Id="rId2764" Type="http://schemas.openxmlformats.org/officeDocument/2006/relationships/hyperlink" Target="https://osf.io/d3xb7" TargetMode="External"/><Relationship Id="rId1434" Type="http://schemas.openxmlformats.org/officeDocument/2006/relationships/hyperlink" Target="https://doi.org/10.1126/science.aaf0918" TargetMode="External"/><Relationship Id="rId2765" Type="http://schemas.openxmlformats.org/officeDocument/2006/relationships/hyperlink" Target="https://osf.io/d3xb7" TargetMode="External"/><Relationship Id="rId1435" Type="http://schemas.openxmlformats.org/officeDocument/2006/relationships/hyperlink" Target="https://doi.org/10.1126/science.aaf0918" TargetMode="External"/><Relationship Id="rId2766" Type="http://schemas.openxmlformats.org/officeDocument/2006/relationships/hyperlink" Target="https://osf.io/d3xb7" TargetMode="External"/><Relationship Id="rId1436" Type="http://schemas.openxmlformats.org/officeDocument/2006/relationships/hyperlink" Target="https://osf.io/a3394" TargetMode="External"/><Relationship Id="rId2767" Type="http://schemas.openxmlformats.org/officeDocument/2006/relationships/hyperlink" Target="https://osf.io/d3xb7" TargetMode="External"/><Relationship Id="rId1437" Type="http://schemas.openxmlformats.org/officeDocument/2006/relationships/hyperlink" Target="https://doi.org/10.1126/science.aaf0918" TargetMode="External"/><Relationship Id="rId2768" Type="http://schemas.openxmlformats.org/officeDocument/2006/relationships/hyperlink" Target="https://osf.io/d3xb7" TargetMode="External"/><Relationship Id="rId1438" Type="http://schemas.openxmlformats.org/officeDocument/2006/relationships/hyperlink" Target="https://osf.io/bstxp/" TargetMode="External"/><Relationship Id="rId2769" Type="http://schemas.openxmlformats.org/officeDocument/2006/relationships/hyperlink" Target="https://osf.io/d3xb7" TargetMode="External"/><Relationship Id="rId1439" Type="http://schemas.openxmlformats.org/officeDocument/2006/relationships/hyperlink" Target="https://osf.io/9hn4c" TargetMode="External"/><Relationship Id="rId609" Type="http://schemas.openxmlformats.org/officeDocument/2006/relationships/hyperlink" Target="https://osf.io/e5k4j/" TargetMode="External"/><Relationship Id="rId608" Type="http://schemas.openxmlformats.org/officeDocument/2006/relationships/hyperlink" Target="https://osf.io/gexhp" TargetMode="External"/><Relationship Id="rId607" Type="http://schemas.openxmlformats.org/officeDocument/2006/relationships/hyperlink" Target="https://osf.io/e5k4j/" TargetMode="External"/><Relationship Id="rId602" Type="http://schemas.openxmlformats.org/officeDocument/2006/relationships/hyperlink" Target="https://osf.io/gexhp" TargetMode="External"/><Relationship Id="rId601" Type="http://schemas.openxmlformats.org/officeDocument/2006/relationships/hyperlink" Target="https://osf.io/e5k4j/" TargetMode="External"/><Relationship Id="rId600" Type="http://schemas.openxmlformats.org/officeDocument/2006/relationships/hyperlink" Target="https://osf.io/gexhp" TargetMode="External"/><Relationship Id="rId606" Type="http://schemas.openxmlformats.org/officeDocument/2006/relationships/hyperlink" Target="https://osf.io/gexhp" TargetMode="External"/><Relationship Id="rId605" Type="http://schemas.openxmlformats.org/officeDocument/2006/relationships/hyperlink" Target="https://osf.io/e5k4j/" TargetMode="External"/><Relationship Id="rId604" Type="http://schemas.openxmlformats.org/officeDocument/2006/relationships/hyperlink" Target="https://osf.io/gexhp" TargetMode="External"/><Relationship Id="rId603" Type="http://schemas.openxmlformats.org/officeDocument/2006/relationships/hyperlink" Target="https://osf.io/e5k4j/" TargetMode="External"/><Relationship Id="rId2760" Type="http://schemas.openxmlformats.org/officeDocument/2006/relationships/hyperlink" Target="https://osf.io/mc3z7" TargetMode="External"/><Relationship Id="rId1430" Type="http://schemas.openxmlformats.org/officeDocument/2006/relationships/hyperlink" Target="https://osf.io/ypcz5" TargetMode="External"/><Relationship Id="rId2761" Type="http://schemas.openxmlformats.org/officeDocument/2006/relationships/hyperlink" Target="https://osf.io/d3xb7" TargetMode="External"/><Relationship Id="rId1431" Type="http://schemas.openxmlformats.org/officeDocument/2006/relationships/hyperlink" Target="https://doi.org/10.1126/science.aaf0918" TargetMode="External"/><Relationship Id="rId2762" Type="http://schemas.openxmlformats.org/officeDocument/2006/relationships/hyperlink" Target="https://osf.io/d3xb7" TargetMode="External"/><Relationship Id="rId1432" Type="http://schemas.openxmlformats.org/officeDocument/2006/relationships/hyperlink" Target="https://doi.org/10.1126/science.aaf0918" TargetMode="External"/><Relationship Id="rId2763" Type="http://schemas.openxmlformats.org/officeDocument/2006/relationships/hyperlink" Target="https://osf.io/d3xb7" TargetMode="External"/><Relationship Id="rId1422" Type="http://schemas.openxmlformats.org/officeDocument/2006/relationships/hyperlink" Target="https://doi.org/10.1126/science.aaf0918" TargetMode="External"/><Relationship Id="rId2753" Type="http://schemas.openxmlformats.org/officeDocument/2006/relationships/hyperlink" Target="https://osf.io/d3xb7" TargetMode="External"/><Relationship Id="rId1423" Type="http://schemas.openxmlformats.org/officeDocument/2006/relationships/hyperlink" Target="https://doi.org/10.1126/science.aaf0918" TargetMode="External"/><Relationship Id="rId2754" Type="http://schemas.openxmlformats.org/officeDocument/2006/relationships/hyperlink" Target="https://osf.io/d3xb7" TargetMode="External"/><Relationship Id="rId1424" Type="http://schemas.openxmlformats.org/officeDocument/2006/relationships/hyperlink" Target="https://osf.io/2anqg" TargetMode="External"/><Relationship Id="rId2755" Type="http://schemas.openxmlformats.org/officeDocument/2006/relationships/hyperlink" Target="https://osf.io/d3xb7" TargetMode="External"/><Relationship Id="rId1425" Type="http://schemas.openxmlformats.org/officeDocument/2006/relationships/hyperlink" Target="https://doi.org/10.1126/science.aaf0918" TargetMode="External"/><Relationship Id="rId2756" Type="http://schemas.openxmlformats.org/officeDocument/2006/relationships/hyperlink" Target="https://osf.io/d3xb7" TargetMode="External"/><Relationship Id="rId1426" Type="http://schemas.openxmlformats.org/officeDocument/2006/relationships/hyperlink" Target="https://doi.org/10.1126/science.aaf0918" TargetMode="External"/><Relationship Id="rId2757" Type="http://schemas.openxmlformats.org/officeDocument/2006/relationships/hyperlink" Target="https://osf.io/d3xb7" TargetMode="External"/><Relationship Id="rId1427" Type="http://schemas.openxmlformats.org/officeDocument/2006/relationships/hyperlink" Target="https://osf.io/vdmz6" TargetMode="External"/><Relationship Id="rId2758" Type="http://schemas.openxmlformats.org/officeDocument/2006/relationships/hyperlink" Target="https://osf.io/d3xb7" TargetMode="External"/><Relationship Id="rId1428" Type="http://schemas.openxmlformats.org/officeDocument/2006/relationships/hyperlink" Target="https://doi.org/10.1126/science.aaf0918" TargetMode="External"/><Relationship Id="rId2759" Type="http://schemas.openxmlformats.org/officeDocument/2006/relationships/hyperlink" Target="https://osf.io/mc3z7" TargetMode="External"/><Relationship Id="rId1429" Type="http://schemas.openxmlformats.org/officeDocument/2006/relationships/hyperlink" Target="https://doi.org/10.1126/science.aaf0918" TargetMode="External"/><Relationship Id="rId2750" Type="http://schemas.openxmlformats.org/officeDocument/2006/relationships/hyperlink" Target="https://osf.io/d3xb7" TargetMode="External"/><Relationship Id="rId1420" Type="http://schemas.openxmlformats.org/officeDocument/2006/relationships/hyperlink" Target="https://doi.org/10.1126/science.aaf0918" TargetMode="External"/><Relationship Id="rId2751" Type="http://schemas.openxmlformats.org/officeDocument/2006/relationships/hyperlink" Target="https://osf.io/d3xb7" TargetMode="External"/><Relationship Id="rId1421" Type="http://schemas.openxmlformats.org/officeDocument/2006/relationships/hyperlink" Target="https://osf.io/s5qzk" TargetMode="External"/><Relationship Id="rId2752" Type="http://schemas.openxmlformats.org/officeDocument/2006/relationships/hyperlink" Target="https://osf.io/d3xb7" TargetMode="External"/><Relationship Id="rId3238" Type="http://schemas.openxmlformats.org/officeDocument/2006/relationships/hyperlink" Target="https://doi.org/10.1037/h0101833" TargetMode="External"/><Relationship Id="rId3237" Type="http://schemas.openxmlformats.org/officeDocument/2006/relationships/hyperlink" Target="https://doi.org/10.1037/h0101833" TargetMode="External"/><Relationship Id="rId3239" Type="http://schemas.openxmlformats.org/officeDocument/2006/relationships/hyperlink" Target="https://doi.org/10.1037/h0101833" TargetMode="External"/><Relationship Id="rId3230" Type="http://schemas.openxmlformats.org/officeDocument/2006/relationships/hyperlink" Target="https://doi.org/10.1037/h0101833" TargetMode="External"/><Relationship Id="rId3232" Type="http://schemas.openxmlformats.org/officeDocument/2006/relationships/hyperlink" Target="https://doi.org/10.1037/h0101833" TargetMode="External"/><Relationship Id="rId3231" Type="http://schemas.openxmlformats.org/officeDocument/2006/relationships/hyperlink" Target="https://doi.org/10.1037/h0101833" TargetMode="External"/><Relationship Id="rId3234" Type="http://schemas.openxmlformats.org/officeDocument/2006/relationships/hyperlink" Target="https://doi.org/10.1037/h0101833" TargetMode="External"/><Relationship Id="rId3233" Type="http://schemas.openxmlformats.org/officeDocument/2006/relationships/hyperlink" Target="https://doi.org/10.1037/h0101833" TargetMode="External"/><Relationship Id="rId3236" Type="http://schemas.openxmlformats.org/officeDocument/2006/relationships/hyperlink" Target="https://doi.org/10.1037/h0101833" TargetMode="External"/><Relationship Id="rId3235" Type="http://schemas.openxmlformats.org/officeDocument/2006/relationships/hyperlink" Target="https://doi.org/10.1037/h0101833" TargetMode="External"/><Relationship Id="rId3227" Type="http://schemas.openxmlformats.org/officeDocument/2006/relationships/hyperlink" Target="https://osf.io/gtwrc" TargetMode="External"/><Relationship Id="rId3226" Type="http://schemas.openxmlformats.org/officeDocument/2006/relationships/hyperlink" Target="https://doi.org/10.1037/h0101833" TargetMode="External"/><Relationship Id="rId3229" Type="http://schemas.openxmlformats.org/officeDocument/2006/relationships/hyperlink" Target="https://doi.org/10.1037/h0101833" TargetMode="External"/><Relationship Id="rId3228" Type="http://schemas.openxmlformats.org/officeDocument/2006/relationships/hyperlink" Target="https://osf.io/gtwrc" TargetMode="External"/><Relationship Id="rId699" Type="http://schemas.openxmlformats.org/officeDocument/2006/relationships/hyperlink" Target="https://osf.io/fdh4m/" TargetMode="External"/><Relationship Id="rId698" Type="http://schemas.openxmlformats.org/officeDocument/2006/relationships/hyperlink" Target="https://osf.io/fdh4m/" TargetMode="External"/><Relationship Id="rId693" Type="http://schemas.openxmlformats.org/officeDocument/2006/relationships/hyperlink" Target="https://osf.io/fdh4m/" TargetMode="External"/><Relationship Id="rId692" Type="http://schemas.openxmlformats.org/officeDocument/2006/relationships/hyperlink" Target="https://osf.io/fdh4m/" TargetMode="External"/><Relationship Id="rId691" Type="http://schemas.openxmlformats.org/officeDocument/2006/relationships/hyperlink" Target="https://aspredicted.org/TBY_14V" TargetMode="External"/><Relationship Id="rId3221" Type="http://schemas.openxmlformats.org/officeDocument/2006/relationships/hyperlink" Target="https://drive.google.com/file/d/1niJ4qqlQ3w06lrmI_sfZvqDMPlcLvX7Z/view?usp=drivesdk" TargetMode="External"/><Relationship Id="rId690" Type="http://schemas.openxmlformats.org/officeDocument/2006/relationships/hyperlink" Target="https://aspredicted.org/TBY_14V" TargetMode="External"/><Relationship Id="rId3220" Type="http://schemas.openxmlformats.org/officeDocument/2006/relationships/hyperlink" Target="https://drive.google.com/file/d/1PchnSZs-XbYmB-ZYLgQBFosMAZs-ybjf/view?usp=drivesdk" TargetMode="External"/><Relationship Id="rId697" Type="http://schemas.openxmlformats.org/officeDocument/2006/relationships/hyperlink" Target="https://osf.io/fdh4m/" TargetMode="External"/><Relationship Id="rId3223" Type="http://schemas.openxmlformats.org/officeDocument/2006/relationships/hyperlink" Target="https://drive.google.com/file/d/1niJ4qqlQ3w06lrmI_sfZvqDMPlcLvX7Z/view?usp=drivesdk" TargetMode="External"/><Relationship Id="rId696" Type="http://schemas.openxmlformats.org/officeDocument/2006/relationships/hyperlink" Target="https://aspredicted.org/16C_RCH" TargetMode="External"/><Relationship Id="rId3222" Type="http://schemas.openxmlformats.org/officeDocument/2006/relationships/hyperlink" Target="https://drive.google.com/file/d/1PchnSZs-XbYmB-ZYLgQBFosMAZs-ybjf/view?usp=drivesdk" TargetMode="External"/><Relationship Id="rId695" Type="http://schemas.openxmlformats.org/officeDocument/2006/relationships/hyperlink" Target="https://aspredicted.org/16C_RCH" TargetMode="External"/><Relationship Id="rId3225" Type="http://schemas.openxmlformats.org/officeDocument/2006/relationships/hyperlink" Target="https://doi.org/10.1037/h0101833" TargetMode="External"/><Relationship Id="rId694" Type="http://schemas.openxmlformats.org/officeDocument/2006/relationships/hyperlink" Target="https://osf.io/fdh4m/" TargetMode="External"/><Relationship Id="rId3224" Type="http://schemas.openxmlformats.org/officeDocument/2006/relationships/hyperlink" Target="https://drive.google.com/file/d/1PchnSZs-XbYmB-ZYLgQBFosMAZs-ybjf/view?usp=drivesdk" TargetMode="External"/><Relationship Id="rId3259" Type="http://schemas.openxmlformats.org/officeDocument/2006/relationships/hyperlink" Target="https://doi.org/10.1111/pops.12446" TargetMode="External"/><Relationship Id="rId3250" Type="http://schemas.openxmlformats.org/officeDocument/2006/relationships/hyperlink" Target="https://doi.org/10.17605/OSF.IO/EVDP5" TargetMode="External"/><Relationship Id="rId3252" Type="http://schemas.openxmlformats.org/officeDocument/2006/relationships/hyperlink" Target="https://aspredicted.org/jy6bb.pdf" TargetMode="External"/><Relationship Id="rId3251" Type="http://schemas.openxmlformats.org/officeDocument/2006/relationships/hyperlink" Target="https://osf.io/evdp5?mode=&amp;revisionId=&amp;view_only=" TargetMode="External"/><Relationship Id="rId3254" Type="http://schemas.openxmlformats.org/officeDocument/2006/relationships/hyperlink" Target="https://osf.io/evdp5" TargetMode="External"/><Relationship Id="rId3253" Type="http://schemas.openxmlformats.org/officeDocument/2006/relationships/hyperlink" Target="https://aspredicted.org/jy6bb.pdf" TargetMode="External"/><Relationship Id="rId3256" Type="http://schemas.openxmlformats.org/officeDocument/2006/relationships/hyperlink" Target="https://doi.org/10.1016/j.psychsport.2021.102099" TargetMode="External"/><Relationship Id="rId3255" Type="http://schemas.openxmlformats.org/officeDocument/2006/relationships/hyperlink" Target="https://osf.io/evdp5" TargetMode="External"/><Relationship Id="rId3258" Type="http://schemas.openxmlformats.org/officeDocument/2006/relationships/hyperlink" Target="https://doi.org/10.1073/pnas.1103343108" TargetMode="External"/><Relationship Id="rId3257" Type="http://schemas.openxmlformats.org/officeDocument/2006/relationships/hyperlink" Target="https://doi.org/10.1016/j.psychsport.2024.102761" TargetMode="External"/><Relationship Id="rId3249" Type="http://schemas.openxmlformats.org/officeDocument/2006/relationships/hyperlink" Target="https://doi.org/10.1098/rspb.2022.0128" TargetMode="External"/><Relationship Id="rId3248" Type="http://schemas.openxmlformats.org/officeDocument/2006/relationships/hyperlink" Target="https://doi.org/10.1016/j.jom.2005.11.004" TargetMode="External"/><Relationship Id="rId3241" Type="http://schemas.openxmlformats.org/officeDocument/2006/relationships/hyperlink" Target="https://doi.org/10.1037/h0101833" TargetMode="External"/><Relationship Id="rId3240" Type="http://schemas.openxmlformats.org/officeDocument/2006/relationships/hyperlink" Target="https://doi.org/10.1037/h0101833" TargetMode="External"/><Relationship Id="rId3243" Type="http://schemas.openxmlformats.org/officeDocument/2006/relationships/hyperlink" Target="https://doi.org/10.1037/h0101833" TargetMode="External"/><Relationship Id="rId3242" Type="http://schemas.openxmlformats.org/officeDocument/2006/relationships/hyperlink" Target="https://doi.org/10.1037/h0101833" TargetMode="External"/><Relationship Id="rId3245" Type="http://schemas.openxmlformats.org/officeDocument/2006/relationships/hyperlink" Target="https://doi.org/10.1037/h0101833" TargetMode="External"/><Relationship Id="rId3244" Type="http://schemas.openxmlformats.org/officeDocument/2006/relationships/hyperlink" Target="https://doi.org/10.1037/h0101833" TargetMode="External"/><Relationship Id="rId3247" Type="http://schemas.openxmlformats.org/officeDocument/2006/relationships/hyperlink" Target="https://doi.org/10.1016/j.jom.2005.11.004" TargetMode="External"/><Relationship Id="rId3246" Type="http://schemas.openxmlformats.org/officeDocument/2006/relationships/hyperlink" Target="https://doi.org/10.1037/h0101833" TargetMode="External"/><Relationship Id="rId1499" Type="http://schemas.openxmlformats.org/officeDocument/2006/relationships/hyperlink" Target="https://hdl.handle.net/11250/2990125" TargetMode="External"/><Relationship Id="rId668" Type="http://schemas.openxmlformats.org/officeDocument/2006/relationships/hyperlink" Target="https://osf.io/r57d6" TargetMode="External"/><Relationship Id="rId667" Type="http://schemas.openxmlformats.org/officeDocument/2006/relationships/hyperlink" Target="https://osf.io/r57d6" TargetMode="External"/><Relationship Id="rId666" Type="http://schemas.openxmlformats.org/officeDocument/2006/relationships/hyperlink" Target="https://aspredicted.org/G5N_YRH" TargetMode="External"/><Relationship Id="rId665" Type="http://schemas.openxmlformats.org/officeDocument/2006/relationships/hyperlink" Target="https://aspredicted.org/G5N_YRH" TargetMode="External"/><Relationship Id="rId669" Type="http://schemas.openxmlformats.org/officeDocument/2006/relationships/hyperlink" Target="https://osf.io/r57d6" TargetMode="External"/><Relationship Id="rId1490" Type="http://schemas.openxmlformats.org/officeDocument/2006/relationships/hyperlink" Target="https://osf.io/kgwf6" TargetMode="External"/><Relationship Id="rId660" Type="http://schemas.openxmlformats.org/officeDocument/2006/relationships/hyperlink" Target="https://aspredicted.org/YZ9_THH" TargetMode="External"/><Relationship Id="rId1491" Type="http://schemas.openxmlformats.org/officeDocument/2006/relationships/hyperlink" Target="https://osf.io/mgjxv" TargetMode="External"/><Relationship Id="rId1492" Type="http://schemas.openxmlformats.org/officeDocument/2006/relationships/hyperlink" Target="https://osf.io/knh6y" TargetMode="External"/><Relationship Id="rId1493" Type="http://schemas.openxmlformats.org/officeDocument/2006/relationships/hyperlink" Target="https://osf.io/srgg5" TargetMode="External"/><Relationship Id="rId1494" Type="http://schemas.openxmlformats.org/officeDocument/2006/relationships/hyperlink" Target="https://osf.io/knh6y" TargetMode="External"/><Relationship Id="rId664" Type="http://schemas.openxmlformats.org/officeDocument/2006/relationships/hyperlink" Target="https://osf.io/r57d6" TargetMode="External"/><Relationship Id="rId1495" Type="http://schemas.openxmlformats.org/officeDocument/2006/relationships/hyperlink" Target="https://web.archive.org/web/20191201181415/http://psychfiledrawer.org/replication.php?attempt=MTc3" TargetMode="External"/><Relationship Id="rId663" Type="http://schemas.openxmlformats.org/officeDocument/2006/relationships/hyperlink" Target="https://osf.io/r57d6" TargetMode="External"/><Relationship Id="rId1496" Type="http://schemas.openxmlformats.org/officeDocument/2006/relationships/hyperlink" Target="https://web.archive.org/web/20190426092919/http://psychfiledrawer.org/replication.php?attempt=MTc3" TargetMode="External"/><Relationship Id="rId662" Type="http://schemas.openxmlformats.org/officeDocument/2006/relationships/hyperlink" Target="https://osf.io/r57d6" TargetMode="External"/><Relationship Id="rId1497" Type="http://schemas.openxmlformats.org/officeDocument/2006/relationships/hyperlink" Target="https://drive.google.com/file/d/1DDCuEgQah24QordxkRGO0EIt6Q681jyL/view" TargetMode="External"/><Relationship Id="rId661" Type="http://schemas.openxmlformats.org/officeDocument/2006/relationships/hyperlink" Target="https://aspredicted.org/YZ9_THH" TargetMode="External"/><Relationship Id="rId1498" Type="http://schemas.openxmlformats.org/officeDocument/2006/relationships/hyperlink" Target="https://drive.google.com/file/d/1DDCuEgQah24QordxkRGO0EIt6Q681jyL/view" TargetMode="External"/><Relationship Id="rId1488" Type="http://schemas.openxmlformats.org/officeDocument/2006/relationships/hyperlink" Target="https://osf.io/7ch92" TargetMode="External"/><Relationship Id="rId1489" Type="http://schemas.openxmlformats.org/officeDocument/2006/relationships/hyperlink" Target="https://osf.io/2mtr3" TargetMode="External"/><Relationship Id="rId657" Type="http://schemas.openxmlformats.org/officeDocument/2006/relationships/hyperlink" Target="https://osf.io/gwq48" TargetMode="External"/><Relationship Id="rId656" Type="http://schemas.openxmlformats.org/officeDocument/2006/relationships/hyperlink" Target="https://aspredicted.org/16C_RCH" TargetMode="External"/><Relationship Id="rId655" Type="http://schemas.openxmlformats.org/officeDocument/2006/relationships/hyperlink" Target="https://aspredicted.org/16C_RCH" TargetMode="External"/><Relationship Id="rId654" Type="http://schemas.openxmlformats.org/officeDocument/2006/relationships/hyperlink" Target="https://osf.io/x73nv" TargetMode="External"/><Relationship Id="rId659" Type="http://schemas.openxmlformats.org/officeDocument/2006/relationships/hyperlink" Target="https://osf.io/gwq48" TargetMode="External"/><Relationship Id="rId658" Type="http://schemas.openxmlformats.org/officeDocument/2006/relationships/hyperlink" Target="https://osf.io/gwq48" TargetMode="External"/><Relationship Id="rId1480" Type="http://schemas.openxmlformats.org/officeDocument/2006/relationships/hyperlink" Target="https://osf.io/s48ht" TargetMode="External"/><Relationship Id="rId1481" Type="http://schemas.openxmlformats.org/officeDocument/2006/relationships/hyperlink" Target="https://osf.io/kmqtq" TargetMode="External"/><Relationship Id="rId1482" Type="http://schemas.openxmlformats.org/officeDocument/2006/relationships/hyperlink" Target="https://osf.io/s48ht" TargetMode="External"/><Relationship Id="rId1483" Type="http://schemas.openxmlformats.org/officeDocument/2006/relationships/hyperlink" Target="https://osf.io/r4dve" TargetMode="External"/><Relationship Id="rId653" Type="http://schemas.openxmlformats.org/officeDocument/2006/relationships/hyperlink" Target="https://osf.io/x73nv" TargetMode="External"/><Relationship Id="rId1484" Type="http://schemas.openxmlformats.org/officeDocument/2006/relationships/hyperlink" Target="https://osf.io/g4phs" TargetMode="External"/><Relationship Id="rId652" Type="http://schemas.openxmlformats.org/officeDocument/2006/relationships/hyperlink" Target="https://osf.io/x73nv" TargetMode="External"/><Relationship Id="rId1485" Type="http://schemas.openxmlformats.org/officeDocument/2006/relationships/hyperlink" Target="https://osf.io/r4dve" TargetMode="External"/><Relationship Id="rId651" Type="http://schemas.openxmlformats.org/officeDocument/2006/relationships/hyperlink" Target="https://aspredicted.org/TBY_14V" TargetMode="External"/><Relationship Id="rId1486" Type="http://schemas.openxmlformats.org/officeDocument/2006/relationships/hyperlink" Target="https://osf.io/7ch92" TargetMode="External"/><Relationship Id="rId650" Type="http://schemas.openxmlformats.org/officeDocument/2006/relationships/hyperlink" Target="https://aspredicted.org/TBY_14V" TargetMode="External"/><Relationship Id="rId1487" Type="http://schemas.openxmlformats.org/officeDocument/2006/relationships/hyperlink" Target="https://osf.io/mwzdy" TargetMode="External"/><Relationship Id="rId3216" Type="http://schemas.openxmlformats.org/officeDocument/2006/relationships/hyperlink" Target="https://drive.google.com/file/d/1PchnSZs-XbYmB-ZYLgQBFosMAZs-ybjf/view?usp=drivesdk" TargetMode="External"/><Relationship Id="rId3215" Type="http://schemas.openxmlformats.org/officeDocument/2006/relationships/hyperlink" Target="https://drive.google.com/file/d/1niJ4qqlQ3w06lrmI_sfZvqDMPlcLvX7Z/view?usp=drivesdk" TargetMode="External"/><Relationship Id="rId3218" Type="http://schemas.openxmlformats.org/officeDocument/2006/relationships/hyperlink" Target="https://drive.google.com/file/d/1PchnSZs-XbYmB-ZYLgQBFosMAZs-ybjf/view?usp=drivesdk" TargetMode="External"/><Relationship Id="rId3217" Type="http://schemas.openxmlformats.org/officeDocument/2006/relationships/hyperlink" Target="https://drive.google.com/file/d/1niJ4qqlQ3w06lrmI_sfZvqDMPlcLvX7Z/view?usp=drivesdk" TargetMode="External"/><Relationship Id="rId3219" Type="http://schemas.openxmlformats.org/officeDocument/2006/relationships/hyperlink" Target="https://drive.google.com/file/d/1niJ4qqlQ3w06lrmI_sfZvqDMPlcLvX7Z/view?usp=drivesdk" TargetMode="External"/><Relationship Id="rId689" Type="http://schemas.openxmlformats.org/officeDocument/2006/relationships/hyperlink" Target="https://osf.io/fdh4m/" TargetMode="External"/><Relationship Id="rId688" Type="http://schemas.openxmlformats.org/officeDocument/2006/relationships/hyperlink" Target="https://osf.io/fdh4m/" TargetMode="External"/><Relationship Id="rId687" Type="http://schemas.openxmlformats.org/officeDocument/2006/relationships/hyperlink" Target="https://osf.io/fdh4m/" TargetMode="External"/><Relationship Id="rId682" Type="http://schemas.openxmlformats.org/officeDocument/2006/relationships/hyperlink" Target="https://osf.io/fdh4m/" TargetMode="External"/><Relationship Id="rId681" Type="http://schemas.openxmlformats.org/officeDocument/2006/relationships/hyperlink" Target="https://aspredicted.org/G5N_YRH" TargetMode="External"/><Relationship Id="rId680" Type="http://schemas.openxmlformats.org/officeDocument/2006/relationships/hyperlink" Target="https://aspredicted.org/G5N_YRH" TargetMode="External"/><Relationship Id="rId3210" Type="http://schemas.openxmlformats.org/officeDocument/2006/relationships/hyperlink" Target="https://drive.google.com/file/d/1PchnSZs-XbYmB-ZYLgQBFosMAZs-ybjf/view?usp=drivesdk" TargetMode="External"/><Relationship Id="rId686" Type="http://schemas.openxmlformats.org/officeDocument/2006/relationships/hyperlink" Target="https://aspredicted.org/Y47_RW5" TargetMode="External"/><Relationship Id="rId3212" Type="http://schemas.openxmlformats.org/officeDocument/2006/relationships/hyperlink" Target="https://drive.google.com/file/d/1PchnSZs-XbYmB-ZYLgQBFosMAZs-ybjf/view?usp=drivesdk" TargetMode="External"/><Relationship Id="rId685" Type="http://schemas.openxmlformats.org/officeDocument/2006/relationships/hyperlink" Target="https://aspredicted.org/Y47_RW5" TargetMode="External"/><Relationship Id="rId3211" Type="http://schemas.openxmlformats.org/officeDocument/2006/relationships/hyperlink" Target="https://drive.google.com/file/d/1niJ4qqlQ3w06lrmI_sfZvqDMPlcLvX7Z/view?usp=drivesdk" TargetMode="External"/><Relationship Id="rId684" Type="http://schemas.openxmlformats.org/officeDocument/2006/relationships/hyperlink" Target="https://osf.io/fdh4m/" TargetMode="External"/><Relationship Id="rId3214" Type="http://schemas.openxmlformats.org/officeDocument/2006/relationships/hyperlink" Target="https://drive.google.com/file/d/1PchnSZs-XbYmB-ZYLgQBFosMAZs-ybjf/view?usp=drivesdk" TargetMode="External"/><Relationship Id="rId683" Type="http://schemas.openxmlformats.org/officeDocument/2006/relationships/hyperlink" Target="https://osf.io/fdh4m/" TargetMode="External"/><Relationship Id="rId3213" Type="http://schemas.openxmlformats.org/officeDocument/2006/relationships/hyperlink" Target="https://drive.google.com/file/d/1niJ4qqlQ3w06lrmI_sfZvqDMPlcLvX7Z/view?usp=drivesdk" TargetMode="External"/><Relationship Id="rId3205" Type="http://schemas.openxmlformats.org/officeDocument/2006/relationships/hyperlink" Target="https://drive.google.com/file/d/1niJ4qqlQ3w06lrmI_sfZvqDMPlcLvX7Z/view?usp=drivesdk" TargetMode="External"/><Relationship Id="rId3204" Type="http://schemas.openxmlformats.org/officeDocument/2006/relationships/hyperlink" Target="https://drive.google.com/file/d/1PchnSZs-XbYmB-ZYLgQBFosMAZs-ybjf/view?usp=drivesdk" TargetMode="External"/><Relationship Id="rId3207" Type="http://schemas.openxmlformats.org/officeDocument/2006/relationships/hyperlink" Target="https://drive.google.com/file/d/1niJ4qqlQ3w06lrmI_sfZvqDMPlcLvX7Z/view?usp=drivesdk" TargetMode="External"/><Relationship Id="rId3206" Type="http://schemas.openxmlformats.org/officeDocument/2006/relationships/hyperlink" Target="https://drive.google.com/file/d/1PchnSZs-XbYmB-ZYLgQBFosMAZs-ybjf/view?usp=drivesdk" TargetMode="External"/><Relationship Id="rId3209" Type="http://schemas.openxmlformats.org/officeDocument/2006/relationships/hyperlink" Target="https://drive.google.com/file/d/1niJ4qqlQ3w06lrmI_sfZvqDMPlcLvX7Z/view?usp=drivesdk" TargetMode="External"/><Relationship Id="rId3208" Type="http://schemas.openxmlformats.org/officeDocument/2006/relationships/hyperlink" Target="https://drive.google.com/file/d/1PchnSZs-XbYmB-ZYLgQBFosMAZs-ybjf/view?usp=drivesdk" TargetMode="External"/><Relationship Id="rId679" Type="http://schemas.openxmlformats.org/officeDocument/2006/relationships/hyperlink" Target="https://osf.io/r57d6" TargetMode="External"/><Relationship Id="rId678" Type="http://schemas.openxmlformats.org/officeDocument/2006/relationships/hyperlink" Target="https://osf.io/r57d6" TargetMode="External"/><Relationship Id="rId677" Type="http://schemas.openxmlformats.org/officeDocument/2006/relationships/hyperlink" Target="https://osf.io/r57d6" TargetMode="External"/><Relationship Id="rId676" Type="http://schemas.openxmlformats.org/officeDocument/2006/relationships/hyperlink" Target="https://aspredicted.org/G5N_YRH" TargetMode="External"/><Relationship Id="rId671" Type="http://schemas.openxmlformats.org/officeDocument/2006/relationships/hyperlink" Target="https://aspredicted.org/G5N_YRH" TargetMode="External"/><Relationship Id="rId670" Type="http://schemas.openxmlformats.org/officeDocument/2006/relationships/hyperlink" Target="https://aspredicted.org/G5N_YRH" TargetMode="External"/><Relationship Id="rId675" Type="http://schemas.openxmlformats.org/officeDocument/2006/relationships/hyperlink" Target="https://aspredicted.org/G5N_YRH" TargetMode="External"/><Relationship Id="rId3201" Type="http://schemas.openxmlformats.org/officeDocument/2006/relationships/hyperlink" Target="https://drive.google.com/file/d/1niJ4qqlQ3w06lrmI_sfZvqDMPlcLvX7Z/view?usp=drivesdk" TargetMode="External"/><Relationship Id="rId674" Type="http://schemas.openxmlformats.org/officeDocument/2006/relationships/hyperlink" Target="https://osf.io/r57d6" TargetMode="External"/><Relationship Id="rId3200" Type="http://schemas.openxmlformats.org/officeDocument/2006/relationships/hyperlink" Target="https://drive.google.com/file/d/1PchnSZs-XbYmB-ZYLgQBFosMAZs-ybjf/view?usp=drivesdk" TargetMode="External"/><Relationship Id="rId673" Type="http://schemas.openxmlformats.org/officeDocument/2006/relationships/hyperlink" Target="https://osf.io/r57d6" TargetMode="External"/><Relationship Id="rId3203" Type="http://schemas.openxmlformats.org/officeDocument/2006/relationships/hyperlink" Target="https://drive.google.com/file/d/1niJ4qqlQ3w06lrmI_sfZvqDMPlcLvX7Z/view?usp=drivesdk" TargetMode="External"/><Relationship Id="rId672" Type="http://schemas.openxmlformats.org/officeDocument/2006/relationships/hyperlink" Target="https://osf.io/r57d6" TargetMode="External"/><Relationship Id="rId3202" Type="http://schemas.openxmlformats.org/officeDocument/2006/relationships/hyperlink" Target="https://drive.google.com/file/d/1PchnSZs-XbYmB-ZYLgQBFosMAZs-ybjf/view?usp=drivesdk" TargetMode="External"/><Relationship Id="rId190" Type="http://schemas.openxmlformats.org/officeDocument/2006/relationships/hyperlink" Target="https://osf.io/zb5j2/" TargetMode="External"/><Relationship Id="rId194" Type="http://schemas.openxmlformats.org/officeDocument/2006/relationships/hyperlink" Target="https://osf.io/zb5j2/" TargetMode="External"/><Relationship Id="rId193" Type="http://schemas.openxmlformats.org/officeDocument/2006/relationships/hyperlink" Target="https://osf.io/zb5j2/" TargetMode="External"/><Relationship Id="rId192" Type="http://schemas.openxmlformats.org/officeDocument/2006/relationships/hyperlink" Target="https://doi.org/10.1016/j.obhdp.2018.10.004" TargetMode="External"/><Relationship Id="rId191" Type="http://schemas.openxmlformats.org/officeDocument/2006/relationships/hyperlink" Target="https://osf.io/zb5j2/" TargetMode="External"/><Relationship Id="rId187" Type="http://schemas.openxmlformats.org/officeDocument/2006/relationships/hyperlink" Target="https://osf.io/zb5j2" TargetMode="External"/><Relationship Id="rId186" Type="http://schemas.openxmlformats.org/officeDocument/2006/relationships/hyperlink" Target="https://osf.io/zb5j2" TargetMode="External"/><Relationship Id="rId185" Type="http://schemas.openxmlformats.org/officeDocument/2006/relationships/hyperlink" Target="https://osf.io/zb5j2" TargetMode="External"/><Relationship Id="rId184" Type="http://schemas.openxmlformats.org/officeDocument/2006/relationships/hyperlink" Target="https://osf.io/zb5j2" TargetMode="External"/><Relationship Id="rId189" Type="http://schemas.openxmlformats.org/officeDocument/2006/relationships/hyperlink" Target="https://osf.io/zb5j2" TargetMode="External"/><Relationship Id="rId188" Type="http://schemas.openxmlformats.org/officeDocument/2006/relationships/hyperlink" Target="https://osf.io/zb5j2" TargetMode="External"/><Relationship Id="rId183" Type="http://schemas.openxmlformats.org/officeDocument/2006/relationships/hyperlink" Target="https://osf.io/zb5j2" TargetMode="External"/><Relationship Id="rId182" Type="http://schemas.openxmlformats.org/officeDocument/2006/relationships/hyperlink" Target="https://osf.io/zb5j2" TargetMode="External"/><Relationship Id="rId181" Type="http://schemas.openxmlformats.org/officeDocument/2006/relationships/hyperlink" Target="https://doi.org/10.1017/pds.2024.14" TargetMode="External"/><Relationship Id="rId180" Type="http://schemas.openxmlformats.org/officeDocument/2006/relationships/hyperlink" Target="https://doi.org/10.1017/pds.2024.14" TargetMode="External"/><Relationship Id="rId176" Type="http://schemas.openxmlformats.org/officeDocument/2006/relationships/hyperlink" Target="https://doi.org/10.1108/S1574-076520240000026005" TargetMode="External"/><Relationship Id="rId175" Type="http://schemas.openxmlformats.org/officeDocument/2006/relationships/hyperlink" Target="https://doi.org/10.1108/S1574-076520240000026005" TargetMode="External"/><Relationship Id="rId174" Type="http://schemas.openxmlformats.org/officeDocument/2006/relationships/hyperlink" Target="https://www.emerald.com/insight/content/doi/10.1108/s1574-076520240000026005/full/pdf?title=fraudulent-research-practices-in-accounting-a-replication-and-extension-of-bailey-hasselback-and-karcher-2001" TargetMode="External"/><Relationship Id="rId173" Type="http://schemas.openxmlformats.org/officeDocument/2006/relationships/hyperlink" Target="https://doi.org/10.1108/S1574-076520240000026005" TargetMode="External"/><Relationship Id="rId179" Type="http://schemas.openxmlformats.org/officeDocument/2006/relationships/hyperlink" Target="https://www.cambridge.org/core/services/aop-cambridge-core/content/view/F3A32DC9C940254CAFE6529A7C7C80A1/S2732527X24000142a.pdf/replication-studies-in-engineering-design-a-feasibility-study.pdf" TargetMode="External"/><Relationship Id="rId178" Type="http://schemas.openxmlformats.org/officeDocument/2006/relationships/hyperlink" Target="https://doi.org/10.1108/S1574-076520240000026005" TargetMode="External"/><Relationship Id="rId177" Type="http://schemas.openxmlformats.org/officeDocument/2006/relationships/hyperlink" Target="https://doi.org/10.1108/S1574-076520240000026005" TargetMode="External"/><Relationship Id="rId198" Type="http://schemas.openxmlformats.org/officeDocument/2006/relationships/hyperlink" Target="https://thekeep.eiu.edu/theses/5025" TargetMode="External"/><Relationship Id="rId197" Type="http://schemas.openxmlformats.org/officeDocument/2006/relationships/hyperlink" Target="https://thekeep.eiu.edu/theses/5025" TargetMode="External"/><Relationship Id="rId196" Type="http://schemas.openxmlformats.org/officeDocument/2006/relationships/hyperlink" Target="http://thekeep.eiu.edu/theses/5025" TargetMode="External"/><Relationship Id="rId195" Type="http://schemas.openxmlformats.org/officeDocument/2006/relationships/hyperlink" Target="http://thekeep.eiu.edu/theses/4783" TargetMode="External"/><Relationship Id="rId199" Type="http://schemas.openxmlformats.org/officeDocument/2006/relationships/hyperlink" Target="https://thekeep.eiu.edu/theses/4783" TargetMode="External"/><Relationship Id="rId150" Type="http://schemas.openxmlformats.org/officeDocument/2006/relationships/hyperlink" Target="https://www.prolific.co" TargetMode="External"/><Relationship Id="rId149" Type="http://schemas.openxmlformats.org/officeDocument/2006/relationships/hyperlink" Target="https://www.prolific.co" TargetMode="External"/><Relationship Id="rId148" Type="http://schemas.openxmlformats.org/officeDocument/2006/relationships/hyperlink" Target="https://www.prolific.co" TargetMode="External"/><Relationship Id="rId3270" Type="http://schemas.openxmlformats.org/officeDocument/2006/relationships/hyperlink" Target="https://doi.org/10.1111/bjhp.12185" TargetMode="External"/><Relationship Id="rId3272" Type="http://schemas.openxmlformats.org/officeDocument/2006/relationships/hyperlink" Target="https://osf.io/nhsyv/" TargetMode="External"/><Relationship Id="rId3271" Type="http://schemas.openxmlformats.org/officeDocument/2006/relationships/hyperlink" Target="https://doi.org/10.1371/journal.pone.0313619" TargetMode="External"/><Relationship Id="rId143" Type="http://schemas.openxmlformats.org/officeDocument/2006/relationships/hyperlink" Target="https://osf.io/8kzgd" TargetMode="External"/><Relationship Id="rId3274" Type="http://schemas.openxmlformats.org/officeDocument/2006/relationships/hyperlink" Target="https://doi.org/10.3389/fpsyg.2024.1495812" TargetMode="External"/><Relationship Id="rId142" Type="http://schemas.openxmlformats.org/officeDocument/2006/relationships/hyperlink" Target="https://osf.io/8kzgd" TargetMode="External"/><Relationship Id="rId3273" Type="http://schemas.openxmlformats.org/officeDocument/2006/relationships/hyperlink" Target="https://osf.io/nhsyv/" TargetMode="External"/><Relationship Id="rId141" Type="http://schemas.openxmlformats.org/officeDocument/2006/relationships/hyperlink" Target="https://osf.io/8kzgd" TargetMode="External"/><Relationship Id="rId3276" Type="http://schemas.openxmlformats.org/officeDocument/2006/relationships/hyperlink" Target="https://doi.org/10.3758/BF03194043" TargetMode="External"/><Relationship Id="rId140" Type="http://schemas.openxmlformats.org/officeDocument/2006/relationships/hyperlink" Target="https://osf.io/8kzgd" TargetMode="External"/><Relationship Id="rId3275" Type="http://schemas.openxmlformats.org/officeDocument/2006/relationships/hyperlink" Target="https://doi.org/10.3389/fpsyg.2024.1495812" TargetMode="External"/><Relationship Id="rId147" Type="http://schemas.openxmlformats.org/officeDocument/2006/relationships/hyperlink" Target="https://www.prolific.co" TargetMode="External"/><Relationship Id="rId3278" Type="http://schemas.openxmlformats.org/officeDocument/2006/relationships/hyperlink" Target="https://doi.org/10.1073/pnas.1908369116" TargetMode="External"/><Relationship Id="rId146" Type="http://schemas.openxmlformats.org/officeDocument/2006/relationships/hyperlink" Target="https://www.prolific.co" TargetMode="External"/><Relationship Id="rId3277" Type="http://schemas.openxmlformats.org/officeDocument/2006/relationships/hyperlink" Target="https://doi.org/10.3758/s13423-024-02602-4" TargetMode="External"/><Relationship Id="rId145" Type="http://schemas.openxmlformats.org/officeDocument/2006/relationships/hyperlink" Target="https://www.prolific.co" TargetMode="External"/><Relationship Id="rId144" Type="http://schemas.openxmlformats.org/officeDocument/2006/relationships/hyperlink" Target="https://www.prolific.co" TargetMode="External"/><Relationship Id="rId3279" Type="http://schemas.openxmlformats.org/officeDocument/2006/relationships/hyperlink" Target="https://doi.org/10.17645/mac.7807" TargetMode="External"/><Relationship Id="rId139" Type="http://schemas.openxmlformats.org/officeDocument/2006/relationships/hyperlink" Target="https://osf.io/8kzgd" TargetMode="External"/><Relationship Id="rId138" Type="http://schemas.openxmlformats.org/officeDocument/2006/relationships/hyperlink" Target="https://osf.io/8kzgd" TargetMode="External"/><Relationship Id="rId137" Type="http://schemas.openxmlformats.org/officeDocument/2006/relationships/hyperlink" Target="https://osf.io/8ga4s?view_only=38d7630a8c6e4eb6aee200540eec175d" TargetMode="External"/><Relationship Id="rId3261" Type="http://schemas.openxmlformats.org/officeDocument/2006/relationships/hyperlink" Target="https://doi.org/10.1177/19485506241298340" TargetMode="External"/><Relationship Id="rId3260" Type="http://schemas.openxmlformats.org/officeDocument/2006/relationships/hyperlink" Target="https://doi.org/10.1177/1948550609360261" TargetMode="External"/><Relationship Id="rId132" Type="http://schemas.openxmlformats.org/officeDocument/2006/relationships/hyperlink" Target="https://osf.io/8ga4s?view_only=38d7630a8c6e4eb6aee200540eec175d" TargetMode="External"/><Relationship Id="rId3263" Type="http://schemas.openxmlformats.org/officeDocument/2006/relationships/hyperlink" Target="https://osf.io/d9gz7/" TargetMode="External"/><Relationship Id="rId131" Type="http://schemas.openxmlformats.org/officeDocument/2006/relationships/hyperlink" Target="https://osf.io/8ga4s?view_only=38d7630a8c6e4eb6aee200540eec175d" TargetMode="External"/><Relationship Id="rId3262" Type="http://schemas.openxmlformats.org/officeDocument/2006/relationships/hyperlink" Target="https://osf.io/d9gz7/" TargetMode="External"/><Relationship Id="rId130" Type="http://schemas.openxmlformats.org/officeDocument/2006/relationships/hyperlink" Target="https://osf.io/8ga4s?view_only=38d7630a8c6e4eb6aee200540eec175d" TargetMode="External"/><Relationship Id="rId3265" Type="http://schemas.openxmlformats.org/officeDocument/2006/relationships/hyperlink" Target="https://doi.org/10.1007/s10899-024-10363-x" TargetMode="External"/><Relationship Id="rId3264" Type="http://schemas.openxmlformats.org/officeDocument/2006/relationships/hyperlink" Target="https://doi.org/10.1007/s11469-023-01060-8" TargetMode="External"/><Relationship Id="rId136" Type="http://schemas.openxmlformats.org/officeDocument/2006/relationships/hyperlink" Target="https://osf.io/8ga4s?view_only=38d7630a8c6e4eb6aee200540eec175d" TargetMode="External"/><Relationship Id="rId3267" Type="http://schemas.openxmlformats.org/officeDocument/2006/relationships/hyperlink" Target="https://replications.clearerthinking.org/replication-2022psci33-8" TargetMode="External"/><Relationship Id="rId135" Type="http://schemas.openxmlformats.org/officeDocument/2006/relationships/hyperlink" Target="https://osf.io/8ga4s?view_only=38d7630a8c6e4eb6aee200540eec175d" TargetMode="External"/><Relationship Id="rId3266" Type="http://schemas.openxmlformats.org/officeDocument/2006/relationships/hyperlink" Target="https://doi.org/10.1177/09567976221082941" TargetMode="External"/><Relationship Id="rId134" Type="http://schemas.openxmlformats.org/officeDocument/2006/relationships/hyperlink" Target="https://osf.io/8ga4s?view_only=38d7630a8c6e4eb6aee200540eec175d" TargetMode="External"/><Relationship Id="rId3269" Type="http://schemas.openxmlformats.org/officeDocument/2006/relationships/hyperlink" Target="https://osf.io/e28nd/" TargetMode="External"/><Relationship Id="rId133" Type="http://schemas.openxmlformats.org/officeDocument/2006/relationships/hyperlink" Target="https://osf.io/8ga4s?view_only=38d7630a8c6e4eb6aee200540eec175d" TargetMode="External"/><Relationship Id="rId3268" Type="http://schemas.openxmlformats.org/officeDocument/2006/relationships/hyperlink" Target="https://osf.io/e28nd/" TargetMode="External"/><Relationship Id="rId172" Type="http://schemas.openxmlformats.org/officeDocument/2006/relationships/hyperlink" Target="https://doi.org/10.1017/S0272263124000342" TargetMode="External"/><Relationship Id="rId171" Type="http://schemas.openxmlformats.org/officeDocument/2006/relationships/hyperlink" Target="https://doi.org/10.1017/S0272263124000342" TargetMode="External"/><Relationship Id="rId170" Type="http://schemas.openxmlformats.org/officeDocument/2006/relationships/hyperlink" Target="https://doi.org/10.1177/0267658310386439" TargetMode="External"/><Relationship Id="rId3290" Type="http://schemas.openxmlformats.org/officeDocument/2006/relationships/hyperlink" Target="https://doi.org/10.1016/S0005-7967(98)00158-2" TargetMode="External"/><Relationship Id="rId3292" Type="http://schemas.openxmlformats.org/officeDocument/2006/relationships/hyperlink" Target="https://doi.org/10.1037/pspa0000444" TargetMode="External"/><Relationship Id="rId3291" Type="http://schemas.openxmlformats.org/officeDocument/2006/relationships/hyperlink" Target="https://doi.org/10.1002/cpp.70057" TargetMode="External"/><Relationship Id="rId3294" Type="http://schemas.openxmlformats.org/officeDocument/2006/relationships/hyperlink" Target="https://doi.org/10.1037/lhb0000596" TargetMode="External"/><Relationship Id="rId3293" Type="http://schemas.openxmlformats.org/officeDocument/2006/relationships/hyperlink" Target="https://osf.io/6m2hx/registrations" TargetMode="External"/><Relationship Id="rId165" Type="http://schemas.openxmlformats.org/officeDocument/2006/relationships/hyperlink" Target="https://doi.org/10.1017/S0272263124000342" TargetMode="External"/><Relationship Id="rId3296" Type="http://schemas.openxmlformats.org/officeDocument/2006/relationships/hyperlink" Target="https://doi.org/10.1177/27550311251323281" TargetMode="External"/><Relationship Id="rId164" Type="http://schemas.openxmlformats.org/officeDocument/2006/relationships/hyperlink" Target="https://doi.org/10.1177/0267658310386439" TargetMode="External"/><Relationship Id="rId3295" Type="http://schemas.openxmlformats.org/officeDocument/2006/relationships/hyperlink" Target="https://osf.io/quy4w" TargetMode="External"/><Relationship Id="rId163" Type="http://schemas.openxmlformats.org/officeDocument/2006/relationships/hyperlink" Target="https://doi.org/10.1017/S0272263124000342" TargetMode="External"/><Relationship Id="rId3298" Type="http://schemas.openxmlformats.org/officeDocument/2006/relationships/hyperlink" Target="https://doi.org/10.1007/s11002-025-09771-9" TargetMode="External"/><Relationship Id="rId162" Type="http://schemas.openxmlformats.org/officeDocument/2006/relationships/hyperlink" Target="https://doi.org/10.1017/S0272263124000342" TargetMode="External"/><Relationship Id="rId3297" Type="http://schemas.openxmlformats.org/officeDocument/2006/relationships/hyperlink" Target="https://drive.google.com/drive/folders/1XdNtTYLrRDSL61grYK8dJXZB1kkiupM7?fbclid=IwAR1-au-XQdaRXsJBnw-w6esGES_qKYWeKBV0SnS-r6XGLb52A6RG0duPjXg" TargetMode="External"/><Relationship Id="rId169" Type="http://schemas.openxmlformats.org/officeDocument/2006/relationships/hyperlink" Target="https://doi.org/10.1017/S0272263124000342" TargetMode="External"/><Relationship Id="rId168" Type="http://schemas.openxmlformats.org/officeDocument/2006/relationships/hyperlink" Target="https://doi.org/10.1017/S0272263124000342" TargetMode="External"/><Relationship Id="rId3299" Type="http://schemas.openxmlformats.org/officeDocument/2006/relationships/hyperlink" Target="https://osf.io/my6wv" TargetMode="External"/><Relationship Id="rId167" Type="http://schemas.openxmlformats.org/officeDocument/2006/relationships/hyperlink" Target="https://doi.org/10.1177/0267658310386439" TargetMode="External"/><Relationship Id="rId166" Type="http://schemas.openxmlformats.org/officeDocument/2006/relationships/hyperlink" Target="https://doi.org/10.1017/S0272263124000342" TargetMode="External"/><Relationship Id="rId161" Type="http://schemas.openxmlformats.org/officeDocument/2006/relationships/hyperlink" Target="https://doi.org/10.1177/0267658310386439" TargetMode="External"/><Relationship Id="rId160" Type="http://schemas.openxmlformats.org/officeDocument/2006/relationships/hyperlink" Target="https://osf.io/t2vkp/" TargetMode="External"/><Relationship Id="rId159" Type="http://schemas.openxmlformats.org/officeDocument/2006/relationships/hyperlink" Target="https://doi.org/10.1002/jeab.915" TargetMode="External"/><Relationship Id="rId3281" Type="http://schemas.openxmlformats.org/officeDocument/2006/relationships/hyperlink" Target="https://doi.org/10.1017/XPS.2017.8" TargetMode="External"/><Relationship Id="rId3280" Type="http://schemas.openxmlformats.org/officeDocument/2006/relationships/hyperlink" Target="https://doi.org/10.1037/0022-3514.46.4.778" TargetMode="External"/><Relationship Id="rId3283" Type="http://schemas.openxmlformats.org/officeDocument/2006/relationships/hyperlink" Target="https://osf.io/bgk29/" TargetMode="External"/><Relationship Id="rId3282" Type="http://schemas.openxmlformats.org/officeDocument/2006/relationships/hyperlink" Target="https://osf.io/bgk29/" TargetMode="External"/><Relationship Id="rId154" Type="http://schemas.openxmlformats.org/officeDocument/2006/relationships/hyperlink" Target="https://www.prolific.co" TargetMode="External"/><Relationship Id="rId3285" Type="http://schemas.openxmlformats.org/officeDocument/2006/relationships/hyperlink" Target="https://doi.org/10.70252/NKKY8370" TargetMode="External"/><Relationship Id="rId153" Type="http://schemas.openxmlformats.org/officeDocument/2006/relationships/hyperlink" Target="https://www.prolific.co" TargetMode="External"/><Relationship Id="rId3284" Type="http://schemas.openxmlformats.org/officeDocument/2006/relationships/hyperlink" Target="https://doi.org/10.1249/MSS.0000000000000818" TargetMode="External"/><Relationship Id="rId152" Type="http://schemas.openxmlformats.org/officeDocument/2006/relationships/hyperlink" Target="https://www.prolific.co" TargetMode="External"/><Relationship Id="rId3287" Type="http://schemas.openxmlformats.org/officeDocument/2006/relationships/hyperlink" Target="https://doi.org/10.1016/j.jesp.2012.11.012" TargetMode="External"/><Relationship Id="rId151" Type="http://schemas.openxmlformats.org/officeDocument/2006/relationships/hyperlink" Target="https://www.prolific.co" TargetMode="External"/><Relationship Id="rId3286" Type="http://schemas.openxmlformats.org/officeDocument/2006/relationships/hyperlink" Target="https://osf.io/56bkg/registrations" TargetMode="External"/><Relationship Id="rId158" Type="http://schemas.openxmlformats.org/officeDocument/2006/relationships/hyperlink" Target="https://doi.org/10.1002/jeab.705" TargetMode="External"/><Relationship Id="rId3289" Type="http://schemas.openxmlformats.org/officeDocument/2006/relationships/hyperlink" Target="https://doi.org/10.1080/026999398379411" TargetMode="External"/><Relationship Id="rId157" Type="http://schemas.openxmlformats.org/officeDocument/2006/relationships/hyperlink" Target="https://www.prolific.co" TargetMode="External"/><Relationship Id="rId3288" Type="http://schemas.openxmlformats.org/officeDocument/2006/relationships/hyperlink" Target="https://doi.org/10.1016/j.jesp.2024.104712" TargetMode="External"/><Relationship Id="rId156" Type="http://schemas.openxmlformats.org/officeDocument/2006/relationships/hyperlink" Target="https://www.prolific.co" TargetMode="External"/><Relationship Id="rId155" Type="http://schemas.openxmlformats.org/officeDocument/2006/relationships/hyperlink" Target="https://www.prolific.co" TargetMode="External"/><Relationship Id="rId2820" Type="http://schemas.openxmlformats.org/officeDocument/2006/relationships/hyperlink" Target="https://osf.io/dg9m4" TargetMode="External"/><Relationship Id="rId2821" Type="http://schemas.openxmlformats.org/officeDocument/2006/relationships/hyperlink" Target="https://osf.io/dg9m4" TargetMode="External"/><Relationship Id="rId2822" Type="http://schemas.openxmlformats.org/officeDocument/2006/relationships/hyperlink" Target="https://osf.io/dg9m4" TargetMode="External"/><Relationship Id="rId2823" Type="http://schemas.openxmlformats.org/officeDocument/2006/relationships/hyperlink" Target="https://drive.google.com/file/d/1-on_azF3SOQnkcXmO04jj2zt4-H3FlcG/view" TargetMode="External"/><Relationship Id="rId2824" Type="http://schemas.openxmlformats.org/officeDocument/2006/relationships/hyperlink" Target="https://osf.io/dg9m4" TargetMode="External"/><Relationship Id="rId2825" Type="http://schemas.openxmlformats.org/officeDocument/2006/relationships/hyperlink" Target="https://drive.google.com/file/d/1-on_azF3SOQnkcXmO04jj2zt4-H3FlcG/view" TargetMode="External"/><Relationship Id="rId2826" Type="http://schemas.openxmlformats.org/officeDocument/2006/relationships/hyperlink" Target="https://osf.io/dg9m4" TargetMode="External"/><Relationship Id="rId2827" Type="http://schemas.openxmlformats.org/officeDocument/2006/relationships/hyperlink" Target="https://osf.io/dg9m4" TargetMode="External"/><Relationship Id="rId2828" Type="http://schemas.openxmlformats.org/officeDocument/2006/relationships/hyperlink" Target="https://osf.io/dg9m4" TargetMode="External"/><Relationship Id="rId2829" Type="http://schemas.openxmlformats.org/officeDocument/2006/relationships/hyperlink" Target="https://osf.io/dg9m4" TargetMode="External"/><Relationship Id="rId2810" Type="http://schemas.openxmlformats.org/officeDocument/2006/relationships/hyperlink" Target="https://osf.io/d3xb7" TargetMode="External"/><Relationship Id="rId2811" Type="http://schemas.openxmlformats.org/officeDocument/2006/relationships/hyperlink" Target="https://osf.io/d3xb7" TargetMode="External"/><Relationship Id="rId2812" Type="http://schemas.openxmlformats.org/officeDocument/2006/relationships/hyperlink" Target="https://osf.io/d3xb7" TargetMode="External"/><Relationship Id="rId2813" Type="http://schemas.openxmlformats.org/officeDocument/2006/relationships/hyperlink" Target="https://osf.io/d3xb7" TargetMode="External"/><Relationship Id="rId2814" Type="http://schemas.openxmlformats.org/officeDocument/2006/relationships/hyperlink" Target="https://osf.io/d3xb7" TargetMode="External"/><Relationship Id="rId2815" Type="http://schemas.openxmlformats.org/officeDocument/2006/relationships/hyperlink" Target="https://osf.io/d3xb7" TargetMode="External"/><Relationship Id="rId2816" Type="http://schemas.openxmlformats.org/officeDocument/2006/relationships/hyperlink" Target="https://osf.io/dg9m4" TargetMode="External"/><Relationship Id="rId2817" Type="http://schemas.openxmlformats.org/officeDocument/2006/relationships/hyperlink" Target="https://osf.io/dg9m4" TargetMode="External"/><Relationship Id="rId2818" Type="http://schemas.openxmlformats.org/officeDocument/2006/relationships/hyperlink" Target="https://osf.io/dg9m4" TargetMode="External"/><Relationship Id="rId2819" Type="http://schemas.openxmlformats.org/officeDocument/2006/relationships/hyperlink" Target="https://osf.io/dg9m4" TargetMode="External"/><Relationship Id="rId1510" Type="http://schemas.openxmlformats.org/officeDocument/2006/relationships/hyperlink" Target="https://osf.io/7yfkc/files/osfstorage" TargetMode="External"/><Relationship Id="rId2841" Type="http://schemas.openxmlformats.org/officeDocument/2006/relationships/hyperlink" Target="https://osf.io/dg9m4" TargetMode="External"/><Relationship Id="rId1511" Type="http://schemas.openxmlformats.org/officeDocument/2006/relationships/hyperlink" Target="https://hdl.handle.net/11250/2990125" TargetMode="External"/><Relationship Id="rId2842" Type="http://schemas.openxmlformats.org/officeDocument/2006/relationships/hyperlink" Target="https://osf.io/dg9m4" TargetMode="External"/><Relationship Id="rId1512" Type="http://schemas.openxmlformats.org/officeDocument/2006/relationships/hyperlink" Target="https://osf.io/7yfkc/files/osfstorage" TargetMode="External"/><Relationship Id="rId2843" Type="http://schemas.openxmlformats.org/officeDocument/2006/relationships/hyperlink" Target="https://osf.io/dg9m4" TargetMode="External"/><Relationship Id="rId1513" Type="http://schemas.openxmlformats.org/officeDocument/2006/relationships/hyperlink" Target="https://hdl.handle.net/11250/2990125" TargetMode="External"/><Relationship Id="rId2844" Type="http://schemas.openxmlformats.org/officeDocument/2006/relationships/hyperlink" Target="https://osf.io/dg9m4" TargetMode="External"/><Relationship Id="rId1514" Type="http://schemas.openxmlformats.org/officeDocument/2006/relationships/hyperlink" Target="https://osf.io/7yfkc/files/osfstorage" TargetMode="External"/><Relationship Id="rId2845" Type="http://schemas.openxmlformats.org/officeDocument/2006/relationships/hyperlink" Target="https://osf.io/dg9m4" TargetMode="External"/><Relationship Id="rId1515" Type="http://schemas.openxmlformats.org/officeDocument/2006/relationships/hyperlink" Target="https://hdl.handle.net/11250/2990125" TargetMode="External"/><Relationship Id="rId2846" Type="http://schemas.openxmlformats.org/officeDocument/2006/relationships/hyperlink" Target="https://osf.io/dg9m4" TargetMode="External"/><Relationship Id="rId1516" Type="http://schemas.openxmlformats.org/officeDocument/2006/relationships/hyperlink" Target="https://osf.io/7yfkc/files/osfstorage" TargetMode="External"/><Relationship Id="rId2847" Type="http://schemas.openxmlformats.org/officeDocument/2006/relationships/hyperlink" Target="https://osf.io/dg9m4" TargetMode="External"/><Relationship Id="rId1517" Type="http://schemas.openxmlformats.org/officeDocument/2006/relationships/hyperlink" Target="https://hdl.handle.net/11250/2990125" TargetMode="External"/><Relationship Id="rId2848" Type="http://schemas.openxmlformats.org/officeDocument/2006/relationships/hyperlink" Target="https://osf.io/dg9m4" TargetMode="External"/><Relationship Id="rId1518" Type="http://schemas.openxmlformats.org/officeDocument/2006/relationships/hyperlink" Target="https://osf.io/7yfkc/files/osfstorage" TargetMode="External"/><Relationship Id="rId2849" Type="http://schemas.openxmlformats.org/officeDocument/2006/relationships/hyperlink" Target="https://osf.io/dg9m4" TargetMode="External"/><Relationship Id="rId1519" Type="http://schemas.openxmlformats.org/officeDocument/2006/relationships/hyperlink" Target="https://doi.org/10.1016/j.appet.2013.12.020" TargetMode="External"/><Relationship Id="rId2840" Type="http://schemas.openxmlformats.org/officeDocument/2006/relationships/hyperlink" Target="https://osf.io/dg9m4" TargetMode="External"/><Relationship Id="rId2830" Type="http://schemas.openxmlformats.org/officeDocument/2006/relationships/hyperlink" Target="https://osf.io/dg9m4" TargetMode="External"/><Relationship Id="rId1500" Type="http://schemas.openxmlformats.org/officeDocument/2006/relationships/hyperlink" Target="https://osf.io/7yfkc/files/osfstorage" TargetMode="External"/><Relationship Id="rId2831" Type="http://schemas.openxmlformats.org/officeDocument/2006/relationships/hyperlink" Target="https://osf.io/dg9m4" TargetMode="External"/><Relationship Id="rId1501" Type="http://schemas.openxmlformats.org/officeDocument/2006/relationships/hyperlink" Target="https://hdl.handle.net/11250/2990125" TargetMode="External"/><Relationship Id="rId2832" Type="http://schemas.openxmlformats.org/officeDocument/2006/relationships/hyperlink" Target="https://osf.io/dg9m4" TargetMode="External"/><Relationship Id="rId1502" Type="http://schemas.openxmlformats.org/officeDocument/2006/relationships/hyperlink" Target="https://osf.io/7yfkc/files/osfstorage" TargetMode="External"/><Relationship Id="rId2833" Type="http://schemas.openxmlformats.org/officeDocument/2006/relationships/hyperlink" Target="https://osf.io/dg9m4" TargetMode="External"/><Relationship Id="rId1503" Type="http://schemas.openxmlformats.org/officeDocument/2006/relationships/hyperlink" Target="https://hdl.handle.net/11250/2990125" TargetMode="External"/><Relationship Id="rId2834" Type="http://schemas.openxmlformats.org/officeDocument/2006/relationships/hyperlink" Target="https://osf.io/dg9m4" TargetMode="External"/><Relationship Id="rId1504" Type="http://schemas.openxmlformats.org/officeDocument/2006/relationships/hyperlink" Target="https://osf.io/7yfkc/files/osfstorage" TargetMode="External"/><Relationship Id="rId2835" Type="http://schemas.openxmlformats.org/officeDocument/2006/relationships/hyperlink" Target="https://osf.io/dg9m4" TargetMode="External"/><Relationship Id="rId1505" Type="http://schemas.openxmlformats.org/officeDocument/2006/relationships/hyperlink" Target="https://hdl.handle.net/11250/2990125" TargetMode="External"/><Relationship Id="rId2836" Type="http://schemas.openxmlformats.org/officeDocument/2006/relationships/hyperlink" Target="https://osf.io/dg9m4" TargetMode="External"/><Relationship Id="rId1506" Type="http://schemas.openxmlformats.org/officeDocument/2006/relationships/hyperlink" Target="https://osf.io/7yfkc/files/osfstorage" TargetMode="External"/><Relationship Id="rId2837" Type="http://schemas.openxmlformats.org/officeDocument/2006/relationships/hyperlink" Target="https://osf.io/dg9m4" TargetMode="External"/><Relationship Id="rId1507" Type="http://schemas.openxmlformats.org/officeDocument/2006/relationships/hyperlink" Target="https://hdl.handle.net/11250/2990125" TargetMode="External"/><Relationship Id="rId2838" Type="http://schemas.openxmlformats.org/officeDocument/2006/relationships/hyperlink" Target="https://osf.io/dg9m4" TargetMode="External"/><Relationship Id="rId1508" Type="http://schemas.openxmlformats.org/officeDocument/2006/relationships/hyperlink" Target="https://osf.io/7yfkc/files/osfstorage" TargetMode="External"/><Relationship Id="rId2839" Type="http://schemas.openxmlformats.org/officeDocument/2006/relationships/hyperlink" Target="https://osf.io/dg9m4" TargetMode="External"/><Relationship Id="rId1509" Type="http://schemas.openxmlformats.org/officeDocument/2006/relationships/hyperlink" Target="https://hdl.handle.net/11250/2990125" TargetMode="External"/><Relationship Id="rId2800" Type="http://schemas.openxmlformats.org/officeDocument/2006/relationships/hyperlink" Target="https://osf.io/d3xb7" TargetMode="External"/><Relationship Id="rId2801" Type="http://schemas.openxmlformats.org/officeDocument/2006/relationships/hyperlink" Target="https://osf.io/d3xb7" TargetMode="External"/><Relationship Id="rId2802" Type="http://schemas.openxmlformats.org/officeDocument/2006/relationships/hyperlink" Target="https://osf.io/d3xb7" TargetMode="External"/><Relationship Id="rId2803" Type="http://schemas.openxmlformats.org/officeDocument/2006/relationships/hyperlink" Target="https://osf.io/d3xb7" TargetMode="External"/><Relationship Id="rId2804" Type="http://schemas.openxmlformats.org/officeDocument/2006/relationships/hyperlink" Target="https://osf.io/d3xb7" TargetMode="External"/><Relationship Id="rId2805" Type="http://schemas.openxmlformats.org/officeDocument/2006/relationships/hyperlink" Target="https://osf.io/d3xb7" TargetMode="External"/><Relationship Id="rId2806" Type="http://schemas.openxmlformats.org/officeDocument/2006/relationships/hyperlink" Target="https://osf.io/d3xb7" TargetMode="External"/><Relationship Id="rId2807" Type="http://schemas.openxmlformats.org/officeDocument/2006/relationships/hyperlink" Target="https://osf.io/d3xb7" TargetMode="External"/><Relationship Id="rId2808" Type="http://schemas.openxmlformats.org/officeDocument/2006/relationships/hyperlink" Target="https://osf.io/d3xb7" TargetMode="External"/><Relationship Id="rId2809" Type="http://schemas.openxmlformats.org/officeDocument/2006/relationships/hyperlink" Target="https://osf.io/d3xb7" TargetMode="External"/><Relationship Id="rId1576" Type="http://schemas.openxmlformats.org/officeDocument/2006/relationships/hyperlink" Target="https://osf.io/y36m8" TargetMode="External"/><Relationship Id="rId1577" Type="http://schemas.openxmlformats.org/officeDocument/2006/relationships/hyperlink" Target="https://osf.io/scayl" TargetMode="External"/><Relationship Id="rId1578" Type="http://schemas.openxmlformats.org/officeDocument/2006/relationships/hyperlink" Target="https://web.archive.org/web/20220128104303mp_/https://curatescience.org/app/replications" TargetMode="External"/><Relationship Id="rId1579" Type="http://schemas.openxmlformats.org/officeDocument/2006/relationships/hyperlink" Target="https://web.archive.org/web/20220128104303mp_/https://curatescience.org/app/replications" TargetMode="External"/><Relationship Id="rId987" Type="http://schemas.openxmlformats.org/officeDocument/2006/relationships/hyperlink" Target="https://osf.io/x4m6w" TargetMode="External"/><Relationship Id="rId986" Type="http://schemas.openxmlformats.org/officeDocument/2006/relationships/hyperlink" Target="https://github.com/vboyce/251-254-MA/blob/main/data/processed_data.csv" TargetMode="External"/><Relationship Id="rId985" Type="http://schemas.openxmlformats.org/officeDocument/2006/relationships/hyperlink" Target="https://rpubs.com/hrlarry/YUIMU-final" TargetMode="External"/><Relationship Id="rId984" Type="http://schemas.openxmlformats.org/officeDocument/2006/relationships/hyperlink" Target="https://github.com/vboyce/251-254-MA/blob/main/data/processed_data.csv" TargetMode="External"/><Relationship Id="rId989" Type="http://schemas.openxmlformats.org/officeDocument/2006/relationships/hyperlink" Target="https://rpubs.com/hrlarry/YUIMU-final" TargetMode="External"/><Relationship Id="rId988" Type="http://schemas.openxmlformats.org/officeDocument/2006/relationships/hyperlink" Target="https://rpubs.com/hrlarry/YUIMU-final" TargetMode="External"/><Relationship Id="rId1570" Type="http://schemas.openxmlformats.org/officeDocument/2006/relationships/hyperlink" Target="https://osf.io/y36m8" TargetMode="External"/><Relationship Id="rId1571" Type="http://schemas.openxmlformats.org/officeDocument/2006/relationships/hyperlink" Target="https://osf.io/scayl" TargetMode="External"/><Relationship Id="rId983" Type="http://schemas.openxmlformats.org/officeDocument/2006/relationships/hyperlink" Target="https://osf.io/dn6gz" TargetMode="External"/><Relationship Id="rId1572" Type="http://schemas.openxmlformats.org/officeDocument/2006/relationships/hyperlink" Target="https://osf.io/y36m8" TargetMode="External"/><Relationship Id="rId982" Type="http://schemas.openxmlformats.org/officeDocument/2006/relationships/hyperlink" Target="https://osf.io/86p4e/" TargetMode="External"/><Relationship Id="rId1573" Type="http://schemas.openxmlformats.org/officeDocument/2006/relationships/hyperlink" Target="https://osf.io/scayl" TargetMode="External"/><Relationship Id="rId981" Type="http://schemas.openxmlformats.org/officeDocument/2006/relationships/hyperlink" Target="https://rpubs.com/ennachen/psych251_finalproject" TargetMode="External"/><Relationship Id="rId1574" Type="http://schemas.openxmlformats.org/officeDocument/2006/relationships/hyperlink" Target="https://osf.io/y36m8" TargetMode="External"/><Relationship Id="rId980" Type="http://schemas.openxmlformats.org/officeDocument/2006/relationships/hyperlink" Target="https://rpubs.com/ennachen/psych251_finalproject" TargetMode="External"/><Relationship Id="rId1575" Type="http://schemas.openxmlformats.org/officeDocument/2006/relationships/hyperlink" Target="https://osf.io/scayl" TargetMode="External"/><Relationship Id="rId1565" Type="http://schemas.openxmlformats.org/officeDocument/2006/relationships/hyperlink" Target="https://osf.io/qc3pz" TargetMode="External"/><Relationship Id="rId2896" Type="http://schemas.openxmlformats.org/officeDocument/2006/relationships/hyperlink" Target="https://drive.google.com/file/d/1Oyf6phoxDUGiryzACmCI2gdTcVIQO0rE/view?usp=drive_link" TargetMode="External"/><Relationship Id="rId1566" Type="http://schemas.openxmlformats.org/officeDocument/2006/relationships/hyperlink" Target="https://osf.io/qc3pz" TargetMode="External"/><Relationship Id="rId2897" Type="http://schemas.openxmlformats.org/officeDocument/2006/relationships/hyperlink" Target="https://osf.io/8z3qb" TargetMode="External"/><Relationship Id="rId1567" Type="http://schemas.openxmlformats.org/officeDocument/2006/relationships/hyperlink" Target="https://osf.io/y36m8" TargetMode="External"/><Relationship Id="rId2898" Type="http://schemas.openxmlformats.org/officeDocument/2006/relationships/hyperlink" Target="https://drive.google.com/file/d/1Oyf6phoxDUGiryzACmCI2gdTcVIQO0rE/view?usp=drive_link" TargetMode="External"/><Relationship Id="rId1568" Type="http://schemas.openxmlformats.org/officeDocument/2006/relationships/hyperlink" Target="https://osf.io/y36m8" TargetMode="External"/><Relationship Id="rId2899" Type="http://schemas.openxmlformats.org/officeDocument/2006/relationships/hyperlink" Target="https://osf.io/8z3qb" TargetMode="External"/><Relationship Id="rId1569" Type="http://schemas.openxmlformats.org/officeDocument/2006/relationships/hyperlink" Target="https://osf.io/scayl" TargetMode="External"/><Relationship Id="rId976" Type="http://schemas.openxmlformats.org/officeDocument/2006/relationships/hyperlink" Target="https://osf.io/86p4e/" TargetMode="External"/><Relationship Id="rId975" Type="http://schemas.openxmlformats.org/officeDocument/2006/relationships/hyperlink" Target="https://rpubs.com/ennachen/psych251_finalproject" TargetMode="External"/><Relationship Id="rId974" Type="http://schemas.openxmlformats.org/officeDocument/2006/relationships/hyperlink" Target="https://rpubs.com/ennachen/psych251_finalproject" TargetMode="External"/><Relationship Id="rId973" Type="http://schemas.openxmlformats.org/officeDocument/2006/relationships/hyperlink" Target="https://osf.io/86p4e/" TargetMode="External"/><Relationship Id="rId979" Type="http://schemas.openxmlformats.org/officeDocument/2006/relationships/hyperlink" Target="https://osf.io/86p4e/" TargetMode="External"/><Relationship Id="rId978" Type="http://schemas.openxmlformats.org/officeDocument/2006/relationships/hyperlink" Target="https://rpubs.com/ennachen/psych251_finalproject" TargetMode="External"/><Relationship Id="rId977" Type="http://schemas.openxmlformats.org/officeDocument/2006/relationships/hyperlink" Target="https://rpubs.com/ennachen/psych251_finalproject" TargetMode="External"/><Relationship Id="rId2890" Type="http://schemas.openxmlformats.org/officeDocument/2006/relationships/hyperlink" Target="https://osf.io/g6kx3" TargetMode="External"/><Relationship Id="rId1560" Type="http://schemas.openxmlformats.org/officeDocument/2006/relationships/hyperlink" Target="https://web.archive.org/web/20220128104303mp_/https://curatescience.org/app/replications" TargetMode="External"/><Relationship Id="rId2891" Type="http://schemas.openxmlformats.org/officeDocument/2006/relationships/hyperlink" Target="https://osf.io/ubys7/metadata/osf" TargetMode="External"/><Relationship Id="rId972" Type="http://schemas.openxmlformats.org/officeDocument/2006/relationships/hyperlink" Target="https://rpubs.com/ennachen/psych251_finalproject" TargetMode="External"/><Relationship Id="rId1561" Type="http://schemas.openxmlformats.org/officeDocument/2006/relationships/hyperlink" Target="https://web.archive.org/web/20220128104303mp_/https://curatescience.org/app/replications" TargetMode="External"/><Relationship Id="rId2892" Type="http://schemas.openxmlformats.org/officeDocument/2006/relationships/hyperlink" Target="https://osf.io/ubys7/metadata/osf" TargetMode="External"/><Relationship Id="rId971" Type="http://schemas.openxmlformats.org/officeDocument/2006/relationships/hyperlink" Target="https://rpubs.com/ennachen/psych251_finalproject" TargetMode="External"/><Relationship Id="rId1562" Type="http://schemas.openxmlformats.org/officeDocument/2006/relationships/hyperlink" Target="https://osf.io/hmfxt" TargetMode="External"/><Relationship Id="rId2893" Type="http://schemas.openxmlformats.org/officeDocument/2006/relationships/hyperlink" Target="https://osf.io/ubys7/metadata/osf" TargetMode="External"/><Relationship Id="rId970" Type="http://schemas.openxmlformats.org/officeDocument/2006/relationships/hyperlink" Target="https://osf.io/86p4e/" TargetMode="External"/><Relationship Id="rId1563" Type="http://schemas.openxmlformats.org/officeDocument/2006/relationships/hyperlink" Target="https://osf.io/hmfxt" TargetMode="External"/><Relationship Id="rId2894" Type="http://schemas.openxmlformats.org/officeDocument/2006/relationships/hyperlink" Target="https://drive.google.com/file/d/1Oyf6phoxDUGiryzACmCI2gdTcVIQO0rE/view?usp=drive_link" TargetMode="External"/><Relationship Id="rId1564" Type="http://schemas.openxmlformats.org/officeDocument/2006/relationships/hyperlink" Target="https://osf.io/hmfxt" TargetMode="External"/><Relationship Id="rId2895" Type="http://schemas.openxmlformats.org/officeDocument/2006/relationships/hyperlink" Target="https://osf.io/8z3qb" TargetMode="External"/><Relationship Id="rId1598" Type="http://schemas.openxmlformats.org/officeDocument/2006/relationships/hyperlink" Target="https://osf.io/ryfse/" TargetMode="External"/><Relationship Id="rId1599" Type="http://schemas.openxmlformats.org/officeDocument/2006/relationships/hyperlink" Target="https://osf.io/u6ghv" TargetMode="External"/><Relationship Id="rId1590" Type="http://schemas.openxmlformats.org/officeDocument/2006/relationships/hyperlink" Target="https://osf.io/ct89g/" TargetMode="External"/><Relationship Id="rId1591" Type="http://schemas.openxmlformats.org/officeDocument/2006/relationships/hyperlink" Target="https://osf.io/ct89g/" TargetMode="External"/><Relationship Id="rId1592" Type="http://schemas.openxmlformats.org/officeDocument/2006/relationships/hyperlink" Target="https://osf.io/ct89g/" TargetMode="External"/><Relationship Id="rId1593" Type="http://schemas.openxmlformats.org/officeDocument/2006/relationships/hyperlink" Target="https://osf.io/ct89g/" TargetMode="External"/><Relationship Id="rId1594" Type="http://schemas.openxmlformats.org/officeDocument/2006/relationships/hyperlink" Target="http://hdl.handle.net/1765/98670" TargetMode="External"/><Relationship Id="rId1595" Type="http://schemas.openxmlformats.org/officeDocument/2006/relationships/hyperlink" Target="https://osf.io/ct89g/" TargetMode="External"/><Relationship Id="rId1596" Type="http://schemas.openxmlformats.org/officeDocument/2006/relationships/hyperlink" Target="https://osf.io/ct89g/" TargetMode="External"/><Relationship Id="rId1597" Type="http://schemas.openxmlformats.org/officeDocument/2006/relationships/hyperlink" Target="https://osf.io/ryfse/" TargetMode="External"/><Relationship Id="rId1587" Type="http://schemas.openxmlformats.org/officeDocument/2006/relationships/hyperlink" Target="https://osf.io/8tikd" TargetMode="External"/><Relationship Id="rId1588" Type="http://schemas.openxmlformats.org/officeDocument/2006/relationships/hyperlink" Target="https://www.ejwagenmakers.com/2012/Appendix_PoPS_WagenmakersEtAl.pdf" TargetMode="External"/><Relationship Id="rId1589" Type="http://schemas.openxmlformats.org/officeDocument/2006/relationships/hyperlink" Target="https://www.ejwagenmakers.com/2012/Appendix_PoPS_WagenmakersEtAl.pdf" TargetMode="External"/><Relationship Id="rId998" Type="http://schemas.openxmlformats.org/officeDocument/2006/relationships/hyperlink" Target="https://rpubs.com/hrlarry/YUIMU-final" TargetMode="External"/><Relationship Id="rId997" Type="http://schemas.openxmlformats.org/officeDocument/2006/relationships/hyperlink" Target="https://rpubs.com/hrlarry/YUIMU-final" TargetMode="External"/><Relationship Id="rId996" Type="http://schemas.openxmlformats.org/officeDocument/2006/relationships/hyperlink" Target="https://rpubs.com/hrlarry/YUIMU-final" TargetMode="External"/><Relationship Id="rId995" Type="http://schemas.openxmlformats.org/officeDocument/2006/relationships/hyperlink" Target="https://osf.io/x4m6w" TargetMode="External"/><Relationship Id="rId999" Type="http://schemas.openxmlformats.org/officeDocument/2006/relationships/hyperlink" Target="https://osf.io/x4m6w" TargetMode="External"/><Relationship Id="rId990" Type="http://schemas.openxmlformats.org/officeDocument/2006/relationships/hyperlink" Target="https://rpubs.com/hrlarry/YUIMU-final" TargetMode="External"/><Relationship Id="rId1580" Type="http://schemas.openxmlformats.org/officeDocument/2006/relationships/hyperlink" Target="https://web.archive.org/web/20220128104303mp_/https://curatescience.org/app/replications" TargetMode="External"/><Relationship Id="rId1581" Type="http://schemas.openxmlformats.org/officeDocument/2006/relationships/hyperlink" Target="https://osf.io/v3hfb/" TargetMode="External"/><Relationship Id="rId1582" Type="http://schemas.openxmlformats.org/officeDocument/2006/relationships/hyperlink" Target="https://osf.io/v3hfb/" TargetMode="External"/><Relationship Id="rId994" Type="http://schemas.openxmlformats.org/officeDocument/2006/relationships/hyperlink" Target="https://rpubs.com/hrlarry/YUIMU-final" TargetMode="External"/><Relationship Id="rId1583" Type="http://schemas.openxmlformats.org/officeDocument/2006/relationships/hyperlink" Target="https://osf.io/v3hfb/" TargetMode="External"/><Relationship Id="rId993" Type="http://schemas.openxmlformats.org/officeDocument/2006/relationships/hyperlink" Target="https://rpubs.com/hrlarry/YUIMU-final" TargetMode="External"/><Relationship Id="rId1584" Type="http://schemas.openxmlformats.org/officeDocument/2006/relationships/hyperlink" Target="https://osf.io/czbzg/" TargetMode="External"/><Relationship Id="rId992" Type="http://schemas.openxmlformats.org/officeDocument/2006/relationships/hyperlink" Target="https://rpubs.com/hrlarry/YUIMU-final" TargetMode="External"/><Relationship Id="rId1585" Type="http://schemas.openxmlformats.org/officeDocument/2006/relationships/hyperlink" Target="https://osf.io/czbzg/" TargetMode="External"/><Relationship Id="rId991" Type="http://schemas.openxmlformats.org/officeDocument/2006/relationships/hyperlink" Target="https://osf.io/x4m6w" TargetMode="External"/><Relationship Id="rId1586" Type="http://schemas.openxmlformats.org/officeDocument/2006/relationships/hyperlink" Target="https://osf.io/czbzg/" TargetMode="External"/><Relationship Id="rId1532" Type="http://schemas.openxmlformats.org/officeDocument/2006/relationships/hyperlink" Target="https://doi.org/10.1037/0022-3514.71.2.230." TargetMode="External"/><Relationship Id="rId2863" Type="http://schemas.openxmlformats.org/officeDocument/2006/relationships/hyperlink" Target="https://researchbox.org/37" TargetMode="External"/><Relationship Id="rId1533" Type="http://schemas.openxmlformats.org/officeDocument/2006/relationships/hyperlink" Target="https://doi.org/10.1037/0022-3514.71.2.230." TargetMode="External"/><Relationship Id="rId2864" Type="http://schemas.openxmlformats.org/officeDocument/2006/relationships/hyperlink" Target="https://datacolada.org/92" TargetMode="External"/><Relationship Id="rId1534" Type="http://schemas.openxmlformats.org/officeDocument/2006/relationships/hyperlink" Target="https://doi.org/10.1037/0022-3514.71.2.230." TargetMode="External"/><Relationship Id="rId2865" Type="http://schemas.openxmlformats.org/officeDocument/2006/relationships/hyperlink" Target="https://researchbox.org/37" TargetMode="External"/><Relationship Id="rId1535" Type="http://schemas.openxmlformats.org/officeDocument/2006/relationships/hyperlink" Target="https://osf.io/y36m8" TargetMode="External"/><Relationship Id="rId2866" Type="http://schemas.openxmlformats.org/officeDocument/2006/relationships/hyperlink" Target="https://osf.io/fzscv" TargetMode="External"/><Relationship Id="rId1536" Type="http://schemas.openxmlformats.org/officeDocument/2006/relationships/hyperlink" Target="https://osf.io/y36m8" TargetMode="External"/><Relationship Id="rId2867" Type="http://schemas.openxmlformats.org/officeDocument/2006/relationships/hyperlink" Target="https://osf.io/fzscv" TargetMode="External"/><Relationship Id="rId1537" Type="http://schemas.openxmlformats.org/officeDocument/2006/relationships/hyperlink" Target="https://doi.org/10.1037/0022-3514.83.1.44" TargetMode="External"/><Relationship Id="rId2868" Type="http://schemas.openxmlformats.org/officeDocument/2006/relationships/hyperlink" Target="https://osf.io/fzscv" TargetMode="External"/><Relationship Id="rId1538" Type="http://schemas.openxmlformats.org/officeDocument/2006/relationships/hyperlink" Target="https://osf.io/y36m8" TargetMode="External"/><Relationship Id="rId2869" Type="http://schemas.openxmlformats.org/officeDocument/2006/relationships/hyperlink" Target="https://osf.io/c8wek/" TargetMode="External"/><Relationship Id="rId1539" Type="http://schemas.openxmlformats.org/officeDocument/2006/relationships/hyperlink" Target="https://osf.io/scayl" TargetMode="External"/><Relationship Id="rId949" Type="http://schemas.openxmlformats.org/officeDocument/2006/relationships/hyperlink" Target="https://osf.io/3ay42" TargetMode="External"/><Relationship Id="rId948" Type="http://schemas.openxmlformats.org/officeDocument/2006/relationships/hyperlink" Target="https://github.com/psych251/Semrow2019/blob/master/writeup/Apaza_replication_Semrow.html" TargetMode="External"/><Relationship Id="rId943" Type="http://schemas.openxmlformats.org/officeDocument/2006/relationships/hyperlink" Target="https://osf.io/xhz4q/" TargetMode="External"/><Relationship Id="rId942" Type="http://schemas.openxmlformats.org/officeDocument/2006/relationships/hyperlink" Target="https://osf.io/y65ze/" TargetMode="External"/><Relationship Id="rId941" Type="http://schemas.openxmlformats.org/officeDocument/2006/relationships/hyperlink" Target="https://osf.io/y65ze/" TargetMode="External"/><Relationship Id="rId940" Type="http://schemas.openxmlformats.org/officeDocument/2006/relationships/hyperlink" Target="https://osf.io/y65ze/" TargetMode="External"/><Relationship Id="rId947" Type="http://schemas.openxmlformats.org/officeDocument/2006/relationships/hyperlink" Target="https://github.com/psych251/Semrow2019/blob/master/writeup/Apaza_replication_Semrow.html" TargetMode="External"/><Relationship Id="rId946" Type="http://schemas.openxmlformats.org/officeDocument/2006/relationships/hyperlink" Target="https://osf.io/3ay42" TargetMode="External"/><Relationship Id="rId945" Type="http://schemas.openxmlformats.org/officeDocument/2006/relationships/hyperlink" Target="https://github.com/psych251/Semrow2019/blob/master/writeup/Apaza_replication_Semrow.html" TargetMode="External"/><Relationship Id="rId944" Type="http://schemas.openxmlformats.org/officeDocument/2006/relationships/hyperlink" Target="https://github.com/psych251/Semrow2019/blob/master/writeup/Apaza_replication_Semrow.html" TargetMode="External"/><Relationship Id="rId2860" Type="http://schemas.openxmlformats.org/officeDocument/2006/relationships/hyperlink" Target="https://datacolada.org/94" TargetMode="External"/><Relationship Id="rId1530" Type="http://schemas.openxmlformats.org/officeDocument/2006/relationships/hyperlink" Target="https://doi.org/10.1037/0022-3514.71.2.230." TargetMode="External"/><Relationship Id="rId2861" Type="http://schemas.openxmlformats.org/officeDocument/2006/relationships/hyperlink" Target="https://researchbox.org/58" TargetMode="External"/><Relationship Id="rId1531" Type="http://schemas.openxmlformats.org/officeDocument/2006/relationships/hyperlink" Target="https://doi.org/10.1037/0022-3514.71.2.230." TargetMode="External"/><Relationship Id="rId2862" Type="http://schemas.openxmlformats.org/officeDocument/2006/relationships/hyperlink" Target="https://datacolada.org/92" TargetMode="External"/><Relationship Id="rId1521" Type="http://schemas.openxmlformats.org/officeDocument/2006/relationships/hyperlink" Target="https://osf.io/cifn3" TargetMode="External"/><Relationship Id="rId2852" Type="http://schemas.openxmlformats.org/officeDocument/2006/relationships/hyperlink" Target="https://osf.io/dg9m4" TargetMode="External"/><Relationship Id="rId1522" Type="http://schemas.openxmlformats.org/officeDocument/2006/relationships/hyperlink" Target="https://osf.io/cifn3" TargetMode="External"/><Relationship Id="rId2853" Type="http://schemas.openxmlformats.org/officeDocument/2006/relationships/hyperlink" Target="https://osf.io/dg9m4" TargetMode="External"/><Relationship Id="rId1523" Type="http://schemas.openxmlformats.org/officeDocument/2006/relationships/hyperlink" Target="https://doi.org/10.1371/journal.pone.0096339" TargetMode="External"/><Relationship Id="rId2854" Type="http://schemas.openxmlformats.org/officeDocument/2006/relationships/hyperlink" Target="https://osf.io/dg9m4" TargetMode="External"/><Relationship Id="rId1524" Type="http://schemas.openxmlformats.org/officeDocument/2006/relationships/hyperlink" Target="https://doi.org/10.1371/journal.pone.0096339" TargetMode="External"/><Relationship Id="rId2855" Type="http://schemas.openxmlformats.org/officeDocument/2006/relationships/hyperlink" Target="https://osf.io/dg9m4" TargetMode="External"/><Relationship Id="rId1525" Type="http://schemas.openxmlformats.org/officeDocument/2006/relationships/hyperlink" Target="https://doi.org/10.1371/journal.pone.0096339" TargetMode="External"/><Relationship Id="rId2856" Type="http://schemas.openxmlformats.org/officeDocument/2006/relationships/hyperlink" Target="https://datacolada.org/82" TargetMode="External"/><Relationship Id="rId1526" Type="http://schemas.openxmlformats.org/officeDocument/2006/relationships/hyperlink" Target="https://doi.org/10.1371/journal.pone.0096339" TargetMode="External"/><Relationship Id="rId2857" Type="http://schemas.openxmlformats.org/officeDocument/2006/relationships/hyperlink" Target="https://aspredicted.org/9zw6i.pdf" TargetMode="External"/><Relationship Id="rId1527" Type="http://schemas.openxmlformats.org/officeDocument/2006/relationships/hyperlink" Target="https://osf.io/y36m8" TargetMode="External"/><Relationship Id="rId2858" Type="http://schemas.openxmlformats.org/officeDocument/2006/relationships/hyperlink" Target="https://datacolada.org/94" TargetMode="External"/><Relationship Id="rId1528" Type="http://schemas.openxmlformats.org/officeDocument/2006/relationships/hyperlink" Target="https://osf.io/y36m8" TargetMode="External"/><Relationship Id="rId2859" Type="http://schemas.openxmlformats.org/officeDocument/2006/relationships/hyperlink" Target="https://researchbox.org/58" TargetMode="External"/><Relationship Id="rId1529" Type="http://schemas.openxmlformats.org/officeDocument/2006/relationships/hyperlink" Target="https://doi.org/10.1037/0022-3514.71.2.230." TargetMode="External"/><Relationship Id="rId939" Type="http://schemas.openxmlformats.org/officeDocument/2006/relationships/hyperlink" Target="https://osf.io/y65ze/" TargetMode="External"/><Relationship Id="rId938" Type="http://schemas.openxmlformats.org/officeDocument/2006/relationships/hyperlink" Target="https://osf.io/y65ze/" TargetMode="External"/><Relationship Id="rId937" Type="http://schemas.openxmlformats.org/officeDocument/2006/relationships/hyperlink" Target="https://osf.io/y65ze/" TargetMode="External"/><Relationship Id="rId932" Type="http://schemas.openxmlformats.org/officeDocument/2006/relationships/hyperlink" Target="https://github.com/vboyce/251-254-MA/blob/main/data/processed_data.csv" TargetMode="External"/><Relationship Id="rId931" Type="http://schemas.openxmlformats.org/officeDocument/2006/relationships/hyperlink" Target="https://osf.io/y65ze/" TargetMode="External"/><Relationship Id="rId930" Type="http://schemas.openxmlformats.org/officeDocument/2006/relationships/hyperlink" Target="https://github.com/vboyce/251-254-MA/blob/main/data/processed_data.csv" TargetMode="External"/><Relationship Id="rId936" Type="http://schemas.openxmlformats.org/officeDocument/2006/relationships/hyperlink" Target="https://osf.io/y65ze/" TargetMode="External"/><Relationship Id="rId935" Type="http://schemas.openxmlformats.org/officeDocument/2006/relationships/hyperlink" Target="https://osf.io/y65ze/" TargetMode="External"/><Relationship Id="rId934" Type="http://schemas.openxmlformats.org/officeDocument/2006/relationships/hyperlink" Target="https://osf.io/y65ze/" TargetMode="External"/><Relationship Id="rId933" Type="http://schemas.openxmlformats.org/officeDocument/2006/relationships/hyperlink" Target="https://osf.io/y65ze/" TargetMode="External"/><Relationship Id="rId2850" Type="http://schemas.openxmlformats.org/officeDocument/2006/relationships/hyperlink" Target="https://osf.io/dg9m4" TargetMode="External"/><Relationship Id="rId1520" Type="http://schemas.openxmlformats.org/officeDocument/2006/relationships/hyperlink" Target="https://web.archive.org/web/20220103002744/https://github.com/eplebel/science-commons/blob/master/curated/ego-depletion/Pond%20et%20al%20(2011%2C%20Study%203)%20unpublished%20dataset%20methodological%20details.pdf" TargetMode="External"/><Relationship Id="rId2851" Type="http://schemas.openxmlformats.org/officeDocument/2006/relationships/hyperlink" Target="https://osf.io/dg9m4" TargetMode="External"/><Relationship Id="rId1554" Type="http://schemas.openxmlformats.org/officeDocument/2006/relationships/hyperlink" Target="https://osf.io/y36m8" TargetMode="External"/><Relationship Id="rId2885" Type="http://schemas.openxmlformats.org/officeDocument/2006/relationships/hyperlink" Target="https://osf.io/at38s" TargetMode="External"/><Relationship Id="rId1555" Type="http://schemas.openxmlformats.org/officeDocument/2006/relationships/hyperlink" Target="https://osf.io/y36m8" TargetMode="External"/><Relationship Id="rId2886" Type="http://schemas.openxmlformats.org/officeDocument/2006/relationships/hyperlink" Target="https://osf.io/jdfbm" TargetMode="External"/><Relationship Id="rId1556" Type="http://schemas.openxmlformats.org/officeDocument/2006/relationships/hyperlink" Target="https://osf.io/hmfxt" TargetMode="External"/><Relationship Id="rId2887" Type="http://schemas.openxmlformats.org/officeDocument/2006/relationships/hyperlink" Target="https://osf.io/g6kx3" TargetMode="External"/><Relationship Id="rId1557" Type="http://schemas.openxmlformats.org/officeDocument/2006/relationships/hyperlink" Target="https://osf.io/hmfxt" TargetMode="External"/><Relationship Id="rId2888" Type="http://schemas.openxmlformats.org/officeDocument/2006/relationships/hyperlink" Target="https://osf.io/g6kx3" TargetMode="External"/><Relationship Id="rId1558" Type="http://schemas.openxmlformats.org/officeDocument/2006/relationships/hyperlink" Target="https://osf.io/hmfxt" TargetMode="External"/><Relationship Id="rId2889" Type="http://schemas.openxmlformats.org/officeDocument/2006/relationships/hyperlink" Target="https://osf.io/g6kx3" TargetMode="External"/><Relationship Id="rId1559" Type="http://schemas.openxmlformats.org/officeDocument/2006/relationships/hyperlink" Target="https://web.archive.org/web/20220128104303mp_/https://curatescience.org/app/replications" TargetMode="External"/><Relationship Id="rId965" Type="http://schemas.openxmlformats.org/officeDocument/2006/relationships/hyperlink" Target="https://osf.io/fzm68" TargetMode="External"/><Relationship Id="rId964" Type="http://schemas.openxmlformats.org/officeDocument/2006/relationships/hyperlink" Target="https://osf.io/fzm68" TargetMode="External"/><Relationship Id="rId963" Type="http://schemas.openxmlformats.org/officeDocument/2006/relationships/hyperlink" Target="https://rpubs.com/wuphins/159194." TargetMode="External"/><Relationship Id="rId962" Type="http://schemas.openxmlformats.org/officeDocument/2006/relationships/hyperlink" Target="https://rpubs.com/wuphins/159194" TargetMode="External"/><Relationship Id="rId969" Type="http://schemas.openxmlformats.org/officeDocument/2006/relationships/hyperlink" Target="https://rpubs.com/ennachen/psych251_finalproject" TargetMode="External"/><Relationship Id="rId968" Type="http://schemas.openxmlformats.org/officeDocument/2006/relationships/hyperlink" Target="https://rpubs.com/ennachen/psych251_finalproject" TargetMode="External"/><Relationship Id="rId967" Type="http://schemas.openxmlformats.org/officeDocument/2006/relationships/hyperlink" Target="https://github.com/vboyce/251-254-MA/blob/main/data/processed_data.csv" TargetMode="External"/><Relationship Id="rId966" Type="http://schemas.openxmlformats.org/officeDocument/2006/relationships/hyperlink" Target="https://github.com/vboyce/251-254-MA/blob/main/data/processed_data.csv" TargetMode="External"/><Relationship Id="rId2880" Type="http://schemas.openxmlformats.org/officeDocument/2006/relationships/hyperlink" Target="https://osf.io/43nfd" TargetMode="External"/><Relationship Id="rId961" Type="http://schemas.openxmlformats.org/officeDocument/2006/relationships/hyperlink" Target="https://github.com/vboyce/251-254-MA/blob/main/data/processed_data.csv" TargetMode="External"/><Relationship Id="rId1550" Type="http://schemas.openxmlformats.org/officeDocument/2006/relationships/hyperlink" Target="https://osf.io/tvszz" TargetMode="External"/><Relationship Id="rId2881" Type="http://schemas.openxmlformats.org/officeDocument/2006/relationships/hyperlink" Target="https://osf.io/43nfd" TargetMode="External"/><Relationship Id="rId960" Type="http://schemas.openxmlformats.org/officeDocument/2006/relationships/hyperlink" Target="https://rpubs.com/wuphins/159194" TargetMode="External"/><Relationship Id="rId1551" Type="http://schemas.openxmlformats.org/officeDocument/2006/relationships/hyperlink" Target="http://bit.ly/16MSSx8" TargetMode="External"/><Relationship Id="rId2882" Type="http://schemas.openxmlformats.org/officeDocument/2006/relationships/hyperlink" Target="https://osf.io/43nfd" TargetMode="External"/><Relationship Id="rId1552" Type="http://schemas.openxmlformats.org/officeDocument/2006/relationships/hyperlink" Target="https://osf.io/EUZwH/" TargetMode="External"/><Relationship Id="rId2883" Type="http://schemas.openxmlformats.org/officeDocument/2006/relationships/hyperlink" Target="https://osf.io/at38s" TargetMode="External"/><Relationship Id="rId1553" Type="http://schemas.openxmlformats.org/officeDocument/2006/relationships/hyperlink" Target="https://osf.io/tvszz" TargetMode="External"/><Relationship Id="rId2884" Type="http://schemas.openxmlformats.org/officeDocument/2006/relationships/hyperlink" Target="https://osf.io/at38s" TargetMode="External"/><Relationship Id="rId1543" Type="http://schemas.openxmlformats.org/officeDocument/2006/relationships/hyperlink" Target="https://doi.org/10.1037/0022-3514.71.2.230." TargetMode="External"/><Relationship Id="rId2874" Type="http://schemas.openxmlformats.org/officeDocument/2006/relationships/hyperlink" Target="https://osf.io/yrpjk/" TargetMode="External"/><Relationship Id="rId1544" Type="http://schemas.openxmlformats.org/officeDocument/2006/relationships/hyperlink" Target="https://doi.org/10.1037/0022-3514.71.2.230." TargetMode="External"/><Relationship Id="rId2875" Type="http://schemas.openxmlformats.org/officeDocument/2006/relationships/hyperlink" Target="https://osf.io/43nfd" TargetMode="External"/><Relationship Id="rId1545" Type="http://schemas.openxmlformats.org/officeDocument/2006/relationships/hyperlink" Target="https://doi.org/10.1037/0022-3514.71.2.230." TargetMode="External"/><Relationship Id="rId2876" Type="http://schemas.openxmlformats.org/officeDocument/2006/relationships/hyperlink" Target="https://osf.io/43nfd" TargetMode="External"/><Relationship Id="rId1546" Type="http://schemas.openxmlformats.org/officeDocument/2006/relationships/hyperlink" Target="https://web.archive.org/web/20220128104303mp_/https://curatescience.org/app/replications" TargetMode="External"/><Relationship Id="rId2877" Type="http://schemas.openxmlformats.org/officeDocument/2006/relationships/hyperlink" Target="https://osf.io/43nfd" TargetMode="External"/><Relationship Id="rId1547" Type="http://schemas.openxmlformats.org/officeDocument/2006/relationships/hyperlink" Target="https://web.archive.org/web/20220103002614/https://web.archive.org/web/20170923095521/http://psychfiledrawer.org/replication.php?attempt=MTc2" TargetMode="External"/><Relationship Id="rId2878" Type="http://schemas.openxmlformats.org/officeDocument/2006/relationships/hyperlink" Target="https://osf.io/43nfd" TargetMode="External"/><Relationship Id="rId1548" Type="http://schemas.openxmlformats.org/officeDocument/2006/relationships/hyperlink" Target="https://web.archive.org/web/20220128104303mp_/https://curatescience.org/app/replications" TargetMode="External"/><Relationship Id="rId2879" Type="http://schemas.openxmlformats.org/officeDocument/2006/relationships/hyperlink" Target="https://osf.io/43nfd" TargetMode="External"/><Relationship Id="rId1549" Type="http://schemas.openxmlformats.org/officeDocument/2006/relationships/hyperlink" Target="https://web.archive.org/web/20220103002614/https://web.archive.org/web/20170923095521/http://psychfiledrawer.org/replication.php?attempt=MTc2" TargetMode="External"/><Relationship Id="rId959" Type="http://schemas.openxmlformats.org/officeDocument/2006/relationships/hyperlink" Target="https://rpubs.com/wuphins/159194" TargetMode="External"/><Relationship Id="rId954" Type="http://schemas.openxmlformats.org/officeDocument/2006/relationships/hyperlink" Target="https://osf.io/p5hvr" TargetMode="External"/><Relationship Id="rId953" Type="http://schemas.openxmlformats.org/officeDocument/2006/relationships/hyperlink" Target="https://osf.io/p5hvr" TargetMode="External"/><Relationship Id="rId952" Type="http://schemas.openxmlformats.org/officeDocument/2006/relationships/hyperlink" Target="https://osf.io/3ay42" TargetMode="External"/><Relationship Id="rId951" Type="http://schemas.openxmlformats.org/officeDocument/2006/relationships/hyperlink" Target="https://github.com/psych251/Semrow2019/blob/master/writeup/Apaza_replication_Semrow.html" TargetMode="External"/><Relationship Id="rId958" Type="http://schemas.openxmlformats.org/officeDocument/2006/relationships/hyperlink" Target="https://rpubs.com/wuphins/159194" TargetMode="External"/><Relationship Id="rId957" Type="http://schemas.openxmlformats.org/officeDocument/2006/relationships/hyperlink" Target="https://rpubs.com/wuphins/159194" TargetMode="External"/><Relationship Id="rId956" Type="http://schemas.openxmlformats.org/officeDocument/2006/relationships/hyperlink" Target="https://github.com/vboyce/251-254-MA/blob/main/data/processed_data.csv" TargetMode="External"/><Relationship Id="rId955" Type="http://schemas.openxmlformats.org/officeDocument/2006/relationships/hyperlink" Target="https://rpubs.com/wuphins/159194" TargetMode="External"/><Relationship Id="rId950" Type="http://schemas.openxmlformats.org/officeDocument/2006/relationships/hyperlink" Target="https://github.com/psych251/Semrow2019/blob/master/writeup/Apaza_replication_Semrow.html" TargetMode="External"/><Relationship Id="rId2870" Type="http://schemas.openxmlformats.org/officeDocument/2006/relationships/hyperlink" Target="https://doi.org/10.1037/ebs0000028" TargetMode="External"/><Relationship Id="rId1540" Type="http://schemas.openxmlformats.org/officeDocument/2006/relationships/hyperlink" Target="https://doi.org/10.1037/0022-3514.71.2.230." TargetMode="External"/><Relationship Id="rId2871" Type="http://schemas.openxmlformats.org/officeDocument/2006/relationships/hyperlink" Target="https://osf.io/xudya/" TargetMode="External"/><Relationship Id="rId1541" Type="http://schemas.openxmlformats.org/officeDocument/2006/relationships/hyperlink" Target="https://doi.org/10.1037/0022-3514.71.2.230." TargetMode="External"/><Relationship Id="rId2872" Type="http://schemas.openxmlformats.org/officeDocument/2006/relationships/hyperlink" Target="https://doi.org/10.1126/science.283.5398.77" TargetMode="External"/><Relationship Id="rId1542" Type="http://schemas.openxmlformats.org/officeDocument/2006/relationships/hyperlink" Target="https://doi.org/10.1037/0022-3514.71.2.230." TargetMode="External"/><Relationship Id="rId2873" Type="http://schemas.openxmlformats.org/officeDocument/2006/relationships/hyperlink" Target="https://osf.io/hcmv7/" TargetMode="External"/><Relationship Id="rId2027" Type="http://schemas.openxmlformats.org/officeDocument/2006/relationships/hyperlink" Target="https://aspredicted.org/ZW2_C76" TargetMode="External"/><Relationship Id="rId3359" Type="http://schemas.openxmlformats.org/officeDocument/2006/relationships/hyperlink" Target="https://osf.io/pqt82" TargetMode="External"/><Relationship Id="rId2028" Type="http://schemas.openxmlformats.org/officeDocument/2006/relationships/hyperlink" Target="https://osf.io/j4ers" TargetMode="External"/><Relationship Id="rId3358" Type="http://schemas.openxmlformats.org/officeDocument/2006/relationships/hyperlink" Target="https://osf.io/7xf4q" TargetMode="External"/><Relationship Id="rId2029" Type="http://schemas.openxmlformats.org/officeDocument/2006/relationships/hyperlink" Target="https://osf.io/j4ers" TargetMode="External"/><Relationship Id="rId107" Type="http://schemas.openxmlformats.org/officeDocument/2006/relationships/hyperlink" Target="https://aspredicted.org/" TargetMode="External"/><Relationship Id="rId106" Type="http://schemas.openxmlformats.org/officeDocument/2006/relationships/hyperlink" Target="https://aspredicted.org/" TargetMode="External"/><Relationship Id="rId105" Type="http://schemas.openxmlformats.org/officeDocument/2006/relationships/hyperlink" Target="https://doi.org/10.1016/j.drugalcdep.2024.111323" TargetMode="External"/><Relationship Id="rId104" Type="http://schemas.openxmlformats.org/officeDocument/2006/relationships/hyperlink" Target="https://doi.org/10.1016/j.drugalcdep.2024.111323" TargetMode="External"/><Relationship Id="rId109" Type="http://schemas.openxmlformats.org/officeDocument/2006/relationships/hyperlink" Target="https://aspredicted.org/" TargetMode="External"/><Relationship Id="rId108" Type="http://schemas.openxmlformats.org/officeDocument/2006/relationships/hyperlink" Target="https://doi.org/10.1016/j.drugalcdep.2024.111323" TargetMode="External"/><Relationship Id="rId3351" Type="http://schemas.openxmlformats.org/officeDocument/2006/relationships/hyperlink" Target="https://osf.io/2cs6z/" TargetMode="External"/><Relationship Id="rId2020" Type="http://schemas.openxmlformats.org/officeDocument/2006/relationships/hyperlink" Target="https://aspredicted.org/ZW2_C76" TargetMode="External"/><Relationship Id="rId3350" Type="http://schemas.openxmlformats.org/officeDocument/2006/relationships/hyperlink" Target="https://osf.io/c3bt2" TargetMode="External"/><Relationship Id="rId2021" Type="http://schemas.openxmlformats.org/officeDocument/2006/relationships/hyperlink" Target="https://aspredicted.org/ZW2_C76" TargetMode="External"/><Relationship Id="rId3353" Type="http://schemas.openxmlformats.org/officeDocument/2006/relationships/hyperlink" Target="https://osf.io/8hdu3/" TargetMode="External"/><Relationship Id="rId2022" Type="http://schemas.openxmlformats.org/officeDocument/2006/relationships/hyperlink" Target="https://aspredicted.org/ZW2_C76" TargetMode="External"/><Relationship Id="rId3352" Type="http://schemas.openxmlformats.org/officeDocument/2006/relationships/hyperlink" Target="https://doi.org/10.17605/OSF.IO/W34FB" TargetMode="External"/><Relationship Id="rId103" Type="http://schemas.openxmlformats.org/officeDocument/2006/relationships/hyperlink" Target="https://aspredicted.org/" TargetMode="External"/><Relationship Id="rId2023" Type="http://schemas.openxmlformats.org/officeDocument/2006/relationships/hyperlink" Target="https://aspredicted.org/ZW2_C76" TargetMode="External"/><Relationship Id="rId3355" Type="http://schemas.openxmlformats.org/officeDocument/2006/relationships/hyperlink" Target="https://osf.io/pqt82" TargetMode="External"/><Relationship Id="rId102" Type="http://schemas.openxmlformats.org/officeDocument/2006/relationships/hyperlink" Target="https://aspredicted.org/" TargetMode="External"/><Relationship Id="rId2024" Type="http://schemas.openxmlformats.org/officeDocument/2006/relationships/hyperlink" Target="https://aspredicted.org/ZW2_C76" TargetMode="External"/><Relationship Id="rId3354" Type="http://schemas.openxmlformats.org/officeDocument/2006/relationships/hyperlink" Target="https://osf.io/pqt82" TargetMode="External"/><Relationship Id="rId101" Type="http://schemas.openxmlformats.org/officeDocument/2006/relationships/hyperlink" Target="https://doi.org/10.1016/j.drugalcdep.2024.111323" TargetMode="External"/><Relationship Id="rId2025" Type="http://schemas.openxmlformats.org/officeDocument/2006/relationships/hyperlink" Target="https://aspredicted.org/ZW2_C76" TargetMode="External"/><Relationship Id="rId3357" Type="http://schemas.openxmlformats.org/officeDocument/2006/relationships/hyperlink" Target="https://docs.google.com/document/d/1hW5moEcdB-U0Ud-MNOB5iYSkeQL60SqVekufodODxDQ/edit?tab=t.0" TargetMode="External"/><Relationship Id="rId100" Type="http://schemas.openxmlformats.org/officeDocument/2006/relationships/hyperlink" Target="http://rave.ohiolink.edu/etdc/view?acc_num=ysu1714739251583684" TargetMode="External"/><Relationship Id="rId2026" Type="http://schemas.openxmlformats.org/officeDocument/2006/relationships/hyperlink" Target="https://aspredicted.org/ZW2_C76" TargetMode="External"/><Relationship Id="rId3356" Type="http://schemas.openxmlformats.org/officeDocument/2006/relationships/hyperlink" Target="https://osf.io/8wd2b/" TargetMode="External"/><Relationship Id="rId2016" Type="http://schemas.openxmlformats.org/officeDocument/2006/relationships/hyperlink" Target="https://aspredicted.org/ZW2_C76" TargetMode="External"/><Relationship Id="rId3348" Type="http://schemas.openxmlformats.org/officeDocument/2006/relationships/hyperlink" Target="https://osf.io/dc9kb/" TargetMode="External"/><Relationship Id="rId2017" Type="http://schemas.openxmlformats.org/officeDocument/2006/relationships/hyperlink" Target="https://aspredicted.org/ZW2_C76" TargetMode="External"/><Relationship Id="rId3347" Type="http://schemas.openxmlformats.org/officeDocument/2006/relationships/hyperlink" Target="https://doi.org/10.1525/collabra.90203" TargetMode="External"/><Relationship Id="rId2018" Type="http://schemas.openxmlformats.org/officeDocument/2006/relationships/hyperlink" Target="https://aspredicted.org/ZW2_C76" TargetMode="External"/><Relationship Id="rId2019" Type="http://schemas.openxmlformats.org/officeDocument/2006/relationships/hyperlink" Target="https://aspredicted.org/ZW2_C76" TargetMode="External"/><Relationship Id="rId3349" Type="http://schemas.openxmlformats.org/officeDocument/2006/relationships/hyperlink" Target="https://osf.io/wmqtb/" TargetMode="External"/><Relationship Id="rId3340" Type="http://schemas.openxmlformats.org/officeDocument/2006/relationships/hyperlink" Target="https://osf.io/r4aku" TargetMode="External"/><Relationship Id="rId2010" Type="http://schemas.openxmlformats.org/officeDocument/2006/relationships/hyperlink" Target="https://aspredicted.org/ZW2_C76" TargetMode="External"/><Relationship Id="rId3342" Type="http://schemas.openxmlformats.org/officeDocument/2006/relationships/hyperlink" Target="https://osf.io/czha8" TargetMode="External"/><Relationship Id="rId2011" Type="http://schemas.openxmlformats.org/officeDocument/2006/relationships/hyperlink" Target="https://aspredicted.org/ZW2_C76" TargetMode="External"/><Relationship Id="rId3341" Type="http://schemas.openxmlformats.org/officeDocument/2006/relationships/hyperlink" Target="https://osf.io/js5db" TargetMode="External"/><Relationship Id="rId2012" Type="http://schemas.openxmlformats.org/officeDocument/2006/relationships/hyperlink" Target="https://aspredicted.org/ZW2_C76" TargetMode="External"/><Relationship Id="rId3344" Type="http://schemas.openxmlformats.org/officeDocument/2006/relationships/hyperlink" Target="https://doi.org/10.1525/collabra.87489" TargetMode="External"/><Relationship Id="rId2013" Type="http://schemas.openxmlformats.org/officeDocument/2006/relationships/hyperlink" Target="https://aspredicted.org/ZW2_C76" TargetMode="External"/><Relationship Id="rId3343" Type="http://schemas.openxmlformats.org/officeDocument/2006/relationships/hyperlink" Target="https://osf.io/6z32c" TargetMode="External"/><Relationship Id="rId2014" Type="http://schemas.openxmlformats.org/officeDocument/2006/relationships/hyperlink" Target="https://aspredicted.org/ZW2_C76" TargetMode="External"/><Relationship Id="rId3346" Type="http://schemas.openxmlformats.org/officeDocument/2006/relationships/hyperlink" Target="https://osf.io/bjafe/" TargetMode="External"/><Relationship Id="rId2015" Type="http://schemas.openxmlformats.org/officeDocument/2006/relationships/hyperlink" Target="https://aspredicted.org/ZW2_C76" TargetMode="External"/><Relationship Id="rId3345" Type="http://schemas.openxmlformats.org/officeDocument/2006/relationships/hyperlink" Target="https://osf.io/cga6h" TargetMode="External"/><Relationship Id="rId2049" Type="http://schemas.openxmlformats.org/officeDocument/2006/relationships/hyperlink" Target="https://osf.io/4a5ej" TargetMode="External"/><Relationship Id="rId129" Type="http://schemas.openxmlformats.org/officeDocument/2006/relationships/hyperlink" Target="https://osf.io/8ga4s?view_only=38d7630a8c6e4eb6aee200540eec175d" TargetMode="External"/><Relationship Id="rId128" Type="http://schemas.openxmlformats.org/officeDocument/2006/relationships/hyperlink" Target="https://osf.io/8ga4s?view_only=38d7630a8c6e4eb6aee200540eec175d" TargetMode="External"/><Relationship Id="rId127" Type="http://schemas.openxmlformats.org/officeDocument/2006/relationships/hyperlink" Target="https://osf.io/8ga4s?view_only=38d7630a8c6e4eb6aee200540eec175d" TargetMode="External"/><Relationship Id="rId126" Type="http://schemas.openxmlformats.org/officeDocument/2006/relationships/hyperlink" Target="https://osf.io/8ga4s?view_only=38d7630a8c6e4eb6aee200540eec175d" TargetMode="External"/><Relationship Id="rId3371" Type="http://schemas.openxmlformats.org/officeDocument/2006/relationships/hyperlink" Target="https://doi.org/10.17605/OSF.IO/QSWE3" TargetMode="External"/><Relationship Id="rId2040" Type="http://schemas.openxmlformats.org/officeDocument/2006/relationships/hyperlink" Target="https://osf.io/k6ytw" TargetMode="External"/><Relationship Id="rId3370" Type="http://schemas.openxmlformats.org/officeDocument/2006/relationships/hyperlink" Target="https://osf.io/xf76v" TargetMode="External"/><Relationship Id="rId121" Type="http://schemas.openxmlformats.org/officeDocument/2006/relationships/hyperlink" Target="https://doi.org/10.1007/s40732-024-00597-x" TargetMode="External"/><Relationship Id="rId2041" Type="http://schemas.openxmlformats.org/officeDocument/2006/relationships/hyperlink" Target="https://osf.io/k6ytw" TargetMode="External"/><Relationship Id="rId3373" Type="http://schemas.openxmlformats.org/officeDocument/2006/relationships/hyperlink" Target="https://osf.io/xf76v" TargetMode="External"/><Relationship Id="rId120" Type="http://schemas.openxmlformats.org/officeDocument/2006/relationships/hyperlink" Target="https://doi.org/10.1007/s40732-024-00597-x" TargetMode="External"/><Relationship Id="rId2042" Type="http://schemas.openxmlformats.org/officeDocument/2006/relationships/hyperlink" Target="https://osf.io/k6ytw" TargetMode="External"/><Relationship Id="rId3372" Type="http://schemas.openxmlformats.org/officeDocument/2006/relationships/hyperlink" Target="https://osf.io/u59ab" TargetMode="External"/><Relationship Id="rId2043" Type="http://schemas.openxmlformats.org/officeDocument/2006/relationships/hyperlink" Target="https://osf.io/k6ytw" TargetMode="External"/><Relationship Id="rId3375" Type="http://schemas.openxmlformats.org/officeDocument/2006/relationships/hyperlink" Target="https://drive.google.com/file/d/1-9Fcmt4OS-LDChgj2l27HGaNzy4UZ_SN/view?usp=drive_link" TargetMode="External"/><Relationship Id="rId2044" Type="http://schemas.openxmlformats.org/officeDocument/2006/relationships/hyperlink" Target="https://osf.io/k6ytw" TargetMode="External"/><Relationship Id="rId3374" Type="http://schemas.openxmlformats.org/officeDocument/2006/relationships/hyperlink" Target="https://osf.io/gcf3v/?view_only=" TargetMode="External"/><Relationship Id="rId125" Type="http://schemas.openxmlformats.org/officeDocument/2006/relationships/hyperlink" Target="https://osf.io/8ga4s?view_only=38d7630a8c6e4eb6aee200540eec175d" TargetMode="External"/><Relationship Id="rId2045" Type="http://schemas.openxmlformats.org/officeDocument/2006/relationships/hyperlink" Target="https://osf.io/8z3qb" TargetMode="External"/><Relationship Id="rId3377" Type="http://schemas.openxmlformats.org/officeDocument/2006/relationships/hyperlink" Target="https://osf.io/gcf3v/?view_only=" TargetMode="External"/><Relationship Id="rId124" Type="http://schemas.openxmlformats.org/officeDocument/2006/relationships/hyperlink" Target="https://osf.io/8ga4s?view_only=38d7630a8c6e4eb6aee200540eec175d" TargetMode="External"/><Relationship Id="rId2046" Type="http://schemas.openxmlformats.org/officeDocument/2006/relationships/hyperlink" Target="https://osf.io/8z3qb" TargetMode="External"/><Relationship Id="rId3376" Type="http://schemas.openxmlformats.org/officeDocument/2006/relationships/hyperlink" Target="https://docs.google.com/document/d/1WKb2HAoSmgUndzcI1DDYuGyUpLFwcmuSn5OAIlI32KI/edit?tab=t.0" TargetMode="External"/><Relationship Id="rId123" Type="http://schemas.openxmlformats.org/officeDocument/2006/relationships/hyperlink" Target="https://osf.io/8ga4s?view_only=38d7630a8c6e4eb6aee200540eec175d" TargetMode="External"/><Relationship Id="rId2047" Type="http://schemas.openxmlformats.org/officeDocument/2006/relationships/hyperlink" Target="https://osf.io/8z3qb" TargetMode="External"/><Relationship Id="rId3379" Type="http://schemas.openxmlformats.org/officeDocument/2006/relationships/hyperlink" Target="https://docs.google.com/document/d/1WKb2HAoSmgUndzcI1DDYuGyUpLFwcmuSn5OAIlI32KI/edit?tab=t.0" TargetMode="External"/><Relationship Id="rId122" Type="http://schemas.openxmlformats.org/officeDocument/2006/relationships/hyperlink" Target="https://osf.io/8ga4s?view_only=38d7630a8c6e4eb6aee200540eec175d" TargetMode="External"/><Relationship Id="rId2048" Type="http://schemas.openxmlformats.org/officeDocument/2006/relationships/hyperlink" Target="https://osf.io/4a5ej" TargetMode="External"/><Relationship Id="rId3378" Type="http://schemas.openxmlformats.org/officeDocument/2006/relationships/hyperlink" Target="https://drive.google.com/file/d/1-9Fcmt4OS-LDChgj2l27HGaNzy4UZ_SN/view?usp=drive_link" TargetMode="External"/><Relationship Id="rId2038" Type="http://schemas.openxmlformats.org/officeDocument/2006/relationships/hyperlink" Target="https://osf.io/k6ytw" TargetMode="External"/><Relationship Id="rId2039" Type="http://schemas.openxmlformats.org/officeDocument/2006/relationships/hyperlink" Target="https://osf.io/k6ytw" TargetMode="External"/><Relationship Id="rId3369" Type="http://schemas.openxmlformats.org/officeDocument/2006/relationships/hyperlink" Target="https://osf.io/u59ab" TargetMode="External"/><Relationship Id="rId118" Type="http://schemas.openxmlformats.org/officeDocument/2006/relationships/hyperlink" Target="https://aspredicted.org/" TargetMode="External"/><Relationship Id="rId117" Type="http://schemas.openxmlformats.org/officeDocument/2006/relationships/hyperlink" Target="https://doi.org/10.1016/j.drugalcdep.2024.111323" TargetMode="External"/><Relationship Id="rId116" Type="http://schemas.openxmlformats.org/officeDocument/2006/relationships/hyperlink" Target="https://aspredicted.org/" TargetMode="External"/><Relationship Id="rId115" Type="http://schemas.openxmlformats.org/officeDocument/2006/relationships/hyperlink" Target="https://aspredicted.org/" TargetMode="External"/><Relationship Id="rId3360" Type="http://schemas.openxmlformats.org/officeDocument/2006/relationships/hyperlink" Target="https://osf.io/pqt82" TargetMode="External"/><Relationship Id="rId119" Type="http://schemas.openxmlformats.org/officeDocument/2006/relationships/hyperlink" Target="https://aspredicted.org/" TargetMode="External"/><Relationship Id="rId110" Type="http://schemas.openxmlformats.org/officeDocument/2006/relationships/hyperlink" Target="https://aspredicted.org/" TargetMode="External"/><Relationship Id="rId2030" Type="http://schemas.openxmlformats.org/officeDocument/2006/relationships/hyperlink" Target="https://osf.io/j4ers" TargetMode="External"/><Relationship Id="rId3362" Type="http://schemas.openxmlformats.org/officeDocument/2006/relationships/hyperlink" Target="https://doi.org/10.17605/OSF.IO/QSWE3" TargetMode="External"/><Relationship Id="rId2031" Type="http://schemas.openxmlformats.org/officeDocument/2006/relationships/hyperlink" Target="https://osf.io/j4ers" TargetMode="External"/><Relationship Id="rId3361" Type="http://schemas.openxmlformats.org/officeDocument/2006/relationships/hyperlink" Target="https://osf.io/8wd2b/" TargetMode="External"/><Relationship Id="rId2032" Type="http://schemas.openxmlformats.org/officeDocument/2006/relationships/hyperlink" Target="https://osf.io/j4ers" TargetMode="External"/><Relationship Id="rId3364" Type="http://schemas.openxmlformats.org/officeDocument/2006/relationships/hyperlink" Target="https://osf.io/xf76v" TargetMode="External"/><Relationship Id="rId2033" Type="http://schemas.openxmlformats.org/officeDocument/2006/relationships/hyperlink" Target="https://osf.io/j4ers" TargetMode="External"/><Relationship Id="rId3363" Type="http://schemas.openxmlformats.org/officeDocument/2006/relationships/hyperlink" Target="https://osf.io/u59ab" TargetMode="External"/><Relationship Id="rId114" Type="http://schemas.openxmlformats.org/officeDocument/2006/relationships/hyperlink" Target="https://doi.org/10.1016/j.drugalcdep.2024.111323" TargetMode="External"/><Relationship Id="rId2034" Type="http://schemas.openxmlformats.org/officeDocument/2006/relationships/hyperlink" Target="https://osf.io/j4ers" TargetMode="External"/><Relationship Id="rId3366" Type="http://schemas.openxmlformats.org/officeDocument/2006/relationships/hyperlink" Target="https://osf.io/u59ab" TargetMode="External"/><Relationship Id="rId113" Type="http://schemas.openxmlformats.org/officeDocument/2006/relationships/hyperlink" Target="https://aspredicted.org/" TargetMode="External"/><Relationship Id="rId2035" Type="http://schemas.openxmlformats.org/officeDocument/2006/relationships/hyperlink" Target="https://osf.io/j4ers" TargetMode="External"/><Relationship Id="rId3365" Type="http://schemas.openxmlformats.org/officeDocument/2006/relationships/hyperlink" Target="https://doi.org/10.17605/OSF.IO/QSWE3" TargetMode="External"/><Relationship Id="rId112" Type="http://schemas.openxmlformats.org/officeDocument/2006/relationships/hyperlink" Target="https://aspredicted.org/" TargetMode="External"/><Relationship Id="rId2036" Type="http://schemas.openxmlformats.org/officeDocument/2006/relationships/hyperlink" Target="https://osf.io/j4ers" TargetMode="External"/><Relationship Id="rId3368" Type="http://schemas.openxmlformats.org/officeDocument/2006/relationships/hyperlink" Target="https://doi.org/10.17605/OSF.IO/QSWE3" TargetMode="External"/><Relationship Id="rId111" Type="http://schemas.openxmlformats.org/officeDocument/2006/relationships/hyperlink" Target="https://doi.org/10.1016/j.drugalcdep.2024.111323" TargetMode="External"/><Relationship Id="rId2037" Type="http://schemas.openxmlformats.org/officeDocument/2006/relationships/hyperlink" Target="https://osf.io/k6ytw" TargetMode="External"/><Relationship Id="rId3367" Type="http://schemas.openxmlformats.org/officeDocument/2006/relationships/hyperlink" Target="https://osf.io/xf76v" TargetMode="External"/><Relationship Id="rId3315" Type="http://schemas.openxmlformats.org/officeDocument/2006/relationships/hyperlink" Target="https://osf.io/4q5ce/wiki/home/" TargetMode="External"/><Relationship Id="rId3314" Type="http://schemas.openxmlformats.org/officeDocument/2006/relationships/hyperlink" Target="https://osf.io/4q5ce/wiki/home/" TargetMode="External"/><Relationship Id="rId3317" Type="http://schemas.openxmlformats.org/officeDocument/2006/relationships/hyperlink" Target="https://osf.io/zea87" TargetMode="External"/><Relationship Id="rId3316" Type="http://schemas.openxmlformats.org/officeDocument/2006/relationships/hyperlink" Target="https://osf.io/wpzg7" TargetMode="External"/><Relationship Id="rId3319" Type="http://schemas.openxmlformats.org/officeDocument/2006/relationships/hyperlink" Target="https://osf.io/wpzg7" TargetMode="External"/><Relationship Id="rId3318" Type="http://schemas.openxmlformats.org/officeDocument/2006/relationships/hyperlink" Target="https://osf.io/wpzg7" TargetMode="External"/><Relationship Id="rId3311" Type="http://schemas.openxmlformats.org/officeDocument/2006/relationships/hyperlink" Target="https://osf.io/4q5ce/wiki/home/" TargetMode="External"/><Relationship Id="rId3310" Type="http://schemas.openxmlformats.org/officeDocument/2006/relationships/hyperlink" Target="https://osf.io/4q5ce/wiki/home/" TargetMode="External"/><Relationship Id="rId3313" Type="http://schemas.openxmlformats.org/officeDocument/2006/relationships/hyperlink" Target="https://osf.io/4q5ce/wiki/home/" TargetMode="External"/><Relationship Id="rId3312" Type="http://schemas.openxmlformats.org/officeDocument/2006/relationships/hyperlink" Target="https://osf.io/4q5ce/wiki/home/" TargetMode="External"/><Relationship Id="rId3304" Type="http://schemas.openxmlformats.org/officeDocument/2006/relationships/hyperlink" Target="https://hdl.handle.net/11250/2990125" TargetMode="External"/><Relationship Id="rId3303" Type="http://schemas.openxmlformats.org/officeDocument/2006/relationships/hyperlink" Target="https://osf.io/ynr2q/files/osfstorage?view_only=" TargetMode="External"/><Relationship Id="rId3306" Type="http://schemas.openxmlformats.org/officeDocument/2006/relationships/hyperlink" Target="https://osf.io/nm568" TargetMode="External"/><Relationship Id="rId3305" Type="http://schemas.openxmlformats.org/officeDocument/2006/relationships/hyperlink" Target="https://hdl.handle.net/11250/2990125" TargetMode="External"/><Relationship Id="rId3308" Type="http://schemas.openxmlformats.org/officeDocument/2006/relationships/hyperlink" Target="https://osf.io/wtpsr" TargetMode="External"/><Relationship Id="rId3307" Type="http://schemas.openxmlformats.org/officeDocument/2006/relationships/hyperlink" Target="https://osf.io/4q5ce/wiki/home/" TargetMode="External"/><Relationship Id="rId3309" Type="http://schemas.openxmlformats.org/officeDocument/2006/relationships/hyperlink" Target="https://osf.io/4q5ce/wiki/home/" TargetMode="External"/><Relationship Id="rId3300" Type="http://schemas.openxmlformats.org/officeDocument/2006/relationships/hyperlink" Target="https://osf.io/my6wv" TargetMode="External"/><Relationship Id="rId3302" Type="http://schemas.openxmlformats.org/officeDocument/2006/relationships/hyperlink" Target="https://osf.io/ynr2q/files/osfstorage?view_only=" TargetMode="External"/><Relationship Id="rId3301" Type="http://schemas.openxmlformats.org/officeDocument/2006/relationships/hyperlink" Target="https://osf.io/my6wv" TargetMode="External"/><Relationship Id="rId2005" Type="http://schemas.openxmlformats.org/officeDocument/2006/relationships/hyperlink" Target="https://aspredicted.org/ZW2_C76" TargetMode="External"/><Relationship Id="rId3337" Type="http://schemas.openxmlformats.org/officeDocument/2006/relationships/hyperlink" Target="https://osf.io/yrvuq" TargetMode="External"/><Relationship Id="rId2006" Type="http://schemas.openxmlformats.org/officeDocument/2006/relationships/hyperlink" Target="https://aspredicted.org/ZW2_C76" TargetMode="External"/><Relationship Id="rId3336" Type="http://schemas.openxmlformats.org/officeDocument/2006/relationships/hyperlink" Target="https://osf.io/kbnjw;" TargetMode="External"/><Relationship Id="rId2007" Type="http://schemas.openxmlformats.org/officeDocument/2006/relationships/hyperlink" Target="https://aspredicted.org/ZW2_C76" TargetMode="External"/><Relationship Id="rId3339" Type="http://schemas.openxmlformats.org/officeDocument/2006/relationships/hyperlink" Target="https://osf.io/b936n" TargetMode="External"/><Relationship Id="rId2008" Type="http://schemas.openxmlformats.org/officeDocument/2006/relationships/hyperlink" Target="https://aspredicted.org/ZW2_C76" TargetMode="External"/><Relationship Id="rId3338" Type="http://schemas.openxmlformats.org/officeDocument/2006/relationships/hyperlink" Target="https://osf.io/b936n" TargetMode="External"/><Relationship Id="rId2009" Type="http://schemas.openxmlformats.org/officeDocument/2006/relationships/hyperlink" Target="https://aspredicted.org/ZW2_C76" TargetMode="External"/><Relationship Id="rId3331" Type="http://schemas.openxmlformats.org/officeDocument/2006/relationships/hyperlink" Target="https://osf.io/cmrbh" TargetMode="External"/><Relationship Id="rId2000" Type="http://schemas.openxmlformats.org/officeDocument/2006/relationships/hyperlink" Target="https://aspredicted.org/ZW2_C76" TargetMode="External"/><Relationship Id="rId3330" Type="http://schemas.openxmlformats.org/officeDocument/2006/relationships/hyperlink" Target="https://osf.io/cmrbh" TargetMode="External"/><Relationship Id="rId2001" Type="http://schemas.openxmlformats.org/officeDocument/2006/relationships/hyperlink" Target="https://aspredicted.org/ZW2_C76" TargetMode="External"/><Relationship Id="rId3333" Type="http://schemas.openxmlformats.org/officeDocument/2006/relationships/hyperlink" Target="https://osf.io/mhwbe" TargetMode="External"/><Relationship Id="rId2002" Type="http://schemas.openxmlformats.org/officeDocument/2006/relationships/hyperlink" Target="https://aspredicted.org/ZW2_C76" TargetMode="External"/><Relationship Id="rId3332" Type="http://schemas.openxmlformats.org/officeDocument/2006/relationships/hyperlink" Target="https://osf.io/cmrbh" TargetMode="External"/><Relationship Id="rId2003" Type="http://schemas.openxmlformats.org/officeDocument/2006/relationships/hyperlink" Target="https://aspredicted.org/ZW2_C76" TargetMode="External"/><Relationship Id="rId3335" Type="http://schemas.openxmlformats.org/officeDocument/2006/relationships/hyperlink" Target="https://osf.io/fzchj" TargetMode="External"/><Relationship Id="rId2004" Type="http://schemas.openxmlformats.org/officeDocument/2006/relationships/hyperlink" Target="https://aspredicted.org/ZW2_C76" TargetMode="External"/><Relationship Id="rId3334" Type="http://schemas.openxmlformats.org/officeDocument/2006/relationships/hyperlink" Target="https://osf.io/gb7pk" TargetMode="External"/><Relationship Id="rId3326" Type="http://schemas.openxmlformats.org/officeDocument/2006/relationships/hyperlink" Target="https://osf.io/ju2fe/;" TargetMode="External"/><Relationship Id="rId3325" Type="http://schemas.openxmlformats.org/officeDocument/2006/relationships/hyperlink" Target="https://osf.io/ju2fe/;" TargetMode="External"/><Relationship Id="rId3328" Type="http://schemas.openxmlformats.org/officeDocument/2006/relationships/hyperlink" Target="https://osf.io/cmrbh" TargetMode="External"/><Relationship Id="rId3327" Type="http://schemas.openxmlformats.org/officeDocument/2006/relationships/hyperlink" Target="https://osf.io/cmrbh" TargetMode="External"/><Relationship Id="rId3329" Type="http://schemas.openxmlformats.org/officeDocument/2006/relationships/hyperlink" Target="https://osf.io/cmrbh" TargetMode="External"/><Relationship Id="rId3320" Type="http://schemas.openxmlformats.org/officeDocument/2006/relationships/hyperlink" Target="https://osf.io/wpzg7" TargetMode="External"/><Relationship Id="rId3322" Type="http://schemas.openxmlformats.org/officeDocument/2006/relationships/hyperlink" Target="https://osf.io/bgzay" TargetMode="External"/><Relationship Id="rId3321" Type="http://schemas.openxmlformats.org/officeDocument/2006/relationships/hyperlink" Target="https://osf.io/bgzay" TargetMode="External"/><Relationship Id="rId3324" Type="http://schemas.openxmlformats.org/officeDocument/2006/relationships/hyperlink" Target="https://osf.io/nrfth" TargetMode="External"/><Relationship Id="rId3323" Type="http://schemas.openxmlformats.org/officeDocument/2006/relationships/hyperlink" Target="https://osf.io/nrfth" TargetMode="External"/><Relationship Id="rId2090" Type="http://schemas.openxmlformats.org/officeDocument/2006/relationships/hyperlink" Target="https://aspredicted.org/ZW2_C76" TargetMode="External"/><Relationship Id="rId2091" Type="http://schemas.openxmlformats.org/officeDocument/2006/relationships/hyperlink" Target="https://aspredicted.org/ZW2_C76" TargetMode="External"/><Relationship Id="rId2092" Type="http://schemas.openxmlformats.org/officeDocument/2006/relationships/hyperlink" Target="https://aspredicted.org/ZW2_C76" TargetMode="External"/><Relationship Id="rId2093" Type="http://schemas.openxmlformats.org/officeDocument/2006/relationships/hyperlink" Target="https://aspredicted.org/ZW2_C76" TargetMode="External"/><Relationship Id="rId2094" Type="http://schemas.openxmlformats.org/officeDocument/2006/relationships/hyperlink" Target="https://aspredicted.org/ZW2_C76" TargetMode="External"/><Relationship Id="rId2095" Type="http://schemas.openxmlformats.org/officeDocument/2006/relationships/hyperlink" Target="https://aspredicted.org/ZW2_C76" TargetMode="External"/><Relationship Id="rId2096" Type="http://schemas.openxmlformats.org/officeDocument/2006/relationships/hyperlink" Target="https://aspredicted.org/ZW2_C76" TargetMode="External"/><Relationship Id="rId2097" Type="http://schemas.openxmlformats.org/officeDocument/2006/relationships/hyperlink" Target="https://aspredicted.org/ZW2_C76" TargetMode="External"/><Relationship Id="rId2098" Type="http://schemas.openxmlformats.org/officeDocument/2006/relationships/hyperlink" Target="https://aspredicted.org/ZW2_C76" TargetMode="External"/><Relationship Id="rId2099" Type="http://schemas.openxmlformats.org/officeDocument/2006/relationships/hyperlink" Target="https://aspredicted.org/ZW2_C76" TargetMode="External"/><Relationship Id="rId3391" Type="http://schemas.openxmlformats.org/officeDocument/2006/relationships/hyperlink" Target="https://docs.google.com/document/d/1WKb2HAoSmgUndzcI1DDYuGyUpLFwcmuSn5OAIlI32KI/edit?tab=t.0" TargetMode="External"/><Relationship Id="rId2060" Type="http://schemas.openxmlformats.org/officeDocument/2006/relationships/hyperlink" Target="https://osf.io/zmcsw" TargetMode="External"/><Relationship Id="rId3390" Type="http://schemas.openxmlformats.org/officeDocument/2006/relationships/hyperlink" Target="https://drive.google.com/file/d/1-9Fcmt4OS-LDChgj2l27HGaNzy4UZ_SN/view?usp=drive_link" TargetMode="External"/><Relationship Id="rId2061" Type="http://schemas.openxmlformats.org/officeDocument/2006/relationships/hyperlink" Target="https://osf.io/zmcsw" TargetMode="External"/><Relationship Id="rId3393" Type="http://schemas.openxmlformats.org/officeDocument/2006/relationships/hyperlink" Target="https://drive.google.com/file/d/1-9Fcmt4OS-LDChgj2l27HGaNzy4UZ_SN/view?usp=drive_link" TargetMode="External"/><Relationship Id="rId2062" Type="http://schemas.openxmlformats.org/officeDocument/2006/relationships/hyperlink" Target="https://osf.io/zmcsw" TargetMode="External"/><Relationship Id="rId3392" Type="http://schemas.openxmlformats.org/officeDocument/2006/relationships/hyperlink" Target="https://osf.io/gcf3v/?view_only=" TargetMode="External"/><Relationship Id="rId2063" Type="http://schemas.openxmlformats.org/officeDocument/2006/relationships/hyperlink" Target="https://osf.io/zmcsw" TargetMode="External"/><Relationship Id="rId3395" Type="http://schemas.openxmlformats.org/officeDocument/2006/relationships/hyperlink" Target="https://osf.io/gcf3v/?view_only=" TargetMode="External"/><Relationship Id="rId2064" Type="http://schemas.openxmlformats.org/officeDocument/2006/relationships/hyperlink" Target="https://osf.io/p7952" TargetMode="External"/><Relationship Id="rId3394" Type="http://schemas.openxmlformats.org/officeDocument/2006/relationships/hyperlink" Target="https://docs.google.com/document/d/1WKb2HAoSmgUndzcI1DDYuGyUpLFwcmuSn5OAIlI32KI/edit?tab=t.0" TargetMode="External"/><Relationship Id="rId2065" Type="http://schemas.openxmlformats.org/officeDocument/2006/relationships/hyperlink" Target="https://osf.io/p7952" TargetMode="External"/><Relationship Id="rId3397" Type="http://schemas.openxmlformats.org/officeDocument/2006/relationships/hyperlink" Target="https://docs.google.com/document/d/1WKb2HAoSmgUndzcI1DDYuGyUpLFwcmuSn5OAIlI32KI/edit?tab=t.0" TargetMode="External"/><Relationship Id="rId2066" Type="http://schemas.openxmlformats.org/officeDocument/2006/relationships/hyperlink" Target="https://osf.io/p7952" TargetMode="External"/><Relationship Id="rId3396" Type="http://schemas.openxmlformats.org/officeDocument/2006/relationships/hyperlink" Target="https://drive.google.com/file/d/1-9Fcmt4OS-LDChgj2l27HGaNzy4UZ_SN/view?usp=drive_link" TargetMode="External"/><Relationship Id="rId2067" Type="http://schemas.openxmlformats.org/officeDocument/2006/relationships/hyperlink" Target="https://osf.io/p7952" TargetMode="External"/><Relationship Id="rId3399" Type="http://schemas.openxmlformats.org/officeDocument/2006/relationships/hyperlink" Target="https://drive.google.com/file/d/1-9Fcmt4OS-LDChgj2l27HGaNzy4UZ_SN/view?usp=drive_link" TargetMode="External"/><Relationship Id="rId2068" Type="http://schemas.openxmlformats.org/officeDocument/2006/relationships/hyperlink" Target="https://osf.io/p7952" TargetMode="External"/><Relationship Id="rId3398" Type="http://schemas.openxmlformats.org/officeDocument/2006/relationships/hyperlink" Target="https://osf.io/gcf3v/?view_only=" TargetMode="External"/><Relationship Id="rId2069" Type="http://schemas.openxmlformats.org/officeDocument/2006/relationships/hyperlink" Target="https://osf.io/p7952" TargetMode="External"/><Relationship Id="rId3380" Type="http://schemas.openxmlformats.org/officeDocument/2006/relationships/hyperlink" Target="https://osf.io/gcf3v/?view_only=" TargetMode="External"/><Relationship Id="rId2050" Type="http://schemas.openxmlformats.org/officeDocument/2006/relationships/hyperlink" Target="https://osf.io/4a5ej" TargetMode="External"/><Relationship Id="rId3382" Type="http://schemas.openxmlformats.org/officeDocument/2006/relationships/hyperlink" Target="https://docs.google.com/document/d/1WKb2HAoSmgUndzcI1DDYuGyUpLFwcmuSn5OAIlI32KI/edit?tab=t.0" TargetMode="External"/><Relationship Id="rId2051" Type="http://schemas.openxmlformats.org/officeDocument/2006/relationships/hyperlink" Target="https://osf.io/4a5ej" TargetMode="External"/><Relationship Id="rId3381" Type="http://schemas.openxmlformats.org/officeDocument/2006/relationships/hyperlink" Target="https://drive.google.com/file/d/1-9Fcmt4OS-LDChgj2l27HGaNzy4UZ_SN/view?usp=drive_link" TargetMode="External"/><Relationship Id="rId2052" Type="http://schemas.openxmlformats.org/officeDocument/2006/relationships/hyperlink" Target="https://osf.io/4a5ej" TargetMode="External"/><Relationship Id="rId3384" Type="http://schemas.openxmlformats.org/officeDocument/2006/relationships/hyperlink" Target="https://drive.google.com/file/d/1-9Fcmt4OS-LDChgj2l27HGaNzy4UZ_SN/view?usp=drive_link" TargetMode="External"/><Relationship Id="rId2053" Type="http://schemas.openxmlformats.org/officeDocument/2006/relationships/hyperlink" Target="https://osf.io/4a5ej" TargetMode="External"/><Relationship Id="rId3383" Type="http://schemas.openxmlformats.org/officeDocument/2006/relationships/hyperlink" Target="https://osf.io/gcf3v/?view_only=" TargetMode="External"/><Relationship Id="rId2054" Type="http://schemas.openxmlformats.org/officeDocument/2006/relationships/hyperlink" Target="https://osf.io/4a5ej" TargetMode="External"/><Relationship Id="rId3386" Type="http://schemas.openxmlformats.org/officeDocument/2006/relationships/hyperlink" Target="https://osf.io/gcf3v/?view_only=" TargetMode="External"/><Relationship Id="rId2055" Type="http://schemas.openxmlformats.org/officeDocument/2006/relationships/hyperlink" Target="https://osf.io/4a5ej" TargetMode="External"/><Relationship Id="rId3385" Type="http://schemas.openxmlformats.org/officeDocument/2006/relationships/hyperlink" Target="https://docs.google.com/document/d/1WKb2HAoSmgUndzcI1DDYuGyUpLFwcmuSn5OAIlI32KI/edit?tab=t.0" TargetMode="External"/><Relationship Id="rId2056" Type="http://schemas.openxmlformats.org/officeDocument/2006/relationships/hyperlink" Target="https://osf.io/zmcsw" TargetMode="External"/><Relationship Id="rId3388" Type="http://schemas.openxmlformats.org/officeDocument/2006/relationships/hyperlink" Target="https://docs.google.com/document/d/1WKb2HAoSmgUndzcI1DDYuGyUpLFwcmuSn5OAIlI32KI/edit?tab=t.0" TargetMode="External"/><Relationship Id="rId2057" Type="http://schemas.openxmlformats.org/officeDocument/2006/relationships/hyperlink" Target="https://osf.io/zmcsw" TargetMode="External"/><Relationship Id="rId3387" Type="http://schemas.openxmlformats.org/officeDocument/2006/relationships/hyperlink" Target="https://drive.google.com/file/d/1-9Fcmt4OS-LDChgj2l27HGaNzy4UZ_SN/view?usp=drive_link" TargetMode="External"/><Relationship Id="rId2058" Type="http://schemas.openxmlformats.org/officeDocument/2006/relationships/hyperlink" Target="https://osf.io/zmcsw" TargetMode="External"/><Relationship Id="rId2059" Type="http://schemas.openxmlformats.org/officeDocument/2006/relationships/hyperlink" Target="https://osf.io/zmcsw" TargetMode="External"/><Relationship Id="rId3389" Type="http://schemas.openxmlformats.org/officeDocument/2006/relationships/hyperlink" Target="https://osf.io/gcf3v/?view_only=" TargetMode="External"/><Relationship Id="rId2080" Type="http://schemas.openxmlformats.org/officeDocument/2006/relationships/hyperlink" Target="https://aspredicted.org/ZW2_C76" TargetMode="External"/><Relationship Id="rId2081" Type="http://schemas.openxmlformats.org/officeDocument/2006/relationships/hyperlink" Target="https://aspredicted.org/ZW2_C76" TargetMode="External"/><Relationship Id="rId2082" Type="http://schemas.openxmlformats.org/officeDocument/2006/relationships/hyperlink" Target="https://aspredicted.org/ZW2_C76" TargetMode="External"/><Relationship Id="rId2083" Type="http://schemas.openxmlformats.org/officeDocument/2006/relationships/hyperlink" Target="https://aspredicted.org/ZW2_C76" TargetMode="External"/><Relationship Id="rId2084" Type="http://schemas.openxmlformats.org/officeDocument/2006/relationships/hyperlink" Target="https://aspredicted.org/ZW2_C76" TargetMode="External"/><Relationship Id="rId2085" Type="http://schemas.openxmlformats.org/officeDocument/2006/relationships/hyperlink" Target="https://aspredicted.org/ZW2_C76" TargetMode="External"/><Relationship Id="rId2086" Type="http://schemas.openxmlformats.org/officeDocument/2006/relationships/hyperlink" Target="https://aspredicted.org/ZW2_C76" TargetMode="External"/><Relationship Id="rId2087" Type="http://schemas.openxmlformats.org/officeDocument/2006/relationships/hyperlink" Target="https://aspredicted.org/ZW2_C76" TargetMode="External"/><Relationship Id="rId2088" Type="http://schemas.openxmlformats.org/officeDocument/2006/relationships/hyperlink" Target="https://aspredicted.org/ZW2_C76" TargetMode="External"/><Relationship Id="rId2089" Type="http://schemas.openxmlformats.org/officeDocument/2006/relationships/hyperlink" Target="https://aspredicted.org/ZW2_C76" TargetMode="External"/><Relationship Id="rId2070" Type="http://schemas.openxmlformats.org/officeDocument/2006/relationships/hyperlink" Target="https://osf.io/p7952" TargetMode="External"/><Relationship Id="rId2071" Type="http://schemas.openxmlformats.org/officeDocument/2006/relationships/hyperlink" Target="https://aspredicted.org/ZW2_C76" TargetMode="External"/><Relationship Id="rId2072" Type="http://schemas.openxmlformats.org/officeDocument/2006/relationships/hyperlink" Target="https://aspredicted.org/ZW2_C76" TargetMode="External"/><Relationship Id="rId2073" Type="http://schemas.openxmlformats.org/officeDocument/2006/relationships/hyperlink" Target="https://aspredicted.org/ZW2_C76" TargetMode="External"/><Relationship Id="rId2074" Type="http://schemas.openxmlformats.org/officeDocument/2006/relationships/hyperlink" Target="https://aspredicted.org/ZW2_C76" TargetMode="External"/><Relationship Id="rId2075" Type="http://schemas.openxmlformats.org/officeDocument/2006/relationships/hyperlink" Target="https://aspredicted.org/ZW2_C76" TargetMode="External"/><Relationship Id="rId2076" Type="http://schemas.openxmlformats.org/officeDocument/2006/relationships/hyperlink" Target="https://aspredicted.org/ZW2_C76" TargetMode="External"/><Relationship Id="rId2077" Type="http://schemas.openxmlformats.org/officeDocument/2006/relationships/hyperlink" Target="https://aspredicted.org/ZW2_C76" TargetMode="External"/><Relationship Id="rId2078" Type="http://schemas.openxmlformats.org/officeDocument/2006/relationships/hyperlink" Target="https://aspredicted.org/ZW2_C76" TargetMode="External"/><Relationship Id="rId2079" Type="http://schemas.openxmlformats.org/officeDocument/2006/relationships/hyperlink" Target="https://aspredicted.org/ZW2_C76" TargetMode="External"/><Relationship Id="rId2940" Type="http://schemas.openxmlformats.org/officeDocument/2006/relationships/hyperlink" Target="https://drive.google.com/file/d/1Oyf6phoxDUGiryzACmCI2gdTcVIQO0rE/view?usp=drive_link" TargetMode="External"/><Relationship Id="rId1610" Type="http://schemas.openxmlformats.org/officeDocument/2006/relationships/hyperlink" Target="https://doi.org/10.1037/arc0000007" TargetMode="External"/><Relationship Id="rId2941" Type="http://schemas.openxmlformats.org/officeDocument/2006/relationships/hyperlink" Target="https://osf.io/j4ers" TargetMode="External"/><Relationship Id="rId1611" Type="http://schemas.openxmlformats.org/officeDocument/2006/relationships/hyperlink" Target="https://doi.org/10.1037/arc0000007" TargetMode="External"/><Relationship Id="rId2942" Type="http://schemas.openxmlformats.org/officeDocument/2006/relationships/hyperlink" Target="https://drive.google.com/file/d/1Oyf6phoxDUGiryzACmCI2gdTcVIQO0rE/view?usp=drive_link" TargetMode="External"/><Relationship Id="rId1612" Type="http://schemas.openxmlformats.org/officeDocument/2006/relationships/hyperlink" Target="https://osf.io/ct89g/" TargetMode="External"/><Relationship Id="rId2943" Type="http://schemas.openxmlformats.org/officeDocument/2006/relationships/hyperlink" Target="https://osf.io/j4ers" TargetMode="External"/><Relationship Id="rId1613" Type="http://schemas.openxmlformats.org/officeDocument/2006/relationships/hyperlink" Target="https://osf.io/ct89g/" TargetMode="External"/><Relationship Id="rId2944" Type="http://schemas.openxmlformats.org/officeDocument/2006/relationships/hyperlink" Target="https://drive.google.com/file/d/1Oyf6phoxDUGiryzACmCI2gdTcVIQO0rE/view?usp=drive_link" TargetMode="External"/><Relationship Id="rId1614" Type="http://schemas.openxmlformats.org/officeDocument/2006/relationships/hyperlink" Target="https://osf.io/ct89g/" TargetMode="External"/><Relationship Id="rId2945" Type="http://schemas.openxmlformats.org/officeDocument/2006/relationships/hyperlink" Target="https://osf.io/k6ytw" TargetMode="External"/><Relationship Id="rId1615" Type="http://schemas.openxmlformats.org/officeDocument/2006/relationships/hyperlink" Target="https://osf.io/ct89g/" TargetMode="External"/><Relationship Id="rId2946" Type="http://schemas.openxmlformats.org/officeDocument/2006/relationships/hyperlink" Target="https://drive.google.com/file/d/1Oyf6phoxDUGiryzACmCI2gdTcVIQO0rE/view?usp=drive_link" TargetMode="External"/><Relationship Id="rId1616" Type="http://schemas.openxmlformats.org/officeDocument/2006/relationships/hyperlink" Target="https://osf.io/ct89g/" TargetMode="External"/><Relationship Id="rId2947" Type="http://schemas.openxmlformats.org/officeDocument/2006/relationships/hyperlink" Target="https://osf.io/k6ytw" TargetMode="External"/><Relationship Id="rId907" Type="http://schemas.openxmlformats.org/officeDocument/2006/relationships/hyperlink" Target="https://osf.io/cxatn" TargetMode="External"/><Relationship Id="rId1617" Type="http://schemas.openxmlformats.org/officeDocument/2006/relationships/hyperlink" Target="https://osf.io/ct89g/" TargetMode="External"/><Relationship Id="rId2948" Type="http://schemas.openxmlformats.org/officeDocument/2006/relationships/hyperlink" Target="https://drive.google.com/file/d/1Oyf6phoxDUGiryzACmCI2gdTcVIQO0rE/view?usp=drive_link" TargetMode="External"/><Relationship Id="rId906" Type="http://schemas.openxmlformats.org/officeDocument/2006/relationships/hyperlink" Target="https://rpubs.com/cceballos-stanford/544019" TargetMode="External"/><Relationship Id="rId1618" Type="http://schemas.openxmlformats.org/officeDocument/2006/relationships/hyperlink" Target="https://osf.io/ct89g/" TargetMode="External"/><Relationship Id="rId2949" Type="http://schemas.openxmlformats.org/officeDocument/2006/relationships/hyperlink" Target="https://osf.io/k6ytw" TargetMode="External"/><Relationship Id="rId905" Type="http://schemas.openxmlformats.org/officeDocument/2006/relationships/hyperlink" Target="https://rpubs.com/cceballos-stanford/544019" TargetMode="External"/><Relationship Id="rId1619" Type="http://schemas.openxmlformats.org/officeDocument/2006/relationships/hyperlink" Target="https://osf.io/ct89g/" TargetMode="External"/><Relationship Id="rId904" Type="http://schemas.openxmlformats.org/officeDocument/2006/relationships/hyperlink" Target="https://osf.io/bd9ea)" TargetMode="External"/><Relationship Id="rId909" Type="http://schemas.openxmlformats.org/officeDocument/2006/relationships/hyperlink" Target="https://rpubs.com/cceballos-stanford/544019" TargetMode="External"/><Relationship Id="rId908" Type="http://schemas.openxmlformats.org/officeDocument/2006/relationships/hyperlink" Target="https://osf.io/bd9ea)" TargetMode="External"/><Relationship Id="rId903" Type="http://schemas.openxmlformats.org/officeDocument/2006/relationships/hyperlink" Target="https://osf.io/cxatn" TargetMode="External"/><Relationship Id="rId902" Type="http://schemas.openxmlformats.org/officeDocument/2006/relationships/hyperlink" Target="https://rpubs.com/cceballos-stanford/544019" TargetMode="External"/><Relationship Id="rId901" Type="http://schemas.openxmlformats.org/officeDocument/2006/relationships/hyperlink" Target="https://rpubs.com/cceballos-stanford/544019" TargetMode="External"/><Relationship Id="rId900" Type="http://schemas.openxmlformats.org/officeDocument/2006/relationships/hyperlink" Target="https://osf.io/bd9ea)" TargetMode="External"/><Relationship Id="rId2930" Type="http://schemas.openxmlformats.org/officeDocument/2006/relationships/hyperlink" Target="https://drive.google.com/file/d/1Oyf6phoxDUGiryzACmCI2gdTcVIQO0rE/view?usp=drive_link" TargetMode="External"/><Relationship Id="rId1600" Type="http://schemas.openxmlformats.org/officeDocument/2006/relationships/hyperlink" Target="https://osf.io/u6ghv" TargetMode="External"/><Relationship Id="rId2931" Type="http://schemas.openxmlformats.org/officeDocument/2006/relationships/hyperlink" Target="https://osf.io/j4ers" TargetMode="External"/><Relationship Id="rId1601" Type="http://schemas.openxmlformats.org/officeDocument/2006/relationships/hyperlink" Target="https://osf.io/ct89g/" TargetMode="External"/><Relationship Id="rId2932" Type="http://schemas.openxmlformats.org/officeDocument/2006/relationships/hyperlink" Target="https://drive.google.com/file/d/1Oyf6phoxDUGiryzACmCI2gdTcVIQO0rE/view?usp=drive_link" TargetMode="External"/><Relationship Id="rId1602" Type="http://schemas.openxmlformats.org/officeDocument/2006/relationships/hyperlink" Target="https://osf.io/ct89g/" TargetMode="External"/><Relationship Id="rId2933" Type="http://schemas.openxmlformats.org/officeDocument/2006/relationships/hyperlink" Target="https://osf.io/j4ers" TargetMode="External"/><Relationship Id="rId1603" Type="http://schemas.openxmlformats.org/officeDocument/2006/relationships/hyperlink" Target="https://osf.io/ryfse/" TargetMode="External"/><Relationship Id="rId2934" Type="http://schemas.openxmlformats.org/officeDocument/2006/relationships/hyperlink" Target="https://drive.google.com/file/d/1Oyf6phoxDUGiryzACmCI2gdTcVIQO0rE/view?usp=drive_link" TargetMode="External"/><Relationship Id="rId1604" Type="http://schemas.openxmlformats.org/officeDocument/2006/relationships/hyperlink" Target="https://osf.io/ryfse/" TargetMode="External"/><Relationship Id="rId2935" Type="http://schemas.openxmlformats.org/officeDocument/2006/relationships/hyperlink" Target="https://osf.io/j4ers" TargetMode="External"/><Relationship Id="rId1605" Type="http://schemas.openxmlformats.org/officeDocument/2006/relationships/hyperlink" Target="https://doi.org/10.1037/arc0000007" TargetMode="External"/><Relationship Id="rId2936" Type="http://schemas.openxmlformats.org/officeDocument/2006/relationships/hyperlink" Target="https://drive.google.com/file/d/1Oyf6phoxDUGiryzACmCI2gdTcVIQO0rE/view?usp=drive_link" TargetMode="External"/><Relationship Id="rId1606" Type="http://schemas.openxmlformats.org/officeDocument/2006/relationships/hyperlink" Target="https://doi.org/10.1037/arc0000007" TargetMode="External"/><Relationship Id="rId2937" Type="http://schemas.openxmlformats.org/officeDocument/2006/relationships/hyperlink" Target="https://osf.io/j4ers" TargetMode="External"/><Relationship Id="rId1607" Type="http://schemas.openxmlformats.org/officeDocument/2006/relationships/hyperlink" Target="https://doi.org/10.1037/arc0000007" TargetMode="External"/><Relationship Id="rId2938" Type="http://schemas.openxmlformats.org/officeDocument/2006/relationships/hyperlink" Target="https://drive.google.com/file/d/1Oyf6phoxDUGiryzACmCI2gdTcVIQO0rE/view?usp=drive_link" TargetMode="External"/><Relationship Id="rId1608" Type="http://schemas.openxmlformats.org/officeDocument/2006/relationships/hyperlink" Target="https://doi.org/10.1037/arc0000007" TargetMode="External"/><Relationship Id="rId2939" Type="http://schemas.openxmlformats.org/officeDocument/2006/relationships/hyperlink" Target="https://osf.io/j4ers" TargetMode="External"/><Relationship Id="rId1609" Type="http://schemas.openxmlformats.org/officeDocument/2006/relationships/hyperlink" Target="https://doi.org/10.1037/arc0000007" TargetMode="External"/><Relationship Id="rId1631" Type="http://schemas.openxmlformats.org/officeDocument/2006/relationships/hyperlink" Target="https://osf.io/kizyn" TargetMode="External"/><Relationship Id="rId2962" Type="http://schemas.openxmlformats.org/officeDocument/2006/relationships/hyperlink" Target="https://drive.google.com/file/d/1Oyf6phoxDUGiryzACmCI2gdTcVIQO0rE/view?usp=drive_link" TargetMode="External"/><Relationship Id="rId1632" Type="http://schemas.openxmlformats.org/officeDocument/2006/relationships/hyperlink" Target="https://osf.io/y36m8" TargetMode="External"/><Relationship Id="rId2963" Type="http://schemas.openxmlformats.org/officeDocument/2006/relationships/hyperlink" Target="https://osf.io/zmcsw" TargetMode="External"/><Relationship Id="rId1633" Type="http://schemas.openxmlformats.org/officeDocument/2006/relationships/hyperlink" Target="https://osf.io/y36m8" TargetMode="External"/><Relationship Id="rId2964" Type="http://schemas.openxmlformats.org/officeDocument/2006/relationships/hyperlink" Target="https://drive.google.com/file/d/1Oyf6phoxDUGiryzACmCI2gdTcVIQO0rE/view?usp=drive_link" TargetMode="External"/><Relationship Id="rId1634" Type="http://schemas.openxmlformats.org/officeDocument/2006/relationships/hyperlink" Target="https://osf.io/y36m8" TargetMode="External"/><Relationship Id="rId2965" Type="http://schemas.openxmlformats.org/officeDocument/2006/relationships/hyperlink" Target="https://osf.io/zmcsw" TargetMode="External"/><Relationship Id="rId1635" Type="http://schemas.openxmlformats.org/officeDocument/2006/relationships/hyperlink" Target="https://osf.io/y36m8" TargetMode="External"/><Relationship Id="rId2966" Type="http://schemas.openxmlformats.org/officeDocument/2006/relationships/hyperlink" Target="https://drive.google.com/file/d/1Oyf6phoxDUGiryzACmCI2gdTcVIQO0rE/view?usp=drive_link" TargetMode="External"/><Relationship Id="rId1636" Type="http://schemas.openxmlformats.org/officeDocument/2006/relationships/hyperlink" Target="https://osf.io/5kyjt" TargetMode="External"/><Relationship Id="rId2967" Type="http://schemas.openxmlformats.org/officeDocument/2006/relationships/hyperlink" Target="https://osf.io/zmcsw" TargetMode="External"/><Relationship Id="rId1637" Type="http://schemas.openxmlformats.org/officeDocument/2006/relationships/hyperlink" Target="https://osf.io/5kyjt" TargetMode="External"/><Relationship Id="rId2968" Type="http://schemas.openxmlformats.org/officeDocument/2006/relationships/hyperlink" Target="https://drive.google.com/file/d/1Oyf6phoxDUGiryzACmCI2gdTcVIQO0rE/view?usp=drive_link" TargetMode="External"/><Relationship Id="rId1638" Type="http://schemas.openxmlformats.org/officeDocument/2006/relationships/hyperlink" Target="http://osf.io/Cju65/files/ReplicationProtocol_%20for_Vess2012_Replication_2_-_LeBel.doc" TargetMode="External"/><Relationship Id="rId2969" Type="http://schemas.openxmlformats.org/officeDocument/2006/relationships/hyperlink" Target="https://osf.io/p7952" TargetMode="External"/><Relationship Id="rId929" Type="http://schemas.openxmlformats.org/officeDocument/2006/relationships/hyperlink" Target="https://github.com/vboyce/251-254-MA/blob/main/data/processed_data.csv" TargetMode="External"/><Relationship Id="rId1639" Type="http://schemas.openxmlformats.org/officeDocument/2006/relationships/hyperlink" Target="http://osf.io/Cju65/files/ReplicationProtocol_%20for_Vess2012_Replication_2_-_LeBel.doc" TargetMode="External"/><Relationship Id="rId928" Type="http://schemas.openxmlformats.org/officeDocument/2006/relationships/hyperlink" Target="https://github.com/vboyce/251-254-MA/blob/main/data/processed_data.csv" TargetMode="External"/><Relationship Id="rId927" Type="http://schemas.openxmlformats.org/officeDocument/2006/relationships/hyperlink" Target="https://github.com/vboyce/251-254-MA/blob/main/data/processed_data.csv" TargetMode="External"/><Relationship Id="rId926" Type="http://schemas.openxmlformats.org/officeDocument/2006/relationships/hyperlink" Target="https://github.com/vboyce/251-254-MA/blob/main/data/processed_data.csv" TargetMode="External"/><Relationship Id="rId921" Type="http://schemas.openxmlformats.org/officeDocument/2006/relationships/hyperlink" Target="https://github.com/vboyce/251-254-MA/blob/main/data/processed_data.csv" TargetMode="External"/><Relationship Id="rId920" Type="http://schemas.openxmlformats.org/officeDocument/2006/relationships/hyperlink" Target="https://github.com/vboyce/251-254-MA/blob/main/data/processed_data.csv" TargetMode="External"/><Relationship Id="rId925" Type="http://schemas.openxmlformats.org/officeDocument/2006/relationships/hyperlink" Target="https://osf.io/9j2ym" TargetMode="External"/><Relationship Id="rId924" Type="http://schemas.openxmlformats.org/officeDocument/2006/relationships/hyperlink" Target="https://github.com/vboyce/251-254-MA/blob/main/data/processed_data.csv" TargetMode="External"/><Relationship Id="rId923" Type="http://schemas.openxmlformats.org/officeDocument/2006/relationships/hyperlink" Target="https://osf.io/38en2" TargetMode="External"/><Relationship Id="rId922" Type="http://schemas.openxmlformats.org/officeDocument/2006/relationships/hyperlink" Target="https://github.com/vboyce/251-254-MA/blob/main/data/processed_data.csv" TargetMode="External"/><Relationship Id="rId2960" Type="http://schemas.openxmlformats.org/officeDocument/2006/relationships/hyperlink" Target="https://drive.google.com/file/d/1Oyf6phoxDUGiryzACmCI2gdTcVIQO0rE/view?usp=drive_link" TargetMode="External"/><Relationship Id="rId1630" Type="http://schemas.openxmlformats.org/officeDocument/2006/relationships/hyperlink" Target="http://openscienceframework.org/project/nydrb/files/%20ReplicationProtocol_for_Vess2012_-_LeBel.doc" TargetMode="External"/><Relationship Id="rId2961" Type="http://schemas.openxmlformats.org/officeDocument/2006/relationships/hyperlink" Target="https://osf.io/zmcsw" TargetMode="External"/><Relationship Id="rId1620" Type="http://schemas.openxmlformats.org/officeDocument/2006/relationships/hyperlink" Target="https://osf.io/ct89g/" TargetMode="External"/><Relationship Id="rId2951" Type="http://schemas.openxmlformats.org/officeDocument/2006/relationships/hyperlink" Target="https://osf.io/k6ytw" TargetMode="External"/><Relationship Id="rId1621" Type="http://schemas.openxmlformats.org/officeDocument/2006/relationships/hyperlink" Target="https://osf.io/ct89g/" TargetMode="External"/><Relationship Id="rId2952" Type="http://schemas.openxmlformats.org/officeDocument/2006/relationships/hyperlink" Target="https://drive.google.com/file/d/1Oyf6phoxDUGiryzACmCI2gdTcVIQO0rE/view?usp=drive_link" TargetMode="External"/><Relationship Id="rId1622" Type="http://schemas.openxmlformats.org/officeDocument/2006/relationships/hyperlink" Target="https://osf.io/wamcn" TargetMode="External"/><Relationship Id="rId2953" Type="http://schemas.openxmlformats.org/officeDocument/2006/relationships/hyperlink" Target="https://osf.io/4a5ej" TargetMode="External"/><Relationship Id="rId1623" Type="http://schemas.openxmlformats.org/officeDocument/2006/relationships/hyperlink" Target="https://osf.io/kizyn" TargetMode="External"/><Relationship Id="rId2954" Type="http://schemas.openxmlformats.org/officeDocument/2006/relationships/hyperlink" Target="https://drive.google.com/file/d/1Oyf6phoxDUGiryzACmCI2gdTcVIQO0rE/view?usp=drive_link" TargetMode="External"/><Relationship Id="rId1624" Type="http://schemas.openxmlformats.org/officeDocument/2006/relationships/hyperlink" Target="https://osf.io/kizyn" TargetMode="External"/><Relationship Id="rId2955" Type="http://schemas.openxmlformats.org/officeDocument/2006/relationships/hyperlink" Target="https://osf.io/4a5ej" TargetMode="External"/><Relationship Id="rId1625" Type="http://schemas.openxmlformats.org/officeDocument/2006/relationships/hyperlink" Target="https://osf.io/kizyn" TargetMode="External"/><Relationship Id="rId2956" Type="http://schemas.openxmlformats.org/officeDocument/2006/relationships/hyperlink" Target="https://drive.google.com/file/d/1Oyf6phoxDUGiryzACmCI2gdTcVIQO0rE/view?usp=drive_link" TargetMode="External"/><Relationship Id="rId1626" Type="http://schemas.openxmlformats.org/officeDocument/2006/relationships/hyperlink" Target="http://openscienceframework.org/project/nydrb/files/%20ReplicationProtocol_for_Vess2012_-_LeBel.doc" TargetMode="External"/><Relationship Id="rId2957" Type="http://schemas.openxmlformats.org/officeDocument/2006/relationships/hyperlink" Target="https://osf.io/4a5ej" TargetMode="External"/><Relationship Id="rId1627" Type="http://schemas.openxmlformats.org/officeDocument/2006/relationships/hyperlink" Target="https://osf.io/kizyn" TargetMode="External"/><Relationship Id="rId2958" Type="http://schemas.openxmlformats.org/officeDocument/2006/relationships/hyperlink" Target="https://drive.google.com/file/d/1Oyf6phoxDUGiryzACmCI2gdTcVIQO0rE/view?usp=drive_link" TargetMode="External"/><Relationship Id="rId918" Type="http://schemas.openxmlformats.org/officeDocument/2006/relationships/hyperlink" Target="https://github.com/vboyce/251-254-MA/blob/main/data/processed_data.csv" TargetMode="External"/><Relationship Id="rId1628" Type="http://schemas.openxmlformats.org/officeDocument/2006/relationships/hyperlink" Target="http://openscienceframework.org/project/nydrb/files/%20ReplicationProtocol_for_Vess2012_-_LeBel.doc" TargetMode="External"/><Relationship Id="rId2959" Type="http://schemas.openxmlformats.org/officeDocument/2006/relationships/hyperlink" Target="https://osf.io/4a5ej" TargetMode="External"/><Relationship Id="rId917" Type="http://schemas.openxmlformats.org/officeDocument/2006/relationships/hyperlink" Target="https://github.com/vboyce/251-254-MA/blob/main/data/processed_data.csv" TargetMode="External"/><Relationship Id="rId1629" Type="http://schemas.openxmlformats.org/officeDocument/2006/relationships/hyperlink" Target="https://osf.io/kizyn" TargetMode="External"/><Relationship Id="rId916" Type="http://schemas.openxmlformats.org/officeDocument/2006/relationships/hyperlink" Target="https://github.com/vboyce/251-254-MA/blob/main/data/processed_data.csv" TargetMode="External"/><Relationship Id="rId915" Type="http://schemas.openxmlformats.org/officeDocument/2006/relationships/hyperlink" Target="https://github.com/vboyce/251-254-MA/blob/main/data/processed_data.csv" TargetMode="External"/><Relationship Id="rId919" Type="http://schemas.openxmlformats.org/officeDocument/2006/relationships/hyperlink" Target="https://github.com/vboyce/251-254-MA/blob/main/data/processed_data.csv" TargetMode="External"/><Relationship Id="rId910" Type="http://schemas.openxmlformats.org/officeDocument/2006/relationships/hyperlink" Target="https://rpubs.com/cceballos-stanford/544019" TargetMode="External"/><Relationship Id="rId914" Type="http://schemas.openxmlformats.org/officeDocument/2006/relationships/hyperlink" Target="https://github.com/vboyce/251-254-MA/blob/main/data/processed_data.csv" TargetMode="External"/><Relationship Id="rId913" Type="http://schemas.openxmlformats.org/officeDocument/2006/relationships/hyperlink" Target="https://osf.io/p5hvr" TargetMode="External"/><Relationship Id="rId912" Type="http://schemas.openxmlformats.org/officeDocument/2006/relationships/hyperlink" Target="https://osf.io/p5hvr" TargetMode="External"/><Relationship Id="rId911" Type="http://schemas.openxmlformats.org/officeDocument/2006/relationships/hyperlink" Target="https://osf.io/cxatn" TargetMode="External"/><Relationship Id="rId2950" Type="http://schemas.openxmlformats.org/officeDocument/2006/relationships/hyperlink" Target="https://drive.google.com/file/d/1Oyf6phoxDUGiryzACmCI2gdTcVIQO0rE/view?usp=drive_link" TargetMode="External"/><Relationship Id="rId2900" Type="http://schemas.openxmlformats.org/officeDocument/2006/relationships/hyperlink" Target="https://drive.google.com/file/d/1Oyf6phoxDUGiryzACmCI2gdTcVIQO0rE/view?usp=drive_link" TargetMode="External"/><Relationship Id="rId2901" Type="http://schemas.openxmlformats.org/officeDocument/2006/relationships/hyperlink" Target="https://osf.io/j4ers" TargetMode="External"/><Relationship Id="rId2902" Type="http://schemas.openxmlformats.org/officeDocument/2006/relationships/hyperlink" Target="https://drive.google.com/file/d/1Oyf6phoxDUGiryzACmCI2gdTcVIQO0rE/view?usp=drive_link" TargetMode="External"/><Relationship Id="rId2903" Type="http://schemas.openxmlformats.org/officeDocument/2006/relationships/hyperlink" Target="https://osf.io/j4ers" TargetMode="External"/><Relationship Id="rId2904" Type="http://schemas.openxmlformats.org/officeDocument/2006/relationships/hyperlink" Target="https://drive.google.com/file/d/1Oyf6phoxDUGiryzACmCI2gdTcVIQO0rE/view?usp=drive_link" TargetMode="External"/><Relationship Id="rId2905" Type="http://schemas.openxmlformats.org/officeDocument/2006/relationships/hyperlink" Target="https://osf.io/j4ers" TargetMode="External"/><Relationship Id="rId2906" Type="http://schemas.openxmlformats.org/officeDocument/2006/relationships/hyperlink" Target="https://drive.google.com/file/d/1Oyf6phoxDUGiryzACmCI2gdTcVIQO0rE/view?usp=drive_link" TargetMode="External"/><Relationship Id="rId2907" Type="http://schemas.openxmlformats.org/officeDocument/2006/relationships/hyperlink" Target="https://osf.io/j4ers" TargetMode="External"/><Relationship Id="rId2908" Type="http://schemas.openxmlformats.org/officeDocument/2006/relationships/hyperlink" Target="https://drive.google.com/file/d/1Oyf6phoxDUGiryzACmCI2gdTcVIQO0rE/view?usp=drive_link" TargetMode="External"/><Relationship Id="rId2909" Type="http://schemas.openxmlformats.org/officeDocument/2006/relationships/hyperlink" Target="https://osf.io/j4ers" TargetMode="External"/><Relationship Id="rId2920" Type="http://schemas.openxmlformats.org/officeDocument/2006/relationships/hyperlink" Target="https://drive.google.com/file/d/1Oyf6phoxDUGiryzACmCI2gdTcVIQO0rE/view?usp=drive_link" TargetMode="External"/><Relationship Id="rId2921" Type="http://schemas.openxmlformats.org/officeDocument/2006/relationships/hyperlink" Target="https://osf.io/j4ers" TargetMode="External"/><Relationship Id="rId2922" Type="http://schemas.openxmlformats.org/officeDocument/2006/relationships/hyperlink" Target="https://drive.google.com/file/d/1Oyf6phoxDUGiryzACmCI2gdTcVIQO0rE/view?usp=drive_link" TargetMode="External"/><Relationship Id="rId2923" Type="http://schemas.openxmlformats.org/officeDocument/2006/relationships/hyperlink" Target="https://osf.io/j4ers" TargetMode="External"/><Relationship Id="rId2924" Type="http://schemas.openxmlformats.org/officeDocument/2006/relationships/hyperlink" Target="https://drive.google.com/file/d/1Oyf6phoxDUGiryzACmCI2gdTcVIQO0rE/view?usp=drive_link" TargetMode="External"/><Relationship Id="rId2925" Type="http://schemas.openxmlformats.org/officeDocument/2006/relationships/hyperlink" Target="https://osf.io/j4ers" TargetMode="External"/><Relationship Id="rId2926" Type="http://schemas.openxmlformats.org/officeDocument/2006/relationships/hyperlink" Target="https://drive.google.com/file/d/1Oyf6phoxDUGiryzACmCI2gdTcVIQO0rE/view?usp=drive_link" TargetMode="External"/><Relationship Id="rId2927" Type="http://schemas.openxmlformats.org/officeDocument/2006/relationships/hyperlink" Target="https://osf.io/j4ers" TargetMode="External"/><Relationship Id="rId2928" Type="http://schemas.openxmlformats.org/officeDocument/2006/relationships/hyperlink" Target="https://drive.google.com/file/d/1Oyf6phoxDUGiryzACmCI2gdTcVIQO0rE/view?usp=drive_link" TargetMode="External"/><Relationship Id="rId2929" Type="http://schemas.openxmlformats.org/officeDocument/2006/relationships/hyperlink" Target="https://osf.io/j4ers" TargetMode="External"/><Relationship Id="rId2910" Type="http://schemas.openxmlformats.org/officeDocument/2006/relationships/hyperlink" Target="https://drive.google.com/file/d/1Oyf6phoxDUGiryzACmCI2gdTcVIQO0rE/view?usp=drive_link" TargetMode="External"/><Relationship Id="rId2911" Type="http://schemas.openxmlformats.org/officeDocument/2006/relationships/hyperlink" Target="https://osf.io/j4ers" TargetMode="External"/><Relationship Id="rId2912" Type="http://schemas.openxmlformats.org/officeDocument/2006/relationships/hyperlink" Target="https://drive.google.com/file/d/1Oyf6phoxDUGiryzACmCI2gdTcVIQO0rE/view?usp=drive_link" TargetMode="External"/><Relationship Id="rId2913" Type="http://schemas.openxmlformats.org/officeDocument/2006/relationships/hyperlink" Target="https://osf.io/j4ers" TargetMode="External"/><Relationship Id="rId2914" Type="http://schemas.openxmlformats.org/officeDocument/2006/relationships/hyperlink" Target="https://drive.google.com/file/d/1Oyf6phoxDUGiryzACmCI2gdTcVIQO0rE/view?usp=drive_link" TargetMode="External"/><Relationship Id="rId2915" Type="http://schemas.openxmlformats.org/officeDocument/2006/relationships/hyperlink" Target="https://osf.io/j4ers" TargetMode="External"/><Relationship Id="rId2916" Type="http://schemas.openxmlformats.org/officeDocument/2006/relationships/hyperlink" Target="https://drive.google.com/file/d/1Oyf6phoxDUGiryzACmCI2gdTcVIQO0rE/view?usp=drive_link" TargetMode="External"/><Relationship Id="rId2917" Type="http://schemas.openxmlformats.org/officeDocument/2006/relationships/hyperlink" Target="https://osf.io/j4ers" TargetMode="External"/><Relationship Id="rId2918" Type="http://schemas.openxmlformats.org/officeDocument/2006/relationships/hyperlink" Target="https://drive.google.com/file/d/1Oyf6phoxDUGiryzACmCI2gdTcVIQO0rE/view?usp=drive_link" TargetMode="External"/><Relationship Id="rId2919" Type="http://schemas.openxmlformats.org/officeDocument/2006/relationships/hyperlink" Target="https://osf.io/j4ers" TargetMode="External"/><Relationship Id="rId1697" Type="http://schemas.openxmlformats.org/officeDocument/2006/relationships/hyperlink" Target="https://doi.org/10.17605/OSF.IO/E9D3K" TargetMode="External"/><Relationship Id="rId1698" Type="http://schemas.openxmlformats.org/officeDocument/2006/relationships/hyperlink" Target="https://doi.org/10.17605/OSF.IO/E9D3K" TargetMode="External"/><Relationship Id="rId1699" Type="http://schemas.openxmlformats.org/officeDocument/2006/relationships/hyperlink" Target="https://doi.org/10.17605/OSF.IO/E9D3K" TargetMode="External"/><Relationship Id="rId866" Type="http://schemas.openxmlformats.org/officeDocument/2006/relationships/hyperlink" Target="https://github.com/vboyce/251-254-MA/blob/main/reports/read2012.pdf" TargetMode="External"/><Relationship Id="rId865" Type="http://schemas.openxmlformats.org/officeDocument/2006/relationships/hyperlink" Target="https://github.com/vboyce/251-254-MA/blob/main/reports/read2012.pdf" TargetMode="External"/><Relationship Id="rId864" Type="http://schemas.openxmlformats.org/officeDocument/2006/relationships/hyperlink" Target="https://github.com/vboyce/251-254-MA/blob/main/reports/read2012.pdf" TargetMode="External"/><Relationship Id="rId863" Type="http://schemas.openxmlformats.org/officeDocument/2006/relationships/hyperlink" Target="https://github.com/vboyce/251-254-MA/blob/main/reports/read2012.pdf" TargetMode="External"/><Relationship Id="rId869" Type="http://schemas.openxmlformats.org/officeDocument/2006/relationships/hyperlink" Target="https://github.com/vboyce/251-254-MA/blob/main/reports/risen2008.docx" TargetMode="External"/><Relationship Id="rId868" Type="http://schemas.openxmlformats.org/officeDocument/2006/relationships/hyperlink" Target="https://github.com/vboyce/251-254-MA/blob/main/reports/risen2008.docx" TargetMode="External"/><Relationship Id="rId867" Type="http://schemas.openxmlformats.org/officeDocument/2006/relationships/hyperlink" Target="https://rpubs.com/cgarton/975073" TargetMode="External"/><Relationship Id="rId1690" Type="http://schemas.openxmlformats.org/officeDocument/2006/relationships/hyperlink" Target="https://doi.org/10.17605/OSF.IO/YCQN9" TargetMode="External"/><Relationship Id="rId1691" Type="http://schemas.openxmlformats.org/officeDocument/2006/relationships/hyperlink" Target="https://doi.org/10.17605/OSF.IO/YCQN9" TargetMode="External"/><Relationship Id="rId1692" Type="http://schemas.openxmlformats.org/officeDocument/2006/relationships/hyperlink" Target="https://doi.org/10.17605/OSF.IO/E9D3K" TargetMode="External"/><Relationship Id="rId862" Type="http://schemas.openxmlformats.org/officeDocument/2006/relationships/hyperlink" Target="https://github.com/vboyce/251-254-MA/blob/main/reports/read2012.pdf" TargetMode="External"/><Relationship Id="rId1693" Type="http://schemas.openxmlformats.org/officeDocument/2006/relationships/hyperlink" Target="https://doi.org/10.17605/OSF.IO/E9D3K" TargetMode="External"/><Relationship Id="rId861" Type="http://schemas.openxmlformats.org/officeDocument/2006/relationships/hyperlink" Target="https://github.com/vboyce/251-254-MA/blob/main/reports/read2012.pdf" TargetMode="External"/><Relationship Id="rId1694" Type="http://schemas.openxmlformats.org/officeDocument/2006/relationships/hyperlink" Target="https://doi.org/10.17605/OSF.IO/E9D3K" TargetMode="External"/><Relationship Id="rId860" Type="http://schemas.openxmlformats.org/officeDocument/2006/relationships/hyperlink" Target="https://rpubs.com/ShimaSalehi/155989" TargetMode="External"/><Relationship Id="rId1695" Type="http://schemas.openxmlformats.org/officeDocument/2006/relationships/hyperlink" Target="https://doi.org/10.17605/OSF.IO/E9D3K" TargetMode="External"/><Relationship Id="rId1696" Type="http://schemas.openxmlformats.org/officeDocument/2006/relationships/hyperlink" Target="https://doi.org/10.17605/OSF.IO/E9D3K" TargetMode="External"/><Relationship Id="rId1686" Type="http://schemas.openxmlformats.org/officeDocument/2006/relationships/hyperlink" Target="https://osf.io/dqv9y" TargetMode="External"/><Relationship Id="rId1687" Type="http://schemas.openxmlformats.org/officeDocument/2006/relationships/hyperlink" Target="https://doi.org/10.17605/OSF.IO/YCQN9" TargetMode="External"/><Relationship Id="rId1688" Type="http://schemas.openxmlformats.org/officeDocument/2006/relationships/hyperlink" Target="https://doi.org/10.17605/OSF.IO/YCQN9" TargetMode="External"/><Relationship Id="rId1689" Type="http://schemas.openxmlformats.org/officeDocument/2006/relationships/hyperlink" Target="https://osf.io/dqv9y" TargetMode="External"/><Relationship Id="rId855" Type="http://schemas.openxmlformats.org/officeDocument/2006/relationships/hyperlink" Target="https://rpubs.com/ShimaSalehi/155989" TargetMode="External"/><Relationship Id="rId854" Type="http://schemas.openxmlformats.org/officeDocument/2006/relationships/hyperlink" Target="https://rpubs.com/ShimaSalehi/155989" TargetMode="External"/><Relationship Id="rId853" Type="http://schemas.openxmlformats.org/officeDocument/2006/relationships/hyperlink" Target="https://rpubs.com/ShimaSalehi/155989" TargetMode="External"/><Relationship Id="rId852" Type="http://schemas.openxmlformats.org/officeDocument/2006/relationships/hyperlink" Target="https://rpubs.com/ShimaSalehi/155989" TargetMode="External"/><Relationship Id="rId859" Type="http://schemas.openxmlformats.org/officeDocument/2006/relationships/hyperlink" Target="https://rpubs.com/ShimaSalehi/155989" TargetMode="External"/><Relationship Id="rId858" Type="http://schemas.openxmlformats.org/officeDocument/2006/relationships/hyperlink" Target="https://rpubs.com/ShimaSalehi/155989" TargetMode="External"/><Relationship Id="rId857" Type="http://schemas.openxmlformats.org/officeDocument/2006/relationships/hyperlink" Target="https://rpubs.com/ShimaSalehi/155989" TargetMode="External"/><Relationship Id="rId856" Type="http://schemas.openxmlformats.org/officeDocument/2006/relationships/hyperlink" Target="https://rpubs.com/ShimaSalehi/155989" TargetMode="External"/><Relationship Id="rId1680" Type="http://schemas.openxmlformats.org/officeDocument/2006/relationships/hyperlink" Target="https://datacolada.org/90" TargetMode="External"/><Relationship Id="rId1681" Type="http://schemas.openxmlformats.org/officeDocument/2006/relationships/hyperlink" Target="https://aspredicted.org/n5tu8.pdf" TargetMode="External"/><Relationship Id="rId851" Type="http://schemas.openxmlformats.org/officeDocument/2006/relationships/hyperlink" Target="https://rpubs.com/ShimaSalehi/155989" TargetMode="External"/><Relationship Id="rId1682" Type="http://schemas.openxmlformats.org/officeDocument/2006/relationships/hyperlink" Target="https://doi.org/10.31234/osf.io/chax8" TargetMode="External"/><Relationship Id="rId850" Type="http://schemas.openxmlformats.org/officeDocument/2006/relationships/hyperlink" Target="https://rpubs.com/ShimaSalehi/155989" TargetMode="External"/><Relationship Id="rId1683" Type="http://schemas.openxmlformats.org/officeDocument/2006/relationships/hyperlink" Target="https://osf.io/dqv9y" TargetMode="External"/><Relationship Id="rId1684" Type="http://schemas.openxmlformats.org/officeDocument/2006/relationships/hyperlink" Target="https://doi.org/10.17605/OSF.IO/YCQN9" TargetMode="External"/><Relationship Id="rId1685" Type="http://schemas.openxmlformats.org/officeDocument/2006/relationships/hyperlink" Target="https://doi.org/10.17605/OSF.IO/YCQN9" TargetMode="External"/><Relationship Id="rId3414" Type="http://schemas.openxmlformats.org/officeDocument/2006/relationships/hyperlink" Target="https://doi.org/10.1111/j.1467-9280.2006.01704.x" TargetMode="External"/><Relationship Id="rId3413" Type="http://schemas.openxmlformats.org/officeDocument/2006/relationships/hyperlink" Target="https://osf.io/gcf3v/?view_only=" TargetMode="External"/><Relationship Id="rId3416" Type="http://schemas.openxmlformats.org/officeDocument/2006/relationships/hyperlink" Target="https://osf.io/8k9nt/" TargetMode="External"/><Relationship Id="rId3415" Type="http://schemas.openxmlformats.org/officeDocument/2006/relationships/hyperlink" Target="http://dx.doi.org/10.31234/osf.io/bgp3m" TargetMode="External"/><Relationship Id="rId3418" Type="http://schemas.openxmlformats.org/officeDocument/2006/relationships/hyperlink" Target="https://osf.io/342td" TargetMode="External"/><Relationship Id="rId3417" Type="http://schemas.openxmlformats.org/officeDocument/2006/relationships/hyperlink" Target="https://osf.io/342td" TargetMode="External"/><Relationship Id="rId3419" Type="http://schemas.openxmlformats.org/officeDocument/2006/relationships/hyperlink" Target="https://osf.io/342td" TargetMode="External"/><Relationship Id="rId888" Type="http://schemas.openxmlformats.org/officeDocument/2006/relationships/hyperlink" Target="https://rpubs.com/kagood/final-project-report," TargetMode="External"/><Relationship Id="rId887" Type="http://schemas.openxmlformats.org/officeDocument/2006/relationships/hyperlink" Target="https://osf.io/8k4t5/" TargetMode="External"/><Relationship Id="rId886" Type="http://schemas.openxmlformats.org/officeDocument/2006/relationships/hyperlink" Target="https://rpubs.com/kagood/final-project-report," TargetMode="External"/><Relationship Id="rId885" Type="http://schemas.openxmlformats.org/officeDocument/2006/relationships/hyperlink" Target="https://osf.io/8k4t5/" TargetMode="External"/><Relationship Id="rId889" Type="http://schemas.openxmlformats.org/officeDocument/2006/relationships/hyperlink" Target="https://osf.io/8k4t5/" TargetMode="External"/><Relationship Id="rId880" Type="http://schemas.openxmlformats.org/officeDocument/2006/relationships/hyperlink" Target="https://rpubs.com/kagood/final-project-report," TargetMode="External"/><Relationship Id="rId884" Type="http://schemas.openxmlformats.org/officeDocument/2006/relationships/hyperlink" Target="https://rpubs.com/kagood/final-project-report," TargetMode="External"/><Relationship Id="rId3410" Type="http://schemas.openxmlformats.org/officeDocument/2006/relationships/hyperlink" Target="https://drive.google.com/file/d/1W0CUphORn0RFZC7vPbiY_o1c0-1VZraH/view" TargetMode="External"/><Relationship Id="rId883" Type="http://schemas.openxmlformats.org/officeDocument/2006/relationships/hyperlink" Target="https://osf.io/8k4t5/" TargetMode="External"/><Relationship Id="rId882" Type="http://schemas.openxmlformats.org/officeDocument/2006/relationships/hyperlink" Target="https://rpubs.com/kagood/final-project-report," TargetMode="External"/><Relationship Id="rId3412" Type="http://schemas.openxmlformats.org/officeDocument/2006/relationships/hyperlink" Target="https://osf.io/8mqx5" TargetMode="External"/><Relationship Id="rId881" Type="http://schemas.openxmlformats.org/officeDocument/2006/relationships/hyperlink" Target="https://osf.io/8k4t5/" TargetMode="External"/><Relationship Id="rId3411" Type="http://schemas.openxmlformats.org/officeDocument/2006/relationships/hyperlink" Target="https://doi.org/10.17605/OSF.IO/J9MFN" TargetMode="External"/><Relationship Id="rId3403" Type="http://schemas.openxmlformats.org/officeDocument/2006/relationships/hyperlink" Target="https://docs.google.com/document/d/1WKb2HAoSmgUndzcI1DDYuGyUpLFwcmuSn5OAIlI32KI/edit?tab=t.0" TargetMode="External"/><Relationship Id="rId3402" Type="http://schemas.openxmlformats.org/officeDocument/2006/relationships/hyperlink" Target="https://drive.google.com/file/d/1-9Fcmt4OS-LDChgj2l27HGaNzy4UZ_SN/view?usp=drive_link" TargetMode="External"/><Relationship Id="rId3405" Type="http://schemas.openxmlformats.org/officeDocument/2006/relationships/hyperlink" Target="https://drive.google.com/file/d/1-9Fcmt4OS-LDChgj2l27HGaNzy4UZ_SN/view?usp=drive_link" TargetMode="External"/><Relationship Id="rId3404" Type="http://schemas.openxmlformats.org/officeDocument/2006/relationships/hyperlink" Target="https://osf.io/gcf3v/?view_only=" TargetMode="External"/><Relationship Id="rId3407" Type="http://schemas.openxmlformats.org/officeDocument/2006/relationships/hyperlink" Target="https://osf.io/gcf3v/?view_only=" TargetMode="External"/><Relationship Id="rId3406" Type="http://schemas.openxmlformats.org/officeDocument/2006/relationships/hyperlink" Target="https://docs.google.com/document/d/1WKb2HAoSmgUndzcI1DDYuGyUpLFwcmuSn5OAIlI32KI/edit?tab=t.0" TargetMode="External"/><Relationship Id="rId3409" Type="http://schemas.openxmlformats.org/officeDocument/2006/relationships/hyperlink" Target="https://docs.google.com/document/d/1WKb2HAoSmgUndzcI1DDYuGyUpLFwcmuSn5OAIlI32KI/edit?tab=t.0" TargetMode="External"/><Relationship Id="rId3408" Type="http://schemas.openxmlformats.org/officeDocument/2006/relationships/hyperlink" Target="https://drive.google.com/file/d/1-9Fcmt4OS-LDChgj2l27HGaNzy4UZ_SN/view?usp=drive_link" TargetMode="External"/><Relationship Id="rId877" Type="http://schemas.openxmlformats.org/officeDocument/2006/relationships/hyperlink" Target="https://rpubs.com/kagood/final-project-report," TargetMode="External"/><Relationship Id="rId876" Type="http://schemas.openxmlformats.org/officeDocument/2006/relationships/hyperlink" Target="https://osf.io/8k4t5/" TargetMode="External"/><Relationship Id="rId875" Type="http://schemas.openxmlformats.org/officeDocument/2006/relationships/hyperlink" Target="https://osf.io/8k4t5/." TargetMode="External"/><Relationship Id="rId874" Type="http://schemas.openxmlformats.org/officeDocument/2006/relationships/hyperlink" Target="https://rpubs.com/kagood/final-project-report," TargetMode="External"/><Relationship Id="rId879" Type="http://schemas.openxmlformats.org/officeDocument/2006/relationships/hyperlink" Target="https://osf.io/8k4t5/" TargetMode="External"/><Relationship Id="rId878" Type="http://schemas.openxmlformats.org/officeDocument/2006/relationships/hyperlink" Target="https://rpubs.com/kagood/final-project-report" TargetMode="External"/><Relationship Id="rId873" Type="http://schemas.openxmlformats.org/officeDocument/2006/relationships/hyperlink" Target="https://github.com/vboyce/251-254-MA/blob/main/reports/risen2008.docx" TargetMode="External"/><Relationship Id="rId872" Type="http://schemas.openxmlformats.org/officeDocument/2006/relationships/hyperlink" Target="https://github.com/vboyce/251-254-MA/blob/main/reports/risen2008.docx" TargetMode="External"/><Relationship Id="rId871" Type="http://schemas.openxmlformats.org/officeDocument/2006/relationships/hyperlink" Target="https://github.com/vboyce/251-254-MA/blob/main/reports/risen2008.docx" TargetMode="External"/><Relationship Id="rId3401" Type="http://schemas.openxmlformats.org/officeDocument/2006/relationships/hyperlink" Target="https://osf.io/gcf3v/?view_only=" TargetMode="External"/><Relationship Id="rId870" Type="http://schemas.openxmlformats.org/officeDocument/2006/relationships/hyperlink" Target="https://github.com/vboyce/251-254-MA/blob/main/reports/risen2008.docx" TargetMode="External"/><Relationship Id="rId3400" Type="http://schemas.openxmlformats.org/officeDocument/2006/relationships/hyperlink" Target="https://docs.google.com/document/d/1WKb2HAoSmgUndzcI1DDYuGyUpLFwcmuSn5OAIlI32KI/edit?tab=t.0" TargetMode="External"/><Relationship Id="rId1653" Type="http://schemas.openxmlformats.org/officeDocument/2006/relationships/hyperlink" Target="https://datacolada.org/97" TargetMode="External"/><Relationship Id="rId2984" Type="http://schemas.openxmlformats.org/officeDocument/2006/relationships/hyperlink" Target="https://drive.google.com/file/d/1Oyf6phoxDUGiryzACmCI2gdTcVIQO0rE/view?usp=drive_link" TargetMode="External"/><Relationship Id="rId1654" Type="http://schemas.openxmlformats.org/officeDocument/2006/relationships/hyperlink" Target="https://datacolada.org/97" TargetMode="External"/><Relationship Id="rId2985" Type="http://schemas.openxmlformats.org/officeDocument/2006/relationships/hyperlink" Target="https://osf.io/p7952" TargetMode="External"/><Relationship Id="rId1655" Type="http://schemas.openxmlformats.org/officeDocument/2006/relationships/hyperlink" Target="https://datacolada.org/83" TargetMode="External"/><Relationship Id="rId2986" Type="http://schemas.openxmlformats.org/officeDocument/2006/relationships/hyperlink" Target="https://drive.google.com/file/d/1Oyf6phoxDUGiryzACmCI2gdTcVIQO0rE/view?usp=drive_link" TargetMode="External"/><Relationship Id="rId1656" Type="http://schemas.openxmlformats.org/officeDocument/2006/relationships/hyperlink" Target="https://datacolada.org/83" TargetMode="External"/><Relationship Id="rId2987" Type="http://schemas.openxmlformats.org/officeDocument/2006/relationships/hyperlink" Target="https://osf.io/p7952" TargetMode="External"/><Relationship Id="rId1657" Type="http://schemas.openxmlformats.org/officeDocument/2006/relationships/hyperlink" Target="https://aspredicted.org/ni9xq.pdf" TargetMode="External"/><Relationship Id="rId2988" Type="http://schemas.openxmlformats.org/officeDocument/2006/relationships/hyperlink" Target="https://drive.google.com/file/d/1Oyf6phoxDUGiryzACmCI2gdTcVIQO0rE/view?usp=drive_link" TargetMode="External"/><Relationship Id="rId1658" Type="http://schemas.openxmlformats.org/officeDocument/2006/relationships/hyperlink" Target="https://datacolada.org/83" TargetMode="External"/><Relationship Id="rId2989" Type="http://schemas.openxmlformats.org/officeDocument/2006/relationships/hyperlink" Target="https://osf.io/p7952" TargetMode="External"/><Relationship Id="rId1659" Type="http://schemas.openxmlformats.org/officeDocument/2006/relationships/hyperlink" Target="https://aspredicted.org/zi4ue.pdf" TargetMode="External"/><Relationship Id="rId829" Type="http://schemas.openxmlformats.org/officeDocument/2006/relationships/hyperlink" Target="https://www.rpubs.com/sansiropp/256552" TargetMode="External"/><Relationship Id="rId828" Type="http://schemas.openxmlformats.org/officeDocument/2006/relationships/hyperlink" Target="https://www.rpubs.com/sansiropp/256552" TargetMode="External"/><Relationship Id="rId827" Type="http://schemas.openxmlformats.org/officeDocument/2006/relationships/hyperlink" Target="https://osf.io/xwn9m/" TargetMode="External"/><Relationship Id="rId822" Type="http://schemas.openxmlformats.org/officeDocument/2006/relationships/hyperlink" Target="https://osf.io/xwn9m/" TargetMode="External"/><Relationship Id="rId821" Type="http://schemas.openxmlformats.org/officeDocument/2006/relationships/hyperlink" Target="https://www.rpubs.com/sansiropp/256552" TargetMode="External"/><Relationship Id="rId820" Type="http://schemas.openxmlformats.org/officeDocument/2006/relationships/hyperlink" Target="https://www.rpubs.com/sansiropp/256552" TargetMode="External"/><Relationship Id="rId826" Type="http://schemas.openxmlformats.org/officeDocument/2006/relationships/hyperlink" Target="https://github.com/vboyce/251-254-MA/blob/main/data/processed_data.csv" TargetMode="External"/><Relationship Id="rId825" Type="http://schemas.openxmlformats.org/officeDocument/2006/relationships/hyperlink" Target="https://osf.io/xwn9m/" TargetMode="External"/><Relationship Id="rId824" Type="http://schemas.openxmlformats.org/officeDocument/2006/relationships/hyperlink" Target="https://github.com/vboyce/251-254-MA/blob/main/data/processed_data.csv" TargetMode="External"/><Relationship Id="rId823" Type="http://schemas.openxmlformats.org/officeDocument/2006/relationships/hyperlink" Target="https://www.rpubs.com/sansiropp/256552" TargetMode="External"/><Relationship Id="rId2980" Type="http://schemas.openxmlformats.org/officeDocument/2006/relationships/hyperlink" Target="https://drive.google.com/file/d/1Oyf6phoxDUGiryzACmCI2gdTcVIQO0rE/view?usp=drive_link" TargetMode="External"/><Relationship Id="rId1650" Type="http://schemas.openxmlformats.org/officeDocument/2006/relationships/hyperlink" Target="https://datacolada.org/97" TargetMode="External"/><Relationship Id="rId2981" Type="http://schemas.openxmlformats.org/officeDocument/2006/relationships/hyperlink" Target="https://osf.io/p7952" TargetMode="External"/><Relationship Id="rId1651" Type="http://schemas.openxmlformats.org/officeDocument/2006/relationships/hyperlink" Target="https://datacolada.org/97" TargetMode="External"/><Relationship Id="rId2982" Type="http://schemas.openxmlformats.org/officeDocument/2006/relationships/hyperlink" Target="https://drive.google.com/file/d/1Oyf6phoxDUGiryzACmCI2gdTcVIQO0rE/view?usp=drive_link" TargetMode="External"/><Relationship Id="rId1652" Type="http://schemas.openxmlformats.org/officeDocument/2006/relationships/hyperlink" Target="https://datacolada.org/97" TargetMode="External"/><Relationship Id="rId2983" Type="http://schemas.openxmlformats.org/officeDocument/2006/relationships/hyperlink" Target="https://osf.io/p7952" TargetMode="External"/><Relationship Id="rId1642" Type="http://schemas.openxmlformats.org/officeDocument/2006/relationships/hyperlink" Target="http://osf.io/Cju65/files/ReplicationProtocol_%20for_Vess2012_Replication_2_-_LeBel.doc" TargetMode="External"/><Relationship Id="rId2973" Type="http://schemas.openxmlformats.org/officeDocument/2006/relationships/hyperlink" Target="https://osf.io/p7952" TargetMode="External"/><Relationship Id="rId1643" Type="http://schemas.openxmlformats.org/officeDocument/2006/relationships/hyperlink" Target="http://osf.io/Cju65/files/ReplicationProtocol_%20for_Vess2012_Replication_2_-_LeBel.doc" TargetMode="External"/><Relationship Id="rId2974" Type="http://schemas.openxmlformats.org/officeDocument/2006/relationships/hyperlink" Target="https://drive.google.com/file/d/1Oyf6phoxDUGiryzACmCI2gdTcVIQO0rE/view?usp=drive_link" TargetMode="External"/><Relationship Id="rId1644" Type="http://schemas.openxmlformats.org/officeDocument/2006/relationships/hyperlink" Target="https://osf.io/y36m8" TargetMode="External"/><Relationship Id="rId2975" Type="http://schemas.openxmlformats.org/officeDocument/2006/relationships/hyperlink" Target="https://osf.io/p7952" TargetMode="External"/><Relationship Id="rId1645" Type="http://schemas.openxmlformats.org/officeDocument/2006/relationships/hyperlink" Target="https://osf.io/y36m8" TargetMode="External"/><Relationship Id="rId2976" Type="http://schemas.openxmlformats.org/officeDocument/2006/relationships/hyperlink" Target="https://drive.google.com/file/d/1Oyf6phoxDUGiryzACmCI2gdTcVIQO0rE/view?usp=drive_link" TargetMode="External"/><Relationship Id="rId1646" Type="http://schemas.openxmlformats.org/officeDocument/2006/relationships/hyperlink" Target="https://web.archive.org/web/20191117063540/http://www.psychfiledrawer.org/replication.php?attempt=MTQ5" TargetMode="External"/><Relationship Id="rId2977" Type="http://schemas.openxmlformats.org/officeDocument/2006/relationships/hyperlink" Target="https://osf.io/p7952" TargetMode="External"/><Relationship Id="rId1647" Type="http://schemas.openxmlformats.org/officeDocument/2006/relationships/hyperlink" Target="https://web.archive.org/web/20191117063540/http://www.psychfiledrawer.org/replication.php?attempt=MTQ5" TargetMode="External"/><Relationship Id="rId2978" Type="http://schemas.openxmlformats.org/officeDocument/2006/relationships/hyperlink" Target="https://drive.google.com/file/d/1Oyf6phoxDUGiryzACmCI2gdTcVIQO0rE/view?usp=drive_link" TargetMode="External"/><Relationship Id="rId1648" Type="http://schemas.openxmlformats.org/officeDocument/2006/relationships/hyperlink" Target="https://datacolada.org/97" TargetMode="External"/><Relationship Id="rId2979" Type="http://schemas.openxmlformats.org/officeDocument/2006/relationships/hyperlink" Target="https://osf.io/p7952" TargetMode="External"/><Relationship Id="rId1649" Type="http://schemas.openxmlformats.org/officeDocument/2006/relationships/hyperlink" Target="https://datacolada.org/97" TargetMode="External"/><Relationship Id="rId819" Type="http://schemas.openxmlformats.org/officeDocument/2006/relationships/hyperlink" Target="https://osf.io/xwn9m/" TargetMode="External"/><Relationship Id="rId818" Type="http://schemas.openxmlformats.org/officeDocument/2006/relationships/hyperlink" Target="https://docs.google.com/spreadsheets/d/1GZtAzaS9SynEVwyT-fs-bVPDZh374b78kaKIWves5pM/edit?gid=288814287" TargetMode="External"/><Relationship Id="rId817" Type="http://schemas.openxmlformats.org/officeDocument/2006/relationships/hyperlink" Target="https://osf.io/xwn9m/" TargetMode="External"/><Relationship Id="rId816" Type="http://schemas.openxmlformats.org/officeDocument/2006/relationships/hyperlink" Target="https://docs.google.com/spreadsheets/d/1GZtAzaS9SynEVwyT-fs-bVPDZh374b78kaKIWves5pM/edit?gid=288814287" TargetMode="External"/><Relationship Id="rId811" Type="http://schemas.openxmlformats.org/officeDocument/2006/relationships/hyperlink" Target="https://osf.io/rjxwe" TargetMode="External"/><Relationship Id="rId810" Type="http://schemas.openxmlformats.org/officeDocument/2006/relationships/hyperlink" Target="https://osf.io/sxw48/" TargetMode="External"/><Relationship Id="rId815" Type="http://schemas.openxmlformats.org/officeDocument/2006/relationships/hyperlink" Target="https://docs.google.com/spreadsheets/d/1GZtAzaS9SynEVwyT-fs-bVPDZh374b78kaKIWves5pM/edit?gid=288814287" TargetMode="External"/><Relationship Id="rId814" Type="http://schemas.openxmlformats.org/officeDocument/2006/relationships/hyperlink" Target="https://github.com/vboyce/251-254-MA/blob/main/data/processed_data.csv" TargetMode="External"/><Relationship Id="rId813" Type="http://schemas.openxmlformats.org/officeDocument/2006/relationships/hyperlink" Target="https://osf.io/rjxwe" TargetMode="External"/><Relationship Id="rId812" Type="http://schemas.openxmlformats.org/officeDocument/2006/relationships/hyperlink" Target="https://osf.io/sxw48/" TargetMode="External"/><Relationship Id="rId2970" Type="http://schemas.openxmlformats.org/officeDocument/2006/relationships/hyperlink" Target="https://drive.google.com/file/d/1Oyf6phoxDUGiryzACmCI2gdTcVIQO0rE/view?usp=drive_link" TargetMode="External"/><Relationship Id="rId1640" Type="http://schemas.openxmlformats.org/officeDocument/2006/relationships/hyperlink" Target="http://osf.io/Cju65/files/ReplicationProtocol_%20for_Vess2012_Replication_2_-_LeBel.doc" TargetMode="External"/><Relationship Id="rId2971" Type="http://schemas.openxmlformats.org/officeDocument/2006/relationships/hyperlink" Target="https://osf.io/p7952" TargetMode="External"/><Relationship Id="rId1641" Type="http://schemas.openxmlformats.org/officeDocument/2006/relationships/hyperlink" Target="http://osf.io/Cju65/files/ReplicationProtocol_%20for_Vess2012_Replication_2_-_LeBel.doc" TargetMode="External"/><Relationship Id="rId2972" Type="http://schemas.openxmlformats.org/officeDocument/2006/relationships/hyperlink" Target="https://drive.google.com/file/d/1Oyf6phoxDUGiryzACmCI2gdTcVIQO0rE/view?usp=drive_link" TargetMode="External"/><Relationship Id="rId1675" Type="http://schemas.openxmlformats.org/officeDocument/2006/relationships/hyperlink" Target="https://aspredicted.org/pw4tv.pdf" TargetMode="External"/><Relationship Id="rId1676" Type="http://schemas.openxmlformats.org/officeDocument/2006/relationships/hyperlink" Target="https://datacolada.org/90" TargetMode="External"/><Relationship Id="rId1677" Type="http://schemas.openxmlformats.org/officeDocument/2006/relationships/hyperlink" Target="https://aspredicted.org/pw4tv.pdf" TargetMode="External"/><Relationship Id="rId1678" Type="http://schemas.openxmlformats.org/officeDocument/2006/relationships/hyperlink" Target="https://datacolada.org/90" TargetMode="External"/><Relationship Id="rId1679" Type="http://schemas.openxmlformats.org/officeDocument/2006/relationships/hyperlink" Target="https://aspredicted.org/n5tu8.pdf" TargetMode="External"/><Relationship Id="rId849" Type="http://schemas.openxmlformats.org/officeDocument/2006/relationships/hyperlink" Target="https://rpubs.com/ShimaSalehi/155989" TargetMode="External"/><Relationship Id="rId844" Type="http://schemas.openxmlformats.org/officeDocument/2006/relationships/hyperlink" Target="https://rpubs.com/ShimaSalehi/155989" TargetMode="External"/><Relationship Id="rId843" Type="http://schemas.openxmlformats.org/officeDocument/2006/relationships/hyperlink" Target="https://rpubs.com/ShimaSalehi/155989" TargetMode="External"/><Relationship Id="rId842" Type="http://schemas.openxmlformats.org/officeDocument/2006/relationships/hyperlink" Target="https://www.rpubs.com/sansiropp/256552" TargetMode="External"/><Relationship Id="rId841" Type="http://schemas.openxmlformats.org/officeDocument/2006/relationships/hyperlink" Target="https://www.rpubs.com/sansiropp/256552" TargetMode="External"/><Relationship Id="rId848" Type="http://schemas.openxmlformats.org/officeDocument/2006/relationships/hyperlink" Target="https://rpubs.com/ShimaSalehi/155989" TargetMode="External"/><Relationship Id="rId847" Type="http://schemas.openxmlformats.org/officeDocument/2006/relationships/hyperlink" Target="https://rpubs.com/ShimaSalehi/155989" TargetMode="External"/><Relationship Id="rId846" Type="http://schemas.openxmlformats.org/officeDocument/2006/relationships/hyperlink" Target="https://rpubs.com/ShimaSalehi/155989" TargetMode="External"/><Relationship Id="rId845" Type="http://schemas.openxmlformats.org/officeDocument/2006/relationships/hyperlink" Target="https://rpubs.com/ShimaSalehi/155989" TargetMode="External"/><Relationship Id="rId1670" Type="http://schemas.openxmlformats.org/officeDocument/2006/relationships/hyperlink" Target="https://datacolada.org/90" TargetMode="External"/><Relationship Id="rId840" Type="http://schemas.openxmlformats.org/officeDocument/2006/relationships/hyperlink" Target="https://www.rpubs.com/sansiropp/256552" TargetMode="External"/><Relationship Id="rId1671" Type="http://schemas.openxmlformats.org/officeDocument/2006/relationships/hyperlink" Target="https://aspredicted.org/gi726.pdf" TargetMode="External"/><Relationship Id="rId1672" Type="http://schemas.openxmlformats.org/officeDocument/2006/relationships/hyperlink" Target="https://datacolada.org/90" TargetMode="External"/><Relationship Id="rId1673" Type="http://schemas.openxmlformats.org/officeDocument/2006/relationships/hyperlink" Target="https://aspredicted.org/gi726.pdf" TargetMode="External"/><Relationship Id="rId1674" Type="http://schemas.openxmlformats.org/officeDocument/2006/relationships/hyperlink" Target="https://datacolada.org/90" TargetMode="External"/><Relationship Id="rId1664" Type="http://schemas.openxmlformats.org/officeDocument/2006/relationships/hyperlink" Target="https://datacolada.org/84" TargetMode="External"/><Relationship Id="rId2995" Type="http://schemas.openxmlformats.org/officeDocument/2006/relationships/hyperlink" Target="https://osf.io/43nfd" TargetMode="External"/><Relationship Id="rId1665" Type="http://schemas.openxmlformats.org/officeDocument/2006/relationships/hyperlink" Target="https://aspredicted.org/mi7km.pdf" TargetMode="External"/><Relationship Id="rId2996" Type="http://schemas.openxmlformats.org/officeDocument/2006/relationships/hyperlink" Target="https://drive.google.com/file/d/1Oyf6phoxDUGiryzACmCI2gdTcVIQO0rE/view?usp=drive_link" TargetMode="External"/><Relationship Id="rId1666" Type="http://schemas.openxmlformats.org/officeDocument/2006/relationships/hyperlink" Target="https://datacolada.org/85" TargetMode="External"/><Relationship Id="rId2997" Type="http://schemas.openxmlformats.org/officeDocument/2006/relationships/hyperlink" Target="https://osf.io/43nfd" TargetMode="External"/><Relationship Id="rId1667" Type="http://schemas.openxmlformats.org/officeDocument/2006/relationships/hyperlink" Target="https://aspredicted.org/mz4h8.pdf" TargetMode="External"/><Relationship Id="rId2998" Type="http://schemas.openxmlformats.org/officeDocument/2006/relationships/hyperlink" Target="https://drive.google.com/file/d/1Oyf6phoxDUGiryzACmCI2gdTcVIQO0rE/view?usp=drive_link" TargetMode="External"/><Relationship Id="rId1668" Type="http://schemas.openxmlformats.org/officeDocument/2006/relationships/hyperlink" Target="https://datacolada.org/85" TargetMode="External"/><Relationship Id="rId2999" Type="http://schemas.openxmlformats.org/officeDocument/2006/relationships/hyperlink" Target="https://osf.io/43nfd" TargetMode="External"/><Relationship Id="rId1669" Type="http://schemas.openxmlformats.org/officeDocument/2006/relationships/hyperlink" Target="http://aspredicted.org/mz4h8.pdf" TargetMode="External"/><Relationship Id="rId839" Type="http://schemas.openxmlformats.org/officeDocument/2006/relationships/hyperlink" Target="https://github.com/lrhasak/porter2016/blob/master/writeup/ReplicationReport.Rmd" TargetMode="External"/><Relationship Id="rId838" Type="http://schemas.openxmlformats.org/officeDocument/2006/relationships/hyperlink" Target="https://github.com/lrhasak/porter2016/blob/master/writeup/Porter2016_Study2_ReplicationReportFinal.html" TargetMode="External"/><Relationship Id="rId833" Type="http://schemas.openxmlformats.org/officeDocument/2006/relationships/hyperlink" Target="https://rpubs.com/camillag/256522" TargetMode="External"/><Relationship Id="rId832" Type="http://schemas.openxmlformats.org/officeDocument/2006/relationships/hyperlink" Target="https://osf.io/w3h9y/files/osfstorage" TargetMode="External"/><Relationship Id="rId831" Type="http://schemas.openxmlformats.org/officeDocument/2006/relationships/hyperlink" Target="https://rpubs.com/camillag/256522" TargetMode="External"/><Relationship Id="rId830" Type="http://schemas.openxmlformats.org/officeDocument/2006/relationships/hyperlink" Target="https://osf.io/xwn9m/" TargetMode="External"/><Relationship Id="rId837" Type="http://schemas.openxmlformats.org/officeDocument/2006/relationships/hyperlink" Target="https://github.com/lrhasak/porter2016/blob/master/writeup/ReplicationReport.Rmd" TargetMode="External"/><Relationship Id="rId836" Type="http://schemas.openxmlformats.org/officeDocument/2006/relationships/hyperlink" Target="https://osf.io/w3h9y/files/osfstorage" TargetMode="External"/><Relationship Id="rId835" Type="http://schemas.openxmlformats.org/officeDocument/2006/relationships/hyperlink" Target="https://rpubs.com/camillag/256522" TargetMode="External"/><Relationship Id="rId834" Type="http://schemas.openxmlformats.org/officeDocument/2006/relationships/hyperlink" Target="https://osf.io/w3h9y/files/osfstorage" TargetMode="External"/><Relationship Id="rId2990" Type="http://schemas.openxmlformats.org/officeDocument/2006/relationships/hyperlink" Target="https://drive.google.com/file/d/1Oyf6phoxDUGiryzACmCI2gdTcVIQO0rE/view?usp=drive_link" TargetMode="External"/><Relationship Id="rId1660" Type="http://schemas.openxmlformats.org/officeDocument/2006/relationships/hyperlink" Target="https://datacolada.org/84" TargetMode="External"/><Relationship Id="rId2991" Type="http://schemas.openxmlformats.org/officeDocument/2006/relationships/hyperlink" Target="https://osf.io/p7952" TargetMode="External"/><Relationship Id="rId1661" Type="http://schemas.openxmlformats.org/officeDocument/2006/relationships/hyperlink" Target="https://aspredicted.org/mi7km.pdf" TargetMode="External"/><Relationship Id="rId2992" Type="http://schemas.openxmlformats.org/officeDocument/2006/relationships/hyperlink" Target="https://drive.google.com/file/d/1Oyf6phoxDUGiryzACmCI2gdTcVIQO0rE/view?usp=drive_link" TargetMode="External"/><Relationship Id="rId1662" Type="http://schemas.openxmlformats.org/officeDocument/2006/relationships/hyperlink" Target="https://datacolada.org/84" TargetMode="External"/><Relationship Id="rId2993" Type="http://schemas.openxmlformats.org/officeDocument/2006/relationships/hyperlink" Target="https://osf.io/p7952" TargetMode="External"/><Relationship Id="rId1663" Type="http://schemas.openxmlformats.org/officeDocument/2006/relationships/hyperlink" Target="https://aspredicted.org/mi7km.pdf" TargetMode="External"/><Relationship Id="rId2994" Type="http://schemas.openxmlformats.org/officeDocument/2006/relationships/hyperlink" Target="https://drive.google.com/file/d/1Oyf6phoxDUGiryzACmCI2gdTcVIQO0rE/view?usp=drive_link" TargetMode="External"/><Relationship Id="rId2148" Type="http://schemas.openxmlformats.org/officeDocument/2006/relationships/hyperlink" Target="https://osf.io/r57hu" TargetMode="External"/><Relationship Id="rId2149" Type="http://schemas.openxmlformats.org/officeDocument/2006/relationships/hyperlink" Target="https://osf.io/wmbp2" TargetMode="External"/><Relationship Id="rId3479" Type="http://schemas.openxmlformats.org/officeDocument/2006/relationships/hyperlink" Target="https://osf.io/r73fb" TargetMode="External"/><Relationship Id="rId3470" Type="http://schemas.openxmlformats.org/officeDocument/2006/relationships/hyperlink" Target="https://osf.io/2cg3e/files/osfstorage" TargetMode="External"/><Relationship Id="rId2140" Type="http://schemas.openxmlformats.org/officeDocument/2006/relationships/hyperlink" Target="https://osf.io/x75fq" TargetMode="External"/><Relationship Id="rId3472" Type="http://schemas.openxmlformats.org/officeDocument/2006/relationships/hyperlink" Target="https://osf.io/4hjck/" TargetMode="External"/><Relationship Id="rId2141" Type="http://schemas.openxmlformats.org/officeDocument/2006/relationships/hyperlink" Target="https://osf.io/nmrjg" TargetMode="External"/><Relationship Id="rId3471" Type="http://schemas.openxmlformats.org/officeDocument/2006/relationships/hyperlink" Target="https://osf.io/2cg3e/files/osfstorage" TargetMode="External"/><Relationship Id="rId2142" Type="http://schemas.openxmlformats.org/officeDocument/2006/relationships/hyperlink" Target="https://osf.io/r57hu" TargetMode="External"/><Relationship Id="rId3474" Type="http://schemas.openxmlformats.org/officeDocument/2006/relationships/hyperlink" Target="https://osf.io/r73fb" TargetMode="External"/><Relationship Id="rId2143" Type="http://schemas.openxmlformats.org/officeDocument/2006/relationships/hyperlink" Target="https://doi.org/10.17605/OSF.IO/PK952" TargetMode="External"/><Relationship Id="rId3473" Type="http://schemas.openxmlformats.org/officeDocument/2006/relationships/hyperlink" Target="https://osf.io/r73fb" TargetMode="External"/><Relationship Id="rId2144" Type="http://schemas.openxmlformats.org/officeDocument/2006/relationships/hyperlink" Target="https://osf.io/r57hu" TargetMode="External"/><Relationship Id="rId3476" Type="http://schemas.openxmlformats.org/officeDocument/2006/relationships/hyperlink" Target="https://osf.io/r73fb" TargetMode="External"/><Relationship Id="rId2145" Type="http://schemas.openxmlformats.org/officeDocument/2006/relationships/hyperlink" Target="https://osf.io/pk952" TargetMode="External"/><Relationship Id="rId3475" Type="http://schemas.openxmlformats.org/officeDocument/2006/relationships/hyperlink" Target="https://osf.io/r73fb" TargetMode="External"/><Relationship Id="rId2146" Type="http://schemas.openxmlformats.org/officeDocument/2006/relationships/hyperlink" Target="https://osf.io/r57hu" TargetMode="External"/><Relationship Id="rId3478" Type="http://schemas.openxmlformats.org/officeDocument/2006/relationships/hyperlink" Target="https://osf.io/r73fb" TargetMode="External"/><Relationship Id="rId2147" Type="http://schemas.openxmlformats.org/officeDocument/2006/relationships/hyperlink" Target="https://doi.org/10.17605/OSF.IO/WMBP2" TargetMode="External"/><Relationship Id="rId3477" Type="http://schemas.openxmlformats.org/officeDocument/2006/relationships/hyperlink" Target="https://osf.io/r73fb" TargetMode="External"/><Relationship Id="rId2137" Type="http://schemas.openxmlformats.org/officeDocument/2006/relationships/hyperlink" Target="https://osf.io/4kr6e" TargetMode="External"/><Relationship Id="rId3469" Type="http://schemas.openxmlformats.org/officeDocument/2006/relationships/hyperlink" Target="https://osf.io/2cg3e/files/osfstorage" TargetMode="External"/><Relationship Id="rId2138" Type="http://schemas.openxmlformats.org/officeDocument/2006/relationships/hyperlink" Target="https://osf.io/x75fq" TargetMode="External"/><Relationship Id="rId3468" Type="http://schemas.openxmlformats.org/officeDocument/2006/relationships/hyperlink" Target="https://osf.io/2cg3e/files/osfstorage" TargetMode="External"/><Relationship Id="rId2139" Type="http://schemas.openxmlformats.org/officeDocument/2006/relationships/hyperlink" Target="https://doi.org/10.17605/OSF.IO/NMRJG" TargetMode="External"/><Relationship Id="rId3461" Type="http://schemas.openxmlformats.org/officeDocument/2006/relationships/hyperlink" Target="https://osf.io/2cg3e/files/osfstorage" TargetMode="External"/><Relationship Id="rId2130" Type="http://schemas.openxmlformats.org/officeDocument/2006/relationships/hyperlink" Target="https://doi.org/10.17605/OSF.IO/8EW6S" TargetMode="External"/><Relationship Id="rId3460" Type="http://schemas.openxmlformats.org/officeDocument/2006/relationships/hyperlink" Target="https://osf.io/mz7n5" TargetMode="External"/><Relationship Id="rId2131" Type="http://schemas.openxmlformats.org/officeDocument/2006/relationships/hyperlink" Target="https://osf.io/jym7h" TargetMode="External"/><Relationship Id="rId3463" Type="http://schemas.openxmlformats.org/officeDocument/2006/relationships/hyperlink" Target="https://osf.io/2cg3e/files/osfstorage" TargetMode="External"/><Relationship Id="rId2132" Type="http://schemas.openxmlformats.org/officeDocument/2006/relationships/hyperlink" Target="https://osf.io/8ew6s" TargetMode="External"/><Relationship Id="rId3462" Type="http://schemas.openxmlformats.org/officeDocument/2006/relationships/hyperlink" Target="https://osf.io/2cg3e/files/osfstorage" TargetMode="External"/><Relationship Id="rId2133" Type="http://schemas.openxmlformats.org/officeDocument/2006/relationships/hyperlink" Target="http://osf.io/iajp5" TargetMode="External"/><Relationship Id="rId3465" Type="http://schemas.openxmlformats.org/officeDocument/2006/relationships/hyperlink" Target="https://osf.io/2cg3e/files/osfstorage" TargetMode="External"/><Relationship Id="rId2134" Type="http://schemas.openxmlformats.org/officeDocument/2006/relationships/hyperlink" Target="https://osf.io/83n4z" TargetMode="External"/><Relationship Id="rId3464" Type="http://schemas.openxmlformats.org/officeDocument/2006/relationships/hyperlink" Target="https://osf.io/2cg3e/files/osfstorage" TargetMode="External"/><Relationship Id="rId2135" Type="http://schemas.openxmlformats.org/officeDocument/2006/relationships/hyperlink" Target="https://doi.org/10.17605/OSF.IO/4KR6E" TargetMode="External"/><Relationship Id="rId3467" Type="http://schemas.openxmlformats.org/officeDocument/2006/relationships/hyperlink" Target="https://osf.io/2cg3e/files/osfstorage" TargetMode="External"/><Relationship Id="rId2136" Type="http://schemas.openxmlformats.org/officeDocument/2006/relationships/hyperlink" Target="https://osf.io/83n4z" TargetMode="External"/><Relationship Id="rId3466" Type="http://schemas.openxmlformats.org/officeDocument/2006/relationships/hyperlink" Target="https://osf.io/mz7n5" TargetMode="External"/><Relationship Id="rId3490" Type="http://schemas.openxmlformats.org/officeDocument/2006/relationships/hyperlink" Target="https://osf.io/kqatx/files/osfstorage" TargetMode="External"/><Relationship Id="rId2160" Type="http://schemas.openxmlformats.org/officeDocument/2006/relationships/hyperlink" Target="https://osf.io/2hk76" TargetMode="External"/><Relationship Id="rId3492" Type="http://schemas.openxmlformats.org/officeDocument/2006/relationships/hyperlink" Target="https://osf.io/qdn2m" TargetMode="External"/><Relationship Id="rId2161" Type="http://schemas.openxmlformats.org/officeDocument/2006/relationships/hyperlink" Target="https://osf.io/2hk76" TargetMode="External"/><Relationship Id="rId3491" Type="http://schemas.openxmlformats.org/officeDocument/2006/relationships/hyperlink" Target="https://osf.io/vcqwj" TargetMode="External"/><Relationship Id="rId2162" Type="http://schemas.openxmlformats.org/officeDocument/2006/relationships/hyperlink" Target="https://osf.io/pyt4e" TargetMode="External"/><Relationship Id="rId3494" Type="http://schemas.openxmlformats.org/officeDocument/2006/relationships/hyperlink" Target="https://osf.io/vcqwj" TargetMode="External"/><Relationship Id="rId2163" Type="http://schemas.openxmlformats.org/officeDocument/2006/relationships/hyperlink" Target="https://osf.io/pyt4e" TargetMode="External"/><Relationship Id="rId3493" Type="http://schemas.openxmlformats.org/officeDocument/2006/relationships/hyperlink" Target="https://osf.io/vcqwj" TargetMode="External"/><Relationship Id="rId2164" Type="http://schemas.openxmlformats.org/officeDocument/2006/relationships/hyperlink" Target="https://osf.io/8ybk5" TargetMode="External"/><Relationship Id="rId3496" Type="http://schemas.openxmlformats.org/officeDocument/2006/relationships/hyperlink" Target="https://osf.io/zpkqt" TargetMode="External"/><Relationship Id="rId2165" Type="http://schemas.openxmlformats.org/officeDocument/2006/relationships/hyperlink" Target="https://osf.io/8ybk5" TargetMode="External"/><Relationship Id="rId3495" Type="http://schemas.openxmlformats.org/officeDocument/2006/relationships/hyperlink" Target="https://osf.io/vcqwj" TargetMode="External"/><Relationship Id="rId2166" Type="http://schemas.openxmlformats.org/officeDocument/2006/relationships/hyperlink" Target="https://osf.io/vj2xr" TargetMode="External"/><Relationship Id="rId3498" Type="http://schemas.openxmlformats.org/officeDocument/2006/relationships/hyperlink" Target="https://osf.io/e859v" TargetMode="External"/><Relationship Id="rId2167" Type="http://schemas.openxmlformats.org/officeDocument/2006/relationships/hyperlink" Target="https://osf.io/vj2xr" TargetMode="External"/><Relationship Id="rId3497" Type="http://schemas.openxmlformats.org/officeDocument/2006/relationships/hyperlink" Target="https://osf.io/c3phs" TargetMode="External"/><Relationship Id="rId2168" Type="http://schemas.openxmlformats.org/officeDocument/2006/relationships/hyperlink" Target="https://osf.io/hsntd" TargetMode="External"/><Relationship Id="rId2169" Type="http://schemas.openxmlformats.org/officeDocument/2006/relationships/hyperlink" Target="https://osf.io/hsntd" TargetMode="External"/><Relationship Id="rId3499" Type="http://schemas.openxmlformats.org/officeDocument/2006/relationships/hyperlink" Target="https://osf.io/fve58" TargetMode="External"/><Relationship Id="rId2159" Type="http://schemas.openxmlformats.org/officeDocument/2006/relationships/hyperlink" Target="https://osf.io/ictp5" TargetMode="External"/><Relationship Id="rId3481" Type="http://schemas.openxmlformats.org/officeDocument/2006/relationships/hyperlink" Target="https://osf.io/r73fb" TargetMode="External"/><Relationship Id="rId2150" Type="http://schemas.openxmlformats.org/officeDocument/2006/relationships/hyperlink" Target="https://doi.org/10.17605/OSF.IO/HPK2M" TargetMode="External"/><Relationship Id="rId3480" Type="http://schemas.openxmlformats.org/officeDocument/2006/relationships/hyperlink" Target="https://osf.io/r73fb" TargetMode="External"/><Relationship Id="rId2151" Type="http://schemas.openxmlformats.org/officeDocument/2006/relationships/hyperlink" Target="https://osf.io/hpk2m" TargetMode="External"/><Relationship Id="rId3483" Type="http://schemas.openxmlformats.org/officeDocument/2006/relationships/hyperlink" Target="https://osf.io/kqatx/files/osfstorage" TargetMode="External"/><Relationship Id="rId2152" Type="http://schemas.openxmlformats.org/officeDocument/2006/relationships/hyperlink" Target="https://doi.org/10.17605/OSF.IO/WZXQ9" TargetMode="External"/><Relationship Id="rId3482" Type="http://schemas.openxmlformats.org/officeDocument/2006/relationships/hyperlink" Target="https://osf.io/kqatx/files/osfstorage" TargetMode="External"/><Relationship Id="rId2153" Type="http://schemas.openxmlformats.org/officeDocument/2006/relationships/hyperlink" Target="https://osf.io/wzxq9" TargetMode="External"/><Relationship Id="rId3485" Type="http://schemas.openxmlformats.org/officeDocument/2006/relationships/hyperlink" Target="https://osf.io/kqatx/files/osfstorage" TargetMode="External"/><Relationship Id="rId2154" Type="http://schemas.openxmlformats.org/officeDocument/2006/relationships/hyperlink" Target="https://osf.io/wbs96" TargetMode="External"/><Relationship Id="rId3484" Type="http://schemas.openxmlformats.org/officeDocument/2006/relationships/hyperlink" Target="https://osf.io/kqatx/files/osfstorage" TargetMode="External"/><Relationship Id="rId2155" Type="http://schemas.openxmlformats.org/officeDocument/2006/relationships/hyperlink" Target="https://osf.io/wbs96" TargetMode="External"/><Relationship Id="rId3487" Type="http://schemas.openxmlformats.org/officeDocument/2006/relationships/hyperlink" Target="https://osf.io/kqatx/files/osfstorage" TargetMode="External"/><Relationship Id="rId2156" Type="http://schemas.openxmlformats.org/officeDocument/2006/relationships/hyperlink" Target="https://osf.io/e89gh" TargetMode="External"/><Relationship Id="rId3486" Type="http://schemas.openxmlformats.org/officeDocument/2006/relationships/hyperlink" Target="https://osf.io/kqatx/files/osfstorage" TargetMode="External"/><Relationship Id="rId2157" Type="http://schemas.openxmlformats.org/officeDocument/2006/relationships/hyperlink" Target="https://osf.io/e89gh" TargetMode="External"/><Relationship Id="rId3489" Type="http://schemas.openxmlformats.org/officeDocument/2006/relationships/hyperlink" Target="https://osf.io/kqatx/files/osfstorage" TargetMode="External"/><Relationship Id="rId2158" Type="http://schemas.openxmlformats.org/officeDocument/2006/relationships/hyperlink" Target="https://doi.org/10.17605/OSF.IO/VK6D9" TargetMode="External"/><Relationship Id="rId3488" Type="http://schemas.openxmlformats.org/officeDocument/2006/relationships/hyperlink" Target="https://osf.io/kqatx/files/osfstorage" TargetMode="External"/><Relationship Id="rId2104" Type="http://schemas.openxmlformats.org/officeDocument/2006/relationships/hyperlink" Target="https://aspredicted.org/ZW2_C76" TargetMode="External"/><Relationship Id="rId3436" Type="http://schemas.openxmlformats.org/officeDocument/2006/relationships/hyperlink" Target="https://osf.io/kvcjz" TargetMode="External"/><Relationship Id="rId2105" Type="http://schemas.openxmlformats.org/officeDocument/2006/relationships/hyperlink" Target="https://aspredicted.org/ZW2_C76" TargetMode="External"/><Relationship Id="rId3435" Type="http://schemas.openxmlformats.org/officeDocument/2006/relationships/hyperlink" Target="https://osf.io/hzdfk" TargetMode="External"/><Relationship Id="rId2106" Type="http://schemas.openxmlformats.org/officeDocument/2006/relationships/hyperlink" Target="https://aspredicted.org/ZW2_C76" TargetMode="External"/><Relationship Id="rId3438" Type="http://schemas.openxmlformats.org/officeDocument/2006/relationships/hyperlink" Target="https://osf.io/gj5re/files/osfstorage" TargetMode="External"/><Relationship Id="rId2107" Type="http://schemas.openxmlformats.org/officeDocument/2006/relationships/hyperlink" Target="https://aspredicted.org/ZW2_C76" TargetMode="External"/><Relationship Id="rId3437" Type="http://schemas.openxmlformats.org/officeDocument/2006/relationships/hyperlink" Target="https://osf.io/gj5re/files/osfstorage" TargetMode="External"/><Relationship Id="rId2108" Type="http://schemas.openxmlformats.org/officeDocument/2006/relationships/hyperlink" Target="https://aspredicted.org/ZW2_C76" TargetMode="External"/><Relationship Id="rId2109" Type="http://schemas.openxmlformats.org/officeDocument/2006/relationships/hyperlink" Target="https://aspredicted.org/ZW2_C76" TargetMode="External"/><Relationship Id="rId3439" Type="http://schemas.openxmlformats.org/officeDocument/2006/relationships/hyperlink" Target="https://osf.io/gj5re/files/osfstorage" TargetMode="External"/><Relationship Id="rId3430" Type="http://schemas.openxmlformats.org/officeDocument/2006/relationships/hyperlink" Target="https://osf.io/pg3ae?view_only=6f8f5dc6ff524149a4ed5c6de9296ae8" TargetMode="External"/><Relationship Id="rId2100" Type="http://schemas.openxmlformats.org/officeDocument/2006/relationships/hyperlink" Target="https://aspredicted.org/ZW2_C76" TargetMode="External"/><Relationship Id="rId3432" Type="http://schemas.openxmlformats.org/officeDocument/2006/relationships/hyperlink" Target="https://osf.io/pg3ae?view_only=6f8f5dc6ff524149a4ed5c6de9296ae8" TargetMode="External"/><Relationship Id="rId2101" Type="http://schemas.openxmlformats.org/officeDocument/2006/relationships/hyperlink" Target="https://aspredicted.org/ZW2_C76" TargetMode="External"/><Relationship Id="rId3431" Type="http://schemas.openxmlformats.org/officeDocument/2006/relationships/hyperlink" Target="https://osf.io/pg3ae/" TargetMode="External"/><Relationship Id="rId2102" Type="http://schemas.openxmlformats.org/officeDocument/2006/relationships/hyperlink" Target="https://aspredicted.org/ZW2_C76" TargetMode="External"/><Relationship Id="rId3434" Type="http://schemas.openxmlformats.org/officeDocument/2006/relationships/hyperlink" Target="https://osf.io/kvcjz" TargetMode="External"/><Relationship Id="rId2103" Type="http://schemas.openxmlformats.org/officeDocument/2006/relationships/hyperlink" Target="https://aspredicted.org/ZW2_C76" TargetMode="External"/><Relationship Id="rId3433" Type="http://schemas.openxmlformats.org/officeDocument/2006/relationships/hyperlink" Target="https://osf.io/gwchd" TargetMode="External"/><Relationship Id="rId3425" Type="http://schemas.openxmlformats.org/officeDocument/2006/relationships/hyperlink" Target="https://osf.io/gcerb" TargetMode="External"/><Relationship Id="rId3424" Type="http://schemas.openxmlformats.org/officeDocument/2006/relationships/hyperlink" Target="https://osf.io/gcerb" TargetMode="External"/><Relationship Id="rId3427" Type="http://schemas.openxmlformats.org/officeDocument/2006/relationships/hyperlink" Target="https://osf.io/gcerb" TargetMode="External"/><Relationship Id="rId3426" Type="http://schemas.openxmlformats.org/officeDocument/2006/relationships/hyperlink" Target="https://osf.io/gcerb" TargetMode="External"/><Relationship Id="rId3429" Type="http://schemas.openxmlformats.org/officeDocument/2006/relationships/hyperlink" Target="https://osf.io/gcerb" TargetMode="External"/><Relationship Id="rId3428" Type="http://schemas.openxmlformats.org/officeDocument/2006/relationships/hyperlink" Target="https://osf.io/gcerb" TargetMode="External"/><Relationship Id="rId899" Type="http://schemas.openxmlformats.org/officeDocument/2006/relationships/hyperlink" Target="https://rpubs.com/cceballos-stanford/544019" TargetMode="External"/><Relationship Id="rId898" Type="http://schemas.openxmlformats.org/officeDocument/2006/relationships/hyperlink" Target="https://osf.io/zxp9k/." TargetMode="External"/><Relationship Id="rId897" Type="http://schemas.openxmlformats.org/officeDocument/2006/relationships/hyperlink" Target="https://rpubs.com/cceballos-stanford/544019" TargetMode="External"/><Relationship Id="rId896" Type="http://schemas.openxmlformats.org/officeDocument/2006/relationships/hyperlink" Target="https://rpubs.com/kagood/final-project-report," TargetMode="External"/><Relationship Id="rId891" Type="http://schemas.openxmlformats.org/officeDocument/2006/relationships/hyperlink" Target="https://osf.io/8k4t5/" TargetMode="External"/><Relationship Id="rId890" Type="http://schemas.openxmlformats.org/officeDocument/2006/relationships/hyperlink" Target="https://rpubs.com/kagood/final-project-report," TargetMode="External"/><Relationship Id="rId895" Type="http://schemas.openxmlformats.org/officeDocument/2006/relationships/hyperlink" Target="https://osf.io/8k4t5/" TargetMode="External"/><Relationship Id="rId3421" Type="http://schemas.openxmlformats.org/officeDocument/2006/relationships/hyperlink" Target="https://osf.io/fyzwd" TargetMode="External"/><Relationship Id="rId894" Type="http://schemas.openxmlformats.org/officeDocument/2006/relationships/hyperlink" Target="https://rpubs.com/kagood/final-project-report," TargetMode="External"/><Relationship Id="rId3420" Type="http://schemas.openxmlformats.org/officeDocument/2006/relationships/hyperlink" Target="https://osf.io/342td" TargetMode="External"/><Relationship Id="rId893" Type="http://schemas.openxmlformats.org/officeDocument/2006/relationships/hyperlink" Target="https://osf.io/8k4t5/" TargetMode="External"/><Relationship Id="rId3423" Type="http://schemas.openxmlformats.org/officeDocument/2006/relationships/hyperlink" Target="https://osf.io/9vsxt" TargetMode="External"/><Relationship Id="rId892" Type="http://schemas.openxmlformats.org/officeDocument/2006/relationships/hyperlink" Target="https://rpubs.com/kagood/final-project-report," TargetMode="External"/><Relationship Id="rId3422" Type="http://schemas.openxmlformats.org/officeDocument/2006/relationships/hyperlink" Target="https://osf.io/gcerb" TargetMode="External"/><Relationship Id="rId2126" Type="http://schemas.openxmlformats.org/officeDocument/2006/relationships/hyperlink" Target="https://doi.org/10.17605/OSF.IO/693JY" TargetMode="External"/><Relationship Id="rId3458" Type="http://schemas.openxmlformats.org/officeDocument/2006/relationships/hyperlink" Target="https://osf.io/2cg3e/files/osfstorage" TargetMode="External"/><Relationship Id="rId2127" Type="http://schemas.openxmlformats.org/officeDocument/2006/relationships/hyperlink" Target="https://osf.io/7mgwh" TargetMode="External"/><Relationship Id="rId3457" Type="http://schemas.openxmlformats.org/officeDocument/2006/relationships/hyperlink" Target="https://osf.io/mz7n5" TargetMode="External"/><Relationship Id="rId2128" Type="http://schemas.openxmlformats.org/officeDocument/2006/relationships/hyperlink" Target="https://osf.io/693jy" TargetMode="External"/><Relationship Id="rId2129" Type="http://schemas.openxmlformats.org/officeDocument/2006/relationships/hyperlink" Target="https://osf.io/jym7h" TargetMode="External"/><Relationship Id="rId3459" Type="http://schemas.openxmlformats.org/officeDocument/2006/relationships/hyperlink" Target="https://osf.io/2cg3e/files/osfstorage" TargetMode="External"/><Relationship Id="rId3450" Type="http://schemas.openxmlformats.org/officeDocument/2006/relationships/hyperlink" Target="https://osf.io/57mdc/files/osfstorage" TargetMode="External"/><Relationship Id="rId2120" Type="http://schemas.openxmlformats.org/officeDocument/2006/relationships/hyperlink" Target="http://osf.io/qwkum" TargetMode="External"/><Relationship Id="rId3452" Type="http://schemas.openxmlformats.org/officeDocument/2006/relationships/hyperlink" Target="https://osf.io/57mdc/files/osfstorage" TargetMode="External"/><Relationship Id="rId2121" Type="http://schemas.openxmlformats.org/officeDocument/2006/relationships/hyperlink" Target="https://osf.io/janu3" TargetMode="External"/><Relationship Id="rId3451" Type="http://schemas.openxmlformats.org/officeDocument/2006/relationships/hyperlink" Target="https://osf.io/57mdc/files/osfstorage" TargetMode="External"/><Relationship Id="rId2122" Type="http://schemas.openxmlformats.org/officeDocument/2006/relationships/hyperlink" Target="https://osf.io/sptyb" TargetMode="External"/><Relationship Id="rId3454" Type="http://schemas.openxmlformats.org/officeDocument/2006/relationships/hyperlink" Target="https://osf.io/57mdc/files/osfstorage" TargetMode="External"/><Relationship Id="rId2123" Type="http://schemas.openxmlformats.org/officeDocument/2006/relationships/hyperlink" Target="https://osf.io/janu3" TargetMode="External"/><Relationship Id="rId3453" Type="http://schemas.openxmlformats.org/officeDocument/2006/relationships/hyperlink" Target="https://osf.io/57mdc/files/osfstorage" TargetMode="External"/><Relationship Id="rId2124" Type="http://schemas.openxmlformats.org/officeDocument/2006/relationships/hyperlink" Target="https://osf.io/sptyb" TargetMode="External"/><Relationship Id="rId3456" Type="http://schemas.openxmlformats.org/officeDocument/2006/relationships/hyperlink" Target="https://osf.io/2cg3e/files/osfstorage" TargetMode="External"/><Relationship Id="rId2125" Type="http://schemas.openxmlformats.org/officeDocument/2006/relationships/hyperlink" Target="https://osf.io/7mgwh" TargetMode="External"/><Relationship Id="rId3455" Type="http://schemas.openxmlformats.org/officeDocument/2006/relationships/hyperlink" Target="https://osf.io/57mdc/files/osfstorage" TargetMode="External"/><Relationship Id="rId2115" Type="http://schemas.openxmlformats.org/officeDocument/2006/relationships/hyperlink" Target="https://aspredicted.org/ZW2_C76" TargetMode="External"/><Relationship Id="rId3447" Type="http://schemas.openxmlformats.org/officeDocument/2006/relationships/hyperlink" Target="https://osf.io/ht4sw" TargetMode="External"/><Relationship Id="rId2116" Type="http://schemas.openxmlformats.org/officeDocument/2006/relationships/hyperlink" Target="https://aspredicted.org/ZW2_C76" TargetMode="External"/><Relationship Id="rId3446" Type="http://schemas.openxmlformats.org/officeDocument/2006/relationships/hyperlink" Target="https://osf.io/57mdc/files/osfstorage" TargetMode="External"/><Relationship Id="rId2117" Type="http://schemas.openxmlformats.org/officeDocument/2006/relationships/hyperlink" Target="https://aspredicted.org/ZW2_C76" TargetMode="External"/><Relationship Id="rId3449" Type="http://schemas.openxmlformats.org/officeDocument/2006/relationships/hyperlink" Target="https://osf.io/57mdc/files/osfstorage" TargetMode="External"/><Relationship Id="rId2118" Type="http://schemas.openxmlformats.org/officeDocument/2006/relationships/hyperlink" Target="https://aspredicted.org/ZW2_C76" TargetMode="External"/><Relationship Id="rId3448" Type="http://schemas.openxmlformats.org/officeDocument/2006/relationships/hyperlink" Target="https://osf.io/57mdc/files/osfstorage" TargetMode="External"/><Relationship Id="rId2119" Type="http://schemas.openxmlformats.org/officeDocument/2006/relationships/hyperlink" Target="https://aspredicted.org/ZW2_C76" TargetMode="External"/><Relationship Id="rId3441" Type="http://schemas.openxmlformats.org/officeDocument/2006/relationships/hyperlink" Target="https://osf.io/gj5re/files/osfstorage" TargetMode="External"/><Relationship Id="rId2110" Type="http://schemas.openxmlformats.org/officeDocument/2006/relationships/hyperlink" Target="https://aspredicted.org/ZW2_C76" TargetMode="External"/><Relationship Id="rId3440" Type="http://schemas.openxmlformats.org/officeDocument/2006/relationships/hyperlink" Target="https://osf.io/gj5re/files/osfstorage" TargetMode="External"/><Relationship Id="rId2111" Type="http://schemas.openxmlformats.org/officeDocument/2006/relationships/hyperlink" Target="https://aspredicted.org/ZW2_C76" TargetMode="External"/><Relationship Id="rId3443" Type="http://schemas.openxmlformats.org/officeDocument/2006/relationships/hyperlink" Target="https://osf.io/gj5re/files/osfstorage" TargetMode="External"/><Relationship Id="rId2112" Type="http://schemas.openxmlformats.org/officeDocument/2006/relationships/hyperlink" Target="https://aspredicted.org/ZW2_C76" TargetMode="External"/><Relationship Id="rId3442" Type="http://schemas.openxmlformats.org/officeDocument/2006/relationships/hyperlink" Target="https://osf.io/gj5re/files/osfstorage" TargetMode="External"/><Relationship Id="rId2113" Type="http://schemas.openxmlformats.org/officeDocument/2006/relationships/hyperlink" Target="https://aspredicted.org/ZW2_C76" TargetMode="External"/><Relationship Id="rId3445" Type="http://schemas.openxmlformats.org/officeDocument/2006/relationships/hyperlink" Target="https://osf.io/57mdc/files/osfstorage" TargetMode="External"/><Relationship Id="rId2114" Type="http://schemas.openxmlformats.org/officeDocument/2006/relationships/hyperlink" Target="https://aspredicted.org/ZW2_C76" TargetMode="External"/><Relationship Id="rId3444" Type="http://schemas.openxmlformats.org/officeDocument/2006/relationships/hyperlink" Target="https://osf.io/gj5re/files/osfstorage"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92" Type="http://schemas.openxmlformats.org/officeDocument/2006/relationships/hyperlink" Target="https://drive.google.com/file/d/1qTL6PKBSthtYdj48L7Dk62yERqPqKBnq/view?usp=drivesdk" TargetMode="External"/><Relationship Id="rId391" Type="http://schemas.openxmlformats.org/officeDocument/2006/relationships/hyperlink" Target="https://drive.google.com/file/d/1sGHSm7nnh9zV9Qod3V-PuSGgCKbMNeR5/view?usp=drivesdk" TargetMode="External"/><Relationship Id="rId390" Type="http://schemas.openxmlformats.org/officeDocument/2006/relationships/hyperlink" Target="https://drive.google.com/file/d/1lqzf678nINDmNV9ncRFVe0fWUy5LAiwL/view?usp=drivesdk" TargetMode="External"/><Relationship Id="rId2180" Type="http://schemas.openxmlformats.org/officeDocument/2006/relationships/hyperlink" Target="https://drive.google.com/file/d/1DMMXxQwzUbOxshIWiT8AwdGZ588_WZ8b/view?usp=drivesdk" TargetMode="External"/><Relationship Id="rId2181" Type="http://schemas.openxmlformats.org/officeDocument/2006/relationships/hyperlink" Target="https://drive.google.com/file/d/1Dle9tBaQJnicGTbi-WNIWZLHBhpRMBFu/view?usp=drivesdk" TargetMode="External"/><Relationship Id="rId2182" Type="http://schemas.openxmlformats.org/officeDocument/2006/relationships/hyperlink" Target="https://drive.google.com/file/d/1VVeqTkEjSzuu9KSkYUb2Q1_BeFG8ZFes/view?usp=drivesdk" TargetMode="External"/><Relationship Id="rId2183" Type="http://schemas.openxmlformats.org/officeDocument/2006/relationships/hyperlink" Target="https://drive.google.com/file/d/1ANwIdy7vvKbUuPS6VZrKvVbqw28M1etr/view?usp=drivesdk" TargetMode="External"/><Relationship Id="rId385" Type="http://schemas.openxmlformats.org/officeDocument/2006/relationships/hyperlink" Target="https://drive.google.com/file/d/1MJqXbTH4bS9C4HfJZRVQDmRqUd8H5lNe/view?usp=drivesdk" TargetMode="External"/><Relationship Id="rId2184" Type="http://schemas.openxmlformats.org/officeDocument/2006/relationships/hyperlink" Target="https://drive.google.com/file/d/1mAgtvtRNwI_LQ2ccnmAWuBfkaX8itu_d/view?usp=drivesdk" TargetMode="External"/><Relationship Id="rId384" Type="http://schemas.openxmlformats.org/officeDocument/2006/relationships/hyperlink" Target="https://drive.google.com/file/d/16qbYRwBZRWoP9nuFmEGk94iJ8VHsg3Le/view?usp=drivesdk" TargetMode="External"/><Relationship Id="rId2185" Type="http://schemas.openxmlformats.org/officeDocument/2006/relationships/hyperlink" Target="https://drive.google.com/file/d/1bQdPG6N4D0o1pKlwFaURIS3ouXnJPLk2/view?usp=drivesdk" TargetMode="External"/><Relationship Id="rId383" Type="http://schemas.openxmlformats.org/officeDocument/2006/relationships/hyperlink" Target="https://drive.google.com/file/d/1OZ9MnwnUuWekhkQB2WKkdOcf8LDn0YBs/view?usp=drivesdk" TargetMode="External"/><Relationship Id="rId2186" Type="http://schemas.openxmlformats.org/officeDocument/2006/relationships/hyperlink" Target="https://drive.google.com/file/d/1kvzfXjBDZmFTCeJVlsPrywrDLzw17fXw/view?usp=drivesdk" TargetMode="External"/><Relationship Id="rId382" Type="http://schemas.openxmlformats.org/officeDocument/2006/relationships/hyperlink" Target="https://drive.google.com/file/d/14SkGd-WcSFt9ITiBBhXxR_j-ctYySuv3/view?usp=drivesdk" TargetMode="External"/><Relationship Id="rId2187" Type="http://schemas.openxmlformats.org/officeDocument/2006/relationships/hyperlink" Target="https://drive.google.com/file/d/1IfVJze_D0VNVGP0qGB9jOH8T88AinA4X/view?usp=drivesdk" TargetMode="External"/><Relationship Id="rId389" Type="http://schemas.openxmlformats.org/officeDocument/2006/relationships/hyperlink" Target="https://drive.google.com/file/d/11pACMmHjE0HDAbYn6PC_v4_Yw-SX2yZh/view?usp=drivesdk" TargetMode="External"/><Relationship Id="rId2188" Type="http://schemas.openxmlformats.org/officeDocument/2006/relationships/hyperlink" Target="https://drive.google.com/file/d/1y96i0hMyOppZ0ZOc68SfdS2QELKNre-8/view?usp=drivesdk" TargetMode="External"/><Relationship Id="rId388" Type="http://schemas.openxmlformats.org/officeDocument/2006/relationships/hyperlink" Target="https://drive.google.com/file/d/16LQMkyLPu_oL8Ui5radejqve_0DUtVlQ/view?usp=drivesdk" TargetMode="External"/><Relationship Id="rId2189" Type="http://schemas.openxmlformats.org/officeDocument/2006/relationships/hyperlink" Target="https://drive.google.com/file/d/1Mxrn43qE4Nlk4SUVbyTVjT4uEEPF5pZu/view?usp=drivesdk" TargetMode="External"/><Relationship Id="rId387" Type="http://schemas.openxmlformats.org/officeDocument/2006/relationships/hyperlink" Target="https://drive.google.com/file/d/1f9C_c2sCZCZd7IhO62zi-zNVnBS790ZT/view?usp=drivesdk" TargetMode="External"/><Relationship Id="rId386" Type="http://schemas.openxmlformats.org/officeDocument/2006/relationships/hyperlink" Target="https://drive.google.com/file/d/146vQI6PoR6JlkbKc0wZxo-vTLeoXdBuy/view?usp=drivesdk" TargetMode="External"/><Relationship Id="rId381" Type="http://schemas.openxmlformats.org/officeDocument/2006/relationships/hyperlink" Target="https://drive.google.com/file/d/1U3Nz5it4F6r6cJWegYctppAbeltRi0AZ/view?usp=drivesdk" TargetMode="External"/><Relationship Id="rId380" Type="http://schemas.openxmlformats.org/officeDocument/2006/relationships/hyperlink" Target="https://drive.google.com/file/d/12qf1qrJScepeuumFFj5t9dzpLohKg-Ip/view?usp=drivesdk" TargetMode="External"/><Relationship Id="rId379" Type="http://schemas.openxmlformats.org/officeDocument/2006/relationships/hyperlink" Target="https://drive.google.com/file/d/1u46I-xh_B-isC9Tx3RbD1ZJVW6wbiq8H/view?usp=drivesdk" TargetMode="External"/><Relationship Id="rId2170" Type="http://schemas.openxmlformats.org/officeDocument/2006/relationships/hyperlink" Target="https://drive.google.com/file/d/1hPhF8KaBqw1LsUQzpj31fTYVbHPo1XfL/view?usp=drivesdk" TargetMode="External"/><Relationship Id="rId2171" Type="http://schemas.openxmlformats.org/officeDocument/2006/relationships/hyperlink" Target="https://drive.google.com/file/d/11B6RDsDdpDnOGVv1Bafc4t3LGTugpLfW/view?usp=drivesdk" TargetMode="External"/><Relationship Id="rId2172" Type="http://schemas.openxmlformats.org/officeDocument/2006/relationships/hyperlink" Target="https://drive.google.com/file/d/1lBAeCGIckBPanOLBGZwhA7XjuahS_0Dx/view?usp=drivesdk" TargetMode="External"/><Relationship Id="rId374" Type="http://schemas.openxmlformats.org/officeDocument/2006/relationships/hyperlink" Target="https://drive.google.com/file/d/1_MeAdzsFfNvLrCQ3sSFDdCr8HpTmq2IU/view?usp=drivesdk" TargetMode="External"/><Relationship Id="rId2173" Type="http://schemas.openxmlformats.org/officeDocument/2006/relationships/hyperlink" Target="https://drive.google.com/file/d/19vVZNnZqbHViA7ik9IZlctpt3T8O8e-i/view?usp=drivesdk" TargetMode="External"/><Relationship Id="rId373" Type="http://schemas.openxmlformats.org/officeDocument/2006/relationships/hyperlink" Target="https://drive.google.com/file/d/1qzoJ5NDPk8c3zhlYn9hfymGZcTrf4iJO/view?usp=drivesdk" TargetMode="External"/><Relationship Id="rId2174" Type="http://schemas.openxmlformats.org/officeDocument/2006/relationships/hyperlink" Target="https://drive.google.com/file/d/1VIxHSn4IKzp_dw4xNX6RMxFlMFrB02Na/view?usp=drivesdk" TargetMode="External"/><Relationship Id="rId372" Type="http://schemas.openxmlformats.org/officeDocument/2006/relationships/hyperlink" Target="https://drive.google.com/file/d/1gHx96vgOr6oOtWOX-PMyHSBX1iz_spTQ/view?usp=drivesdk" TargetMode="External"/><Relationship Id="rId2175" Type="http://schemas.openxmlformats.org/officeDocument/2006/relationships/hyperlink" Target="https://drive.google.com/file/d/1UoK9lGyVfG2aSVu9UX62d1KXmmkZeMsj/view?usp=drivesdk" TargetMode="External"/><Relationship Id="rId371" Type="http://schemas.openxmlformats.org/officeDocument/2006/relationships/hyperlink" Target="https://drive.google.com/file/d/13JuK8F5cAr0NcgdQMexknkEUN1Pt55HM/view?usp=drivesdk" TargetMode="External"/><Relationship Id="rId2176" Type="http://schemas.openxmlformats.org/officeDocument/2006/relationships/hyperlink" Target="https://drive.google.com/file/d/1hacB1-iy_tRTIgneV_Ee01qxYKx_hi62/view?usp=drivesdk" TargetMode="External"/><Relationship Id="rId378" Type="http://schemas.openxmlformats.org/officeDocument/2006/relationships/hyperlink" Target="https://drive.google.com/file/d/1BmwJYklXp9TW8kIsj_AjHhg4J8Xscsn6/view?usp=drivesdk" TargetMode="External"/><Relationship Id="rId2177" Type="http://schemas.openxmlformats.org/officeDocument/2006/relationships/hyperlink" Target="https://drive.google.com/file/d/1AkVoo6DTN5LfJVPCR5Qb6og7b_WTwQNJ/view?usp=drivesdk" TargetMode="External"/><Relationship Id="rId377" Type="http://schemas.openxmlformats.org/officeDocument/2006/relationships/hyperlink" Target="https://drive.google.com/file/d/1WK3WM5pGKaiswbdg2yZvRvtRHwa01GsY/view?usp=drivesdk" TargetMode="External"/><Relationship Id="rId2178" Type="http://schemas.openxmlformats.org/officeDocument/2006/relationships/hyperlink" Target="https://drive.google.com/file/d/14qlQgDUVz3KRZQVXwZQMkCR0K1msJHmK/view?usp=drivesdk" TargetMode="External"/><Relationship Id="rId376" Type="http://schemas.openxmlformats.org/officeDocument/2006/relationships/hyperlink" Target="https://drive.google.com/file/d/1ajxvIZjaHlczZK9kLas3Htg_Gnc-BrFU/view?usp=drivesdk" TargetMode="External"/><Relationship Id="rId2179" Type="http://schemas.openxmlformats.org/officeDocument/2006/relationships/hyperlink" Target="https://drive.google.com/file/d/1_lgC5OmIfmdyPUatcoMBb50JoLNHFpBH/view?usp=drivesdk" TargetMode="External"/><Relationship Id="rId375" Type="http://schemas.openxmlformats.org/officeDocument/2006/relationships/hyperlink" Target="https://drive.google.com/file/d/1WGzOmcgtGFQYRA6wT5mHhQdNCmOSx2CQ/view?usp=drivesdk" TargetMode="External"/><Relationship Id="rId2190" Type="http://schemas.openxmlformats.org/officeDocument/2006/relationships/hyperlink" Target="https://drive.google.com/file/d/1FFPuywkjnJ2hCvl_bCDbo0AuVlwdfYGa/view?usp=drivesdk" TargetMode="External"/><Relationship Id="rId2191" Type="http://schemas.openxmlformats.org/officeDocument/2006/relationships/hyperlink" Target="https://drive.google.com/file/d/12TiI13PmR3BQm4y9CSAIab7_hjQIonUH/view?usp=drivesdk" TargetMode="External"/><Relationship Id="rId2192" Type="http://schemas.openxmlformats.org/officeDocument/2006/relationships/hyperlink" Target="https://drive.google.com/file/d/1iWxdhqxc4T6twXLJR2WbGMzAHqB2cMPh/view?usp=drivesdk" TargetMode="External"/><Relationship Id="rId2193" Type="http://schemas.openxmlformats.org/officeDocument/2006/relationships/hyperlink" Target="https://drive.google.com/file/d/1-8o-L3-LBDg-R5swBEF53YfzOD1dWuZJ/view?usp=drivesdk" TargetMode="External"/><Relationship Id="rId2194" Type="http://schemas.openxmlformats.org/officeDocument/2006/relationships/hyperlink" Target="https://drive.google.com/file/d/1UFSIBKXNmPXd3__1cxrsTy9PbNax45wB/view?usp=drivesdk" TargetMode="External"/><Relationship Id="rId396" Type="http://schemas.openxmlformats.org/officeDocument/2006/relationships/hyperlink" Target="https://drive.google.com/file/d/1Jas-alh7WgK3Ar1zirKWgeqjudJ2dlCs/view?usp=drivesdk" TargetMode="External"/><Relationship Id="rId2195" Type="http://schemas.openxmlformats.org/officeDocument/2006/relationships/hyperlink" Target="https://drive.google.com/file/d/1Kwdqeb9S0RNT_hHV1vR81MPGAjymnUQq/view?usp=drivesdk" TargetMode="External"/><Relationship Id="rId395" Type="http://schemas.openxmlformats.org/officeDocument/2006/relationships/hyperlink" Target="https://drive.google.com/file/d/1rXfUsq0xVvORWF5g0tFbfUqqoi3e3Sg8/view?usp=drivesdk" TargetMode="External"/><Relationship Id="rId2196" Type="http://schemas.openxmlformats.org/officeDocument/2006/relationships/hyperlink" Target="https://drive.google.com/file/d/1ricWbnnQ27T1O2HoAIXHZb1YA8sK8_s2/view?usp=drivesdk" TargetMode="External"/><Relationship Id="rId394" Type="http://schemas.openxmlformats.org/officeDocument/2006/relationships/hyperlink" Target="https://drive.google.com/file/d/1YbpWhweIEsKiS7GFHm3nLJg56Zl96x9a/view?usp=drivesdk" TargetMode="External"/><Relationship Id="rId2197" Type="http://schemas.openxmlformats.org/officeDocument/2006/relationships/hyperlink" Target="https://drive.google.com/file/d/1hiobo976wpKGT4ybTmzucLhLBTnypf_I/view?usp=drivesdk" TargetMode="External"/><Relationship Id="rId393" Type="http://schemas.openxmlformats.org/officeDocument/2006/relationships/hyperlink" Target="https://drive.google.com/file/d/1PF-ONVan29qVkvxeDu57WWyCBOMY5gc6/view?usp=drivesdk" TargetMode="External"/><Relationship Id="rId2198" Type="http://schemas.openxmlformats.org/officeDocument/2006/relationships/hyperlink" Target="https://drive.google.com/file/d/1jZb-p-3Rc26saHcNX9fyKAs8ayXvLp_G/view?usp=drivesdk" TargetMode="External"/><Relationship Id="rId2199" Type="http://schemas.openxmlformats.org/officeDocument/2006/relationships/hyperlink" Target="https://drive.google.com/file/d/1lyco4NN8QUadLrLaxT4tk2Kth7hjO4p_/view?usp=drivesdk" TargetMode="External"/><Relationship Id="rId399" Type="http://schemas.openxmlformats.org/officeDocument/2006/relationships/hyperlink" Target="https://drive.google.com/file/d/1Br8t8IiiC_exSZq1ZnqPalLUyH8BPsld/view?usp=drivesdk" TargetMode="External"/><Relationship Id="rId398" Type="http://schemas.openxmlformats.org/officeDocument/2006/relationships/hyperlink" Target="https://drive.google.com/file/d/1XUqYDvRfVyGRhvXM6kcpOzp7DX3UJ0Is/view?usp=drivesdk" TargetMode="External"/><Relationship Id="rId397" Type="http://schemas.openxmlformats.org/officeDocument/2006/relationships/hyperlink" Target="https://drive.google.com/file/d/1_nUCNz7ppfweUNUw1lew4XekOyVhvToR/view?usp=drivesdk" TargetMode="External"/><Relationship Id="rId1730" Type="http://schemas.openxmlformats.org/officeDocument/2006/relationships/hyperlink" Target="https://drive.google.com/file/d/1NM8fVRUFqllAFs2jkXsuJUHn5OZ7-07h/view?usp=drivesdk" TargetMode="External"/><Relationship Id="rId1731" Type="http://schemas.openxmlformats.org/officeDocument/2006/relationships/hyperlink" Target="https://drive.google.com/file/d/1eL46ZgTlbkM-V6C5GLb6fSBGmd5mFG-O/view?usp=drivesdk" TargetMode="External"/><Relationship Id="rId1732" Type="http://schemas.openxmlformats.org/officeDocument/2006/relationships/hyperlink" Target="https://drive.google.com/file/d/16XGsRRaOY6a1Mk3y6g9J6FzJY2pGnhBs/view?usp=drivesdk" TargetMode="External"/><Relationship Id="rId1733" Type="http://schemas.openxmlformats.org/officeDocument/2006/relationships/hyperlink" Target="https://drive.google.com/file/d/1xDwq6e1W40cryvVksnOj9YOdtDiYfNUl/view?usp=drivesdk" TargetMode="External"/><Relationship Id="rId1734" Type="http://schemas.openxmlformats.org/officeDocument/2006/relationships/hyperlink" Target="https://drive.google.com/file/d/1nIC6Z_3z3x4YS6vI01Z64i76WUI6VCPu/view?usp=drivesdk" TargetMode="External"/><Relationship Id="rId1735" Type="http://schemas.openxmlformats.org/officeDocument/2006/relationships/hyperlink" Target="https://drive.google.com/file/d/19uM8KLUHuN3ImTzkMD9s5mEkWQAAr8Qo/view?usp=drivesdk" TargetMode="External"/><Relationship Id="rId1736" Type="http://schemas.openxmlformats.org/officeDocument/2006/relationships/hyperlink" Target="https://drive.google.com/file/d/1l3u37j1hQl3zZ6JXRcm733rn2k3J2Olq/view?usp=drivesdk" TargetMode="External"/><Relationship Id="rId1737" Type="http://schemas.openxmlformats.org/officeDocument/2006/relationships/hyperlink" Target="https://drive.google.com/file/d/1uo0zBVDSXeBCSp_RypwEPAySzhuWt5D8/view?usp=drivesdk" TargetMode="External"/><Relationship Id="rId1738" Type="http://schemas.openxmlformats.org/officeDocument/2006/relationships/hyperlink" Target="https://drive.google.com/file/d/1MbebBCnt66GSnxcnYXI8_aT9v4VscltA/view?usp=drivesdk" TargetMode="External"/><Relationship Id="rId1739" Type="http://schemas.openxmlformats.org/officeDocument/2006/relationships/hyperlink" Target="https://drive.google.com/file/d/1OnBHam5HlT_FnxkfI5nOiF6JDIO6aQXF/view?usp=drivesdk" TargetMode="External"/><Relationship Id="rId1720" Type="http://schemas.openxmlformats.org/officeDocument/2006/relationships/hyperlink" Target="https://drive.google.com/file/d/1crVTyBjSvkn5rjPdGKBZFEg4w7JSp2cs/view?usp=drivesdk" TargetMode="External"/><Relationship Id="rId1721" Type="http://schemas.openxmlformats.org/officeDocument/2006/relationships/hyperlink" Target="https://drive.google.com/file/d/1WIh1UwE7jPJA8hU3NXbY-M3lcnegUXKu/view?usp=drivesdk" TargetMode="External"/><Relationship Id="rId1722" Type="http://schemas.openxmlformats.org/officeDocument/2006/relationships/hyperlink" Target="https://drive.google.com/file/d/1FayKMGLmSMT_bov4BfYaWoMBrnwpsyI1/view?usp=drivesdk" TargetMode="External"/><Relationship Id="rId1723" Type="http://schemas.openxmlformats.org/officeDocument/2006/relationships/hyperlink" Target="https://drive.google.com/file/d/1Wv1dUN1Cp7tFFGj4YbQreO65Epbbn6Xh/view?usp=drivesdk" TargetMode="External"/><Relationship Id="rId1724" Type="http://schemas.openxmlformats.org/officeDocument/2006/relationships/hyperlink" Target="https://drive.google.com/file/d/19LbincT2TjTg9YTUoJUivukthVOOv92o/view?usp=drivesdk" TargetMode="External"/><Relationship Id="rId1725" Type="http://schemas.openxmlformats.org/officeDocument/2006/relationships/hyperlink" Target="https://drive.google.com/file/d/1MYeoX2rRI6k_FOWsa46_QtPoTkdN8RPf/view?usp=drivesdk" TargetMode="External"/><Relationship Id="rId1726" Type="http://schemas.openxmlformats.org/officeDocument/2006/relationships/hyperlink" Target="https://drive.google.com/file/d/1FHRJe-nZTJOpXWgxMLs63Q6F4QlKXCpU/view?usp=drivesdk" TargetMode="External"/><Relationship Id="rId1727" Type="http://schemas.openxmlformats.org/officeDocument/2006/relationships/hyperlink" Target="https://drive.google.com/file/d/1W_xP7aHQH5brzpdDHQgXX_slF9aWIndn/view?usp=drivesdk" TargetMode="External"/><Relationship Id="rId1728" Type="http://schemas.openxmlformats.org/officeDocument/2006/relationships/hyperlink" Target="https://drive.google.com/file/d/13xJm6Rz0F0wAVzBVJcJbK0OtdZmHiXHE/view?usp=drivesdk" TargetMode="External"/><Relationship Id="rId1729" Type="http://schemas.openxmlformats.org/officeDocument/2006/relationships/hyperlink" Target="https://drive.google.com/file/d/1_x8Pea-6YZcNah0kzL9Jhi4q0yFlhG9m/view?usp=drivesdk" TargetMode="External"/><Relationship Id="rId1752" Type="http://schemas.openxmlformats.org/officeDocument/2006/relationships/hyperlink" Target="https://drive.google.com/file/d/1Gc2N_8-eaSyLrgIloaew1BBe3hqlDnAB/view?usp=drivesdk" TargetMode="External"/><Relationship Id="rId1753" Type="http://schemas.openxmlformats.org/officeDocument/2006/relationships/hyperlink" Target="https://drive.google.com/file/d/1--cZkaqXLn13yFOImzvT04iJ4vAYVdge/view?usp=drivesdk" TargetMode="External"/><Relationship Id="rId1754" Type="http://schemas.openxmlformats.org/officeDocument/2006/relationships/hyperlink" Target="https://drive.google.com/file/d/1kp1JsZoY0-OqsipfSkcn2zbeOmWUvza5/view?usp=drivesdk" TargetMode="External"/><Relationship Id="rId1755" Type="http://schemas.openxmlformats.org/officeDocument/2006/relationships/hyperlink" Target="https://drive.google.com/file/d/1C6cZH5weFLs0TeiT5kQs0URJpVSG6taY/view?usp=drivesdk" TargetMode="External"/><Relationship Id="rId1756" Type="http://schemas.openxmlformats.org/officeDocument/2006/relationships/hyperlink" Target="https://drive.google.com/file/d/15dvVe0HWHCf6vjojm8XY8fI_lvS82uKp/view?usp=drivesdk" TargetMode="External"/><Relationship Id="rId1757" Type="http://schemas.openxmlformats.org/officeDocument/2006/relationships/hyperlink" Target="https://drive.google.com/file/d/1YgULcRj7eanxq1Att5Q6IxosLXgHcqOq/view?usp=drivesdk" TargetMode="External"/><Relationship Id="rId1758" Type="http://schemas.openxmlformats.org/officeDocument/2006/relationships/hyperlink" Target="https://drive.google.com/file/d/1d2D3WgKVnXnVLqWKgSPp1NiOfXcVqjPr/view?usp=drivesdk" TargetMode="External"/><Relationship Id="rId1759" Type="http://schemas.openxmlformats.org/officeDocument/2006/relationships/hyperlink" Target="https://drive.google.com/file/d/1orWmBXwTbbyUtTNT_8t7VtQBQEaYJnz5/view?usp=drivesdk" TargetMode="External"/><Relationship Id="rId1750" Type="http://schemas.openxmlformats.org/officeDocument/2006/relationships/hyperlink" Target="https://drive.google.com/file/d/1qzkuSWY-iq2aM_Tk5-ZhM7F-0jDmJrfs/view?usp=drivesdk" TargetMode="External"/><Relationship Id="rId1751" Type="http://schemas.openxmlformats.org/officeDocument/2006/relationships/hyperlink" Target="https://drive.google.com/file/d/1HAVr8uMvyL-jz1DQzOe-lZb9bWR1Typt/view?usp=drivesdk" TargetMode="External"/><Relationship Id="rId1741" Type="http://schemas.openxmlformats.org/officeDocument/2006/relationships/hyperlink" Target="https://drive.google.com/file/d/1YrBv468_VhWbgyfniJQXLhxQR5XPZdgI/view?usp=drivesdk" TargetMode="External"/><Relationship Id="rId1742" Type="http://schemas.openxmlformats.org/officeDocument/2006/relationships/hyperlink" Target="https://drive.google.com/file/d/1zUHTcsJfnfyEPxnBbRwIfFnohsp_DvEU/view?usp=drivesdk" TargetMode="External"/><Relationship Id="rId1743" Type="http://schemas.openxmlformats.org/officeDocument/2006/relationships/hyperlink" Target="https://drive.google.com/file/d/1Ewwg-aAU3bSbKUqgbQkHYQDVkyW7wEnt/view?usp=drivesdk" TargetMode="External"/><Relationship Id="rId1744" Type="http://schemas.openxmlformats.org/officeDocument/2006/relationships/hyperlink" Target="https://drive.google.com/file/d/1Izigs9eTp-It0b_EXppmcwByOjpaCAHX/view?usp=drivesdk" TargetMode="External"/><Relationship Id="rId1745" Type="http://schemas.openxmlformats.org/officeDocument/2006/relationships/hyperlink" Target="https://drive.google.com/file/d/1urBFg5QSiZNH_xxtiNvzvgi_nlR1Fw29/view?usp=drivesdk" TargetMode="External"/><Relationship Id="rId1746" Type="http://schemas.openxmlformats.org/officeDocument/2006/relationships/hyperlink" Target="https://drive.google.com/file/d/1DV0ExUa1GWwSvnPH_2dsITBde4wJ5TzH/view?usp=drivesdk" TargetMode="External"/><Relationship Id="rId1747" Type="http://schemas.openxmlformats.org/officeDocument/2006/relationships/hyperlink" Target="https://drive.google.com/file/d/1qyWk94p5kvk6ipMv3ggRvCu0WIGqrVcB/view?usp=drivesdk" TargetMode="External"/><Relationship Id="rId1748" Type="http://schemas.openxmlformats.org/officeDocument/2006/relationships/hyperlink" Target="https://drive.google.com/file/d/16X4-MpEdpgJoIThaDqEh7piY761SFlEh/view?usp=drivesdk" TargetMode="External"/><Relationship Id="rId1749" Type="http://schemas.openxmlformats.org/officeDocument/2006/relationships/hyperlink" Target="https://drive.google.com/file/d/1FpY_zkEeY70DFGZ6gvzclFtdyYZdTNqm/view?usp=drivesdk" TargetMode="External"/><Relationship Id="rId1740" Type="http://schemas.openxmlformats.org/officeDocument/2006/relationships/hyperlink" Target="https://drive.google.com/file/d/1az1SIxKd6EbPuSgzjStXVmZywnrfnuZb/view?usp=drivesdk" TargetMode="External"/><Relationship Id="rId1710" Type="http://schemas.openxmlformats.org/officeDocument/2006/relationships/hyperlink" Target="https://drive.google.com/file/d/1Yi0-osiDCwvqr4jJfxit-NVW7RQ1SF29/view?usp=drivesdk" TargetMode="External"/><Relationship Id="rId1711" Type="http://schemas.openxmlformats.org/officeDocument/2006/relationships/hyperlink" Target="https://drive.google.com/file/d/1GqJOi3_wzA-P33ijSTbAmoPX6C_MOsTC/view?usp=drivesdk" TargetMode="External"/><Relationship Id="rId1712" Type="http://schemas.openxmlformats.org/officeDocument/2006/relationships/hyperlink" Target="https://drive.google.com/file/d/1B5OEhsR85ozE9snbNlRjA9--q4dxVbDt/view?usp=drivesdk" TargetMode="External"/><Relationship Id="rId1713" Type="http://schemas.openxmlformats.org/officeDocument/2006/relationships/hyperlink" Target="https://drive.google.com/file/d/1lJHfVkGHOcLEsOsMmffxCq25FloygVUf/view?usp=drivesdk" TargetMode="External"/><Relationship Id="rId1714" Type="http://schemas.openxmlformats.org/officeDocument/2006/relationships/hyperlink" Target="https://drive.google.com/file/d/1ig1riLJkwYA9QD_LRKQNT-2fw-KmcoZV/view?usp=drivesdk" TargetMode="External"/><Relationship Id="rId1715" Type="http://schemas.openxmlformats.org/officeDocument/2006/relationships/hyperlink" Target="https://drive.google.com/file/d/1TyonuU8faoL3qvV0nV5rWJKfa6ikeq22/view?usp=drivesdk" TargetMode="External"/><Relationship Id="rId1716" Type="http://schemas.openxmlformats.org/officeDocument/2006/relationships/hyperlink" Target="https://drive.google.com/file/d/1lCXRjhgmnokQwUX121NSqljMp58vt7m8/view?usp=drivesdk" TargetMode="External"/><Relationship Id="rId1717" Type="http://schemas.openxmlformats.org/officeDocument/2006/relationships/hyperlink" Target="https://drive.google.com/file/d/1veAXPhnoaw_fYNAIAN16U6nUGzUSP79f/view?usp=drivesdk" TargetMode="External"/><Relationship Id="rId1718" Type="http://schemas.openxmlformats.org/officeDocument/2006/relationships/hyperlink" Target="https://drive.google.com/file/d/1i0NZPeE_Sgjxpph9OhoD2_wsnFtzErII/view?usp=drivesdk" TargetMode="External"/><Relationship Id="rId1719" Type="http://schemas.openxmlformats.org/officeDocument/2006/relationships/hyperlink" Target="https://drive.google.com/file/d/1CGZJrQ0m_0WpdGbyy3zDWnj-cRg8cw5-/view?usp=drivesdk" TargetMode="External"/><Relationship Id="rId1700" Type="http://schemas.openxmlformats.org/officeDocument/2006/relationships/hyperlink" Target="https://drive.google.com/file/d/1k4G770E5hE0owoWvblXVTUu0uvORD8Qa/view?usp=drivesdk" TargetMode="External"/><Relationship Id="rId1701" Type="http://schemas.openxmlformats.org/officeDocument/2006/relationships/hyperlink" Target="https://drive.google.com/file/d/1tJdhVk4Vn-qFJw4c7_lMMTliT5FjiQyV/view?usp=drivesdk" TargetMode="External"/><Relationship Id="rId1702" Type="http://schemas.openxmlformats.org/officeDocument/2006/relationships/hyperlink" Target="https://drive.google.com/file/d/1RsHwxVTBzUNFBPZhCDdGTcSVgCrwTTK7/view?usp=drivesdk" TargetMode="External"/><Relationship Id="rId1703" Type="http://schemas.openxmlformats.org/officeDocument/2006/relationships/hyperlink" Target="https://drive.google.com/file/d/1OGQs1lmQWehhi8Ls7qZW8us---Htsb3Q/view?usp=drivesdk" TargetMode="External"/><Relationship Id="rId1704" Type="http://schemas.openxmlformats.org/officeDocument/2006/relationships/hyperlink" Target="https://drive.google.com/file/d/1RfTng7c7i7RaxBtl4QtmPb5tv1Ufc5Bc/view?usp=drivesdk" TargetMode="External"/><Relationship Id="rId1705" Type="http://schemas.openxmlformats.org/officeDocument/2006/relationships/hyperlink" Target="https://drive.google.com/file/d/1v0sDX0MqlrUpKGVTRWm4hWA1ClaDB-o4/view?usp=drivesdk" TargetMode="External"/><Relationship Id="rId1706" Type="http://schemas.openxmlformats.org/officeDocument/2006/relationships/hyperlink" Target="https://drive.google.com/file/d/1ZD3-K7xghBRrVzzov8pEkGyv61Pn34My/view?usp=drivesdk" TargetMode="External"/><Relationship Id="rId1707" Type="http://schemas.openxmlformats.org/officeDocument/2006/relationships/hyperlink" Target="https://drive.google.com/file/d/1R4A7I9qCrUqFgaOi5jWAadFyXRp-Hhlv/view?usp=drivesdk" TargetMode="External"/><Relationship Id="rId1708" Type="http://schemas.openxmlformats.org/officeDocument/2006/relationships/hyperlink" Target="https://drive.google.com/file/d/1Gz4uZ-S5sDQDTjnZX5WWbthnPV2eYmNm/view?usp=drivesdk" TargetMode="External"/><Relationship Id="rId1709" Type="http://schemas.openxmlformats.org/officeDocument/2006/relationships/hyperlink" Target="https://drive.google.com/file/d/1cC7F5Emgvx8u0Dfs1MQ2f29zE6TMWOU8/view?usp=drivesdk" TargetMode="External"/><Relationship Id="rId40" Type="http://schemas.openxmlformats.org/officeDocument/2006/relationships/hyperlink" Target="https://drive.google.com/file/d/1FQJpaH7J3eF5IWX4mQZvn4hmYURhxGaG/view?usp=drivesdk" TargetMode="External"/><Relationship Id="rId42" Type="http://schemas.openxmlformats.org/officeDocument/2006/relationships/hyperlink" Target="https://drive.google.com/file/d/1BZtRJ02shFZjYSEcLvnyj0pKcfmvcWZd/view?usp=drivesdk" TargetMode="External"/><Relationship Id="rId41" Type="http://schemas.openxmlformats.org/officeDocument/2006/relationships/hyperlink" Target="https://drive.google.com/file/d/1A7IQYIfVS1sTYZUl5_NoD4Q6b1T3hSOE/view?usp=drivesdk" TargetMode="External"/><Relationship Id="rId44" Type="http://schemas.openxmlformats.org/officeDocument/2006/relationships/hyperlink" Target="https://drive.google.com/file/d/19OvezacVtq5E6qdJTGr77RwUV8By58ds/view?usp=drivesdk" TargetMode="External"/><Relationship Id="rId43" Type="http://schemas.openxmlformats.org/officeDocument/2006/relationships/hyperlink" Target="https://drive.google.com/file/d/1pLcsY8nK1FeQHu1LdzUR0lJkukmwZ3Vb/view?usp=drivesdk" TargetMode="External"/><Relationship Id="rId46" Type="http://schemas.openxmlformats.org/officeDocument/2006/relationships/hyperlink" Target="https://drive.google.com/file/d/1xSVM7VMKatYnl6XkKdkAikq6Hru3wdAI/view?usp=drivesdk" TargetMode="External"/><Relationship Id="rId45" Type="http://schemas.openxmlformats.org/officeDocument/2006/relationships/hyperlink" Target="https://drive.google.com/file/d/1IsAxrHbWXTYQA-yUQNXr1hgjkCfnrOnZ/view?usp=drivesdk" TargetMode="External"/><Relationship Id="rId48" Type="http://schemas.openxmlformats.org/officeDocument/2006/relationships/hyperlink" Target="https://drive.google.com/file/d/15BF8OmP5jtaEWWYkqexESPGYmO6G2k5L/view?usp=drivesdk" TargetMode="External"/><Relationship Id="rId47" Type="http://schemas.openxmlformats.org/officeDocument/2006/relationships/hyperlink" Target="https://drive.google.com/file/d/1FjE8oIOE36cyAL422NDi-LLlJCe5NrRU/view?usp=drivesdk" TargetMode="External"/><Relationship Id="rId49" Type="http://schemas.openxmlformats.org/officeDocument/2006/relationships/hyperlink" Target="https://drive.google.com/file/d/1vRtCivn2QapXmNi8PUTnUFWZoQNn1ghS/view?usp=drivesdk" TargetMode="External"/><Relationship Id="rId31" Type="http://schemas.openxmlformats.org/officeDocument/2006/relationships/hyperlink" Target="https://drive.google.com/file/d/1Dtnm-IfcnVdYh2VDYnB8KTfjN5XbfR6U/view?usp=drivesdk" TargetMode="External"/><Relationship Id="rId30" Type="http://schemas.openxmlformats.org/officeDocument/2006/relationships/hyperlink" Target="https://drive.google.com/file/d/1DV_bvC2F5r5Q7NYNgqE5RD615FWWumua/view?usp=drivesdk" TargetMode="External"/><Relationship Id="rId33" Type="http://schemas.openxmlformats.org/officeDocument/2006/relationships/hyperlink" Target="https://drive.google.com/file/d/1c-3v_5fQZZav-toITpIWnrCKACtClmLM/view?usp=drivesdk" TargetMode="External"/><Relationship Id="rId32" Type="http://schemas.openxmlformats.org/officeDocument/2006/relationships/hyperlink" Target="https://drive.google.com/file/d/1OJWgpK8N5khvg6csE4BjxQKlUwqJRoig/view?usp=drivesdk" TargetMode="External"/><Relationship Id="rId35" Type="http://schemas.openxmlformats.org/officeDocument/2006/relationships/hyperlink" Target="https://drive.google.com/file/d/1DAF-1ME0Ox9xapd6Koii547l1xCiSYo6/view?usp=drivesdk" TargetMode="External"/><Relationship Id="rId34" Type="http://schemas.openxmlformats.org/officeDocument/2006/relationships/hyperlink" Target="https://drive.google.com/file/d/1bt2sxnloXub_4dCp8ySCfMSk87PSKSGR/view?usp=drivesdk" TargetMode="External"/><Relationship Id="rId37" Type="http://schemas.openxmlformats.org/officeDocument/2006/relationships/hyperlink" Target="https://drive.google.com/file/d/1JsE2aYLgg05Jy0CmD9Vn1upSh36fWFT4/view?usp=drivesdk" TargetMode="External"/><Relationship Id="rId36" Type="http://schemas.openxmlformats.org/officeDocument/2006/relationships/hyperlink" Target="https://drive.google.com/file/d/1VU-u6hVIDmi3ktFEqPfK3I_RwWihJd_N/view?usp=drivesdk" TargetMode="External"/><Relationship Id="rId39" Type="http://schemas.openxmlformats.org/officeDocument/2006/relationships/hyperlink" Target="https://drive.google.com/file/d/1ow140BOKO4jJKVAsaAC8hxqWGYkeuS6N/view?usp=drivesdk" TargetMode="External"/><Relationship Id="rId38" Type="http://schemas.openxmlformats.org/officeDocument/2006/relationships/hyperlink" Target="https://drive.google.com/file/d/1gclbS5ZAeFa_DfD6U3yiF5_e7_Yg90s0/view?usp=drivesdk" TargetMode="External"/><Relationship Id="rId2203" Type="http://schemas.openxmlformats.org/officeDocument/2006/relationships/hyperlink" Target="http://thekeep.eiu.edu/theses/5025" TargetMode="External"/><Relationship Id="rId2204" Type="http://schemas.openxmlformats.org/officeDocument/2006/relationships/hyperlink" Target="https://drive.google.com/file/d/1Fg206MUtjoN9d31kEAQ7bIDHvbUqwyGY/view?usp=drivesdk" TargetMode="External"/><Relationship Id="rId20" Type="http://schemas.openxmlformats.org/officeDocument/2006/relationships/hyperlink" Target="https://drive.google.com/file/d/1SB5hLHPsOGngwfGReki2o4frfyK_qamd/view?usp=drivesdk" TargetMode="External"/><Relationship Id="rId2205" Type="http://schemas.openxmlformats.org/officeDocument/2006/relationships/hyperlink" Target="http://aclanthology.org/2024.lrec-main.91" TargetMode="External"/><Relationship Id="rId2206" Type="http://schemas.openxmlformats.org/officeDocument/2006/relationships/hyperlink" Target="https://drive.google.com/file/d/1tRSJ7nCc-S4z9k7Go2ucp_tmetdfTvik/view?usp=drivesdk" TargetMode="External"/><Relationship Id="rId22" Type="http://schemas.openxmlformats.org/officeDocument/2006/relationships/hyperlink" Target="https://drive.google.com/file/d/1uabCd7tRzuYbMgMYfngWf8jyCb968QZU/view?usp=drivesdk" TargetMode="External"/><Relationship Id="rId2207" Type="http://schemas.openxmlformats.org/officeDocument/2006/relationships/hyperlink" Target="https://drive.google.com/file/d/14Tmk9XIOQYVh24x1jFR4QedpIbTx_n_e/view?usp=drivesdk" TargetMode="External"/><Relationship Id="rId21" Type="http://schemas.openxmlformats.org/officeDocument/2006/relationships/hyperlink" Target="https://drive.google.com/file/d/1SHt-8pn9bvsma7o8SjTFplcg2pFFbPAz/view?usp=drivesdk" TargetMode="External"/><Relationship Id="rId2208" Type="http://schemas.openxmlformats.org/officeDocument/2006/relationships/hyperlink" Target="https://drive.google.com/file/d/1L3C99-yf2u_ns_5h3EBhsSGtflOl3HOc/view?usp=drivesdk" TargetMode="External"/><Relationship Id="rId24" Type="http://schemas.openxmlformats.org/officeDocument/2006/relationships/hyperlink" Target="https://drive.google.com/file/d/1739jbksBFcYjKBdmZoaC7IXQS965DJ3J/view?usp=drivesdk" TargetMode="External"/><Relationship Id="rId2209" Type="http://schemas.openxmlformats.org/officeDocument/2006/relationships/hyperlink" Target="http://digitalcommons.memphis.edu/etd/3538" TargetMode="External"/><Relationship Id="rId23" Type="http://schemas.openxmlformats.org/officeDocument/2006/relationships/hyperlink" Target="https://drive.google.com/file/d/1vrK0UJ_8hyDpbgm2_MkPAqowaajwo8Pm/view?usp=drivesdk" TargetMode="External"/><Relationship Id="rId26" Type="http://schemas.openxmlformats.org/officeDocument/2006/relationships/hyperlink" Target="https://drive.google.com/file/d/1nTnzddYTwxxy0iyhnksJQNz8SimJnchv/view?usp=drivesdk" TargetMode="External"/><Relationship Id="rId25" Type="http://schemas.openxmlformats.org/officeDocument/2006/relationships/hyperlink" Target="https://drive.google.com/file/d/16HEvSk60ES-i1kvKDnwAGvkzVfGYfT-S/view?usp=drivesdk" TargetMode="External"/><Relationship Id="rId28" Type="http://schemas.openxmlformats.org/officeDocument/2006/relationships/hyperlink" Target="https://drive.google.com/file/d/186z10d8mVaYGccEPrM1n7UChuShJcEwS/view?usp=drivesdk" TargetMode="External"/><Relationship Id="rId27" Type="http://schemas.openxmlformats.org/officeDocument/2006/relationships/hyperlink" Target="https://drive.google.com/file/d/180QB6T6E8AomkzG_Et8jvS_s7FB-J01s/view?usp=drivesdk" TargetMode="External"/><Relationship Id="rId29" Type="http://schemas.openxmlformats.org/officeDocument/2006/relationships/hyperlink" Target="https://drive.google.com/file/d/1GOfCc2jEzxfcB5NWPoKxmn-R6splM-mt/view?usp=drivesdk" TargetMode="External"/><Relationship Id="rId2200" Type="http://schemas.openxmlformats.org/officeDocument/2006/relationships/hyperlink" Target="https://drive.google.com/file/d/1s7Xp1h565EAKnPa_0Zp3RnS0qmb4t53a/view?usp=drivesdk" TargetMode="External"/><Relationship Id="rId2201" Type="http://schemas.openxmlformats.org/officeDocument/2006/relationships/hyperlink" Target="http://thekeep.eiu.edu/theses/4783" TargetMode="External"/><Relationship Id="rId2202" Type="http://schemas.openxmlformats.org/officeDocument/2006/relationships/hyperlink" Target="https://drive.google.com/file/d/13W9ZIRuUntMYZ1V5eqz7utx5OSyGY3y3/view?usp=drivesdk" TargetMode="External"/><Relationship Id="rId11" Type="http://schemas.openxmlformats.org/officeDocument/2006/relationships/hyperlink" Target="https://drive.google.com/file/d/1-sPLPEF4sp3j_E7-v4v7o18jBkSnNWAQ/view?usp=drivesdk" TargetMode="External"/><Relationship Id="rId10" Type="http://schemas.openxmlformats.org/officeDocument/2006/relationships/hyperlink" Target="https://drive.google.com/file/d/1LUKsOQ0PBWeX-dWwj0M26kBRPbnX3UdU/view?usp=drivesdk" TargetMode="External"/><Relationship Id="rId13" Type="http://schemas.openxmlformats.org/officeDocument/2006/relationships/hyperlink" Target="https://drive.google.com/file/d/1BLm9m9zQbKmIQvYYdQuYw0qUzxfkwOrr/view?usp=drivesdk" TargetMode="External"/><Relationship Id="rId12" Type="http://schemas.openxmlformats.org/officeDocument/2006/relationships/hyperlink" Target="https://drive.google.com/file/d/1P6__eckbdkv4HtK-z5a0UTlnCMY2vp5O/view?usp=drivesdk" TargetMode="External"/><Relationship Id="rId15" Type="http://schemas.openxmlformats.org/officeDocument/2006/relationships/hyperlink" Target="https://drive.google.com/file/d/1LlyFdxum4y8lQ-J8ULEq4iY--wT0XEnX/view?usp=drivesdk" TargetMode="External"/><Relationship Id="rId14" Type="http://schemas.openxmlformats.org/officeDocument/2006/relationships/hyperlink" Target="https://drive.google.com/file/d/1dLdBc3oYaUpmAkv8ifMPAnoUfM2wXSEc/view?usp=drivesdk" TargetMode="External"/><Relationship Id="rId17" Type="http://schemas.openxmlformats.org/officeDocument/2006/relationships/hyperlink" Target="https://drive.google.com/file/d/1saWLjS-kipdtKgZWmmOraj_vYJ5_c585/view?usp=drivesdk" TargetMode="External"/><Relationship Id="rId16" Type="http://schemas.openxmlformats.org/officeDocument/2006/relationships/hyperlink" Target="https://drive.google.com/file/d/12nsEg-XCgHkt5qqhUPjUiPb-0cgLFkuB/view?usp=drivesdk" TargetMode="External"/><Relationship Id="rId19" Type="http://schemas.openxmlformats.org/officeDocument/2006/relationships/hyperlink" Target="https://drive.google.com/file/d/17k5CukbPIp4AD2KEcHMwWy7Nop_vLLeM/view?usp=drivesdk" TargetMode="External"/><Relationship Id="rId18" Type="http://schemas.openxmlformats.org/officeDocument/2006/relationships/hyperlink" Target="https://drive.google.com/file/d/1Ry6FucHklLIQeRbNX3Cjdl8al-P4HIWM/view?usp=drivesdk" TargetMode="External"/><Relationship Id="rId84" Type="http://schemas.openxmlformats.org/officeDocument/2006/relationships/hyperlink" Target="https://drive.google.com/file/d/1ThSCbcm9NT9u5rjmqEXoygC-NEFFbBy2/view?usp=drivesdk" TargetMode="External"/><Relationship Id="rId1774" Type="http://schemas.openxmlformats.org/officeDocument/2006/relationships/hyperlink" Target="https://drive.google.com/file/d/1s3pLJ7I8k4bMPKKfE33wyCz0Q2r7Cum9/view?usp=drivesdk" TargetMode="External"/><Relationship Id="rId83" Type="http://schemas.openxmlformats.org/officeDocument/2006/relationships/hyperlink" Target="https://drive.google.com/file/d/1SdwnFHhjN0wtZdJb1CsMjDk96JOA-3qX/view?usp=drivesdk" TargetMode="External"/><Relationship Id="rId1775" Type="http://schemas.openxmlformats.org/officeDocument/2006/relationships/hyperlink" Target="https://drive.google.com/file/d/11UhpC-nFM4e4lBiNdaX61xQ7VvtwiSSQ/view?usp=drivesdk" TargetMode="External"/><Relationship Id="rId86" Type="http://schemas.openxmlformats.org/officeDocument/2006/relationships/hyperlink" Target="https://drive.google.com/file/d/19zetYy8nodSdbgFCvhMoDdfh_hhFri5m/view?usp=drivesdk" TargetMode="External"/><Relationship Id="rId1776" Type="http://schemas.openxmlformats.org/officeDocument/2006/relationships/hyperlink" Target="https://drive.google.com/file/d/1gvgQAw0L_boUFIZ7g1OyJ_YXdg0oIjT9/view?usp=drivesdk" TargetMode="External"/><Relationship Id="rId85" Type="http://schemas.openxmlformats.org/officeDocument/2006/relationships/hyperlink" Target="https://drive.google.com/file/d/1YOnZXeIyBoFQpqvd6yBrqbMmDNtPl_I7/view?usp=drivesdk" TargetMode="External"/><Relationship Id="rId1777" Type="http://schemas.openxmlformats.org/officeDocument/2006/relationships/hyperlink" Target="https://drive.google.com/file/d/1h5FjSevWZxXJxf5EXpQpJT7U-6TRQAHa/view?usp=drivesdk" TargetMode="External"/><Relationship Id="rId88" Type="http://schemas.openxmlformats.org/officeDocument/2006/relationships/hyperlink" Target="https://drive.google.com/file/d/194Jg8h9cA9uB0VBCFjZon7jCcE4l0eye/view?usp=drivesdk" TargetMode="External"/><Relationship Id="rId1778" Type="http://schemas.openxmlformats.org/officeDocument/2006/relationships/hyperlink" Target="https://drive.google.com/file/d/19AZSvRMmh1uo8b-VvXsL7fsoYgsniYAB/view?usp=drivesdk" TargetMode="External"/><Relationship Id="rId87" Type="http://schemas.openxmlformats.org/officeDocument/2006/relationships/hyperlink" Target="https://drive.google.com/file/d/1HgWfF6B0qOcSs0NXi6mXulVTd8c1tH-1/view?usp=drivesdk" TargetMode="External"/><Relationship Id="rId1779" Type="http://schemas.openxmlformats.org/officeDocument/2006/relationships/hyperlink" Target="https://drive.google.com/file/d/1-VGr_VxXpDFd--FWOEgFXc-w3gJU0M5p/view?usp=drivesdk" TargetMode="External"/><Relationship Id="rId89" Type="http://schemas.openxmlformats.org/officeDocument/2006/relationships/hyperlink" Target="https://drive.google.com/file/d/1HKJhYQRUf6q_nkNYE6sPv-RURWvjZEbc/view?usp=drivesdk" TargetMode="External"/><Relationship Id="rId80" Type="http://schemas.openxmlformats.org/officeDocument/2006/relationships/hyperlink" Target="https://drive.google.com/file/d/1IT9oNkAZ6FDjr30hAo06liqM6KgbzmZ4/view?usp=drivesdk" TargetMode="External"/><Relationship Id="rId82" Type="http://schemas.openxmlformats.org/officeDocument/2006/relationships/hyperlink" Target="https://drive.google.com/file/d/1zfUf9igyV4JLZQHMfABoA7bxu_wA8Z6Z/view?usp=drivesdk" TargetMode="External"/><Relationship Id="rId81" Type="http://schemas.openxmlformats.org/officeDocument/2006/relationships/hyperlink" Target="https://drive.google.com/file/d/1CTMitGghA7LzumLb0G1bazQ0Tn14Zqw7/view?usp=drivesdk" TargetMode="External"/><Relationship Id="rId1770" Type="http://schemas.openxmlformats.org/officeDocument/2006/relationships/hyperlink" Target="https://drive.google.com/file/d/1eAoT78SA2YIGRpfWvrSQimqyc0AkJJKp/view?usp=drivesdk" TargetMode="External"/><Relationship Id="rId1771" Type="http://schemas.openxmlformats.org/officeDocument/2006/relationships/hyperlink" Target="https://drive.google.com/file/d/14LdltvCLjeiJ1loRuAN1I1tFJo0oA8zn/view?usp=drivesdk" TargetMode="External"/><Relationship Id="rId1772" Type="http://schemas.openxmlformats.org/officeDocument/2006/relationships/hyperlink" Target="https://drive.google.com/file/d/110SCbBI08nzymwEael0DhIoVulYZE2rG/view?usp=drivesdk" TargetMode="External"/><Relationship Id="rId1773" Type="http://schemas.openxmlformats.org/officeDocument/2006/relationships/hyperlink" Target="https://drive.google.com/file/d/1_0TBT6K4UcfvPRMN8STy1FYQ5o0TnVlq/view?usp=drivesdk" TargetMode="External"/><Relationship Id="rId73" Type="http://schemas.openxmlformats.org/officeDocument/2006/relationships/hyperlink" Target="https://drive.google.com/file/d/1fC5A-rrpNu2GlFxzohOA6Pqyg4sPbju4/view?usp=drivesdk" TargetMode="External"/><Relationship Id="rId1763" Type="http://schemas.openxmlformats.org/officeDocument/2006/relationships/hyperlink" Target="https://drive.google.com/file/d/1CsaWJpOD5obyDy6WvpA1BXNqU8U7Mu0U/view?usp=drivesdk" TargetMode="External"/><Relationship Id="rId72" Type="http://schemas.openxmlformats.org/officeDocument/2006/relationships/hyperlink" Target="https://drive.google.com/file/d/1hqMzD5PLs2nBo4O4BRt_pfkmBBPQxY8A/view?usp=drivesdk" TargetMode="External"/><Relationship Id="rId1764" Type="http://schemas.openxmlformats.org/officeDocument/2006/relationships/hyperlink" Target="https://drive.google.com/file/d/1dNsIIm2ZOx3nM-UaBdacNLX3itmoein_/view?usp=drivesdk" TargetMode="External"/><Relationship Id="rId75" Type="http://schemas.openxmlformats.org/officeDocument/2006/relationships/hyperlink" Target="https://drive.google.com/file/d/1xO1eFcN3Fyao_5pjlwQOOuiTfEBVgOfl/view?usp=drivesdk" TargetMode="External"/><Relationship Id="rId1765" Type="http://schemas.openxmlformats.org/officeDocument/2006/relationships/hyperlink" Target="https://drive.google.com/file/d/1FE3TeIulxqbrqdkc2jTdYSSANKvf2sUn/view?usp=drivesdk" TargetMode="External"/><Relationship Id="rId74" Type="http://schemas.openxmlformats.org/officeDocument/2006/relationships/hyperlink" Target="https://drive.google.com/file/d/1btZJeLpOgMwnUvkiVPW8mNcBNS33N-Jp/view?usp=drivesdk" TargetMode="External"/><Relationship Id="rId1766" Type="http://schemas.openxmlformats.org/officeDocument/2006/relationships/hyperlink" Target="https://drive.google.com/file/d/1z0rZD7X_coycSsuDGdLfw2SbmW-sJmVO/view?usp=drivesdk" TargetMode="External"/><Relationship Id="rId77" Type="http://schemas.openxmlformats.org/officeDocument/2006/relationships/hyperlink" Target="https://drive.google.com/file/d/14hGv6YTpkiL88RVOElEz602di2Omzr7f/view?usp=drivesdk" TargetMode="External"/><Relationship Id="rId1767" Type="http://schemas.openxmlformats.org/officeDocument/2006/relationships/hyperlink" Target="https://drive.google.com/file/d/1jOoAQSfMt9sdMl9gpBJM84bvaX5uZuuu/view?usp=drivesdk" TargetMode="External"/><Relationship Id="rId76" Type="http://schemas.openxmlformats.org/officeDocument/2006/relationships/hyperlink" Target="https://drive.google.com/file/d/1NY_Mp13alUyeeU19O4R8tHyA3dZA_RqB/view?usp=drivesdk" TargetMode="External"/><Relationship Id="rId1768" Type="http://schemas.openxmlformats.org/officeDocument/2006/relationships/hyperlink" Target="https://drive.google.com/file/d/1HdhPJu0881YgnR4xynBt04t3L4d2n_Lj/view?usp=drivesdk" TargetMode="External"/><Relationship Id="rId79" Type="http://schemas.openxmlformats.org/officeDocument/2006/relationships/hyperlink" Target="https://drive.google.com/file/d/1lxNyrut30LtG_T4vh_0nc19pFOLnkqB_/view?usp=drivesdk" TargetMode="External"/><Relationship Id="rId1769" Type="http://schemas.openxmlformats.org/officeDocument/2006/relationships/hyperlink" Target="https://drive.google.com/file/d/1yHOlpM1uJaiU7kTahuRP2566vNJozaQa/view?usp=drivesdk" TargetMode="External"/><Relationship Id="rId78" Type="http://schemas.openxmlformats.org/officeDocument/2006/relationships/hyperlink" Target="https://drive.google.com/file/d/1gJaw8VmCsIpql6YNiaEbtlS9i9ZvnI4j/view?usp=drivesdk" TargetMode="External"/><Relationship Id="rId71" Type="http://schemas.openxmlformats.org/officeDocument/2006/relationships/hyperlink" Target="https://drive.google.com/file/d/1OqNP32KOc_YSqFHpjz4nNvLXQ6zte2pY/view?usp=drivesdk" TargetMode="External"/><Relationship Id="rId70" Type="http://schemas.openxmlformats.org/officeDocument/2006/relationships/hyperlink" Target="https://drive.google.com/file/d/19hXfxJd8AsSuQIlFNb6NcdzuO6Ix_aVZ/view?usp=drivesdk" TargetMode="External"/><Relationship Id="rId1760" Type="http://schemas.openxmlformats.org/officeDocument/2006/relationships/hyperlink" Target="https://drive.google.com/file/d/1C6X_tBRsEk1ZuBm0JfJIShyFbqttZbk_/view?usp=drivesdk" TargetMode="External"/><Relationship Id="rId1761" Type="http://schemas.openxmlformats.org/officeDocument/2006/relationships/hyperlink" Target="https://drive.google.com/file/d/1JU2kq3G9WPJASDjMlbU9lJcCvzEOIVXp/view?usp=drivesdk" TargetMode="External"/><Relationship Id="rId1762" Type="http://schemas.openxmlformats.org/officeDocument/2006/relationships/hyperlink" Target="https://drive.google.com/file/d/1BFVFruV0jjAE8l2HmvLtol5pOiTpQWTn/view?usp=drivesdk" TargetMode="External"/><Relationship Id="rId62" Type="http://schemas.openxmlformats.org/officeDocument/2006/relationships/hyperlink" Target="https://drive.google.com/file/d/1SOPs2GJBcgw_G0bKtPC4Th7eG_ManoJd/view?usp=drivesdk" TargetMode="External"/><Relationship Id="rId1796" Type="http://schemas.openxmlformats.org/officeDocument/2006/relationships/hyperlink" Target="https://drive.google.com/file/d/1ybAI4YzebcDR7N7P3YuEn7EPZ-qd3U5d/view?usp=drivesdk" TargetMode="External"/><Relationship Id="rId61" Type="http://schemas.openxmlformats.org/officeDocument/2006/relationships/hyperlink" Target="https://drive.google.com/file/d/19YmABhdDCIpdhfD7204UorAKJcVFmGyB/view?usp=drivesdk" TargetMode="External"/><Relationship Id="rId1797" Type="http://schemas.openxmlformats.org/officeDocument/2006/relationships/hyperlink" Target="https://drive.google.com/file/d/1tYYVnCHsGShtN-tSDmS_qLMmhT1RawfF/view?usp=drivesdk" TargetMode="External"/><Relationship Id="rId64" Type="http://schemas.openxmlformats.org/officeDocument/2006/relationships/hyperlink" Target="https://drive.google.com/file/d/1wITfbFPTbRTzHFkX871k1T9s08S1avdD/view?usp=drivesdk" TargetMode="External"/><Relationship Id="rId1798" Type="http://schemas.openxmlformats.org/officeDocument/2006/relationships/hyperlink" Target="https://drive.google.com/file/d/1L1JXb9Oey_9pMplHv8uIW4_RkxCF0Y2i/view?usp=drivesdk" TargetMode="External"/><Relationship Id="rId63" Type="http://schemas.openxmlformats.org/officeDocument/2006/relationships/hyperlink" Target="https://drive.google.com/file/d/1yl0jhBdumRyzmMIzcloa9sKFHPhKF8OK/view?usp=drivesdk" TargetMode="External"/><Relationship Id="rId1799" Type="http://schemas.openxmlformats.org/officeDocument/2006/relationships/hyperlink" Target="https://drive.google.com/file/d/1LWKAeEW0fgjygV6WCnKyQeX8316YUgWo/view?usp=drivesdk" TargetMode="External"/><Relationship Id="rId66" Type="http://schemas.openxmlformats.org/officeDocument/2006/relationships/hyperlink" Target="https://drive.google.com/file/d/1guPuG4Yot2C3n3INqBLJT2SUuL7OEVqb/view?usp=drivesdk" TargetMode="External"/><Relationship Id="rId65" Type="http://schemas.openxmlformats.org/officeDocument/2006/relationships/hyperlink" Target="https://drive.google.com/file/d/1398bbdesLVQD_blh-JVEzern2utYk9f5/view?usp=drivesdk" TargetMode="External"/><Relationship Id="rId68" Type="http://schemas.openxmlformats.org/officeDocument/2006/relationships/hyperlink" Target="https://drive.google.com/file/d/1CebArmOyvhk6TS7GUk7KioJhsZEYW5MG/view?usp=drivesdk" TargetMode="External"/><Relationship Id="rId67" Type="http://schemas.openxmlformats.org/officeDocument/2006/relationships/hyperlink" Target="https://drive.google.com/file/d/1Ejtm_QBqdgPmIq91-p0tkBvSKLlu6s1b/view?usp=drivesdk" TargetMode="External"/><Relationship Id="rId60" Type="http://schemas.openxmlformats.org/officeDocument/2006/relationships/hyperlink" Target="https://drive.google.com/file/d/1XMQIhbvCTxrEJDpxqZBfVzAvcKmPsrBZ/view?usp=drivesdk" TargetMode="External"/><Relationship Id="rId69" Type="http://schemas.openxmlformats.org/officeDocument/2006/relationships/hyperlink" Target="https://drive.google.com/file/d/1figCFS9-689vIdjMd__cksJc4UwyJJDs/view?usp=drivesdk" TargetMode="External"/><Relationship Id="rId1790" Type="http://schemas.openxmlformats.org/officeDocument/2006/relationships/hyperlink" Target="https://drive.google.com/file/d/1JkPrBBF4Aq2YUf-0H80A4LRFwpsSLSt5/view?usp=drivesdk" TargetMode="External"/><Relationship Id="rId1791" Type="http://schemas.openxmlformats.org/officeDocument/2006/relationships/hyperlink" Target="https://drive.google.com/file/d/1rA-SYIYa40jtaCXuwEf-xjfS-ihJSDa5/view?usp=drivesdk" TargetMode="External"/><Relationship Id="rId1792" Type="http://schemas.openxmlformats.org/officeDocument/2006/relationships/hyperlink" Target="https://drive.google.com/file/d/1mbPAy1TbNwV2XOfDjz6F7ail2VgA51o4/view?usp=drivesdk" TargetMode="External"/><Relationship Id="rId1793" Type="http://schemas.openxmlformats.org/officeDocument/2006/relationships/hyperlink" Target="https://drive.google.com/file/d/16gyxPUUHdCNaQJ0J7lxySjT9ggprIeYM/view?usp=drivesdk" TargetMode="External"/><Relationship Id="rId1794" Type="http://schemas.openxmlformats.org/officeDocument/2006/relationships/hyperlink" Target="https://drive.google.com/file/d/1t9qJ81WHWp5VhrEXSET_reGhe9475Bh9/view?usp=drivesdk" TargetMode="External"/><Relationship Id="rId1795" Type="http://schemas.openxmlformats.org/officeDocument/2006/relationships/hyperlink" Target="https://drive.google.com/file/d/1KE2_KbSJJfv-f7spdLCghooBjy4qsIJa/view?usp=drivesdk" TargetMode="External"/><Relationship Id="rId51" Type="http://schemas.openxmlformats.org/officeDocument/2006/relationships/hyperlink" Target="https://drive.google.com/file/d/1jEiCM4amu7q5InbrvHMBqZ8T4x_jz3D3/view?usp=drivesdk" TargetMode="External"/><Relationship Id="rId1785" Type="http://schemas.openxmlformats.org/officeDocument/2006/relationships/hyperlink" Target="https://drive.google.com/file/d/1i6qGgi00RMPjfjymzXA5zrhw99E1HI_E/view?usp=drivesdk" TargetMode="External"/><Relationship Id="rId50" Type="http://schemas.openxmlformats.org/officeDocument/2006/relationships/hyperlink" Target="https://drive.google.com/file/d/1xQVLBf9H_-09jP0kpgMWEGuyFupTFBor/view?usp=drivesdk" TargetMode="External"/><Relationship Id="rId1786" Type="http://schemas.openxmlformats.org/officeDocument/2006/relationships/hyperlink" Target="https://drive.google.com/file/d/1-zDlqGJHLgnf0EEC6-j_EElNHHgqV-X-/view?usp=drivesdk" TargetMode="External"/><Relationship Id="rId53" Type="http://schemas.openxmlformats.org/officeDocument/2006/relationships/hyperlink" Target="https://drive.google.com/file/d/1Go4wBGbJgkNpz4Gzrp-0kVVsoMRrHmrZ/view?usp=drivesdk" TargetMode="External"/><Relationship Id="rId1787" Type="http://schemas.openxmlformats.org/officeDocument/2006/relationships/hyperlink" Target="https://drive.google.com/file/d/1AXlt7RiMQzSBR2Y8NqyVSEMYzhAeNHOQ/view?usp=drivesdk" TargetMode="External"/><Relationship Id="rId52" Type="http://schemas.openxmlformats.org/officeDocument/2006/relationships/hyperlink" Target="https://drive.google.com/file/d/1DPC7kTGAKWOdHVuSDS9Kti6H9UiJyVdE/view?usp=drivesdk" TargetMode="External"/><Relationship Id="rId1788" Type="http://schemas.openxmlformats.org/officeDocument/2006/relationships/hyperlink" Target="https://drive.google.com/file/d/1D2Zu4EZb1gNCoeCtBx-Kc5-d8n_tlf2s/view?usp=drivesdk" TargetMode="External"/><Relationship Id="rId55" Type="http://schemas.openxmlformats.org/officeDocument/2006/relationships/hyperlink" Target="https://drive.google.com/file/d/1VWVBxo0R_uSQmNqltg1Izp_wQqjadDat/view?usp=drivesdk" TargetMode="External"/><Relationship Id="rId1789" Type="http://schemas.openxmlformats.org/officeDocument/2006/relationships/hyperlink" Target="https://drive.google.com/file/d/18_vbF9xsKb2IuV-06Pdvovh4AYJfJmdk/view?usp=drivesdk" TargetMode="External"/><Relationship Id="rId54" Type="http://schemas.openxmlformats.org/officeDocument/2006/relationships/hyperlink" Target="https://drive.google.com/file/d/1NCYWY28mySlW6r1Ce1EmPIxlxJnXKEeA/view?usp=drivesdk" TargetMode="External"/><Relationship Id="rId57" Type="http://schemas.openxmlformats.org/officeDocument/2006/relationships/hyperlink" Target="https://drive.google.com/file/d/1WRSouUQ1esEyS3H9QQHF6VP3pyZTYfbe/view?usp=drivesdk" TargetMode="External"/><Relationship Id="rId56" Type="http://schemas.openxmlformats.org/officeDocument/2006/relationships/hyperlink" Target="https://drive.google.com/file/d/1Xg0YhEf3_C2G1OdCppRlgLW9ZMxNhTFk/view?usp=drivesdk" TargetMode="External"/><Relationship Id="rId59" Type="http://schemas.openxmlformats.org/officeDocument/2006/relationships/hyperlink" Target="https://drive.google.com/file/d/1HEFgf5WprkOtnlg5CuC2TbyvztdSsHXA/view?usp=drivesdk" TargetMode="External"/><Relationship Id="rId58" Type="http://schemas.openxmlformats.org/officeDocument/2006/relationships/hyperlink" Target="https://drive.google.com/file/d/1i-jn6ySTfcPpur-eEzNLl9eDUu63SbrF/view?usp=drivesdk" TargetMode="External"/><Relationship Id="rId1780" Type="http://schemas.openxmlformats.org/officeDocument/2006/relationships/hyperlink" Target="https://drive.google.com/file/d/1aljqzNt_a-5H2xNod0DXK2LsjIq9xXuj/view?usp=drivesdk" TargetMode="External"/><Relationship Id="rId1781" Type="http://schemas.openxmlformats.org/officeDocument/2006/relationships/hyperlink" Target="https://drive.google.com/file/d/1cNdWPR0lbNPUCDeI0DicvFV8ZWXKF8P4/view?usp=drivesdk" TargetMode="External"/><Relationship Id="rId1782" Type="http://schemas.openxmlformats.org/officeDocument/2006/relationships/hyperlink" Target="https://drive.google.com/file/d/1MZZLO_m55KdbCtMX7Abk1knww_Eu3Byx/view?usp=drivesdk" TargetMode="External"/><Relationship Id="rId1783" Type="http://schemas.openxmlformats.org/officeDocument/2006/relationships/hyperlink" Target="https://drive.google.com/file/d/1Rq8taADseprDE7oOK03RUVDBbNKz4-pg/view?usp=drivesdk" TargetMode="External"/><Relationship Id="rId1784" Type="http://schemas.openxmlformats.org/officeDocument/2006/relationships/hyperlink" Target="https://drive.google.com/file/d/1OgSTpGHW34UAkF4DDcl5ghcaAHtU7oMz/view?usp=drivesdk" TargetMode="External"/><Relationship Id="rId2269" Type="http://schemas.openxmlformats.org/officeDocument/2006/relationships/hyperlink" Target="https://drive.google.com/file/d/1bB5zAUL5oQPM2ClvdBCDeAd5AlkWVp4P/view?usp=drivesdk" TargetMode="External"/><Relationship Id="rId349" Type="http://schemas.openxmlformats.org/officeDocument/2006/relationships/hyperlink" Target="https://drive.google.com/file/d/1_8pCZB3pw8U1_io8whrbB1Gwpr26Wcew/view?usp=drivesdk" TargetMode="External"/><Relationship Id="rId348" Type="http://schemas.openxmlformats.org/officeDocument/2006/relationships/hyperlink" Target="https://drive.google.com/file/d/1tWXH9wN-LAm3w7fnnjQxnR4HsGwal6Kx/view?usp=drivesdk" TargetMode="External"/><Relationship Id="rId347" Type="http://schemas.openxmlformats.org/officeDocument/2006/relationships/hyperlink" Target="https://drive.google.com/file/d/1EkBM9C5Mvo2bILgH28D18nu6tfMH-AQM/view?usp=drivesdk" TargetMode="External"/><Relationship Id="rId346" Type="http://schemas.openxmlformats.org/officeDocument/2006/relationships/hyperlink" Target="https://drive.google.com/file/d/1wD5K7vGl237GSVx_g7ZuNDVuTVXH6WuK/view?usp=drivesdk" TargetMode="External"/><Relationship Id="rId2260" Type="http://schemas.openxmlformats.org/officeDocument/2006/relationships/hyperlink" Target="https://drive.google.com/file/d/1mMbXlq0wHwW3u94B3l_0KZ3_2GsCObmh/view?usp=drivesdk" TargetMode="External"/><Relationship Id="rId341" Type="http://schemas.openxmlformats.org/officeDocument/2006/relationships/hyperlink" Target="https://drive.google.com/file/d/1dRy6uzp7aqKlyDxCgKtUe6SdqAcqJcFb/view?usp=drivesdk" TargetMode="External"/><Relationship Id="rId2261" Type="http://schemas.openxmlformats.org/officeDocument/2006/relationships/hyperlink" Target="https://drive.google.com/file/d/1EqvEPwgwndawziGmIPqgl3yNKOI51OAS/view?usp=drivesdk" TargetMode="External"/><Relationship Id="rId340" Type="http://schemas.openxmlformats.org/officeDocument/2006/relationships/hyperlink" Target="https://drive.google.com/file/d/17_tDs0eYV7L5-i0jFrbeoHaRBrcSQ9-9/view?usp=drivesdk" TargetMode="External"/><Relationship Id="rId2262" Type="http://schemas.openxmlformats.org/officeDocument/2006/relationships/hyperlink" Target="https://drive.google.com/file/d/1Baedt_RF56dAcd90mHgk4WyAWq0rNUNl/view?usp=drivesdk" TargetMode="External"/><Relationship Id="rId2263" Type="http://schemas.openxmlformats.org/officeDocument/2006/relationships/hyperlink" Target="https://drive.google.com/file/d/14GutnAtB1f13xcVqwnhfc_-RMT6AP_5B/view?usp=drivesdk" TargetMode="External"/><Relationship Id="rId2264" Type="http://schemas.openxmlformats.org/officeDocument/2006/relationships/hyperlink" Target="https://drive.google.com/file/d/1HPzVmIEplGhQvmWHdVz2IsB9vdc6FFNn/view?usp=drivesdk" TargetMode="External"/><Relationship Id="rId345" Type="http://schemas.openxmlformats.org/officeDocument/2006/relationships/hyperlink" Target="https://drive.google.com/file/d/12BgAmyTUM9zXROL8EJBSKj47rzdgie8X/view?usp=drivesdk" TargetMode="External"/><Relationship Id="rId2265" Type="http://schemas.openxmlformats.org/officeDocument/2006/relationships/hyperlink" Target="https://drive.google.com/file/d/1o9LFgnQOxOWMbLhy5xq59Vl4kwI6felM/view?usp=drivesdk" TargetMode="External"/><Relationship Id="rId344" Type="http://schemas.openxmlformats.org/officeDocument/2006/relationships/hyperlink" Target="https://drive.google.com/file/d/1WwOkola1OT6nmGNnVySUNIkgQCDn8G1O/view?usp=drivesdk" TargetMode="External"/><Relationship Id="rId2266" Type="http://schemas.openxmlformats.org/officeDocument/2006/relationships/hyperlink" Target="https://drive.google.com/file/d/148Py_oykj0pRS0KX5Nz43ePS1GIo-Y5B/view?usp=drivesdk" TargetMode="External"/><Relationship Id="rId343" Type="http://schemas.openxmlformats.org/officeDocument/2006/relationships/hyperlink" Target="https://drive.google.com/file/d/1DYmdntblIulNRsPyyrm5x22gnHhoY8pq/view?usp=drivesdk" TargetMode="External"/><Relationship Id="rId2267" Type="http://schemas.openxmlformats.org/officeDocument/2006/relationships/hyperlink" Target="https://drive.google.com/file/d/1jZTNlQnL0TIaQEtiJ7d2O9yOJIbibVXq/view?usp=drivesdk" TargetMode="External"/><Relationship Id="rId342" Type="http://schemas.openxmlformats.org/officeDocument/2006/relationships/hyperlink" Target="https://drive.google.com/file/d/1Chh6vBl85oVtpr9-puQubPDNnbZkh7KZ/view?usp=drivesdk" TargetMode="External"/><Relationship Id="rId2268" Type="http://schemas.openxmlformats.org/officeDocument/2006/relationships/hyperlink" Target="https://drive.google.com/file/d/1qAWfV1gULW7jC5kaiPJ66v9N_6ujk9G3/view?usp=drivesdk" TargetMode="External"/><Relationship Id="rId2258" Type="http://schemas.openxmlformats.org/officeDocument/2006/relationships/hyperlink" Target="https://drive.google.com/file/d/1Ce-dl4nRjbQONXIAPX6wZN3ilxDwxEty/view?usp=drivesdk" TargetMode="External"/><Relationship Id="rId2259" Type="http://schemas.openxmlformats.org/officeDocument/2006/relationships/hyperlink" Target="https://drive.google.com/file/d/1oqwZUfEfzfjGZaYk1A2E8B-PU-AQ6SKz/view?usp=drivesdk" TargetMode="External"/><Relationship Id="rId338" Type="http://schemas.openxmlformats.org/officeDocument/2006/relationships/hyperlink" Target="https://drive.google.com/file/d/1S6q42zMajW3e56q4dEzSxwGeaOEtme7A/view?usp=drivesdk" TargetMode="External"/><Relationship Id="rId337" Type="http://schemas.openxmlformats.org/officeDocument/2006/relationships/hyperlink" Target="https://drive.google.com/file/d/191wNcdlu6WSjOiLz6ynsrrPs-OvHpvBb/view?usp=drivesdk" TargetMode="External"/><Relationship Id="rId336" Type="http://schemas.openxmlformats.org/officeDocument/2006/relationships/hyperlink" Target="https://drive.google.com/file/d/1kxkyKkDKE_f6tUlJtBg2iiCz8l4PaTXq/view?usp=drivesdk" TargetMode="External"/><Relationship Id="rId335" Type="http://schemas.openxmlformats.org/officeDocument/2006/relationships/hyperlink" Target="https://drive.google.com/file/d/1gmNjtyz5pPZ4yXAlGbkikOo202Q8OE2f/view?usp=drivesdk" TargetMode="External"/><Relationship Id="rId339" Type="http://schemas.openxmlformats.org/officeDocument/2006/relationships/hyperlink" Target="https://drive.google.com/file/d/1bEaoql3JPo9kr-cVBMicceFggwTMTsuH/view?usp=drivesdk" TargetMode="External"/><Relationship Id="rId330" Type="http://schemas.openxmlformats.org/officeDocument/2006/relationships/hyperlink" Target="https://drive.google.com/file/d/1zVTWq7I8TIS6eGJya2U5gMvyWW0Wq_nK/view?usp=drivesdk" TargetMode="External"/><Relationship Id="rId2250" Type="http://schemas.openxmlformats.org/officeDocument/2006/relationships/hyperlink" Target="https://drive.google.com/file/d/1jEnrVGc2PxWYnqqR5b5QggE9HgY-tjOC/view?usp=drivesdk" TargetMode="External"/><Relationship Id="rId2251" Type="http://schemas.openxmlformats.org/officeDocument/2006/relationships/hyperlink" Target="https://drive.google.com/file/d/1UOcUsx-QUxFrulQIBnkUuR_13YgQP2Vd/view?usp=drivesdk" TargetMode="External"/><Relationship Id="rId2252" Type="http://schemas.openxmlformats.org/officeDocument/2006/relationships/hyperlink" Target="https://drive.google.com/file/d/1Bqp5tbqcsNPKH_QuWEI9mWZ1-DAWptGv/view?usp=drivesdk" TargetMode="External"/><Relationship Id="rId2253" Type="http://schemas.openxmlformats.org/officeDocument/2006/relationships/hyperlink" Target="https://drive.google.com/file/d/1c0WTQTFC6wVjO3perznTR_rfzhpTPGnJ/view?usp=drivesdk" TargetMode="External"/><Relationship Id="rId334" Type="http://schemas.openxmlformats.org/officeDocument/2006/relationships/hyperlink" Target="https://drive.google.com/file/d/1r5ovnhAzHBaCUudZn50hc3NoyL8jZAmC/view?usp=drivesdk" TargetMode="External"/><Relationship Id="rId2254" Type="http://schemas.openxmlformats.org/officeDocument/2006/relationships/hyperlink" Target="https://drive.google.com/file/d/1F5qGa541IZsvA8V-NJg1vkR_g716Ph_8/view?usp=drivesdk" TargetMode="External"/><Relationship Id="rId333" Type="http://schemas.openxmlformats.org/officeDocument/2006/relationships/hyperlink" Target="https://drive.google.com/file/d/1CXMF_prLulQt9TmDj8jXynwOKdLqsKcv/view?usp=drivesdk" TargetMode="External"/><Relationship Id="rId2255" Type="http://schemas.openxmlformats.org/officeDocument/2006/relationships/hyperlink" Target="https://drive.google.com/file/d/1ChpFRMejJzL2Sh9so-302icQ-YIJSCTh/view?usp=drivesdk" TargetMode="External"/><Relationship Id="rId332" Type="http://schemas.openxmlformats.org/officeDocument/2006/relationships/hyperlink" Target="https://drive.google.com/file/d/1QKSVrVs3ToVlnjO6iEoxwGCX6epTjmVZ/view?usp=drivesdk" TargetMode="External"/><Relationship Id="rId2256" Type="http://schemas.openxmlformats.org/officeDocument/2006/relationships/hyperlink" Target="https://drive.google.com/file/d/1IpGgGfnAQY5wd1rLKDy5RnBFHMi3I5x4/view?usp=drivesdk" TargetMode="External"/><Relationship Id="rId331" Type="http://schemas.openxmlformats.org/officeDocument/2006/relationships/hyperlink" Target="https://drive.google.com/file/d/1T6MI-QrvVvuxvpPRZQnRn0ZOT5mfcASs/view?usp=drivesdk" TargetMode="External"/><Relationship Id="rId2257" Type="http://schemas.openxmlformats.org/officeDocument/2006/relationships/hyperlink" Target="https://drive.google.com/file/d/1wq7-2vqDvzteuPzlUspBQRdnaX3rmhA1/view?usp=drivesdk" TargetMode="External"/><Relationship Id="rId370" Type="http://schemas.openxmlformats.org/officeDocument/2006/relationships/hyperlink" Target="https://drive.google.com/file/d/1-mRX6-K14MRBPbv70jcqjI6pFDDlkp6f/view?usp=drivesdk" TargetMode="External"/><Relationship Id="rId369" Type="http://schemas.openxmlformats.org/officeDocument/2006/relationships/hyperlink" Target="https://drive.google.com/file/d/1F49REiDAYzMubDAe3MtDbOAzdlry6s6_/view?usp=drivesdk" TargetMode="External"/><Relationship Id="rId368" Type="http://schemas.openxmlformats.org/officeDocument/2006/relationships/hyperlink" Target="https://drive.google.com/file/d/1-HbB1R9rUkZyBA6k76KWaAbDsT1gjxYO/view?usp=drivesdk" TargetMode="External"/><Relationship Id="rId2280" Type="http://schemas.openxmlformats.org/officeDocument/2006/relationships/hyperlink" Target="https://drive.google.com/file/d/1A3A0XWewbvFp536VbiCjIAYxdIJwVP-9/view?usp=drivesdk" TargetMode="External"/><Relationship Id="rId2281" Type="http://schemas.openxmlformats.org/officeDocument/2006/relationships/hyperlink" Target="https://drive.google.com/file/d/1Om0VtTokwrnUfKI5dbrEDRogkdHBeMRA/view?usp=drivesdk" TargetMode="External"/><Relationship Id="rId2282" Type="http://schemas.openxmlformats.org/officeDocument/2006/relationships/hyperlink" Target="https://drive.google.com/file/d/145Pa13zh5Prx2VW-au4YJBMHc37TXuej/view?usp=drivesdk" TargetMode="External"/><Relationship Id="rId363" Type="http://schemas.openxmlformats.org/officeDocument/2006/relationships/hyperlink" Target="https://drive.google.com/file/d/1Pml0NZRsfOysQAMn6JrlwAgAx1237UbE/view?usp=drivesdk" TargetMode="External"/><Relationship Id="rId2283" Type="http://schemas.openxmlformats.org/officeDocument/2006/relationships/hyperlink" Target="https://drive.google.com/file/d/1JnjkuBqFgDqAEzZj1VnXDDzpULzqwUY4/view?usp=drivesdk" TargetMode="External"/><Relationship Id="rId362" Type="http://schemas.openxmlformats.org/officeDocument/2006/relationships/hyperlink" Target="https://drive.google.com/file/d/1SiUbejtLMZIlgDDNSY37EhfU5KVeOIOp/view?usp=drivesdk" TargetMode="External"/><Relationship Id="rId2284" Type="http://schemas.openxmlformats.org/officeDocument/2006/relationships/hyperlink" Target="https://drive.google.com/file/d/1bOamtHkDDCeR5rldqOBSgCXc_AFZb3yD/view?usp=drivesdk" TargetMode="External"/><Relationship Id="rId361" Type="http://schemas.openxmlformats.org/officeDocument/2006/relationships/hyperlink" Target="https://drive.google.com/file/d/1Xb6r5Sg08ie-70ZRarJLJ0HXZhA8pR-k/view?usp=drivesdk" TargetMode="External"/><Relationship Id="rId2285" Type="http://schemas.openxmlformats.org/officeDocument/2006/relationships/hyperlink" Target="https://drive.google.com/file/d/1XtfL3wumyr6mb9iCgCxuHmUHHvQhg4yN/view?usp=drivesdk" TargetMode="External"/><Relationship Id="rId360" Type="http://schemas.openxmlformats.org/officeDocument/2006/relationships/hyperlink" Target="https://drive.google.com/file/d/1Znz2cysuzqGLY68gM36qcVMDtzSrRBhU/view?usp=drivesdk" TargetMode="External"/><Relationship Id="rId2286" Type="http://schemas.openxmlformats.org/officeDocument/2006/relationships/hyperlink" Target="https://drive.google.com/file/d/1S6Y_7EBTIU64tChcmNNePtGMO2jWzVGk/view?usp=drivesdk" TargetMode="External"/><Relationship Id="rId367" Type="http://schemas.openxmlformats.org/officeDocument/2006/relationships/hyperlink" Target="https://drive.google.com/file/d/19Fl-39IlzoCfmIEOsnY6JKwu2bUiX3MO/view?usp=drivesdk" TargetMode="External"/><Relationship Id="rId2287" Type="http://schemas.openxmlformats.org/officeDocument/2006/relationships/hyperlink" Target="https://drive.google.com/file/d/1GpQZNwn0thDz2IQRffeGzv6KDWQiKn_I/view?usp=drivesdk" TargetMode="External"/><Relationship Id="rId366" Type="http://schemas.openxmlformats.org/officeDocument/2006/relationships/hyperlink" Target="https://drive.google.com/file/d/1y-ClKplSDZbSDj9JICuN8NS0Mjk6NunL/view?usp=drivesdk" TargetMode="External"/><Relationship Id="rId2288" Type="http://schemas.openxmlformats.org/officeDocument/2006/relationships/hyperlink" Target="https://drive.google.com/file/d/181zSSJL0lk7t_7R7qFXHj6EpNju7NEyy/view?usp=drivesdk" TargetMode="External"/><Relationship Id="rId365" Type="http://schemas.openxmlformats.org/officeDocument/2006/relationships/hyperlink" Target="https://drive.google.com/file/d/1ev72IDNl2mCWJhTasc1EYGJO6GTUrmqa/view?usp=drivesdk" TargetMode="External"/><Relationship Id="rId2289" Type="http://schemas.openxmlformats.org/officeDocument/2006/relationships/hyperlink" Target="https://drive.google.com/file/d/1PYhLwP6tdLfH-XKRuD0puhoFxy-sMmFS/view?usp=drivesdk" TargetMode="External"/><Relationship Id="rId364" Type="http://schemas.openxmlformats.org/officeDocument/2006/relationships/hyperlink" Target="https://drive.google.com/file/d/1RPAwEFx8I1R74xrEoSoTRg1lJQG9P5CL/view?usp=drivesdk" TargetMode="External"/><Relationship Id="rId95" Type="http://schemas.openxmlformats.org/officeDocument/2006/relationships/hyperlink" Target="https://drive.google.com/file/d/1QJ1QA_hGVAO4cg0FHDazvy-0h4f5kcZH/view?usp=drivesdk" TargetMode="External"/><Relationship Id="rId94" Type="http://schemas.openxmlformats.org/officeDocument/2006/relationships/hyperlink" Target="https://drive.google.com/file/d/17rBKvr-zjXs3WfrE37F92ZbymbliUh4A/view?usp=drivesdk" TargetMode="External"/><Relationship Id="rId97" Type="http://schemas.openxmlformats.org/officeDocument/2006/relationships/hyperlink" Target="https://drive.google.com/file/d/1FU29SOZM23s_7QTSoXduUnSJvebTWVgd/view?usp=drivesdk" TargetMode="External"/><Relationship Id="rId96" Type="http://schemas.openxmlformats.org/officeDocument/2006/relationships/hyperlink" Target="https://drive.google.com/file/d/1Wl-Ma8TYbbwvnivHK1k9fScESSLzvo7E/view?usp=drivesdk" TargetMode="External"/><Relationship Id="rId99" Type="http://schemas.openxmlformats.org/officeDocument/2006/relationships/hyperlink" Target="https://drive.google.com/file/d/1mNMSYELyVuOU6TMtfY3_SU3eElANuRCq/view?usp=drivesdk" TargetMode="External"/><Relationship Id="rId98" Type="http://schemas.openxmlformats.org/officeDocument/2006/relationships/hyperlink" Target="https://drive.google.com/file/d/1yJlrubd5xqo8Y46IKMA08QC9JgFEarjo/view?usp=drivesdk" TargetMode="External"/><Relationship Id="rId91" Type="http://schemas.openxmlformats.org/officeDocument/2006/relationships/hyperlink" Target="https://drive.google.com/file/d/1L0JEBu9wmTn9ipTdZ9As779WByZN23cS/view?usp=drivesdk" TargetMode="External"/><Relationship Id="rId90" Type="http://schemas.openxmlformats.org/officeDocument/2006/relationships/hyperlink" Target="https://drive.google.com/file/d/10fDogv4EY5jJW4yYJcCgApBtNRd_p5Zs/view?usp=drivesdk" TargetMode="External"/><Relationship Id="rId93" Type="http://schemas.openxmlformats.org/officeDocument/2006/relationships/hyperlink" Target="https://drive.google.com/file/d/1k1X3bQV9TzCCD4IlqxqPYfdo83h0OHmP/view?usp=drivesdk" TargetMode="External"/><Relationship Id="rId92" Type="http://schemas.openxmlformats.org/officeDocument/2006/relationships/hyperlink" Target="https://drive.google.com/file/d/12V5ucoeNi9G0bo4IptMdfSpBs3hOz0nf/view?usp=drivesdk" TargetMode="External"/><Relationship Id="rId359" Type="http://schemas.openxmlformats.org/officeDocument/2006/relationships/hyperlink" Target="https://drive.google.com/file/d/1_IBV79wnvdxg0ewozQfTeEifd97WXkBt/view?usp=drivesdk" TargetMode="External"/><Relationship Id="rId358" Type="http://schemas.openxmlformats.org/officeDocument/2006/relationships/hyperlink" Target="https://drive.google.com/file/d/1G4fER-msQOprc8Y6XVSOHNwysw1dsz_M/view?usp=drivesdk" TargetMode="External"/><Relationship Id="rId357" Type="http://schemas.openxmlformats.org/officeDocument/2006/relationships/hyperlink" Target="https://drive.google.com/file/d/1S69otxyEHHYfHasqVFCFLrpq9qfre1cG/view?usp=drivesdk" TargetMode="External"/><Relationship Id="rId2270" Type="http://schemas.openxmlformats.org/officeDocument/2006/relationships/hyperlink" Target="https://drive.google.com/file/d/1YAtWuID9zn-v4RS7EAtlJ13NrBFRKnTI/view?usp=drivesdk" TargetMode="External"/><Relationship Id="rId2271" Type="http://schemas.openxmlformats.org/officeDocument/2006/relationships/hyperlink" Target="https://drive.google.com/file/d/1-cST4Xer2glOXMG5eTrJVkRfofzfqFTW/view?usp=drivesdk" TargetMode="External"/><Relationship Id="rId352" Type="http://schemas.openxmlformats.org/officeDocument/2006/relationships/hyperlink" Target="https://drive.google.com/file/d/1lAJWl23b0fzfqClyvqCvmz4aSdKIgGIL/view?usp=drivesdk" TargetMode="External"/><Relationship Id="rId2272" Type="http://schemas.openxmlformats.org/officeDocument/2006/relationships/hyperlink" Target="https://drive.google.com/file/d/1YGUF0pymdL9VWFyddXUkyUtTNzhUn4kL/view?usp=drivesdk" TargetMode="External"/><Relationship Id="rId351" Type="http://schemas.openxmlformats.org/officeDocument/2006/relationships/hyperlink" Target="https://drive.google.com/file/d/1bYfm5MH4oAijzOFnIThP8bgDImV713jA/view?usp=drivesdk" TargetMode="External"/><Relationship Id="rId2273" Type="http://schemas.openxmlformats.org/officeDocument/2006/relationships/hyperlink" Target="https://drive.google.com/file/d/1W_KvsfbanYWBQG9nzoDuqDlzFW_jUYH2/view?usp=drivesdk" TargetMode="External"/><Relationship Id="rId350" Type="http://schemas.openxmlformats.org/officeDocument/2006/relationships/hyperlink" Target="https://drive.google.com/file/d/1qLQqiOwiE_r8bWR1z8K85zTLukbEGBUS/view?usp=drivesdk" TargetMode="External"/><Relationship Id="rId2274" Type="http://schemas.openxmlformats.org/officeDocument/2006/relationships/hyperlink" Target="https://drive.google.com/file/d/1qjg3dUl7eHUol7x5vvlFumz5qKGMMo-n/view?usp=drivesdk" TargetMode="External"/><Relationship Id="rId2275" Type="http://schemas.openxmlformats.org/officeDocument/2006/relationships/hyperlink" Target="https://drive.google.com/file/d/1c_xOizbgC83hFcsc5jmN-idvU1vfACNB/view?usp=drivesdk" TargetMode="External"/><Relationship Id="rId356" Type="http://schemas.openxmlformats.org/officeDocument/2006/relationships/hyperlink" Target="https://drive.google.com/file/d/1UHWACn9Nb4VelPRgXSIGlDkAUk_C2XrY/view?usp=drivesdk" TargetMode="External"/><Relationship Id="rId2276" Type="http://schemas.openxmlformats.org/officeDocument/2006/relationships/hyperlink" Target="https://drive.google.com/file/d/1lp6r_eHvrdDz_Jcksbt_MrMZQFC3hwy0/view?usp=drivesdk" TargetMode="External"/><Relationship Id="rId355" Type="http://schemas.openxmlformats.org/officeDocument/2006/relationships/hyperlink" Target="https://drive.google.com/file/d/1vArcbKAgEmEWejRnakWUfomGnsH5tn4W/view?usp=drivesdk" TargetMode="External"/><Relationship Id="rId2277" Type="http://schemas.openxmlformats.org/officeDocument/2006/relationships/hyperlink" Target="https://drive.google.com/file/d/1NxD4srcP8NGAkHA1AWvYHXJLyf_l73EF/view?usp=drivesdk" TargetMode="External"/><Relationship Id="rId354" Type="http://schemas.openxmlformats.org/officeDocument/2006/relationships/hyperlink" Target="https://drive.google.com/file/d/1gI81Kj1u0dCWvY9mBZIdcFeqtg9ldYF2/view?usp=drivesdk" TargetMode="External"/><Relationship Id="rId2278" Type="http://schemas.openxmlformats.org/officeDocument/2006/relationships/hyperlink" Target="https://drive.google.com/file/d/1dE7-AS0QPxKoPMyquy5WhD3ojjC80SWY/view?usp=drivesdk" TargetMode="External"/><Relationship Id="rId353" Type="http://schemas.openxmlformats.org/officeDocument/2006/relationships/hyperlink" Target="https://drive.google.com/file/d/1Q4utWCMJXBj1rVJAIVm1NjQYRp_ZZD7Y/view?usp=drivesdk" TargetMode="External"/><Relationship Id="rId2279" Type="http://schemas.openxmlformats.org/officeDocument/2006/relationships/hyperlink" Target="https://drive.google.com/file/d/150VkxMJ6Qzq8PM52a6Vi7Y9e4ojtHPne/view?usp=drivesdk" TargetMode="External"/><Relationship Id="rId2225" Type="http://schemas.openxmlformats.org/officeDocument/2006/relationships/hyperlink" Target="https://drive.google.com/file/d/13vglHZTPgv6z9W5xPGWG5OyE_h91M3UK/view?usp=drivesdk" TargetMode="External"/><Relationship Id="rId2226" Type="http://schemas.openxmlformats.org/officeDocument/2006/relationships/hyperlink" Target="https://drive.google.com/file/d/1tExO9xgJVhPwCnVdP8xlqn7faKujVADN/view?usp=drivesdk" TargetMode="External"/><Relationship Id="rId2227" Type="http://schemas.openxmlformats.org/officeDocument/2006/relationships/hyperlink" Target="https://drive.google.com/file/d/1BtYypYyY-PzT4y8FLAgHXAyFQwMz4y2O/view?usp=drivesdk" TargetMode="External"/><Relationship Id="rId2228" Type="http://schemas.openxmlformats.org/officeDocument/2006/relationships/hyperlink" Target="https://drive.google.com/file/d/1KdKryH9Qx-Olx2xYcWf9zZPlU9JsWLmq/view?usp=drivesdk" TargetMode="External"/><Relationship Id="rId2229" Type="http://schemas.openxmlformats.org/officeDocument/2006/relationships/hyperlink" Target="https://drive.google.com/file/d/1Dm7RxWVN3iiT5GipgY8Gq3dl65EkIYDu/view?usp=drivesdk" TargetMode="External"/><Relationship Id="rId305" Type="http://schemas.openxmlformats.org/officeDocument/2006/relationships/hyperlink" Target="https://drive.google.com/file/d/1-Lhzzq9KjrRv22Rr_HTvtYU2IyQQela2/view?usp=drivesdk" TargetMode="External"/><Relationship Id="rId304" Type="http://schemas.openxmlformats.org/officeDocument/2006/relationships/hyperlink" Target="https://drive.google.com/file/d/1F0sZGq5X_UbY_KQwRgvQwUT6SLIMLzZK/view?usp=drivesdk" TargetMode="External"/><Relationship Id="rId303" Type="http://schemas.openxmlformats.org/officeDocument/2006/relationships/hyperlink" Target="https://drive.google.com/file/d/1o_gi-Pat05RlZE8GgtC5-4xu1505dF8Y/view?usp=drivesdk" TargetMode="External"/><Relationship Id="rId302" Type="http://schemas.openxmlformats.org/officeDocument/2006/relationships/hyperlink" Target="https://drive.google.com/file/d/1aWYLmux0U20GhHvoLidD-4y0F8MW8Bjc/view?usp=drivesdk" TargetMode="External"/><Relationship Id="rId309" Type="http://schemas.openxmlformats.org/officeDocument/2006/relationships/hyperlink" Target="https://drive.google.com/file/d/1XTk0Dj79cVp0cUkpk-g11B8k5bVu1aRp/view?usp=drivesdk" TargetMode="External"/><Relationship Id="rId308" Type="http://schemas.openxmlformats.org/officeDocument/2006/relationships/hyperlink" Target="https://drive.google.com/file/d/1X-6b6C2jqCLlB69Z0urRtA1EhjNXHCzQ/view?usp=drivesdk" TargetMode="External"/><Relationship Id="rId307" Type="http://schemas.openxmlformats.org/officeDocument/2006/relationships/hyperlink" Target="https://drive.google.com/file/d/1oGYeh9V0nFH0wwp11viZxGidPq5oejO2/view?usp=drivesdk" TargetMode="External"/><Relationship Id="rId306" Type="http://schemas.openxmlformats.org/officeDocument/2006/relationships/hyperlink" Target="https://drive.google.com/file/d/1lJX_uLqQTFzl3Dr9EVAYC6OFLvyy8w5u/view?usp=drivesdk" TargetMode="External"/><Relationship Id="rId2220" Type="http://schemas.openxmlformats.org/officeDocument/2006/relationships/hyperlink" Target="https://drive.google.com/file/d/1Eufb0NfIAz03c6rDvfbVDbjGjjReVYgi/view?usp=drivesdk" TargetMode="External"/><Relationship Id="rId301" Type="http://schemas.openxmlformats.org/officeDocument/2006/relationships/hyperlink" Target="https://drive.google.com/file/d/1WsxDtrRFRkWrCQttfA5OLOTbWi_mcyNb/view?usp=drivesdk" TargetMode="External"/><Relationship Id="rId2221" Type="http://schemas.openxmlformats.org/officeDocument/2006/relationships/hyperlink" Target="https://drive.google.com/file/d/10IpKBTm-TxBYPtbdDzTDyVDz6z5jT5CF/view?usp=drivesdk" TargetMode="External"/><Relationship Id="rId300" Type="http://schemas.openxmlformats.org/officeDocument/2006/relationships/hyperlink" Target="https://drive.google.com/file/d/1Q4HqMQUdO5fVqviBWpcKBVsk1Q0ud_BJ/view?usp=drivesdk" TargetMode="External"/><Relationship Id="rId2222" Type="http://schemas.openxmlformats.org/officeDocument/2006/relationships/hyperlink" Target="https://drive.google.com/file/d/1H6X8VsyVixAViuUZ-S2dfj2OJm-VwYrl/view?usp=drivesdk" TargetMode="External"/><Relationship Id="rId2223" Type="http://schemas.openxmlformats.org/officeDocument/2006/relationships/hyperlink" Target="https://drive.google.com/file/d/1-zejzHs_827BE5ay0BYTDFjpuHdy5VLk/view?usp=drivesdk" TargetMode="External"/><Relationship Id="rId2224" Type="http://schemas.openxmlformats.org/officeDocument/2006/relationships/hyperlink" Target="https://drive.google.com/file/d/1woJDHccS6Df_7DkKmeLElCzqxpjoRtns/view?usp=drivesdk" TargetMode="External"/><Relationship Id="rId2214" Type="http://schemas.openxmlformats.org/officeDocument/2006/relationships/hyperlink" Target="http://escholarship.org/uc/item/8p5673qn" TargetMode="External"/><Relationship Id="rId2215" Type="http://schemas.openxmlformats.org/officeDocument/2006/relationships/hyperlink" Target="https://drive.google.com/file/d/1lAHnrSuQxWM2CdT06_FM1GDBh9d6nNTe/view?usp=drivesdk" TargetMode="External"/><Relationship Id="rId2216" Type="http://schemas.openxmlformats.org/officeDocument/2006/relationships/hyperlink" Target="http://escholarship.org/uc/item/0qf9t9pc" TargetMode="External"/><Relationship Id="rId2217" Type="http://schemas.openxmlformats.org/officeDocument/2006/relationships/hyperlink" Target="https://drive.google.com/file/d/1vzu_sqHQexZD23Pac-duPSmK-pGIptlf/view?usp=drivesdk" TargetMode="External"/><Relationship Id="rId2218" Type="http://schemas.openxmlformats.org/officeDocument/2006/relationships/hyperlink" Target="https://drive.google.com/file/d/1xNa3snr_hhHjS7pnwFaA2tVxjB_0VvqW/view?usp=drivesdk" TargetMode="External"/><Relationship Id="rId2219" Type="http://schemas.openxmlformats.org/officeDocument/2006/relationships/hyperlink" Target="https://drive.google.com/file/d/1TtkPI6YvV3JyoWKI8Z0FTVrehrNka7__/view?usp=drivesdk" TargetMode="External"/><Relationship Id="rId2210" Type="http://schemas.openxmlformats.org/officeDocument/2006/relationships/hyperlink" Target="https://drive.google.com/file/d/1mh0lOHypF2E9Nk9sQ57YmqKyEOyrqka8/view?usp=drivesdk" TargetMode="External"/><Relationship Id="rId2211" Type="http://schemas.openxmlformats.org/officeDocument/2006/relationships/hyperlink" Target="https://drive.google.com/file/d/1hH6qE7kthoMhFZY570jnJq1nWfRd0uo-/view?usp=drivesdk" TargetMode="External"/><Relationship Id="rId2212" Type="http://schemas.openxmlformats.org/officeDocument/2006/relationships/hyperlink" Target="https://drive.google.com/file/d/1h26KXyOgQpabChNDwArC5YlDBW4_cfve/view?usp=drivesdk" TargetMode="External"/><Relationship Id="rId2213" Type="http://schemas.openxmlformats.org/officeDocument/2006/relationships/hyperlink" Target="https://drive.google.com/file/d/1BfaybP8V5w-BiT0TlcUAV03BKBkfzWla/view?usp=drivesdk" TargetMode="External"/><Relationship Id="rId2247" Type="http://schemas.openxmlformats.org/officeDocument/2006/relationships/hyperlink" Target="https://drive.google.com/file/d/1rAL0rmM0jbf9S7uX5DiL77r3bNeTGrOY/view?usp=drivesdk" TargetMode="External"/><Relationship Id="rId2248" Type="http://schemas.openxmlformats.org/officeDocument/2006/relationships/hyperlink" Target="https://drive.google.com/file/d/1NV42SOubbZFwoBVl2IhhGw3jTa6CF1Ns/view?usp=drivesdk" TargetMode="External"/><Relationship Id="rId2249" Type="http://schemas.openxmlformats.org/officeDocument/2006/relationships/hyperlink" Target="https://drive.google.com/file/d/1Oai9bOqOxT4qWyEsbh965271cRgAplwZ/view?usp=drivesdk" TargetMode="External"/><Relationship Id="rId327" Type="http://schemas.openxmlformats.org/officeDocument/2006/relationships/hyperlink" Target="https://drive.google.com/file/d/1s69aQI-0IM0vLTu3bML2mU_QbATlOmhu/view?usp=drivesdk" TargetMode="External"/><Relationship Id="rId326" Type="http://schemas.openxmlformats.org/officeDocument/2006/relationships/hyperlink" Target="https://drive.google.com/file/d/1mBzFBCsE1vm3CKMKVrFptlCXm7WZIBky/view?usp=drivesdk" TargetMode="External"/><Relationship Id="rId325" Type="http://schemas.openxmlformats.org/officeDocument/2006/relationships/hyperlink" Target="https://drive.google.com/file/d/1v7zu6XbXRHoXs-7JSP25VGVnsNP6A_jX/view?usp=drivesdk" TargetMode="External"/><Relationship Id="rId324" Type="http://schemas.openxmlformats.org/officeDocument/2006/relationships/hyperlink" Target="https://drive.google.com/file/d/1P_pRgTFBMoidfvsn5tY3n7SBVWvENXXn/view?usp=drivesdk" TargetMode="External"/><Relationship Id="rId329" Type="http://schemas.openxmlformats.org/officeDocument/2006/relationships/hyperlink" Target="https://drive.google.com/file/d/1chHae6x11SjPt64gW5U6i3iq8hgn5ATd/view?usp=drivesdk" TargetMode="External"/><Relationship Id="rId328" Type="http://schemas.openxmlformats.org/officeDocument/2006/relationships/hyperlink" Target="https://drive.google.com/file/d/15mQBh3vsD8URQi3Ev_kwyXaqmnl0cao8/view?usp=drivesdk" TargetMode="External"/><Relationship Id="rId2240" Type="http://schemas.openxmlformats.org/officeDocument/2006/relationships/hyperlink" Target="https://drive.google.com/file/d/11AH2LlIZsd9ZFfFjWFxFf5MBHzmbtt8i/view?usp=drivesdk" TargetMode="External"/><Relationship Id="rId2241" Type="http://schemas.openxmlformats.org/officeDocument/2006/relationships/hyperlink" Target="https://drive.google.com/file/d/1nf6pGq8hq9bbyslYCmBnDq_ApL1IsSNI/view?usp=drivesdk" TargetMode="External"/><Relationship Id="rId2242" Type="http://schemas.openxmlformats.org/officeDocument/2006/relationships/hyperlink" Target="https://drive.google.com/file/d/1s-fD3MM9Vafr2eJtS0aNAfCBK-RY3Yo-/view?usp=drivesdk" TargetMode="External"/><Relationship Id="rId323" Type="http://schemas.openxmlformats.org/officeDocument/2006/relationships/hyperlink" Target="https://drive.google.com/file/d/1518u5815iOo80zbyuz9-kHkquWxNxpad/view?usp=drivesdk" TargetMode="External"/><Relationship Id="rId2243" Type="http://schemas.openxmlformats.org/officeDocument/2006/relationships/hyperlink" Target="https://drive.google.com/file/d/1QkWM8jiVqpN5vc_zuD8HexJx-ED2mGF0/view?usp=drivesdk" TargetMode="External"/><Relationship Id="rId322" Type="http://schemas.openxmlformats.org/officeDocument/2006/relationships/hyperlink" Target="https://drive.google.com/file/d/1QtfRoYfCEgN8kW9kfpa9E4HE5zVA3kwh/view?usp=drivesdk" TargetMode="External"/><Relationship Id="rId2244" Type="http://schemas.openxmlformats.org/officeDocument/2006/relationships/hyperlink" Target="https://drive.google.com/file/d/1H6qRZ24gIkLnBRWVbjI2jgKRf4KnrPQh/view?usp=drivesdk" TargetMode="External"/><Relationship Id="rId321" Type="http://schemas.openxmlformats.org/officeDocument/2006/relationships/hyperlink" Target="https://drive.google.com/file/d/17e6qF1_VMvgfLa4Xv9IPbs5MFwrhjmSP/view?usp=drivesdk" TargetMode="External"/><Relationship Id="rId2245" Type="http://schemas.openxmlformats.org/officeDocument/2006/relationships/hyperlink" Target="https://drive.google.com/file/d/1EKnIsw-dolmmk1-6Kle0hKb5-wtcqfmw/view?usp=drivesdk" TargetMode="External"/><Relationship Id="rId320" Type="http://schemas.openxmlformats.org/officeDocument/2006/relationships/hyperlink" Target="https://drive.google.com/file/d/1W0xu5YzAKPDJ2AuD8Ik22civDGZ0Q6VX/view?usp=drivesdk" TargetMode="External"/><Relationship Id="rId2246" Type="http://schemas.openxmlformats.org/officeDocument/2006/relationships/hyperlink" Target="https://drive.google.com/file/d/1gOWd02cezb5MHlIvhprXv-TgaFt5Ij8f/view?usp=drivesdk" TargetMode="External"/><Relationship Id="rId2236" Type="http://schemas.openxmlformats.org/officeDocument/2006/relationships/hyperlink" Target="https://drive.google.com/file/d/1L-LARd7ZRX1JGh3UR9K0BHsrkgo2wADv/view?usp=drivesdk" TargetMode="External"/><Relationship Id="rId2237" Type="http://schemas.openxmlformats.org/officeDocument/2006/relationships/hyperlink" Target="https://drive.google.com/file/d/19ZhWLN_zymp-mzX14YC7jEv-MHZn0Qb4/view?usp=drivesdk" TargetMode="External"/><Relationship Id="rId2238" Type="http://schemas.openxmlformats.org/officeDocument/2006/relationships/hyperlink" Target="https://drive.google.com/file/d/1bkTnTMpWLlh3SgTVNkQvjTSRhQmvFwtP/view?usp=drivesdk" TargetMode="External"/><Relationship Id="rId2239" Type="http://schemas.openxmlformats.org/officeDocument/2006/relationships/hyperlink" Target="https://drive.google.com/file/d/1MSm1yoidPn8M-5atsMIFyyg354c4jcsA/view?usp=drivesdk" TargetMode="External"/><Relationship Id="rId316" Type="http://schemas.openxmlformats.org/officeDocument/2006/relationships/hyperlink" Target="https://drive.google.com/file/d/1wWXyXYtJ4DQfvQnS8MOu18ThLCF7elMp/view?usp=drivesdk" TargetMode="External"/><Relationship Id="rId315" Type="http://schemas.openxmlformats.org/officeDocument/2006/relationships/hyperlink" Target="https://drive.google.com/file/d/1OEKtffSTFiXq5s3wLrvuxat7FMfx2aB4/view?usp=drivesdk" TargetMode="External"/><Relationship Id="rId314" Type="http://schemas.openxmlformats.org/officeDocument/2006/relationships/hyperlink" Target="https://drive.google.com/file/d/1IT7jjcf9J3PwVo0SiLbD1-_kgao0Lls3/view?usp=drivesdk" TargetMode="External"/><Relationship Id="rId313" Type="http://schemas.openxmlformats.org/officeDocument/2006/relationships/hyperlink" Target="https://drive.google.com/file/d/1s26m-98VmwIJwxMC-Tm7qt1TA0dRKbhZ/view?usp=drivesdk" TargetMode="External"/><Relationship Id="rId319" Type="http://schemas.openxmlformats.org/officeDocument/2006/relationships/hyperlink" Target="https://drive.google.com/file/d/1xTXT5XPhZrilG-fLyyYegJ8wHBpiban_/view?usp=drivesdk" TargetMode="External"/><Relationship Id="rId318" Type="http://schemas.openxmlformats.org/officeDocument/2006/relationships/hyperlink" Target="https://drive.google.com/file/d/1RPVjb6dAsE-e8x9z9QTHxbx-zkpvNcIg/view?usp=drivesdk" TargetMode="External"/><Relationship Id="rId317" Type="http://schemas.openxmlformats.org/officeDocument/2006/relationships/hyperlink" Target="https://drive.google.com/file/d/1kFuZ0XixFtPIX9hTbUTTCzKnnWeeZYDf/view?usp=drivesdk" TargetMode="External"/><Relationship Id="rId2230" Type="http://schemas.openxmlformats.org/officeDocument/2006/relationships/hyperlink" Target="https://drive.google.com/file/d/1R2VrRXYyejGfSg11kpe_vHbQr5DvYbiJ/view?usp=drivesdk" TargetMode="External"/><Relationship Id="rId2231" Type="http://schemas.openxmlformats.org/officeDocument/2006/relationships/hyperlink" Target="https://drive.google.com/file/d/1hFEIf9480JaK6TvFzb55CWH_AxeInkTB/view?usp=drivesdk" TargetMode="External"/><Relationship Id="rId312" Type="http://schemas.openxmlformats.org/officeDocument/2006/relationships/hyperlink" Target="https://drive.google.com/file/d/12qCiKv6J4SgfX_pd5fuvCVNxmM3skl1d/view?usp=drivesdk" TargetMode="External"/><Relationship Id="rId2232" Type="http://schemas.openxmlformats.org/officeDocument/2006/relationships/hyperlink" Target="https://drive.google.com/file/d/1XHPKfkBsPhF-1p8BH_npxrU-1vPB8MEe/view?usp=drivesdk" TargetMode="External"/><Relationship Id="rId311" Type="http://schemas.openxmlformats.org/officeDocument/2006/relationships/hyperlink" Target="https://drive.google.com/file/d/1lE_G5W7x7KUXTWGKisDTd3tKAHM9mZYV/view?usp=drivesdk" TargetMode="External"/><Relationship Id="rId2233" Type="http://schemas.openxmlformats.org/officeDocument/2006/relationships/hyperlink" Target="https://drive.google.com/file/d/14JiPB9PULLRpSMDZtQ3_0LhPcWDH6OCz/view?usp=drivesdk" TargetMode="External"/><Relationship Id="rId310" Type="http://schemas.openxmlformats.org/officeDocument/2006/relationships/hyperlink" Target="https://drive.google.com/file/d/1xDh1FZEI5wPBK7K_THUMUiu2sVx9jg-D/view?usp=drivesdk" TargetMode="External"/><Relationship Id="rId2234" Type="http://schemas.openxmlformats.org/officeDocument/2006/relationships/hyperlink" Target="https://drive.google.com/file/d/10fOdFQUiEeA-wgKC0-KooJXci0dSR4z2/view?usp=drivesdk" TargetMode="External"/><Relationship Id="rId2235" Type="http://schemas.openxmlformats.org/officeDocument/2006/relationships/hyperlink" Target="https://drive.google.com/file/d/1NhDoKUWqFTe51Dk7ZjfZTxJFNUFzigwr/view?usp=drivesdk" TargetMode="External"/><Relationship Id="rId297" Type="http://schemas.openxmlformats.org/officeDocument/2006/relationships/hyperlink" Target="https://drive.google.com/file/d/1eLjPcdaaph61B69dnjf7n3TPsp3pQImO/view?usp=drivesdk" TargetMode="External"/><Relationship Id="rId296" Type="http://schemas.openxmlformats.org/officeDocument/2006/relationships/hyperlink" Target="https://drive.google.com/file/d/1lFSpRq1xHgoM0q1hb9HwfhqHZUWDBJI2/view?usp=drivesdk" TargetMode="External"/><Relationship Id="rId295" Type="http://schemas.openxmlformats.org/officeDocument/2006/relationships/hyperlink" Target="https://drive.google.com/file/d/1A5kY0NZUcTDsUX0GIYmEQu9DloCIrtOV/view?usp=drivesdk" TargetMode="External"/><Relationship Id="rId294" Type="http://schemas.openxmlformats.org/officeDocument/2006/relationships/hyperlink" Target="https://drive.google.com/file/d/1K58B4V5Ou9RiaXJ1Ce9vgK1rUcyszuQm/view?usp=drivesdk" TargetMode="External"/><Relationship Id="rId299" Type="http://schemas.openxmlformats.org/officeDocument/2006/relationships/hyperlink" Target="https://drive.google.com/file/d/1hWitN9UHyWx3G-z2BBqNPGwMWtgm8Fkb/view?usp=drivesdk" TargetMode="External"/><Relationship Id="rId298" Type="http://schemas.openxmlformats.org/officeDocument/2006/relationships/hyperlink" Target="https://drive.google.com/file/d/1VqbgfPvzolVGqgwodZvMt3H9Gv5veDzP/view?usp=drivesdk" TargetMode="External"/><Relationship Id="rId271" Type="http://schemas.openxmlformats.org/officeDocument/2006/relationships/hyperlink" Target="https://drive.google.com/file/d/1wgTGpXIh5XlRUTxUzQRZuRuv1CTMeUIB/view?usp=drivesdk" TargetMode="External"/><Relationship Id="rId270" Type="http://schemas.openxmlformats.org/officeDocument/2006/relationships/hyperlink" Target="https://drive.google.com/file/d/1n6_hQ20znAbm4NDSyc3vZJdM4JMIuTMi/view?usp=drivesdk" TargetMode="External"/><Relationship Id="rId269" Type="http://schemas.openxmlformats.org/officeDocument/2006/relationships/hyperlink" Target="https://drive.google.com/file/d/1IljoOGZ-HUpTLTwH3iIX3f8RbbZMpIsD/view?usp=drivesdk" TargetMode="External"/><Relationship Id="rId264" Type="http://schemas.openxmlformats.org/officeDocument/2006/relationships/hyperlink" Target="https://drive.google.com/file/d/1IYnrX5aD6i8wchcuh0awE3qvnuaVBJbF/view?usp=drivesdk" TargetMode="External"/><Relationship Id="rId263" Type="http://schemas.openxmlformats.org/officeDocument/2006/relationships/hyperlink" Target="https://drive.google.com/file/d/1MUeEaq8UQodJfzv8dgpiDvz5tgiTMCld/view?usp=drivesdk" TargetMode="External"/><Relationship Id="rId262" Type="http://schemas.openxmlformats.org/officeDocument/2006/relationships/hyperlink" Target="https://drive.google.com/file/d/1jwIV77IGytt0vdCVn85l2Ck7J0Xxuzty/view?usp=drivesdk" TargetMode="External"/><Relationship Id="rId261" Type="http://schemas.openxmlformats.org/officeDocument/2006/relationships/hyperlink" Target="https://drive.google.com/file/d/1Okch4CdpQseHg6V3zCFb8EZ13ZiRjRip/view?usp=drivesdk" TargetMode="External"/><Relationship Id="rId268" Type="http://schemas.openxmlformats.org/officeDocument/2006/relationships/hyperlink" Target="https://drive.google.com/file/d/1nBZAexBcFDwwKyytvOGDx82XpIytW9lp/view?usp=drivesdk" TargetMode="External"/><Relationship Id="rId267" Type="http://schemas.openxmlformats.org/officeDocument/2006/relationships/hyperlink" Target="https://drive.google.com/file/d/1FXttfmbPjL67WUzdvG7g0eM_rqlHCtLg/view?usp=drivesdk" TargetMode="External"/><Relationship Id="rId266" Type="http://schemas.openxmlformats.org/officeDocument/2006/relationships/hyperlink" Target="https://drive.google.com/file/d/1By_gwM-tIIz6Ru3DTPnNc_dIysGLSSGp/view?usp=drivesdk" TargetMode="External"/><Relationship Id="rId265" Type="http://schemas.openxmlformats.org/officeDocument/2006/relationships/hyperlink" Target="https://drive.google.com/file/d/1VLvHZtMfM11_FVSV9-MtpVicGoGnQHpg/view?usp=drivesdk" TargetMode="External"/><Relationship Id="rId260" Type="http://schemas.openxmlformats.org/officeDocument/2006/relationships/hyperlink" Target="https://drive.google.com/file/d/1FH6CpgRwWdADxlzZhDP6QyZlgA6XX3S1/view?usp=drivesdk" TargetMode="External"/><Relationship Id="rId259" Type="http://schemas.openxmlformats.org/officeDocument/2006/relationships/hyperlink" Target="https://drive.google.com/file/d/1BDNupSttqVO-yRP9PRoNI-IgtI8b71aQ/view?usp=drivesdk" TargetMode="External"/><Relationship Id="rId258" Type="http://schemas.openxmlformats.org/officeDocument/2006/relationships/hyperlink" Target="https://drive.google.com/file/d/1k1DJhy2X3Nv4xlnIcIJYFR0kSmaMcgXD/view?usp=drivesdk" TargetMode="External"/><Relationship Id="rId2290" Type="http://schemas.openxmlformats.org/officeDocument/2006/relationships/hyperlink" Target="https://drive.google.com/file/d/19H8UbfRLvZEql0tCt59611gSkSLUCmKs/view?usp=drivesdk" TargetMode="External"/><Relationship Id="rId2291" Type="http://schemas.openxmlformats.org/officeDocument/2006/relationships/hyperlink" Target="https://drive.google.com/file/d/1V8lTfv6HJ8IMLiB5gYCuvj2XX1Nry6fh/view?usp=drivesdk" TargetMode="External"/><Relationship Id="rId2292" Type="http://schemas.openxmlformats.org/officeDocument/2006/relationships/hyperlink" Target="https://drive.google.com/file/d/1NP74FAQ4UheeZ68AMDXl3P1f72HLwpaT/view?usp=drivesdk" TargetMode="External"/><Relationship Id="rId2293" Type="http://schemas.openxmlformats.org/officeDocument/2006/relationships/hyperlink" Target="https://drive.google.com/file/d/1ks4sYhMyRxNwDVYxivPVczl4gI-dQ94P/view?usp=drivesdk" TargetMode="External"/><Relationship Id="rId253" Type="http://schemas.openxmlformats.org/officeDocument/2006/relationships/hyperlink" Target="https://drive.google.com/file/d/1gXPYlXRF5WvLBhevKmNpXKayL_LwNiy7/view?usp=drivesdk" TargetMode="External"/><Relationship Id="rId2294" Type="http://schemas.openxmlformats.org/officeDocument/2006/relationships/hyperlink" Target="https://drive.google.com/file/d/1cJsRXmvKPQ7GPC_cm_Airo5Y-ih6oB2j/view?usp=drivesdk" TargetMode="External"/><Relationship Id="rId252" Type="http://schemas.openxmlformats.org/officeDocument/2006/relationships/hyperlink" Target="https://drive.google.com/file/d/1b5id8Z2_uP76pWjVUJRT44mCTshhg-_7/view?usp=drivesdk" TargetMode="External"/><Relationship Id="rId2295" Type="http://schemas.openxmlformats.org/officeDocument/2006/relationships/hyperlink" Target="https://drive.google.com/file/d/1k_T4Rme4laOqj4FFVCtLFL6sVGJsx86a/view?usp=drivesdk" TargetMode="External"/><Relationship Id="rId251" Type="http://schemas.openxmlformats.org/officeDocument/2006/relationships/hyperlink" Target="https://drive.google.com/file/d/1kC_R-_InTxLi72opkKV_tpg8fncE4hcZ/view?usp=drivesdk" TargetMode="External"/><Relationship Id="rId2296" Type="http://schemas.openxmlformats.org/officeDocument/2006/relationships/hyperlink" Target="https://drive.google.com/file/d/1oiaWpVjzIMfjLRO9E_LEl1ivIhgYJxRz/view?usp=drivesdk" TargetMode="External"/><Relationship Id="rId250" Type="http://schemas.openxmlformats.org/officeDocument/2006/relationships/hyperlink" Target="https://drive.google.com/file/d/1Wu37bIilIEhyFAd60cmUu4U-LvXfjohq/view?usp=drivesdk" TargetMode="External"/><Relationship Id="rId2297" Type="http://schemas.openxmlformats.org/officeDocument/2006/relationships/hyperlink" Target="https://drive.google.com/file/d/1WbrVaSPfdqLt24QFCNSjDPwq7kVE4TDC/view?usp=drivesdk" TargetMode="External"/><Relationship Id="rId257" Type="http://schemas.openxmlformats.org/officeDocument/2006/relationships/hyperlink" Target="https://drive.google.com/file/d/1TkKAz9ljo3bjXZxQT4NYRm51bs1H53VS/view?usp=drivesdk" TargetMode="External"/><Relationship Id="rId2298" Type="http://schemas.openxmlformats.org/officeDocument/2006/relationships/hyperlink" Target="https://drive.google.com/file/d/1ANlIZ7j6kBtYmK7zjvKHJDP4NHDfNeu0/view?usp=drivesdk" TargetMode="External"/><Relationship Id="rId256" Type="http://schemas.openxmlformats.org/officeDocument/2006/relationships/hyperlink" Target="https://drive.google.com/file/d/1D-gx9_DJR6Y8nE3CXK_4SkpcjTBkkore/view?usp=drivesdk" TargetMode="External"/><Relationship Id="rId2299" Type="http://schemas.openxmlformats.org/officeDocument/2006/relationships/hyperlink" Target="https://drive.google.com/file/d/12pcrWT7rv8KHcTckp1mVzESreAZAMuLd/view?usp=drivesdk" TargetMode="External"/><Relationship Id="rId255" Type="http://schemas.openxmlformats.org/officeDocument/2006/relationships/hyperlink" Target="https://drive.google.com/file/d/1iIxek-inhm9WSs05oxEzZikjb_99YErj/view?usp=drivesdk" TargetMode="External"/><Relationship Id="rId254" Type="http://schemas.openxmlformats.org/officeDocument/2006/relationships/hyperlink" Target="https://drive.google.com/file/d/1SFKJngNaXEig3hdDO4p6wklI3cupf_yz/view?usp=drivesdk" TargetMode="External"/><Relationship Id="rId293" Type="http://schemas.openxmlformats.org/officeDocument/2006/relationships/hyperlink" Target="https://drive.google.com/file/d/1vpqXtXD2DmRq57y0qe-bZumNIuktnNc8/view?usp=drivesdk" TargetMode="External"/><Relationship Id="rId292" Type="http://schemas.openxmlformats.org/officeDocument/2006/relationships/hyperlink" Target="https://drive.google.com/file/d/1Sf8fr80rdM2vDylr3ynXaY7lG38m55Lb/view?usp=drivesdk" TargetMode="External"/><Relationship Id="rId291" Type="http://schemas.openxmlformats.org/officeDocument/2006/relationships/hyperlink" Target="https://drive.google.com/file/d/1Iri-BlPzXpppvedBgL332wuNWoKl3GBi/view?usp=drivesdk" TargetMode="External"/><Relationship Id="rId290" Type="http://schemas.openxmlformats.org/officeDocument/2006/relationships/hyperlink" Target="https://drive.google.com/file/d/1NXncVzKi4au9cliVWtR6PiThfUO3JXlu/view?usp=drivesdk" TargetMode="External"/><Relationship Id="rId286" Type="http://schemas.openxmlformats.org/officeDocument/2006/relationships/hyperlink" Target="https://drive.google.com/file/d/1nzuwT8bxt2R4p9dSgyGk2nA_IyFvM8mx/view?usp=drivesdk" TargetMode="External"/><Relationship Id="rId285" Type="http://schemas.openxmlformats.org/officeDocument/2006/relationships/hyperlink" Target="https://drive.google.com/file/d/1U4En_0sRIgGMtR_aeXkIGVEdeF7aDoTt/view?usp=drivesdk" TargetMode="External"/><Relationship Id="rId284" Type="http://schemas.openxmlformats.org/officeDocument/2006/relationships/hyperlink" Target="https://drive.google.com/file/d/1lPIN90Oxm68BObKRk2JvLMusl4eYjWaV/view?usp=drivesdk" TargetMode="External"/><Relationship Id="rId283" Type="http://schemas.openxmlformats.org/officeDocument/2006/relationships/hyperlink" Target="https://drive.google.com/file/d/1-AYmO0YcwlXM4iwg187p4Ut7JCPIAcHu/view?usp=drivesdk" TargetMode="External"/><Relationship Id="rId289" Type="http://schemas.openxmlformats.org/officeDocument/2006/relationships/hyperlink" Target="https://drive.google.com/file/d/1NhqsWF1BsSsBVIu4_fRaegF1rny4CPsS/view?usp=drivesdk" TargetMode="External"/><Relationship Id="rId288" Type="http://schemas.openxmlformats.org/officeDocument/2006/relationships/hyperlink" Target="https://drive.google.com/file/d/1zM8dzZzToiGYepDqSVoRfRTAj0xB2uoz/view?usp=drivesdk" TargetMode="External"/><Relationship Id="rId287" Type="http://schemas.openxmlformats.org/officeDocument/2006/relationships/hyperlink" Target="https://drive.google.com/file/d/1v1Ke66IwX2Opi8e30nt9-JKJg55ehgW6/view?usp=drivesdk" TargetMode="External"/><Relationship Id="rId282" Type="http://schemas.openxmlformats.org/officeDocument/2006/relationships/hyperlink" Target="https://drive.google.com/file/d/17U9RMLqGCEBrogjDtefhjwPoPQI0EHQS/view?usp=drivesdk" TargetMode="External"/><Relationship Id="rId281" Type="http://schemas.openxmlformats.org/officeDocument/2006/relationships/hyperlink" Target="https://drive.google.com/file/d/1eC3ImDX6vCsruBUdhf-InV8MxKa86ca9/view?usp=drivesdk" TargetMode="External"/><Relationship Id="rId280" Type="http://schemas.openxmlformats.org/officeDocument/2006/relationships/hyperlink" Target="https://drive.google.com/file/d/1TYOhaEz5YA4ymkP4vRgmQmI2Gpkyh7kI/view?usp=drivesdk" TargetMode="External"/><Relationship Id="rId275" Type="http://schemas.openxmlformats.org/officeDocument/2006/relationships/hyperlink" Target="https://drive.google.com/file/d/1_QxdHmD6p0LMdFFkPDlXNxwaCVmyY8Ws/view?usp=drivesdk" TargetMode="External"/><Relationship Id="rId274" Type="http://schemas.openxmlformats.org/officeDocument/2006/relationships/hyperlink" Target="https://drive.google.com/file/d/1Oyx0pc8ZVlTprGgUt7_fOBA87xjOPHOd/view?usp=drivesdk" TargetMode="External"/><Relationship Id="rId273" Type="http://schemas.openxmlformats.org/officeDocument/2006/relationships/hyperlink" Target="https://drive.google.com/file/d/1DkbIC4OUAbkUdfr8DLk4gtUOeZoou4Qx/view?usp=drivesdk" TargetMode="External"/><Relationship Id="rId272" Type="http://schemas.openxmlformats.org/officeDocument/2006/relationships/hyperlink" Target="https://drive.google.com/file/d/1wfPA0fmENt-tXV4XaCTB_AwPr9RmUvNH/view?usp=drivesdk" TargetMode="External"/><Relationship Id="rId279" Type="http://schemas.openxmlformats.org/officeDocument/2006/relationships/hyperlink" Target="https://drive.google.com/file/d/1H5kmXn2jT9V_CTV9u2e0PVKO4jeKLaHx/view?usp=drivesdk" TargetMode="External"/><Relationship Id="rId278" Type="http://schemas.openxmlformats.org/officeDocument/2006/relationships/hyperlink" Target="https://drive.google.com/file/d/1EYj-AJ9FNNmlYCeK1jXlxcdlU8yoEf8U/view?usp=drivesdk" TargetMode="External"/><Relationship Id="rId277" Type="http://schemas.openxmlformats.org/officeDocument/2006/relationships/hyperlink" Target="https://drive.google.com/file/d/19N8pwZMy0LVwDbLIUF-zXafkfJMueuzz/view?usp=drivesdk" TargetMode="External"/><Relationship Id="rId276" Type="http://schemas.openxmlformats.org/officeDocument/2006/relationships/hyperlink" Target="https://drive.google.com/file/d/15E2a1NUuWmWK9ru9qEUqy-mh-BWvSM-V/view?usp=drivesdk" TargetMode="External"/><Relationship Id="rId1851" Type="http://schemas.openxmlformats.org/officeDocument/2006/relationships/hyperlink" Target="https://drive.google.com/file/d/1p0fL8mIok72waO4C-1fbLD8yHvBp2mr3/view?usp=drivesdk" TargetMode="External"/><Relationship Id="rId1852" Type="http://schemas.openxmlformats.org/officeDocument/2006/relationships/hyperlink" Target="https://drive.google.com/file/d/1LfQ73kQWPV7KpOSIJxFvAF1LaP-iQAW_/view?usp=drivesdk" TargetMode="External"/><Relationship Id="rId1853" Type="http://schemas.openxmlformats.org/officeDocument/2006/relationships/hyperlink" Target="https://drive.google.com/file/d/1wHAtjOgCu-cvH6R6z6Dncg0MyDPv9DBr/view?usp=drivesdk" TargetMode="External"/><Relationship Id="rId1854" Type="http://schemas.openxmlformats.org/officeDocument/2006/relationships/hyperlink" Target="https://drive.google.com/file/d/1-k-r-v5_nRx62ESkr8l1LXmJ__KwJw-E/view?usp=drivesdk" TargetMode="External"/><Relationship Id="rId1855" Type="http://schemas.openxmlformats.org/officeDocument/2006/relationships/hyperlink" Target="https://drive.google.com/file/d/18lTtr2PaagFl9Dx2Fj1CQX4Y5tFnS3-G/view?usp=drivesdk" TargetMode="External"/><Relationship Id="rId1856" Type="http://schemas.openxmlformats.org/officeDocument/2006/relationships/hyperlink" Target="https://drive.google.com/file/d/1e7uwhmg4WfBHboBpLfEjOvwaRDuWE6yP/view?usp=drivesdk" TargetMode="External"/><Relationship Id="rId1857" Type="http://schemas.openxmlformats.org/officeDocument/2006/relationships/hyperlink" Target="https://drive.google.com/file/d/1Hbaj4soNoRer2LexyrCcG27zgcEO-WRP/view?usp=drivesdk" TargetMode="External"/><Relationship Id="rId1858" Type="http://schemas.openxmlformats.org/officeDocument/2006/relationships/hyperlink" Target="https://drive.google.com/file/d/1QKNLq74KH1Q68hjyhxCeyjSmCHkUJXwb/view?usp=drivesdk" TargetMode="External"/><Relationship Id="rId1859" Type="http://schemas.openxmlformats.org/officeDocument/2006/relationships/hyperlink" Target="https://drive.google.com/file/d/1SJEY-x4wa_wDRqvN70ZyfGEV1oV8EsNy/view?usp=drivesdk" TargetMode="External"/><Relationship Id="rId1850" Type="http://schemas.openxmlformats.org/officeDocument/2006/relationships/hyperlink" Target="https://drive.google.com/file/d/1X2kQvhIhMfV3I9kfQvqMKBJg7CY7B8IR/view?usp=drivesdk" TargetMode="External"/><Relationship Id="rId1840" Type="http://schemas.openxmlformats.org/officeDocument/2006/relationships/hyperlink" Target="https://drive.google.com/file/d/1SH8bEWkApCXuWDb-OQ37ytGhPIgVUVKv/view?usp=drivesdk" TargetMode="External"/><Relationship Id="rId1841" Type="http://schemas.openxmlformats.org/officeDocument/2006/relationships/hyperlink" Target="https://drive.google.com/file/d/1sBNrDZpWPCVxuOMHZk6G4ve2uMzdW0GR/view?usp=drivesdk" TargetMode="External"/><Relationship Id="rId1842" Type="http://schemas.openxmlformats.org/officeDocument/2006/relationships/hyperlink" Target="https://drive.google.com/file/d/1qjBC8rrE7PwCov9BjhlcqTser32l4tZA/view?usp=drivesdk" TargetMode="External"/><Relationship Id="rId1843" Type="http://schemas.openxmlformats.org/officeDocument/2006/relationships/hyperlink" Target="https://drive.google.com/file/d/1mXZlzeA7ImaWHW-1-dp8XLcO6q1dPoDC/view?usp=drivesdk" TargetMode="External"/><Relationship Id="rId1844" Type="http://schemas.openxmlformats.org/officeDocument/2006/relationships/hyperlink" Target="https://drive.google.com/file/d/1ZaI86uPaa7baLDKCDC8aFHiq1TG_6U8e/view?usp=drivesdk" TargetMode="External"/><Relationship Id="rId1845" Type="http://schemas.openxmlformats.org/officeDocument/2006/relationships/hyperlink" Target="https://drive.google.com/file/d/1Drm8TiIplc2xWctkqkp7RXI61YfnBmqO/view?usp=drivesdk" TargetMode="External"/><Relationship Id="rId1846" Type="http://schemas.openxmlformats.org/officeDocument/2006/relationships/hyperlink" Target="https://drive.google.com/file/d/17h6af7wzwkF4QRsTz2RzBpcXSmTayY4g/view?usp=drivesdk" TargetMode="External"/><Relationship Id="rId1847" Type="http://schemas.openxmlformats.org/officeDocument/2006/relationships/hyperlink" Target="https://drive.google.com/file/d/1jA-l6wf88uMNXff3Yy2B20CKvW2xN9el/view?usp=drivesdk" TargetMode="External"/><Relationship Id="rId1848" Type="http://schemas.openxmlformats.org/officeDocument/2006/relationships/hyperlink" Target="https://drive.google.com/file/d/11Hg2Sukzbg5o6HDk3g_yQxPDnJtw-nua/view?usp=drivesdk" TargetMode="External"/><Relationship Id="rId1849" Type="http://schemas.openxmlformats.org/officeDocument/2006/relationships/hyperlink" Target="https://drive.google.com/file/d/1uBYDPVKKupHGmpRbPGmpO5zE11kyQ26l/view?usp=drivesdk" TargetMode="External"/><Relationship Id="rId1873" Type="http://schemas.openxmlformats.org/officeDocument/2006/relationships/hyperlink" Target="https://drive.google.com/file/d/1xUH4wxkipPc8Kas_WlJgtBKgVF5A6I4J/view?usp=drivesdk" TargetMode="External"/><Relationship Id="rId1874" Type="http://schemas.openxmlformats.org/officeDocument/2006/relationships/hyperlink" Target="https://drive.google.com/file/d/1BqL8Nw6PSYuS16ysmE6vXi0eI09OG5ne/view?usp=drivesdk" TargetMode="External"/><Relationship Id="rId1875" Type="http://schemas.openxmlformats.org/officeDocument/2006/relationships/hyperlink" Target="https://drive.google.com/file/d/1Wz8QT5hG7UNmKNIGagdQfvGJIGaLqvL7/view?usp=drivesdk" TargetMode="External"/><Relationship Id="rId1876" Type="http://schemas.openxmlformats.org/officeDocument/2006/relationships/hyperlink" Target="https://drive.google.com/file/d/1K2zHMlHPam78S5DkPpEMV2Ne6_sMuV0c/view?usp=drivesdk" TargetMode="External"/><Relationship Id="rId1877" Type="http://schemas.openxmlformats.org/officeDocument/2006/relationships/hyperlink" Target="https://drive.google.com/file/d/1YuPgvt-CwvvxVNuYav3yg8PfIXNdgR1B/view?usp=drivesdk" TargetMode="External"/><Relationship Id="rId1878" Type="http://schemas.openxmlformats.org/officeDocument/2006/relationships/hyperlink" Target="https://drive.google.com/file/d/1_aQd2fiFR2BFUHay2TJmZ6uXOfDFwlyI/view?usp=drivesdk" TargetMode="External"/><Relationship Id="rId1879" Type="http://schemas.openxmlformats.org/officeDocument/2006/relationships/hyperlink" Target="https://drive.google.com/file/d/1d65j0saCEIanzMI-38I3fhweWKRYSiw2/view?usp=drivesdk" TargetMode="External"/><Relationship Id="rId1870" Type="http://schemas.openxmlformats.org/officeDocument/2006/relationships/hyperlink" Target="https://drive.google.com/file/d/18oqZDGEq6caeP-NGNtFHInOSTwPiA0Ie/view?usp=drivesdk" TargetMode="External"/><Relationship Id="rId1871" Type="http://schemas.openxmlformats.org/officeDocument/2006/relationships/hyperlink" Target="https://drive.google.com/file/d/17z_2upjofelI2OBtJbJp1UqmJ0j-f13C/view?usp=drivesdk" TargetMode="External"/><Relationship Id="rId1872" Type="http://schemas.openxmlformats.org/officeDocument/2006/relationships/hyperlink" Target="https://drive.google.com/file/d/1MhWCR6IKjGFJF9T8GMSxBcbSJPBNMYrA/view?usp=drivesdk" TargetMode="External"/><Relationship Id="rId1862" Type="http://schemas.openxmlformats.org/officeDocument/2006/relationships/hyperlink" Target="https://drive.google.com/file/d/1mE8qdVgu7-5CuiGl4hkR4oOcSO_6ViAH/view?usp=drivesdk" TargetMode="External"/><Relationship Id="rId1863" Type="http://schemas.openxmlformats.org/officeDocument/2006/relationships/hyperlink" Target="https://drive.google.com/file/d/1CScbuvTVZqO_yy9IG-SnLk08RYpIGsAI/view?usp=drivesdk" TargetMode="External"/><Relationship Id="rId1864" Type="http://schemas.openxmlformats.org/officeDocument/2006/relationships/hyperlink" Target="https://drive.google.com/file/d/10CsTyC4ydL8U4rO51qz2YrX7o2g2Kqnr/view?usp=drivesdk" TargetMode="External"/><Relationship Id="rId1865" Type="http://schemas.openxmlformats.org/officeDocument/2006/relationships/hyperlink" Target="https://drive.google.com/file/d/16d2ldquzreLFuakSzFz58RVXbtteI_5K/view?usp=drivesdk" TargetMode="External"/><Relationship Id="rId1866" Type="http://schemas.openxmlformats.org/officeDocument/2006/relationships/hyperlink" Target="https://drive.google.com/file/d/1ro_fyV-wZWsB4ZKhbZrotX3oDn-r2-xT/view?usp=drivesdk" TargetMode="External"/><Relationship Id="rId1867" Type="http://schemas.openxmlformats.org/officeDocument/2006/relationships/hyperlink" Target="https://drive.google.com/file/d/1P7wlov__UmjWQsVtemyTGgOjNFpWrGLT/view?usp=drivesdk" TargetMode="External"/><Relationship Id="rId1868" Type="http://schemas.openxmlformats.org/officeDocument/2006/relationships/hyperlink" Target="https://drive.google.com/file/d/1YtaLiYfK1m9H_UEhXEMBosj1mg_EXC73/view?usp=drivesdk" TargetMode="External"/><Relationship Id="rId1869" Type="http://schemas.openxmlformats.org/officeDocument/2006/relationships/hyperlink" Target="https://drive.google.com/file/d/10wZFu_n_OFKyepb7qeNIdy0suTAbVMCP/view?usp=drivesdk" TargetMode="External"/><Relationship Id="rId1860" Type="http://schemas.openxmlformats.org/officeDocument/2006/relationships/hyperlink" Target="https://drive.google.com/file/d/1OYdLeDrhGvfEQhgtmuKBjOHZCr1fXMHM/view?usp=drivesdk" TargetMode="External"/><Relationship Id="rId1861" Type="http://schemas.openxmlformats.org/officeDocument/2006/relationships/hyperlink" Target="https://drive.google.com/file/d/1K0udcraFcCX8OApcH6A6jlQOyYBta1Y0/view?usp=drivesdk" TargetMode="External"/><Relationship Id="rId1810" Type="http://schemas.openxmlformats.org/officeDocument/2006/relationships/hyperlink" Target="https://drive.google.com/file/d/1jGrR9pobMos836wHFPkA3w5cxog8Wlf8/view?usp=drivesdk" TargetMode="External"/><Relationship Id="rId1811" Type="http://schemas.openxmlformats.org/officeDocument/2006/relationships/hyperlink" Target="https://drive.google.com/file/d/1-KoA4w0UmKX-zBQBzGFrHdbnVeCwLedE/view?usp=drivesdk" TargetMode="External"/><Relationship Id="rId1812" Type="http://schemas.openxmlformats.org/officeDocument/2006/relationships/hyperlink" Target="https://drive.google.com/file/d/1aPthYdh8kaoZELmxgMpN1wR6XnqiBcz-/view?usp=drivesdk" TargetMode="External"/><Relationship Id="rId1813" Type="http://schemas.openxmlformats.org/officeDocument/2006/relationships/hyperlink" Target="https://drive.google.com/file/d/12THeIMZ2Ep8Asu-0MmFgX3d6VIB7qcC2/view?usp=drivesdk" TargetMode="External"/><Relationship Id="rId1814" Type="http://schemas.openxmlformats.org/officeDocument/2006/relationships/hyperlink" Target="https://drive.google.com/file/d/1hJA8QyeDp4Vm559mbO8DCZflU8Edzdja/view?usp=drivesdk" TargetMode="External"/><Relationship Id="rId1815" Type="http://schemas.openxmlformats.org/officeDocument/2006/relationships/hyperlink" Target="https://drive.google.com/file/d/1aXjsynaYAzsiAP_XnLW15jUFOcnTDxW2/view?usp=drivesdk" TargetMode="External"/><Relationship Id="rId1816" Type="http://schemas.openxmlformats.org/officeDocument/2006/relationships/hyperlink" Target="https://drive.google.com/file/d/1Nk5bFJSo0Kpn1lRyfOXRyXUcB5o-fwog/view?usp=drivesdk" TargetMode="External"/><Relationship Id="rId1817" Type="http://schemas.openxmlformats.org/officeDocument/2006/relationships/hyperlink" Target="https://drive.google.com/file/d/1FYnAE6ZVSAXu-_Vp5HcUF0KcHJCVyVxV/view?usp=drivesdk" TargetMode="External"/><Relationship Id="rId1818" Type="http://schemas.openxmlformats.org/officeDocument/2006/relationships/hyperlink" Target="https://drive.google.com/file/d/1ib5kLo84evfYuXer8uGAcr-d89wsQzfg/view?usp=drivesdk" TargetMode="External"/><Relationship Id="rId1819" Type="http://schemas.openxmlformats.org/officeDocument/2006/relationships/hyperlink" Target="https://drive.google.com/file/d/1qGLg9x70NBJmtWHEo9VL0BQ3bhmLEW4u/view?usp=drivesdk" TargetMode="External"/><Relationship Id="rId1800" Type="http://schemas.openxmlformats.org/officeDocument/2006/relationships/hyperlink" Target="https://drive.google.com/file/d/1APtHsdPZdNiDfNyY-PyeC3zINU-OvBJP/view?usp=drivesdk" TargetMode="External"/><Relationship Id="rId1801" Type="http://schemas.openxmlformats.org/officeDocument/2006/relationships/hyperlink" Target="https://drive.google.com/file/d/1PWDkOGXs97kFv6WHFZUdhjP_VsHDNaMe/view?usp=drivesdk" TargetMode="External"/><Relationship Id="rId1802" Type="http://schemas.openxmlformats.org/officeDocument/2006/relationships/hyperlink" Target="https://drive.google.com/file/d/1c3ckeqDBFYPileJxyZAUCNV7gyxN2mcw/view?usp=drivesdk" TargetMode="External"/><Relationship Id="rId1803" Type="http://schemas.openxmlformats.org/officeDocument/2006/relationships/hyperlink" Target="https://drive.google.com/file/d/1bEbFN6Any8y8ceRfD397YRjMmRoEv-T6/view?usp=drivesdk" TargetMode="External"/><Relationship Id="rId1804" Type="http://schemas.openxmlformats.org/officeDocument/2006/relationships/hyperlink" Target="https://drive.google.com/file/d/1OrJJtuTywsaJhsnTKJn5W5V9ZGnr8tWA/view?usp=drivesdk" TargetMode="External"/><Relationship Id="rId1805" Type="http://schemas.openxmlformats.org/officeDocument/2006/relationships/hyperlink" Target="https://drive.google.com/file/d/1zXW2G0B46fBJ7RbZBr7zK2RRM3wBpWBc/view?usp=drivesdk" TargetMode="External"/><Relationship Id="rId1806" Type="http://schemas.openxmlformats.org/officeDocument/2006/relationships/hyperlink" Target="https://drive.google.com/file/d/1hSDof4lTHAM0fMfsscfY0mGvViCdavwX/view?usp=drivesdk" TargetMode="External"/><Relationship Id="rId1807" Type="http://schemas.openxmlformats.org/officeDocument/2006/relationships/hyperlink" Target="https://drive.google.com/file/d/1JYfQJMF32-bnzLtcqzalxSEnyc75jLy1/view?usp=drivesdk" TargetMode="External"/><Relationship Id="rId1808" Type="http://schemas.openxmlformats.org/officeDocument/2006/relationships/hyperlink" Target="https://drive.google.com/file/d/1x0hiMkAMMAu7RifdS0rxlSq4TXBkiNRA/view?usp=drivesdk" TargetMode="External"/><Relationship Id="rId1809" Type="http://schemas.openxmlformats.org/officeDocument/2006/relationships/hyperlink" Target="https://drive.google.com/file/d/1YRmjZgTo_v1L76nWsNrw9opAPNpUFd1K/view?usp=drivesdk" TargetMode="External"/><Relationship Id="rId1830" Type="http://schemas.openxmlformats.org/officeDocument/2006/relationships/hyperlink" Target="https://drive.google.com/file/d/1POfGb-02lpla3OAzJNCAQBlCPox099RI/view?usp=drivesdk" TargetMode="External"/><Relationship Id="rId1831" Type="http://schemas.openxmlformats.org/officeDocument/2006/relationships/hyperlink" Target="https://drive.google.com/file/d/1GTSpxZmUQNl7xFyuBJKYxy6EvUX5oiQN/view?usp=drivesdk" TargetMode="External"/><Relationship Id="rId1832" Type="http://schemas.openxmlformats.org/officeDocument/2006/relationships/hyperlink" Target="https://drive.google.com/file/d/12_ssoTgKCRSwPp56VgQV0Eu0DD6umUVP/view?usp=drivesdk" TargetMode="External"/><Relationship Id="rId1833" Type="http://schemas.openxmlformats.org/officeDocument/2006/relationships/hyperlink" Target="https://drive.google.com/file/d/1eEVHF0MbgmfXxnHFsigWacLc9zXFPqD-/view?usp=drivesdk" TargetMode="External"/><Relationship Id="rId1834" Type="http://schemas.openxmlformats.org/officeDocument/2006/relationships/hyperlink" Target="https://drive.google.com/file/d/1jHFMH7kFGC0px3IpBnI1CrqPkVp9LVmb/view?usp=drivesdk" TargetMode="External"/><Relationship Id="rId1835" Type="http://schemas.openxmlformats.org/officeDocument/2006/relationships/hyperlink" Target="https://drive.google.com/file/d/1nHZZUyQQ7oIiU3i-UXsaWE_r0fYrfiS3/view?usp=drivesdk" TargetMode="External"/><Relationship Id="rId1836" Type="http://schemas.openxmlformats.org/officeDocument/2006/relationships/hyperlink" Target="https://drive.google.com/file/d/1H7zPg14rvgbrna3ifhQj_TWemnCGPZly/view?usp=drivesdk" TargetMode="External"/><Relationship Id="rId1837" Type="http://schemas.openxmlformats.org/officeDocument/2006/relationships/hyperlink" Target="https://drive.google.com/file/d/1p1B1qdpg970VZ83ou2sGpvyTI03ZIhi9/view?usp=drivesdk" TargetMode="External"/><Relationship Id="rId1838" Type="http://schemas.openxmlformats.org/officeDocument/2006/relationships/hyperlink" Target="https://drive.google.com/file/d/173fkDD-W6UdkuvhpeNByBmtxeTw4Z_wK/view?usp=drivesdk" TargetMode="External"/><Relationship Id="rId1839" Type="http://schemas.openxmlformats.org/officeDocument/2006/relationships/hyperlink" Target="https://drive.google.com/file/d/14nYmC7FjK_8nc1vRJW0Zz61S13ZtNZZD/view?usp=drivesdk" TargetMode="External"/><Relationship Id="rId1820" Type="http://schemas.openxmlformats.org/officeDocument/2006/relationships/hyperlink" Target="https://drive.google.com/file/d/1iYrVTffpOwEYVdc_R8x7R48IOknFPGII/view?usp=drivesdk" TargetMode="External"/><Relationship Id="rId1821" Type="http://schemas.openxmlformats.org/officeDocument/2006/relationships/hyperlink" Target="https://drive.google.com/file/d/1Tbc-6U14FAowy_tbbn23yQYCuYKOnK__/view?usp=drivesdk" TargetMode="External"/><Relationship Id="rId1822" Type="http://schemas.openxmlformats.org/officeDocument/2006/relationships/hyperlink" Target="https://drive.google.com/file/d/1XpoHLIFPByKVACocvJ5YoFhf9uIA2q64/view?usp=drivesdk" TargetMode="External"/><Relationship Id="rId1823" Type="http://schemas.openxmlformats.org/officeDocument/2006/relationships/hyperlink" Target="https://drive.google.com/file/d/1Aey1pYLXIu5MxmVVkhJFKWZH205p2S8r/view?usp=drivesdk" TargetMode="External"/><Relationship Id="rId1824" Type="http://schemas.openxmlformats.org/officeDocument/2006/relationships/hyperlink" Target="https://drive.google.com/file/d/10W0tSH0HQQFcBMuEUN5agngIbIIbyHX9/view?usp=drivesdk" TargetMode="External"/><Relationship Id="rId1825" Type="http://schemas.openxmlformats.org/officeDocument/2006/relationships/hyperlink" Target="https://drive.google.com/file/d/1MmRpDEBSX5A_XtK98PGGG25Fj8W30RM_/view?usp=drivesdk" TargetMode="External"/><Relationship Id="rId1826" Type="http://schemas.openxmlformats.org/officeDocument/2006/relationships/hyperlink" Target="https://drive.google.com/file/d/1bZo9sK3oQZIn6_x7FGe4vmyadV7Ugf53/view?usp=drivesdk" TargetMode="External"/><Relationship Id="rId1827" Type="http://schemas.openxmlformats.org/officeDocument/2006/relationships/hyperlink" Target="https://drive.google.com/file/d/1nnmgia3uJKc7mfbdkQNU6C-nw2g3lEAL/view?usp=drivesdk" TargetMode="External"/><Relationship Id="rId1828" Type="http://schemas.openxmlformats.org/officeDocument/2006/relationships/hyperlink" Target="https://drive.google.com/file/d/1APlORHjSwb-bhoXwhpdGctd6Hy0cBtQl/view?usp=drivesdk" TargetMode="External"/><Relationship Id="rId1829" Type="http://schemas.openxmlformats.org/officeDocument/2006/relationships/hyperlink" Target="https://drive.google.com/file/d/11QvRQEvz5Ns1Xj1UCdimwt1e6wyII5cd/view?usp=drivesdk" TargetMode="External"/><Relationship Id="rId2302" Type="http://schemas.openxmlformats.org/officeDocument/2006/relationships/hyperlink" Target="https://drive.google.com/file/d/1givOcPpd1ntLsGdIXQxqAtb-vKGTpGuD/view?usp=drivesdk" TargetMode="External"/><Relationship Id="rId2303" Type="http://schemas.openxmlformats.org/officeDocument/2006/relationships/hyperlink" Target="https://drive.google.com/file/d/1KL5SoJAHWjHA_I9YQBeFRVy3NF-MVymD/view?usp=drivesdk" TargetMode="External"/><Relationship Id="rId2304" Type="http://schemas.openxmlformats.org/officeDocument/2006/relationships/hyperlink" Target="https://drive.google.com/file/d/1L6uVunRTkHlU_O--S4vWF9IFtI4y-nt9/view?usp=drivesdk" TargetMode="External"/><Relationship Id="rId2305" Type="http://schemas.openxmlformats.org/officeDocument/2006/relationships/hyperlink" Target="https://drive.google.com/file/d/1eABS-vu3YGOP5Z8U-mNYSNElEVFsaeTY/view?usp=drivesdk" TargetMode="External"/><Relationship Id="rId2306" Type="http://schemas.openxmlformats.org/officeDocument/2006/relationships/hyperlink" Target="https://drive.google.com/file/d/1fyRt26qYLHlfICkWkeRvjDxkKPAGMOGH/view?usp=drivesdk" TargetMode="External"/><Relationship Id="rId2307" Type="http://schemas.openxmlformats.org/officeDocument/2006/relationships/hyperlink" Target="https://drive.google.com/file/d/1Xegg6zoy4h7DJi5a9pRBsglATfS55faB/view?usp=drivesdk" TargetMode="External"/><Relationship Id="rId2308" Type="http://schemas.openxmlformats.org/officeDocument/2006/relationships/hyperlink" Target="https://drive.google.com/file/d/175dambBNVF0dqo5ScTkVgg0LGuj940kT/view?usp=drivesdk" TargetMode="External"/><Relationship Id="rId2309" Type="http://schemas.openxmlformats.org/officeDocument/2006/relationships/hyperlink" Target="https://drive.google.com/file/d/1fC_xdHYtuVSGdyipCTYwInpTLU1nLVOT/view?usp=drivesdk" TargetMode="External"/><Relationship Id="rId2300" Type="http://schemas.openxmlformats.org/officeDocument/2006/relationships/hyperlink" Target="https://drive.google.com/file/d/1cnM2XgZQxYQfpwgE4BmFxY_VVTpXHKKM/view?usp=drivesdk" TargetMode="External"/><Relationship Id="rId2301" Type="http://schemas.openxmlformats.org/officeDocument/2006/relationships/hyperlink" Target="https://drive.google.com/file/d/1pomwSjb3JhWNAcPkuV9rFVeM8shH8WIX/view?usp=drivesdk" TargetMode="External"/><Relationship Id="rId2324" Type="http://schemas.openxmlformats.org/officeDocument/2006/relationships/hyperlink" Target="https://drive.google.com/file/d/18ZfYG32M-GTcG_ryoJ1HvEC9C-_ti4fk/view?usp=drivesdk" TargetMode="External"/><Relationship Id="rId2325" Type="http://schemas.openxmlformats.org/officeDocument/2006/relationships/hyperlink" Target="https://drive.google.com/file/d/1JLBmwX7nNKGn-P26gO4q3MKf3Xxhf5mp/view?usp=drivesdk" TargetMode="External"/><Relationship Id="rId2326" Type="http://schemas.openxmlformats.org/officeDocument/2006/relationships/hyperlink" Target="https://drive.google.com/file/d/1tdE0c4oVWthHVrM1fRU9Hx8d8vQz1-mn/view?usp=drivesdk" TargetMode="External"/><Relationship Id="rId2327" Type="http://schemas.openxmlformats.org/officeDocument/2006/relationships/hyperlink" Target="https://drive.google.com/file/d/1lGZVI4TT62Hxc9KRIEpXgT3z3fk0_z2T/view?usp=drivesdk" TargetMode="External"/><Relationship Id="rId2328" Type="http://schemas.openxmlformats.org/officeDocument/2006/relationships/hyperlink" Target="https://drive.google.com/file/d/1VKbr5pxUdj683_XHIlCKoFwz-29rSMXQ/view?usp=drivesdk" TargetMode="External"/><Relationship Id="rId2329" Type="http://schemas.openxmlformats.org/officeDocument/2006/relationships/hyperlink" Target="https://drive.google.com/file/d/1zxOGnn13MnFttT3gypM4oZgoIrIXa8ts/view?usp=drivesdk" TargetMode="External"/><Relationship Id="rId2320" Type="http://schemas.openxmlformats.org/officeDocument/2006/relationships/hyperlink" Target="https://drive.google.com/file/d/1RFajdOS3PTs3gG6PijaWUMfbdlg9wH4x/view?usp=drivesdk" TargetMode="External"/><Relationship Id="rId2321" Type="http://schemas.openxmlformats.org/officeDocument/2006/relationships/hyperlink" Target="https://drive.google.com/file/d/1JS_DWZKuNPHbZwKfirj8h4113PQ9podm/view?usp=drivesdk" TargetMode="External"/><Relationship Id="rId2322" Type="http://schemas.openxmlformats.org/officeDocument/2006/relationships/hyperlink" Target="https://drive.google.com/file/d/1wc8zyG6iIdoZ-JSrDJQh1zhZ8rbFVywC/view?usp=drivesdk" TargetMode="External"/><Relationship Id="rId2323" Type="http://schemas.openxmlformats.org/officeDocument/2006/relationships/hyperlink" Target="https://drive.google.com/file/d/1CgFDbt9DLjtIE39QSYTceBsTH8HynkV2/view?usp=drivesdk" TargetMode="External"/><Relationship Id="rId2313" Type="http://schemas.openxmlformats.org/officeDocument/2006/relationships/hyperlink" Target="https://drive.google.com/file/d/1yxqqtaJ_tKrHMAyqOaSeXTtf-KefDu_f/view?usp=drivesdk" TargetMode="External"/><Relationship Id="rId2314" Type="http://schemas.openxmlformats.org/officeDocument/2006/relationships/hyperlink" Target="https://drive.google.com/file/d/1ZE866GzkUK_NuRwPIYtPoDAMsRZYzg8o/view?usp=drivesdk" TargetMode="External"/><Relationship Id="rId2315" Type="http://schemas.openxmlformats.org/officeDocument/2006/relationships/hyperlink" Target="https://drive.google.com/file/d/1EjCNuZSYsmVVK-bREacL8yoeRui-q6Cq/view?usp=drivesdk" TargetMode="External"/><Relationship Id="rId2316" Type="http://schemas.openxmlformats.org/officeDocument/2006/relationships/hyperlink" Target="https://drive.google.com/file/d/1TgiLVlc8ULkeaLD2kyjupb27kaiuM0VA/view?usp=drivesdk" TargetMode="External"/><Relationship Id="rId2317" Type="http://schemas.openxmlformats.org/officeDocument/2006/relationships/hyperlink" Target="https://drive.google.com/file/d/1XBkGEx2U8_zKL8MPXGgQNr9pKxuQ1VoK/view?usp=drivesdk" TargetMode="External"/><Relationship Id="rId2318" Type="http://schemas.openxmlformats.org/officeDocument/2006/relationships/hyperlink" Target="https://drive.google.com/file/d/1zYfPpTsPbmgnUB83pI_Pq1lJ7bNE547G/view?usp=drivesdk" TargetMode="External"/><Relationship Id="rId2319" Type="http://schemas.openxmlformats.org/officeDocument/2006/relationships/hyperlink" Target="https://drive.google.com/file/d/1ZcPXNfUiEbN_HwtCd891QdMzTZSYx1fw/view?usp=drivesdk" TargetMode="External"/><Relationship Id="rId2310" Type="http://schemas.openxmlformats.org/officeDocument/2006/relationships/hyperlink" Target="https://drive.google.com/file/d/1PWOOc6h89xT_u8Q2-oYAuMVRWZGeQNop/view?usp=drivesdk" TargetMode="External"/><Relationship Id="rId2311" Type="http://schemas.openxmlformats.org/officeDocument/2006/relationships/hyperlink" Target="https://drive.google.com/file/d/17mS9A7BjFB1lWFAmvcSxyq7-jK-oNL_B/view?usp=drivesdk" TargetMode="External"/><Relationship Id="rId2312" Type="http://schemas.openxmlformats.org/officeDocument/2006/relationships/hyperlink" Target="https://drive.google.com/file/d/16tv4QbR_xvFXB4FBrbVNqZqo-wgW9woH/view?usp=drivesdk" TargetMode="External"/><Relationship Id="rId1895" Type="http://schemas.openxmlformats.org/officeDocument/2006/relationships/hyperlink" Target="https://drive.google.com/file/d/1hN0G4Myov8ckz4pAMJyK0-chR-uaImCE/view?usp=drivesdk" TargetMode="External"/><Relationship Id="rId1896" Type="http://schemas.openxmlformats.org/officeDocument/2006/relationships/hyperlink" Target="https://drive.google.com/file/d/1OByNKNsjZqSFHFFyt-o1mPqDkVmgruBu/view?usp=drivesdk" TargetMode="External"/><Relationship Id="rId1897" Type="http://schemas.openxmlformats.org/officeDocument/2006/relationships/hyperlink" Target="https://drive.google.com/file/d/1GCYFeLrlGpCBF1GyjSAAd1YFst71bifH/view?usp=drivesdk" TargetMode="External"/><Relationship Id="rId1898" Type="http://schemas.openxmlformats.org/officeDocument/2006/relationships/hyperlink" Target="https://drive.google.com/file/d/1nEvKlRA8uAXj2efuq1DkKpPMx5D0e87_/view?usp=drivesdk" TargetMode="External"/><Relationship Id="rId1899" Type="http://schemas.openxmlformats.org/officeDocument/2006/relationships/hyperlink" Target="https://drive.google.com/file/d/1yr8whNCRN-BXlZgIIxkjY0g8z8-0guwq/view?usp=drivesdk" TargetMode="External"/><Relationship Id="rId1890" Type="http://schemas.openxmlformats.org/officeDocument/2006/relationships/hyperlink" Target="https://drive.google.com/file/d/1JkE16HX10SxkzianGctH-9nm-XFaoMsF/view?usp=drivesdk" TargetMode="External"/><Relationship Id="rId1891" Type="http://schemas.openxmlformats.org/officeDocument/2006/relationships/hyperlink" Target="https://drive.google.com/file/d/1DeRESzfXOza_ac4bortetS44iBQlEB1l/view?usp=drivesdk" TargetMode="External"/><Relationship Id="rId1892" Type="http://schemas.openxmlformats.org/officeDocument/2006/relationships/hyperlink" Target="https://drive.google.com/file/d/1tJfvC20ctLZQdLkZolhGX4DXfr-JFdEB/view?usp=drivesdk" TargetMode="External"/><Relationship Id="rId1893" Type="http://schemas.openxmlformats.org/officeDocument/2006/relationships/hyperlink" Target="https://drive.google.com/file/d/1ntHR-2TST8Pa9kLmC5CL_wNP2lafijMc/view?usp=drivesdk" TargetMode="External"/><Relationship Id="rId1894" Type="http://schemas.openxmlformats.org/officeDocument/2006/relationships/hyperlink" Target="https://drive.google.com/file/d/1jQ2ZVxsJgOGK369mgFlFLMIcvvyGyvkY/view?usp=drivesdk" TargetMode="External"/><Relationship Id="rId1884" Type="http://schemas.openxmlformats.org/officeDocument/2006/relationships/hyperlink" Target="https://drive.google.com/file/d/1YQ1rwTK8fHHydlCOqvw62rr4BQnhJ7v4/view?usp=drivesdk" TargetMode="External"/><Relationship Id="rId1885" Type="http://schemas.openxmlformats.org/officeDocument/2006/relationships/hyperlink" Target="https://drive.google.com/file/d/16pg9MWE7EmtXDgvjDW9mExWkGIxt2MYX/view?usp=drivesdk" TargetMode="External"/><Relationship Id="rId1886" Type="http://schemas.openxmlformats.org/officeDocument/2006/relationships/hyperlink" Target="https://drive.google.com/file/d/1pRBsytrBmWb0piV5bun6Rad2j51JyzSC/view?usp=drivesdk" TargetMode="External"/><Relationship Id="rId1887" Type="http://schemas.openxmlformats.org/officeDocument/2006/relationships/hyperlink" Target="https://drive.google.com/file/d/1U7jcEsjlgt0luv4Qd8Q7JmbBb7qRDTdD/view?usp=drivesdk" TargetMode="External"/><Relationship Id="rId1888" Type="http://schemas.openxmlformats.org/officeDocument/2006/relationships/hyperlink" Target="https://drive.google.com/file/d/1LJ0WrqBtVRCt68G-AduIa1fUKucFOQw4/view?usp=drivesdk" TargetMode="External"/><Relationship Id="rId1889" Type="http://schemas.openxmlformats.org/officeDocument/2006/relationships/hyperlink" Target="https://drive.google.com/file/d/1v5DJu4qjqzVUJEfoj2GHrhMbmyHZ-m6z/view?usp=drivesdk" TargetMode="External"/><Relationship Id="rId1880" Type="http://schemas.openxmlformats.org/officeDocument/2006/relationships/hyperlink" Target="https://drive.google.com/file/d/1EOobtRYPjKeO9_gYW4bu-_TIpK_PjuLA/view?usp=drivesdk" TargetMode="External"/><Relationship Id="rId1881" Type="http://schemas.openxmlformats.org/officeDocument/2006/relationships/hyperlink" Target="https://drive.google.com/file/d/1UjbeLcg8Ef9iNN6OCfcfSjsOW-S8xlbA/view?usp=drivesdk" TargetMode="External"/><Relationship Id="rId1882" Type="http://schemas.openxmlformats.org/officeDocument/2006/relationships/hyperlink" Target="https://drive.google.com/file/d/1D4Mi_2OBXIENWNgS-WkOzAsIz9d6XBcv/view?usp=drivesdk" TargetMode="External"/><Relationship Id="rId1883" Type="http://schemas.openxmlformats.org/officeDocument/2006/relationships/hyperlink" Target="https://drive.google.com/file/d/1E1qWlBKhonhY_3BaxJAyBmY0k-t23HiD/view?usp=drivesdk" TargetMode="External"/><Relationship Id="rId1059" Type="http://schemas.openxmlformats.org/officeDocument/2006/relationships/hyperlink" Target="https://drive.google.com/file/d/1jgj9lJ14X0DKbqnH68IADwQDBHmsItVZ/view?usp=drivesdk" TargetMode="External"/><Relationship Id="rId228" Type="http://schemas.openxmlformats.org/officeDocument/2006/relationships/hyperlink" Target="https://drive.google.com/file/d/1afj3FrBsNoCIkF325jw9kpZNtSxdsFWv/view?usp=drivesdk" TargetMode="External"/><Relationship Id="rId227" Type="http://schemas.openxmlformats.org/officeDocument/2006/relationships/hyperlink" Target="https://drive.google.com/file/d/10anZGhjlOvO7aQbMT3QNUTGFyzMK1wgg/view?usp=drivesdk" TargetMode="External"/><Relationship Id="rId226" Type="http://schemas.openxmlformats.org/officeDocument/2006/relationships/hyperlink" Target="https://drive.google.com/file/d/1F3QGAzryYQVpOPZCE3yB3UL0B50sD5Qh/view?usp=drivesdk" TargetMode="External"/><Relationship Id="rId225" Type="http://schemas.openxmlformats.org/officeDocument/2006/relationships/hyperlink" Target="https://drive.google.com/file/d/1pG-Y5xMIaPafDnkZr7vDsn-8REMTA2Kx/view?usp=drivesdk" TargetMode="External"/><Relationship Id="rId2380" Type="http://schemas.openxmlformats.org/officeDocument/2006/relationships/hyperlink" Target="https://drive.google.com/file/d/1Fno1IJz68iXs7JWnmc01NK1s0TMRMxHi/view?usp=drivesdk" TargetMode="External"/><Relationship Id="rId229" Type="http://schemas.openxmlformats.org/officeDocument/2006/relationships/hyperlink" Target="https://drive.google.com/file/d/1GruSYQTYj27hi7nYv76yP2TA5pAQWpdz/view?usp=drivesdk" TargetMode="External"/><Relationship Id="rId1050" Type="http://schemas.openxmlformats.org/officeDocument/2006/relationships/hyperlink" Target="https://drive.google.com/file/d/1SmGCndifwHBNTg0xWJD6VgLZPsUl5-GC/view?usp=drivesdk" TargetMode="External"/><Relationship Id="rId2381" Type="http://schemas.openxmlformats.org/officeDocument/2006/relationships/hyperlink" Target="https://drive.google.com/file/d/1p-5Yi30wwPB5qbrkCQnV04nlGIUAqW1j/view?usp=drivesdk" TargetMode="External"/><Relationship Id="rId220" Type="http://schemas.openxmlformats.org/officeDocument/2006/relationships/hyperlink" Target="https://drive.google.com/file/d/1OVX2qQByWg6mFZduAzvtJmyFYI6v1OI-/view?usp=drivesdk" TargetMode="External"/><Relationship Id="rId1051" Type="http://schemas.openxmlformats.org/officeDocument/2006/relationships/hyperlink" Target="https://drive.google.com/file/d/1ZKZyLn5uW6CoYELDHd11gKh5Sn3YZYr4/view?usp=drivesdk" TargetMode="External"/><Relationship Id="rId2382" Type="http://schemas.openxmlformats.org/officeDocument/2006/relationships/hyperlink" Target="https://drive.google.com/file/d/1EK9QiU9xsqLxXgH_myrXEDvCAwAm--TL/view?usp=drivesdk" TargetMode="External"/><Relationship Id="rId1052" Type="http://schemas.openxmlformats.org/officeDocument/2006/relationships/hyperlink" Target="https://drive.google.com/file/d/1ar2F98iBLtf-JFVJPBm4fuWn29s_pcVP/view?usp=drivesdk" TargetMode="External"/><Relationship Id="rId2383" Type="http://schemas.openxmlformats.org/officeDocument/2006/relationships/hyperlink" Target="https://drive.google.com/file/d/1W95pBxdYQtvPqjqDP0LAubJz1aG6pbkC/view?usp=drivesdk" TargetMode="External"/><Relationship Id="rId1053" Type="http://schemas.openxmlformats.org/officeDocument/2006/relationships/hyperlink" Target="https://drive.google.com/file/d/1RzS1OyKSTfThCBgJp5wJu8rDLSNxvAtP/view?usp=drivesdk" TargetMode="External"/><Relationship Id="rId2384" Type="http://schemas.openxmlformats.org/officeDocument/2006/relationships/hyperlink" Target="https://drive.google.com/file/d/10YsdVEp76YRuLQNPspg-TkAG5mYL74RG/view?usp=drivesdk" TargetMode="External"/><Relationship Id="rId1054" Type="http://schemas.openxmlformats.org/officeDocument/2006/relationships/hyperlink" Target="https://drive.google.com/file/d/1qardjgWNIfATo9TExx6z8Cl-6w1MJ0zV/view?usp=drivesdk" TargetMode="External"/><Relationship Id="rId2385" Type="http://schemas.openxmlformats.org/officeDocument/2006/relationships/hyperlink" Target="https://drive.google.com/file/d/1JcrIIJziv9H4c66sUbolfvMwbkPdlR44/view?usp=drivesdk" TargetMode="External"/><Relationship Id="rId224" Type="http://schemas.openxmlformats.org/officeDocument/2006/relationships/hyperlink" Target="https://drive.google.com/file/d/1E_6b4zZ-omtmOjjj8-XeF45BcnWI7vyy/view?usp=drivesdk" TargetMode="External"/><Relationship Id="rId1055" Type="http://schemas.openxmlformats.org/officeDocument/2006/relationships/hyperlink" Target="https://drive.google.com/file/d/1eX88tgHDS5GmezfJFVpJbNeHaK94JCdm/view?usp=drivesdk" TargetMode="External"/><Relationship Id="rId2386" Type="http://schemas.openxmlformats.org/officeDocument/2006/relationships/hyperlink" Target="https://drive.google.com/file/d/1OWk3W7aLK7NhvpfeOXWbAeYjSBS6on3O/view?usp=drivesdk" TargetMode="External"/><Relationship Id="rId223" Type="http://schemas.openxmlformats.org/officeDocument/2006/relationships/hyperlink" Target="https://drive.google.com/file/d/1uBgGQtZ5oK8SqKSUBr3hMygngs0gWnpa/view?usp=drivesdk" TargetMode="External"/><Relationship Id="rId1056" Type="http://schemas.openxmlformats.org/officeDocument/2006/relationships/hyperlink" Target="https://drive.google.com/file/d/1pD7SRPlQIEKp35ByImnjxuZ0eZpx_nWr/view?usp=drivesdk" TargetMode="External"/><Relationship Id="rId2387" Type="http://schemas.openxmlformats.org/officeDocument/2006/relationships/hyperlink" Target="https://drive.google.com/file/d/1w2KBBoT3U7JrwQsTrJduC-AS9fihTDq0/view?usp=drivesdk" TargetMode="External"/><Relationship Id="rId222" Type="http://schemas.openxmlformats.org/officeDocument/2006/relationships/hyperlink" Target="https://drive.google.com/file/d/1hWi3x-TCNfd-F1_H_mFJPH6IWPCclXrx/view?usp=drivesdk" TargetMode="External"/><Relationship Id="rId1057" Type="http://schemas.openxmlformats.org/officeDocument/2006/relationships/hyperlink" Target="https://drive.google.com/file/d/1z6ELpIML_iAO-oWGJcwZv48NcaICpQG4/view?usp=drivesdk" TargetMode="External"/><Relationship Id="rId2388" Type="http://schemas.openxmlformats.org/officeDocument/2006/relationships/hyperlink" Target="https://drive.google.com/file/d/1eSIhQoNaIQOjrthga8k1fEWUQ1wNc0I3/view?usp=drivesdk" TargetMode="External"/><Relationship Id="rId221" Type="http://schemas.openxmlformats.org/officeDocument/2006/relationships/hyperlink" Target="https://drive.google.com/file/d/1xG0iV_PsqzgoLeqw0r757PVu76I-ewez/view?usp=drivesdk" TargetMode="External"/><Relationship Id="rId1058" Type="http://schemas.openxmlformats.org/officeDocument/2006/relationships/hyperlink" Target="https://drive.google.com/file/d/15F-RfkvkqMn0E0c709IKN80dAN2fRqHx/view?usp=drivesdk" TargetMode="External"/><Relationship Id="rId2389" Type="http://schemas.openxmlformats.org/officeDocument/2006/relationships/hyperlink" Target="https://drive.google.com/file/d/1exWLXuK48MQ2ATmSKbzKWBwM5DY_aMcK/view?usp=drivesdk" TargetMode="External"/><Relationship Id="rId1048" Type="http://schemas.openxmlformats.org/officeDocument/2006/relationships/hyperlink" Target="https://drive.google.com/file/d/1Qaij8kztnVCohlJltt2zu7U-21ZW-Ec8/view?usp=drivesdk" TargetMode="External"/><Relationship Id="rId2379" Type="http://schemas.openxmlformats.org/officeDocument/2006/relationships/hyperlink" Target="https://drive.google.com/file/d/1evQDXWr9N4KV0RMwcCRfMKAkbspCGUUG/view?usp=drivesdk" TargetMode="External"/><Relationship Id="rId1049" Type="http://schemas.openxmlformats.org/officeDocument/2006/relationships/hyperlink" Target="https://drive.google.com/file/d/1MwQ4HjBKMAsmoWQyYi-2t5QAgR1vcgEw/view?usp=drivesdk" TargetMode="External"/><Relationship Id="rId217" Type="http://schemas.openxmlformats.org/officeDocument/2006/relationships/hyperlink" Target="https://drive.google.com/file/d/1aUnL3AC6Lag2YL3jIv0MCpVVEJexlUqN/view?usp=drivesdk" TargetMode="External"/><Relationship Id="rId216" Type="http://schemas.openxmlformats.org/officeDocument/2006/relationships/hyperlink" Target="https://drive.google.com/file/d/12iphP7b9Dy_cRnYWgcnh0NSggqkB0b_Q/view?usp=drivesdk" TargetMode="External"/><Relationship Id="rId215" Type="http://schemas.openxmlformats.org/officeDocument/2006/relationships/hyperlink" Target="https://drive.google.com/file/d/1w73SBsRo3_tt8THmjDfToeYcZ00h7otm/view?usp=drivesdk" TargetMode="External"/><Relationship Id="rId214" Type="http://schemas.openxmlformats.org/officeDocument/2006/relationships/hyperlink" Target="https://drive.google.com/file/d/1_KRn5c6ILT1V6OnrHEFHw_R_vd9Ymlbc/view?usp=drivesdk" TargetMode="External"/><Relationship Id="rId219" Type="http://schemas.openxmlformats.org/officeDocument/2006/relationships/hyperlink" Target="https://drive.google.com/file/d/15Lqbo2RhHIDgeHQ67dSIbTmFtVTyHit4/view?usp=drivesdk" TargetMode="External"/><Relationship Id="rId218" Type="http://schemas.openxmlformats.org/officeDocument/2006/relationships/hyperlink" Target="https://drive.google.com/file/d/1MTGbOPuWU5Zdtv0IQhwqEFpK1vBJ2LLn/view?usp=drivesdk" TargetMode="External"/><Relationship Id="rId2370" Type="http://schemas.openxmlformats.org/officeDocument/2006/relationships/hyperlink" Target="https://drive.google.com/file/d/1Vg-OUhY15FAok2mtyokmeZIHZaqgAHg5/view?usp=drivesdk" TargetMode="External"/><Relationship Id="rId1040" Type="http://schemas.openxmlformats.org/officeDocument/2006/relationships/hyperlink" Target="https://drive.google.com/file/d/1JZdybc90Q7eGpP_Mc7E1LX2-th3aGKSW/view?usp=drivesdk" TargetMode="External"/><Relationship Id="rId2371" Type="http://schemas.openxmlformats.org/officeDocument/2006/relationships/hyperlink" Target="https://drive.google.com/file/d/1Ea_lj0SN0yiXoEUsbmTc67SPDOrQH-yU/view?usp=drivesdk" TargetMode="External"/><Relationship Id="rId1041" Type="http://schemas.openxmlformats.org/officeDocument/2006/relationships/hyperlink" Target="https://drive.google.com/file/d/1jtVZv1IA3xs7rfJ1gJSADkOpH1Na53Sg/view?usp=drivesdk" TargetMode="External"/><Relationship Id="rId2372" Type="http://schemas.openxmlformats.org/officeDocument/2006/relationships/hyperlink" Target="https://drive.google.com/file/d/1VlyFF2XH_n9dzHKe2EMaqBWsh-0cgYrJ/view?usp=drivesdk" TargetMode="External"/><Relationship Id="rId1042" Type="http://schemas.openxmlformats.org/officeDocument/2006/relationships/hyperlink" Target="https://drive.google.com/file/d/19g6pZT9kaxiPgPiLGlrOivbLQ9y5uZY9/view?usp=drivesdk" TargetMode="External"/><Relationship Id="rId2373" Type="http://schemas.openxmlformats.org/officeDocument/2006/relationships/hyperlink" Target="https://drive.google.com/file/d/1nLprzUcZjsicDG7JT3icjAuAK7g2gLY1/view?usp=drivesdk" TargetMode="External"/><Relationship Id="rId1043" Type="http://schemas.openxmlformats.org/officeDocument/2006/relationships/hyperlink" Target="https://drive.google.com/file/d/1xMbKbQfdPqU0iS2wFaLptwiJCUUVT4xB/view?usp=drivesdk" TargetMode="External"/><Relationship Id="rId2374" Type="http://schemas.openxmlformats.org/officeDocument/2006/relationships/hyperlink" Target="https://drive.google.com/file/d/19X5spXSqhBiEOOUR62_YtANpegjkcJ1f/view?usp=drivesdk" TargetMode="External"/><Relationship Id="rId213" Type="http://schemas.openxmlformats.org/officeDocument/2006/relationships/hyperlink" Target="https://drive.google.com/file/d/1tYc1ZJj5RRIeL4CGwDnRflS6fcpKfnpZ/view?usp=drivesdk" TargetMode="External"/><Relationship Id="rId1044" Type="http://schemas.openxmlformats.org/officeDocument/2006/relationships/hyperlink" Target="https://drive.google.com/file/d/12weF0EhaOitLk2jX9Wqhq2KT8gkO8Ino/view?usp=drivesdk" TargetMode="External"/><Relationship Id="rId2375" Type="http://schemas.openxmlformats.org/officeDocument/2006/relationships/hyperlink" Target="https://drive.google.com/file/d/14xOP8LLETNXBDDadvwleV2pKnaxwaGBi/view?usp=drivesdk" TargetMode="External"/><Relationship Id="rId212" Type="http://schemas.openxmlformats.org/officeDocument/2006/relationships/hyperlink" Target="https://drive.google.com/file/d/1MBbG4NwhRszoEhvA9UqTK9LCJGAbEDxB/view?usp=drivesdk" TargetMode="External"/><Relationship Id="rId1045" Type="http://schemas.openxmlformats.org/officeDocument/2006/relationships/hyperlink" Target="https://drive.google.com/file/d/1AzlV-ZL-HIiPhvSDQhHgQ1szgl83AKcE/view?usp=drivesdk" TargetMode="External"/><Relationship Id="rId2376" Type="http://schemas.openxmlformats.org/officeDocument/2006/relationships/hyperlink" Target="https://drive.google.com/file/d/1Chyql9h2DEg41XAYeRupg6Etz-OFp0us/view?usp=drivesdk" TargetMode="External"/><Relationship Id="rId211" Type="http://schemas.openxmlformats.org/officeDocument/2006/relationships/hyperlink" Target="https://drive.google.com/file/d/11N_qm1jefvRJTpRoz1H_fDC9T9Uo_MYM/view?usp=drivesdk" TargetMode="External"/><Relationship Id="rId1046" Type="http://schemas.openxmlformats.org/officeDocument/2006/relationships/hyperlink" Target="https://drive.google.com/file/d/1Fgr9JqHP_7TUbdWUGqER3XZBhzoV3lME/view?usp=drivesdk" TargetMode="External"/><Relationship Id="rId2377" Type="http://schemas.openxmlformats.org/officeDocument/2006/relationships/hyperlink" Target="https://drive.google.com/file/d/1AKsdj68dbJXeSGboPcfZ2uD3ua_fvFPP/view?usp=drivesdk" TargetMode="External"/><Relationship Id="rId210" Type="http://schemas.openxmlformats.org/officeDocument/2006/relationships/hyperlink" Target="https://drive.google.com/file/d/1p1qfqsqSynrvTPerVD4NgQH8Y6mqaXU6/view?usp=drivesdk" TargetMode="External"/><Relationship Id="rId1047" Type="http://schemas.openxmlformats.org/officeDocument/2006/relationships/hyperlink" Target="https://drive.google.com/file/d/1y8T5zhW_IOSBMzN9nvYSYbgcIcn96YYZ/view?usp=drivesdk" TargetMode="External"/><Relationship Id="rId2378" Type="http://schemas.openxmlformats.org/officeDocument/2006/relationships/hyperlink" Target="https://drive.google.com/file/d/1E31uybgDVJiRN0FEcJfVIX_of85BuGEz/view?usp=drivesdk" TargetMode="External"/><Relationship Id="rId249" Type="http://schemas.openxmlformats.org/officeDocument/2006/relationships/hyperlink" Target="https://drive.google.com/file/d/1eqDmH-dclTWnNxnAK_2qulmpcYeOnLRM/view?usp=drivesdk" TargetMode="External"/><Relationship Id="rId248" Type="http://schemas.openxmlformats.org/officeDocument/2006/relationships/hyperlink" Target="https://drive.google.com/file/d/1t_1Ta5v64ZRnXNjpz_IhVas3VlhZn4fQ/view?usp=drivesdk" TargetMode="External"/><Relationship Id="rId247" Type="http://schemas.openxmlformats.org/officeDocument/2006/relationships/hyperlink" Target="https://drive.google.com/file/d/1EbDqteZKjOCKGj59-S4EWDLxkuXjzhaL/view?usp=drivesdk" TargetMode="External"/><Relationship Id="rId1070" Type="http://schemas.openxmlformats.org/officeDocument/2006/relationships/hyperlink" Target="https://drive.google.com/file/d/18k1ykE5KGu6_zuNz9VCrn4DkEVOO1LJH/view?usp=drivesdk" TargetMode="External"/><Relationship Id="rId1071" Type="http://schemas.openxmlformats.org/officeDocument/2006/relationships/hyperlink" Target="https://drive.google.com/file/d/1km2L9DNVunqU05rc4Kd_J4czp3x6Xkk1/view?usp=drivesdk" TargetMode="External"/><Relationship Id="rId1072" Type="http://schemas.openxmlformats.org/officeDocument/2006/relationships/hyperlink" Target="https://drive.google.com/file/d/1pIS8rz3Zhsg-K0XmlUgVtJjkBAX-gomL/view?usp=drivesdk" TargetMode="External"/><Relationship Id="rId242" Type="http://schemas.openxmlformats.org/officeDocument/2006/relationships/hyperlink" Target="https://drive.google.com/file/d/16QRcoc2qYP1rPo-RZHr3IXE1JFR_nCwl/view?usp=drivesdk" TargetMode="External"/><Relationship Id="rId1073" Type="http://schemas.openxmlformats.org/officeDocument/2006/relationships/hyperlink" Target="https://drive.google.com/file/d/1j7kIz9DbHMuhgAFVzylwX6Yt8UYxbKVm/view?usp=drivesdk" TargetMode="External"/><Relationship Id="rId241" Type="http://schemas.openxmlformats.org/officeDocument/2006/relationships/hyperlink" Target="https://drive.google.com/file/d/1FK8U1l_sec0nw2maZFzrfgyfc_jssV4R/view?usp=drivesdk" TargetMode="External"/><Relationship Id="rId1074" Type="http://schemas.openxmlformats.org/officeDocument/2006/relationships/hyperlink" Target="https://drive.google.com/file/d/1aV3ccn2w0Qw9IRbsqbByGUHxTunteFgK/view?usp=drivesdk" TargetMode="External"/><Relationship Id="rId240" Type="http://schemas.openxmlformats.org/officeDocument/2006/relationships/hyperlink" Target="https://drive.google.com/file/d/1Vx6-t5JTOQEvSnRpBNp2R_O-Zebg0dSZ/view?usp=drivesdk" TargetMode="External"/><Relationship Id="rId1075" Type="http://schemas.openxmlformats.org/officeDocument/2006/relationships/hyperlink" Target="https://drive.google.com/file/d/1iPBwaXn12azH6_c4xao-GstJS4IDhzaA/view?usp=drivesdk" TargetMode="External"/><Relationship Id="rId1076" Type="http://schemas.openxmlformats.org/officeDocument/2006/relationships/hyperlink" Target="https://drive.google.com/file/d/1vN437k1uq3kRGPmKBi6jr-KfvJ0C_JhT/view?usp=drivesdk" TargetMode="External"/><Relationship Id="rId246" Type="http://schemas.openxmlformats.org/officeDocument/2006/relationships/hyperlink" Target="https://drive.google.com/file/d/1BtiJ11K5eqpsqlj5PQJbG7xfO8pM9oMv/view?usp=drivesdk" TargetMode="External"/><Relationship Id="rId1077" Type="http://schemas.openxmlformats.org/officeDocument/2006/relationships/hyperlink" Target="https://drive.google.com/file/d/1BP4_zT4-cr6_-LVpCLyDKXo4tlduP3B2/view?usp=drivesdk" TargetMode="External"/><Relationship Id="rId245" Type="http://schemas.openxmlformats.org/officeDocument/2006/relationships/hyperlink" Target="https://drive.google.com/file/d/1CrPXnG4uuv89aHq13TGsUNP-O4delOv5/view?usp=drivesdk" TargetMode="External"/><Relationship Id="rId1078" Type="http://schemas.openxmlformats.org/officeDocument/2006/relationships/hyperlink" Target="https://drive.google.com/file/d/1lCXOxpLZfHui3z9Y08bqmYzBZmcr5eG0/view?usp=drivesdk" TargetMode="External"/><Relationship Id="rId244" Type="http://schemas.openxmlformats.org/officeDocument/2006/relationships/hyperlink" Target="https://drive.google.com/file/d/1eVE-lCxbUlNH7-YGgiUbyQXMysi4YxYm/view?usp=drivesdk" TargetMode="External"/><Relationship Id="rId1079" Type="http://schemas.openxmlformats.org/officeDocument/2006/relationships/hyperlink" Target="https://drive.google.com/file/d/1rRD-Bh8mPPRN_LewNcfZj4uMszp6KoK9/view?usp=drivesdk" TargetMode="External"/><Relationship Id="rId243" Type="http://schemas.openxmlformats.org/officeDocument/2006/relationships/hyperlink" Target="https://drive.google.com/file/d/125oW-Yy66IiXYKhOycj3l8EvyroOpztd/view?usp=drivesdk" TargetMode="External"/><Relationship Id="rId239" Type="http://schemas.openxmlformats.org/officeDocument/2006/relationships/hyperlink" Target="https://drive.google.com/file/d/1FSedrQvB_-Rc2v4sl8L6pi6TxGR6LfrB/view?usp=drivesdk" TargetMode="External"/><Relationship Id="rId238" Type="http://schemas.openxmlformats.org/officeDocument/2006/relationships/hyperlink" Target="https://drive.google.com/file/d/1wgnG6Soqh9ROCizK12VPMpOolrnD6nej/view?usp=drivesdk" TargetMode="External"/><Relationship Id="rId237" Type="http://schemas.openxmlformats.org/officeDocument/2006/relationships/hyperlink" Target="https://drive.google.com/file/d/1sPCaP_tZ0rEs6A2e34Hp1ZNmLEvenXSK/view?usp=drivesdk" TargetMode="External"/><Relationship Id="rId236" Type="http://schemas.openxmlformats.org/officeDocument/2006/relationships/hyperlink" Target="https://drive.google.com/file/d/15TBBAgRRQJjXyZotluDbDiTdoC7yIa7z/view?usp=drivesdk" TargetMode="External"/><Relationship Id="rId2390" Type="http://schemas.openxmlformats.org/officeDocument/2006/relationships/hyperlink" Target="https://drive.google.com/file/d/1siDzTCg5TAqWvx1F7jfvqWF5y01jo9l6/view?usp=drivesdk" TargetMode="External"/><Relationship Id="rId1060" Type="http://schemas.openxmlformats.org/officeDocument/2006/relationships/hyperlink" Target="https://drive.google.com/file/d/1zsR3h_cf78A7_eV_EOfnTXPskd55yEGk/view?usp=drivesdk" TargetMode="External"/><Relationship Id="rId2391" Type="http://schemas.openxmlformats.org/officeDocument/2006/relationships/hyperlink" Target="https://drive.google.com/file/d/1iHwvqbzkE5E6QaDEkGEEiffgzbsf9lQG/view?usp=drivesdk" TargetMode="External"/><Relationship Id="rId1061" Type="http://schemas.openxmlformats.org/officeDocument/2006/relationships/hyperlink" Target="https://drive.google.com/file/d/1zk8XV0oqsBL-XM_2SsNIQXgO5SAexD5u/view?usp=drivesdk" TargetMode="External"/><Relationship Id="rId2392" Type="http://schemas.openxmlformats.org/officeDocument/2006/relationships/hyperlink" Target="https://drive.google.com/file/d/18lSrzJb6hlq2LTXVDLpK1cxy7NDtFwlx/view?usp=drivesdk" TargetMode="External"/><Relationship Id="rId231" Type="http://schemas.openxmlformats.org/officeDocument/2006/relationships/hyperlink" Target="https://drive.google.com/file/d/1QJ6DIHVjj7eu454NMl7cg_hqGVXGr2SH/view?usp=drivesdk" TargetMode="External"/><Relationship Id="rId1062" Type="http://schemas.openxmlformats.org/officeDocument/2006/relationships/hyperlink" Target="https://drive.google.com/file/d/1RhsHrHnzN8KzykhbZDPEKUxMAHgo0iQl/view?usp=drivesdk" TargetMode="External"/><Relationship Id="rId2393" Type="http://schemas.openxmlformats.org/officeDocument/2006/relationships/hyperlink" Target="https://drive.google.com/file/d/1cbRs7pAG_HHsYWLTtiX-MwQvS4vQmSB6/view?usp=drivesdk" TargetMode="External"/><Relationship Id="rId230" Type="http://schemas.openxmlformats.org/officeDocument/2006/relationships/hyperlink" Target="https://drive.google.com/file/d/1Af3oU7fMCAkPCXAmt2AH4pAZ2pYtymoW/view?usp=drivesdk" TargetMode="External"/><Relationship Id="rId1063" Type="http://schemas.openxmlformats.org/officeDocument/2006/relationships/hyperlink" Target="https://drive.google.com/file/d/1s-o92xrjY8qNFs578jYHlwgg3sJ-NP6W/view?usp=drivesdk" TargetMode="External"/><Relationship Id="rId2394" Type="http://schemas.openxmlformats.org/officeDocument/2006/relationships/hyperlink" Target="https://drive.google.com/file/d/1kDsi06We11UwXurjeSQ26k_Oq21xYFhx/view?usp=drivesdk" TargetMode="External"/><Relationship Id="rId1064" Type="http://schemas.openxmlformats.org/officeDocument/2006/relationships/hyperlink" Target="https://drive.google.com/file/d/1cYILhdMj6twb1okZTG4CcNmFRUz8TsRN/view?usp=drivesdk" TargetMode="External"/><Relationship Id="rId2395" Type="http://schemas.openxmlformats.org/officeDocument/2006/relationships/hyperlink" Target="https://drive.google.com/file/d/1vevfUy0iTc6NQfF1T-jwqjcTM_yHdsf0/view?usp=drivesdk" TargetMode="External"/><Relationship Id="rId1065" Type="http://schemas.openxmlformats.org/officeDocument/2006/relationships/hyperlink" Target="https://drive.google.com/file/d/1SlXcrYTi_ohTzOExmYweSBSZDmujKUAK/view?usp=drivesdk" TargetMode="External"/><Relationship Id="rId2396" Type="http://schemas.openxmlformats.org/officeDocument/2006/relationships/hyperlink" Target="https://drive.google.com/file/d/1tNde2WsKCKtTxCH7EfB-a1TjXERl50pJ/view?usp=drivesdk" TargetMode="External"/><Relationship Id="rId235" Type="http://schemas.openxmlformats.org/officeDocument/2006/relationships/hyperlink" Target="https://drive.google.com/file/d/1_xduvacj438WLVUcuNu4qKwuAkTb-F9l/view?usp=drivesdk" TargetMode="External"/><Relationship Id="rId1066" Type="http://schemas.openxmlformats.org/officeDocument/2006/relationships/hyperlink" Target="https://drive.google.com/file/d/1r8LaHO1oagj-xznnyFGoL1fDY_X8-HJK/view?usp=drivesdk" TargetMode="External"/><Relationship Id="rId2397" Type="http://schemas.openxmlformats.org/officeDocument/2006/relationships/hyperlink" Target="https://drive.google.com/file/d/1JjrD9NOW8xliYqnpBZzkTwq4qgfO4wNJ/view?usp=drivesdk" TargetMode="External"/><Relationship Id="rId234" Type="http://schemas.openxmlformats.org/officeDocument/2006/relationships/hyperlink" Target="https://drive.google.com/file/d/1ECkWjwYiI0lv6dn19X2mEO2nCPJ9mlE6/view?usp=drivesdk" TargetMode="External"/><Relationship Id="rId1067" Type="http://schemas.openxmlformats.org/officeDocument/2006/relationships/hyperlink" Target="https://drive.google.com/file/d/1VZGylbI98WjytpbwdjhMo7z2hjuGU4hN/view?usp=drivesdk" TargetMode="External"/><Relationship Id="rId2398" Type="http://schemas.openxmlformats.org/officeDocument/2006/relationships/hyperlink" Target="https://drive.google.com/file/d/1F1gmEthZ6jBt549BBg-rdg_5OVDXWokk/view?usp=drivesdk" TargetMode="External"/><Relationship Id="rId233" Type="http://schemas.openxmlformats.org/officeDocument/2006/relationships/hyperlink" Target="https://drive.google.com/file/d/12BclVbSEH8zh6pi7DamlMGRa-usp4H1t/view?usp=drivesdk" TargetMode="External"/><Relationship Id="rId1068" Type="http://schemas.openxmlformats.org/officeDocument/2006/relationships/hyperlink" Target="https://drive.google.com/file/d/1GjhhZbbb8mAaVRt9zKR7GVU3Igrbxt67/view?usp=drivesdk" TargetMode="External"/><Relationship Id="rId2399" Type="http://schemas.openxmlformats.org/officeDocument/2006/relationships/hyperlink" Target="https://drive.google.com/file/d/1peHj2qn55XShERDto7FmUKmKRW04vw25/view?usp=drivesdk" TargetMode="External"/><Relationship Id="rId232" Type="http://schemas.openxmlformats.org/officeDocument/2006/relationships/hyperlink" Target="https://drive.google.com/file/d/1rIXV-wnGDKvubdUQQxmdU_Wv0qPz-V-F/view?usp=drivesdk" TargetMode="External"/><Relationship Id="rId1069" Type="http://schemas.openxmlformats.org/officeDocument/2006/relationships/hyperlink" Target="https://drive.google.com/file/d/1Fz4gwoFVZ61QsVuQAy1Miyk_5TnN811X/view?usp=drivesdk" TargetMode="External"/><Relationship Id="rId1015" Type="http://schemas.openxmlformats.org/officeDocument/2006/relationships/hyperlink" Target="https://drive.google.com/file/d/10wvPjUj2j-bwDFwvB9-zbS4M8yI4QzKU/view?usp=drivesdk" TargetMode="External"/><Relationship Id="rId2346" Type="http://schemas.openxmlformats.org/officeDocument/2006/relationships/hyperlink" Target="https://drive.google.com/file/d/1XTFfWFGSOorXaSHUTepn_NywZP0WRrna/view?usp=drivesdk" TargetMode="External"/><Relationship Id="rId1016" Type="http://schemas.openxmlformats.org/officeDocument/2006/relationships/hyperlink" Target="https://drive.google.com/file/d/1VF2iIIdXF6qLbjeKewCq5bYS5NAFXwix/view?usp=drivesdk" TargetMode="External"/><Relationship Id="rId2347" Type="http://schemas.openxmlformats.org/officeDocument/2006/relationships/hyperlink" Target="https://drive.google.com/file/d/1MOD_LiszrqtrS8ADK6fAq6j9ju8s4Owd/view?usp=drivesdk" TargetMode="External"/><Relationship Id="rId1017" Type="http://schemas.openxmlformats.org/officeDocument/2006/relationships/hyperlink" Target="https://drive.google.com/file/d/1Amq0DbPEbXg_ROiaz5QdIHPuE1kVAXKd/view?usp=drivesdk" TargetMode="External"/><Relationship Id="rId2348" Type="http://schemas.openxmlformats.org/officeDocument/2006/relationships/hyperlink" Target="https://drive.google.com/file/d/1dAqnDNRhaQ6sjRhO40O2fp3yaLbqJIli/view?usp=drivesdk" TargetMode="External"/><Relationship Id="rId1018" Type="http://schemas.openxmlformats.org/officeDocument/2006/relationships/hyperlink" Target="https://drive.google.com/file/d/1KgiYpauF6pahonPzLyqq8JP29NqyrdWK/view?usp=drivesdk" TargetMode="External"/><Relationship Id="rId2349" Type="http://schemas.openxmlformats.org/officeDocument/2006/relationships/hyperlink" Target="https://drive.google.com/file/d/13a9vBHGI6SG76QMpDyvnIcBH20qNsto2/view?usp=drivesdk" TargetMode="External"/><Relationship Id="rId1019" Type="http://schemas.openxmlformats.org/officeDocument/2006/relationships/hyperlink" Target="https://drive.google.com/file/d/1RT5r2kB5DzfZk3U5OHnmlhZai4CIg7Pz/view?usp=drivesdk" TargetMode="External"/><Relationship Id="rId2340" Type="http://schemas.openxmlformats.org/officeDocument/2006/relationships/hyperlink" Target="https://drive.google.com/file/d/1mJVZEGRuGEHvjJLpaIkoRcJuDNXnANgI/view?usp=drivesdk" TargetMode="External"/><Relationship Id="rId1010" Type="http://schemas.openxmlformats.org/officeDocument/2006/relationships/hyperlink" Target="https://drive.google.com/file/d/14v_JHQxzI9HtJDJs6iZ8fRNus_f5UAGe/view?usp=drivesdk" TargetMode="External"/><Relationship Id="rId2341" Type="http://schemas.openxmlformats.org/officeDocument/2006/relationships/hyperlink" Target="https://drive.google.com/file/d/1Z9cXGn_9cINuuX5drvoG0YLH4tFIjcZ7/view?usp=drivesdk" TargetMode="External"/><Relationship Id="rId1011" Type="http://schemas.openxmlformats.org/officeDocument/2006/relationships/hyperlink" Target="https://drive.google.com/file/d/19RQ-PRp6aFWHVejOVQdpZjrTQXf65Kmd/view?usp=drivesdk" TargetMode="External"/><Relationship Id="rId2342" Type="http://schemas.openxmlformats.org/officeDocument/2006/relationships/hyperlink" Target="https://drive.google.com/file/d/1TVEae0arGcjXygxgVD8laFAM0LcnW7EM/view?usp=drivesdk" TargetMode="External"/><Relationship Id="rId1012" Type="http://schemas.openxmlformats.org/officeDocument/2006/relationships/hyperlink" Target="https://drive.google.com/file/d/1aIlL0O9aFXrMnRdJ-XsZw8Bw0-HaZzOp/view?usp=drivesdk" TargetMode="External"/><Relationship Id="rId2343" Type="http://schemas.openxmlformats.org/officeDocument/2006/relationships/hyperlink" Target="https://drive.google.com/file/d/1VcKqsyqYAl_exqLf4Zk_sKFNXaU3WlBH/view?usp=drivesdk" TargetMode="External"/><Relationship Id="rId1013" Type="http://schemas.openxmlformats.org/officeDocument/2006/relationships/hyperlink" Target="https://drive.google.com/file/d/154Qx30hu0D7Aoa9Ey8wHl-TtywNQTU8I/view?usp=drivesdk" TargetMode="External"/><Relationship Id="rId2344" Type="http://schemas.openxmlformats.org/officeDocument/2006/relationships/hyperlink" Target="https://drive.google.com/file/d/1_Q49N573VFAV_0WagG-Wq7CeefQWtosH/view?usp=drivesdk" TargetMode="External"/><Relationship Id="rId1014" Type="http://schemas.openxmlformats.org/officeDocument/2006/relationships/hyperlink" Target="https://drive.google.com/file/d/1jYrtjqdTXxiTSvmuqNs5CLYjl3bDx57e/view?usp=drivesdk" TargetMode="External"/><Relationship Id="rId2345" Type="http://schemas.openxmlformats.org/officeDocument/2006/relationships/hyperlink" Target="https://drive.google.com/file/d/1Z8QqX6BeYJ31sKxIZKBNg1LwDY6t3snO/view?usp=drivesdk" TargetMode="External"/><Relationship Id="rId1004" Type="http://schemas.openxmlformats.org/officeDocument/2006/relationships/hyperlink" Target="https://drive.google.com/file/d/1VPB0ZWiVsJ01n-Tfay2g-vWX9tReIPew/view?usp=drivesdk" TargetMode="External"/><Relationship Id="rId2335" Type="http://schemas.openxmlformats.org/officeDocument/2006/relationships/hyperlink" Target="https://drive.google.com/file/d/1St2O5UfYoWXX1n7crfXuAdRXy1k6nYoo/view?usp=drivesdk" TargetMode="External"/><Relationship Id="rId1005" Type="http://schemas.openxmlformats.org/officeDocument/2006/relationships/hyperlink" Target="https://drive.google.com/file/d/1ATHUtBOTxTCxt8N_eQSAezVDleH5UyRj/view?usp=drivesdk" TargetMode="External"/><Relationship Id="rId2336" Type="http://schemas.openxmlformats.org/officeDocument/2006/relationships/hyperlink" Target="https://drive.google.com/file/d/1jpKVfN7bQV2qYmB0hMMFd61i7NfLKBWv/view?usp=drivesdk" TargetMode="External"/><Relationship Id="rId1006" Type="http://schemas.openxmlformats.org/officeDocument/2006/relationships/hyperlink" Target="https://drive.google.com/file/d/1Pit1tJn2cHakV8BX43PIdKZnSVoZQcmn/view?usp=drivesdk" TargetMode="External"/><Relationship Id="rId2337" Type="http://schemas.openxmlformats.org/officeDocument/2006/relationships/hyperlink" Target="https://drive.google.com/file/d/1oIyrc3DheYw0taiflzQv_d41jqNrRjmb/view?usp=drivesdk" TargetMode="External"/><Relationship Id="rId1007" Type="http://schemas.openxmlformats.org/officeDocument/2006/relationships/hyperlink" Target="https://drive.google.com/file/d/1Jf6EV88Oh74edX72FBD60dqKXlMdn6Mc/view?usp=drivesdk" TargetMode="External"/><Relationship Id="rId2338" Type="http://schemas.openxmlformats.org/officeDocument/2006/relationships/hyperlink" Target="https://drive.google.com/file/d/1rGqHLpg3OEGQnWLvlAEJr7JSMWJ2p-Ar/view?usp=drivesdk" TargetMode="External"/><Relationship Id="rId1008" Type="http://schemas.openxmlformats.org/officeDocument/2006/relationships/hyperlink" Target="https://drive.google.com/file/d/1K9Z2QoAfUp3wZZ9r-TdCgcxRW8O4g__4/view?usp=drivesdk" TargetMode="External"/><Relationship Id="rId2339" Type="http://schemas.openxmlformats.org/officeDocument/2006/relationships/hyperlink" Target="https://drive.google.com/file/d/14jCdpBA20GeEpZdlt1OEEDrVjc2kp6h7/view?usp=drivesdk" TargetMode="External"/><Relationship Id="rId1009" Type="http://schemas.openxmlformats.org/officeDocument/2006/relationships/hyperlink" Target="https://drive.google.com/file/d/1Lg9AAKPrBnclSilQCr3AJ9Utx61yJZ10/view?usp=drivesdk" TargetMode="External"/><Relationship Id="rId2330" Type="http://schemas.openxmlformats.org/officeDocument/2006/relationships/hyperlink" Target="https://drive.google.com/file/d/1a1lUlk42gIQYcLhUt5t0G_RLi9u-460d/view?usp=drivesdk" TargetMode="External"/><Relationship Id="rId1000" Type="http://schemas.openxmlformats.org/officeDocument/2006/relationships/hyperlink" Target="https://drive.google.com/file/d/1SVjF8ubObSqPDALimt0IDBXcn12XB-8i/view?usp=drivesdk" TargetMode="External"/><Relationship Id="rId2331" Type="http://schemas.openxmlformats.org/officeDocument/2006/relationships/hyperlink" Target="https://drive.google.com/file/d/1xrut3UwaTqtTgH6ZPERdwikqTF1K9Y3S/view?usp=drivesdk" TargetMode="External"/><Relationship Id="rId1001" Type="http://schemas.openxmlformats.org/officeDocument/2006/relationships/hyperlink" Target="https://drive.google.com/file/d/1GVBqgyuDLoRWYiX__KiiE9-6b7stT8IT/view?usp=drivesdk" TargetMode="External"/><Relationship Id="rId2332" Type="http://schemas.openxmlformats.org/officeDocument/2006/relationships/hyperlink" Target="https://drive.google.com/file/d/1CSCUNAQZCt3s32RgzUwXe6pe5scvK0yY/view?usp=drivesdk" TargetMode="External"/><Relationship Id="rId1002" Type="http://schemas.openxmlformats.org/officeDocument/2006/relationships/hyperlink" Target="https://drive.google.com/file/d/1IM4CBGtk-uBexLOjWnTivV4WzNvwBH8E/view?usp=drivesdk" TargetMode="External"/><Relationship Id="rId2333" Type="http://schemas.openxmlformats.org/officeDocument/2006/relationships/hyperlink" Target="https://drive.google.com/file/d/1cflioA5Qw5Sj6UkXFjuzZ2STJ0e1v6Gz/view?usp=drivesdk" TargetMode="External"/><Relationship Id="rId1003" Type="http://schemas.openxmlformats.org/officeDocument/2006/relationships/hyperlink" Target="https://drive.google.com/file/d/1lJVrOaRZiyfxA803nV3ux-TzNSeeMurV/view?usp=drivesdk" TargetMode="External"/><Relationship Id="rId2334" Type="http://schemas.openxmlformats.org/officeDocument/2006/relationships/hyperlink" Target="https://drive.google.com/file/d/1UEfsbEURhIs10uMTifQAssGeEJtFUKKx/view?usp=drivesdk" TargetMode="External"/><Relationship Id="rId1037" Type="http://schemas.openxmlformats.org/officeDocument/2006/relationships/hyperlink" Target="https://drive.google.com/file/d/1QqsZUjbe7ojmX7FiAvHh1tFZVzadHEr4/view?usp=drivesdk" TargetMode="External"/><Relationship Id="rId2368" Type="http://schemas.openxmlformats.org/officeDocument/2006/relationships/hyperlink" Target="https://drive.google.com/file/d/1iB1iRJQEIss4hSoqw92nY3NXxa2obChZ/view?usp=drivesdk" TargetMode="External"/><Relationship Id="rId1038" Type="http://schemas.openxmlformats.org/officeDocument/2006/relationships/hyperlink" Target="https://drive.google.com/file/d/1c-gDl6O5ZW0j0e9UJ-3VaFyQslJA20R2/view?usp=drivesdk" TargetMode="External"/><Relationship Id="rId2369" Type="http://schemas.openxmlformats.org/officeDocument/2006/relationships/hyperlink" Target="https://drive.google.com/file/d/1SP5jHd3WRyyvYJcl4eFapcMBBizKeGUl/view?usp=drivesdk" TargetMode="External"/><Relationship Id="rId1039" Type="http://schemas.openxmlformats.org/officeDocument/2006/relationships/hyperlink" Target="https://drive.google.com/file/d/1xdTxmJEwjz5ttfDJoCwjvWfHsl5g3jP6/view?usp=drivesdk" TargetMode="External"/><Relationship Id="rId206" Type="http://schemas.openxmlformats.org/officeDocument/2006/relationships/hyperlink" Target="https://drive.google.com/file/d/1lMYMyTdUxng9kA4vr7ZafvBPZQntsVeE/view?usp=drivesdk" TargetMode="External"/><Relationship Id="rId205" Type="http://schemas.openxmlformats.org/officeDocument/2006/relationships/hyperlink" Target="https://drive.google.com/file/d/1rRa5Ov_4KH959CW4vVY3vtN9KAqvjbYg/view?usp=drivesdk" TargetMode="External"/><Relationship Id="rId204" Type="http://schemas.openxmlformats.org/officeDocument/2006/relationships/hyperlink" Target="https://drive.google.com/file/d/19VutC3kb75QkZ31e54mWSOZVCDxwToZf/view?usp=drivesdk" TargetMode="External"/><Relationship Id="rId203" Type="http://schemas.openxmlformats.org/officeDocument/2006/relationships/hyperlink" Target="https://drive.google.com/file/d/14sTTUHHxEAS5sWrJSedLBys_hOOx7kwl/view?usp=drivesdk" TargetMode="External"/><Relationship Id="rId209" Type="http://schemas.openxmlformats.org/officeDocument/2006/relationships/hyperlink" Target="https://drive.google.com/file/d/1Rxggnxz-MwIiSQIguFknoJI7JLzCagao/view?usp=drivesdk" TargetMode="External"/><Relationship Id="rId208" Type="http://schemas.openxmlformats.org/officeDocument/2006/relationships/hyperlink" Target="https://drive.google.com/file/d/1iM0MJgBUo18pVKWRJM13y7ZbOSMAZKhn/view?usp=drivesdk" TargetMode="External"/><Relationship Id="rId207" Type="http://schemas.openxmlformats.org/officeDocument/2006/relationships/hyperlink" Target="https://drive.google.com/file/d/13kMd5gdnNjeV3i4RLjgrwxu2N97r8sr9/view?usp=drivesdk" TargetMode="External"/><Relationship Id="rId2360" Type="http://schemas.openxmlformats.org/officeDocument/2006/relationships/hyperlink" Target="https://drive.google.com/file/d/1gQEP5IJLffmqgeBD8cJqZD1njhiICXaO/view?usp=drivesdk" TargetMode="External"/><Relationship Id="rId1030" Type="http://schemas.openxmlformats.org/officeDocument/2006/relationships/hyperlink" Target="https://drive.google.com/file/d/1yNtIFE6LZsvr0HS6BJvescbVrw2Cqi6l/view?usp=drivesdk" TargetMode="External"/><Relationship Id="rId2361" Type="http://schemas.openxmlformats.org/officeDocument/2006/relationships/hyperlink" Target="https://drive.google.com/file/d/1aw1deRdv2_brwSW2ZZ7DG8T0vbU0PYNX/view?usp=drivesdk" TargetMode="External"/><Relationship Id="rId1031" Type="http://schemas.openxmlformats.org/officeDocument/2006/relationships/hyperlink" Target="https://drive.google.com/file/d/1CMk60qvEA6Ld_Nc7whNmqy7G48xeDJsh/view?usp=drivesdk" TargetMode="External"/><Relationship Id="rId2362" Type="http://schemas.openxmlformats.org/officeDocument/2006/relationships/hyperlink" Target="https://drive.google.com/file/d/1kwCznuTuMe4F8uergcBMCOeb45jEuXTr/view?usp=drivesdk" TargetMode="External"/><Relationship Id="rId1032" Type="http://schemas.openxmlformats.org/officeDocument/2006/relationships/hyperlink" Target="https://drive.google.com/file/d/1F3qjPt2BJqhonx8CV54hT5CGCc6OKwjP/view?usp=drivesdk" TargetMode="External"/><Relationship Id="rId2363" Type="http://schemas.openxmlformats.org/officeDocument/2006/relationships/hyperlink" Target="https://drive.google.com/file/d/1LtoTK2zHVIYGFfb_cXHLXLWkOHpGikA0/view?usp=drivesdk" TargetMode="External"/><Relationship Id="rId202" Type="http://schemas.openxmlformats.org/officeDocument/2006/relationships/hyperlink" Target="https://drive.google.com/file/d/1bOhNXQijxEgh4Kj7dhi6wRucTS5G6xbO/view?usp=drivesdk" TargetMode="External"/><Relationship Id="rId1033" Type="http://schemas.openxmlformats.org/officeDocument/2006/relationships/hyperlink" Target="https://drive.google.com/file/d/1T7RX4ua13jzIUjcNdvPnw9g1mk0x1-0w/view?usp=drivesdk" TargetMode="External"/><Relationship Id="rId2364" Type="http://schemas.openxmlformats.org/officeDocument/2006/relationships/hyperlink" Target="https://drive.google.com/file/d/1u3UeZsgg-pu1ZHEEX1uaXHGyGnnbQIHr/view?usp=drivesdk" TargetMode="External"/><Relationship Id="rId201" Type="http://schemas.openxmlformats.org/officeDocument/2006/relationships/hyperlink" Target="https://drive.google.com/file/d/1yEdX6zFFS9G5xecy3Zj5_9wVwftMV2UE/view?usp=drivesdk" TargetMode="External"/><Relationship Id="rId1034" Type="http://schemas.openxmlformats.org/officeDocument/2006/relationships/hyperlink" Target="https://drive.google.com/file/d/16dqLrRlTUnMDOhUpWnK1bJtZoMd-smSS/view?usp=drivesdk" TargetMode="External"/><Relationship Id="rId2365" Type="http://schemas.openxmlformats.org/officeDocument/2006/relationships/hyperlink" Target="https://drive.google.com/file/d/164yvRbDzBp4QTOt60ne0zLFnKfzz6qWW/view?usp=drivesdk" TargetMode="External"/><Relationship Id="rId200" Type="http://schemas.openxmlformats.org/officeDocument/2006/relationships/hyperlink" Target="https://drive.google.com/file/d/1A13UMziu1Wx1cewaRi5PBRW15UovHrui/view?usp=drivesdk" TargetMode="External"/><Relationship Id="rId1035" Type="http://schemas.openxmlformats.org/officeDocument/2006/relationships/hyperlink" Target="https://drive.google.com/file/d/1NYMFiONwB8KS4xkqHLur5HoiQ_OK2Nnx/view?usp=drivesdk" TargetMode="External"/><Relationship Id="rId2366" Type="http://schemas.openxmlformats.org/officeDocument/2006/relationships/hyperlink" Target="https://drive.google.com/file/d/18geCDJ5bRB3bpM43MHvE6GJwLIjojiV3/view?usp=drivesdk" TargetMode="External"/><Relationship Id="rId1036" Type="http://schemas.openxmlformats.org/officeDocument/2006/relationships/hyperlink" Target="https://drive.google.com/file/d/1ukcMhpTVncdvnh_xTzyAm8kLCEeBcdPq/view?usp=drivesdk" TargetMode="External"/><Relationship Id="rId2367" Type="http://schemas.openxmlformats.org/officeDocument/2006/relationships/hyperlink" Target="https://drive.google.com/file/d/19EgT43RHjwkUo0_VH9RxY_gZl2qByBLZ/view?usp=drivesdk" TargetMode="External"/><Relationship Id="rId1026" Type="http://schemas.openxmlformats.org/officeDocument/2006/relationships/hyperlink" Target="https://drive.google.com/file/d/1LHcEpq_EhwnoPUoqWbj3eqbIn5Z7TG1E/view?usp=drivesdk" TargetMode="External"/><Relationship Id="rId2357" Type="http://schemas.openxmlformats.org/officeDocument/2006/relationships/hyperlink" Target="https://drive.google.com/file/d/1jS6-wcsNs2BINT3z4pARWRtZLYGXCQno/view?usp=drivesdk" TargetMode="External"/><Relationship Id="rId1027" Type="http://schemas.openxmlformats.org/officeDocument/2006/relationships/hyperlink" Target="https://drive.google.com/file/d/13cernki-w4HxOqbSrQnezFigASKGjmjf/view?usp=drivesdk" TargetMode="External"/><Relationship Id="rId2358" Type="http://schemas.openxmlformats.org/officeDocument/2006/relationships/hyperlink" Target="https://drive.google.com/file/d/1lOqUFhZvkowPd-Ne3aczCZ30vQ08jqm-/view?usp=drivesdk" TargetMode="External"/><Relationship Id="rId1028" Type="http://schemas.openxmlformats.org/officeDocument/2006/relationships/hyperlink" Target="https://drive.google.com/file/d/1OUQAxojwX1c54i8Xf-JG5e-R-UwagkwQ/view?usp=drivesdk" TargetMode="External"/><Relationship Id="rId2359" Type="http://schemas.openxmlformats.org/officeDocument/2006/relationships/hyperlink" Target="https://drive.google.com/file/d/12yIYc8a3z4MzJ_-PiAeu39d1ppwYynMI/view?usp=drivesdk" TargetMode="External"/><Relationship Id="rId1029" Type="http://schemas.openxmlformats.org/officeDocument/2006/relationships/hyperlink" Target="https://drive.google.com/file/d/1uryryHboJTj07Vv5ZtkqCjbX7CKzuq8s/view?usp=drivesdk" TargetMode="External"/><Relationship Id="rId2350" Type="http://schemas.openxmlformats.org/officeDocument/2006/relationships/hyperlink" Target="https://drive.google.com/file/d/1MlLDH_QC-oyJlNsYjSNEwCrfC2Y9mK6Y/view?usp=drivesdk" TargetMode="External"/><Relationship Id="rId1020" Type="http://schemas.openxmlformats.org/officeDocument/2006/relationships/hyperlink" Target="https://drive.google.com/file/d/1rYNCRo-ZwvSOd5UEu0Krnh8FkNJXcQuF/view?usp=drivesdk" TargetMode="External"/><Relationship Id="rId2351" Type="http://schemas.openxmlformats.org/officeDocument/2006/relationships/hyperlink" Target="https://drive.google.com/file/d/1AJ_9VVIBkWOhrIbyTF4e9U5GJriLhVYy/view?usp=drivesdk" TargetMode="External"/><Relationship Id="rId1021" Type="http://schemas.openxmlformats.org/officeDocument/2006/relationships/hyperlink" Target="https://drive.google.com/file/d/1M8UVsxR3jq5AzuD_vn-lzNb4Kp0RdPVc/view?usp=drivesdk" TargetMode="External"/><Relationship Id="rId2352" Type="http://schemas.openxmlformats.org/officeDocument/2006/relationships/hyperlink" Target="https://drive.google.com/file/d/1gbKPV2rhuEZ5YY7sLWcOmdMsnKF1lOwO/view?usp=drivesdk" TargetMode="External"/><Relationship Id="rId1022" Type="http://schemas.openxmlformats.org/officeDocument/2006/relationships/hyperlink" Target="https://drive.google.com/file/d/1RwkWgjf-DoSD-HZoZyd12J4vV3hARTsD/view?usp=drivesdk" TargetMode="External"/><Relationship Id="rId2353" Type="http://schemas.openxmlformats.org/officeDocument/2006/relationships/hyperlink" Target="https://drive.google.com/file/d/1XAdHa8ntbQreOrtrubV-Qgfz8m_7szBt/view?usp=drivesdk" TargetMode="External"/><Relationship Id="rId1023" Type="http://schemas.openxmlformats.org/officeDocument/2006/relationships/hyperlink" Target="https://drive.google.com/file/d/1Xd_wBIaQgTe2oxUzCPl6o84zZP50xJKX/view?usp=drivesdk" TargetMode="External"/><Relationship Id="rId2354" Type="http://schemas.openxmlformats.org/officeDocument/2006/relationships/hyperlink" Target="https://drive.google.com/file/d/1_KweoGhNrt_00Umu1vsjHfibTm4z9cNE/view?usp=drivesdk" TargetMode="External"/><Relationship Id="rId1024" Type="http://schemas.openxmlformats.org/officeDocument/2006/relationships/hyperlink" Target="https://drive.google.com/file/d/14kya-Z4L7YEIKEeaP4BLyVpWecgfa2AH/view?usp=drivesdk" TargetMode="External"/><Relationship Id="rId2355" Type="http://schemas.openxmlformats.org/officeDocument/2006/relationships/hyperlink" Target="https://drive.google.com/file/d/1QlUnrKvG2byRPDlFFsCbdysV_7ZkCkzf/view?usp=drivesdk" TargetMode="External"/><Relationship Id="rId1025" Type="http://schemas.openxmlformats.org/officeDocument/2006/relationships/hyperlink" Target="https://drive.google.com/file/d/1C8zZ6TuGxCbTpecEm81GhxukgWVAQhWN/view?usp=drivesdk" TargetMode="External"/><Relationship Id="rId2356" Type="http://schemas.openxmlformats.org/officeDocument/2006/relationships/hyperlink" Target="https://drive.google.com/file/d/1ExZ7juOSUgumoSt5vCuDEvgISB_mT9vX/view?usp=drivesdk" TargetMode="External"/><Relationship Id="rId1910" Type="http://schemas.openxmlformats.org/officeDocument/2006/relationships/hyperlink" Target="https://drive.google.com/file/d/1RG0izqQ_rBjPSpVhcEmKfUfrbnfpE1M0/view?usp=drivesdk" TargetMode="External"/><Relationship Id="rId1911" Type="http://schemas.openxmlformats.org/officeDocument/2006/relationships/hyperlink" Target="https://drive.google.com/file/d/1Xy_OOVFiRB0BOhg1wsYFC7rkj3Kf1u1I/view?usp=drivesdk" TargetMode="External"/><Relationship Id="rId1912" Type="http://schemas.openxmlformats.org/officeDocument/2006/relationships/hyperlink" Target="https://drive.google.com/file/d/1Agrc5GFq5Frv7sOGcovaD1BKY9sfO17p/view?usp=drivesdk" TargetMode="External"/><Relationship Id="rId1913" Type="http://schemas.openxmlformats.org/officeDocument/2006/relationships/hyperlink" Target="https://drive.google.com/file/d/1OpqaLRgNI4syrTw7eBdR8v4hNLVg06U9/view?usp=drivesdk" TargetMode="External"/><Relationship Id="rId1914" Type="http://schemas.openxmlformats.org/officeDocument/2006/relationships/hyperlink" Target="https://drive.google.com/file/d/1IPzqwdPEx_NXOVDavQ9NYYflBq4WLkLt/view?usp=drivesdk" TargetMode="External"/><Relationship Id="rId1915" Type="http://schemas.openxmlformats.org/officeDocument/2006/relationships/hyperlink" Target="https://drive.google.com/file/d/1MznUx20djDv833Gh3uafwFKxnaaVrj43/view?usp=drivesdk" TargetMode="External"/><Relationship Id="rId1916" Type="http://schemas.openxmlformats.org/officeDocument/2006/relationships/hyperlink" Target="https://drive.google.com/file/d/1Ub9aMSbMLpr7_xY9a6tFgBHIjkS6cEEc/view?usp=drivesdk" TargetMode="External"/><Relationship Id="rId1917" Type="http://schemas.openxmlformats.org/officeDocument/2006/relationships/hyperlink" Target="https://drive.google.com/file/d/1-on_azF3SOQnkcXmO04jj2zt4-H3FlcG/view?usp=drivesdk" TargetMode="External"/><Relationship Id="rId1918" Type="http://schemas.openxmlformats.org/officeDocument/2006/relationships/hyperlink" Target="https://drive.google.com/file/d/1VTr0wR67oXPqTspZFD2WLtwQCj0zXKrh/view?usp=drivesdk" TargetMode="External"/><Relationship Id="rId1919" Type="http://schemas.openxmlformats.org/officeDocument/2006/relationships/hyperlink" Target="https://drive.google.com/file/d/1OQXfdOsmBPcEjb_PF9uWD_g_s1g9BKLK/view?usp=drivesdk" TargetMode="External"/><Relationship Id="rId1900" Type="http://schemas.openxmlformats.org/officeDocument/2006/relationships/hyperlink" Target="https://drive.google.com/file/d/17WfzyrTctbh-ycFCu5dg5IR87_upn8zm/view?usp=drivesdk" TargetMode="External"/><Relationship Id="rId1901" Type="http://schemas.openxmlformats.org/officeDocument/2006/relationships/hyperlink" Target="https://drive.google.com/file/d/1Lj-NalOkiEcybZZT_dNLosMFyuAbdUs8/view?usp=drivesdk" TargetMode="External"/><Relationship Id="rId1902" Type="http://schemas.openxmlformats.org/officeDocument/2006/relationships/hyperlink" Target="https://drive.google.com/file/d/1Yf0-4mxcVfhdYlLjMdsf8en6RDWsDJbw/view?usp=drivesdk" TargetMode="External"/><Relationship Id="rId1903" Type="http://schemas.openxmlformats.org/officeDocument/2006/relationships/hyperlink" Target="https://drive.google.com/file/d/1z2ENYgIkcshVHZYpVX_jkl4FG23ycA6Z/view?usp=drivesdk" TargetMode="External"/><Relationship Id="rId1904" Type="http://schemas.openxmlformats.org/officeDocument/2006/relationships/hyperlink" Target="https://drive.google.com/file/d/1_hV0LxKWPhSNb8BX52EFM1hcOzItqUhi/view?usp=drivesdk" TargetMode="External"/><Relationship Id="rId1905" Type="http://schemas.openxmlformats.org/officeDocument/2006/relationships/hyperlink" Target="https://drive.google.com/file/d/1nSvfohPIJk9khnM75MLzzGbK-7utfVvb/view?usp=drivesdk" TargetMode="External"/><Relationship Id="rId1906" Type="http://schemas.openxmlformats.org/officeDocument/2006/relationships/hyperlink" Target="https://drive.google.com/file/d/1d_BnfBpp2VSsPvBJAIR3GZDS5fF9o5w9/view?usp=drivesdk" TargetMode="External"/><Relationship Id="rId1907" Type="http://schemas.openxmlformats.org/officeDocument/2006/relationships/hyperlink" Target="https://drive.google.com/file/d/1KYY0LWmtoBuOHihcQ-uor2XUsRtL-7UW/view?usp=drivesdk" TargetMode="External"/><Relationship Id="rId1908" Type="http://schemas.openxmlformats.org/officeDocument/2006/relationships/hyperlink" Target="https://drive.google.com/file/d/1AFhk7r5ezmKOOZ_K8ckMu-sHI3HVYvci/view?usp=drivesdk" TargetMode="External"/><Relationship Id="rId1909" Type="http://schemas.openxmlformats.org/officeDocument/2006/relationships/hyperlink" Target="https://drive.google.com/file/d/1J2_ZhxXyuShXk0HW6vzzg72qC_6CkPl-/view?usp=drivesdk" TargetMode="External"/><Relationship Id="rId1090" Type="http://schemas.openxmlformats.org/officeDocument/2006/relationships/hyperlink" Target="https://drive.google.com/file/d/1OaJmWFXauHybaSnK3xBih8ufOu_tMwAw/view?usp=drivesdk" TargetMode="External"/><Relationship Id="rId1091" Type="http://schemas.openxmlformats.org/officeDocument/2006/relationships/hyperlink" Target="https://drive.google.com/file/d/1Z7Mw90AXLBMdNZVe8RaBy_TczXxKhAUs/view?usp=drivesdk" TargetMode="External"/><Relationship Id="rId1092" Type="http://schemas.openxmlformats.org/officeDocument/2006/relationships/hyperlink" Target="https://drive.google.com/file/d/1sy0BYf3Kt-bi9Lq7noXFBWEXaByZqdU-/view?usp=drivesdk" TargetMode="External"/><Relationship Id="rId1093" Type="http://schemas.openxmlformats.org/officeDocument/2006/relationships/hyperlink" Target="https://drive.google.com/file/d/10DvzKx5_AtQgdNCp-OqcVn-oYv8mv5n4/view?usp=drivesdk" TargetMode="External"/><Relationship Id="rId1094" Type="http://schemas.openxmlformats.org/officeDocument/2006/relationships/hyperlink" Target="https://drive.google.com/file/d/1NywfARb9tLnl3LTq3K32BFOrLVIlJrvM/view?usp=drivesdk" TargetMode="External"/><Relationship Id="rId1095" Type="http://schemas.openxmlformats.org/officeDocument/2006/relationships/hyperlink" Target="https://drive.google.com/file/d/1gGEwJhSZgMAeSg61dFEDgR4qLjpQpTyL/view?usp=drivesdk" TargetMode="External"/><Relationship Id="rId1096" Type="http://schemas.openxmlformats.org/officeDocument/2006/relationships/hyperlink" Target="https://drive.google.com/file/d/1sa-B2GFNTR89a5vrIAS6MvsPmdEGmbM1/view?usp=drivesdk" TargetMode="External"/><Relationship Id="rId1097" Type="http://schemas.openxmlformats.org/officeDocument/2006/relationships/hyperlink" Target="https://drive.google.com/file/d/1IErZ2j0jhcuIPlatjs9z8pCjgSl2S3h6/view?usp=drivesdk" TargetMode="External"/><Relationship Id="rId1098" Type="http://schemas.openxmlformats.org/officeDocument/2006/relationships/hyperlink" Target="https://drive.google.com/file/d/1G6JZEmMMLRIrURxc_dyXrBDTAScOMjVZ/view?usp=drivesdk" TargetMode="External"/><Relationship Id="rId1099" Type="http://schemas.openxmlformats.org/officeDocument/2006/relationships/hyperlink" Target="https://drive.google.com/file/d/1jsNmpUGc3SFKNCTcPasDCerwyIwsLECm/view?usp=drivesdk" TargetMode="External"/><Relationship Id="rId1080" Type="http://schemas.openxmlformats.org/officeDocument/2006/relationships/hyperlink" Target="https://drive.google.com/file/d/1v_yatdIaf9ah85hvTiT_i87-ZZKgyw8z/view?usp=drivesdk" TargetMode="External"/><Relationship Id="rId1081" Type="http://schemas.openxmlformats.org/officeDocument/2006/relationships/hyperlink" Target="https://drive.google.com/file/d/1T3kdw0-wjlu0E53OdEHLTRxSL1WV4GD2/view?usp=drivesdk" TargetMode="External"/><Relationship Id="rId1082" Type="http://schemas.openxmlformats.org/officeDocument/2006/relationships/hyperlink" Target="https://drive.google.com/file/d/1g6q8nISpnYmmIa0tHGFco-Q0-mH9P8P_/view?usp=drivesdk" TargetMode="External"/><Relationship Id="rId1083" Type="http://schemas.openxmlformats.org/officeDocument/2006/relationships/hyperlink" Target="https://drive.google.com/file/d/1ttGyqEjjV-98eagMAZ7fs7ApCqu23b27/view?usp=drivesdk" TargetMode="External"/><Relationship Id="rId1084" Type="http://schemas.openxmlformats.org/officeDocument/2006/relationships/hyperlink" Target="https://drive.google.com/file/d/1YQ-aufbsCC9hO3yxbHG5yT1hC8gC2Zwm/view?usp=drivesdk" TargetMode="External"/><Relationship Id="rId1085" Type="http://schemas.openxmlformats.org/officeDocument/2006/relationships/hyperlink" Target="https://drive.google.com/file/d/1zSkXvd_SQ8Y3SFR5dbVcX3nOQXjwNUgz/view?usp=drivesdk" TargetMode="External"/><Relationship Id="rId1086" Type="http://schemas.openxmlformats.org/officeDocument/2006/relationships/hyperlink" Target="https://drive.google.com/file/d/1cYa6N0WKe6Bh2MCHkEqipe4p1Bb3ENLu/view?usp=drivesdk" TargetMode="External"/><Relationship Id="rId1087" Type="http://schemas.openxmlformats.org/officeDocument/2006/relationships/hyperlink" Target="https://drive.google.com/file/d/1U_OpKcnH3vqA_sZl7r6oivPzFbw81e8Y/view?usp=drivesdk" TargetMode="External"/><Relationship Id="rId1088" Type="http://schemas.openxmlformats.org/officeDocument/2006/relationships/hyperlink" Target="https://drive.google.com/file/d/1KFt0oWL0PlCdDAF8vfAu0PFIKhDUEvZv/view?usp=drivesdk" TargetMode="External"/><Relationship Id="rId1089" Type="http://schemas.openxmlformats.org/officeDocument/2006/relationships/hyperlink" Target="https://drive.google.com/file/d/1Jb35JMuBKlW_Crt2jnY84fYUKJOvW-Xt/view?usp=drivesdk" TargetMode="External"/><Relationship Id="rId1972" Type="http://schemas.openxmlformats.org/officeDocument/2006/relationships/hyperlink" Target="https://drive.google.com/file/d/1hWfokltwBkoqHFEcC6Y6_dIRzbc3xn2Q/view?usp=drivesdk" TargetMode="External"/><Relationship Id="rId1973" Type="http://schemas.openxmlformats.org/officeDocument/2006/relationships/hyperlink" Target="https://drive.google.com/file/d/11sSauXb0HoVRgYDG9CnOlMBheFEjk0NQ/view?usp=drivesdk" TargetMode="External"/><Relationship Id="rId1974" Type="http://schemas.openxmlformats.org/officeDocument/2006/relationships/hyperlink" Target="https://drive.google.com/file/d/1aDSm4Lq4K8IFN4JH8XXWURoEKbUjjmL3/view?usp=drivesdk" TargetMode="External"/><Relationship Id="rId1975" Type="http://schemas.openxmlformats.org/officeDocument/2006/relationships/hyperlink" Target="https://drive.google.com/file/d/1DOLllL6R7032IvCSzFDDyxUuY_nU2qkX/view?usp=drivesdk" TargetMode="External"/><Relationship Id="rId1976" Type="http://schemas.openxmlformats.org/officeDocument/2006/relationships/hyperlink" Target="https://drive.google.com/file/d/1wDNXb0olz39__EV_LKeVH7NGHiDMCeB6/view?usp=drivesdk" TargetMode="External"/><Relationship Id="rId1977" Type="http://schemas.openxmlformats.org/officeDocument/2006/relationships/hyperlink" Target="https://drive.google.com/file/d/1_GSFYpdpPE9KlDDSJISHSbkxPaGiv90y/view?usp=drivesdk" TargetMode="External"/><Relationship Id="rId1978" Type="http://schemas.openxmlformats.org/officeDocument/2006/relationships/hyperlink" Target="https://drive.google.com/file/d/1CufoZHl_KItNfmOr5x_-4R-WsAKrS65V/view?usp=drivesdk" TargetMode="External"/><Relationship Id="rId1979" Type="http://schemas.openxmlformats.org/officeDocument/2006/relationships/hyperlink" Target="https://drive.google.com/file/d/1NxbR_bwAiYFpZjIg55CMPxWtvCoOVIAQ/view?usp=drivesdk" TargetMode="External"/><Relationship Id="rId1970" Type="http://schemas.openxmlformats.org/officeDocument/2006/relationships/hyperlink" Target="https://drive.google.com/file/d/1gPKErZn0U75GIXRc3TyDKhjO1YYEA8-a/view?usp=drivesdk" TargetMode="External"/><Relationship Id="rId1971" Type="http://schemas.openxmlformats.org/officeDocument/2006/relationships/hyperlink" Target="https://drive.google.com/file/d/1T3Rn1Ki7p7o8u_ViHHHYvafHFmjnylcx/view?usp=drivesdk" TargetMode="External"/><Relationship Id="rId1961" Type="http://schemas.openxmlformats.org/officeDocument/2006/relationships/hyperlink" Target="https://drive.google.com/file/d/1egXsfHxw3enkl4JvCEY0lfs0BTX1O2u3/view?usp=drivesdk" TargetMode="External"/><Relationship Id="rId1962" Type="http://schemas.openxmlformats.org/officeDocument/2006/relationships/hyperlink" Target="https://drive.google.com/file/d/1p1O3cA89Rortn-b4c3if2MEMXd31m4nv/view?usp=drivesdk" TargetMode="External"/><Relationship Id="rId1963" Type="http://schemas.openxmlformats.org/officeDocument/2006/relationships/hyperlink" Target="https://drive.google.com/file/d/1GUMHnYj_hycM2gMFNTbvEGwdonZHVaEU/view?usp=drivesdk" TargetMode="External"/><Relationship Id="rId1964" Type="http://schemas.openxmlformats.org/officeDocument/2006/relationships/hyperlink" Target="https://drive.google.com/file/d/105cRk7vC72JK1EA9WyGiYPQkLW7C53Ad/view?usp=drivesdk" TargetMode="External"/><Relationship Id="rId1965" Type="http://schemas.openxmlformats.org/officeDocument/2006/relationships/hyperlink" Target="https://drive.google.com/file/d/1AEIAMNY49STOE6ElNt-b8Hq1Zx5-39DC/view?usp=drivesdk" TargetMode="External"/><Relationship Id="rId1966" Type="http://schemas.openxmlformats.org/officeDocument/2006/relationships/hyperlink" Target="https://drive.google.com/file/d/1BktRBxUCABNKOmBS08ZeWLX5NwbuQmVb/view?usp=drivesdk" TargetMode="External"/><Relationship Id="rId1967" Type="http://schemas.openxmlformats.org/officeDocument/2006/relationships/hyperlink" Target="https://drive.google.com/file/d/1b2FC_ZxV315l7N6zoTHVU2AgAr7SbyXB/view?usp=drivesdk" TargetMode="External"/><Relationship Id="rId1968" Type="http://schemas.openxmlformats.org/officeDocument/2006/relationships/hyperlink" Target="https://drive.google.com/file/d/17yYMWhyDAG179mIfO09X_DXEZMxaYLjP/view?usp=drivesdk" TargetMode="External"/><Relationship Id="rId1969" Type="http://schemas.openxmlformats.org/officeDocument/2006/relationships/hyperlink" Target="https://drive.google.com/file/d/1AnxK02a5BeBo9dA5i4f_u2An2ZuJqRrr/view?usp=drivesdk" TargetMode="External"/><Relationship Id="rId1960" Type="http://schemas.openxmlformats.org/officeDocument/2006/relationships/hyperlink" Target="https://drive.google.com/file/d/1n2AFbrWCoSyUJoEu2sdAqSUYEEqLi3-i/view?usp=drivesdk" TargetMode="External"/><Relationship Id="rId1994" Type="http://schemas.openxmlformats.org/officeDocument/2006/relationships/hyperlink" Target="https://drive.google.com/file/d/1tNWBEIyqVAkKjP7KUoSu2t3rEj4DPo_A/view?usp=drivesdk" TargetMode="External"/><Relationship Id="rId1995" Type="http://schemas.openxmlformats.org/officeDocument/2006/relationships/hyperlink" Target="https://drive.google.com/file/d/1tMrBtPVk07Vt3IgjI_4ese_KDvqQCuKK/view?usp=drivesdk" TargetMode="External"/><Relationship Id="rId1996" Type="http://schemas.openxmlformats.org/officeDocument/2006/relationships/hyperlink" Target="https://drive.google.com/file/d/1GTnjtSM79S6hEZLXrpWxGtZd34NCBmBN/view?usp=drivesdk" TargetMode="External"/><Relationship Id="rId1997" Type="http://schemas.openxmlformats.org/officeDocument/2006/relationships/hyperlink" Target="https://drive.google.com/file/d/1liYat5J_yw4yTHidCRQkdAQyTzcftC6D/view?usp=drivesdk" TargetMode="External"/><Relationship Id="rId1998" Type="http://schemas.openxmlformats.org/officeDocument/2006/relationships/hyperlink" Target="https://drive.google.com/file/d/1bbOr5sJJaSFgt-aKadq5yMvKA8ywD97U/view?usp=drivesdk" TargetMode="External"/><Relationship Id="rId1999" Type="http://schemas.openxmlformats.org/officeDocument/2006/relationships/hyperlink" Target="https://drive.google.com/file/d/1IK98kxqzXUKr6oiSy5Yh1iZIS2v8ZtnC/view?usp=drivesdk" TargetMode="External"/><Relationship Id="rId1990" Type="http://schemas.openxmlformats.org/officeDocument/2006/relationships/hyperlink" Target="https://drive.google.com/file/d/1OhQWWe3jm8WtNRylZvAGE-c4xHX8dswr/view?usp=drivesdk" TargetMode="External"/><Relationship Id="rId1991" Type="http://schemas.openxmlformats.org/officeDocument/2006/relationships/hyperlink" Target="https://drive.google.com/file/d/10gwwst21XMDLdZDUQ3-UJKa2tLRTlO7K/view?usp=drivesdk" TargetMode="External"/><Relationship Id="rId1992" Type="http://schemas.openxmlformats.org/officeDocument/2006/relationships/hyperlink" Target="https://drive.google.com/file/d/18gORVnI1F3fjlDcwB6OsrshMJDerCS2r/view?usp=drivesdk" TargetMode="External"/><Relationship Id="rId1993" Type="http://schemas.openxmlformats.org/officeDocument/2006/relationships/hyperlink" Target="https://drive.google.com/file/d/17KV68RT0MMeGKz0n7gj1Dsmt7YXSfvOC/view?usp=drivesdk" TargetMode="External"/><Relationship Id="rId1983" Type="http://schemas.openxmlformats.org/officeDocument/2006/relationships/hyperlink" Target="https://drive.google.com/file/d/1w5TanXJyS5YVblHirQgJO5zKr4e7CFnK/view?usp=drivesdk" TargetMode="External"/><Relationship Id="rId1984" Type="http://schemas.openxmlformats.org/officeDocument/2006/relationships/hyperlink" Target="https://drive.google.com/file/d/1KeSwecAaGUPly_0Khma5VYzCJyRIWBpt/view?usp=drivesdk" TargetMode="External"/><Relationship Id="rId1985" Type="http://schemas.openxmlformats.org/officeDocument/2006/relationships/hyperlink" Target="https://drive.google.com/file/d/1zCYZDaOwE-K33Jkam-tMneBjxjoNVHza/view?usp=drivesdk" TargetMode="External"/><Relationship Id="rId1986" Type="http://schemas.openxmlformats.org/officeDocument/2006/relationships/hyperlink" Target="https://drive.google.com/file/d/1E9n7K_S1QjugzYn-rTEbb--ETbvudVse/view?usp=drivesdk" TargetMode="External"/><Relationship Id="rId1987" Type="http://schemas.openxmlformats.org/officeDocument/2006/relationships/hyperlink" Target="https://drive.google.com/file/d/1ETLxNzxxAx38Kbjl_2clUvwzL5DDrTd8/view?usp=drivesdk" TargetMode="External"/><Relationship Id="rId1988" Type="http://schemas.openxmlformats.org/officeDocument/2006/relationships/hyperlink" Target="https://drive.google.com/file/d/1fqDwT6f6uPiUgL_jMbCxBCBzksaDNMma/view?usp=drivesdk" TargetMode="External"/><Relationship Id="rId1989" Type="http://schemas.openxmlformats.org/officeDocument/2006/relationships/hyperlink" Target="https://drive.google.com/file/d/1Z0u77Ei4pPZsjR5reXLadM9xd0tgKrac/view?usp=drivesdk" TargetMode="External"/><Relationship Id="rId1980" Type="http://schemas.openxmlformats.org/officeDocument/2006/relationships/hyperlink" Target="https://drive.google.com/file/d/15obABizUe2mVP6tTA7xfzSOU9zsFeGRP/view?usp=drivesdk" TargetMode="External"/><Relationship Id="rId1981" Type="http://schemas.openxmlformats.org/officeDocument/2006/relationships/hyperlink" Target="https://drive.google.com/file/d/1vGGh8iNvz5riiPFFfaYWDPoBsN1DieSC/view?usp=drivesdk" TargetMode="External"/><Relationship Id="rId1982" Type="http://schemas.openxmlformats.org/officeDocument/2006/relationships/hyperlink" Target="https://drive.google.com/file/d/1nZRWE8YtR8lD6JVTIYbN9Kn9F6IO3Tol/view?usp=drivesdk" TargetMode="External"/><Relationship Id="rId1930" Type="http://schemas.openxmlformats.org/officeDocument/2006/relationships/hyperlink" Target="https://drive.google.com/file/d/1D9dO_DC6ePh-Csant4DlT-9TnvAmfuAB/view?usp=drivesdk" TargetMode="External"/><Relationship Id="rId1931" Type="http://schemas.openxmlformats.org/officeDocument/2006/relationships/hyperlink" Target="https://drive.google.com/file/d/15bGGIIEKFkDlvesZF2WINiYBiRVVRi7R/view?usp=drivesdk" TargetMode="External"/><Relationship Id="rId1932" Type="http://schemas.openxmlformats.org/officeDocument/2006/relationships/hyperlink" Target="https://drive.google.com/file/d/13_FjItFP6GHekMwAss_IcUYD2Z-Q2DAK/view?usp=drivesdk" TargetMode="External"/><Relationship Id="rId1933" Type="http://schemas.openxmlformats.org/officeDocument/2006/relationships/hyperlink" Target="https://drive.google.com/file/d/11jqeGWUpUh79pKFzwZ3T_bBagRuPGFCi/view?usp=drivesdk" TargetMode="External"/><Relationship Id="rId1934" Type="http://schemas.openxmlformats.org/officeDocument/2006/relationships/hyperlink" Target="https://drive.google.com/file/d/1vaJaM70la8WjjudMF5sP3NGFuj_0wy9h/view?usp=drivesdk" TargetMode="External"/><Relationship Id="rId1935" Type="http://schemas.openxmlformats.org/officeDocument/2006/relationships/hyperlink" Target="https://drive.google.com/file/d/156tAE8v5cFhpA2JE6GA1a7Ktomq0eLYG/view?usp=drivesdk" TargetMode="External"/><Relationship Id="rId1936" Type="http://schemas.openxmlformats.org/officeDocument/2006/relationships/hyperlink" Target="https://drive.google.com/file/d/1F6e63Lvx_picFSFjsYovkHAFanA2uAHa/view?usp=drivesdk" TargetMode="External"/><Relationship Id="rId1937" Type="http://schemas.openxmlformats.org/officeDocument/2006/relationships/hyperlink" Target="https://drive.google.com/file/d/1gzyiuMNHruki0iqw9ZPuG1ROg8sPoSnR/view?usp=drivesdk" TargetMode="External"/><Relationship Id="rId1938" Type="http://schemas.openxmlformats.org/officeDocument/2006/relationships/hyperlink" Target="https://drive.google.com/file/d/1VVNd9Scvve3V-VZXAhoIMrIQk51djdwQ/view?usp=drivesdk" TargetMode="External"/><Relationship Id="rId1939" Type="http://schemas.openxmlformats.org/officeDocument/2006/relationships/hyperlink" Target="https://drive.google.com/file/d/1VVLl-AvJbxAOqcDsjssAt5hEyFgPdx8z/view?usp=drivesdk" TargetMode="External"/><Relationship Id="rId1920" Type="http://schemas.openxmlformats.org/officeDocument/2006/relationships/hyperlink" Target="https://drive.google.com/file/d/1LZncKWBlcPAXx3IU4UaMX86KjCorRHG5/view?usp=drivesdk" TargetMode="External"/><Relationship Id="rId1921" Type="http://schemas.openxmlformats.org/officeDocument/2006/relationships/hyperlink" Target="https://drive.google.com/file/d/18vVvJw5Qn9GaYfqwRHjMPOAAO8-20yq0/view?usp=drivesdk" TargetMode="External"/><Relationship Id="rId1922" Type="http://schemas.openxmlformats.org/officeDocument/2006/relationships/hyperlink" Target="https://drive.google.com/file/d/1yjVvr6RWduwEsSlj1T5hWk4kZsgSpX7e/view?usp=drivesdk" TargetMode="External"/><Relationship Id="rId1923" Type="http://schemas.openxmlformats.org/officeDocument/2006/relationships/hyperlink" Target="https://drive.google.com/file/d/12mfKmwr4qxdkiF-WSAj7I2jNt6iWVgg3/view?usp=drivesdk" TargetMode="External"/><Relationship Id="rId1924" Type="http://schemas.openxmlformats.org/officeDocument/2006/relationships/hyperlink" Target="https://drive.google.com/file/d/1pONPJh9x5VCZuuA8xFZJ8EwpUqV7ZKOz/view?usp=drivesdk" TargetMode="External"/><Relationship Id="rId1925" Type="http://schemas.openxmlformats.org/officeDocument/2006/relationships/hyperlink" Target="https://drive.google.com/file/d/1APCg4OnSFJ_UXQ0QzbeWPcRZtJsXvuz1/view?usp=drivesdk" TargetMode="External"/><Relationship Id="rId1926" Type="http://schemas.openxmlformats.org/officeDocument/2006/relationships/hyperlink" Target="https://drive.google.com/file/d/1pNYePg3eNKxHVFnrHDZ4sLAX_CCQrhwE/view?usp=drivesdk" TargetMode="External"/><Relationship Id="rId1927" Type="http://schemas.openxmlformats.org/officeDocument/2006/relationships/hyperlink" Target="https://drive.google.com/file/d/1H17uMt3lEFj60TgPCBKsbQYCGkxU4ctv/view?usp=drivesdk" TargetMode="External"/><Relationship Id="rId1928" Type="http://schemas.openxmlformats.org/officeDocument/2006/relationships/hyperlink" Target="https://drive.google.com/file/d/1LRXuztEEXdMxXVtMCq3mJl48JAq-UR0n/view?usp=drivesdk" TargetMode="External"/><Relationship Id="rId1929" Type="http://schemas.openxmlformats.org/officeDocument/2006/relationships/hyperlink" Target="https://drive.google.com/file/d/1GaGHXmjuMiaNOB0JUnyXvqe5lRWj5tg1/view?usp=drivesdk" TargetMode="External"/><Relationship Id="rId1950" Type="http://schemas.openxmlformats.org/officeDocument/2006/relationships/hyperlink" Target="https://drive.google.com/file/d/1eLY3wQhNqme2S7a_tXRX4gHwGifvXW1x/view?usp=drivesdk" TargetMode="External"/><Relationship Id="rId1951" Type="http://schemas.openxmlformats.org/officeDocument/2006/relationships/hyperlink" Target="https://drive.google.com/file/d/1sCCY3KYGCCE3zAn1qtYymO7af6DAj-0M/view?usp=drivesdk" TargetMode="External"/><Relationship Id="rId1952" Type="http://schemas.openxmlformats.org/officeDocument/2006/relationships/hyperlink" Target="https://drive.google.com/file/d/1E11EGVsEk8jXG4anLcX1DKLgm7aqhOmU/view?usp=drivesdk" TargetMode="External"/><Relationship Id="rId1953" Type="http://schemas.openxmlformats.org/officeDocument/2006/relationships/hyperlink" Target="https://drive.google.com/file/d/1xfxst9Oa-ge7wewPL4HMH7DqgvOPP20b/view?usp=drivesdk" TargetMode="External"/><Relationship Id="rId1954" Type="http://schemas.openxmlformats.org/officeDocument/2006/relationships/hyperlink" Target="https://drive.google.com/file/d/1yHD_X4W7fLNjPrkn11Gu0-mHGcNqrpws/view?usp=drivesdk" TargetMode="External"/><Relationship Id="rId1955" Type="http://schemas.openxmlformats.org/officeDocument/2006/relationships/hyperlink" Target="https://drive.google.com/file/d/1BbeoZ9CdBUXQMwPbOQkLBdsayafNFSX2/view?usp=drivesdk" TargetMode="External"/><Relationship Id="rId1956" Type="http://schemas.openxmlformats.org/officeDocument/2006/relationships/hyperlink" Target="https://drive.google.com/file/d/1DQ-5qEEOtHAV_EO0dtcKuZKTfy6PHQQl/view?usp=drivesdk" TargetMode="External"/><Relationship Id="rId1957" Type="http://schemas.openxmlformats.org/officeDocument/2006/relationships/hyperlink" Target="https://drive.google.com/file/d/1VjQnWh7tIM7zl21GEg_LipSiXaJr91Ht/view?usp=drivesdk" TargetMode="External"/><Relationship Id="rId1958" Type="http://schemas.openxmlformats.org/officeDocument/2006/relationships/hyperlink" Target="https://drive.google.com/file/d/1KgVy8pDNXw_rUPEflxR0eTSRI8bSGPLS/view?usp=drivesdk" TargetMode="External"/><Relationship Id="rId1959" Type="http://schemas.openxmlformats.org/officeDocument/2006/relationships/hyperlink" Target="https://drive.google.com/file/d/1j22rPSmrajVUMaZJ7ZQ_3oBwSfmIAktN/view?usp=drivesdk" TargetMode="External"/><Relationship Id="rId1940" Type="http://schemas.openxmlformats.org/officeDocument/2006/relationships/hyperlink" Target="https://drive.google.com/file/d/1r8gz_OQgXRQyPABeOEgFy2rbZa10e60I/view?usp=drivesdk" TargetMode="External"/><Relationship Id="rId1941" Type="http://schemas.openxmlformats.org/officeDocument/2006/relationships/hyperlink" Target="https://drive.google.com/file/d/1Z4TItg9VScF62xlkgC_PoPtT-7Vv0iWy/view?usp=drivesdk" TargetMode="External"/><Relationship Id="rId1942" Type="http://schemas.openxmlformats.org/officeDocument/2006/relationships/hyperlink" Target="https://drive.google.com/file/d/1VFtyqV5el7EJVeHaibxWMy34k9LMhbzJ/view?usp=drivesdk" TargetMode="External"/><Relationship Id="rId1943" Type="http://schemas.openxmlformats.org/officeDocument/2006/relationships/hyperlink" Target="https://drive.google.com/file/d/1X_8gLoQL8UM8XESII7U1_3XXVMeR9N2z/view?usp=drivesdk" TargetMode="External"/><Relationship Id="rId1944" Type="http://schemas.openxmlformats.org/officeDocument/2006/relationships/hyperlink" Target="https://drive.google.com/file/d/1n0koQ1yLwfPYdmBREVehxKIdhjOoUZSg/view?usp=drivesdk" TargetMode="External"/><Relationship Id="rId1945" Type="http://schemas.openxmlformats.org/officeDocument/2006/relationships/hyperlink" Target="https://drive.google.com/file/d/1c91FKEwUnH0eT_Uzixr-mWli2LJ6mmul/view?usp=drivesdk" TargetMode="External"/><Relationship Id="rId1946" Type="http://schemas.openxmlformats.org/officeDocument/2006/relationships/hyperlink" Target="https://drive.google.com/file/d/1OmM2z06gBM63n800JtLoY_5328h0Kj-q/view?usp=drivesdk" TargetMode="External"/><Relationship Id="rId1947" Type="http://schemas.openxmlformats.org/officeDocument/2006/relationships/hyperlink" Target="https://drive.google.com/file/d/1wOKjiL59sTbYJAZUPb-UPMjoPu-4HWDV/view?usp=drivesdk" TargetMode="External"/><Relationship Id="rId1948" Type="http://schemas.openxmlformats.org/officeDocument/2006/relationships/hyperlink" Target="https://drive.google.com/file/d/1AHAkX3IHAtNC1ywt3EKJgEjl7TvUilkM/view?usp=drivesdk" TargetMode="External"/><Relationship Id="rId1949" Type="http://schemas.openxmlformats.org/officeDocument/2006/relationships/hyperlink" Target="https://drive.google.com/file/d/1n72rgjSW6FtAclFquHlO8O2BBvlTnJas/view?usp=drivesdk" TargetMode="External"/><Relationship Id="rId2423" Type="http://schemas.openxmlformats.org/officeDocument/2006/relationships/hyperlink" Target="https://drive.google.com/file/d/18XcHnZBS-SDEbuBnehiRFyGRPzzYWeeF/view?usp=drivesdk" TargetMode="External"/><Relationship Id="rId2424" Type="http://schemas.openxmlformats.org/officeDocument/2006/relationships/hyperlink" Target="https://drive.google.com/file/d/1K1a6m1aYmLn1_vwhiSohmNLDtZ1Y4Ux_/view?usp=drivesdk" TargetMode="External"/><Relationship Id="rId2425" Type="http://schemas.openxmlformats.org/officeDocument/2006/relationships/hyperlink" Target="https://drive.google.com/file/d/1SAkzHUXu2em_LOpzZzUsNAbEmhFQYt6z/view?usp=drivesdk" TargetMode="External"/><Relationship Id="rId2426" Type="http://schemas.openxmlformats.org/officeDocument/2006/relationships/hyperlink" Target="https://drive.google.com/file/d/1-T6lXw_9tDN2t-Z39SM1dhIPR_IhO8fF/view?usp=drivesdk" TargetMode="External"/><Relationship Id="rId2427" Type="http://schemas.openxmlformats.org/officeDocument/2006/relationships/hyperlink" Target="https://drive.google.com/file/d/1k1zAeWl01m62ZgoBtOmSJCCoqfFGxddZ/view?usp=drivesdk" TargetMode="External"/><Relationship Id="rId2428" Type="http://schemas.openxmlformats.org/officeDocument/2006/relationships/hyperlink" Target="https://drive.google.com/file/d/13HKE_rn4Mbnjq9uqiyo3J7J3BkR53UfI/view?usp=drivesdk" TargetMode="External"/><Relationship Id="rId2429" Type="http://schemas.openxmlformats.org/officeDocument/2006/relationships/hyperlink" Target="https://drive.google.com/file/d/1MEpc9c6ksJJFPoeqztJd7l8g_1S5mA-8/view?usp=drivesdk" TargetMode="External"/><Relationship Id="rId509" Type="http://schemas.openxmlformats.org/officeDocument/2006/relationships/hyperlink" Target="https://drive.google.com/file/d/1b_OxExSYYVolsLS5Yqo5u_ej_T6vY1eh/view?usp=drivesdk" TargetMode="External"/><Relationship Id="rId508" Type="http://schemas.openxmlformats.org/officeDocument/2006/relationships/hyperlink" Target="https://drive.google.com/file/d/1GRTqbCWAEBCV2QfRHU13UrkkwGZPmzAG/view?usp=drivesdk" TargetMode="External"/><Relationship Id="rId503" Type="http://schemas.openxmlformats.org/officeDocument/2006/relationships/hyperlink" Target="https://drive.google.com/file/d/1fCISpYasktPoFRN0Myss5J4MijpvlwTW/view?usp=drivesdk" TargetMode="External"/><Relationship Id="rId502" Type="http://schemas.openxmlformats.org/officeDocument/2006/relationships/hyperlink" Target="https://drive.google.com/file/d/1Z3j-GYmYTaTznFvifGqn7i6RJJ1lfSuV/view?usp=drivesdk" TargetMode="External"/><Relationship Id="rId501" Type="http://schemas.openxmlformats.org/officeDocument/2006/relationships/hyperlink" Target="https://drive.google.com/file/d/1omR1E_287y0ccIGES_pkcPdSBWMVOwau/view?usp=drivesdk" TargetMode="External"/><Relationship Id="rId500" Type="http://schemas.openxmlformats.org/officeDocument/2006/relationships/hyperlink" Target="https://drive.google.com/file/d/1aTwCR34zsNrEqVnS5Rpcc2VFXM5ds4FM/view?usp=drivesdk" TargetMode="External"/><Relationship Id="rId507" Type="http://schemas.openxmlformats.org/officeDocument/2006/relationships/hyperlink" Target="https://drive.google.com/file/d/1pjbdT8T05B8fcfdSmmw3QKOoALt3a8U3/view?usp=drivesdk" TargetMode="External"/><Relationship Id="rId506" Type="http://schemas.openxmlformats.org/officeDocument/2006/relationships/hyperlink" Target="https://drive.google.com/file/d/1hMvLSTpx8nWLZWeysIdJuwN0X9hkRuiz/view?usp=drivesdk" TargetMode="External"/><Relationship Id="rId505" Type="http://schemas.openxmlformats.org/officeDocument/2006/relationships/hyperlink" Target="https://drive.google.com/file/d/1UGC3b7krG3oJ8u8s822kpJoBygN9UGhC/view?usp=drivesdk" TargetMode="External"/><Relationship Id="rId504" Type="http://schemas.openxmlformats.org/officeDocument/2006/relationships/hyperlink" Target="https://drive.google.com/file/d/1jqQLxaW0DJnb5Ilyxo3zqAwagggjh2pL/view?usp=drivesdk" TargetMode="External"/><Relationship Id="rId2420" Type="http://schemas.openxmlformats.org/officeDocument/2006/relationships/hyperlink" Target="https://drive.google.com/file/d/1rk2IUs1sRK-aqHnQzlQBCIve807-cy1l/view?usp=drivesdk" TargetMode="External"/><Relationship Id="rId2421" Type="http://schemas.openxmlformats.org/officeDocument/2006/relationships/hyperlink" Target="https://drive.google.com/file/d/1JBL7ACa1LCauL8Ee0-semKwkjovJ9Pgw/view?usp=drivesdk" TargetMode="External"/><Relationship Id="rId2422" Type="http://schemas.openxmlformats.org/officeDocument/2006/relationships/hyperlink" Target="https://drive.google.com/file/d/14_Y2sJYhrMVCOOYkvc8B2OnD9Oj96po_/view?usp=drivesdk" TargetMode="External"/><Relationship Id="rId2412" Type="http://schemas.openxmlformats.org/officeDocument/2006/relationships/hyperlink" Target="https://drive.google.com/file/d/1eFWX5LIk2qUBEWJ46yJyou3O_bXjmNLe/view?usp=drivesdk" TargetMode="External"/><Relationship Id="rId2413" Type="http://schemas.openxmlformats.org/officeDocument/2006/relationships/hyperlink" Target="https://drive.google.com/file/d/1z9vM-OymRrqp1u2xxHltR_nTYkRN8Bhe/view?usp=drivesdk" TargetMode="External"/><Relationship Id="rId2414" Type="http://schemas.openxmlformats.org/officeDocument/2006/relationships/hyperlink" Target="https://drive.google.com/file/d/12-QJoC50RBrzSEp9gb50Wj-q2rFwe_UQ/view?usp=drivesdk" TargetMode="External"/><Relationship Id="rId2415" Type="http://schemas.openxmlformats.org/officeDocument/2006/relationships/hyperlink" Target="https://drive.google.com/file/d/1u1KUYNIvVhIV8JolkU3hmE9IAKO7Zwnq/view?usp=drivesdk" TargetMode="External"/><Relationship Id="rId2416" Type="http://schemas.openxmlformats.org/officeDocument/2006/relationships/hyperlink" Target="https://drive.google.com/file/d/1hN-J6Uky5FuFHoIu7VleAWRSmSqB3wMb/view?usp=drivesdk" TargetMode="External"/><Relationship Id="rId2417" Type="http://schemas.openxmlformats.org/officeDocument/2006/relationships/hyperlink" Target="https://drive.google.com/file/d/1y1GzGYijv2hKxQybrnUBP_imhXHPoSF1/view?usp=drivesdk" TargetMode="External"/><Relationship Id="rId2418" Type="http://schemas.openxmlformats.org/officeDocument/2006/relationships/hyperlink" Target="https://drive.google.com/file/d/1RWYs4BxngJFHCjARwIfsUfl_7-oYLebS/view?usp=drivesdk" TargetMode="External"/><Relationship Id="rId2419" Type="http://schemas.openxmlformats.org/officeDocument/2006/relationships/hyperlink" Target="https://drive.google.com/file/d/1AXw8qY84rt7zhu4JXQNDv8qAI41V_l3t/view?usp=drivesdk" TargetMode="External"/><Relationship Id="rId2410" Type="http://schemas.openxmlformats.org/officeDocument/2006/relationships/hyperlink" Target="https://drive.google.com/file/d/1VNZVfi392roXkffFia5wqQeCQjwEpyCc/view?usp=drivesdk" TargetMode="External"/><Relationship Id="rId2411" Type="http://schemas.openxmlformats.org/officeDocument/2006/relationships/hyperlink" Target="https://drive.google.com/file/d/15VbpcEsW9L5op3IMpHA4I2dI5ndZgOpe/view?usp=drivesdk" TargetMode="External"/><Relationship Id="rId1114" Type="http://schemas.openxmlformats.org/officeDocument/2006/relationships/hyperlink" Target="https://drive.google.com/file/d/1iKkC-jZ2W_bEnOs7KtsQibqPEML7w-Cy/view?usp=drivesdk" TargetMode="External"/><Relationship Id="rId2445" Type="http://schemas.openxmlformats.org/officeDocument/2006/relationships/hyperlink" Target="https://drive.google.com/file/d/1jd9ycYWZkLbbUrtvuNJeNEiLp_k9LMoe/view?usp=drivesdk" TargetMode="External"/><Relationship Id="rId1115" Type="http://schemas.openxmlformats.org/officeDocument/2006/relationships/hyperlink" Target="https://drive.google.com/file/d/16ccVSTaeQPPqQrA-zYek-rcbKck3H0BF/view?usp=drivesdk" TargetMode="External"/><Relationship Id="rId2446" Type="http://schemas.openxmlformats.org/officeDocument/2006/relationships/hyperlink" Target="https://drive.google.com/file/d/1PHdeD8DCOHYtYlSowdL4RnjXdXP9WvnF/view?usp=drivesdk" TargetMode="External"/><Relationship Id="rId1116" Type="http://schemas.openxmlformats.org/officeDocument/2006/relationships/hyperlink" Target="https://drive.google.com/file/d/1CT7UMmOhKw6gVwYN6XhwmdPQcPAWSYp3/view?usp=drivesdk" TargetMode="External"/><Relationship Id="rId2447" Type="http://schemas.openxmlformats.org/officeDocument/2006/relationships/hyperlink" Target="https://drive.google.com/file/d/1Qtwddk-XDlbwPPGy3W-QXhpffZJZhBKc/view?usp=drivesdk" TargetMode="External"/><Relationship Id="rId1117" Type="http://schemas.openxmlformats.org/officeDocument/2006/relationships/hyperlink" Target="https://drive.google.com/file/d/1B4cQ6yQJFzSTTEHV87JLjqxhrQfVniB0/view?usp=drivesdk" TargetMode="External"/><Relationship Id="rId2448" Type="http://schemas.openxmlformats.org/officeDocument/2006/relationships/hyperlink" Target="https://drive.google.com/file/d/1mL9Ab5TM5BMWagobH7NKQFy8VurCd2et/view?usp=drivesdk" TargetMode="External"/><Relationship Id="rId1118" Type="http://schemas.openxmlformats.org/officeDocument/2006/relationships/hyperlink" Target="https://drive.google.com/file/d/1k4Mw7yZRNlIOk3AktnNVBniMD_Ppf_ce/view?usp=drivesdk" TargetMode="External"/><Relationship Id="rId2449" Type="http://schemas.openxmlformats.org/officeDocument/2006/relationships/hyperlink" Target="https://drive.google.com/file/d/1Ss_WUKD-G7G3jlVK_OnYeM1slXhgl9ui/view?usp=drivesdk" TargetMode="External"/><Relationship Id="rId1119" Type="http://schemas.openxmlformats.org/officeDocument/2006/relationships/hyperlink" Target="https://drive.google.com/file/d/1NB8SEOcrW-fS2BNAMsaZGN0LtaNhCCFx/view?usp=drivesdk" TargetMode="External"/><Relationship Id="rId525" Type="http://schemas.openxmlformats.org/officeDocument/2006/relationships/hyperlink" Target="https://drive.google.com/file/d/1kYtmHv99YL8-QMGH8Bs0TfxUkoSjE305/view?usp=drivesdk" TargetMode="External"/><Relationship Id="rId524" Type="http://schemas.openxmlformats.org/officeDocument/2006/relationships/hyperlink" Target="https://drive.google.com/file/d/1TCvzGX_QjTDawYGcwuyL1guQ97gyDqDK/view?usp=drivesdk" TargetMode="External"/><Relationship Id="rId523" Type="http://schemas.openxmlformats.org/officeDocument/2006/relationships/hyperlink" Target="https://drive.google.com/file/d/1tZsSYNtItNyVWS0GzUOR8pz9_K6HDsaE/view?usp=drivesdk" TargetMode="External"/><Relationship Id="rId522" Type="http://schemas.openxmlformats.org/officeDocument/2006/relationships/hyperlink" Target="https://drive.google.com/file/d/1u9U_3wFQZTo72O0qCGz8MT2oRO7HpyxX/view?usp=drivesdk" TargetMode="External"/><Relationship Id="rId529" Type="http://schemas.openxmlformats.org/officeDocument/2006/relationships/hyperlink" Target="https://drive.google.com/file/d/1rDpeTmFeblvvCYONCJJEj-DVK7SMA0iz/view?usp=drivesdk" TargetMode="External"/><Relationship Id="rId528" Type="http://schemas.openxmlformats.org/officeDocument/2006/relationships/hyperlink" Target="https://drive.google.com/file/d/1N0YzCVxYTyKgh2PiwI2otcSjy-8S615o/view?usp=drivesdk" TargetMode="External"/><Relationship Id="rId527" Type="http://schemas.openxmlformats.org/officeDocument/2006/relationships/hyperlink" Target="https://drive.google.com/file/d/1pYSMRfkiWxfvT3vwpJ2NpW6jjkIHGvcA/view?usp=drivesdk" TargetMode="External"/><Relationship Id="rId526" Type="http://schemas.openxmlformats.org/officeDocument/2006/relationships/hyperlink" Target="https://drive.google.com/file/d/1DGNX57WrXHNmnuB7Kj7_IVzs3mhivTqV/view?usp=drivesdk" TargetMode="External"/><Relationship Id="rId2440" Type="http://schemas.openxmlformats.org/officeDocument/2006/relationships/hyperlink" Target="https://drive.google.com/file/d/1yicevDL8q3uBlrq8FME7wO35hhINlm9i/view?usp=drivesdk" TargetMode="External"/><Relationship Id="rId521" Type="http://schemas.openxmlformats.org/officeDocument/2006/relationships/hyperlink" Target="https://drive.google.com/file/d/1sZVg5bDmS-U_sBg8ykLltDjaMY4kIFwz/view?usp=drivesdk" TargetMode="External"/><Relationship Id="rId1110" Type="http://schemas.openxmlformats.org/officeDocument/2006/relationships/hyperlink" Target="https://drive.google.com/file/d/17KBWbm37kzMHZZItLrkVI0TTy58Aihyg/view?usp=drivesdk" TargetMode="External"/><Relationship Id="rId2441" Type="http://schemas.openxmlformats.org/officeDocument/2006/relationships/hyperlink" Target="https://drive.google.com/file/d/1QGwFQzaQRDG3tlEKooHy4FGNPwX6h1w1/view?usp=drivesdk" TargetMode="External"/><Relationship Id="rId520" Type="http://schemas.openxmlformats.org/officeDocument/2006/relationships/hyperlink" Target="https://drive.google.com/file/d/1H_h0BB3KtaOPeHAYT11_e1uwW5wNfgZ8/view?usp=drivesdk" TargetMode="External"/><Relationship Id="rId1111" Type="http://schemas.openxmlformats.org/officeDocument/2006/relationships/hyperlink" Target="https://drive.google.com/file/d/1sAjkDhpCHb3BXcACv1kU8MHq-ItQvoJ3/view?usp=drivesdk" TargetMode="External"/><Relationship Id="rId2442" Type="http://schemas.openxmlformats.org/officeDocument/2006/relationships/hyperlink" Target="https://drive.google.com/file/d/1612cVHt8YAoCVAa9x6CR0LsF-S_e-dzF/view?usp=drivesdk" TargetMode="External"/><Relationship Id="rId1112" Type="http://schemas.openxmlformats.org/officeDocument/2006/relationships/hyperlink" Target="https://drive.google.com/file/d/1yhIngauefSEKl73_p7xAergh0ApQKu_P/view?usp=drivesdk" TargetMode="External"/><Relationship Id="rId2443" Type="http://schemas.openxmlformats.org/officeDocument/2006/relationships/hyperlink" Target="https://drive.google.com/file/d/13scdctuunPsPA7VN0U_MwGGRn8XVKTbE/view?usp=drivesdk" TargetMode="External"/><Relationship Id="rId1113" Type="http://schemas.openxmlformats.org/officeDocument/2006/relationships/hyperlink" Target="https://drive.google.com/file/d/1Zs7RaoW7B0k_7gqWV_THzhYMxPihBvFg/view?usp=drivesdk" TargetMode="External"/><Relationship Id="rId2444" Type="http://schemas.openxmlformats.org/officeDocument/2006/relationships/hyperlink" Target="https://drive.google.com/file/d/17rssfXeSwSyxfwOWnaBs0wPihBQAhZp-/view?usp=drivesdk" TargetMode="External"/><Relationship Id="rId1103" Type="http://schemas.openxmlformats.org/officeDocument/2006/relationships/hyperlink" Target="https://drive.google.com/file/d/1wWVXJt8OgHsvJo5EXNr8Zg0-7n0JZLrI/view?usp=drivesdk" TargetMode="External"/><Relationship Id="rId2434" Type="http://schemas.openxmlformats.org/officeDocument/2006/relationships/hyperlink" Target="https://drive.google.com/file/d/17zk5ntmJwRuglkdI2KDBsmDyHp9ZT9nk/view?usp=drivesdk" TargetMode="External"/><Relationship Id="rId1104" Type="http://schemas.openxmlformats.org/officeDocument/2006/relationships/hyperlink" Target="https://drive.google.com/file/d/1Cvp7ioBETJteuOeY7B9lMkDoA8rj9suJ/view?usp=drivesdk" TargetMode="External"/><Relationship Id="rId2435" Type="http://schemas.openxmlformats.org/officeDocument/2006/relationships/hyperlink" Target="https://drive.google.com/file/d/15DQQpECVr9NdJZ7O7RNWRdNwXQ6KQeXe/view?usp=drivesdk" TargetMode="External"/><Relationship Id="rId1105" Type="http://schemas.openxmlformats.org/officeDocument/2006/relationships/hyperlink" Target="https://drive.google.com/file/d/1rNf-Y1TmjvC1M6QAQKYo0RIiESN71ZT1/view?usp=drivesdk" TargetMode="External"/><Relationship Id="rId2436" Type="http://schemas.openxmlformats.org/officeDocument/2006/relationships/hyperlink" Target="https://drive.google.com/file/d/1uvNnSbKbMCM86OxWRFAhGKTZTJ6XCJE-/view?usp=drivesdk" TargetMode="External"/><Relationship Id="rId1106" Type="http://schemas.openxmlformats.org/officeDocument/2006/relationships/hyperlink" Target="https://drive.google.com/file/d/1bTh3Gg3u9nZZv3JaUOuI6n6wpv6cdUn4/view?usp=drivesdk" TargetMode="External"/><Relationship Id="rId2437" Type="http://schemas.openxmlformats.org/officeDocument/2006/relationships/hyperlink" Target="https://drive.google.com/file/d/1Rd9xGPWDV88bQCLvGyH8PPp-DhHO-_DW/view?usp=drivesdk" TargetMode="External"/><Relationship Id="rId1107" Type="http://schemas.openxmlformats.org/officeDocument/2006/relationships/hyperlink" Target="https://drive.google.com/file/d/1mcR3bDSjhT8S9pNuhAv3nsNzNUHQHcrK/view?usp=drivesdk" TargetMode="External"/><Relationship Id="rId2438" Type="http://schemas.openxmlformats.org/officeDocument/2006/relationships/hyperlink" Target="https://drive.google.com/file/d/1v82xrF9c9ehLJpxzdx2U84oHz4YW6M1g/view?usp=drivesdk" TargetMode="External"/><Relationship Id="rId1108" Type="http://schemas.openxmlformats.org/officeDocument/2006/relationships/hyperlink" Target="https://drive.google.com/file/d/1QP9zRqd-iZRXOX1VCHtMb7McvyxRnSgl/view?usp=drivesdk" TargetMode="External"/><Relationship Id="rId2439" Type="http://schemas.openxmlformats.org/officeDocument/2006/relationships/hyperlink" Target="https://drive.google.com/file/d/1qE6c5eqWeEKM9st3yOraYsnw5N9yJH7l/view?usp=drivesdk" TargetMode="External"/><Relationship Id="rId1109" Type="http://schemas.openxmlformats.org/officeDocument/2006/relationships/hyperlink" Target="https://drive.google.com/file/d/17BaGkIzz2E5EF12yCt13C1W4UgPygVCx/view?usp=drivesdk" TargetMode="External"/><Relationship Id="rId519" Type="http://schemas.openxmlformats.org/officeDocument/2006/relationships/hyperlink" Target="https://drive.google.com/file/d/1nchNDy-IQ-ZK5BBUQFkc8o7NlheQuY9g/view?usp=drivesdk" TargetMode="External"/><Relationship Id="rId514" Type="http://schemas.openxmlformats.org/officeDocument/2006/relationships/hyperlink" Target="https://drive.google.com/file/d/1HAngOCE4WSvbqx5DD0Lqg7L3PnH2Gb09/view?usp=drivesdk" TargetMode="External"/><Relationship Id="rId513" Type="http://schemas.openxmlformats.org/officeDocument/2006/relationships/hyperlink" Target="https://drive.google.com/file/d/1qimrxh5RX2KBUiWE73XYLKpOASqxDvje/view?usp=drivesdk" TargetMode="External"/><Relationship Id="rId512" Type="http://schemas.openxmlformats.org/officeDocument/2006/relationships/hyperlink" Target="https://drive.google.com/file/d/1m41Y5bRbRKdsEa0ih_pOIVBMGSOx1a50/view?usp=drivesdk" TargetMode="External"/><Relationship Id="rId511" Type="http://schemas.openxmlformats.org/officeDocument/2006/relationships/hyperlink" Target="https://drive.google.com/file/d/1YtEOvcyALNN7Ic8BmqCXlWtWsWTo9fEx/view?usp=drivesdk" TargetMode="External"/><Relationship Id="rId518" Type="http://schemas.openxmlformats.org/officeDocument/2006/relationships/hyperlink" Target="https://drive.google.com/file/d/1RypXVnQqW3pRLSNY4ebD5lNE_Zztv4Qi/view?usp=drivesdk" TargetMode="External"/><Relationship Id="rId517" Type="http://schemas.openxmlformats.org/officeDocument/2006/relationships/hyperlink" Target="https://drive.google.com/file/d/17gn-vcqDbhUFsbNZTF0tOFBHOJmDDGJv/view?usp=drivesdk" TargetMode="External"/><Relationship Id="rId516" Type="http://schemas.openxmlformats.org/officeDocument/2006/relationships/hyperlink" Target="https://drive.google.com/file/d/1nyrPYEAEmOV0l8BBZ-TwjZscIO47pCqu/view?usp=drivesdk" TargetMode="External"/><Relationship Id="rId515" Type="http://schemas.openxmlformats.org/officeDocument/2006/relationships/hyperlink" Target="https://drive.google.com/file/d/1K38objbDYZJKUFI_vcMUgt0u-BJM-8lV/view?usp=drivesdk" TargetMode="External"/><Relationship Id="rId510" Type="http://schemas.openxmlformats.org/officeDocument/2006/relationships/hyperlink" Target="https://drive.google.com/file/d/169Td0Bt44wDGjDK_tDhgAEVPDzq0e4Q0/view?usp=drivesdk" TargetMode="External"/><Relationship Id="rId2430" Type="http://schemas.openxmlformats.org/officeDocument/2006/relationships/hyperlink" Target="https://drive.google.com/file/d/1hs6XpHWMiyMPANJzK7B4OuBvEZ7slY88/view?usp=drivesdk" TargetMode="External"/><Relationship Id="rId1100" Type="http://schemas.openxmlformats.org/officeDocument/2006/relationships/hyperlink" Target="https://drive.google.com/file/d/1f01MLy6zbw6-VJPmNKRVLrtvILHtu0My/view?usp=drivesdk" TargetMode="External"/><Relationship Id="rId2431" Type="http://schemas.openxmlformats.org/officeDocument/2006/relationships/hyperlink" Target="https://drive.google.com/file/d/1F9_n_UhEAcWuePr4oCoaRdVdWXw-1HnA/view?usp=drivesdk" TargetMode="External"/><Relationship Id="rId1101" Type="http://schemas.openxmlformats.org/officeDocument/2006/relationships/hyperlink" Target="https://drive.google.com/file/d/1COGouC-xqEw_GUeUnwirdjR0F1KHHUjx/view?usp=drivesdk" TargetMode="External"/><Relationship Id="rId2432" Type="http://schemas.openxmlformats.org/officeDocument/2006/relationships/hyperlink" Target="https://drive.google.com/file/d/1gRgJHSBe6N9GFTwpidg5erf-GYFKEsJL/view?usp=drivesdk" TargetMode="External"/><Relationship Id="rId1102" Type="http://schemas.openxmlformats.org/officeDocument/2006/relationships/hyperlink" Target="https://drive.google.com/file/d/1jjOa79SSxJXVxFQ6Ptpl2jGWWNFrmVW1/view?usp=drivesdk" TargetMode="External"/><Relationship Id="rId2433" Type="http://schemas.openxmlformats.org/officeDocument/2006/relationships/hyperlink" Target="https://drive.google.com/file/d/1pZNlp1XdYUtsNz_D8YxxUj7KaLbFmfHk/view?usp=drivesdk" TargetMode="External"/><Relationship Id="rId2401" Type="http://schemas.openxmlformats.org/officeDocument/2006/relationships/hyperlink" Target="https://drive.google.com/file/d/1Mbtg5W4r7YUV6SqGN7Y6QssV1kBq9eYn/view?usp=drivesdk" TargetMode="External"/><Relationship Id="rId2402" Type="http://schemas.openxmlformats.org/officeDocument/2006/relationships/hyperlink" Target="https://drive.google.com/file/d/16qY0dLq9qys2p0JL-JepbP82uCNsmR0S/view?usp=drivesdk" TargetMode="External"/><Relationship Id="rId2403" Type="http://schemas.openxmlformats.org/officeDocument/2006/relationships/hyperlink" Target="https://drive.google.com/file/d/1KGwRGETP91kM9JQ1Lkln3MN4JSxyj4OW/view?usp=drivesdk" TargetMode="External"/><Relationship Id="rId2404" Type="http://schemas.openxmlformats.org/officeDocument/2006/relationships/hyperlink" Target="https://drive.google.com/file/d/1TdFZluOSkUInT8sXikux3vYR7IOX4RMk/view?usp=drivesdk" TargetMode="External"/><Relationship Id="rId2405" Type="http://schemas.openxmlformats.org/officeDocument/2006/relationships/hyperlink" Target="https://drive.google.com/file/d/1Q-7NFLR9V_1Z9QaSQGnQmRUgw6UigOsQ/view?usp=drivesdk" TargetMode="External"/><Relationship Id="rId2406" Type="http://schemas.openxmlformats.org/officeDocument/2006/relationships/hyperlink" Target="https://drive.google.com/file/d/1dqYztlMOBsUY1H2Tadvsh9mJOiZQ1nVh/view?usp=drivesdk" TargetMode="External"/><Relationship Id="rId2407" Type="http://schemas.openxmlformats.org/officeDocument/2006/relationships/hyperlink" Target="https://drive.google.com/file/d/1neMVHM3ME1ns4lZlT0zcHFK0hjaH4cLF/view?usp=drivesdk" TargetMode="External"/><Relationship Id="rId2408" Type="http://schemas.openxmlformats.org/officeDocument/2006/relationships/hyperlink" Target="https://drive.google.com/file/d/1WZ-wmp0ZBZO-MwxvYanAL8j3J4k47183/view?usp=drivesdk" TargetMode="External"/><Relationship Id="rId2409" Type="http://schemas.openxmlformats.org/officeDocument/2006/relationships/hyperlink" Target="https://drive.google.com/file/d/1E2mHJvDw_0w0e8vIm0HpIS0Ju6aQpYhO/view?usp=drivesdk" TargetMode="External"/><Relationship Id="rId2400" Type="http://schemas.openxmlformats.org/officeDocument/2006/relationships/hyperlink" Target="https://drive.google.com/file/d/1mu475Zzy_-pzVxpT6L8wHxxpOPeohqGN/view?usp=drivesdk" TargetMode="External"/><Relationship Id="rId590" Type="http://schemas.openxmlformats.org/officeDocument/2006/relationships/hyperlink" Target="https://drive.google.com/file/d/1AuNAf7lnOvo7QrZ-J4vwc9f1vUg542gd/view?usp=drivesdk" TargetMode="External"/><Relationship Id="rId589" Type="http://schemas.openxmlformats.org/officeDocument/2006/relationships/hyperlink" Target="https://drive.google.com/file/d/1uqKCBjjsBLLP9R1cY7CSscLngEMlvgsZ/view?usp=drivesdk" TargetMode="External"/><Relationship Id="rId588" Type="http://schemas.openxmlformats.org/officeDocument/2006/relationships/hyperlink" Target="https://drive.google.com/file/d/1hscDuQECm52P5exUVaXPVs51ZzXtuRaT/view?usp=drivesdk" TargetMode="External"/><Relationship Id="rId1170" Type="http://schemas.openxmlformats.org/officeDocument/2006/relationships/hyperlink" Target="https://drive.google.com/file/d/1bIwtlq8mBoQuM6xpr7xegbYJrV9gU1Xp/view?usp=drivesdk" TargetMode="External"/><Relationship Id="rId1171" Type="http://schemas.openxmlformats.org/officeDocument/2006/relationships/hyperlink" Target="https://drive.google.com/file/d/1Y4hFjfpXFMzsnkTcryqZ2EUSudhD7zLZ/view?usp=drivesdk" TargetMode="External"/><Relationship Id="rId583" Type="http://schemas.openxmlformats.org/officeDocument/2006/relationships/hyperlink" Target="https://drive.google.com/file/d/16JQNoO8JQulQ1kvBIF9ooglN6nvnOKwR/view?usp=drivesdk" TargetMode="External"/><Relationship Id="rId1172" Type="http://schemas.openxmlformats.org/officeDocument/2006/relationships/hyperlink" Target="https://drive.google.com/file/d/1rlhoetdj8sPMSkHl3ZjKyPKCBUb-_ZwS/view?usp=drivesdk" TargetMode="External"/><Relationship Id="rId582" Type="http://schemas.openxmlformats.org/officeDocument/2006/relationships/hyperlink" Target="https://drive.google.com/file/d/1wyBTkcn_GE4mfO1uGUr7qem3oLNBUJa_/view?usp=drivesdk" TargetMode="External"/><Relationship Id="rId1173" Type="http://schemas.openxmlformats.org/officeDocument/2006/relationships/hyperlink" Target="https://drive.google.com/file/d/1LLJqJSc4g9NLRQRocuZFA38o3pb6mK4w/view?usp=drivesdk" TargetMode="External"/><Relationship Id="rId581" Type="http://schemas.openxmlformats.org/officeDocument/2006/relationships/hyperlink" Target="https://drive.google.com/file/d/1U_ShHWq38K7Bj_BiFcoNDh9B-h-W_OJr/view?usp=drivesdk" TargetMode="External"/><Relationship Id="rId1174" Type="http://schemas.openxmlformats.org/officeDocument/2006/relationships/hyperlink" Target="https://drive.google.com/file/d/1t3WxAixub032pJVF7rHWs_Z44vQ546Mx/view?usp=drivesdk" TargetMode="External"/><Relationship Id="rId580" Type="http://schemas.openxmlformats.org/officeDocument/2006/relationships/hyperlink" Target="https://drive.google.com/file/d/1gPGnEbDjqg2vBIKsJCJcHa5KsIEH-XUh/view?usp=drivesdk" TargetMode="External"/><Relationship Id="rId1175" Type="http://schemas.openxmlformats.org/officeDocument/2006/relationships/hyperlink" Target="https://drive.google.com/file/d/11YG8AmJIcAGerqioI6ykXoclMzdx8P4U/view?usp=drivesdk" TargetMode="External"/><Relationship Id="rId587" Type="http://schemas.openxmlformats.org/officeDocument/2006/relationships/hyperlink" Target="https://drive.google.com/file/d/1O4Z3E8WDBEBZlyUl5ki0754W75nCVFl9/view?usp=drivesdk" TargetMode="External"/><Relationship Id="rId1176" Type="http://schemas.openxmlformats.org/officeDocument/2006/relationships/hyperlink" Target="https://drive.google.com/file/d/1w0Ukt6Jz-vwjr4Mtzh-G9ShRuIn3gBML/view?usp=drivesdk" TargetMode="External"/><Relationship Id="rId586" Type="http://schemas.openxmlformats.org/officeDocument/2006/relationships/hyperlink" Target="https://drive.google.com/file/d/1RyN83mHGTApKt6B6S4Jlo5fQbPQSk-_h/view?usp=drivesdk" TargetMode="External"/><Relationship Id="rId1177" Type="http://schemas.openxmlformats.org/officeDocument/2006/relationships/hyperlink" Target="https://drive.google.com/file/d/1JNPw9ZAp9-DaK2z09F0Dsco7If3AAr0U/view?usp=drivesdk" TargetMode="External"/><Relationship Id="rId585" Type="http://schemas.openxmlformats.org/officeDocument/2006/relationships/hyperlink" Target="https://drive.google.com/file/d/1INr3r-uiHA_8jbfY-cR2T050CvniVkN7/view?usp=drivesdk" TargetMode="External"/><Relationship Id="rId1178" Type="http://schemas.openxmlformats.org/officeDocument/2006/relationships/hyperlink" Target="https://drive.google.com/file/d/1NeEyeAJ5u7ccp3SYCz4IfycEw7Ir67DB/view?usp=drivesdk" TargetMode="External"/><Relationship Id="rId584" Type="http://schemas.openxmlformats.org/officeDocument/2006/relationships/hyperlink" Target="https://drive.google.com/file/d/1Czc5aZ-JQl9Ze5sayp-QbkKeN2bHe1gk/view?usp=drivesdk" TargetMode="External"/><Relationship Id="rId1179" Type="http://schemas.openxmlformats.org/officeDocument/2006/relationships/hyperlink" Target="https://drive.google.com/file/d/1xADYefUAkI7XpKlC5V0i1nuEkVY4aW87/view?usp=drivesdk" TargetMode="External"/><Relationship Id="rId1169" Type="http://schemas.openxmlformats.org/officeDocument/2006/relationships/hyperlink" Target="https://drive.google.com/file/d/1oBLT6yfoROZ3xtUrP9tAg8S02Aam9WQa/view?usp=drivesdk" TargetMode="External"/><Relationship Id="rId579" Type="http://schemas.openxmlformats.org/officeDocument/2006/relationships/hyperlink" Target="https://drive.google.com/file/d/1fG17Xjgz4obfXcnkblykNgpNL9XPrpo0/view?usp=drivesdk" TargetMode="External"/><Relationship Id="rId578" Type="http://schemas.openxmlformats.org/officeDocument/2006/relationships/hyperlink" Target="https://drive.google.com/file/d/1f3VX1OLfQmn8JftTcrO7GsaKuGD3i0sF/view?usp=drivesdk" TargetMode="External"/><Relationship Id="rId577" Type="http://schemas.openxmlformats.org/officeDocument/2006/relationships/hyperlink" Target="https://drive.google.com/file/d/1ut_39xjWXzZfdC-mooi3K8eOOTVCtLi4/view?usp=drivesdk" TargetMode="External"/><Relationship Id="rId2490" Type="http://schemas.openxmlformats.org/officeDocument/2006/relationships/hyperlink" Target="https://drive.google.com/file/d/10IIx36WTqPVUiEaE8gV365XVujuS4Gfu/view?usp=drivesdk" TargetMode="External"/><Relationship Id="rId1160" Type="http://schemas.openxmlformats.org/officeDocument/2006/relationships/hyperlink" Target="https://drive.google.com/file/d/1Ftq3K9ryKeeo3poWka8yOXvqE2XTCKB_/view?usp=drivesdk" TargetMode="External"/><Relationship Id="rId2491" Type="http://schemas.openxmlformats.org/officeDocument/2006/relationships/hyperlink" Target="https://drive.google.com/file/d/1wo2PsM8GTYQx74frM70uNiJKYAsBFUYB/view?usp=drivesdk" TargetMode="External"/><Relationship Id="rId572" Type="http://schemas.openxmlformats.org/officeDocument/2006/relationships/hyperlink" Target="https://drive.google.com/file/d/1CIbkQesjQVKAtLNB3N7o4aZKLXHDZRky/view?usp=drivesdk" TargetMode="External"/><Relationship Id="rId1161" Type="http://schemas.openxmlformats.org/officeDocument/2006/relationships/hyperlink" Target="https://drive.google.com/file/d/1DzpPz0VTbBR6ciyjMeI7eqZ0yS3hk5bu/view?usp=drivesdk" TargetMode="External"/><Relationship Id="rId2492" Type="http://schemas.openxmlformats.org/officeDocument/2006/relationships/hyperlink" Target="https://drive.google.com/file/d/18k5lmuAt7G5fW0h7Ox4zm9sp87t0pl9o/view?usp=drivesdk" TargetMode="External"/><Relationship Id="rId571" Type="http://schemas.openxmlformats.org/officeDocument/2006/relationships/hyperlink" Target="https://drive.google.com/file/d/1nsz8SSPJ4Z_KpxpqXeVCe6NFPGxdyDUu/view?usp=drivesdk" TargetMode="External"/><Relationship Id="rId1162" Type="http://schemas.openxmlformats.org/officeDocument/2006/relationships/hyperlink" Target="https://drive.google.com/file/d/1_WInKYRHCFua0SJw_otCPeSD2KEBum9p/view?usp=drivesdk" TargetMode="External"/><Relationship Id="rId2493" Type="http://schemas.openxmlformats.org/officeDocument/2006/relationships/hyperlink" Target="https://drive.google.com/file/d/1MPCWsbzcBe5ePjP0UljBAK8ZnOW2vQy1/view?usp=drivesdk" TargetMode="External"/><Relationship Id="rId570" Type="http://schemas.openxmlformats.org/officeDocument/2006/relationships/hyperlink" Target="https://drive.google.com/file/d/1kAx4QgQTtcia-MvI5rRWYKB2z3n665tZ/view?usp=drivesdk" TargetMode="External"/><Relationship Id="rId1163" Type="http://schemas.openxmlformats.org/officeDocument/2006/relationships/hyperlink" Target="https://drive.google.com/file/d/1hcOdaZqhnPhIbm6y2zTf_4JpMlceNmBd/view?usp=drivesdk" TargetMode="External"/><Relationship Id="rId2494" Type="http://schemas.openxmlformats.org/officeDocument/2006/relationships/hyperlink" Target="https://drive.google.com/file/d/1bqv0JC0jxBSnGUXudYVy287HrZYkg7f8/view?usp=drivesdk" TargetMode="External"/><Relationship Id="rId1164" Type="http://schemas.openxmlformats.org/officeDocument/2006/relationships/hyperlink" Target="https://drive.google.com/file/d/1zB-JAzOaSbXc8xv_rWJjiogI9Aqa60CC/view?usp=drivesdk" TargetMode="External"/><Relationship Id="rId2495" Type="http://schemas.openxmlformats.org/officeDocument/2006/relationships/hyperlink" Target="https://drive.google.com/file/d/13QpH12y8u_3LYQfpUlZPXruZ9ITxBj7L/view?usp=drivesdk" TargetMode="External"/><Relationship Id="rId576" Type="http://schemas.openxmlformats.org/officeDocument/2006/relationships/hyperlink" Target="https://drive.google.com/file/d/1M19iPSon4hZri_TBOGH_WpyLcx3HcCL1/view?usp=drivesdk" TargetMode="External"/><Relationship Id="rId1165" Type="http://schemas.openxmlformats.org/officeDocument/2006/relationships/hyperlink" Target="https://drive.google.com/file/d/1u1Lunf38THaLvC3OTlx1zJcTXblCNVYp/view?usp=drivesdk" TargetMode="External"/><Relationship Id="rId2496" Type="http://schemas.openxmlformats.org/officeDocument/2006/relationships/hyperlink" Target="https://drive.google.com/file/d/1vSUoURXNkSjOH5b-EJ3fbPhxlP2R6Cmd/view?usp=drivesdk" TargetMode="External"/><Relationship Id="rId575" Type="http://schemas.openxmlformats.org/officeDocument/2006/relationships/hyperlink" Target="https://drive.google.com/file/d/1UtoGZpomIGzea_7hOnR-61jrm2F9PfBb/view?usp=drivesdk" TargetMode="External"/><Relationship Id="rId1166" Type="http://schemas.openxmlformats.org/officeDocument/2006/relationships/hyperlink" Target="https://drive.google.com/file/d/1vJcSl8FvTRpCyphX747o_pJ8vHdzIDvP/view?usp=drivesdk" TargetMode="External"/><Relationship Id="rId2497" Type="http://schemas.openxmlformats.org/officeDocument/2006/relationships/hyperlink" Target="https://drive.google.com/file/d/1BV6WsC6qCPXZsjA8vsWO-pA40hx0KbaP/view?usp=drivesdk" TargetMode="External"/><Relationship Id="rId574" Type="http://schemas.openxmlformats.org/officeDocument/2006/relationships/hyperlink" Target="https://drive.google.com/file/d/1YLHlRVO4zMTD5FBk42S7nbccUGUSdMfC/view?usp=drivesdk" TargetMode="External"/><Relationship Id="rId1167" Type="http://schemas.openxmlformats.org/officeDocument/2006/relationships/hyperlink" Target="https://drive.google.com/file/d/10gGt0-aSqjq4jYX1nu6vmRkvCpUmbXwz/view?usp=drivesdk" TargetMode="External"/><Relationship Id="rId2498" Type="http://schemas.openxmlformats.org/officeDocument/2006/relationships/hyperlink" Target="https://drive.google.com/file/d/1YKtEfMrOGZwhGnqG8EYyHuWgZ1XN5GQT/view?usp=drivesdk" TargetMode="External"/><Relationship Id="rId573" Type="http://schemas.openxmlformats.org/officeDocument/2006/relationships/hyperlink" Target="https://drive.google.com/file/d/1CYyKHdz5t84W1sLTpB2JiwKkJfGqmCNm/view?usp=drivesdk" TargetMode="External"/><Relationship Id="rId1168" Type="http://schemas.openxmlformats.org/officeDocument/2006/relationships/hyperlink" Target="https://drive.google.com/file/d/1iXYQpBRSEHRY-r3zNDfO5tYBmsg2f4E2/view?usp=drivesdk" TargetMode="External"/><Relationship Id="rId2499" Type="http://schemas.openxmlformats.org/officeDocument/2006/relationships/hyperlink" Target="https://drive.google.com/file/d/1mFs9muymaEK-hSfyAYbiFpraUy2r_S5J/view?usp=drivesdk" TargetMode="External"/><Relationship Id="rId1190" Type="http://schemas.openxmlformats.org/officeDocument/2006/relationships/hyperlink" Target="https://drive.google.com/file/d/1Xp-Wx90hQiFZ-ft_BG9vLWpCriMyIKdO/view?usp=drivesdk" TargetMode="External"/><Relationship Id="rId1191" Type="http://schemas.openxmlformats.org/officeDocument/2006/relationships/hyperlink" Target="https://drive.google.com/file/d/1qxU3cdSdxUfw23Y0g2e9OIRMToTmzwEA/view?usp=drivesdk" TargetMode="External"/><Relationship Id="rId1192" Type="http://schemas.openxmlformats.org/officeDocument/2006/relationships/hyperlink" Target="https://drive.google.com/file/d/1KgQgttNPdkMmm7CB8nzJBBWwUWhh9abf/view?usp=drivesdk" TargetMode="External"/><Relationship Id="rId1193" Type="http://schemas.openxmlformats.org/officeDocument/2006/relationships/hyperlink" Target="https://drive.google.com/file/d/1_B0etuOtVovqkPUYLfjA74_Cx0mBNpF1/view?usp=drivesdk" TargetMode="External"/><Relationship Id="rId1194" Type="http://schemas.openxmlformats.org/officeDocument/2006/relationships/hyperlink" Target="https://drive.google.com/file/d/1gKRv7R4O1mKjubsU8VA40ifjwbzvLBdc/view?usp=drivesdk" TargetMode="External"/><Relationship Id="rId1195" Type="http://schemas.openxmlformats.org/officeDocument/2006/relationships/hyperlink" Target="https://drive.google.com/file/d/1PP03RMQJJgJl0Az3_taHYEhfZuSAqQdA/view?usp=drivesdk" TargetMode="External"/><Relationship Id="rId1196" Type="http://schemas.openxmlformats.org/officeDocument/2006/relationships/hyperlink" Target="https://drive.google.com/file/d/12EZIhWdIWfim4jNO5E-Nh5Y5cyCThZdj/view?usp=drivesdk" TargetMode="External"/><Relationship Id="rId1197" Type="http://schemas.openxmlformats.org/officeDocument/2006/relationships/hyperlink" Target="https://drive.google.com/file/d/1Me69vYYHR9myCXb7EG0PfACQs-mbZZsT/view?usp=drivesdk" TargetMode="External"/><Relationship Id="rId1198" Type="http://schemas.openxmlformats.org/officeDocument/2006/relationships/hyperlink" Target="https://drive.google.com/file/d/1E_Y-eSL7cOIC2Pl2Q5-JmDYPBxV3Yuqm/view?usp=drivesdk" TargetMode="External"/><Relationship Id="rId1199" Type="http://schemas.openxmlformats.org/officeDocument/2006/relationships/hyperlink" Target="https://drive.google.com/file/d/1ISBwKbDzt_JupXKVHE0LvgeL2jQzxAJl/view?usp=drivesdk" TargetMode="External"/><Relationship Id="rId599" Type="http://schemas.openxmlformats.org/officeDocument/2006/relationships/hyperlink" Target="https://drive.google.com/file/d/16J07lShWNnRCs5jdoy3kElpIS8XbsQTz/view?usp=drivesdk" TargetMode="External"/><Relationship Id="rId1180" Type="http://schemas.openxmlformats.org/officeDocument/2006/relationships/hyperlink" Target="https://drive.google.com/file/d/1TdsTQ9pKfGi_mZLZzpTZMOXBOf7ok9Ej/view?usp=drivesdk" TargetMode="External"/><Relationship Id="rId1181" Type="http://schemas.openxmlformats.org/officeDocument/2006/relationships/hyperlink" Target="https://drive.google.com/file/d/1ZSTAWCIDWO7co9SVs7lJJVsY-pOksJXk/view?usp=drivesdk" TargetMode="External"/><Relationship Id="rId1182" Type="http://schemas.openxmlformats.org/officeDocument/2006/relationships/hyperlink" Target="https://drive.google.com/file/d/1Rf8IlGencUyLrG0EADQrh4qiOhgDPDm0/view?usp=drivesdk" TargetMode="External"/><Relationship Id="rId594" Type="http://schemas.openxmlformats.org/officeDocument/2006/relationships/hyperlink" Target="https://drive.google.com/file/d/1xZ5HwISaypm-rAliUK4bTLRksYd6Ggmp/view?usp=drivesdk" TargetMode="External"/><Relationship Id="rId1183" Type="http://schemas.openxmlformats.org/officeDocument/2006/relationships/hyperlink" Target="https://drive.google.com/file/d/1f7wM6Wv-5IZdMlvVixTX9XQGKehRmSbd/view?usp=drivesdk" TargetMode="External"/><Relationship Id="rId593" Type="http://schemas.openxmlformats.org/officeDocument/2006/relationships/hyperlink" Target="https://drive.google.com/file/d/1tER524eY1Pm4waC522tn1TKATaBAcIdy/view?usp=drivesdk" TargetMode="External"/><Relationship Id="rId1184" Type="http://schemas.openxmlformats.org/officeDocument/2006/relationships/hyperlink" Target="https://drive.google.com/file/d/13LS9QB_9LznWzEPtxRzswFa02VspDfHm/view?usp=drivesdk" TargetMode="External"/><Relationship Id="rId592" Type="http://schemas.openxmlformats.org/officeDocument/2006/relationships/hyperlink" Target="https://drive.google.com/file/d/18TggGlWkXeSu5bk_69IJ9x2PmMxVkhua/view?usp=drivesdk" TargetMode="External"/><Relationship Id="rId1185" Type="http://schemas.openxmlformats.org/officeDocument/2006/relationships/hyperlink" Target="https://drive.google.com/file/d/1xmVQIT1E4bEl3FVGwzITeNrPYKzhpkUX/view?usp=drivesdk" TargetMode="External"/><Relationship Id="rId591" Type="http://schemas.openxmlformats.org/officeDocument/2006/relationships/hyperlink" Target="https://drive.google.com/file/d/1Onjhzt6DwoZrjGjz6X61baw4m0bp-7E_/view?usp=drivesdk" TargetMode="External"/><Relationship Id="rId1186" Type="http://schemas.openxmlformats.org/officeDocument/2006/relationships/hyperlink" Target="https://drive.google.com/file/d/127InPI2FO18-CVjeYWAw45OeGlbJsLgS/view?usp=drivesdk" TargetMode="External"/><Relationship Id="rId598" Type="http://schemas.openxmlformats.org/officeDocument/2006/relationships/hyperlink" Target="https://drive.google.com/file/d/1xrLs1VeE6z1N0rhUYb4xMyLvV1mRyn-h/view?usp=drivesdk" TargetMode="External"/><Relationship Id="rId1187" Type="http://schemas.openxmlformats.org/officeDocument/2006/relationships/hyperlink" Target="https://drive.google.com/file/d/1n7eSOCdAOIxngYQmTmTBMScbN48i49el/view?usp=drivesdk" TargetMode="External"/><Relationship Id="rId597" Type="http://schemas.openxmlformats.org/officeDocument/2006/relationships/hyperlink" Target="https://drive.google.com/file/d/1aNzKHnUJIxhkPSrHpYsD3L4dSNXQ-vB-/view?usp=drivesdk" TargetMode="External"/><Relationship Id="rId1188" Type="http://schemas.openxmlformats.org/officeDocument/2006/relationships/hyperlink" Target="https://drive.google.com/file/d/1lVtzVUT1NgdL2Q4oDjvyy4DdPuRWzM6h/view?usp=drivesdk" TargetMode="External"/><Relationship Id="rId596" Type="http://schemas.openxmlformats.org/officeDocument/2006/relationships/hyperlink" Target="https://drive.google.com/file/d/1iaViZsT5wDy5G8zBeOeH6DEs-CR3Ac5P/view?usp=drivesdk" TargetMode="External"/><Relationship Id="rId1189" Type="http://schemas.openxmlformats.org/officeDocument/2006/relationships/hyperlink" Target="https://drive.google.com/file/d/1lzTDbGlZufj5mi3D2aXxSbSojMv0kS-e/view?usp=drivesdk" TargetMode="External"/><Relationship Id="rId595" Type="http://schemas.openxmlformats.org/officeDocument/2006/relationships/hyperlink" Target="https://drive.google.com/file/d/1-wdncb2cO0VeOs6J7tH6tKqbYdC4tKJa/view?usp=drivesdk" TargetMode="External"/><Relationship Id="rId1136" Type="http://schemas.openxmlformats.org/officeDocument/2006/relationships/hyperlink" Target="https://drive.google.com/file/d/1-9Fcmt4OS-LDChgj2l27HGaNzy4UZ_SN/view?usp=drivesdk" TargetMode="External"/><Relationship Id="rId2467" Type="http://schemas.openxmlformats.org/officeDocument/2006/relationships/hyperlink" Target="https://drive.google.com/file/d/1KPX3cJhfnpW31dGY6ra4LvHIpzivafj3/view?usp=drivesdk" TargetMode="External"/><Relationship Id="rId1137" Type="http://schemas.openxmlformats.org/officeDocument/2006/relationships/hyperlink" Target="https://drive.google.com/file/d/1Jok6c7VCZtMN99P6fMSmmpu_xIq7tlFM/view?usp=drivesdk" TargetMode="External"/><Relationship Id="rId2468" Type="http://schemas.openxmlformats.org/officeDocument/2006/relationships/hyperlink" Target="https://drive.google.com/file/d/1mgtXjUjGQ4kYpZsW972EgP1jUJi2bdlT/view?usp=drivesdk" TargetMode="External"/><Relationship Id="rId1138" Type="http://schemas.openxmlformats.org/officeDocument/2006/relationships/hyperlink" Target="https://drive.google.com/file/d/1fKBpFNzmzvS091UTRO9kCoAM5okQyhs0/view?usp=drivesdk" TargetMode="External"/><Relationship Id="rId2469" Type="http://schemas.openxmlformats.org/officeDocument/2006/relationships/hyperlink" Target="https://drive.google.com/file/d/1Y8g9Mt2NlD4L3SEcN0KuE57CVvxX5ojn/view?usp=drivesdk" TargetMode="External"/><Relationship Id="rId1139" Type="http://schemas.openxmlformats.org/officeDocument/2006/relationships/hyperlink" Target="https://drive.google.com/file/d/1hcj-x2XoWUnUV1obCIB65yNgQ3kylZiW/view?usp=drivesdk" TargetMode="External"/><Relationship Id="rId547" Type="http://schemas.openxmlformats.org/officeDocument/2006/relationships/hyperlink" Target="https://drive.google.com/file/d/192u6FsPH0dfUlR5C4F3pu39u_VTTNdUA/view?usp=drivesdk" TargetMode="External"/><Relationship Id="rId546" Type="http://schemas.openxmlformats.org/officeDocument/2006/relationships/hyperlink" Target="https://drive.google.com/file/d/1-pDeEfPAf_mQH8ArTtwNV5-DRSSLbAeW/view?usp=drivesdk" TargetMode="External"/><Relationship Id="rId545" Type="http://schemas.openxmlformats.org/officeDocument/2006/relationships/hyperlink" Target="https://drive.google.com/file/d/1-xDngnZCU1Q30JZaNakmMeial4_1JeC4/view?usp=drivesdk" TargetMode="External"/><Relationship Id="rId544" Type="http://schemas.openxmlformats.org/officeDocument/2006/relationships/hyperlink" Target="https://drive.google.com/file/d/1_4bsoNftxzrYgW0LoOb8o7nEpbEykoBX/view?usp=drivesdk" TargetMode="External"/><Relationship Id="rId549" Type="http://schemas.openxmlformats.org/officeDocument/2006/relationships/hyperlink" Target="https://drive.google.com/file/d/1ZZkjNeDnTCzxLDzikYrUDBxDsz5cDS5n/view?usp=drivesdk" TargetMode="External"/><Relationship Id="rId548" Type="http://schemas.openxmlformats.org/officeDocument/2006/relationships/hyperlink" Target="https://drive.google.com/file/d/1HIgqnSklfRU_KSuAKqwCjemBDMJZRLug/view?usp=drivesdk" TargetMode="External"/><Relationship Id="rId2460" Type="http://schemas.openxmlformats.org/officeDocument/2006/relationships/hyperlink" Target="https://drive.google.com/file/d/1m5ZlxWxxW6mIJMc4yPo8-xk7pqhPlOsf/view?usp=drivesdk" TargetMode="External"/><Relationship Id="rId1130" Type="http://schemas.openxmlformats.org/officeDocument/2006/relationships/hyperlink" Target="https://drive.google.com/file/d/1imAx6dmQtWiS5VnDT7LM1Pv-7Fmv4q0t/view?usp=drivesdk" TargetMode="External"/><Relationship Id="rId2461" Type="http://schemas.openxmlformats.org/officeDocument/2006/relationships/hyperlink" Target="https://drive.google.com/file/d/1PTnkzr8QEo22di-UQWPHzD8_NqzRwLZZ/view?usp=drivesdk" TargetMode="External"/><Relationship Id="rId1131" Type="http://schemas.openxmlformats.org/officeDocument/2006/relationships/hyperlink" Target="https://drive.google.com/file/d/1byz7AyfteF1u_a68HEvom3Mwh6rXoXi0/view?usp=drivesdk" TargetMode="External"/><Relationship Id="rId2462" Type="http://schemas.openxmlformats.org/officeDocument/2006/relationships/hyperlink" Target="https://drive.google.com/file/d/1a_TAmQXjhkfvt4i4JzzGhoFGBmtYk_1Z/view?usp=drivesdk" TargetMode="External"/><Relationship Id="rId543" Type="http://schemas.openxmlformats.org/officeDocument/2006/relationships/hyperlink" Target="https://drive.google.com/file/d/1gqsiRL3uWmF0FYynu5VpRmj0rQrNvKAW/view?usp=drivesdk" TargetMode="External"/><Relationship Id="rId1132" Type="http://schemas.openxmlformats.org/officeDocument/2006/relationships/hyperlink" Target="https://drive.google.com/file/d/1cB5xfmf3D3sljVZf__EYR64QA5_6sxKl/view?usp=drivesdk" TargetMode="External"/><Relationship Id="rId2463" Type="http://schemas.openxmlformats.org/officeDocument/2006/relationships/hyperlink" Target="https://drive.google.com/file/d/1nVUA1RBik6M2hcwtK79Vsh6Pw_dxLn8h/view?usp=drivesdk" TargetMode="External"/><Relationship Id="rId542" Type="http://schemas.openxmlformats.org/officeDocument/2006/relationships/hyperlink" Target="https://drive.google.com/file/d/12Y4-F1R64ahc-IfJWR9onKydaREtjT5Z/view?usp=drivesdk" TargetMode="External"/><Relationship Id="rId1133" Type="http://schemas.openxmlformats.org/officeDocument/2006/relationships/hyperlink" Target="https://drive.google.com/file/d/1IPiiPzd-m44_afOzCS7QvMES8_oBEhvq/view?usp=drivesdk" TargetMode="External"/><Relationship Id="rId2464" Type="http://schemas.openxmlformats.org/officeDocument/2006/relationships/hyperlink" Target="https://drive.google.com/file/d/1Mg33u9waVV2mObboAz-o1lX_7OGD4KRf/view?usp=drivesdk" TargetMode="External"/><Relationship Id="rId541" Type="http://schemas.openxmlformats.org/officeDocument/2006/relationships/hyperlink" Target="https://drive.google.com/file/d/1S03bY4QGzb_LsniulJX2-t2kmpPxhMWP/view?usp=drivesdk" TargetMode="External"/><Relationship Id="rId1134" Type="http://schemas.openxmlformats.org/officeDocument/2006/relationships/hyperlink" Target="https://drive.google.com/file/d/1-mh2DYKKpcAoRtp_P-ryesrulkz7jlbu/view?usp=drivesdk" TargetMode="External"/><Relationship Id="rId2465" Type="http://schemas.openxmlformats.org/officeDocument/2006/relationships/hyperlink" Target="https://drive.google.com/file/d/137jHE2eBwiXadYLyoWCwy8P9cobbLSgR/view?usp=drivesdk" TargetMode="External"/><Relationship Id="rId540" Type="http://schemas.openxmlformats.org/officeDocument/2006/relationships/hyperlink" Target="https://drive.google.com/file/d/1LowDJBDZp2XUkp6htHz84wR3I5Aby3WN/view?usp=drivesdk" TargetMode="External"/><Relationship Id="rId1135" Type="http://schemas.openxmlformats.org/officeDocument/2006/relationships/hyperlink" Target="https://drive.google.com/file/d/1ymOhc8W3MaYfXbeHuX_6UGKrtqUQmHlD/view?usp=drivesdk" TargetMode="External"/><Relationship Id="rId2466" Type="http://schemas.openxmlformats.org/officeDocument/2006/relationships/hyperlink" Target="https://drive.google.com/file/d/1JV5E_tSPkgvvTRPEu2rgklQPb_8Yb_7M/view?usp=drivesdk" TargetMode="External"/><Relationship Id="rId1125" Type="http://schemas.openxmlformats.org/officeDocument/2006/relationships/hyperlink" Target="https://drive.google.com/file/d/1jPGVtz84rIUK_7ToCPnFIOYXNK7RCyc4/view?usp=drivesdk" TargetMode="External"/><Relationship Id="rId2456" Type="http://schemas.openxmlformats.org/officeDocument/2006/relationships/hyperlink" Target="https://drive.google.com/file/d/1rPq3gMHnm7Y6lLJHL8-tANQFNLPqfbYm/view?usp=drivesdk" TargetMode="External"/><Relationship Id="rId1126" Type="http://schemas.openxmlformats.org/officeDocument/2006/relationships/hyperlink" Target="https://drive.google.com/file/d/1Y3HKCtakqT83piJTpjdATW96pYoS4_Hc/view?usp=drivesdk" TargetMode="External"/><Relationship Id="rId2457" Type="http://schemas.openxmlformats.org/officeDocument/2006/relationships/hyperlink" Target="https://drive.google.com/file/d/1ArbZggjGoMVmiSY_xH3hTtR4y6VtR9YL/view?usp=drivesdk" TargetMode="External"/><Relationship Id="rId1127" Type="http://schemas.openxmlformats.org/officeDocument/2006/relationships/hyperlink" Target="https://drive.google.com/file/d/14Q3iNW3UaaSIH4rDe6uxO8qOw5GqbCuG/view?usp=drivesdk" TargetMode="External"/><Relationship Id="rId2458" Type="http://schemas.openxmlformats.org/officeDocument/2006/relationships/hyperlink" Target="https://drive.google.com/file/d/1bCQvFNYbFfqWVOhzqt4obegEPIxfYXMT/view?usp=drivesdk" TargetMode="External"/><Relationship Id="rId1128" Type="http://schemas.openxmlformats.org/officeDocument/2006/relationships/hyperlink" Target="https://drive.google.com/file/d/1d7arudtV6IA6iBGNc5b_f_0k8-S4iohv/view?usp=drivesdk" TargetMode="External"/><Relationship Id="rId2459" Type="http://schemas.openxmlformats.org/officeDocument/2006/relationships/hyperlink" Target="https://drive.google.com/file/d/1-Jvwx8R_dcvBtVji-UAeDOhCZFiAAn9H/view?usp=drivesdk" TargetMode="External"/><Relationship Id="rId1129" Type="http://schemas.openxmlformats.org/officeDocument/2006/relationships/hyperlink" Target="https://drive.google.com/file/d/1zEEzJorm4NMOaAzqz9h9s5GOlIb1YVQo/view?usp=drivesdk" TargetMode="External"/><Relationship Id="rId536" Type="http://schemas.openxmlformats.org/officeDocument/2006/relationships/hyperlink" Target="https://drive.google.com/file/d/1n-YFdWO33LCJLrsGwdf6SUcNCcJ53BpW/view?usp=drivesdk" TargetMode="External"/><Relationship Id="rId535" Type="http://schemas.openxmlformats.org/officeDocument/2006/relationships/hyperlink" Target="https://drive.google.com/file/d/1ZWX5KE0H0RPR24ghjhKYXvWGtyhSD23_/view?usp=drivesdk" TargetMode="External"/><Relationship Id="rId534" Type="http://schemas.openxmlformats.org/officeDocument/2006/relationships/hyperlink" Target="https://drive.google.com/file/d/1FctWG5fFtd9swb7nf5clhW4ybriZAiax/view?usp=drivesdk" TargetMode="External"/><Relationship Id="rId533" Type="http://schemas.openxmlformats.org/officeDocument/2006/relationships/hyperlink" Target="https://drive.google.com/file/d/1_FGRZjXjzcqQ7WnfRV3bnK84pUSZVMOj/view?usp=drivesdk" TargetMode="External"/><Relationship Id="rId539" Type="http://schemas.openxmlformats.org/officeDocument/2006/relationships/hyperlink" Target="https://drive.google.com/file/d/1HJMB1bI2CWhZOO3borrGfJOymzupaxok/view?usp=drivesdk" TargetMode="External"/><Relationship Id="rId538" Type="http://schemas.openxmlformats.org/officeDocument/2006/relationships/hyperlink" Target="https://drive.google.com/file/d/19SmX_tapJY3aFhmBJ2wCA9JR7-zTq3Im/view?usp=drivesdk" TargetMode="External"/><Relationship Id="rId537" Type="http://schemas.openxmlformats.org/officeDocument/2006/relationships/hyperlink" Target="https://drive.google.com/file/d/1O9M0CA6B7G5i7npjjN1LKo5jBTjt5NOW/view?usp=drivesdk" TargetMode="External"/><Relationship Id="rId2450" Type="http://schemas.openxmlformats.org/officeDocument/2006/relationships/hyperlink" Target="https://drive.google.com/file/d/1o2k7vj4lCbLr-sUckUJPC5evZ3l6CFw_/view?usp=drivesdk" TargetMode="External"/><Relationship Id="rId1120" Type="http://schemas.openxmlformats.org/officeDocument/2006/relationships/hyperlink" Target="https://drive.google.com/file/d/1y1clH06IEou9voxiR9wEEPTzz-xfRC_Z/view?usp=drivesdk" TargetMode="External"/><Relationship Id="rId2451" Type="http://schemas.openxmlformats.org/officeDocument/2006/relationships/hyperlink" Target="https://drive.google.com/file/d/1xWtzIalTyDfQmth-6vNfg7v6DUlLfVxw/view?usp=drivesdk" TargetMode="External"/><Relationship Id="rId532" Type="http://schemas.openxmlformats.org/officeDocument/2006/relationships/hyperlink" Target="https://drive.google.com/file/d/1yR9cZml3hQ6T4MOjIUa34kloKZbkx3-C/view?usp=drivesdk" TargetMode="External"/><Relationship Id="rId1121" Type="http://schemas.openxmlformats.org/officeDocument/2006/relationships/hyperlink" Target="https://drive.google.com/file/d/1FXLFT6SJ9aw3QI_USojxQDvz_YOkzfG9/view?usp=drivesdk" TargetMode="External"/><Relationship Id="rId2452" Type="http://schemas.openxmlformats.org/officeDocument/2006/relationships/hyperlink" Target="https://drive.google.com/file/d/1r2agxTQW4eF6F77aYqt_qAMgbq4h6vhA/view?usp=drivesdk" TargetMode="External"/><Relationship Id="rId531" Type="http://schemas.openxmlformats.org/officeDocument/2006/relationships/hyperlink" Target="https://drive.google.com/file/d/1czfjL33TgYf4q2u9VCi5Xq7X99EOUVWb/view?usp=drivesdk" TargetMode="External"/><Relationship Id="rId1122" Type="http://schemas.openxmlformats.org/officeDocument/2006/relationships/hyperlink" Target="https://drive.google.com/file/d/16DVt8Y5GxXdggRvwtpyp_jimvdwf4XxL/view?usp=drivesdk" TargetMode="External"/><Relationship Id="rId2453" Type="http://schemas.openxmlformats.org/officeDocument/2006/relationships/hyperlink" Target="https://drive.google.com/file/d/111nuS5F8JlaSOcxh61VDyUCY_DCdOKGM/view?usp=drivesdk" TargetMode="External"/><Relationship Id="rId530" Type="http://schemas.openxmlformats.org/officeDocument/2006/relationships/hyperlink" Target="https://drive.google.com/file/d/1B8hhxVlq7cnNDBLJ9shwPam-B15NJmeg/view?usp=drivesdk" TargetMode="External"/><Relationship Id="rId1123" Type="http://schemas.openxmlformats.org/officeDocument/2006/relationships/hyperlink" Target="https://drive.google.com/file/d/1tvai3n1EOGKH_K0iyRzl5y4TKqtAjF9e/view?usp=drivesdk" TargetMode="External"/><Relationship Id="rId2454" Type="http://schemas.openxmlformats.org/officeDocument/2006/relationships/hyperlink" Target="https://drive.google.com/file/d/12AI5DRJwy5EUDc4Bff1lMMigRu387odK/view?usp=drivesdk" TargetMode="External"/><Relationship Id="rId1124" Type="http://schemas.openxmlformats.org/officeDocument/2006/relationships/hyperlink" Target="https://drive.google.com/file/d/1yW0ZszGrPKRFuLx0-9iwjn42FP-08DtF/view?usp=drivesdk" TargetMode="External"/><Relationship Id="rId2455" Type="http://schemas.openxmlformats.org/officeDocument/2006/relationships/hyperlink" Target="https://drive.google.com/file/d/1q3zDBCAa9Iik9Z4vigCtXmanj8_d5bWb/view?usp=drivesdk" TargetMode="External"/><Relationship Id="rId1158" Type="http://schemas.openxmlformats.org/officeDocument/2006/relationships/hyperlink" Target="https://drive.google.com/file/d/1aYkSUCZu-Fv9FMbWWLVvWlRm1TkYjpep/view?usp=drivesdk" TargetMode="External"/><Relationship Id="rId2489" Type="http://schemas.openxmlformats.org/officeDocument/2006/relationships/hyperlink" Target="https://drive.google.com/file/d/1ZdStIAryiMG9Yjyb-epjFMXsQ4Y0oqnn/view?usp=drivesdk" TargetMode="External"/><Relationship Id="rId1159" Type="http://schemas.openxmlformats.org/officeDocument/2006/relationships/hyperlink" Target="https://drive.google.com/file/d/1v5JUQLEDmWy4BdiCGTg1cMx4-nEilCjE/view?usp=drivesdk" TargetMode="External"/><Relationship Id="rId569" Type="http://schemas.openxmlformats.org/officeDocument/2006/relationships/hyperlink" Target="https://drive.google.com/file/d/1nDrRbUYA46OyT_UiAcU2qmsoDAB6UA-A/view?usp=drivesdk" TargetMode="External"/><Relationship Id="rId568" Type="http://schemas.openxmlformats.org/officeDocument/2006/relationships/hyperlink" Target="https://drive.google.com/file/d/1Y_EpmCGK_8GrQO61cfo7567_OUWQW7vY/view?usp=drivesdk" TargetMode="External"/><Relationship Id="rId567" Type="http://schemas.openxmlformats.org/officeDocument/2006/relationships/hyperlink" Target="https://drive.google.com/file/d/1EwsF0pnLu0pGACJr3ju1dbwNB6CV2Y9L/view?usp=drivesdk" TargetMode="External"/><Relationship Id="rId566" Type="http://schemas.openxmlformats.org/officeDocument/2006/relationships/hyperlink" Target="https://drive.google.com/file/d/1rehvP0kDldNOg4rLY0VGFiwvPM2zft3H/view?usp=drivesdk" TargetMode="External"/><Relationship Id="rId2480" Type="http://schemas.openxmlformats.org/officeDocument/2006/relationships/hyperlink" Target="https://drive.google.com/file/d/1NKuXy2eEACsWL03AhiZ1c6s6CeqztW4P/view?usp=drivesdk" TargetMode="External"/><Relationship Id="rId561" Type="http://schemas.openxmlformats.org/officeDocument/2006/relationships/hyperlink" Target="https://drive.google.com/file/d/1ZVhYZp01PzxL_VPWUZGFJTNT6bK258ax/view?usp=drivesdk" TargetMode="External"/><Relationship Id="rId1150" Type="http://schemas.openxmlformats.org/officeDocument/2006/relationships/hyperlink" Target="https://drive.google.com/file/d/1pn3UbyMIcAB5k7byyloKQcf2-culw8iu/view?usp=drivesdk" TargetMode="External"/><Relationship Id="rId2481" Type="http://schemas.openxmlformats.org/officeDocument/2006/relationships/hyperlink" Target="https://drive.google.com/file/d/1-FYT0QOVIGaA4PgfHyCIHis4MjqOeFiY/view?usp=drivesdk" TargetMode="External"/><Relationship Id="rId560" Type="http://schemas.openxmlformats.org/officeDocument/2006/relationships/hyperlink" Target="https://drive.google.com/file/d/11LA3heiN90GGDiax7QtguujQjiwyu9kD/view?usp=drivesdk" TargetMode="External"/><Relationship Id="rId1151" Type="http://schemas.openxmlformats.org/officeDocument/2006/relationships/hyperlink" Target="https://drive.google.com/file/d/1T_aCuxqIsWfrq6BUxxMV69tTtmduc0u1/view?usp=drivesdk" TargetMode="External"/><Relationship Id="rId2482" Type="http://schemas.openxmlformats.org/officeDocument/2006/relationships/hyperlink" Target="https://drive.google.com/file/d/1-wsXELxSOwXrENqGKeAN6dmdsJy5xqtf/view?usp=drivesdk" TargetMode="External"/><Relationship Id="rId1152" Type="http://schemas.openxmlformats.org/officeDocument/2006/relationships/hyperlink" Target="https://drive.google.com/file/d/12uQ6_WgmEPiyYX3TMGDt7C9BzPvwbJ5C/view?usp=drivesdk" TargetMode="External"/><Relationship Id="rId2483" Type="http://schemas.openxmlformats.org/officeDocument/2006/relationships/hyperlink" Target="https://drive.google.com/file/d/14DNZRM40L2rRaRLath5YsJWIG0aixqy-/view?usp=drivesdk" TargetMode="External"/><Relationship Id="rId1153" Type="http://schemas.openxmlformats.org/officeDocument/2006/relationships/hyperlink" Target="https://drive.google.com/file/d/1lwLXNWTUAH-QYdJcqD66ciRQ-w3_fMd4/view?usp=drivesdk" TargetMode="External"/><Relationship Id="rId2484" Type="http://schemas.openxmlformats.org/officeDocument/2006/relationships/hyperlink" Target="https://drive.google.com/file/d/14I4i-H3Y7sJWjSiL3kd591Tq0IYRx-nO/view?usp=drivesdk" TargetMode="External"/><Relationship Id="rId565" Type="http://schemas.openxmlformats.org/officeDocument/2006/relationships/hyperlink" Target="https://drive.google.com/file/d/1ysVp3Vk_Bm-kgrT2l1h9mJDlMwC7toGK/view?usp=drivesdk" TargetMode="External"/><Relationship Id="rId1154" Type="http://schemas.openxmlformats.org/officeDocument/2006/relationships/hyperlink" Target="https://drive.google.com/file/d/1lnXuJn8swk68UJVUN3KV08Xy3-G0mGc8/view?usp=drivesdk" TargetMode="External"/><Relationship Id="rId2485" Type="http://schemas.openxmlformats.org/officeDocument/2006/relationships/hyperlink" Target="https://drive.google.com/file/d/1nPeNQuXq6UAyW8Ux_E5ua7um4qsFLJ_o/view?usp=drivesdk" TargetMode="External"/><Relationship Id="rId564" Type="http://schemas.openxmlformats.org/officeDocument/2006/relationships/hyperlink" Target="https://drive.google.com/file/d/1vqZS6YvnVP7WM3ColgxpdhNh_-LNaWT0/view?usp=drivesdk" TargetMode="External"/><Relationship Id="rId1155" Type="http://schemas.openxmlformats.org/officeDocument/2006/relationships/hyperlink" Target="https://drive.google.com/file/d/1BY4RzaOsItn5ZWxN-vc7Zjy--T2GR2Nf/view?usp=drivesdk" TargetMode="External"/><Relationship Id="rId2486" Type="http://schemas.openxmlformats.org/officeDocument/2006/relationships/hyperlink" Target="https://drive.google.com/file/d/1kEKQ8OZ8hWV7vjvUgePWcgbmTxOS3OkH/view?usp=drivesdk" TargetMode="External"/><Relationship Id="rId563" Type="http://schemas.openxmlformats.org/officeDocument/2006/relationships/hyperlink" Target="https://drive.google.com/file/d/1eTT-z3W59HCeZCSxkMv9ObSn8ZxR7bgl/view?usp=drivesdk" TargetMode="External"/><Relationship Id="rId1156" Type="http://schemas.openxmlformats.org/officeDocument/2006/relationships/hyperlink" Target="https://drive.google.com/file/d/1HOI_egpn44HA2sgfmv698tGFQhjwJS_7/view?usp=drivesdk" TargetMode="External"/><Relationship Id="rId2487" Type="http://schemas.openxmlformats.org/officeDocument/2006/relationships/hyperlink" Target="https://drive.google.com/file/d/139fwfSuHaC3wTChDe3wxF-d919Mz_jKy/view?usp=drivesdk" TargetMode="External"/><Relationship Id="rId562" Type="http://schemas.openxmlformats.org/officeDocument/2006/relationships/hyperlink" Target="https://drive.google.com/file/d/1cTS_L14IMe69spwJnjmmtddzn9eVdb4W/view?usp=drivesdk" TargetMode="External"/><Relationship Id="rId1157" Type="http://schemas.openxmlformats.org/officeDocument/2006/relationships/hyperlink" Target="https://drive.google.com/file/d/1HpZ6JyWpnnIhnQjSRBMxyxGlBPe_mb_f/view?usp=drivesdk" TargetMode="External"/><Relationship Id="rId2488" Type="http://schemas.openxmlformats.org/officeDocument/2006/relationships/hyperlink" Target="https://drive.google.com/file/d/1Igh1OYrpvOLJ8WDgqCuHskXzEU7ZoW_6/view?usp=drivesdk" TargetMode="External"/><Relationship Id="rId1147" Type="http://schemas.openxmlformats.org/officeDocument/2006/relationships/hyperlink" Target="https://drive.google.com/file/d/1vGibcuDl4SNlCVY66zeSA19ohCEYy9kK/view?usp=drivesdk" TargetMode="External"/><Relationship Id="rId2478" Type="http://schemas.openxmlformats.org/officeDocument/2006/relationships/hyperlink" Target="https://drive.google.com/file/d/10-cf4o0AuxlLhrP13LowyOyLXJEcfPon/view?usp=drivesdk" TargetMode="External"/><Relationship Id="rId1148" Type="http://schemas.openxmlformats.org/officeDocument/2006/relationships/hyperlink" Target="https://drive.google.com/file/d/1BC-A-X_Dj4qTKMb-Rv02mFYzq5i21bEC/view?usp=drivesdk" TargetMode="External"/><Relationship Id="rId2479" Type="http://schemas.openxmlformats.org/officeDocument/2006/relationships/hyperlink" Target="https://drive.google.com/file/d/1zi3DLqOGO7Btyv2lzS3_iuu2oIfHSvhn/view?usp=drivesdk" TargetMode="External"/><Relationship Id="rId1149" Type="http://schemas.openxmlformats.org/officeDocument/2006/relationships/hyperlink" Target="https://drive.google.com/file/d/1ch_-inlYyV8qkExj_s9xuSTF3o4bZ-_k/view?usp=drivesdk" TargetMode="External"/><Relationship Id="rId558" Type="http://schemas.openxmlformats.org/officeDocument/2006/relationships/hyperlink" Target="https://drive.google.com/file/d/1eM7v8ojRHGwFe8FJpWvWsC2hDfCEau6K/view?usp=drivesdk" TargetMode="External"/><Relationship Id="rId557" Type="http://schemas.openxmlformats.org/officeDocument/2006/relationships/hyperlink" Target="https://drive.google.com/file/d/1iHQUXLdlV_DEJMQ_aq_cC-SvgIHVAaqI/view?usp=drivesdk" TargetMode="External"/><Relationship Id="rId556" Type="http://schemas.openxmlformats.org/officeDocument/2006/relationships/hyperlink" Target="https://drive.google.com/file/d/1Rcz8eIa2iwIWWS_Mb8fhOtD6LJW1eld-/view?usp=drivesdk" TargetMode="External"/><Relationship Id="rId555" Type="http://schemas.openxmlformats.org/officeDocument/2006/relationships/hyperlink" Target="https://drive.google.com/file/d/14XkXU9N9T4t6rk1hW0sFQDIe_r8yOUU3/view?usp=drivesdk" TargetMode="External"/><Relationship Id="rId559" Type="http://schemas.openxmlformats.org/officeDocument/2006/relationships/hyperlink" Target="https://drive.google.com/file/d/14GeTuuDcvGnyFN0009dd6R1-OtK24ZAP/view?usp=drivesdk" TargetMode="External"/><Relationship Id="rId550" Type="http://schemas.openxmlformats.org/officeDocument/2006/relationships/hyperlink" Target="https://drive.google.com/file/d/1D0Fsvp14jMjK3rw8vwMmZaVNx40ve7Hq/view?usp=drivesdk" TargetMode="External"/><Relationship Id="rId2470" Type="http://schemas.openxmlformats.org/officeDocument/2006/relationships/hyperlink" Target="https://drive.google.com/file/d/15DG09z-Q1avKwoLeUifY-dU1v9ht0kXY/view?usp=drivesdk" TargetMode="External"/><Relationship Id="rId1140" Type="http://schemas.openxmlformats.org/officeDocument/2006/relationships/hyperlink" Target="https://drive.google.com/file/d/1O2CZV1333YM3N87LfUtFqqnihWJQmnIF/view?usp=drivesdk" TargetMode="External"/><Relationship Id="rId2471" Type="http://schemas.openxmlformats.org/officeDocument/2006/relationships/hyperlink" Target="https://drive.google.com/file/d/1aNCopp6L-iHhMqKziEr--S-rJPm203hR/view?usp=drivesdk" TargetMode="External"/><Relationship Id="rId1141" Type="http://schemas.openxmlformats.org/officeDocument/2006/relationships/hyperlink" Target="https://drive.google.com/file/d/1vyd20DgcGhqoD6cc-h0G2LzFi4lvuJMz/view?usp=drivesdk" TargetMode="External"/><Relationship Id="rId2472" Type="http://schemas.openxmlformats.org/officeDocument/2006/relationships/hyperlink" Target="https://drive.google.com/file/d/1dsvOBmBs1wP88rR3tXOp4XVBBUmmNcsQ/view?usp=drivesdk" TargetMode="External"/><Relationship Id="rId1142" Type="http://schemas.openxmlformats.org/officeDocument/2006/relationships/hyperlink" Target="https://drive.google.com/file/d/13GwyX_AqHkr5pGpIGCX8AgfUHB7-jG-M/view?usp=drivesdk" TargetMode="External"/><Relationship Id="rId2473" Type="http://schemas.openxmlformats.org/officeDocument/2006/relationships/hyperlink" Target="https://drive.google.com/file/d/1FA-zcvOHTA7xvok7vsBsqo32SwSG_W0T/view?usp=drivesdk" TargetMode="External"/><Relationship Id="rId554" Type="http://schemas.openxmlformats.org/officeDocument/2006/relationships/hyperlink" Target="https://drive.google.com/file/d/1TH7LBpo-Ac8cTpIy_dacnVAx8ZxTtUDX/view?usp=drivesdk" TargetMode="External"/><Relationship Id="rId1143" Type="http://schemas.openxmlformats.org/officeDocument/2006/relationships/hyperlink" Target="https://drive.google.com/file/d/1R_WL0AExjMKiypoB7mKpQqeDlLTVOzbM/view?usp=drivesdk" TargetMode="External"/><Relationship Id="rId2474" Type="http://schemas.openxmlformats.org/officeDocument/2006/relationships/hyperlink" Target="https://drive.google.com/file/d/1fG33_gUttrbjxOWCW-_NMak-KhKBrija/view?usp=drivesdk" TargetMode="External"/><Relationship Id="rId553" Type="http://schemas.openxmlformats.org/officeDocument/2006/relationships/hyperlink" Target="https://drive.google.com/file/d/1kusUe8iFNhGsEDBWV6t4bCbXbSVs7CFx/view?usp=drivesdk" TargetMode="External"/><Relationship Id="rId1144" Type="http://schemas.openxmlformats.org/officeDocument/2006/relationships/hyperlink" Target="https://drive.google.com/file/d/1a0KZN3faHzg9F-zfanMvaOOqzIUfYSps/view?usp=drivesdk" TargetMode="External"/><Relationship Id="rId2475" Type="http://schemas.openxmlformats.org/officeDocument/2006/relationships/hyperlink" Target="https://drive.google.com/file/d/1R36UqBtXAtA4BMYOQZDdBTMQHYPhyClu/view?usp=drivesdk" TargetMode="External"/><Relationship Id="rId552" Type="http://schemas.openxmlformats.org/officeDocument/2006/relationships/hyperlink" Target="https://drive.google.com/file/d/1dXPNsLLzR8QFXaAf9TTMn-6H4Ab51Cr8/view?usp=drivesdk" TargetMode="External"/><Relationship Id="rId1145" Type="http://schemas.openxmlformats.org/officeDocument/2006/relationships/hyperlink" Target="https://drive.google.com/file/d/1s0Gca9Qvx7ijKzxmbQcSgzYCW4yidQrc/view?usp=drivesdk" TargetMode="External"/><Relationship Id="rId2476" Type="http://schemas.openxmlformats.org/officeDocument/2006/relationships/hyperlink" Target="https://drive.google.com/file/d/1QViH4ajHq8X5kkbFfEdjYYy64Zu212y8/view?usp=drivesdk" TargetMode="External"/><Relationship Id="rId551" Type="http://schemas.openxmlformats.org/officeDocument/2006/relationships/hyperlink" Target="https://drive.google.com/file/d/1Y1VIRvIVjTRFsw_vfCRlae-RuBBKW-9z/view?usp=drivesdk" TargetMode="External"/><Relationship Id="rId1146" Type="http://schemas.openxmlformats.org/officeDocument/2006/relationships/hyperlink" Target="https://drive.google.com/file/d/1WQwMc7WBq3XYp2r6wGttPcunx25B42e4/view?usp=drivesdk" TargetMode="External"/><Relationship Id="rId2477" Type="http://schemas.openxmlformats.org/officeDocument/2006/relationships/hyperlink" Target="https://drive.google.com/file/d/1p9EfrEPmDrshSQQyoPV1qK7eirjasytX/view?usp=drivesdk" TargetMode="External"/><Relationship Id="rId495" Type="http://schemas.openxmlformats.org/officeDocument/2006/relationships/hyperlink" Target="https://drive.google.com/file/d/1B-klQ6VcjFDo5YSJOyapoB7mniiHyJM-/view?usp=drivesdk" TargetMode="External"/><Relationship Id="rId494" Type="http://schemas.openxmlformats.org/officeDocument/2006/relationships/hyperlink" Target="https://drive.google.com/file/d/1gDoDULeuVLOPrKx75VM5XT6J6o-QuO9x/view?usp=drivesdk" TargetMode="External"/><Relationship Id="rId493" Type="http://schemas.openxmlformats.org/officeDocument/2006/relationships/hyperlink" Target="https://drive.google.com/file/d/1d0J439HUZYCCa5KilnSLacdTm3lD93Si/view?usp=drivesdk" TargetMode="External"/><Relationship Id="rId492" Type="http://schemas.openxmlformats.org/officeDocument/2006/relationships/hyperlink" Target="https://drive.google.com/file/d/1dn1a4gLg5PLdy712BbJGJhezT0TYMsrc/view?usp=drivesdk" TargetMode="External"/><Relationship Id="rId499" Type="http://schemas.openxmlformats.org/officeDocument/2006/relationships/hyperlink" Target="https://drive.google.com/file/d/1IgKtD8jabQllXituIofroEOo9fB9Orqh/view?usp=drivesdk" TargetMode="External"/><Relationship Id="rId498" Type="http://schemas.openxmlformats.org/officeDocument/2006/relationships/hyperlink" Target="https://drive.google.com/file/d/14u7Em6PY2XtQDFetT5115-mZHxqTv21F/view?usp=drivesdk" TargetMode="External"/><Relationship Id="rId497" Type="http://schemas.openxmlformats.org/officeDocument/2006/relationships/hyperlink" Target="https://drive.google.com/file/d/1kZIid5fynCnPwgUntQz2bOZyjP3neLUq/view?usp=drivesdk" TargetMode="External"/><Relationship Id="rId496" Type="http://schemas.openxmlformats.org/officeDocument/2006/relationships/hyperlink" Target="https://drive.google.com/file/d/1BJJnDqtGCA2RwvFM6nYRkjOjGvKuVPie/view?usp=drivesdk" TargetMode="External"/><Relationship Id="rId1213" Type="http://schemas.openxmlformats.org/officeDocument/2006/relationships/hyperlink" Target="https://drive.google.com/file/d/1wWqFpWow0CoOu7fTSdUXCGJ9UigZpMEn/view?usp=drivesdk" TargetMode="External"/><Relationship Id="rId2544" Type="http://schemas.openxmlformats.org/officeDocument/2006/relationships/hyperlink" Target="https://drive.google.com/file/d/1pUn5JuuBayLiPcfWrAzZVia5_iDKgrFE/view?usp=drivesdk" TargetMode="External"/><Relationship Id="rId1214" Type="http://schemas.openxmlformats.org/officeDocument/2006/relationships/hyperlink" Target="https://drive.google.com/file/d/1lVnHCyiXYvGRYGX-V0ZvvK_VLIwJw3nd/view?usp=drivesdk" TargetMode="External"/><Relationship Id="rId2545" Type="http://schemas.openxmlformats.org/officeDocument/2006/relationships/hyperlink" Target="https://drive.google.com/file/d/1Ki3S9vl6CBRB-iEHfPJFbBeBXS5c4yze/view?usp=drivesdk" TargetMode="External"/><Relationship Id="rId1215" Type="http://schemas.openxmlformats.org/officeDocument/2006/relationships/hyperlink" Target="https://drive.google.com/file/d/1sVLQXjpjnzfZ-SS6nD2F4MG703YHZCWx/view?usp=drivesdk" TargetMode="External"/><Relationship Id="rId2546" Type="http://schemas.openxmlformats.org/officeDocument/2006/relationships/hyperlink" Target="https://drive.google.com/file/d/1F_JGx_lWmWBMWGZrthYhmK7TvjE2Cywn/view?usp=drivesdk" TargetMode="External"/><Relationship Id="rId1216" Type="http://schemas.openxmlformats.org/officeDocument/2006/relationships/hyperlink" Target="https://drive.google.com/file/d/11F4P0w9ysNZf8bkwYNu5LRdP2868Y4Mz/view?usp=drivesdk" TargetMode="External"/><Relationship Id="rId2547" Type="http://schemas.openxmlformats.org/officeDocument/2006/relationships/hyperlink" Target="https://drive.google.com/file/d/1Jq5At328FQy3ULsz05SxK1SrS_XRIVBv/view?usp=drivesdk" TargetMode="External"/><Relationship Id="rId1217" Type="http://schemas.openxmlformats.org/officeDocument/2006/relationships/hyperlink" Target="https://drive.google.com/file/d/10-QBr8uK18i-lu6Jhs2ZJePBrvjOnQ4R/view?usp=drivesdk" TargetMode="External"/><Relationship Id="rId2548" Type="http://schemas.openxmlformats.org/officeDocument/2006/relationships/hyperlink" Target="https://drive.google.com/file/d/1yg-L6F0I6F1fgxX2H53kNgHST9iZhuFT/view?usp=drivesdk" TargetMode="External"/><Relationship Id="rId1218" Type="http://schemas.openxmlformats.org/officeDocument/2006/relationships/hyperlink" Target="https://drive.google.com/file/d/1zExMmFv5R6hJUYAtHUdMag1uYCROM6Q3/view?usp=drivesdk" TargetMode="External"/><Relationship Id="rId2549" Type="http://schemas.openxmlformats.org/officeDocument/2006/relationships/hyperlink" Target="https://drive.google.com/file/d/1_DJ98pFWCppO7kDmfNAIB717B-QdRU2a/view?usp=drivesdk" TargetMode="External"/><Relationship Id="rId1219" Type="http://schemas.openxmlformats.org/officeDocument/2006/relationships/hyperlink" Target="https://drive.google.com/file/d/1PABk6dOEUIskaUeYUtB5qxBLd9hsWSnQ/view?usp=drivesdk" TargetMode="External"/><Relationship Id="rId2540" Type="http://schemas.openxmlformats.org/officeDocument/2006/relationships/hyperlink" Target="https://drive.google.com/file/d/13zl87LaDmgA5FAdpU1dA3yzTbFcw_L54/view?usp=drivesdk" TargetMode="External"/><Relationship Id="rId1210" Type="http://schemas.openxmlformats.org/officeDocument/2006/relationships/hyperlink" Target="https://drive.google.com/file/d/1BSYDsRVsOlhve2jx0_E7IbMF1CuUMPa_/view?usp=drivesdk" TargetMode="External"/><Relationship Id="rId2541" Type="http://schemas.openxmlformats.org/officeDocument/2006/relationships/hyperlink" Target="https://drive.google.com/file/d/1aCpN9FQY-edL0KHCQ_dOeoW0p5GyALqJ/view?usp=drivesdk" TargetMode="External"/><Relationship Id="rId1211" Type="http://schemas.openxmlformats.org/officeDocument/2006/relationships/hyperlink" Target="https://drive.google.com/file/d/19v9FT5hEYrEw3mMDMtE-ea3-0Gvk3PE8/view?usp=drivesdk" TargetMode="External"/><Relationship Id="rId2542" Type="http://schemas.openxmlformats.org/officeDocument/2006/relationships/hyperlink" Target="https://drive.google.com/file/d/1bHBfOwE2j2qM6DS2iVTktr5tscbohYq8/view?usp=drivesdk" TargetMode="External"/><Relationship Id="rId1212" Type="http://schemas.openxmlformats.org/officeDocument/2006/relationships/hyperlink" Target="https://drive.google.com/file/d/1jEP71nTne5bOCeZqCjtYTROX9jL1HJcs/view?usp=drivesdk" TargetMode="External"/><Relationship Id="rId2543" Type="http://schemas.openxmlformats.org/officeDocument/2006/relationships/hyperlink" Target="https://drive.google.com/file/d/1jFrC1A_yeQPtrQ7firqJ7njA_VTcGSS6/view?usp=drivesdk" TargetMode="External"/><Relationship Id="rId1202" Type="http://schemas.openxmlformats.org/officeDocument/2006/relationships/hyperlink" Target="https://drive.google.com/file/d/1hqjsgFT2CMKMncMNyt68bWb6G_tv_dSC/view?usp=drivesdk" TargetMode="External"/><Relationship Id="rId2533" Type="http://schemas.openxmlformats.org/officeDocument/2006/relationships/hyperlink" Target="https://drive.google.com/file/d/1JX_-a4N28fXIO7zfjPklo9WsE9pe3QjW/view?usp=drivesdk" TargetMode="External"/><Relationship Id="rId1203" Type="http://schemas.openxmlformats.org/officeDocument/2006/relationships/hyperlink" Target="https://drive.google.com/file/d/17QZRE3en3oQzW03F7fCg49SKarFoDr3Z/view?usp=drivesdk" TargetMode="External"/><Relationship Id="rId2534" Type="http://schemas.openxmlformats.org/officeDocument/2006/relationships/hyperlink" Target="https://drive.google.com/file/d/1d6qI-QqNlpjQgx9Vwa0NjPkDpYx45iMg/view?usp=drivesdk" TargetMode="External"/><Relationship Id="rId1204" Type="http://schemas.openxmlformats.org/officeDocument/2006/relationships/hyperlink" Target="https://drive.google.com/file/d/1REXZFn51VG-EsropX7lsEKyqCXA3Plag/view?usp=drivesdk" TargetMode="External"/><Relationship Id="rId2535" Type="http://schemas.openxmlformats.org/officeDocument/2006/relationships/hyperlink" Target="https://drive.google.com/file/d/1wtALe5oh1RdoY1mXdjr4WvMritJP2N4w/view?usp=drivesdk" TargetMode="External"/><Relationship Id="rId1205" Type="http://schemas.openxmlformats.org/officeDocument/2006/relationships/hyperlink" Target="https://drive.google.com/file/d/1T8o2VZGWgfsl2q6cDK0pbAregJ89zOX1/view?usp=drivesdk" TargetMode="External"/><Relationship Id="rId2536" Type="http://schemas.openxmlformats.org/officeDocument/2006/relationships/hyperlink" Target="https://drive.google.com/file/d/1DGULVXUsTEU_9EPzOnZqFH3SYWy7WfkA/view?usp=drivesdk" TargetMode="External"/><Relationship Id="rId1206" Type="http://schemas.openxmlformats.org/officeDocument/2006/relationships/hyperlink" Target="https://drive.google.com/file/d/1lkR9fjBAKPGcxcX9cfbb_YQLNac74Jrz/view?usp=drivesdk" TargetMode="External"/><Relationship Id="rId2537" Type="http://schemas.openxmlformats.org/officeDocument/2006/relationships/hyperlink" Target="https://drive.google.com/file/d/1angB6Ei-2ZlIhgs0AbXlGha3kvj3fUY0/view?usp=drivesdk" TargetMode="External"/><Relationship Id="rId1207" Type="http://schemas.openxmlformats.org/officeDocument/2006/relationships/hyperlink" Target="https://drive.google.com/file/d/1JAQlffWyxBpm9pp-c3OwivUz-5jJ5QTR/view?usp=drivesdk" TargetMode="External"/><Relationship Id="rId2538" Type="http://schemas.openxmlformats.org/officeDocument/2006/relationships/hyperlink" Target="https://drive.google.com/file/d/1kS1z1V6AFLbZ9rpo8sFM3d0djf13VYDI/view?usp=drivesdk" TargetMode="External"/><Relationship Id="rId1208" Type="http://schemas.openxmlformats.org/officeDocument/2006/relationships/hyperlink" Target="https://drive.google.com/file/d/1u1RiBM_bgytH8CRFrls8sW7aPirtAKhG/view?usp=drivesdk" TargetMode="External"/><Relationship Id="rId2539" Type="http://schemas.openxmlformats.org/officeDocument/2006/relationships/hyperlink" Target="https://drive.google.com/file/d/1wCmr4BBIDn9AuSRCj2rGSlI0GuQ47RVa/view?usp=drivesdk" TargetMode="External"/><Relationship Id="rId1209" Type="http://schemas.openxmlformats.org/officeDocument/2006/relationships/hyperlink" Target="https://drive.google.com/file/d/1tGE1AQT1ou7SNYSwWTfHtvNY1XvQNIq2/view?usp=drivesdk" TargetMode="External"/><Relationship Id="rId2530" Type="http://schemas.openxmlformats.org/officeDocument/2006/relationships/hyperlink" Target="https://drive.google.com/file/d/19dKp0Bt_y9wu5nwD0ND7qjkbddLPOjCy/view?usp=drivesdk" TargetMode="External"/><Relationship Id="rId1200" Type="http://schemas.openxmlformats.org/officeDocument/2006/relationships/hyperlink" Target="https://drive.google.com/file/d/1ZW6D4hcOBZ21zKN0viyVwEOCQXfooh0m/view?usp=drivesdk" TargetMode="External"/><Relationship Id="rId2531" Type="http://schemas.openxmlformats.org/officeDocument/2006/relationships/hyperlink" Target="https://drive.google.com/file/d/1qJE0K3gDNeo5WCbf6KkP1a0pxT3faRns/view?usp=drivesdk" TargetMode="External"/><Relationship Id="rId1201" Type="http://schemas.openxmlformats.org/officeDocument/2006/relationships/hyperlink" Target="https://drive.google.com/file/d/1y6P3-l4hPuf5Hc-Q9WIYE0ei6sMbc_k6/view?usp=drivesdk" TargetMode="External"/><Relationship Id="rId2532" Type="http://schemas.openxmlformats.org/officeDocument/2006/relationships/hyperlink" Target="https://drive.google.com/file/d/1FFUJeJxHvYXNMK7wqAJYiQFmmbe1ofI3/view?usp=drivesdk" TargetMode="External"/><Relationship Id="rId1235" Type="http://schemas.openxmlformats.org/officeDocument/2006/relationships/hyperlink" Target="https://drive.google.com/file/d/1KmQPl69kUJYhxJK5n4XPahjqicia4PJt/view?usp=drivesdk" TargetMode="External"/><Relationship Id="rId2566" Type="http://schemas.openxmlformats.org/officeDocument/2006/relationships/hyperlink" Target="https://drive.google.com/file/d/1x5dReumzPkBHOlVCvRV6PIR2YzCKFDLg/view?usp=drivesdk" TargetMode="External"/><Relationship Id="rId1236" Type="http://schemas.openxmlformats.org/officeDocument/2006/relationships/hyperlink" Target="https://drive.google.com/file/d/1fgshuTAp5EYASvbjyVwjxvaYJqATcoxX/view?usp=drivesdk" TargetMode="External"/><Relationship Id="rId2567" Type="http://schemas.openxmlformats.org/officeDocument/2006/relationships/hyperlink" Target="https://drive.google.com/file/d/1sdcg8NT60W6Q1CUK8HlHIK6x_dR0WhCC/view?usp=drivesdk" TargetMode="External"/><Relationship Id="rId1237" Type="http://schemas.openxmlformats.org/officeDocument/2006/relationships/hyperlink" Target="https://drive.google.com/file/d/1VKVh8oYZVMF7ogxMCYAq5TkZD-YIXRTo/view?usp=drivesdk" TargetMode="External"/><Relationship Id="rId2568" Type="http://schemas.openxmlformats.org/officeDocument/2006/relationships/hyperlink" Target="https://drive.google.com/file/d/1NxE1Ga7BUZXY3Xjkehb6oetRcD7yCVFb/view?usp=drivesdk" TargetMode="External"/><Relationship Id="rId1238" Type="http://schemas.openxmlformats.org/officeDocument/2006/relationships/hyperlink" Target="https://drive.google.com/file/d/1Fqtra9klmDMHU-cOQUvjhrkdy3xHwuuz/view?usp=drivesdk" TargetMode="External"/><Relationship Id="rId2569" Type="http://schemas.openxmlformats.org/officeDocument/2006/relationships/hyperlink" Target="https://drive.google.com/file/d/1C2Jup6rdXsZPGLRA0Q5G0yMD3cEEnxWq/view?usp=drivesdk" TargetMode="External"/><Relationship Id="rId1239" Type="http://schemas.openxmlformats.org/officeDocument/2006/relationships/hyperlink" Target="https://drive.google.com/file/d/1etb_ZFpybANJqZz2MCBhjrlqErHm_Xss/view?usp=drivesdk" TargetMode="External"/><Relationship Id="rId409" Type="http://schemas.openxmlformats.org/officeDocument/2006/relationships/hyperlink" Target="https://drive.google.com/file/d/1EeW99WGRe7l9yyIocyrku0wXNCMoCNIE/view?usp=drivesdk" TargetMode="External"/><Relationship Id="rId404" Type="http://schemas.openxmlformats.org/officeDocument/2006/relationships/hyperlink" Target="https://drive.google.com/file/d/1eT9mW-qU416CviL_IYrjtqKQfZPk282G/view?usp=drivesdk" TargetMode="External"/><Relationship Id="rId403" Type="http://schemas.openxmlformats.org/officeDocument/2006/relationships/hyperlink" Target="https://drive.google.com/file/d/1PEf9rED297kwhsS0ya9FjTDJGhP2QID8/view?usp=drivesdk" TargetMode="External"/><Relationship Id="rId402" Type="http://schemas.openxmlformats.org/officeDocument/2006/relationships/hyperlink" Target="https://drive.google.com/file/d/1XwKhsZb5ScuKKX0YhptYMvxsBVJ_4owE/view?usp=drivesdk" TargetMode="External"/><Relationship Id="rId401" Type="http://schemas.openxmlformats.org/officeDocument/2006/relationships/hyperlink" Target="https://drive.google.com/file/d/1ztojVCVNJN7SCFW388op8xlaeK_Vw1xf/view?usp=drivesdk" TargetMode="External"/><Relationship Id="rId408" Type="http://schemas.openxmlformats.org/officeDocument/2006/relationships/hyperlink" Target="https://drive.google.com/file/d/1zQMuON3k0VJxo26pOuz9c7JIB74DnNZS/view?usp=drivesdk" TargetMode="External"/><Relationship Id="rId407" Type="http://schemas.openxmlformats.org/officeDocument/2006/relationships/hyperlink" Target="https://drive.google.com/file/d/1dZhEjyHuknv6NWnTUKDEMrzO8qMhIMze/view?usp=drivesdk" TargetMode="External"/><Relationship Id="rId406" Type="http://schemas.openxmlformats.org/officeDocument/2006/relationships/hyperlink" Target="https://drive.google.com/file/d/1hImNSN8BKFhUur1k5a3KAz4xCJWGtJvT/view?usp=drivesdk" TargetMode="External"/><Relationship Id="rId405" Type="http://schemas.openxmlformats.org/officeDocument/2006/relationships/hyperlink" Target="https://drive.google.com/file/d/1-1olBFiltjIpsFSPUQ1V-CD1CKd8YLSA/view?usp=drivesdk" TargetMode="External"/><Relationship Id="rId2560" Type="http://schemas.openxmlformats.org/officeDocument/2006/relationships/hyperlink" Target="https://drive.google.com/file/d/1su7Vb49cFI1HG8-kYcPPfFRtLhMmz3nx/view?usp=drivesdk" TargetMode="External"/><Relationship Id="rId1230" Type="http://schemas.openxmlformats.org/officeDocument/2006/relationships/hyperlink" Target="https://drive.google.com/file/d/1ztaNCTNMcic9832FkFVbWcikX6ViaRc1/view?usp=drivesdk" TargetMode="External"/><Relationship Id="rId2561" Type="http://schemas.openxmlformats.org/officeDocument/2006/relationships/hyperlink" Target="https://drive.google.com/file/d/1UMAh9VGta6ExS2-Lb6GkDF4fmnI2EMeM/view?usp=drivesdk" TargetMode="External"/><Relationship Id="rId400" Type="http://schemas.openxmlformats.org/officeDocument/2006/relationships/hyperlink" Target="https://drive.google.com/file/d/16EhPJV1HvGMKnVDFJVva89oMexd28xVE/view?usp=drivesdk" TargetMode="External"/><Relationship Id="rId1231" Type="http://schemas.openxmlformats.org/officeDocument/2006/relationships/hyperlink" Target="https://drive.google.com/file/d/1lVsU-JQQjMJpRQ_W-tX5W1KVGylC124L/view?usp=drivesdk" TargetMode="External"/><Relationship Id="rId2562" Type="http://schemas.openxmlformats.org/officeDocument/2006/relationships/hyperlink" Target="https://drive.google.com/file/d/1c8fXNnhmY13vK0FI3aMB_LAx3-JbSZd7/view?usp=drivesdk" TargetMode="External"/><Relationship Id="rId1232" Type="http://schemas.openxmlformats.org/officeDocument/2006/relationships/hyperlink" Target="https://drive.google.com/file/d/1fxEvxEPUqtzx_KQxVKAZ8Vc1YLWKHPNw/view?usp=drivesdk" TargetMode="External"/><Relationship Id="rId2563" Type="http://schemas.openxmlformats.org/officeDocument/2006/relationships/hyperlink" Target="https://drive.google.com/file/d/12SWYH_3yaJdBAJKrKFzEeTvzXOf_RPCI/view?usp=drivesdk" TargetMode="External"/><Relationship Id="rId1233" Type="http://schemas.openxmlformats.org/officeDocument/2006/relationships/hyperlink" Target="https://drive.google.com/file/d/1YeRAiUUoJn7JCWOFxz_uEtiLNujMVQoD/view?usp=drivesdk" TargetMode="External"/><Relationship Id="rId2564" Type="http://schemas.openxmlformats.org/officeDocument/2006/relationships/hyperlink" Target="https://drive.google.com/file/d/1_rFVHDaWBDKF-ni6stLki1Wt7mspwAb2/view?usp=drivesdk" TargetMode="External"/><Relationship Id="rId1234" Type="http://schemas.openxmlformats.org/officeDocument/2006/relationships/hyperlink" Target="https://drive.google.com/file/d/1x4O6JIJfcmXJ5BRF71cUgtg-OkebBvlf/view?usp=drivesdk" TargetMode="External"/><Relationship Id="rId2565" Type="http://schemas.openxmlformats.org/officeDocument/2006/relationships/hyperlink" Target="https://drive.google.com/file/d/1W8pBtYP2f9U_-uIX5gCuIjH_0yXV7kTV/view?usp=drivesdk" TargetMode="External"/><Relationship Id="rId1224" Type="http://schemas.openxmlformats.org/officeDocument/2006/relationships/hyperlink" Target="https://drive.google.com/file/d/1twEJKFkmqDVg7ydyvzzUrZCrJ2Kg2igY/view?usp=drivesdk" TargetMode="External"/><Relationship Id="rId2555" Type="http://schemas.openxmlformats.org/officeDocument/2006/relationships/hyperlink" Target="https://drive.google.com/file/d/1SA7ZP2ow52I8kFKx4p2nJ0nUspPn6as_/view?usp=drivesdk" TargetMode="External"/><Relationship Id="rId1225" Type="http://schemas.openxmlformats.org/officeDocument/2006/relationships/hyperlink" Target="https://drive.google.com/file/d/1RBdZw8NUJuyFGKbvpLvb0CcLQ27eBZ41/view?usp=drivesdk" TargetMode="External"/><Relationship Id="rId2556" Type="http://schemas.openxmlformats.org/officeDocument/2006/relationships/hyperlink" Target="https://drive.google.com/file/d/1WeBvmsASCT0Q2UPyJgrKX-SIIa5DtOUQ/view?usp=drivesdk" TargetMode="External"/><Relationship Id="rId1226" Type="http://schemas.openxmlformats.org/officeDocument/2006/relationships/hyperlink" Target="https://drive.google.com/file/d/1xCKi2jIhgFLNFXIh1tqbsVNy4b1X0ORl/view?usp=drivesdk" TargetMode="External"/><Relationship Id="rId2557" Type="http://schemas.openxmlformats.org/officeDocument/2006/relationships/hyperlink" Target="https://drive.google.com/file/d/1UXS2QTqJQUfE_Pyj2Qy0nOdEsfBcSrJD/view?usp=drivesdk" TargetMode="External"/><Relationship Id="rId1227" Type="http://schemas.openxmlformats.org/officeDocument/2006/relationships/hyperlink" Target="https://drive.google.com/file/d/1zweuCuQGTBFymJYP-C9po7Nx2FC79uLU/view?usp=drivesdk" TargetMode="External"/><Relationship Id="rId2558" Type="http://schemas.openxmlformats.org/officeDocument/2006/relationships/hyperlink" Target="https://drive.google.com/file/d/177P2xO1D22ODvu0Zcz9Ls-wtsZM0ck_y/view?usp=drivesdk" TargetMode="External"/><Relationship Id="rId1228" Type="http://schemas.openxmlformats.org/officeDocument/2006/relationships/hyperlink" Target="https://drive.google.com/file/d/14pB7xxjJA7lmLI2wB8pu1YBdMJzEzfVa/view?usp=drivesdk" TargetMode="External"/><Relationship Id="rId2559" Type="http://schemas.openxmlformats.org/officeDocument/2006/relationships/hyperlink" Target="https://drive.google.com/file/d/1GYDJkUHLj_0GiFfIztass97sMyACxxL_/view?usp=drivesdk" TargetMode="External"/><Relationship Id="rId1229" Type="http://schemas.openxmlformats.org/officeDocument/2006/relationships/hyperlink" Target="https://drive.google.com/file/d/1UBmpFvlacrp-ogNwAoQBLnhl3X2ya4tY/view?usp=drivesdk" TargetMode="External"/><Relationship Id="rId2550" Type="http://schemas.openxmlformats.org/officeDocument/2006/relationships/hyperlink" Target="https://drive.google.com/file/d/1r4ZL_EEBhFH6RF5JDxP8TDFqXke3Dqcf/view?usp=drivesdk" TargetMode="External"/><Relationship Id="rId1220" Type="http://schemas.openxmlformats.org/officeDocument/2006/relationships/hyperlink" Target="https://drive.google.com/file/d/1VT0yrBLuaT1_Tc0_YQd_-3K6v5mi_TBf/view?usp=drivesdk" TargetMode="External"/><Relationship Id="rId2551" Type="http://schemas.openxmlformats.org/officeDocument/2006/relationships/hyperlink" Target="https://drive.google.com/file/d/1gjwCxHVp1efxTgO9FpYCyl7tkrrSp2_Q/view?usp=drivesdk" TargetMode="External"/><Relationship Id="rId1221" Type="http://schemas.openxmlformats.org/officeDocument/2006/relationships/hyperlink" Target="https://drive.google.com/file/d/1mjL3xHfsn80mQGGB8usjdzsZqlLh5eOl/view?usp=drivesdk" TargetMode="External"/><Relationship Id="rId2552" Type="http://schemas.openxmlformats.org/officeDocument/2006/relationships/hyperlink" Target="https://drive.google.com/file/d/1TOxKvkgLgldkEiOl4Cnst0AYk7w8IBCh/view?usp=drivesdk" TargetMode="External"/><Relationship Id="rId1222" Type="http://schemas.openxmlformats.org/officeDocument/2006/relationships/hyperlink" Target="https://drive.google.com/file/d/11ZOehRycTTYUoqzxcsdNL9YzFiz9bT7C/view?usp=drivesdk" TargetMode="External"/><Relationship Id="rId2553" Type="http://schemas.openxmlformats.org/officeDocument/2006/relationships/hyperlink" Target="https://drive.google.com/file/d/1x9sfN1Qyptlpks3NPyyD6PckLhoE6G6J/view?usp=drivesdk" TargetMode="External"/><Relationship Id="rId1223" Type="http://schemas.openxmlformats.org/officeDocument/2006/relationships/hyperlink" Target="https://drive.google.com/file/d/1QYv-gK2Dttqrba8EgqIPZqUog3R00vXd/view?usp=drivesdk" TargetMode="External"/><Relationship Id="rId2554" Type="http://schemas.openxmlformats.org/officeDocument/2006/relationships/hyperlink" Target="https://drive.google.com/file/d/1LPPcCkJMWMgAog-5XWwMTP5x4S9LFsG4/view?usp=drivesdk" TargetMode="External"/><Relationship Id="rId2500" Type="http://schemas.openxmlformats.org/officeDocument/2006/relationships/hyperlink" Target="https://drive.google.com/file/d/10TU4DldvRAGQQB8ko09DTR5kZTiT8DWd/view?usp=drivesdk" TargetMode="External"/><Relationship Id="rId2501" Type="http://schemas.openxmlformats.org/officeDocument/2006/relationships/hyperlink" Target="https://drive.google.com/file/d/1ZJwJnhrQqNemZlVg810zY4UqBiSQXKPx/view?usp=drivesdk" TargetMode="External"/><Relationship Id="rId2502" Type="http://schemas.openxmlformats.org/officeDocument/2006/relationships/hyperlink" Target="https://drive.google.com/file/d/14aPtuimCBHuACTR6Ysm7rhuUdNnhNt3M/view?usp=drivesdk" TargetMode="External"/><Relationship Id="rId2503" Type="http://schemas.openxmlformats.org/officeDocument/2006/relationships/hyperlink" Target="https://drive.google.com/file/d/1FOQ7FQtPiTG4rTwMmNxW_mEod9sHnt_d/view?usp=drivesdk" TargetMode="External"/><Relationship Id="rId2504" Type="http://schemas.openxmlformats.org/officeDocument/2006/relationships/hyperlink" Target="https://drive.google.com/file/d/1JFP7-KuZoBHwOtFwTX7dQBbZLZsnnzO1/view?usp=drivesdk" TargetMode="External"/><Relationship Id="rId2505" Type="http://schemas.openxmlformats.org/officeDocument/2006/relationships/hyperlink" Target="https://drive.google.com/file/d/1nh5VP9Rb5MKotf2eusMhTvkZWvd4bgdF/view?usp=drivesdk" TargetMode="External"/><Relationship Id="rId2506" Type="http://schemas.openxmlformats.org/officeDocument/2006/relationships/hyperlink" Target="https://drive.google.com/file/d/1jOuc6HwGGOjFEh2R_gS67iWnf5Ql-TJX/view?usp=drivesdk" TargetMode="External"/><Relationship Id="rId2507" Type="http://schemas.openxmlformats.org/officeDocument/2006/relationships/hyperlink" Target="https://drive.google.com/file/d/1K3OKZrTIktD_b-8XBnmOYsspWQGFGk0Q/view?usp=drivesdk" TargetMode="External"/><Relationship Id="rId2508" Type="http://schemas.openxmlformats.org/officeDocument/2006/relationships/hyperlink" Target="https://drive.google.com/file/d/1bqNCgQVoUhLOppqc8fkMKPTkt16YU69C/view?usp=drivesdk" TargetMode="External"/><Relationship Id="rId2509" Type="http://schemas.openxmlformats.org/officeDocument/2006/relationships/hyperlink" Target="https://drive.google.com/file/d/1z3GCMlnj8CXi5EAWeC90iwE1ueOD17a1/view?usp=drivesdk" TargetMode="External"/><Relationship Id="rId2522" Type="http://schemas.openxmlformats.org/officeDocument/2006/relationships/hyperlink" Target="https://drive.google.com/file/d/1Ls_1G30LlE9ynAfY1xfCDSGYTI9JG2pC/view?usp=drivesdk" TargetMode="External"/><Relationship Id="rId2523" Type="http://schemas.openxmlformats.org/officeDocument/2006/relationships/hyperlink" Target="https://drive.google.com/file/d/1qIFGf5ktWSXh7rQfL1KhTAj0tN-Q92hY/view?usp=drivesdk" TargetMode="External"/><Relationship Id="rId2524" Type="http://schemas.openxmlformats.org/officeDocument/2006/relationships/hyperlink" Target="https://drive.google.com/file/d/1pWzqx5i9lfrh-IwhoBg1HHZbNkomyc43/view?usp=drivesdk" TargetMode="External"/><Relationship Id="rId2525" Type="http://schemas.openxmlformats.org/officeDocument/2006/relationships/hyperlink" Target="https://drive.google.com/file/d/1Cv2pkcb9Dgfe7JtHwek1MCnDz3x3Kw7w/view?usp=drivesdk" TargetMode="External"/><Relationship Id="rId2526" Type="http://schemas.openxmlformats.org/officeDocument/2006/relationships/hyperlink" Target="https://drive.google.com/file/d/1wdYvk7Rmo2EyJOhM_u_52bnzKuwozJai/view?usp=drivesdk" TargetMode="External"/><Relationship Id="rId2527" Type="http://schemas.openxmlformats.org/officeDocument/2006/relationships/hyperlink" Target="https://drive.google.com/file/d/13ErdM89UVNJLjA0F4YjMOg_9Z3MZKgKQ/view?usp=drivesdk" TargetMode="External"/><Relationship Id="rId2528" Type="http://schemas.openxmlformats.org/officeDocument/2006/relationships/hyperlink" Target="https://drive.google.com/file/d/12NOTFTy9kTGJZ9GCQplncqds0pQoFd46/view?usp=drivesdk" TargetMode="External"/><Relationship Id="rId2529" Type="http://schemas.openxmlformats.org/officeDocument/2006/relationships/hyperlink" Target="https://drive.google.com/file/d/1jWFV5HeX7zEMIqNr5jd2-PLoveTyWBCo/view?usp=drivesdk" TargetMode="External"/><Relationship Id="rId2520" Type="http://schemas.openxmlformats.org/officeDocument/2006/relationships/hyperlink" Target="https://drive.google.com/file/d/1tOYv5tephBInK45nXBgMdZTCvXDOaxS-/view?usp=drivesdk" TargetMode="External"/><Relationship Id="rId2521" Type="http://schemas.openxmlformats.org/officeDocument/2006/relationships/hyperlink" Target="https://drive.google.com/file/d/1as3AUf7PRMswz__MVvHdjHvWtN6M-Jme/view?usp=drivesdk" TargetMode="External"/><Relationship Id="rId2511" Type="http://schemas.openxmlformats.org/officeDocument/2006/relationships/hyperlink" Target="https://drive.google.com/file/d/19FbyW9fNY6UwGhgLEzSQ05MwRyCTC3YQ/view?usp=drivesdk" TargetMode="External"/><Relationship Id="rId2512" Type="http://schemas.openxmlformats.org/officeDocument/2006/relationships/hyperlink" Target="https://drive.google.com/file/d/12jZzJF_5fcsQJhqPJb44akoOqNQsLihi/view?usp=drivesdk" TargetMode="External"/><Relationship Id="rId2513" Type="http://schemas.openxmlformats.org/officeDocument/2006/relationships/hyperlink" Target="https://drive.google.com/file/d/1QoCLP7bUct1n8A_-MZCF8wm8Kz2BUX1d/view?usp=drivesdk" TargetMode="External"/><Relationship Id="rId2514" Type="http://schemas.openxmlformats.org/officeDocument/2006/relationships/hyperlink" Target="https://drive.google.com/file/d/1WZ3vLKAiyXVJ8Y7P_HaRQAjUO19rFtGj/view?usp=drivesdk" TargetMode="External"/><Relationship Id="rId2515" Type="http://schemas.openxmlformats.org/officeDocument/2006/relationships/hyperlink" Target="https://drive.google.com/file/d/1F_nuyD_n047nlKR4UNCi4EOBqH27odbQ/view?usp=drivesdk" TargetMode="External"/><Relationship Id="rId2516" Type="http://schemas.openxmlformats.org/officeDocument/2006/relationships/hyperlink" Target="https://drive.google.com/file/d/1Siah8cHN9e47_gL9zhIF1EGajvH1CyAB/view?usp=drivesdk" TargetMode="External"/><Relationship Id="rId2517" Type="http://schemas.openxmlformats.org/officeDocument/2006/relationships/hyperlink" Target="https://drive.google.com/file/d/182GXuG3qegDOfzlWQwH4rNCoeEmBWZVE/view?usp=drivesdk" TargetMode="External"/><Relationship Id="rId2518" Type="http://schemas.openxmlformats.org/officeDocument/2006/relationships/hyperlink" Target="https://drive.google.com/file/d/1JkzKHLpwRKawpwzVmuWAxuS42YRz05mT/view?usp=drivesdk" TargetMode="External"/><Relationship Id="rId2519" Type="http://schemas.openxmlformats.org/officeDocument/2006/relationships/hyperlink" Target="https://drive.google.com/file/d/18NQOUQh8MW-PbnLNWU49bwK7tgWLtRuO/view?usp=drivesdk" TargetMode="External"/><Relationship Id="rId2510" Type="http://schemas.openxmlformats.org/officeDocument/2006/relationships/hyperlink" Target="https://drive.google.com/file/d/1FHadUuNmTdW0LnkNTp5zQlyfn5GZ28bX/view?usp=drivesdk" TargetMode="External"/><Relationship Id="rId469" Type="http://schemas.openxmlformats.org/officeDocument/2006/relationships/hyperlink" Target="https://drive.google.com/file/d/1SHo9uaRoUt61BTr0U3JEHdYkT0-VW3By/view?usp=drivesdk" TargetMode="External"/><Relationship Id="rId468" Type="http://schemas.openxmlformats.org/officeDocument/2006/relationships/hyperlink" Target="https://drive.google.com/file/d/1pU-ErY9_5d1luT5mq4sd3ClC-Qp4_FmB/view?usp=drivesdk" TargetMode="External"/><Relationship Id="rId467" Type="http://schemas.openxmlformats.org/officeDocument/2006/relationships/hyperlink" Target="https://drive.google.com/file/d/1lEv0bZRjokbgXTUNzSA0h6exnegNkQSO/view?usp=drivesdk" TargetMode="External"/><Relationship Id="rId1290" Type="http://schemas.openxmlformats.org/officeDocument/2006/relationships/hyperlink" Target="https://drive.google.com/file/d/11A-iuIS4Kk_EIgYI14egGNJG6Dn7Rmzc/view?usp=drivesdk" TargetMode="External"/><Relationship Id="rId1291" Type="http://schemas.openxmlformats.org/officeDocument/2006/relationships/hyperlink" Target="https://drive.google.com/file/d/1tidiEHmGyDuh1g8MpeILLnnbxbHz8_7f/view?usp=drivesdk" TargetMode="External"/><Relationship Id="rId1292" Type="http://schemas.openxmlformats.org/officeDocument/2006/relationships/hyperlink" Target="https://drive.google.com/file/d/1zDpJdnNNWQy5ej-KqssO307FI0_rG3xJ/view?usp=drivesdk" TargetMode="External"/><Relationship Id="rId462" Type="http://schemas.openxmlformats.org/officeDocument/2006/relationships/hyperlink" Target="https://drive.google.com/file/d/1GqaKToOKvlz6zi858wJ3zfKrsajcb-35/view?usp=drivesdk" TargetMode="External"/><Relationship Id="rId1293" Type="http://schemas.openxmlformats.org/officeDocument/2006/relationships/hyperlink" Target="https://drive.google.com/file/d/1x1HIxasPYVDWiMoijsVEmEFkL-ma4-ZN/view?usp=drivesdk" TargetMode="External"/><Relationship Id="rId461" Type="http://schemas.openxmlformats.org/officeDocument/2006/relationships/hyperlink" Target="https://drive.google.com/file/d/1DQavlL_rW2Y3VYQP1kVKsj2ntiUNQWxZ/view?usp=drivesdk" TargetMode="External"/><Relationship Id="rId1294" Type="http://schemas.openxmlformats.org/officeDocument/2006/relationships/hyperlink" Target="https://drive.google.com/file/d/1W0LT1j0LwNvex6d3_G8PdYjfd_nBMGCI/view?usp=drivesdk" TargetMode="External"/><Relationship Id="rId460" Type="http://schemas.openxmlformats.org/officeDocument/2006/relationships/hyperlink" Target="https://drive.google.com/file/d/1GXFYL_KXrCpINA-p_KVupwToPo9ENZoH/view?usp=drivesdk" TargetMode="External"/><Relationship Id="rId1295" Type="http://schemas.openxmlformats.org/officeDocument/2006/relationships/hyperlink" Target="https://drive.google.com/file/d/1KadZVSRQiGIfK4lhfu1eJLxSHlP8YPtH/view?usp=drivesdk" TargetMode="External"/><Relationship Id="rId1296" Type="http://schemas.openxmlformats.org/officeDocument/2006/relationships/hyperlink" Target="https://drive.google.com/file/d/1gPGZG8c7TkvCBQ6b9AKYA-7EGKuWyNbk/view?usp=drivesdk" TargetMode="External"/><Relationship Id="rId466" Type="http://schemas.openxmlformats.org/officeDocument/2006/relationships/hyperlink" Target="https://drive.google.com/file/d/1Jj1O8c_9L34nAOJtKso9nfPa4g3Mfysr/view?usp=drivesdk" TargetMode="External"/><Relationship Id="rId1297" Type="http://schemas.openxmlformats.org/officeDocument/2006/relationships/hyperlink" Target="https://drive.google.com/file/d/1eWeGnbOVxeeWnGYntSt6RQpPsGVPNsM_/view?usp=drivesdk" TargetMode="External"/><Relationship Id="rId465" Type="http://schemas.openxmlformats.org/officeDocument/2006/relationships/hyperlink" Target="https://drive.google.com/file/d/1Cu-1t8OJNGvBi0AOJZIW6H8v58ySmuGI/view?usp=drivesdk" TargetMode="External"/><Relationship Id="rId1298" Type="http://schemas.openxmlformats.org/officeDocument/2006/relationships/hyperlink" Target="https://drive.google.com/file/d/1g4htArQlRMN73gPPvVW4eUSVBYivRP3l/view?usp=drivesdk" TargetMode="External"/><Relationship Id="rId464" Type="http://schemas.openxmlformats.org/officeDocument/2006/relationships/hyperlink" Target="https://drive.google.com/file/d/1vR06FdNyEytssJNLngm20V8kUMiVw3DY/view?usp=drivesdk" TargetMode="External"/><Relationship Id="rId1299" Type="http://schemas.openxmlformats.org/officeDocument/2006/relationships/hyperlink" Target="https://drive.google.com/file/d/1H7SW_j1HalYgx4MPG5ZDEcVEO0Zr4meZ/view?usp=drivesdk" TargetMode="External"/><Relationship Id="rId463" Type="http://schemas.openxmlformats.org/officeDocument/2006/relationships/hyperlink" Target="https://drive.google.com/file/d/1x4NI56w21VapyXcuGgFNdGv8DmkbYyIm/view?usp=drivesdk" TargetMode="External"/><Relationship Id="rId459" Type="http://schemas.openxmlformats.org/officeDocument/2006/relationships/hyperlink" Target="https://drive.google.com/file/d/1RpVITN8ah7IwxTNwb99QdNd3R25KYLqZ/view?usp=drivesdk" TargetMode="External"/><Relationship Id="rId458" Type="http://schemas.openxmlformats.org/officeDocument/2006/relationships/hyperlink" Target="https://drive.google.com/file/d/1uU-gCjIDWi8WD9XqUkSZVmwfEbyUznW8/view?usp=drivesdk" TargetMode="External"/><Relationship Id="rId457" Type="http://schemas.openxmlformats.org/officeDocument/2006/relationships/hyperlink" Target="https://drive.google.com/file/d/1gIFaH8XjdZA95I3TztAnPRHTUvE4NZf9/view?usp=drivesdk" TargetMode="External"/><Relationship Id="rId456" Type="http://schemas.openxmlformats.org/officeDocument/2006/relationships/hyperlink" Target="https://drive.google.com/file/d/1pjJ_mexej_HCDWJOoBg_-5Xnqe2I7BQP/view?usp=drivesdk" TargetMode="External"/><Relationship Id="rId1280" Type="http://schemas.openxmlformats.org/officeDocument/2006/relationships/hyperlink" Target="https://drive.google.com/file/d/1oyKo7fk7IQxnatWBvNKZUfexHFe3WDWY/view?usp=drivesdk" TargetMode="External"/><Relationship Id="rId1281" Type="http://schemas.openxmlformats.org/officeDocument/2006/relationships/hyperlink" Target="https://drive.google.com/file/d/1v-1mbmpmXerAQ72WA9aOa0J6MKURP5N4/view?usp=drivesdk" TargetMode="External"/><Relationship Id="rId451" Type="http://schemas.openxmlformats.org/officeDocument/2006/relationships/hyperlink" Target="https://drive.google.com/file/d/1vBjyyS7jNQVYoeGReboKa5xH42VPt2sw/view?usp=drivesdk" TargetMode="External"/><Relationship Id="rId1282" Type="http://schemas.openxmlformats.org/officeDocument/2006/relationships/hyperlink" Target="https://drive.google.com/file/d/1RC7tGdIwh2BFShkeaxfPHee8yPx3SLjQ/view?usp=drivesdk" TargetMode="External"/><Relationship Id="rId450" Type="http://schemas.openxmlformats.org/officeDocument/2006/relationships/hyperlink" Target="https://drive.google.com/file/d/11hl35AxJdih8-lFEGgzscJ_yujZE6nkt/view?usp=drivesdk" TargetMode="External"/><Relationship Id="rId1283" Type="http://schemas.openxmlformats.org/officeDocument/2006/relationships/hyperlink" Target="https://drive.google.com/file/d/14CVfItoN94gmZTMwThSWgBWR6Gr6zqpB/view?usp=drivesdk" TargetMode="External"/><Relationship Id="rId1284" Type="http://schemas.openxmlformats.org/officeDocument/2006/relationships/hyperlink" Target="https://drive.google.com/file/d/1rss63Au_wnRAvMu2v1IeFB6Z9miyPwmY/view?usp=drivesdk" TargetMode="External"/><Relationship Id="rId1285" Type="http://schemas.openxmlformats.org/officeDocument/2006/relationships/hyperlink" Target="https://drive.google.com/file/d/15g-43jhmRb2fMGoTNN1fePPXwt6aobWO/view?usp=drivesdk" TargetMode="External"/><Relationship Id="rId455" Type="http://schemas.openxmlformats.org/officeDocument/2006/relationships/hyperlink" Target="https://drive.google.com/file/d/1CaxkyK-Tso63dZIngc3kC3aS7PPxTe9j/view?usp=drivesdk" TargetMode="External"/><Relationship Id="rId1286" Type="http://schemas.openxmlformats.org/officeDocument/2006/relationships/hyperlink" Target="https://drive.google.com/file/d/1iC0QvQsH5ABb1VH0D8FRGRv5X_RvXW6B/view?usp=drivesdk" TargetMode="External"/><Relationship Id="rId454" Type="http://schemas.openxmlformats.org/officeDocument/2006/relationships/hyperlink" Target="https://drive.google.com/file/d/1TdZCuKlnyQMdvVEQilVLFtG0dCtKm22E/view?usp=drivesdk" TargetMode="External"/><Relationship Id="rId1287" Type="http://schemas.openxmlformats.org/officeDocument/2006/relationships/hyperlink" Target="https://drive.google.com/file/d/1xmgRxYDzYjkZ9p1HDxC88dxSzWbazkwh/view?usp=drivesdk" TargetMode="External"/><Relationship Id="rId453" Type="http://schemas.openxmlformats.org/officeDocument/2006/relationships/hyperlink" Target="https://drive.google.com/file/d/1tnrtY2AGZh3sxH7hAyNkGXrh3VXkllfn/view?usp=drivesdk" TargetMode="External"/><Relationship Id="rId1288" Type="http://schemas.openxmlformats.org/officeDocument/2006/relationships/hyperlink" Target="https://drive.google.com/file/d/1WysEW9NFRsU0pIPUIftUwQOxnpalzzvY/view?usp=drivesdk" TargetMode="External"/><Relationship Id="rId452" Type="http://schemas.openxmlformats.org/officeDocument/2006/relationships/hyperlink" Target="https://drive.google.com/file/d/1SpxlykDLCl7RMd3XR0sk2MzBTckndlaS/view?usp=drivesdk" TargetMode="External"/><Relationship Id="rId1289" Type="http://schemas.openxmlformats.org/officeDocument/2006/relationships/hyperlink" Target="https://drive.google.com/file/d/1RMH1QHCfwceThZBhNxJzWriOscH_9Moa/view?usp=drivesdk" TargetMode="External"/><Relationship Id="rId3018" Type="http://schemas.openxmlformats.org/officeDocument/2006/relationships/hyperlink" Target="https://drive.google.com/file/d/1KmyHkB13ZFEziyeMZJmfqm6YYEH53iJL/view?usp=drivesdk" TargetMode="External"/><Relationship Id="rId3017" Type="http://schemas.openxmlformats.org/officeDocument/2006/relationships/hyperlink" Target="https://drive.google.com/file/d/1wNYmBBQACZKlJDlgIxup_p9zVgPtzSpC/view?usp=drivesdk" TargetMode="External"/><Relationship Id="rId3019" Type="http://schemas.openxmlformats.org/officeDocument/2006/relationships/hyperlink" Target="https://drive.google.com/file/d/1j0mn959ZZSMHPHeyS9bW6vv9NzM9UaK_/view?usp=drivesdk" TargetMode="External"/><Relationship Id="rId491" Type="http://schemas.openxmlformats.org/officeDocument/2006/relationships/hyperlink" Target="https://drive.google.com/file/d/1ZoZ7bFy8e_oROY1OPQFaJYZF56-kK6IF/view?usp=drivesdk" TargetMode="External"/><Relationship Id="rId490" Type="http://schemas.openxmlformats.org/officeDocument/2006/relationships/hyperlink" Target="https://drive.google.com/file/d/11vXVXqTk1ZS0xTI6dzcKs2EolcAACvMR/view?usp=drivesdk" TargetMode="External"/><Relationship Id="rId489" Type="http://schemas.openxmlformats.org/officeDocument/2006/relationships/hyperlink" Target="https://drive.google.com/file/d/1WUtQQHrljf7PtfBYdUBTJMxRn8sxQk7E/view?usp=drivesdk" TargetMode="External"/><Relationship Id="rId484" Type="http://schemas.openxmlformats.org/officeDocument/2006/relationships/hyperlink" Target="https://drive.google.com/file/d/1pH8UjTqHvQA54nGuFmjvM5i_7vzv3rDT/view?usp=drivesdk" TargetMode="External"/><Relationship Id="rId3010" Type="http://schemas.openxmlformats.org/officeDocument/2006/relationships/hyperlink" Target="https://drive.google.com/file/d/1GTQ8DttYpXbULplpRAwajCjBQJZrFpwH/view?usp=drivesdk" TargetMode="External"/><Relationship Id="rId483" Type="http://schemas.openxmlformats.org/officeDocument/2006/relationships/hyperlink" Target="https://drive.google.com/file/d/1G0OoyvhuYrU7WZDuNhWFZwWlUOOVmyOv/view?usp=drivesdk" TargetMode="External"/><Relationship Id="rId482" Type="http://schemas.openxmlformats.org/officeDocument/2006/relationships/hyperlink" Target="https://drive.google.com/file/d/1_OMEmK-xGGxIcxXMudVcgb287sBrfI-c/view?usp=drivesdk" TargetMode="External"/><Relationship Id="rId3012" Type="http://schemas.openxmlformats.org/officeDocument/2006/relationships/hyperlink" Target="https://drive.google.com/file/d/1ctmfPUj9wwC3h5aO2V0hXfG37U2nCE3e/view?usp=drivesdk" TargetMode="External"/><Relationship Id="rId481" Type="http://schemas.openxmlformats.org/officeDocument/2006/relationships/hyperlink" Target="https://drive.google.com/file/d/1-cJaQM_AmenLnu0hUtdh3LIE6NGYHPlz/view?usp=drivesdk" TargetMode="External"/><Relationship Id="rId3011" Type="http://schemas.openxmlformats.org/officeDocument/2006/relationships/hyperlink" Target="https://drive.google.com/file/d/18wDNGwEtS0NcrA2dAvx1zgK-ByZks7mw/view?usp=drivesdk" TargetMode="External"/><Relationship Id="rId488" Type="http://schemas.openxmlformats.org/officeDocument/2006/relationships/hyperlink" Target="https://drive.google.com/file/d/1VdIdLWVxUUUtmOmE-vgm5rpR4GCXm-ok/view?usp=drivesdk" TargetMode="External"/><Relationship Id="rId3014" Type="http://schemas.openxmlformats.org/officeDocument/2006/relationships/hyperlink" Target="https://drive.google.com/file/d/1Wq0sSamnAgMWLJLZEAdHMNTgHVF3F_wg/view?usp=drivesdk" TargetMode="External"/><Relationship Id="rId487" Type="http://schemas.openxmlformats.org/officeDocument/2006/relationships/hyperlink" Target="https://drive.google.com/file/d/1hFr4-jgHTEmYr7YSzBifQ5IOHWa7Pl9E/view?usp=drivesdk" TargetMode="External"/><Relationship Id="rId3013" Type="http://schemas.openxmlformats.org/officeDocument/2006/relationships/hyperlink" Target="https://drive.google.com/file/d/1BNCsWCKj_ArnGXZwaeQIcZ03z9s391QO/view?usp=drivesdk" TargetMode="External"/><Relationship Id="rId486" Type="http://schemas.openxmlformats.org/officeDocument/2006/relationships/hyperlink" Target="https://drive.google.com/file/d/1fUw7SZkD_uHIUTBQKndZvh3FJSh0Nusj/view?usp=drivesdk" TargetMode="External"/><Relationship Id="rId3016" Type="http://schemas.openxmlformats.org/officeDocument/2006/relationships/hyperlink" Target="https://drive.google.com/file/d/1V03D6SadgRB81BNo3fV5NxWC_bZKMZSm/view?usp=drivesdk" TargetMode="External"/><Relationship Id="rId485" Type="http://schemas.openxmlformats.org/officeDocument/2006/relationships/hyperlink" Target="https://drive.google.com/file/d/1IrNVyMTx_bTlf5Hqc4VqZVke3TI05zBF/view?usp=drivesdk" TargetMode="External"/><Relationship Id="rId3015" Type="http://schemas.openxmlformats.org/officeDocument/2006/relationships/hyperlink" Target="https://drive.google.com/file/d/1dD_RkFuxQxk3hkxXbqultnhFhN1opB9Y/view?usp=drivesdk" TargetMode="External"/><Relationship Id="rId3007" Type="http://schemas.openxmlformats.org/officeDocument/2006/relationships/hyperlink" Target="https://drive.google.com/file/d/1-hACoGBMYzWfW-abiG6hh6iaoZvehEax/view?usp=drivesdk" TargetMode="External"/><Relationship Id="rId3006" Type="http://schemas.openxmlformats.org/officeDocument/2006/relationships/hyperlink" Target="https://drive.google.com/file/d/1O4qy3ZvKUUKMZck64Co6Vh7IIH6aPDik/view?usp=drivesdk" TargetMode="External"/><Relationship Id="rId3009" Type="http://schemas.openxmlformats.org/officeDocument/2006/relationships/hyperlink" Target="https://drive.google.com/file/d/1ydN4sTIr0QTGdMhZmDJ_GxX6RiO5cK_p/view?usp=drivesdk" TargetMode="External"/><Relationship Id="rId3008" Type="http://schemas.openxmlformats.org/officeDocument/2006/relationships/hyperlink" Target="https://drive.google.com/file/d/11lIs3bWSV7G1bde5YZqgb9uJGpymjf2k/view?usp=drivesdk" TargetMode="External"/><Relationship Id="rId480" Type="http://schemas.openxmlformats.org/officeDocument/2006/relationships/hyperlink" Target="https://drive.google.com/file/d/1_OW7cSGipialnxLe9tmXZ4efVfbQhbOh/view?usp=drivesdk" TargetMode="External"/><Relationship Id="rId479" Type="http://schemas.openxmlformats.org/officeDocument/2006/relationships/hyperlink" Target="https://drive.google.com/file/d/1P7wYUg2mdfDHpizyWR-Lc6NmlbIvnsOb/view?usp=drivesdk" TargetMode="External"/><Relationship Id="rId478" Type="http://schemas.openxmlformats.org/officeDocument/2006/relationships/hyperlink" Target="https://drive.google.com/file/d/1LIpAnCD_qY_nhb2Uv3KtimlebkZZRxuB/view?usp=drivesdk" TargetMode="External"/><Relationship Id="rId473" Type="http://schemas.openxmlformats.org/officeDocument/2006/relationships/hyperlink" Target="https://drive.google.com/file/d/1GrzwoPy_KXCYzere0iGBOB5QpMo0QXHW/view?usp=drivesdk" TargetMode="External"/><Relationship Id="rId472" Type="http://schemas.openxmlformats.org/officeDocument/2006/relationships/hyperlink" Target="https://drive.google.com/file/d/1i97cxJsLqvPvidMfhm1pdXUQaUG58YLH/view?usp=drivesdk" TargetMode="External"/><Relationship Id="rId471" Type="http://schemas.openxmlformats.org/officeDocument/2006/relationships/hyperlink" Target="https://drive.google.com/file/d/1DqbmCE0koXHnNxn-CiJlr6S89vFA1rei/view?usp=drivesdk" TargetMode="External"/><Relationship Id="rId3001" Type="http://schemas.openxmlformats.org/officeDocument/2006/relationships/hyperlink" Target="https://drive.google.com/file/d/1sQtBrEeqN1XM_1Qv0mJvDeDfWVWHohWY/view?usp=drivesdk" TargetMode="External"/><Relationship Id="rId470" Type="http://schemas.openxmlformats.org/officeDocument/2006/relationships/hyperlink" Target="https://drive.google.com/file/d/1qzW5JqJRzeu9m6gesSUyqoAmlStjA43I/view?usp=drivesdk" TargetMode="External"/><Relationship Id="rId3000" Type="http://schemas.openxmlformats.org/officeDocument/2006/relationships/hyperlink" Target="https://drive.google.com/file/d/1eolW8jXTH5JysX-KEzNra0wdcfMzRMQ7/view?usp=drivesdk" TargetMode="External"/><Relationship Id="rId477" Type="http://schemas.openxmlformats.org/officeDocument/2006/relationships/hyperlink" Target="https://drive.google.com/file/d/1qJeSoowwY1PmRvutkQhS4ULIY3SaG9Pw/view?usp=drivesdk" TargetMode="External"/><Relationship Id="rId3003" Type="http://schemas.openxmlformats.org/officeDocument/2006/relationships/hyperlink" Target="https://drive.google.com/file/d/1fYU6m89P7a9_kPBInjEs0n_wRBj5O5zZ/view?usp=drivesdk" TargetMode="External"/><Relationship Id="rId476" Type="http://schemas.openxmlformats.org/officeDocument/2006/relationships/hyperlink" Target="https://drive.google.com/file/d/14M7-IkyWVfj3eY4hw0qFelu5WsEpipeb/view?usp=drivesdk" TargetMode="External"/><Relationship Id="rId3002" Type="http://schemas.openxmlformats.org/officeDocument/2006/relationships/hyperlink" Target="https://drive.google.com/file/d/1esh5oqCpj4F374ZeOWGrHgAoZG4Cbaxf/view?usp=drivesdk" TargetMode="External"/><Relationship Id="rId475" Type="http://schemas.openxmlformats.org/officeDocument/2006/relationships/hyperlink" Target="https://drive.google.com/file/d/1qERJwV5I4kjdIq5NbjsYgn1oZuQ5u6py/view?usp=drivesdk" TargetMode="External"/><Relationship Id="rId3005" Type="http://schemas.openxmlformats.org/officeDocument/2006/relationships/hyperlink" Target="https://drive.google.com/file/d/1tY7SvX2n-lCVOB9eR5KtC31EmD0a4uX2/view?usp=drivesdk" TargetMode="External"/><Relationship Id="rId474" Type="http://schemas.openxmlformats.org/officeDocument/2006/relationships/hyperlink" Target="https://drive.google.com/file/d/1nD3-iZ1nWk84gxQauX1rwDy2vl4lzHy1/view?usp=drivesdk" TargetMode="External"/><Relationship Id="rId3004" Type="http://schemas.openxmlformats.org/officeDocument/2006/relationships/hyperlink" Target="https://drive.google.com/file/d/1pcJJj-dcZ2YUNw-3w1ykB27KPj9Bj-By/view?usp=drivesdk" TargetMode="External"/><Relationship Id="rId1257" Type="http://schemas.openxmlformats.org/officeDocument/2006/relationships/hyperlink" Target="https://drive.google.com/file/d/15s7XZ2w8McXrD_Mrsb3xv87PaPPdWjHp/view?usp=drivesdk" TargetMode="External"/><Relationship Id="rId2588" Type="http://schemas.openxmlformats.org/officeDocument/2006/relationships/hyperlink" Target="https://drive.google.com/file/d/1gyeq5B_qi3Jnlf4Z_IsX5vLD1Nya92z0/view?usp=drivesdk" TargetMode="External"/><Relationship Id="rId1258" Type="http://schemas.openxmlformats.org/officeDocument/2006/relationships/hyperlink" Target="https://drive.google.com/file/d/1L1CY2uNEtVAZ2M1wtnkW5opNKE3od0dD/view?usp=drivesdk" TargetMode="External"/><Relationship Id="rId2589" Type="http://schemas.openxmlformats.org/officeDocument/2006/relationships/hyperlink" Target="https://drive.google.com/file/d/1-xurSGJuM3s6RBApJqwPJeMlgGlC3K_D/view?usp=drivesdk" TargetMode="External"/><Relationship Id="rId1259" Type="http://schemas.openxmlformats.org/officeDocument/2006/relationships/hyperlink" Target="https://drive.google.com/file/d/1kUkgnAiPA_CTZPxGTEMJYgoAThjAiJUc/view?usp=drivesdk" TargetMode="External"/><Relationship Id="rId426" Type="http://schemas.openxmlformats.org/officeDocument/2006/relationships/hyperlink" Target="https://drive.google.com/file/d/1n43nCIdzroDCA5ShXF2in5DWlH9WAzYn/view?usp=drivesdk" TargetMode="External"/><Relationship Id="rId425" Type="http://schemas.openxmlformats.org/officeDocument/2006/relationships/hyperlink" Target="https://drive.google.com/file/d/1Q1ahJAjmoMnVd-4_yOjQiQ_6STDFGEiQ/view?usp=drivesdk" TargetMode="External"/><Relationship Id="rId424" Type="http://schemas.openxmlformats.org/officeDocument/2006/relationships/hyperlink" Target="https://drive.google.com/file/d/1C1_WdM4KBfxxYh8OlSnsd2WhUKw-IYkW/view?usp=drivesdk" TargetMode="External"/><Relationship Id="rId423" Type="http://schemas.openxmlformats.org/officeDocument/2006/relationships/hyperlink" Target="https://drive.google.com/file/d/1oLyXVFY64dU4qE6_b-iVXYa7asikLA1e/view?usp=drivesdk" TargetMode="External"/><Relationship Id="rId429" Type="http://schemas.openxmlformats.org/officeDocument/2006/relationships/hyperlink" Target="https://drive.google.com/file/d/1MQ3w3WfQxZ6ToVmZ173hLxaon51AX3aW/view?usp=drivesdk" TargetMode="External"/><Relationship Id="rId428" Type="http://schemas.openxmlformats.org/officeDocument/2006/relationships/hyperlink" Target="https://drive.google.com/file/d/1YinBEFlPWlfEH_bG8z4XkTlvx0nzgfXp/view?usp=drivesdk" TargetMode="External"/><Relationship Id="rId427" Type="http://schemas.openxmlformats.org/officeDocument/2006/relationships/hyperlink" Target="https://drive.google.com/file/d/1bSv72xFyxGw7YEFRKwAnEoZvhaoLs3rS/view?usp=drivesdk" TargetMode="External"/><Relationship Id="rId2580" Type="http://schemas.openxmlformats.org/officeDocument/2006/relationships/hyperlink" Target="https://drive.google.com/file/d/1NKb0rKO1p03jltWPge7_eMofoR99zCY4/view?usp=drivesdk" TargetMode="External"/><Relationship Id="rId1250" Type="http://schemas.openxmlformats.org/officeDocument/2006/relationships/hyperlink" Target="https://drive.google.com/file/d/1KOj1T7OWEN93jSsxymEmGAuwZA2RLwG9/view?usp=drivesdk" TargetMode="External"/><Relationship Id="rId2581" Type="http://schemas.openxmlformats.org/officeDocument/2006/relationships/hyperlink" Target="https://drive.google.com/file/d/1_mASUuJkGSmG2GgCCSiVIjrljmT37fKD/view?usp=drivesdk" TargetMode="External"/><Relationship Id="rId1251" Type="http://schemas.openxmlformats.org/officeDocument/2006/relationships/hyperlink" Target="https://drive.google.com/file/d/1IUaUpHapf3YDvm4IAsn2GR3rwIWKk8-u/view?usp=drivesdk" TargetMode="External"/><Relationship Id="rId2582" Type="http://schemas.openxmlformats.org/officeDocument/2006/relationships/hyperlink" Target="https://drive.google.com/file/d/1tYqyeoNprzV_qtrZGEB-4reEpABdkPw3/view?usp=drivesdk" TargetMode="External"/><Relationship Id="rId1252" Type="http://schemas.openxmlformats.org/officeDocument/2006/relationships/hyperlink" Target="https://drive.google.com/file/d/1aq_GhJDsarVdykJeXwEQt85WtSoOjtt-/view?usp=drivesdk" TargetMode="External"/><Relationship Id="rId2583" Type="http://schemas.openxmlformats.org/officeDocument/2006/relationships/hyperlink" Target="https://drive.google.com/file/d/1N3Kdpl81yca1EtoDyekVJjSEXoEPFlfj/view?usp=drivesdk" TargetMode="External"/><Relationship Id="rId422" Type="http://schemas.openxmlformats.org/officeDocument/2006/relationships/hyperlink" Target="https://drive.google.com/file/d/1ZkYyI9Xh0T6WySPVfqp6p62lMTtr4-4Z/view?usp=drivesdk" TargetMode="External"/><Relationship Id="rId1253" Type="http://schemas.openxmlformats.org/officeDocument/2006/relationships/hyperlink" Target="https://drive.google.com/file/d/1nwwSpxsRv8h1nEfNq5dP5jW5w7hGyB76/view?usp=drivesdk" TargetMode="External"/><Relationship Id="rId2584" Type="http://schemas.openxmlformats.org/officeDocument/2006/relationships/hyperlink" Target="https://drive.google.com/file/d/1Y9TjJAW8ZKfogaBp1kGoi63qt-8wZ3_p/view?usp=drivesdk" TargetMode="External"/><Relationship Id="rId421" Type="http://schemas.openxmlformats.org/officeDocument/2006/relationships/hyperlink" Target="https://drive.google.com/file/d/12hPE3_ROkrr-EwAg8DQR8e8OYrtwuoYT/view?usp=drivesdk" TargetMode="External"/><Relationship Id="rId1254" Type="http://schemas.openxmlformats.org/officeDocument/2006/relationships/hyperlink" Target="https://drive.google.com/file/d/1hgBL2V_rjvQryQv61QIxzGsOEn1dgFih/view?usp=drivesdk" TargetMode="External"/><Relationship Id="rId2585" Type="http://schemas.openxmlformats.org/officeDocument/2006/relationships/hyperlink" Target="https://drive.google.com/file/d/1O-k-Z5CgdBCl2iip47xIs6T7RVcmAbcf/view?usp=drivesdk" TargetMode="External"/><Relationship Id="rId420" Type="http://schemas.openxmlformats.org/officeDocument/2006/relationships/hyperlink" Target="https://drive.google.com/file/d/1je9cw-vS4o0h7s6-W5SXMCb_uEat2QOt/view?usp=drivesdk" TargetMode="External"/><Relationship Id="rId1255" Type="http://schemas.openxmlformats.org/officeDocument/2006/relationships/hyperlink" Target="https://drive.google.com/file/d/1O-sKBfMGvOeBhLDMh6guDnAcUYeLkWMN/view?usp=drivesdk" TargetMode="External"/><Relationship Id="rId2586" Type="http://schemas.openxmlformats.org/officeDocument/2006/relationships/hyperlink" Target="https://drive.google.com/file/d/1_a617egHPNmdr95a_vU1ME_nNXbxT2YN/view?usp=drivesdk" TargetMode="External"/><Relationship Id="rId1256" Type="http://schemas.openxmlformats.org/officeDocument/2006/relationships/hyperlink" Target="https://drive.google.com/file/d/1SW6QIWVb63IrcrZA_J0ZrV_2sVVIW3fd/view?usp=drivesdk" TargetMode="External"/><Relationship Id="rId2587" Type="http://schemas.openxmlformats.org/officeDocument/2006/relationships/hyperlink" Target="https://drive.google.com/file/d/1XcuAMCb4SJKIgmPLDvhXazapejs_aDdJ/view?usp=drivesdk" TargetMode="External"/><Relationship Id="rId1246" Type="http://schemas.openxmlformats.org/officeDocument/2006/relationships/hyperlink" Target="https://drive.google.com/file/d/1VQnkProdvpIkmlBgJxAJkdrXgfio2KWT/view?usp=drivesdk" TargetMode="External"/><Relationship Id="rId2577" Type="http://schemas.openxmlformats.org/officeDocument/2006/relationships/hyperlink" Target="https://drive.google.com/file/d/1pEYSpiW7cwndWEcUtM2w1XP85JNmvB9Y/view?usp=drivesdk" TargetMode="External"/><Relationship Id="rId1247" Type="http://schemas.openxmlformats.org/officeDocument/2006/relationships/hyperlink" Target="https://drive.google.com/file/d/1B3NfSMdVcBJCqudkJmRWgjNxwcpwkhUF/view?usp=drivesdk" TargetMode="External"/><Relationship Id="rId2578" Type="http://schemas.openxmlformats.org/officeDocument/2006/relationships/hyperlink" Target="https://drive.google.com/file/d/1sJy0VbAO2JUZeEyRrrbhw8VkO2cWWHfk/view?usp=drivesdk" TargetMode="External"/><Relationship Id="rId1248" Type="http://schemas.openxmlformats.org/officeDocument/2006/relationships/hyperlink" Target="https://drive.google.com/file/d/1HAJ1ns2XbdVKQaQ3XuUzmgPWg7aVeMSd/view?usp=drivesdk" TargetMode="External"/><Relationship Id="rId2579" Type="http://schemas.openxmlformats.org/officeDocument/2006/relationships/hyperlink" Target="https://drive.google.com/file/d/1eZUHCweVxeMdVb4zYCf9_w4tvePwSTns/view?usp=drivesdk" TargetMode="External"/><Relationship Id="rId1249" Type="http://schemas.openxmlformats.org/officeDocument/2006/relationships/hyperlink" Target="https://drive.google.com/file/d/14jH9052Y-B39txmZqE_UcOwE4vP5gfEU/view?usp=drivesdk" TargetMode="External"/><Relationship Id="rId415" Type="http://schemas.openxmlformats.org/officeDocument/2006/relationships/hyperlink" Target="https://drive.google.com/file/d/1p5ydRsZ4brAO2FqzQtlUbRAhPkcmRVgm/view?usp=drivesdk" TargetMode="External"/><Relationship Id="rId414" Type="http://schemas.openxmlformats.org/officeDocument/2006/relationships/hyperlink" Target="https://drive.google.com/file/d/1o7gUPIWlsZsKfDZUwMPrcvteUhl63aT7/view?usp=drivesdk" TargetMode="External"/><Relationship Id="rId413" Type="http://schemas.openxmlformats.org/officeDocument/2006/relationships/hyperlink" Target="https://drive.google.com/file/d/1vcCVkrjNwZHH8glmh9tGMygAb5DPf3dE/view?usp=drivesdk" TargetMode="External"/><Relationship Id="rId412" Type="http://schemas.openxmlformats.org/officeDocument/2006/relationships/hyperlink" Target="https://drive.google.com/file/d/1zlIibgTl_xuo-gJvDI1iuFuL7MwgpJud/view?usp=drivesdk" TargetMode="External"/><Relationship Id="rId419" Type="http://schemas.openxmlformats.org/officeDocument/2006/relationships/hyperlink" Target="https://drive.google.com/file/d/1UTh20eT7TkvvPfQekHv-og8JNZ7R1WP8/view?usp=drivesdk" TargetMode="External"/><Relationship Id="rId418" Type="http://schemas.openxmlformats.org/officeDocument/2006/relationships/hyperlink" Target="https://drive.google.com/file/d/1wNBIYZ5dm9n9bSFCAgoMnPNgBJBMSCyH/view?usp=drivesdk" TargetMode="External"/><Relationship Id="rId417" Type="http://schemas.openxmlformats.org/officeDocument/2006/relationships/hyperlink" Target="https://drive.google.com/file/d/1twhY2w0ctG7Af9H6UOJm8wdSXyXO8TAo/view?usp=drivesdk" TargetMode="External"/><Relationship Id="rId416" Type="http://schemas.openxmlformats.org/officeDocument/2006/relationships/hyperlink" Target="https://drive.google.com/file/d/1r4PVlL83grqiq4UZ0to7L57VLrbdB9hi/view?usp=drivesdk" TargetMode="External"/><Relationship Id="rId2570" Type="http://schemas.openxmlformats.org/officeDocument/2006/relationships/hyperlink" Target="https://drive.google.com/file/d/13yA5wer3pEP6DzO7ZMN-jDmSL2aYTKUo/view?usp=drivesdk" TargetMode="External"/><Relationship Id="rId1240" Type="http://schemas.openxmlformats.org/officeDocument/2006/relationships/hyperlink" Target="https://drive.google.com/file/d/1fcT-_41UBP0nPM79dXTm3kIIFXZ-CwU_/view?usp=drivesdk" TargetMode="External"/><Relationship Id="rId2571" Type="http://schemas.openxmlformats.org/officeDocument/2006/relationships/hyperlink" Target="https://drive.google.com/file/d/1OuxVCUkVnVBw7IH1mtlkV9HYUNX7kOe5/view?usp=drivesdk" TargetMode="External"/><Relationship Id="rId1241" Type="http://schemas.openxmlformats.org/officeDocument/2006/relationships/hyperlink" Target="https://drive.google.com/file/d/1ux9Vk8iRdCh3nUw1THQcPgKIWYpD9xmZ/view?usp=drivesdk" TargetMode="External"/><Relationship Id="rId2572" Type="http://schemas.openxmlformats.org/officeDocument/2006/relationships/hyperlink" Target="https://drive.google.com/file/d/14-ZL5A4czmJoVm6VnVZoXDjPvxpu_fIM/view?usp=drivesdk" TargetMode="External"/><Relationship Id="rId411" Type="http://schemas.openxmlformats.org/officeDocument/2006/relationships/hyperlink" Target="https://drive.google.com/file/d/1zTMlOFWNTfGXuxYg38c1Rclwf7vMtQVs/view?usp=drivesdk" TargetMode="External"/><Relationship Id="rId1242" Type="http://schemas.openxmlformats.org/officeDocument/2006/relationships/hyperlink" Target="https://drive.google.com/file/d/1OcQULkxzM7RO5zkJ2Cvo5E25LQm4ZJnc/view?usp=drivesdk" TargetMode="External"/><Relationship Id="rId2573" Type="http://schemas.openxmlformats.org/officeDocument/2006/relationships/hyperlink" Target="https://drive.google.com/file/d/1-Y0tXk4wvWq7Lp_s5SZ5Mf957-oNEeur/view?usp=drivesdk" TargetMode="External"/><Relationship Id="rId410" Type="http://schemas.openxmlformats.org/officeDocument/2006/relationships/hyperlink" Target="https://drive.google.com/file/d/1C0bLndU2B9h0aoL452LPrhkcRop4BAHV/view?usp=drivesdk" TargetMode="External"/><Relationship Id="rId1243" Type="http://schemas.openxmlformats.org/officeDocument/2006/relationships/hyperlink" Target="https://drive.google.com/file/d/1I4I0m_pHjR5-S87Awq5L-P8ViNsdN0P2/view?usp=drivesdk" TargetMode="External"/><Relationship Id="rId2574" Type="http://schemas.openxmlformats.org/officeDocument/2006/relationships/hyperlink" Target="https://drive.google.com/file/d/13Nio-8dO7qZ49R3mjE9DmfkECTBbx1fU/view?usp=drivesdk" TargetMode="External"/><Relationship Id="rId1244" Type="http://schemas.openxmlformats.org/officeDocument/2006/relationships/hyperlink" Target="https://drive.google.com/file/d/113T5iFthusQwAPJ1Sc6kGoz9Q2tKz_Fz/view?usp=drivesdk" TargetMode="External"/><Relationship Id="rId2575" Type="http://schemas.openxmlformats.org/officeDocument/2006/relationships/hyperlink" Target="https://drive.google.com/file/d/1RIdyQYV9nsqx6EZiSwAZ6zO42GlvWP1u/view?usp=drivesdk" TargetMode="External"/><Relationship Id="rId1245" Type="http://schemas.openxmlformats.org/officeDocument/2006/relationships/hyperlink" Target="https://drive.google.com/file/d/1x7tu9K23ldFYkVgD6uS9kCTbWp7l185U/view?usp=drivesdk" TargetMode="External"/><Relationship Id="rId2576" Type="http://schemas.openxmlformats.org/officeDocument/2006/relationships/hyperlink" Target="https://drive.google.com/file/d/1hlAefOA0L_mUhbFAEpVR-i1xbXqI-EKV/view?usp=drivesdk" TargetMode="External"/><Relationship Id="rId1279" Type="http://schemas.openxmlformats.org/officeDocument/2006/relationships/hyperlink" Target="https://drive.google.com/file/d/1kZO7TU5APcSmUh1Ll3JPWfymN4IssyWZ/view?usp=drivesdk" TargetMode="External"/><Relationship Id="rId448" Type="http://schemas.openxmlformats.org/officeDocument/2006/relationships/hyperlink" Target="https://drive.google.com/file/d/1JgZNoOa9FybjOpshO0wGXBOF8pwPjwiz/view?usp=drivesdk" TargetMode="External"/><Relationship Id="rId447" Type="http://schemas.openxmlformats.org/officeDocument/2006/relationships/hyperlink" Target="https://drive.google.com/file/d/1iNlAXnWfTRozYu1XlZqHS-gDutQkaC9V/view?usp=drivesdk" TargetMode="External"/><Relationship Id="rId446" Type="http://schemas.openxmlformats.org/officeDocument/2006/relationships/hyperlink" Target="https://drive.google.com/file/d/19nCVIQ6VnGPLHlanb3AKs-nW87NY5F3-/view?usp=drivesdk" TargetMode="External"/><Relationship Id="rId445" Type="http://schemas.openxmlformats.org/officeDocument/2006/relationships/hyperlink" Target="https://drive.google.com/file/d/1s0WlRsrZ01TxBU3MnX3vrQ0wV9s2gaGo/view?usp=drivesdk" TargetMode="External"/><Relationship Id="rId449" Type="http://schemas.openxmlformats.org/officeDocument/2006/relationships/hyperlink" Target="https://drive.google.com/file/d/1NI7K1hH--xMpo2uHfi_Wrqoa2SB84m9Z/view?usp=drivesdk" TargetMode="External"/><Relationship Id="rId1270" Type="http://schemas.openxmlformats.org/officeDocument/2006/relationships/hyperlink" Target="https://drive.google.com/file/d/1nKP77qNWzLLcSfMWCbgvBvetnXaYWfOt/view?usp=drivesdk" TargetMode="External"/><Relationship Id="rId440" Type="http://schemas.openxmlformats.org/officeDocument/2006/relationships/hyperlink" Target="https://drive.google.com/file/d/1U9dS52LdC9ZgN6m7GNmer6EnAXMNkLSU/view?usp=drivesdk" TargetMode="External"/><Relationship Id="rId1271" Type="http://schemas.openxmlformats.org/officeDocument/2006/relationships/hyperlink" Target="https://drive.google.com/file/d/1c56waWyqn3utU8jZ3Vc-2lXssN3Xmndc/view?usp=drivesdk" TargetMode="External"/><Relationship Id="rId1272" Type="http://schemas.openxmlformats.org/officeDocument/2006/relationships/hyperlink" Target="https://drive.google.com/file/d/1hWFZB-IBEX7EnBpEtUZPw_HkLkFh5UM1/view?usp=drivesdk" TargetMode="External"/><Relationship Id="rId1273" Type="http://schemas.openxmlformats.org/officeDocument/2006/relationships/hyperlink" Target="https://drive.google.com/file/d/1sq3AXQm0IUoBTPjf2sPdUikF4Q9P0v9W/view?usp=drivesdk" TargetMode="External"/><Relationship Id="rId1274" Type="http://schemas.openxmlformats.org/officeDocument/2006/relationships/hyperlink" Target="https://drive.google.com/file/d/1TQqvGi0Elauw4pgiZ2IBN_WbEzMQJvXs/view?usp=drivesdk" TargetMode="External"/><Relationship Id="rId444" Type="http://schemas.openxmlformats.org/officeDocument/2006/relationships/hyperlink" Target="https://drive.google.com/file/d/1zS_Iy8h521FYFiLZIvUKu37nU4BTMQ5h/view?usp=drivesdk" TargetMode="External"/><Relationship Id="rId1275" Type="http://schemas.openxmlformats.org/officeDocument/2006/relationships/hyperlink" Target="https://drive.google.com/file/d/1b1y9mVBQpd37FvUqW3preqGjlvo-D3gp/view?usp=drivesdk" TargetMode="External"/><Relationship Id="rId443" Type="http://schemas.openxmlformats.org/officeDocument/2006/relationships/hyperlink" Target="https://drive.google.com/file/d/1z_volmrfjJgRJnliCY1m7ue3JMQRWwlm/view?usp=drivesdk" TargetMode="External"/><Relationship Id="rId1276" Type="http://schemas.openxmlformats.org/officeDocument/2006/relationships/hyperlink" Target="https://drive.google.com/file/d/1y-k5khutAUOv7A8Kt3hM3pM50MmiJ3Se/view?usp=drivesdk" TargetMode="External"/><Relationship Id="rId442" Type="http://schemas.openxmlformats.org/officeDocument/2006/relationships/hyperlink" Target="https://drive.google.com/file/d/16m76DC9Npc0jCnGwsQ8nKrupD4QgliOl/view?usp=drivesdk" TargetMode="External"/><Relationship Id="rId1277" Type="http://schemas.openxmlformats.org/officeDocument/2006/relationships/hyperlink" Target="https://drive.google.com/file/d/1Rm2TUPOokBMS57pKkqeRCvykqAT6FxIC/view?usp=drivesdk" TargetMode="External"/><Relationship Id="rId441" Type="http://schemas.openxmlformats.org/officeDocument/2006/relationships/hyperlink" Target="https://drive.google.com/file/d/10DDGp2B8Yn0wieAlLCpE3O3FmPIwTkH0/view?usp=drivesdk" TargetMode="External"/><Relationship Id="rId1278" Type="http://schemas.openxmlformats.org/officeDocument/2006/relationships/hyperlink" Target="https://drive.google.com/file/d/1g7sa4vkIN9PD4Rv9C-NvKrjWXKE2Sszt/view?usp=drivesdk" TargetMode="External"/><Relationship Id="rId1268" Type="http://schemas.openxmlformats.org/officeDocument/2006/relationships/hyperlink" Target="https://drive.google.com/file/d/1wX8xyOPCKq3gKvrftl23eb3vJeRwT0Q4/view?usp=drivesdk" TargetMode="External"/><Relationship Id="rId2599" Type="http://schemas.openxmlformats.org/officeDocument/2006/relationships/hyperlink" Target="https://drive.google.com/file/d/1fI9AvKCFXUbNqvCnE7F2C_aze9MnObud/view?usp=drivesdk" TargetMode="External"/><Relationship Id="rId1269" Type="http://schemas.openxmlformats.org/officeDocument/2006/relationships/hyperlink" Target="https://drive.google.com/file/d/18Bq0KEHC9Y1vBB5CDqiFz9LxFIcSMxoo/view?usp=drivesdk" TargetMode="External"/><Relationship Id="rId437" Type="http://schemas.openxmlformats.org/officeDocument/2006/relationships/hyperlink" Target="https://drive.google.com/file/d/1EL43ztfF_feMGsgKOFTG1SJrxpDl4-af/view?usp=drivesdk" TargetMode="External"/><Relationship Id="rId436" Type="http://schemas.openxmlformats.org/officeDocument/2006/relationships/hyperlink" Target="https://drive.google.com/file/d/1NJ-8RgiOIK0KrPabafmBQ8LbMZ8hxtzJ/view?usp=drivesdk" TargetMode="External"/><Relationship Id="rId435" Type="http://schemas.openxmlformats.org/officeDocument/2006/relationships/hyperlink" Target="https://drive.google.com/file/d/1hfQPaevumxJWY4X3_PpHaWP-ePxFpP8K/view?usp=drivesdk" TargetMode="External"/><Relationship Id="rId434" Type="http://schemas.openxmlformats.org/officeDocument/2006/relationships/hyperlink" Target="https://drive.google.com/file/d/10hurbl9nS6fmXkrg4GlKo2phFHobMFbe/view?usp=drivesdk" TargetMode="External"/><Relationship Id="rId439" Type="http://schemas.openxmlformats.org/officeDocument/2006/relationships/hyperlink" Target="https://drive.google.com/file/d/1jPfVZ0dMwxbbwFVj65Khoc7JUkP-pmhI/view?usp=drivesdk" TargetMode="External"/><Relationship Id="rId438" Type="http://schemas.openxmlformats.org/officeDocument/2006/relationships/hyperlink" Target="https://drive.google.com/file/d/1e_cR2GlFgY2aeZapqCHrM2KPmJZfyRw7/view?usp=drivesdk" TargetMode="External"/><Relationship Id="rId2590" Type="http://schemas.openxmlformats.org/officeDocument/2006/relationships/hyperlink" Target="https://drive.google.com/file/d/1AXc9ELjFb-hXVUWMzlJZYPXvvlEhIDm6/view?usp=drivesdk" TargetMode="External"/><Relationship Id="rId1260" Type="http://schemas.openxmlformats.org/officeDocument/2006/relationships/hyperlink" Target="https://drive.google.com/file/d/14KPB8AgtcbBvaWLCb-_Yq8xJg0lt0AUZ/view?usp=drivesdk" TargetMode="External"/><Relationship Id="rId2591" Type="http://schemas.openxmlformats.org/officeDocument/2006/relationships/hyperlink" Target="https://drive.google.com/file/d/1Q7xa-u3DEssueb6fBYD39BjDPub6xcHR/view?usp=drivesdk" TargetMode="External"/><Relationship Id="rId1261" Type="http://schemas.openxmlformats.org/officeDocument/2006/relationships/hyperlink" Target="https://drive.google.com/file/d/1MY_dSeo7VLaXc9MOczDS807AopQO4R3o/view?usp=drivesdk" TargetMode="External"/><Relationship Id="rId2592" Type="http://schemas.openxmlformats.org/officeDocument/2006/relationships/hyperlink" Target="https://drive.google.com/file/d/1JdFF8pu65hv5yMW8kuJKZT-omhqW3568/view?usp=drivesdk" TargetMode="External"/><Relationship Id="rId1262" Type="http://schemas.openxmlformats.org/officeDocument/2006/relationships/hyperlink" Target="https://drive.google.com/file/d/1t1HQxtIATv0J1laVCwZjp1toOO9JWLzJ/view?usp=drivesdk" TargetMode="External"/><Relationship Id="rId2593" Type="http://schemas.openxmlformats.org/officeDocument/2006/relationships/hyperlink" Target="https://drive.google.com/file/d/1aj8B0Xo2PNkknIhUbiwxlXmmWvp7ECaH/view?usp=drivesdk" TargetMode="External"/><Relationship Id="rId1263" Type="http://schemas.openxmlformats.org/officeDocument/2006/relationships/hyperlink" Target="https://drive.google.com/file/d/19cpcq3ezvypZIsaAin8XO8Aa1VSsx2HR/view?usp=drivesdk" TargetMode="External"/><Relationship Id="rId2594" Type="http://schemas.openxmlformats.org/officeDocument/2006/relationships/hyperlink" Target="https://drive.google.com/file/d/1gdDOOMTIigM-6Ed3enxRZxDW_ycizIYq/view?usp=drivesdk" TargetMode="External"/><Relationship Id="rId433" Type="http://schemas.openxmlformats.org/officeDocument/2006/relationships/hyperlink" Target="https://drive.google.com/file/d/189Sb48CFms1NmdjM2wTIeW9XVaeVeMls/view?usp=drivesdk" TargetMode="External"/><Relationship Id="rId1264" Type="http://schemas.openxmlformats.org/officeDocument/2006/relationships/hyperlink" Target="https://drive.google.com/file/d/1KSmDzoCH8UOb5PPH4HVVWk0R_iEqvXiq/view?usp=drivesdk" TargetMode="External"/><Relationship Id="rId2595" Type="http://schemas.openxmlformats.org/officeDocument/2006/relationships/hyperlink" Target="https://drive.google.com/file/d/1gsOTvu8o9_agf4ZMRaXeuVc3OE2nLzap/view?usp=drivesdk" TargetMode="External"/><Relationship Id="rId432" Type="http://schemas.openxmlformats.org/officeDocument/2006/relationships/hyperlink" Target="https://drive.google.com/file/d/1Q_AQkWrzJPOWXXQGTT-RjNguCxhF1jt2/view?usp=drivesdk" TargetMode="External"/><Relationship Id="rId1265" Type="http://schemas.openxmlformats.org/officeDocument/2006/relationships/hyperlink" Target="https://drive.google.com/file/d/1EiZgMw2qP3p2Nl8KNZdPlnqAh-NzSUGq/view?usp=drivesdk" TargetMode="External"/><Relationship Id="rId2596" Type="http://schemas.openxmlformats.org/officeDocument/2006/relationships/hyperlink" Target="https://drive.google.com/file/d/14XksUpjrQJUMaz7MdAdSkyoKt9b8ulAg/view?usp=drivesdk" TargetMode="External"/><Relationship Id="rId431" Type="http://schemas.openxmlformats.org/officeDocument/2006/relationships/hyperlink" Target="https://drive.google.com/file/d/1ztV4sm_g7GaGIn0FBAq6FBAAcURkmtLU/view?usp=drivesdk" TargetMode="External"/><Relationship Id="rId1266" Type="http://schemas.openxmlformats.org/officeDocument/2006/relationships/hyperlink" Target="https://drive.google.com/file/d/1pF30Q42RIER3XJUtsQhHQ9S4ZW72pLMZ/view?usp=drivesdk" TargetMode="External"/><Relationship Id="rId2597" Type="http://schemas.openxmlformats.org/officeDocument/2006/relationships/hyperlink" Target="https://drive.google.com/file/d/1IW0qjwuuON-KUlB9j-eiO4xg57xZsaBi/view?usp=drivesdk" TargetMode="External"/><Relationship Id="rId430" Type="http://schemas.openxmlformats.org/officeDocument/2006/relationships/hyperlink" Target="https://drive.google.com/file/d/1dHBucRJRw0IVd0McFp9a2a53k2pQgcVy/view?usp=drivesdk" TargetMode="External"/><Relationship Id="rId1267" Type="http://schemas.openxmlformats.org/officeDocument/2006/relationships/hyperlink" Target="https://drive.google.com/file/d/1NgKwMpaMntmxKioBNsVEEMKCvR7DC-5T/view?usp=drivesdk" TargetMode="External"/><Relationship Id="rId2598" Type="http://schemas.openxmlformats.org/officeDocument/2006/relationships/hyperlink" Target="https://drive.google.com/file/d/1GlDT0ELzxcEvkjSSuOTPVqUBCygnsWCw/view?usp=drivesdk" TargetMode="External"/><Relationship Id="rId1" Type="http://schemas.openxmlformats.org/officeDocument/2006/relationships/hyperlink" Target="https://drive.google.com/file/d/1Y1H6PG4OrpSbuYF3C1qofQDrfY3s9t9C/view?usp=drivesdk" TargetMode="External"/><Relationship Id="rId2" Type="http://schemas.openxmlformats.org/officeDocument/2006/relationships/hyperlink" Target="https://drive.google.com/file/d/19BYjzsMkYCiipD-HEqq4sHumZDCTO5SQ/view?usp=drivesdk" TargetMode="External"/><Relationship Id="rId3" Type="http://schemas.openxmlformats.org/officeDocument/2006/relationships/hyperlink" Target="https://drive.google.com/file/d/17CimGUvhLJDkg1bbuFUCRcNLQJR1151z/view?usp=drivesdk" TargetMode="External"/><Relationship Id="rId4" Type="http://schemas.openxmlformats.org/officeDocument/2006/relationships/hyperlink" Target="https://drive.google.com/file/d/1fcLB4lAMMhIYG5_xSfIxQZGpuZJ18Sdr/view?usp=drivesdk" TargetMode="External"/><Relationship Id="rId3030" Type="http://schemas.openxmlformats.org/officeDocument/2006/relationships/hyperlink" Target="https://drive.google.com/file/d/1qQJNn7ZvoufwBSS_pp5Ek1nTMCXq-Gfn/view?usp=drivesdk" TargetMode="External"/><Relationship Id="rId9" Type="http://schemas.openxmlformats.org/officeDocument/2006/relationships/hyperlink" Target="https://drive.google.com/file/d/15ZZ9b0Pz3TA5Fk8pU9NM9W5STlvE7q_w/view?usp=drivesdk" TargetMode="External"/><Relationship Id="rId3032" Type="http://schemas.openxmlformats.org/officeDocument/2006/relationships/hyperlink" Target="https://drive.google.com/file/d/17EeLBgk-VXx8QhSm2-TUhXwWwk17IVL_/view?usp=drivesdk" TargetMode="External"/><Relationship Id="rId3031" Type="http://schemas.openxmlformats.org/officeDocument/2006/relationships/hyperlink" Target="https://drive.google.com/file/d/1kbXA2yjqn9_HAA7piV4GBkF0Jd0kjvnI/view?usp=drivesdk" TargetMode="External"/><Relationship Id="rId3034" Type="http://schemas.openxmlformats.org/officeDocument/2006/relationships/hyperlink" Target="https://drive.google.com/file/d/1vTYDdyFZxBfZ2xccMFQlAXInz9JM0Wim/view?usp=drivesdk" TargetMode="External"/><Relationship Id="rId3033" Type="http://schemas.openxmlformats.org/officeDocument/2006/relationships/hyperlink" Target="https://drive.google.com/file/d/1ZdWoUy_MV_YcU7BTnK25M2XBBF0k5ovP/view?usp=drivesdk" TargetMode="External"/><Relationship Id="rId5" Type="http://schemas.openxmlformats.org/officeDocument/2006/relationships/hyperlink" Target="https://drive.google.com/file/d/1nYYa0gLLgCvS_g2hsEjrlxwNp7S-dCCR/view?usp=drivesdk" TargetMode="External"/><Relationship Id="rId6" Type="http://schemas.openxmlformats.org/officeDocument/2006/relationships/hyperlink" Target="https://drive.google.com/file/d/1a2ZFACxecXhPcNg3kD_X6MTEHKfKYaHV/view?usp=drivesdk" TargetMode="External"/><Relationship Id="rId3035" Type="http://schemas.openxmlformats.org/officeDocument/2006/relationships/drawing" Target="../drawings/drawing5.xml"/><Relationship Id="rId7" Type="http://schemas.openxmlformats.org/officeDocument/2006/relationships/hyperlink" Target="https://drive.google.com/file/d/1IrVsmf4IOT-xeJS2Ek22hrWc6J-o834t/view?usp=drivesdk" TargetMode="External"/><Relationship Id="rId8" Type="http://schemas.openxmlformats.org/officeDocument/2006/relationships/hyperlink" Target="https://drive.google.com/file/d/1Jd9MsnQd6R5R3K3dP58TuRQ5p0v1jFBb/view?usp=drivesdk" TargetMode="External"/><Relationship Id="rId3029" Type="http://schemas.openxmlformats.org/officeDocument/2006/relationships/hyperlink" Target="https://drive.google.com/file/d/1KTndRLnspP4bSM08LU5xlAb5egjHN1hx/view?usp=drivesdk" TargetMode="External"/><Relationship Id="rId3028" Type="http://schemas.openxmlformats.org/officeDocument/2006/relationships/hyperlink" Target="https://drive.google.com/file/d/18O3cqWIfono-CDPIVLFNJVkA-2VNOHsv/view?usp=drivesdk" TargetMode="External"/><Relationship Id="rId3021" Type="http://schemas.openxmlformats.org/officeDocument/2006/relationships/hyperlink" Target="https://drive.google.com/file/d/1stw59aWDD5tZ8snsZY-9UQqeP9WMpzts/view?usp=drivesdk" TargetMode="External"/><Relationship Id="rId3020" Type="http://schemas.openxmlformats.org/officeDocument/2006/relationships/hyperlink" Target="https://drive.google.com/file/d/10tQQDvi74p0uwz_rfj_t6rPzAp-QJohQ/view?usp=drivesdk" TargetMode="External"/><Relationship Id="rId3023" Type="http://schemas.openxmlformats.org/officeDocument/2006/relationships/hyperlink" Target="https://drive.google.com/file/d/1pnD_JivZ_nDbGc8tbAkf6ZYd42gKIm_w/view?usp=drivesdk" TargetMode="External"/><Relationship Id="rId3022" Type="http://schemas.openxmlformats.org/officeDocument/2006/relationships/hyperlink" Target="https://drive.google.com/file/d/1YO1uT-ewP-5qv0jr683Nj5KCqmIRFxTa/view?usp=drivesdk" TargetMode="External"/><Relationship Id="rId3025" Type="http://schemas.openxmlformats.org/officeDocument/2006/relationships/hyperlink" Target="https://drive.google.com/file/d/1CX-X4yZPIliMfb05V-exrVifx5i5gyZu/view?usp=drivesdk" TargetMode="External"/><Relationship Id="rId3024" Type="http://schemas.openxmlformats.org/officeDocument/2006/relationships/hyperlink" Target="https://drive.google.com/file/d/13uCKRkvqvsNdCzb2_BuUibZNm7bSygxU/view?usp=drivesdk" TargetMode="External"/><Relationship Id="rId3027" Type="http://schemas.openxmlformats.org/officeDocument/2006/relationships/hyperlink" Target="https://drive.google.com/file/d/1GlWBowF1UBaZOdmpxK6j_6xz1lhczVu3/view?usp=drivesdk" TargetMode="External"/><Relationship Id="rId3026" Type="http://schemas.openxmlformats.org/officeDocument/2006/relationships/hyperlink" Target="https://drive.google.com/file/d/19HR11okzts2iI1bdWqGn2PnsBGvEbSxC/view?usp=drivesdk" TargetMode="External"/><Relationship Id="rId2600" Type="http://schemas.openxmlformats.org/officeDocument/2006/relationships/hyperlink" Target="https://drive.google.com/file/d/1nyuFXPtZ3yl4xeiu7MA9Tx40lpG1Oe7D/view?usp=drivesdk" TargetMode="External"/><Relationship Id="rId2601" Type="http://schemas.openxmlformats.org/officeDocument/2006/relationships/hyperlink" Target="https://drive.google.com/file/d/17mZvRs3ue7pXwqu8bmIDvgNdc95PGEcV/view?usp=drivesdk" TargetMode="External"/><Relationship Id="rId2602" Type="http://schemas.openxmlformats.org/officeDocument/2006/relationships/hyperlink" Target="https://drive.google.com/file/d/1bUdOeN6otviUN-kBvT0eGX5V_WZjjau0/view?usp=drivesdk" TargetMode="External"/><Relationship Id="rId2603" Type="http://schemas.openxmlformats.org/officeDocument/2006/relationships/hyperlink" Target="https://drive.google.com/file/d/1xuc-fvipcLZQMaybgsFtBL29-3ClXZFF/view?usp=drivesdk" TargetMode="External"/><Relationship Id="rId2604" Type="http://schemas.openxmlformats.org/officeDocument/2006/relationships/hyperlink" Target="https://drive.google.com/file/d/1SW8YbHdY9LZLPUYEaeltGXqctWN3G72a/view?usp=drivesdk" TargetMode="External"/><Relationship Id="rId2605" Type="http://schemas.openxmlformats.org/officeDocument/2006/relationships/hyperlink" Target="https://drive.google.com/file/d/1oOmUlehVvRaM19jZUP5-KPUM6GoqwMcj/view?usp=drivesdk" TargetMode="External"/><Relationship Id="rId2606" Type="http://schemas.openxmlformats.org/officeDocument/2006/relationships/hyperlink" Target="https://drive.google.com/file/d/1ClvVjze3jeh0pirugXpxbUyLaBbpCVR3/view?usp=drivesdk" TargetMode="External"/><Relationship Id="rId808" Type="http://schemas.openxmlformats.org/officeDocument/2006/relationships/hyperlink" Target="https://drive.google.com/file/d/1by0UW5BJHCUfVKRFiok9qpkQTl_xBS3X/view?usp=drivesdk" TargetMode="External"/><Relationship Id="rId2607" Type="http://schemas.openxmlformats.org/officeDocument/2006/relationships/hyperlink" Target="https://drive.google.com/file/d/1XWxdKOQYQMtFuvL7EsEQn7RuH4ypMVP0/view?usp=drivesdk" TargetMode="External"/><Relationship Id="rId807" Type="http://schemas.openxmlformats.org/officeDocument/2006/relationships/hyperlink" Target="https://drive.google.com/file/d/1DqQftbza8azYmIDM9NPZMklghUGJscys/view?usp=drivesdk" TargetMode="External"/><Relationship Id="rId2608" Type="http://schemas.openxmlformats.org/officeDocument/2006/relationships/hyperlink" Target="https://drive.google.com/file/d/1hjI3aqifdfXjWhQAlvKCKKtvjuncAn5M/view?usp=drivesdk" TargetMode="External"/><Relationship Id="rId806" Type="http://schemas.openxmlformats.org/officeDocument/2006/relationships/hyperlink" Target="https://drive.google.com/file/d/1qkc9JQ29jHCDBeBixkt3JV0SvVijPHtf/view?usp=drivesdk" TargetMode="External"/><Relationship Id="rId2609" Type="http://schemas.openxmlformats.org/officeDocument/2006/relationships/hyperlink" Target="https://drive.google.com/file/d/1UJeeNtcoE5K0xHfMfq_HMptmh6jzKexE/view?usp=drivesdk" TargetMode="External"/><Relationship Id="rId805" Type="http://schemas.openxmlformats.org/officeDocument/2006/relationships/hyperlink" Target="https://drive.google.com/file/d/1K1WaixSpclO_JCGx4Upc_1N4qwCDS3ZM/view?usp=drivesdk" TargetMode="External"/><Relationship Id="rId809" Type="http://schemas.openxmlformats.org/officeDocument/2006/relationships/hyperlink" Target="https://drive.google.com/file/d/10nt7oOcfXcuML9cN0iVRkjJVV6jijpFw/view?usp=drivesdk" TargetMode="External"/><Relationship Id="rId800" Type="http://schemas.openxmlformats.org/officeDocument/2006/relationships/hyperlink" Target="https://drive.google.com/file/d/1WHTsvI8cXTsHTMzEARtyQibIRkXP6qPR/view?usp=drivesdk" TargetMode="External"/><Relationship Id="rId804" Type="http://schemas.openxmlformats.org/officeDocument/2006/relationships/hyperlink" Target="https://drive.google.com/file/d/1sigMeAZiOAXFjIsNrKvpBxuAh_CbDGu3/view?usp=drivesdk" TargetMode="External"/><Relationship Id="rId803" Type="http://schemas.openxmlformats.org/officeDocument/2006/relationships/hyperlink" Target="https://drive.google.com/file/d/1nkNVboN9bTFC6MiGQ5olQygyRQ-tqNPO/view?usp=drivesdk" TargetMode="External"/><Relationship Id="rId802" Type="http://schemas.openxmlformats.org/officeDocument/2006/relationships/hyperlink" Target="https://drive.google.com/file/d/1SO2NgOMKNAEqNm3qpHy0seNyhM-OCyRn/view?usp=drivesdk" TargetMode="External"/><Relationship Id="rId801" Type="http://schemas.openxmlformats.org/officeDocument/2006/relationships/hyperlink" Target="https://drive.google.com/file/d/1n1-6IIrMR1Ro9OHDYaG2T252mQaAxD4l/view?usp=drivesdk" TargetMode="External"/><Relationship Id="rId1334" Type="http://schemas.openxmlformats.org/officeDocument/2006/relationships/hyperlink" Target="https://drive.google.com/file/d/1prOSvEeiUcrPtWVtWvPaBacGuq5Uw8Qi/view?usp=drivesdk" TargetMode="External"/><Relationship Id="rId2665" Type="http://schemas.openxmlformats.org/officeDocument/2006/relationships/hyperlink" Target="https://drive.google.com/file/d/1ufFlEetCWZtYqMqTTptc07s2XdkD4E4c/view?usp=drivesdk" TargetMode="External"/><Relationship Id="rId1335" Type="http://schemas.openxmlformats.org/officeDocument/2006/relationships/hyperlink" Target="https://drive.google.com/file/d/1A5tjQy7ttMX3sBzRYaD1uCZ6TKDCsqUH/view?usp=drivesdk" TargetMode="External"/><Relationship Id="rId2666" Type="http://schemas.openxmlformats.org/officeDocument/2006/relationships/hyperlink" Target="https://drive.google.com/file/d/1MpP2-43GqkWDRpuwJ-apCbzIk2GwSMn_/view?usp=drivesdk" TargetMode="External"/><Relationship Id="rId1336" Type="http://schemas.openxmlformats.org/officeDocument/2006/relationships/hyperlink" Target="https://drive.google.com/file/d/1fmq7pBZR5fn4yvsXd6FhDdYn8kchkDm4/view?usp=drivesdk" TargetMode="External"/><Relationship Id="rId2667" Type="http://schemas.openxmlformats.org/officeDocument/2006/relationships/hyperlink" Target="https://drive.google.com/file/d/1X5Fe2As7h--ByO5qoa79Jna-iqMIag53/view?usp=drivesdk" TargetMode="External"/><Relationship Id="rId1337" Type="http://schemas.openxmlformats.org/officeDocument/2006/relationships/hyperlink" Target="https://drive.google.com/file/d/1x8ChbGRnQosFWpLO6ivg0Gru6QydF7SG/view?usp=drivesdk" TargetMode="External"/><Relationship Id="rId2668" Type="http://schemas.openxmlformats.org/officeDocument/2006/relationships/hyperlink" Target="https://drive.google.com/file/d/1d70WNl03Y6R-FQ2zFUG_7JzLtb7KIhMn/view?usp=drivesdk" TargetMode="External"/><Relationship Id="rId1338" Type="http://schemas.openxmlformats.org/officeDocument/2006/relationships/hyperlink" Target="https://drive.google.com/file/d/17sVwjrDS913Gts1JisHt0r2QxjDzr5lB/view?usp=drivesdk" TargetMode="External"/><Relationship Id="rId2669" Type="http://schemas.openxmlformats.org/officeDocument/2006/relationships/hyperlink" Target="https://drive.google.com/file/d/1ZJao6drmlp_5iFzVLwLBVxZ7mZzQpGwX/view?usp=drivesdk" TargetMode="External"/><Relationship Id="rId1339" Type="http://schemas.openxmlformats.org/officeDocument/2006/relationships/hyperlink" Target="https://drive.google.com/file/d/1OHrkMTqW-CDqr555bgbohaOi5pda3ONA/view?usp=drivesdk" TargetMode="External"/><Relationship Id="rId745" Type="http://schemas.openxmlformats.org/officeDocument/2006/relationships/hyperlink" Target="https://drive.google.com/file/d/1RySpFPc0eRHzms6sd6jkNeYgRvNmnjf9/view?usp=drivesdk" TargetMode="External"/><Relationship Id="rId744" Type="http://schemas.openxmlformats.org/officeDocument/2006/relationships/hyperlink" Target="https://drive.google.com/file/d/1ay9nixEy-e_JZrGaJ0O0utLjDBfwCO1N/view?usp=drivesdk" TargetMode="External"/><Relationship Id="rId743" Type="http://schemas.openxmlformats.org/officeDocument/2006/relationships/hyperlink" Target="https://drive.google.com/file/d/1PUIy03yto_1SPuGImDvq6xf2WbqVDRPJ/view?usp=drivesdk" TargetMode="External"/><Relationship Id="rId742" Type="http://schemas.openxmlformats.org/officeDocument/2006/relationships/hyperlink" Target="https://drive.google.com/file/d/1AVV6-Q7D8JA_P53Os1-NpbSAM12e2oGQ/view?usp=drivesdk" TargetMode="External"/><Relationship Id="rId749" Type="http://schemas.openxmlformats.org/officeDocument/2006/relationships/hyperlink" Target="https://drive.google.com/file/d/1KPkGhJ36SscDhiJY_xrs9MK5rlZ-LdFN/view?usp=drivesdk" TargetMode="External"/><Relationship Id="rId748" Type="http://schemas.openxmlformats.org/officeDocument/2006/relationships/hyperlink" Target="https://drive.google.com/file/d/10cy62BuKk3ZsJEI6KY-SKtbl8hBswkhC/view?usp=drivesdk" TargetMode="External"/><Relationship Id="rId747" Type="http://schemas.openxmlformats.org/officeDocument/2006/relationships/hyperlink" Target="https://drive.google.com/file/d/1CvM7xnkkkbeaE-fXoQSrG0lcN_3ZfOWP/view?usp=drivesdk" TargetMode="External"/><Relationship Id="rId746" Type="http://schemas.openxmlformats.org/officeDocument/2006/relationships/hyperlink" Target="https://drive.google.com/file/d/1vZfwwsrrwxCWk1DVduqI02M5iRoBi-bW/view?usp=drivesdk" TargetMode="External"/><Relationship Id="rId2660" Type="http://schemas.openxmlformats.org/officeDocument/2006/relationships/hyperlink" Target="https://drive.google.com/file/d/1jx9eMAYbx0cHukSi87PadaXFTzz1n_mq/view?usp=drivesdk" TargetMode="External"/><Relationship Id="rId741" Type="http://schemas.openxmlformats.org/officeDocument/2006/relationships/hyperlink" Target="https://drive.google.com/file/d/1xp50Bkg-yRDZycvgmgYrHpJtXj7H2YJ-/view?usp=drivesdk" TargetMode="External"/><Relationship Id="rId1330" Type="http://schemas.openxmlformats.org/officeDocument/2006/relationships/hyperlink" Target="https://drive.google.com/file/d/1cV_YaRdgiWnpFXbjHG5VY2xsHhOD81BN/view?usp=drivesdk" TargetMode="External"/><Relationship Id="rId2661" Type="http://schemas.openxmlformats.org/officeDocument/2006/relationships/hyperlink" Target="https://drive.google.com/file/d/1OIEvCCJvM-_IxEbcHAL2vNkKmVoEHa3G/view?usp=drivesdk" TargetMode="External"/><Relationship Id="rId740" Type="http://schemas.openxmlformats.org/officeDocument/2006/relationships/hyperlink" Target="https://drive.google.com/file/d/1z_35AIPiXek3PFjOOuDmdkQoF2wUxda5/view?usp=drivesdk" TargetMode="External"/><Relationship Id="rId1331" Type="http://schemas.openxmlformats.org/officeDocument/2006/relationships/hyperlink" Target="https://drive.google.com/file/d/1odsdUkdbYWGK_Y3-6GwgXk3fruzb8K5B/view?usp=drivesdk" TargetMode="External"/><Relationship Id="rId2662" Type="http://schemas.openxmlformats.org/officeDocument/2006/relationships/hyperlink" Target="https://drive.google.com/file/d/16TKGD5uIhjmxtnz9GYQUl5frMKkhZ7vE/view?usp=drivesdk" TargetMode="External"/><Relationship Id="rId1332" Type="http://schemas.openxmlformats.org/officeDocument/2006/relationships/hyperlink" Target="https://drive.google.com/file/d/1-LOs6iJWqH6J7LkZbxx9IKK68sIQYm15/view?usp=drivesdk" TargetMode="External"/><Relationship Id="rId2663" Type="http://schemas.openxmlformats.org/officeDocument/2006/relationships/hyperlink" Target="https://drive.google.com/file/d/1lHQosDuo6gaE1kApTnMYX-PdVa7g5c2f/view?usp=drivesdk" TargetMode="External"/><Relationship Id="rId1333" Type="http://schemas.openxmlformats.org/officeDocument/2006/relationships/hyperlink" Target="https://drive.google.com/file/d/1HQQqaXQ2aDOZT_SNuEKfrgklxfV96f2p/view?usp=drivesdk" TargetMode="External"/><Relationship Id="rId2664" Type="http://schemas.openxmlformats.org/officeDocument/2006/relationships/hyperlink" Target="https://drive.google.com/file/d/149vWpYz3xUBwjR-0Vi63Qa-y5jEghDmg/view?usp=drivesdk" TargetMode="External"/><Relationship Id="rId1323" Type="http://schemas.openxmlformats.org/officeDocument/2006/relationships/hyperlink" Target="https://drive.google.com/file/d/1uqjSAQTztfrE6WhTBJq5beR6Eq5T80AH/view?usp=drivesdk" TargetMode="External"/><Relationship Id="rId2654" Type="http://schemas.openxmlformats.org/officeDocument/2006/relationships/hyperlink" Target="https://drive.google.com/file/d/1yCifhK2ZQwpUZAjclr5TAmGCQqTbBrUa/view?usp=drivesdk" TargetMode="External"/><Relationship Id="rId1324" Type="http://schemas.openxmlformats.org/officeDocument/2006/relationships/hyperlink" Target="https://drive.google.com/file/d/14xPFZ4HHJvQfdaqlQgpTJvulMISesY6F/view?usp=drivesdk" TargetMode="External"/><Relationship Id="rId2655" Type="http://schemas.openxmlformats.org/officeDocument/2006/relationships/hyperlink" Target="https://drive.google.com/file/d/14l2Iyllp2BRKK4GUgjOnaxtE-5V5_oxZ/view?usp=drivesdk" TargetMode="External"/><Relationship Id="rId1325" Type="http://schemas.openxmlformats.org/officeDocument/2006/relationships/hyperlink" Target="https://drive.google.com/file/d/1j4hujUpxDdiZOOz_iIcSNsQxGnF8LS3U/view?usp=drivesdk" TargetMode="External"/><Relationship Id="rId2656" Type="http://schemas.openxmlformats.org/officeDocument/2006/relationships/hyperlink" Target="https://drive.google.com/file/d/1wVhOcOsRL9M-ypPdSaPRTLv-PLlAWOf1/view?usp=drivesdk" TargetMode="External"/><Relationship Id="rId1326" Type="http://schemas.openxmlformats.org/officeDocument/2006/relationships/hyperlink" Target="https://drive.google.com/file/d/1HQul4SsDY7kfhjNRo0e8g6nXnnrbKsyY/view?usp=drivesdk" TargetMode="External"/><Relationship Id="rId2657" Type="http://schemas.openxmlformats.org/officeDocument/2006/relationships/hyperlink" Target="https://drive.google.com/file/d/12p5OEsz_Kqdr2WrmlHbpY-_JFlSEkooC/view?usp=drivesdk" TargetMode="External"/><Relationship Id="rId1327" Type="http://schemas.openxmlformats.org/officeDocument/2006/relationships/hyperlink" Target="https://drive.google.com/file/d/1oVe6PPMxKaflBLEv7M_Old2XSyuAAwUe/view?usp=drivesdk" TargetMode="External"/><Relationship Id="rId2658" Type="http://schemas.openxmlformats.org/officeDocument/2006/relationships/hyperlink" Target="https://drive.google.com/file/d/1xo-D0d5xWZy_-HQc9CNuFVE8l1hYTkzr/view?usp=drivesdk" TargetMode="External"/><Relationship Id="rId1328" Type="http://schemas.openxmlformats.org/officeDocument/2006/relationships/hyperlink" Target="https://drive.google.com/file/d/1XxblkueQgl6YsWD8BaUFT6_Y-LKwY6AV/view?usp=drivesdk" TargetMode="External"/><Relationship Id="rId2659" Type="http://schemas.openxmlformats.org/officeDocument/2006/relationships/hyperlink" Target="https://drive.google.com/file/d/144ul3eCkiKHuL75LCKm6YabVN-pgBX8u/view?usp=drivesdk" TargetMode="External"/><Relationship Id="rId1329" Type="http://schemas.openxmlformats.org/officeDocument/2006/relationships/hyperlink" Target="https://drive.google.com/file/d/1izPHhUHB0NYR95DM9dudqdToqve9cScm/view?usp=drivesdk" TargetMode="External"/><Relationship Id="rId739" Type="http://schemas.openxmlformats.org/officeDocument/2006/relationships/hyperlink" Target="https://drive.google.com/file/d/1qZR_Iebw6hcHhVN17GWzDkr-XMum0Mo6/view?usp=drivesdk" TargetMode="External"/><Relationship Id="rId734" Type="http://schemas.openxmlformats.org/officeDocument/2006/relationships/hyperlink" Target="https://drive.google.com/file/d/1GUi9PGmMS7Gtbf_FkIRgFe9od0B98yHT/view?usp=drivesdk" TargetMode="External"/><Relationship Id="rId733" Type="http://schemas.openxmlformats.org/officeDocument/2006/relationships/hyperlink" Target="https://drive.google.com/file/d/1tIAGg_xu-FbshgCqRYXbob9d6h9xwTbE/view?usp=drivesdk" TargetMode="External"/><Relationship Id="rId732" Type="http://schemas.openxmlformats.org/officeDocument/2006/relationships/hyperlink" Target="https://drive.google.com/file/d/1RK2oKtV1Gyr7SWeCPNX-eKlkzav9LMrY/view?usp=drivesdk" TargetMode="External"/><Relationship Id="rId731" Type="http://schemas.openxmlformats.org/officeDocument/2006/relationships/hyperlink" Target="https://drive.google.com/file/d/1tXqiMH5JE4gum5NypylhS1eR4ERQrsUW/view?usp=drivesdk" TargetMode="External"/><Relationship Id="rId738" Type="http://schemas.openxmlformats.org/officeDocument/2006/relationships/hyperlink" Target="https://drive.google.com/file/d/1TRcOw82zINnVGPZODLYBn7wB0bohVPCn/view?usp=drivesdk" TargetMode="External"/><Relationship Id="rId737" Type="http://schemas.openxmlformats.org/officeDocument/2006/relationships/hyperlink" Target="https://drive.google.com/file/d/1DV7EYoG14q6yEKU-j4L4Yr58W5W37NJa/view?usp=drivesdk" TargetMode="External"/><Relationship Id="rId736" Type="http://schemas.openxmlformats.org/officeDocument/2006/relationships/hyperlink" Target="https://drive.google.com/file/d/19wmJxGTBjUjFYD3wWH-3wyZBpZdWuDFa/view?usp=drivesdk" TargetMode="External"/><Relationship Id="rId735" Type="http://schemas.openxmlformats.org/officeDocument/2006/relationships/hyperlink" Target="https://drive.google.com/file/d/1CYD24jISw8ep7FvRbGYJvaUNG9PIp-9g/view?usp=drivesdk" TargetMode="External"/><Relationship Id="rId730" Type="http://schemas.openxmlformats.org/officeDocument/2006/relationships/hyperlink" Target="https://drive.google.com/file/d/1K14nL3svQS6xWcpuI0cuQ6ubJYuuzAt0/view?usp=drivesdk" TargetMode="External"/><Relationship Id="rId2650" Type="http://schemas.openxmlformats.org/officeDocument/2006/relationships/hyperlink" Target="https://drive.google.com/file/d/17x3I7jUwdIldQm5GP-fj0zgsKCgIUoRP/view?usp=drivesdk" TargetMode="External"/><Relationship Id="rId1320" Type="http://schemas.openxmlformats.org/officeDocument/2006/relationships/hyperlink" Target="https://drive.google.com/file/d/1h6u2VQ0LR0hPmmdn04oQT-pK3GBBNrdW/view?usp=drivesdk" TargetMode="External"/><Relationship Id="rId2651" Type="http://schemas.openxmlformats.org/officeDocument/2006/relationships/hyperlink" Target="https://drive.google.com/file/d/1Oz7Zj6fZnvvCizj-IHEQF-K0o27fi6QN/view?usp=drivesdk" TargetMode="External"/><Relationship Id="rId1321" Type="http://schemas.openxmlformats.org/officeDocument/2006/relationships/hyperlink" Target="https://drive.google.com/file/d/1dBJyDWqgZiLyD6LwmisNe4nXwuBfOhpL/view?usp=drivesdk" TargetMode="External"/><Relationship Id="rId2652" Type="http://schemas.openxmlformats.org/officeDocument/2006/relationships/hyperlink" Target="https://drive.google.com/file/d/1Utyoxyv9ECefgrAbgSyFcs6rDsU9y5Il/view?usp=drivesdk" TargetMode="External"/><Relationship Id="rId1322" Type="http://schemas.openxmlformats.org/officeDocument/2006/relationships/hyperlink" Target="https://drive.google.com/file/d/1lmPuhIbcH-1rcIDjqkw34HcSU2O6c2ue/view?usp=drivesdk" TargetMode="External"/><Relationship Id="rId2653" Type="http://schemas.openxmlformats.org/officeDocument/2006/relationships/hyperlink" Target="https://drive.google.com/file/d/104J0KhnQN8hx7uBldyQ1evQEW8N7petE/view?usp=drivesdk" TargetMode="External"/><Relationship Id="rId1356" Type="http://schemas.openxmlformats.org/officeDocument/2006/relationships/hyperlink" Target="https://drive.google.com/file/d/10N2GphtISECImbmZiH9vnFKAukkBYpHi/view?usp=drivesdk" TargetMode="External"/><Relationship Id="rId2687" Type="http://schemas.openxmlformats.org/officeDocument/2006/relationships/hyperlink" Target="https://drive.google.com/file/d/1eY8ustezkGTBEFCvn47T4iFMNEc9SoCR/view?usp=drivesdk" TargetMode="External"/><Relationship Id="rId1357" Type="http://schemas.openxmlformats.org/officeDocument/2006/relationships/hyperlink" Target="https://drive.google.com/file/d/1qkgRpPqM04QWFjfsZxtrxnh_hJEoAetY/view?usp=drivesdk" TargetMode="External"/><Relationship Id="rId2688" Type="http://schemas.openxmlformats.org/officeDocument/2006/relationships/hyperlink" Target="https://drive.google.com/file/d/16mzj15ffaodG7p7OkXeRFIl06zUe0OUG/view?usp=drivesdk" TargetMode="External"/><Relationship Id="rId1358" Type="http://schemas.openxmlformats.org/officeDocument/2006/relationships/hyperlink" Target="https://drive.google.com/file/d/1niuyVn35u_z6REkObYjKmy6938AMNnYV/view?usp=drivesdk" TargetMode="External"/><Relationship Id="rId2689" Type="http://schemas.openxmlformats.org/officeDocument/2006/relationships/hyperlink" Target="https://drive.google.com/file/d/1VYqvNkQuJmP378cGj71lJ4JV-clMH0Yv/view?usp=drivesdk" TargetMode="External"/><Relationship Id="rId1359" Type="http://schemas.openxmlformats.org/officeDocument/2006/relationships/hyperlink" Target="https://drive.google.com/file/d/1wrEmYZaqStPGpYgSENfI25UV-wyT1sPl/view?usp=drivesdk" TargetMode="External"/><Relationship Id="rId767" Type="http://schemas.openxmlformats.org/officeDocument/2006/relationships/hyperlink" Target="https://drive.google.com/file/d/145d_CA8T5qtTk-xcEGngNcczxZO4b9ij/view?usp=drivesdk" TargetMode="External"/><Relationship Id="rId766" Type="http://schemas.openxmlformats.org/officeDocument/2006/relationships/hyperlink" Target="https://drive.google.com/file/d/1mruXmvH2Pouq7XcDsaReJoumHS3Ak_BK/view?usp=drivesdk" TargetMode="External"/><Relationship Id="rId765" Type="http://schemas.openxmlformats.org/officeDocument/2006/relationships/hyperlink" Target="https://drive.google.com/file/d/1-U4mWEm3vaiLvomX0Ch-4HKs8d-LVX5-/view?usp=drivesdk" TargetMode="External"/><Relationship Id="rId764" Type="http://schemas.openxmlformats.org/officeDocument/2006/relationships/hyperlink" Target="https://drive.google.com/file/d/1ZyLeWcONfT3Lmf9dHHJqtgrU-MZcF3Ph/view?usp=drivesdk" TargetMode="External"/><Relationship Id="rId769" Type="http://schemas.openxmlformats.org/officeDocument/2006/relationships/hyperlink" Target="https://drive.google.com/file/d/1sG4y8zj0eD26U_-ccB6XYJYyLcy9IIAU/view?usp=drivesdk" TargetMode="External"/><Relationship Id="rId768" Type="http://schemas.openxmlformats.org/officeDocument/2006/relationships/hyperlink" Target="https://drive.google.com/file/d/16fIu9vCQlb-Liuv0d6QNpzUH_0j6Wszs/view?usp=drivesdk" TargetMode="External"/><Relationship Id="rId2680" Type="http://schemas.openxmlformats.org/officeDocument/2006/relationships/hyperlink" Target="https://drive.google.com/file/d/1VCKoEhCkZgWeNPsAklTrHzvyEtDe0UpM/view?usp=drivesdk" TargetMode="External"/><Relationship Id="rId1350" Type="http://schemas.openxmlformats.org/officeDocument/2006/relationships/hyperlink" Target="https://drive.google.com/file/d/1Bv6xeD7qLRzi3rNU4XCCAm1NSWSbY4N0/view?usp=drivesdk" TargetMode="External"/><Relationship Id="rId2681" Type="http://schemas.openxmlformats.org/officeDocument/2006/relationships/hyperlink" Target="https://drive.google.com/file/d/1epyBwvNQIzhoIzncHzNCghI35bEcM7FS/view?usp=drivesdk" TargetMode="External"/><Relationship Id="rId1351" Type="http://schemas.openxmlformats.org/officeDocument/2006/relationships/hyperlink" Target="https://drive.google.com/file/d/1yzF06dubSFNksXYnjJCAAAsJgcxyj8hy/view?usp=drivesdk" TargetMode="External"/><Relationship Id="rId2682" Type="http://schemas.openxmlformats.org/officeDocument/2006/relationships/hyperlink" Target="https://drive.google.com/file/d/1P9xYCgkA2aZzeFeWwFu2vsHTC7Pzw-Oa/view?usp=drivesdk" TargetMode="External"/><Relationship Id="rId763" Type="http://schemas.openxmlformats.org/officeDocument/2006/relationships/hyperlink" Target="https://drive.google.com/file/d/1_b8mOSAsOMzbJVPB86zc3Ev432ugw-N0/view?usp=drivesdk" TargetMode="External"/><Relationship Id="rId1352" Type="http://schemas.openxmlformats.org/officeDocument/2006/relationships/hyperlink" Target="https://drive.google.com/file/d/1-_IAeJQGEiQsYhiQm3h1Ynd7akOOHNRt/view?usp=drivesdk" TargetMode="External"/><Relationship Id="rId2683" Type="http://schemas.openxmlformats.org/officeDocument/2006/relationships/hyperlink" Target="https://drive.google.com/file/d/1ZRJcq-rd4pEQb0DmJ1HQenA2-OH5dbEb/view?usp=drivesdk" TargetMode="External"/><Relationship Id="rId762" Type="http://schemas.openxmlformats.org/officeDocument/2006/relationships/hyperlink" Target="https://drive.google.com/file/d/1BaJrMUMQAZQcIwW-WrR9NXs9CM0N1SkX/view?usp=drivesdk" TargetMode="External"/><Relationship Id="rId1353" Type="http://schemas.openxmlformats.org/officeDocument/2006/relationships/hyperlink" Target="https://drive.google.com/file/d/1erhmlFnLisnNRgExZrpha1VooGxYyHWc/view?usp=drivesdk" TargetMode="External"/><Relationship Id="rId2684" Type="http://schemas.openxmlformats.org/officeDocument/2006/relationships/hyperlink" Target="https://drive.google.com/file/d/1c-T-gBsf13rctIADi3rUqpv_LDEac7l1/view?usp=drivesdk" TargetMode="External"/><Relationship Id="rId761" Type="http://schemas.openxmlformats.org/officeDocument/2006/relationships/hyperlink" Target="https://drive.google.com/file/d/1JWjkln9CJu8dWWG13eCkUEPE81p-_bbI/view?usp=drivesdk" TargetMode="External"/><Relationship Id="rId1354" Type="http://schemas.openxmlformats.org/officeDocument/2006/relationships/hyperlink" Target="https://drive.google.com/file/d/1IkSssIeTLHWxSvtmGBCCJ6S6SCxaue_O/view?usp=drivesdk" TargetMode="External"/><Relationship Id="rId2685" Type="http://schemas.openxmlformats.org/officeDocument/2006/relationships/hyperlink" Target="https://drive.google.com/file/d/1hMU234raFGJtbZQ16uhu9mUFuosskYBK/view?usp=drivesdk" TargetMode="External"/><Relationship Id="rId760" Type="http://schemas.openxmlformats.org/officeDocument/2006/relationships/hyperlink" Target="https://drive.google.com/file/d/1Dr_J3dtP3MtuYZdf99UULUa0JK3uFgeC/view?usp=drivesdk" TargetMode="External"/><Relationship Id="rId1355" Type="http://schemas.openxmlformats.org/officeDocument/2006/relationships/hyperlink" Target="https://drive.google.com/file/d/1n0nfZdzHQc5t0L5s6hRVF-VIJODBR9NQ/view?usp=drivesdk" TargetMode="External"/><Relationship Id="rId2686" Type="http://schemas.openxmlformats.org/officeDocument/2006/relationships/hyperlink" Target="https://drive.google.com/file/d/1dcM9NQdz9QH53PQ7hkiNVOhT5nBAY9Vn/view?usp=drivesdk" TargetMode="External"/><Relationship Id="rId1345" Type="http://schemas.openxmlformats.org/officeDocument/2006/relationships/hyperlink" Target="https://drive.google.com/file/d/1jwFLKdF0byi7hon5GCbVvBleRSu-vK6j/view?usp=drivesdk" TargetMode="External"/><Relationship Id="rId2676" Type="http://schemas.openxmlformats.org/officeDocument/2006/relationships/hyperlink" Target="https://drive.google.com/file/d/1ATJxg7zUvA3Wg_XCJFG6phaq9LgMmPHW/view?usp=drivesdk" TargetMode="External"/><Relationship Id="rId1346" Type="http://schemas.openxmlformats.org/officeDocument/2006/relationships/hyperlink" Target="https://drive.google.com/file/d/11ogde26aroINSig4eTT9lBULIn1KJP76/view?usp=drivesdk" TargetMode="External"/><Relationship Id="rId2677" Type="http://schemas.openxmlformats.org/officeDocument/2006/relationships/hyperlink" Target="https://drive.google.com/file/d/1CNUuCil5aZVO_tdA1GgelrRiq8I7q6J4/view?usp=drivesdk" TargetMode="External"/><Relationship Id="rId1347" Type="http://schemas.openxmlformats.org/officeDocument/2006/relationships/hyperlink" Target="https://drive.google.com/file/d/1w2s1nlT6t57-GqT3Tqhw810u0jmjYutX/view?usp=drivesdk" TargetMode="External"/><Relationship Id="rId2678" Type="http://schemas.openxmlformats.org/officeDocument/2006/relationships/hyperlink" Target="https://drive.google.com/file/d/1J0gXacFjwTY8lqoRS7-Ly_0MayhAFMtY/view?usp=drivesdk" TargetMode="External"/><Relationship Id="rId1348" Type="http://schemas.openxmlformats.org/officeDocument/2006/relationships/hyperlink" Target="https://drive.google.com/file/d/1NUBAl6Yl2Ll3r0YlezoDr1DQkJrRA7AB/view?usp=drivesdk" TargetMode="External"/><Relationship Id="rId2679" Type="http://schemas.openxmlformats.org/officeDocument/2006/relationships/hyperlink" Target="https://drive.google.com/file/d/1hgaLy7Pk7l8_uT0qzsdgGRA4OH5u_0hL/view?usp=drivesdk" TargetMode="External"/><Relationship Id="rId1349" Type="http://schemas.openxmlformats.org/officeDocument/2006/relationships/hyperlink" Target="https://drive.google.com/file/d/1ReLnNKT3otxTw6D_oW90adnGpa23jIV9/view?usp=drivesdk" TargetMode="External"/><Relationship Id="rId756" Type="http://schemas.openxmlformats.org/officeDocument/2006/relationships/hyperlink" Target="https://drive.google.com/file/d/1m7NCe1rITz2NaoxpTRj7yj9gwrw-G2Cg/view?usp=drivesdk" TargetMode="External"/><Relationship Id="rId755" Type="http://schemas.openxmlformats.org/officeDocument/2006/relationships/hyperlink" Target="https://drive.google.com/file/d/1U5T2MAj5_QQykM-pybdbnGHkCMfgC2Ip/view?usp=drivesdk" TargetMode="External"/><Relationship Id="rId754" Type="http://schemas.openxmlformats.org/officeDocument/2006/relationships/hyperlink" Target="https://drive.google.com/file/d/1Ij9uqCjnLFPAxCNOIiEjRrqXsGdqUerY/view?usp=drivesdk" TargetMode="External"/><Relationship Id="rId753" Type="http://schemas.openxmlformats.org/officeDocument/2006/relationships/hyperlink" Target="https://drive.google.com/file/d/1d9hveUFzxbKToR4lm23SLZP00kGrsbaz/view?usp=drivesdk" TargetMode="External"/><Relationship Id="rId759" Type="http://schemas.openxmlformats.org/officeDocument/2006/relationships/hyperlink" Target="https://drive.google.com/file/d/16N0plOadQAJX7YbKVm1wHb5IuJ9Cf9kY/view?usp=drivesdk" TargetMode="External"/><Relationship Id="rId758" Type="http://schemas.openxmlformats.org/officeDocument/2006/relationships/hyperlink" Target="https://drive.google.com/file/d/1NTKp4-GsdbGfJAQ5HINv60Kli5U7BPFK/view?usp=drivesdk" TargetMode="External"/><Relationship Id="rId757" Type="http://schemas.openxmlformats.org/officeDocument/2006/relationships/hyperlink" Target="https://drive.google.com/file/d/1KweztB2AqdouHTLTx3ynCIVvh2Xd1bRn/view?usp=drivesdk" TargetMode="External"/><Relationship Id="rId2670" Type="http://schemas.openxmlformats.org/officeDocument/2006/relationships/hyperlink" Target="https://drive.google.com/file/d/1pCInedMgb6ub4Ncim1wJ4bHJ2ouwc85m/view?usp=drivesdk" TargetMode="External"/><Relationship Id="rId1340" Type="http://schemas.openxmlformats.org/officeDocument/2006/relationships/hyperlink" Target="https://drive.google.com/file/d/1Sa8c1fB3Y2JY9ckKOsg1YCH2Mp5uSOKG/view?usp=drivesdk" TargetMode="External"/><Relationship Id="rId2671" Type="http://schemas.openxmlformats.org/officeDocument/2006/relationships/hyperlink" Target="https://drive.google.com/file/d/1tE6_KVQyfFVpIfIuz7dnWR1i8_me3TIT/view?usp=drivesdk" TargetMode="External"/><Relationship Id="rId752" Type="http://schemas.openxmlformats.org/officeDocument/2006/relationships/hyperlink" Target="https://drive.google.com/file/d/1ocNZeMn9M_WZa1vXf02DG5U03OQ_aZtw/view?usp=drivesdk" TargetMode="External"/><Relationship Id="rId1341" Type="http://schemas.openxmlformats.org/officeDocument/2006/relationships/hyperlink" Target="https://drive.google.com/file/d/1-DrIsl5xE-ma7IF983DqJ9ziYsMByA9u/view?usp=drivesdk" TargetMode="External"/><Relationship Id="rId2672" Type="http://schemas.openxmlformats.org/officeDocument/2006/relationships/hyperlink" Target="https://drive.google.com/file/d/1hlj_PiSmruASavYOS4OPpCrR4tKfol15/view?usp=drivesdk" TargetMode="External"/><Relationship Id="rId751" Type="http://schemas.openxmlformats.org/officeDocument/2006/relationships/hyperlink" Target="https://drive.google.com/file/d/1GTXEdJUuJb21E7LHdMQXoipETCucGvJb/view?usp=drivesdk" TargetMode="External"/><Relationship Id="rId1342" Type="http://schemas.openxmlformats.org/officeDocument/2006/relationships/hyperlink" Target="https://drive.google.com/file/d/1jrq_rB-Oin-Vjz0-Heyq3RdGFIwfdpVX/view?usp=drivesdk" TargetMode="External"/><Relationship Id="rId2673" Type="http://schemas.openxmlformats.org/officeDocument/2006/relationships/hyperlink" Target="https://drive.google.com/file/d/1JoVItYnEA8vA70xzVLnQEC3dgxMW-0on/view?usp=drivesdk" TargetMode="External"/><Relationship Id="rId750" Type="http://schemas.openxmlformats.org/officeDocument/2006/relationships/hyperlink" Target="https://drive.google.com/file/d/1_-jYWchTjICQBAa7ThgQUUY17j_-OYjh/view?usp=drivesdk" TargetMode="External"/><Relationship Id="rId1343" Type="http://schemas.openxmlformats.org/officeDocument/2006/relationships/hyperlink" Target="https://drive.google.com/file/d/1YPe33ofHhAUwjKqWyKcx7n5n-dL3gHG4/view?usp=drivesdk" TargetMode="External"/><Relationship Id="rId2674" Type="http://schemas.openxmlformats.org/officeDocument/2006/relationships/hyperlink" Target="https://drive.google.com/file/d/15btD8-1-iJ6kKY4YOnmEB99Ty5jn30uV/view?usp=drivesdk" TargetMode="External"/><Relationship Id="rId1344" Type="http://schemas.openxmlformats.org/officeDocument/2006/relationships/hyperlink" Target="https://drive.google.com/file/d/10bfFtsRpVGs1UGeHloAJRS0Qkl9gb2u5/view?usp=drivesdk" TargetMode="External"/><Relationship Id="rId2675" Type="http://schemas.openxmlformats.org/officeDocument/2006/relationships/hyperlink" Target="https://drive.google.com/file/d/1nhF9YyHcpfCFAHZNSHYOdrHjNY6W4OdA/view?usp=drivesdk" TargetMode="External"/><Relationship Id="rId2621" Type="http://schemas.openxmlformats.org/officeDocument/2006/relationships/hyperlink" Target="https://drive.google.com/file/d/1Q0Sk01j5joMct9DIvSVMZHeqrGAM99wa/view?usp=drivesdk" TargetMode="External"/><Relationship Id="rId2622" Type="http://schemas.openxmlformats.org/officeDocument/2006/relationships/hyperlink" Target="https://drive.google.com/file/d/1ex2b0drlj-55MtfmUfDq7yBbLLjSesxF/view?usp=drivesdk" TargetMode="External"/><Relationship Id="rId2623" Type="http://schemas.openxmlformats.org/officeDocument/2006/relationships/hyperlink" Target="https://drive.google.com/file/d/1DsscXTH-yRBwPVKxy3s7M6YtXCPoBPFC/view?usp=drivesdk" TargetMode="External"/><Relationship Id="rId2624" Type="http://schemas.openxmlformats.org/officeDocument/2006/relationships/hyperlink" Target="https://drive.google.com/file/d/1UuuzoS4yQn13IfYEyBMumYOQfdcrosni/view?usp=drivesdk" TargetMode="External"/><Relationship Id="rId2625" Type="http://schemas.openxmlformats.org/officeDocument/2006/relationships/hyperlink" Target="https://drive.google.com/file/d/1CGw2aFqdeWSzTPWBi4Jhk_HVOrooYuQO/view?usp=drivesdk" TargetMode="External"/><Relationship Id="rId2626" Type="http://schemas.openxmlformats.org/officeDocument/2006/relationships/hyperlink" Target="https://drive.google.com/file/d/19J7SxgV3TKuAhMt2JaFPTLscquaGkcBh/view?usp=drivesdk" TargetMode="External"/><Relationship Id="rId2627" Type="http://schemas.openxmlformats.org/officeDocument/2006/relationships/hyperlink" Target="https://drive.google.com/file/d/1th0_H913x7dEbLmmzeTjrSGGbUC8A42e/view?usp=drivesdk" TargetMode="External"/><Relationship Id="rId2628" Type="http://schemas.openxmlformats.org/officeDocument/2006/relationships/hyperlink" Target="https://drive.google.com/file/d/1V139ov37mLWb-5UKv49efitjO3JB718i/view?usp=drivesdk" TargetMode="External"/><Relationship Id="rId709" Type="http://schemas.openxmlformats.org/officeDocument/2006/relationships/hyperlink" Target="https://drive.google.com/file/d/10gteTCzwgF2BcALs53_sWbQIe6tWd8-O/view?usp=drivesdk" TargetMode="External"/><Relationship Id="rId2629" Type="http://schemas.openxmlformats.org/officeDocument/2006/relationships/hyperlink" Target="https://drive.google.com/file/d/1FheroBSk3eQOvE0506M6iwY63EZBRzLS/view?usp=drivesdk" TargetMode="External"/><Relationship Id="rId708" Type="http://schemas.openxmlformats.org/officeDocument/2006/relationships/hyperlink" Target="https://drive.google.com/file/d/1kxPXoPxh1B_dQ6wBIvAGOLqJkpzkqj_N/view?usp=drivesdk" TargetMode="External"/><Relationship Id="rId707" Type="http://schemas.openxmlformats.org/officeDocument/2006/relationships/hyperlink" Target="https://drive.google.com/file/d/1flry8FBKDxDv0ajq7hLaS4b12HuDR4Wh/view?usp=drivesdk" TargetMode="External"/><Relationship Id="rId706" Type="http://schemas.openxmlformats.org/officeDocument/2006/relationships/hyperlink" Target="https://drive.google.com/file/d/1au2hR22GOvMeETjwJ3lTlqjcWaBvzEum/view?usp=drivesdk" TargetMode="External"/><Relationship Id="rId701" Type="http://schemas.openxmlformats.org/officeDocument/2006/relationships/hyperlink" Target="https://drive.google.com/file/d/1lxCGafMDrYAsyUwujfL4sNxOpaj27_ZL/view?usp=drivesdk" TargetMode="External"/><Relationship Id="rId700" Type="http://schemas.openxmlformats.org/officeDocument/2006/relationships/hyperlink" Target="https://drive.google.com/file/d/1yKVtmrrokbnG8vYzIP64Hzag1IRdVdz4/view?usp=drivesdk" TargetMode="External"/><Relationship Id="rId705" Type="http://schemas.openxmlformats.org/officeDocument/2006/relationships/hyperlink" Target="https://drive.google.com/file/d/1wsPvmROGursS4XKsLxJycBv3ribXTR4w/view?usp=drivesdk" TargetMode="External"/><Relationship Id="rId704" Type="http://schemas.openxmlformats.org/officeDocument/2006/relationships/hyperlink" Target="https://drive.google.com/file/d/1r5DhKWjYUvxIKeRhA9vdGXw0vBkuFsPC/view?usp=drivesdk" TargetMode="External"/><Relationship Id="rId703" Type="http://schemas.openxmlformats.org/officeDocument/2006/relationships/hyperlink" Target="https://drive.google.com/file/d/1r8elKgOPwwO_4J-4uUv7we9zsgWV58SW/view?usp=drivesdk" TargetMode="External"/><Relationship Id="rId702" Type="http://schemas.openxmlformats.org/officeDocument/2006/relationships/hyperlink" Target="https://drive.google.com/file/d/13MA74eS7DrujLk_XxKEwnhT26DlnYs97/view?usp=drivesdk" TargetMode="External"/><Relationship Id="rId2620" Type="http://schemas.openxmlformats.org/officeDocument/2006/relationships/hyperlink" Target="https://drive.google.com/file/d/1NEDv5DiVuDvFdSlKyMM6fNkxcdxMbR8R/view?usp=drivesdk" TargetMode="External"/><Relationship Id="rId2610" Type="http://schemas.openxmlformats.org/officeDocument/2006/relationships/hyperlink" Target="https://drive.google.com/file/d/1FSya0JU7NICgjPEONeTDvBXhzmz9u2rJ/view?usp=drivesdk" TargetMode="External"/><Relationship Id="rId2611" Type="http://schemas.openxmlformats.org/officeDocument/2006/relationships/hyperlink" Target="https://drive.google.com/file/d/10cUPWzTrCYTVc1-DC9yUAuuAoC88IrXM/view?usp=drivesdk" TargetMode="External"/><Relationship Id="rId2612" Type="http://schemas.openxmlformats.org/officeDocument/2006/relationships/hyperlink" Target="https://drive.google.com/file/d/16IM1TCo-RpeTMo2h0xGj8HEklUBvQyVO/view?usp=drivesdk" TargetMode="External"/><Relationship Id="rId2613" Type="http://schemas.openxmlformats.org/officeDocument/2006/relationships/hyperlink" Target="https://drive.google.com/file/d/1RGF4nHfyd4Xw2vvzyfXfINcrZH6ZBDNt/view?usp=drivesdk" TargetMode="External"/><Relationship Id="rId2614" Type="http://schemas.openxmlformats.org/officeDocument/2006/relationships/hyperlink" Target="https://drive.google.com/file/d/13sVesCYGhtMJC02MFdowUs5znyM1Rpjm/view?usp=drivesdk" TargetMode="External"/><Relationship Id="rId2615" Type="http://schemas.openxmlformats.org/officeDocument/2006/relationships/hyperlink" Target="https://drive.google.com/file/d/136J03Q_tpmziraTV-EDTDJeDVz5VTXQO/view?usp=drivesdk" TargetMode="External"/><Relationship Id="rId2616" Type="http://schemas.openxmlformats.org/officeDocument/2006/relationships/hyperlink" Target="https://drive.google.com/file/d/1kVMhKSS5Wgzpq87XRYWG7AQGAB8MDFtr/view?usp=drivesdk" TargetMode="External"/><Relationship Id="rId2617" Type="http://schemas.openxmlformats.org/officeDocument/2006/relationships/hyperlink" Target="https://drive.google.com/file/d/1Je8H1JlAsEozkTzxRNGwP-qfN9yYkb-V/view?usp=drivesdk" TargetMode="External"/><Relationship Id="rId2618" Type="http://schemas.openxmlformats.org/officeDocument/2006/relationships/hyperlink" Target="https://drive.google.com/file/d/151uG_JsRHEeT8ijTsmwLHuA1kOWhIBXJ/view?usp=drivesdk" TargetMode="External"/><Relationship Id="rId2619" Type="http://schemas.openxmlformats.org/officeDocument/2006/relationships/hyperlink" Target="https://drive.google.com/file/d/1T0finp-fLieAKLfLKKpQcVjKvVkUOmid/view?usp=drivesdk" TargetMode="External"/><Relationship Id="rId1312" Type="http://schemas.openxmlformats.org/officeDocument/2006/relationships/hyperlink" Target="https://drive.google.com/file/d/1ZBRIboiJcvNJkaHQes2SUyzxdc-3M7a3/view?usp=drivesdk" TargetMode="External"/><Relationship Id="rId2643" Type="http://schemas.openxmlformats.org/officeDocument/2006/relationships/hyperlink" Target="https://drive.google.com/file/d/1QWFGg5y_FwCsYU4iJVkw7s0HZoH7av3y/view?usp=drivesdk" TargetMode="External"/><Relationship Id="rId1313" Type="http://schemas.openxmlformats.org/officeDocument/2006/relationships/hyperlink" Target="https://drive.google.com/file/d/1-mfV1-1-7LtD_ymHa4L9A8meO_iq-9CV/view?usp=drivesdk" TargetMode="External"/><Relationship Id="rId2644" Type="http://schemas.openxmlformats.org/officeDocument/2006/relationships/hyperlink" Target="https://drive.google.com/file/d/1a_-X1vjB6N4-IwfcVsM4fHxFavXCK8pH/view?usp=drivesdk" TargetMode="External"/><Relationship Id="rId1314" Type="http://schemas.openxmlformats.org/officeDocument/2006/relationships/hyperlink" Target="https://drive.google.com/file/d/1qD19JwWxOgtJrbj888hdQtvkc50WxKik/view?usp=drivesdk" TargetMode="External"/><Relationship Id="rId2645" Type="http://schemas.openxmlformats.org/officeDocument/2006/relationships/hyperlink" Target="https://drive.google.com/file/d/1-BRDJtnfY2i7YBG-IeupwHTxHic0hQnP/view?usp=drivesdk" TargetMode="External"/><Relationship Id="rId1315" Type="http://schemas.openxmlformats.org/officeDocument/2006/relationships/hyperlink" Target="https://drive.google.com/file/d/1VstYRkLs_vHWMyJ0_FYFPw0TXdeyt03z/view?usp=drivesdk" TargetMode="External"/><Relationship Id="rId2646" Type="http://schemas.openxmlformats.org/officeDocument/2006/relationships/hyperlink" Target="https://drive.google.com/file/d/1Ql7nMbQXZeIyS5tduYv7gRTiVRXJB9Dk/view?usp=drivesdk" TargetMode="External"/><Relationship Id="rId1316" Type="http://schemas.openxmlformats.org/officeDocument/2006/relationships/hyperlink" Target="https://drive.google.com/file/d/1wEmOt7x5Pv9MsatTAfDanNliY0qJ3UXp/view?usp=drivesdk" TargetMode="External"/><Relationship Id="rId2647" Type="http://schemas.openxmlformats.org/officeDocument/2006/relationships/hyperlink" Target="https://drive.google.com/file/d/1KanaZYJkrnwi0ABQ2gUtWRMUjQnhMt0r/view?usp=drivesdk" TargetMode="External"/><Relationship Id="rId1317" Type="http://schemas.openxmlformats.org/officeDocument/2006/relationships/hyperlink" Target="https://drive.google.com/file/d/1lfCch3QzOUDKCMr20GGdq4Az5l52IHw_/view?usp=drivesdk" TargetMode="External"/><Relationship Id="rId2648" Type="http://schemas.openxmlformats.org/officeDocument/2006/relationships/hyperlink" Target="https://drive.google.com/file/d/18ZlWgEtYOKx4ampRaantI27kYPgBvB4J/view?usp=drivesdk" TargetMode="External"/><Relationship Id="rId1318" Type="http://schemas.openxmlformats.org/officeDocument/2006/relationships/hyperlink" Target="https://drive.google.com/file/d/1HWm_w6YekPul5ovas5Qo4pPAlIx_0O9Y/view?usp=drivesdk" TargetMode="External"/><Relationship Id="rId2649" Type="http://schemas.openxmlformats.org/officeDocument/2006/relationships/hyperlink" Target="https://drive.google.com/file/d/13EC3dwbwBg7gIijxdeeANvWmpAfQ8_ke/view?usp=drivesdk" TargetMode="External"/><Relationship Id="rId1319" Type="http://schemas.openxmlformats.org/officeDocument/2006/relationships/hyperlink" Target="https://drive.google.com/file/d/1qUbMPC11wkQ35T92TpesLnKKmlSMPwLj/view?usp=drivesdk" TargetMode="External"/><Relationship Id="rId729" Type="http://schemas.openxmlformats.org/officeDocument/2006/relationships/hyperlink" Target="https://drive.google.com/file/d/1svdZaj_7y9fS8pedH0ijhA_SznLz_9zc/view?usp=drivesdk" TargetMode="External"/><Relationship Id="rId728" Type="http://schemas.openxmlformats.org/officeDocument/2006/relationships/hyperlink" Target="https://drive.google.com/file/d/1pc4nc1BCgN81Y8IDVcxe7maUCWkOXmja/view?usp=drivesdk" TargetMode="External"/><Relationship Id="rId723" Type="http://schemas.openxmlformats.org/officeDocument/2006/relationships/hyperlink" Target="https://drive.google.com/file/d/1BF0dJSO5c8knpLNfVVuu_sfiQjFXxYT3/view?usp=drivesdk" TargetMode="External"/><Relationship Id="rId722" Type="http://schemas.openxmlformats.org/officeDocument/2006/relationships/hyperlink" Target="https://drive.google.com/file/d/1vH3DP8zfMG4shuiJCF_9y7Cw0ICOezrn/view?usp=drivesdk" TargetMode="External"/><Relationship Id="rId721" Type="http://schemas.openxmlformats.org/officeDocument/2006/relationships/hyperlink" Target="https://drive.google.com/file/d/1j_qr6psHEYuHUR2RWKIYTovcBcRUsxnq/view?usp=drivesdk" TargetMode="External"/><Relationship Id="rId720" Type="http://schemas.openxmlformats.org/officeDocument/2006/relationships/hyperlink" Target="https://drive.google.com/file/d/1_XYq2gzNMtOz4EDVMTniazopvckfGzjJ/view?usp=drivesdk" TargetMode="External"/><Relationship Id="rId727" Type="http://schemas.openxmlformats.org/officeDocument/2006/relationships/hyperlink" Target="https://drive.google.com/file/d/1tQOX31Z0STAmSL7mq-TBOSYXoTyXP6U2/view?usp=drivesdk" TargetMode="External"/><Relationship Id="rId726" Type="http://schemas.openxmlformats.org/officeDocument/2006/relationships/hyperlink" Target="https://drive.google.com/file/d/1H1yNOpX5qYdyxL3EO7YnKSYdsCP5nedi/view?usp=drivesdk" TargetMode="External"/><Relationship Id="rId725" Type="http://schemas.openxmlformats.org/officeDocument/2006/relationships/hyperlink" Target="https://drive.google.com/file/d/1YtT623psftHels9o6FSH2YcTpXR8wPzc/view?usp=drivesdk" TargetMode="External"/><Relationship Id="rId724" Type="http://schemas.openxmlformats.org/officeDocument/2006/relationships/hyperlink" Target="https://drive.google.com/file/d/1CjM559EbUiNEptGp6Glgoplx3X8RjSlS/view?usp=drivesdk" TargetMode="External"/><Relationship Id="rId2640" Type="http://schemas.openxmlformats.org/officeDocument/2006/relationships/hyperlink" Target="https://drive.google.com/file/d/1dU1UjhKXuYwEUy9G1SAQvFWoiujBUM-l/view?usp=drivesdk" TargetMode="External"/><Relationship Id="rId1310" Type="http://schemas.openxmlformats.org/officeDocument/2006/relationships/hyperlink" Target="https://drive.google.com/file/d/10U_h3GRWlK3nNIqq6UMnE9fs0R1sihM3/view?usp=drivesdk" TargetMode="External"/><Relationship Id="rId2641" Type="http://schemas.openxmlformats.org/officeDocument/2006/relationships/hyperlink" Target="https://drive.google.com/file/d/1dyQ7iPpa5tauqQ87v1ICVpmTb96xwrHK/view?usp=drivesdk" TargetMode="External"/><Relationship Id="rId1311" Type="http://schemas.openxmlformats.org/officeDocument/2006/relationships/hyperlink" Target="https://drive.google.com/file/d/1UxdcBZ-3RJc_ZWRiOUG2OgzApwZoezAz/view?usp=drivesdk" TargetMode="External"/><Relationship Id="rId2642" Type="http://schemas.openxmlformats.org/officeDocument/2006/relationships/hyperlink" Target="https://drive.google.com/file/d/1ITD043otUXSzSXwJBI77ZEGc7YfO0lXl/view?usp=drivesdk" TargetMode="External"/><Relationship Id="rId1301" Type="http://schemas.openxmlformats.org/officeDocument/2006/relationships/hyperlink" Target="https://drive.google.com/file/d/1pPUIG-tV6QPEOgVX-N5xoUwijszpxV-q/view?usp=drivesdk" TargetMode="External"/><Relationship Id="rId2632" Type="http://schemas.openxmlformats.org/officeDocument/2006/relationships/hyperlink" Target="https://drive.google.com/file/d/1Mvv6lSbYDT3w1CNkuj_yKZJZyGVo8_wu/view?usp=drivesdk" TargetMode="External"/><Relationship Id="rId1302" Type="http://schemas.openxmlformats.org/officeDocument/2006/relationships/hyperlink" Target="https://drive.google.com/file/d/1nGEFRfqInF5qm86vl7__3-8qIzREYfZk/view?usp=drivesdk" TargetMode="External"/><Relationship Id="rId2633" Type="http://schemas.openxmlformats.org/officeDocument/2006/relationships/hyperlink" Target="https://drive.google.com/file/d/12tiBV9g0PDIUv5jLNU3H9ESLvqe3_su6/view?usp=drivesdk" TargetMode="External"/><Relationship Id="rId1303" Type="http://schemas.openxmlformats.org/officeDocument/2006/relationships/hyperlink" Target="https://drive.google.com/file/d/1Amt9PFHVd7cb69huGnFbxyKWsIQSjV3D/view?usp=drivesdk" TargetMode="External"/><Relationship Id="rId2634" Type="http://schemas.openxmlformats.org/officeDocument/2006/relationships/hyperlink" Target="https://drive.google.com/file/d/1r7kvTijUR6GbKZNulHgJsuNUmZB01Vqr/view?usp=drivesdk" TargetMode="External"/><Relationship Id="rId1304" Type="http://schemas.openxmlformats.org/officeDocument/2006/relationships/hyperlink" Target="https://drive.google.com/file/d/18NuOr2zv-DPSWE76ik20X1RWQCrIu5_W/view?usp=drivesdk" TargetMode="External"/><Relationship Id="rId2635" Type="http://schemas.openxmlformats.org/officeDocument/2006/relationships/hyperlink" Target="https://drive.google.com/file/d/1PSXxW5sDbq6DJDPgRuB0cHCWPVCyAVyA/view?usp=drivesdk" TargetMode="External"/><Relationship Id="rId1305" Type="http://schemas.openxmlformats.org/officeDocument/2006/relationships/hyperlink" Target="https://drive.google.com/file/d/1WBDqA_BZehc7Sz5HnIH2Bt-pPoD-QiMO/view?usp=drivesdk" TargetMode="External"/><Relationship Id="rId2636" Type="http://schemas.openxmlformats.org/officeDocument/2006/relationships/hyperlink" Target="https://drive.google.com/file/d/1VohCyZYrYeQ8wnGKTyDD2fOk8y16yZw3/view?usp=drivesdk" TargetMode="External"/><Relationship Id="rId1306" Type="http://schemas.openxmlformats.org/officeDocument/2006/relationships/hyperlink" Target="https://drive.google.com/file/d/1BFIvapTqlHpbHQvqjZnWZ-7ae5fZLhkO/view?usp=drivesdk" TargetMode="External"/><Relationship Id="rId2637" Type="http://schemas.openxmlformats.org/officeDocument/2006/relationships/hyperlink" Target="https://drive.google.com/file/d/1JsZgwHseixf6_MIunQS7nOHW4DEUBedH/view?usp=drivesdk" TargetMode="External"/><Relationship Id="rId1307" Type="http://schemas.openxmlformats.org/officeDocument/2006/relationships/hyperlink" Target="https://drive.google.com/file/d/1MDQ6M58EZ8oNCvRr11RaJsivppSQNH47/view?usp=drivesdk" TargetMode="External"/><Relationship Id="rId2638" Type="http://schemas.openxmlformats.org/officeDocument/2006/relationships/hyperlink" Target="https://drive.google.com/file/d/1P2ZRc1H4au4w3w2QAJxu34pqjtWGLDpL/view?usp=drivesdk" TargetMode="External"/><Relationship Id="rId1308" Type="http://schemas.openxmlformats.org/officeDocument/2006/relationships/hyperlink" Target="https://drive.google.com/file/d/19w9ic82B3o6eQIl3FyT2OT-5QM9FXLnu/view?usp=drivesdk" TargetMode="External"/><Relationship Id="rId2639" Type="http://schemas.openxmlformats.org/officeDocument/2006/relationships/hyperlink" Target="https://drive.google.com/file/d/1XS5wfGWzlv2PPriV2BVgHK4SFmjGbX42/view?usp=drivesdk" TargetMode="External"/><Relationship Id="rId1309" Type="http://schemas.openxmlformats.org/officeDocument/2006/relationships/hyperlink" Target="https://drive.google.com/file/d/1KUQcqsK-r5AfbdzIkCakBZzGlFUtRtAB/view?usp=drivesdk" TargetMode="External"/><Relationship Id="rId719" Type="http://schemas.openxmlformats.org/officeDocument/2006/relationships/hyperlink" Target="https://drive.google.com/file/d/1Zg2miz5ZfGSxRDRdlvEB-3_GocuUdLig/view?usp=drivesdk" TargetMode="External"/><Relationship Id="rId718" Type="http://schemas.openxmlformats.org/officeDocument/2006/relationships/hyperlink" Target="https://drive.google.com/file/d/1G50bi0M3DPOF0ssclFtSLrS2Iko73KC5/view?usp=drivesdk" TargetMode="External"/><Relationship Id="rId717" Type="http://schemas.openxmlformats.org/officeDocument/2006/relationships/hyperlink" Target="https://drive.google.com/file/d/1bp_2nclYAxMrWWnYQbE2xcFn9tbXNZYk/view?usp=drivesdk" TargetMode="External"/><Relationship Id="rId712" Type="http://schemas.openxmlformats.org/officeDocument/2006/relationships/hyperlink" Target="https://drive.google.com/file/d/1nB-Z2mpxjqhJEcov3ZXKmYq-qUKUV3HO/view?usp=drivesdk" TargetMode="External"/><Relationship Id="rId711" Type="http://schemas.openxmlformats.org/officeDocument/2006/relationships/hyperlink" Target="https://drive.google.com/file/d/1lTLmVi8ZhvcuffGz2MuWL8Db2NqCAEPn/view?usp=drivesdk" TargetMode="External"/><Relationship Id="rId710" Type="http://schemas.openxmlformats.org/officeDocument/2006/relationships/hyperlink" Target="https://drive.google.com/file/d/1qpBiKLV2mnRoKRlWX9cFNYnviuEXxigI/view?usp=drivesdk" TargetMode="External"/><Relationship Id="rId716" Type="http://schemas.openxmlformats.org/officeDocument/2006/relationships/hyperlink" Target="https://drive.google.com/file/d/1S96rD1HxVDruOI5KJ_oKUBtEE9eHwU22/view?usp=drivesdk" TargetMode="External"/><Relationship Id="rId715" Type="http://schemas.openxmlformats.org/officeDocument/2006/relationships/hyperlink" Target="https://drive.google.com/file/d/1jYOkQfP3TGYDwEwf1sTOwhRaEOQGrkMp/view?usp=drivesdk" TargetMode="External"/><Relationship Id="rId714" Type="http://schemas.openxmlformats.org/officeDocument/2006/relationships/hyperlink" Target="https://drive.google.com/file/d/1i5P9CYU3PwRpo0jr51XfLdPcCDi36gaV/view?usp=drivesdk" TargetMode="External"/><Relationship Id="rId713" Type="http://schemas.openxmlformats.org/officeDocument/2006/relationships/hyperlink" Target="https://drive.google.com/file/d/1vok2QQdbGU6HD1pVNR7T1Kro746lt03X/view?usp=drivesdk" TargetMode="External"/><Relationship Id="rId2630" Type="http://schemas.openxmlformats.org/officeDocument/2006/relationships/hyperlink" Target="https://drive.google.com/file/d/1a7fL1ZC2nNN1XTUlfjR6WqqGjTag798y/view?usp=drivesdk" TargetMode="External"/><Relationship Id="rId1300" Type="http://schemas.openxmlformats.org/officeDocument/2006/relationships/hyperlink" Target="https://drive.google.com/file/d/1zjgdQzaE1FGs582TKYCM8QK1jHSasa0D/view?usp=drivesdk" TargetMode="External"/><Relationship Id="rId2631" Type="http://schemas.openxmlformats.org/officeDocument/2006/relationships/hyperlink" Target="https://drive.google.com/file/d/1W1dK0xmhy-qDUDWQ2DKJ9Gvb-j4yqqlf/view?usp=drivesdk" TargetMode="External"/><Relationship Id="rId1378" Type="http://schemas.openxmlformats.org/officeDocument/2006/relationships/hyperlink" Target="https://drive.google.com/file/d/1OR84YuEVQQKBxF8zP9UhRWoOxsPHzhts/view?usp=drivesdk" TargetMode="External"/><Relationship Id="rId1379" Type="http://schemas.openxmlformats.org/officeDocument/2006/relationships/hyperlink" Target="https://drive.google.com/file/d/1hrjq49iHuQoSRGioesy0jSqroL6cW18U/view?usp=drivesdk" TargetMode="External"/><Relationship Id="rId789" Type="http://schemas.openxmlformats.org/officeDocument/2006/relationships/hyperlink" Target="https://drive.google.com/file/d/1cQQSFE193cNSHxz7lNvmOP6Ik5q6z_D6/view?usp=drivesdk" TargetMode="External"/><Relationship Id="rId788" Type="http://schemas.openxmlformats.org/officeDocument/2006/relationships/hyperlink" Target="https://drive.google.com/file/d/1XjGCxNCS_Qrfviw5gVJTm9-fhlfhnMNp/view?usp=drivesdk" TargetMode="External"/><Relationship Id="rId787" Type="http://schemas.openxmlformats.org/officeDocument/2006/relationships/hyperlink" Target="https://drive.google.com/file/d/1crXppj_Se6wfgmCYxKpUqaTE6iVzytcy/view?usp=drivesdk" TargetMode="External"/><Relationship Id="rId786" Type="http://schemas.openxmlformats.org/officeDocument/2006/relationships/hyperlink" Target="https://drive.google.com/file/d/17KOW6DnkEyn_l_a8fa5ND--4kSpBVYsG/view?usp=drivesdk" TargetMode="External"/><Relationship Id="rId781" Type="http://schemas.openxmlformats.org/officeDocument/2006/relationships/hyperlink" Target="https://drive.google.com/file/d/10Lx18Hb5C_MI7gzdQ3xa-7WyCAueO4Vw/view?usp=drivesdk" TargetMode="External"/><Relationship Id="rId1370" Type="http://schemas.openxmlformats.org/officeDocument/2006/relationships/hyperlink" Target="https://drive.google.com/file/d/1pFOJCDoWrTB-5q797AzVWEzqi74zu3D3/view?usp=drivesdk" TargetMode="External"/><Relationship Id="rId780" Type="http://schemas.openxmlformats.org/officeDocument/2006/relationships/hyperlink" Target="https://drive.google.com/file/d/1S2RFw6xaGsXFBbQ_5G_loaBiDBP_KRy9/view?usp=drivesdk" TargetMode="External"/><Relationship Id="rId1371" Type="http://schemas.openxmlformats.org/officeDocument/2006/relationships/hyperlink" Target="https://drive.google.com/file/d/1D5xW9DsPph5s0bUKFKsmaGST3y2HupAr/view?usp=drivesdk" TargetMode="External"/><Relationship Id="rId1372" Type="http://schemas.openxmlformats.org/officeDocument/2006/relationships/hyperlink" Target="https://drive.google.com/file/d/16V6fX6zed8MKZ53zcmG18UMG8cS5fmS4/view?usp=drivesdk" TargetMode="External"/><Relationship Id="rId1373" Type="http://schemas.openxmlformats.org/officeDocument/2006/relationships/hyperlink" Target="https://drive.google.com/file/d/1-bzS3A3Wvshqbm27njuWbUnWVqIcT4vo/view?usp=drivesdk" TargetMode="External"/><Relationship Id="rId785" Type="http://schemas.openxmlformats.org/officeDocument/2006/relationships/hyperlink" Target="https://drive.google.com/file/d/16jeWCrE7AO_UDEe7e7alW4QHOsuvFwnV/view?usp=drivesdk" TargetMode="External"/><Relationship Id="rId1374" Type="http://schemas.openxmlformats.org/officeDocument/2006/relationships/hyperlink" Target="https://drive.google.com/file/d/1JzqYi6MxeM0TgQlkA79oih2m5mtsG3-G/view?usp=drivesdk" TargetMode="External"/><Relationship Id="rId784" Type="http://schemas.openxmlformats.org/officeDocument/2006/relationships/hyperlink" Target="https://drive.google.com/file/d/1JJZqD0s4reGHNz-ea1R4J-gV8vE42oJu/view?usp=drivesdk" TargetMode="External"/><Relationship Id="rId1375" Type="http://schemas.openxmlformats.org/officeDocument/2006/relationships/hyperlink" Target="https://drive.google.com/file/d/1AM6rF8DA6dQf729yJdMNKRcFrXOf_ZKe/view?usp=drivesdk" TargetMode="External"/><Relationship Id="rId783" Type="http://schemas.openxmlformats.org/officeDocument/2006/relationships/hyperlink" Target="https://drive.google.com/file/d/1Xd95UC9a8EypRwXNiA8-mQL16juPYOUX/view?usp=drivesdk" TargetMode="External"/><Relationship Id="rId1376" Type="http://schemas.openxmlformats.org/officeDocument/2006/relationships/hyperlink" Target="https://drive.google.com/file/d/1niJ4qqlQ3w06lrmI_sfZvqDMPlcLvX7Z/view?usp=drivesdk" TargetMode="External"/><Relationship Id="rId782" Type="http://schemas.openxmlformats.org/officeDocument/2006/relationships/hyperlink" Target="https://drive.google.com/file/d/1aCDmZZ8H9clPp2gVRNCCngQDTDo1R9s5/view?usp=drivesdk" TargetMode="External"/><Relationship Id="rId1377" Type="http://schemas.openxmlformats.org/officeDocument/2006/relationships/hyperlink" Target="https://drive.google.com/file/d/1PchnSZs-XbYmB-ZYLgQBFosMAZs-ybjf/view?usp=drivesdk" TargetMode="External"/><Relationship Id="rId1367" Type="http://schemas.openxmlformats.org/officeDocument/2006/relationships/hyperlink" Target="https://drive.google.com/file/d/148eU9rgHx5hpUFzLyqGIu0aBpg_7SlmF/view?usp=drivesdk" TargetMode="External"/><Relationship Id="rId2698" Type="http://schemas.openxmlformats.org/officeDocument/2006/relationships/hyperlink" Target="https://drive.google.com/file/d/15LBKsey4dgrPQTiibNv2Qi9TOTbc3lk1/view?usp=drivesdk" TargetMode="External"/><Relationship Id="rId1368" Type="http://schemas.openxmlformats.org/officeDocument/2006/relationships/hyperlink" Target="https://drive.google.com/file/d/1xJCzKuNB61D_lYyvo5qgmiVu8_S4jB2t/view?usp=drivesdk" TargetMode="External"/><Relationship Id="rId2699" Type="http://schemas.openxmlformats.org/officeDocument/2006/relationships/hyperlink" Target="https://drive.google.com/file/d/1qh6jn8CXzXmvxEifk6kq4pZRCYHNO1mu/view?usp=drivesdk" TargetMode="External"/><Relationship Id="rId1369" Type="http://schemas.openxmlformats.org/officeDocument/2006/relationships/hyperlink" Target="https://drive.google.com/file/d/1Zjhue6jnv9AcXUeh5Bc9kyN2vkQgKrJc/view?usp=drivesdk" TargetMode="External"/><Relationship Id="rId778" Type="http://schemas.openxmlformats.org/officeDocument/2006/relationships/hyperlink" Target="https://drive.google.com/file/d/1i22pNvJdOKil2YjUFRJsbzihIjBDwr0D/view?usp=drivesdk" TargetMode="External"/><Relationship Id="rId777" Type="http://schemas.openxmlformats.org/officeDocument/2006/relationships/hyperlink" Target="https://drive.google.com/file/d/11HHY1DhMIw5Jt3ifNiw2FSzGZAlHaTWc/view?usp=drivesdk" TargetMode="External"/><Relationship Id="rId776" Type="http://schemas.openxmlformats.org/officeDocument/2006/relationships/hyperlink" Target="https://drive.google.com/file/d/1ELJ2rVWHlx9zJRsE_POcYvkhc00dGKdv/view?usp=drivesdk" TargetMode="External"/><Relationship Id="rId775" Type="http://schemas.openxmlformats.org/officeDocument/2006/relationships/hyperlink" Target="https://drive.google.com/file/d/1MNI9F_b-INeCuIQLWmRv_4mFyoF1dA8l/view?usp=drivesdk" TargetMode="External"/><Relationship Id="rId779" Type="http://schemas.openxmlformats.org/officeDocument/2006/relationships/hyperlink" Target="https://drive.google.com/file/d/16jE_US35YKNPq7V9h_dnE4HPYPThP32o/view?usp=drivesdk" TargetMode="External"/><Relationship Id="rId770" Type="http://schemas.openxmlformats.org/officeDocument/2006/relationships/hyperlink" Target="https://drive.google.com/file/d/1IvnhnRqpaQxDIW6jkeFJ2j-TXawb-FQX/view?usp=drivesdk" TargetMode="External"/><Relationship Id="rId2690" Type="http://schemas.openxmlformats.org/officeDocument/2006/relationships/hyperlink" Target="https://drive.google.com/file/d/1oYbk_RfphQEQTiM6p882mmwIrb7aGJDY/view?usp=drivesdk" TargetMode="External"/><Relationship Id="rId1360" Type="http://schemas.openxmlformats.org/officeDocument/2006/relationships/hyperlink" Target="https://drive.google.com/file/d/1M4kBsm7y5eUYTZpUDZukkrP6yNa3FWcp/view?usp=drivesdk" TargetMode="External"/><Relationship Id="rId2691" Type="http://schemas.openxmlformats.org/officeDocument/2006/relationships/hyperlink" Target="https://drive.google.com/file/d/1GB5oPjHVuDXBTZ2__Had-zRIf9ZK4G7S/view?usp=drivesdk" TargetMode="External"/><Relationship Id="rId1361" Type="http://schemas.openxmlformats.org/officeDocument/2006/relationships/hyperlink" Target="https://drive.google.com/file/d/10t17ZEAtd-zDNdQX5y51ZVTWQVio_2jm/view?usp=drivesdk" TargetMode="External"/><Relationship Id="rId2692" Type="http://schemas.openxmlformats.org/officeDocument/2006/relationships/hyperlink" Target="https://drive.google.com/file/d/1W2aCwE3Z8jN-Xdqb3awaTWO-3SquFMRh/view?usp=drivesdk" TargetMode="External"/><Relationship Id="rId1362" Type="http://schemas.openxmlformats.org/officeDocument/2006/relationships/hyperlink" Target="https://drive.google.com/file/d/1e1y2Zdu1rYp8QdgqQjIYZ3tiUSS2QgHC/view?usp=drivesdk" TargetMode="External"/><Relationship Id="rId2693" Type="http://schemas.openxmlformats.org/officeDocument/2006/relationships/hyperlink" Target="https://drive.google.com/file/d/1v5J8Cnv26X6sTt4VLBH9e2mvCWSnQGm4/view?usp=drivesdk" TargetMode="External"/><Relationship Id="rId774" Type="http://schemas.openxmlformats.org/officeDocument/2006/relationships/hyperlink" Target="https://drive.google.com/file/d/14g9vEqBZ-E5DAr0zFvoj5a0l_QKf7HEo/view?usp=drivesdk" TargetMode="External"/><Relationship Id="rId1363" Type="http://schemas.openxmlformats.org/officeDocument/2006/relationships/hyperlink" Target="https://drive.google.com/file/d/1dl6-fcdsrwDM2d8QvGFrwa2hm4krVEGw/view?usp=drivesdk" TargetMode="External"/><Relationship Id="rId2694" Type="http://schemas.openxmlformats.org/officeDocument/2006/relationships/hyperlink" Target="https://drive.google.com/file/d/1a3fJ6JRdrPHSo50DdCUrYLisEZcHfG31/view?usp=drivesdk" TargetMode="External"/><Relationship Id="rId773" Type="http://schemas.openxmlformats.org/officeDocument/2006/relationships/hyperlink" Target="https://drive.google.com/file/d/1PTd-ayx-9XGJUc0TnmfMMQzyVDrmLsrS/view?usp=drivesdk" TargetMode="External"/><Relationship Id="rId1364" Type="http://schemas.openxmlformats.org/officeDocument/2006/relationships/hyperlink" Target="https://drive.google.com/file/d/1oDi7iTkefS7MUDs-XYNELGeEjEdDTZ2D/view?usp=drivesdk" TargetMode="External"/><Relationship Id="rId2695" Type="http://schemas.openxmlformats.org/officeDocument/2006/relationships/hyperlink" Target="https://drive.google.com/file/d/1YxSLKvJhCAZvjLwh2Dxi3CO9YKNSkWkP/view?usp=drivesdk" TargetMode="External"/><Relationship Id="rId772" Type="http://schemas.openxmlformats.org/officeDocument/2006/relationships/hyperlink" Target="https://drive.google.com/file/d/1-h4AeCKF0tncBY8p2kgJjJ4CQezmJNtx/view?usp=drivesdk" TargetMode="External"/><Relationship Id="rId1365" Type="http://schemas.openxmlformats.org/officeDocument/2006/relationships/hyperlink" Target="https://drive.google.com/file/d/1zzJqjPseaj8tYnvrCjrC4mDOV4pF9weU/view?usp=drivesdk" TargetMode="External"/><Relationship Id="rId2696" Type="http://schemas.openxmlformats.org/officeDocument/2006/relationships/hyperlink" Target="https://drive.google.com/file/d/13GWPRI4Xmytw-ass-yZ5q0c9b-PXmtD4/view?usp=drivesdk" TargetMode="External"/><Relationship Id="rId771" Type="http://schemas.openxmlformats.org/officeDocument/2006/relationships/hyperlink" Target="https://drive.google.com/file/d/1oUiWiRTeF5NO9j1I0dU-MesXSg3OdZcD/view?usp=drivesdk" TargetMode="External"/><Relationship Id="rId1366" Type="http://schemas.openxmlformats.org/officeDocument/2006/relationships/hyperlink" Target="https://drive.google.com/file/d/18gCsN5cIPX_p4rJjf07ttFNg3GFzg3si/view?usp=drivesdk" TargetMode="External"/><Relationship Id="rId2697" Type="http://schemas.openxmlformats.org/officeDocument/2006/relationships/hyperlink" Target="https://drive.google.com/file/d/1e8g4jGrxeuAKV2niPFAdDVB88LKnVgdm/view?usp=drivesdk" TargetMode="External"/><Relationship Id="rId1390" Type="http://schemas.openxmlformats.org/officeDocument/2006/relationships/hyperlink" Target="https://drive.google.com/file/d/1Lphf3yMdKIgV1G03njMPNoyG5IJB3ZQh/view?usp=drivesdk" TargetMode="External"/><Relationship Id="rId1391" Type="http://schemas.openxmlformats.org/officeDocument/2006/relationships/hyperlink" Target="https://drive.google.com/file/d/1kTdMAIDouy5eX5cjgmnRrB_DLoFqX8oi/view?usp=drivesdk" TargetMode="External"/><Relationship Id="rId1392" Type="http://schemas.openxmlformats.org/officeDocument/2006/relationships/hyperlink" Target="https://drive.google.com/file/d/1u6ITjVATW7S3W5qai6dW9q7YsocMoslx/view?usp=drivesdk" TargetMode="External"/><Relationship Id="rId1393" Type="http://schemas.openxmlformats.org/officeDocument/2006/relationships/hyperlink" Target="https://drive.google.com/file/d/1W31uQMsYv39t68R2qlHA_FBX2eKbxkOT/view?usp=drivesdk" TargetMode="External"/><Relationship Id="rId1394" Type="http://schemas.openxmlformats.org/officeDocument/2006/relationships/hyperlink" Target="https://drive.google.com/file/d/1eOml-H55hYUmJk_WTJLwIVaqRIQkFf_6/view?usp=drivesdk" TargetMode="External"/><Relationship Id="rId1395" Type="http://schemas.openxmlformats.org/officeDocument/2006/relationships/hyperlink" Target="https://drive.google.com/file/d/15eRaF6X8vIsGsZANrGMmTDs12Kx317Dc/view?usp=drivesdk" TargetMode="External"/><Relationship Id="rId1396" Type="http://schemas.openxmlformats.org/officeDocument/2006/relationships/hyperlink" Target="https://drive.google.com/file/d/103Ebj97IuzP1L3cFe7YF23EbpkhBwg6u/view?usp=drivesdk" TargetMode="External"/><Relationship Id="rId1397" Type="http://schemas.openxmlformats.org/officeDocument/2006/relationships/hyperlink" Target="https://drive.google.com/file/d/19fS2Dkdga2C_6zZIZ_MIxbIljMEp9Wpb/view?usp=drivesdk" TargetMode="External"/><Relationship Id="rId1398" Type="http://schemas.openxmlformats.org/officeDocument/2006/relationships/hyperlink" Target="https://drive.google.com/file/d/1hxKVhFtGlkiCZFx-llt9toTLKUbVbC68/view?usp=drivesdk" TargetMode="External"/><Relationship Id="rId1399" Type="http://schemas.openxmlformats.org/officeDocument/2006/relationships/hyperlink" Target="http://osf.io/y2emk" TargetMode="External"/><Relationship Id="rId1389" Type="http://schemas.openxmlformats.org/officeDocument/2006/relationships/hyperlink" Target="https://drive.google.com/file/d/13k-6W5oZ6U3WQkZoEKezu_MnW0QMPGsr/view?usp=drivesdk" TargetMode="External"/><Relationship Id="rId799" Type="http://schemas.openxmlformats.org/officeDocument/2006/relationships/hyperlink" Target="https://drive.google.com/file/d/13M2wvNnqLsmGIaIfTlBUWKDzXDBZoOym/view?usp=drivesdk" TargetMode="External"/><Relationship Id="rId798" Type="http://schemas.openxmlformats.org/officeDocument/2006/relationships/hyperlink" Target="https://drive.google.com/file/d/1_T2Mj56V6qmxm9CR0TYRyRQDmxxgQQ6o/view?usp=drivesdk" TargetMode="External"/><Relationship Id="rId797" Type="http://schemas.openxmlformats.org/officeDocument/2006/relationships/hyperlink" Target="https://drive.google.com/file/d/1w0IU_kNe8U18EzEhF64mMZHAkk4IC1X5/view?usp=drivesdk" TargetMode="External"/><Relationship Id="rId1380" Type="http://schemas.openxmlformats.org/officeDocument/2006/relationships/hyperlink" Target="https://drive.google.com/file/d/1y3sRTJwFZvZWkaak_jBiIRn-heMkKgGW/view?usp=drivesdk" TargetMode="External"/><Relationship Id="rId792" Type="http://schemas.openxmlformats.org/officeDocument/2006/relationships/hyperlink" Target="https://drive.google.com/file/d/1dGYOB34NEJuNyBs1vIB2Uku-65g4BkQt/view?usp=drivesdk" TargetMode="External"/><Relationship Id="rId1381" Type="http://schemas.openxmlformats.org/officeDocument/2006/relationships/hyperlink" Target="https://drive.google.com/file/d/1zi55xKNg0XlQ-gw-ZWTYe-f5qZhyuGbp/view?usp=drivesdk" TargetMode="External"/><Relationship Id="rId791" Type="http://schemas.openxmlformats.org/officeDocument/2006/relationships/hyperlink" Target="https://drive.google.com/file/d/1ruVWfjrff_H_DfXOgpfSBRkjv8wk0WMg/view?usp=drivesdk" TargetMode="External"/><Relationship Id="rId1382" Type="http://schemas.openxmlformats.org/officeDocument/2006/relationships/hyperlink" Target="https://drive.google.com/file/d/1wPwOH5E4CwdZoDiN5YiWFKr2SNldtQuX/view?usp=drivesdk" TargetMode="External"/><Relationship Id="rId790" Type="http://schemas.openxmlformats.org/officeDocument/2006/relationships/hyperlink" Target="https://drive.google.com/file/d/1qGttIW2KGjC3SBLZXz-N2CqkyCqCDBVw/view?usp=drivesdk" TargetMode="External"/><Relationship Id="rId1383" Type="http://schemas.openxmlformats.org/officeDocument/2006/relationships/hyperlink" Target="https://drive.google.com/file/d/173wjPB-w4227Qt_2AeTSJnpxH3XOJnPD/view?usp=drivesdk" TargetMode="External"/><Relationship Id="rId1384" Type="http://schemas.openxmlformats.org/officeDocument/2006/relationships/hyperlink" Target="https://drive.google.com/file/d/1iv9JTpntlFhMXwLYV4LTNwMx0MZlg-K-/view?usp=drivesdk" TargetMode="External"/><Relationship Id="rId796" Type="http://schemas.openxmlformats.org/officeDocument/2006/relationships/hyperlink" Target="https://drive.google.com/file/d/1UEXi-T2t0RdRKECqQyaRCiaq-UXwCJiC/view?usp=drivesdk" TargetMode="External"/><Relationship Id="rId1385" Type="http://schemas.openxmlformats.org/officeDocument/2006/relationships/hyperlink" Target="https://drive.google.com/file/d/19o32dUXbxyEodcifYHl2eff55yANpVbY/view?usp=drivesdk" TargetMode="External"/><Relationship Id="rId795" Type="http://schemas.openxmlformats.org/officeDocument/2006/relationships/hyperlink" Target="https://drive.google.com/file/d/1qnQiM7kFMXwYbP2TJAp3_kCcCqvEjKr-/view?usp=drivesdk" TargetMode="External"/><Relationship Id="rId1386" Type="http://schemas.openxmlformats.org/officeDocument/2006/relationships/hyperlink" Target="https://drive.google.com/file/d/1xI2-EVnvclddhMWBb87TC_aCajttiAtt/view?usp=drivesdk" TargetMode="External"/><Relationship Id="rId794" Type="http://schemas.openxmlformats.org/officeDocument/2006/relationships/hyperlink" Target="https://drive.google.com/file/d/1mOzkLmNERiEw01oa1MU1cWAnNNyStAiJ/view?usp=drivesdk" TargetMode="External"/><Relationship Id="rId1387" Type="http://schemas.openxmlformats.org/officeDocument/2006/relationships/hyperlink" Target="https://drive.google.com/file/d/12GrUmwafEd6wwtYBQ9gYZoQAsg3wZO61/view?usp=drivesdk" TargetMode="External"/><Relationship Id="rId793" Type="http://schemas.openxmlformats.org/officeDocument/2006/relationships/hyperlink" Target="https://drive.google.com/file/d/1vadNfsWrki4ArFW08K47TxkquoK64dJU/view?usp=drivesdk" TargetMode="External"/><Relationship Id="rId1388" Type="http://schemas.openxmlformats.org/officeDocument/2006/relationships/hyperlink" Target="https://drive.google.com/file/d/1LpMZFwLmgIKPjzXBB9rbhzfaZHzARaIZ/view?usp=drivesdk" TargetMode="External"/><Relationship Id="rId2700" Type="http://schemas.openxmlformats.org/officeDocument/2006/relationships/hyperlink" Target="https://drive.google.com/file/d/18dLuHsJaHfEuFpmJ9coLBrlcbxYHVgpG/view?usp=drivesdk" TargetMode="External"/><Relationship Id="rId2701" Type="http://schemas.openxmlformats.org/officeDocument/2006/relationships/hyperlink" Target="https://drive.google.com/file/d/1nanNymgjGLBTTIftwQHD0CPkPgFLXjko/view?usp=drivesdk" TargetMode="External"/><Relationship Id="rId2702" Type="http://schemas.openxmlformats.org/officeDocument/2006/relationships/hyperlink" Target="https://drive.google.com/file/d/1b6PUvKuNu674etG4K94ZBLDQXEuYuOgp/view?usp=drivesdk" TargetMode="External"/><Relationship Id="rId2703" Type="http://schemas.openxmlformats.org/officeDocument/2006/relationships/hyperlink" Target="https://drive.google.com/file/d/1M2bQUYW3MLXQBgi-vbBlJhTa0bUosI7r/view?usp=drivesdk" TargetMode="External"/><Relationship Id="rId2704" Type="http://schemas.openxmlformats.org/officeDocument/2006/relationships/hyperlink" Target="https://drive.google.com/file/d/1Q4Hoav-REKO6sqw8lr1uJnRm7Q_FXUIN/view?usp=drivesdk" TargetMode="External"/><Relationship Id="rId2705" Type="http://schemas.openxmlformats.org/officeDocument/2006/relationships/hyperlink" Target="https://drive.google.com/file/d/10j2TatiM7HXzQ8gGJAAToPEOpY8k8IgA/view?usp=drivesdk" TargetMode="External"/><Relationship Id="rId2706" Type="http://schemas.openxmlformats.org/officeDocument/2006/relationships/hyperlink" Target="https://drive.google.com/file/d/114EidPR7T0rdM2v9diqArcO-SjszUvCV/view?usp=drivesdk" TargetMode="External"/><Relationship Id="rId2707" Type="http://schemas.openxmlformats.org/officeDocument/2006/relationships/hyperlink" Target="https://drive.google.com/file/d/1QvCfNwfC2L6h4poQe8Nd8CTgttfsWFTm/view?usp=drivesdk" TargetMode="External"/><Relationship Id="rId2708" Type="http://schemas.openxmlformats.org/officeDocument/2006/relationships/hyperlink" Target="https://drive.google.com/file/d/1qeprGIAy7AN_pByPqzOUMvJ-k5SpkEYf/view?usp=drivesdk" TargetMode="External"/><Relationship Id="rId2709" Type="http://schemas.openxmlformats.org/officeDocument/2006/relationships/hyperlink" Target="https://drive.google.com/file/d/1EwNygj4VffnCLPK-P7EFlmo0-tV2NKRN/view?usp=drivesdk" TargetMode="External"/><Relationship Id="rId2720" Type="http://schemas.openxmlformats.org/officeDocument/2006/relationships/hyperlink" Target="https://drive.google.com/file/d/1xWbz_w1r9P1BGfJ_vctcFlsqK4cuVLq_/view?usp=drivesdk" TargetMode="External"/><Relationship Id="rId2721" Type="http://schemas.openxmlformats.org/officeDocument/2006/relationships/hyperlink" Target="https://drive.google.com/file/d/1Np9c8r6_VQUD2BcEZk8o5Cy0BoXVy2Li/view?usp=drivesdk" TargetMode="External"/><Relationship Id="rId2722" Type="http://schemas.openxmlformats.org/officeDocument/2006/relationships/hyperlink" Target="https://drive.google.com/file/d/1Pb_juPmIU_Q7VY9NrSeQKbDclKBuO2i4/view?usp=drivesdk" TargetMode="External"/><Relationship Id="rId2723" Type="http://schemas.openxmlformats.org/officeDocument/2006/relationships/hyperlink" Target="https://drive.google.com/file/d/1QqlfpnVgorDgEGsd9xjg9VdSz9ecCVY2/view?usp=drivesdk" TargetMode="External"/><Relationship Id="rId2724" Type="http://schemas.openxmlformats.org/officeDocument/2006/relationships/hyperlink" Target="https://drive.google.com/file/d/10yaA-7vTch8W8oJSHYpgVkbEg8z8BPSk/view?usp=drivesdk" TargetMode="External"/><Relationship Id="rId2725" Type="http://schemas.openxmlformats.org/officeDocument/2006/relationships/hyperlink" Target="https://drive.google.com/file/d/1fMzA4P_bUgXzmkzRN_fCqo-PtYtnqv2j/view?usp=drivesdk" TargetMode="External"/><Relationship Id="rId2726" Type="http://schemas.openxmlformats.org/officeDocument/2006/relationships/hyperlink" Target="https://drive.google.com/file/d/1quS4MAYvEPtehwNPw-pIZVscM1NFoUOj/view?usp=drivesdk" TargetMode="External"/><Relationship Id="rId2727" Type="http://schemas.openxmlformats.org/officeDocument/2006/relationships/hyperlink" Target="https://drive.google.com/file/d/1-2z3-hJuh_EWL-Ayget2LVe3OiM0cWJb/view?usp=drivesdk" TargetMode="External"/><Relationship Id="rId2728" Type="http://schemas.openxmlformats.org/officeDocument/2006/relationships/hyperlink" Target="https://drive.google.com/file/d/1OhDDQNwvw1HPW_6EQklkNmTPpV2B15Ud/view?usp=drivesdk" TargetMode="External"/><Relationship Id="rId2729" Type="http://schemas.openxmlformats.org/officeDocument/2006/relationships/hyperlink" Target="https://drive.google.com/file/d/1WyB_fPDsqRLw_BnSdCM6uoyFG1SH2iMA/view?usp=drivesdk" TargetMode="External"/><Relationship Id="rId2710" Type="http://schemas.openxmlformats.org/officeDocument/2006/relationships/hyperlink" Target="https://drive.google.com/file/d/1fTRsNjUSigNQXhqc1pXcjQ_2Nx-X6BFV/view?usp=drivesdk" TargetMode="External"/><Relationship Id="rId2711" Type="http://schemas.openxmlformats.org/officeDocument/2006/relationships/hyperlink" Target="https://drive.google.com/file/d/1u2KiampcOcT7G124TEOiIzae-KDknBmd/view?usp=drivesdk" TargetMode="External"/><Relationship Id="rId2712" Type="http://schemas.openxmlformats.org/officeDocument/2006/relationships/hyperlink" Target="https://drive.google.com/file/d/1XZ_zxm3xyVj2TD9ZkpEejEYcPp9nIzht/view?usp=drivesdk" TargetMode="External"/><Relationship Id="rId2713" Type="http://schemas.openxmlformats.org/officeDocument/2006/relationships/hyperlink" Target="https://drive.google.com/file/d/1sjdW_JBf7Xvavc-j0ZYGAQkqF_EQI8iP/view?usp=drivesdk" TargetMode="External"/><Relationship Id="rId2714" Type="http://schemas.openxmlformats.org/officeDocument/2006/relationships/hyperlink" Target="https://drive.google.com/file/d/1DouZu51tYUlHCJt3ED5926-nk58IBtuY/view?usp=drivesdk" TargetMode="External"/><Relationship Id="rId2715" Type="http://schemas.openxmlformats.org/officeDocument/2006/relationships/hyperlink" Target="https://drive.google.com/file/d/1OxFDVNyZI1frRjeq-YzZQaUFqgYur5QQ/view?usp=drivesdk" TargetMode="External"/><Relationship Id="rId2716" Type="http://schemas.openxmlformats.org/officeDocument/2006/relationships/hyperlink" Target="https://drive.google.com/file/d/1xUlRe3MC-gZV8Zhd6NQNLSAYxUKd-bXT/view?usp=drivesdk" TargetMode="External"/><Relationship Id="rId2717" Type="http://schemas.openxmlformats.org/officeDocument/2006/relationships/hyperlink" Target="https://drive.google.com/file/d/1sQ8SgRlBMbqW6PR-9YQps9sVh-rL9tXw/view?usp=drivesdk" TargetMode="External"/><Relationship Id="rId2718" Type="http://schemas.openxmlformats.org/officeDocument/2006/relationships/hyperlink" Target="https://drive.google.com/file/d/1vagLpfu0yJBLs-8Gatz7OEVqAcsptNyV/view?usp=drivesdk" TargetMode="External"/><Relationship Id="rId2719" Type="http://schemas.openxmlformats.org/officeDocument/2006/relationships/hyperlink" Target="https://drive.google.com/file/d/1oAjR8vSHaozIl7e-9ozgY9hFTpEChKb7/view?usp=drivesdk" TargetMode="External"/><Relationship Id="rId1455" Type="http://schemas.openxmlformats.org/officeDocument/2006/relationships/hyperlink" Target="https://drive.google.com/file/d/19mE8tBv4yX9W0ZxzhRHab0Uc2JHfphPO/view?usp=drivesdk" TargetMode="External"/><Relationship Id="rId2786" Type="http://schemas.openxmlformats.org/officeDocument/2006/relationships/hyperlink" Target="https://drive.google.com/file/d/1VIF6kuqnOCJkukqkxuMzonIlfG0vD2p3/view?usp=drivesdk" TargetMode="External"/><Relationship Id="rId1456" Type="http://schemas.openxmlformats.org/officeDocument/2006/relationships/hyperlink" Target="https://drive.google.com/file/d/1ltrjhhYhuy7c2jXEz5hZpsmM93ZHoyBQ/view?usp=drivesdk" TargetMode="External"/><Relationship Id="rId2787" Type="http://schemas.openxmlformats.org/officeDocument/2006/relationships/hyperlink" Target="https://drive.google.com/file/d/1HOf675tEXfG2bMnJOIiHzWGLlDbzEY3d/view?usp=drivesdk" TargetMode="External"/><Relationship Id="rId1457" Type="http://schemas.openxmlformats.org/officeDocument/2006/relationships/hyperlink" Target="https://drive.google.com/file/d/1Pa04ha1QPdwzQRxkAmjcqeTTakxa_4-A/view?usp=drivesdk" TargetMode="External"/><Relationship Id="rId2788" Type="http://schemas.openxmlformats.org/officeDocument/2006/relationships/hyperlink" Target="https://drive.google.com/file/d/1DS4JtkHMjs9zr71-ezWtK-niMJQwvASc/view?usp=drivesdk" TargetMode="External"/><Relationship Id="rId1458" Type="http://schemas.openxmlformats.org/officeDocument/2006/relationships/hyperlink" Target="https://drive.google.com/file/d/1f4b7CUsFcwOX-Klgh9LjeLzeZWCh9wRO/view?usp=drivesdk" TargetMode="External"/><Relationship Id="rId2789" Type="http://schemas.openxmlformats.org/officeDocument/2006/relationships/hyperlink" Target="https://drive.google.com/file/d/1bRLs3S0AT2q1kxpgqs8O2vQssNN1LQOi/view?usp=drivesdk" TargetMode="External"/><Relationship Id="rId1459" Type="http://schemas.openxmlformats.org/officeDocument/2006/relationships/hyperlink" Target="https://drive.google.com/file/d/1eoWS9jdc53wyHszo4c8Ge2gzlwq30DvI/view?usp=drivesdk" TargetMode="External"/><Relationship Id="rId629" Type="http://schemas.openxmlformats.org/officeDocument/2006/relationships/hyperlink" Target="https://drive.google.com/file/d/1apyZdvi_KdCBzEGB6R0bH0S0reFtNw19/view?usp=drivesdk" TargetMode="External"/><Relationship Id="rId624" Type="http://schemas.openxmlformats.org/officeDocument/2006/relationships/hyperlink" Target="https://drive.google.com/file/d/1UDemnLRW6k-u9Q9FNFrVZu-v1MeMsHKy/view?usp=drivesdk" TargetMode="External"/><Relationship Id="rId623" Type="http://schemas.openxmlformats.org/officeDocument/2006/relationships/hyperlink" Target="https://drive.google.com/file/d/1Q0nfazCXWUWVxmiel0DDbVNdHI60PGO5/view?usp=drivesdk" TargetMode="External"/><Relationship Id="rId622" Type="http://schemas.openxmlformats.org/officeDocument/2006/relationships/hyperlink" Target="https://drive.google.com/file/d/12_eolJBnsG2YR9WEI-mbEdpO0V6IV8kg/view?usp=drivesdk" TargetMode="External"/><Relationship Id="rId621" Type="http://schemas.openxmlformats.org/officeDocument/2006/relationships/hyperlink" Target="https://drive.google.com/file/d/1pnU3f55XAHee41gNCwU5Ym5cdfkRRfQB/view?usp=drivesdk" TargetMode="External"/><Relationship Id="rId628" Type="http://schemas.openxmlformats.org/officeDocument/2006/relationships/hyperlink" Target="https://drive.google.com/file/d/1RQaA1WkzztLmftYsu4yTXc3vSvbUktPY/view?usp=drivesdk" TargetMode="External"/><Relationship Id="rId627" Type="http://schemas.openxmlformats.org/officeDocument/2006/relationships/hyperlink" Target="https://drive.google.com/file/d/1AKrYbOAGpqmfFKElJaUfo2joQDe9OqAk/view?usp=drivesdk" TargetMode="External"/><Relationship Id="rId626" Type="http://schemas.openxmlformats.org/officeDocument/2006/relationships/hyperlink" Target="https://drive.google.com/file/d/1AtlOizVLsTw3FbzyWGHaHArqEWm3mte2/view?usp=drivesdk" TargetMode="External"/><Relationship Id="rId625" Type="http://schemas.openxmlformats.org/officeDocument/2006/relationships/hyperlink" Target="https://drive.google.com/file/d/12StMxdPEO6VdXacH_ArIrFUGxvJIXW5L/view?usp=drivesdk" TargetMode="External"/><Relationship Id="rId2780" Type="http://schemas.openxmlformats.org/officeDocument/2006/relationships/hyperlink" Target="https://drive.google.com/file/d/1wDSdOj_hBlu6qxccU3OnehZB5-gYnYts/view?usp=drivesdk" TargetMode="External"/><Relationship Id="rId1450" Type="http://schemas.openxmlformats.org/officeDocument/2006/relationships/hyperlink" Target="https://drive.google.com/file/d/16qXucG-y6NLesFNLtXKxNxVb-p-zDAcP/view?usp=drivesdk" TargetMode="External"/><Relationship Id="rId2781" Type="http://schemas.openxmlformats.org/officeDocument/2006/relationships/hyperlink" Target="https://drive.google.com/file/d/1PPc0RGpI6FyC2CFU35uCyQf2KFIp33Mf/view?usp=drivesdk" TargetMode="External"/><Relationship Id="rId620" Type="http://schemas.openxmlformats.org/officeDocument/2006/relationships/hyperlink" Target="https://drive.google.com/file/d/1CLr5l61PoH31HwCXvlDRMJaZxMs3bl4x/view?usp=drivesdk" TargetMode="External"/><Relationship Id="rId1451" Type="http://schemas.openxmlformats.org/officeDocument/2006/relationships/hyperlink" Target="https://drive.google.com/file/d/1jwPO5hG912h_deQ_mA5qrEO6Un7ly-w5/view?usp=drivesdk" TargetMode="External"/><Relationship Id="rId2782" Type="http://schemas.openxmlformats.org/officeDocument/2006/relationships/hyperlink" Target="https://drive.google.com/file/d/1d3YiqgyBpR1vBwJxhNgYZttfp2h97WzB/view?usp=drivesdk" TargetMode="External"/><Relationship Id="rId1452" Type="http://schemas.openxmlformats.org/officeDocument/2006/relationships/hyperlink" Target="https://drive.google.com/file/d/17_e2y6T62ZS1d75D_vEqe2Fq-GHz40dH/view?usp=drivesdk" TargetMode="External"/><Relationship Id="rId2783" Type="http://schemas.openxmlformats.org/officeDocument/2006/relationships/hyperlink" Target="https://drive.google.com/file/d/1BkIrUKawTYC3ZJd8Gdg3L-qgFqtjoWcy/view?usp=drivesdk" TargetMode="External"/><Relationship Id="rId1453" Type="http://schemas.openxmlformats.org/officeDocument/2006/relationships/hyperlink" Target="https://drive.google.com/file/d/1QJfPmltqzudUVKXbh3e1i3gjjwbZ261D/view?usp=drivesdk" TargetMode="External"/><Relationship Id="rId2784" Type="http://schemas.openxmlformats.org/officeDocument/2006/relationships/hyperlink" Target="https://drive.google.com/file/d/1KepKPpAIiCTU53-R7iv3bibeeDT2e4uc/view?usp=drivesdk" TargetMode="External"/><Relationship Id="rId1454" Type="http://schemas.openxmlformats.org/officeDocument/2006/relationships/hyperlink" Target="https://drive.google.com/file/d/142q6igd0Z6bO3OY9f37fbyB7dbT7gFpM/view?usp=drivesdk" TargetMode="External"/><Relationship Id="rId2785" Type="http://schemas.openxmlformats.org/officeDocument/2006/relationships/hyperlink" Target="https://drive.google.com/file/d/1V3ckTOj3ZkkNHIEaAqeL1uAXi4vMNsml/view?usp=drivesdk" TargetMode="External"/><Relationship Id="rId1444" Type="http://schemas.openxmlformats.org/officeDocument/2006/relationships/hyperlink" Target="https://drive.google.com/file/d/1eStHrGzruiZ8ryNoUKYA8v_Tc8cC-DTi/view?usp=drivesdk" TargetMode="External"/><Relationship Id="rId2775" Type="http://schemas.openxmlformats.org/officeDocument/2006/relationships/hyperlink" Target="https://drive.google.com/file/d/1em7ODa60WMQRn6m4evBrT4Y8ooQ_qlB3/view?usp=drivesdk" TargetMode="External"/><Relationship Id="rId1445" Type="http://schemas.openxmlformats.org/officeDocument/2006/relationships/hyperlink" Target="https://drive.google.com/file/d/1tMb1Ea-HC-XRIGcZuk29Ws50CLwlqwRX/view?usp=drivesdk" TargetMode="External"/><Relationship Id="rId2776" Type="http://schemas.openxmlformats.org/officeDocument/2006/relationships/hyperlink" Target="https://drive.google.com/file/d/1GD-j6BWPkB_b2ijNsy35CR0wHNMjHGjd/view?usp=drivesdk" TargetMode="External"/><Relationship Id="rId1446" Type="http://schemas.openxmlformats.org/officeDocument/2006/relationships/hyperlink" Target="https://drive.google.com/file/d/1rlRS2BG3uBAxtBduyMTZfa_qtnK6Z2-J/view?usp=drivesdk" TargetMode="External"/><Relationship Id="rId2777" Type="http://schemas.openxmlformats.org/officeDocument/2006/relationships/hyperlink" Target="https://drive.google.com/file/d/16SOoUfTCSMe7mtchsl8axpkAxtRIR28i/view?usp=drivesdk" TargetMode="External"/><Relationship Id="rId1447" Type="http://schemas.openxmlformats.org/officeDocument/2006/relationships/hyperlink" Target="https://drive.google.com/file/d/1oIvSNrGQWhA_jLE1RRPe9hevRCdjKoPZ/view?usp=drivesdk" TargetMode="External"/><Relationship Id="rId2778" Type="http://schemas.openxmlformats.org/officeDocument/2006/relationships/hyperlink" Target="https://drive.google.com/file/d/1RL5VVGCl7-geMqjebtJXb9Jl5WDZ_RPf/view?usp=drivesdk" TargetMode="External"/><Relationship Id="rId1448" Type="http://schemas.openxmlformats.org/officeDocument/2006/relationships/hyperlink" Target="https://drive.google.com/file/d/1plD-vyel8Zy5rqv3uNVNICZNG4gkKTwk/view?usp=drivesdk" TargetMode="External"/><Relationship Id="rId2779" Type="http://schemas.openxmlformats.org/officeDocument/2006/relationships/hyperlink" Target="https://drive.google.com/file/d/1uYsHOUBngS-ZXgqB8qnnVPTbdmiJOAye/view?usp=drivesdk" TargetMode="External"/><Relationship Id="rId1449" Type="http://schemas.openxmlformats.org/officeDocument/2006/relationships/hyperlink" Target="https://drive.google.com/file/d/1uNRS_PKR04NJqpfF8RT8TGjnZf5pWTW7/view?usp=drivesdk" TargetMode="External"/><Relationship Id="rId619" Type="http://schemas.openxmlformats.org/officeDocument/2006/relationships/hyperlink" Target="https://drive.google.com/file/d/10Eo0J82R8-lNLugaP3ioLGuZiHR_YMqz/view?usp=drivesdk" TargetMode="External"/><Relationship Id="rId618" Type="http://schemas.openxmlformats.org/officeDocument/2006/relationships/hyperlink" Target="https://drive.google.com/file/d/1DeclU8bo_EajHy62KBulDJsICNIpaU6S/view?usp=drivesdk" TargetMode="External"/><Relationship Id="rId613" Type="http://schemas.openxmlformats.org/officeDocument/2006/relationships/hyperlink" Target="https://drive.google.com/file/d/12kQse8I8kXtJaKBNg-Gmo9WbpuHi6FYd/view?usp=drivesdk" TargetMode="External"/><Relationship Id="rId612" Type="http://schemas.openxmlformats.org/officeDocument/2006/relationships/hyperlink" Target="https://drive.google.com/file/d/1yZJyIjffRAiS9fHpR-tpr5bBSGvnCr5y/view?usp=drivesdk" TargetMode="External"/><Relationship Id="rId611" Type="http://schemas.openxmlformats.org/officeDocument/2006/relationships/hyperlink" Target="https://drive.google.com/file/d/1es5MVutCL3UqvrvKc9-kSyBmXThLwaQq/view?usp=drivesdk" TargetMode="External"/><Relationship Id="rId610" Type="http://schemas.openxmlformats.org/officeDocument/2006/relationships/hyperlink" Target="https://drive.google.com/file/d/1zRyA0n0mfr52RrXmAL0tnAw25PS4iHLF/view?usp=drivesdk" TargetMode="External"/><Relationship Id="rId617" Type="http://schemas.openxmlformats.org/officeDocument/2006/relationships/hyperlink" Target="https://drive.google.com/file/d/1wqk0p6y8yDLhB-aQWBS8U3ZdkGM0zp91/view?usp=drivesdk" TargetMode="External"/><Relationship Id="rId616" Type="http://schemas.openxmlformats.org/officeDocument/2006/relationships/hyperlink" Target="https://drive.google.com/file/d/19v1x1uCamcKrhdrugNTwZ3pF4Tf5RH7Q/view?usp=drivesdk" TargetMode="External"/><Relationship Id="rId615" Type="http://schemas.openxmlformats.org/officeDocument/2006/relationships/hyperlink" Target="https://drive.google.com/file/d/1SIjm2JssM2EZ_NwGent9c3diUYGEo_3c/view?usp=drivesdk" TargetMode="External"/><Relationship Id="rId614" Type="http://schemas.openxmlformats.org/officeDocument/2006/relationships/hyperlink" Target="https://drive.google.com/file/d/1usJJGqcL3p5ZN10txY2RkWXs6pnx6Fj8/view?usp=drivesdk" TargetMode="External"/><Relationship Id="rId2770" Type="http://schemas.openxmlformats.org/officeDocument/2006/relationships/hyperlink" Target="https://drive.google.com/file/d/1FElRRlWoVi2usxTFNme1Bwz9RgmJPLKp/view?usp=drivesdk" TargetMode="External"/><Relationship Id="rId1440" Type="http://schemas.openxmlformats.org/officeDocument/2006/relationships/hyperlink" Target="https://drive.google.com/file/d/1MTa7xK-r7d1ef7k6raOd4y1vTp0LnH4q/view?usp=drivesdk" TargetMode="External"/><Relationship Id="rId2771" Type="http://schemas.openxmlformats.org/officeDocument/2006/relationships/hyperlink" Target="https://drive.google.com/file/d/1J8NYov-XHHaVlQCOR0yx9UGTvAN_EjiG/view?usp=drivesdk" TargetMode="External"/><Relationship Id="rId1441" Type="http://schemas.openxmlformats.org/officeDocument/2006/relationships/hyperlink" Target="https://drive.google.com/file/d/1be9ymxv-Fkrrvnq4Mm-DqTXhMqG48Ril/view?usp=drivesdk" TargetMode="External"/><Relationship Id="rId2772" Type="http://schemas.openxmlformats.org/officeDocument/2006/relationships/hyperlink" Target="https://drive.google.com/file/d/1URDsP-yMIFXhkBo8wS57RwLmccsk4Lvy/view?usp=drivesdk" TargetMode="External"/><Relationship Id="rId1442" Type="http://schemas.openxmlformats.org/officeDocument/2006/relationships/hyperlink" Target="https://drive.google.com/file/d/1atCBbn-6dORvI420ON2DmFYVVq7sNgy0/view?usp=drivesdk" TargetMode="External"/><Relationship Id="rId2773" Type="http://schemas.openxmlformats.org/officeDocument/2006/relationships/hyperlink" Target="https://drive.google.com/file/d/1awPCjIHvs8ahIhOincmP_HaNxC6Wg3ei/view?usp=drivesdk" TargetMode="External"/><Relationship Id="rId1443" Type="http://schemas.openxmlformats.org/officeDocument/2006/relationships/hyperlink" Target="https://drive.google.com/file/d/1zrk21d0vxwQo53XJ4YWlG4yVtiIB_MOn/view?usp=drivesdk" TargetMode="External"/><Relationship Id="rId2774" Type="http://schemas.openxmlformats.org/officeDocument/2006/relationships/hyperlink" Target="https://drive.google.com/file/d/198F72VlE367b6ZajKTHUUDOA3GEGqCqo/view?usp=drivesdk" TargetMode="External"/><Relationship Id="rId1477" Type="http://schemas.openxmlformats.org/officeDocument/2006/relationships/hyperlink" Target="https://drive.google.com/file/d/1LJBcuUB-1LSu2INXB7EcSdI9cC8lr-qR/view?usp=drivesdk" TargetMode="External"/><Relationship Id="rId1478" Type="http://schemas.openxmlformats.org/officeDocument/2006/relationships/hyperlink" Target="https://drive.google.com/file/d/1eOwIQbIkrHsQvdXq-eYfL5pNKC_uHX0V/view?usp=drivesdk" TargetMode="External"/><Relationship Id="rId1479" Type="http://schemas.openxmlformats.org/officeDocument/2006/relationships/hyperlink" Target="https://drive.google.com/file/d/1VfmM9m7HvpDn73F1hw9uJNQ084gQeprY/view?usp=drivesdk" TargetMode="External"/><Relationship Id="rId646" Type="http://schemas.openxmlformats.org/officeDocument/2006/relationships/hyperlink" Target="https://drive.google.com/file/d/13pqSs0UYFvLdiEJKx3meLSOT91LeUSuh/view?usp=drivesdk" TargetMode="External"/><Relationship Id="rId645" Type="http://schemas.openxmlformats.org/officeDocument/2006/relationships/hyperlink" Target="https://drive.google.com/file/d/10gCAiRaTpYw50HfVvJb2qrR3LIeoZoNW/view?usp=drivesdk" TargetMode="External"/><Relationship Id="rId644" Type="http://schemas.openxmlformats.org/officeDocument/2006/relationships/hyperlink" Target="https://drive.google.com/file/d/1oPfRpEBTF84OycOBd7uRQMJivVB-m2oP/view?usp=drivesdk" TargetMode="External"/><Relationship Id="rId643" Type="http://schemas.openxmlformats.org/officeDocument/2006/relationships/hyperlink" Target="https://drive.google.com/file/d/1ksnyAQYIZqyXMBwht0zZREnRY54-JevG/view?usp=drivesdk" TargetMode="External"/><Relationship Id="rId649" Type="http://schemas.openxmlformats.org/officeDocument/2006/relationships/hyperlink" Target="https://drive.google.com/file/d/1zmRYTfOS6kDGIcUEEFyIw6hwkmLbLd2C/view?usp=drivesdk" TargetMode="External"/><Relationship Id="rId648" Type="http://schemas.openxmlformats.org/officeDocument/2006/relationships/hyperlink" Target="https://drive.google.com/file/d/1nlya6kQZ-aeXOdWln6eOPTSENrc8Tux5/view?usp=drivesdk" TargetMode="External"/><Relationship Id="rId647" Type="http://schemas.openxmlformats.org/officeDocument/2006/relationships/hyperlink" Target="https://drive.google.com/file/d/1RSHItVa-oZV7AbCQ0eh9-ehBv58e4eDc/view?usp=drivesdk" TargetMode="External"/><Relationship Id="rId1470" Type="http://schemas.openxmlformats.org/officeDocument/2006/relationships/hyperlink" Target="https://drive.google.com/file/d/1P2HkNQwXMDHx-bxDaQ0QetAgbUaJlYq7/view?usp=drivesdk" TargetMode="External"/><Relationship Id="rId1471" Type="http://schemas.openxmlformats.org/officeDocument/2006/relationships/hyperlink" Target="https://drive.google.com/file/d/1D5KouvqlIJwsDCgn3ccM349xsg2h_lLc/view?usp=drivesdk" TargetMode="External"/><Relationship Id="rId1472" Type="http://schemas.openxmlformats.org/officeDocument/2006/relationships/hyperlink" Target="https://drive.google.com/file/d/1Ocpr95kOyFZwuINmIl1HrSazLpP5IR0A/view?usp=drivesdk" TargetMode="External"/><Relationship Id="rId642" Type="http://schemas.openxmlformats.org/officeDocument/2006/relationships/hyperlink" Target="https://drive.google.com/file/d/180UnCIEpRW3MLMjfsHZjeOnlogXsbneH/view?usp=drivesdk" TargetMode="External"/><Relationship Id="rId1473" Type="http://schemas.openxmlformats.org/officeDocument/2006/relationships/hyperlink" Target="https://drive.google.com/file/d/1SNZ1mkDnR8DG5EiPz1pP9wPEbPOfROdO/view?usp=drivesdk" TargetMode="External"/><Relationship Id="rId641" Type="http://schemas.openxmlformats.org/officeDocument/2006/relationships/hyperlink" Target="https://drive.google.com/file/d/155fnpYfibKoGlcB0MBwGNw4p5XMAHKcd/view?usp=drivesdk" TargetMode="External"/><Relationship Id="rId1474" Type="http://schemas.openxmlformats.org/officeDocument/2006/relationships/hyperlink" Target="https://drive.google.com/file/d/1eqYtN1LhEz2cMkVEZbYZlrYaNb2z-MuF/view?usp=drivesdk" TargetMode="External"/><Relationship Id="rId640" Type="http://schemas.openxmlformats.org/officeDocument/2006/relationships/hyperlink" Target="https://drive.google.com/file/d/13EH3_geUqJVoe24H_0LbuQcBynxcBzsz/view?usp=drivesdk" TargetMode="External"/><Relationship Id="rId1475" Type="http://schemas.openxmlformats.org/officeDocument/2006/relationships/hyperlink" Target="https://drive.google.com/file/d/1Jg63xHFND2S5MVMDJVIMN8NaVkKscrMO/view?usp=drivesdk" TargetMode="External"/><Relationship Id="rId1476" Type="http://schemas.openxmlformats.org/officeDocument/2006/relationships/hyperlink" Target="https://drive.google.com/file/d/1xvzkyQny0zJdjHfNvm5NYahO_NxplmbJ/view?usp=drivesdk" TargetMode="External"/><Relationship Id="rId1466" Type="http://schemas.openxmlformats.org/officeDocument/2006/relationships/hyperlink" Target="https://drive.google.com/file/d/1fpZJLgIaE1sc6D3Ao9WYY-2RnjQ24Ey8/view?usp=drivesdk" TargetMode="External"/><Relationship Id="rId2797" Type="http://schemas.openxmlformats.org/officeDocument/2006/relationships/hyperlink" Target="https://drive.google.com/file/d/1EyYPChGeuUzTKHlHU2xIK7B3AxTGwtfO/view?usp=drivesdk" TargetMode="External"/><Relationship Id="rId1467" Type="http://schemas.openxmlformats.org/officeDocument/2006/relationships/hyperlink" Target="https://drive.google.com/file/d/1AMpF3dCTaGRtKAW4uDl20NZ94oGS-IrJ/view?usp=drivesdk" TargetMode="External"/><Relationship Id="rId2798" Type="http://schemas.openxmlformats.org/officeDocument/2006/relationships/hyperlink" Target="https://drive.google.com/file/d/120bw0itAYyHMiW9T7e3mTuddlQMPW3x8/view?usp=drivesdk" TargetMode="External"/><Relationship Id="rId1468" Type="http://schemas.openxmlformats.org/officeDocument/2006/relationships/hyperlink" Target="https://drive.google.com/file/d/1vaP6T4GI5EG6QfiY7faW4sxmJhrkKcVJ/view?usp=drivesdk" TargetMode="External"/><Relationship Id="rId2799" Type="http://schemas.openxmlformats.org/officeDocument/2006/relationships/hyperlink" Target="https://drive.google.com/file/d/15-xZoziBIfRM1RNSkhWBwkJIkhndLjdq/view?usp=drivesdk" TargetMode="External"/><Relationship Id="rId1469" Type="http://schemas.openxmlformats.org/officeDocument/2006/relationships/hyperlink" Target="https://drive.google.com/file/d/1xzLvdgc-M6xgRxS1XPmZCMV1KJ6e91RS/view?usp=drivesdk" TargetMode="External"/><Relationship Id="rId635" Type="http://schemas.openxmlformats.org/officeDocument/2006/relationships/hyperlink" Target="https://drive.google.com/file/d/1--7A_PcHgPiq9QMwhQCk-n6c_Az0uhy8/view?usp=drivesdk" TargetMode="External"/><Relationship Id="rId634" Type="http://schemas.openxmlformats.org/officeDocument/2006/relationships/hyperlink" Target="https://drive.google.com/file/d/1BpZpFkqq5-xNfg3lGkVTJj3m72zefLqx/view?usp=drivesdk" TargetMode="External"/><Relationship Id="rId633" Type="http://schemas.openxmlformats.org/officeDocument/2006/relationships/hyperlink" Target="https://drive.google.com/file/d/1F04B6dgvTIlH1n-nzOIG6l50zrdV35YY/view?usp=drivesdk" TargetMode="External"/><Relationship Id="rId632" Type="http://schemas.openxmlformats.org/officeDocument/2006/relationships/hyperlink" Target="https://drive.google.com/file/d/1jYBd2YRtSaav13uk6GeH-7S7mA1J-0Z3/view?usp=drivesdk" TargetMode="External"/><Relationship Id="rId639" Type="http://schemas.openxmlformats.org/officeDocument/2006/relationships/hyperlink" Target="https://drive.google.com/file/d/1QbV55BXTdXq861LSw4L_QCApvMmN5RXS/view?usp=drivesdk" TargetMode="External"/><Relationship Id="rId638" Type="http://schemas.openxmlformats.org/officeDocument/2006/relationships/hyperlink" Target="https://drive.google.com/file/d/1HNurG-H_ZjwqqrmpEKeY-5mlDAUZ_pFB/view?usp=drivesdk" TargetMode="External"/><Relationship Id="rId637" Type="http://schemas.openxmlformats.org/officeDocument/2006/relationships/hyperlink" Target="https://drive.google.com/file/d/110c7IPGGRfsNZhl6BVp-RH7A1oIVMpv2/view?usp=drivesdk" TargetMode="External"/><Relationship Id="rId636" Type="http://schemas.openxmlformats.org/officeDocument/2006/relationships/hyperlink" Target="https://drive.google.com/file/d/1zVdSJYf5rSapO3wb9lv8752WOX3UCAWR/view?usp=drivesdk" TargetMode="External"/><Relationship Id="rId2790" Type="http://schemas.openxmlformats.org/officeDocument/2006/relationships/hyperlink" Target="https://drive.google.com/file/d/1Sg7pV5-MRMEfG7acPaIDjV0AQ3yqElU4/view?usp=drivesdk" TargetMode="External"/><Relationship Id="rId1460" Type="http://schemas.openxmlformats.org/officeDocument/2006/relationships/hyperlink" Target="https://drive.google.com/file/d/1e5JPVizcHOsgKK4xXV265ST-ZX_9ks9e/view?usp=drivesdk" TargetMode="External"/><Relationship Id="rId2791" Type="http://schemas.openxmlformats.org/officeDocument/2006/relationships/hyperlink" Target="https://drive.google.com/file/d/1bVACFlgExLyf1CCoBeLzElMk1QbAZYSW/view?usp=drivesdk" TargetMode="External"/><Relationship Id="rId1461" Type="http://schemas.openxmlformats.org/officeDocument/2006/relationships/hyperlink" Target="https://drive.google.com/file/d/1fRrMg1hubhuUHffJB3cZMOiGJueeEHu7/view?usp=drivesdk" TargetMode="External"/><Relationship Id="rId2792" Type="http://schemas.openxmlformats.org/officeDocument/2006/relationships/hyperlink" Target="https://drive.google.com/file/d/1_IO4PdoMe7l8Q03W9hLBkKiHGidC5w-t/view?usp=drivesdk" TargetMode="External"/><Relationship Id="rId631" Type="http://schemas.openxmlformats.org/officeDocument/2006/relationships/hyperlink" Target="https://drive.google.com/file/d/1jHST9MnMjr0HQlGDLp_Lm9-snMiFjuTq/view?usp=drivesdk" TargetMode="External"/><Relationship Id="rId1462" Type="http://schemas.openxmlformats.org/officeDocument/2006/relationships/hyperlink" Target="https://drive.google.com/file/d/1Pvsc-C-C29zmoFMIKpIOITEdpRvM4BqL/view?usp=drivesdk" TargetMode="External"/><Relationship Id="rId2793" Type="http://schemas.openxmlformats.org/officeDocument/2006/relationships/hyperlink" Target="https://drive.google.com/file/d/1hVohJjrePDnbP3YuG-OoIFpV1SI20xvZ/view?usp=drivesdk" TargetMode="External"/><Relationship Id="rId630" Type="http://schemas.openxmlformats.org/officeDocument/2006/relationships/hyperlink" Target="https://drive.google.com/file/d/1GDEwZJBqf8FRNMdXoAoZM_BXmdXfHvpU/view?usp=drivesdk" TargetMode="External"/><Relationship Id="rId1463" Type="http://schemas.openxmlformats.org/officeDocument/2006/relationships/hyperlink" Target="https://drive.google.com/file/d/1P0pW0DggWoKIyN9DhYHRvTg9fHcRwN7v/view?usp=drivesdk" TargetMode="External"/><Relationship Id="rId2794" Type="http://schemas.openxmlformats.org/officeDocument/2006/relationships/hyperlink" Target="https://drive.google.com/file/d/1hz1780nNZDOTtNpiczqkkXabV668BcRE/view?usp=drivesdk" TargetMode="External"/><Relationship Id="rId1464" Type="http://schemas.openxmlformats.org/officeDocument/2006/relationships/hyperlink" Target="https://drive.google.com/file/d/1ma6-dAi4-ueCPgAnsDzm7mGt7sF_HJXB/view?usp=drivesdk" TargetMode="External"/><Relationship Id="rId2795" Type="http://schemas.openxmlformats.org/officeDocument/2006/relationships/hyperlink" Target="https://drive.google.com/file/d/13LERMC05_TVKu6xv7g91wRtXxu0ET1Tj/view?usp=drivesdk" TargetMode="External"/><Relationship Id="rId1465" Type="http://schemas.openxmlformats.org/officeDocument/2006/relationships/hyperlink" Target="https://drive.google.com/file/d/1i0bCNvCfo6OSjU80G4ILg4LMaQt55loT/view?usp=drivesdk" TargetMode="External"/><Relationship Id="rId2796" Type="http://schemas.openxmlformats.org/officeDocument/2006/relationships/hyperlink" Target="https://drive.google.com/file/d/1HpcHlK2DyzZieaRbX6Fr0ov7Mf_R671v/view?usp=drivesdk" TargetMode="External"/><Relationship Id="rId1411" Type="http://schemas.openxmlformats.org/officeDocument/2006/relationships/hyperlink" Target="https://drive.google.com/file/d/1NPlZP4bn4bZ8vzkLAPzQSx9k0p8LfsrH/view?usp=drivesdk" TargetMode="External"/><Relationship Id="rId2742" Type="http://schemas.openxmlformats.org/officeDocument/2006/relationships/hyperlink" Target="https://drive.google.com/file/d/1wEFZG_VXnD2cJrOMtVKNCAqucbV5WQV9/view?usp=drivesdk" TargetMode="External"/><Relationship Id="rId1412" Type="http://schemas.openxmlformats.org/officeDocument/2006/relationships/hyperlink" Target="https://drive.google.com/file/d/1QCtMPgPaK1vRobFSTRf0XLLASYR6qVht/view?usp=drivesdk" TargetMode="External"/><Relationship Id="rId2743" Type="http://schemas.openxmlformats.org/officeDocument/2006/relationships/hyperlink" Target="https://drive.google.com/file/d/1NZ8v6491Ny_LbUh8osKtj88hF7RAiobW/view?usp=drivesdk" TargetMode="External"/><Relationship Id="rId1413" Type="http://schemas.openxmlformats.org/officeDocument/2006/relationships/hyperlink" Target="https://drive.google.com/file/d/1JoIbJ4bMgr0MnpZG6ldfkjP1GD2XKao-/view?usp=drivesdk" TargetMode="External"/><Relationship Id="rId2744" Type="http://schemas.openxmlformats.org/officeDocument/2006/relationships/hyperlink" Target="https://drive.google.com/file/d/1bo9aASmCjIsAeU5__CNxEyKU60JbH_Oz/view?usp=drivesdk" TargetMode="External"/><Relationship Id="rId1414" Type="http://schemas.openxmlformats.org/officeDocument/2006/relationships/hyperlink" Target="https://drive.google.com/file/d/1WXWZjoJuCokLmlH9bIcycOTiPT_Yg1j7/view?usp=drivesdk" TargetMode="External"/><Relationship Id="rId2745" Type="http://schemas.openxmlformats.org/officeDocument/2006/relationships/hyperlink" Target="https://drive.google.com/file/d/1l_wx_FSiuvPt3DtbfXQuVLlkNpKxxEUQ/view?usp=drivesdk" TargetMode="External"/><Relationship Id="rId1415" Type="http://schemas.openxmlformats.org/officeDocument/2006/relationships/hyperlink" Target="https://drive.google.com/file/d/1wu43s4B3jFXzDqV2LFAy4XLqlQEsmSc4/view?usp=drivesdk" TargetMode="External"/><Relationship Id="rId2746" Type="http://schemas.openxmlformats.org/officeDocument/2006/relationships/hyperlink" Target="https://drive.google.com/file/d/1UZf-WWxr567_733TRlppgx3RgvA55ffu/view?usp=drivesdk" TargetMode="External"/><Relationship Id="rId1416" Type="http://schemas.openxmlformats.org/officeDocument/2006/relationships/hyperlink" Target="https://drive.google.com/file/d/1hVwbIyW3epWRQsMMft62XMBr_6n68gLn/view?usp=drivesdk" TargetMode="External"/><Relationship Id="rId2747" Type="http://schemas.openxmlformats.org/officeDocument/2006/relationships/hyperlink" Target="https://drive.google.com/file/d/1kSBFgzp6OROkewjCtlxP2vg6PFLhL9xO/view?usp=drivesdk" TargetMode="External"/><Relationship Id="rId1417" Type="http://schemas.openxmlformats.org/officeDocument/2006/relationships/hyperlink" Target="https://drive.google.com/file/d/1LiwZlG2IZrVOJUW6jAvbA4ha8g_h2NIZ/view?usp=drivesdk" TargetMode="External"/><Relationship Id="rId2748" Type="http://schemas.openxmlformats.org/officeDocument/2006/relationships/hyperlink" Target="https://drive.google.com/file/d/1fUG2ettSKcRAWZvEYcWP5AQXnj7UBOUs/view?usp=drivesdk" TargetMode="External"/><Relationship Id="rId1418" Type="http://schemas.openxmlformats.org/officeDocument/2006/relationships/hyperlink" Target="https://drive.google.com/file/d/1rJA29LnGvbhxw8zfcr7Wgg8rIAjK2KiH/view?usp=drivesdk" TargetMode="External"/><Relationship Id="rId2749" Type="http://schemas.openxmlformats.org/officeDocument/2006/relationships/hyperlink" Target="https://drive.google.com/file/d/14_zGf2VGJvPhKygjEvbM1ARE5XCCkEub/view?usp=drivesdk" TargetMode="External"/><Relationship Id="rId1419" Type="http://schemas.openxmlformats.org/officeDocument/2006/relationships/hyperlink" Target="https://drive.google.com/file/d/1M3Kcp-hJiTCZoge7BWs2lQExUWb9tCTn/view?usp=drivesdk" TargetMode="External"/><Relationship Id="rId2740" Type="http://schemas.openxmlformats.org/officeDocument/2006/relationships/hyperlink" Target="https://drive.google.com/file/d/1yWq9VA17bviusA1-gmEWYWL7w6FHKyMI/view?usp=drivesdk" TargetMode="External"/><Relationship Id="rId1410" Type="http://schemas.openxmlformats.org/officeDocument/2006/relationships/hyperlink" Target="https://drive.google.com/file/d/1bDJ3pwRi1ppkk2s4X1b8y4ek_Sslv5NN/view?usp=drivesdk" TargetMode="External"/><Relationship Id="rId2741" Type="http://schemas.openxmlformats.org/officeDocument/2006/relationships/hyperlink" Target="https://drive.google.com/file/d/1kCe7dne_GNfNSHLYlAzOzBcQn9yFuOr2/view?usp=drivesdk" TargetMode="External"/><Relationship Id="rId1400" Type="http://schemas.openxmlformats.org/officeDocument/2006/relationships/hyperlink" Target="https://drive.google.com/file/d/1ggKrnyXVCp5QeHOFppoj-cawSQrJMuJs/view?usp=drivesdk" TargetMode="External"/><Relationship Id="rId2731" Type="http://schemas.openxmlformats.org/officeDocument/2006/relationships/hyperlink" Target="https://drive.google.com/file/d/1fLF2Mzhldev10C0y_NhzgQRy11WYOzxV/view?usp=drivesdk" TargetMode="External"/><Relationship Id="rId1401" Type="http://schemas.openxmlformats.org/officeDocument/2006/relationships/hyperlink" Target="https://drive.google.com/file/d/1guI1nGSynzf6fvHwOnJ5YyyE5CaX1-QJ/view?usp=drivesdk" TargetMode="External"/><Relationship Id="rId2732" Type="http://schemas.openxmlformats.org/officeDocument/2006/relationships/hyperlink" Target="https://drive.google.com/file/d/16TMWmx3oUBzr8RckTX2nq_oNoNlOcVY5/view?usp=drivesdk" TargetMode="External"/><Relationship Id="rId1402" Type="http://schemas.openxmlformats.org/officeDocument/2006/relationships/hyperlink" Target="https://drive.google.com/file/d/1zJ3IIX26CyEcHOzgjGdLzzyONBKjM3Eo/view?usp=drivesdk" TargetMode="External"/><Relationship Id="rId2733" Type="http://schemas.openxmlformats.org/officeDocument/2006/relationships/hyperlink" Target="https://drive.google.com/file/d/1KC4plXYkIWysGPnao4Tklulvzel2Da4l/view?usp=drivesdk" TargetMode="External"/><Relationship Id="rId1403" Type="http://schemas.openxmlformats.org/officeDocument/2006/relationships/hyperlink" Target="https://drive.google.com/file/d/1MU_8Il0xQzGs1_f54NK-Zrd4eZW93ir0/view?usp=drivesdk" TargetMode="External"/><Relationship Id="rId2734" Type="http://schemas.openxmlformats.org/officeDocument/2006/relationships/hyperlink" Target="https://drive.google.com/file/d/18x2vGr9C5TmbBPxVJPLb9glWPl6R3fRW/view?usp=drivesdk" TargetMode="External"/><Relationship Id="rId1404" Type="http://schemas.openxmlformats.org/officeDocument/2006/relationships/hyperlink" Target="https://drive.google.com/file/d/1yocFVBuv9XJU51vARnUZQsxKqupCbK_0/view?usp=drivesdk" TargetMode="External"/><Relationship Id="rId2735" Type="http://schemas.openxmlformats.org/officeDocument/2006/relationships/hyperlink" Target="https://drive.google.com/file/d/1zG4Fc_IEv6joOTyPj0JeBdLMNt-6vqsC/view?usp=drivesdk" TargetMode="External"/><Relationship Id="rId1405" Type="http://schemas.openxmlformats.org/officeDocument/2006/relationships/hyperlink" Target="https://drive.google.com/file/d/1E8ftV9CM3P94L7a22AIu7lnoeVPVf27T/view?usp=drivesdk" TargetMode="External"/><Relationship Id="rId2736" Type="http://schemas.openxmlformats.org/officeDocument/2006/relationships/hyperlink" Target="https://drive.google.com/file/d/1V4dif0GlZHpTSBPr0wrGGqKPzj36JjUm/view?usp=drivesdk" TargetMode="External"/><Relationship Id="rId1406" Type="http://schemas.openxmlformats.org/officeDocument/2006/relationships/hyperlink" Target="https://drive.google.com/file/d/1kuZMXucDUjsuAZIHhRprBpqylwerd6Dn/view?usp=drivesdk" TargetMode="External"/><Relationship Id="rId2737" Type="http://schemas.openxmlformats.org/officeDocument/2006/relationships/hyperlink" Target="https://drive.google.com/file/d/1FBVDq-txued5VjX89SxjAxiqVp_WzRYr/view?usp=drivesdk" TargetMode="External"/><Relationship Id="rId1407" Type="http://schemas.openxmlformats.org/officeDocument/2006/relationships/hyperlink" Target="https://drive.google.com/file/d/1W0CUphORn0RFZC7vPbiY_o1c0-1VZraH/view?usp=drivesdk" TargetMode="External"/><Relationship Id="rId2738" Type="http://schemas.openxmlformats.org/officeDocument/2006/relationships/hyperlink" Target="https://drive.google.com/file/d/1G4gv0ySakjef__T9l4MU6vM4mSqIKpQf/view?usp=drivesdk" TargetMode="External"/><Relationship Id="rId1408" Type="http://schemas.openxmlformats.org/officeDocument/2006/relationships/hyperlink" Target="https://drive.google.com/file/d/1PDKoHtQZCcgd680LTG8t4vrEuAzIz9ad/view?usp=drivesdk" TargetMode="External"/><Relationship Id="rId2739" Type="http://schemas.openxmlformats.org/officeDocument/2006/relationships/hyperlink" Target="https://drive.google.com/file/d/1Dc0I6mdR5VNlZdfy9Q6SxLCujdERpq1s/view?usp=drivesdk" TargetMode="External"/><Relationship Id="rId1409" Type="http://schemas.openxmlformats.org/officeDocument/2006/relationships/hyperlink" Target="https://drive.google.com/file/d/11RiWnq8pFq46fCmi2IyjWnAfJQKfNnhw/view?usp=drivesdk" TargetMode="External"/><Relationship Id="rId2730" Type="http://schemas.openxmlformats.org/officeDocument/2006/relationships/hyperlink" Target="https://drive.google.com/file/d/1Y8W4Pu0XmqnQ5lA-X7ANKZNlSBzl4UGP/view?usp=drivesdk" TargetMode="External"/><Relationship Id="rId1433" Type="http://schemas.openxmlformats.org/officeDocument/2006/relationships/hyperlink" Target="https://drive.google.com/file/d/1_pOqDTU5epsX-idKhrkkAxlKE653TmOR/view?usp=drivesdk" TargetMode="External"/><Relationship Id="rId2764" Type="http://schemas.openxmlformats.org/officeDocument/2006/relationships/hyperlink" Target="https://drive.google.com/file/d/1alE-Lyhg2bHvUxXiUtoX7uwWzuZe9O2i/view?usp=drivesdk" TargetMode="External"/><Relationship Id="rId1434" Type="http://schemas.openxmlformats.org/officeDocument/2006/relationships/hyperlink" Target="https://drive.google.com/file/d/1d2fLvnplh_NO2a1uAGhqpM65R0uTLv82/view?usp=drivesdk" TargetMode="External"/><Relationship Id="rId2765" Type="http://schemas.openxmlformats.org/officeDocument/2006/relationships/hyperlink" Target="https://drive.google.com/file/d/127v43WE4PklOsQFV7vglYwM9pxelKmVE/view?usp=drivesdk" TargetMode="External"/><Relationship Id="rId1435" Type="http://schemas.openxmlformats.org/officeDocument/2006/relationships/hyperlink" Target="https://drive.google.com/file/d/1MxLG3K_pacLhCrOW7msCJcgwusz4dOsU/view?usp=drivesdk" TargetMode="External"/><Relationship Id="rId2766" Type="http://schemas.openxmlformats.org/officeDocument/2006/relationships/hyperlink" Target="https://drive.google.com/file/d/1aYbxZ4QpjA2HcnqHYKr1JxrRo6gAK21q/view?usp=drivesdk" TargetMode="External"/><Relationship Id="rId1436" Type="http://schemas.openxmlformats.org/officeDocument/2006/relationships/hyperlink" Target="https://drive.google.com/file/d/1to80T71Y9i6WJ0JPLv5eu4jV5Hm38qQ7/view?usp=drivesdk" TargetMode="External"/><Relationship Id="rId2767" Type="http://schemas.openxmlformats.org/officeDocument/2006/relationships/hyperlink" Target="https://drive.google.com/file/d/17HYZXEqbs5qMTOba8cEHhBhSIrnkFKeu/view?usp=drivesdk" TargetMode="External"/><Relationship Id="rId1437" Type="http://schemas.openxmlformats.org/officeDocument/2006/relationships/hyperlink" Target="https://drive.google.com/file/d/1HRPyXT_yPMMj7S90no28KiC05Fv8dG4x/view?usp=drivesdk" TargetMode="External"/><Relationship Id="rId2768" Type="http://schemas.openxmlformats.org/officeDocument/2006/relationships/hyperlink" Target="https://drive.google.com/file/d/1yPKBulDUT2sA_EL4XHrVvgND1nEVQNHI/view?usp=drivesdk" TargetMode="External"/><Relationship Id="rId1438" Type="http://schemas.openxmlformats.org/officeDocument/2006/relationships/hyperlink" Target="https://drive.google.com/file/d/13utbybgNxGWl4f76AOUTFpqbbUPXSuno/view?usp=drivesdk" TargetMode="External"/><Relationship Id="rId2769" Type="http://schemas.openxmlformats.org/officeDocument/2006/relationships/hyperlink" Target="https://drive.google.com/file/d/1-E1dAlVOdBXhL1-Ucgrt44k9SzyhPTJ-/view?usp=drivesdk" TargetMode="External"/><Relationship Id="rId1439" Type="http://schemas.openxmlformats.org/officeDocument/2006/relationships/hyperlink" Target="https://drive.google.com/file/d/1EpEjTLrdBVZGDIrD2HvyE-VeuCqCQJDX/view?usp=drivesdk" TargetMode="External"/><Relationship Id="rId609" Type="http://schemas.openxmlformats.org/officeDocument/2006/relationships/hyperlink" Target="https://drive.google.com/file/d/1RIoU1EHXXToXQVufwn8hsLnT0Ption0D/view?usp=drivesdk" TargetMode="External"/><Relationship Id="rId608" Type="http://schemas.openxmlformats.org/officeDocument/2006/relationships/hyperlink" Target="https://drive.google.com/file/d/1uT-eWn5IJIikqJUZyuqDaofuNttOkErM/view?usp=drivesdk" TargetMode="External"/><Relationship Id="rId607" Type="http://schemas.openxmlformats.org/officeDocument/2006/relationships/hyperlink" Target="https://drive.google.com/file/d/1OKGSbjtkK7WMQzhNE_1dy7jpQ8WERmvS/view?usp=drivesdk" TargetMode="External"/><Relationship Id="rId602" Type="http://schemas.openxmlformats.org/officeDocument/2006/relationships/hyperlink" Target="https://drive.google.com/file/d/1uH-moXpKZkoW06G-uMIqMrMsOgICxhxK/view?usp=drivesdk" TargetMode="External"/><Relationship Id="rId601" Type="http://schemas.openxmlformats.org/officeDocument/2006/relationships/hyperlink" Target="https://drive.google.com/file/d/1gjjSTXPvy0oA6FE6LBYps63-uCAoPuvQ/view?usp=drivesdk" TargetMode="External"/><Relationship Id="rId600" Type="http://schemas.openxmlformats.org/officeDocument/2006/relationships/hyperlink" Target="https://drive.google.com/file/d/1LxeevgLjyT8AkjlH4E6MYnCp9eeL2d8B/view?usp=drivesdk" TargetMode="External"/><Relationship Id="rId606" Type="http://schemas.openxmlformats.org/officeDocument/2006/relationships/hyperlink" Target="https://drive.google.com/file/d/1JPaP_f2HLFWbr6dF63wyeT5vTMKoOwU9/view?usp=drivesdk" TargetMode="External"/><Relationship Id="rId605" Type="http://schemas.openxmlformats.org/officeDocument/2006/relationships/hyperlink" Target="https://drive.google.com/file/d/1ULXsAIovWTEPQuG4O21N-Lh-v1ny-4DE/view?usp=drivesdk" TargetMode="External"/><Relationship Id="rId604" Type="http://schemas.openxmlformats.org/officeDocument/2006/relationships/hyperlink" Target="https://drive.google.com/file/d/1StamO0swYfk-wAy_lOvSoSp4ZqzBiRbh/view?usp=drivesdk" TargetMode="External"/><Relationship Id="rId603" Type="http://schemas.openxmlformats.org/officeDocument/2006/relationships/hyperlink" Target="https://drive.google.com/file/d/1E0ejpct5a7_vB178iahBwAL_i2oxz72N/view?usp=drivesdk" TargetMode="External"/><Relationship Id="rId2760" Type="http://schemas.openxmlformats.org/officeDocument/2006/relationships/hyperlink" Target="https://drive.google.com/file/d/1J8w4F7K8nMU3UgmMPI03K3U93q1EwCEJ/view?usp=drivesdk" TargetMode="External"/><Relationship Id="rId1430" Type="http://schemas.openxmlformats.org/officeDocument/2006/relationships/hyperlink" Target="https://drive.google.com/file/d/1m-p97HFQo5qMQ15DhKUlIxthzr2Db59Q/view?usp=drivesdk" TargetMode="External"/><Relationship Id="rId2761" Type="http://schemas.openxmlformats.org/officeDocument/2006/relationships/hyperlink" Target="https://drive.google.com/file/d/1rj178it8sQtHMyNzyb90GXfEk1Hk5YnN/view?usp=drivesdk" TargetMode="External"/><Relationship Id="rId1431" Type="http://schemas.openxmlformats.org/officeDocument/2006/relationships/hyperlink" Target="https://drive.google.com/file/d/1dUxvMZjgQ7MdwLSzjaV-9rtrhizY73Qq/view?usp=drivesdk" TargetMode="External"/><Relationship Id="rId2762" Type="http://schemas.openxmlformats.org/officeDocument/2006/relationships/hyperlink" Target="https://drive.google.com/file/d/1m8vBfiQkH8P0FaPXXK5PHkJH8yYhq1Sh/view?usp=drivesdk" TargetMode="External"/><Relationship Id="rId1432" Type="http://schemas.openxmlformats.org/officeDocument/2006/relationships/hyperlink" Target="https://drive.google.com/file/d/1JLlKlCuSQlmgo2DzVVO1nOLTtvV40xkm/view?usp=drivesdk" TargetMode="External"/><Relationship Id="rId2763" Type="http://schemas.openxmlformats.org/officeDocument/2006/relationships/hyperlink" Target="https://drive.google.com/file/d/1EZllPY8-yvLte77cCpv9UnSzrQEaA1l4/view?usp=drivesdk" TargetMode="External"/><Relationship Id="rId1422" Type="http://schemas.openxmlformats.org/officeDocument/2006/relationships/hyperlink" Target="https://drive.google.com/file/d/1IbnFcdqYKa94CoZ4waDe9EtSGfDeu_ZI/view?usp=drivesdk" TargetMode="External"/><Relationship Id="rId2753" Type="http://schemas.openxmlformats.org/officeDocument/2006/relationships/hyperlink" Target="https://drive.google.com/file/d/1IgwbpOWDDLlv9t0P-r2yZY_l_ViqGTuz/view?usp=drivesdk" TargetMode="External"/><Relationship Id="rId1423" Type="http://schemas.openxmlformats.org/officeDocument/2006/relationships/hyperlink" Target="https://drive.google.com/file/d/1fUwh6tES6nWfjFhphXedkoplbyeu2PNp/view?usp=drivesdk" TargetMode="External"/><Relationship Id="rId2754" Type="http://schemas.openxmlformats.org/officeDocument/2006/relationships/hyperlink" Target="https://drive.google.com/file/d/1zRO2wTJdLmK-BV5hxThrZO8prUdJXbH2/view?usp=drivesdk" TargetMode="External"/><Relationship Id="rId1424" Type="http://schemas.openxmlformats.org/officeDocument/2006/relationships/hyperlink" Target="https://drive.google.com/file/d/1Xx6QgIva8p6mSGTBtG0DO_L1XUGiEdOy/view?usp=drivesdk" TargetMode="External"/><Relationship Id="rId2755" Type="http://schemas.openxmlformats.org/officeDocument/2006/relationships/hyperlink" Target="https://drive.google.com/file/d/10OETr0_zUz7Gqw39YL9lnq--3C3qavy8/view?usp=drivesdk" TargetMode="External"/><Relationship Id="rId1425" Type="http://schemas.openxmlformats.org/officeDocument/2006/relationships/hyperlink" Target="https://drive.google.com/file/d/1vaRFC32s5FmX83iCFD1S-NraPnbz5YKp/view?usp=drivesdk" TargetMode="External"/><Relationship Id="rId2756" Type="http://schemas.openxmlformats.org/officeDocument/2006/relationships/hyperlink" Target="https://drive.google.com/file/d/1UjvynnYEPZHicucFMnLs5zd6tciLP1ET/view?usp=drivesdk" TargetMode="External"/><Relationship Id="rId1426" Type="http://schemas.openxmlformats.org/officeDocument/2006/relationships/hyperlink" Target="https://drive.google.com/file/d/1sWZqmEkkeXGatLwg-tGBCoL6noJqcIMJ/view?usp=drivesdk" TargetMode="External"/><Relationship Id="rId2757" Type="http://schemas.openxmlformats.org/officeDocument/2006/relationships/hyperlink" Target="https://drive.google.com/file/d/11Av49SlCGKMhtLvS_jk4226riFKcyhNh/view?usp=drivesdk" TargetMode="External"/><Relationship Id="rId1427" Type="http://schemas.openxmlformats.org/officeDocument/2006/relationships/hyperlink" Target="https://drive.google.com/file/d/1zWO3Te4TYOczF9AdKeKNNPy_EgmrEhFQ/view?usp=drivesdk" TargetMode="External"/><Relationship Id="rId2758" Type="http://schemas.openxmlformats.org/officeDocument/2006/relationships/hyperlink" Target="https://drive.google.com/file/d/1ME3HHgt9JawJ4TVDM4mgrdiRZZn5ZkQD/view?usp=drivesdk" TargetMode="External"/><Relationship Id="rId1428" Type="http://schemas.openxmlformats.org/officeDocument/2006/relationships/hyperlink" Target="https://drive.google.com/file/d/17YCUYLdK2bmKj2dFytg-3Hcav7hORmjF/view?usp=drivesdk" TargetMode="External"/><Relationship Id="rId2759" Type="http://schemas.openxmlformats.org/officeDocument/2006/relationships/hyperlink" Target="https://drive.google.com/file/d/1Q984rmQXqbwrrnMY-wB5jcpYKEpb-2Qg/view?usp=drivesdk" TargetMode="External"/><Relationship Id="rId1429" Type="http://schemas.openxmlformats.org/officeDocument/2006/relationships/hyperlink" Target="https://drive.google.com/file/d/1QvUfdkDMI3SPlbbwVXLbTp8M6pfamBMY/view?usp=drivesdk" TargetMode="External"/><Relationship Id="rId2750" Type="http://schemas.openxmlformats.org/officeDocument/2006/relationships/hyperlink" Target="https://drive.google.com/file/d/1OSEYoq50TRvyqkjozHLp1CtvXHG-6rLL/view?usp=drivesdk" TargetMode="External"/><Relationship Id="rId1420" Type="http://schemas.openxmlformats.org/officeDocument/2006/relationships/hyperlink" Target="https://drive.google.com/file/d/1XPocD-WcJY0ehPEGHc6H2GH8HD_rE_5b/view?usp=drivesdk" TargetMode="External"/><Relationship Id="rId2751" Type="http://schemas.openxmlformats.org/officeDocument/2006/relationships/hyperlink" Target="https://drive.google.com/file/d/133wAd9ADUXthw033LGhcEhvxSj0cXryx/view?usp=drivesdk" TargetMode="External"/><Relationship Id="rId1421" Type="http://schemas.openxmlformats.org/officeDocument/2006/relationships/hyperlink" Target="https://drive.google.com/file/d/1r29pQfWkFgN2tABwJBE-wIp01T7N_7Qd/view?usp=drivesdk" TargetMode="External"/><Relationship Id="rId2752" Type="http://schemas.openxmlformats.org/officeDocument/2006/relationships/hyperlink" Target="https://drive.google.com/file/d/1wMURwXZnZSgj-yjJ9sraJzrfcHDhvQ8j/view?usp=drivesdk" TargetMode="External"/><Relationship Id="rId699" Type="http://schemas.openxmlformats.org/officeDocument/2006/relationships/hyperlink" Target="https://drive.google.com/file/d/1CbG1VOBApKmxZL6eX8yUgVdTUMTfuwuS/view?usp=drivesdk" TargetMode="External"/><Relationship Id="rId698" Type="http://schemas.openxmlformats.org/officeDocument/2006/relationships/hyperlink" Target="https://drive.google.com/file/d/1PpT_-ZbMQ_UCSJ9H796om0Jjm1kvQ4Ai/view?usp=drivesdk" TargetMode="External"/><Relationship Id="rId693" Type="http://schemas.openxmlformats.org/officeDocument/2006/relationships/hyperlink" Target="https://drive.google.com/file/d/1z_BdgeDAlPoyJc0uEwv-1ASySLTcgiv-/view?usp=drivesdk" TargetMode="External"/><Relationship Id="rId692" Type="http://schemas.openxmlformats.org/officeDocument/2006/relationships/hyperlink" Target="https://drive.google.com/file/d/1P_5NDbaodkN-AqumONn0hzTVzSTSM4y7/view?usp=drivesdk" TargetMode="External"/><Relationship Id="rId691" Type="http://schemas.openxmlformats.org/officeDocument/2006/relationships/hyperlink" Target="https://drive.google.com/file/d/1Ugkth0to_cNGmZpi0M4S3HNxgArz_XtF/view?usp=drivesdk" TargetMode="External"/><Relationship Id="rId690" Type="http://schemas.openxmlformats.org/officeDocument/2006/relationships/hyperlink" Target="https://drive.google.com/file/d/1AqmI6Zq6KP_U_Vn6pbBLW6XQLM1e2E2G/view?usp=drivesdk" TargetMode="External"/><Relationship Id="rId697" Type="http://schemas.openxmlformats.org/officeDocument/2006/relationships/hyperlink" Target="https://drive.google.com/file/d/1u1b7WcdpQ093xj3P4kbtxkfZbNQToggr/view?usp=drivesdk" TargetMode="External"/><Relationship Id="rId696" Type="http://schemas.openxmlformats.org/officeDocument/2006/relationships/hyperlink" Target="https://drive.google.com/file/d/1_KL9OSscMIfIh3Xklw7COJgoijUC206n/view?usp=drivesdk" TargetMode="External"/><Relationship Id="rId695" Type="http://schemas.openxmlformats.org/officeDocument/2006/relationships/hyperlink" Target="https://drive.google.com/file/d/17ketAgQS20_F9LvYc05suSn063Yk2r0z/view?usp=drivesdk" TargetMode="External"/><Relationship Id="rId694" Type="http://schemas.openxmlformats.org/officeDocument/2006/relationships/hyperlink" Target="https://drive.google.com/file/d/1pfk6NhLqZUxSC72HE5zA09nmkXL8bh3f/view?usp=drivesdk" TargetMode="External"/><Relationship Id="rId1499" Type="http://schemas.openxmlformats.org/officeDocument/2006/relationships/hyperlink" Target="https://drive.google.com/file/d/13-aZvvhwSjgBjdZB9gIwxJT4-D-JgM4Y/view?usp=drivesdk" TargetMode="External"/><Relationship Id="rId668" Type="http://schemas.openxmlformats.org/officeDocument/2006/relationships/hyperlink" Target="https://drive.google.com/file/d/1TOJYdFZuCFZ6A-6WUNAnOwXUFPx1LKjL/view?usp=drivesdk" TargetMode="External"/><Relationship Id="rId667" Type="http://schemas.openxmlformats.org/officeDocument/2006/relationships/hyperlink" Target="https://drive.google.com/file/d/1SPPwXl3EN9zetSmA-e3Z644z35ulTeZ3/view?usp=drivesdk" TargetMode="External"/><Relationship Id="rId666" Type="http://schemas.openxmlformats.org/officeDocument/2006/relationships/hyperlink" Target="https://drive.google.com/file/d/1Z1rpz2vQ1UnJBGhW3MRBqbnI3-9YIE7P/view?usp=drivesdk" TargetMode="External"/><Relationship Id="rId665" Type="http://schemas.openxmlformats.org/officeDocument/2006/relationships/hyperlink" Target="https://drive.google.com/file/d/17wiSKvjYrvXNe8RjsNZ_QkmrEGxMPxq_/view?usp=drivesdk" TargetMode="External"/><Relationship Id="rId669" Type="http://schemas.openxmlformats.org/officeDocument/2006/relationships/hyperlink" Target="https://drive.google.com/file/d/13hQx91DnpYAhqX2PDuFS8C7yUaeYoSMB/view?usp=drivesdk" TargetMode="External"/><Relationship Id="rId1490" Type="http://schemas.openxmlformats.org/officeDocument/2006/relationships/hyperlink" Target="https://drive.google.com/file/d/1MXWB81Rob2UjJLFBo2t7YyrxJqF6xc7k/view?usp=drivesdk" TargetMode="External"/><Relationship Id="rId660" Type="http://schemas.openxmlformats.org/officeDocument/2006/relationships/hyperlink" Target="https://drive.google.com/file/d/12BNoLabno_WqWzR-kvInVbBatCRAfrPZ/view?usp=drivesdk" TargetMode="External"/><Relationship Id="rId1491" Type="http://schemas.openxmlformats.org/officeDocument/2006/relationships/hyperlink" Target="https://drive.google.com/file/d/1k662Z55nvL6fVuQppJtmXmZEAg6B8OlN/view?usp=drivesdk" TargetMode="External"/><Relationship Id="rId1492" Type="http://schemas.openxmlformats.org/officeDocument/2006/relationships/hyperlink" Target="https://drive.google.com/file/d/1JY6wiPwPcUGEqQWiVBUp46lcizQn8Xp6/view?usp=drivesdk" TargetMode="External"/><Relationship Id="rId1493" Type="http://schemas.openxmlformats.org/officeDocument/2006/relationships/hyperlink" Target="https://drive.google.com/file/d/1l4Fyzl8ODP-J6QNdf6BMZKEzjr7T1jrc/view?usp=drivesdk" TargetMode="External"/><Relationship Id="rId1494" Type="http://schemas.openxmlformats.org/officeDocument/2006/relationships/hyperlink" Target="https://drive.google.com/file/d/1sRIqgi7llJfc0bXcAYeY1xU6h8cjQM7L/view?usp=drivesdk" TargetMode="External"/><Relationship Id="rId664" Type="http://schemas.openxmlformats.org/officeDocument/2006/relationships/hyperlink" Target="https://drive.google.com/file/d/1oK-_u713Q6fX6dkgvkAlMIXsdLA243yv/view?usp=drivesdk" TargetMode="External"/><Relationship Id="rId1495" Type="http://schemas.openxmlformats.org/officeDocument/2006/relationships/hyperlink" Target="https://drive.google.com/file/d/10-gsNwK6KvqX9tOCflNeUW-zWnKtl0JV/view?usp=drivesdk" TargetMode="External"/><Relationship Id="rId663" Type="http://schemas.openxmlformats.org/officeDocument/2006/relationships/hyperlink" Target="https://drive.google.com/file/d/18A-XkqCG4rLDKbmUuabq3z5jBo-_eF76/view?usp=drivesdk" TargetMode="External"/><Relationship Id="rId1496" Type="http://schemas.openxmlformats.org/officeDocument/2006/relationships/hyperlink" Target="https://drive.google.com/file/d/1zwo0Z9c95_nMMyR8_YF91_12LgVySkVG/view?usp=drivesdk" TargetMode="External"/><Relationship Id="rId662" Type="http://schemas.openxmlformats.org/officeDocument/2006/relationships/hyperlink" Target="https://drive.google.com/file/d/18l1u9WldKybMsycKcX5hDqGJIpRCJcJg/view?usp=drivesdk" TargetMode="External"/><Relationship Id="rId1497" Type="http://schemas.openxmlformats.org/officeDocument/2006/relationships/hyperlink" Target="https://drive.google.com/file/d/1QuBW1YTzJmF7ZZ5KLsu8m14qTEgfOrf4/view?usp=drivesdk" TargetMode="External"/><Relationship Id="rId661" Type="http://schemas.openxmlformats.org/officeDocument/2006/relationships/hyperlink" Target="https://drive.google.com/file/d/1MyRiEtlfJYAUVeQO0NToJp0ZjN8uffrl/view?usp=drivesdk" TargetMode="External"/><Relationship Id="rId1498" Type="http://schemas.openxmlformats.org/officeDocument/2006/relationships/hyperlink" Target="https://drive.google.com/file/d/1jLPe3BMjMoGusQT0KkiegKkiGsIIVazO/view?usp=drivesdk" TargetMode="External"/><Relationship Id="rId1488" Type="http://schemas.openxmlformats.org/officeDocument/2006/relationships/hyperlink" Target="https://drive.google.com/file/d/16uoJ6bzNUexR0mdpdovXBeytBzvN_136/view?usp=drivesdk" TargetMode="External"/><Relationship Id="rId1489" Type="http://schemas.openxmlformats.org/officeDocument/2006/relationships/hyperlink" Target="https://drive.google.com/file/d/1eC9LWTi7YGd4cLPQx-GgSHAWh6LWXcw0/view?usp=drivesdk" TargetMode="External"/><Relationship Id="rId657" Type="http://schemas.openxmlformats.org/officeDocument/2006/relationships/hyperlink" Target="https://drive.google.com/file/d/1n-aH1cl_KhJ5tAKkZfGd3huJb6qDvH71/view?usp=drivesdk" TargetMode="External"/><Relationship Id="rId656" Type="http://schemas.openxmlformats.org/officeDocument/2006/relationships/hyperlink" Target="https://drive.google.com/file/d/1VFDrVPJ16syKmJZ9a-IOJ8lIGkiblhZN/view?usp=drivesdk" TargetMode="External"/><Relationship Id="rId655" Type="http://schemas.openxmlformats.org/officeDocument/2006/relationships/hyperlink" Target="https://drive.google.com/file/d/11rfoLU9N-33GZVUpkuSdLbsksE9UUrtg/view?usp=drivesdk" TargetMode="External"/><Relationship Id="rId654" Type="http://schemas.openxmlformats.org/officeDocument/2006/relationships/hyperlink" Target="https://drive.google.com/file/d/1prx_SpmUyRZ5cDfirHGKUdutRkrszFZA/view?usp=drivesdk" TargetMode="External"/><Relationship Id="rId659" Type="http://schemas.openxmlformats.org/officeDocument/2006/relationships/hyperlink" Target="https://drive.google.com/file/d/1xUncwZ0DyBC_gphDS3a8q-bzLEZylXdj/view?usp=drivesdk" TargetMode="External"/><Relationship Id="rId658" Type="http://schemas.openxmlformats.org/officeDocument/2006/relationships/hyperlink" Target="https://drive.google.com/file/d/1kQS-kx1jV-RoRamFPKT5qlhq7hXEXmwX/view?usp=drivesdk" TargetMode="External"/><Relationship Id="rId1480" Type="http://schemas.openxmlformats.org/officeDocument/2006/relationships/hyperlink" Target="https://drive.google.com/file/d/1OOgKX982Ng8tydvQqqxiG0UsYnabnRTG/view?usp=drivesdk" TargetMode="External"/><Relationship Id="rId1481" Type="http://schemas.openxmlformats.org/officeDocument/2006/relationships/hyperlink" Target="https://drive.google.com/file/d/1v1ps4ZXyeuA6oh-dBBHP40l4Xpza5N7a/view?usp=drivesdk" TargetMode="External"/><Relationship Id="rId1482" Type="http://schemas.openxmlformats.org/officeDocument/2006/relationships/hyperlink" Target="https://drive.google.com/file/d/1nYfwtg7LOkwbDyblaFjUtaNGyJeVa2t6/view?usp=drivesdk" TargetMode="External"/><Relationship Id="rId1483" Type="http://schemas.openxmlformats.org/officeDocument/2006/relationships/hyperlink" Target="https://drive.google.com/file/d/14DoZhXh5CpIYiGXFur--kAAsi_gMfaSY/view?usp=drivesdk" TargetMode="External"/><Relationship Id="rId653" Type="http://schemas.openxmlformats.org/officeDocument/2006/relationships/hyperlink" Target="https://drive.google.com/file/d/1jU4WVLVIMVjLbndmd1oIglQw1NjeWuN8/view?usp=drivesdk" TargetMode="External"/><Relationship Id="rId1484" Type="http://schemas.openxmlformats.org/officeDocument/2006/relationships/hyperlink" Target="https://drive.google.com/file/d/1jK0NLsKWV8FX2gaf2LEa7FXjL-RPXOAT/view?usp=drivesdk" TargetMode="External"/><Relationship Id="rId652" Type="http://schemas.openxmlformats.org/officeDocument/2006/relationships/hyperlink" Target="https://drive.google.com/file/d/1L9WmKWrJmdY3WhFd6IJ3w3z20Yu8p5PM/view?usp=drivesdk" TargetMode="External"/><Relationship Id="rId1485" Type="http://schemas.openxmlformats.org/officeDocument/2006/relationships/hyperlink" Target="https://drive.google.com/file/d/1Dqew43Y8v38P1r4gR5u_w-Qmg53Bl1k5/view?usp=drivesdk" TargetMode="External"/><Relationship Id="rId651" Type="http://schemas.openxmlformats.org/officeDocument/2006/relationships/hyperlink" Target="https://drive.google.com/file/d/1Q9oL16iBjr8m6fB26vJ4sk61IKjHHCIo/view?usp=drivesdk" TargetMode="External"/><Relationship Id="rId1486" Type="http://schemas.openxmlformats.org/officeDocument/2006/relationships/hyperlink" Target="https://drive.google.com/file/d/1E7eIQbprHd2AUw9X5A-g5L9xxHpTZ0P1/view?usp=drivesdk" TargetMode="External"/><Relationship Id="rId650" Type="http://schemas.openxmlformats.org/officeDocument/2006/relationships/hyperlink" Target="https://drive.google.com/file/d/1CE9z8pHdkOjBn6Ba6fM2Ik4nyVZdmm26/view?usp=drivesdk" TargetMode="External"/><Relationship Id="rId1487" Type="http://schemas.openxmlformats.org/officeDocument/2006/relationships/hyperlink" Target="https://drive.google.com/file/d/1UAZP-7EFUjtBAC0eRgBKAvSYCJnbPMpz/view?usp=drivesdk" TargetMode="External"/><Relationship Id="rId689" Type="http://schemas.openxmlformats.org/officeDocument/2006/relationships/hyperlink" Target="https://drive.google.com/file/d/1wwnFr3pqPX_LothYiI13vAF9BHLBTgr5/view?usp=drivesdk" TargetMode="External"/><Relationship Id="rId688" Type="http://schemas.openxmlformats.org/officeDocument/2006/relationships/hyperlink" Target="https://drive.google.com/file/d/1xFzDm4S7_QQw1esjWmqi7nhg48Yqym3N/view?usp=drivesdk" TargetMode="External"/><Relationship Id="rId687" Type="http://schemas.openxmlformats.org/officeDocument/2006/relationships/hyperlink" Target="https://drive.google.com/file/d/1ChnTp3WwnI7GsVilMB_0xUxJVRcijITh/view?usp=drivesdk" TargetMode="External"/><Relationship Id="rId682" Type="http://schemas.openxmlformats.org/officeDocument/2006/relationships/hyperlink" Target="https://drive.google.com/file/d/1nPKtIVln8V26-2TlelyxSIDrW9DB2IY4/view?usp=drivesdk" TargetMode="External"/><Relationship Id="rId681" Type="http://schemas.openxmlformats.org/officeDocument/2006/relationships/hyperlink" Target="https://drive.google.com/file/d/1palPBkJHCvYlPBUeKlt_R0vV70lzSnDX/view?usp=drivesdk" TargetMode="External"/><Relationship Id="rId680" Type="http://schemas.openxmlformats.org/officeDocument/2006/relationships/hyperlink" Target="https://drive.google.com/file/d/1oxrBEjfF17yXVvaokTD0u5RL_sgkSMgx/view?usp=drivesdk" TargetMode="External"/><Relationship Id="rId686" Type="http://schemas.openxmlformats.org/officeDocument/2006/relationships/hyperlink" Target="https://drive.google.com/file/d/1lekgV_7d1Wb3Sleyh_r5jBNlDgkh0Qle/view?usp=drivesdk" TargetMode="External"/><Relationship Id="rId685" Type="http://schemas.openxmlformats.org/officeDocument/2006/relationships/hyperlink" Target="https://drive.google.com/file/d/1E9vjsTCQu9mBa51YODe8l3tjx7J7jUs5/view?usp=drivesdk" TargetMode="External"/><Relationship Id="rId684" Type="http://schemas.openxmlformats.org/officeDocument/2006/relationships/hyperlink" Target="https://drive.google.com/file/d/1EK70voCEjQThFwJv8w0XAfJnswIJGsgT/view?usp=drivesdk" TargetMode="External"/><Relationship Id="rId683" Type="http://schemas.openxmlformats.org/officeDocument/2006/relationships/hyperlink" Target="https://drive.google.com/file/d/1q-aYNt3MoOQkBO6zo6Y4QjY5op6bsWLz/view?usp=drivesdk" TargetMode="External"/><Relationship Id="rId679" Type="http://schemas.openxmlformats.org/officeDocument/2006/relationships/hyperlink" Target="https://drive.google.com/file/d/1UP7ZYzMzV0FosoKq3xKtP3jqY-RWWp6q/view?usp=drivesdk" TargetMode="External"/><Relationship Id="rId678" Type="http://schemas.openxmlformats.org/officeDocument/2006/relationships/hyperlink" Target="https://drive.google.com/file/d/1JIio9dD942E8dACgVVdAKxTirhGvnXYU/view?usp=drivesdk" TargetMode="External"/><Relationship Id="rId677" Type="http://schemas.openxmlformats.org/officeDocument/2006/relationships/hyperlink" Target="https://drive.google.com/file/d/1sdsQjWafNvJsqiOokdecPrifBQu9p9Px/view?usp=drivesdk" TargetMode="External"/><Relationship Id="rId676" Type="http://schemas.openxmlformats.org/officeDocument/2006/relationships/hyperlink" Target="https://drive.google.com/file/d/1usYtsHIoTKO8531DjDrxK0BeT1l_LPz6/view?usp=drivesdk" TargetMode="External"/><Relationship Id="rId671" Type="http://schemas.openxmlformats.org/officeDocument/2006/relationships/hyperlink" Target="https://drive.google.com/file/d/1qecxJdtawJYZmBtkcoMEpwDPo65HDsq2/view?usp=drivesdk" TargetMode="External"/><Relationship Id="rId670" Type="http://schemas.openxmlformats.org/officeDocument/2006/relationships/hyperlink" Target="https://drive.google.com/file/d/1QA7YAwgg5b8YsqnwWC4ZDvDqVn4dmSLL/view?usp=drivesdk" TargetMode="External"/><Relationship Id="rId675" Type="http://schemas.openxmlformats.org/officeDocument/2006/relationships/hyperlink" Target="https://drive.google.com/file/d/1o6O-7mzih7pLbXI0LvgHAGTHdrcsdwPO/view?usp=drivesdk" TargetMode="External"/><Relationship Id="rId674" Type="http://schemas.openxmlformats.org/officeDocument/2006/relationships/hyperlink" Target="https://drive.google.com/file/d/1PrXhDjMftmVVXPIzlR26bEkV-SjGoPKc/view?usp=drivesdk" TargetMode="External"/><Relationship Id="rId673" Type="http://schemas.openxmlformats.org/officeDocument/2006/relationships/hyperlink" Target="https://drive.google.com/file/d/1Qtqc8Y9nO0A_exYgizsLO37Iiop8gtyI/view?usp=drivesdk" TargetMode="External"/><Relationship Id="rId672" Type="http://schemas.openxmlformats.org/officeDocument/2006/relationships/hyperlink" Target="https://drive.google.com/file/d/1K7P5oYfEmH71kcaOfP7Dmjql5yh28Dm7/view?usp=drivesdk" TargetMode="External"/><Relationship Id="rId190" Type="http://schemas.openxmlformats.org/officeDocument/2006/relationships/hyperlink" Target="https://drive.google.com/file/d/1pIIG0ZQBb46cqDdsTz5tB3FytjK5h1Hi/view?usp=drivesdk" TargetMode="External"/><Relationship Id="rId194" Type="http://schemas.openxmlformats.org/officeDocument/2006/relationships/hyperlink" Target="https://drive.google.com/file/d/1-_nqeFaAjH1Om4M9pTrpOXbibw2HMm81/view?usp=drivesdk" TargetMode="External"/><Relationship Id="rId193" Type="http://schemas.openxmlformats.org/officeDocument/2006/relationships/hyperlink" Target="https://drive.google.com/file/d/1JiCpM3GBMboleEO7mO1cyDcLD7k6QP8D/view?usp=drivesdk" TargetMode="External"/><Relationship Id="rId192" Type="http://schemas.openxmlformats.org/officeDocument/2006/relationships/hyperlink" Target="https://drive.google.com/file/d/12Grha0IblEDRDsru1sBT-e5WAtsgYAtY/view?usp=drivesdk" TargetMode="External"/><Relationship Id="rId191" Type="http://schemas.openxmlformats.org/officeDocument/2006/relationships/hyperlink" Target="https://drive.google.com/file/d/1kRAZv8AQgJWtv6psSuoq4TlL6AlstG91/view?usp=drivesdk" TargetMode="External"/><Relationship Id="rId187" Type="http://schemas.openxmlformats.org/officeDocument/2006/relationships/hyperlink" Target="https://drive.google.com/file/d/1JwbbTtqp1CeQGjjwKLHnx5YCvp0y-b2Y/view?usp=drivesdk" TargetMode="External"/><Relationship Id="rId186" Type="http://schemas.openxmlformats.org/officeDocument/2006/relationships/hyperlink" Target="https://drive.google.com/file/d/1-s9bMvlhmlKFsiRLDFI3bl4L2X7mIKeh/view?usp=drivesdk" TargetMode="External"/><Relationship Id="rId185" Type="http://schemas.openxmlformats.org/officeDocument/2006/relationships/hyperlink" Target="https://drive.google.com/file/d/1rFt4mm_xpIAlONL-Q0W7ajrXVkxbYYyz/view?usp=drivesdk" TargetMode="External"/><Relationship Id="rId184" Type="http://schemas.openxmlformats.org/officeDocument/2006/relationships/hyperlink" Target="https://drive.google.com/file/d/1_8LuLjeXmn9z8_he_OHlfUHjZJ7pyxJk/view?usp=drivesdk" TargetMode="External"/><Relationship Id="rId189" Type="http://schemas.openxmlformats.org/officeDocument/2006/relationships/hyperlink" Target="https://drive.google.com/file/d/1rgxOiziQddWT9NZ68KsqMwaKsYAxGwY5/view?usp=drivesdk" TargetMode="External"/><Relationship Id="rId188" Type="http://schemas.openxmlformats.org/officeDocument/2006/relationships/hyperlink" Target="https://drive.google.com/file/d/1_-oK1kgN0rqGzgqKOEopXZA_aycerClh/view?usp=drivesdk" TargetMode="External"/><Relationship Id="rId183" Type="http://schemas.openxmlformats.org/officeDocument/2006/relationships/hyperlink" Target="https://drive.google.com/file/d/1INrYgOm8wfcMzqBNbAQZt3Ri3ZSuSpJ1/view?usp=drivesdk" TargetMode="External"/><Relationship Id="rId182" Type="http://schemas.openxmlformats.org/officeDocument/2006/relationships/hyperlink" Target="https://drive.google.com/file/d/10zjtQMXw_mVBTcksrWYO3-WHZDh5PhtU/view?usp=drivesdk" TargetMode="External"/><Relationship Id="rId181" Type="http://schemas.openxmlformats.org/officeDocument/2006/relationships/hyperlink" Target="https://drive.google.com/file/d/1casmF63d6UCd8ePLuQsDUJR03xbf_vj-/view?usp=drivesdk" TargetMode="External"/><Relationship Id="rId180" Type="http://schemas.openxmlformats.org/officeDocument/2006/relationships/hyperlink" Target="https://drive.google.com/file/d/1hIHtLmoN85-zIunFoLkucLiUMrcrZ4kO/view?usp=drivesdk" TargetMode="External"/><Relationship Id="rId176" Type="http://schemas.openxmlformats.org/officeDocument/2006/relationships/hyperlink" Target="https://drive.google.com/file/d/1wyG44SWGaM29EN9VtmyTx0MPhfE3nuk9/view?usp=drivesdk" TargetMode="External"/><Relationship Id="rId175" Type="http://schemas.openxmlformats.org/officeDocument/2006/relationships/hyperlink" Target="https://drive.google.com/file/d/10g95i5zYVr4kpjtg6Swyx9SzRRGKLhF3/view?usp=drivesdk" TargetMode="External"/><Relationship Id="rId174" Type="http://schemas.openxmlformats.org/officeDocument/2006/relationships/hyperlink" Target="https://drive.google.com/file/d/1OwZhS2fmqyYYe-YhCkxVALPGlvTcbg5D/view?usp=drivesdk" TargetMode="External"/><Relationship Id="rId173" Type="http://schemas.openxmlformats.org/officeDocument/2006/relationships/hyperlink" Target="https://drive.google.com/file/d/18wJfMB-nV9D257bRuTcXr-nnlem7sCQF/view?usp=drivesdk" TargetMode="External"/><Relationship Id="rId179" Type="http://schemas.openxmlformats.org/officeDocument/2006/relationships/hyperlink" Target="https://drive.google.com/file/d/1ctYTXs6Tw9u4JAPLAampTUTytHBWIcQE/view?usp=drivesdk" TargetMode="External"/><Relationship Id="rId178" Type="http://schemas.openxmlformats.org/officeDocument/2006/relationships/hyperlink" Target="https://drive.google.com/file/d/1PDKERSaijFk0sW1VC1p_BF25zrFUsBWF/view?usp=drivesdk" TargetMode="External"/><Relationship Id="rId177" Type="http://schemas.openxmlformats.org/officeDocument/2006/relationships/hyperlink" Target="https://drive.google.com/file/d/1A2IBAnIa5QedmGrWZzWEWoKhNdX0jk22/view?usp=drivesdk" TargetMode="External"/><Relationship Id="rId198" Type="http://schemas.openxmlformats.org/officeDocument/2006/relationships/hyperlink" Target="https://drive.google.com/file/d/1tO6CTx_0r41JlP8AINGS6eNVMLtJKTue/view?usp=drivesdk" TargetMode="External"/><Relationship Id="rId197" Type="http://schemas.openxmlformats.org/officeDocument/2006/relationships/hyperlink" Target="https://drive.google.com/file/d/1MLqE41WBXXBhu7YLW0Zv0oPbdd9eeBce/view?usp=drivesdk" TargetMode="External"/><Relationship Id="rId196" Type="http://schemas.openxmlformats.org/officeDocument/2006/relationships/hyperlink" Target="https://drive.google.com/file/d/1Ma4Ik60HmA5Wd8aZgjVgbueJGW8edvaX/view?usp=drivesdk" TargetMode="External"/><Relationship Id="rId195" Type="http://schemas.openxmlformats.org/officeDocument/2006/relationships/hyperlink" Target="https://drive.google.com/file/d/1V7UFaNoVrI2M_g0YAfROloNHMwkg59IN/view?usp=drivesdk" TargetMode="External"/><Relationship Id="rId199" Type="http://schemas.openxmlformats.org/officeDocument/2006/relationships/hyperlink" Target="https://drive.google.com/file/d/1dXG8OJ-s5Uzs24mWLcN6FVS3RtfNb9p2/view?usp=drivesdk" TargetMode="External"/><Relationship Id="rId150" Type="http://schemas.openxmlformats.org/officeDocument/2006/relationships/hyperlink" Target="https://drive.google.com/file/d/1LTLAR0sx1VhEPiuPBd4cXSmF9Om2NCRO/view?usp=drivesdk" TargetMode="External"/><Relationship Id="rId149" Type="http://schemas.openxmlformats.org/officeDocument/2006/relationships/hyperlink" Target="https://drive.google.com/file/d/15xe_V5k9RTQpZVqg1qKFhmJ1oawQecuS/view?usp=drivesdk" TargetMode="External"/><Relationship Id="rId148" Type="http://schemas.openxmlformats.org/officeDocument/2006/relationships/hyperlink" Target="https://drive.google.com/file/d/1Tek4QKDewflsXjmUSyzDZRI8EeKeRVM6/view?usp=drivesdk" TargetMode="External"/><Relationship Id="rId143" Type="http://schemas.openxmlformats.org/officeDocument/2006/relationships/hyperlink" Target="https://drive.google.com/file/d/1VxSs8rlsmqSHxoyDH3TrPm0jSxVW1uzL/view?usp=drivesdk" TargetMode="External"/><Relationship Id="rId142" Type="http://schemas.openxmlformats.org/officeDocument/2006/relationships/hyperlink" Target="https://drive.google.com/file/d/1FqeY0JUGHc4A6lgyu2gPAMkhgeaGNaW-/view?usp=drivesdk" TargetMode="External"/><Relationship Id="rId141" Type="http://schemas.openxmlformats.org/officeDocument/2006/relationships/hyperlink" Target="https://drive.google.com/file/d/1hNuT-TdVM50Dh3IHVqyLCjDHgLL97kGq/view?usp=drivesdk" TargetMode="External"/><Relationship Id="rId140" Type="http://schemas.openxmlformats.org/officeDocument/2006/relationships/hyperlink" Target="https://drive.google.com/file/d/1ENHPOfgO3OSx5WytuJbD2wsrjBNmb2gB/view?usp=drivesdk" TargetMode="External"/><Relationship Id="rId147" Type="http://schemas.openxmlformats.org/officeDocument/2006/relationships/hyperlink" Target="https://drive.google.com/file/d/1AvzMsyrLDlXR5sYqv4e7W5gNCldzc4Az/view?usp=drivesdk" TargetMode="External"/><Relationship Id="rId146" Type="http://schemas.openxmlformats.org/officeDocument/2006/relationships/hyperlink" Target="https://drive.google.com/file/d/1JIS73Lg2BDMm6c52zcPRO3mJzXbelLUy/view?usp=drivesdk" TargetMode="External"/><Relationship Id="rId145" Type="http://schemas.openxmlformats.org/officeDocument/2006/relationships/hyperlink" Target="https://drive.google.com/file/d/1n_Kdh3QRrMvpN-x2XFBVnDzGh9xRcqNM/view?usp=drivesdk" TargetMode="External"/><Relationship Id="rId144" Type="http://schemas.openxmlformats.org/officeDocument/2006/relationships/hyperlink" Target="https://drive.google.com/file/d/1AxDN1lO8aGVYVkqwStoqiIBEcLZ3tBjh/view?usp=drivesdk" TargetMode="External"/><Relationship Id="rId139" Type="http://schemas.openxmlformats.org/officeDocument/2006/relationships/hyperlink" Target="https://drive.google.com/file/d/18AFmwQ0RlXza0cLo2LTlHuC2iCQHOPVC/view?usp=drivesdk" TargetMode="External"/><Relationship Id="rId138" Type="http://schemas.openxmlformats.org/officeDocument/2006/relationships/hyperlink" Target="https://drive.google.com/file/d/1yzOy5RyHtPTqW9q46XTc1TaSrjr4Yyrq/view?usp=drivesdk" TargetMode="External"/><Relationship Id="rId137" Type="http://schemas.openxmlformats.org/officeDocument/2006/relationships/hyperlink" Target="https://drive.google.com/file/d/1A48Wp2HllRYF2gNX5IVcNWg7jEVHx9gz/view?usp=drivesdk" TargetMode="External"/><Relationship Id="rId132" Type="http://schemas.openxmlformats.org/officeDocument/2006/relationships/hyperlink" Target="https://drive.google.com/file/d/1y5xcHYwlqQSG-RdbIPIaV7xSFJKHxpCy/view?usp=drivesdk" TargetMode="External"/><Relationship Id="rId131" Type="http://schemas.openxmlformats.org/officeDocument/2006/relationships/hyperlink" Target="https://drive.google.com/file/d/1XFLe1Hj1cy4ps0wY68AyaWppg9yQzf_h/view?usp=drivesdk" TargetMode="External"/><Relationship Id="rId130" Type="http://schemas.openxmlformats.org/officeDocument/2006/relationships/hyperlink" Target="https://drive.google.com/file/d/1sr1ugEfrG06nBhUzhH_Gqa1HJpQlSeVs/view?usp=drivesdk" TargetMode="External"/><Relationship Id="rId136" Type="http://schemas.openxmlformats.org/officeDocument/2006/relationships/hyperlink" Target="https://drive.google.com/file/d/1gm7Xp1zy8mbzruAdJsZv3pgRXwVS7RdV/view?usp=drivesdk" TargetMode="External"/><Relationship Id="rId135" Type="http://schemas.openxmlformats.org/officeDocument/2006/relationships/hyperlink" Target="https://drive.google.com/file/d/1dsxU30DbINO2amgF3uqgjlh8wnopIaai/view?usp=drivesdk" TargetMode="External"/><Relationship Id="rId134" Type="http://schemas.openxmlformats.org/officeDocument/2006/relationships/hyperlink" Target="https://drive.google.com/file/d/16ziL8jSZBvjfI3zCy6I2ljsBrbIOrEm_/view?usp=drivesdk" TargetMode="External"/><Relationship Id="rId133" Type="http://schemas.openxmlformats.org/officeDocument/2006/relationships/hyperlink" Target="https://drive.google.com/file/d/1IeQmY-CX4cnN_NDX35YWzh3kUQPqF8vm/view?usp=drivesdk" TargetMode="External"/><Relationship Id="rId172" Type="http://schemas.openxmlformats.org/officeDocument/2006/relationships/hyperlink" Target="https://drive.google.com/file/d/1slyzIANWOU2lMl4r2vJg06ZJ4rYtveRp/view?usp=drivesdk" TargetMode="External"/><Relationship Id="rId171" Type="http://schemas.openxmlformats.org/officeDocument/2006/relationships/hyperlink" Target="https://drive.google.com/file/d/1fI6e235X1MrHdE453S_n5OyxOGIe0pC7/view?usp=drivesdk" TargetMode="External"/><Relationship Id="rId170" Type="http://schemas.openxmlformats.org/officeDocument/2006/relationships/hyperlink" Target="https://drive.google.com/file/d/1eP-M3h6_zyo74P4oZEhe0Pekzs-jOTaD/view?usp=drivesdk" TargetMode="External"/><Relationship Id="rId165" Type="http://schemas.openxmlformats.org/officeDocument/2006/relationships/hyperlink" Target="https://drive.google.com/file/d/1EG5ZqNiwCNQczFoJvA0qgtnaMaJN7DjJ/view?usp=drivesdk" TargetMode="External"/><Relationship Id="rId164" Type="http://schemas.openxmlformats.org/officeDocument/2006/relationships/hyperlink" Target="https://drive.google.com/file/d/1ao4tQCyXI8ZxraKax0MLjjmpUVIrrFTd/view?usp=drivesdk" TargetMode="External"/><Relationship Id="rId163" Type="http://schemas.openxmlformats.org/officeDocument/2006/relationships/hyperlink" Target="https://drive.google.com/file/d/1y6WGFS3SYXDWhx4DUfRNBiJJJw0zcU9I/view?usp=drivesdk" TargetMode="External"/><Relationship Id="rId162" Type="http://schemas.openxmlformats.org/officeDocument/2006/relationships/hyperlink" Target="https://drive.google.com/file/d/12kl7B_gN5NAhDlyqunW2AObCMtswBLHg/view?usp=drivesdk" TargetMode="External"/><Relationship Id="rId169" Type="http://schemas.openxmlformats.org/officeDocument/2006/relationships/hyperlink" Target="https://drive.google.com/file/d/1iOArfd24jMuY_j52dasZjZYJSXGlA86T/view?usp=drivesdk" TargetMode="External"/><Relationship Id="rId168" Type="http://schemas.openxmlformats.org/officeDocument/2006/relationships/hyperlink" Target="https://drive.google.com/file/d/1LTsn9mOcJwq9UJlCnngwgrmXQJ2qTkCy/view?usp=drivesdk" TargetMode="External"/><Relationship Id="rId167" Type="http://schemas.openxmlformats.org/officeDocument/2006/relationships/hyperlink" Target="https://drive.google.com/file/d/1oHwAEcQrTCmOHPcPPh29idBejLo5Zg6Y/view?usp=drivesdk" TargetMode="External"/><Relationship Id="rId166" Type="http://schemas.openxmlformats.org/officeDocument/2006/relationships/hyperlink" Target="https://drive.google.com/file/d/1A-wGvCZNEQ7az_ALsu-ACa_3AsMfQT49/view?usp=drivesdk" TargetMode="External"/><Relationship Id="rId161" Type="http://schemas.openxmlformats.org/officeDocument/2006/relationships/hyperlink" Target="https://drive.google.com/file/d/16T75K2ElhxvGzIP1ipvvQWXWcnxAXrX5/view?usp=drivesdk" TargetMode="External"/><Relationship Id="rId160" Type="http://schemas.openxmlformats.org/officeDocument/2006/relationships/hyperlink" Target="https://drive.google.com/file/d/1Vy08NiNuTh9JYWcF1W2Vf2axFtKh4drW/view?usp=drivesdk" TargetMode="External"/><Relationship Id="rId159" Type="http://schemas.openxmlformats.org/officeDocument/2006/relationships/hyperlink" Target="https://drive.google.com/file/d/1IpWFLyUE9G-tAeYRc1SQmc72yXV_hf4B/view?usp=drivesdk" TargetMode="External"/><Relationship Id="rId154" Type="http://schemas.openxmlformats.org/officeDocument/2006/relationships/hyperlink" Target="https://drive.google.com/file/d/1_EzHR9pcK0ngqgMik_fV8GDpObIK8wd2/view?usp=drivesdk" TargetMode="External"/><Relationship Id="rId153" Type="http://schemas.openxmlformats.org/officeDocument/2006/relationships/hyperlink" Target="https://drive.google.com/file/d/1V6v17XrOALAlZel_ce1TcDO3tA9wxzSO/view?usp=drivesdk" TargetMode="External"/><Relationship Id="rId152" Type="http://schemas.openxmlformats.org/officeDocument/2006/relationships/hyperlink" Target="https://drive.google.com/file/d/1i1CbRERxyKW1FFbhZ8l_KsOGenombCL-/view?usp=drivesdk" TargetMode="External"/><Relationship Id="rId151" Type="http://schemas.openxmlformats.org/officeDocument/2006/relationships/hyperlink" Target="https://drive.google.com/file/d/1bsa9ewTKv6aoDFvv5XO6HEaALNY6zd6o/view?usp=drivesdk" TargetMode="External"/><Relationship Id="rId158" Type="http://schemas.openxmlformats.org/officeDocument/2006/relationships/hyperlink" Target="https://drive.google.com/file/d/15reetxk-u0hOy-vfR2jI4B4Tpns5w20E/view?usp=drivesdk" TargetMode="External"/><Relationship Id="rId157" Type="http://schemas.openxmlformats.org/officeDocument/2006/relationships/hyperlink" Target="https://drive.google.com/file/d/1nLVCcdv_66nYF2sRvhid60_rUR9xBJTg/view?usp=drivesdk" TargetMode="External"/><Relationship Id="rId156" Type="http://schemas.openxmlformats.org/officeDocument/2006/relationships/hyperlink" Target="https://drive.google.com/file/d/1_MG2hCFLSC3hK9JN_Vd97ScYOFkmCeNB/view?usp=drivesdk" TargetMode="External"/><Relationship Id="rId155" Type="http://schemas.openxmlformats.org/officeDocument/2006/relationships/hyperlink" Target="https://drive.google.com/file/d/1mCjJEa0zEdrLp7xaVHvS-ueqh5_YiyPt/view?usp=drivesdk" TargetMode="External"/><Relationship Id="rId2820" Type="http://schemas.openxmlformats.org/officeDocument/2006/relationships/hyperlink" Target="https://drive.google.com/file/d/1ILNp7MaC4OusbPANu-7wOS3KK98RWdcz/view?usp=drivesdk" TargetMode="External"/><Relationship Id="rId2821" Type="http://schemas.openxmlformats.org/officeDocument/2006/relationships/hyperlink" Target="https://drive.google.com/file/d/1gGhVdcAfMLypZb8lB75H44xX4er1HFm3/view?usp=drivesdk" TargetMode="External"/><Relationship Id="rId2822" Type="http://schemas.openxmlformats.org/officeDocument/2006/relationships/hyperlink" Target="https://drive.google.com/file/d/16CJXCd6Rzqik5rD_iyUPgxYh8MalzPm4/view?usp=drivesdk" TargetMode="External"/><Relationship Id="rId2823" Type="http://schemas.openxmlformats.org/officeDocument/2006/relationships/hyperlink" Target="https://drive.google.com/file/d/16eIzUB6LjNl3GMULG3vB5p7EO1iC0SJ3/view?usp=drivesdk" TargetMode="External"/><Relationship Id="rId2824" Type="http://schemas.openxmlformats.org/officeDocument/2006/relationships/hyperlink" Target="https://drive.google.com/file/d/15z0y7asIfplDps5d3R71GhEJxQWqBU9w/view?usp=drivesdk" TargetMode="External"/><Relationship Id="rId2825" Type="http://schemas.openxmlformats.org/officeDocument/2006/relationships/hyperlink" Target="https://drive.google.com/file/d/12OzFlZKms2M0ZvYy4yTBRvGof4FqM1Ud/view?usp=drivesdk" TargetMode="External"/><Relationship Id="rId2826" Type="http://schemas.openxmlformats.org/officeDocument/2006/relationships/hyperlink" Target="https://drive.google.com/file/d/1NhDFPwAmpyjx9HSRtLTUixh6ZZLCECKn/view?usp=drivesdk" TargetMode="External"/><Relationship Id="rId2827" Type="http://schemas.openxmlformats.org/officeDocument/2006/relationships/hyperlink" Target="https://drive.google.com/file/d/1G9_olsUh3tpfcqhh1KX72VpE0keeAnj7/view?usp=drivesdk" TargetMode="External"/><Relationship Id="rId2828" Type="http://schemas.openxmlformats.org/officeDocument/2006/relationships/hyperlink" Target="https://drive.google.com/file/d/12tOopuzKbG82LEOynQuHYZ8im59EjTth/view?usp=drivesdk" TargetMode="External"/><Relationship Id="rId2829" Type="http://schemas.openxmlformats.org/officeDocument/2006/relationships/hyperlink" Target="https://drive.google.com/file/d/1YjgU1oCfPf7_yAtASpZhwJS4TVj_g8CU/view?usp=drivesdk" TargetMode="External"/><Relationship Id="rId2810" Type="http://schemas.openxmlformats.org/officeDocument/2006/relationships/hyperlink" Target="https://drive.google.com/file/d/1jZMmibrF0qP1C-7eRJEcXJL4O_ztSG2B/view?usp=drivesdk" TargetMode="External"/><Relationship Id="rId2811" Type="http://schemas.openxmlformats.org/officeDocument/2006/relationships/hyperlink" Target="https://drive.google.com/file/d/1jBszlwOALWIwLYvif4D3xVGXucPXKUwU/view?usp=drivesdk" TargetMode="External"/><Relationship Id="rId2812" Type="http://schemas.openxmlformats.org/officeDocument/2006/relationships/hyperlink" Target="https://drive.google.com/file/d/1lWEjtXsosG3uPn1h67AzaUXydMvmlJWW/view?usp=drivesdk" TargetMode="External"/><Relationship Id="rId2813" Type="http://schemas.openxmlformats.org/officeDocument/2006/relationships/hyperlink" Target="https://drive.google.com/file/d/1y0oKhgHFMs_nXH4ufYi5ZaxDoesUnD71/view?usp=drivesdk" TargetMode="External"/><Relationship Id="rId2814" Type="http://schemas.openxmlformats.org/officeDocument/2006/relationships/hyperlink" Target="https://drive.google.com/file/d/15LyeMLPtv2yK2REXBqDLC63QQhUXXDVm/view?usp=drivesdk" TargetMode="External"/><Relationship Id="rId2815" Type="http://schemas.openxmlformats.org/officeDocument/2006/relationships/hyperlink" Target="https://drive.google.com/file/d/10N0LzNT1GTgGgvA6UUZUXzIdwFBBm26w/view?usp=drivesdk" TargetMode="External"/><Relationship Id="rId2816" Type="http://schemas.openxmlformats.org/officeDocument/2006/relationships/hyperlink" Target="https://drive.google.com/file/d/1btjIxPMyuU5I6jNMm9c2DuyFxN8Pze7t/view?usp=drivesdk" TargetMode="External"/><Relationship Id="rId2817" Type="http://schemas.openxmlformats.org/officeDocument/2006/relationships/hyperlink" Target="https://drive.google.com/file/d/1xWBya8BVfE1sTB6yhxybNTqOYxEnPWZU/view?usp=drivesdk" TargetMode="External"/><Relationship Id="rId2818" Type="http://schemas.openxmlformats.org/officeDocument/2006/relationships/hyperlink" Target="https://drive.google.com/file/d/14Sp-rGYXqQVyuRmTeLQtmwZJYE3030vb/view?usp=drivesdk" TargetMode="External"/><Relationship Id="rId2819" Type="http://schemas.openxmlformats.org/officeDocument/2006/relationships/hyperlink" Target="https://drive.google.com/file/d/13XRIYgF2yNC1qLHSQBITGa6oU0w9njVk/view?usp=drivesdk" TargetMode="External"/><Relationship Id="rId1510" Type="http://schemas.openxmlformats.org/officeDocument/2006/relationships/hyperlink" Target="https://drive.google.com/file/d/1q2gVwa1rOQ8WWfdq3nW3rbh2NM0UA3nR/view?usp=drivesdk" TargetMode="External"/><Relationship Id="rId2841" Type="http://schemas.openxmlformats.org/officeDocument/2006/relationships/hyperlink" Target="https://drive.google.com/file/d/1D8E42YuXrxlGwF61UWB4V8lYywAWr8dY/view?usp=drivesdk" TargetMode="External"/><Relationship Id="rId1511" Type="http://schemas.openxmlformats.org/officeDocument/2006/relationships/hyperlink" Target="https://drive.google.com/file/d/1DsODP8YLjFDZ-RPgM2IJvC2B0oBq4PLX/view?usp=drivesdk" TargetMode="External"/><Relationship Id="rId2842" Type="http://schemas.openxmlformats.org/officeDocument/2006/relationships/hyperlink" Target="https://drive.google.com/file/d/1d5i_2GjvV2L2wbB2j58EhA4WqJKFf7M5/view?usp=drivesdk" TargetMode="External"/><Relationship Id="rId1512" Type="http://schemas.openxmlformats.org/officeDocument/2006/relationships/hyperlink" Target="https://drive.google.com/file/d/17ZEzUuXHixyudMb6cJV15e7wnM4cCqCh/view?usp=drivesdk" TargetMode="External"/><Relationship Id="rId2843" Type="http://schemas.openxmlformats.org/officeDocument/2006/relationships/hyperlink" Target="https://drive.google.com/file/d/1WsTuZGTgbwDDjKv_3fgqvOMon49y_wo7/view?usp=drivesdk" TargetMode="External"/><Relationship Id="rId1513" Type="http://schemas.openxmlformats.org/officeDocument/2006/relationships/hyperlink" Target="https://drive.google.com/file/d/1lsnR2vyytLKoStGhel4Zy_F4FB1RdvbN/view?usp=drivesdk" TargetMode="External"/><Relationship Id="rId2844" Type="http://schemas.openxmlformats.org/officeDocument/2006/relationships/hyperlink" Target="https://drive.google.com/file/d/1mEkTi7StSY-Stsrgu0o_Zv7DZUHAFPDt/view?usp=drivesdk" TargetMode="External"/><Relationship Id="rId1514" Type="http://schemas.openxmlformats.org/officeDocument/2006/relationships/hyperlink" Target="https://drive.google.com/file/d/1nVu17ycBo3lJ5PEXQ4Yf8Y0H6__hEqHF/view?usp=drivesdk" TargetMode="External"/><Relationship Id="rId2845" Type="http://schemas.openxmlformats.org/officeDocument/2006/relationships/hyperlink" Target="https://drive.google.com/file/d/1lNurRPy7VDlN9Sa8Dza_04lJKflObxsi/view?usp=drivesdk" TargetMode="External"/><Relationship Id="rId1515" Type="http://schemas.openxmlformats.org/officeDocument/2006/relationships/hyperlink" Target="https://drive.google.com/file/d/1GhKZHeRd47v5xBxhTavq5L9gXUNYt8aA/view?usp=drivesdk" TargetMode="External"/><Relationship Id="rId2846" Type="http://schemas.openxmlformats.org/officeDocument/2006/relationships/hyperlink" Target="https://drive.google.com/file/d/1m_v1JAQWlkuqNotYqQVJ-P2XePYibDPD/view?usp=drivesdk" TargetMode="External"/><Relationship Id="rId1516" Type="http://schemas.openxmlformats.org/officeDocument/2006/relationships/hyperlink" Target="https://drive.google.com/file/d/1qD4WA9U-UCZHa3o07wjyZ9l8fP7hm9lA/view?usp=drivesdk" TargetMode="External"/><Relationship Id="rId2847" Type="http://schemas.openxmlformats.org/officeDocument/2006/relationships/hyperlink" Target="https://drive.google.com/file/d/1NpcEXBblmTwzkVAKGsTiPalZEKryDjOF/view?usp=drivesdk" TargetMode="External"/><Relationship Id="rId1517" Type="http://schemas.openxmlformats.org/officeDocument/2006/relationships/hyperlink" Target="https://drive.google.com/file/d/1aRrIEYkTBN8n1Sgn3O-yporbXSHz9WO9/view?usp=drivesdk" TargetMode="External"/><Relationship Id="rId2848" Type="http://schemas.openxmlformats.org/officeDocument/2006/relationships/hyperlink" Target="https://drive.google.com/file/d/1Ey8YE267IkJvJPhLMe73j6CWvGwENA3f/view?usp=drivesdk" TargetMode="External"/><Relationship Id="rId1518" Type="http://schemas.openxmlformats.org/officeDocument/2006/relationships/hyperlink" Target="https://drive.google.com/file/d/1KP8GrgUwNPDp8IB_LkFZY49Vt1IvtVdu/view?usp=drivesdk" TargetMode="External"/><Relationship Id="rId2849" Type="http://schemas.openxmlformats.org/officeDocument/2006/relationships/hyperlink" Target="https://drive.google.com/file/d/1Wzsg5t70C5nm9ICa1m7pvYuf0xZ022FB/view?usp=drivesdk" TargetMode="External"/><Relationship Id="rId1519" Type="http://schemas.openxmlformats.org/officeDocument/2006/relationships/hyperlink" Target="https://drive.google.com/file/d/1qMJM9_CEzjXsRTVa3qE0XoThl6ByL8_R/view?usp=drivesdk" TargetMode="External"/><Relationship Id="rId2840" Type="http://schemas.openxmlformats.org/officeDocument/2006/relationships/hyperlink" Target="https://drive.google.com/file/d/1amMXrWCKMyX4hTevBnA1bXdVDqOZKFxe/view?usp=drivesdk" TargetMode="External"/><Relationship Id="rId2830" Type="http://schemas.openxmlformats.org/officeDocument/2006/relationships/hyperlink" Target="https://drive.google.com/file/d/1iTGkXjtQ0EE8-v45xZZ-Yv9zhQVAt2Pn/view?usp=drivesdk" TargetMode="External"/><Relationship Id="rId1500" Type="http://schemas.openxmlformats.org/officeDocument/2006/relationships/hyperlink" Target="https://drive.google.com/file/d/1qDn01UYSY7IzWnRuxG_gHrcvE620ctpS/view?usp=drivesdk" TargetMode="External"/><Relationship Id="rId2831" Type="http://schemas.openxmlformats.org/officeDocument/2006/relationships/hyperlink" Target="https://drive.google.com/file/d/11evBHOPkYEq9tia_AUJzn9cHtIQOUcWa/view?usp=drivesdk" TargetMode="External"/><Relationship Id="rId1501" Type="http://schemas.openxmlformats.org/officeDocument/2006/relationships/hyperlink" Target="https://drive.google.com/file/d/11weNHLGnxj4KDY_B4C5ruXp3HlO5mWfo/view?usp=drivesdk" TargetMode="External"/><Relationship Id="rId2832" Type="http://schemas.openxmlformats.org/officeDocument/2006/relationships/hyperlink" Target="https://drive.google.com/file/d/1VkkAzt4eeAeZtV2ewwPlwMagejOBaOcs/view?usp=drivesdk" TargetMode="External"/><Relationship Id="rId1502" Type="http://schemas.openxmlformats.org/officeDocument/2006/relationships/hyperlink" Target="https://drive.google.com/file/d/1_iZrTUyZXaycbPsVfM-74FyaJ3MB4oLV/view?usp=drivesdk" TargetMode="External"/><Relationship Id="rId2833" Type="http://schemas.openxmlformats.org/officeDocument/2006/relationships/hyperlink" Target="https://drive.google.com/file/d/1cOFI1sWmcyfR3tFVOvV90FUY4g-TwC4Z/view?usp=drivesdk" TargetMode="External"/><Relationship Id="rId1503" Type="http://schemas.openxmlformats.org/officeDocument/2006/relationships/hyperlink" Target="https://drive.google.com/file/d/148xaPdnZbWevywVmo1SOyFW7IsxxfEnq/view?usp=drivesdk" TargetMode="External"/><Relationship Id="rId2834" Type="http://schemas.openxmlformats.org/officeDocument/2006/relationships/hyperlink" Target="https://drive.google.com/file/d/1fP-Dr1DLCnPl-2Ya6EGtFK2aCF6SWr93/view?usp=drivesdk" TargetMode="External"/><Relationship Id="rId1504" Type="http://schemas.openxmlformats.org/officeDocument/2006/relationships/hyperlink" Target="https://drive.google.com/file/d/1N4P_NBhEekeEeel35srG3dNXuEVg7MVW/view?usp=drivesdk" TargetMode="External"/><Relationship Id="rId2835" Type="http://schemas.openxmlformats.org/officeDocument/2006/relationships/hyperlink" Target="https://drive.google.com/file/d/1Lf2mJhcl4k2IlhscpNWAcWIYn_DN1RLo/view?usp=drivesdk" TargetMode="External"/><Relationship Id="rId1505" Type="http://schemas.openxmlformats.org/officeDocument/2006/relationships/hyperlink" Target="https://drive.google.com/file/d/1r7_BjSj4NLXFSWuoZF1QDn_Pt_2F0sIX/view?usp=drivesdk" TargetMode="External"/><Relationship Id="rId2836" Type="http://schemas.openxmlformats.org/officeDocument/2006/relationships/hyperlink" Target="https://drive.google.com/file/d/1qNTfBnw7SpCi3blakzyKQFcGYOfOx3la/view?usp=drivesdk" TargetMode="External"/><Relationship Id="rId1506" Type="http://schemas.openxmlformats.org/officeDocument/2006/relationships/hyperlink" Target="https://drive.google.com/file/d/1yvH2WRaGuCEiDaRRoX5rvYKm_W_kFR7a/view?usp=drivesdk" TargetMode="External"/><Relationship Id="rId2837" Type="http://schemas.openxmlformats.org/officeDocument/2006/relationships/hyperlink" Target="https://drive.google.com/file/d/17v8g1wcUyLHNKL7MUfmkzczqLvXbAEct/view?usp=drivesdk" TargetMode="External"/><Relationship Id="rId1507" Type="http://schemas.openxmlformats.org/officeDocument/2006/relationships/hyperlink" Target="https://drive.google.com/file/d/1MOJGhbdJjCgBlRPFc3R0unH7ZXYqk_S2/view?usp=drivesdk" TargetMode="External"/><Relationship Id="rId2838" Type="http://schemas.openxmlformats.org/officeDocument/2006/relationships/hyperlink" Target="https://drive.google.com/file/d/1GA6K1X3KAFArsjYWATJH54boYgR6VA-P/view?usp=drivesdk" TargetMode="External"/><Relationship Id="rId1508" Type="http://schemas.openxmlformats.org/officeDocument/2006/relationships/hyperlink" Target="https://drive.google.com/file/d/1h5w_3Nl7GIiq_vm_TbDZdgHnl_-wIl_M/view?usp=drivesdk" TargetMode="External"/><Relationship Id="rId2839" Type="http://schemas.openxmlformats.org/officeDocument/2006/relationships/hyperlink" Target="https://drive.google.com/file/d/1lYrGMauz-wnZsd5nVrZcVjopHb7ZXL_b/view?usp=drivesdk" TargetMode="External"/><Relationship Id="rId1509" Type="http://schemas.openxmlformats.org/officeDocument/2006/relationships/hyperlink" Target="https://drive.google.com/file/d/1fg9zcwScO67WBgZXvC6XlR_kL7yzXpXy/view?usp=drivesdk" TargetMode="External"/><Relationship Id="rId2800" Type="http://schemas.openxmlformats.org/officeDocument/2006/relationships/hyperlink" Target="https://drive.google.com/file/d/1DqdONyqsLP1eg0rgW71wKdPbcflRStOn/view?usp=drivesdk" TargetMode="External"/><Relationship Id="rId2801" Type="http://schemas.openxmlformats.org/officeDocument/2006/relationships/hyperlink" Target="https://drive.google.com/file/d/1xLqo3pcQbvof4dFTirs6WvJ7tevRvXKz/view?usp=drivesdk" TargetMode="External"/><Relationship Id="rId2802" Type="http://schemas.openxmlformats.org/officeDocument/2006/relationships/hyperlink" Target="https://drive.google.com/file/d/19iYi-koeR6fi39K_iI9D0SdOP6whI2f7/view?usp=drivesdk" TargetMode="External"/><Relationship Id="rId2803" Type="http://schemas.openxmlformats.org/officeDocument/2006/relationships/hyperlink" Target="https://drive.google.com/file/d/1EbrmM7VFUrWNPY8NxA_ziNU_qOGIUYVa/view?usp=drivesdk" TargetMode="External"/><Relationship Id="rId2804" Type="http://schemas.openxmlformats.org/officeDocument/2006/relationships/hyperlink" Target="https://drive.google.com/file/d/1ycY8rorKC9FDqVeTFdgVQQrTEuktcPox/view?usp=drivesdk" TargetMode="External"/><Relationship Id="rId2805" Type="http://schemas.openxmlformats.org/officeDocument/2006/relationships/hyperlink" Target="https://drive.google.com/file/d/1NiPCpcI4sxnM3OTJQdqenG265Dkr8hRb/view?usp=drivesdk" TargetMode="External"/><Relationship Id="rId2806" Type="http://schemas.openxmlformats.org/officeDocument/2006/relationships/hyperlink" Target="https://drive.google.com/file/d/128D_xuWagaOC3zKfGWUi8CFf7zReyViC/view?usp=drivesdk" TargetMode="External"/><Relationship Id="rId2807" Type="http://schemas.openxmlformats.org/officeDocument/2006/relationships/hyperlink" Target="https://drive.google.com/file/d/12RwvQLmV6wPAqPP_X6JgA8Qo27g_8SJK/view?usp=drivesdk" TargetMode="External"/><Relationship Id="rId2808" Type="http://schemas.openxmlformats.org/officeDocument/2006/relationships/hyperlink" Target="https://drive.google.com/file/d/1P8Hm5KaZpuFw07NdNh7BSk7XVf85qUvU/view?usp=drivesdk" TargetMode="External"/><Relationship Id="rId2809" Type="http://schemas.openxmlformats.org/officeDocument/2006/relationships/hyperlink" Target="https://drive.google.com/file/d/1dnoOFsITQ-OlW3SSnEP3gasruwHVCneM/view?usp=drivesdk" TargetMode="External"/><Relationship Id="rId1576" Type="http://schemas.openxmlformats.org/officeDocument/2006/relationships/hyperlink" Target="https://drive.google.com/file/d/1rBJAGWTtBimqdJkF-7AeLyVrGIG8EBnW/view?usp=drivesdk" TargetMode="External"/><Relationship Id="rId1577" Type="http://schemas.openxmlformats.org/officeDocument/2006/relationships/hyperlink" Target="https://drive.google.com/file/d/1FM8L4aEO4RUDs49kJAJIdOCQaOMgYN0P/view?usp=drivesdk" TargetMode="External"/><Relationship Id="rId1578" Type="http://schemas.openxmlformats.org/officeDocument/2006/relationships/hyperlink" Target="https://drive.google.com/file/d/1OyJsePQ8uL-fdEQollfx14Y7XOGBJ7YL/view?usp=drivesdk" TargetMode="External"/><Relationship Id="rId1579" Type="http://schemas.openxmlformats.org/officeDocument/2006/relationships/hyperlink" Target="https://drive.google.com/file/d/1hmrY9lsX4LBR0hPx0EBCXocgeL7ArKp6/view?usp=drivesdk" TargetMode="External"/><Relationship Id="rId987" Type="http://schemas.openxmlformats.org/officeDocument/2006/relationships/hyperlink" Target="https://drive.google.com/file/d/1_5YNK50PekihPYdiUNy1aTprQx2d1h3l/view?usp=drivesdk" TargetMode="External"/><Relationship Id="rId986" Type="http://schemas.openxmlformats.org/officeDocument/2006/relationships/hyperlink" Target="https://drive.google.com/file/d/1GD5XljdxR2ykwWKm1MPAKrJoabHxm8Lt/view?usp=drivesdk" TargetMode="External"/><Relationship Id="rId985" Type="http://schemas.openxmlformats.org/officeDocument/2006/relationships/hyperlink" Target="https://drive.google.com/file/d/1HdgXTuDD1zfYfbijauGrXF0G29cOLyIQ/view?usp=drivesdk" TargetMode="External"/><Relationship Id="rId984" Type="http://schemas.openxmlformats.org/officeDocument/2006/relationships/hyperlink" Target="https://drive.google.com/file/d/1o4o_52CV60Q4sbc7ekwEZ4dhaV3DkMS1/view?usp=drivesdk" TargetMode="External"/><Relationship Id="rId989" Type="http://schemas.openxmlformats.org/officeDocument/2006/relationships/hyperlink" Target="https://drive.google.com/file/d/1otZ4upwg6OdS4INAxYmEHVP1Lz52NmvV/view?usp=drivesdk" TargetMode="External"/><Relationship Id="rId988" Type="http://schemas.openxmlformats.org/officeDocument/2006/relationships/hyperlink" Target="https://drive.google.com/file/d/10lKB5hdGwD2rdpXoeGEzTshwHM2ol5Fp/view?usp=drivesdk" TargetMode="External"/><Relationship Id="rId1570" Type="http://schemas.openxmlformats.org/officeDocument/2006/relationships/hyperlink" Target="https://drive.google.com/file/d/1G4tP3z0FT61HHKi1B51ImyPr28TywEAv/view?usp=drivesdk" TargetMode="External"/><Relationship Id="rId1571" Type="http://schemas.openxmlformats.org/officeDocument/2006/relationships/hyperlink" Target="https://drive.google.com/file/d/1TZ4v__dPOmI3xNzFpnJFIk9lq8TKq6BL/view?usp=drivesdk" TargetMode="External"/><Relationship Id="rId983" Type="http://schemas.openxmlformats.org/officeDocument/2006/relationships/hyperlink" Target="https://drive.google.com/file/d/1z5U43MH5KGR-z62VJDWjyZpP3MFy5qgA/view?usp=drivesdk" TargetMode="External"/><Relationship Id="rId1572" Type="http://schemas.openxmlformats.org/officeDocument/2006/relationships/hyperlink" Target="https://drive.google.com/file/d/1M6Ltzqhoq6i38u_uKwWyzNhrrtQbazWq/view?usp=drivesdk" TargetMode="External"/><Relationship Id="rId982" Type="http://schemas.openxmlformats.org/officeDocument/2006/relationships/hyperlink" Target="https://drive.google.com/file/d/1GiZd3FwasIasQYuvAsopka0SfQWJSsXL/view?usp=drivesdk" TargetMode="External"/><Relationship Id="rId1573" Type="http://schemas.openxmlformats.org/officeDocument/2006/relationships/hyperlink" Target="https://drive.google.com/file/d/1CVrT0V-MeqSfZShwoRY6MMjJJXISWk02/view?usp=drivesdk" TargetMode="External"/><Relationship Id="rId981" Type="http://schemas.openxmlformats.org/officeDocument/2006/relationships/hyperlink" Target="https://drive.google.com/file/d/1czFxhkGZqxRX0MtMQtZJvfgMQ_qNtop2/view?usp=drivesdk" TargetMode="External"/><Relationship Id="rId1574" Type="http://schemas.openxmlformats.org/officeDocument/2006/relationships/hyperlink" Target="https://drive.google.com/file/d/12vr4IdpuKGHum4clozdFiyxIbQP3jx5f/view?usp=drivesdk" TargetMode="External"/><Relationship Id="rId980" Type="http://schemas.openxmlformats.org/officeDocument/2006/relationships/hyperlink" Target="https://drive.google.com/file/d/1yGGU6rCymS599BooTVh3w1yf7oyictn2/view?usp=drivesdk" TargetMode="External"/><Relationship Id="rId1575" Type="http://schemas.openxmlformats.org/officeDocument/2006/relationships/hyperlink" Target="https://drive.google.com/file/d/1tBea1xcrmrgSGVymZfDDDZH7SLB5aF-6/view?usp=drivesdk" TargetMode="External"/><Relationship Id="rId1565" Type="http://schemas.openxmlformats.org/officeDocument/2006/relationships/hyperlink" Target="https://drive.google.com/file/d/1DDCuEgQah24QordxkRGO0EIt6Q681jyL/view?usp=drivesdk" TargetMode="External"/><Relationship Id="rId2896" Type="http://schemas.openxmlformats.org/officeDocument/2006/relationships/hyperlink" Target="https://drive.google.com/file/d/1GCFNtGI_d_CgIPtrM02hpi0r-UNQaVqq/view?usp=drivesdk" TargetMode="External"/><Relationship Id="rId1566" Type="http://schemas.openxmlformats.org/officeDocument/2006/relationships/hyperlink" Target="https://drive.google.com/file/d/13IdVrs_fFWj8hYxe5OVSE67tGuCcKPct/view?usp=drivesdk" TargetMode="External"/><Relationship Id="rId2897" Type="http://schemas.openxmlformats.org/officeDocument/2006/relationships/hyperlink" Target="https://drive.google.com/file/d/15sRpGf5hZHB_mBs0FOiW6Zm0N2TupmUX/view?usp=drivesdk" TargetMode="External"/><Relationship Id="rId1567" Type="http://schemas.openxmlformats.org/officeDocument/2006/relationships/hyperlink" Target="https://drive.google.com/file/d/1yMYVS-DUlP_U3zcoWL7wKPwZrYzyiImV/view?usp=drivesdk" TargetMode="External"/><Relationship Id="rId2898" Type="http://schemas.openxmlformats.org/officeDocument/2006/relationships/hyperlink" Target="https://drive.google.com/file/d/1gBF1OSh84_PEaQuwMpzqMOVewrJw3LKJ/view?usp=drivesdk" TargetMode="External"/><Relationship Id="rId1568" Type="http://schemas.openxmlformats.org/officeDocument/2006/relationships/hyperlink" Target="https://drive.google.com/file/d/1_Adjy9YHg45Gx42zRW_GMddJujIpRnLp/view?usp=drivesdk" TargetMode="External"/><Relationship Id="rId2899" Type="http://schemas.openxmlformats.org/officeDocument/2006/relationships/hyperlink" Target="https://drive.google.com/file/d/1phqaJhapFhd9zISsdxBpoS9hsiQRiWsp/view?usp=drivesdk" TargetMode="External"/><Relationship Id="rId1569" Type="http://schemas.openxmlformats.org/officeDocument/2006/relationships/hyperlink" Target="https://drive.google.com/file/d/1grC_-CjFVn77v-PGNS3-UDB1Sv0gUwum/view?usp=drivesdk" TargetMode="External"/><Relationship Id="rId976" Type="http://schemas.openxmlformats.org/officeDocument/2006/relationships/hyperlink" Target="https://drive.google.com/file/d/1_1pDXdnb6Bds0sMaiO2wxybulx5xbtV-/view?usp=drivesdk" TargetMode="External"/><Relationship Id="rId975" Type="http://schemas.openxmlformats.org/officeDocument/2006/relationships/hyperlink" Target="https://drive.google.com/file/d/1WIrQsClyf_Gdbj9O7cEdMR-dTqqRFJak/view?usp=drivesdk" TargetMode="External"/><Relationship Id="rId974" Type="http://schemas.openxmlformats.org/officeDocument/2006/relationships/hyperlink" Target="https://drive.google.com/file/d/14nctpJxv51A70mGgKF8E78PDRnn05iry/view?usp=drivesdk" TargetMode="External"/><Relationship Id="rId973" Type="http://schemas.openxmlformats.org/officeDocument/2006/relationships/hyperlink" Target="https://drive.google.com/file/d/1_u8aYwvuyDtBconPL_MaiUxPk1Lq8pVF/view?usp=drivesdk" TargetMode="External"/><Relationship Id="rId979" Type="http://schemas.openxmlformats.org/officeDocument/2006/relationships/hyperlink" Target="https://drive.google.com/file/d/1T_JmUnBnQ1o3wORwxwD5PFiQeWIMcIDV/view?usp=drivesdk" TargetMode="External"/><Relationship Id="rId978" Type="http://schemas.openxmlformats.org/officeDocument/2006/relationships/hyperlink" Target="https://drive.google.com/file/d/1qgk9QP8u0zEOwOidroqBExUrLqjknIW0/view?usp=drivesdk" TargetMode="External"/><Relationship Id="rId977" Type="http://schemas.openxmlformats.org/officeDocument/2006/relationships/hyperlink" Target="https://drive.google.com/file/d/1oK0OIZ6pDqbMWCKw0QCU7amZiJYcSkjE/view?usp=drivesdk" TargetMode="External"/><Relationship Id="rId2890" Type="http://schemas.openxmlformats.org/officeDocument/2006/relationships/hyperlink" Target="https://drive.google.com/file/d/1ncVTI_fg7cD5uuZLiCCdO3WT5ewLkA-V/view?usp=drivesdk" TargetMode="External"/><Relationship Id="rId1560" Type="http://schemas.openxmlformats.org/officeDocument/2006/relationships/hyperlink" Target="https://drive.google.com/file/d/1RNny0IG7SjWvCfMF8M1draCA9I3tK7lj/view?usp=drivesdk" TargetMode="External"/><Relationship Id="rId2891" Type="http://schemas.openxmlformats.org/officeDocument/2006/relationships/hyperlink" Target="https://drive.google.com/file/d/1FHV-u9hbFTbf5tQRw4AZBWXvlnvbsJuW/view?usp=drivesdk" TargetMode="External"/><Relationship Id="rId972" Type="http://schemas.openxmlformats.org/officeDocument/2006/relationships/hyperlink" Target="https://drive.google.com/file/d/1ZqZyWmZbvn_DnisBW2mKp-yT2_-M8xNu/view?usp=drivesdk" TargetMode="External"/><Relationship Id="rId1561" Type="http://schemas.openxmlformats.org/officeDocument/2006/relationships/hyperlink" Target="https://drive.google.com/file/d/1AetBiDxEiDABROgFar_KCyTHXjrAYAyC/view?usp=drivesdk" TargetMode="External"/><Relationship Id="rId2892" Type="http://schemas.openxmlformats.org/officeDocument/2006/relationships/hyperlink" Target="https://drive.google.com/file/d/1nm54o08eR4eFyMACR3wylzblVad7ZF5C/view?usp=drivesdk" TargetMode="External"/><Relationship Id="rId971" Type="http://schemas.openxmlformats.org/officeDocument/2006/relationships/hyperlink" Target="https://drive.google.com/file/d/1VIUw3gsv5o9NRh-GJTzV3NZWNknBAmD8/view?usp=drivesdk" TargetMode="External"/><Relationship Id="rId1562" Type="http://schemas.openxmlformats.org/officeDocument/2006/relationships/hyperlink" Target="https://drive.google.com/file/d/15PNrZmOOUmljg2u3ulDQT64Zk426YNiM/view?usp=drivesdk" TargetMode="External"/><Relationship Id="rId2893" Type="http://schemas.openxmlformats.org/officeDocument/2006/relationships/hyperlink" Target="https://drive.google.com/file/d/1yQorPB990ECp--s5Y810aRf0XfraQ5Wv/view?usp=drivesdk" TargetMode="External"/><Relationship Id="rId970" Type="http://schemas.openxmlformats.org/officeDocument/2006/relationships/hyperlink" Target="https://drive.google.com/file/d/1Kwvnn-NajKuwsJ_Pj-OVT9cMWkVJPQtN/view?usp=drivesdk" TargetMode="External"/><Relationship Id="rId1563" Type="http://schemas.openxmlformats.org/officeDocument/2006/relationships/hyperlink" Target="https://drive.google.com/file/d/1hYNUJrx3yjyMoTgcG7Qz4pix-8ruWFMC/view?usp=drivesdk" TargetMode="External"/><Relationship Id="rId2894" Type="http://schemas.openxmlformats.org/officeDocument/2006/relationships/hyperlink" Target="https://drive.google.com/file/d/1PVqGipSN12augdNc_SE5KUYf7kJ8pMxh/view?usp=drivesdk" TargetMode="External"/><Relationship Id="rId1564" Type="http://schemas.openxmlformats.org/officeDocument/2006/relationships/hyperlink" Target="https://docs.google.com/document/d/1w93qsRx1KanCQtLtIAvcmPUp0OswXZJrVd4ghqfN_Xo/edit?usp=drivesdk" TargetMode="External"/><Relationship Id="rId2895" Type="http://schemas.openxmlformats.org/officeDocument/2006/relationships/hyperlink" Target="https://drive.google.com/file/d/16pozz0lmJju_YmH6O5UipsG8QfWJ1JK7/view?usp=drivesdk" TargetMode="External"/><Relationship Id="rId1598" Type="http://schemas.openxmlformats.org/officeDocument/2006/relationships/hyperlink" Target="https://drive.google.com/file/d/1aZbByDdOVHRhBNFrVHpONghJoQFgQzen/view?usp=drivesdk" TargetMode="External"/><Relationship Id="rId1599" Type="http://schemas.openxmlformats.org/officeDocument/2006/relationships/hyperlink" Target="https://drive.google.com/file/d/1tKM1PILFcJ_p1wV0Jul0zI6ZVlWSKpjf/view?usp=drivesdk" TargetMode="External"/><Relationship Id="rId1590" Type="http://schemas.openxmlformats.org/officeDocument/2006/relationships/hyperlink" Target="https://drive.google.com/file/d/1qykbPSroz40PGKkag9WEI54L9tC55d5r/view?usp=drivesdk" TargetMode="External"/><Relationship Id="rId1591" Type="http://schemas.openxmlformats.org/officeDocument/2006/relationships/hyperlink" Target="https://drive.google.com/file/d/1ZIjUGgM0ZNJMwX1YUqhWIb-i5jgS1Cmy/view?usp=drivesdk" TargetMode="External"/><Relationship Id="rId1592" Type="http://schemas.openxmlformats.org/officeDocument/2006/relationships/hyperlink" Target="https://drive.google.com/file/d/1fXdEI1kl0lQt_4qWiP91lWgenOEsMrKg/view?usp=drivesdk" TargetMode="External"/><Relationship Id="rId1593" Type="http://schemas.openxmlformats.org/officeDocument/2006/relationships/hyperlink" Target="https://drive.google.com/file/d/10DQLGJZonXtZosc0iBs5LKbP4uoONS18/view?usp=drivesdk" TargetMode="External"/><Relationship Id="rId1594" Type="http://schemas.openxmlformats.org/officeDocument/2006/relationships/hyperlink" Target="https://drive.google.com/file/d/1I8FOJusplVycfM59FMbxsbyzq7e1ojke/view?usp=drivesdk" TargetMode="External"/><Relationship Id="rId1595" Type="http://schemas.openxmlformats.org/officeDocument/2006/relationships/hyperlink" Target="https://drive.google.com/file/d/1yS8koYLoBzTIOnY0Iveg0atwD_kYj-_v/view?usp=drivesdk" TargetMode="External"/><Relationship Id="rId1596" Type="http://schemas.openxmlformats.org/officeDocument/2006/relationships/hyperlink" Target="https://drive.google.com/file/d/1NW_w2zDU8T7DWf98R3BXNjHeH_EWmdiE/view?usp=drivesdk" TargetMode="External"/><Relationship Id="rId1597" Type="http://schemas.openxmlformats.org/officeDocument/2006/relationships/hyperlink" Target="https://drive.google.com/file/d/1X8xl-ktO34rqHxXEr72Dhva7VBCdkSZl/view?usp=drivesdk" TargetMode="External"/><Relationship Id="rId1587" Type="http://schemas.openxmlformats.org/officeDocument/2006/relationships/hyperlink" Target="https://drive.google.com/file/d/1YzEqH7QTG95vm-E-CJt-CI-rq6sFA3bV/view?usp=drivesdk" TargetMode="External"/><Relationship Id="rId1588" Type="http://schemas.openxmlformats.org/officeDocument/2006/relationships/hyperlink" Target="https://drive.google.com/file/d/1yu5hD1Fq1gaQ5iAk9Sy1oujO3qnlBxsm/view?usp=drivesdk" TargetMode="External"/><Relationship Id="rId1589" Type="http://schemas.openxmlformats.org/officeDocument/2006/relationships/hyperlink" Target="https://drive.google.com/file/d/1gqkCLQ8YLn27JACJIv51ycR1U6cUfNAJ/view?usp=drivesdk" TargetMode="External"/><Relationship Id="rId998" Type="http://schemas.openxmlformats.org/officeDocument/2006/relationships/hyperlink" Target="https://drive.google.com/file/d/1K3uDJAZAlGYyqTk5JqOt7qojCJpOj7Xg/view?usp=drivesdk" TargetMode="External"/><Relationship Id="rId997" Type="http://schemas.openxmlformats.org/officeDocument/2006/relationships/hyperlink" Target="https://drive.google.com/file/d/12WUpqRA8vllClBxv1BdZOa5-ANNs2qW7/view?usp=drivesdk" TargetMode="External"/><Relationship Id="rId996" Type="http://schemas.openxmlformats.org/officeDocument/2006/relationships/hyperlink" Target="https://drive.google.com/file/d/1GH0-GTw97RlHFA5olTAMgkF2LDuBWtkB/view?usp=drivesdk" TargetMode="External"/><Relationship Id="rId995" Type="http://schemas.openxmlformats.org/officeDocument/2006/relationships/hyperlink" Target="https://drive.google.com/file/d/1WhiWzn4A8rwXlB59hzCghMQ610mT93CT/view?usp=drivesdk" TargetMode="External"/><Relationship Id="rId999" Type="http://schemas.openxmlformats.org/officeDocument/2006/relationships/hyperlink" Target="https://drive.google.com/file/d/1fwgPBv2sUceSWub7L1rc7wljbmLYbdBI/view?usp=drivesdk" TargetMode="External"/><Relationship Id="rId990" Type="http://schemas.openxmlformats.org/officeDocument/2006/relationships/hyperlink" Target="https://drive.google.com/file/d/1-e44GPxL5eJw3oSDX6Z78jijaovnBQeQ/view?usp=drivesdk" TargetMode="External"/><Relationship Id="rId1580" Type="http://schemas.openxmlformats.org/officeDocument/2006/relationships/hyperlink" Target="https://drive.google.com/file/d/1QDNRrzD1VCOwR4bsx3QJgYLm2e6VV-no/view?usp=drivesdk" TargetMode="External"/><Relationship Id="rId1581" Type="http://schemas.openxmlformats.org/officeDocument/2006/relationships/hyperlink" Target="https://drive.google.com/file/d/1-8hoTcDzN7GjN92fqlhu7SLhxRSQTUrd/view?usp=drivesdk" TargetMode="External"/><Relationship Id="rId1582" Type="http://schemas.openxmlformats.org/officeDocument/2006/relationships/hyperlink" Target="https://drive.google.com/file/d/1XsfKzqBh-rbhyVubt-56zgPU_Ak2yFU6/view?usp=drivesdk" TargetMode="External"/><Relationship Id="rId994" Type="http://schemas.openxmlformats.org/officeDocument/2006/relationships/hyperlink" Target="https://drive.google.com/file/d/18eCD4c0IMT6bc_VAnZ8weNQfQtYz5Cjw/view?usp=drivesdk" TargetMode="External"/><Relationship Id="rId1583" Type="http://schemas.openxmlformats.org/officeDocument/2006/relationships/hyperlink" Target="https://drive.google.com/file/d/1qciw5bAxDFe8UHI_osvmJAtB2c2Hc5Mv/view?usp=drivesdk" TargetMode="External"/><Relationship Id="rId993" Type="http://schemas.openxmlformats.org/officeDocument/2006/relationships/hyperlink" Target="https://drive.google.com/file/d/1NuXVN8mp-l_4aoe9k29tUEXCtbKB5nvC/view?usp=drivesdk" TargetMode="External"/><Relationship Id="rId1584" Type="http://schemas.openxmlformats.org/officeDocument/2006/relationships/hyperlink" Target="https://drive.google.com/file/d/1qBoMlGJSxfD9Le6GQLq29-E2xuX5NtUI/view?usp=drivesdk" TargetMode="External"/><Relationship Id="rId992" Type="http://schemas.openxmlformats.org/officeDocument/2006/relationships/hyperlink" Target="https://drive.google.com/file/d/1jOA-TNreTdA7I34dlR5bhFsbZkyPsAgE/view?usp=drivesdk" TargetMode="External"/><Relationship Id="rId1585" Type="http://schemas.openxmlformats.org/officeDocument/2006/relationships/hyperlink" Target="https://drive.google.com/file/d/1kMj9bYJrk8644y4gPjpgYXSikwfmuYTS/view?usp=drivesdk" TargetMode="External"/><Relationship Id="rId991" Type="http://schemas.openxmlformats.org/officeDocument/2006/relationships/hyperlink" Target="https://drive.google.com/file/d/1GuHxJScwgTchcLiTjR0FvznWHBZZzfTw/view?usp=drivesdk" TargetMode="External"/><Relationship Id="rId1586" Type="http://schemas.openxmlformats.org/officeDocument/2006/relationships/hyperlink" Target="https://drive.google.com/file/d/1Xoam7f13E5M2EddKf56QMnzGorZg_Rlu/view?usp=drivesdk" TargetMode="External"/><Relationship Id="rId1532" Type="http://schemas.openxmlformats.org/officeDocument/2006/relationships/hyperlink" Target="https://drive.google.com/file/d/1LFgNyzLqTELlP9tfS2pwZ6Egg431WCHQ/view?usp=drivesdk" TargetMode="External"/><Relationship Id="rId2863" Type="http://schemas.openxmlformats.org/officeDocument/2006/relationships/hyperlink" Target="https://drive.google.com/file/d/1mE5XaAsbpzpaVByGMY_Y-yHafY0h2G_x/view?usp=drivesdk" TargetMode="External"/><Relationship Id="rId1533" Type="http://schemas.openxmlformats.org/officeDocument/2006/relationships/hyperlink" Target="https://drive.google.com/file/d/1BC-oHAJXZR8gA58TQ6CMLhGk49j_kbel/view?usp=drivesdk" TargetMode="External"/><Relationship Id="rId2864" Type="http://schemas.openxmlformats.org/officeDocument/2006/relationships/hyperlink" Target="https://drive.google.com/file/d/1y8mrTT7_nUvHiOOj_Est9-y7QPFPn7bM/view?usp=drivesdk" TargetMode="External"/><Relationship Id="rId1534" Type="http://schemas.openxmlformats.org/officeDocument/2006/relationships/hyperlink" Target="https://drive.google.com/file/d/1dmnYF_LdumtlLrWnSIsUGU1iL2iYWytg/view?usp=drivesdk" TargetMode="External"/><Relationship Id="rId2865" Type="http://schemas.openxmlformats.org/officeDocument/2006/relationships/hyperlink" Target="https://drive.google.com/file/d/1VyZodnC88TkBiX9hwQqLISstx0--OlF9/view?usp=drivesdk" TargetMode="External"/><Relationship Id="rId1535" Type="http://schemas.openxmlformats.org/officeDocument/2006/relationships/hyperlink" Target="https://drive.google.com/file/d/1RXr4niDiphL73XxS0Bwi1s8J9FebE3vQ/view?usp=drivesdk" TargetMode="External"/><Relationship Id="rId2866" Type="http://schemas.openxmlformats.org/officeDocument/2006/relationships/hyperlink" Target="https://drive.google.com/file/d/1m4aJwxOLHaW6W9BHJ4qrcFGnuaciz1IC/view?usp=drivesdk" TargetMode="External"/><Relationship Id="rId1536" Type="http://schemas.openxmlformats.org/officeDocument/2006/relationships/hyperlink" Target="https://drive.google.com/file/d/1vjTPB2e8eFUfMpUaaQIq0i5OQfJ_VGgE/view?usp=drivesdk" TargetMode="External"/><Relationship Id="rId2867" Type="http://schemas.openxmlformats.org/officeDocument/2006/relationships/hyperlink" Target="https://drive.google.com/file/d/1TnJyaUoRrpzVV53y8GXds5wdlyuM-9mX/view?usp=drivesdk" TargetMode="External"/><Relationship Id="rId1537" Type="http://schemas.openxmlformats.org/officeDocument/2006/relationships/hyperlink" Target="https://drive.google.com/file/d/1P2zn4PcN0aqLYF2XBELOAc2yrRgjp1ds/view?usp=drivesdk" TargetMode="External"/><Relationship Id="rId2868" Type="http://schemas.openxmlformats.org/officeDocument/2006/relationships/hyperlink" Target="https://drive.google.com/file/d/16Fdz5Q4hZTnIAAvzSPJ1UmDOOND5AaDe/view?usp=drivesdk" TargetMode="External"/><Relationship Id="rId1538" Type="http://schemas.openxmlformats.org/officeDocument/2006/relationships/hyperlink" Target="https://drive.google.com/file/d/14awjn7KavtlsGCWS_CDu13NW9TkedTNM/view?usp=drivesdk" TargetMode="External"/><Relationship Id="rId2869" Type="http://schemas.openxmlformats.org/officeDocument/2006/relationships/hyperlink" Target="https://drive.google.com/file/d/14LrYEERHFe3i5aIlqqcm_uO0CiKkW1y2/view?usp=drivesdk" TargetMode="External"/><Relationship Id="rId1539" Type="http://schemas.openxmlformats.org/officeDocument/2006/relationships/hyperlink" Target="https://drive.google.com/file/d/1gp-1MicqKg7Iri7W_3LdqykLKrrOTgI4/view?usp=drivesdk" TargetMode="External"/><Relationship Id="rId949" Type="http://schemas.openxmlformats.org/officeDocument/2006/relationships/hyperlink" Target="https://drive.google.com/file/d/1EHwdKOPywXiHT8ufx2T99v8YRbHGnFwU/view?usp=drivesdk" TargetMode="External"/><Relationship Id="rId948" Type="http://schemas.openxmlformats.org/officeDocument/2006/relationships/hyperlink" Target="https://drive.google.com/file/d/1P-Sqvp0mCqZvJz4lzBzfJpU7sLsIcHpG/view?usp=drivesdk" TargetMode="External"/><Relationship Id="rId943" Type="http://schemas.openxmlformats.org/officeDocument/2006/relationships/hyperlink" Target="https://drive.google.com/file/d/1ScCst8dIY0rvEyMcggQS1g5luMuFO5EM/view?usp=drivesdk" TargetMode="External"/><Relationship Id="rId942" Type="http://schemas.openxmlformats.org/officeDocument/2006/relationships/hyperlink" Target="https://drive.google.com/file/d/1l5rAN3nynply4uG3__V0nrbpU47BulsE/view?usp=drivesdk" TargetMode="External"/><Relationship Id="rId941" Type="http://schemas.openxmlformats.org/officeDocument/2006/relationships/hyperlink" Target="https://drive.google.com/file/d/1adcFTPRAtl3gR0yo5WZxxabcpq1tSugV/view?usp=drivesdk" TargetMode="External"/><Relationship Id="rId940" Type="http://schemas.openxmlformats.org/officeDocument/2006/relationships/hyperlink" Target="https://drive.google.com/file/d/1PVMFqgHdvbnVpvU4ToBmZGB1bJ783Vq7/view?usp=drivesdk" TargetMode="External"/><Relationship Id="rId947" Type="http://schemas.openxmlformats.org/officeDocument/2006/relationships/hyperlink" Target="https://drive.google.com/file/d/1uOLIg5UkHYJcCaWaznedB-kkD-6Ojsoj/view?usp=drivesdk" TargetMode="External"/><Relationship Id="rId946" Type="http://schemas.openxmlformats.org/officeDocument/2006/relationships/hyperlink" Target="https://drive.google.com/file/d/1NI0OwWuG3iBxN7UXcgaBi6OYUsoeeB6I/view?usp=drivesdk" TargetMode="External"/><Relationship Id="rId945" Type="http://schemas.openxmlformats.org/officeDocument/2006/relationships/hyperlink" Target="https://drive.google.com/file/d/1byufMCO_vLIF-bt7e5aZN3xGXC1vRs_C/view?usp=drivesdk" TargetMode="External"/><Relationship Id="rId944" Type="http://schemas.openxmlformats.org/officeDocument/2006/relationships/hyperlink" Target="https://drive.google.com/file/d/1zu3s4vzu5KvXwkxCk3_Jbtg6fuw8-MNg/view?usp=drivesdk" TargetMode="External"/><Relationship Id="rId2860" Type="http://schemas.openxmlformats.org/officeDocument/2006/relationships/hyperlink" Target="https://drive.google.com/file/d/1-F7GLgEY4EHaws_BqDjoz-2HKv4q25Jx/view?usp=drivesdk" TargetMode="External"/><Relationship Id="rId1530" Type="http://schemas.openxmlformats.org/officeDocument/2006/relationships/hyperlink" Target="https://drive.google.com/file/d/1ew0OSVU876rPzVsDvpN47BF_OOdkLKHm/view?usp=drivesdk" TargetMode="External"/><Relationship Id="rId2861" Type="http://schemas.openxmlformats.org/officeDocument/2006/relationships/hyperlink" Target="https://drive.google.com/file/d/1_PDJ9HJdyc65HgAxy4hirK9FdTGjmJt6/view?usp=drivesdk" TargetMode="External"/><Relationship Id="rId1531" Type="http://schemas.openxmlformats.org/officeDocument/2006/relationships/hyperlink" Target="https://drive.google.com/file/d/1vWIai5r3XTGViLrUpJz9c7jALgaW6Fv0/view?usp=drivesdk" TargetMode="External"/><Relationship Id="rId2862" Type="http://schemas.openxmlformats.org/officeDocument/2006/relationships/hyperlink" Target="https://drive.google.com/file/d/1uUa0wmROI0qE2xnTwxRVDmnwcW2lORPw/view?usp=drivesdk" TargetMode="External"/><Relationship Id="rId1521" Type="http://schemas.openxmlformats.org/officeDocument/2006/relationships/hyperlink" Target="https://drive.google.com/file/d/1jQjSRx3kSj2ilW3KmwxAru8D96j3i8Y7/view?usp=drivesdk" TargetMode="External"/><Relationship Id="rId2852" Type="http://schemas.openxmlformats.org/officeDocument/2006/relationships/hyperlink" Target="https://drive.google.com/file/d/1ndD8z0H-I5x-TfBCqMqu0rgkodHkfNEf/view?usp=drivesdk" TargetMode="External"/><Relationship Id="rId1522" Type="http://schemas.openxmlformats.org/officeDocument/2006/relationships/hyperlink" Target="https://drive.google.com/file/d/1Lep74aOGY2HTUfjOH1sRJGskkNnhcT9R/view?usp=drivesdk" TargetMode="External"/><Relationship Id="rId2853" Type="http://schemas.openxmlformats.org/officeDocument/2006/relationships/hyperlink" Target="https://drive.google.com/file/d/1EGlmFl81-d1oxiKpGgGytIRbyZhEQLuV/view?usp=drivesdk" TargetMode="External"/><Relationship Id="rId1523" Type="http://schemas.openxmlformats.org/officeDocument/2006/relationships/hyperlink" Target="https://drive.google.com/file/d/1mopdcftXz_M_O--Fgwij9iA3MHwAEogr/view?usp=drivesdk" TargetMode="External"/><Relationship Id="rId2854" Type="http://schemas.openxmlformats.org/officeDocument/2006/relationships/hyperlink" Target="https://drive.google.com/file/d/1azpl3Wmo9R6ywyk7lG4WR5Xnl3l99eut/view?usp=drivesdk" TargetMode="External"/><Relationship Id="rId1524" Type="http://schemas.openxmlformats.org/officeDocument/2006/relationships/hyperlink" Target="https://drive.google.com/file/d/1RdD1ka1AcuuAkIp42PaRdSSjjGkIdVnj/view?usp=drivesdk" TargetMode="External"/><Relationship Id="rId2855" Type="http://schemas.openxmlformats.org/officeDocument/2006/relationships/hyperlink" Target="https://drive.google.com/file/d/1Gkz07e_5xnoHy7zdKAHfWY6layqbA2lX/view?usp=drivesdk" TargetMode="External"/><Relationship Id="rId1525" Type="http://schemas.openxmlformats.org/officeDocument/2006/relationships/hyperlink" Target="https://drive.google.com/file/d/1elqGGq82WZNQe0OBkz3QxE7uAO28LFy7/view?usp=drivesdk" TargetMode="External"/><Relationship Id="rId2856" Type="http://schemas.openxmlformats.org/officeDocument/2006/relationships/hyperlink" Target="https://drive.google.com/file/d/1a05JoYmLdyaqZqx1lMlnobPSBoVtshdG/view?usp=drivesdk" TargetMode="External"/><Relationship Id="rId1526" Type="http://schemas.openxmlformats.org/officeDocument/2006/relationships/hyperlink" Target="https://drive.google.com/file/d/1gfXx0u2lXDnbw7niG14VKCEGM1cPJ8ga/view?usp=drivesdk" TargetMode="External"/><Relationship Id="rId2857" Type="http://schemas.openxmlformats.org/officeDocument/2006/relationships/hyperlink" Target="https://drive.google.com/file/d/14KU35or-OxTWODmUyKwRoB3qwuTQZobO/view?usp=drivesdk" TargetMode="External"/><Relationship Id="rId1527" Type="http://schemas.openxmlformats.org/officeDocument/2006/relationships/hyperlink" Target="https://drive.google.com/file/d/1CG--V-pTBF9sRiuxA8a5ueI8v8h5jmPV/view?usp=drivesdk" TargetMode="External"/><Relationship Id="rId2858" Type="http://schemas.openxmlformats.org/officeDocument/2006/relationships/hyperlink" Target="https://drive.google.com/file/d/17_Ll2w4V8oHKFKapa6lsAJcfuwPXIghG/view?usp=drivesdk" TargetMode="External"/><Relationship Id="rId1528" Type="http://schemas.openxmlformats.org/officeDocument/2006/relationships/hyperlink" Target="https://drive.google.com/file/d/1_jB99hESUavCRb8jKze8JwQ0Zoh-pbj4/view?usp=drivesdk" TargetMode="External"/><Relationship Id="rId2859" Type="http://schemas.openxmlformats.org/officeDocument/2006/relationships/hyperlink" Target="https://drive.google.com/file/d/1n-xkjkrGpKzc0Ew4FDfG-BXhbw4Koezu/view?usp=drivesdk" TargetMode="External"/><Relationship Id="rId1529" Type="http://schemas.openxmlformats.org/officeDocument/2006/relationships/hyperlink" Target="https://drive.google.com/file/d/1T6hsnIKF27lKap8NPnTMuBaw-W9pLzdm/view?usp=drivesdk" TargetMode="External"/><Relationship Id="rId939" Type="http://schemas.openxmlformats.org/officeDocument/2006/relationships/hyperlink" Target="https://drive.google.com/file/d/1Iv6a3AM_rRVR-LhQjuquoIiq60oy5s_L/view?usp=drivesdk" TargetMode="External"/><Relationship Id="rId938" Type="http://schemas.openxmlformats.org/officeDocument/2006/relationships/hyperlink" Target="https://drive.google.com/file/d/1mbtq5jswQXIL9vt6RisTXxGtG4hKwT7c/view?usp=drivesdk" TargetMode="External"/><Relationship Id="rId937" Type="http://schemas.openxmlformats.org/officeDocument/2006/relationships/hyperlink" Target="https://drive.google.com/file/d/1CKtIRM2vM0l1uwrMgW1JIiKEZTioliGI/view?usp=drivesdk" TargetMode="External"/><Relationship Id="rId932" Type="http://schemas.openxmlformats.org/officeDocument/2006/relationships/hyperlink" Target="https://drive.google.com/file/d/1RYL3tt6tRTFoJjHQdtA0A71DrNxC3K6m/view?usp=drivesdk" TargetMode="External"/><Relationship Id="rId931" Type="http://schemas.openxmlformats.org/officeDocument/2006/relationships/hyperlink" Target="https://drive.google.com/file/d/1JzBltD15-8CXBJMqzgsU1K6RxPQwnZ6D/view?usp=drivesdk" TargetMode="External"/><Relationship Id="rId930" Type="http://schemas.openxmlformats.org/officeDocument/2006/relationships/hyperlink" Target="https://drive.google.com/file/d/1nSKHlLdgFXIRA0ZzkBVYTEpX7vbXXpwZ/view?usp=drivesdk" TargetMode="External"/><Relationship Id="rId936" Type="http://schemas.openxmlformats.org/officeDocument/2006/relationships/hyperlink" Target="https://drive.google.com/file/d/1AZm79o6Tomre8O9xToATZHdk1A7nxAC9/view?usp=drivesdk" TargetMode="External"/><Relationship Id="rId935" Type="http://schemas.openxmlformats.org/officeDocument/2006/relationships/hyperlink" Target="https://drive.google.com/file/d/13zB4VPjcUf-Y5ulxFk_nrnahv0Fgi9UN/view?usp=drivesdk" TargetMode="External"/><Relationship Id="rId934" Type="http://schemas.openxmlformats.org/officeDocument/2006/relationships/hyperlink" Target="https://drive.google.com/file/d/1bDss24jXOe7FhkSOopEj0WqUmGKKXsLR/view?usp=drivesdk" TargetMode="External"/><Relationship Id="rId933" Type="http://schemas.openxmlformats.org/officeDocument/2006/relationships/hyperlink" Target="https://drive.google.com/file/d/1sZNK9FJ-_p2fges4mG2KcuNFkHZlE95D/view?usp=drivesdk" TargetMode="External"/><Relationship Id="rId2850" Type="http://schemas.openxmlformats.org/officeDocument/2006/relationships/hyperlink" Target="https://drive.google.com/file/d/1MRe3AF5QHB9EAYy2OvHfuDzmNbF-vcva/view?usp=drivesdk" TargetMode="External"/><Relationship Id="rId1520" Type="http://schemas.openxmlformats.org/officeDocument/2006/relationships/hyperlink" Target="https://drive.google.com/file/d/1vvezkz5zWeT6u6dIfF269SD9kYogBCP9/view?usp=drivesdk" TargetMode="External"/><Relationship Id="rId2851" Type="http://schemas.openxmlformats.org/officeDocument/2006/relationships/hyperlink" Target="https://drive.google.com/file/d/1L_UrUn7iF547GceUM9sV402LJMhvz5p-/view?usp=drivesdk" TargetMode="External"/><Relationship Id="rId1554" Type="http://schemas.openxmlformats.org/officeDocument/2006/relationships/hyperlink" Target="https://drive.google.com/file/d/1Irbmig3rfLDvz-G09jDAVwJvv1drYEqO/view?usp=drivesdk" TargetMode="External"/><Relationship Id="rId2885" Type="http://schemas.openxmlformats.org/officeDocument/2006/relationships/hyperlink" Target="https://drive.google.com/file/d/1BsnS4DPT2KmhjBeBNNcE4-t0vz9t8bBu/view?usp=drivesdk" TargetMode="External"/><Relationship Id="rId1555" Type="http://schemas.openxmlformats.org/officeDocument/2006/relationships/hyperlink" Target="https://drive.google.com/file/d/1Oyf6phoxDUGiryzACmCI2gdTcVIQO0rE/view?usp=drivesdk" TargetMode="External"/><Relationship Id="rId2886" Type="http://schemas.openxmlformats.org/officeDocument/2006/relationships/hyperlink" Target="https://drive.google.com/file/d/1eQcmhUZAM11qxH-mwM6jAouV_rCECXvM/view?usp=drivesdk" TargetMode="External"/><Relationship Id="rId1556" Type="http://schemas.openxmlformats.org/officeDocument/2006/relationships/hyperlink" Target="https://drive.google.com/file/d/1JU5kJv0kHYoKBDth2j7wQsjJ1BK_HiIh/view?usp=drivesdk" TargetMode="External"/><Relationship Id="rId2887" Type="http://schemas.openxmlformats.org/officeDocument/2006/relationships/hyperlink" Target="https://drive.google.com/file/d/19DaZ3U3kDTGt8DNgyBPYTrh0pbrw_vwe/view?usp=drivesdk" TargetMode="External"/><Relationship Id="rId1557" Type="http://schemas.openxmlformats.org/officeDocument/2006/relationships/hyperlink" Target="https://drive.google.com/file/d/1dhF34wzocQXuQuO5C6a-2Ah86pPkgSjw/view?usp=drivesdk" TargetMode="External"/><Relationship Id="rId2888" Type="http://schemas.openxmlformats.org/officeDocument/2006/relationships/hyperlink" Target="https://drive.google.com/file/d/1Ic6aADz9FFftbyqRAxUFmh-o53coOang/view?usp=drivesdk" TargetMode="External"/><Relationship Id="rId1558" Type="http://schemas.openxmlformats.org/officeDocument/2006/relationships/hyperlink" Target="https://drive.google.com/file/d/1JqR213ecE6dYmcQzX1WidGxm2UimuKxl/view?usp=drivesdk" TargetMode="External"/><Relationship Id="rId2889" Type="http://schemas.openxmlformats.org/officeDocument/2006/relationships/hyperlink" Target="https://drive.google.com/file/d/1xLFc8vMa_e-vbBQWCNykjr3P59Pc0jMD/view?usp=drivesdk" TargetMode="External"/><Relationship Id="rId1559" Type="http://schemas.openxmlformats.org/officeDocument/2006/relationships/hyperlink" Target="https://drive.google.com/file/d/1UmxI7FadSp2BSEkh5BER_Spt-84l_EZ4/view?usp=drivesdk" TargetMode="External"/><Relationship Id="rId965" Type="http://schemas.openxmlformats.org/officeDocument/2006/relationships/hyperlink" Target="https://drive.google.com/file/d/1ogcd8fxbNQ1z_SWg8tZ0FtFNsrzg8BnZ/view?usp=drivesdk" TargetMode="External"/><Relationship Id="rId964" Type="http://schemas.openxmlformats.org/officeDocument/2006/relationships/hyperlink" Target="https://drive.google.com/file/d/1j-kE2YVtXl2exB2ak9yvvebl17hGXDPf/view?usp=drivesdk" TargetMode="External"/><Relationship Id="rId963" Type="http://schemas.openxmlformats.org/officeDocument/2006/relationships/hyperlink" Target="https://drive.google.com/file/d/12ib7HG9oP33Ws90XAlqI-QpneflUF2fh/view?usp=drivesdk" TargetMode="External"/><Relationship Id="rId962" Type="http://schemas.openxmlformats.org/officeDocument/2006/relationships/hyperlink" Target="https://drive.google.com/file/d/12WWB5hrjAYMH03HeqtvEyVUcJGk2Newf/view?usp=drivesdk" TargetMode="External"/><Relationship Id="rId969" Type="http://schemas.openxmlformats.org/officeDocument/2006/relationships/hyperlink" Target="https://drive.google.com/file/d/1CMXFeghrtXa1dbj5j7fAh8HA1u4J3t99/view?usp=drivesdk" TargetMode="External"/><Relationship Id="rId968" Type="http://schemas.openxmlformats.org/officeDocument/2006/relationships/hyperlink" Target="https://drive.google.com/file/d/1yIa2ATsvmJ39BhPndLcWZzUGLYLgDDgY/view?usp=drivesdk" TargetMode="External"/><Relationship Id="rId967" Type="http://schemas.openxmlformats.org/officeDocument/2006/relationships/hyperlink" Target="https://drive.google.com/file/d/1tchwxQTTre_0NysY7Uqn1J1fTAm0FTaN/view?usp=drivesdk" TargetMode="External"/><Relationship Id="rId966" Type="http://schemas.openxmlformats.org/officeDocument/2006/relationships/hyperlink" Target="https://drive.google.com/file/d/1VIyaKTrHkcnvx6X2Vzbcsabqr1_r_F9C/view?usp=drivesdk" TargetMode="External"/><Relationship Id="rId2880" Type="http://schemas.openxmlformats.org/officeDocument/2006/relationships/hyperlink" Target="https://drive.google.com/file/d/1UKyZSyadeWWKlD03-UFjhlFvSy-jY0H-/view?usp=drivesdk" TargetMode="External"/><Relationship Id="rId961" Type="http://schemas.openxmlformats.org/officeDocument/2006/relationships/hyperlink" Target="https://drive.google.com/file/d/18asQxQidaLeAiNYj7n-uzRk_sjGDMuCH/view?usp=drivesdk" TargetMode="External"/><Relationship Id="rId1550" Type="http://schemas.openxmlformats.org/officeDocument/2006/relationships/hyperlink" Target="https://drive.google.com/file/d/16jKwdpMjv9iC7Mu_8eP1ZQM-NCwIIMLR/view?usp=drivesdk" TargetMode="External"/><Relationship Id="rId2881" Type="http://schemas.openxmlformats.org/officeDocument/2006/relationships/hyperlink" Target="https://drive.google.com/file/d/1vurpc_i_PD2QcCV7pFaYNDEu3OYapdxB/view?usp=drivesdk" TargetMode="External"/><Relationship Id="rId960" Type="http://schemas.openxmlformats.org/officeDocument/2006/relationships/hyperlink" Target="https://drive.google.com/file/d/1CxCoM86qacNNUYpFhAyF1rtXgYBs-9mH/view?usp=drivesdk" TargetMode="External"/><Relationship Id="rId1551" Type="http://schemas.openxmlformats.org/officeDocument/2006/relationships/hyperlink" Target="https://drive.google.com/file/d/1M_QRPQwfBMR3RZaCJW-QHGxqNlm5L1OL/view?usp=drivesdk" TargetMode="External"/><Relationship Id="rId2882" Type="http://schemas.openxmlformats.org/officeDocument/2006/relationships/hyperlink" Target="https://drive.google.com/file/d/1zAeAQJ4eRCYPaLwYl_cQdaBV-sgsCH1E/view?usp=drivesdk" TargetMode="External"/><Relationship Id="rId1552" Type="http://schemas.openxmlformats.org/officeDocument/2006/relationships/hyperlink" Target="https://drive.google.com/file/d/1xaH1AdTN7K_tpV_fPvFUmkfl3Wi38a_0/view?usp=drivesdk" TargetMode="External"/><Relationship Id="rId2883" Type="http://schemas.openxmlformats.org/officeDocument/2006/relationships/hyperlink" Target="https://drive.google.com/file/d/1AyZRwIvNXJpAjxVsANAKksDd3obuF0oL/view?usp=drivesdk" TargetMode="External"/><Relationship Id="rId1553" Type="http://schemas.openxmlformats.org/officeDocument/2006/relationships/hyperlink" Target="https://drive.google.com/file/d/1eTjP2xjPMHt_psL0IRiVE0uqN0eKYr25/view?usp=drivesdk" TargetMode="External"/><Relationship Id="rId2884" Type="http://schemas.openxmlformats.org/officeDocument/2006/relationships/hyperlink" Target="https://drive.google.com/file/d/1DNgz6zvVyJc9CChGs4IXCI5an4Rzk7nB/view?usp=drivesdk" TargetMode="External"/><Relationship Id="rId1543" Type="http://schemas.openxmlformats.org/officeDocument/2006/relationships/hyperlink" Target="https://drive.google.com/file/d/1Ls7enSwQEn27qHRCH_5Coj2XrGQZjobj/view?usp=drivesdk" TargetMode="External"/><Relationship Id="rId2874" Type="http://schemas.openxmlformats.org/officeDocument/2006/relationships/hyperlink" Target="https://drive.google.com/file/d/1GqlmaUqsUO52N0r1Ib1RrmaOS2VDOtqx/view?usp=drivesdk" TargetMode="External"/><Relationship Id="rId1544" Type="http://schemas.openxmlformats.org/officeDocument/2006/relationships/hyperlink" Target="https://drive.google.com/file/d/10Ld1Nivm3OIC43nW0JIiWZhrLO6OXhBr/view?usp=drivesdk" TargetMode="External"/><Relationship Id="rId2875" Type="http://schemas.openxmlformats.org/officeDocument/2006/relationships/hyperlink" Target="https://drive.google.com/file/d/11YlCMyN4uuL8Bm15aAIWE8inJeqhHaiW/view?usp=drivesdk" TargetMode="External"/><Relationship Id="rId1545" Type="http://schemas.openxmlformats.org/officeDocument/2006/relationships/hyperlink" Target="https://drive.google.com/file/d/1enJo63drmDH3LiCKXFS8g3-psbOxwDuR/view?usp=drivesdk" TargetMode="External"/><Relationship Id="rId2876" Type="http://schemas.openxmlformats.org/officeDocument/2006/relationships/hyperlink" Target="https://drive.google.com/file/d/1HdBN17kLB5Dti11EcyS-dTKrGQBVVhsc/view?usp=drivesdk" TargetMode="External"/><Relationship Id="rId1546" Type="http://schemas.openxmlformats.org/officeDocument/2006/relationships/hyperlink" Target="https://drive.google.com/file/d/14s_w3a6gZTtw0E26e1AJ654qkObMia4e/view?usp=drivesdk" TargetMode="External"/><Relationship Id="rId2877" Type="http://schemas.openxmlformats.org/officeDocument/2006/relationships/hyperlink" Target="https://drive.google.com/file/d/1IvXyE1rwA3XbGaIs71lV94KBAOASxOSW/view?usp=drivesdk" TargetMode="External"/><Relationship Id="rId1547" Type="http://schemas.openxmlformats.org/officeDocument/2006/relationships/hyperlink" Target="https://drive.google.com/file/d/1kVH_VKOGojuQbivdjZ7Is2SblWIFs0M7/view?usp=drivesdk" TargetMode="External"/><Relationship Id="rId2878" Type="http://schemas.openxmlformats.org/officeDocument/2006/relationships/hyperlink" Target="https://drive.google.com/file/d/1bYGZGwWWVS-Gyd9EvxGZHfGkrlvQ7SVP/view?usp=drivesdk" TargetMode="External"/><Relationship Id="rId1548" Type="http://schemas.openxmlformats.org/officeDocument/2006/relationships/hyperlink" Target="https://drive.google.com/file/d/1p6gI2cN5UJ165JXGw5A-NDRQ1yEvL2O-/view?usp=drivesdk" TargetMode="External"/><Relationship Id="rId2879" Type="http://schemas.openxmlformats.org/officeDocument/2006/relationships/hyperlink" Target="https://drive.google.com/file/d/19vdYAZkCypP9hiOcyAcKHxjhTelRkEZ4/view?usp=drivesdk" TargetMode="External"/><Relationship Id="rId1549" Type="http://schemas.openxmlformats.org/officeDocument/2006/relationships/hyperlink" Target="https://drive.google.com/file/d/1wcNLyGRa4gXByWTxj5jatSzrFvsBvEOa/view?usp=drivesdk" TargetMode="External"/><Relationship Id="rId959" Type="http://schemas.openxmlformats.org/officeDocument/2006/relationships/hyperlink" Target="https://drive.google.com/file/d/1QceQIPpudwHNts6ozVsewpPDcHxsEEG6/view?usp=drivesdk" TargetMode="External"/><Relationship Id="rId954" Type="http://schemas.openxmlformats.org/officeDocument/2006/relationships/hyperlink" Target="https://drive.google.com/file/d/1gKjvQmfx19e3auGXpZdGBxQqVuGU6AX7/view?usp=drivesdk" TargetMode="External"/><Relationship Id="rId953" Type="http://schemas.openxmlformats.org/officeDocument/2006/relationships/hyperlink" Target="https://drive.google.com/file/d/1Ngt6UrsD91-8z3o5nPQYSC1uXd0ekwYw/view?usp=drivesdk" TargetMode="External"/><Relationship Id="rId952" Type="http://schemas.openxmlformats.org/officeDocument/2006/relationships/hyperlink" Target="https://drive.google.com/file/d/17bs3vl2FzsWhzVlfBOdauYWC7F9KyJMy/view?usp=drivesdk" TargetMode="External"/><Relationship Id="rId951" Type="http://schemas.openxmlformats.org/officeDocument/2006/relationships/hyperlink" Target="https://drive.google.com/file/d/1v3GntFT3_pm4ajRzH6JPM18Chi14Z430/view?usp=drivesdk" TargetMode="External"/><Relationship Id="rId958" Type="http://schemas.openxmlformats.org/officeDocument/2006/relationships/hyperlink" Target="https://drive.google.com/file/d/1kNAE-ye78RDsNealbMDlJ6VM6UzOgd-b/view?usp=drivesdk" TargetMode="External"/><Relationship Id="rId957" Type="http://schemas.openxmlformats.org/officeDocument/2006/relationships/hyperlink" Target="https://drive.google.com/file/d/1c51xoclCygYjc2PSAWNPbFAZMhbv3-6j/view?usp=drivesdk" TargetMode="External"/><Relationship Id="rId956" Type="http://schemas.openxmlformats.org/officeDocument/2006/relationships/hyperlink" Target="https://drive.google.com/file/d/1QBVpAdQi9cHTv94j8sfKY45av11XBK9u/view?usp=drivesdk" TargetMode="External"/><Relationship Id="rId955" Type="http://schemas.openxmlformats.org/officeDocument/2006/relationships/hyperlink" Target="https://drive.google.com/file/d/1U5Ogm827ucDFdocOpwNAGccaapijRR4J/view?usp=drivesdk" TargetMode="External"/><Relationship Id="rId950" Type="http://schemas.openxmlformats.org/officeDocument/2006/relationships/hyperlink" Target="https://drive.google.com/file/d/1Ogf-uOfDl9Mk4NYZqw4y5cD5TJuVREfw/view?usp=drivesdk" TargetMode="External"/><Relationship Id="rId2870" Type="http://schemas.openxmlformats.org/officeDocument/2006/relationships/hyperlink" Target="https://drive.google.com/file/d/1IyaF2VJcgVfWLGGRX0Pw4RnInw7LvfCb/view?usp=drivesdk" TargetMode="External"/><Relationship Id="rId1540" Type="http://schemas.openxmlformats.org/officeDocument/2006/relationships/hyperlink" Target="https://drive.google.com/file/d/17kiDPObhzV5Il1PydikjPEZC1kqKaML2/view?usp=drivesdk" TargetMode="External"/><Relationship Id="rId2871" Type="http://schemas.openxmlformats.org/officeDocument/2006/relationships/hyperlink" Target="https://drive.google.com/file/d/1sVDcE0S8Au1V2yPyjhNJC-dbCas3mbhd/view?usp=drivesdk" TargetMode="External"/><Relationship Id="rId1541" Type="http://schemas.openxmlformats.org/officeDocument/2006/relationships/hyperlink" Target="https://drive.google.com/file/d/131RKu4fsqV-7PMeG8SQAM6g-0HeDYvmM/view?usp=drivesdk" TargetMode="External"/><Relationship Id="rId2872" Type="http://schemas.openxmlformats.org/officeDocument/2006/relationships/hyperlink" Target="https://drive.google.com/file/d/1miw0gE80AMT9hLj9igjJSpALmK9RwWFq/view?usp=drivesdk" TargetMode="External"/><Relationship Id="rId1542" Type="http://schemas.openxmlformats.org/officeDocument/2006/relationships/hyperlink" Target="https://drive.google.com/file/d/1bP7XuC-i8pHafhrjZL7LqwnyOo_nYb1Z/view?usp=drivesdk" TargetMode="External"/><Relationship Id="rId2873" Type="http://schemas.openxmlformats.org/officeDocument/2006/relationships/hyperlink" Target="https://drive.google.com/file/d/1C7ZFix0i5PE-sELkqelxpzSVqoZT0uXD/view?usp=drivesdk" TargetMode="External"/><Relationship Id="rId2027" Type="http://schemas.openxmlformats.org/officeDocument/2006/relationships/hyperlink" Target="https://drive.google.com/file/d/1Y64s8GHxNrRvDcvruC4sJnxL8xzdZcO-/view?usp=drivesdk" TargetMode="External"/><Relationship Id="rId2028" Type="http://schemas.openxmlformats.org/officeDocument/2006/relationships/hyperlink" Target="https://drive.google.com/file/d/1CjT1O6wWYuXyGwX2IDXgjfNdv5kWTW3m/view?usp=drivesdk" TargetMode="External"/><Relationship Id="rId2029" Type="http://schemas.openxmlformats.org/officeDocument/2006/relationships/hyperlink" Target="https://drive.google.com/file/d/1VK50exEXQ_rClong6zFoFteT2CKKkjmO/view?usp=drivesdk" TargetMode="External"/><Relationship Id="rId107" Type="http://schemas.openxmlformats.org/officeDocument/2006/relationships/hyperlink" Target="https://drive.google.com/file/d/1sOq0Q6Aa8an8MKQ0o3Ciqtm1cl3BE9Lh/view?usp=drivesdk" TargetMode="External"/><Relationship Id="rId106" Type="http://schemas.openxmlformats.org/officeDocument/2006/relationships/hyperlink" Target="https://drive.google.com/file/d/1Tzj9Sha3iMsDcqkoXxX7sF0Tuc0VnEe4/view?usp=drivesdk" TargetMode="External"/><Relationship Id="rId105" Type="http://schemas.openxmlformats.org/officeDocument/2006/relationships/hyperlink" Target="https://drive.google.com/file/d/1GZc38L64kTG8nJmMzERvJXrILaTjP0DW/view?usp=drivesdk" TargetMode="External"/><Relationship Id="rId104" Type="http://schemas.openxmlformats.org/officeDocument/2006/relationships/hyperlink" Target="https://drive.google.com/file/d/1UV1_g6L3rog7I0tTFqXL0l-1RDbnPRHY/view?usp=drivesdk" TargetMode="External"/><Relationship Id="rId109" Type="http://schemas.openxmlformats.org/officeDocument/2006/relationships/hyperlink" Target="https://drive.google.com/file/d/1fSoLHhIRisJI9mDZEG0MomhXlWLFD1WK/view?usp=drivesdk" TargetMode="External"/><Relationship Id="rId108" Type="http://schemas.openxmlformats.org/officeDocument/2006/relationships/hyperlink" Target="https://drive.google.com/file/d/1ZkY7DMQQzu1g1IUTURnCgY3CZCEc0cdK/view?usp=drivesdk" TargetMode="External"/><Relationship Id="rId2020" Type="http://schemas.openxmlformats.org/officeDocument/2006/relationships/hyperlink" Target="https://drive.google.com/file/d/18nULESXZN8TdVjSkyh5ultgqH2EvBSm0/view?usp=drivesdk" TargetMode="External"/><Relationship Id="rId2021" Type="http://schemas.openxmlformats.org/officeDocument/2006/relationships/hyperlink" Target="https://drive.google.com/file/d/1mWjj8mxrG8UD8YXr2nZ-cGzIZBtUwLal/view?usp=drivesdk" TargetMode="External"/><Relationship Id="rId2022" Type="http://schemas.openxmlformats.org/officeDocument/2006/relationships/hyperlink" Target="https://drive.google.com/file/d/1RLxYB-xp9gCuylzG8fMEpa5rGt6OdoMh/view?usp=drivesdk" TargetMode="External"/><Relationship Id="rId103" Type="http://schemas.openxmlformats.org/officeDocument/2006/relationships/hyperlink" Target="https://drive.google.com/file/d/1DfO2lyfbdPCjlRMrEXIYJK5gJAswYfO0/view?usp=drivesdk" TargetMode="External"/><Relationship Id="rId2023" Type="http://schemas.openxmlformats.org/officeDocument/2006/relationships/hyperlink" Target="https://drive.google.com/file/d/1_UEC3DvYLPby3ewaxAHguC5Mm0ainire/view?usp=drivesdk" TargetMode="External"/><Relationship Id="rId102" Type="http://schemas.openxmlformats.org/officeDocument/2006/relationships/hyperlink" Target="https://drive.google.com/file/d/1RmoCMP8is9P9i3jndJQRRTlgReQ98ZSI/view?usp=drivesdk" TargetMode="External"/><Relationship Id="rId2024" Type="http://schemas.openxmlformats.org/officeDocument/2006/relationships/hyperlink" Target="https://drive.google.com/file/d/1OF9OzNZ0RezTr91hWpWHMHWrXH9SCFAS/view?usp=drivesdk" TargetMode="External"/><Relationship Id="rId101" Type="http://schemas.openxmlformats.org/officeDocument/2006/relationships/hyperlink" Target="https://drive.google.com/file/d/1nUo9WjTZnbERPPJGJ92wTHHh-N_Go9gv/view?usp=drivesdk" TargetMode="External"/><Relationship Id="rId2025" Type="http://schemas.openxmlformats.org/officeDocument/2006/relationships/hyperlink" Target="https://drive.google.com/file/d/1PBwDmwqcYcLTkNyF1ED4xCFTmb4mHrLr/view?usp=drivesdk" TargetMode="External"/><Relationship Id="rId100" Type="http://schemas.openxmlformats.org/officeDocument/2006/relationships/hyperlink" Target="https://drive.google.com/file/d/1XHwantHHXjvqUA4h_kjIvPYd2kD5Jyx3/view?usp=drivesdk" TargetMode="External"/><Relationship Id="rId2026" Type="http://schemas.openxmlformats.org/officeDocument/2006/relationships/hyperlink" Target="https://drive.google.com/file/d/1zdQKRoaKTgqYFpQsFj5QvQQ6FD0ed3fh/view?usp=drivesdk" TargetMode="External"/><Relationship Id="rId2016" Type="http://schemas.openxmlformats.org/officeDocument/2006/relationships/hyperlink" Target="https://drive.google.com/file/d/1e5Wm6ChazDKUJftaKFfLoaBKNbaofYfP/view?usp=drivesdk" TargetMode="External"/><Relationship Id="rId2017" Type="http://schemas.openxmlformats.org/officeDocument/2006/relationships/hyperlink" Target="https://drive.google.com/file/d/1v6kgKeSqXz-kIHf5HXexB2cCnGBup8pu/view?usp=drivesdk" TargetMode="External"/><Relationship Id="rId2018" Type="http://schemas.openxmlformats.org/officeDocument/2006/relationships/hyperlink" Target="https://drive.google.com/file/d/1_3kOREsSMo-zmS04srVes69SaYsErPmR/view?usp=drivesdk" TargetMode="External"/><Relationship Id="rId2019" Type="http://schemas.openxmlformats.org/officeDocument/2006/relationships/hyperlink" Target="https://drive.google.com/file/d/117IKlIHBXRWO7KM1helymQPvsGoEIXdX/view?usp=drivesdk" TargetMode="External"/><Relationship Id="rId2010" Type="http://schemas.openxmlformats.org/officeDocument/2006/relationships/hyperlink" Target="https://drive.google.com/file/d/10tpM-QAfI0H0NH6vAvH9VLJJki0FnCbu/view?usp=drivesdk" TargetMode="External"/><Relationship Id="rId2011" Type="http://schemas.openxmlformats.org/officeDocument/2006/relationships/hyperlink" Target="https://drive.google.com/file/d/1-ByeeNB55CftwPMrOwFmhKHJtA2Cargu/view?usp=drivesdk" TargetMode="External"/><Relationship Id="rId2012" Type="http://schemas.openxmlformats.org/officeDocument/2006/relationships/hyperlink" Target="https://drive.google.com/file/d/1uSaalqURvSDrwFTwn8d56akyZ5pLqmJn/view?usp=drivesdk" TargetMode="External"/><Relationship Id="rId2013" Type="http://schemas.openxmlformats.org/officeDocument/2006/relationships/hyperlink" Target="https://drive.google.com/file/d/1vD03nf0a0BC3Ui7dZPBwsHBn8uBFVmTS/view?usp=drivesdk" TargetMode="External"/><Relationship Id="rId2014" Type="http://schemas.openxmlformats.org/officeDocument/2006/relationships/hyperlink" Target="https://drive.google.com/file/d/1s3htODPJ-fx2SsrGMPuuPnrS-QkOjVmW/view?usp=drivesdk" TargetMode="External"/><Relationship Id="rId2015" Type="http://schemas.openxmlformats.org/officeDocument/2006/relationships/hyperlink" Target="https://drive.google.com/file/d/1AFvmNMhSk-QV-2cVhQI1IIbAhqjPhXWN/view?usp=drivesdk" TargetMode="External"/><Relationship Id="rId2049" Type="http://schemas.openxmlformats.org/officeDocument/2006/relationships/hyperlink" Target="https://drive.google.com/file/d/1S2villzYudFC9-TeVhxXKsxBqLRSgA1s/view?usp=drivesdk" TargetMode="External"/><Relationship Id="rId129" Type="http://schemas.openxmlformats.org/officeDocument/2006/relationships/hyperlink" Target="https://drive.google.com/file/d/1JPn1_M8M9Ak5XFqjxy1ZwUFV1I8DEUXs/view?usp=drivesdk" TargetMode="External"/><Relationship Id="rId128" Type="http://schemas.openxmlformats.org/officeDocument/2006/relationships/hyperlink" Target="https://drive.google.com/file/d/1qcpZmyQfWGKyAKm6cAOG429DdPFkwXR1/view?usp=drivesdk" TargetMode="External"/><Relationship Id="rId127" Type="http://schemas.openxmlformats.org/officeDocument/2006/relationships/hyperlink" Target="https://drive.google.com/file/d/17xRisFaEdb8sQ_Jnp07PmJvPm3L2ogKT/view?usp=drivesdk" TargetMode="External"/><Relationship Id="rId126" Type="http://schemas.openxmlformats.org/officeDocument/2006/relationships/hyperlink" Target="https://drive.google.com/file/d/1NEjz6HMIxfkz_ig2cAptyyww2c-9xxH2/view?usp=drivesdk" TargetMode="External"/><Relationship Id="rId2040" Type="http://schemas.openxmlformats.org/officeDocument/2006/relationships/hyperlink" Target="https://drive.google.com/file/d/1kVWNkPYWfpPoaNfzdmDoKO9zV0jbI67W/view?usp=drivesdk" TargetMode="External"/><Relationship Id="rId121" Type="http://schemas.openxmlformats.org/officeDocument/2006/relationships/hyperlink" Target="https://drive.google.com/file/d/15TviLeO9381ETQsop9lJxKkt_zGJpXCM/view?usp=drivesdk" TargetMode="External"/><Relationship Id="rId2041" Type="http://schemas.openxmlformats.org/officeDocument/2006/relationships/hyperlink" Target="https://drive.google.com/file/d/1O7HDXxuStHcKBDqiToq3TS5-_eHNMncg/view?usp=drivesdk" TargetMode="External"/><Relationship Id="rId120" Type="http://schemas.openxmlformats.org/officeDocument/2006/relationships/hyperlink" Target="https://drive.google.com/file/d/1-MKPgE5eeH2iuqZqvWkLfwVBo0d0nk8p/view?usp=drivesdk" TargetMode="External"/><Relationship Id="rId2042" Type="http://schemas.openxmlformats.org/officeDocument/2006/relationships/hyperlink" Target="https://drive.google.com/file/d/1noF0-gFXnE925nL0unfvsQ-ANlXov76A/view?usp=drivesdk" TargetMode="External"/><Relationship Id="rId2043" Type="http://schemas.openxmlformats.org/officeDocument/2006/relationships/hyperlink" Target="https://drive.google.com/file/d/1vWGgcW4pZ3FoyQKsaRTBIF-qNoze2NOS/view?usp=drivesdk" TargetMode="External"/><Relationship Id="rId2044" Type="http://schemas.openxmlformats.org/officeDocument/2006/relationships/hyperlink" Target="https://drive.google.com/file/d/1nawDDcezi9BHAhC1PTTKlP-I0li92yxh/view?usp=drivesdk" TargetMode="External"/><Relationship Id="rId125" Type="http://schemas.openxmlformats.org/officeDocument/2006/relationships/hyperlink" Target="https://drive.google.com/file/d/12ayHKrk8dWjTGdvI_EykU4V7gASAwsSF/view?usp=drivesdk" TargetMode="External"/><Relationship Id="rId2045" Type="http://schemas.openxmlformats.org/officeDocument/2006/relationships/hyperlink" Target="https://drive.google.com/file/d/1-XMlXEjoIspJ3kqVPF-O6pr1PklAU4DF/view?usp=drivesdk" TargetMode="External"/><Relationship Id="rId124" Type="http://schemas.openxmlformats.org/officeDocument/2006/relationships/hyperlink" Target="https://drive.google.com/file/d/1tGQy62qBemNRdv1CCoRwhShVTPgdpX17/view?usp=drivesdk" TargetMode="External"/><Relationship Id="rId2046" Type="http://schemas.openxmlformats.org/officeDocument/2006/relationships/hyperlink" Target="https://drive.google.com/file/d/1iPMC-k9xrxfHtNZFhdKSSGpPAPPmY3J4/view?usp=drivesdk" TargetMode="External"/><Relationship Id="rId123" Type="http://schemas.openxmlformats.org/officeDocument/2006/relationships/hyperlink" Target="https://drive.google.com/file/d/1FJAN3eyWVY5MdaWnh5B4QdBTAYbOGwHg/view?usp=drivesdk" TargetMode="External"/><Relationship Id="rId2047" Type="http://schemas.openxmlformats.org/officeDocument/2006/relationships/hyperlink" Target="https://drive.google.com/file/d/1KEBKYl19fq4HtJxW3DL6KczxjYJ94hp2/view?usp=drivesdk" TargetMode="External"/><Relationship Id="rId122" Type="http://schemas.openxmlformats.org/officeDocument/2006/relationships/hyperlink" Target="https://drive.google.com/file/d/1_C8YFj82OxTlfEGn6_JqVOrerb3Wk9JZ/view?usp=drivesdk" TargetMode="External"/><Relationship Id="rId2048" Type="http://schemas.openxmlformats.org/officeDocument/2006/relationships/hyperlink" Target="https://drive.google.com/file/d/10xyzPhQJ8BoXAmXBEBA_mIn8qqh_KbTE/view?usp=drivesdk" TargetMode="External"/><Relationship Id="rId2038" Type="http://schemas.openxmlformats.org/officeDocument/2006/relationships/hyperlink" Target="https://drive.google.com/file/d/1X_Hzp8yt2P-QO2WO8iH4EPgoVRh7R4xM/view?usp=drivesdk" TargetMode="External"/><Relationship Id="rId2039" Type="http://schemas.openxmlformats.org/officeDocument/2006/relationships/hyperlink" Target="https://drive.google.com/file/d/1VgMcBc_Zck2mNomOuS1CZVLBzdiV_nWC/view?usp=drivesdk" TargetMode="External"/><Relationship Id="rId118" Type="http://schemas.openxmlformats.org/officeDocument/2006/relationships/hyperlink" Target="https://drive.google.com/file/d/1S5OEsfFrjvDWZg2UxXrLf8CsebFririY/view?usp=drivesdk" TargetMode="External"/><Relationship Id="rId117" Type="http://schemas.openxmlformats.org/officeDocument/2006/relationships/hyperlink" Target="https://drive.google.com/file/d/1NGwiQE7OCeLgst8X2rXUXP21dq9Q518c/view?usp=drivesdk" TargetMode="External"/><Relationship Id="rId116" Type="http://schemas.openxmlformats.org/officeDocument/2006/relationships/hyperlink" Target="https://drive.google.com/file/d/16t_ug3CaNusaKCLWcRAMt3OWtKvwyRks/view?usp=drivesdk" TargetMode="External"/><Relationship Id="rId115" Type="http://schemas.openxmlformats.org/officeDocument/2006/relationships/hyperlink" Target="https://drive.google.com/file/d/1wEhASX6cLcnXw48U7_dF8rsyCNBIxSx1/view?usp=drivesdk" TargetMode="External"/><Relationship Id="rId119" Type="http://schemas.openxmlformats.org/officeDocument/2006/relationships/hyperlink" Target="https://drive.google.com/file/d/17x4KDwm1lZHkbqNrhLMwggDyslBkX0rc/view?usp=drivesdk" TargetMode="External"/><Relationship Id="rId110" Type="http://schemas.openxmlformats.org/officeDocument/2006/relationships/hyperlink" Target="https://drive.google.com/file/d/1K9zfhpj64C1Ct8oqomjeuIl8Jvddu8mU/view?usp=drivesdk" TargetMode="External"/><Relationship Id="rId2030" Type="http://schemas.openxmlformats.org/officeDocument/2006/relationships/hyperlink" Target="https://drive.google.com/file/d/1HOPgbT8B7cSul5cTHeEI8GnCvj5F-kiw/view?usp=drivesdk" TargetMode="External"/><Relationship Id="rId2031" Type="http://schemas.openxmlformats.org/officeDocument/2006/relationships/hyperlink" Target="https://drive.google.com/file/d/1MkAewK7ChXvXFt_yHeQBeosTp7ozsocw/view?usp=drivesdk" TargetMode="External"/><Relationship Id="rId2032" Type="http://schemas.openxmlformats.org/officeDocument/2006/relationships/hyperlink" Target="https://drive.google.com/file/d/1-nd1hGa7j_Vwr7C63vLyw8Doq1Jw9jdo/view?usp=drivesdk" TargetMode="External"/><Relationship Id="rId2033" Type="http://schemas.openxmlformats.org/officeDocument/2006/relationships/hyperlink" Target="https://drive.google.com/file/d/10y7q496AX6_0sM8VYpwXFE_CfW3qWVER/view?usp=drivesdk" TargetMode="External"/><Relationship Id="rId114" Type="http://schemas.openxmlformats.org/officeDocument/2006/relationships/hyperlink" Target="https://drive.google.com/file/d/1nF1FuGmRSfPkOfvJoFANBQd2NY3iysUg/view?usp=drivesdk" TargetMode="External"/><Relationship Id="rId2034" Type="http://schemas.openxmlformats.org/officeDocument/2006/relationships/hyperlink" Target="https://drive.google.com/file/d/1WGpgshHGpD4awyCYpmOwaF0Lo9g6Tii3/view?usp=drivesdk" TargetMode="External"/><Relationship Id="rId113" Type="http://schemas.openxmlformats.org/officeDocument/2006/relationships/hyperlink" Target="https://drive.google.com/file/d/1d3GHtXA-PyNAhFEfmESdyl6NNfjeEBF-/view?usp=drivesdk" TargetMode="External"/><Relationship Id="rId2035" Type="http://schemas.openxmlformats.org/officeDocument/2006/relationships/hyperlink" Target="https://drive.google.com/file/d/1uk4nyW4cAjESveKk9dlxcAUonbl9IHNU/view?usp=drivesdk" TargetMode="External"/><Relationship Id="rId112" Type="http://schemas.openxmlformats.org/officeDocument/2006/relationships/hyperlink" Target="https://drive.google.com/file/d/1SkBPvLptzBp6Le-HNxUcOPq3JDLbAV8C/view?usp=drivesdk" TargetMode="External"/><Relationship Id="rId2036" Type="http://schemas.openxmlformats.org/officeDocument/2006/relationships/hyperlink" Target="https://drive.google.com/file/d/1nonM8jExC1mVvcGqlH7dSp0-DAzLBLtm/view?usp=drivesdk" TargetMode="External"/><Relationship Id="rId111" Type="http://schemas.openxmlformats.org/officeDocument/2006/relationships/hyperlink" Target="https://drive.google.com/file/d/13zteTAPC4nEPrpKHGXyU7SOLm8BHT4pt/view?usp=drivesdk" TargetMode="External"/><Relationship Id="rId2037" Type="http://schemas.openxmlformats.org/officeDocument/2006/relationships/hyperlink" Target="https://drive.google.com/file/d/1G_aU3PGCjrrMgJwOfzq2w1nbmT82GsuJ/view?usp=drivesdk" TargetMode="External"/><Relationship Id="rId2005" Type="http://schemas.openxmlformats.org/officeDocument/2006/relationships/hyperlink" Target="https://drive.google.com/file/d/1SrRdwzLZMo2zK6deXcTRyDZ9oh1TesUR/view?usp=drivesdk" TargetMode="External"/><Relationship Id="rId2006" Type="http://schemas.openxmlformats.org/officeDocument/2006/relationships/hyperlink" Target="https://drive.google.com/file/d/1_jNr1q-vJc4TjV8gK7ip_XHRAMrGaQqA/view?usp=drivesdk" TargetMode="External"/><Relationship Id="rId2007" Type="http://schemas.openxmlformats.org/officeDocument/2006/relationships/hyperlink" Target="https://drive.google.com/file/d/1cl2H57dfOOpFzEqSME3liLRb8RrZrEbY/view?usp=drivesdk" TargetMode="External"/><Relationship Id="rId2008" Type="http://schemas.openxmlformats.org/officeDocument/2006/relationships/hyperlink" Target="https://drive.google.com/file/d/1S_1bC54b_CF_KpBDtwLxeDYcQEWMTRW_/view?usp=drivesdk" TargetMode="External"/><Relationship Id="rId2009" Type="http://schemas.openxmlformats.org/officeDocument/2006/relationships/hyperlink" Target="https://drive.google.com/file/d/13eFbDRsrT4E_alMlB_gHi3f-ptev6t5p/view?usp=drivesdk" TargetMode="External"/><Relationship Id="rId2000" Type="http://schemas.openxmlformats.org/officeDocument/2006/relationships/hyperlink" Target="https://drive.google.com/file/d/1Wo_ZWAFaujgNZeZ0tdEdLIIUT-PUrDAy/view?usp=drivesdk" TargetMode="External"/><Relationship Id="rId2001" Type="http://schemas.openxmlformats.org/officeDocument/2006/relationships/hyperlink" Target="https://drive.google.com/file/d/1pWRSPkrpkB4P8JrAypP4cdltGfovv0wT/view?usp=drivesdk" TargetMode="External"/><Relationship Id="rId2002" Type="http://schemas.openxmlformats.org/officeDocument/2006/relationships/hyperlink" Target="https://drive.google.com/file/d/1PBsIeDN2jr1Pq3CNrSLb1Xsyr21P2pXL/view?usp=drivesdk" TargetMode="External"/><Relationship Id="rId2003" Type="http://schemas.openxmlformats.org/officeDocument/2006/relationships/hyperlink" Target="https://drive.google.com/file/d/1tRDHk6OnUXVNfn6Ll53VYpaT5vuJ4llq/view?usp=drivesdk" TargetMode="External"/><Relationship Id="rId2004" Type="http://schemas.openxmlformats.org/officeDocument/2006/relationships/hyperlink" Target="https://drive.google.com/file/d/1dqZfs8CV4bFuIXsJrOSHM-_BKTXKhfGR/view?usp=drivesdk" TargetMode="External"/><Relationship Id="rId2090" Type="http://schemas.openxmlformats.org/officeDocument/2006/relationships/hyperlink" Target="https://drive.google.com/file/d/1vmwxHTrl9F3n9CjnCny5Gv7aZ_iSmn06/view?usp=drivesdk" TargetMode="External"/><Relationship Id="rId2091" Type="http://schemas.openxmlformats.org/officeDocument/2006/relationships/hyperlink" Target="https://drive.google.com/file/d/1tLDYZKQb4z1ZUitzltLK7vgv1To8FFUF/view?usp=drivesdk" TargetMode="External"/><Relationship Id="rId2092" Type="http://schemas.openxmlformats.org/officeDocument/2006/relationships/hyperlink" Target="https://drive.google.com/file/d/1cd2Q3usXoNSUYACYaL4eodYUxZsj-SOb/view?usp=drivesdk" TargetMode="External"/><Relationship Id="rId2093" Type="http://schemas.openxmlformats.org/officeDocument/2006/relationships/hyperlink" Target="https://drive.google.com/file/d/1qgt58xRKt3k8Eix4-bV5OBupJ4bQXEgg/view?usp=drivesdk" TargetMode="External"/><Relationship Id="rId2094" Type="http://schemas.openxmlformats.org/officeDocument/2006/relationships/hyperlink" Target="https://drive.google.com/file/d/1XfDlpkvCBdw9lQuqmsbfM7aoNwvrAoip/view?usp=drivesdk" TargetMode="External"/><Relationship Id="rId2095" Type="http://schemas.openxmlformats.org/officeDocument/2006/relationships/hyperlink" Target="https://drive.google.com/file/d/15X7saP8VbSJHXa2xOtcgFcOKjQJFaUYh/view?usp=drivesdk" TargetMode="External"/><Relationship Id="rId2096" Type="http://schemas.openxmlformats.org/officeDocument/2006/relationships/hyperlink" Target="https://drive.google.com/file/d/1hzFq7DQ4QBCZolqR2nSfUrSqTtmPYs3_/view?usp=drivesdk" TargetMode="External"/><Relationship Id="rId2097" Type="http://schemas.openxmlformats.org/officeDocument/2006/relationships/hyperlink" Target="https://drive.google.com/file/d/1WwYYCOA_x1mX6TzeKfrhq1RdbnoCXoh0/view?usp=drivesdk" TargetMode="External"/><Relationship Id="rId2098" Type="http://schemas.openxmlformats.org/officeDocument/2006/relationships/hyperlink" Target="https://drive.google.com/file/d/1WsASGCOfsob-mQCui8A8AumUCdwI1vZt/view?usp=drivesdk" TargetMode="External"/><Relationship Id="rId2099" Type="http://schemas.openxmlformats.org/officeDocument/2006/relationships/hyperlink" Target="https://drive.google.com/file/d/1-STrPNxtwFZUvuNyyXDlz1bTmYscRd6t/view?usp=drivesdk" TargetMode="External"/><Relationship Id="rId2060" Type="http://schemas.openxmlformats.org/officeDocument/2006/relationships/hyperlink" Target="https://drive.google.com/file/d/151z21j0N9goJiyhqVea_1u4UA83qXS6l/view?usp=drivesdk" TargetMode="External"/><Relationship Id="rId2061" Type="http://schemas.openxmlformats.org/officeDocument/2006/relationships/hyperlink" Target="https://drive.google.com/file/d/1XqhWmKG3ZvoLJmLnPSVfonhhVjkaOyOo/view?usp=drivesdk" TargetMode="External"/><Relationship Id="rId2062" Type="http://schemas.openxmlformats.org/officeDocument/2006/relationships/hyperlink" Target="https://drive.google.com/file/d/1MGnCE7goqJ_cEkFuDi-kMu34wrO-f2Oo/view?usp=drivesdk" TargetMode="External"/><Relationship Id="rId2063" Type="http://schemas.openxmlformats.org/officeDocument/2006/relationships/hyperlink" Target="https://drive.google.com/file/d/17yvRZkdBULPZU-hy9QprgZuJeonQfAel/view?usp=drivesdk" TargetMode="External"/><Relationship Id="rId2064" Type="http://schemas.openxmlformats.org/officeDocument/2006/relationships/hyperlink" Target="https://drive.google.com/file/d/1QF3uA9_pwrWOzXdkZ1UyE6QcFceppW3C/view?usp=drivesdk" TargetMode="External"/><Relationship Id="rId2065" Type="http://schemas.openxmlformats.org/officeDocument/2006/relationships/hyperlink" Target="https://drive.google.com/file/d/1L6r7Is4dN-Wh4wY-_mmmCPEDR_wsVjkO/view?usp=drivesdk" TargetMode="External"/><Relationship Id="rId2066" Type="http://schemas.openxmlformats.org/officeDocument/2006/relationships/hyperlink" Target="https://drive.google.com/file/d/1xJDFi9AZRlHlZ8zxZ8pogfKFGSJiXpeB/view?usp=drivesdk" TargetMode="External"/><Relationship Id="rId2067" Type="http://schemas.openxmlformats.org/officeDocument/2006/relationships/hyperlink" Target="https://drive.google.com/file/d/1L4wamJsRPsyXxKeW3GaFCUieXSvb00LA/view?usp=drivesdk" TargetMode="External"/><Relationship Id="rId2068" Type="http://schemas.openxmlformats.org/officeDocument/2006/relationships/hyperlink" Target="https://drive.google.com/file/d/11dnTmqa4ngMJOr32H46bjdjydQPpSfqT/view?usp=drivesdk" TargetMode="External"/><Relationship Id="rId2069" Type="http://schemas.openxmlformats.org/officeDocument/2006/relationships/hyperlink" Target="https://drive.google.com/file/d/1HlSsul-f2PZvtm7eAB3JNvLefgA9BMVI/view?usp=drivesdk" TargetMode="External"/><Relationship Id="rId2050" Type="http://schemas.openxmlformats.org/officeDocument/2006/relationships/hyperlink" Target="https://drive.google.com/file/d/124BmUuJPp02lcLBvH8AsEmEsbphUT5fW/view?usp=drivesdk" TargetMode="External"/><Relationship Id="rId2051" Type="http://schemas.openxmlformats.org/officeDocument/2006/relationships/hyperlink" Target="https://drive.google.com/file/d/1HAhZicYSIRv7N-8s64Lp9_8_UnTnmDSR/view?usp=drivesdk" TargetMode="External"/><Relationship Id="rId2052" Type="http://schemas.openxmlformats.org/officeDocument/2006/relationships/hyperlink" Target="https://drive.google.com/file/d/1KQ3HceHXpPMAET83TvUhFe9qSsDbMT1k/view?usp=drivesdk" TargetMode="External"/><Relationship Id="rId2053" Type="http://schemas.openxmlformats.org/officeDocument/2006/relationships/hyperlink" Target="https://drive.google.com/file/d/1APm26rD_UpSxwv_f7ANPXDv5utKWJ7q3/view?usp=drivesdk" TargetMode="External"/><Relationship Id="rId2054" Type="http://schemas.openxmlformats.org/officeDocument/2006/relationships/hyperlink" Target="https://drive.google.com/file/d/1EqB8fMj26KyIHeW4JSKwYFh3F2LTTq5t/view?usp=drivesdk" TargetMode="External"/><Relationship Id="rId2055" Type="http://schemas.openxmlformats.org/officeDocument/2006/relationships/hyperlink" Target="https://drive.google.com/file/d/1H2OS8Rk6wh8PVpv13iom_WUpLu0fEeBU/view?usp=drivesdk" TargetMode="External"/><Relationship Id="rId2056" Type="http://schemas.openxmlformats.org/officeDocument/2006/relationships/hyperlink" Target="https://drive.google.com/file/d/1Wa36K9XT0urN9xsiAgUftQdgL9C9HECn/view?usp=drivesdk" TargetMode="External"/><Relationship Id="rId2057" Type="http://schemas.openxmlformats.org/officeDocument/2006/relationships/hyperlink" Target="https://drive.google.com/file/d/14h-UnLvc59XK91wSbRiIAUMtz5chtiz5/view?usp=drivesdk" TargetMode="External"/><Relationship Id="rId2058" Type="http://schemas.openxmlformats.org/officeDocument/2006/relationships/hyperlink" Target="https://drive.google.com/file/d/1Nb1xwSCq02ajI3h9-mZBwiuifn_7H1iR/view?usp=drivesdk" TargetMode="External"/><Relationship Id="rId2059" Type="http://schemas.openxmlformats.org/officeDocument/2006/relationships/hyperlink" Target="https://drive.google.com/file/d/1htcfPlWHtz8E91jbq14ETkimhcWUSyMj/view?usp=drivesdk" TargetMode="External"/><Relationship Id="rId2080" Type="http://schemas.openxmlformats.org/officeDocument/2006/relationships/hyperlink" Target="https://drive.google.com/file/d/1gRhKC7-YLt04IbuMzSP47N5GlLulLnyP/view?usp=drivesdk" TargetMode="External"/><Relationship Id="rId2081" Type="http://schemas.openxmlformats.org/officeDocument/2006/relationships/hyperlink" Target="https://drive.google.com/file/d/1pEsi_zCge4Xxz2XomVjcrFondU662vvE/view?usp=drivesdk" TargetMode="External"/><Relationship Id="rId2082" Type="http://schemas.openxmlformats.org/officeDocument/2006/relationships/hyperlink" Target="https://drive.google.com/file/d/1HvJhg-z__ZC4L2MVWwWJgR-8s9h67R34/view?usp=drivesdk" TargetMode="External"/><Relationship Id="rId2083" Type="http://schemas.openxmlformats.org/officeDocument/2006/relationships/hyperlink" Target="https://drive.google.com/file/d/116ux1lFNh85JTfA7rlcWpbV1sgxGhwMh/view?usp=drivesdk" TargetMode="External"/><Relationship Id="rId2084" Type="http://schemas.openxmlformats.org/officeDocument/2006/relationships/hyperlink" Target="https://drive.google.com/file/d/1sINTPt9kd7F5Vgc5qW1iK2Ge6313RMjs/view?usp=drivesdk" TargetMode="External"/><Relationship Id="rId2085" Type="http://schemas.openxmlformats.org/officeDocument/2006/relationships/hyperlink" Target="https://drive.google.com/file/d/1SwGFI5Wz9iRzabOCXMcfTU90XgmL8lKJ/view?usp=drivesdk" TargetMode="External"/><Relationship Id="rId2086" Type="http://schemas.openxmlformats.org/officeDocument/2006/relationships/hyperlink" Target="https://drive.google.com/file/d/1ZvAbdxhSZjsiTtoGCcl4wKGSEHyET-ky/view?usp=drivesdk" TargetMode="External"/><Relationship Id="rId2087" Type="http://schemas.openxmlformats.org/officeDocument/2006/relationships/hyperlink" Target="https://drive.google.com/file/d/1HyrNh-agatlqkBI_Y2cQxLTUdJmQoYlf/view?usp=drivesdk" TargetMode="External"/><Relationship Id="rId2088" Type="http://schemas.openxmlformats.org/officeDocument/2006/relationships/hyperlink" Target="https://drive.google.com/file/d/1upE7yZOzvH5eWhjo60W2SL_Z4iTthBuJ/view?usp=drivesdk" TargetMode="External"/><Relationship Id="rId2089" Type="http://schemas.openxmlformats.org/officeDocument/2006/relationships/hyperlink" Target="https://drive.google.com/file/d/1UsMzRx5dAyBC19d7_59BtDW0beEzge2i/view?usp=drivesdk" TargetMode="External"/><Relationship Id="rId2070" Type="http://schemas.openxmlformats.org/officeDocument/2006/relationships/hyperlink" Target="https://drive.google.com/file/d/1tYHVLCainLtOj9rVkmXJWVeSI6ydEAvX/view?usp=drivesdk" TargetMode="External"/><Relationship Id="rId2071" Type="http://schemas.openxmlformats.org/officeDocument/2006/relationships/hyperlink" Target="https://drive.google.com/file/d/1-FUitYcnAKMu52rxwYLJUGd9TwUYmGfa/view?usp=drivesdk" TargetMode="External"/><Relationship Id="rId2072" Type="http://schemas.openxmlformats.org/officeDocument/2006/relationships/hyperlink" Target="https://drive.google.com/file/d/1H1LGxInHGwZQlib48Sk8tAS3t5eXTLL_/view?usp=drivesdk" TargetMode="External"/><Relationship Id="rId2073" Type="http://schemas.openxmlformats.org/officeDocument/2006/relationships/hyperlink" Target="https://drive.google.com/file/d/1biYeTzhPqrassKU32rFpIQXkmaCzUR_H/view?usp=drivesdk" TargetMode="External"/><Relationship Id="rId2074" Type="http://schemas.openxmlformats.org/officeDocument/2006/relationships/hyperlink" Target="https://drive.google.com/file/d/1OXOz_E9VpKDoMyophO2ymVaA6QjHkMCY/view?usp=drivesdk" TargetMode="External"/><Relationship Id="rId2075" Type="http://schemas.openxmlformats.org/officeDocument/2006/relationships/hyperlink" Target="https://drive.google.com/file/d/1lRP53zTo3VPT-PsO3ntfyg-tGbdQtIIK/view?usp=drivesdk" TargetMode="External"/><Relationship Id="rId2076" Type="http://schemas.openxmlformats.org/officeDocument/2006/relationships/hyperlink" Target="https://drive.google.com/file/d/1-AugkAi762Vn2PNN5xd7FoQQ9st-F4p9/view?usp=drivesdk" TargetMode="External"/><Relationship Id="rId2077" Type="http://schemas.openxmlformats.org/officeDocument/2006/relationships/hyperlink" Target="https://drive.google.com/file/d/1uCFFMA_-qokNXypcjNJCz-kIkPjXgKuT/view?usp=drivesdk" TargetMode="External"/><Relationship Id="rId2078" Type="http://schemas.openxmlformats.org/officeDocument/2006/relationships/hyperlink" Target="https://drive.google.com/file/d/1kdZLBkUApDss7ySLJK034jl3rTKemhnJ/view?usp=drivesdk" TargetMode="External"/><Relationship Id="rId2079" Type="http://schemas.openxmlformats.org/officeDocument/2006/relationships/hyperlink" Target="https://drive.google.com/file/d/1WfPribPjrUnNwdjyMLceAC2yV6uOwcIj/view?usp=drivesdk" TargetMode="External"/><Relationship Id="rId2940" Type="http://schemas.openxmlformats.org/officeDocument/2006/relationships/hyperlink" Target="https://drive.google.com/file/d/1OUD6knA8aPg9qTSfvRhBCXYuFwJTOzS8/view?usp=drivesdk" TargetMode="External"/><Relationship Id="rId1610" Type="http://schemas.openxmlformats.org/officeDocument/2006/relationships/hyperlink" Target="https://drive.google.com/file/d/1w8pcOEpgkXG4574TMp8vmQlQVMYXLL8c/view?usp=drivesdk" TargetMode="External"/><Relationship Id="rId2941" Type="http://schemas.openxmlformats.org/officeDocument/2006/relationships/hyperlink" Target="https://drive.google.com/file/d/1LgctUTqq1qHQq3xvejQZ1bpldXd2lEXd/view?usp=drivesdk" TargetMode="External"/><Relationship Id="rId1611" Type="http://schemas.openxmlformats.org/officeDocument/2006/relationships/hyperlink" Target="https://drive.google.com/file/d/1SNviYFYkLPApLDE4sxFOX_wRepMI0nnI/view?usp=drivesdk" TargetMode="External"/><Relationship Id="rId2942" Type="http://schemas.openxmlformats.org/officeDocument/2006/relationships/hyperlink" Target="https://drive.google.com/file/d/1Okxe-KGvhvVzBCoNlkxv4sqCXcBKv2mg/view?usp=drivesdk" TargetMode="External"/><Relationship Id="rId1612" Type="http://schemas.openxmlformats.org/officeDocument/2006/relationships/hyperlink" Target="https://drive.google.com/file/d/15ZlJQ8dYoTyaoh7HgVjWxbumKbhPC9XU/view?usp=drivesdk" TargetMode="External"/><Relationship Id="rId2943" Type="http://schemas.openxmlformats.org/officeDocument/2006/relationships/hyperlink" Target="https://drive.google.com/file/d/1Jd-vxSthONF63SEDbsY6lw8r6uODUAX8/view?usp=drivesdk" TargetMode="External"/><Relationship Id="rId1613" Type="http://schemas.openxmlformats.org/officeDocument/2006/relationships/hyperlink" Target="https://drive.google.com/file/d/1i2aa1erQ9i9knP8Z5bgGiSt6DXX7U7Fa/view?usp=drivesdk" TargetMode="External"/><Relationship Id="rId2944" Type="http://schemas.openxmlformats.org/officeDocument/2006/relationships/hyperlink" Target="https://drive.google.com/file/d/1PY5jtq5K0dIYw5O_olHRDGUfn11WN3AQ/view?usp=drivesdk" TargetMode="External"/><Relationship Id="rId1614" Type="http://schemas.openxmlformats.org/officeDocument/2006/relationships/hyperlink" Target="https://drive.google.com/file/d/1TGcGbqDcsz1Kyb3oCU4EoWJQ9dp-E7q6/view?usp=drivesdk" TargetMode="External"/><Relationship Id="rId2945" Type="http://schemas.openxmlformats.org/officeDocument/2006/relationships/hyperlink" Target="https://drive.google.com/file/d/1xs7muWdyYdblxSMymp-O09c44czfutsh/view?usp=drivesdk" TargetMode="External"/><Relationship Id="rId1615" Type="http://schemas.openxmlformats.org/officeDocument/2006/relationships/hyperlink" Target="https://drive.google.com/file/d/1y0uavGuuD3FfKExlt9hI-j32m6j_RxXx/view?usp=drivesdk" TargetMode="External"/><Relationship Id="rId2946" Type="http://schemas.openxmlformats.org/officeDocument/2006/relationships/hyperlink" Target="https://drive.google.com/file/d/11cUsFlwo9goZsKmyqcZULLURsoogutHZ/view?usp=drivesdk" TargetMode="External"/><Relationship Id="rId1616" Type="http://schemas.openxmlformats.org/officeDocument/2006/relationships/hyperlink" Target="https://drive.google.com/file/d/1_tN97pqKnfamGcztRzQHZ9UG0A8Hag_0/view?usp=drivesdk" TargetMode="External"/><Relationship Id="rId2947" Type="http://schemas.openxmlformats.org/officeDocument/2006/relationships/hyperlink" Target="https://drive.google.com/file/d/1eCdADofR0Ulm7MkJ79uZdjuwR09NEDnI/view?usp=drivesdk" TargetMode="External"/><Relationship Id="rId907" Type="http://schemas.openxmlformats.org/officeDocument/2006/relationships/hyperlink" Target="https://drive.google.com/file/d/1CxG-Cb4wELF92f_ys9jzDE8EZiCJEIZ8/view?usp=drivesdk" TargetMode="External"/><Relationship Id="rId1617" Type="http://schemas.openxmlformats.org/officeDocument/2006/relationships/hyperlink" Target="https://drive.google.com/file/d/1QDSkRCnuunpKbwNck3pYI8NlktZFtjZd/view?usp=drivesdk" TargetMode="External"/><Relationship Id="rId2948" Type="http://schemas.openxmlformats.org/officeDocument/2006/relationships/hyperlink" Target="https://drive.google.com/file/d/12w45h6wJ8IUMgRm5zyOxy7Tin7V_CCLy/view?usp=drivesdk" TargetMode="External"/><Relationship Id="rId906" Type="http://schemas.openxmlformats.org/officeDocument/2006/relationships/hyperlink" Target="https://drive.google.com/file/d/1WpZdktvJ6RxBIomnQHJ1hEl8lM_CnZ7M/view?usp=drivesdk" TargetMode="External"/><Relationship Id="rId1618" Type="http://schemas.openxmlformats.org/officeDocument/2006/relationships/hyperlink" Target="https://drive.google.com/file/d/1fq5OO2numDQgQa5kWKk3UimuJGG6cyLq/view?usp=drivesdk" TargetMode="External"/><Relationship Id="rId2949" Type="http://schemas.openxmlformats.org/officeDocument/2006/relationships/hyperlink" Target="https://drive.google.com/file/d/1-SOOgACp6dnzzYdlh2PFI-ANnAwmf5c6/view?usp=drivesdk" TargetMode="External"/><Relationship Id="rId905" Type="http://schemas.openxmlformats.org/officeDocument/2006/relationships/hyperlink" Target="https://drive.google.com/file/d/1g_kGujRhG4yuqeSHWQzK9DVDR5v8g2iz/view?usp=drivesdk" TargetMode="External"/><Relationship Id="rId1619" Type="http://schemas.openxmlformats.org/officeDocument/2006/relationships/hyperlink" Target="https://drive.google.com/file/d/1ldrzAt88fRJBOsSbplqW2NG4M3-xxKlP/view?usp=drivesdk" TargetMode="External"/><Relationship Id="rId904" Type="http://schemas.openxmlformats.org/officeDocument/2006/relationships/hyperlink" Target="https://drive.google.com/file/d/1qQUY8YHaLjS8I9L_7uxGtCjZZSiaFSNM/view?usp=drivesdk" TargetMode="External"/><Relationship Id="rId909" Type="http://schemas.openxmlformats.org/officeDocument/2006/relationships/hyperlink" Target="https://drive.google.com/file/d/1Be_qME2koKxgagVI5BC_oPnTbMgtgsZN/view?usp=drivesdk" TargetMode="External"/><Relationship Id="rId908" Type="http://schemas.openxmlformats.org/officeDocument/2006/relationships/hyperlink" Target="https://drive.google.com/file/d/1KRlikjkVG75-FF5ffUuGXNlDAUsJr6wo/view?usp=drivesdk" TargetMode="External"/><Relationship Id="rId903" Type="http://schemas.openxmlformats.org/officeDocument/2006/relationships/hyperlink" Target="https://drive.google.com/file/d/1biGY06VhgNDEMTqCeocAd-YrLIfNNqce/view?usp=drivesdk" TargetMode="External"/><Relationship Id="rId902" Type="http://schemas.openxmlformats.org/officeDocument/2006/relationships/hyperlink" Target="https://drive.google.com/file/d/1aCMImaLjby_90bueWUVFldrnuxIgw5Vu/view?usp=drivesdk" TargetMode="External"/><Relationship Id="rId901" Type="http://schemas.openxmlformats.org/officeDocument/2006/relationships/hyperlink" Target="https://drive.google.com/file/d/1AB61jwhOBItiyDw3TIyUHNiUPtTkAH3o/view?usp=drivesdk" TargetMode="External"/><Relationship Id="rId900" Type="http://schemas.openxmlformats.org/officeDocument/2006/relationships/hyperlink" Target="https://drive.google.com/file/d/1UfgwGKxa_5AvpC76256uuBjZknlA8ib3/view?usp=drivesdk" TargetMode="External"/><Relationship Id="rId2930" Type="http://schemas.openxmlformats.org/officeDocument/2006/relationships/hyperlink" Target="https://drive.google.com/file/d/1VbP_Ewf88OEuvCt9ZwvGSNNhhGDSj19O/view?usp=drivesdk" TargetMode="External"/><Relationship Id="rId1600" Type="http://schemas.openxmlformats.org/officeDocument/2006/relationships/hyperlink" Target="https://drive.google.com/file/d/1GV4zWU9q5kR-RIu3cmHk_E669d6rWRsW/view?usp=drivesdk" TargetMode="External"/><Relationship Id="rId2931" Type="http://schemas.openxmlformats.org/officeDocument/2006/relationships/hyperlink" Target="https://drive.google.com/file/d/1mjYJdtrFbuNUuiClqSMdmti90aj-6cbK/view?usp=drivesdk" TargetMode="External"/><Relationship Id="rId1601" Type="http://schemas.openxmlformats.org/officeDocument/2006/relationships/hyperlink" Target="https://drive.google.com/file/d/1RF-nEXDyW9UWyQIuqmtLdTtTuTs-52JT/view?usp=drivesdk" TargetMode="External"/><Relationship Id="rId2932" Type="http://schemas.openxmlformats.org/officeDocument/2006/relationships/hyperlink" Target="https://drive.google.com/file/d/15zJCvari-TFQv9pzANnsu-4EYcYNYVrW/view?usp=drivesdk" TargetMode="External"/><Relationship Id="rId1602" Type="http://schemas.openxmlformats.org/officeDocument/2006/relationships/hyperlink" Target="https://drive.google.com/file/d/1LNTqrRGiajQW8AmTfTYGS-EuhKSBbzXe/view?usp=drivesdk" TargetMode="External"/><Relationship Id="rId2933" Type="http://schemas.openxmlformats.org/officeDocument/2006/relationships/hyperlink" Target="https://drive.google.com/file/d/1aykdUrdNDQMd7IVvqNy3V_z8BwKq0YuV/view?usp=drivesdk" TargetMode="External"/><Relationship Id="rId1603" Type="http://schemas.openxmlformats.org/officeDocument/2006/relationships/hyperlink" Target="https://drive.google.com/file/d/1oih40CT0uXiqw7e6vWDoDVi8-0MewGVn/view?usp=drivesdk" TargetMode="External"/><Relationship Id="rId2934" Type="http://schemas.openxmlformats.org/officeDocument/2006/relationships/hyperlink" Target="https://drive.google.com/file/d/1fmLie5fT08gQ-FPdfNY7VkK-cl_TbiCC/view?usp=drivesdk" TargetMode="External"/><Relationship Id="rId1604" Type="http://schemas.openxmlformats.org/officeDocument/2006/relationships/hyperlink" Target="https://drive.google.com/file/d/17gaf2Zy_ljFfcAEDk5L8GBnTl5i7RGJE/view?usp=drivesdk" TargetMode="External"/><Relationship Id="rId2935" Type="http://schemas.openxmlformats.org/officeDocument/2006/relationships/hyperlink" Target="https://drive.google.com/file/d/1pZrmtVQlW4Pm144U62OnQaKTslWUIqbt/view?usp=drivesdk" TargetMode="External"/><Relationship Id="rId1605" Type="http://schemas.openxmlformats.org/officeDocument/2006/relationships/hyperlink" Target="https://drive.google.com/file/d/1ZPxYmeo-qbLmZwPazFQAlwgbjV6F3CIv/view?usp=drivesdk" TargetMode="External"/><Relationship Id="rId2936" Type="http://schemas.openxmlformats.org/officeDocument/2006/relationships/hyperlink" Target="https://drive.google.com/file/d/1yjPQh3Y3JQTvZt9KASbvE7xGnpHw0Txm/view?usp=drivesdk" TargetMode="External"/><Relationship Id="rId1606" Type="http://schemas.openxmlformats.org/officeDocument/2006/relationships/hyperlink" Target="https://drive.google.com/file/d/1al8eDyU6ngpVrQ3pelC_b0wECY353CCu/view?usp=drivesdk" TargetMode="External"/><Relationship Id="rId2937" Type="http://schemas.openxmlformats.org/officeDocument/2006/relationships/hyperlink" Target="https://drive.google.com/file/d/12dihw_oF9yYrqSWQ8I8B4AJUed_ZzRRh/view?usp=drivesdk" TargetMode="External"/><Relationship Id="rId1607" Type="http://schemas.openxmlformats.org/officeDocument/2006/relationships/hyperlink" Target="https://drive.google.com/file/d/10OfxM8Xr_vLp1xZdWVqasjH0oVNLXD6c/view?usp=drivesdk" TargetMode="External"/><Relationship Id="rId2938" Type="http://schemas.openxmlformats.org/officeDocument/2006/relationships/hyperlink" Target="https://drive.google.com/file/d/1cdxhLXtssEMbvuMMHfeGthoMD_6qK6dF/view?usp=drivesdk" TargetMode="External"/><Relationship Id="rId1608" Type="http://schemas.openxmlformats.org/officeDocument/2006/relationships/hyperlink" Target="https://drive.google.com/file/d/1B0bpIVPknZVh5AfVAO6FnFkgh37GF9dx/view?usp=drivesdk" TargetMode="External"/><Relationship Id="rId2939" Type="http://schemas.openxmlformats.org/officeDocument/2006/relationships/hyperlink" Target="https://drive.google.com/file/d/1n4Jo0WdyMm3V1SkI1hby710CoJe-zbeV/view?usp=drivesdk" TargetMode="External"/><Relationship Id="rId1609" Type="http://schemas.openxmlformats.org/officeDocument/2006/relationships/hyperlink" Target="https://drive.google.com/file/d/12vw9kcWfNgIH1QJC1wzCOEbjp_P3Df3W/view?usp=drivesdk" TargetMode="External"/><Relationship Id="rId1631" Type="http://schemas.openxmlformats.org/officeDocument/2006/relationships/hyperlink" Target="https://drive.google.com/file/d/1dsS2Zz_SrKiR1Wr9BLFEXM-_iHqMxxPd/view?usp=drivesdk" TargetMode="External"/><Relationship Id="rId2962" Type="http://schemas.openxmlformats.org/officeDocument/2006/relationships/hyperlink" Target="https://drive.google.com/file/d/1G4iua1K6eT5Xv5xxUKULlTZ0My66xR2X/view?usp=drivesdk" TargetMode="External"/><Relationship Id="rId1632" Type="http://schemas.openxmlformats.org/officeDocument/2006/relationships/hyperlink" Target="https://drive.google.com/file/d/1BxRopi0OntYhPQcXKMEC5xqZoDEptVYd/view?usp=drivesdk" TargetMode="External"/><Relationship Id="rId2963" Type="http://schemas.openxmlformats.org/officeDocument/2006/relationships/hyperlink" Target="https://drive.google.com/file/d/1kV7PFFLYbgc-Kw-sxuSqcN9skQ8U3QBY/view?usp=drivesdk" TargetMode="External"/><Relationship Id="rId1633" Type="http://schemas.openxmlformats.org/officeDocument/2006/relationships/hyperlink" Target="https://drive.google.com/file/d/1Z88YOxFUdjB_N8RWvlHzVruajODQTnic/view?usp=drivesdk" TargetMode="External"/><Relationship Id="rId2964" Type="http://schemas.openxmlformats.org/officeDocument/2006/relationships/hyperlink" Target="https://drive.google.com/file/d/13E6exELEtdG2RSbqcPYafnphBAN0Qwtm/view?usp=drivesdk" TargetMode="External"/><Relationship Id="rId1634" Type="http://schemas.openxmlformats.org/officeDocument/2006/relationships/hyperlink" Target="https://drive.google.com/file/d/1SZWqK44IKYVvgeBO_YR6iREgVqKc9hl7/view?usp=drivesdk" TargetMode="External"/><Relationship Id="rId2965" Type="http://schemas.openxmlformats.org/officeDocument/2006/relationships/hyperlink" Target="https://drive.google.com/file/d/1y_lQGjVlo6Fl18TxXjJCuEtRwnUYubwf/view?usp=drivesdk" TargetMode="External"/><Relationship Id="rId1635" Type="http://schemas.openxmlformats.org/officeDocument/2006/relationships/hyperlink" Target="https://drive.google.com/file/d/13DjN87PTnd1gRVtF4FDN_PrjD6syLFtl/view?usp=drivesdk" TargetMode="External"/><Relationship Id="rId2966" Type="http://schemas.openxmlformats.org/officeDocument/2006/relationships/hyperlink" Target="https://drive.google.com/file/d/1ulcmn23SslnIFjXNPMwqbzhRfT5lhEO8/view?usp=drivesdk" TargetMode="External"/><Relationship Id="rId1636" Type="http://schemas.openxmlformats.org/officeDocument/2006/relationships/hyperlink" Target="https://drive.google.com/file/d/1mK6ddl6CbjItWRFtU_KkouJP0UM3gV-6/view?usp=drivesdk" TargetMode="External"/><Relationship Id="rId2967" Type="http://schemas.openxmlformats.org/officeDocument/2006/relationships/hyperlink" Target="https://drive.google.com/file/d/1QgM5ih3blPKfggX8boZpRVE5q-Rpsxzc/view?usp=drivesdk" TargetMode="External"/><Relationship Id="rId1637" Type="http://schemas.openxmlformats.org/officeDocument/2006/relationships/hyperlink" Target="https://drive.google.com/file/d/1jvhXrkXP500Hc10PhmlgwF_pIcWK0diq/view?usp=drivesdk" TargetMode="External"/><Relationship Id="rId2968" Type="http://schemas.openxmlformats.org/officeDocument/2006/relationships/hyperlink" Target="https://drive.google.com/file/d/1CSEUe6gYLUw8yuCZAwajh6IlhECLeioY/view?usp=drivesdk" TargetMode="External"/><Relationship Id="rId1638" Type="http://schemas.openxmlformats.org/officeDocument/2006/relationships/hyperlink" Target="https://drive.google.com/file/d/1cCkHaNWOPS3ds7SCRQ2FwENlloP5Ay-l/view?usp=drivesdk" TargetMode="External"/><Relationship Id="rId2969" Type="http://schemas.openxmlformats.org/officeDocument/2006/relationships/hyperlink" Target="https://drive.google.com/file/d/1pdhS0-ZGyjQIREpiT3_N1ld6izfKXSFK/view?usp=drivesdk" TargetMode="External"/><Relationship Id="rId929" Type="http://schemas.openxmlformats.org/officeDocument/2006/relationships/hyperlink" Target="https://drive.google.com/file/d/1EZLGfH9-TfGs0npz4zo9Q8hBGxNmL9_8/view?usp=drivesdk" TargetMode="External"/><Relationship Id="rId1639" Type="http://schemas.openxmlformats.org/officeDocument/2006/relationships/hyperlink" Target="https://drive.google.com/file/d/1AUxxuZsTugos0bfw5gX9jMDqt7bWDrfc/view?usp=drivesdk" TargetMode="External"/><Relationship Id="rId928" Type="http://schemas.openxmlformats.org/officeDocument/2006/relationships/hyperlink" Target="https://drive.google.com/file/d/1E4GYmrZP9ttvAZgUfCjWrv4HnB_ubBtZ/view?usp=drivesdk" TargetMode="External"/><Relationship Id="rId927" Type="http://schemas.openxmlformats.org/officeDocument/2006/relationships/hyperlink" Target="https://drive.google.com/file/d/1hCaE5JTe5zb3Azp1p-BLkxmyCaGmRUTw/view?usp=drivesdk" TargetMode="External"/><Relationship Id="rId926" Type="http://schemas.openxmlformats.org/officeDocument/2006/relationships/hyperlink" Target="https://drive.google.com/file/d/18Wf2cvLd4DRCjLzwtJ_krjgE7W5bfG-W/view?usp=drivesdk" TargetMode="External"/><Relationship Id="rId921" Type="http://schemas.openxmlformats.org/officeDocument/2006/relationships/hyperlink" Target="https://drive.google.com/file/d/1dVFvxccujpVUcOAcGaYwPVguwxu90UA0/view?usp=drivesdk" TargetMode="External"/><Relationship Id="rId920" Type="http://schemas.openxmlformats.org/officeDocument/2006/relationships/hyperlink" Target="https://drive.google.com/file/d/1k_KYfMXhB7VMJVA3nBm3aPdzDsf07QY7/view?usp=drivesdk" TargetMode="External"/><Relationship Id="rId925" Type="http://schemas.openxmlformats.org/officeDocument/2006/relationships/hyperlink" Target="https://drive.google.com/file/d/1b7oFtJnFWCU-6PsinPO-TRX8uEQLgYae/view?usp=drivesdk" TargetMode="External"/><Relationship Id="rId924" Type="http://schemas.openxmlformats.org/officeDocument/2006/relationships/hyperlink" Target="https://drive.google.com/file/d/1TWmS4cxX6FXLDRZDqttHr1wWONTb1Wwn/view?usp=drivesdk" TargetMode="External"/><Relationship Id="rId923" Type="http://schemas.openxmlformats.org/officeDocument/2006/relationships/hyperlink" Target="https://drive.google.com/file/d/1AtO9UFTooj8jsZ-bMrbVdlKA178_-UWZ/view?usp=drivesdk" TargetMode="External"/><Relationship Id="rId922" Type="http://schemas.openxmlformats.org/officeDocument/2006/relationships/hyperlink" Target="https://drive.google.com/file/d/1tl6HDgdz9ZeSjaCrgT1tClKQYDgLfJX2/view?usp=drivesdk" TargetMode="External"/><Relationship Id="rId2960" Type="http://schemas.openxmlformats.org/officeDocument/2006/relationships/hyperlink" Target="https://drive.google.com/file/d/1acuUVGe9a1FY0NzYPbpq8pAnbZKrjA2v/view?usp=drivesdk" TargetMode="External"/><Relationship Id="rId1630" Type="http://schemas.openxmlformats.org/officeDocument/2006/relationships/hyperlink" Target="https://drive.google.com/file/d/11I9BYw-LgWPOfVM-roaK7IeDdor9cI5n/view?usp=drivesdk" TargetMode="External"/><Relationship Id="rId2961" Type="http://schemas.openxmlformats.org/officeDocument/2006/relationships/hyperlink" Target="https://drive.google.com/file/d/1eGcl00TFvqtXToShjh3zwuqo-qNHAocO/view?usp=drivesdk" TargetMode="External"/><Relationship Id="rId1620" Type="http://schemas.openxmlformats.org/officeDocument/2006/relationships/hyperlink" Target="https://drive.google.com/file/d/10CU4FiXsOc216jLudNBinSLadjKnYzKg/view?usp=drivesdk" TargetMode="External"/><Relationship Id="rId2951" Type="http://schemas.openxmlformats.org/officeDocument/2006/relationships/hyperlink" Target="https://drive.google.com/file/d/1zRyXsoSPgsnT73Tx99gTHCq3vOgCSARP/view?usp=drivesdk" TargetMode="External"/><Relationship Id="rId1621" Type="http://schemas.openxmlformats.org/officeDocument/2006/relationships/hyperlink" Target="https://drive.google.com/file/d/1ThlzA-VvGBDO4Se-yoayt4Mn-HEfjYUo/view?usp=drivesdk" TargetMode="External"/><Relationship Id="rId2952" Type="http://schemas.openxmlformats.org/officeDocument/2006/relationships/hyperlink" Target="https://drive.google.com/file/d/1tL5SefgazspPrHDE7uspX1rbNInieF1Y/view?usp=drivesdk" TargetMode="External"/><Relationship Id="rId1622" Type="http://schemas.openxmlformats.org/officeDocument/2006/relationships/hyperlink" Target="https://drive.google.com/file/d/1xNvXepqsFVWYkeFXaOCdP5f6pkQO7e5j/view?usp=drivesdk" TargetMode="External"/><Relationship Id="rId2953" Type="http://schemas.openxmlformats.org/officeDocument/2006/relationships/hyperlink" Target="https://drive.google.com/file/d/14KNxp9Akgen5F3LcGWOsHT4Qbqu4HTYy/view?usp=drivesdk" TargetMode="External"/><Relationship Id="rId1623" Type="http://schemas.openxmlformats.org/officeDocument/2006/relationships/hyperlink" Target="https://drive.google.com/file/d/1WGY3X69XpAQRsdLRgO8nrxWGp5CpwgZF/view?usp=drivesdk" TargetMode="External"/><Relationship Id="rId2954" Type="http://schemas.openxmlformats.org/officeDocument/2006/relationships/hyperlink" Target="https://drive.google.com/file/d/1J_0Y3dKunmzcdm9LjbKZTpby7Qd4ipkA/view?usp=drivesdk" TargetMode="External"/><Relationship Id="rId1624" Type="http://schemas.openxmlformats.org/officeDocument/2006/relationships/hyperlink" Target="https://drive.google.com/file/d/1_wLROYuywRItyX2cFnsLf0N4QfaR5Z8L/view?usp=drivesdk" TargetMode="External"/><Relationship Id="rId2955" Type="http://schemas.openxmlformats.org/officeDocument/2006/relationships/hyperlink" Target="https://drive.google.com/file/d/1DqSsvMQMMGnVP3lP6Am1mBq90t1XZMxt/view?usp=drivesdk" TargetMode="External"/><Relationship Id="rId1625" Type="http://schemas.openxmlformats.org/officeDocument/2006/relationships/hyperlink" Target="https://drive.google.com/file/d/16j_GiBODVfACftG20Niq4aIRC_kU8qsZ/view?usp=drivesdk" TargetMode="External"/><Relationship Id="rId2956" Type="http://schemas.openxmlformats.org/officeDocument/2006/relationships/hyperlink" Target="https://drive.google.com/file/d/14ZQ9EzNr9F8ACt32VRfITF656jMezTnV/view?usp=drivesdk" TargetMode="External"/><Relationship Id="rId1626" Type="http://schemas.openxmlformats.org/officeDocument/2006/relationships/hyperlink" Target="https://drive.google.com/file/d/1AxhabG9V7_RjgC05iqRfwY_LBYsC-1Lv/view?usp=drivesdk" TargetMode="External"/><Relationship Id="rId2957" Type="http://schemas.openxmlformats.org/officeDocument/2006/relationships/hyperlink" Target="https://drive.google.com/file/d/1CZ8RmInPe2eqHwf-p8tl0IQxpn8_H_C5/view?usp=drivesdk" TargetMode="External"/><Relationship Id="rId1627" Type="http://schemas.openxmlformats.org/officeDocument/2006/relationships/hyperlink" Target="https://drive.google.com/file/d/1BuhIf3isP0KQXBW8CveCqOhEBWMkWgvl/view?usp=drivesdk" TargetMode="External"/><Relationship Id="rId2958" Type="http://schemas.openxmlformats.org/officeDocument/2006/relationships/hyperlink" Target="https://drive.google.com/file/d/1M2npXIoOra27xHNDnCsNwFJwuHLFn-QY/view?usp=drivesdk" TargetMode="External"/><Relationship Id="rId918" Type="http://schemas.openxmlformats.org/officeDocument/2006/relationships/hyperlink" Target="https://drive.google.com/file/d/1xYH64jm6q1s8GQfgVLcJXhZd0QMbRWZK/view?usp=drivesdk" TargetMode="External"/><Relationship Id="rId1628" Type="http://schemas.openxmlformats.org/officeDocument/2006/relationships/hyperlink" Target="https://drive.google.com/file/d/1CclKKmhEg4wBmEAHmGyg_rBfw2qqAy8s/view?usp=drivesdk" TargetMode="External"/><Relationship Id="rId2959" Type="http://schemas.openxmlformats.org/officeDocument/2006/relationships/hyperlink" Target="https://drive.google.com/file/d/17frihgo9iXD4WAxNIp0IHozpEUt6sj7r/view?usp=drivesdk" TargetMode="External"/><Relationship Id="rId917" Type="http://schemas.openxmlformats.org/officeDocument/2006/relationships/hyperlink" Target="https://drive.google.com/file/d/1CgP_knty2ctHaRtfuvVOqytvHjIpQv1H/view?usp=drivesdk" TargetMode="External"/><Relationship Id="rId1629" Type="http://schemas.openxmlformats.org/officeDocument/2006/relationships/hyperlink" Target="https://drive.google.com/file/d/1VUyjspRteJ5gkjs-fbYxT0CLPJf7x2H-/view?usp=drivesdk" TargetMode="External"/><Relationship Id="rId916" Type="http://schemas.openxmlformats.org/officeDocument/2006/relationships/hyperlink" Target="https://drive.google.com/file/d/1tZwdX18X7iGLQ9AGbLtmDExPZqA-qkSh/view?usp=drivesdk" TargetMode="External"/><Relationship Id="rId915" Type="http://schemas.openxmlformats.org/officeDocument/2006/relationships/hyperlink" Target="https://drive.google.com/file/d/19sCJoMNpomOzWNKZEVij6_AZEcmdnoQm/view?usp=drivesdk" TargetMode="External"/><Relationship Id="rId919" Type="http://schemas.openxmlformats.org/officeDocument/2006/relationships/hyperlink" Target="https://drive.google.com/file/d/1G_91tbuPrGF6wAXnKCh07PH4ssjgu5OS/view?usp=drivesdk" TargetMode="External"/><Relationship Id="rId910" Type="http://schemas.openxmlformats.org/officeDocument/2006/relationships/hyperlink" Target="https://drive.google.com/file/d/1xDn5W5pV2itl-dOXJa19g7AL0c3gYynB/view?usp=drivesdk" TargetMode="External"/><Relationship Id="rId914" Type="http://schemas.openxmlformats.org/officeDocument/2006/relationships/hyperlink" Target="https://drive.google.com/file/d/1SbyHKBwQDmPXmv9TAEH0QrAg5CJR3YqL/view?usp=drivesdk" TargetMode="External"/><Relationship Id="rId913" Type="http://schemas.openxmlformats.org/officeDocument/2006/relationships/hyperlink" Target="https://drive.google.com/file/d/1FNKK4q4VtFH1B7xBgyBkKpv3rI_nfsxd/view?usp=drivesdk" TargetMode="External"/><Relationship Id="rId912" Type="http://schemas.openxmlformats.org/officeDocument/2006/relationships/hyperlink" Target="https://drive.google.com/file/d/1yetzCKztWccCP2nPhPWW57xnsq5SQ9ks/view?usp=drivesdk" TargetMode="External"/><Relationship Id="rId911" Type="http://schemas.openxmlformats.org/officeDocument/2006/relationships/hyperlink" Target="https://drive.google.com/file/d/1GJ-rXBCF8E0-A44JYRsWY-O-OBQ3Ccc_/view?usp=drivesdk" TargetMode="External"/><Relationship Id="rId2950" Type="http://schemas.openxmlformats.org/officeDocument/2006/relationships/hyperlink" Target="https://drive.google.com/file/d/1eermV6x-0NkuxwsqnprduFouBUdTshGn/view?usp=drivesdk" TargetMode="External"/><Relationship Id="rId2900" Type="http://schemas.openxmlformats.org/officeDocument/2006/relationships/hyperlink" Target="https://drive.google.com/file/d/1U3iYKdJmayaWRmdIBpM8EqJ5dcQwXvZG/view?usp=drivesdk" TargetMode="External"/><Relationship Id="rId2901" Type="http://schemas.openxmlformats.org/officeDocument/2006/relationships/hyperlink" Target="https://drive.google.com/file/d/1D49d4qgdPtpEFR4u5CPHZteLh9QKmMcv/view?usp=drivesdk" TargetMode="External"/><Relationship Id="rId2902" Type="http://schemas.openxmlformats.org/officeDocument/2006/relationships/hyperlink" Target="https://drive.google.com/file/d/1Q7xyjTHCXVBDAcscenEerggpt0mO62P6/view?usp=drivesdk" TargetMode="External"/><Relationship Id="rId2903" Type="http://schemas.openxmlformats.org/officeDocument/2006/relationships/hyperlink" Target="https://drive.google.com/file/d/1bdWCubONzotNyzQtyNAEPIstDQkJSEwL/view?usp=drivesdk" TargetMode="External"/><Relationship Id="rId2904" Type="http://schemas.openxmlformats.org/officeDocument/2006/relationships/hyperlink" Target="https://drive.google.com/file/d/1NUoPD3eW0MR4HJ1BQoG7-ngWy5-ADbSy/view?usp=drivesdk" TargetMode="External"/><Relationship Id="rId2905" Type="http://schemas.openxmlformats.org/officeDocument/2006/relationships/hyperlink" Target="https://drive.google.com/file/d/1xuFoPe4NoIX58JM0wx-8_dEId51aZij5/view?usp=drivesdk" TargetMode="External"/><Relationship Id="rId2906" Type="http://schemas.openxmlformats.org/officeDocument/2006/relationships/hyperlink" Target="https://drive.google.com/file/d/1-T4sznIFSDMlo5E8C7pS0UQqY9mrcCsK/view?usp=drivesdk" TargetMode="External"/><Relationship Id="rId2907" Type="http://schemas.openxmlformats.org/officeDocument/2006/relationships/hyperlink" Target="https://drive.google.com/file/d/1bUFd8EhwJ36bo-2xBlOdIPnQvw_apZ06/view?usp=drivesdk" TargetMode="External"/><Relationship Id="rId2908" Type="http://schemas.openxmlformats.org/officeDocument/2006/relationships/hyperlink" Target="https://drive.google.com/file/d/1fhnK_MpUTUYrtfdIB-pGhbkxyiXV1Wjs/view?usp=drivesdk" TargetMode="External"/><Relationship Id="rId2909" Type="http://schemas.openxmlformats.org/officeDocument/2006/relationships/hyperlink" Target="https://drive.google.com/file/d/1yhJ17uggr6j5uXr73Jms5KP35M6RDUxL/view?usp=drivesdk" TargetMode="External"/><Relationship Id="rId2920" Type="http://schemas.openxmlformats.org/officeDocument/2006/relationships/hyperlink" Target="https://drive.google.com/file/d/1FklynAHzflh7rbxQIU4qTxOz3VBhye8B/view?usp=drivesdk" TargetMode="External"/><Relationship Id="rId2921" Type="http://schemas.openxmlformats.org/officeDocument/2006/relationships/hyperlink" Target="https://drive.google.com/file/d/1k_ITkShMoY3bps8YyiRV8_CnbYN3486s/view?usp=drivesdk" TargetMode="External"/><Relationship Id="rId2922" Type="http://schemas.openxmlformats.org/officeDocument/2006/relationships/hyperlink" Target="https://drive.google.com/file/d/1D8BYqxNpLQsaWrEi9zrvQojkOgzP4Ps2/view?usp=drivesdk" TargetMode="External"/><Relationship Id="rId2923" Type="http://schemas.openxmlformats.org/officeDocument/2006/relationships/hyperlink" Target="https://drive.google.com/file/d/1Gz8Y3sXt39nYqKigFe7GDA_0vlPzT9eo/view?usp=drivesdk" TargetMode="External"/><Relationship Id="rId2924" Type="http://schemas.openxmlformats.org/officeDocument/2006/relationships/hyperlink" Target="https://drive.google.com/file/d/1OZLlA7rWPjzQ0aOsWuoK0fm_EoxUug0J/view?usp=drivesdk" TargetMode="External"/><Relationship Id="rId2925" Type="http://schemas.openxmlformats.org/officeDocument/2006/relationships/hyperlink" Target="https://drive.google.com/file/d/1gqSNC7SSmFXr_f_6y6GPvT5XVE36ywaR/view?usp=drivesdk" TargetMode="External"/><Relationship Id="rId2926" Type="http://schemas.openxmlformats.org/officeDocument/2006/relationships/hyperlink" Target="https://drive.google.com/file/d/1Qb4Psh8SW__HsspPDPz8L_LN-PJY1dF6/view?usp=drivesdk" TargetMode="External"/><Relationship Id="rId2927" Type="http://schemas.openxmlformats.org/officeDocument/2006/relationships/hyperlink" Target="https://drive.google.com/file/d/10AhKxkQ_dxZHOYRrPgNEOVokMpRacTqj/view?usp=drivesdk" TargetMode="External"/><Relationship Id="rId2928" Type="http://schemas.openxmlformats.org/officeDocument/2006/relationships/hyperlink" Target="https://drive.google.com/file/d/1tLBPGqjmg-IWU2ByA0kjcl4d_-dSFQRP/view?usp=drivesdk" TargetMode="External"/><Relationship Id="rId2929" Type="http://schemas.openxmlformats.org/officeDocument/2006/relationships/hyperlink" Target="https://drive.google.com/file/d/1ylm1-TrpeefNpirZWLXBaHDELNhcAqK1/view?usp=drivesdk" TargetMode="External"/><Relationship Id="rId2910" Type="http://schemas.openxmlformats.org/officeDocument/2006/relationships/hyperlink" Target="https://drive.google.com/file/d/1lgP6sNtXAaekI_R1yb941Bj3yTw4imeR/view?usp=drivesdk" TargetMode="External"/><Relationship Id="rId2911" Type="http://schemas.openxmlformats.org/officeDocument/2006/relationships/hyperlink" Target="https://drive.google.com/file/d/1KF3EmUMvFgpP_JffHNBHYjTtKalpvzRE/view?usp=drivesdk" TargetMode="External"/><Relationship Id="rId2912" Type="http://schemas.openxmlformats.org/officeDocument/2006/relationships/hyperlink" Target="https://drive.google.com/file/d/1UCGp2b9xQT5HVAnF4dD7JeFMbGrhzpex/view?usp=drivesdk" TargetMode="External"/><Relationship Id="rId2913" Type="http://schemas.openxmlformats.org/officeDocument/2006/relationships/hyperlink" Target="https://drive.google.com/file/d/1_T47980LRcVvkPpcoUhfImG7kOlwUqEM/view?usp=drivesdk" TargetMode="External"/><Relationship Id="rId2914" Type="http://schemas.openxmlformats.org/officeDocument/2006/relationships/hyperlink" Target="https://drive.google.com/file/d/1-pDt7XIQ8gHle_zOW9q4-7M5_5yCo3db/view?usp=drivesdk" TargetMode="External"/><Relationship Id="rId2915" Type="http://schemas.openxmlformats.org/officeDocument/2006/relationships/hyperlink" Target="https://drive.google.com/file/d/14sXJIUd6d9cI9KiIQjSDYIstLw99rX6Z/view?usp=drivesdk" TargetMode="External"/><Relationship Id="rId2916" Type="http://schemas.openxmlformats.org/officeDocument/2006/relationships/hyperlink" Target="https://drive.google.com/file/d/12oauQ37y0mcMDFqJ7bqVhBYq58KEsGVx/view?usp=drivesdk" TargetMode="External"/><Relationship Id="rId2917" Type="http://schemas.openxmlformats.org/officeDocument/2006/relationships/hyperlink" Target="https://drive.google.com/file/d/1MyvsQotXbWyaILWmhISzDQWsI0r_I8bs/view?usp=drivesdk" TargetMode="External"/><Relationship Id="rId2918" Type="http://schemas.openxmlformats.org/officeDocument/2006/relationships/hyperlink" Target="https://drive.google.com/file/d/13sjd1O1OzYrSOURmApaPxDr_dnNuQRdk/view?usp=drivesdk" TargetMode="External"/><Relationship Id="rId2919" Type="http://schemas.openxmlformats.org/officeDocument/2006/relationships/hyperlink" Target="https://drive.google.com/file/d/1jvY3Sgds8iuvtsLXHlpUqcaSBliH2tJV/view?usp=drivesdk" TargetMode="External"/><Relationship Id="rId1697" Type="http://schemas.openxmlformats.org/officeDocument/2006/relationships/hyperlink" Target="https://drive.google.com/file/d/1OFquFaz47F3N7YxYEZs3N0lm43AFUxqH/view?usp=drivesdk" TargetMode="External"/><Relationship Id="rId1698" Type="http://schemas.openxmlformats.org/officeDocument/2006/relationships/hyperlink" Target="https://drive.google.com/file/d/1kHUPZx3h_B6XPvWiwIKYjyxxXAvuCZky/view?usp=drivesdk" TargetMode="External"/><Relationship Id="rId1699" Type="http://schemas.openxmlformats.org/officeDocument/2006/relationships/hyperlink" Target="https://drive.google.com/file/d/1wLaBoP1xnyM5YvhTbp0wBKftvxK6iXtN/view?usp=drivesdk" TargetMode="External"/><Relationship Id="rId866" Type="http://schemas.openxmlformats.org/officeDocument/2006/relationships/hyperlink" Target="https://drive.google.com/file/d/1sNUaYKnm_4_Uy2ItWaxo-M-4_PKtcb3f/view?usp=drivesdk" TargetMode="External"/><Relationship Id="rId865" Type="http://schemas.openxmlformats.org/officeDocument/2006/relationships/hyperlink" Target="https://drive.google.com/file/d/18U713TF3KVj5t2d2p2OvTOWGGbdjF50i/view?usp=drivesdk" TargetMode="External"/><Relationship Id="rId864" Type="http://schemas.openxmlformats.org/officeDocument/2006/relationships/hyperlink" Target="https://drive.google.com/file/d/1bFKx0A_XY92I_DOhIBXS1E-EV1cvW5VJ/view?usp=drivesdk" TargetMode="External"/><Relationship Id="rId863" Type="http://schemas.openxmlformats.org/officeDocument/2006/relationships/hyperlink" Target="https://drive.google.com/file/d/1z15pAQPZrPjJXCgao8gc5kzh4LXy8why/view?usp=drivesdk" TargetMode="External"/><Relationship Id="rId869" Type="http://schemas.openxmlformats.org/officeDocument/2006/relationships/hyperlink" Target="https://drive.google.com/file/d/1eSg_S7Z1YJQbEy2b5xr8uPr_WGL8tpTK/view?usp=drivesdk" TargetMode="External"/><Relationship Id="rId868" Type="http://schemas.openxmlformats.org/officeDocument/2006/relationships/hyperlink" Target="https://drive.google.com/file/d/1NndaOqVABMnFoYLlx_pdrEkIl1hF8ZDe/view?usp=drivesdk" TargetMode="External"/><Relationship Id="rId867" Type="http://schemas.openxmlformats.org/officeDocument/2006/relationships/hyperlink" Target="https://drive.google.com/file/d/1LCbNLaBznR2swTcM5D8nA5onvypAos0Z/view?usp=drivesdk" TargetMode="External"/><Relationship Id="rId1690" Type="http://schemas.openxmlformats.org/officeDocument/2006/relationships/hyperlink" Target="https://drive.google.com/file/d/1VZDnfEGeyJj49a66gDRh43UDo7SaB9Cn/view?usp=drivesdk" TargetMode="External"/><Relationship Id="rId1691" Type="http://schemas.openxmlformats.org/officeDocument/2006/relationships/hyperlink" Target="https://drive.google.com/file/d/1pN298dROLwX3oulVt9Wn2-PIOt25aqoR/view?usp=drivesdk" TargetMode="External"/><Relationship Id="rId1692" Type="http://schemas.openxmlformats.org/officeDocument/2006/relationships/hyperlink" Target="https://drive.google.com/file/d/19a3lbO9orvIn9kSVhTa4wHPIOE8aXVyn/view?usp=drivesdk" TargetMode="External"/><Relationship Id="rId862" Type="http://schemas.openxmlformats.org/officeDocument/2006/relationships/hyperlink" Target="https://drive.google.com/file/d/1vUT8wamDg9jdRv_NNs2V8z425TC6e-LD/view?usp=drivesdk" TargetMode="External"/><Relationship Id="rId1693" Type="http://schemas.openxmlformats.org/officeDocument/2006/relationships/hyperlink" Target="https://drive.google.com/file/d/1Vzq0za2tbbXf0MOd29FuWvFP-2e12RCg/view?usp=drivesdk" TargetMode="External"/><Relationship Id="rId861" Type="http://schemas.openxmlformats.org/officeDocument/2006/relationships/hyperlink" Target="https://drive.google.com/file/d/1vK9eteQJx_WNipJLXtsRzQgB6bupyk0J/view?usp=drivesdk" TargetMode="External"/><Relationship Id="rId1694" Type="http://schemas.openxmlformats.org/officeDocument/2006/relationships/hyperlink" Target="https://drive.google.com/file/d/1gH5vScUQpI_fyA6bvJhOrh1BXm6M7wuu/view?usp=drivesdk" TargetMode="External"/><Relationship Id="rId860" Type="http://schemas.openxmlformats.org/officeDocument/2006/relationships/hyperlink" Target="https://drive.google.com/file/d/1e7jNnjKp7t9RRU85sdreGlwdO9-zUoov/view?usp=drivesdk" TargetMode="External"/><Relationship Id="rId1695" Type="http://schemas.openxmlformats.org/officeDocument/2006/relationships/hyperlink" Target="https://drive.google.com/file/d/1tZIfJB058zdF5aUmxzNo3WGNtaIxEYBi/view?usp=drivesdk" TargetMode="External"/><Relationship Id="rId1696" Type="http://schemas.openxmlformats.org/officeDocument/2006/relationships/hyperlink" Target="https://drive.google.com/file/d/1zwhQmNxjp14soK3-40ryikikjujtIUBo/view?usp=drivesdk" TargetMode="External"/><Relationship Id="rId1686" Type="http://schemas.openxmlformats.org/officeDocument/2006/relationships/hyperlink" Target="https://drive.google.com/file/d/1ljVoDtYBz0iPIIVFLmoGyAGWDfVCncq9/view?usp=drivesdk" TargetMode="External"/><Relationship Id="rId1687" Type="http://schemas.openxmlformats.org/officeDocument/2006/relationships/hyperlink" Target="https://drive.google.com/file/d/1EK0iig6kRzrCroz49dDEP_mf3A-HoVQR/view?usp=drivesdk" TargetMode="External"/><Relationship Id="rId1688" Type="http://schemas.openxmlformats.org/officeDocument/2006/relationships/hyperlink" Target="https://drive.google.com/file/d/1zwRoxz5Sn0X6IsPbbi0ZGnyNqMlsqV_i/view?usp=drivesdk" TargetMode="External"/><Relationship Id="rId1689" Type="http://schemas.openxmlformats.org/officeDocument/2006/relationships/hyperlink" Target="https://drive.google.com/file/d/14dOJ5ND4VtF3gZcZWTmHDAh5mU0QkdYy/view?usp=drivesdk" TargetMode="External"/><Relationship Id="rId855" Type="http://schemas.openxmlformats.org/officeDocument/2006/relationships/hyperlink" Target="https://drive.google.com/file/d/1mfFx-ra7fJxqzzmU05XGz2J0H-6If5Hq/view?usp=drivesdk" TargetMode="External"/><Relationship Id="rId854" Type="http://schemas.openxmlformats.org/officeDocument/2006/relationships/hyperlink" Target="https://drive.google.com/file/d/1Sy1ihAE89SYtgBZr56ysR28e1nhYxpdQ/view?usp=drivesdk" TargetMode="External"/><Relationship Id="rId853" Type="http://schemas.openxmlformats.org/officeDocument/2006/relationships/hyperlink" Target="https://drive.google.com/file/d/1R4-3MnXpBFLnaFfopGZaKgR1uruR-dxQ/view?usp=drivesdk" TargetMode="External"/><Relationship Id="rId852" Type="http://schemas.openxmlformats.org/officeDocument/2006/relationships/hyperlink" Target="https://drive.google.com/file/d/1FRbv1v1I0OUeGQkPuarDhIH9taHMOH3h/view?usp=drivesdk" TargetMode="External"/><Relationship Id="rId859" Type="http://schemas.openxmlformats.org/officeDocument/2006/relationships/hyperlink" Target="https://drive.google.com/file/d/1IHcTncSGzrFn9EPWQvoacI731tq-FbM-/view?usp=drivesdk" TargetMode="External"/><Relationship Id="rId858" Type="http://schemas.openxmlformats.org/officeDocument/2006/relationships/hyperlink" Target="https://drive.google.com/file/d/1fVXjEJ1Pit3On7l531q_ubSf6_c1HT_w/view?usp=drivesdk" TargetMode="External"/><Relationship Id="rId857" Type="http://schemas.openxmlformats.org/officeDocument/2006/relationships/hyperlink" Target="https://drive.google.com/file/d/1tjQTVO3JUK2yQQiLpX4DGhu7m8VZy5c2/view?usp=drivesdk" TargetMode="External"/><Relationship Id="rId856" Type="http://schemas.openxmlformats.org/officeDocument/2006/relationships/hyperlink" Target="https://drive.google.com/file/d/1rppP1YUM-HanqbmmsqsQ-GJCI5kHEX4N/view?usp=drivesdk" TargetMode="External"/><Relationship Id="rId1680" Type="http://schemas.openxmlformats.org/officeDocument/2006/relationships/hyperlink" Target="https://drive.google.com/file/d/1jPiuYDESv0ZoX3sIwP44HDgH0VG3hswL/view?usp=drivesdk" TargetMode="External"/><Relationship Id="rId1681" Type="http://schemas.openxmlformats.org/officeDocument/2006/relationships/hyperlink" Target="https://drive.google.com/file/d/1_mm78I7fP7y2ESrJlwaIrN7h22W30B5K/view?usp=drivesdk" TargetMode="External"/><Relationship Id="rId851" Type="http://schemas.openxmlformats.org/officeDocument/2006/relationships/hyperlink" Target="https://drive.google.com/file/d/1lA4UI28Jqzqe_ZSGG4TgwJ328VP7e947/view?usp=drivesdk" TargetMode="External"/><Relationship Id="rId1682" Type="http://schemas.openxmlformats.org/officeDocument/2006/relationships/hyperlink" Target="https://drive.google.com/file/d/1g2LUlGntoVWUQi433rats2xlfqkwajdf/view?usp=drivesdk" TargetMode="External"/><Relationship Id="rId850" Type="http://schemas.openxmlformats.org/officeDocument/2006/relationships/hyperlink" Target="https://drive.google.com/file/d/1ag8IXyFczoKJ7ihPxLKU-kUP8cnoRylc/view?usp=drivesdk" TargetMode="External"/><Relationship Id="rId1683" Type="http://schemas.openxmlformats.org/officeDocument/2006/relationships/hyperlink" Target="https://drive.google.com/file/d/16b2RhNig_5iqWitXUKqz28-xsE4N6txd/view?usp=drivesdk" TargetMode="External"/><Relationship Id="rId1684" Type="http://schemas.openxmlformats.org/officeDocument/2006/relationships/hyperlink" Target="https://drive.google.com/file/d/1tin9nciEOGqNUz2Yx-ZnwQtqTwJGFR6v/view?usp=drivesdk" TargetMode="External"/><Relationship Id="rId1685" Type="http://schemas.openxmlformats.org/officeDocument/2006/relationships/hyperlink" Target="https://docs.google.com/document/d/15ukjAVIprceHouxCDvFr3DO3hAQxWGyoAXtWMm3JZas/edit?usp=drivesdk" TargetMode="External"/><Relationship Id="rId888" Type="http://schemas.openxmlformats.org/officeDocument/2006/relationships/hyperlink" Target="https://drive.google.com/file/d/1tDcOxq4h_QB7r--zun0YfiYhBgzXidMZ/view?usp=drivesdk" TargetMode="External"/><Relationship Id="rId887" Type="http://schemas.openxmlformats.org/officeDocument/2006/relationships/hyperlink" Target="https://drive.google.com/file/d/1alfL4rXzwhSOjwVbljRPqMEDJD1p_bH_/view?usp=drivesdk" TargetMode="External"/><Relationship Id="rId886" Type="http://schemas.openxmlformats.org/officeDocument/2006/relationships/hyperlink" Target="https://drive.google.com/file/d/1kdPR5vcnadM910rDTrcuMSi5ztRwehDP/view?usp=drivesdk" TargetMode="External"/><Relationship Id="rId885" Type="http://schemas.openxmlformats.org/officeDocument/2006/relationships/hyperlink" Target="https://drive.google.com/file/d/1Kk8JGlLS_VipK-XcBlqpiX-P55HO2JmV/view?usp=drivesdk" TargetMode="External"/><Relationship Id="rId889" Type="http://schemas.openxmlformats.org/officeDocument/2006/relationships/hyperlink" Target="https://drive.google.com/file/d/1aas7piVJyfMlXDfZVcy2BNATmn7OrUT5/view?usp=drivesdk" TargetMode="External"/><Relationship Id="rId880" Type="http://schemas.openxmlformats.org/officeDocument/2006/relationships/hyperlink" Target="https://drive.google.com/file/d/1XZOrXuHICMrlamIW-ybqQ_ICjkxfdP95/view?usp=drivesdk" TargetMode="External"/><Relationship Id="rId884" Type="http://schemas.openxmlformats.org/officeDocument/2006/relationships/hyperlink" Target="https://drive.google.com/file/d/1gGqQ1FNoFCMCQmeYkORa95CE47KJX9DX/view?usp=drivesdk" TargetMode="External"/><Relationship Id="rId883" Type="http://schemas.openxmlformats.org/officeDocument/2006/relationships/hyperlink" Target="https://drive.google.com/file/d/1Up5KpUA2Nhbb7B9TOjXSX1dkhH3dHx60/view?usp=drivesdk" TargetMode="External"/><Relationship Id="rId882" Type="http://schemas.openxmlformats.org/officeDocument/2006/relationships/hyperlink" Target="https://drive.google.com/file/d/1PK9zW01oolAe1aObtWLuxmXRodjxTP7R/view?usp=drivesdk" TargetMode="External"/><Relationship Id="rId881" Type="http://schemas.openxmlformats.org/officeDocument/2006/relationships/hyperlink" Target="https://drive.google.com/file/d/1rIcc23FDkVwYNZ5qQqM8pMLBJWDlN_-3/view?usp=drivesdk" TargetMode="External"/><Relationship Id="rId877" Type="http://schemas.openxmlformats.org/officeDocument/2006/relationships/hyperlink" Target="https://drive.google.com/file/d/1DpRthxOkoc5ttT6b0_Ddsnml6y-xfOZB/view?usp=drivesdk" TargetMode="External"/><Relationship Id="rId876" Type="http://schemas.openxmlformats.org/officeDocument/2006/relationships/hyperlink" Target="https://drive.google.com/file/d/13HXL6bBHEeobJ0atlXPiiTYTAvwneQ8X/view?usp=drivesdk" TargetMode="External"/><Relationship Id="rId875" Type="http://schemas.openxmlformats.org/officeDocument/2006/relationships/hyperlink" Target="https://drive.google.com/file/d/1QRZutMF67vAfgCZi_E5eATJgn-QCO4IK/view?usp=drivesdk" TargetMode="External"/><Relationship Id="rId874" Type="http://schemas.openxmlformats.org/officeDocument/2006/relationships/hyperlink" Target="https://drive.google.com/file/d/1MDnUULp2n6-FnmJqg7yO4qcONfENz0ZN/view?usp=drivesdk" TargetMode="External"/><Relationship Id="rId879" Type="http://schemas.openxmlformats.org/officeDocument/2006/relationships/hyperlink" Target="https://drive.google.com/file/d/1X-YLxJ1nryt6k9oHzCfNCJla4hIrRiYy/view?usp=drivesdk" TargetMode="External"/><Relationship Id="rId878" Type="http://schemas.openxmlformats.org/officeDocument/2006/relationships/hyperlink" Target="https://drive.google.com/file/d/1fcQEFr_21wbt3K30-PTO-trKe-ZhF58q/view?usp=drivesdk" TargetMode="External"/><Relationship Id="rId873" Type="http://schemas.openxmlformats.org/officeDocument/2006/relationships/hyperlink" Target="https://drive.google.com/file/d/1BMP7byNCGSWS7fgxNcx79SHM-IdVZaKn/view?usp=drivesdk" TargetMode="External"/><Relationship Id="rId872" Type="http://schemas.openxmlformats.org/officeDocument/2006/relationships/hyperlink" Target="https://drive.google.com/file/d/1HSSSUVFslr73XKkLRACiudLPlv5TVsma/view?usp=drivesdk" TargetMode="External"/><Relationship Id="rId871" Type="http://schemas.openxmlformats.org/officeDocument/2006/relationships/hyperlink" Target="https://drive.google.com/file/d/1GeKflgXvTcXB8oJi0TP1vpLg2kS38zZW/view?usp=drivesdk" TargetMode="External"/><Relationship Id="rId870" Type="http://schemas.openxmlformats.org/officeDocument/2006/relationships/hyperlink" Target="https://drive.google.com/file/d/1gAQlWfkloh0ve11dgicg_ouScuddDWVx/view?usp=drivesdk" TargetMode="External"/><Relationship Id="rId1653" Type="http://schemas.openxmlformats.org/officeDocument/2006/relationships/hyperlink" Target="https://drive.google.com/file/d/1Rle6yo3utupMLtWPIY-izoAHwsC7-l3z/view?usp=drivesdk" TargetMode="External"/><Relationship Id="rId2984" Type="http://schemas.openxmlformats.org/officeDocument/2006/relationships/hyperlink" Target="https://drive.google.com/file/d/1M0Xd_T8fusHFgXmv-HDFJpVyg0Ga7w1w/view?usp=drivesdk" TargetMode="External"/><Relationship Id="rId1654" Type="http://schemas.openxmlformats.org/officeDocument/2006/relationships/hyperlink" Target="https://drive.google.com/file/d/15dFaGlw5PiU4FQdHXfm-MBl-bSuobzO2/view?usp=drivesdk" TargetMode="External"/><Relationship Id="rId2985" Type="http://schemas.openxmlformats.org/officeDocument/2006/relationships/hyperlink" Target="https://drive.google.com/file/d/1ey3svgzi5RXI2O-RNCBTZkx8IlV-kKzo/view?usp=drivesdk" TargetMode="External"/><Relationship Id="rId1655" Type="http://schemas.openxmlformats.org/officeDocument/2006/relationships/hyperlink" Target="https://drive.google.com/file/d/1KQ2h_KjNuvgQPQ443vS97noydUJbOuPG/view?usp=drivesdk" TargetMode="External"/><Relationship Id="rId2986" Type="http://schemas.openxmlformats.org/officeDocument/2006/relationships/hyperlink" Target="https://drive.google.com/file/d/1qyGORRGdQy-kyOSM_2vtKP7-BEAhuKWX/view?usp=drivesdk" TargetMode="External"/><Relationship Id="rId1656" Type="http://schemas.openxmlformats.org/officeDocument/2006/relationships/hyperlink" Target="https://drive.google.com/file/d/1u_oSZ0fEx8q87XxieN1axHREEr_kiGBE/view?usp=drivesdk" TargetMode="External"/><Relationship Id="rId2987" Type="http://schemas.openxmlformats.org/officeDocument/2006/relationships/hyperlink" Target="https://drive.google.com/file/d/1FWRQbooJB3yBxAT3Bu0VtKlQVOCCrmTE/view?usp=drivesdk" TargetMode="External"/><Relationship Id="rId1657" Type="http://schemas.openxmlformats.org/officeDocument/2006/relationships/hyperlink" Target="https://drive.google.com/file/d/1SlGQ-MMWoaYjG2PzJ2FZTEPcMTkqTVn9/view?usp=drivesdk" TargetMode="External"/><Relationship Id="rId2988" Type="http://schemas.openxmlformats.org/officeDocument/2006/relationships/hyperlink" Target="https://drive.google.com/file/d/13YTFwHRFNpBSnxofMWEZYB4DFgqick6w/view?usp=drivesdk" TargetMode="External"/><Relationship Id="rId1658" Type="http://schemas.openxmlformats.org/officeDocument/2006/relationships/hyperlink" Target="http://osf.io/x4v53" TargetMode="External"/><Relationship Id="rId2989" Type="http://schemas.openxmlformats.org/officeDocument/2006/relationships/hyperlink" Target="https://drive.google.com/file/d/1DzRA3qe8CQXBgcDoOXxyAWU63P40Fwio/view?usp=drivesdk" TargetMode="External"/><Relationship Id="rId1659" Type="http://schemas.openxmlformats.org/officeDocument/2006/relationships/hyperlink" Target="https://drive.google.com/file/d/101OwdNXwjKk-CSJMDDNBxSMU_jnE0JGh/view?usp=drivesdk" TargetMode="External"/><Relationship Id="rId829" Type="http://schemas.openxmlformats.org/officeDocument/2006/relationships/hyperlink" Target="https://drive.google.com/file/d/1KN1EWniqjNl4OnLIFMrGRR63JlQklVIO/view?usp=drivesdk" TargetMode="External"/><Relationship Id="rId828" Type="http://schemas.openxmlformats.org/officeDocument/2006/relationships/hyperlink" Target="https://drive.google.com/file/d/1EJi1y_1ouX9AqIRv0DPgc0QP6Rskbwgf/view?usp=drivesdk" TargetMode="External"/><Relationship Id="rId827" Type="http://schemas.openxmlformats.org/officeDocument/2006/relationships/hyperlink" Target="https://drive.google.com/file/d/17RrMQtMr27FGUV7R-pVdPn87s05UNWWl/view?usp=drivesdk" TargetMode="External"/><Relationship Id="rId822" Type="http://schemas.openxmlformats.org/officeDocument/2006/relationships/hyperlink" Target="https://drive.google.com/file/d/19jcT2kBbSLBsA8f-ZU3m1rUwFWGPTEWO/view?usp=drivesdk" TargetMode="External"/><Relationship Id="rId821" Type="http://schemas.openxmlformats.org/officeDocument/2006/relationships/hyperlink" Target="https://drive.google.com/file/d/1jbq11eIFm8vAYC4_yXfmwl9MB3vGb54_/view?usp=drivesdk" TargetMode="External"/><Relationship Id="rId820" Type="http://schemas.openxmlformats.org/officeDocument/2006/relationships/hyperlink" Target="https://drive.google.com/file/d/1Sefz-Q7mz41kQmRmnDvSwg5gqIK0WBnG/view?usp=drivesdk" TargetMode="External"/><Relationship Id="rId826" Type="http://schemas.openxmlformats.org/officeDocument/2006/relationships/hyperlink" Target="https://drive.google.com/file/d/10TV0T46B7cqSe0DuBNj6RYiSrqG-eO8l/view?usp=drivesdk" TargetMode="External"/><Relationship Id="rId825" Type="http://schemas.openxmlformats.org/officeDocument/2006/relationships/hyperlink" Target="https://drive.google.com/file/d/1c1k1gKJ0KBPYv5VRXYOoGS_3bgJfnTwd/view?usp=drivesdk" TargetMode="External"/><Relationship Id="rId824" Type="http://schemas.openxmlformats.org/officeDocument/2006/relationships/hyperlink" Target="https://drive.google.com/file/d/1MvZu5qo0pPQcoL6SAizgSBHhn4-T6jfM/view?usp=drivesdk" TargetMode="External"/><Relationship Id="rId823" Type="http://schemas.openxmlformats.org/officeDocument/2006/relationships/hyperlink" Target="https://drive.google.com/file/d/1qpys0s9nBCJzlrBNa7f6gyySvyXL7MXJ/view?usp=drivesdk" TargetMode="External"/><Relationship Id="rId2980" Type="http://schemas.openxmlformats.org/officeDocument/2006/relationships/hyperlink" Target="https://drive.google.com/file/d/1rYKmBnC6-cppCzt4DERsstyRR5gk2db1/view?usp=drivesdk" TargetMode="External"/><Relationship Id="rId1650" Type="http://schemas.openxmlformats.org/officeDocument/2006/relationships/hyperlink" Target="https://drive.google.com/file/d/1WNCE1BHqI-1JTQSuMkdiS2Xt4dckCPmq/view?usp=drivesdk" TargetMode="External"/><Relationship Id="rId2981" Type="http://schemas.openxmlformats.org/officeDocument/2006/relationships/hyperlink" Target="https://drive.google.com/file/d/15WVNsHu4qw18Mufo3UCjKv6cq2gXORb0/view?usp=drivesdk" TargetMode="External"/><Relationship Id="rId1651" Type="http://schemas.openxmlformats.org/officeDocument/2006/relationships/hyperlink" Target="https://drive.google.com/file/d/1gKS9Z0txNmobZApdh403VlFeWnSEs1mA/view?usp=drivesdk" TargetMode="External"/><Relationship Id="rId2982" Type="http://schemas.openxmlformats.org/officeDocument/2006/relationships/hyperlink" Target="https://drive.google.com/file/d/1rfhy0H3N2i18Q2nk5882hihBrKt6EiZo/view?usp=drivesdk" TargetMode="External"/><Relationship Id="rId1652" Type="http://schemas.openxmlformats.org/officeDocument/2006/relationships/hyperlink" Target="https://drive.google.com/file/d/1gy34Rj2zubnsdFDxbY0YzwrhmT7eVu5B/view?usp=drivesdk" TargetMode="External"/><Relationship Id="rId2983" Type="http://schemas.openxmlformats.org/officeDocument/2006/relationships/hyperlink" Target="https://drive.google.com/file/d/1iXbJmAfK9HnzZ8oDPYgQfHqZeVcgywaq/view?usp=drivesdk" TargetMode="External"/><Relationship Id="rId1642" Type="http://schemas.openxmlformats.org/officeDocument/2006/relationships/hyperlink" Target="https://drive.google.com/file/d/1Tsg1BvUDYPZ40L5izJMMYH7m3hZ-Z2QJ/view?usp=drivesdk" TargetMode="External"/><Relationship Id="rId2973" Type="http://schemas.openxmlformats.org/officeDocument/2006/relationships/hyperlink" Target="https://drive.google.com/file/d/1kGdnrYJFp9Fedk9QHQtyDcczJB_LGP5s/view?usp=drivesdk" TargetMode="External"/><Relationship Id="rId1643" Type="http://schemas.openxmlformats.org/officeDocument/2006/relationships/hyperlink" Target="https://drive.google.com/file/d/1NIjwBw1HSQxLQI9DGPXfoBeD-8Wnntz5/view?usp=drivesdk" TargetMode="External"/><Relationship Id="rId2974" Type="http://schemas.openxmlformats.org/officeDocument/2006/relationships/hyperlink" Target="https://drive.google.com/file/d/15kuHQf8erGaSOBxt1lOz994u1DIsHk_v/view?usp=drivesdk" TargetMode="External"/><Relationship Id="rId1644" Type="http://schemas.openxmlformats.org/officeDocument/2006/relationships/hyperlink" Target="https://drive.google.com/file/d/1TqbYPD6TfJF6VjNMngYfnoD5Y8nHUi0O/view?usp=drivesdk" TargetMode="External"/><Relationship Id="rId2975" Type="http://schemas.openxmlformats.org/officeDocument/2006/relationships/hyperlink" Target="https://drive.google.com/file/d/1EDHHFOSKkOQc-1kI7O0JVmaKcw9YK3p2/view?usp=drivesdk" TargetMode="External"/><Relationship Id="rId1645" Type="http://schemas.openxmlformats.org/officeDocument/2006/relationships/hyperlink" Target="https://drive.google.com/file/d/1bJ0BC-Xy_bNt41DXHAjv1ms0mnz9Vq86/view?usp=drivesdk" TargetMode="External"/><Relationship Id="rId2976" Type="http://schemas.openxmlformats.org/officeDocument/2006/relationships/hyperlink" Target="https://drive.google.com/file/d/1jf3ctwxwUpc5AYKxlkNN-odE2ElrZuqN/view?usp=drivesdk" TargetMode="External"/><Relationship Id="rId1646" Type="http://schemas.openxmlformats.org/officeDocument/2006/relationships/hyperlink" Target="https://drive.google.com/file/d/1sSSGJnEV4E18FQJXK-1-tt9r58Mi889H/view?usp=drivesdk" TargetMode="External"/><Relationship Id="rId2977" Type="http://schemas.openxmlformats.org/officeDocument/2006/relationships/hyperlink" Target="https://drive.google.com/file/d/1vQ1lUQP7E0bfjNjtCdLNAaUqgcbJ9PLU/view?usp=drivesdk" TargetMode="External"/><Relationship Id="rId1647" Type="http://schemas.openxmlformats.org/officeDocument/2006/relationships/hyperlink" Target="https://drive.google.com/file/d/1qKtm6cJaGp1OYT52DZ-rdF0umAGshXgk/view?usp=drivesdk" TargetMode="External"/><Relationship Id="rId2978" Type="http://schemas.openxmlformats.org/officeDocument/2006/relationships/hyperlink" Target="https://drive.google.com/file/d/1m4pILp8FV7YtyobDHxoq8pojV_SH9CV7/view?usp=drivesdk" TargetMode="External"/><Relationship Id="rId1648" Type="http://schemas.openxmlformats.org/officeDocument/2006/relationships/hyperlink" Target="https://drive.google.com/file/d/1hw6VxSN8dF8WIp6LhbqOOmsEo0dTvdbu/view?usp=drivesdk" TargetMode="External"/><Relationship Id="rId2979" Type="http://schemas.openxmlformats.org/officeDocument/2006/relationships/hyperlink" Target="https://drive.google.com/file/d/1kb4iozdFSFtKZKGvaK7sOkqlr4kI2jg5/view?usp=drivesdk" TargetMode="External"/><Relationship Id="rId1649" Type="http://schemas.openxmlformats.org/officeDocument/2006/relationships/hyperlink" Target="https://drive.google.com/file/d/1uqPYsQnG8eSYcKJ1Tcphemj3KvGd0mXp/view?usp=drivesdk" TargetMode="External"/><Relationship Id="rId819" Type="http://schemas.openxmlformats.org/officeDocument/2006/relationships/hyperlink" Target="https://drive.google.com/file/d/18ac5266QZEasrJychSNi7jb-OpL3x40W/view?usp=drivesdk" TargetMode="External"/><Relationship Id="rId818" Type="http://schemas.openxmlformats.org/officeDocument/2006/relationships/hyperlink" Target="https://drive.google.com/file/d/1n6o1Qp7PKqqbb7iGxwiWf9eTzY31KZxU/view?usp=drivesdk" TargetMode="External"/><Relationship Id="rId817" Type="http://schemas.openxmlformats.org/officeDocument/2006/relationships/hyperlink" Target="https://drive.google.com/file/d/1K0eJKcnQRt66lAmIESx0PMwKg8V3iAfG/view?usp=drivesdk" TargetMode="External"/><Relationship Id="rId816" Type="http://schemas.openxmlformats.org/officeDocument/2006/relationships/hyperlink" Target="https://drive.google.com/file/d/11pMvJ_CVfDeFL9ZeNZJUUEduMVPAFsyi/view?usp=drivesdk" TargetMode="External"/><Relationship Id="rId811" Type="http://schemas.openxmlformats.org/officeDocument/2006/relationships/hyperlink" Target="https://drive.google.com/file/d/1OXTMiHbkgJLp_KK1zFuYZ0jHT5c4tMmJ/view?usp=drivesdk" TargetMode="External"/><Relationship Id="rId810" Type="http://schemas.openxmlformats.org/officeDocument/2006/relationships/hyperlink" Target="https://drive.google.com/file/d/1I22saxpbc1EHGecBqpT-fXSJhkjweNTY/view?usp=drivesdk" TargetMode="External"/><Relationship Id="rId815" Type="http://schemas.openxmlformats.org/officeDocument/2006/relationships/hyperlink" Target="https://drive.google.com/file/d/1hmdhIHSa7EL6Z9nObEoIfsJkwqlb-ff4/view?usp=drivesdk" TargetMode="External"/><Relationship Id="rId814" Type="http://schemas.openxmlformats.org/officeDocument/2006/relationships/hyperlink" Target="https://drive.google.com/file/d/1dm4HHoXNo8_SdBZJx-lq8iR_0SiURHVb/view?usp=drivesdk" TargetMode="External"/><Relationship Id="rId813" Type="http://schemas.openxmlformats.org/officeDocument/2006/relationships/hyperlink" Target="https://drive.google.com/file/d/1uEj_Q_UT0YXivXf3SOQHbic6SSKOP5Wo/view?usp=drivesdk" TargetMode="External"/><Relationship Id="rId812" Type="http://schemas.openxmlformats.org/officeDocument/2006/relationships/hyperlink" Target="https://drive.google.com/file/d/1_TP0Wa0yXbq86Xa2Y4btjURi-Y9mFjR_/view?usp=drivesdk" TargetMode="External"/><Relationship Id="rId2970" Type="http://schemas.openxmlformats.org/officeDocument/2006/relationships/hyperlink" Target="https://drive.google.com/file/d/1DrC4ktWX9HamK4DWq_tF1P_2alxXHAnN/view?usp=drivesdk" TargetMode="External"/><Relationship Id="rId1640" Type="http://schemas.openxmlformats.org/officeDocument/2006/relationships/hyperlink" Target="https://drive.google.com/file/d/19bZUP_N4YxLTtw7Y4tZumU1mxVv8t29B/view?usp=drivesdk" TargetMode="External"/><Relationship Id="rId2971" Type="http://schemas.openxmlformats.org/officeDocument/2006/relationships/hyperlink" Target="https://drive.google.com/file/d/1IgOEeoYh65YudspFokk-VaTPbrQd0gtD/view?usp=drivesdk" TargetMode="External"/><Relationship Id="rId1641" Type="http://schemas.openxmlformats.org/officeDocument/2006/relationships/hyperlink" Target="https://drive.google.com/file/d/1Y24HtovNy5BwKos6_FsV4A_pE93bEfUv/view?usp=drivesdk" TargetMode="External"/><Relationship Id="rId2972" Type="http://schemas.openxmlformats.org/officeDocument/2006/relationships/hyperlink" Target="https://drive.google.com/file/d/1PuD-vIYdn5C4vHU0YiqSuL7OPCmx9ttp/view?usp=drivesdk" TargetMode="External"/><Relationship Id="rId1675" Type="http://schemas.openxmlformats.org/officeDocument/2006/relationships/hyperlink" Target="https://drive.google.com/file/d/1BG48fszSoz7SPJL3VTBFDjPh5xPhn4Tw/view?usp=drivesdk" TargetMode="External"/><Relationship Id="rId1676" Type="http://schemas.openxmlformats.org/officeDocument/2006/relationships/hyperlink" Target="https://drive.google.com/file/d/1I59CACDclrDvPqzUHhjKPAd6ARoVU1ob/view?usp=drivesdk" TargetMode="External"/><Relationship Id="rId1677" Type="http://schemas.openxmlformats.org/officeDocument/2006/relationships/hyperlink" Target="https://drive.google.com/file/d/1QfiTBSa2fyJng0crQ9A2ZypwYEiEyu5j/view?usp=drivesdk" TargetMode="External"/><Relationship Id="rId1678" Type="http://schemas.openxmlformats.org/officeDocument/2006/relationships/hyperlink" Target="https://drive.google.com/file/d/1TyCdC_5-8LwmulldzelJwvSIe6zRLTv3/view?usp=drivesdk" TargetMode="External"/><Relationship Id="rId1679" Type="http://schemas.openxmlformats.org/officeDocument/2006/relationships/hyperlink" Target="https://drive.google.com/file/d/1bgDqkxennRmohAykLaeVfBKHnwj2hy4X/view?usp=drivesdk" TargetMode="External"/><Relationship Id="rId849" Type="http://schemas.openxmlformats.org/officeDocument/2006/relationships/hyperlink" Target="https://drive.google.com/file/d/1WmGYm8bmezybTYwOXDheDPWCgdUPI7lg/view?usp=drivesdk" TargetMode="External"/><Relationship Id="rId844" Type="http://schemas.openxmlformats.org/officeDocument/2006/relationships/hyperlink" Target="https://drive.google.com/file/d/1_D7dDcYpEcjt0TABN_n3mvFBdupCvcz-/view?usp=drivesdk" TargetMode="External"/><Relationship Id="rId843" Type="http://schemas.openxmlformats.org/officeDocument/2006/relationships/hyperlink" Target="https://drive.google.com/file/d/1bJIGLwb4bdVh3NCmJ_LifUgUpf-LPNMA/view?usp=drivesdk" TargetMode="External"/><Relationship Id="rId842" Type="http://schemas.openxmlformats.org/officeDocument/2006/relationships/hyperlink" Target="https://drive.google.com/file/d/1eDsfpS9ncg_hzBoWlvGMZS-Hf0PsqpOE/view?usp=drivesdk" TargetMode="External"/><Relationship Id="rId841" Type="http://schemas.openxmlformats.org/officeDocument/2006/relationships/hyperlink" Target="https://drive.google.com/file/d/1PNJ6Sq6xUR5S96FFpdedDGYdBuw5Vlgi/view?usp=drivesdk" TargetMode="External"/><Relationship Id="rId848" Type="http://schemas.openxmlformats.org/officeDocument/2006/relationships/hyperlink" Target="https://drive.google.com/file/d/1qw37pozIjd4mLcy-zn6fU2Q9jLVW_qRq/view?usp=drivesdk" TargetMode="External"/><Relationship Id="rId847" Type="http://schemas.openxmlformats.org/officeDocument/2006/relationships/hyperlink" Target="https://drive.google.com/file/d/1bcy2yLZUiBLB8eUlwWkUTcGjCG9MFNcL/view?usp=drivesdk" TargetMode="External"/><Relationship Id="rId846" Type="http://schemas.openxmlformats.org/officeDocument/2006/relationships/hyperlink" Target="https://drive.google.com/file/d/1PGEaJgHDsHhADyJeYzYrF31UgvXK8IfG/view?usp=drivesdk" TargetMode="External"/><Relationship Id="rId845" Type="http://schemas.openxmlformats.org/officeDocument/2006/relationships/hyperlink" Target="https://drive.google.com/file/d/1auGVLZR0n037iFBsRbne3R0KY424YsRI/view?usp=drivesdk" TargetMode="External"/><Relationship Id="rId1670" Type="http://schemas.openxmlformats.org/officeDocument/2006/relationships/hyperlink" Target="https://drive.google.com/file/d/1jkeeRtUcRwjVBTQ0tt7a6BWEC7M63p3O/view?usp=drivesdk" TargetMode="External"/><Relationship Id="rId840" Type="http://schemas.openxmlformats.org/officeDocument/2006/relationships/hyperlink" Target="https://drive.google.com/file/d/1njR1v7uD-9OdwkjARV_BDFPe9y6XzZrq/view?usp=drivesdk" TargetMode="External"/><Relationship Id="rId1671" Type="http://schemas.openxmlformats.org/officeDocument/2006/relationships/hyperlink" Target="https://drive.google.com/file/d/1vqDYyUya1hGxUO3xOXp-fS4z5QiC8jwH/view?usp=drivesdk" TargetMode="External"/><Relationship Id="rId1672" Type="http://schemas.openxmlformats.org/officeDocument/2006/relationships/hyperlink" Target="https://drive.google.com/file/d/1wLLLetzLeWlO9t4gOOpQ_OFAsZ2KduSR/view?usp=drivesdk" TargetMode="External"/><Relationship Id="rId1673" Type="http://schemas.openxmlformats.org/officeDocument/2006/relationships/hyperlink" Target="https://drive.google.com/file/d/11QqLgmbtbwaBdxksMvgSN9fgjgPLwWKg/view?usp=drivesdk" TargetMode="External"/><Relationship Id="rId1674" Type="http://schemas.openxmlformats.org/officeDocument/2006/relationships/hyperlink" Target="https://drive.google.com/file/d/17twQHZSbQZuzxu21pY3l2ZnhkEsj_cpp/view?usp=drivesdk" TargetMode="External"/><Relationship Id="rId1664" Type="http://schemas.openxmlformats.org/officeDocument/2006/relationships/hyperlink" Target="https://drive.google.com/file/d/1BpLhL82hbuMif1ihzgQr3rblWCHhGl8w/view?usp=drivesdk" TargetMode="External"/><Relationship Id="rId2995" Type="http://schemas.openxmlformats.org/officeDocument/2006/relationships/hyperlink" Target="https://drive.google.com/file/d/1zZsKWNkjPZ_9g4uOGvy2Ov6tWL-rEee5/view?usp=drivesdk" TargetMode="External"/><Relationship Id="rId1665" Type="http://schemas.openxmlformats.org/officeDocument/2006/relationships/hyperlink" Target="https://drive.google.com/file/d/1zL5lM_V9MRmmO1m3jB_xWJI2GGBttwNy/view?usp=drivesdk" TargetMode="External"/><Relationship Id="rId2996" Type="http://schemas.openxmlformats.org/officeDocument/2006/relationships/hyperlink" Target="https://drive.google.com/file/d/1M25zQAcBVGOJlUmqXGI2IsFDOOQqBMhb/view?usp=drivesdk" TargetMode="External"/><Relationship Id="rId1666" Type="http://schemas.openxmlformats.org/officeDocument/2006/relationships/hyperlink" Target="https://drive.google.com/file/d/17l2cYRmcEAZZdreqrkMvPBM2wIaTNLJ5/view?usp=drivesdk" TargetMode="External"/><Relationship Id="rId2997" Type="http://schemas.openxmlformats.org/officeDocument/2006/relationships/hyperlink" Target="https://drive.google.com/file/d/1XrLjSPpAxn5KMB8LOBiyjOkXRag4jGSC/view?usp=drivesdk" TargetMode="External"/><Relationship Id="rId1667" Type="http://schemas.openxmlformats.org/officeDocument/2006/relationships/hyperlink" Target="https://drive.google.com/file/d/1C-qoEDIS5dt9gmEbHdXyUHBQ2cKsSFFl/view?usp=drivesdk" TargetMode="External"/><Relationship Id="rId2998" Type="http://schemas.openxmlformats.org/officeDocument/2006/relationships/hyperlink" Target="https://drive.google.com/file/d/1sbpmVib3DRD00b_W6U6tFq_cgTbXsBXK/view?usp=drivesdk" TargetMode="External"/><Relationship Id="rId1668" Type="http://schemas.openxmlformats.org/officeDocument/2006/relationships/hyperlink" Target="https://drive.google.com/file/d/1S2bnWMra5cT3jybiRMXQyyKgjUU5M3mP/view?usp=drivesdk" TargetMode="External"/><Relationship Id="rId2999" Type="http://schemas.openxmlformats.org/officeDocument/2006/relationships/hyperlink" Target="https://drive.google.com/file/d/1_iGxIOrj5vzUvhOaCiFYGOOkUVaaRx4p/view?usp=drivesdk" TargetMode="External"/><Relationship Id="rId1669" Type="http://schemas.openxmlformats.org/officeDocument/2006/relationships/hyperlink" Target="https://drive.google.com/file/d/1Y86fP_KKYPZSw0MLyhclNzE54yAOJHFx/view?usp=drivesdk" TargetMode="External"/><Relationship Id="rId839" Type="http://schemas.openxmlformats.org/officeDocument/2006/relationships/hyperlink" Target="https://drive.google.com/file/d/1Hg5VDszXlRVdNjTivLuNrhGtcNgJY6YO/view?usp=drivesdk" TargetMode="External"/><Relationship Id="rId838" Type="http://schemas.openxmlformats.org/officeDocument/2006/relationships/hyperlink" Target="https://drive.google.com/file/d/1u_OXA8JrcF5gJWXF7Ba95PFAVzQEQmQK/view?usp=drivesdk" TargetMode="External"/><Relationship Id="rId833" Type="http://schemas.openxmlformats.org/officeDocument/2006/relationships/hyperlink" Target="https://drive.google.com/file/d/1oCYIZ3A3h_Atk2WmT9epdXO3AdLdzZn6/view?usp=drivesdk" TargetMode="External"/><Relationship Id="rId832" Type="http://schemas.openxmlformats.org/officeDocument/2006/relationships/hyperlink" Target="https://drive.google.com/file/d/11i_Elby3e5vg0K4oxYHAqkgbsyXT0wuh/view?usp=drivesdk" TargetMode="External"/><Relationship Id="rId831" Type="http://schemas.openxmlformats.org/officeDocument/2006/relationships/hyperlink" Target="https://drive.google.com/file/d/1MA-4Wk9ULU29KzmGixLnWU7Vpj89d19H/view?usp=drivesdk" TargetMode="External"/><Relationship Id="rId830" Type="http://schemas.openxmlformats.org/officeDocument/2006/relationships/hyperlink" Target="https://drive.google.com/file/d/11TkjjlIy0l1_VcddPFY6PZdNPWLNgYgp/view?usp=drivesdk" TargetMode="External"/><Relationship Id="rId837" Type="http://schemas.openxmlformats.org/officeDocument/2006/relationships/hyperlink" Target="https://drive.google.com/file/d/1J_cS1D8HkOdqvBmQsXHjL1FZDmJs7lqQ/view?usp=drivesdk" TargetMode="External"/><Relationship Id="rId836" Type="http://schemas.openxmlformats.org/officeDocument/2006/relationships/hyperlink" Target="https://drive.google.com/file/d/1WRp-XKYuoC--ZzptdZHr_Zl2Y1f41l8M/view?usp=drivesdk" TargetMode="External"/><Relationship Id="rId835" Type="http://schemas.openxmlformats.org/officeDocument/2006/relationships/hyperlink" Target="https://drive.google.com/file/d/15-fNv-w_EYbUj3hP_RrWjmQtKmIxjNcl/view?usp=drivesdk" TargetMode="External"/><Relationship Id="rId834" Type="http://schemas.openxmlformats.org/officeDocument/2006/relationships/hyperlink" Target="https://drive.google.com/file/d/11sWex7jKveQZeyuHutPSEfoLLG3wPuUJ/view?usp=drivesdk" TargetMode="External"/><Relationship Id="rId2990" Type="http://schemas.openxmlformats.org/officeDocument/2006/relationships/hyperlink" Target="https://drive.google.com/file/d/119yIqQfYVVKN0GW9NpqUkpEkA8m1xmUD/view?usp=drivesdk" TargetMode="External"/><Relationship Id="rId1660" Type="http://schemas.openxmlformats.org/officeDocument/2006/relationships/hyperlink" Target="http://osf.io/wru8c" TargetMode="External"/><Relationship Id="rId2991" Type="http://schemas.openxmlformats.org/officeDocument/2006/relationships/hyperlink" Target="https://drive.google.com/file/d/15-Qaf3mc5XQEsuoEm8ghrVO5S8iGirFd/view?usp=drivesdk" TargetMode="External"/><Relationship Id="rId1661" Type="http://schemas.openxmlformats.org/officeDocument/2006/relationships/hyperlink" Target="https://drive.google.com/file/d/1Oux4UBwSd26986fxRHjyI5XNtU-07DOs/view?usp=drivesdk" TargetMode="External"/><Relationship Id="rId2992" Type="http://schemas.openxmlformats.org/officeDocument/2006/relationships/hyperlink" Target="https://drive.google.com/file/d/1od2a-ouaTJO4fTukPdaEiu377d_BcufB/view?usp=drivesdk" TargetMode="External"/><Relationship Id="rId1662" Type="http://schemas.openxmlformats.org/officeDocument/2006/relationships/hyperlink" Target="https://drive.google.com/file/d/1fIqa3RxgdnsQkWwGnLkF4XAbM2g_WN4q/view?usp=drivesdk" TargetMode="External"/><Relationship Id="rId2993" Type="http://schemas.openxmlformats.org/officeDocument/2006/relationships/hyperlink" Target="https://drive.google.com/file/d/1Th-_BL7lfGgtgvuj6_C-xLWQLks88DXP/view?usp=drivesdk" TargetMode="External"/><Relationship Id="rId1663" Type="http://schemas.openxmlformats.org/officeDocument/2006/relationships/hyperlink" Target="https://drive.google.com/file/d/18u8UZGmq2oMFWhXRxe2eL3wAp7RT1WdE/view?usp=drivesdk" TargetMode="External"/><Relationship Id="rId2994" Type="http://schemas.openxmlformats.org/officeDocument/2006/relationships/hyperlink" Target="https://drive.google.com/file/d/1p9X3tD24EWbnOA_5MSM9HTgujzLisIGn/view?usp=drivesdk" TargetMode="External"/><Relationship Id="rId2148" Type="http://schemas.openxmlformats.org/officeDocument/2006/relationships/hyperlink" Target="https://drive.google.com/file/d/1VAdnhoiJmdHbv1LbvyIfcfg3rNALrpkj/view?usp=drivesdk" TargetMode="External"/><Relationship Id="rId2149" Type="http://schemas.openxmlformats.org/officeDocument/2006/relationships/hyperlink" Target="https://drive.google.com/file/d/15dLELTosbF1NWFYI0UOSPLIC70dnGG5S/view?usp=drivesdk" TargetMode="External"/><Relationship Id="rId2140" Type="http://schemas.openxmlformats.org/officeDocument/2006/relationships/hyperlink" Target="https://drive.google.com/file/d/12ZFslJnsSmpbIBYf9YKunwP3Ofv14HZ-/view?usp=drivesdk" TargetMode="External"/><Relationship Id="rId2141" Type="http://schemas.openxmlformats.org/officeDocument/2006/relationships/hyperlink" Target="https://drive.google.com/file/d/1IPv_LwpOrSwgWFLNt3ih6B9kYGRsDgyd/view?usp=drivesdk" TargetMode="External"/><Relationship Id="rId2142" Type="http://schemas.openxmlformats.org/officeDocument/2006/relationships/hyperlink" Target="https://drive.google.com/file/d/1unAIIiGopeKWxFHgWm5TahygDGPlH1Lj/view?usp=drivesdk" TargetMode="External"/><Relationship Id="rId2143" Type="http://schemas.openxmlformats.org/officeDocument/2006/relationships/hyperlink" Target="https://drive.google.com/file/d/1TGN_TAtoJI3jhMQTEG2wnN59FCyiXC2_/view?usp=drivesdk" TargetMode="External"/><Relationship Id="rId2144" Type="http://schemas.openxmlformats.org/officeDocument/2006/relationships/hyperlink" Target="https://drive.google.com/file/d/1mgxHY5rSLZY_EieaSS4LRUonj0GvrfQE/view?usp=drivesdk" TargetMode="External"/><Relationship Id="rId2145" Type="http://schemas.openxmlformats.org/officeDocument/2006/relationships/hyperlink" Target="https://drive.google.com/file/d/1ULfnDtv84kgeFXRyMCCLbY1RRcrTQDB8/view?usp=drivesdk" TargetMode="External"/><Relationship Id="rId2146" Type="http://schemas.openxmlformats.org/officeDocument/2006/relationships/hyperlink" Target="https://drive.google.com/file/d/1RgKGmtfOeP7KPA-8BVD5JSSAaub2by_V/view?usp=drivesdk" TargetMode="External"/><Relationship Id="rId2147" Type="http://schemas.openxmlformats.org/officeDocument/2006/relationships/hyperlink" Target="https://drive.google.com/file/d/1maMe58N1aLmqdBUtveOinCFDUWOh5rcE/view?usp=drivesdk" TargetMode="External"/><Relationship Id="rId2137" Type="http://schemas.openxmlformats.org/officeDocument/2006/relationships/hyperlink" Target="https://drive.google.com/file/d/1n-j6Aip_Ueqh39JoVXmnujoaVUR_DnRz/view?usp=drivesdk" TargetMode="External"/><Relationship Id="rId2138" Type="http://schemas.openxmlformats.org/officeDocument/2006/relationships/hyperlink" Target="https://drive.google.com/file/d/1bHfJ-3gEyIURBJhF8bZZGAbZGtPK135A/view?usp=drivesdk" TargetMode="External"/><Relationship Id="rId2139" Type="http://schemas.openxmlformats.org/officeDocument/2006/relationships/hyperlink" Target="https://drive.google.com/file/d/15kKUsqyFArf82r6bAlXLuUVgHc1vD9sW/view?usp=drivesdk" TargetMode="External"/><Relationship Id="rId2130" Type="http://schemas.openxmlformats.org/officeDocument/2006/relationships/hyperlink" Target="https://drive.google.com/file/d/1vDgLj9eoT-VnSILsFHRQ12VvtSFTsWUV/view?usp=drivesdk" TargetMode="External"/><Relationship Id="rId2131" Type="http://schemas.openxmlformats.org/officeDocument/2006/relationships/hyperlink" Target="https://drive.google.com/file/d/1vapTuoFWQvT1qaSJqcvZzdcKGuZPcOor/view?usp=drivesdk" TargetMode="External"/><Relationship Id="rId2132" Type="http://schemas.openxmlformats.org/officeDocument/2006/relationships/hyperlink" Target="https://drive.google.com/file/d/1_YiZ9ym1etIoqiYTErFO56HCfNn-rWNe/view?usp=drivesdk" TargetMode="External"/><Relationship Id="rId2133" Type="http://schemas.openxmlformats.org/officeDocument/2006/relationships/hyperlink" Target="https://drive.google.com/file/d/1TJ6nnv7-YYGU9DUh1ApFGirYy6BbChHy/view?usp=drivesdk" TargetMode="External"/><Relationship Id="rId2134" Type="http://schemas.openxmlformats.org/officeDocument/2006/relationships/hyperlink" Target="https://drive.google.com/file/d/1VSCtSsv8HPQ12k-JKTjSEPJB-QhdOcwt/view?usp=drivesdk" TargetMode="External"/><Relationship Id="rId2135" Type="http://schemas.openxmlformats.org/officeDocument/2006/relationships/hyperlink" Target="https://drive.google.com/file/d/1NONRrVPLj3_SNxu7Ptx53k4VBPMr7tIo/view?usp=drivesdk" TargetMode="External"/><Relationship Id="rId2136" Type="http://schemas.openxmlformats.org/officeDocument/2006/relationships/hyperlink" Target="https://drive.google.com/file/d/1LH5FS1-bb7IdYkCgO31BjONeTKWAtRQN/view?usp=drivesdk" TargetMode="External"/><Relationship Id="rId2160" Type="http://schemas.openxmlformats.org/officeDocument/2006/relationships/hyperlink" Target="https://drive.google.com/file/d/1DO937F2xhbz54X6xu8qtsy63K6O9mEYa/view?usp=drivesdk" TargetMode="External"/><Relationship Id="rId2161" Type="http://schemas.openxmlformats.org/officeDocument/2006/relationships/hyperlink" Target="https://drive.google.com/file/d/1GpMdw7ZFDWpDIdg1IjCcxRYXmuDta-6_/view?usp=drivesdk" TargetMode="External"/><Relationship Id="rId2162" Type="http://schemas.openxmlformats.org/officeDocument/2006/relationships/hyperlink" Target="https://drive.google.com/file/d/1OeY-k8G9PoOVwBC3kScmLaiAEl_Sb-3y/view?usp=drivesdk" TargetMode="External"/><Relationship Id="rId2163" Type="http://schemas.openxmlformats.org/officeDocument/2006/relationships/hyperlink" Target="https://drive.google.com/file/d/1PO93PC_ps2XExqA6N_FX_WnXnQAPrB_Q/view?usp=drivesdk" TargetMode="External"/><Relationship Id="rId2164" Type="http://schemas.openxmlformats.org/officeDocument/2006/relationships/hyperlink" Target="https://drive.google.com/file/d/1RTiaFppoyqVSbs6ENCjo8xyaIVfjFhVI/view?usp=drivesdk" TargetMode="External"/><Relationship Id="rId2165" Type="http://schemas.openxmlformats.org/officeDocument/2006/relationships/hyperlink" Target="https://drive.google.com/file/d/1joizDIhyA_6v5iIxaJb92CDtUAqisiiG/view?usp=drivesdk" TargetMode="External"/><Relationship Id="rId2166" Type="http://schemas.openxmlformats.org/officeDocument/2006/relationships/hyperlink" Target="https://drive.google.com/file/d/1y9Sta1A62b6o1louE7uCjU6m-n4q0e5j/view?usp=drivesdk" TargetMode="External"/><Relationship Id="rId2167" Type="http://schemas.openxmlformats.org/officeDocument/2006/relationships/hyperlink" Target="https://drive.google.com/file/d/1O4mjB0-ZSujMTJYtaAoIsXTPuhxgEF-0/view?usp=drivesdk" TargetMode="External"/><Relationship Id="rId2168" Type="http://schemas.openxmlformats.org/officeDocument/2006/relationships/hyperlink" Target="https://drive.google.com/file/d/1LvmKgU-0Swex9jXhSh89rVHkVzeNMucB/view?usp=drivesdk" TargetMode="External"/><Relationship Id="rId2169" Type="http://schemas.openxmlformats.org/officeDocument/2006/relationships/hyperlink" Target="https://drive.google.com/file/d/1MFrh4TN71i6T_XH6VvEuarZ-bkTQmkjp/view?usp=drivesdk" TargetMode="External"/><Relationship Id="rId2159" Type="http://schemas.openxmlformats.org/officeDocument/2006/relationships/hyperlink" Target="https://drive.google.com/file/d/11FrEIq8nBGRjHM8n6665RHudNtasAq_q/view?usp=drivesdk" TargetMode="External"/><Relationship Id="rId2150" Type="http://schemas.openxmlformats.org/officeDocument/2006/relationships/hyperlink" Target="https://drive.google.com/file/d/1VipPphabn-Kfe9AzHC0j5FX1Fqp3bd0q/view?usp=drivesdk" TargetMode="External"/><Relationship Id="rId2151" Type="http://schemas.openxmlformats.org/officeDocument/2006/relationships/hyperlink" Target="https://drive.google.com/file/d/15Wsn7yRLOjnPIu3oOYbA1lhbZIRp1-8K/view?usp=drivesdk" TargetMode="External"/><Relationship Id="rId2152" Type="http://schemas.openxmlformats.org/officeDocument/2006/relationships/hyperlink" Target="https://drive.google.com/file/d/1H4h52o-2l4VeH6zifkEQWasrzj-Pi8k3/view?usp=drivesdk" TargetMode="External"/><Relationship Id="rId2153" Type="http://schemas.openxmlformats.org/officeDocument/2006/relationships/hyperlink" Target="https://drive.google.com/file/d/140WKvPe6h8fNM79ffoPo5RX6uP0flGT4/view?usp=drivesdk" TargetMode="External"/><Relationship Id="rId2154" Type="http://schemas.openxmlformats.org/officeDocument/2006/relationships/hyperlink" Target="https://drive.google.com/file/d/1gBBT6EBomzmICcRfzrG_6jxfvMnRuQIj/view?usp=drivesdk" TargetMode="External"/><Relationship Id="rId2155" Type="http://schemas.openxmlformats.org/officeDocument/2006/relationships/hyperlink" Target="https://drive.google.com/file/d/1CxhrkeSaHBzp5T2m5mVKo0v0N9tNA96j/view?usp=drivesdk" TargetMode="External"/><Relationship Id="rId2156" Type="http://schemas.openxmlformats.org/officeDocument/2006/relationships/hyperlink" Target="https://drive.google.com/file/d/11NrpozUj6QEvSuPcqdy2reV2ZmG62r_Z/view?usp=drivesdk" TargetMode="External"/><Relationship Id="rId2157" Type="http://schemas.openxmlformats.org/officeDocument/2006/relationships/hyperlink" Target="https://drive.google.com/file/d/1Aes0K1gD14f_6QAHkD9IPsvD4OgnIJ9K/view?usp=drivesdk" TargetMode="External"/><Relationship Id="rId2158" Type="http://schemas.openxmlformats.org/officeDocument/2006/relationships/hyperlink" Target="https://drive.google.com/file/d/1S1BDaMkHx3KW3osHCgZU9COckw9P0yzi/view?usp=drivesdk" TargetMode="External"/><Relationship Id="rId2104" Type="http://schemas.openxmlformats.org/officeDocument/2006/relationships/hyperlink" Target="https://drive.google.com/file/d/122eQrKxq-6WpHqYSHCbu_61qufpfQpP1/view?usp=drivesdk" TargetMode="External"/><Relationship Id="rId2105" Type="http://schemas.openxmlformats.org/officeDocument/2006/relationships/hyperlink" Target="https://drive.google.com/file/d/1GJ1TkFgZk1zziaW-LwEzlbPoGlAfjX81/view?usp=drivesdk" TargetMode="External"/><Relationship Id="rId2106" Type="http://schemas.openxmlformats.org/officeDocument/2006/relationships/hyperlink" Target="https://drive.google.com/file/d/101cmDqz2Qax5SOrZCpFnyKsko_tw1UW3/view?usp=drivesdk" TargetMode="External"/><Relationship Id="rId2107" Type="http://schemas.openxmlformats.org/officeDocument/2006/relationships/hyperlink" Target="https://drive.google.com/file/d/1ytNNieBfW6njVZa_pFpdio4LUZmKmvXl/view?usp=drivesdk" TargetMode="External"/><Relationship Id="rId2108" Type="http://schemas.openxmlformats.org/officeDocument/2006/relationships/hyperlink" Target="https://drive.google.com/file/d/18ezWy7djA945zL8CbFQlhWO8EZS4wwS1/view?usp=drivesdk" TargetMode="External"/><Relationship Id="rId2109" Type="http://schemas.openxmlformats.org/officeDocument/2006/relationships/hyperlink" Target="https://drive.google.com/file/d/19LNgQY4aAE8NOtLkCHGRPgEmv-PwUDkf/view?usp=drivesdk" TargetMode="External"/><Relationship Id="rId2100" Type="http://schemas.openxmlformats.org/officeDocument/2006/relationships/hyperlink" Target="https://drive.google.com/file/d/1VxdhYWAzQnqcs07E_QIp8DFonsZrBpYe/view?usp=drivesdk" TargetMode="External"/><Relationship Id="rId2101" Type="http://schemas.openxmlformats.org/officeDocument/2006/relationships/hyperlink" Target="https://drive.google.com/file/d/1UOMf-snqsk6_xm9569d5Yr7tIrEVriap/view?usp=drivesdk" TargetMode="External"/><Relationship Id="rId2102" Type="http://schemas.openxmlformats.org/officeDocument/2006/relationships/hyperlink" Target="https://drive.google.com/file/d/19KQFSemeD8gmmrYhmcTweZW1cifRjRsN/view?usp=drivesdk" TargetMode="External"/><Relationship Id="rId2103" Type="http://schemas.openxmlformats.org/officeDocument/2006/relationships/hyperlink" Target="https://drive.google.com/file/d/1-SaG8WiDfkM6zwdVOonoQg1W2TXK8F2W/view?usp=drivesdk" TargetMode="External"/><Relationship Id="rId899" Type="http://schemas.openxmlformats.org/officeDocument/2006/relationships/hyperlink" Target="https://drive.google.com/file/d/1EKIaHTuti7XKw2mQk08MnnJylEMMAcKd/view?usp=drivesdk" TargetMode="External"/><Relationship Id="rId898" Type="http://schemas.openxmlformats.org/officeDocument/2006/relationships/hyperlink" Target="https://drive.google.com/file/d/1bLrBDqjkPMmEx6FX59L8orwnDLu8WIXb/view?usp=drivesdk" TargetMode="External"/><Relationship Id="rId897" Type="http://schemas.openxmlformats.org/officeDocument/2006/relationships/hyperlink" Target="https://drive.google.com/file/d/1YPPJtv3xDHwJ3jEdQAjDOFSRUnuq15hb/view?usp=drivesdk" TargetMode="External"/><Relationship Id="rId896" Type="http://schemas.openxmlformats.org/officeDocument/2006/relationships/hyperlink" Target="https://drive.google.com/file/d/14dpPfnnGxxoMpSv9KbJv_DGRBbGGNcej/view?usp=drivesdk" TargetMode="External"/><Relationship Id="rId891" Type="http://schemas.openxmlformats.org/officeDocument/2006/relationships/hyperlink" Target="https://drive.google.com/file/d/1tZqiX4yaCWNZp0VBksEuDisPC0QorBFC/view?usp=drivesdk" TargetMode="External"/><Relationship Id="rId890" Type="http://schemas.openxmlformats.org/officeDocument/2006/relationships/hyperlink" Target="https://drive.google.com/file/d/1gG02tv3PWyQz_Ib3EeWspGFEQD7yZJ4S/view?usp=drivesdk" TargetMode="External"/><Relationship Id="rId895" Type="http://schemas.openxmlformats.org/officeDocument/2006/relationships/hyperlink" Target="https://drive.google.com/file/d/1UM8vlzbWtWJPbRgufyRQ5udR9qVzuZSK/view?usp=drivesdk" TargetMode="External"/><Relationship Id="rId894" Type="http://schemas.openxmlformats.org/officeDocument/2006/relationships/hyperlink" Target="https://drive.google.com/file/d/1QohAMMPIG9bNDxF5TO_ctDY-bzJUlb_y/view?usp=drivesdk" TargetMode="External"/><Relationship Id="rId893" Type="http://schemas.openxmlformats.org/officeDocument/2006/relationships/hyperlink" Target="https://drive.google.com/file/d/1Iq2exajG-TDJLBR_-7xMUUfWxSTwJWDV/view?usp=drivesdk" TargetMode="External"/><Relationship Id="rId892" Type="http://schemas.openxmlformats.org/officeDocument/2006/relationships/hyperlink" Target="https://drive.google.com/file/d/1A0ji2boMvIVfZW9YqaNx_sESaCqIAN8o/view?usp=drivesdk" TargetMode="External"/><Relationship Id="rId2126" Type="http://schemas.openxmlformats.org/officeDocument/2006/relationships/hyperlink" Target="https://drive.google.com/file/d/1fNwzy4f6SEAeVccICF8BD0SDAIH7uPVr/view?usp=drivesdk" TargetMode="External"/><Relationship Id="rId2127" Type="http://schemas.openxmlformats.org/officeDocument/2006/relationships/hyperlink" Target="https://drive.google.com/file/d/1pi6g99iJYyhyD_0jGvDca_hbleDdekCp/view?usp=drivesdk" TargetMode="External"/><Relationship Id="rId2128" Type="http://schemas.openxmlformats.org/officeDocument/2006/relationships/hyperlink" Target="https://drive.google.com/file/d/17sgB6ScmXf8Wli1_dKWf0wpvxkNJRZtC/view?usp=drivesdk" TargetMode="External"/><Relationship Id="rId2129" Type="http://schemas.openxmlformats.org/officeDocument/2006/relationships/hyperlink" Target="https://drive.google.com/file/d/1JQppLKOXxrmIyxFhDZtY85ZoIv_TVdh_/view?usp=drivesdk" TargetMode="External"/><Relationship Id="rId2120" Type="http://schemas.openxmlformats.org/officeDocument/2006/relationships/hyperlink" Target="https://drive.google.com/file/d/1regWIorXDhOmWYb_teCbaUslSpKLmqk8/view?usp=drivesdk" TargetMode="External"/><Relationship Id="rId2121" Type="http://schemas.openxmlformats.org/officeDocument/2006/relationships/hyperlink" Target="https://drive.google.com/file/d/14Gn77igqT7z48cFv6fyuoc9vsjaDleJT/view?usp=drivesdk" TargetMode="External"/><Relationship Id="rId2122" Type="http://schemas.openxmlformats.org/officeDocument/2006/relationships/hyperlink" Target="https://drive.google.com/file/d/1AeJCeDtR27X7LIlQj69LZhU8lw_irjTZ/view?usp=drivesdk" TargetMode="External"/><Relationship Id="rId2123" Type="http://schemas.openxmlformats.org/officeDocument/2006/relationships/hyperlink" Target="https://drive.google.com/file/d/1GrUOAhTHghIcwyEiFpklKuM_OleLXBcC/view?usp=drivesdk" TargetMode="External"/><Relationship Id="rId2124" Type="http://schemas.openxmlformats.org/officeDocument/2006/relationships/hyperlink" Target="https://drive.google.com/file/d/1W3AEU5DVdupmSq7M9uQdZobAM5ZqFYM0/view?usp=drivesdk" TargetMode="External"/><Relationship Id="rId2125" Type="http://schemas.openxmlformats.org/officeDocument/2006/relationships/hyperlink" Target="https://drive.google.com/file/d/1Zty8FHdgF4Nqed1S2bjomumBBiyC8Mfz/view?usp=drivesdk" TargetMode="External"/><Relationship Id="rId2115" Type="http://schemas.openxmlformats.org/officeDocument/2006/relationships/hyperlink" Target="https://drive.google.com/file/d/1vwoFAupWbe8Bgv7842QySg1LaEqoDDe_/view?usp=drivesdk" TargetMode="External"/><Relationship Id="rId2116" Type="http://schemas.openxmlformats.org/officeDocument/2006/relationships/hyperlink" Target="https://drive.google.com/file/d/17-wgGNPZwtL6rEYJQatdPfEg3Zj4LlVp/view?usp=drivesdk" TargetMode="External"/><Relationship Id="rId2117" Type="http://schemas.openxmlformats.org/officeDocument/2006/relationships/hyperlink" Target="https://drive.google.com/file/d/1Jiqe2wOvjNTwwh15yI5l8MIejzUR62bQ/view?usp=drivesdk" TargetMode="External"/><Relationship Id="rId2118" Type="http://schemas.openxmlformats.org/officeDocument/2006/relationships/hyperlink" Target="https://drive.google.com/file/d/1O9o-IM6QAwdSD3z77TMTSt_bwseJOoxk/view?usp=drivesdk" TargetMode="External"/><Relationship Id="rId2119" Type="http://schemas.openxmlformats.org/officeDocument/2006/relationships/hyperlink" Target="https://drive.google.com/file/d/1jEva3KZqbW-ONMklgs2Rg6dqi_PQzPiT/view?usp=drivesdk" TargetMode="External"/><Relationship Id="rId2110" Type="http://schemas.openxmlformats.org/officeDocument/2006/relationships/hyperlink" Target="https://drive.google.com/file/d/1mWHWKkVq6BilZwniJ1YPf3kKFnahjts7/view?usp=drivesdk" TargetMode="External"/><Relationship Id="rId2111" Type="http://schemas.openxmlformats.org/officeDocument/2006/relationships/hyperlink" Target="https://drive.google.com/file/d/1tPKLdTFqIGFW4cqhMZC7Yr25fvDeEOP4/view?usp=drivesdk" TargetMode="External"/><Relationship Id="rId2112" Type="http://schemas.openxmlformats.org/officeDocument/2006/relationships/hyperlink" Target="https://drive.google.com/file/d/1vyO_YNL5gLoz0OBEYZ9kLrmMmH2YlP79/view?usp=drivesdk" TargetMode="External"/><Relationship Id="rId2113" Type="http://schemas.openxmlformats.org/officeDocument/2006/relationships/hyperlink" Target="https://drive.google.com/file/d/1L7jIX4b7NUY2KcEEPpbjKM2uA4LiKxQQ/view?usp=drivesdk" TargetMode="External"/><Relationship Id="rId2114" Type="http://schemas.openxmlformats.org/officeDocument/2006/relationships/hyperlink" Target="https://drive.google.com/file/d/1TOZ9euIliRhkN1zDzYb6v8ankkIXs-ya/view?usp=drivesdk"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9.5"/>
    <col customWidth="1" min="2" max="2" width="24.5"/>
    <col customWidth="1" min="6" max="6" width="33.88"/>
    <col customWidth="1" min="7" max="7" width="25.88"/>
    <col customWidth="1" min="20" max="21" width="14.13"/>
    <col customWidth="1" min="22" max="22" width="27.75"/>
    <col customWidth="1" min="30" max="30" width="76.88"/>
    <col customWidth="1" min="31" max="31" width="10.13"/>
    <col customWidth="1" min="32" max="32" width="10.38"/>
    <col customWidth="1" min="33" max="33" width="25.13"/>
    <col customWidth="1" min="34" max="34" width="10.38"/>
    <col customWidth="1" min="35" max="35" width="10.88"/>
    <col customWidth="1" min="40" max="41" width="6.63"/>
    <col customWidth="1" min="42" max="42" width="19.25"/>
  </cols>
  <sheetData>
    <row r="1" ht="20.25" customHeight="1">
      <c r="A1" s="1"/>
      <c r="B1" s="1"/>
      <c r="C1" s="1"/>
      <c r="D1" s="1"/>
      <c r="E1" s="1"/>
      <c r="F1" s="2"/>
      <c r="G1" s="3" t="s">
        <v>0</v>
      </c>
      <c r="H1" s="1" t="s">
        <v>1</v>
      </c>
      <c r="I1" s="2" t="s">
        <v>2</v>
      </c>
      <c r="J1" s="2" t="s">
        <v>3</v>
      </c>
      <c r="K1" s="3" t="s">
        <v>4</v>
      </c>
      <c r="L1" s="4" t="s">
        <v>5</v>
      </c>
      <c r="M1" s="5" t="s">
        <v>6</v>
      </c>
      <c r="N1" s="5" t="s">
        <v>7</v>
      </c>
      <c r="O1" s="5" t="s">
        <v>8</v>
      </c>
      <c r="P1" s="6"/>
      <c r="Q1" s="6"/>
      <c r="R1" s="7" t="s">
        <v>9</v>
      </c>
      <c r="S1" s="8" t="s">
        <v>10</v>
      </c>
      <c r="T1" s="5" t="s">
        <v>11</v>
      </c>
      <c r="U1" s="5" t="s">
        <v>12</v>
      </c>
      <c r="V1" s="2"/>
      <c r="W1" s="2"/>
      <c r="X1" s="2"/>
      <c r="Y1" s="3" t="s">
        <v>13</v>
      </c>
      <c r="Z1" s="3" t="s">
        <v>14</v>
      </c>
      <c r="AA1" s="3" t="s">
        <v>15</v>
      </c>
      <c r="AB1" s="9" t="s">
        <v>16</v>
      </c>
      <c r="AC1" s="4" t="s">
        <v>17</v>
      </c>
      <c r="AD1" s="10" t="s">
        <v>18</v>
      </c>
      <c r="AE1" s="10" t="s">
        <v>19</v>
      </c>
      <c r="AF1" s="4" t="s">
        <v>20</v>
      </c>
      <c r="AG1" s="4" t="s">
        <v>21</v>
      </c>
      <c r="AH1" s="4" t="s">
        <v>22</v>
      </c>
      <c r="AI1" s="10"/>
      <c r="AJ1" s="10" t="s">
        <v>23</v>
      </c>
      <c r="AK1" s="10" t="s">
        <v>24</v>
      </c>
      <c r="AL1" s="10" t="s">
        <v>25</v>
      </c>
      <c r="AM1" s="10"/>
      <c r="AN1" s="10"/>
      <c r="AO1" s="4" t="s">
        <v>26</v>
      </c>
      <c r="AP1" s="4" t="s">
        <v>27</v>
      </c>
      <c r="AQ1" s="4" t="s">
        <v>28</v>
      </c>
      <c r="AS1" s="10" t="s">
        <v>29</v>
      </c>
      <c r="AT1" s="10" t="s">
        <v>30</v>
      </c>
      <c r="AU1" s="10" t="s">
        <v>31</v>
      </c>
      <c r="AV1" s="10"/>
      <c r="AW1" s="1"/>
      <c r="AX1" s="1"/>
      <c r="AY1" s="1"/>
      <c r="AZ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row>
    <row r="2" ht="20.25" customHeight="1">
      <c r="A2" s="11" t="s">
        <v>32</v>
      </c>
      <c r="B2" s="12" t="s">
        <v>33</v>
      </c>
      <c r="C2" s="12" t="s">
        <v>34</v>
      </c>
      <c r="D2" s="13" t="s">
        <v>35</v>
      </c>
      <c r="E2" s="12" t="s">
        <v>36</v>
      </c>
      <c r="F2" s="14" t="s">
        <v>37</v>
      </c>
      <c r="G2" s="15" t="s">
        <v>0</v>
      </c>
      <c r="H2" s="16" t="s">
        <v>1</v>
      </c>
      <c r="I2" s="16" t="s">
        <v>2</v>
      </c>
      <c r="J2" s="16" t="s">
        <v>3</v>
      </c>
      <c r="K2" s="16" t="s">
        <v>4</v>
      </c>
      <c r="L2" s="17" t="s">
        <v>5</v>
      </c>
      <c r="M2" s="18" t="s">
        <v>38</v>
      </c>
      <c r="N2" s="18" t="s">
        <v>39</v>
      </c>
      <c r="O2" s="18" t="s">
        <v>40</v>
      </c>
      <c r="P2" s="18" t="s">
        <v>41</v>
      </c>
      <c r="Q2" s="19" t="s">
        <v>42</v>
      </c>
      <c r="R2" s="20" t="s">
        <v>43</v>
      </c>
      <c r="S2" s="20" t="s">
        <v>44</v>
      </c>
      <c r="T2" s="20" t="s">
        <v>45</v>
      </c>
      <c r="U2" s="20" t="s">
        <v>46</v>
      </c>
      <c r="V2" s="20" t="s">
        <v>47</v>
      </c>
      <c r="W2" s="20" t="s">
        <v>48</v>
      </c>
      <c r="X2" s="20" t="s">
        <v>49</v>
      </c>
      <c r="Y2" s="16" t="s">
        <v>13</v>
      </c>
      <c r="Z2" s="21" t="s">
        <v>14</v>
      </c>
      <c r="AA2" s="21" t="s">
        <v>15</v>
      </c>
      <c r="AB2" s="22" t="s">
        <v>16</v>
      </c>
      <c r="AC2" s="22" t="s">
        <v>17</v>
      </c>
      <c r="AD2" s="18" t="s">
        <v>50</v>
      </c>
      <c r="AE2" s="18" t="s">
        <v>51</v>
      </c>
      <c r="AF2" s="18" t="s">
        <v>52</v>
      </c>
      <c r="AG2" s="18" t="s">
        <v>53</v>
      </c>
      <c r="AH2" s="23" t="s">
        <v>54</v>
      </c>
      <c r="AI2" s="23" t="s">
        <v>55</v>
      </c>
      <c r="AJ2" s="23" t="s">
        <v>23</v>
      </c>
      <c r="AK2" s="23" t="s">
        <v>24</v>
      </c>
      <c r="AL2" s="23" t="s">
        <v>25</v>
      </c>
      <c r="AM2" s="23" t="s">
        <v>56</v>
      </c>
      <c r="AN2" s="23" t="s">
        <v>57</v>
      </c>
      <c r="AO2" s="20" t="s">
        <v>58</v>
      </c>
      <c r="AP2" s="20" t="s">
        <v>59</v>
      </c>
      <c r="AQ2" s="20" t="s">
        <v>60</v>
      </c>
      <c r="AR2" s="20" t="s">
        <v>61</v>
      </c>
      <c r="AS2" s="20" t="s">
        <v>29</v>
      </c>
      <c r="AT2" s="20" t="s">
        <v>30</v>
      </c>
      <c r="AU2" s="24" t="s">
        <v>31</v>
      </c>
      <c r="AV2" s="24" t="s">
        <v>62</v>
      </c>
      <c r="AW2" s="24" t="s">
        <v>63</v>
      </c>
      <c r="AX2" s="25" t="s">
        <v>64</v>
      </c>
      <c r="AY2" s="5" t="s">
        <v>65</v>
      </c>
      <c r="AZ2" s="2" t="s">
        <v>66</v>
      </c>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row>
    <row r="3" ht="78.75" customHeight="1">
      <c r="A3" s="26" t="s">
        <v>67</v>
      </c>
      <c r="B3" s="27" t="s">
        <v>68</v>
      </c>
      <c r="C3" s="28"/>
      <c r="D3" s="28"/>
      <c r="E3" s="28"/>
      <c r="F3" s="29" t="s">
        <v>69</v>
      </c>
      <c r="G3" s="30" t="s">
        <v>70</v>
      </c>
      <c r="H3" s="31" t="s">
        <v>71</v>
      </c>
      <c r="I3" s="31" t="s">
        <v>72</v>
      </c>
      <c r="J3" s="31" t="s">
        <v>72</v>
      </c>
      <c r="K3" s="31" t="s">
        <v>73</v>
      </c>
      <c r="L3" s="31" t="s">
        <v>74</v>
      </c>
      <c r="M3" s="32" t="s">
        <v>75</v>
      </c>
      <c r="N3" s="32" t="s">
        <v>76</v>
      </c>
      <c r="O3" s="32" t="s">
        <v>77</v>
      </c>
      <c r="P3" s="32" t="s">
        <v>78</v>
      </c>
      <c r="Q3" s="32"/>
      <c r="R3" s="33" t="s">
        <v>75</v>
      </c>
      <c r="S3" s="33" t="s">
        <v>76</v>
      </c>
      <c r="T3" s="33" t="s">
        <v>79</v>
      </c>
      <c r="U3" s="33" t="s">
        <v>77</v>
      </c>
      <c r="V3" s="33" t="s">
        <v>80</v>
      </c>
      <c r="W3" s="33" t="s">
        <v>81</v>
      </c>
      <c r="X3" s="33"/>
      <c r="Y3" s="31" t="s">
        <v>82</v>
      </c>
      <c r="Z3" s="34" t="s">
        <v>83</v>
      </c>
      <c r="AA3" s="34" t="s">
        <v>84</v>
      </c>
      <c r="AB3" s="34" t="s">
        <v>85</v>
      </c>
      <c r="AC3" s="34" t="s">
        <v>86</v>
      </c>
      <c r="AD3" s="32" t="s">
        <v>87</v>
      </c>
      <c r="AE3" s="32" t="s">
        <v>88</v>
      </c>
      <c r="AF3" s="32" t="s">
        <v>89</v>
      </c>
      <c r="AG3" s="32" t="s">
        <v>90</v>
      </c>
      <c r="AH3" s="35" t="s">
        <v>91</v>
      </c>
      <c r="AI3" s="35" t="s">
        <v>92</v>
      </c>
      <c r="AJ3" s="35" t="s">
        <v>93</v>
      </c>
      <c r="AK3" s="35" t="s">
        <v>94</v>
      </c>
      <c r="AL3" s="35" t="s">
        <v>95</v>
      </c>
      <c r="AM3" s="35" t="s">
        <v>96</v>
      </c>
      <c r="AN3" s="35" t="s">
        <v>97</v>
      </c>
      <c r="AO3" s="33" t="s">
        <v>98</v>
      </c>
      <c r="AP3" s="33" t="s">
        <v>99</v>
      </c>
      <c r="AQ3" s="33" t="s">
        <v>100</v>
      </c>
      <c r="AR3" s="33" t="s">
        <v>101</v>
      </c>
      <c r="AS3" s="33" t="s">
        <v>102</v>
      </c>
      <c r="AT3" s="33" t="s">
        <v>94</v>
      </c>
      <c r="AU3" s="36" t="s">
        <v>103</v>
      </c>
      <c r="AV3" s="36" t="s">
        <v>96</v>
      </c>
      <c r="AW3" s="36" t="s">
        <v>104</v>
      </c>
      <c r="AX3" s="37" t="s">
        <v>105</v>
      </c>
      <c r="AY3" s="38"/>
      <c r="AZ3" s="39" t="s">
        <v>106</v>
      </c>
      <c r="BC3" s="40"/>
      <c r="BD3" s="40"/>
      <c r="BE3" s="40"/>
      <c r="BF3" s="40"/>
      <c r="BG3" s="40"/>
      <c r="BH3" s="40"/>
      <c r="BI3" s="40"/>
      <c r="BJ3" s="40"/>
      <c r="BK3" s="40"/>
      <c r="BL3" s="40"/>
      <c r="BM3" s="40"/>
      <c r="BN3" s="40"/>
      <c r="BO3" s="40"/>
      <c r="BP3" s="40"/>
      <c r="BQ3" s="40"/>
      <c r="BR3" s="40"/>
      <c r="BS3" s="40"/>
      <c r="BT3" s="40"/>
      <c r="BU3" s="40"/>
      <c r="BV3" s="40"/>
      <c r="BW3" s="40"/>
      <c r="BX3" s="40"/>
      <c r="BY3" s="40"/>
      <c r="BZ3" s="40"/>
      <c r="CA3" s="40"/>
      <c r="CB3" s="40"/>
      <c r="CC3" s="40"/>
      <c r="CD3" s="40"/>
      <c r="CE3" s="40"/>
      <c r="CF3" s="40"/>
      <c r="CG3" s="40"/>
      <c r="CH3" s="40"/>
      <c r="CI3" s="40"/>
      <c r="CJ3" s="40"/>
      <c r="CK3" s="40"/>
      <c r="CL3" s="40"/>
      <c r="CM3" s="40"/>
      <c r="CN3" s="40"/>
      <c r="CO3" s="40"/>
      <c r="CP3" s="40"/>
      <c r="CQ3" s="40"/>
      <c r="CR3" s="40"/>
      <c r="CS3" s="40"/>
      <c r="CT3" s="40"/>
      <c r="CU3" s="40"/>
      <c r="CV3" s="40"/>
      <c r="CW3" s="40"/>
      <c r="CX3" s="40"/>
      <c r="CY3" s="40"/>
      <c r="CZ3" s="40"/>
      <c r="DA3" s="40"/>
      <c r="DB3" s="40"/>
      <c r="DC3" s="40"/>
      <c r="DD3" s="40"/>
      <c r="DE3" s="40"/>
      <c r="DF3" s="40"/>
      <c r="DG3" s="40"/>
      <c r="DH3" s="40"/>
    </row>
    <row r="4" ht="20.25" customHeight="1">
      <c r="A4" s="41">
        <v>4.0</v>
      </c>
      <c r="B4" s="42" t="s">
        <v>107</v>
      </c>
      <c r="C4" s="42" t="s">
        <v>108</v>
      </c>
      <c r="F4" s="43" t="s">
        <v>109</v>
      </c>
      <c r="G4" s="44" t="s">
        <v>110</v>
      </c>
      <c r="H4" s="44" t="s">
        <v>111</v>
      </c>
      <c r="I4" s="44" t="s">
        <v>112</v>
      </c>
      <c r="J4" s="45">
        <v>45641.0</v>
      </c>
      <c r="K4" s="46" t="s">
        <v>113</v>
      </c>
      <c r="L4" s="46"/>
      <c r="M4" s="44" t="s">
        <v>114</v>
      </c>
      <c r="N4" s="44" t="s">
        <v>115</v>
      </c>
      <c r="O4" s="47">
        <v>1.0</v>
      </c>
      <c r="P4" s="48" t="s">
        <v>116</v>
      </c>
      <c r="Q4" s="49" t="str">
        <f t="array" ref="Q4"> if(iserror(MATCH(V4, 'File Links'!C:C, 0)), "N/A", HYPERLINK(INDEX('File Links'!B:B, MATCH(P4, 'File Links'!C:C, 0))))</f>
        <v>https://drive.google.com/file/d/140WKvPe6h8fNM79ffoPo5RX6uP0flGT4/view?usp=drivesdk</v>
      </c>
      <c r="R4" s="44" t="s">
        <v>117</v>
      </c>
      <c r="S4" s="44" t="s">
        <v>118</v>
      </c>
      <c r="T4" s="46"/>
      <c r="U4" s="50">
        <v>1.0</v>
      </c>
      <c r="V4" s="44" t="s">
        <v>119</v>
      </c>
      <c r="W4" s="46" t="s">
        <v>120</v>
      </c>
      <c r="X4" s="51" t="str">
        <f t="array" ref="X4"> if(iserror(MATCH(V4, 'File Links'!C:C, 0)), "N/A", HYPERLINK(INDEX('File Links'!B:B, MATCH(V4, 'File Links'!C:C, 0))))</f>
        <v>https://drive.google.com/file/d/15dLELTosbF1NWFYI0UOSPLIC70dnGG5S/view?usp=drivesdk</v>
      </c>
      <c r="Y4" s="46"/>
      <c r="Z4" s="46" t="s">
        <v>121</v>
      </c>
      <c r="AA4" s="46"/>
      <c r="AB4" s="46" t="s">
        <v>122</v>
      </c>
      <c r="AC4" s="46" t="s">
        <v>123</v>
      </c>
      <c r="AD4" s="46" t="s">
        <v>124</v>
      </c>
      <c r="AE4" s="46" t="s">
        <v>125</v>
      </c>
      <c r="AF4" s="47">
        <v>12.0</v>
      </c>
      <c r="AG4" s="52" t="s">
        <v>126</v>
      </c>
      <c r="AH4" s="53" t="s">
        <v>127</v>
      </c>
      <c r="AI4" s="46" t="s">
        <v>125</v>
      </c>
      <c r="AJ4" s="47">
        <v>0.01</v>
      </c>
      <c r="AK4" s="54" t="s">
        <v>128</v>
      </c>
      <c r="AL4" s="46" t="s">
        <v>129</v>
      </c>
      <c r="AM4" s="46" t="s">
        <v>130</v>
      </c>
      <c r="AN4" s="55" t="s">
        <v>131</v>
      </c>
      <c r="AO4" s="47">
        <v>39.0</v>
      </c>
      <c r="AP4" s="47">
        <v>0.226</v>
      </c>
      <c r="AQ4" s="46" t="s">
        <v>132</v>
      </c>
      <c r="AR4" s="46" t="s">
        <v>133</v>
      </c>
      <c r="AS4" s="47">
        <v>0.02</v>
      </c>
      <c r="AT4" s="43" t="s">
        <v>128</v>
      </c>
      <c r="AU4" s="43" t="s">
        <v>129</v>
      </c>
      <c r="AV4" s="43" t="s">
        <v>134</v>
      </c>
      <c r="AW4" s="56" t="s">
        <v>135</v>
      </c>
      <c r="AX4" s="57" t="s">
        <v>136</v>
      </c>
      <c r="AY4" s="58"/>
      <c r="AZ4" s="59" t="s">
        <v>137</v>
      </c>
    </row>
    <row r="5" ht="20.25" customHeight="1">
      <c r="A5" s="41">
        <v>5.0</v>
      </c>
      <c r="B5" s="59" t="s">
        <v>107</v>
      </c>
      <c r="C5" s="59" t="s">
        <v>108</v>
      </c>
      <c r="D5" s="59" t="s">
        <v>138</v>
      </c>
      <c r="F5" s="59" t="s">
        <v>109</v>
      </c>
      <c r="G5" s="42" t="s">
        <v>110</v>
      </c>
      <c r="H5" s="42" t="s">
        <v>139</v>
      </c>
      <c r="I5" s="60">
        <v>45108.0</v>
      </c>
      <c r="J5" s="61">
        <v>45644.0</v>
      </c>
      <c r="K5" s="62"/>
      <c r="L5" s="62"/>
      <c r="M5" s="42" t="s">
        <v>114</v>
      </c>
      <c r="N5" s="42" t="s">
        <v>115</v>
      </c>
      <c r="O5" s="42">
        <v>1.0</v>
      </c>
      <c r="P5" s="63" t="s">
        <v>116</v>
      </c>
      <c r="Q5" s="49" t="str">
        <f t="array" ref="Q5"> if(iserror(MATCH(V5, 'File Links'!C:C, 0)), "N/A", HYPERLINK(INDEX('File Links'!B:B, MATCH(P5, 'File Links'!C:C, 0))))</f>
        <v>https://drive.google.com/file/d/140WKvPe6h8fNM79ffoPo5RX6uP0flGT4/view?usp=drivesdk</v>
      </c>
      <c r="R5" s="42" t="s">
        <v>117</v>
      </c>
      <c r="S5" s="42" t="s">
        <v>118</v>
      </c>
      <c r="T5" s="62"/>
      <c r="U5" s="63"/>
      <c r="V5" s="42" t="s">
        <v>119</v>
      </c>
      <c r="W5" s="62"/>
      <c r="X5" s="51" t="str">
        <f t="array" ref="X5"> if(iserror(MATCH(V5, 'File Links'!C:C, 0)), "N/A", HYPERLINK(INDEX('File Links'!B:B, MATCH(V5, 'File Links'!C:C, 0))))</f>
        <v>https://drive.google.com/file/d/15dLELTosbF1NWFYI0UOSPLIC70dnGG5S/view?usp=drivesdk</v>
      </c>
      <c r="Y5" s="42" t="s">
        <v>140</v>
      </c>
      <c r="Z5" s="42" t="s">
        <v>141</v>
      </c>
      <c r="AA5" s="62"/>
      <c r="AB5" s="42" t="s">
        <v>142</v>
      </c>
      <c r="AC5" s="62"/>
      <c r="AD5" s="62"/>
      <c r="AE5" s="62"/>
      <c r="AF5" s="42">
        <v>12.0</v>
      </c>
      <c r="AG5" s="62"/>
      <c r="AH5" s="53"/>
      <c r="AI5" s="62"/>
      <c r="AJ5" s="62"/>
      <c r="AK5" s="64"/>
      <c r="AL5" s="62"/>
      <c r="AM5" s="62"/>
      <c r="AN5" s="55" t="s">
        <v>131</v>
      </c>
      <c r="AO5" s="62"/>
      <c r="AP5" s="42">
        <v>0.313</v>
      </c>
      <c r="AQ5" s="62"/>
      <c r="AR5" s="62"/>
      <c r="AS5" s="42" t="s">
        <v>143</v>
      </c>
      <c r="AT5" s="64"/>
      <c r="AU5" s="64"/>
      <c r="AV5" s="65"/>
      <c r="AX5" s="59" t="s">
        <v>144</v>
      </c>
      <c r="AY5" s="62"/>
      <c r="AZ5" s="66" t="s">
        <v>137</v>
      </c>
      <c r="BA5" s="67"/>
      <c r="BC5" s="68"/>
      <c r="BD5" s="68"/>
      <c r="BE5" s="68"/>
      <c r="BF5" s="68"/>
      <c r="BG5" s="68"/>
      <c r="BH5" s="68"/>
      <c r="BI5" s="68"/>
      <c r="BJ5" s="68"/>
      <c r="BK5" s="68"/>
      <c r="BL5" s="68"/>
      <c r="BM5" s="68"/>
      <c r="BN5" s="68"/>
      <c r="BO5" s="68"/>
      <c r="BP5" s="68"/>
      <c r="BQ5" s="68"/>
      <c r="BR5" s="68"/>
      <c r="BS5" s="68"/>
      <c r="BT5" s="68"/>
      <c r="BU5" s="68"/>
      <c r="BV5" s="68"/>
      <c r="BW5" s="68"/>
      <c r="BX5" s="68"/>
      <c r="BY5" s="68"/>
      <c r="BZ5" s="68"/>
      <c r="CA5" s="68"/>
      <c r="CB5" s="68"/>
      <c r="CC5" s="68"/>
      <c r="CD5" s="68"/>
      <c r="CE5" s="68"/>
      <c r="CF5" s="68"/>
      <c r="CG5" s="68"/>
      <c r="CH5" s="68"/>
      <c r="CI5" s="68"/>
      <c r="CJ5" s="68"/>
      <c r="CK5" s="68"/>
      <c r="CL5" s="68"/>
      <c r="CM5" s="68"/>
      <c r="CN5" s="68"/>
      <c r="CO5" s="68"/>
      <c r="CP5" s="68"/>
      <c r="CQ5" s="68"/>
      <c r="CR5" s="68"/>
      <c r="CS5" s="68"/>
      <c r="CT5" s="68"/>
      <c r="CU5" s="68"/>
      <c r="CV5" s="68"/>
      <c r="CW5" s="68"/>
      <c r="CX5" s="68"/>
      <c r="CY5" s="68"/>
      <c r="CZ5" s="69"/>
      <c r="DA5" s="69"/>
      <c r="DB5" s="69"/>
      <c r="DC5" s="69"/>
      <c r="DD5" s="69"/>
      <c r="DE5" s="69"/>
      <c r="DF5" s="69"/>
      <c r="DG5" s="69"/>
      <c r="DH5" s="69"/>
    </row>
    <row r="6" ht="20.25" customHeight="1">
      <c r="A6" s="41">
        <v>6.0</v>
      </c>
      <c r="B6" s="70" t="s">
        <v>145</v>
      </c>
      <c r="C6" s="70" t="s">
        <v>108</v>
      </c>
      <c r="D6" s="70" t="s">
        <v>146</v>
      </c>
      <c r="E6" s="71"/>
      <c r="F6" s="72" t="s">
        <v>147</v>
      </c>
      <c r="G6" s="73" t="s">
        <v>148</v>
      </c>
      <c r="H6" s="74" t="s">
        <v>146</v>
      </c>
      <c r="I6" s="75">
        <v>45638.0</v>
      </c>
      <c r="J6" s="76">
        <v>45680.0</v>
      </c>
      <c r="K6" s="73" t="s">
        <v>149</v>
      </c>
      <c r="L6" s="77" t="s">
        <v>150</v>
      </c>
      <c r="M6" s="73" t="s">
        <v>151</v>
      </c>
      <c r="N6" s="73" t="s">
        <v>152</v>
      </c>
      <c r="O6" s="78">
        <v>1.0</v>
      </c>
      <c r="P6" s="79" t="s">
        <v>153</v>
      </c>
      <c r="Q6" s="49" t="str">
        <f t="array" ref="Q6"> if(iserror(MATCH(V6, 'File Links'!C:C, 0)), "N/A", HYPERLINK(INDEX('File Links'!B:B, MATCH(P6, 'File Links'!C:C, 0))))</f>
        <v>https://drive.google.com/file/d/1O4mjB0-ZSujMTJYtaAoIsXTPuhxgEF-0/view?usp=drivesdk</v>
      </c>
      <c r="R6" s="73" t="s">
        <v>154</v>
      </c>
      <c r="S6" s="59" t="s">
        <v>155</v>
      </c>
      <c r="T6" s="80"/>
      <c r="U6" s="81">
        <v>1.0</v>
      </c>
      <c r="V6" s="59" t="s">
        <v>156</v>
      </c>
      <c r="W6" s="73" t="s">
        <v>157</v>
      </c>
      <c r="X6" s="51" t="str">
        <f t="array" ref="X6"> if(iserror(MATCH(V6, 'File Links'!C:C, 0)), "N/A", HYPERLINK(INDEX('File Links'!B:B, MATCH(V6, 'File Links'!C:C, 0))))</f>
        <v>https://drive.google.com/file/d/1Oux4UBwSd26986fxRHjyI5XNtU-07DOs/view?usp=drivesdk</v>
      </c>
      <c r="Y6" s="80"/>
      <c r="Z6" s="73" t="s">
        <v>158</v>
      </c>
      <c r="AA6" s="73" t="s">
        <v>159</v>
      </c>
      <c r="AB6" s="73" t="s">
        <v>160</v>
      </c>
      <c r="AC6" s="73" t="s">
        <v>161</v>
      </c>
      <c r="AD6" s="73" t="s">
        <v>162</v>
      </c>
      <c r="AE6" s="82">
        <v>16.0</v>
      </c>
      <c r="AF6" s="82">
        <v>100.0</v>
      </c>
      <c r="AG6" s="73" t="s">
        <v>163</v>
      </c>
      <c r="AH6" s="79" t="s">
        <v>127</v>
      </c>
      <c r="AI6" s="73" t="s">
        <v>164</v>
      </c>
      <c r="AJ6" s="82">
        <v>0.001</v>
      </c>
      <c r="AK6" s="83" t="s">
        <v>165</v>
      </c>
      <c r="AL6" s="73" t="s">
        <v>129</v>
      </c>
      <c r="AM6" s="84" t="s">
        <v>130</v>
      </c>
      <c r="AN6" s="55" t="s">
        <v>131</v>
      </c>
      <c r="AO6" s="85">
        <v>137.0</v>
      </c>
      <c r="AP6" s="82">
        <v>0.584</v>
      </c>
      <c r="AQ6" s="73" t="s">
        <v>166</v>
      </c>
      <c r="AR6" s="86" t="s">
        <v>167</v>
      </c>
      <c r="AS6" s="82">
        <v>0.001</v>
      </c>
      <c r="AT6" s="83" t="s">
        <v>128</v>
      </c>
      <c r="AU6" s="83" t="s">
        <v>129</v>
      </c>
      <c r="AV6" s="72" t="s">
        <v>130</v>
      </c>
      <c r="AW6" s="87" t="s">
        <v>168</v>
      </c>
      <c r="AX6" s="88" t="s">
        <v>136</v>
      </c>
      <c r="AY6" s="80"/>
      <c r="AZ6" s="66" t="s">
        <v>137</v>
      </c>
      <c r="BA6" s="89"/>
      <c r="BB6" s="89"/>
      <c r="BC6" s="89"/>
      <c r="BD6" s="89"/>
      <c r="BE6" s="89"/>
      <c r="BF6" s="89"/>
      <c r="BG6" s="89"/>
      <c r="BH6" s="89"/>
      <c r="BI6" s="89"/>
      <c r="BJ6" s="89"/>
      <c r="BK6" s="89"/>
      <c r="BL6" s="89"/>
      <c r="BM6" s="89"/>
      <c r="BN6" s="89"/>
      <c r="BO6" s="89"/>
      <c r="BP6" s="89"/>
      <c r="BQ6" s="89"/>
      <c r="BR6" s="89"/>
      <c r="BS6" s="89"/>
      <c r="BT6" s="89"/>
      <c r="BU6" s="89"/>
      <c r="BV6" s="89"/>
      <c r="BW6" s="89"/>
      <c r="BX6" s="89"/>
      <c r="BY6" s="89"/>
      <c r="BZ6" s="89"/>
      <c r="CA6" s="89"/>
      <c r="CB6" s="89"/>
      <c r="CC6" s="89"/>
      <c r="CD6" s="89"/>
      <c r="CE6" s="89"/>
      <c r="CF6" s="89"/>
      <c r="CG6" s="89"/>
      <c r="CH6" s="89"/>
      <c r="CI6" s="89"/>
      <c r="CJ6" s="89"/>
      <c r="CK6" s="89"/>
      <c r="CL6" s="89"/>
      <c r="CM6" s="89"/>
      <c r="CN6" s="89"/>
      <c r="CO6" s="89"/>
      <c r="CP6" s="89"/>
      <c r="CQ6" s="89"/>
      <c r="CR6" s="89"/>
      <c r="CS6" s="89"/>
      <c r="CT6" s="89"/>
      <c r="CU6" s="89"/>
      <c r="CV6" s="89"/>
      <c r="CW6" s="89"/>
      <c r="CX6" s="89"/>
      <c r="CY6" s="89"/>
      <c r="CZ6" s="89"/>
      <c r="DA6" s="89"/>
      <c r="DB6" s="89"/>
      <c r="DC6" s="89"/>
      <c r="DD6" s="89"/>
      <c r="DE6" s="89"/>
      <c r="DF6" s="89"/>
      <c r="DG6" s="89"/>
      <c r="DH6" s="89"/>
    </row>
    <row r="7" ht="20.25" customHeight="1">
      <c r="A7" s="41">
        <v>7.0</v>
      </c>
      <c r="B7" s="90" t="s">
        <v>107</v>
      </c>
      <c r="C7" s="90" t="s">
        <v>108</v>
      </c>
      <c r="D7" s="90" t="s">
        <v>169</v>
      </c>
      <c r="E7" s="89"/>
      <c r="F7" s="91" t="s">
        <v>147</v>
      </c>
      <c r="G7" s="74" t="s">
        <v>148</v>
      </c>
      <c r="H7" s="92" t="s">
        <v>169</v>
      </c>
      <c r="I7" s="93">
        <v>45641.0</v>
      </c>
      <c r="J7" s="76">
        <v>45680.0</v>
      </c>
      <c r="K7" s="92" t="s">
        <v>170</v>
      </c>
      <c r="L7" s="91"/>
      <c r="M7" s="92" t="s">
        <v>151</v>
      </c>
      <c r="N7" s="92" t="s">
        <v>152</v>
      </c>
      <c r="O7" s="91"/>
      <c r="P7" s="92" t="s">
        <v>153</v>
      </c>
      <c r="Q7" s="49" t="str">
        <f t="array" ref="Q7"> if(iserror(MATCH(V7, 'File Links'!C:C, 0)), "N/A", HYPERLINK(INDEX('File Links'!B:B, MATCH(P7, 'File Links'!C:C, 0))))</f>
        <v>https://drive.google.com/file/d/1O4mjB0-ZSujMTJYtaAoIsXTPuhxgEF-0/view?usp=drivesdk</v>
      </c>
      <c r="R7" s="92" t="s">
        <v>154</v>
      </c>
      <c r="S7" s="94" t="s">
        <v>155</v>
      </c>
      <c r="T7" s="91"/>
      <c r="U7" s="91"/>
      <c r="V7" s="59" t="s">
        <v>156</v>
      </c>
      <c r="W7" s="92" t="s">
        <v>157</v>
      </c>
      <c r="X7" s="51" t="str">
        <f t="array" ref="X7"> if(iserror(MATCH(V7, 'File Links'!C:C, 0)), "N/A", HYPERLINK(INDEX('File Links'!B:B, MATCH(V7, 'File Links'!C:C, 0))))</f>
        <v>https://drive.google.com/file/d/1Oux4UBwSd26986fxRHjyI5XNtU-07DOs/view?usp=drivesdk</v>
      </c>
      <c r="Y7" s="91"/>
      <c r="Z7" s="92" t="s">
        <v>158</v>
      </c>
      <c r="AA7" s="92" t="s">
        <v>171</v>
      </c>
      <c r="AB7" s="92" t="s">
        <v>172</v>
      </c>
      <c r="AC7" s="92" t="s">
        <v>173</v>
      </c>
      <c r="AD7" s="92" t="s">
        <v>174</v>
      </c>
      <c r="AE7" s="92" t="s">
        <v>175</v>
      </c>
      <c r="AF7" s="95">
        <v>100.0</v>
      </c>
      <c r="AG7" s="92" t="s">
        <v>176</v>
      </c>
      <c r="AH7" s="96" t="s">
        <v>127</v>
      </c>
      <c r="AI7" s="74" t="s">
        <v>177</v>
      </c>
      <c r="AJ7" s="74" t="s">
        <v>178</v>
      </c>
      <c r="AK7" s="92" t="s">
        <v>165</v>
      </c>
      <c r="AL7" s="74" t="s">
        <v>179</v>
      </c>
      <c r="AM7" s="91" t="s">
        <v>130</v>
      </c>
      <c r="AN7" s="55" t="s">
        <v>131</v>
      </c>
      <c r="AO7" s="97">
        <v>137.0</v>
      </c>
      <c r="AP7" s="92" t="s">
        <v>180</v>
      </c>
      <c r="AQ7" s="98" t="s">
        <v>166</v>
      </c>
      <c r="AR7" s="92" t="s">
        <v>181</v>
      </c>
      <c r="AS7" s="91"/>
      <c r="AT7" s="91"/>
      <c r="AU7" s="91"/>
      <c r="AV7" s="91"/>
      <c r="AW7" s="99" t="s">
        <v>168</v>
      </c>
      <c r="AX7" s="100" t="s">
        <v>136</v>
      </c>
      <c r="AY7" s="91"/>
      <c r="AZ7" s="66" t="s">
        <v>137</v>
      </c>
      <c r="BA7" s="89"/>
      <c r="BB7" s="89"/>
      <c r="BC7" s="89"/>
      <c r="BD7" s="89"/>
      <c r="BE7" s="89"/>
      <c r="BF7" s="89"/>
      <c r="BG7" s="89"/>
      <c r="BH7" s="89"/>
      <c r="BI7" s="89"/>
      <c r="BJ7" s="89"/>
      <c r="BK7" s="89"/>
      <c r="BL7" s="89"/>
      <c r="BM7" s="89"/>
      <c r="BN7" s="89"/>
      <c r="BO7" s="89"/>
      <c r="BP7" s="89"/>
      <c r="BQ7" s="89"/>
      <c r="BR7" s="89"/>
      <c r="BS7" s="89"/>
      <c r="BT7" s="89"/>
      <c r="BU7" s="89"/>
      <c r="BV7" s="89"/>
      <c r="BW7" s="89"/>
      <c r="BX7" s="89"/>
      <c r="BY7" s="89"/>
      <c r="BZ7" s="89"/>
      <c r="CA7" s="89"/>
      <c r="CB7" s="89"/>
      <c r="CC7" s="89"/>
      <c r="CD7" s="89"/>
      <c r="CE7" s="89"/>
      <c r="CF7" s="89"/>
      <c r="CG7" s="89"/>
      <c r="CH7" s="89"/>
      <c r="CI7" s="89"/>
      <c r="CJ7" s="89"/>
      <c r="CK7" s="89"/>
      <c r="CL7" s="89"/>
      <c r="CM7" s="89"/>
      <c r="CN7" s="89"/>
      <c r="CO7" s="89"/>
      <c r="CP7" s="89"/>
      <c r="CQ7" s="89"/>
      <c r="CR7" s="89"/>
      <c r="CS7" s="89"/>
      <c r="CT7" s="89"/>
      <c r="CU7" s="89"/>
      <c r="CV7" s="89"/>
      <c r="CW7" s="89"/>
      <c r="CX7" s="89"/>
      <c r="CY7" s="89"/>
      <c r="CZ7" s="89"/>
      <c r="DA7" s="89"/>
      <c r="DB7" s="89"/>
      <c r="DC7" s="89"/>
      <c r="DD7" s="89"/>
      <c r="DE7" s="89"/>
      <c r="DF7" s="89"/>
      <c r="DG7" s="89"/>
      <c r="DH7" s="89"/>
    </row>
    <row r="8" ht="20.25" customHeight="1">
      <c r="A8" s="41">
        <v>8.0</v>
      </c>
      <c r="B8" s="42" t="s">
        <v>107</v>
      </c>
      <c r="C8" s="42" t="s">
        <v>108</v>
      </c>
      <c r="D8" s="59" t="s">
        <v>138</v>
      </c>
      <c r="F8" s="43" t="s">
        <v>182</v>
      </c>
      <c r="G8" s="44" t="s">
        <v>183</v>
      </c>
      <c r="H8" s="44" t="s">
        <v>184</v>
      </c>
      <c r="I8" s="44" t="s">
        <v>112</v>
      </c>
      <c r="J8" s="45">
        <v>45641.0</v>
      </c>
      <c r="K8" s="46" t="s">
        <v>113</v>
      </c>
      <c r="L8" s="46"/>
      <c r="M8" s="44" t="s">
        <v>114</v>
      </c>
      <c r="N8" s="44" t="s">
        <v>115</v>
      </c>
      <c r="O8" s="47">
        <v>1.0</v>
      </c>
      <c r="P8" s="48" t="s">
        <v>116</v>
      </c>
      <c r="Q8" s="49" t="str">
        <f t="array" ref="Q8"> if(iserror(MATCH(V8, 'File Links'!C:C, 0)), "N/A", HYPERLINK(INDEX('File Links'!B:B, MATCH(P8, 'File Links'!C:C, 0))))</f>
        <v>https://drive.google.com/file/d/140WKvPe6h8fNM79ffoPo5RX6uP0flGT4/view?usp=drivesdk</v>
      </c>
      <c r="R8" s="44" t="s">
        <v>185</v>
      </c>
      <c r="S8" s="101" t="s">
        <v>186</v>
      </c>
      <c r="T8" s="46"/>
      <c r="U8" s="102"/>
      <c r="V8" s="63" t="str">
        <f> hyperlink(vlookup(lower(S8),'File Links'!E:F, 2, FALSE), SUBSTITUTE(lower(S8), "/", "--") &amp;  ".pdf")</f>
        <v>osf.io--x4v53.pdf</v>
      </c>
      <c r="W8" s="46" t="s">
        <v>120</v>
      </c>
      <c r="X8" s="51" t="str">
        <f t="array" ref="X8"> if(iserror(MATCH(V8, 'File Links'!C:C, 0)), "N/A", HYPERLINK(INDEX('File Links'!B:B, MATCH(V8, 'File Links'!C:C, 0))))</f>
        <v>https://drive.google.com/file/d/101OwdNXwjKk-CSJMDDNBxSMU_jnE0JGh/view?usp=drivesdk</v>
      </c>
      <c r="Y8" s="46"/>
      <c r="Z8" s="46" t="s">
        <v>121</v>
      </c>
      <c r="AA8" s="46"/>
      <c r="AB8" s="46" t="s">
        <v>122</v>
      </c>
      <c r="AC8" s="46"/>
      <c r="AD8" s="46"/>
      <c r="AE8" s="46" t="s">
        <v>125</v>
      </c>
      <c r="AF8" s="47">
        <v>12.0</v>
      </c>
      <c r="AG8" s="47">
        <v>9.67</v>
      </c>
      <c r="AH8" s="53" t="s">
        <v>127</v>
      </c>
      <c r="AI8" s="46" t="s">
        <v>125</v>
      </c>
      <c r="AJ8" s="47">
        <v>0.01</v>
      </c>
      <c r="AK8" s="43" t="s">
        <v>128</v>
      </c>
      <c r="AL8" s="46" t="s">
        <v>129</v>
      </c>
      <c r="AM8" s="46" t="s">
        <v>130</v>
      </c>
      <c r="AN8" s="55" t="s">
        <v>131</v>
      </c>
      <c r="AO8" s="47">
        <v>39.0</v>
      </c>
      <c r="AP8" s="47">
        <v>0.226</v>
      </c>
      <c r="AQ8" s="46" t="s">
        <v>132</v>
      </c>
      <c r="AR8" s="46" t="s">
        <v>133</v>
      </c>
      <c r="AS8" s="47">
        <v>0.02</v>
      </c>
      <c r="AT8" s="43" t="s">
        <v>128</v>
      </c>
      <c r="AU8" s="43" t="s">
        <v>129</v>
      </c>
      <c r="AV8" s="43" t="s">
        <v>134</v>
      </c>
      <c r="AW8" s="56" t="s">
        <v>187</v>
      </c>
      <c r="AX8" s="57" t="s">
        <v>136</v>
      </c>
      <c r="AY8" s="58"/>
      <c r="AZ8" s="103" t="s">
        <v>137</v>
      </c>
      <c r="BC8" s="104"/>
      <c r="BD8" s="104"/>
      <c r="BE8" s="104"/>
      <c r="BF8" s="104"/>
      <c r="BG8" s="104"/>
      <c r="BH8" s="104"/>
      <c r="BI8" s="104"/>
      <c r="BJ8" s="104"/>
      <c r="BK8" s="104"/>
      <c r="BL8" s="104"/>
      <c r="BM8" s="104"/>
      <c r="BN8" s="104"/>
      <c r="BO8" s="104"/>
      <c r="BP8" s="104"/>
      <c r="BQ8" s="104"/>
      <c r="BR8" s="104"/>
      <c r="BS8" s="104"/>
      <c r="BT8" s="104"/>
      <c r="BU8" s="104"/>
      <c r="BV8" s="104"/>
      <c r="BW8" s="104"/>
      <c r="BX8" s="104"/>
      <c r="BY8" s="104"/>
      <c r="BZ8" s="104"/>
      <c r="CA8" s="104"/>
      <c r="CB8" s="104"/>
      <c r="CC8" s="104"/>
      <c r="CD8" s="104"/>
      <c r="CE8" s="104"/>
      <c r="CF8" s="104"/>
      <c r="CG8" s="104"/>
      <c r="CH8" s="104"/>
      <c r="CI8" s="104"/>
      <c r="CJ8" s="104"/>
      <c r="CK8" s="104"/>
      <c r="CL8" s="104"/>
      <c r="CM8" s="104"/>
      <c r="CN8" s="104"/>
      <c r="CO8" s="104"/>
      <c r="CP8" s="104"/>
      <c r="CQ8" s="104"/>
      <c r="CR8" s="104"/>
      <c r="CS8" s="104"/>
      <c r="CT8" s="104"/>
      <c r="CU8" s="104"/>
      <c r="CV8" s="104"/>
      <c r="CW8" s="104"/>
      <c r="CX8" s="104"/>
      <c r="CY8" s="104"/>
      <c r="CZ8" s="104"/>
      <c r="DA8" s="104"/>
      <c r="DB8" s="104"/>
      <c r="DC8" s="104"/>
      <c r="DD8" s="104"/>
      <c r="DE8" s="104"/>
      <c r="DF8" s="104"/>
      <c r="DG8" s="104"/>
      <c r="DH8" s="104"/>
    </row>
    <row r="9" ht="20.25" customHeight="1">
      <c r="A9" s="41">
        <v>9.0</v>
      </c>
      <c r="B9" s="59" t="s">
        <v>107</v>
      </c>
      <c r="C9" s="59" t="s">
        <v>108</v>
      </c>
      <c r="D9" s="59" t="s">
        <v>188</v>
      </c>
      <c r="F9" s="59" t="s">
        <v>182</v>
      </c>
      <c r="G9" s="42" t="s">
        <v>183</v>
      </c>
      <c r="H9" s="42" t="s">
        <v>189</v>
      </c>
      <c r="I9" s="60">
        <v>45170.0</v>
      </c>
      <c r="J9" s="61">
        <v>45644.0</v>
      </c>
      <c r="K9" s="62"/>
      <c r="L9" s="62"/>
      <c r="M9" s="42" t="s">
        <v>114</v>
      </c>
      <c r="N9" s="42" t="s">
        <v>115</v>
      </c>
      <c r="O9" s="42">
        <v>1.0</v>
      </c>
      <c r="P9" s="63" t="s">
        <v>116</v>
      </c>
      <c r="Q9" s="105" t="s">
        <v>131</v>
      </c>
      <c r="R9" s="42" t="s">
        <v>185</v>
      </c>
      <c r="S9" s="42" t="s">
        <v>190</v>
      </c>
      <c r="T9" s="62"/>
      <c r="U9" s="63"/>
      <c r="V9" s="42" t="s">
        <v>191</v>
      </c>
      <c r="W9" s="62"/>
      <c r="X9" s="46" t="str">
        <f t="array" ref="X9"> if(iserror(MATCH(V9, 'File Links'!C:C, 0)), "N/A", HYPERLINK(INDEX('File Links'!B:B, MATCH(V9, 'File Links'!C:C, 0))))</f>
        <v>N/A</v>
      </c>
      <c r="Y9" s="42" t="s">
        <v>140</v>
      </c>
      <c r="Z9" s="42" t="s">
        <v>141</v>
      </c>
      <c r="AA9" s="62"/>
      <c r="AB9" s="42" t="s">
        <v>142</v>
      </c>
      <c r="AC9" s="62"/>
      <c r="AD9" s="62"/>
      <c r="AE9" s="62"/>
      <c r="AF9" s="62"/>
      <c r="AG9" s="62"/>
      <c r="AH9" s="42"/>
      <c r="AI9" s="62"/>
      <c r="AJ9" s="62"/>
      <c r="AK9" s="64"/>
      <c r="AL9" s="62"/>
      <c r="AM9" s="62"/>
      <c r="AN9" s="55" t="s">
        <v>131</v>
      </c>
      <c r="AO9" s="62"/>
      <c r="AP9" s="42">
        <v>0.313</v>
      </c>
      <c r="AQ9" s="62"/>
      <c r="AR9" s="62"/>
      <c r="AS9" s="42" t="s">
        <v>143</v>
      </c>
      <c r="AT9" s="64"/>
      <c r="AU9" s="64"/>
      <c r="AV9" s="65"/>
      <c r="AX9" s="64"/>
      <c r="AY9" s="62"/>
      <c r="AZ9" s="59" t="s">
        <v>137</v>
      </c>
    </row>
    <row r="10" ht="20.25" customHeight="1">
      <c r="A10" s="41">
        <v>10.0</v>
      </c>
      <c r="B10" s="106" t="s">
        <v>107</v>
      </c>
      <c r="C10" s="106" t="s">
        <v>108</v>
      </c>
      <c r="D10" s="106" t="s">
        <v>192</v>
      </c>
      <c r="E10" s="107"/>
      <c r="F10" s="108" t="s">
        <v>193</v>
      </c>
      <c r="G10" s="109" t="s">
        <v>194</v>
      </c>
      <c r="H10" s="109" t="s">
        <v>195</v>
      </c>
      <c r="I10" s="110">
        <v>45639.0</v>
      </c>
      <c r="J10" s="111"/>
      <c r="K10" s="109" t="s">
        <v>196</v>
      </c>
      <c r="L10" s="112" t="s">
        <v>197</v>
      </c>
      <c r="M10" s="113" t="s">
        <v>198</v>
      </c>
      <c r="N10" s="109" t="s">
        <v>199</v>
      </c>
      <c r="O10" s="114">
        <v>2.0</v>
      </c>
      <c r="P10" s="115" t="str">
        <f> hyperlink(vlookup(lower(N10),'File Links'!A:B, 2, FALSE), SUBSTITUTE(lower(N10), "/", "--") &amp;  ".pdf")</f>
        <v>10.1016--j.obhdp.2004.12.002.pdf</v>
      </c>
      <c r="Q10" s="49" t="str">
        <f t="array" ref="Q10"> if(iserror(MATCH(V10, 'File Links'!C:C, 0)), "N/A", HYPERLINK(INDEX('File Links'!B:B, MATCH(P10, 'File Links'!C:C, 0))))</f>
        <v>https://drive.google.com/file/d/1CZ8RmInPe2eqHwf-p8tl0IQxpn8_H_C5/view?usp=drivesdk</v>
      </c>
      <c r="R10" s="109" t="s">
        <v>200</v>
      </c>
      <c r="S10" s="116" t="s">
        <v>201</v>
      </c>
      <c r="T10" s="111"/>
      <c r="U10" s="117"/>
      <c r="V10" s="63" t="str">
        <f> hyperlink(vlookup(lower(S10),'File Links'!E:F, 2, FALSE), SUBSTITUTE(lower(S10), "/", "--") &amp;  ".pdf")</f>
        <v>10.1016--j.jesp.2020.104066.pdf</v>
      </c>
      <c r="W10" s="109" t="s">
        <v>202</v>
      </c>
      <c r="X10" s="51" t="str">
        <f t="array" ref="X10"> if(iserror(MATCH(V10, 'File Links'!C:C, 0)), "N/A", HYPERLINK(INDEX('File Links'!B:B, MATCH(V10, 'File Links'!C:C, 0))))</f>
        <v>https://drive.google.com/file/d/1Q7xa-u3DEssueb6fBYD39BjDPub6xcHR/view?usp=drivesdk</v>
      </c>
      <c r="Y10" s="111"/>
      <c r="Z10" s="109" t="s">
        <v>203</v>
      </c>
      <c r="AA10" s="109" t="s">
        <v>204</v>
      </c>
      <c r="AB10" s="109" t="s">
        <v>205</v>
      </c>
      <c r="AC10" s="109" t="s">
        <v>206</v>
      </c>
      <c r="AD10" s="109" t="s">
        <v>207</v>
      </c>
      <c r="AE10" s="114">
        <v>137.0</v>
      </c>
      <c r="AF10" s="114">
        <v>41.0</v>
      </c>
      <c r="AG10" s="114">
        <v>0.31</v>
      </c>
      <c r="AH10" s="118" t="s">
        <v>208</v>
      </c>
      <c r="AI10" s="109" t="s">
        <v>209</v>
      </c>
      <c r="AJ10" s="114">
        <v>0.05</v>
      </c>
      <c r="AK10" s="119" t="s">
        <v>128</v>
      </c>
      <c r="AL10" s="109" t="s">
        <v>179</v>
      </c>
      <c r="AM10" s="111" t="s">
        <v>130</v>
      </c>
      <c r="AN10" s="55" t="s">
        <v>131</v>
      </c>
      <c r="AO10" s="114">
        <v>165.0</v>
      </c>
      <c r="AP10" s="114">
        <v>-0.148</v>
      </c>
      <c r="AQ10" s="109" t="s">
        <v>166</v>
      </c>
      <c r="AR10" s="109" t="s">
        <v>210</v>
      </c>
      <c r="AS10" s="114">
        <v>0.83</v>
      </c>
      <c r="AT10" s="119" t="s">
        <v>165</v>
      </c>
      <c r="AU10" s="119" t="s">
        <v>211</v>
      </c>
      <c r="AV10" s="108" t="s">
        <v>130</v>
      </c>
      <c r="AW10" s="108" t="s">
        <v>212</v>
      </c>
      <c r="AX10" s="108" t="s">
        <v>136</v>
      </c>
      <c r="AY10" s="120" t="s">
        <v>213</v>
      </c>
      <c r="AZ10" s="59" t="s">
        <v>137</v>
      </c>
    </row>
    <row r="11" ht="20.25" customHeight="1">
      <c r="A11" s="41">
        <v>11.0</v>
      </c>
      <c r="B11" s="121" t="s">
        <v>145</v>
      </c>
      <c r="C11" s="121" t="s">
        <v>108</v>
      </c>
      <c r="D11" s="121" t="s">
        <v>214</v>
      </c>
      <c r="E11" s="104"/>
      <c r="F11" s="122" t="s">
        <v>193</v>
      </c>
      <c r="G11" s="123" t="s">
        <v>194</v>
      </c>
      <c r="H11" s="123" t="s">
        <v>215</v>
      </c>
      <c r="I11" s="124">
        <v>45641.0</v>
      </c>
      <c r="J11" s="125">
        <v>45663.0</v>
      </c>
      <c r="K11" s="123" t="s">
        <v>216</v>
      </c>
      <c r="L11" s="126" t="s">
        <v>217</v>
      </c>
      <c r="M11" s="116" t="s">
        <v>198</v>
      </c>
      <c r="N11" s="123" t="s">
        <v>199</v>
      </c>
      <c r="O11" s="127">
        <v>2.0</v>
      </c>
      <c r="P11" s="115" t="str">
        <f> hyperlink(vlookup(lower(N11),'File Links'!A:B, 2, FALSE), SUBSTITUTE(lower(N11), "/", "--") &amp;  ".pdf")</f>
        <v>10.1016--j.obhdp.2004.12.002.pdf</v>
      </c>
      <c r="Q11" s="49" t="str">
        <f t="array" ref="Q11"> if(iserror(MATCH(V11, 'File Links'!C:C, 0)), "N/A", HYPERLINK(INDEX('File Links'!B:B, MATCH(P11, 'File Links'!C:C, 0))))</f>
        <v>https://drive.google.com/file/d/1CZ8RmInPe2eqHwf-p8tl0IQxpn8_H_C5/view?usp=drivesdk</v>
      </c>
      <c r="R11" s="128" t="s">
        <v>218</v>
      </c>
      <c r="S11" s="116" t="s">
        <v>201</v>
      </c>
      <c r="T11" s="129"/>
      <c r="U11" s="130">
        <v>1.0</v>
      </c>
      <c r="V11" s="63" t="str">
        <f> hyperlink(vlookup(lower(S11),'File Links'!E:F, 2, FALSE), SUBSTITUTE(lower(S11), "/", "--") &amp;  ".pdf")</f>
        <v>10.1016--j.jesp.2020.104066.pdf</v>
      </c>
      <c r="W11" s="123" t="s">
        <v>157</v>
      </c>
      <c r="X11" s="51" t="str">
        <f t="array" ref="X11"> if(iserror(MATCH(V11, 'File Links'!C:C, 0)), "N/A", HYPERLINK(INDEX('File Links'!B:B, MATCH(V11, 'File Links'!C:C, 0))))</f>
        <v>https://drive.google.com/file/d/1Q7xa-u3DEssueb6fBYD39BjDPub6xcHR/view?usp=drivesdk</v>
      </c>
      <c r="Y11" s="129"/>
      <c r="Z11" s="123" t="s">
        <v>219</v>
      </c>
      <c r="AA11" s="123" t="s">
        <v>220</v>
      </c>
      <c r="AB11" s="123" t="s">
        <v>221</v>
      </c>
      <c r="AC11" s="123" t="s">
        <v>222</v>
      </c>
      <c r="AD11" s="131" t="s">
        <v>207</v>
      </c>
      <c r="AE11" s="132">
        <v>137.0</v>
      </c>
      <c r="AF11" s="133">
        <v>41.0</v>
      </c>
      <c r="AG11" s="134">
        <v>0.31</v>
      </c>
      <c r="AH11" s="135" t="s">
        <v>208</v>
      </c>
      <c r="AI11" s="136" t="s">
        <v>209</v>
      </c>
      <c r="AJ11" s="127">
        <v>0.05</v>
      </c>
      <c r="AK11" s="137" t="s">
        <v>128</v>
      </c>
      <c r="AL11" s="109" t="s">
        <v>179</v>
      </c>
      <c r="AM11" s="129" t="s">
        <v>130</v>
      </c>
      <c r="AN11" s="55" t="s">
        <v>131</v>
      </c>
      <c r="AO11" s="127">
        <v>165.0</v>
      </c>
      <c r="AP11" s="127">
        <v>-0.148</v>
      </c>
      <c r="AQ11" s="123" t="s">
        <v>166</v>
      </c>
      <c r="AR11" s="109" t="s">
        <v>210</v>
      </c>
      <c r="AS11" s="114">
        <v>0.83</v>
      </c>
      <c r="AT11" s="119" t="s">
        <v>165</v>
      </c>
      <c r="AU11" s="119" t="s">
        <v>211</v>
      </c>
      <c r="AV11" s="108" t="s">
        <v>130</v>
      </c>
      <c r="AW11" s="138" t="s">
        <v>223</v>
      </c>
      <c r="AX11" s="108" t="s">
        <v>136</v>
      </c>
      <c r="AY11" s="126" t="s">
        <v>224</v>
      </c>
      <c r="AZ11" s="59" t="s">
        <v>137</v>
      </c>
    </row>
    <row r="12" ht="20.25" customHeight="1">
      <c r="A12" s="41">
        <v>12.0</v>
      </c>
      <c r="B12" s="42" t="s">
        <v>145</v>
      </c>
      <c r="C12" s="42" t="s">
        <v>108</v>
      </c>
      <c r="D12" s="42" t="s">
        <v>225</v>
      </c>
      <c r="E12" s="42"/>
      <c r="F12" s="42" t="s">
        <v>226</v>
      </c>
      <c r="G12" s="42" t="s">
        <v>227</v>
      </c>
      <c r="H12" s="42" t="s">
        <v>228</v>
      </c>
      <c r="I12" s="60">
        <v>45427.0</v>
      </c>
      <c r="J12" s="61">
        <v>45624.0</v>
      </c>
      <c r="K12" s="62"/>
      <c r="L12" s="42"/>
      <c r="M12" s="42" t="s">
        <v>229</v>
      </c>
      <c r="N12" s="42" t="s">
        <v>230</v>
      </c>
      <c r="O12" s="42">
        <v>1.0</v>
      </c>
      <c r="P12" s="115" t="str">
        <f> hyperlink(vlookup(lower(N12),'File Links'!A:B, 2, FALSE), SUBSTITUTE(lower(N12), "/", "--") &amp;  ".pdf")</f>
        <v>10.1007--s11858-016-0819-3.pdf</v>
      </c>
      <c r="Q12" s="49" t="str">
        <f t="array" ref="Q12"> if(iserror(MATCH(V12, 'File Links'!C:C, 0)), "N/A", HYPERLINK(INDEX('File Links'!B:B, MATCH(P12, 'File Links'!C:C, 0))))</f>
        <v>https://drive.google.com/file/d/1A3A0XWewbvFp536VbiCjIAYxdIJwVP-9/view?usp=drivesdk</v>
      </c>
      <c r="R12" s="139" t="s">
        <v>231</v>
      </c>
      <c r="S12" s="42" t="s">
        <v>232</v>
      </c>
      <c r="T12" s="62"/>
      <c r="U12" s="130">
        <v>1.0</v>
      </c>
      <c r="V12" s="63" t="str">
        <f> hyperlink(vlookup(lower(S12),'File Links'!E:F, 2, FALSE), SUBSTITUTE(lower(S12), "/", "--") &amp;  ".pdf")</f>
        <v>10.1163--26670127-bja10017.pdf</v>
      </c>
      <c r="W12" s="42" t="s">
        <v>233</v>
      </c>
      <c r="X12" s="51" t="str">
        <f t="array" ref="X12"> if(iserror(MATCH(V12, 'File Links'!C:C, 0)), "N/A", HYPERLINK(INDEX('File Links'!B:B, MATCH(V12, 'File Links'!C:C, 0))))</f>
        <v>https://drive.google.com/file/d/1u_oSZ0fEx8q87XxieN1axHREEr_kiGBE/view?usp=drivesdk</v>
      </c>
      <c r="Y12" s="62"/>
      <c r="Z12" s="42" t="s">
        <v>234</v>
      </c>
      <c r="AA12" s="42" t="s">
        <v>235</v>
      </c>
      <c r="AB12" s="42" t="s">
        <v>236</v>
      </c>
      <c r="AC12" s="42" t="s">
        <v>237</v>
      </c>
      <c r="AD12" s="42" t="s">
        <v>238</v>
      </c>
      <c r="AE12" s="42">
        <v>7.0</v>
      </c>
      <c r="AF12" s="42">
        <v>100.0</v>
      </c>
      <c r="AG12" s="42">
        <v>0.3</v>
      </c>
      <c r="AH12" s="42" t="s">
        <v>166</v>
      </c>
      <c r="AI12" s="42" t="s">
        <v>125</v>
      </c>
      <c r="AJ12" s="42">
        <v>0.01</v>
      </c>
      <c r="AK12" s="42" t="s">
        <v>128</v>
      </c>
      <c r="AL12" s="42" t="s">
        <v>179</v>
      </c>
      <c r="AM12" s="59" t="s">
        <v>134</v>
      </c>
      <c r="AN12" s="55" t="s">
        <v>131</v>
      </c>
      <c r="AO12" s="42">
        <v>80.0</v>
      </c>
      <c r="AP12" s="42" t="s">
        <v>239</v>
      </c>
      <c r="AQ12" s="42" t="s">
        <v>127</v>
      </c>
      <c r="AR12" s="42" t="s">
        <v>240</v>
      </c>
      <c r="AS12" s="42">
        <v>0.01</v>
      </c>
      <c r="AT12" s="42" t="s">
        <v>128</v>
      </c>
      <c r="AU12" s="42" t="s">
        <v>179</v>
      </c>
      <c r="AV12" s="108" t="s">
        <v>130</v>
      </c>
      <c r="AW12" s="140" t="s">
        <v>131</v>
      </c>
      <c r="AX12" s="126" t="s">
        <v>136</v>
      </c>
      <c r="AY12" s="42"/>
      <c r="AZ12" s="59" t="s">
        <v>137</v>
      </c>
    </row>
    <row r="13" ht="20.25" customHeight="1">
      <c r="A13" s="41">
        <v>13.0</v>
      </c>
      <c r="B13" s="106" t="s">
        <v>107</v>
      </c>
      <c r="C13" s="106" t="s">
        <v>108</v>
      </c>
      <c r="D13" s="106" t="s">
        <v>241</v>
      </c>
      <c r="E13" s="106"/>
      <c r="F13" s="106" t="s">
        <v>226</v>
      </c>
      <c r="G13" s="106" t="s">
        <v>227</v>
      </c>
      <c r="H13" s="106" t="s">
        <v>242</v>
      </c>
      <c r="I13" s="141">
        <v>45427.0</v>
      </c>
      <c r="J13" s="142">
        <v>45625.0</v>
      </c>
      <c r="K13" s="106" t="s">
        <v>243</v>
      </c>
      <c r="L13" s="107"/>
      <c r="M13" s="106" t="s">
        <v>229</v>
      </c>
      <c r="N13" s="106" t="s">
        <v>230</v>
      </c>
      <c r="O13" s="107"/>
      <c r="P13" s="143" t="str">
        <f> hyperlink(vlookup(lower(N13),'File Links'!A:B, 2, FALSE), SUBSTITUTE(lower(N13), "/", "--") &amp;  ".pdf")</f>
        <v>10.1007--s11858-016-0819-3.pdf</v>
      </c>
      <c r="Q13" s="49" t="str">
        <f t="array" ref="Q13"> if(iserror(MATCH(V13, 'File Links'!C:C, 0)), "N/A", HYPERLINK(INDEX('File Links'!B:B, MATCH(P13, 'File Links'!C:C, 0))))</f>
        <v>https://drive.google.com/file/d/1A3A0XWewbvFp536VbiCjIAYxdIJwVP-9/view?usp=drivesdk</v>
      </c>
      <c r="R13" s="106" t="s">
        <v>244</v>
      </c>
      <c r="S13" s="106" t="s">
        <v>232</v>
      </c>
      <c r="T13" s="107"/>
      <c r="U13" s="107"/>
      <c r="V13" s="63" t="str">
        <f> hyperlink(vlookup(lower(S13),'File Links'!E:F, 2, FALSE), SUBSTITUTE(lower(S13), "/", "--") &amp;  ".pdf")</f>
        <v>10.1163--26670127-bja10017.pdf</v>
      </c>
      <c r="W13" s="107"/>
      <c r="X13" s="51" t="str">
        <f t="array" ref="X13"> if(iserror(MATCH(V13, 'File Links'!C:C, 0)), "N/A", HYPERLINK(INDEX('File Links'!B:B, MATCH(V13, 'File Links'!C:C, 0))))</f>
        <v>https://drive.google.com/file/d/1u_oSZ0fEx8q87XxieN1axHREEr_kiGBE/view?usp=drivesdk</v>
      </c>
      <c r="Y13" s="107"/>
      <c r="Z13" s="106" t="s">
        <v>245</v>
      </c>
      <c r="AA13" s="107"/>
      <c r="AB13" s="106" t="s">
        <v>246</v>
      </c>
      <c r="AC13" s="106" t="s">
        <v>247</v>
      </c>
      <c r="AD13" s="106" t="s">
        <v>248</v>
      </c>
      <c r="AE13" s="106" t="s">
        <v>249</v>
      </c>
      <c r="AF13" s="106">
        <v>100.0</v>
      </c>
      <c r="AG13" s="106">
        <v>0.3</v>
      </c>
      <c r="AH13" s="106" t="s">
        <v>166</v>
      </c>
      <c r="AI13" s="107"/>
      <c r="AJ13" s="106">
        <v>0.01</v>
      </c>
      <c r="AK13" s="106" t="s">
        <v>128</v>
      </c>
      <c r="AL13" s="106" t="s">
        <v>179</v>
      </c>
      <c r="AM13" s="69"/>
      <c r="AN13" s="55" t="s">
        <v>131</v>
      </c>
      <c r="AO13" s="106">
        <v>80.0</v>
      </c>
      <c r="AP13" s="107"/>
      <c r="AQ13" s="107"/>
      <c r="AR13" s="107"/>
      <c r="AS13" s="106" t="s">
        <v>250</v>
      </c>
      <c r="AT13" s="106" t="s">
        <v>128</v>
      </c>
      <c r="AU13" s="106" t="s">
        <v>179</v>
      </c>
      <c r="AV13" s="69"/>
      <c r="AW13" s="68"/>
      <c r="AX13" s="144" t="s">
        <v>136</v>
      </c>
      <c r="AY13" s="62"/>
      <c r="AZ13" s="59" t="s">
        <v>137</v>
      </c>
    </row>
    <row r="14" ht="20.25" customHeight="1">
      <c r="A14" s="41">
        <v>14.0</v>
      </c>
      <c r="B14" s="42" t="s">
        <v>145</v>
      </c>
      <c r="C14" s="42" t="s">
        <v>108</v>
      </c>
      <c r="D14" s="42" t="s">
        <v>225</v>
      </c>
      <c r="E14" s="42"/>
      <c r="F14" s="59" t="s">
        <v>226</v>
      </c>
      <c r="G14" s="42" t="s">
        <v>251</v>
      </c>
      <c r="H14" s="42" t="s">
        <v>228</v>
      </c>
      <c r="I14" s="60">
        <v>45427.0</v>
      </c>
      <c r="J14" s="61">
        <v>45624.0</v>
      </c>
      <c r="K14" s="42" t="s">
        <v>252</v>
      </c>
      <c r="L14" s="42"/>
      <c r="M14" s="42" t="s">
        <v>229</v>
      </c>
      <c r="N14" s="42" t="s">
        <v>230</v>
      </c>
      <c r="O14" s="42">
        <v>1.0</v>
      </c>
      <c r="P14" s="115" t="str">
        <f> hyperlink(vlookup(lower(N14),'File Links'!A:B, 2, FALSE), SUBSTITUTE(lower(N14), "/", "--") &amp;  ".pdf")</f>
        <v>10.1007--s11858-016-0819-3.pdf</v>
      </c>
      <c r="Q14" s="49" t="str">
        <f t="array" ref="Q14"> if(iserror(MATCH(V14, 'File Links'!C:C, 0)), "N/A", HYPERLINK(INDEX('File Links'!B:B, MATCH(P14, 'File Links'!C:C, 0))))</f>
        <v>https://drive.google.com/file/d/1A3A0XWewbvFp536VbiCjIAYxdIJwVP-9/view?usp=drivesdk</v>
      </c>
      <c r="R14" s="42" t="s">
        <v>244</v>
      </c>
      <c r="S14" s="42" t="s">
        <v>232</v>
      </c>
      <c r="T14" s="62"/>
      <c r="U14" s="130">
        <v>1.0</v>
      </c>
      <c r="V14" s="63" t="str">
        <f> hyperlink(vlookup(lower(S14),'File Links'!E:F, 2, FALSE), SUBSTITUTE(lower(S14), "/", "--") &amp;  ".pdf")</f>
        <v>10.1163--26670127-bja10017.pdf</v>
      </c>
      <c r="W14" s="42" t="s">
        <v>233</v>
      </c>
      <c r="X14" s="51" t="str">
        <f t="array" ref="X14"> if(iserror(MATCH(V14, 'File Links'!C:C, 0)), "N/A", HYPERLINK(INDEX('File Links'!B:B, MATCH(V14, 'File Links'!C:C, 0))))</f>
        <v>https://drive.google.com/file/d/1u_oSZ0fEx8q87XxieN1axHREEr_kiGBE/view?usp=drivesdk</v>
      </c>
      <c r="Y14" s="62"/>
      <c r="Z14" s="42" t="s">
        <v>234</v>
      </c>
      <c r="AA14" s="42" t="s">
        <v>235</v>
      </c>
      <c r="AB14" s="42" t="s">
        <v>236</v>
      </c>
      <c r="AC14" s="42" t="s">
        <v>253</v>
      </c>
      <c r="AD14" s="145" t="s">
        <v>254</v>
      </c>
      <c r="AE14" s="42">
        <v>7.0</v>
      </c>
      <c r="AF14" s="106">
        <v>163.0</v>
      </c>
      <c r="AG14" s="106">
        <v>1.12</v>
      </c>
      <c r="AH14" s="106" t="s">
        <v>166</v>
      </c>
      <c r="AI14" s="42" t="s">
        <v>125</v>
      </c>
      <c r="AJ14" s="106">
        <v>0.01</v>
      </c>
      <c r="AK14" s="42" t="s">
        <v>128</v>
      </c>
      <c r="AL14" s="42" t="s">
        <v>179</v>
      </c>
      <c r="AM14" s="59" t="s">
        <v>134</v>
      </c>
      <c r="AN14" s="55" t="s">
        <v>131</v>
      </c>
      <c r="AO14" s="42">
        <v>80.0</v>
      </c>
      <c r="AP14" s="106" t="s">
        <v>255</v>
      </c>
      <c r="AQ14" s="106" t="s">
        <v>127</v>
      </c>
      <c r="AR14" s="42" t="s">
        <v>256</v>
      </c>
      <c r="AS14" s="42">
        <v>0.01</v>
      </c>
      <c r="AT14" s="42" t="s">
        <v>128</v>
      </c>
      <c r="AU14" s="42" t="s">
        <v>179</v>
      </c>
      <c r="AV14" s="108" t="s">
        <v>130</v>
      </c>
      <c r="AW14" s="59" t="s">
        <v>131</v>
      </c>
      <c r="AX14" s="126" t="s">
        <v>136</v>
      </c>
      <c r="AY14" s="42"/>
      <c r="AZ14" s="59" t="s">
        <v>137</v>
      </c>
    </row>
    <row r="15" ht="20.25" customHeight="1">
      <c r="A15" s="41">
        <v>15.0</v>
      </c>
      <c r="B15" s="106" t="s">
        <v>107</v>
      </c>
      <c r="C15" s="106" t="s">
        <v>108</v>
      </c>
      <c r="D15" s="106" t="s">
        <v>241</v>
      </c>
      <c r="E15" s="106"/>
      <c r="F15" s="146" t="s">
        <v>226</v>
      </c>
      <c r="G15" s="106" t="s">
        <v>251</v>
      </c>
      <c r="H15" s="106" t="s">
        <v>242</v>
      </c>
      <c r="I15" s="141">
        <v>45427.0</v>
      </c>
      <c r="J15" s="142">
        <v>45625.0</v>
      </c>
      <c r="K15" s="106" t="s">
        <v>257</v>
      </c>
      <c r="L15" s="107"/>
      <c r="M15" s="106" t="s">
        <v>229</v>
      </c>
      <c r="N15" s="106" t="s">
        <v>230</v>
      </c>
      <c r="O15" s="107"/>
      <c r="P15" s="143" t="str">
        <f> hyperlink(vlookup(lower(N15),'File Links'!A:B, 2, FALSE), SUBSTITUTE(lower(N15), "/", "--") &amp;  ".pdf")</f>
        <v>10.1007--s11858-016-0819-3.pdf</v>
      </c>
      <c r="Q15" s="49" t="str">
        <f t="array" ref="Q15"> if(iserror(MATCH(V15, 'File Links'!C:C, 0)), "N/A", HYPERLINK(INDEX('File Links'!B:B, MATCH(P15, 'File Links'!C:C, 0))))</f>
        <v>https://drive.google.com/file/d/1A3A0XWewbvFp536VbiCjIAYxdIJwVP-9/view?usp=drivesdk</v>
      </c>
      <c r="R15" s="106" t="s">
        <v>244</v>
      </c>
      <c r="S15" s="106" t="s">
        <v>232</v>
      </c>
      <c r="T15" s="107"/>
      <c r="U15" s="107"/>
      <c r="V15" s="63" t="str">
        <f> hyperlink(vlookup(lower(S15),'File Links'!E:F, 2, FALSE), SUBSTITUTE(lower(S15), "/", "--") &amp;  ".pdf")</f>
        <v>10.1163--26670127-bja10017.pdf</v>
      </c>
      <c r="W15" s="107"/>
      <c r="X15" s="51" t="str">
        <f t="array" ref="X15"> if(iserror(MATCH(V15, 'File Links'!C:C, 0)), "N/A", HYPERLINK(INDEX('File Links'!B:B, MATCH(V15, 'File Links'!C:C, 0))))</f>
        <v>https://drive.google.com/file/d/1u_oSZ0fEx8q87XxieN1axHREEr_kiGBE/view?usp=drivesdk</v>
      </c>
      <c r="Y15" s="107"/>
      <c r="Z15" s="106" t="s">
        <v>245</v>
      </c>
      <c r="AA15" s="107"/>
      <c r="AB15" s="106" t="s">
        <v>258</v>
      </c>
      <c r="AC15" s="106" t="s">
        <v>247</v>
      </c>
      <c r="AD15" s="106" t="s">
        <v>259</v>
      </c>
      <c r="AE15" s="106" t="s">
        <v>249</v>
      </c>
      <c r="AF15" s="106">
        <v>163.0</v>
      </c>
      <c r="AG15" s="106">
        <v>1.12</v>
      </c>
      <c r="AH15" s="106" t="s">
        <v>166</v>
      </c>
      <c r="AI15" s="107"/>
      <c r="AJ15" s="106">
        <v>0.01</v>
      </c>
      <c r="AK15" s="106" t="s">
        <v>128</v>
      </c>
      <c r="AL15" s="106" t="s">
        <v>179</v>
      </c>
      <c r="AM15" s="69"/>
      <c r="AN15" s="55" t="s">
        <v>131</v>
      </c>
      <c r="AO15" s="106">
        <v>80.0</v>
      </c>
      <c r="AP15" s="64"/>
      <c r="AQ15" s="64"/>
      <c r="AR15" s="107"/>
      <c r="AS15" s="106" t="s">
        <v>260</v>
      </c>
      <c r="AT15" s="106" t="s">
        <v>128</v>
      </c>
      <c r="AU15" s="106" t="s">
        <v>179</v>
      </c>
      <c r="AV15" s="69"/>
      <c r="AW15" s="69"/>
      <c r="AX15" s="144" t="s">
        <v>136</v>
      </c>
      <c r="AY15" s="62"/>
      <c r="AZ15" s="59" t="s">
        <v>137</v>
      </c>
    </row>
    <row r="16" ht="20.25" customHeight="1">
      <c r="A16" s="41">
        <v>16.0</v>
      </c>
      <c r="B16" s="42" t="s">
        <v>107</v>
      </c>
      <c r="C16" s="42" t="s">
        <v>108</v>
      </c>
      <c r="D16" s="42" t="s">
        <v>225</v>
      </c>
      <c r="E16" s="42"/>
      <c r="F16" s="59" t="s">
        <v>226</v>
      </c>
      <c r="G16" s="42" t="s">
        <v>261</v>
      </c>
      <c r="H16" s="42" t="s">
        <v>228</v>
      </c>
      <c r="I16" s="60">
        <v>45427.0</v>
      </c>
      <c r="J16" s="61">
        <v>45624.0</v>
      </c>
      <c r="K16" s="42" t="s">
        <v>252</v>
      </c>
      <c r="L16" s="42" t="s">
        <v>262</v>
      </c>
      <c r="M16" s="42" t="s">
        <v>229</v>
      </c>
      <c r="N16" s="42" t="s">
        <v>230</v>
      </c>
      <c r="O16" s="42">
        <v>1.0</v>
      </c>
      <c r="P16" s="115" t="str">
        <f> hyperlink(vlookup(lower(N16),'File Links'!A:B, 2, FALSE), SUBSTITUTE(lower(N16), "/", "--") &amp;  ".pdf")</f>
        <v>10.1007--s11858-016-0819-3.pdf</v>
      </c>
      <c r="Q16" s="49" t="str">
        <f t="array" ref="Q16"> if(iserror(MATCH(V16, 'File Links'!C:C, 0)), "N/A", HYPERLINK(INDEX('File Links'!B:B, MATCH(P16, 'File Links'!C:C, 0))))</f>
        <v>https://drive.google.com/file/d/1A3A0XWewbvFp536VbiCjIAYxdIJwVP-9/view?usp=drivesdk</v>
      </c>
      <c r="R16" s="42" t="s">
        <v>244</v>
      </c>
      <c r="S16" s="42" t="s">
        <v>232</v>
      </c>
      <c r="T16" s="62"/>
      <c r="U16" s="42">
        <v>1.0</v>
      </c>
      <c r="V16" s="63" t="str">
        <f> hyperlink(vlookup(lower(S16),'File Links'!E:F, 2, FALSE), SUBSTITUTE(lower(S16), "/", "--") &amp;  ".pdf")</f>
        <v>10.1163--26670127-bja10017.pdf</v>
      </c>
      <c r="W16" s="42" t="s">
        <v>233</v>
      </c>
      <c r="X16" s="51" t="str">
        <f t="array" ref="X16"> if(iserror(MATCH(V16, 'File Links'!C:C, 0)), "N/A", HYPERLINK(INDEX('File Links'!B:B, MATCH(V16, 'File Links'!C:C, 0))))</f>
        <v>https://drive.google.com/file/d/1u_oSZ0fEx8q87XxieN1axHREEr_kiGBE/view?usp=drivesdk</v>
      </c>
      <c r="Y16" s="62"/>
      <c r="Z16" s="42" t="s">
        <v>234</v>
      </c>
      <c r="AA16" s="42" t="s">
        <v>235</v>
      </c>
      <c r="AB16" s="42" t="s">
        <v>236</v>
      </c>
      <c r="AC16" s="42" t="s">
        <v>263</v>
      </c>
      <c r="AD16" s="41"/>
      <c r="AE16" s="62"/>
      <c r="AF16" s="62"/>
      <c r="AG16" s="62"/>
      <c r="AH16" s="62"/>
      <c r="AI16" s="62"/>
      <c r="AJ16" s="42"/>
      <c r="AK16" s="62"/>
      <c r="AL16" s="62"/>
      <c r="AM16" s="64"/>
      <c r="AN16" s="55" t="s">
        <v>131</v>
      </c>
      <c r="AO16" s="42">
        <v>80.0</v>
      </c>
      <c r="AP16" s="42">
        <v>0.27</v>
      </c>
      <c r="AQ16" s="42" t="s">
        <v>264</v>
      </c>
      <c r="AR16" s="42" t="s">
        <v>265</v>
      </c>
      <c r="AS16" s="42" t="s">
        <v>260</v>
      </c>
      <c r="AT16" s="42" t="s">
        <v>128</v>
      </c>
      <c r="AU16" s="42" t="s">
        <v>179</v>
      </c>
      <c r="AV16" s="64"/>
      <c r="AX16" s="126" t="s">
        <v>266</v>
      </c>
      <c r="AY16" s="42"/>
      <c r="AZ16" s="59" t="s">
        <v>137</v>
      </c>
    </row>
    <row r="17" ht="20.25" customHeight="1">
      <c r="A17" s="41">
        <v>17.0</v>
      </c>
      <c r="B17" s="42" t="s">
        <v>107</v>
      </c>
      <c r="C17" s="42" t="s">
        <v>108</v>
      </c>
      <c r="D17" s="42" t="s">
        <v>225</v>
      </c>
      <c r="E17" s="42"/>
      <c r="F17" s="59" t="s">
        <v>226</v>
      </c>
      <c r="G17" s="42" t="s">
        <v>267</v>
      </c>
      <c r="H17" s="42" t="s">
        <v>228</v>
      </c>
      <c r="I17" s="60">
        <v>45427.0</v>
      </c>
      <c r="J17" s="61">
        <v>45624.0</v>
      </c>
      <c r="K17" s="42" t="s">
        <v>252</v>
      </c>
      <c r="L17" s="42" t="s">
        <v>262</v>
      </c>
      <c r="M17" s="42" t="s">
        <v>229</v>
      </c>
      <c r="N17" s="42" t="s">
        <v>230</v>
      </c>
      <c r="O17" s="42">
        <v>1.0</v>
      </c>
      <c r="P17" s="115" t="str">
        <f> hyperlink(vlookup(lower(N17),'File Links'!A:B, 2, FALSE), SUBSTITUTE(lower(N17), "/", "--") &amp;  ".pdf")</f>
        <v>10.1007--s11858-016-0819-3.pdf</v>
      </c>
      <c r="Q17" s="49" t="str">
        <f t="array" ref="Q17"> if(iserror(MATCH(V17, 'File Links'!C:C, 0)), "N/A", HYPERLINK(INDEX('File Links'!B:B, MATCH(P17, 'File Links'!C:C, 0))))</f>
        <v>https://drive.google.com/file/d/1A3A0XWewbvFp536VbiCjIAYxdIJwVP-9/view?usp=drivesdk</v>
      </c>
      <c r="R17" s="42" t="s">
        <v>244</v>
      </c>
      <c r="S17" s="42" t="s">
        <v>232</v>
      </c>
      <c r="T17" s="62"/>
      <c r="U17" s="42">
        <v>1.0</v>
      </c>
      <c r="V17" s="63" t="str">
        <f> hyperlink(vlookup(lower(S17),'File Links'!E:F, 2, FALSE), SUBSTITUTE(lower(S17), "/", "--") &amp;  ".pdf")</f>
        <v>10.1163--26670127-bja10017.pdf</v>
      </c>
      <c r="W17" s="42" t="s">
        <v>233</v>
      </c>
      <c r="X17" s="51" t="str">
        <f t="array" ref="X17"> if(iserror(MATCH(V17, 'File Links'!C:C, 0)), "N/A", HYPERLINK(INDEX('File Links'!B:B, MATCH(V17, 'File Links'!C:C, 0))))</f>
        <v>https://drive.google.com/file/d/1u_oSZ0fEx8q87XxieN1axHREEr_kiGBE/view?usp=drivesdk</v>
      </c>
      <c r="Y17" s="62"/>
      <c r="Z17" s="42" t="s">
        <v>234</v>
      </c>
      <c r="AA17" s="42" t="s">
        <v>235</v>
      </c>
      <c r="AB17" s="42" t="s">
        <v>236</v>
      </c>
      <c r="AC17" s="42" t="s">
        <v>268</v>
      </c>
      <c r="AD17" s="41"/>
      <c r="AE17" s="62"/>
      <c r="AF17" s="62"/>
      <c r="AG17" s="62"/>
      <c r="AH17" s="62"/>
      <c r="AI17" s="62"/>
      <c r="AJ17" s="42"/>
      <c r="AK17" s="62"/>
      <c r="AL17" s="62"/>
      <c r="AM17" s="64"/>
      <c r="AN17" s="55" t="s">
        <v>131</v>
      </c>
      <c r="AO17" s="42">
        <v>80.0</v>
      </c>
      <c r="AP17" s="42">
        <v>0.68</v>
      </c>
      <c r="AQ17" s="42" t="s">
        <v>264</v>
      </c>
      <c r="AR17" s="42" t="s">
        <v>269</v>
      </c>
      <c r="AS17" s="42" t="s">
        <v>260</v>
      </c>
      <c r="AT17" s="42" t="s">
        <v>128</v>
      </c>
      <c r="AU17" s="42" t="s">
        <v>179</v>
      </c>
      <c r="AV17" s="64"/>
      <c r="AX17" s="126" t="s">
        <v>266</v>
      </c>
      <c r="AY17" s="42"/>
      <c r="AZ17" s="59" t="s">
        <v>137</v>
      </c>
    </row>
    <row r="18" ht="20.25" customHeight="1">
      <c r="A18" s="41">
        <v>18.0</v>
      </c>
      <c r="B18" s="42" t="s">
        <v>107</v>
      </c>
      <c r="C18" s="42" t="s">
        <v>108</v>
      </c>
      <c r="D18" s="42" t="s">
        <v>225</v>
      </c>
      <c r="E18" s="42"/>
      <c r="F18" s="59" t="s">
        <v>226</v>
      </c>
      <c r="G18" s="42" t="s">
        <v>270</v>
      </c>
      <c r="H18" s="42" t="s">
        <v>228</v>
      </c>
      <c r="I18" s="60">
        <v>45427.0</v>
      </c>
      <c r="J18" s="61">
        <v>45624.0</v>
      </c>
      <c r="K18" s="42" t="s">
        <v>252</v>
      </c>
      <c r="L18" s="42" t="s">
        <v>262</v>
      </c>
      <c r="M18" s="42" t="s">
        <v>229</v>
      </c>
      <c r="N18" s="42" t="s">
        <v>230</v>
      </c>
      <c r="O18" s="42">
        <v>1.0</v>
      </c>
      <c r="P18" s="115" t="str">
        <f> hyperlink(vlookup(lower(N18),'File Links'!A:B, 2, FALSE), SUBSTITUTE(lower(N18), "/", "--") &amp;  ".pdf")</f>
        <v>10.1007--s11858-016-0819-3.pdf</v>
      </c>
      <c r="Q18" s="49" t="str">
        <f t="array" ref="Q18"> if(iserror(MATCH(V18, 'File Links'!C:C, 0)), "N/A", HYPERLINK(INDEX('File Links'!B:B, MATCH(P18, 'File Links'!C:C, 0))))</f>
        <v>https://drive.google.com/file/d/1A3A0XWewbvFp536VbiCjIAYxdIJwVP-9/view?usp=drivesdk</v>
      </c>
      <c r="R18" s="42" t="s">
        <v>244</v>
      </c>
      <c r="S18" s="42" t="s">
        <v>232</v>
      </c>
      <c r="T18" s="62"/>
      <c r="U18" s="42">
        <v>1.0</v>
      </c>
      <c r="V18" s="63" t="str">
        <f> hyperlink(vlookup(lower(S18),'File Links'!E:F, 2, FALSE), SUBSTITUTE(lower(S18), "/", "--") &amp;  ".pdf")</f>
        <v>10.1163--26670127-bja10017.pdf</v>
      </c>
      <c r="W18" s="42" t="s">
        <v>233</v>
      </c>
      <c r="X18" s="51" t="str">
        <f t="array" ref="X18"> if(iserror(MATCH(V18, 'File Links'!C:C, 0)), "N/A", HYPERLINK(INDEX('File Links'!B:B, MATCH(V18, 'File Links'!C:C, 0))))</f>
        <v>https://drive.google.com/file/d/1u_oSZ0fEx8q87XxieN1axHREEr_kiGBE/view?usp=drivesdk</v>
      </c>
      <c r="Y18" s="62"/>
      <c r="Z18" s="42" t="s">
        <v>234</v>
      </c>
      <c r="AA18" s="42" t="s">
        <v>235</v>
      </c>
      <c r="AB18" s="42" t="s">
        <v>236</v>
      </c>
      <c r="AC18" s="42" t="s">
        <v>271</v>
      </c>
      <c r="AD18" s="41"/>
      <c r="AE18" s="62"/>
      <c r="AF18" s="62"/>
      <c r="AG18" s="62"/>
      <c r="AH18" s="62"/>
      <c r="AI18" s="62"/>
      <c r="AJ18" s="42"/>
      <c r="AK18" s="62"/>
      <c r="AL18" s="62"/>
      <c r="AM18" s="64"/>
      <c r="AN18" s="55" t="s">
        <v>131</v>
      </c>
      <c r="AO18" s="42">
        <v>80.0</v>
      </c>
      <c r="AP18" s="42" t="s">
        <v>272</v>
      </c>
      <c r="AQ18" s="42" t="s">
        <v>208</v>
      </c>
      <c r="AR18" s="62"/>
      <c r="AS18" s="42" t="s">
        <v>273</v>
      </c>
      <c r="AT18" s="42" t="s">
        <v>128</v>
      </c>
      <c r="AU18" s="42" t="s">
        <v>179</v>
      </c>
      <c r="AV18" s="64"/>
      <c r="AX18" s="126" t="s">
        <v>266</v>
      </c>
      <c r="AY18" s="42"/>
      <c r="AZ18" s="59" t="s">
        <v>137</v>
      </c>
    </row>
    <row r="19" ht="20.25" customHeight="1">
      <c r="A19" s="41">
        <v>19.0</v>
      </c>
      <c r="B19" s="42" t="s">
        <v>107</v>
      </c>
      <c r="C19" s="42" t="s">
        <v>108</v>
      </c>
      <c r="D19" s="42" t="s">
        <v>225</v>
      </c>
      <c r="E19" s="42"/>
      <c r="F19" s="59" t="s">
        <v>226</v>
      </c>
      <c r="G19" s="42" t="s">
        <v>274</v>
      </c>
      <c r="H19" s="42" t="s">
        <v>228</v>
      </c>
      <c r="I19" s="60">
        <v>45427.0</v>
      </c>
      <c r="J19" s="61">
        <v>45624.0</v>
      </c>
      <c r="K19" s="42" t="s">
        <v>252</v>
      </c>
      <c r="L19" s="42" t="s">
        <v>262</v>
      </c>
      <c r="M19" s="42" t="s">
        <v>229</v>
      </c>
      <c r="N19" s="42" t="s">
        <v>230</v>
      </c>
      <c r="O19" s="42">
        <v>1.0</v>
      </c>
      <c r="P19" s="115" t="str">
        <f> hyperlink(vlookup(lower(N19),'File Links'!A:B, 2, FALSE), SUBSTITUTE(lower(N19), "/", "--") &amp;  ".pdf")</f>
        <v>10.1007--s11858-016-0819-3.pdf</v>
      </c>
      <c r="Q19" s="49" t="str">
        <f t="array" ref="Q19"> if(iserror(MATCH(V19, 'File Links'!C:C, 0)), "N/A", HYPERLINK(INDEX('File Links'!B:B, MATCH(P19, 'File Links'!C:C, 0))))</f>
        <v>https://drive.google.com/file/d/1A3A0XWewbvFp536VbiCjIAYxdIJwVP-9/view?usp=drivesdk</v>
      </c>
      <c r="R19" s="42" t="s">
        <v>244</v>
      </c>
      <c r="S19" s="42" t="s">
        <v>232</v>
      </c>
      <c r="T19" s="62"/>
      <c r="U19" s="42">
        <v>1.0</v>
      </c>
      <c r="V19" s="63" t="str">
        <f> hyperlink(vlookup(lower(S19),'File Links'!E:F, 2, FALSE), SUBSTITUTE(lower(S19), "/", "--") &amp;  ".pdf")</f>
        <v>10.1163--26670127-bja10017.pdf</v>
      </c>
      <c r="W19" s="42" t="s">
        <v>233</v>
      </c>
      <c r="X19" s="51" t="str">
        <f t="array" ref="X19"> if(iserror(MATCH(V19, 'File Links'!C:C, 0)), "N/A", HYPERLINK(INDEX('File Links'!B:B, MATCH(V19, 'File Links'!C:C, 0))))</f>
        <v>https://drive.google.com/file/d/1u_oSZ0fEx8q87XxieN1axHREEr_kiGBE/view?usp=drivesdk</v>
      </c>
      <c r="Y19" s="62"/>
      <c r="Z19" s="42" t="s">
        <v>234</v>
      </c>
      <c r="AA19" s="42" t="s">
        <v>235</v>
      </c>
      <c r="AB19" s="42" t="s">
        <v>236</v>
      </c>
      <c r="AC19" s="42" t="s">
        <v>275</v>
      </c>
      <c r="AD19" s="62"/>
      <c r="AE19" s="62"/>
      <c r="AF19" s="62"/>
      <c r="AG19" s="62"/>
      <c r="AH19" s="62"/>
      <c r="AI19" s="62"/>
      <c r="AJ19" s="42"/>
      <c r="AK19" s="62"/>
      <c r="AL19" s="62"/>
      <c r="AM19" s="64"/>
      <c r="AN19" s="55" t="s">
        <v>131</v>
      </c>
      <c r="AO19" s="42">
        <v>80.0</v>
      </c>
      <c r="AP19" s="42" t="s">
        <v>276</v>
      </c>
      <c r="AQ19" s="42" t="s">
        <v>208</v>
      </c>
      <c r="AR19" s="62"/>
      <c r="AS19" s="42" t="s">
        <v>277</v>
      </c>
      <c r="AT19" s="42" t="s">
        <v>128</v>
      </c>
      <c r="AU19" s="42" t="s">
        <v>179</v>
      </c>
      <c r="AV19" s="64"/>
      <c r="AX19" s="126" t="s">
        <v>266</v>
      </c>
      <c r="AY19" s="42"/>
      <c r="AZ19" s="59" t="s">
        <v>137</v>
      </c>
    </row>
    <row r="20" ht="20.25" customHeight="1">
      <c r="A20" s="41">
        <v>20.0</v>
      </c>
      <c r="B20" s="59" t="s">
        <v>278</v>
      </c>
      <c r="C20" s="59" t="s">
        <v>108</v>
      </c>
      <c r="D20" s="59" t="s">
        <v>279</v>
      </c>
      <c r="F20" s="147" t="s">
        <v>280</v>
      </c>
      <c r="G20" s="148" t="s">
        <v>281</v>
      </c>
      <c r="H20" s="148" t="s">
        <v>282</v>
      </c>
      <c r="I20" s="149"/>
      <c r="J20" s="150">
        <v>45683.0</v>
      </c>
      <c r="K20" s="126" t="s">
        <v>283</v>
      </c>
      <c r="L20" s="65"/>
      <c r="M20" s="151"/>
      <c r="N20" s="152" t="s">
        <v>284</v>
      </c>
      <c r="O20" s="153"/>
      <c r="P20" s="115" t="str">
        <f> hyperlink(vlookup(lower(N20),'File Links'!A:B, 2, FALSE), SUBSTITUTE(lower(N20), "/", "--") &amp;  ".pdf")</f>
        <v>10.1111--lang.12161.pdf</v>
      </c>
      <c r="Q20" s="49" t="str">
        <f t="array" ref="Q20"> if(iserror(MATCH(V20, 'File Links'!C:C, 0)), "N/A", HYPERLINK(INDEX('File Links'!B:B, MATCH(P20, 'File Links'!C:C, 0))))</f>
        <v>https://drive.google.com/file/d/1W_KvsfbanYWBQG9nzoDuqDlzFW_jUYH2/view?usp=drivesdk</v>
      </c>
      <c r="R20" s="154" t="s">
        <v>285</v>
      </c>
      <c r="S20" s="154" t="s">
        <v>286</v>
      </c>
      <c r="T20" s="65"/>
      <c r="U20" s="153"/>
      <c r="V20" s="63" t="str">
        <f> hyperlink(vlookup(lower(S20),'File Links'!E:F, 2, FALSE), SUBSTITUTE(lower(S20), "/", "--") &amp;  ".pdf")</f>
        <v>10.1017--s0272263124000238.pdf</v>
      </c>
      <c r="W20" s="126" t="s">
        <v>287</v>
      </c>
      <c r="X20" s="51" t="str">
        <f t="array" ref="X20"> if(iserror(MATCH(V20, 'File Links'!C:C, 0)), "N/A", HYPERLINK(INDEX('File Links'!B:B, MATCH(V20, 'File Links'!C:C, 0))))</f>
        <v>https://drive.google.com/file/d/1KQ2h_KjNuvgQPQ443vS97noydUJbOuPG/view?usp=drivesdk</v>
      </c>
      <c r="Z20" s="148" t="s">
        <v>288</v>
      </c>
      <c r="AA20" s="126" t="s">
        <v>289</v>
      </c>
      <c r="AB20" s="126" t="s">
        <v>290</v>
      </c>
      <c r="AC20" s="126" t="s">
        <v>291</v>
      </c>
      <c r="AD20" s="155"/>
      <c r="AE20" s="153"/>
      <c r="AF20" s="153"/>
      <c r="AG20" s="153"/>
      <c r="AH20" s="156"/>
      <c r="AI20" s="65"/>
      <c r="AJ20" s="157"/>
      <c r="AK20" s="54"/>
      <c r="AL20" s="54"/>
      <c r="AM20" s="65"/>
      <c r="AN20" s="55" t="s">
        <v>131</v>
      </c>
      <c r="AO20" s="158">
        <v>58.0</v>
      </c>
      <c r="AP20" s="158">
        <v>3.31</v>
      </c>
      <c r="AQ20" s="148" t="s">
        <v>166</v>
      </c>
      <c r="AR20" s="126" t="s">
        <v>292</v>
      </c>
      <c r="AS20" s="159"/>
      <c r="AT20" s="156"/>
      <c r="AU20" s="156"/>
      <c r="AV20" s="126" t="s">
        <v>134</v>
      </c>
      <c r="AW20" s="160" t="s">
        <v>293</v>
      </c>
      <c r="AX20" s="126" t="s">
        <v>136</v>
      </c>
      <c r="BA20" s="161"/>
      <c r="BB20" s="161"/>
      <c r="BC20" s="161"/>
      <c r="BD20" s="161"/>
      <c r="BE20" s="161"/>
      <c r="BF20" s="161"/>
      <c r="BG20" s="161"/>
      <c r="BH20" s="161"/>
      <c r="BI20" s="161"/>
      <c r="BJ20" s="161"/>
      <c r="BK20" s="161"/>
      <c r="BL20" s="161"/>
      <c r="BM20" s="161"/>
      <c r="BN20" s="161"/>
      <c r="BO20" s="161"/>
      <c r="BP20" s="161"/>
      <c r="BQ20" s="161"/>
      <c r="BR20" s="161"/>
      <c r="BS20" s="161"/>
      <c r="BT20" s="161"/>
      <c r="BU20" s="161"/>
      <c r="BV20" s="161"/>
      <c r="BW20" s="161"/>
      <c r="BX20" s="161"/>
      <c r="BY20" s="161"/>
      <c r="BZ20" s="161"/>
      <c r="CA20" s="161"/>
      <c r="CB20" s="161"/>
      <c r="CC20" s="161"/>
      <c r="CD20" s="161"/>
      <c r="CE20" s="161"/>
      <c r="CF20" s="161"/>
      <c r="CG20" s="161"/>
      <c r="CH20" s="161"/>
      <c r="CI20" s="161"/>
      <c r="CJ20" s="161"/>
      <c r="CK20" s="161"/>
      <c r="CL20" s="161"/>
      <c r="CM20" s="161"/>
      <c r="CN20" s="161"/>
      <c r="CO20" s="161"/>
      <c r="CP20" s="161"/>
      <c r="CQ20" s="161"/>
      <c r="CR20" s="161"/>
      <c r="CS20" s="161"/>
      <c r="CT20" s="161"/>
      <c r="CU20" s="161"/>
      <c r="CV20" s="161"/>
      <c r="CW20" s="161"/>
      <c r="CX20" s="161"/>
      <c r="CY20" s="161"/>
      <c r="CZ20" s="161"/>
      <c r="DA20" s="161"/>
      <c r="DB20" s="161"/>
      <c r="DC20" s="161"/>
      <c r="DD20" s="161"/>
      <c r="DE20" s="161"/>
      <c r="DF20" s="161"/>
      <c r="DG20" s="161"/>
      <c r="DH20" s="161"/>
    </row>
    <row r="21" ht="20.25" customHeight="1">
      <c r="A21" s="41">
        <v>21.0</v>
      </c>
      <c r="B21" s="59" t="s">
        <v>278</v>
      </c>
      <c r="C21" s="59" t="s">
        <v>108</v>
      </c>
      <c r="D21" s="59" t="s">
        <v>279</v>
      </c>
      <c r="F21" s="147" t="s">
        <v>280</v>
      </c>
      <c r="G21" s="148" t="s">
        <v>294</v>
      </c>
      <c r="H21" s="148" t="s">
        <v>282</v>
      </c>
      <c r="I21" s="149"/>
      <c r="J21" s="150">
        <v>45683.0</v>
      </c>
      <c r="K21" s="126" t="s">
        <v>283</v>
      </c>
      <c r="L21" s="65"/>
      <c r="M21" s="151"/>
      <c r="N21" s="152" t="s">
        <v>284</v>
      </c>
      <c r="O21" s="153"/>
      <c r="P21" s="115" t="str">
        <f> hyperlink(vlookup(lower(N21),'File Links'!A:B, 2, FALSE), SUBSTITUTE(lower(N21), "/", "--") &amp;  ".pdf")</f>
        <v>10.1111--lang.12161.pdf</v>
      </c>
      <c r="Q21" s="49" t="str">
        <f t="array" ref="Q21"> if(iserror(MATCH(V21, 'File Links'!C:C, 0)), "N/A", HYPERLINK(INDEX('File Links'!B:B, MATCH(P21, 'File Links'!C:C, 0))))</f>
        <v>https://drive.google.com/file/d/1W_KvsfbanYWBQG9nzoDuqDlzFW_jUYH2/view?usp=drivesdk</v>
      </c>
      <c r="R21" s="154" t="s">
        <v>285</v>
      </c>
      <c r="S21" s="154" t="s">
        <v>286</v>
      </c>
      <c r="T21" s="65"/>
      <c r="U21" s="153"/>
      <c r="V21" s="63" t="str">
        <f> hyperlink(vlookup(lower(S21),'File Links'!E:F, 2, FALSE), SUBSTITUTE(lower(S21), "/", "--") &amp;  ".pdf")</f>
        <v>10.1017--s0272263124000238.pdf</v>
      </c>
      <c r="W21" s="126" t="s">
        <v>287</v>
      </c>
      <c r="X21" s="51" t="str">
        <f t="array" ref="X21"> if(iserror(MATCH(V21, 'File Links'!C:C, 0)), "N/A", HYPERLINK(INDEX('File Links'!B:B, MATCH(V21, 'File Links'!C:C, 0))))</f>
        <v>https://drive.google.com/file/d/1KQ2h_KjNuvgQPQ443vS97noydUJbOuPG/view?usp=drivesdk</v>
      </c>
      <c r="Z21" s="148" t="s">
        <v>288</v>
      </c>
      <c r="AA21" s="126" t="s">
        <v>295</v>
      </c>
      <c r="AB21" s="126" t="s">
        <v>290</v>
      </c>
      <c r="AC21" s="126" t="s">
        <v>296</v>
      </c>
      <c r="AD21" s="162" t="s">
        <v>297</v>
      </c>
      <c r="AE21" s="158" t="s">
        <v>298</v>
      </c>
      <c r="AF21" s="158">
        <v>25.0</v>
      </c>
      <c r="AG21" s="158">
        <v>0.17</v>
      </c>
      <c r="AH21" s="148" t="s">
        <v>208</v>
      </c>
      <c r="AI21" s="126" t="s">
        <v>299</v>
      </c>
      <c r="AJ21" s="163">
        <v>0.71</v>
      </c>
      <c r="AK21" s="148" t="s">
        <v>165</v>
      </c>
      <c r="AL21" s="148" t="s">
        <v>179</v>
      </c>
      <c r="AM21" s="126" t="s">
        <v>134</v>
      </c>
      <c r="AN21" s="55" t="s">
        <v>131</v>
      </c>
      <c r="AO21" s="158">
        <v>58.0</v>
      </c>
      <c r="AP21" s="158">
        <v>0.64</v>
      </c>
      <c r="AQ21" s="148" t="s">
        <v>166</v>
      </c>
      <c r="AR21" s="126" t="s">
        <v>300</v>
      </c>
      <c r="AS21" s="163">
        <v>0.001</v>
      </c>
      <c r="AT21" s="148" t="s">
        <v>128</v>
      </c>
      <c r="AU21" s="148" t="s">
        <v>179</v>
      </c>
      <c r="AV21" s="126" t="s">
        <v>134</v>
      </c>
      <c r="AW21" s="160" t="s">
        <v>293</v>
      </c>
      <c r="AX21" s="126" t="s">
        <v>136</v>
      </c>
      <c r="BA21" s="161"/>
      <c r="BB21" s="161"/>
      <c r="BC21" s="161"/>
      <c r="BD21" s="161"/>
      <c r="BE21" s="161"/>
      <c r="BF21" s="161"/>
      <c r="BG21" s="161"/>
      <c r="BH21" s="161"/>
      <c r="BI21" s="161"/>
      <c r="BJ21" s="161"/>
      <c r="BK21" s="161"/>
      <c r="BL21" s="161"/>
      <c r="BM21" s="161"/>
      <c r="BN21" s="161"/>
      <c r="BO21" s="161"/>
      <c r="BP21" s="161"/>
      <c r="BQ21" s="161"/>
      <c r="BR21" s="161"/>
      <c r="BS21" s="161"/>
      <c r="BT21" s="161"/>
      <c r="BU21" s="161"/>
      <c r="BV21" s="161"/>
      <c r="BW21" s="161"/>
      <c r="BX21" s="161"/>
      <c r="BY21" s="161"/>
      <c r="BZ21" s="161"/>
      <c r="CA21" s="161"/>
      <c r="CB21" s="161"/>
      <c r="CC21" s="161"/>
      <c r="CD21" s="161"/>
      <c r="CE21" s="161"/>
      <c r="CF21" s="161"/>
      <c r="CG21" s="161"/>
      <c r="CH21" s="161"/>
      <c r="CI21" s="161"/>
      <c r="CJ21" s="161"/>
      <c r="CK21" s="161"/>
      <c r="CL21" s="161"/>
      <c r="CM21" s="161"/>
      <c r="CN21" s="161"/>
      <c r="CO21" s="161"/>
      <c r="CP21" s="161"/>
      <c r="CQ21" s="161"/>
      <c r="CR21" s="161"/>
      <c r="CS21" s="161"/>
      <c r="CT21" s="161"/>
      <c r="CU21" s="161"/>
      <c r="CV21" s="161"/>
      <c r="CW21" s="161"/>
      <c r="CX21" s="161"/>
      <c r="CY21" s="161"/>
      <c r="CZ21" s="161"/>
      <c r="DA21" s="161"/>
      <c r="DB21" s="161"/>
      <c r="DC21" s="161"/>
      <c r="DD21" s="161"/>
      <c r="DE21" s="161"/>
      <c r="DF21" s="161"/>
      <c r="DG21" s="161"/>
      <c r="DH21" s="161"/>
    </row>
    <row r="22" ht="20.25" customHeight="1">
      <c r="A22" s="41">
        <v>22.0</v>
      </c>
      <c r="B22" s="59" t="s">
        <v>278</v>
      </c>
      <c r="C22" s="59" t="s">
        <v>108</v>
      </c>
      <c r="D22" s="59" t="s">
        <v>279</v>
      </c>
      <c r="F22" s="147" t="s">
        <v>280</v>
      </c>
      <c r="G22" s="148" t="s">
        <v>301</v>
      </c>
      <c r="H22" s="148" t="s">
        <v>282</v>
      </c>
      <c r="I22" s="149"/>
      <c r="J22" s="150">
        <v>45683.0</v>
      </c>
      <c r="K22" s="126" t="s">
        <v>283</v>
      </c>
      <c r="L22" s="65"/>
      <c r="M22" s="151"/>
      <c r="N22" s="152" t="s">
        <v>284</v>
      </c>
      <c r="O22" s="153"/>
      <c r="P22" s="115" t="str">
        <f> hyperlink(vlookup(lower(N22),'File Links'!A:B, 2, FALSE), SUBSTITUTE(lower(N22), "/", "--") &amp;  ".pdf")</f>
        <v>10.1111--lang.12161.pdf</v>
      </c>
      <c r="Q22" s="49" t="str">
        <f t="array" ref="Q22"> if(iserror(MATCH(V22, 'File Links'!C:C, 0)), "N/A", HYPERLINK(INDEX('File Links'!B:B, MATCH(P22, 'File Links'!C:C, 0))))</f>
        <v>https://drive.google.com/file/d/1W_KvsfbanYWBQG9nzoDuqDlzFW_jUYH2/view?usp=drivesdk</v>
      </c>
      <c r="R22" s="154" t="s">
        <v>285</v>
      </c>
      <c r="S22" s="154" t="s">
        <v>286</v>
      </c>
      <c r="T22" s="65"/>
      <c r="U22" s="153"/>
      <c r="V22" s="63" t="str">
        <f> hyperlink(vlookup(lower(S22),'File Links'!E:F, 2, FALSE), SUBSTITUTE(lower(S22), "/", "--") &amp;  ".pdf")</f>
        <v>10.1017--s0272263124000238.pdf</v>
      </c>
      <c r="W22" s="126" t="s">
        <v>287</v>
      </c>
      <c r="X22" s="51" t="str">
        <f t="array" ref="X22"> if(iserror(MATCH(V22, 'File Links'!C:C, 0)), "N/A", HYPERLINK(INDEX('File Links'!B:B, MATCH(V22, 'File Links'!C:C, 0))))</f>
        <v>https://drive.google.com/file/d/1KQ2h_KjNuvgQPQ443vS97noydUJbOuPG/view?usp=drivesdk</v>
      </c>
      <c r="Z22" s="148" t="s">
        <v>288</v>
      </c>
      <c r="AA22" s="126" t="s">
        <v>302</v>
      </c>
      <c r="AB22" s="126" t="s">
        <v>290</v>
      </c>
      <c r="AC22" s="126" t="s">
        <v>303</v>
      </c>
      <c r="AD22" s="155"/>
      <c r="AE22" s="153"/>
      <c r="AF22" s="153"/>
      <c r="AG22" s="153"/>
      <c r="AH22" s="156"/>
      <c r="AI22" s="65"/>
      <c r="AJ22" s="157"/>
      <c r="AK22" s="54"/>
      <c r="AL22" s="54"/>
      <c r="AM22" s="65"/>
      <c r="AN22" s="55" t="s">
        <v>131</v>
      </c>
      <c r="AO22" s="158">
        <v>58.0</v>
      </c>
      <c r="AP22" s="158">
        <v>-2.67</v>
      </c>
      <c r="AQ22" s="148" t="s">
        <v>166</v>
      </c>
      <c r="AR22" s="126" t="s">
        <v>304</v>
      </c>
      <c r="AS22" s="159"/>
      <c r="AT22" s="156"/>
      <c r="AU22" s="156"/>
      <c r="AV22" s="65"/>
      <c r="AW22" s="160" t="s">
        <v>293</v>
      </c>
      <c r="AX22" s="126" t="s">
        <v>136</v>
      </c>
      <c r="BA22" s="161"/>
      <c r="BB22" s="161"/>
      <c r="BC22" s="161"/>
      <c r="BD22" s="161"/>
      <c r="BE22" s="161"/>
      <c r="BF22" s="161"/>
      <c r="BG22" s="161"/>
      <c r="BH22" s="161"/>
      <c r="BI22" s="161"/>
      <c r="BJ22" s="161"/>
      <c r="BK22" s="161"/>
      <c r="BL22" s="161"/>
      <c r="BM22" s="161"/>
      <c r="BN22" s="161"/>
      <c r="BO22" s="161"/>
      <c r="BP22" s="161"/>
      <c r="BQ22" s="161"/>
      <c r="BR22" s="161"/>
      <c r="BS22" s="161"/>
      <c r="BT22" s="161"/>
      <c r="BU22" s="161"/>
      <c r="BV22" s="161"/>
      <c r="BW22" s="161"/>
      <c r="BX22" s="161"/>
      <c r="BY22" s="161"/>
      <c r="BZ22" s="161"/>
      <c r="CA22" s="161"/>
      <c r="CB22" s="161"/>
      <c r="CC22" s="161"/>
      <c r="CD22" s="161"/>
      <c r="CE22" s="161"/>
      <c r="CF22" s="161"/>
      <c r="CG22" s="161"/>
      <c r="CH22" s="161"/>
      <c r="CI22" s="161"/>
      <c r="CJ22" s="161"/>
      <c r="CK22" s="161"/>
      <c r="CL22" s="161"/>
      <c r="CM22" s="161"/>
      <c r="CN22" s="161"/>
      <c r="CO22" s="161"/>
      <c r="CP22" s="161"/>
      <c r="CQ22" s="161"/>
      <c r="CR22" s="161"/>
      <c r="CS22" s="161"/>
      <c r="CT22" s="161"/>
      <c r="CU22" s="161"/>
      <c r="CV22" s="161"/>
      <c r="CW22" s="161"/>
      <c r="CX22" s="161"/>
      <c r="CY22" s="161"/>
      <c r="CZ22" s="161"/>
      <c r="DA22" s="161"/>
      <c r="DB22" s="161"/>
      <c r="DC22" s="161"/>
      <c r="DD22" s="161"/>
      <c r="DE22" s="161"/>
      <c r="DF22" s="161"/>
      <c r="DG22" s="161"/>
      <c r="DH22" s="161"/>
    </row>
    <row r="23" ht="20.25" customHeight="1">
      <c r="A23" s="41">
        <v>23.0</v>
      </c>
      <c r="B23" s="59" t="s">
        <v>278</v>
      </c>
      <c r="C23" s="59" t="s">
        <v>108</v>
      </c>
      <c r="D23" s="59" t="s">
        <v>279</v>
      </c>
      <c r="F23" s="147" t="s">
        <v>280</v>
      </c>
      <c r="G23" s="148" t="s">
        <v>305</v>
      </c>
      <c r="H23" s="148" t="s">
        <v>282</v>
      </c>
      <c r="I23" s="149"/>
      <c r="J23" s="150">
        <v>45683.0</v>
      </c>
      <c r="K23" s="126" t="s">
        <v>283</v>
      </c>
      <c r="L23" s="65"/>
      <c r="M23" s="151"/>
      <c r="N23" s="152" t="s">
        <v>284</v>
      </c>
      <c r="O23" s="153"/>
      <c r="P23" s="115" t="str">
        <f> hyperlink(vlookup(lower(N23),'File Links'!A:B, 2, FALSE), SUBSTITUTE(lower(N23), "/", "--") &amp;  ".pdf")</f>
        <v>10.1111--lang.12161.pdf</v>
      </c>
      <c r="Q23" s="49" t="str">
        <f t="array" ref="Q23"> if(iserror(MATCH(V23, 'File Links'!C:C, 0)), "N/A", HYPERLINK(INDEX('File Links'!B:B, MATCH(P23, 'File Links'!C:C, 0))))</f>
        <v>https://drive.google.com/file/d/1W_KvsfbanYWBQG9nzoDuqDlzFW_jUYH2/view?usp=drivesdk</v>
      </c>
      <c r="R23" s="154" t="s">
        <v>285</v>
      </c>
      <c r="S23" s="154" t="s">
        <v>286</v>
      </c>
      <c r="T23" s="65"/>
      <c r="U23" s="153"/>
      <c r="V23" s="63" t="str">
        <f> hyperlink(vlookup(lower(S23),'File Links'!E:F, 2, FALSE), SUBSTITUTE(lower(S23), "/", "--") &amp;  ".pdf")</f>
        <v>10.1017--s0272263124000238.pdf</v>
      </c>
      <c r="W23" s="126" t="s">
        <v>287</v>
      </c>
      <c r="X23" s="51" t="str">
        <f t="array" ref="X23"> if(iserror(MATCH(V23, 'File Links'!C:C, 0)), "N/A", HYPERLINK(INDEX('File Links'!B:B, MATCH(V23, 'File Links'!C:C, 0))))</f>
        <v>https://drive.google.com/file/d/1KQ2h_KjNuvgQPQ443vS97noydUJbOuPG/view?usp=drivesdk</v>
      </c>
      <c r="Z23" s="148" t="s">
        <v>288</v>
      </c>
      <c r="AA23" s="126" t="s">
        <v>306</v>
      </c>
      <c r="AB23" s="126" t="s">
        <v>290</v>
      </c>
      <c r="AC23" s="126" t="s">
        <v>307</v>
      </c>
      <c r="AD23" s="155"/>
      <c r="AE23" s="153"/>
      <c r="AF23" s="153"/>
      <c r="AG23" s="153"/>
      <c r="AH23" s="156"/>
      <c r="AI23" s="65"/>
      <c r="AJ23" s="157"/>
      <c r="AK23" s="54"/>
      <c r="AL23" s="54"/>
      <c r="AM23" s="65"/>
      <c r="AN23" s="55" t="s">
        <v>131</v>
      </c>
      <c r="AO23" s="158">
        <v>58.0</v>
      </c>
      <c r="AP23" s="158">
        <v>1.94</v>
      </c>
      <c r="AQ23" s="148" t="s">
        <v>166</v>
      </c>
      <c r="AR23" s="126" t="s">
        <v>308</v>
      </c>
      <c r="AS23" s="159"/>
      <c r="AT23" s="156"/>
      <c r="AU23" s="156"/>
      <c r="AV23" s="65"/>
      <c r="AW23" s="160" t="s">
        <v>293</v>
      </c>
      <c r="AX23" s="126" t="s">
        <v>136</v>
      </c>
      <c r="BA23" s="161"/>
      <c r="BB23" s="161"/>
      <c r="BC23" s="161"/>
      <c r="BD23" s="161"/>
      <c r="BE23" s="161"/>
      <c r="BF23" s="161"/>
      <c r="BG23" s="161"/>
      <c r="BH23" s="161"/>
      <c r="BI23" s="161"/>
      <c r="BJ23" s="161"/>
      <c r="BK23" s="161"/>
      <c r="BL23" s="161"/>
      <c r="BM23" s="161"/>
      <c r="BN23" s="161"/>
      <c r="BO23" s="161"/>
      <c r="BP23" s="161"/>
      <c r="BQ23" s="161"/>
      <c r="BR23" s="161"/>
      <c r="BS23" s="161"/>
      <c r="BT23" s="161"/>
      <c r="BU23" s="161"/>
      <c r="BV23" s="161"/>
      <c r="BW23" s="161"/>
      <c r="BX23" s="161"/>
      <c r="BY23" s="161"/>
      <c r="BZ23" s="161"/>
      <c r="CA23" s="161"/>
      <c r="CB23" s="161"/>
      <c r="CC23" s="161"/>
      <c r="CD23" s="161"/>
      <c r="CE23" s="161"/>
      <c r="CF23" s="161"/>
      <c r="CG23" s="161"/>
      <c r="CH23" s="161"/>
      <c r="CI23" s="161"/>
      <c r="CJ23" s="161"/>
      <c r="CK23" s="161"/>
      <c r="CL23" s="161"/>
      <c r="CM23" s="161"/>
      <c r="CN23" s="161"/>
      <c r="CO23" s="161"/>
      <c r="CP23" s="161"/>
      <c r="CQ23" s="161"/>
      <c r="CR23" s="161"/>
      <c r="CS23" s="161"/>
      <c r="CT23" s="161"/>
      <c r="CU23" s="161"/>
      <c r="CV23" s="161"/>
      <c r="CW23" s="161"/>
      <c r="CX23" s="161"/>
      <c r="CY23" s="161"/>
      <c r="CZ23" s="161"/>
      <c r="DA23" s="161"/>
      <c r="DB23" s="161"/>
      <c r="DC23" s="161"/>
      <c r="DD23" s="161"/>
      <c r="DE23" s="161"/>
      <c r="DF23" s="161"/>
      <c r="DG23" s="161"/>
      <c r="DH23" s="161"/>
    </row>
    <row r="24" ht="20.25" customHeight="1">
      <c r="A24" s="41">
        <v>24.0</v>
      </c>
      <c r="B24" s="154" t="s">
        <v>107</v>
      </c>
      <c r="C24" s="154" t="s">
        <v>108</v>
      </c>
      <c r="D24" s="164" t="s">
        <v>241</v>
      </c>
      <c r="E24" s="154"/>
      <c r="F24" s="165" t="s">
        <v>309</v>
      </c>
      <c r="G24" s="154" t="s">
        <v>310</v>
      </c>
      <c r="H24" s="154" t="s">
        <v>242</v>
      </c>
      <c r="I24" s="166">
        <v>45625.0</v>
      </c>
      <c r="J24" s="167">
        <v>45692.0</v>
      </c>
      <c r="K24" s="154" t="s">
        <v>311</v>
      </c>
      <c r="L24" s="168"/>
      <c r="M24" s="154" t="s">
        <v>312</v>
      </c>
      <c r="N24" s="154" t="s">
        <v>284</v>
      </c>
      <c r="O24" s="169">
        <v>1.0</v>
      </c>
      <c r="P24" s="170" t="str">
        <f> hyperlink(vlookup(lower(N24),'File Links'!A:B, 2, FALSE), SUBSTITUTE(lower(N24), "/", "--") &amp;  ".pdf")</f>
        <v>10.1111--lang.12161.pdf</v>
      </c>
      <c r="Q24" s="49" t="str">
        <f t="array" ref="Q24"> if(iserror(MATCH(V24, 'File Links'!C:C, 0)), "N/A", HYPERLINK(INDEX('File Links'!B:B, MATCH(P24, 'File Links'!C:C, 0))))</f>
        <v>https://drive.google.com/file/d/1W_KvsfbanYWBQG9nzoDuqDlzFW_jUYH2/view?usp=drivesdk</v>
      </c>
      <c r="R24" s="154" t="s">
        <v>285</v>
      </c>
      <c r="S24" s="154" t="s">
        <v>286</v>
      </c>
      <c r="T24" s="168"/>
      <c r="U24" s="169">
        <v>1.0</v>
      </c>
      <c r="V24" s="63" t="str">
        <f> hyperlink(vlookup(lower(S24),'File Links'!E:F, 2, FALSE), SUBSTITUTE(lower(S24), "/", "--") &amp;  ".pdf")</f>
        <v>10.1017--s0272263124000238.pdf</v>
      </c>
      <c r="W24" s="169" t="s">
        <v>313</v>
      </c>
      <c r="X24" s="51" t="str">
        <f t="array" ref="X24"> if(iserror(MATCH(V24, 'File Links'!C:C, 0)), "N/A", HYPERLINK(INDEX('File Links'!B:B, MATCH(V24, 'File Links'!C:C, 0))))</f>
        <v>https://drive.google.com/file/d/1KQ2h_KjNuvgQPQ443vS97noydUJbOuPG/view?usp=drivesdk</v>
      </c>
      <c r="Y24" s="168"/>
      <c r="Z24" s="164" t="s">
        <v>288</v>
      </c>
      <c r="AA24" s="171" t="s">
        <v>314</v>
      </c>
      <c r="AB24" s="172" t="s">
        <v>290</v>
      </c>
      <c r="AC24" s="154" t="s">
        <v>315</v>
      </c>
      <c r="AD24" s="154" t="s">
        <v>316</v>
      </c>
      <c r="AE24" s="154">
        <v>21.0</v>
      </c>
      <c r="AF24" s="154">
        <v>18.0</v>
      </c>
      <c r="AG24" s="168"/>
      <c r="AH24" s="168"/>
      <c r="AI24" s="168"/>
      <c r="AJ24" s="154"/>
      <c r="AK24" s="154" t="s">
        <v>128</v>
      </c>
      <c r="AL24" s="154" t="s">
        <v>179</v>
      </c>
      <c r="AM24" s="161"/>
      <c r="AN24" s="55" t="s">
        <v>131</v>
      </c>
      <c r="AO24" s="154">
        <v>58.0</v>
      </c>
      <c r="AP24" s="168"/>
      <c r="AQ24" s="168"/>
      <c r="AR24" s="168"/>
      <c r="AS24" s="168"/>
      <c r="AT24" s="168"/>
      <c r="AU24" s="154" t="s">
        <v>179</v>
      </c>
      <c r="AV24" s="161"/>
      <c r="AW24" s="161"/>
      <c r="AX24" s="172" t="s">
        <v>317</v>
      </c>
      <c r="AY24" s="168"/>
      <c r="AZ24" s="165" t="s">
        <v>137</v>
      </c>
      <c r="BA24" s="161"/>
      <c r="BB24" s="161"/>
      <c r="BC24" s="161"/>
      <c r="BD24" s="161"/>
      <c r="BE24" s="161"/>
      <c r="BF24" s="161"/>
      <c r="BG24" s="161"/>
      <c r="BH24" s="161"/>
      <c r="BI24" s="161"/>
      <c r="BJ24" s="161"/>
      <c r="BK24" s="161"/>
      <c r="BL24" s="161"/>
      <c r="BM24" s="161"/>
      <c r="BN24" s="161"/>
      <c r="BO24" s="161"/>
      <c r="BP24" s="161"/>
      <c r="BQ24" s="161"/>
      <c r="BR24" s="161"/>
      <c r="BS24" s="161"/>
      <c r="BT24" s="161"/>
      <c r="BU24" s="161"/>
      <c r="BV24" s="161"/>
      <c r="BW24" s="161"/>
      <c r="BX24" s="161"/>
      <c r="BY24" s="161"/>
      <c r="BZ24" s="161"/>
      <c r="CA24" s="161"/>
      <c r="CB24" s="161"/>
      <c r="CC24" s="161"/>
      <c r="CD24" s="161"/>
      <c r="CE24" s="161"/>
      <c r="CF24" s="161"/>
      <c r="CG24" s="161"/>
      <c r="CH24" s="161"/>
      <c r="CI24" s="161"/>
      <c r="CJ24" s="161"/>
      <c r="CK24" s="161"/>
      <c r="CL24" s="161"/>
      <c r="CM24" s="161"/>
      <c r="CN24" s="161"/>
      <c r="CO24" s="161"/>
      <c r="CP24" s="161"/>
      <c r="CQ24" s="161"/>
      <c r="CR24" s="161"/>
      <c r="CS24" s="161"/>
      <c r="CT24" s="161"/>
      <c r="CU24" s="161"/>
      <c r="CV24" s="161"/>
      <c r="CW24" s="161"/>
      <c r="CX24" s="161"/>
      <c r="CY24" s="161"/>
      <c r="CZ24" s="161"/>
      <c r="DA24" s="161"/>
      <c r="DB24" s="161"/>
      <c r="DC24" s="161"/>
      <c r="DD24" s="161"/>
      <c r="DE24" s="161"/>
      <c r="DF24" s="161"/>
      <c r="DG24" s="161"/>
      <c r="DH24" s="161"/>
    </row>
    <row r="25" ht="20.25" customHeight="1">
      <c r="A25" s="41">
        <v>25.0</v>
      </c>
      <c r="B25" s="154" t="s">
        <v>145</v>
      </c>
      <c r="C25" s="154" t="s">
        <v>108</v>
      </c>
      <c r="D25" s="164" t="s">
        <v>241</v>
      </c>
      <c r="E25" s="154"/>
      <c r="F25" s="165" t="s">
        <v>309</v>
      </c>
      <c r="G25" s="154" t="s">
        <v>318</v>
      </c>
      <c r="H25" s="154" t="s">
        <v>242</v>
      </c>
      <c r="I25" s="166">
        <v>45625.0</v>
      </c>
      <c r="J25" s="167">
        <v>45692.0</v>
      </c>
      <c r="K25" s="154" t="s">
        <v>319</v>
      </c>
      <c r="L25" s="154" t="s">
        <v>320</v>
      </c>
      <c r="M25" s="154" t="s">
        <v>312</v>
      </c>
      <c r="N25" s="154" t="s">
        <v>284</v>
      </c>
      <c r="O25" s="169">
        <v>1.0</v>
      </c>
      <c r="P25" s="170" t="str">
        <f> hyperlink(vlookup(lower(N25),'File Links'!A:B, 2, FALSE), SUBSTITUTE(lower(N25), "/", "--") &amp;  ".pdf")</f>
        <v>10.1111--lang.12161.pdf</v>
      </c>
      <c r="Q25" s="49" t="str">
        <f t="array" ref="Q25"> if(iserror(MATCH(V25, 'File Links'!C:C, 0)), "N/A", HYPERLINK(INDEX('File Links'!B:B, MATCH(P25, 'File Links'!C:C, 0))))</f>
        <v>https://drive.google.com/file/d/1W_KvsfbanYWBQG9nzoDuqDlzFW_jUYH2/view?usp=drivesdk</v>
      </c>
      <c r="R25" s="154" t="s">
        <v>285</v>
      </c>
      <c r="S25" s="154" t="s">
        <v>286</v>
      </c>
      <c r="T25" s="168"/>
      <c r="U25" s="169">
        <v>1.0</v>
      </c>
      <c r="V25" s="63" t="str">
        <f> hyperlink(vlookup(lower(S25),'File Links'!E:F, 2, FALSE), SUBSTITUTE(lower(S25), "/", "--") &amp;  ".pdf")</f>
        <v>10.1017--s0272263124000238.pdf</v>
      </c>
      <c r="W25" s="169" t="s">
        <v>313</v>
      </c>
      <c r="X25" s="51" t="str">
        <f t="array" ref="X25"> if(iserror(MATCH(V25, 'File Links'!C:C, 0)), "N/A", HYPERLINK(INDEX('File Links'!B:B, MATCH(V25, 'File Links'!C:C, 0))))</f>
        <v>https://drive.google.com/file/d/1KQ2h_KjNuvgQPQ443vS97noydUJbOuPG/view?usp=drivesdk</v>
      </c>
      <c r="Y25" s="168"/>
      <c r="Z25" s="164" t="s">
        <v>288</v>
      </c>
      <c r="AA25" s="171" t="s">
        <v>314</v>
      </c>
      <c r="AB25" s="172" t="s">
        <v>290</v>
      </c>
      <c r="AC25" s="154" t="s">
        <v>321</v>
      </c>
      <c r="AD25" s="154" t="s">
        <v>316</v>
      </c>
      <c r="AE25" s="169">
        <v>33.0</v>
      </c>
      <c r="AF25" s="154">
        <v>18.0</v>
      </c>
      <c r="AG25" s="154">
        <v>-0.42</v>
      </c>
      <c r="AH25" s="154" t="s">
        <v>322</v>
      </c>
      <c r="AI25" s="154" t="s">
        <v>323</v>
      </c>
      <c r="AJ25" s="154">
        <v>0.01</v>
      </c>
      <c r="AK25" s="154" t="s">
        <v>128</v>
      </c>
      <c r="AL25" s="154" t="s">
        <v>211</v>
      </c>
      <c r="AM25" s="165" t="s">
        <v>134</v>
      </c>
      <c r="AN25" s="55" t="s">
        <v>131</v>
      </c>
      <c r="AO25" s="154">
        <v>58.0</v>
      </c>
      <c r="AP25" s="154">
        <v>-0.13</v>
      </c>
      <c r="AQ25" s="154" t="s">
        <v>322</v>
      </c>
      <c r="AR25" s="154" t="s">
        <v>324</v>
      </c>
      <c r="AS25" s="154">
        <v>0.379</v>
      </c>
      <c r="AT25" s="154" t="s">
        <v>165</v>
      </c>
      <c r="AU25" s="154" t="s">
        <v>211</v>
      </c>
      <c r="AV25" s="165" t="s">
        <v>134</v>
      </c>
      <c r="AW25" s="173" t="s">
        <v>293</v>
      </c>
      <c r="AX25" s="172" t="s">
        <v>317</v>
      </c>
      <c r="AY25" s="168"/>
      <c r="AZ25" s="165" t="s">
        <v>137</v>
      </c>
    </row>
    <row r="26" ht="20.25" customHeight="1">
      <c r="A26" s="41">
        <v>26.0</v>
      </c>
      <c r="B26" s="154" t="s">
        <v>145</v>
      </c>
      <c r="C26" s="154" t="s">
        <v>108</v>
      </c>
      <c r="D26" s="164" t="s">
        <v>241</v>
      </c>
      <c r="E26" s="154"/>
      <c r="F26" s="165" t="s">
        <v>309</v>
      </c>
      <c r="G26" s="154" t="s">
        <v>325</v>
      </c>
      <c r="H26" s="154" t="s">
        <v>242</v>
      </c>
      <c r="I26" s="166">
        <v>45625.0</v>
      </c>
      <c r="J26" s="167">
        <v>45692.0</v>
      </c>
      <c r="K26" s="154" t="s">
        <v>326</v>
      </c>
      <c r="L26" s="154" t="s">
        <v>320</v>
      </c>
      <c r="M26" s="154" t="s">
        <v>312</v>
      </c>
      <c r="N26" s="154" t="s">
        <v>284</v>
      </c>
      <c r="O26" s="169">
        <v>1.0</v>
      </c>
      <c r="P26" s="170" t="str">
        <f> hyperlink(vlookup(lower(N26),'File Links'!A:B, 2, FALSE), SUBSTITUTE(lower(N26), "/", "--") &amp;  ".pdf")</f>
        <v>10.1111--lang.12161.pdf</v>
      </c>
      <c r="Q26" s="49" t="str">
        <f t="array" ref="Q26"> if(iserror(MATCH(V26, 'File Links'!C:C, 0)), "N/A", HYPERLINK(INDEX('File Links'!B:B, MATCH(P26, 'File Links'!C:C, 0))))</f>
        <v>https://drive.google.com/file/d/1W_KvsfbanYWBQG9nzoDuqDlzFW_jUYH2/view?usp=drivesdk</v>
      </c>
      <c r="R26" s="154" t="s">
        <v>285</v>
      </c>
      <c r="S26" s="154" t="s">
        <v>286</v>
      </c>
      <c r="T26" s="168"/>
      <c r="U26" s="169">
        <v>1.0</v>
      </c>
      <c r="V26" s="63" t="str">
        <f> hyperlink(vlookup(lower(S26),'File Links'!E:F, 2, FALSE), SUBSTITUTE(lower(S26), "/", "--") &amp;  ".pdf")</f>
        <v>10.1017--s0272263124000238.pdf</v>
      </c>
      <c r="W26" s="169" t="s">
        <v>313</v>
      </c>
      <c r="X26" s="51" t="str">
        <f t="array" ref="X26"> if(iserror(MATCH(V26, 'File Links'!C:C, 0)), "N/A", HYPERLINK(INDEX('File Links'!B:B, MATCH(V26, 'File Links'!C:C, 0))))</f>
        <v>https://drive.google.com/file/d/1KQ2h_KjNuvgQPQ443vS97noydUJbOuPG/view?usp=drivesdk</v>
      </c>
      <c r="Y26" s="168"/>
      <c r="Z26" s="164" t="s">
        <v>288</v>
      </c>
      <c r="AA26" s="171" t="s">
        <v>314</v>
      </c>
      <c r="AB26" s="172" t="s">
        <v>290</v>
      </c>
      <c r="AC26" s="154" t="s">
        <v>327</v>
      </c>
      <c r="AD26" s="154" t="s">
        <v>316</v>
      </c>
      <c r="AE26" s="169">
        <v>33.0</v>
      </c>
      <c r="AF26" s="154">
        <v>18.0</v>
      </c>
      <c r="AG26" s="154">
        <v>-0.04</v>
      </c>
      <c r="AH26" s="154" t="s">
        <v>322</v>
      </c>
      <c r="AI26" s="154" t="s">
        <v>323</v>
      </c>
      <c r="AJ26" s="154">
        <v>0.05</v>
      </c>
      <c r="AK26" s="154" t="s">
        <v>328</v>
      </c>
      <c r="AL26" s="154" t="s">
        <v>211</v>
      </c>
      <c r="AM26" s="165" t="s">
        <v>134</v>
      </c>
      <c r="AN26" s="55" t="s">
        <v>131</v>
      </c>
      <c r="AO26" s="154">
        <v>58.0</v>
      </c>
      <c r="AP26" s="154">
        <v>0.09</v>
      </c>
      <c r="AQ26" s="154" t="s">
        <v>322</v>
      </c>
      <c r="AR26" s="154" t="s">
        <v>324</v>
      </c>
      <c r="AS26" s="154">
        <v>0.529</v>
      </c>
      <c r="AT26" s="154" t="s">
        <v>165</v>
      </c>
      <c r="AU26" s="154" t="s">
        <v>211</v>
      </c>
      <c r="AV26" s="165" t="s">
        <v>134</v>
      </c>
      <c r="AW26" s="173" t="s">
        <v>293</v>
      </c>
      <c r="AX26" s="172" t="s">
        <v>317</v>
      </c>
      <c r="AY26" s="168"/>
      <c r="AZ26" s="165" t="s">
        <v>137</v>
      </c>
    </row>
    <row r="27" ht="20.25" customHeight="1">
      <c r="A27" s="41">
        <v>27.0</v>
      </c>
      <c r="B27" s="154" t="s">
        <v>145</v>
      </c>
      <c r="C27" s="154" t="s">
        <v>108</v>
      </c>
      <c r="D27" s="164" t="s">
        <v>241</v>
      </c>
      <c r="E27" s="154"/>
      <c r="F27" s="165" t="s">
        <v>309</v>
      </c>
      <c r="G27" s="154" t="s">
        <v>281</v>
      </c>
      <c r="H27" s="154" t="s">
        <v>242</v>
      </c>
      <c r="I27" s="166">
        <v>45625.0</v>
      </c>
      <c r="J27" s="167">
        <v>45692.0</v>
      </c>
      <c r="K27" s="154" t="s">
        <v>329</v>
      </c>
      <c r="L27" s="154" t="s">
        <v>320</v>
      </c>
      <c r="M27" s="154" t="s">
        <v>312</v>
      </c>
      <c r="N27" s="154" t="s">
        <v>284</v>
      </c>
      <c r="O27" s="169">
        <v>1.0</v>
      </c>
      <c r="P27" s="170" t="str">
        <f> hyperlink(vlookup(lower(N27),'File Links'!A:B, 2, FALSE), SUBSTITUTE(lower(N27), "/", "--") &amp;  ".pdf")</f>
        <v>10.1111--lang.12161.pdf</v>
      </c>
      <c r="Q27" s="49" t="str">
        <f t="array" ref="Q27"> if(iserror(MATCH(V27, 'File Links'!C:C, 0)), "N/A", HYPERLINK(INDEX('File Links'!B:B, MATCH(P27, 'File Links'!C:C, 0))))</f>
        <v>https://drive.google.com/file/d/1W_KvsfbanYWBQG9nzoDuqDlzFW_jUYH2/view?usp=drivesdk</v>
      </c>
      <c r="R27" s="154" t="s">
        <v>285</v>
      </c>
      <c r="S27" s="154" t="s">
        <v>286</v>
      </c>
      <c r="T27" s="168"/>
      <c r="U27" s="169">
        <v>1.0</v>
      </c>
      <c r="V27" s="63" t="str">
        <f> hyperlink(vlookup(lower(S27),'File Links'!E:F, 2, FALSE), SUBSTITUTE(lower(S27), "/", "--") &amp;  ".pdf")</f>
        <v>10.1017--s0272263124000238.pdf</v>
      </c>
      <c r="W27" s="169" t="s">
        <v>313</v>
      </c>
      <c r="X27" s="51" t="str">
        <f t="array" ref="X27"> if(iserror(MATCH(V27, 'File Links'!C:C, 0)), "N/A", HYPERLINK(INDEX('File Links'!B:B, MATCH(V27, 'File Links'!C:C, 0))))</f>
        <v>https://drive.google.com/file/d/1KQ2h_KjNuvgQPQ443vS97noydUJbOuPG/view?usp=drivesdk</v>
      </c>
      <c r="Y27" s="168"/>
      <c r="Z27" s="164" t="s">
        <v>288</v>
      </c>
      <c r="AA27" s="171" t="s">
        <v>314</v>
      </c>
      <c r="AB27" s="172" t="s">
        <v>290</v>
      </c>
      <c r="AC27" s="154" t="s">
        <v>330</v>
      </c>
      <c r="AD27" s="154" t="s">
        <v>316</v>
      </c>
      <c r="AE27" s="169">
        <v>33.0</v>
      </c>
      <c r="AF27" s="154">
        <v>18.0</v>
      </c>
      <c r="AG27" s="154">
        <v>0.34</v>
      </c>
      <c r="AH27" s="154" t="s">
        <v>322</v>
      </c>
      <c r="AI27" s="154" t="s">
        <v>323</v>
      </c>
      <c r="AJ27" s="154">
        <v>0.05</v>
      </c>
      <c r="AK27" s="154" t="s">
        <v>128</v>
      </c>
      <c r="AL27" s="154" t="s">
        <v>211</v>
      </c>
      <c r="AM27" s="165" t="s">
        <v>134</v>
      </c>
      <c r="AN27" s="55" t="s">
        <v>131</v>
      </c>
      <c r="AO27" s="154">
        <v>58.0</v>
      </c>
      <c r="AP27" s="154">
        <v>0.07</v>
      </c>
      <c r="AQ27" s="154" t="s">
        <v>322</v>
      </c>
      <c r="AR27" s="154" t="s">
        <v>324</v>
      </c>
      <c r="AS27" s="174">
        <v>0.61</v>
      </c>
      <c r="AT27" s="154" t="s">
        <v>165</v>
      </c>
      <c r="AU27" s="154" t="s">
        <v>211</v>
      </c>
      <c r="AV27" s="165" t="s">
        <v>134</v>
      </c>
      <c r="AW27" s="173" t="s">
        <v>293</v>
      </c>
      <c r="AX27" s="172" t="s">
        <v>317</v>
      </c>
      <c r="AY27" s="168"/>
      <c r="AZ27" s="165" t="s">
        <v>137</v>
      </c>
    </row>
    <row r="28" ht="20.25" customHeight="1">
      <c r="A28" s="41">
        <v>28.0</v>
      </c>
      <c r="B28" s="154" t="s">
        <v>107</v>
      </c>
      <c r="C28" s="165" t="s">
        <v>108</v>
      </c>
      <c r="D28" s="165" t="s">
        <v>279</v>
      </c>
      <c r="E28" s="161"/>
      <c r="F28" s="175" t="s">
        <v>309</v>
      </c>
      <c r="G28" s="164" t="s">
        <v>280</v>
      </c>
      <c r="H28" s="164" t="s">
        <v>282</v>
      </c>
      <c r="I28" s="176">
        <v>45683.0</v>
      </c>
      <c r="J28" s="167">
        <v>45692.0</v>
      </c>
      <c r="K28" s="172" t="s">
        <v>283</v>
      </c>
      <c r="L28" s="177"/>
      <c r="M28" s="175" t="s">
        <v>312</v>
      </c>
      <c r="N28" s="175" t="s">
        <v>284</v>
      </c>
      <c r="O28" s="178">
        <v>1.0</v>
      </c>
      <c r="P28" s="164" t="s">
        <v>331</v>
      </c>
      <c r="Q28" s="49" t="str">
        <f t="array" ref="Q28"> if(iserror(MATCH(V28, 'File Links'!C:C, 0)), "N/A", HYPERLINK(INDEX('File Links'!B:B, MATCH(P28, 'File Links'!C:C, 0))))</f>
        <v>https://drive.google.com/file/d/1W_KvsfbanYWBQG9nzoDuqDlzFW_jUYH2/view?usp=drivesdk</v>
      </c>
      <c r="R28" s="172" t="s">
        <v>285</v>
      </c>
      <c r="S28" s="169" t="s">
        <v>286</v>
      </c>
      <c r="T28" s="177"/>
      <c r="U28" s="178">
        <v>1.0</v>
      </c>
      <c r="V28" s="63" t="str">
        <f> hyperlink(vlookup(lower(S28),'File Links'!E:F, 2, FALSE), SUBSTITUTE(lower(S28), "/", "--") &amp;  ".pdf")</f>
        <v>10.1017--s0272263124000238.pdf</v>
      </c>
      <c r="W28" s="169" t="s">
        <v>313</v>
      </c>
      <c r="X28" s="51" t="str">
        <f t="array" ref="X28"> if(iserror(MATCH(V28, 'File Links'!C:C, 0)), "N/A", HYPERLINK(INDEX('File Links'!B:B, MATCH(V28, 'File Links'!C:C, 0))))</f>
        <v>https://drive.google.com/file/d/1KQ2h_KjNuvgQPQ443vS97noydUJbOuPG/view?usp=drivesdk</v>
      </c>
      <c r="Y28" s="161"/>
      <c r="Z28" s="164" t="s">
        <v>288</v>
      </c>
      <c r="AA28" s="171" t="s">
        <v>314</v>
      </c>
      <c r="AB28" s="172" t="s">
        <v>290</v>
      </c>
      <c r="AC28" s="172" t="s">
        <v>332</v>
      </c>
      <c r="AD28" s="179" t="s">
        <v>333</v>
      </c>
      <c r="AE28" s="180"/>
      <c r="AF28" s="181" t="s">
        <v>288</v>
      </c>
      <c r="AG28" s="181" t="s">
        <v>334</v>
      </c>
      <c r="AH28" s="164" t="s">
        <v>131</v>
      </c>
      <c r="AI28" s="172" t="s">
        <v>335</v>
      </c>
      <c r="AJ28" s="182"/>
      <c r="AK28" s="183"/>
      <c r="AL28" s="164" t="s">
        <v>288</v>
      </c>
      <c r="AM28" s="172" t="s">
        <v>336</v>
      </c>
      <c r="AN28" s="172"/>
      <c r="AO28" s="181" t="s">
        <v>337</v>
      </c>
      <c r="AP28" s="181" t="s">
        <v>338</v>
      </c>
      <c r="AQ28" s="164" t="s">
        <v>131</v>
      </c>
      <c r="AR28" s="172">
        <v>25.0</v>
      </c>
      <c r="AS28" s="182">
        <v>0.71</v>
      </c>
      <c r="AT28" s="164" t="s">
        <v>208</v>
      </c>
      <c r="AU28" s="164" t="s">
        <v>298</v>
      </c>
      <c r="AV28" s="172">
        <v>0.001</v>
      </c>
      <c r="AW28" s="184" t="s">
        <v>128</v>
      </c>
      <c r="AX28" s="172" t="s">
        <v>179</v>
      </c>
      <c r="AY28" s="165" t="s">
        <v>134</v>
      </c>
      <c r="AZ28" s="165" t="s">
        <v>137</v>
      </c>
    </row>
    <row r="29" ht="20.25" customHeight="1">
      <c r="A29" s="41">
        <v>29.0</v>
      </c>
      <c r="B29" s="185" t="s">
        <v>107</v>
      </c>
      <c r="C29" s="185" t="s">
        <v>108</v>
      </c>
      <c r="D29" s="185" t="s">
        <v>339</v>
      </c>
      <c r="E29" s="186"/>
      <c r="F29" s="187" t="s">
        <v>340</v>
      </c>
      <c r="G29" s="55" t="s">
        <v>341</v>
      </c>
      <c r="H29" s="55" t="s">
        <v>342</v>
      </c>
      <c r="I29" s="188">
        <v>45637.0</v>
      </c>
      <c r="J29" s="167">
        <v>45692.0</v>
      </c>
      <c r="K29" s="189" t="s">
        <v>343</v>
      </c>
      <c r="L29" s="190"/>
      <c r="M29" s="55" t="s">
        <v>344</v>
      </c>
      <c r="N29" s="189" t="s">
        <v>345</v>
      </c>
      <c r="O29" s="190"/>
      <c r="P29" s="191" t="s">
        <v>346</v>
      </c>
      <c r="Q29" s="49" t="str">
        <f t="array" ref="Q29"> if(iserror(MATCH(V29, 'File Links'!C:C, 0)), "N/A", HYPERLINK(INDEX('File Links'!B:B, MATCH(P29, 'File Links'!C:C, 0))))</f>
        <v>https://drive.google.com/file/d/1OByNKNsjZqSFHFFyt-o1mPqDkVmgruBu/view?usp=drivesdk</v>
      </c>
      <c r="R29" s="55" t="s">
        <v>347</v>
      </c>
      <c r="S29" s="55" t="s">
        <v>348</v>
      </c>
      <c r="T29" s="190"/>
      <c r="U29" s="192"/>
      <c r="V29" s="63" t="str">
        <f> hyperlink(vlookup(lower(S29),'File Links'!E:F, 2, FALSE), SUBSTITUTE(lower(S29), "/", "--") &amp;  ".pdf")</f>
        <v>10.1111--fare.13030.pdf</v>
      </c>
      <c r="W29" s="193" t="s">
        <v>349</v>
      </c>
      <c r="X29" s="51" t="str">
        <f t="array" ref="X29"> if(iserror(MATCH(V29, 'File Links'!C:C, 0)), "N/A", HYPERLINK(INDEX('File Links'!B:B, MATCH(V29, 'File Links'!C:C, 0))))</f>
        <v>https://drive.google.com/file/d/1TGN_TAtoJI3jhMQTEG2wnN59FCyiXC2_/view?usp=drivesdk</v>
      </c>
      <c r="Y29" s="190"/>
      <c r="Z29" s="55" t="s">
        <v>219</v>
      </c>
      <c r="AA29" s="190"/>
      <c r="AB29" s="189" t="s">
        <v>350</v>
      </c>
      <c r="AC29" s="189" t="s">
        <v>351</v>
      </c>
      <c r="AD29" s="189" t="s">
        <v>352</v>
      </c>
      <c r="AE29" s="194">
        <v>1.0</v>
      </c>
      <c r="AF29" s="194">
        <v>1950.0</v>
      </c>
      <c r="AG29" s="194">
        <v>0.13</v>
      </c>
      <c r="AH29" s="191" t="s">
        <v>353</v>
      </c>
      <c r="AI29" s="55" t="s">
        <v>300</v>
      </c>
      <c r="AJ29" s="194">
        <v>0.001</v>
      </c>
      <c r="AK29" s="195" t="s">
        <v>128</v>
      </c>
      <c r="AL29" s="55" t="s">
        <v>179</v>
      </c>
      <c r="AM29" s="190"/>
      <c r="AN29" s="55" t="s">
        <v>131</v>
      </c>
      <c r="AO29" s="194">
        <v>1079.0</v>
      </c>
      <c r="AP29" s="194">
        <v>0.06</v>
      </c>
      <c r="AQ29" s="55" t="s">
        <v>354</v>
      </c>
      <c r="AR29" s="55" t="s">
        <v>355</v>
      </c>
      <c r="AS29" s="194">
        <v>0.01</v>
      </c>
      <c r="AT29" s="195" t="s">
        <v>128</v>
      </c>
      <c r="AU29" s="195" t="s">
        <v>179</v>
      </c>
      <c r="AV29" s="187"/>
      <c r="AW29" s="187" t="s">
        <v>131</v>
      </c>
      <c r="AX29" s="187" t="s">
        <v>144</v>
      </c>
      <c r="AY29" s="190"/>
      <c r="AZ29" s="196" t="s">
        <v>137</v>
      </c>
      <c r="BA29" s="186"/>
      <c r="BB29" s="186"/>
      <c r="BC29" s="186"/>
      <c r="BD29" s="186"/>
      <c r="BE29" s="186"/>
      <c r="BF29" s="186"/>
      <c r="BG29" s="186"/>
      <c r="BH29" s="186"/>
      <c r="BI29" s="186"/>
      <c r="BJ29" s="186"/>
      <c r="BK29" s="186"/>
      <c r="BL29" s="186"/>
      <c r="BM29" s="186"/>
      <c r="BN29" s="186"/>
      <c r="BO29" s="186"/>
      <c r="BP29" s="186"/>
      <c r="BQ29" s="186"/>
      <c r="BR29" s="186"/>
      <c r="BS29" s="186"/>
      <c r="BT29" s="186"/>
      <c r="BU29" s="186"/>
      <c r="BV29" s="186"/>
      <c r="BW29" s="186"/>
      <c r="BX29" s="186"/>
      <c r="BY29" s="186"/>
      <c r="BZ29" s="186"/>
      <c r="CA29" s="186"/>
      <c r="CB29" s="186"/>
      <c r="CC29" s="186"/>
      <c r="CD29" s="186"/>
      <c r="CE29" s="186"/>
      <c r="CF29" s="186"/>
      <c r="CG29" s="186"/>
      <c r="CH29" s="186"/>
      <c r="CI29" s="186"/>
      <c r="CJ29" s="186"/>
      <c r="CK29" s="186"/>
      <c r="CL29" s="186"/>
      <c r="CM29" s="186"/>
      <c r="CN29" s="186"/>
      <c r="CO29" s="186"/>
      <c r="CP29" s="186"/>
      <c r="CQ29" s="186"/>
      <c r="CR29" s="186"/>
      <c r="CS29" s="186"/>
      <c r="CT29" s="186"/>
      <c r="CU29" s="186"/>
      <c r="CV29" s="186"/>
      <c r="CW29" s="186"/>
      <c r="CX29" s="186"/>
      <c r="CY29" s="186"/>
      <c r="CZ29" s="186"/>
      <c r="DA29" s="186"/>
      <c r="DB29" s="186"/>
      <c r="DC29" s="186"/>
      <c r="DD29" s="186"/>
      <c r="DE29" s="186"/>
      <c r="DF29" s="186"/>
      <c r="DG29" s="186"/>
      <c r="DH29" s="186"/>
    </row>
    <row r="30" ht="20.25" customHeight="1">
      <c r="A30" s="41">
        <v>30.0</v>
      </c>
      <c r="B30" s="185" t="s">
        <v>107</v>
      </c>
      <c r="C30" s="185" t="s">
        <v>108</v>
      </c>
      <c r="D30" s="185" t="s">
        <v>339</v>
      </c>
      <c r="E30" s="186"/>
      <c r="F30" s="187" t="s">
        <v>340</v>
      </c>
      <c r="G30" s="55" t="s">
        <v>356</v>
      </c>
      <c r="H30" s="55" t="s">
        <v>342</v>
      </c>
      <c r="I30" s="188">
        <v>45637.0</v>
      </c>
      <c r="J30" s="167">
        <v>45692.0</v>
      </c>
      <c r="K30" s="189" t="s">
        <v>343</v>
      </c>
      <c r="L30" s="190"/>
      <c r="M30" s="55" t="s">
        <v>344</v>
      </c>
      <c r="N30" s="189" t="s">
        <v>345</v>
      </c>
      <c r="O30" s="190"/>
      <c r="P30" s="191" t="s">
        <v>346</v>
      </c>
      <c r="Q30" s="49" t="str">
        <f t="array" ref="Q30"> if(iserror(MATCH(V30, 'File Links'!C:C, 0)), "N/A", HYPERLINK(INDEX('File Links'!B:B, MATCH(P30, 'File Links'!C:C, 0))))</f>
        <v>https://drive.google.com/file/d/1OByNKNsjZqSFHFFyt-o1mPqDkVmgruBu/view?usp=drivesdk</v>
      </c>
      <c r="R30" s="55" t="s">
        <v>347</v>
      </c>
      <c r="S30" s="55" t="s">
        <v>348</v>
      </c>
      <c r="T30" s="190"/>
      <c r="U30" s="192"/>
      <c r="V30" s="63" t="str">
        <f> hyperlink(vlookup(lower(S30),'File Links'!E:F, 2, FALSE), SUBSTITUTE(lower(S30), "/", "--") &amp;  ".pdf")</f>
        <v>10.1111--fare.13030.pdf</v>
      </c>
      <c r="W30" s="193" t="s">
        <v>349</v>
      </c>
      <c r="X30" s="51" t="str">
        <f t="array" ref="X30"> if(iserror(MATCH(V30, 'File Links'!C:C, 0)), "N/A", HYPERLINK(INDEX('File Links'!B:B, MATCH(V30, 'File Links'!C:C, 0))))</f>
        <v>https://drive.google.com/file/d/1TGN_TAtoJI3jhMQTEG2wnN59FCyiXC2_/view?usp=drivesdk</v>
      </c>
      <c r="Y30" s="190"/>
      <c r="Z30" s="55" t="s">
        <v>219</v>
      </c>
      <c r="AA30" s="190"/>
      <c r="AB30" s="189" t="s">
        <v>350</v>
      </c>
      <c r="AC30" s="189" t="s">
        <v>357</v>
      </c>
      <c r="AD30" s="189" t="s">
        <v>352</v>
      </c>
      <c r="AE30" s="194">
        <v>1.0</v>
      </c>
      <c r="AF30" s="194">
        <v>1950.0</v>
      </c>
      <c r="AG30" s="194">
        <v>0.13</v>
      </c>
      <c r="AH30" s="191" t="s">
        <v>353</v>
      </c>
      <c r="AI30" s="55" t="s">
        <v>300</v>
      </c>
      <c r="AJ30" s="194">
        <v>0.001</v>
      </c>
      <c r="AK30" s="195" t="s">
        <v>128</v>
      </c>
      <c r="AL30" s="55" t="s">
        <v>179</v>
      </c>
      <c r="AM30" s="190"/>
      <c r="AN30" s="55" t="s">
        <v>131</v>
      </c>
      <c r="AO30" s="194">
        <v>1079.0</v>
      </c>
      <c r="AP30" s="194">
        <v>0.02</v>
      </c>
      <c r="AQ30" s="55" t="s">
        <v>354</v>
      </c>
      <c r="AR30" s="55" t="s">
        <v>355</v>
      </c>
      <c r="AS30" s="194">
        <v>0.05</v>
      </c>
      <c r="AT30" s="195" t="s">
        <v>128</v>
      </c>
      <c r="AU30" s="195" t="s">
        <v>179</v>
      </c>
      <c r="AV30" s="187"/>
      <c r="AW30" s="187" t="s">
        <v>131</v>
      </c>
      <c r="AX30" s="187" t="s">
        <v>144</v>
      </c>
      <c r="AY30" s="190"/>
      <c r="AZ30" s="196" t="s">
        <v>137</v>
      </c>
      <c r="BA30" s="186"/>
      <c r="BB30" s="186"/>
      <c r="BC30" s="186"/>
      <c r="BD30" s="186"/>
      <c r="BE30" s="186"/>
      <c r="BF30" s="186"/>
      <c r="BG30" s="186"/>
      <c r="BH30" s="186"/>
      <c r="BI30" s="186"/>
      <c r="BJ30" s="186"/>
      <c r="BK30" s="186"/>
      <c r="BL30" s="186"/>
      <c r="BM30" s="186"/>
      <c r="BN30" s="186"/>
      <c r="BO30" s="186"/>
      <c r="BP30" s="186"/>
      <c r="BQ30" s="186"/>
      <c r="BR30" s="186"/>
      <c r="BS30" s="186"/>
      <c r="BT30" s="186"/>
      <c r="BU30" s="186"/>
      <c r="BV30" s="186"/>
      <c r="BW30" s="186"/>
      <c r="BX30" s="186"/>
      <c r="BY30" s="186"/>
      <c r="BZ30" s="186"/>
      <c r="CA30" s="186"/>
      <c r="CB30" s="186"/>
      <c r="CC30" s="186"/>
      <c r="CD30" s="186"/>
      <c r="CE30" s="186"/>
      <c r="CF30" s="186"/>
      <c r="CG30" s="186"/>
      <c r="CH30" s="186"/>
      <c r="CI30" s="186"/>
      <c r="CJ30" s="186"/>
      <c r="CK30" s="186"/>
      <c r="CL30" s="186"/>
      <c r="CM30" s="186"/>
      <c r="CN30" s="186"/>
      <c r="CO30" s="186"/>
      <c r="CP30" s="186"/>
      <c r="CQ30" s="186"/>
      <c r="CR30" s="186"/>
      <c r="CS30" s="186"/>
      <c r="CT30" s="186"/>
      <c r="CU30" s="186"/>
      <c r="CV30" s="186"/>
      <c r="CW30" s="186"/>
      <c r="CX30" s="186"/>
      <c r="CY30" s="186"/>
      <c r="CZ30" s="186"/>
      <c r="DA30" s="186"/>
      <c r="DB30" s="186"/>
      <c r="DC30" s="186"/>
      <c r="DD30" s="186"/>
      <c r="DE30" s="186"/>
      <c r="DF30" s="186"/>
      <c r="DG30" s="186"/>
      <c r="DH30" s="186"/>
    </row>
    <row r="31" ht="20.25" customHeight="1">
      <c r="A31" s="41">
        <v>31.0</v>
      </c>
      <c r="B31" s="185" t="s">
        <v>107</v>
      </c>
      <c r="C31" s="185" t="s">
        <v>108</v>
      </c>
      <c r="D31" s="185" t="s">
        <v>339</v>
      </c>
      <c r="E31" s="186"/>
      <c r="F31" s="187" t="s">
        <v>340</v>
      </c>
      <c r="G31" s="55" t="s">
        <v>358</v>
      </c>
      <c r="H31" s="55" t="s">
        <v>342</v>
      </c>
      <c r="I31" s="188">
        <v>45637.0</v>
      </c>
      <c r="J31" s="167">
        <v>45692.0</v>
      </c>
      <c r="K31" s="189" t="s">
        <v>343</v>
      </c>
      <c r="L31" s="190"/>
      <c r="M31" s="55" t="s">
        <v>344</v>
      </c>
      <c r="N31" s="189" t="s">
        <v>345</v>
      </c>
      <c r="O31" s="190"/>
      <c r="P31" s="191" t="s">
        <v>346</v>
      </c>
      <c r="Q31" s="49" t="str">
        <f t="array" ref="Q31"> if(iserror(MATCH(V31, 'File Links'!C:C, 0)), "N/A", HYPERLINK(INDEX('File Links'!B:B, MATCH(P31, 'File Links'!C:C, 0))))</f>
        <v>https://drive.google.com/file/d/1OByNKNsjZqSFHFFyt-o1mPqDkVmgruBu/view?usp=drivesdk</v>
      </c>
      <c r="R31" s="55" t="s">
        <v>347</v>
      </c>
      <c r="S31" s="55" t="s">
        <v>348</v>
      </c>
      <c r="T31" s="190"/>
      <c r="U31" s="192"/>
      <c r="V31" s="63" t="str">
        <f> hyperlink(vlookup(lower(S31),'File Links'!E:F, 2, FALSE), SUBSTITUTE(lower(S31), "/", "--") &amp;  ".pdf")</f>
        <v>10.1111--fare.13030.pdf</v>
      </c>
      <c r="W31" s="193" t="s">
        <v>349</v>
      </c>
      <c r="X31" s="51" t="str">
        <f t="array" ref="X31"> if(iserror(MATCH(V31, 'File Links'!C:C, 0)), "N/A", HYPERLINK(INDEX('File Links'!B:B, MATCH(V31, 'File Links'!C:C, 0))))</f>
        <v>https://drive.google.com/file/d/1TGN_TAtoJI3jhMQTEG2wnN59FCyiXC2_/view?usp=drivesdk</v>
      </c>
      <c r="Y31" s="190"/>
      <c r="Z31" s="55" t="s">
        <v>219</v>
      </c>
      <c r="AA31" s="190"/>
      <c r="AB31" s="189" t="s">
        <v>350</v>
      </c>
      <c r="AC31" s="189" t="s">
        <v>359</v>
      </c>
      <c r="AD31" s="189" t="s">
        <v>352</v>
      </c>
      <c r="AE31" s="194">
        <v>1.0</v>
      </c>
      <c r="AF31" s="194">
        <v>1950.0</v>
      </c>
      <c r="AG31" s="194">
        <v>0.13</v>
      </c>
      <c r="AH31" s="191" t="s">
        <v>353</v>
      </c>
      <c r="AI31" s="55" t="s">
        <v>300</v>
      </c>
      <c r="AJ31" s="194">
        <v>0.001</v>
      </c>
      <c r="AK31" s="195" t="s">
        <v>128</v>
      </c>
      <c r="AL31" s="55" t="s">
        <v>179</v>
      </c>
      <c r="AM31" s="190"/>
      <c r="AN31" s="55" t="s">
        <v>131</v>
      </c>
      <c r="AO31" s="194">
        <v>1079.0</v>
      </c>
      <c r="AP31" s="194">
        <v>0.04</v>
      </c>
      <c r="AQ31" s="55" t="s">
        <v>354</v>
      </c>
      <c r="AR31" s="55" t="s">
        <v>355</v>
      </c>
      <c r="AS31" s="194">
        <v>0.05</v>
      </c>
      <c r="AT31" s="195" t="s">
        <v>128</v>
      </c>
      <c r="AU31" s="195" t="s">
        <v>179</v>
      </c>
      <c r="AV31" s="187"/>
      <c r="AW31" s="187" t="s">
        <v>131</v>
      </c>
      <c r="AX31" s="187" t="s">
        <v>144</v>
      </c>
      <c r="AY31" s="190"/>
      <c r="AZ31" s="196" t="s">
        <v>137</v>
      </c>
      <c r="BA31" s="186"/>
      <c r="BB31" s="186"/>
      <c r="BC31" s="186"/>
      <c r="BD31" s="186"/>
      <c r="BE31" s="186"/>
      <c r="BF31" s="186"/>
      <c r="BG31" s="186"/>
      <c r="BH31" s="186"/>
      <c r="BI31" s="186"/>
      <c r="BJ31" s="186"/>
      <c r="BK31" s="186"/>
      <c r="BL31" s="186"/>
      <c r="BM31" s="186"/>
      <c r="BN31" s="186"/>
      <c r="BO31" s="186"/>
      <c r="BP31" s="186"/>
      <c r="BQ31" s="186"/>
      <c r="BR31" s="186"/>
      <c r="BS31" s="186"/>
      <c r="BT31" s="186"/>
      <c r="BU31" s="186"/>
      <c r="BV31" s="186"/>
      <c r="BW31" s="186"/>
      <c r="BX31" s="186"/>
      <c r="BY31" s="186"/>
      <c r="BZ31" s="186"/>
      <c r="CA31" s="186"/>
      <c r="CB31" s="186"/>
      <c r="CC31" s="186"/>
      <c r="CD31" s="186"/>
      <c r="CE31" s="186"/>
      <c r="CF31" s="186"/>
      <c r="CG31" s="186"/>
      <c r="CH31" s="186"/>
      <c r="CI31" s="186"/>
      <c r="CJ31" s="186"/>
      <c r="CK31" s="186"/>
      <c r="CL31" s="186"/>
      <c r="CM31" s="186"/>
      <c r="CN31" s="186"/>
      <c r="CO31" s="186"/>
      <c r="CP31" s="186"/>
      <c r="CQ31" s="186"/>
      <c r="CR31" s="186"/>
      <c r="CS31" s="186"/>
      <c r="CT31" s="186"/>
      <c r="CU31" s="186"/>
      <c r="CV31" s="186"/>
      <c r="CW31" s="186"/>
      <c r="CX31" s="186"/>
      <c r="CY31" s="186"/>
      <c r="CZ31" s="186"/>
      <c r="DA31" s="186"/>
      <c r="DB31" s="186"/>
      <c r="DC31" s="186"/>
      <c r="DD31" s="186"/>
      <c r="DE31" s="186"/>
      <c r="DF31" s="186"/>
      <c r="DG31" s="186"/>
      <c r="DH31" s="186"/>
    </row>
    <row r="32" ht="20.25" customHeight="1">
      <c r="A32" s="41">
        <v>32.0</v>
      </c>
      <c r="B32" s="185" t="s">
        <v>107</v>
      </c>
      <c r="C32" s="185" t="s">
        <v>108</v>
      </c>
      <c r="D32" s="185" t="s">
        <v>339</v>
      </c>
      <c r="E32" s="186"/>
      <c r="F32" s="187" t="s">
        <v>340</v>
      </c>
      <c r="G32" s="55" t="s">
        <v>360</v>
      </c>
      <c r="H32" s="55" t="s">
        <v>342</v>
      </c>
      <c r="I32" s="188">
        <v>45637.0</v>
      </c>
      <c r="J32" s="167">
        <v>45692.0</v>
      </c>
      <c r="K32" s="189" t="s">
        <v>343</v>
      </c>
      <c r="L32" s="190"/>
      <c r="M32" s="55" t="s">
        <v>344</v>
      </c>
      <c r="N32" s="189" t="s">
        <v>345</v>
      </c>
      <c r="O32" s="190"/>
      <c r="P32" s="191" t="s">
        <v>346</v>
      </c>
      <c r="Q32" s="49" t="str">
        <f t="array" ref="Q32"> if(iserror(MATCH(V32, 'File Links'!C:C, 0)), "N/A", HYPERLINK(INDEX('File Links'!B:B, MATCH(P32, 'File Links'!C:C, 0))))</f>
        <v>https://drive.google.com/file/d/1OByNKNsjZqSFHFFyt-o1mPqDkVmgruBu/view?usp=drivesdk</v>
      </c>
      <c r="R32" s="55" t="s">
        <v>347</v>
      </c>
      <c r="S32" s="55" t="s">
        <v>348</v>
      </c>
      <c r="T32" s="190"/>
      <c r="U32" s="192"/>
      <c r="V32" s="63" t="str">
        <f> hyperlink(vlookup(lower(S32),'File Links'!E:F, 2, FALSE), SUBSTITUTE(lower(S32), "/", "--") &amp;  ".pdf")</f>
        <v>10.1111--fare.13030.pdf</v>
      </c>
      <c r="W32" s="193" t="s">
        <v>349</v>
      </c>
      <c r="X32" s="51" t="str">
        <f t="array" ref="X32"> if(iserror(MATCH(V32, 'File Links'!C:C, 0)), "N/A", HYPERLINK(INDEX('File Links'!B:B, MATCH(V32, 'File Links'!C:C, 0))))</f>
        <v>https://drive.google.com/file/d/1TGN_TAtoJI3jhMQTEG2wnN59FCyiXC2_/view?usp=drivesdk</v>
      </c>
      <c r="Y32" s="190"/>
      <c r="Z32" s="55" t="s">
        <v>219</v>
      </c>
      <c r="AA32" s="190"/>
      <c r="AB32" s="189" t="s">
        <v>350</v>
      </c>
      <c r="AC32" s="189" t="s">
        <v>361</v>
      </c>
      <c r="AD32" s="189" t="s">
        <v>352</v>
      </c>
      <c r="AE32" s="194">
        <v>1.0</v>
      </c>
      <c r="AF32" s="194">
        <v>1950.0</v>
      </c>
      <c r="AG32" s="194">
        <v>0.13</v>
      </c>
      <c r="AH32" s="191" t="s">
        <v>353</v>
      </c>
      <c r="AI32" s="55" t="s">
        <v>300</v>
      </c>
      <c r="AJ32" s="194">
        <v>0.001</v>
      </c>
      <c r="AK32" s="195" t="s">
        <v>128</v>
      </c>
      <c r="AL32" s="55" t="s">
        <v>179</v>
      </c>
      <c r="AM32" s="190"/>
      <c r="AN32" s="55" t="s">
        <v>131</v>
      </c>
      <c r="AO32" s="194">
        <v>1079.0</v>
      </c>
      <c r="AP32" s="190"/>
      <c r="AQ32" s="55" t="s">
        <v>354</v>
      </c>
      <c r="AR32" s="55" t="s">
        <v>355</v>
      </c>
      <c r="AS32" s="194">
        <v>0.05</v>
      </c>
      <c r="AT32" s="195" t="s">
        <v>328</v>
      </c>
      <c r="AU32" s="195" t="s">
        <v>179</v>
      </c>
      <c r="AV32" s="187"/>
      <c r="AW32" s="187" t="s">
        <v>131</v>
      </c>
      <c r="AX32" s="187" t="s">
        <v>144</v>
      </c>
      <c r="AY32" s="190"/>
      <c r="AZ32" s="196" t="s">
        <v>137</v>
      </c>
      <c r="BA32" s="186"/>
      <c r="BB32" s="186"/>
      <c r="BC32" s="186"/>
      <c r="BD32" s="186"/>
      <c r="BE32" s="186"/>
      <c r="BF32" s="186"/>
      <c r="BG32" s="186"/>
      <c r="BH32" s="186"/>
      <c r="BI32" s="186"/>
      <c r="BJ32" s="186"/>
      <c r="BK32" s="186"/>
      <c r="BL32" s="186"/>
      <c r="BM32" s="186"/>
      <c r="BN32" s="186"/>
      <c r="BO32" s="186"/>
      <c r="BP32" s="186"/>
      <c r="BQ32" s="186"/>
      <c r="BR32" s="186"/>
      <c r="BS32" s="186"/>
      <c r="BT32" s="186"/>
      <c r="BU32" s="186"/>
      <c r="BV32" s="186"/>
      <c r="BW32" s="186"/>
      <c r="BX32" s="186"/>
      <c r="BY32" s="186"/>
      <c r="BZ32" s="186"/>
      <c r="CA32" s="186"/>
      <c r="CB32" s="186"/>
      <c r="CC32" s="186"/>
      <c r="CD32" s="186"/>
      <c r="CE32" s="186"/>
      <c r="CF32" s="186"/>
      <c r="CG32" s="186"/>
      <c r="CH32" s="186"/>
      <c r="CI32" s="186"/>
      <c r="CJ32" s="186"/>
      <c r="CK32" s="186"/>
      <c r="CL32" s="186"/>
      <c r="CM32" s="186"/>
      <c r="CN32" s="186"/>
      <c r="CO32" s="186"/>
      <c r="CP32" s="186"/>
      <c r="CQ32" s="186"/>
      <c r="CR32" s="186"/>
      <c r="CS32" s="186"/>
      <c r="CT32" s="186"/>
      <c r="CU32" s="186"/>
      <c r="CV32" s="186"/>
      <c r="CW32" s="186"/>
      <c r="CX32" s="186"/>
      <c r="CY32" s="186"/>
      <c r="CZ32" s="186"/>
      <c r="DA32" s="186"/>
      <c r="DB32" s="186"/>
      <c r="DC32" s="186"/>
      <c r="DD32" s="186"/>
      <c r="DE32" s="186"/>
      <c r="DF32" s="186"/>
      <c r="DG32" s="186"/>
      <c r="DH32" s="186"/>
    </row>
    <row r="33" ht="20.25" customHeight="1">
      <c r="A33" s="41">
        <v>33.0</v>
      </c>
      <c r="B33" s="185" t="s">
        <v>107</v>
      </c>
      <c r="C33" s="185" t="s">
        <v>108</v>
      </c>
      <c r="D33" s="185" t="s">
        <v>339</v>
      </c>
      <c r="E33" s="186"/>
      <c r="F33" s="187" t="s">
        <v>340</v>
      </c>
      <c r="G33" s="55" t="s">
        <v>362</v>
      </c>
      <c r="H33" s="55" t="s">
        <v>342</v>
      </c>
      <c r="I33" s="188">
        <v>45637.0</v>
      </c>
      <c r="J33" s="167">
        <v>45692.0</v>
      </c>
      <c r="K33" s="189" t="s">
        <v>343</v>
      </c>
      <c r="L33" s="190"/>
      <c r="M33" s="55" t="s">
        <v>344</v>
      </c>
      <c r="N33" s="189" t="s">
        <v>345</v>
      </c>
      <c r="O33" s="190"/>
      <c r="P33" s="191" t="s">
        <v>346</v>
      </c>
      <c r="Q33" s="49" t="str">
        <f t="array" ref="Q33"> if(iserror(MATCH(V33, 'File Links'!C:C, 0)), "N/A", HYPERLINK(INDEX('File Links'!B:B, MATCH(P33, 'File Links'!C:C, 0))))</f>
        <v>https://drive.google.com/file/d/1OByNKNsjZqSFHFFyt-o1mPqDkVmgruBu/view?usp=drivesdk</v>
      </c>
      <c r="R33" s="55" t="s">
        <v>347</v>
      </c>
      <c r="S33" s="55" t="s">
        <v>348</v>
      </c>
      <c r="T33" s="190"/>
      <c r="U33" s="192"/>
      <c r="V33" s="63" t="str">
        <f> hyperlink(vlookup(lower(S33),'File Links'!E:F, 2, FALSE), SUBSTITUTE(lower(S33), "/", "--") &amp;  ".pdf")</f>
        <v>10.1111--fare.13030.pdf</v>
      </c>
      <c r="W33" s="193" t="s">
        <v>349</v>
      </c>
      <c r="X33" s="51" t="str">
        <f t="array" ref="X33"> if(iserror(MATCH(V33, 'File Links'!C:C, 0)), "N/A", HYPERLINK(INDEX('File Links'!B:B, MATCH(V33, 'File Links'!C:C, 0))))</f>
        <v>https://drive.google.com/file/d/1TGN_TAtoJI3jhMQTEG2wnN59FCyiXC2_/view?usp=drivesdk</v>
      </c>
      <c r="Y33" s="190"/>
      <c r="Z33" s="55" t="s">
        <v>219</v>
      </c>
      <c r="AA33" s="190"/>
      <c r="AB33" s="189" t="s">
        <v>350</v>
      </c>
      <c r="AC33" s="189" t="s">
        <v>363</v>
      </c>
      <c r="AD33" s="189" t="s">
        <v>352</v>
      </c>
      <c r="AE33" s="194">
        <v>1.0</v>
      </c>
      <c r="AF33" s="194">
        <v>1950.0</v>
      </c>
      <c r="AG33" s="194">
        <v>0.13</v>
      </c>
      <c r="AH33" s="191" t="s">
        <v>353</v>
      </c>
      <c r="AI33" s="55" t="s">
        <v>300</v>
      </c>
      <c r="AJ33" s="194">
        <v>0.001</v>
      </c>
      <c r="AK33" s="195" t="s">
        <v>128</v>
      </c>
      <c r="AL33" s="55" t="s">
        <v>179</v>
      </c>
      <c r="AM33" s="190"/>
      <c r="AN33" s="55" t="s">
        <v>131</v>
      </c>
      <c r="AO33" s="194">
        <v>1079.0</v>
      </c>
      <c r="AP33" s="190"/>
      <c r="AQ33" s="55" t="s">
        <v>354</v>
      </c>
      <c r="AR33" s="55" t="s">
        <v>355</v>
      </c>
      <c r="AS33" s="194">
        <v>0.05</v>
      </c>
      <c r="AT33" s="195" t="s">
        <v>328</v>
      </c>
      <c r="AU33" s="195" t="s">
        <v>179</v>
      </c>
      <c r="AV33" s="187"/>
      <c r="AW33" s="187" t="s">
        <v>131</v>
      </c>
      <c r="AX33" s="187" t="s">
        <v>144</v>
      </c>
      <c r="AY33" s="190"/>
      <c r="AZ33" s="196" t="s">
        <v>137</v>
      </c>
      <c r="BA33" s="186"/>
      <c r="BB33" s="186"/>
      <c r="BC33" s="186"/>
      <c r="BD33" s="186"/>
      <c r="BE33" s="186"/>
      <c r="BF33" s="186"/>
      <c r="BG33" s="186"/>
      <c r="BH33" s="186"/>
      <c r="BI33" s="186"/>
      <c r="BJ33" s="186"/>
      <c r="BK33" s="186"/>
      <c r="BL33" s="186"/>
      <c r="BM33" s="186"/>
      <c r="BN33" s="186"/>
      <c r="BO33" s="186"/>
      <c r="BP33" s="186"/>
      <c r="BQ33" s="186"/>
      <c r="BR33" s="186"/>
      <c r="BS33" s="186"/>
      <c r="BT33" s="186"/>
      <c r="BU33" s="186"/>
      <c r="BV33" s="186"/>
      <c r="BW33" s="186"/>
      <c r="BX33" s="186"/>
      <c r="BY33" s="186"/>
      <c r="BZ33" s="186"/>
      <c r="CA33" s="186"/>
      <c r="CB33" s="186"/>
      <c r="CC33" s="186"/>
      <c r="CD33" s="186"/>
      <c r="CE33" s="186"/>
      <c r="CF33" s="186"/>
      <c r="CG33" s="186"/>
      <c r="CH33" s="186"/>
      <c r="CI33" s="186"/>
      <c r="CJ33" s="186"/>
      <c r="CK33" s="186"/>
      <c r="CL33" s="186"/>
      <c r="CM33" s="186"/>
      <c r="CN33" s="186"/>
      <c r="CO33" s="186"/>
      <c r="CP33" s="186"/>
      <c r="CQ33" s="186"/>
      <c r="CR33" s="186"/>
      <c r="CS33" s="186"/>
      <c r="CT33" s="186"/>
      <c r="CU33" s="186"/>
      <c r="CV33" s="186"/>
      <c r="CW33" s="186"/>
      <c r="CX33" s="186"/>
      <c r="CY33" s="186"/>
      <c r="CZ33" s="186"/>
      <c r="DA33" s="186"/>
      <c r="DB33" s="186"/>
      <c r="DC33" s="186"/>
      <c r="DD33" s="186"/>
      <c r="DE33" s="186"/>
      <c r="DF33" s="186"/>
      <c r="DG33" s="186"/>
      <c r="DH33" s="186"/>
    </row>
    <row r="34" ht="20.25" customHeight="1">
      <c r="A34" s="41">
        <v>34.0</v>
      </c>
      <c r="B34" s="185" t="s">
        <v>107</v>
      </c>
      <c r="C34" s="185" t="s">
        <v>108</v>
      </c>
      <c r="D34" s="185" t="s">
        <v>339</v>
      </c>
      <c r="E34" s="186"/>
      <c r="F34" s="187" t="s">
        <v>340</v>
      </c>
      <c r="G34" s="55" t="s">
        <v>364</v>
      </c>
      <c r="H34" s="55" t="s">
        <v>342</v>
      </c>
      <c r="I34" s="188">
        <v>45637.0</v>
      </c>
      <c r="J34" s="167">
        <v>45692.0</v>
      </c>
      <c r="K34" s="189" t="s">
        <v>343</v>
      </c>
      <c r="L34" s="190"/>
      <c r="M34" s="55" t="s">
        <v>344</v>
      </c>
      <c r="N34" s="189" t="s">
        <v>345</v>
      </c>
      <c r="O34" s="190"/>
      <c r="P34" s="191" t="s">
        <v>346</v>
      </c>
      <c r="Q34" s="49" t="str">
        <f t="array" ref="Q34"> if(iserror(MATCH(V34, 'File Links'!C:C, 0)), "N/A", HYPERLINK(INDEX('File Links'!B:B, MATCH(P34, 'File Links'!C:C, 0))))</f>
        <v>https://drive.google.com/file/d/1OByNKNsjZqSFHFFyt-o1mPqDkVmgruBu/view?usp=drivesdk</v>
      </c>
      <c r="R34" s="55" t="s">
        <v>347</v>
      </c>
      <c r="S34" s="55" t="s">
        <v>348</v>
      </c>
      <c r="T34" s="190"/>
      <c r="U34" s="192"/>
      <c r="V34" s="63" t="str">
        <f> hyperlink(vlookup(lower(S34),'File Links'!E:F, 2, FALSE), SUBSTITUTE(lower(S34), "/", "--") &amp;  ".pdf")</f>
        <v>10.1111--fare.13030.pdf</v>
      </c>
      <c r="W34" s="193" t="s">
        <v>349</v>
      </c>
      <c r="X34" s="51" t="str">
        <f t="array" ref="X34"> if(iserror(MATCH(V34, 'File Links'!C:C, 0)), "N/A", HYPERLINK(INDEX('File Links'!B:B, MATCH(V34, 'File Links'!C:C, 0))))</f>
        <v>https://drive.google.com/file/d/1TGN_TAtoJI3jhMQTEG2wnN59FCyiXC2_/view?usp=drivesdk</v>
      </c>
      <c r="Y34" s="190"/>
      <c r="Z34" s="55" t="s">
        <v>219</v>
      </c>
      <c r="AA34" s="190"/>
      <c r="AB34" s="189" t="s">
        <v>350</v>
      </c>
      <c r="AC34" s="189" t="s">
        <v>365</v>
      </c>
      <c r="AD34" s="189" t="s">
        <v>352</v>
      </c>
      <c r="AE34" s="194">
        <v>1.0</v>
      </c>
      <c r="AF34" s="194">
        <v>1950.0</v>
      </c>
      <c r="AG34" s="194">
        <v>0.13</v>
      </c>
      <c r="AH34" s="191" t="s">
        <v>353</v>
      </c>
      <c r="AI34" s="55" t="s">
        <v>300</v>
      </c>
      <c r="AJ34" s="194">
        <v>0.001</v>
      </c>
      <c r="AK34" s="195" t="s">
        <v>128</v>
      </c>
      <c r="AL34" s="55" t="s">
        <v>179</v>
      </c>
      <c r="AM34" s="190"/>
      <c r="AN34" s="55" t="s">
        <v>131</v>
      </c>
      <c r="AO34" s="194">
        <v>1079.0</v>
      </c>
      <c r="AP34" s="190"/>
      <c r="AQ34" s="55" t="s">
        <v>354</v>
      </c>
      <c r="AR34" s="55" t="s">
        <v>355</v>
      </c>
      <c r="AS34" s="194">
        <v>0.05</v>
      </c>
      <c r="AT34" s="195" t="s">
        <v>328</v>
      </c>
      <c r="AU34" s="195" t="s">
        <v>179</v>
      </c>
      <c r="AV34" s="187"/>
      <c r="AW34" s="187" t="s">
        <v>131</v>
      </c>
      <c r="AX34" s="187" t="s">
        <v>144</v>
      </c>
      <c r="AY34" s="190"/>
      <c r="AZ34" s="196" t="s">
        <v>137</v>
      </c>
      <c r="BA34" s="186"/>
      <c r="BB34" s="186"/>
      <c r="BC34" s="186"/>
      <c r="BD34" s="186"/>
      <c r="BE34" s="186"/>
      <c r="BF34" s="186"/>
      <c r="BG34" s="186"/>
      <c r="BH34" s="186"/>
      <c r="BI34" s="186"/>
      <c r="BJ34" s="186"/>
      <c r="BK34" s="186"/>
      <c r="BL34" s="186"/>
      <c r="BM34" s="186"/>
      <c r="BN34" s="186"/>
      <c r="BO34" s="186"/>
      <c r="BP34" s="186"/>
      <c r="BQ34" s="186"/>
      <c r="BR34" s="186"/>
      <c r="BS34" s="186"/>
      <c r="BT34" s="186"/>
      <c r="BU34" s="186"/>
      <c r="BV34" s="186"/>
      <c r="BW34" s="186"/>
      <c r="BX34" s="186"/>
      <c r="BY34" s="186"/>
      <c r="BZ34" s="186"/>
      <c r="CA34" s="186"/>
      <c r="CB34" s="186"/>
      <c r="CC34" s="186"/>
      <c r="CD34" s="186"/>
      <c r="CE34" s="186"/>
      <c r="CF34" s="186"/>
      <c r="CG34" s="186"/>
      <c r="CH34" s="186"/>
      <c r="CI34" s="186"/>
      <c r="CJ34" s="186"/>
      <c r="CK34" s="186"/>
      <c r="CL34" s="186"/>
      <c r="CM34" s="186"/>
      <c r="CN34" s="186"/>
      <c r="CO34" s="186"/>
      <c r="CP34" s="186"/>
      <c r="CQ34" s="186"/>
      <c r="CR34" s="186"/>
      <c r="CS34" s="186"/>
      <c r="CT34" s="186"/>
      <c r="CU34" s="186"/>
      <c r="CV34" s="186"/>
      <c r="CW34" s="186"/>
      <c r="CX34" s="186"/>
      <c r="CY34" s="186"/>
      <c r="CZ34" s="186"/>
      <c r="DA34" s="186"/>
      <c r="DB34" s="186"/>
      <c r="DC34" s="186"/>
      <c r="DD34" s="186"/>
      <c r="DE34" s="186"/>
      <c r="DF34" s="186"/>
      <c r="DG34" s="186"/>
      <c r="DH34" s="186"/>
    </row>
    <row r="35" ht="20.25" customHeight="1">
      <c r="A35" s="41">
        <v>35.0</v>
      </c>
      <c r="B35" s="185" t="s">
        <v>107</v>
      </c>
      <c r="C35" s="185" t="s">
        <v>108</v>
      </c>
      <c r="D35" s="185" t="s">
        <v>339</v>
      </c>
      <c r="E35" s="186"/>
      <c r="F35" s="187" t="s">
        <v>340</v>
      </c>
      <c r="G35" s="55" t="s">
        <v>366</v>
      </c>
      <c r="H35" s="55" t="s">
        <v>342</v>
      </c>
      <c r="I35" s="188">
        <v>45637.0</v>
      </c>
      <c r="J35" s="167">
        <v>45692.0</v>
      </c>
      <c r="K35" s="189" t="s">
        <v>343</v>
      </c>
      <c r="L35" s="190"/>
      <c r="M35" s="55" t="s">
        <v>344</v>
      </c>
      <c r="N35" s="189" t="s">
        <v>345</v>
      </c>
      <c r="O35" s="190"/>
      <c r="P35" s="191" t="s">
        <v>346</v>
      </c>
      <c r="Q35" s="49" t="str">
        <f t="array" ref="Q35"> if(iserror(MATCH(V35, 'File Links'!C:C, 0)), "N/A", HYPERLINK(INDEX('File Links'!B:B, MATCH(P35, 'File Links'!C:C, 0))))</f>
        <v>https://drive.google.com/file/d/1OByNKNsjZqSFHFFyt-o1mPqDkVmgruBu/view?usp=drivesdk</v>
      </c>
      <c r="R35" s="55" t="s">
        <v>347</v>
      </c>
      <c r="S35" s="55" t="s">
        <v>348</v>
      </c>
      <c r="T35" s="190"/>
      <c r="U35" s="192"/>
      <c r="V35" s="63" t="str">
        <f> hyperlink(vlookup(lower(S35),'File Links'!E:F, 2, FALSE), SUBSTITUTE(lower(S35), "/", "--") &amp;  ".pdf")</f>
        <v>10.1111--fare.13030.pdf</v>
      </c>
      <c r="W35" s="193" t="s">
        <v>349</v>
      </c>
      <c r="X35" s="51" t="str">
        <f t="array" ref="X35"> if(iserror(MATCH(V35, 'File Links'!C:C, 0)), "N/A", HYPERLINK(INDEX('File Links'!B:B, MATCH(V35, 'File Links'!C:C, 0))))</f>
        <v>https://drive.google.com/file/d/1TGN_TAtoJI3jhMQTEG2wnN59FCyiXC2_/view?usp=drivesdk</v>
      </c>
      <c r="Y35" s="190"/>
      <c r="Z35" s="55" t="s">
        <v>219</v>
      </c>
      <c r="AA35" s="190"/>
      <c r="AB35" s="189" t="s">
        <v>350</v>
      </c>
      <c r="AC35" s="189" t="s">
        <v>367</v>
      </c>
      <c r="AD35" s="189" t="s">
        <v>352</v>
      </c>
      <c r="AE35" s="194">
        <v>1.0</v>
      </c>
      <c r="AF35" s="194">
        <v>1950.0</v>
      </c>
      <c r="AG35" s="194">
        <v>0.13</v>
      </c>
      <c r="AH35" s="191" t="s">
        <v>353</v>
      </c>
      <c r="AI35" s="55" t="s">
        <v>300</v>
      </c>
      <c r="AJ35" s="194">
        <v>0.001</v>
      </c>
      <c r="AK35" s="195" t="s">
        <v>128</v>
      </c>
      <c r="AL35" s="55" t="s">
        <v>179</v>
      </c>
      <c r="AM35" s="190"/>
      <c r="AN35" s="55" t="s">
        <v>131</v>
      </c>
      <c r="AO35" s="194">
        <v>1079.0</v>
      </c>
      <c r="AP35" s="190"/>
      <c r="AQ35" s="55" t="s">
        <v>354</v>
      </c>
      <c r="AR35" s="55" t="s">
        <v>355</v>
      </c>
      <c r="AS35" s="194">
        <v>0.05</v>
      </c>
      <c r="AT35" s="195" t="s">
        <v>328</v>
      </c>
      <c r="AU35" s="195" t="s">
        <v>179</v>
      </c>
      <c r="AV35" s="187"/>
      <c r="AW35" s="187" t="s">
        <v>131</v>
      </c>
      <c r="AX35" s="187" t="s">
        <v>144</v>
      </c>
      <c r="AY35" s="190"/>
      <c r="AZ35" s="196" t="s">
        <v>137</v>
      </c>
      <c r="BA35" s="186"/>
      <c r="BB35" s="186"/>
      <c r="BC35" s="186"/>
      <c r="BD35" s="186"/>
      <c r="BE35" s="186"/>
      <c r="BF35" s="186"/>
      <c r="BG35" s="186"/>
      <c r="BH35" s="186"/>
      <c r="BI35" s="186"/>
      <c r="BJ35" s="186"/>
      <c r="BK35" s="186"/>
      <c r="BL35" s="186"/>
      <c r="BM35" s="186"/>
      <c r="BN35" s="186"/>
      <c r="BO35" s="186"/>
      <c r="BP35" s="186"/>
      <c r="BQ35" s="186"/>
      <c r="BR35" s="186"/>
      <c r="BS35" s="186"/>
      <c r="BT35" s="186"/>
      <c r="BU35" s="186"/>
      <c r="BV35" s="186"/>
      <c r="BW35" s="186"/>
      <c r="BX35" s="186"/>
      <c r="BY35" s="186"/>
      <c r="BZ35" s="186"/>
      <c r="CA35" s="186"/>
      <c r="CB35" s="186"/>
      <c r="CC35" s="186"/>
      <c r="CD35" s="186"/>
      <c r="CE35" s="186"/>
      <c r="CF35" s="186"/>
      <c r="CG35" s="186"/>
      <c r="CH35" s="186"/>
      <c r="CI35" s="186"/>
      <c r="CJ35" s="186"/>
      <c r="CK35" s="186"/>
      <c r="CL35" s="186"/>
      <c r="CM35" s="186"/>
      <c r="CN35" s="186"/>
      <c r="CO35" s="186"/>
      <c r="CP35" s="186"/>
      <c r="CQ35" s="186"/>
      <c r="CR35" s="186"/>
      <c r="CS35" s="186"/>
      <c r="CT35" s="186"/>
      <c r="CU35" s="186"/>
      <c r="CV35" s="186"/>
      <c r="CW35" s="186"/>
      <c r="CX35" s="186"/>
      <c r="CY35" s="186"/>
      <c r="CZ35" s="186"/>
      <c r="DA35" s="186"/>
      <c r="DB35" s="186"/>
      <c r="DC35" s="186"/>
      <c r="DD35" s="186"/>
      <c r="DE35" s="186"/>
      <c r="DF35" s="186"/>
      <c r="DG35" s="186"/>
      <c r="DH35" s="186"/>
    </row>
    <row r="36" ht="20.25" customHeight="1">
      <c r="A36" s="41">
        <v>36.0</v>
      </c>
      <c r="B36" s="185" t="s">
        <v>107</v>
      </c>
      <c r="C36" s="185" t="s">
        <v>108</v>
      </c>
      <c r="D36" s="185" t="s">
        <v>339</v>
      </c>
      <c r="E36" s="186"/>
      <c r="F36" s="187" t="s">
        <v>340</v>
      </c>
      <c r="G36" s="55" t="s">
        <v>368</v>
      </c>
      <c r="H36" s="55" t="s">
        <v>342</v>
      </c>
      <c r="I36" s="188">
        <v>45637.0</v>
      </c>
      <c r="J36" s="167">
        <v>45692.0</v>
      </c>
      <c r="K36" s="189" t="s">
        <v>343</v>
      </c>
      <c r="L36" s="190"/>
      <c r="M36" s="55" t="s">
        <v>344</v>
      </c>
      <c r="N36" s="189" t="s">
        <v>345</v>
      </c>
      <c r="O36" s="190"/>
      <c r="P36" s="191" t="s">
        <v>346</v>
      </c>
      <c r="Q36" s="49" t="str">
        <f t="array" ref="Q36"> if(iserror(MATCH(V36, 'File Links'!C:C, 0)), "N/A", HYPERLINK(INDEX('File Links'!B:B, MATCH(P36, 'File Links'!C:C, 0))))</f>
        <v>https://drive.google.com/file/d/1OByNKNsjZqSFHFFyt-o1mPqDkVmgruBu/view?usp=drivesdk</v>
      </c>
      <c r="R36" s="55" t="s">
        <v>347</v>
      </c>
      <c r="S36" s="55" t="s">
        <v>348</v>
      </c>
      <c r="T36" s="190"/>
      <c r="U36" s="192"/>
      <c r="V36" s="63" t="str">
        <f> hyperlink(vlookup(lower(S36),'File Links'!E:F, 2, FALSE), SUBSTITUTE(lower(S36), "/", "--") &amp;  ".pdf")</f>
        <v>10.1111--fare.13030.pdf</v>
      </c>
      <c r="W36" s="193" t="s">
        <v>349</v>
      </c>
      <c r="X36" s="51" t="str">
        <f t="array" ref="X36"> if(iserror(MATCH(V36, 'File Links'!C:C, 0)), "N/A", HYPERLINK(INDEX('File Links'!B:B, MATCH(V36, 'File Links'!C:C, 0))))</f>
        <v>https://drive.google.com/file/d/1TGN_TAtoJI3jhMQTEG2wnN59FCyiXC2_/view?usp=drivesdk</v>
      </c>
      <c r="Y36" s="190"/>
      <c r="Z36" s="55" t="s">
        <v>219</v>
      </c>
      <c r="AA36" s="190"/>
      <c r="AB36" s="189" t="s">
        <v>350</v>
      </c>
      <c r="AC36" s="189" t="s">
        <v>369</v>
      </c>
      <c r="AD36" s="189" t="s">
        <v>352</v>
      </c>
      <c r="AE36" s="194">
        <v>1.0</v>
      </c>
      <c r="AF36" s="194">
        <v>1950.0</v>
      </c>
      <c r="AG36" s="194">
        <v>0.13</v>
      </c>
      <c r="AH36" s="191" t="s">
        <v>353</v>
      </c>
      <c r="AI36" s="55" t="s">
        <v>300</v>
      </c>
      <c r="AJ36" s="194">
        <v>0.001</v>
      </c>
      <c r="AK36" s="195" t="s">
        <v>128</v>
      </c>
      <c r="AL36" s="55" t="s">
        <v>179</v>
      </c>
      <c r="AM36" s="190"/>
      <c r="AN36" s="55" t="s">
        <v>131</v>
      </c>
      <c r="AO36" s="194">
        <v>1079.0</v>
      </c>
      <c r="AP36" s="190"/>
      <c r="AQ36" s="55" t="s">
        <v>354</v>
      </c>
      <c r="AR36" s="55" t="s">
        <v>355</v>
      </c>
      <c r="AS36" s="194">
        <v>0.05</v>
      </c>
      <c r="AT36" s="195" t="s">
        <v>328</v>
      </c>
      <c r="AU36" s="195" t="s">
        <v>179</v>
      </c>
      <c r="AV36" s="187"/>
      <c r="AW36" s="187" t="s">
        <v>131</v>
      </c>
      <c r="AX36" s="187" t="s">
        <v>144</v>
      </c>
      <c r="AY36" s="190"/>
      <c r="AZ36" s="196" t="s">
        <v>137</v>
      </c>
      <c r="BA36" s="186"/>
      <c r="BB36" s="186"/>
      <c r="BC36" s="186"/>
      <c r="BD36" s="186"/>
      <c r="BE36" s="186"/>
      <c r="BF36" s="186"/>
      <c r="BG36" s="186"/>
      <c r="BH36" s="186"/>
      <c r="BI36" s="186"/>
      <c r="BJ36" s="186"/>
      <c r="BK36" s="186"/>
      <c r="BL36" s="186"/>
      <c r="BM36" s="186"/>
      <c r="BN36" s="186"/>
      <c r="BO36" s="186"/>
      <c r="BP36" s="186"/>
      <c r="BQ36" s="186"/>
      <c r="BR36" s="186"/>
      <c r="BS36" s="186"/>
      <c r="BT36" s="186"/>
      <c r="BU36" s="186"/>
      <c r="BV36" s="186"/>
      <c r="BW36" s="186"/>
      <c r="BX36" s="186"/>
      <c r="BY36" s="186"/>
      <c r="BZ36" s="186"/>
      <c r="CA36" s="186"/>
      <c r="CB36" s="186"/>
      <c r="CC36" s="186"/>
      <c r="CD36" s="186"/>
      <c r="CE36" s="186"/>
      <c r="CF36" s="186"/>
      <c r="CG36" s="186"/>
      <c r="CH36" s="186"/>
      <c r="CI36" s="186"/>
      <c r="CJ36" s="186"/>
      <c r="CK36" s="186"/>
      <c r="CL36" s="186"/>
      <c r="CM36" s="186"/>
      <c r="CN36" s="186"/>
      <c r="CO36" s="186"/>
      <c r="CP36" s="186"/>
      <c r="CQ36" s="186"/>
      <c r="CR36" s="186"/>
      <c r="CS36" s="186"/>
      <c r="CT36" s="186"/>
      <c r="CU36" s="186"/>
      <c r="CV36" s="186"/>
      <c r="CW36" s="186"/>
      <c r="CX36" s="186"/>
      <c r="CY36" s="186"/>
      <c r="CZ36" s="186"/>
      <c r="DA36" s="186"/>
      <c r="DB36" s="186"/>
      <c r="DC36" s="186"/>
      <c r="DD36" s="186"/>
      <c r="DE36" s="186"/>
      <c r="DF36" s="186"/>
      <c r="DG36" s="186"/>
      <c r="DH36" s="186"/>
    </row>
    <row r="37" ht="20.25" customHeight="1">
      <c r="A37" s="41">
        <v>37.0</v>
      </c>
      <c r="B37" s="185" t="s">
        <v>107</v>
      </c>
      <c r="C37" s="185" t="s">
        <v>108</v>
      </c>
      <c r="D37" s="185" t="s">
        <v>339</v>
      </c>
      <c r="E37" s="186"/>
      <c r="F37" s="187" t="s">
        <v>340</v>
      </c>
      <c r="G37" s="55" t="s">
        <v>370</v>
      </c>
      <c r="H37" s="55" t="s">
        <v>342</v>
      </c>
      <c r="I37" s="188">
        <v>45637.0</v>
      </c>
      <c r="J37" s="167">
        <v>45692.0</v>
      </c>
      <c r="K37" s="189" t="s">
        <v>343</v>
      </c>
      <c r="L37" s="190"/>
      <c r="M37" s="55" t="s">
        <v>344</v>
      </c>
      <c r="N37" s="189" t="s">
        <v>345</v>
      </c>
      <c r="O37" s="190"/>
      <c r="P37" s="191" t="s">
        <v>346</v>
      </c>
      <c r="Q37" s="49" t="str">
        <f t="array" ref="Q37"> if(iserror(MATCH(V37, 'File Links'!C:C, 0)), "N/A", HYPERLINK(INDEX('File Links'!B:B, MATCH(P37, 'File Links'!C:C, 0))))</f>
        <v>https://drive.google.com/file/d/1OByNKNsjZqSFHFFyt-o1mPqDkVmgruBu/view?usp=drivesdk</v>
      </c>
      <c r="R37" s="55" t="s">
        <v>347</v>
      </c>
      <c r="S37" s="55" t="s">
        <v>348</v>
      </c>
      <c r="T37" s="190"/>
      <c r="U37" s="192"/>
      <c r="V37" s="63" t="str">
        <f> hyperlink(vlookup(lower(S37),'File Links'!E:F, 2, FALSE), SUBSTITUTE(lower(S37), "/", "--") &amp;  ".pdf")</f>
        <v>10.1111--fare.13030.pdf</v>
      </c>
      <c r="W37" s="193" t="s">
        <v>349</v>
      </c>
      <c r="X37" s="51" t="str">
        <f t="array" ref="X37"> if(iserror(MATCH(V37, 'File Links'!C:C, 0)), "N/A", HYPERLINK(INDEX('File Links'!B:B, MATCH(V37, 'File Links'!C:C, 0))))</f>
        <v>https://drive.google.com/file/d/1TGN_TAtoJI3jhMQTEG2wnN59FCyiXC2_/view?usp=drivesdk</v>
      </c>
      <c r="Y37" s="190"/>
      <c r="Z37" s="55" t="s">
        <v>219</v>
      </c>
      <c r="AA37" s="190"/>
      <c r="AB37" s="189" t="s">
        <v>350</v>
      </c>
      <c r="AC37" s="189" t="s">
        <v>371</v>
      </c>
      <c r="AD37" s="189" t="s">
        <v>372</v>
      </c>
      <c r="AE37" s="194">
        <v>11.0</v>
      </c>
      <c r="AF37" s="194">
        <v>1950.0</v>
      </c>
      <c r="AG37" s="190"/>
      <c r="AH37" s="191" t="s">
        <v>353</v>
      </c>
      <c r="AI37" s="55" t="s">
        <v>300</v>
      </c>
      <c r="AJ37" s="194">
        <v>0.05</v>
      </c>
      <c r="AK37" s="195" t="s">
        <v>328</v>
      </c>
      <c r="AL37" s="55" t="s">
        <v>179</v>
      </c>
      <c r="AM37" s="190"/>
      <c r="AN37" s="55" t="s">
        <v>131</v>
      </c>
      <c r="AO37" s="194">
        <v>1079.0</v>
      </c>
      <c r="AP37" s="190"/>
      <c r="AQ37" s="55" t="s">
        <v>354</v>
      </c>
      <c r="AR37" s="55" t="s">
        <v>373</v>
      </c>
      <c r="AS37" s="194">
        <v>0.05</v>
      </c>
      <c r="AT37" s="195" t="s">
        <v>328</v>
      </c>
      <c r="AU37" s="195" t="s">
        <v>179</v>
      </c>
      <c r="AV37" s="187"/>
      <c r="AW37" s="187" t="s">
        <v>131</v>
      </c>
      <c r="AX37" s="187" t="s">
        <v>144</v>
      </c>
      <c r="AY37" s="190"/>
      <c r="AZ37" s="196" t="s">
        <v>137</v>
      </c>
      <c r="BA37" s="186"/>
      <c r="BB37" s="186"/>
      <c r="BC37" s="186"/>
      <c r="BD37" s="186"/>
      <c r="BE37" s="186"/>
      <c r="BF37" s="186"/>
      <c r="BG37" s="186"/>
      <c r="BH37" s="186"/>
      <c r="BI37" s="186"/>
      <c r="BJ37" s="186"/>
      <c r="BK37" s="186"/>
      <c r="BL37" s="186"/>
      <c r="BM37" s="186"/>
      <c r="BN37" s="186"/>
      <c r="BO37" s="186"/>
      <c r="BP37" s="186"/>
      <c r="BQ37" s="186"/>
      <c r="BR37" s="186"/>
      <c r="BS37" s="186"/>
      <c r="BT37" s="186"/>
      <c r="BU37" s="186"/>
      <c r="BV37" s="186"/>
      <c r="BW37" s="186"/>
      <c r="BX37" s="186"/>
      <c r="BY37" s="186"/>
      <c r="BZ37" s="186"/>
      <c r="CA37" s="186"/>
      <c r="CB37" s="186"/>
      <c r="CC37" s="186"/>
      <c r="CD37" s="186"/>
      <c r="CE37" s="186"/>
      <c r="CF37" s="186"/>
      <c r="CG37" s="186"/>
      <c r="CH37" s="186"/>
      <c r="CI37" s="186"/>
      <c r="CJ37" s="186"/>
      <c r="CK37" s="186"/>
      <c r="CL37" s="186"/>
      <c r="CM37" s="186"/>
      <c r="CN37" s="186"/>
      <c r="CO37" s="186"/>
      <c r="CP37" s="186"/>
      <c r="CQ37" s="186"/>
      <c r="CR37" s="186"/>
      <c r="CS37" s="186"/>
      <c r="CT37" s="186"/>
      <c r="CU37" s="186"/>
      <c r="CV37" s="186"/>
      <c r="CW37" s="186"/>
      <c r="CX37" s="186"/>
      <c r="CY37" s="186"/>
      <c r="CZ37" s="186"/>
      <c r="DA37" s="186"/>
      <c r="DB37" s="186"/>
      <c r="DC37" s="186"/>
      <c r="DD37" s="186"/>
      <c r="DE37" s="186"/>
      <c r="DF37" s="186"/>
      <c r="DG37" s="186"/>
      <c r="DH37" s="186"/>
    </row>
    <row r="38" ht="20.25" customHeight="1">
      <c r="A38" s="41">
        <v>38.0</v>
      </c>
      <c r="B38" s="185" t="s">
        <v>107</v>
      </c>
      <c r="C38" s="185" t="s">
        <v>108</v>
      </c>
      <c r="D38" s="185" t="s">
        <v>339</v>
      </c>
      <c r="E38" s="186"/>
      <c r="F38" s="187" t="s">
        <v>340</v>
      </c>
      <c r="G38" s="55" t="s">
        <v>374</v>
      </c>
      <c r="H38" s="55" t="s">
        <v>342</v>
      </c>
      <c r="I38" s="188">
        <v>45637.0</v>
      </c>
      <c r="J38" s="167">
        <v>45692.0</v>
      </c>
      <c r="K38" s="189" t="s">
        <v>343</v>
      </c>
      <c r="L38" s="190"/>
      <c r="M38" s="55" t="s">
        <v>344</v>
      </c>
      <c r="N38" s="189" t="s">
        <v>345</v>
      </c>
      <c r="O38" s="190"/>
      <c r="P38" s="191" t="s">
        <v>346</v>
      </c>
      <c r="Q38" s="49" t="str">
        <f t="array" ref="Q38"> if(iserror(MATCH(V38, 'File Links'!C:C, 0)), "N/A", HYPERLINK(INDEX('File Links'!B:B, MATCH(P38, 'File Links'!C:C, 0))))</f>
        <v>https://drive.google.com/file/d/1OByNKNsjZqSFHFFyt-o1mPqDkVmgruBu/view?usp=drivesdk</v>
      </c>
      <c r="R38" s="55" t="s">
        <v>347</v>
      </c>
      <c r="S38" s="55" t="s">
        <v>348</v>
      </c>
      <c r="T38" s="190"/>
      <c r="U38" s="192"/>
      <c r="V38" s="63" t="str">
        <f> hyperlink(vlookup(lower(S38),'File Links'!E:F, 2, FALSE), SUBSTITUTE(lower(S38), "/", "--") &amp;  ".pdf")</f>
        <v>10.1111--fare.13030.pdf</v>
      </c>
      <c r="W38" s="193" t="s">
        <v>349</v>
      </c>
      <c r="X38" s="51" t="str">
        <f t="array" ref="X38"> if(iserror(MATCH(V38, 'File Links'!C:C, 0)), "N/A", HYPERLINK(INDEX('File Links'!B:B, MATCH(V38, 'File Links'!C:C, 0))))</f>
        <v>https://drive.google.com/file/d/1TGN_TAtoJI3jhMQTEG2wnN59FCyiXC2_/view?usp=drivesdk</v>
      </c>
      <c r="Y38" s="190"/>
      <c r="Z38" s="55" t="s">
        <v>219</v>
      </c>
      <c r="AA38" s="190"/>
      <c r="AB38" s="189" t="s">
        <v>350</v>
      </c>
      <c r="AC38" s="189" t="s">
        <v>375</v>
      </c>
      <c r="AD38" s="189" t="s">
        <v>372</v>
      </c>
      <c r="AE38" s="194">
        <v>11.0</v>
      </c>
      <c r="AF38" s="194">
        <v>1950.0</v>
      </c>
      <c r="AG38" s="190"/>
      <c r="AH38" s="191" t="s">
        <v>353</v>
      </c>
      <c r="AI38" s="55" t="s">
        <v>300</v>
      </c>
      <c r="AJ38" s="194">
        <v>0.05</v>
      </c>
      <c r="AK38" s="195" t="s">
        <v>328</v>
      </c>
      <c r="AL38" s="55" t="s">
        <v>179</v>
      </c>
      <c r="AM38" s="190"/>
      <c r="AN38" s="55" t="s">
        <v>131</v>
      </c>
      <c r="AO38" s="194">
        <v>1079.0</v>
      </c>
      <c r="AP38" s="190"/>
      <c r="AQ38" s="55" t="s">
        <v>354</v>
      </c>
      <c r="AR38" s="55" t="s">
        <v>373</v>
      </c>
      <c r="AS38" s="194">
        <v>0.05</v>
      </c>
      <c r="AT38" s="195" t="s">
        <v>328</v>
      </c>
      <c r="AU38" s="195" t="s">
        <v>179</v>
      </c>
      <c r="AV38" s="187"/>
      <c r="AW38" s="187" t="s">
        <v>131</v>
      </c>
      <c r="AX38" s="187" t="s">
        <v>144</v>
      </c>
      <c r="AY38" s="190"/>
      <c r="AZ38" s="196" t="s">
        <v>137</v>
      </c>
      <c r="BA38" s="186"/>
      <c r="BB38" s="186"/>
      <c r="BC38" s="186"/>
      <c r="BD38" s="186"/>
      <c r="BE38" s="186"/>
      <c r="BF38" s="186"/>
      <c r="BG38" s="186"/>
      <c r="BH38" s="186"/>
      <c r="BI38" s="186"/>
      <c r="BJ38" s="186"/>
      <c r="BK38" s="186"/>
      <c r="BL38" s="186"/>
      <c r="BM38" s="186"/>
      <c r="BN38" s="186"/>
      <c r="BO38" s="186"/>
      <c r="BP38" s="186"/>
      <c r="BQ38" s="186"/>
      <c r="BR38" s="186"/>
      <c r="BS38" s="186"/>
      <c r="BT38" s="186"/>
      <c r="BU38" s="186"/>
      <c r="BV38" s="186"/>
      <c r="BW38" s="186"/>
      <c r="BX38" s="186"/>
      <c r="BY38" s="186"/>
      <c r="BZ38" s="186"/>
      <c r="CA38" s="186"/>
      <c r="CB38" s="186"/>
      <c r="CC38" s="186"/>
      <c r="CD38" s="186"/>
      <c r="CE38" s="186"/>
      <c r="CF38" s="186"/>
      <c r="CG38" s="186"/>
      <c r="CH38" s="186"/>
      <c r="CI38" s="186"/>
      <c r="CJ38" s="186"/>
      <c r="CK38" s="186"/>
      <c r="CL38" s="186"/>
      <c r="CM38" s="186"/>
      <c r="CN38" s="186"/>
      <c r="CO38" s="186"/>
      <c r="CP38" s="186"/>
      <c r="CQ38" s="186"/>
      <c r="CR38" s="186"/>
      <c r="CS38" s="186"/>
      <c r="CT38" s="186"/>
      <c r="CU38" s="186"/>
      <c r="CV38" s="186"/>
      <c r="CW38" s="186"/>
      <c r="CX38" s="186"/>
      <c r="CY38" s="186"/>
      <c r="CZ38" s="186"/>
      <c r="DA38" s="186"/>
      <c r="DB38" s="186"/>
      <c r="DC38" s="186"/>
      <c r="DD38" s="186"/>
      <c r="DE38" s="186"/>
      <c r="DF38" s="186"/>
      <c r="DG38" s="186"/>
      <c r="DH38" s="186"/>
    </row>
    <row r="39" ht="20.25" customHeight="1">
      <c r="A39" s="41">
        <v>39.0</v>
      </c>
      <c r="B39" s="185" t="s">
        <v>107</v>
      </c>
      <c r="C39" s="185" t="s">
        <v>108</v>
      </c>
      <c r="D39" s="185" t="s">
        <v>339</v>
      </c>
      <c r="E39" s="186"/>
      <c r="F39" s="187" t="s">
        <v>340</v>
      </c>
      <c r="G39" s="55" t="s">
        <v>376</v>
      </c>
      <c r="H39" s="55" t="s">
        <v>342</v>
      </c>
      <c r="I39" s="188">
        <v>45637.0</v>
      </c>
      <c r="J39" s="167">
        <v>45692.0</v>
      </c>
      <c r="K39" s="189" t="s">
        <v>343</v>
      </c>
      <c r="L39" s="190"/>
      <c r="M39" s="55" t="s">
        <v>344</v>
      </c>
      <c r="N39" s="189" t="s">
        <v>345</v>
      </c>
      <c r="O39" s="190"/>
      <c r="P39" s="191" t="s">
        <v>346</v>
      </c>
      <c r="Q39" s="49" t="str">
        <f t="array" ref="Q39"> if(iserror(MATCH(V39, 'File Links'!C:C, 0)), "N/A", HYPERLINK(INDEX('File Links'!B:B, MATCH(P39, 'File Links'!C:C, 0))))</f>
        <v>https://drive.google.com/file/d/1OByNKNsjZqSFHFFyt-o1mPqDkVmgruBu/view?usp=drivesdk</v>
      </c>
      <c r="R39" s="55" t="s">
        <v>347</v>
      </c>
      <c r="S39" s="55" t="s">
        <v>348</v>
      </c>
      <c r="T39" s="190"/>
      <c r="U39" s="192"/>
      <c r="V39" s="63" t="str">
        <f> hyperlink(vlookup(lower(S39),'File Links'!E:F, 2, FALSE), SUBSTITUTE(lower(S39), "/", "--") &amp;  ".pdf")</f>
        <v>10.1111--fare.13030.pdf</v>
      </c>
      <c r="W39" s="193" t="s">
        <v>349</v>
      </c>
      <c r="X39" s="51" t="str">
        <f t="array" ref="X39"> if(iserror(MATCH(V39, 'File Links'!C:C, 0)), "N/A", HYPERLINK(INDEX('File Links'!B:B, MATCH(V39, 'File Links'!C:C, 0))))</f>
        <v>https://drive.google.com/file/d/1TGN_TAtoJI3jhMQTEG2wnN59FCyiXC2_/view?usp=drivesdk</v>
      </c>
      <c r="Y39" s="190"/>
      <c r="Z39" s="55" t="s">
        <v>219</v>
      </c>
      <c r="AA39" s="190"/>
      <c r="AB39" s="189" t="s">
        <v>350</v>
      </c>
      <c r="AC39" s="189" t="s">
        <v>377</v>
      </c>
      <c r="AD39" s="189" t="s">
        <v>372</v>
      </c>
      <c r="AE39" s="194">
        <v>11.0</v>
      </c>
      <c r="AF39" s="194">
        <v>1950.0</v>
      </c>
      <c r="AG39" s="190"/>
      <c r="AH39" s="191" t="s">
        <v>353</v>
      </c>
      <c r="AI39" s="55" t="s">
        <v>300</v>
      </c>
      <c r="AJ39" s="194">
        <v>0.05</v>
      </c>
      <c r="AK39" s="195" t="s">
        <v>328</v>
      </c>
      <c r="AL39" s="55" t="s">
        <v>179</v>
      </c>
      <c r="AM39" s="190"/>
      <c r="AN39" s="55" t="s">
        <v>131</v>
      </c>
      <c r="AO39" s="194">
        <v>1079.0</v>
      </c>
      <c r="AP39" s="190"/>
      <c r="AQ39" s="55" t="s">
        <v>354</v>
      </c>
      <c r="AR39" s="55" t="s">
        <v>373</v>
      </c>
      <c r="AS39" s="194">
        <v>0.05</v>
      </c>
      <c r="AT39" s="195" t="s">
        <v>328</v>
      </c>
      <c r="AU39" s="195" t="s">
        <v>179</v>
      </c>
      <c r="AV39" s="187"/>
      <c r="AW39" s="187" t="s">
        <v>131</v>
      </c>
      <c r="AX39" s="187" t="s">
        <v>144</v>
      </c>
      <c r="AY39" s="190"/>
      <c r="AZ39" s="196" t="s">
        <v>137</v>
      </c>
      <c r="BA39" s="186"/>
      <c r="BB39" s="186"/>
      <c r="BC39" s="186"/>
      <c r="BD39" s="186"/>
      <c r="BE39" s="186"/>
      <c r="BF39" s="186"/>
      <c r="BG39" s="186"/>
      <c r="BH39" s="186"/>
      <c r="BI39" s="186"/>
      <c r="BJ39" s="186"/>
      <c r="BK39" s="186"/>
      <c r="BL39" s="186"/>
      <c r="BM39" s="186"/>
      <c r="BN39" s="186"/>
      <c r="BO39" s="186"/>
      <c r="BP39" s="186"/>
      <c r="BQ39" s="186"/>
      <c r="BR39" s="186"/>
      <c r="BS39" s="186"/>
      <c r="BT39" s="186"/>
      <c r="BU39" s="186"/>
      <c r="BV39" s="186"/>
      <c r="BW39" s="186"/>
      <c r="BX39" s="186"/>
      <c r="BY39" s="186"/>
      <c r="BZ39" s="186"/>
      <c r="CA39" s="186"/>
      <c r="CB39" s="186"/>
      <c r="CC39" s="186"/>
      <c r="CD39" s="186"/>
      <c r="CE39" s="186"/>
      <c r="CF39" s="186"/>
      <c r="CG39" s="186"/>
      <c r="CH39" s="186"/>
      <c r="CI39" s="186"/>
      <c r="CJ39" s="186"/>
      <c r="CK39" s="186"/>
      <c r="CL39" s="186"/>
      <c r="CM39" s="186"/>
      <c r="CN39" s="186"/>
      <c r="CO39" s="186"/>
      <c r="CP39" s="186"/>
      <c r="CQ39" s="186"/>
      <c r="CR39" s="186"/>
      <c r="CS39" s="186"/>
      <c r="CT39" s="186"/>
      <c r="CU39" s="186"/>
      <c r="CV39" s="186"/>
      <c r="CW39" s="186"/>
      <c r="CX39" s="186"/>
      <c r="CY39" s="186"/>
      <c r="CZ39" s="186"/>
      <c r="DA39" s="186"/>
      <c r="DB39" s="186"/>
      <c r="DC39" s="186"/>
      <c r="DD39" s="186"/>
      <c r="DE39" s="186"/>
      <c r="DF39" s="186"/>
      <c r="DG39" s="186"/>
      <c r="DH39" s="186"/>
    </row>
    <row r="40" ht="20.25" customHeight="1">
      <c r="A40" s="41">
        <v>40.0</v>
      </c>
      <c r="B40" s="185" t="s">
        <v>107</v>
      </c>
      <c r="C40" s="185" t="s">
        <v>108</v>
      </c>
      <c r="D40" s="185" t="s">
        <v>339</v>
      </c>
      <c r="E40" s="186"/>
      <c r="F40" s="187" t="s">
        <v>340</v>
      </c>
      <c r="G40" s="55" t="s">
        <v>378</v>
      </c>
      <c r="H40" s="55" t="s">
        <v>342</v>
      </c>
      <c r="I40" s="188">
        <v>45637.0</v>
      </c>
      <c r="J40" s="167">
        <v>45692.0</v>
      </c>
      <c r="K40" s="189" t="s">
        <v>343</v>
      </c>
      <c r="L40" s="190"/>
      <c r="M40" s="55" t="s">
        <v>344</v>
      </c>
      <c r="N40" s="189" t="s">
        <v>345</v>
      </c>
      <c r="O40" s="190"/>
      <c r="P40" s="191" t="s">
        <v>346</v>
      </c>
      <c r="Q40" s="49" t="str">
        <f t="array" ref="Q40"> if(iserror(MATCH(V40, 'File Links'!C:C, 0)), "N/A", HYPERLINK(INDEX('File Links'!B:B, MATCH(P40, 'File Links'!C:C, 0))))</f>
        <v>https://drive.google.com/file/d/1OByNKNsjZqSFHFFyt-o1mPqDkVmgruBu/view?usp=drivesdk</v>
      </c>
      <c r="R40" s="55" t="s">
        <v>347</v>
      </c>
      <c r="S40" s="55" t="s">
        <v>348</v>
      </c>
      <c r="T40" s="190"/>
      <c r="U40" s="192"/>
      <c r="V40" s="63" t="str">
        <f> hyperlink(vlookup(lower(S40),'File Links'!E:F, 2, FALSE), SUBSTITUTE(lower(S40), "/", "--") &amp;  ".pdf")</f>
        <v>10.1111--fare.13030.pdf</v>
      </c>
      <c r="W40" s="193" t="s">
        <v>349</v>
      </c>
      <c r="X40" s="51" t="str">
        <f t="array" ref="X40"> if(iserror(MATCH(V40, 'File Links'!C:C, 0)), "N/A", HYPERLINK(INDEX('File Links'!B:B, MATCH(V40, 'File Links'!C:C, 0))))</f>
        <v>https://drive.google.com/file/d/1TGN_TAtoJI3jhMQTEG2wnN59FCyiXC2_/view?usp=drivesdk</v>
      </c>
      <c r="Y40" s="190"/>
      <c r="Z40" s="55" t="s">
        <v>219</v>
      </c>
      <c r="AA40" s="190"/>
      <c r="AB40" s="189" t="s">
        <v>350</v>
      </c>
      <c r="AC40" s="189" t="s">
        <v>379</v>
      </c>
      <c r="AD40" s="189" t="s">
        <v>372</v>
      </c>
      <c r="AE40" s="194">
        <v>11.0</v>
      </c>
      <c r="AF40" s="194">
        <v>1950.0</v>
      </c>
      <c r="AG40" s="190"/>
      <c r="AH40" s="191" t="s">
        <v>353</v>
      </c>
      <c r="AI40" s="55" t="s">
        <v>300</v>
      </c>
      <c r="AJ40" s="194">
        <v>0.05</v>
      </c>
      <c r="AK40" s="195" t="s">
        <v>328</v>
      </c>
      <c r="AL40" s="55" t="s">
        <v>179</v>
      </c>
      <c r="AM40" s="190"/>
      <c r="AN40" s="55" t="s">
        <v>131</v>
      </c>
      <c r="AO40" s="194">
        <v>1079.0</v>
      </c>
      <c r="AP40" s="190"/>
      <c r="AQ40" s="55" t="s">
        <v>354</v>
      </c>
      <c r="AR40" s="55" t="s">
        <v>373</v>
      </c>
      <c r="AS40" s="194">
        <v>0.05</v>
      </c>
      <c r="AT40" s="195" t="s">
        <v>328</v>
      </c>
      <c r="AU40" s="195" t="s">
        <v>179</v>
      </c>
      <c r="AV40" s="187"/>
      <c r="AW40" s="187" t="s">
        <v>131</v>
      </c>
      <c r="AX40" s="187" t="s">
        <v>144</v>
      </c>
      <c r="AY40" s="190"/>
      <c r="AZ40" s="196" t="s">
        <v>137</v>
      </c>
      <c r="BA40" s="186"/>
      <c r="BB40" s="186"/>
      <c r="BC40" s="186"/>
      <c r="BD40" s="186"/>
      <c r="BE40" s="186"/>
      <c r="BF40" s="186"/>
      <c r="BG40" s="186"/>
      <c r="BH40" s="186"/>
      <c r="BI40" s="186"/>
      <c r="BJ40" s="186"/>
      <c r="BK40" s="186"/>
      <c r="BL40" s="186"/>
      <c r="BM40" s="186"/>
      <c r="BN40" s="186"/>
      <c r="BO40" s="186"/>
      <c r="BP40" s="186"/>
      <c r="BQ40" s="186"/>
      <c r="BR40" s="186"/>
      <c r="BS40" s="186"/>
      <c r="BT40" s="186"/>
      <c r="BU40" s="186"/>
      <c r="BV40" s="186"/>
      <c r="BW40" s="186"/>
      <c r="BX40" s="186"/>
      <c r="BY40" s="186"/>
      <c r="BZ40" s="186"/>
      <c r="CA40" s="186"/>
      <c r="CB40" s="186"/>
      <c r="CC40" s="186"/>
      <c r="CD40" s="186"/>
      <c r="CE40" s="186"/>
      <c r="CF40" s="186"/>
      <c r="CG40" s="186"/>
      <c r="CH40" s="186"/>
      <c r="CI40" s="186"/>
      <c r="CJ40" s="186"/>
      <c r="CK40" s="186"/>
      <c r="CL40" s="186"/>
      <c r="CM40" s="186"/>
      <c r="CN40" s="186"/>
      <c r="CO40" s="186"/>
      <c r="CP40" s="186"/>
      <c r="CQ40" s="186"/>
      <c r="CR40" s="186"/>
      <c r="CS40" s="186"/>
      <c r="CT40" s="186"/>
      <c r="CU40" s="186"/>
      <c r="CV40" s="186"/>
      <c r="CW40" s="186"/>
      <c r="CX40" s="186"/>
      <c r="CY40" s="186"/>
      <c r="CZ40" s="186"/>
      <c r="DA40" s="186"/>
      <c r="DB40" s="186"/>
      <c r="DC40" s="186"/>
      <c r="DD40" s="186"/>
      <c r="DE40" s="186"/>
      <c r="DF40" s="186"/>
      <c r="DG40" s="186"/>
      <c r="DH40" s="186"/>
    </row>
    <row r="41" ht="20.25" customHeight="1">
      <c r="A41" s="41">
        <v>41.0</v>
      </c>
      <c r="B41" s="185" t="s">
        <v>107</v>
      </c>
      <c r="C41" s="185" t="s">
        <v>108</v>
      </c>
      <c r="D41" s="185" t="s">
        <v>339</v>
      </c>
      <c r="E41" s="186"/>
      <c r="F41" s="187" t="s">
        <v>340</v>
      </c>
      <c r="G41" s="55" t="s">
        <v>380</v>
      </c>
      <c r="H41" s="55" t="s">
        <v>342</v>
      </c>
      <c r="I41" s="188">
        <v>45637.0</v>
      </c>
      <c r="J41" s="167">
        <v>45692.0</v>
      </c>
      <c r="K41" s="189" t="s">
        <v>343</v>
      </c>
      <c r="L41" s="190"/>
      <c r="M41" s="55" t="s">
        <v>344</v>
      </c>
      <c r="N41" s="189" t="s">
        <v>345</v>
      </c>
      <c r="O41" s="190"/>
      <c r="P41" s="191" t="s">
        <v>346</v>
      </c>
      <c r="Q41" s="49" t="str">
        <f t="array" ref="Q41"> if(iserror(MATCH(V41, 'File Links'!C:C, 0)), "N/A", HYPERLINK(INDEX('File Links'!B:B, MATCH(P41, 'File Links'!C:C, 0))))</f>
        <v>https://drive.google.com/file/d/1OByNKNsjZqSFHFFyt-o1mPqDkVmgruBu/view?usp=drivesdk</v>
      </c>
      <c r="R41" s="55" t="s">
        <v>347</v>
      </c>
      <c r="S41" s="55" t="s">
        <v>348</v>
      </c>
      <c r="T41" s="190"/>
      <c r="U41" s="192"/>
      <c r="V41" s="63" t="str">
        <f> hyperlink(vlookup(lower(S41),'File Links'!E:F, 2, FALSE), SUBSTITUTE(lower(S41), "/", "--") &amp;  ".pdf")</f>
        <v>10.1111--fare.13030.pdf</v>
      </c>
      <c r="W41" s="193" t="s">
        <v>349</v>
      </c>
      <c r="X41" s="51" t="str">
        <f t="array" ref="X41"> if(iserror(MATCH(V41, 'File Links'!C:C, 0)), "N/A", HYPERLINK(INDEX('File Links'!B:B, MATCH(V41, 'File Links'!C:C, 0))))</f>
        <v>https://drive.google.com/file/d/1TGN_TAtoJI3jhMQTEG2wnN59FCyiXC2_/view?usp=drivesdk</v>
      </c>
      <c r="Y41" s="190"/>
      <c r="Z41" s="55" t="s">
        <v>219</v>
      </c>
      <c r="AA41" s="190"/>
      <c r="AB41" s="189" t="s">
        <v>350</v>
      </c>
      <c r="AC41" s="189" t="s">
        <v>381</v>
      </c>
      <c r="AD41" s="189" t="s">
        <v>372</v>
      </c>
      <c r="AE41" s="194">
        <v>11.0</v>
      </c>
      <c r="AF41" s="194">
        <v>1950.0</v>
      </c>
      <c r="AG41" s="190"/>
      <c r="AH41" s="191" t="s">
        <v>353</v>
      </c>
      <c r="AI41" s="55" t="s">
        <v>300</v>
      </c>
      <c r="AJ41" s="194">
        <v>0.05</v>
      </c>
      <c r="AK41" s="195" t="s">
        <v>328</v>
      </c>
      <c r="AL41" s="55" t="s">
        <v>179</v>
      </c>
      <c r="AM41" s="190"/>
      <c r="AN41" s="55" t="s">
        <v>131</v>
      </c>
      <c r="AO41" s="194">
        <v>1079.0</v>
      </c>
      <c r="AP41" s="190"/>
      <c r="AQ41" s="55" t="s">
        <v>354</v>
      </c>
      <c r="AR41" s="55" t="s">
        <v>355</v>
      </c>
      <c r="AS41" s="194">
        <v>0.05</v>
      </c>
      <c r="AT41" s="195" t="s">
        <v>328</v>
      </c>
      <c r="AU41" s="195" t="s">
        <v>179</v>
      </c>
      <c r="AV41" s="187"/>
      <c r="AW41" s="187" t="s">
        <v>131</v>
      </c>
      <c r="AX41" s="187" t="s">
        <v>144</v>
      </c>
      <c r="AY41" s="190"/>
      <c r="AZ41" s="196" t="s">
        <v>137</v>
      </c>
      <c r="BA41" s="186"/>
      <c r="BB41" s="186"/>
      <c r="BC41" s="186"/>
      <c r="BD41" s="186"/>
      <c r="BE41" s="186"/>
      <c r="BF41" s="186"/>
      <c r="BG41" s="186"/>
      <c r="BH41" s="186"/>
      <c r="BI41" s="186"/>
      <c r="BJ41" s="186"/>
      <c r="BK41" s="186"/>
      <c r="BL41" s="186"/>
      <c r="BM41" s="186"/>
      <c r="BN41" s="186"/>
      <c r="BO41" s="186"/>
      <c r="BP41" s="186"/>
      <c r="BQ41" s="186"/>
      <c r="BR41" s="186"/>
      <c r="BS41" s="186"/>
      <c r="BT41" s="186"/>
      <c r="BU41" s="186"/>
      <c r="BV41" s="186"/>
      <c r="BW41" s="186"/>
      <c r="BX41" s="186"/>
      <c r="BY41" s="186"/>
      <c r="BZ41" s="186"/>
      <c r="CA41" s="186"/>
      <c r="CB41" s="186"/>
      <c r="CC41" s="186"/>
      <c r="CD41" s="186"/>
      <c r="CE41" s="186"/>
      <c r="CF41" s="186"/>
      <c r="CG41" s="186"/>
      <c r="CH41" s="186"/>
      <c r="CI41" s="186"/>
      <c r="CJ41" s="186"/>
      <c r="CK41" s="186"/>
      <c r="CL41" s="186"/>
      <c r="CM41" s="186"/>
      <c r="CN41" s="186"/>
      <c r="CO41" s="186"/>
      <c r="CP41" s="186"/>
      <c r="CQ41" s="186"/>
      <c r="CR41" s="186"/>
      <c r="CS41" s="186"/>
      <c r="CT41" s="186"/>
      <c r="CU41" s="186"/>
      <c r="CV41" s="186"/>
      <c r="CW41" s="186"/>
      <c r="CX41" s="186"/>
      <c r="CY41" s="186"/>
      <c r="CZ41" s="186"/>
      <c r="DA41" s="186"/>
      <c r="DB41" s="186"/>
      <c r="DC41" s="186"/>
      <c r="DD41" s="186"/>
      <c r="DE41" s="186"/>
      <c r="DF41" s="186"/>
      <c r="DG41" s="186"/>
      <c r="DH41" s="186"/>
    </row>
    <row r="42" ht="20.25" customHeight="1">
      <c r="A42" s="41">
        <v>42.0</v>
      </c>
      <c r="B42" s="185" t="s">
        <v>107</v>
      </c>
      <c r="C42" s="185" t="s">
        <v>108</v>
      </c>
      <c r="D42" s="185" t="s">
        <v>339</v>
      </c>
      <c r="E42" s="186"/>
      <c r="F42" s="187" t="s">
        <v>340</v>
      </c>
      <c r="G42" s="55" t="s">
        <v>382</v>
      </c>
      <c r="H42" s="55" t="s">
        <v>342</v>
      </c>
      <c r="I42" s="188">
        <v>45637.0</v>
      </c>
      <c r="J42" s="167">
        <v>45692.0</v>
      </c>
      <c r="K42" s="189" t="s">
        <v>343</v>
      </c>
      <c r="L42" s="190"/>
      <c r="M42" s="55" t="s">
        <v>344</v>
      </c>
      <c r="N42" s="189" t="s">
        <v>345</v>
      </c>
      <c r="O42" s="190"/>
      <c r="P42" s="191" t="s">
        <v>346</v>
      </c>
      <c r="Q42" s="49" t="str">
        <f t="array" ref="Q42"> if(iserror(MATCH(V42, 'File Links'!C:C, 0)), "N/A", HYPERLINK(INDEX('File Links'!B:B, MATCH(P42, 'File Links'!C:C, 0))))</f>
        <v>https://drive.google.com/file/d/1OByNKNsjZqSFHFFyt-o1mPqDkVmgruBu/view?usp=drivesdk</v>
      </c>
      <c r="R42" s="55" t="s">
        <v>347</v>
      </c>
      <c r="S42" s="55" t="s">
        <v>348</v>
      </c>
      <c r="T42" s="190"/>
      <c r="U42" s="192"/>
      <c r="V42" s="63" t="str">
        <f> hyperlink(vlookup(lower(S42),'File Links'!E:F, 2, FALSE), SUBSTITUTE(lower(S42), "/", "--") &amp;  ".pdf")</f>
        <v>10.1111--fare.13030.pdf</v>
      </c>
      <c r="W42" s="193" t="s">
        <v>349</v>
      </c>
      <c r="X42" s="51" t="str">
        <f t="array" ref="X42"> if(iserror(MATCH(V42, 'File Links'!C:C, 0)), "N/A", HYPERLINK(INDEX('File Links'!B:B, MATCH(V42, 'File Links'!C:C, 0))))</f>
        <v>https://drive.google.com/file/d/1TGN_TAtoJI3jhMQTEG2wnN59FCyiXC2_/view?usp=drivesdk</v>
      </c>
      <c r="Y42" s="190"/>
      <c r="Z42" s="55" t="s">
        <v>219</v>
      </c>
      <c r="AA42" s="190"/>
      <c r="AB42" s="189" t="s">
        <v>350</v>
      </c>
      <c r="AC42" s="189" t="s">
        <v>383</v>
      </c>
      <c r="AD42" s="189" t="s">
        <v>372</v>
      </c>
      <c r="AE42" s="194">
        <v>11.0</v>
      </c>
      <c r="AF42" s="194">
        <v>1950.0</v>
      </c>
      <c r="AG42" s="190"/>
      <c r="AH42" s="191" t="s">
        <v>353</v>
      </c>
      <c r="AI42" s="55" t="s">
        <v>300</v>
      </c>
      <c r="AJ42" s="194">
        <v>0.05</v>
      </c>
      <c r="AK42" s="195" t="s">
        <v>328</v>
      </c>
      <c r="AL42" s="55" t="s">
        <v>179</v>
      </c>
      <c r="AM42" s="190"/>
      <c r="AN42" s="55" t="s">
        <v>131</v>
      </c>
      <c r="AO42" s="194">
        <v>1079.0</v>
      </c>
      <c r="AP42" s="190"/>
      <c r="AQ42" s="55" t="s">
        <v>354</v>
      </c>
      <c r="AR42" s="55" t="s">
        <v>355</v>
      </c>
      <c r="AS42" s="194">
        <v>0.05</v>
      </c>
      <c r="AT42" s="195" t="s">
        <v>328</v>
      </c>
      <c r="AU42" s="195" t="s">
        <v>179</v>
      </c>
      <c r="AV42" s="187"/>
      <c r="AW42" s="187" t="s">
        <v>131</v>
      </c>
      <c r="AX42" s="187" t="s">
        <v>144</v>
      </c>
      <c r="AY42" s="190"/>
      <c r="AZ42" s="196" t="s">
        <v>137</v>
      </c>
      <c r="BA42" s="186"/>
      <c r="BB42" s="186"/>
      <c r="BC42" s="186"/>
      <c r="BD42" s="186"/>
      <c r="BE42" s="186"/>
      <c r="BF42" s="186"/>
      <c r="BG42" s="186"/>
      <c r="BH42" s="186"/>
      <c r="BI42" s="186"/>
      <c r="BJ42" s="186"/>
      <c r="BK42" s="186"/>
      <c r="BL42" s="186"/>
      <c r="BM42" s="186"/>
      <c r="BN42" s="186"/>
      <c r="BO42" s="186"/>
      <c r="BP42" s="186"/>
      <c r="BQ42" s="186"/>
      <c r="BR42" s="186"/>
      <c r="BS42" s="186"/>
      <c r="BT42" s="186"/>
      <c r="BU42" s="186"/>
      <c r="BV42" s="186"/>
      <c r="BW42" s="186"/>
      <c r="BX42" s="186"/>
      <c r="BY42" s="186"/>
      <c r="BZ42" s="186"/>
      <c r="CA42" s="186"/>
      <c r="CB42" s="186"/>
      <c r="CC42" s="186"/>
      <c r="CD42" s="186"/>
      <c r="CE42" s="186"/>
      <c r="CF42" s="186"/>
      <c r="CG42" s="186"/>
      <c r="CH42" s="186"/>
      <c r="CI42" s="186"/>
      <c r="CJ42" s="186"/>
      <c r="CK42" s="186"/>
      <c r="CL42" s="186"/>
      <c r="CM42" s="186"/>
      <c r="CN42" s="186"/>
      <c r="CO42" s="186"/>
      <c r="CP42" s="186"/>
      <c r="CQ42" s="186"/>
      <c r="CR42" s="186"/>
      <c r="CS42" s="186"/>
      <c r="CT42" s="186"/>
      <c r="CU42" s="186"/>
      <c r="CV42" s="186"/>
      <c r="CW42" s="186"/>
      <c r="CX42" s="186"/>
      <c r="CY42" s="186"/>
      <c r="CZ42" s="186"/>
      <c r="DA42" s="186"/>
      <c r="DB42" s="186"/>
      <c r="DC42" s="186"/>
      <c r="DD42" s="186"/>
      <c r="DE42" s="186"/>
      <c r="DF42" s="186"/>
      <c r="DG42" s="186"/>
      <c r="DH42" s="186"/>
    </row>
    <row r="43" ht="20.25" customHeight="1">
      <c r="A43" s="41">
        <v>43.0</v>
      </c>
      <c r="B43" s="185" t="s">
        <v>107</v>
      </c>
      <c r="C43" s="185" t="s">
        <v>108</v>
      </c>
      <c r="D43" s="185" t="s">
        <v>339</v>
      </c>
      <c r="E43" s="186"/>
      <c r="F43" s="187" t="s">
        <v>340</v>
      </c>
      <c r="G43" s="55" t="s">
        <v>384</v>
      </c>
      <c r="H43" s="55" t="s">
        <v>342</v>
      </c>
      <c r="I43" s="188">
        <v>45637.0</v>
      </c>
      <c r="J43" s="167">
        <v>45692.0</v>
      </c>
      <c r="K43" s="189" t="s">
        <v>343</v>
      </c>
      <c r="L43" s="190"/>
      <c r="M43" s="55" t="s">
        <v>344</v>
      </c>
      <c r="N43" s="189" t="s">
        <v>345</v>
      </c>
      <c r="O43" s="190"/>
      <c r="P43" s="191" t="s">
        <v>346</v>
      </c>
      <c r="Q43" s="49" t="str">
        <f t="array" ref="Q43"> if(iserror(MATCH(V43, 'File Links'!C:C, 0)), "N/A", HYPERLINK(INDEX('File Links'!B:B, MATCH(P43, 'File Links'!C:C, 0))))</f>
        <v>https://drive.google.com/file/d/1OByNKNsjZqSFHFFyt-o1mPqDkVmgruBu/view?usp=drivesdk</v>
      </c>
      <c r="R43" s="55" t="s">
        <v>347</v>
      </c>
      <c r="S43" s="55" t="s">
        <v>348</v>
      </c>
      <c r="T43" s="190"/>
      <c r="U43" s="192"/>
      <c r="V43" s="63" t="str">
        <f> hyperlink(vlookup(lower(S43),'File Links'!E:F, 2, FALSE), SUBSTITUTE(lower(S43), "/", "--") &amp;  ".pdf")</f>
        <v>10.1111--fare.13030.pdf</v>
      </c>
      <c r="W43" s="193" t="s">
        <v>349</v>
      </c>
      <c r="X43" s="51" t="str">
        <f t="array" ref="X43"> if(iserror(MATCH(V43, 'File Links'!C:C, 0)), "N/A", HYPERLINK(INDEX('File Links'!B:B, MATCH(V43, 'File Links'!C:C, 0))))</f>
        <v>https://drive.google.com/file/d/1TGN_TAtoJI3jhMQTEG2wnN59FCyiXC2_/view?usp=drivesdk</v>
      </c>
      <c r="Y43" s="190"/>
      <c r="Z43" s="55" t="s">
        <v>219</v>
      </c>
      <c r="AA43" s="190"/>
      <c r="AB43" s="189" t="s">
        <v>350</v>
      </c>
      <c r="AC43" s="189" t="s">
        <v>385</v>
      </c>
      <c r="AD43" s="189" t="s">
        <v>372</v>
      </c>
      <c r="AE43" s="194">
        <v>11.0</v>
      </c>
      <c r="AF43" s="194">
        <v>1950.0</v>
      </c>
      <c r="AG43" s="190"/>
      <c r="AH43" s="191" t="s">
        <v>353</v>
      </c>
      <c r="AI43" s="55" t="s">
        <v>300</v>
      </c>
      <c r="AJ43" s="194">
        <v>0.05</v>
      </c>
      <c r="AK43" s="195" t="s">
        <v>328</v>
      </c>
      <c r="AL43" s="55" t="s">
        <v>179</v>
      </c>
      <c r="AM43" s="190"/>
      <c r="AN43" s="55" t="s">
        <v>131</v>
      </c>
      <c r="AO43" s="194">
        <v>1079.0</v>
      </c>
      <c r="AP43" s="194">
        <v>0.07</v>
      </c>
      <c r="AQ43" s="55" t="s">
        <v>354</v>
      </c>
      <c r="AR43" s="55" t="s">
        <v>355</v>
      </c>
      <c r="AS43" s="194">
        <v>0.05</v>
      </c>
      <c r="AT43" s="195" t="s">
        <v>128</v>
      </c>
      <c r="AU43" s="195" t="s">
        <v>179</v>
      </c>
      <c r="AV43" s="187"/>
      <c r="AW43" s="187" t="s">
        <v>131</v>
      </c>
      <c r="AX43" s="187" t="s">
        <v>144</v>
      </c>
      <c r="AY43" s="190"/>
      <c r="AZ43" s="196" t="s">
        <v>137</v>
      </c>
      <c r="BA43" s="186"/>
      <c r="BB43" s="186"/>
      <c r="BC43" s="186"/>
      <c r="BD43" s="186"/>
      <c r="BE43" s="186"/>
      <c r="BF43" s="186"/>
      <c r="BG43" s="186"/>
      <c r="BH43" s="186"/>
      <c r="BI43" s="186"/>
      <c r="BJ43" s="186"/>
      <c r="BK43" s="186"/>
      <c r="BL43" s="186"/>
      <c r="BM43" s="186"/>
      <c r="BN43" s="186"/>
      <c r="BO43" s="186"/>
      <c r="BP43" s="186"/>
      <c r="BQ43" s="186"/>
      <c r="BR43" s="186"/>
      <c r="BS43" s="186"/>
      <c r="BT43" s="186"/>
      <c r="BU43" s="186"/>
      <c r="BV43" s="186"/>
      <c r="BW43" s="186"/>
      <c r="BX43" s="186"/>
      <c r="BY43" s="186"/>
      <c r="BZ43" s="186"/>
      <c r="CA43" s="186"/>
      <c r="CB43" s="186"/>
      <c r="CC43" s="186"/>
      <c r="CD43" s="186"/>
      <c r="CE43" s="186"/>
      <c r="CF43" s="186"/>
      <c r="CG43" s="186"/>
      <c r="CH43" s="186"/>
      <c r="CI43" s="186"/>
      <c r="CJ43" s="186"/>
      <c r="CK43" s="186"/>
      <c r="CL43" s="186"/>
      <c r="CM43" s="186"/>
      <c r="CN43" s="186"/>
      <c r="CO43" s="186"/>
      <c r="CP43" s="186"/>
      <c r="CQ43" s="186"/>
      <c r="CR43" s="186"/>
      <c r="CS43" s="186"/>
      <c r="CT43" s="186"/>
      <c r="CU43" s="186"/>
      <c r="CV43" s="186"/>
      <c r="CW43" s="186"/>
      <c r="CX43" s="186"/>
      <c r="CY43" s="186"/>
      <c r="CZ43" s="186"/>
      <c r="DA43" s="186"/>
      <c r="DB43" s="186"/>
      <c r="DC43" s="186"/>
      <c r="DD43" s="186"/>
      <c r="DE43" s="186"/>
      <c r="DF43" s="186"/>
      <c r="DG43" s="186"/>
      <c r="DH43" s="186"/>
    </row>
    <row r="44" ht="20.25" customHeight="1">
      <c r="A44" s="41">
        <v>44.0</v>
      </c>
      <c r="B44" s="185" t="s">
        <v>107</v>
      </c>
      <c r="C44" s="185" t="s">
        <v>108</v>
      </c>
      <c r="D44" s="185" t="s">
        <v>339</v>
      </c>
      <c r="E44" s="186"/>
      <c r="F44" s="187" t="s">
        <v>340</v>
      </c>
      <c r="G44" s="55" t="s">
        <v>386</v>
      </c>
      <c r="H44" s="55" t="s">
        <v>342</v>
      </c>
      <c r="I44" s="188">
        <v>45637.0</v>
      </c>
      <c r="J44" s="167">
        <v>45692.0</v>
      </c>
      <c r="K44" s="189" t="s">
        <v>343</v>
      </c>
      <c r="L44" s="190"/>
      <c r="M44" s="55" t="s">
        <v>344</v>
      </c>
      <c r="N44" s="189" t="s">
        <v>345</v>
      </c>
      <c r="O44" s="190"/>
      <c r="P44" s="191" t="s">
        <v>346</v>
      </c>
      <c r="Q44" s="49" t="str">
        <f t="array" ref="Q44"> if(iserror(MATCH(V44, 'File Links'!C:C, 0)), "N/A", HYPERLINK(INDEX('File Links'!B:B, MATCH(P44, 'File Links'!C:C, 0))))</f>
        <v>https://drive.google.com/file/d/1OByNKNsjZqSFHFFyt-o1mPqDkVmgruBu/view?usp=drivesdk</v>
      </c>
      <c r="R44" s="55" t="s">
        <v>347</v>
      </c>
      <c r="S44" s="55" t="s">
        <v>348</v>
      </c>
      <c r="T44" s="190"/>
      <c r="U44" s="192"/>
      <c r="V44" s="63" t="str">
        <f> hyperlink(vlookup(lower(S44),'File Links'!E:F, 2, FALSE), SUBSTITUTE(lower(S44), "/", "--") &amp;  ".pdf")</f>
        <v>10.1111--fare.13030.pdf</v>
      </c>
      <c r="W44" s="193" t="s">
        <v>349</v>
      </c>
      <c r="X44" s="51" t="str">
        <f t="array" ref="X44"> if(iserror(MATCH(V44, 'File Links'!C:C, 0)), "N/A", HYPERLINK(INDEX('File Links'!B:B, MATCH(V44, 'File Links'!C:C, 0))))</f>
        <v>https://drive.google.com/file/d/1TGN_TAtoJI3jhMQTEG2wnN59FCyiXC2_/view?usp=drivesdk</v>
      </c>
      <c r="Y44" s="190"/>
      <c r="Z44" s="55" t="s">
        <v>219</v>
      </c>
      <c r="AA44" s="190"/>
      <c r="AB44" s="189" t="s">
        <v>350</v>
      </c>
      <c r="AC44" s="189" t="s">
        <v>387</v>
      </c>
      <c r="AD44" s="189" t="s">
        <v>372</v>
      </c>
      <c r="AE44" s="194">
        <v>11.0</v>
      </c>
      <c r="AF44" s="194">
        <v>1950.0</v>
      </c>
      <c r="AG44" s="190"/>
      <c r="AH44" s="191" t="s">
        <v>353</v>
      </c>
      <c r="AI44" s="55" t="s">
        <v>300</v>
      </c>
      <c r="AJ44" s="194">
        <v>0.05</v>
      </c>
      <c r="AK44" s="195" t="s">
        <v>328</v>
      </c>
      <c r="AL44" s="55" t="s">
        <v>179</v>
      </c>
      <c r="AM44" s="190"/>
      <c r="AN44" s="55" t="s">
        <v>131</v>
      </c>
      <c r="AO44" s="194">
        <v>1079.0</v>
      </c>
      <c r="AP44" s="194">
        <v>0.07</v>
      </c>
      <c r="AQ44" s="55" t="s">
        <v>354</v>
      </c>
      <c r="AR44" s="55" t="s">
        <v>355</v>
      </c>
      <c r="AS44" s="194">
        <v>0.05</v>
      </c>
      <c r="AT44" s="195" t="s">
        <v>128</v>
      </c>
      <c r="AU44" s="195" t="s">
        <v>179</v>
      </c>
      <c r="AV44" s="187"/>
      <c r="AW44" s="187" t="s">
        <v>131</v>
      </c>
      <c r="AX44" s="187" t="s">
        <v>144</v>
      </c>
      <c r="AY44" s="190"/>
      <c r="AZ44" s="196" t="s">
        <v>137</v>
      </c>
      <c r="BA44" s="186"/>
      <c r="BB44" s="186"/>
      <c r="BC44" s="186"/>
      <c r="BD44" s="186"/>
      <c r="BE44" s="186"/>
      <c r="BF44" s="186"/>
      <c r="BG44" s="186"/>
      <c r="BH44" s="186"/>
      <c r="BI44" s="186"/>
      <c r="BJ44" s="186"/>
      <c r="BK44" s="186"/>
      <c r="BL44" s="186"/>
      <c r="BM44" s="186"/>
      <c r="BN44" s="186"/>
      <c r="BO44" s="186"/>
      <c r="BP44" s="186"/>
      <c r="BQ44" s="186"/>
      <c r="BR44" s="186"/>
      <c r="BS44" s="186"/>
      <c r="BT44" s="186"/>
      <c r="BU44" s="186"/>
      <c r="BV44" s="186"/>
      <c r="BW44" s="186"/>
      <c r="BX44" s="186"/>
      <c r="BY44" s="186"/>
      <c r="BZ44" s="186"/>
      <c r="CA44" s="186"/>
      <c r="CB44" s="186"/>
      <c r="CC44" s="186"/>
      <c r="CD44" s="186"/>
      <c r="CE44" s="186"/>
      <c r="CF44" s="186"/>
      <c r="CG44" s="186"/>
      <c r="CH44" s="186"/>
      <c r="CI44" s="186"/>
      <c r="CJ44" s="186"/>
      <c r="CK44" s="186"/>
      <c r="CL44" s="186"/>
      <c r="CM44" s="186"/>
      <c r="CN44" s="186"/>
      <c r="CO44" s="186"/>
      <c r="CP44" s="186"/>
      <c r="CQ44" s="186"/>
      <c r="CR44" s="186"/>
      <c r="CS44" s="186"/>
      <c r="CT44" s="186"/>
      <c r="CU44" s="186"/>
      <c r="CV44" s="186"/>
      <c r="CW44" s="186"/>
      <c r="CX44" s="186"/>
      <c r="CY44" s="186"/>
      <c r="CZ44" s="186"/>
      <c r="DA44" s="186"/>
      <c r="DB44" s="186"/>
      <c r="DC44" s="186"/>
      <c r="DD44" s="186"/>
      <c r="DE44" s="186"/>
      <c r="DF44" s="186"/>
      <c r="DG44" s="186"/>
      <c r="DH44" s="186"/>
    </row>
    <row r="45" ht="20.25" customHeight="1">
      <c r="A45" s="41">
        <v>45.0</v>
      </c>
      <c r="B45" s="185" t="s">
        <v>107</v>
      </c>
      <c r="C45" s="185" t="s">
        <v>108</v>
      </c>
      <c r="D45" s="185" t="s">
        <v>339</v>
      </c>
      <c r="E45" s="186"/>
      <c r="F45" s="187" t="s">
        <v>340</v>
      </c>
      <c r="G45" s="55" t="s">
        <v>388</v>
      </c>
      <c r="H45" s="55" t="s">
        <v>342</v>
      </c>
      <c r="I45" s="188">
        <v>45637.0</v>
      </c>
      <c r="J45" s="167">
        <v>45692.0</v>
      </c>
      <c r="K45" s="189" t="s">
        <v>343</v>
      </c>
      <c r="L45" s="190"/>
      <c r="M45" s="55" t="s">
        <v>344</v>
      </c>
      <c r="N45" s="189" t="s">
        <v>345</v>
      </c>
      <c r="O45" s="190"/>
      <c r="P45" s="191" t="s">
        <v>346</v>
      </c>
      <c r="Q45" s="49" t="str">
        <f t="array" ref="Q45"> if(iserror(MATCH(V45, 'File Links'!C:C, 0)), "N/A", HYPERLINK(INDEX('File Links'!B:B, MATCH(P45, 'File Links'!C:C, 0))))</f>
        <v>https://drive.google.com/file/d/1OByNKNsjZqSFHFFyt-o1mPqDkVmgruBu/view?usp=drivesdk</v>
      </c>
      <c r="R45" s="55" t="s">
        <v>347</v>
      </c>
      <c r="S45" s="55" t="s">
        <v>348</v>
      </c>
      <c r="T45" s="190"/>
      <c r="U45" s="192"/>
      <c r="V45" s="63" t="str">
        <f> hyperlink(vlookup(lower(S45),'File Links'!E:F, 2, FALSE), SUBSTITUTE(lower(S45), "/", "--") &amp;  ".pdf")</f>
        <v>10.1111--fare.13030.pdf</v>
      </c>
      <c r="W45" s="193" t="s">
        <v>349</v>
      </c>
      <c r="X45" s="51" t="str">
        <f t="array" ref="X45"> if(iserror(MATCH(V45, 'File Links'!C:C, 0)), "N/A", HYPERLINK(INDEX('File Links'!B:B, MATCH(V45, 'File Links'!C:C, 0))))</f>
        <v>https://drive.google.com/file/d/1TGN_TAtoJI3jhMQTEG2wnN59FCyiXC2_/view?usp=drivesdk</v>
      </c>
      <c r="Y45" s="190"/>
      <c r="Z45" s="55" t="s">
        <v>219</v>
      </c>
      <c r="AA45" s="190"/>
      <c r="AB45" s="189" t="s">
        <v>350</v>
      </c>
      <c r="AC45" s="189" t="s">
        <v>389</v>
      </c>
      <c r="AD45" s="189" t="s">
        <v>390</v>
      </c>
      <c r="AE45" s="194">
        <v>11.0</v>
      </c>
      <c r="AF45" s="194">
        <v>1950.0</v>
      </c>
      <c r="AG45" s="194">
        <v>-0.06</v>
      </c>
      <c r="AH45" s="191" t="s">
        <v>353</v>
      </c>
      <c r="AI45" s="55" t="s">
        <v>300</v>
      </c>
      <c r="AJ45" s="194">
        <v>0.001</v>
      </c>
      <c r="AK45" s="195" t="s">
        <v>128</v>
      </c>
      <c r="AL45" s="55" t="s">
        <v>179</v>
      </c>
      <c r="AM45" s="190"/>
      <c r="AN45" s="55" t="s">
        <v>131</v>
      </c>
      <c r="AO45" s="194">
        <v>1079.0</v>
      </c>
      <c r="AP45" s="194">
        <v>-0.07</v>
      </c>
      <c r="AQ45" s="55" t="s">
        <v>354</v>
      </c>
      <c r="AR45" s="55" t="s">
        <v>391</v>
      </c>
      <c r="AS45" s="194">
        <v>0.001</v>
      </c>
      <c r="AT45" s="195" t="s">
        <v>128</v>
      </c>
      <c r="AU45" s="195" t="s">
        <v>179</v>
      </c>
      <c r="AV45" s="187"/>
      <c r="AW45" s="187" t="s">
        <v>131</v>
      </c>
      <c r="AX45" s="187" t="s">
        <v>144</v>
      </c>
      <c r="AY45" s="190"/>
      <c r="AZ45" s="196" t="s">
        <v>137</v>
      </c>
      <c r="BA45" s="186"/>
      <c r="BB45" s="186"/>
      <c r="BC45" s="186"/>
      <c r="BD45" s="186"/>
      <c r="BE45" s="186"/>
      <c r="BF45" s="186"/>
      <c r="BG45" s="186"/>
      <c r="BH45" s="186"/>
      <c r="BI45" s="186"/>
      <c r="BJ45" s="186"/>
      <c r="BK45" s="186"/>
      <c r="BL45" s="186"/>
      <c r="BM45" s="186"/>
      <c r="BN45" s="186"/>
      <c r="BO45" s="186"/>
      <c r="BP45" s="186"/>
      <c r="BQ45" s="186"/>
      <c r="BR45" s="186"/>
      <c r="BS45" s="186"/>
      <c r="BT45" s="186"/>
      <c r="BU45" s="186"/>
      <c r="BV45" s="186"/>
      <c r="BW45" s="186"/>
      <c r="BX45" s="186"/>
      <c r="BY45" s="186"/>
      <c r="BZ45" s="186"/>
      <c r="CA45" s="186"/>
      <c r="CB45" s="186"/>
      <c r="CC45" s="186"/>
      <c r="CD45" s="186"/>
      <c r="CE45" s="186"/>
      <c r="CF45" s="186"/>
      <c r="CG45" s="186"/>
      <c r="CH45" s="186"/>
      <c r="CI45" s="186"/>
      <c r="CJ45" s="186"/>
      <c r="CK45" s="186"/>
      <c r="CL45" s="186"/>
      <c r="CM45" s="186"/>
      <c r="CN45" s="186"/>
      <c r="CO45" s="186"/>
      <c r="CP45" s="186"/>
      <c r="CQ45" s="186"/>
      <c r="CR45" s="186"/>
      <c r="CS45" s="186"/>
      <c r="CT45" s="186"/>
      <c r="CU45" s="186"/>
      <c r="CV45" s="186"/>
      <c r="CW45" s="186"/>
      <c r="CX45" s="186"/>
      <c r="CY45" s="186"/>
      <c r="CZ45" s="186"/>
      <c r="DA45" s="186"/>
      <c r="DB45" s="186"/>
      <c r="DC45" s="186"/>
      <c r="DD45" s="186"/>
      <c r="DE45" s="186"/>
      <c r="DF45" s="186"/>
      <c r="DG45" s="186"/>
      <c r="DH45" s="186"/>
    </row>
    <row r="46" ht="20.25" customHeight="1">
      <c r="A46" s="41">
        <v>46.0</v>
      </c>
      <c r="B46" s="185" t="s">
        <v>107</v>
      </c>
      <c r="C46" s="185" t="s">
        <v>108</v>
      </c>
      <c r="D46" s="185" t="s">
        <v>339</v>
      </c>
      <c r="E46" s="186"/>
      <c r="F46" s="187" t="s">
        <v>340</v>
      </c>
      <c r="G46" s="55" t="s">
        <v>392</v>
      </c>
      <c r="H46" s="55" t="s">
        <v>342</v>
      </c>
      <c r="I46" s="188">
        <v>45637.0</v>
      </c>
      <c r="J46" s="167">
        <v>45692.0</v>
      </c>
      <c r="K46" s="189" t="s">
        <v>343</v>
      </c>
      <c r="L46" s="190"/>
      <c r="M46" s="55" t="s">
        <v>344</v>
      </c>
      <c r="N46" s="189" t="s">
        <v>345</v>
      </c>
      <c r="O46" s="190"/>
      <c r="P46" s="191" t="s">
        <v>346</v>
      </c>
      <c r="Q46" s="49" t="str">
        <f t="array" ref="Q46"> if(iserror(MATCH(V46, 'File Links'!C:C, 0)), "N/A", HYPERLINK(INDEX('File Links'!B:B, MATCH(P46, 'File Links'!C:C, 0))))</f>
        <v>https://drive.google.com/file/d/1OByNKNsjZqSFHFFyt-o1mPqDkVmgruBu/view?usp=drivesdk</v>
      </c>
      <c r="R46" s="55" t="s">
        <v>347</v>
      </c>
      <c r="S46" s="55" t="s">
        <v>348</v>
      </c>
      <c r="T46" s="190"/>
      <c r="U46" s="192"/>
      <c r="V46" s="63" t="str">
        <f> hyperlink(vlookup(lower(S46),'File Links'!E:F, 2, FALSE), SUBSTITUTE(lower(S46), "/", "--") &amp;  ".pdf")</f>
        <v>10.1111--fare.13030.pdf</v>
      </c>
      <c r="W46" s="193" t="s">
        <v>349</v>
      </c>
      <c r="X46" s="51" t="str">
        <f t="array" ref="X46"> if(iserror(MATCH(V46, 'File Links'!C:C, 0)), "N/A", HYPERLINK(INDEX('File Links'!B:B, MATCH(V46, 'File Links'!C:C, 0))))</f>
        <v>https://drive.google.com/file/d/1TGN_TAtoJI3jhMQTEG2wnN59FCyiXC2_/view?usp=drivesdk</v>
      </c>
      <c r="Y46" s="190"/>
      <c r="Z46" s="55" t="s">
        <v>219</v>
      </c>
      <c r="AA46" s="190"/>
      <c r="AB46" s="189" t="s">
        <v>350</v>
      </c>
      <c r="AC46" s="189" t="s">
        <v>393</v>
      </c>
      <c r="AD46" s="189" t="s">
        <v>390</v>
      </c>
      <c r="AE46" s="194">
        <v>11.0</v>
      </c>
      <c r="AF46" s="194">
        <v>1950.0</v>
      </c>
      <c r="AG46" s="194">
        <v>-0.06</v>
      </c>
      <c r="AH46" s="191" t="s">
        <v>353</v>
      </c>
      <c r="AI46" s="55" t="s">
        <v>300</v>
      </c>
      <c r="AJ46" s="194">
        <v>0.001</v>
      </c>
      <c r="AK46" s="195" t="s">
        <v>128</v>
      </c>
      <c r="AL46" s="55" t="s">
        <v>179</v>
      </c>
      <c r="AM46" s="190"/>
      <c r="AN46" s="55" t="s">
        <v>131</v>
      </c>
      <c r="AO46" s="194">
        <v>1079.0</v>
      </c>
      <c r="AP46" s="194">
        <v>-0.03</v>
      </c>
      <c r="AQ46" s="55" t="s">
        <v>354</v>
      </c>
      <c r="AR46" s="55" t="s">
        <v>391</v>
      </c>
      <c r="AS46" s="194">
        <v>0.01</v>
      </c>
      <c r="AT46" s="195" t="s">
        <v>128</v>
      </c>
      <c r="AU46" s="195" t="s">
        <v>179</v>
      </c>
      <c r="AV46" s="187"/>
      <c r="AW46" s="187" t="s">
        <v>131</v>
      </c>
      <c r="AX46" s="187" t="s">
        <v>144</v>
      </c>
      <c r="AY46" s="190"/>
      <c r="AZ46" s="196" t="s">
        <v>137</v>
      </c>
      <c r="BA46" s="186"/>
      <c r="BB46" s="186"/>
      <c r="BC46" s="186"/>
      <c r="BD46" s="186"/>
      <c r="BE46" s="186"/>
      <c r="BF46" s="186"/>
      <c r="BG46" s="186"/>
      <c r="BH46" s="186"/>
      <c r="BI46" s="186"/>
      <c r="BJ46" s="186"/>
      <c r="BK46" s="186"/>
      <c r="BL46" s="186"/>
      <c r="BM46" s="186"/>
      <c r="BN46" s="186"/>
      <c r="BO46" s="186"/>
      <c r="BP46" s="186"/>
      <c r="BQ46" s="186"/>
      <c r="BR46" s="186"/>
      <c r="BS46" s="186"/>
      <c r="BT46" s="186"/>
      <c r="BU46" s="186"/>
      <c r="BV46" s="186"/>
      <c r="BW46" s="186"/>
      <c r="BX46" s="186"/>
      <c r="BY46" s="186"/>
      <c r="BZ46" s="186"/>
      <c r="CA46" s="186"/>
      <c r="CB46" s="186"/>
      <c r="CC46" s="186"/>
      <c r="CD46" s="186"/>
      <c r="CE46" s="186"/>
      <c r="CF46" s="186"/>
      <c r="CG46" s="186"/>
      <c r="CH46" s="186"/>
      <c r="CI46" s="186"/>
      <c r="CJ46" s="186"/>
      <c r="CK46" s="186"/>
      <c r="CL46" s="186"/>
      <c r="CM46" s="186"/>
      <c r="CN46" s="186"/>
      <c r="CO46" s="186"/>
      <c r="CP46" s="186"/>
      <c r="CQ46" s="186"/>
      <c r="CR46" s="186"/>
      <c r="CS46" s="186"/>
      <c r="CT46" s="186"/>
      <c r="CU46" s="186"/>
      <c r="CV46" s="186"/>
      <c r="CW46" s="186"/>
      <c r="CX46" s="186"/>
      <c r="CY46" s="186"/>
      <c r="CZ46" s="186"/>
      <c r="DA46" s="186"/>
      <c r="DB46" s="186"/>
      <c r="DC46" s="186"/>
      <c r="DD46" s="186"/>
      <c r="DE46" s="186"/>
      <c r="DF46" s="186"/>
      <c r="DG46" s="186"/>
      <c r="DH46" s="186"/>
    </row>
    <row r="47" ht="20.25" customHeight="1">
      <c r="A47" s="41">
        <v>47.0</v>
      </c>
      <c r="B47" s="185" t="s">
        <v>107</v>
      </c>
      <c r="C47" s="185" t="s">
        <v>108</v>
      </c>
      <c r="D47" s="185" t="s">
        <v>339</v>
      </c>
      <c r="E47" s="186"/>
      <c r="F47" s="187" t="s">
        <v>340</v>
      </c>
      <c r="G47" s="55" t="s">
        <v>394</v>
      </c>
      <c r="H47" s="55" t="s">
        <v>342</v>
      </c>
      <c r="I47" s="188">
        <v>45637.0</v>
      </c>
      <c r="J47" s="167">
        <v>45692.0</v>
      </c>
      <c r="K47" s="189" t="s">
        <v>343</v>
      </c>
      <c r="L47" s="190"/>
      <c r="M47" s="55" t="s">
        <v>344</v>
      </c>
      <c r="N47" s="189" t="s">
        <v>345</v>
      </c>
      <c r="O47" s="190"/>
      <c r="P47" s="191" t="s">
        <v>346</v>
      </c>
      <c r="Q47" s="49" t="str">
        <f t="array" ref="Q47"> if(iserror(MATCH(V47, 'File Links'!C:C, 0)), "N/A", HYPERLINK(INDEX('File Links'!B:B, MATCH(P47, 'File Links'!C:C, 0))))</f>
        <v>https://drive.google.com/file/d/1OByNKNsjZqSFHFFyt-o1mPqDkVmgruBu/view?usp=drivesdk</v>
      </c>
      <c r="R47" s="55" t="s">
        <v>347</v>
      </c>
      <c r="S47" s="55" t="s">
        <v>348</v>
      </c>
      <c r="T47" s="190"/>
      <c r="U47" s="192"/>
      <c r="V47" s="63" t="str">
        <f> hyperlink(vlookup(lower(S47),'File Links'!E:F, 2, FALSE), SUBSTITUTE(lower(S47), "/", "--") &amp;  ".pdf")</f>
        <v>10.1111--fare.13030.pdf</v>
      </c>
      <c r="W47" s="193" t="s">
        <v>349</v>
      </c>
      <c r="X47" s="51" t="str">
        <f t="array" ref="X47"> if(iserror(MATCH(V47, 'File Links'!C:C, 0)), "N/A", HYPERLINK(INDEX('File Links'!B:B, MATCH(V47, 'File Links'!C:C, 0))))</f>
        <v>https://drive.google.com/file/d/1TGN_TAtoJI3jhMQTEG2wnN59FCyiXC2_/view?usp=drivesdk</v>
      </c>
      <c r="Y47" s="190"/>
      <c r="Z47" s="55" t="s">
        <v>219</v>
      </c>
      <c r="AA47" s="190"/>
      <c r="AB47" s="189" t="s">
        <v>350</v>
      </c>
      <c r="AC47" s="189" t="s">
        <v>395</v>
      </c>
      <c r="AD47" s="189" t="s">
        <v>390</v>
      </c>
      <c r="AE47" s="194">
        <v>11.0</v>
      </c>
      <c r="AF47" s="194">
        <v>1950.0</v>
      </c>
      <c r="AG47" s="194">
        <v>-0.06</v>
      </c>
      <c r="AH47" s="191" t="s">
        <v>353</v>
      </c>
      <c r="AI47" s="55" t="s">
        <v>300</v>
      </c>
      <c r="AJ47" s="194">
        <v>0.001</v>
      </c>
      <c r="AK47" s="195" t="s">
        <v>128</v>
      </c>
      <c r="AL47" s="55" t="s">
        <v>179</v>
      </c>
      <c r="AM47" s="190"/>
      <c r="AN47" s="55" t="s">
        <v>131</v>
      </c>
      <c r="AO47" s="194">
        <v>1079.0</v>
      </c>
      <c r="AP47" s="194">
        <v>-0.04</v>
      </c>
      <c r="AQ47" s="55" t="s">
        <v>354</v>
      </c>
      <c r="AR47" s="55" t="s">
        <v>391</v>
      </c>
      <c r="AS47" s="194">
        <v>0.05</v>
      </c>
      <c r="AT47" s="195" t="s">
        <v>128</v>
      </c>
      <c r="AU47" s="195" t="s">
        <v>179</v>
      </c>
      <c r="AV47" s="187"/>
      <c r="AW47" s="187" t="s">
        <v>131</v>
      </c>
      <c r="AX47" s="187" t="s">
        <v>144</v>
      </c>
      <c r="AY47" s="190"/>
      <c r="AZ47" s="196" t="s">
        <v>137</v>
      </c>
      <c r="BA47" s="186"/>
      <c r="BB47" s="186"/>
      <c r="BC47" s="186"/>
      <c r="BD47" s="186"/>
      <c r="BE47" s="186"/>
      <c r="BF47" s="186"/>
      <c r="BG47" s="186"/>
      <c r="BH47" s="186"/>
      <c r="BI47" s="186"/>
      <c r="BJ47" s="186"/>
      <c r="BK47" s="186"/>
      <c r="BL47" s="186"/>
      <c r="BM47" s="186"/>
      <c r="BN47" s="186"/>
      <c r="BO47" s="186"/>
      <c r="BP47" s="186"/>
      <c r="BQ47" s="186"/>
      <c r="BR47" s="186"/>
      <c r="BS47" s="186"/>
      <c r="BT47" s="186"/>
      <c r="BU47" s="186"/>
      <c r="BV47" s="186"/>
      <c r="BW47" s="186"/>
      <c r="BX47" s="186"/>
      <c r="BY47" s="186"/>
      <c r="BZ47" s="186"/>
      <c r="CA47" s="186"/>
      <c r="CB47" s="186"/>
      <c r="CC47" s="186"/>
      <c r="CD47" s="186"/>
      <c r="CE47" s="186"/>
      <c r="CF47" s="186"/>
      <c r="CG47" s="186"/>
      <c r="CH47" s="186"/>
      <c r="CI47" s="186"/>
      <c r="CJ47" s="186"/>
      <c r="CK47" s="186"/>
      <c r="CL47" s="186"/>
      <c r="CM47" s="186"/>
      <c r="CN47" s="186"/>
      <c r="CO47" s="186"/>
      <c r="CP47" s="186"/>
      <c r="CQ47" s="186"/>
      <c r="CR47" s="186"/>
      <c r="CS47" s="186"/>
      <c r="CT47" s="186"/>
      <c r="CU47" s="186"/>
      <c r="CV47" s="186"/>
      <c r="CW47" s="186"/>
      <c r="CX47" s="186"/>
      <c r="CY47" s="186"/>
      <c r="CZ47" s="186"/>
      <c r="DA47" s="186"/>
      <c r="DB47" s="186"/>
      <c r="DC47" s="186"/>
      <c r="DD47" s="186"/>
      <c r="DE47" s="186"/>
      <c r="DF47" s="186"/>
      <c r="DG47" s="186"/>
      <c r="DH47" s="186"/>
    </row>
    <row r="48" ht="20.25" customHeight="1">
      <c r="A48" s="41">
        <v>48.0</v>
      </c>
      <c r="B48" s="185" t="s">
        <v>107</v>
      </c>
      <c r="C48" s="185" t="s">
        <v>108</v>
      </c>
      <c r="D48" s="185" t="s">
        <v>339</v>
      </c>
      <c r="E48" s="186"/>
      <c r="F48" s="187" t="s">
        <v>340</v>
      </c>
      <c r="G48" s="55" t="s">
        <v>396</v>
      </c>
      <c r="H48" s="55" t="s">
        <v>342</v>
      </c>
      <c r="I48" s="188">
        <v>45637.0</v>
      </c>
      <c r="J48" s="167">
        <v>45692.0</v>
      </c>
      <c r="K48" s="189" t="s">
        <v>343</v>
      </c>
      <c r="L48" s="190"/>
      <c r="M48" s="55" t="s">
        <v>344</v>
      </c>
      <c r="N48" s="189" t="s">
        <v>345</v>
      </c>
      <c r="O48" s="190"/>
      <c r="P48" s="191" t="s">
        <v>346</v>
      </c>
      <c r="Q48" s="49" t="str">
        <f t="array" ref="Q48"> if(iserror(MATCH(V48, 'File Links'!C:C, 0)), "N/A", HYPERLINK(INDEX('File Links'!B:B, MATCH(P48, 'File Links'!C:C, 0))))</f>
        <v>https://drive.google.com/file/d/1OByNKNsjZqSFHFFyt-o1mPqDkVmgruBu/view?usp=drivesdk</v>
      </c>
      <c r="R48" s="55" t="s">
        <v>347</v>
      </c>
      <c r="S48" s="55" t="s">
        <v>348</v>
      </c>
      <c r="T48" s="190"/>
      <c r="U48" s="192"/>
      <c r="V48" s="63" t="str">
        <f> hyperlink(vlookup(lower(S48),'File Links'!E:F, 2, FALSE), SUBSTITUTE(lower(S48), "/", "--") &amp;  ".pdf")</f>
        <v>10.1111--fare.13030.pdf</v>
      </c>
      <c r="W48" s="193" t="s">
        <v>349</v>
      </c>
      <c r="X48" s="51" t="str">
        <f t="array" ref="X48"> if(iserror(MATCH(V48, 'File Links'!C:C, 0)), "N/A", HYPERLINK(INDEX('File Links'!B:B, MATCH(V48, 'File Links'!C:C, 0))))</f>
        <v>https://drive.google.com/file/d/1TGN_TAtoJI3jhMQTEG2wnN59FCyiXC2_/view?usp=drivesdk</v>
      </c>
      <c r="Y48" s="190"/>
      <c r="Z48" s="55" t="s">
        <v>219</v>
      </c>
      <c r="AA48" s="190"/>
      <c r="AB48" s="189" t="s">
        <v>350</v>
      </c>
      <c r="AC48" s="189" t="s">
        <v>397</v>
      </c>
      <c r="AD48" s="189" t="s">
        <v>390</v>
      </c>
      <c r="AE48" s="194">
        <v>11.0</v>
      </c>
      <c r="AF48" s="194">
        <v>1950.0</v>
      </c>
      <c r="AG48" s="194">
        <v>-0.06</v>
      </c>
      <c r="AH48" s="191" t="s">
        <v>353</v>
      </c>
      <c r="AI48" s="55" t="s">
        <v>300</v>
      </c>
      <c r="AJ48" s="194">
        <v>0.001</v>
      </c>
      <c r="AK48" s="195" t="s">
        <v>128</v>
      </c>
      <c r="AL48" s="55" t="s">
        <v>179</v>
      </c>
      <c r="AM48" s="190"/>
      <c r="AN48" s="55" t="s">
        <v>131</v>
      </c>
      <c r="AO48" s="194">
        <v>1079.0</v>
      </c>
      <c r="AP48" s="194">
        <v>-0.02</v>
      </c>
      <c r="AQ48" s="55" t="s">
        <v>354</v>
      </c>
      <c r="AR48" s="55" t="s">
        <v>391</v>
      </c>
      <c r="AS48" s="194">
        <v>0.05</v>
      </c>
      <c r="AT48" s="195" t="s">
        <v>128</v>
      </c>
      <c r="AU48" s="195" t="s">
        <v>179</v>
      </c>
      <c r="AV48" s="187"/>
      <c r="AW48" s="187" t="s">
        <v>131</v>
      </c>
      <c r="AX48" s="187" t="s">
        <v>144</v>
      </c>
      <c r="AY48" s="190"/>
      <c r="AZ48" s="196" t="s">
        <v>137</v>
      </c>
      <c r="BA48" s="186"/>
      <c r="BB48" s="186"/>
      <c r="BC48" s="186"/>
      <c r="BD48" s="186"/>
      <c r="BE48" s="186"/>
      <c r="BF48" s="186"/>
      <c r="BG48" s="186"/>
      <c r="BH48" s="186"/>
      <c r="BI48" s="186"/>
      <c r="BJ48" s="186"/>
      <c r="BK48" s="186"/>
      <c r="BL48" s="186"/>
      <c r="BM48" s="186"/>
      <c r="BN48" s="186"/>
      <c r="BO48" s="186"/>
      <c r="BP48" s="186"/>
      <c r="BQ48" s="186"/>
      <c r="BR48" s="186"/>
      <c r="BS48" s="186"/>
      <c r="BT48" s="186"/>
      <c r="BU48" s="186"/>
      <c r="BV48" s="186"/>
      <c r="BW48" s="186"/>
      <c r="BX48" s="186"/>
      <c r="BY48" s="186"/>
      <c r="BZ48" s="186"/>
      <c r="CA48" s="186"/>
      <c r="CB48" s="186"/>
      <c r="CC48" s="186"/>
      <c r="CD48" s="186"/>
      <c r="CE48" s="186"/>
      <c r="CF48" s="186"/>
      <c r="CG48" s="186"/>
      <c r="CH48" s="186"/>
      <c r="CI48" s="186"/>
      <c r="CJ48" s="186"/>
      <c r="CK48" s="186"/>
      <c r="CL48" s="186"/>
      <c r="CM48" s="186"/>
      <c r="CN48" s="186"/>
      <c r="CO48" s="186"/>
      <c r="CP48" s="186"/>
      <c r="CQ48" s="186"/>
      <c r="CR48" s="186"/>
      <c r="CS48" s="186"/>
      <c r="CT48" s="186"/>
      <c r="CU48" s="186"/>
      <c r="CV48" s="186"/>
      <c r="CW48" s="186"/>
      <c r="CX48" s="186"/>
      <c r="CY48" s="186"/>
      <c r="CZ48" s="186"/>
      <c r="DA48" s="186"/>
      <c r="DB48" s="186"/>
      <c r="DC48" s="186"/>
      <c r="DD48" s="186"/>
      <c r="DE48" s="186"/>
      <c r="DF48" s="186"/>
      <c r="DG48" s="186"/>
      <c r="DH48" s="186"/>
    </row>
    <row r="49" ht="20.25" customHeight="1">
      <c r="A49" s="41">
        <v>49.0</v>
      </c>
      <c r="B49" s="185" t="s">
        <v>107</v>
      </c>
      <c r="C49" s="185" t="s">
        <v>108</v>
      </c>
      <c r="D49" s="185" t="s">
        <v>339</v>
      </c>
      <c r="E49" s="186"/>
      <c r="F49" s="187" t="s">
        <v>340</v>
      </c>
      <c r="G49" s="55" t="s">
        <v>398</v>
      </c>
      <c r="H49" s="55" t="s">
        <v>342</v>
      </c>
      <c r="I49" s="188">
        <v>45637.0</v>
      </c>
      <c r="J49" s="167">
        <v>45692.0</v>
      </c>
      <c r="K49" s="189" t="s">
        <v>343</v>
      </c>
      <c r="L49" s="190"/>
      <c r="M49" s="55" t="s">
        <v>344</v>
      </c>
      <c r="N49" s="189" t="s">
        <v>345</v>
      </c>
      <c r="O49" s="190"/>
      <c r="P49" s="191" t="s">
        <v>346</v>
      </c>
      <c r="Q49" s="49" t="str">
        <f t="array" ref="Q49"> if(iserror(MATCH(V49, 'File Links'!C:C, 0)), "N/A", HYPERLINK(INDEX('File Links'!B:B, MATCH(P49, 'File Links'!C:C, 0))))</f>
        <v>https://drive.google.com/file/d/1OByNKNsjZqSFHFFyt-o1mPqDkVmgruBu/view?usp=drivesdk</v>
      </c>
      <c r="R49" s="55" t="s">
        <v>347</v>
      </c>
      <c r="S49" s="55" t="s">
        <v>348</v>
      </c>
      <c r="T49" s="190"/>
      <c r="U49" s="192"/>
      <c r="V49" s="63" t="str">
        <f> hyperlink(vlookup(lower(S49),'File Links'!E:F, 2, FALSE), SUBSTITUTE(lower(S49), "/", "--") &amp;  ".pdf")</f>
        <v>10.1111--fare.13030.pdf</v>
      </c>
      <c r="W49" s="193" t="s">
        <v>349</v>
      </c>
      <c r="X49" s="51" t="str">
        <f t="array" ref="X49"> if(iserror(MATCH(V49, 'File Links'!C:C, 0)), "N/A", HYPERLINK(INDEX('File Links'!B:B, MATCH(V49, 'File Links'!C:C, 0))))</f>
        <v>https://drive.google.com/file/d/1TGN_TAtoJI3jhMQTEG2wnN59FCyiXC2_/view?usp=drivesdk</v>
      </c>
      <c r="Y49" s="190"/>
      <c r="Z49" s="55" t="s">
        <v>219</v>
      </c>
      <c r="AA49" s="190"/>
      <c r="AB49" s="189" t="s">
        <v>350</v>
      </c>
      <c r="AC49" s="189" t="s">
        <v>399</v>
      </c>
      <c r="AD49" s="189" t="s">
        <v>390</v>
      </c>
      <c r="AE49" s="194">
        <v>11.0</v>
      </c>
      <c r="AF49" s="194">
        <v>1950.0</v>
      </c>
      <c r="AG49" s="194">
        <v>-0.06</v>
      </c>
      <c r="AH49" s="191" t="s">
        <v>353</v>
      </c>
      <c r="AI49" s="55" t="s">
        <v>300</v>
      </c>
      <c r="AJ49" s="194">
        <v>0.001</v>
      </c>
      <c r="AK49" s="195" t="s">
        <v>128</v>
      </c>
      <c r="AL49" s="55" t="s">
        <v>179</v>
      </c>
      <c r="AM49" s="190"/>
      <c r="AN49" s="55" t="s">
        <v>131</v>
      </c>
      <c r="AO49" s="194">
        <v>1079.0</v>
      </c>
      <c r="AP49" s="190"/>
      <c r="AQ49" s="55" t="s">
        <v>354</v>
      </c>
      <c r="AR49" s="55" t="s">
        <v>355</v>
      </c>
      <c r="AS49" s="194">
        <v>0.05</v>
      </c>
      <c r="AT49" s="195" t="s">
        <v>328</v>
      </c>
      <c r="AU49" s="195" t="s">
        <v>179</v>
      </c>
      <c r="AV49" s="187"/>
      <c r="AW49" s="187" t="s">
        <v>131</v>
      </c>
      <c r="AX49" s="187" t="s">
        <v>144</v>
      </c>
      <c r="AY49" s="190"/>
      <c r="AZ49" s="196" t="s">
        <v>137</v>
      </c>
      <c r="BA49" s="186"/>
      <c r="BB49" s="186"/>
      <c r="BC49" s="186"/>
      <c r="BD49" s="186"/>
      <c r="BE49" s="186"/>
      <c r="BF49" s="186"/>
      <c r="BG49" s="186"/>
      <c r="BH49" s="186"/>
      <c r="BI49" s="186"/>
      <c r="BJ49" s="186"/>
      <c r="BK49" s="186"/>
      <c r="BL49" s="186"/>
      <c r="BM49" s="186"/>
      <c r="BN49" s="186"/>
      <c r="BO49" s="186"/>
      <c r="BP49" s="186"/>
      <c r="BQ49" s="186"/>
      <c r="BR49" s="186"/>
      <c r="BS49" s="186"/>
      <c r="BT49" s="186"/>
      <c r="BU49" s="186"/>
      <c r="BV49" s="186"/>
      <c r="BW49" s="186"/>
      <c r="BX49" s="186"/>
      <c r="BY49" s="186"/>
      <c r="BZ49" s="186"/>
      <c r="CA49" s="186"/>
      <c r="CB49" s="186"/>
      <c r="CC49" s="186"/>
      <c r="CD49" s="186"/>
      <c r="CE49" s="186"/>
      <c r="CF49" s="186"/>
      <c r="CG49" s="186"/>
      <c r="CH49" s="186"/>
      <c r="CI49" s="186"/>
      <c r="CJ49" s="186"/>
      <c r="CK49" s="186"/>
      <c r="CL49" s="186"/>
      <c r="CM49" s="186"/>
      <c r="CN49" s="186"/>
      <c r="CO49" s="186"/>
      <c r="CP49" s="186"/>
      <c r="CQ49" s="186"/>
      <c r="CR49" s="186"/>
      <c r="CS49" s="186"/>
      <c r="CT49" s="186"/>
      <c r="CU49" s="186"/>
      <c r="CV49" s="186"/>
      <c r="CW49" s="186"/>
      <c r="CX49" s="186"/>
      <c r="CY49" s="186"/>
      <c r="CZ49" s="186"/>
      <c r="DA49" s="186"/>
      <c r="DB49" s="186"/>
      <c r="DC49" s="186"/>
      <c r="DD49" s="186"/>
      <c r="DE49" s="186"/>
      <c r="DF49" s="186"/>
      <c r="DG49" s="186"/>
      <c r="DH49" s="186"/>
    </row>
    <row r="50" ht="20.25" customHeight="1">
      <c r="A50" s="41">
        <v>50.0</v>
      </c>
      <c r="B50" s="185" t="s">
        <v>107</v>
      </c>
      <c r="C50" s="185" t="s">
        <v>108</v>
      </c>
      <c r="D50" s="185" t="s">
        <v>339</v>
      </c>
      <c r="E50" s="186"/>
      <c r="F50" s="187" t="s">
        <v>340</v>
      </c>
      <c r="G50" s="55" t="s">
        <v>400</v>
      </c>
      <c r="H50" s="55" t="s">
        <v>342</v>
      </c>
      <c r="I50" s="188">
        <v>45637.0</v>
      </c>
      <c r="J50" s="167">
        <v>45692.0</v>
      </c>
      <c r="K50" s="189" t="s">
        <v>343</v>
      </c>
      <c r="L50" s="190"/>
      <c r="M50" s="55" t="s">
        <v>344</v>
      </c>
      <c r="N50" s="189" t="s">
        <v>345</v>
      </c>
      <c r="O50" s="190"/>
      <c r="P50" s="191" t="s">
        <v>346</v>
      </c>
      <c r="Q50" s="49" t="str">
        <f t="array" ref="Q50"> if(iserror(MATCH(V50, 'File Links'!C:C, 0)), "N/A", HYPERLINK(INDEX('File Links'!B:B, MATCH(P50, 'File Links'!C:C, 0))))</f>
        <v>https://drive.google.com/file/d/1OByNKNsjZqSFHFFyt-o1mPqDkVmgruBu/view?usp=drivesdk</v>
      </c>
      <c r="R50" s="55" t="s">
        <v>347</v>
      </c>
      <c r="S50" s="55" t="s">
        <v>348</v>
      </c>
      <c r="T50" s="190"/>
      <c r="U50" s="192"/>
      <c r="V50" s="63" t="str">
        <f> hyperlink(vlookup(lower(S50),'File Links'!E:F, 2, FALSE), SUBSTITUTE(lower(S50), "/", "--") &amp;  ".pdf")</f>
        <v>10.1111--fare.13030.pdf</v>
      </c>
      <c r="W50" s="193" t="s">
        <v>349</v>
      </c>
      <c r="X50" s="51" t="str">
        <f t="array" ref="X50"> if(iserror(MATCH(V50, 'File Links'!C:C, 0)), "N/A", HYPERLINK(INDEX('File Links'!B:B, MATCH(V50, 'File Links'!C:C, 0))))</f>
        <v>https://drive.google.com/file/d/1TGN_TAtoJI3jhMQTEG2wnN59FCyiXC2_/view?usp=drivesdk</v>
      </c>
      <c r="Y50" s="190"/>
      <c r="Z50" s="55" t="s">
        <v>219</v>
      </c>
      <c r="AA50" s="190"/>
      <c r="AB50" s="189" t="s">
        <v>350</v>
      </c>
      <c r="AC50" s="189" t="s">
        <v>401</v>
      </c>
      <c r="AD50" s="189" t="s">
        <v>390</v>
      </c>
      <c r="AE50" s="194">
        <v>11.0</v>
      </c>
      <c r="AF50" s="194">
        <v>1950.0</v>
      </c>
      <c r="AG50" s="194">
        <v>-0.06</v>
      </c>
      <c r="AH50" s="191" t="s">
        <v>353</v>
      </c>
      <c r="AI50" s="55" t="s">
        <v>300</v>
      </c>
      <c r="AJ50" s="194">
        <v>0.001</v>
      </c>
      <c r="AK50" s="195" t="s">
        <v>128</v>
      </c>
      <c r="AL50" s="55" t="s">
        <v>179</v>
      </c>
      <c r="AM50" s="190"/>
      <c r="AN50" s="55" t="s">
        <v>131</v>
      </c>
      <c r="AO50" s="194">
        <v>1079.0</v>
      </c>
      <c r="AP50" s="190"/>
      <c r="AQ50" s="55" t="s">
        <v>354</v>
      </c>
      <c r="AR50" s="55" t="s">
        <v>355</v>
      </c>
      <c r="AS50" s="194">
        <v>0.05</v>
      </c>
      <c r="AT50" s="195" t="s">
        <v>328</v>
      </c>
      <c r="AU50" s="195" t="s">
        <v>179</v>
      </c>
      <c r="AV50" s="187"/>
      <c r="AW50" s="187" t="s">
        <v>131</v>
      </c>
      <c r="AX50" s="187" t="s">
        <v>144</v>
      </c>
      <c r="AY50" s="190"/>
      <c r="AZ50" s="196" t="s">
        <v>137</v>
      </c>
      <c r="BA50" s="186"/>
      <c r="BB50" s="186"/>
      <c r="BC50" s="186"/>
      <c r="BD50" s="186"/>
      <c r="BE50" s="186"/>
      <c r="BF50" s="186"/>
      <c r="BG50" s="186"/>
      <c r="BH50" s="186"/>
      <c r="BI50" s="186"/>
      <c r="BJ50" s="186"/>
      <c r="BK50" s="186"/>
      <c r="BL50" s="186"/>
      <c r="BM50" s="186"/>
      <c r="BN50" s="186"/>
      <c r="BO50" s="186"/>
      <c r="BP50" s="186"/>
      <c r="BQ50" s="186"/>
      <c r="BR50" s="186"/>
      <c r="BS50" s="186"/>
      <c r="BT50" s="186"/>
      <c r="BU50" s="186"/>
      <c r="BV50" s="186"/>
      <c r="BW50" s="186"/>
      <c r="BX50" s="186"/>
      <c r="BY50" s="186"/>
      <c r="BZ50" s="186"/>
      <c r="CA50" s="186"/>
      <c r="CB50" s="186"/>
      <c r="CC50" s="186"/>
      <c r="CD50" s="186"/>
      <c r="CE50" s="186"/>
      <c r="CF50" s="186"/>
      <c r="CG50" s="186"/>
      <c r="CH50" s="186"/>
      <c r="CI50" s="186"/>
      <c r="CJ50" s="186"/>
      <c r="CK50" s="186"/>
      <c r="CL50" s="186"/>
      <c r="CM50" s="186"/>
      <c r="CN50" s="186"/>
      <c r="CO50" s="186"/>
      <c r="CP50" s="186"/>
      <c r="CQ50" s="186"/>
      <c r="CR50" s="186"/>
      <c r="CS50" s="186"/>
      <c r="CT50" s="186"/>
      <c r="CU50" s="186"/>
      <c r="CV50" s="186"/>
      <c r="CW50" s="186"/>
      <c r="CX50" s="186"/>
      <c r="CY50" s="186"/>
      <c r="CZ50" s="186"/>
      <c r="DA50" s="186"/>
      <c r="DB50" s="186"/>
      <c r="DC50" s="186"/>
      <c r="DD50" s="186"/>
      <c r="DE50" s="186"/>
      <c r="DF50" s="186"/>
      <c r="DG50" s="186"/>
      <c r="DH50" s="186"/>
    </row>
    <row r="51" ht="20.25" customHeight="1">
      <c r="A51" s="41">
        <v>51.0</v>
      </c>
      <c r="B51" s="185" t="s">
        <v>107</v>
      </c>
      <c r="C51" s="185" t="s">
        <v>108</v>
      </c>
      <c r="D51" s="185" t="s">
        <v>339</v>
      </c>
      <c r="E51" s="186"/>
      <c r="F51" s="187" t="s">
        <v>340</v>
      </c>
      <c r="G51" s="55" t="s">
        <v>402</v>
      </c>
      <c r="H51" s="55" t="s">
        <v>342</v>
      </c>
      <c r="I51" s="188">
        <v>45637.0</v>
      </c>
      <c r="J51" s="167">
        <v>45692.0</v>
      </c>
      <c r="K51" s="189" t="s">
        <v>343</v>
      </c>
      <c r="L51" s="190"/>
      <c r="M51" s="55" t="s">
        <v>344</v>
      </c>
      <c r="N51" s="189" t="s">
        <v>345</v>
      </c>
      <c r="O51" s="190"/>
      <c r="P51" s="191" t="s">
        <v>346</v>
      </c>
      <c r="Q51" s="49" t="str">
        <f t="array" ref="Q51"> if(iserror(MATCH(V51, 'File Links'!C:C, 0)), "N/A", HYPERLINK(INDEX('File Links'!B:B, MATCH(P51, 'File Links'!C:C, 0))))</f>
        <v>https://drive.google.com/file/d/1OByNKNsjZqSFHFFyt-o1mPqDkVmgruBu/view?usp=drivesdk</v>
      </c>
      <c r="R51" s="55" t="s">
        <v>347</v>
      </c>
      <c r="S51" s="55" t="s">
        <v>348</v>
      </c>
      <c r="T51" s="190"/>
      <c r="U51" s="192"/>
      <c r="V51" s="63" t="str">
        <f> hyperlink(vlookup(lower(S51),'File Links'!E:F, 2, FALSE), SUBSTITUTE(lower(S51), "/", "--") &amp;  ".pdf")</f>
        <v>10.1111--fare.13030.pdf</v>
      </c>
      <c r="W51" s="193" t="s">
        <v>349</v>
      </c>
      <c r="X51" s="51" t="str">
        <f t="array" ref="X51"> if(iserror(MATCH(V51, 'File Links'!C:C, 0)), "N/A", HYPERLINK(INDEX('File Links'!B:B, MATCH(V51, 'File Links'!C:C, 0))))</f>
        <v>https://drive.google.com/file/d/1TGN_TAtoJI3jhMQTEG2wnN59FCyiXC2_/view?usp=drivesdk</v>
      </c>
      <c r="Y51" s="190"/>
      <c r="Z51" s="55" t="s">
        <v>219</v>
      </c>
      <c r="AA51" s="190"/>
      <c r="AB51" s="189" t="s">
        <v>350</v>
      </c>
      <c r="AC51" s="189" t="s">
        <v>403</v>
      </c>
      <c r="AD51" s="189" t="s">
        <v>390</v>
      </c>
      <c r="AE51" s="194">
        <v>11.0</v>
      </c>
      <c r="AF51" s="194">
        <v>1950.0</v>
      </c>
      <c r="AG51" s="194">
        <v>-0.06</v>
      </c>
      <c r="AH51" s="191" t="s">
        <v>353</v>
      </c>
      <c r="AI51" s="55" t="s">
        <v>300</v>
      </c>
      <c r="AJ51" s="194">
        <v>0.001</v>
      </c>
      <c r="AK51" s="195" t="s">
        <v>128</v>
      </c>
      <c r="AL51" s="55" t="s">
        <v>179</v>
      </c>
      <c r="AM51" s="190"/>
      <c r="AN51" s="55" t="s">
        <v>131</v>
      </c>
      <c r="AO51" s="194">
        <v>1079.0</v>
      </c>
      <c r="AP51" s="190"/>
      <c r="AQ51" s="55" t="s">
        <v>354</v>
      </c>
      <c r="AR51" s="55" t="s">
        <v>355</v>
      </c>
      <c r="AS51" s="194">
        <v>0.05</v>
      </c>
      <c r="AT51" s="195" t="s">
        <v>328</v>
      </c>
      <c r="AU51" s="195" t="s">
        <v>179</v>
      </c>
      <c r="AV51" s="187"/>
      <c r="AW51" s="187" t="s">
        <v>131</v>
      </c>
      <c r="AX51" s="187" t="s">
        <v>144</v>
      </c>
      <c r="AY51" s="190"/>
      <c r="AZ51" s="196" t="s">
        <v>137</v>
      </c>
      <c r="BA51" s="186"/>
      <c r="BB51" s="186"/>
      <c r="BC51" s="186"/>
      <c r="BD51" s="186"/>
      <c r="BE51" s="186"/>
      <c r="BF51" s="186"/>
      <c r="BG51" s="186"/>
      <c r="BH51" s="186"/>
      <c r="BI51" s="186"/>
      <c r="BJ51" s="186"/>
      <c r="BK51" s="186"/>
      <c r="BL51" s="186"/>
      <c r="BM51" s="186"/>
      <c r="BN51" s="186"/>
      <c r="BO51" s="186"/>
      <c r="BP51" s="186"/>
      <c r="BQ51" s="186"/>
      <c r="BR51" s="186"/>
      <c r="BS51" s="186"/>
      <c r="BT51" s="186"/>
      <c r="BU51" s="186"/>
      <c r="BV51" s="186"/>
      <c r="BW51" s="186"/>
      <c r="BX51" s="186"/>
      <c r="BY51" s="186"/>
      <c r="BZ51" s="186"/>
      <c r="CA51" s="186"/>
      <c r="CB51" s="186"/>
      <c r="CC51" s="186"/>
      <c r="CD51" s="186"/>
      <c r="CE51" s="186"/>
      <c r="CF51" s="186"/>
      <c r="CG51" s="186"/>
      <c r="CH51" s="186"/>
      <c r="CI51" s="186"/>
      <c r="CJ51" s="186"/>
      <c r="CK51" s="186"/>
      <c r="CL51" s="186"/>
      <c r="CM51" s="186"/>
      <c r="CN51" s="186"/>
      <c r="CO51" s="186"/>
      <c r="CP51" s="186"/>
      <c r="CQ51" s="186"/>
      <c r="CR51" s="186"/>
      <c r="CS51" s="186"/>
      <c r="CT51" s="186"/>
      <c r="CU51" s="186"/>
      <c r="CV51" s="186"/>
      <c r="CW51" s="186"/>
      <c r="CX51" s="186"/>
      <c r="CY51" s="186"/>
      <c r="CZ51" s="186"/>
      <c r="DA51" s="186"/>
      <c r="DB51" s="186"/>
      <c r="DC51" s="186"/>
      <c r="DD51" s="186"/>
      <c r="DE51" s="186"/>
      <c r="DF51" s="186"/>
      <c r="DG51" s="186"/>
      <c r="DH51" s="186"/>
    </row>
    <row r="52" ht="20.25" customHeight="1">
      <c r="A52" s="41">
        <v>52.0</v>
      </c>
      <c r="B52" s="185" t="s">
        <v>107</v>
      </c>
      <c r="C52" s="185" t="s">
        <v>108</v>
      </c>
      <c r="D52" s="185" t="s">
        <v>339</v>
      </c>
      <c r="E52" s="186"/>
      <c r="F52" s="187" t="s">
        <v>340</v>
      </c>
      <c r="G52" s="55" t="s">
        <v>404</v>
      </c>
      <c r="H52" s="55" t="s">
        <v>342</v>
      </c>
      <c r="I52" s="188">
        <v>45637.0</v>
      </c>
      <c r="J52" s="167">
        <v>45692.0</v>
      </c>
      <c r="K52" s="189" t="s">
        <v>343</v>
      </c>
      <c r="L52" s="190"/>
      <c r="M52" s="55" t="s">
        <v>344</v>
      </c>
      <c r="N52" s="189" t="s">
        <v>345</v>
      </c>
      <c r="O52" s="190"/>
      <c r="P52" s="191" t="s">
        <v>346</v>
      </c>
      <c r="Q52" s="49" t="str">
        <f t="array" ref="Q52"> if(iserror(MATCH(V52, 'File Links'!C:C, 0)), "N/A", HYPERLINK(INDEX('File Links'!B:B, MATCH(P52, 'File Links'!C:C, 0))))</f>
        <v>https://drive.google.com/file/d/1OByNKNsjZqSFHFFyt-o1mPqDkVmgruBu/view?usp=drivesdk</v>
      </c>
      <c r="R52" s="55" t="s">
        <v>347</v>
      </c>
      <c r="S52" s="55" t="s">
        <v>348</v>
      </c>
      <c r="T52" s="190"/>
      <c r="U52" s="192"/>
      <c r="V52" s="63" t="str">
        <f> hyperlink(vlookup(lower(S52),'File Links'!E:F, 2, FALSE), SUBSTITUTE(lower(S52), "/", "--") &amp;  ".pdf")</f>
        <v>10.1111--fare.13030.pdf</v>
      </c>
      <c r="W52" s="193" t="s">
        <v>349</v>
      </c>
      <c r="X52" s="51" t="str">
        <f t="array" ref="X52"> if(iserror(MATCH(V52, 'File Links'!C:C, 0)), "N/A", HYPERLINK(INDEX('File Links'!B:B, MATCH(V52, 'File Links'!C:C, 0))))</f>
        <v>https://drive.google.com/file/d/1TGN_TAtoJI3jhMQTEG2wnN59FCyiXC2_/view?usp=drivesdk</v>
      </c>
      <c r="Y52" s="190"/>
      <c r="Z52" s="55" t="s">
        <v>219</v>
      </c>
      <c r="AA52" s="190"/>
      <c r="AB52" s="189" t="s">
        <v>350</v>
      </c>
      <c r="AC52" s="189" t="s">
        <v>405</v>
      </c>
      <c r="AD52" s="189" t="s">
        <v>390</v>
      </c>
      <c r="AE52" s="194">
        <v>11.0</v>
      </c>
      <c r="AF52" s="194">
        <v>1950.0</v>
      </c>
      <c r="AG52" s="194">
        <v>-0.06</v>
      </c>
      <c r="AH52" s="191" t="s">
        <v>353</v>
      </c>
      <c r="AI52" s="55" t="s">
        <v>300</v>
      </c>
      <c r="AJ52" s="194">
        <v>0.001</v>
      </c>
      <c r="AK52" s="195" t="s">
        <v>128</v>
      </c>
      <c r="AL52" s="55" t="s">
        <v>179</v>
      </c>
      <c r="AM52" s="190"/>
      <c r="AN52" s="55" t="s">
        <v>131</v>
      </c>
      <c r="AO52" s="194">
        <v>1079.0</v>
      </c>
      <c r="AP52" s="190"/>
      <c r="AQ52" s="55" t="s">
        <v>354</v>
      </c>
      <c r="AR52" s="55" t="s">
        <v>355</v>
      </c>
      <c r="AS52" s="194">
        <v>0.05</v>
      </c>
      <c r="AT52" s="195" t="s">
        <v>328</v>
      </c>
      <c r="AU52" s="195" t="s">
        <v>179</v>
      </c>
      <c r="AV52" s="187"/>
      <c r="AW52" s="187" t="s">
        <v>131</v>
      </c>
      <c r="AX52" s="187" t="s">
        <v>144</v>
      </c>
      <c r="AY52" s="190"/>
      <c r="AZ52" s="196" t="s">
        <v>137</v>
      </c>
      <c r="BA52" s="186"/>
      <c r="BB52" s="186"/>
      <c r="BC52" s="186"/>
      <c r="BD52" s="186"/>
      <c r="BE52" s="186"/>
      <c r="BF52" s="186"/>
      <c r="BG52" s="186"/>
      <c r="BH52" s="186"/>
      <c r="BI52" s="186"/>
      <c r="BJ52" s="186"/>
      <c r="BK52" s="186"/>
      <c r="BL52" s="186"/>
      <c r="BM52" s="186"/>
      <c r="BN52" s="186"/>
      <c r="BO52" s="186"/>
      <c r="BP52" s="186"/>
      <c r="BQ52" s="186"/>
      <c r="BR52" s="186"/>
      <c r="BS52" s="186"/>
      <c r="BT52" s="186"/>
      <c r="BU52" s="186"/>
      <c r="BV52" s="186"/>
      <c r="BW52" s="186"/>
      <c r="BX52" s="186"/>
      <c r="BY52" s="186"/>
      <c r="BZ52" s="186"/>
      <c r="CA52" s="186"/>
      <c r="CB52" s="186"/>
      <c r="CC52" s="186"/>
      <c r="CD52" s="186"/>
      <c r="CE52" s="186"/>
      <c r="CF52" s="186"/>
      <c r="CG52" s="186"/>
      <c r="CH52" s="186"/>
      <c r="CI52" s="186"/>
      <c r="CJ52" s="186"/>
      <c r="CK52" s="186"/>
      <c r="CL52" s="186"/>
      <c r="CM52" s="186"/>
      <c r="CN52" s="186"/>
      <c r="CO52" s="186"/>
      <c r="CP52" s="186"/>
      <c r="CQ52" s="186"/>
      <c r="CR52" s="186"/>
      <c r="CS52" s="186"/>
      <c r="CT52" s="186"/>
      <c r="CU52" s="186"/>
      <c r="CV52" s="186"/>
      <c r="CW52" s="186"/>
      <c r="CX52" s="186"/>
      <c r="CY52" s="186"/>
      <c r="CZ52" s="186"/>
      <c r="DA52" s="186"/>
      <c r="DB52" s="186"/>
      <c r="DC52" s="186"/>
      <c r="DD52" s="186"/>
      <c r="DE52" s="186"/>
      <c r="DF52" s="186"/>
      <c r="DG52" s="186"/>
      <c r="DH52" s="186"/>
    </row>
    <row r="53" ht="20.25" customHeight="1">
      <c r="A53" s="41">
        <v>53.0</v>
      </c>
      <c r="B53" s="185" t="s">
        <v>107</v>
      </c>
      <c r="C53" s="185" t="s">
        <v>108</v>
      </c>
      <c r="D53" s="185" t="s">
        <v>339</v>
      </c>
      <c r="E53" s="186"/>
      <c r="F53" s="187" t="s">
        <v>340</v>
      </c>
      <c r="G53" s="55" t="s">
        <v>406</v>
      </c>
      <c r="H53" s="55" t="s">
        <v>342</v>
      </c>
      <c r="I53" s="188">
        <v>45637.0</v>
      </c>
      <c r="J53" s="167">
        <v>45692.0</v>
      </c>
      <c r="K53" s="189" t="s">
        <v>343</v>
      </c>
      <c r="L53" s="190"/>
      <c r="M53" s="55" t="s">
        <v>344</v>
      </c>
      <c r="N53" s="189" t="s">
        <v>345</v>
      </c>
      <c r="O53" s="190"/>
      <c r="P53" s="191" t="s">
        <v>346</v>
      </c>
      <c r="Q53" s="49" t="str">
        <f t="array" ref="Q53"> if(iserror(MATCH(V53, 'File Links'!C:C, 0)), "N/A", HYPERLINK(INDEX('File Links'!B:B, MATCH(P53, 'File Links'!C:C, 0))))</f>
        <v>https://drive.google.com/file/d/1OByNKNsjZqSFHFFyt-o1mPqDkVmgruBu/view?usp=drivesdk</v>
      </c>
      <c r="R53" s="55" t="s">
        <v>347</v>
      </c>
      <c r="S53" s="55" t="s">
        <v>348</v>
      </c>
      <c r="T53" s="190"/>
      <c r="U53" s="192"/>
      <c r="V53" s="63" t="str">
        <f> hyperlink(vlookup(lower(S53),'File Links'!E:F, 2, FALSE), SUBSTITUTE(lower(S53), "/", "--") &amp;  ".pdf")</f>
        <v>10.1111--fare.13030.pdf</v>
      </c>
      <c r="W53" s="193" t="s">
        <v>349</v>
      </c>
      <c r="X53" s="51" t="str">
        <f t="array" ref="X53"> if(iserror(MATCH(V53, 'File Links'!C:C, 0)), "N/A", HYPERLINK(INDEX('File Links'!B:B, MATCH(V53, 'File Links'!C:C, 0))))</f>
        <v>https://drive.google.com/file/d/1TGN_TAtoJI3jhMQTEG2wnN59FCyiXC2_/view?usp=drivesdk</v>
      </c>
      <c r="Y53" s="190"/>
      <c r="Z53" s="55" t="s">
        <v>219</v>
      </c>
      <c r="AA53" s="190"/>
      <c r="AB53" s="189" t="s">
        <v>350</v>
      </c>
      <c r="AC53" s="189" t="s">
        <v>407</v>
      </c>
      <c r="AD53" s="189" t="s">
        <v>408</v>
      </c>
      <c r="AE53" s="194">
        <v>1.0</v>
      </c>
      <c r="AF53" s="194">
        <v>1950.0</v>
      </c>
      <c r="AG53" s="190"/>
      <c r="AH53" s="191" t="s">
        <v>353</v>
      </c>
      <c r="AI53" s="55" t="s">
        <v>300</v>
      </c>
      <c r="AJ53" s="194">
        <v>0.05</v>
      </c>
      <c r="AK53" s="195" t="s">
        <v>328</v>
      </c>
      <c r="AL53" s="55" t="s">
        <v>179</v>
      </c>
      <c r="AM53" s="190"/>
      <c r="AN53" s="55" t="s">
        <v>131</v>
      </c>
      <c r="AO53" s="194">
        <v>1079.0</v>
      </c>
      <c r="AP53" s="190"/>
      <c r="AQ53" s="55" t="s">
        <v>354</v>
      </c>
      <c r="AR53" s="55" t="s">
        <v>373</v>
      </c>
      <c r="AS53" s="194">
        <v>0.05</v>
      </c>
      <c r="AT53" s="195" t="s">
        <v>328</v>
      </c>
      <c r="AU53" s="195" t="s">
        <v>179</v>
      </c>
      <c r="AV53" s="187"/>
      <c r="AW53" s="187" t="s">
        <v>131</v>
      </c>
      <c r="AX53" s="187" t="s">
        <v>144</v>
      </c>
      <c r="AY53" s="190"/>
      <c r="AZ53" s="196" t="s">
        <v>137</v>
      </c>
      <c r="BA53" s="186"/>
      <c r="BB53" s="186"/>
      <c r="BC53" s="186"/>
      <c r="BD53" s="186"/>
      <c r="BE53" s="186"/>
      <c r="BF53" s="186"/>
      <c r="BG53" s="186"/>
      <c r="BH53" s="186"/>
      <c r="BI53" s="186"/>
      <c r="BJ53" s="186"/>
      <c r="BK53" s="186"/>
      <c r="BL53" s="186"/>
      <c r="BM53" s="186"/>
      <c r="BN53" s="186"/>
      <c r="BO53" s="186"/>
      <c r="BP53" s="186"/>
      <c r="BQ53" s="186"/>
      <c r="BR53" s="186"/>
      <c r="BS53" s="186"/>
      <c r="BT53" s="186"/>
      <c r="BU53" s="186"/>
      <c r="BV53" s="186"/>
      <c r="BW53" s="186"/>
      <c r="BX53" s="186"/>
      <c r="BY53" s="186"/>
      <c r="BZ53" s="186"/>
      <c r="CA53" s="186"/>
      <c r="CB53" s="186"/>
      <c r="CC53" s="186"/>
      <c r="CD53" s="186"/>
      <c r="CE53" s="186"/>
      <c r="CF53" s="186"/>
      <c r="CG53" s="186"/>
      <c r="CH53" s="186"/>
      <c r="CI53" s="186"/>
      <c r="CJ53" s="186"/>
      <c r="CK53" s="186"/>
      <c r="CL53" s="186"/>
      <c r="CM53" s="186"/>
      <c r="CN53" s="186"/>
      <c r="CO53" s="186"/>
      <c r="CP53" s="186"/>
      <c r="CQ53" s="186"/>
      <c r="CR53" s="186"/>
      <c r="CS53" s="186"/>
      <c r="CT53" s="186"/>
      <c r="CU53" s="186"/>
      <c r="CV53" s="186"/>
      <c r="CW53" s="186"/>
      <c r="CX53" s="186"/>
      <c r="CY53" s="186"/>
      <c r="CZ53" s="186"/>
      <c r="DA53" s="186"/>
      <c r="DB53" s="186"/>
      <c r="DC53" s="186"/>
      <c r="DD53" s="186"/>
      <c r="DE53" s="186"/>
      <c r="DF53" s="186"/>
      <c r="DG53" s="186"/>
      <c r="DH53" s="186"/>
    </row>
    <row r="54" ht="20.25" customHeight="1">
      <c r="A54" s="41">
        <v>54.0</v>
      </c>
      <c r="B54" s="185" t="s">
        <v>107</v>
      </c>
      <c r="C54" s="185" t="s">
        <v>108</v>
      </c>
      <c r="D54" s="185" t="s">
        <v>339</v>
      </c>
      <c r="E54" s="186"/>
      <c r="F54" s="187" t="s">
        <v>340</v>
      </c>
      <c r="G54" s="55" t="s">
        <v>409</v>
      </c>
      <c r="H54" s="55" t="s">
        <v>342</v>
      </c>
      <c r="I54" s="188">
        <v>45637.0</v>
      </c>
      <c r="J54" s="167">
        <v>45692.0</v>
      </c>
      <c r="K54" s="189" t="s">
        <v>343</v>
      </c>
      <c r="L54" s="190"/>
      <c r="M54" s="55" t="s">
        <v>344</v>
      </c>
      <c r="N54" s="189" t="s">
        <v>345</v>
      </c>
      <c r="O54" s="190"/>
      <c r="P54" s="191" t="s">
        <v>346</v>
      </c>
      <c r="Q54" s="49" t="str">
        <f t="array" ref="Q54"> if(iserror(MATCH(V54, 'File Links'!C:C, 0)), "N/A", HYPERLINK(INDEX('File Links'!B:B, MATCH(P54, 'File Links'!C:C, 0))))</f>
        <v>https://drive.google.com/file/d/1OByNKNsjZqSFHFFyt-o1mPqDkVmgruBu/view?usp=drivesdk</v>
      </c>
      <c r="R54" s="55" t="s">
        <v>347</v>
      </c>
      <c r="S54" s="55" t="s">
        <v>348</v>
      </c>
      <c r="T54" s="190"/>
      <c r="U54" s="192"/>
      <c r="V54" s="63" t="str">
        <f> hyperlink(vlookup(lower(S54),'File Links'!E:F, 2, FALSE), SUBSTITUTE(lower(S54), "/", "--") &amp;  ".pdf")</f>
        <v>10.1111--fare.13030.pdf</v>
      </c>
      <c r="W54" s="193" t="s">
        <v>349</v>
      </c>
      <c r="X54" s="51" t="str">
        <f t="array" ref="X54"> if(iserror(MATCH(V54, 'File Links'!C:C, 0)), "N/A", HYPERLINK(INDEX('File Links'!B:B, MATCH(V54, 'File Links'!C:C, 0))))</f>
        <v>https://drive.google.com/file/d/1TGN_TAtoJI3jhMQTEG2wnN59FCyiXC2_/view?usp=drivesdk</v>
      </c>
      <c r="Y54" s="190"/>
      <c r="Z54" s="55" t="s">
        <v>219</v>
      </c>
      <c r="AA54" s="190"/>
      <c r="AB54" s="189" t="s">
        <v>350</v>
      </c>
      <c r="AC54" s="189" t="s">
        <v>410</v>
      </c>
      <c r="AD54" s="189" t="s">
        <v>408</v>
      </c>
      <c r="AE54" s="194">
        <v>1.0</v>
      </c>
      <c r="AF54" s="194">
        <v>1950.0</v>
      </c>
      <c r="AG54" s="190"/>
      <c r="AH54" s="191" t="s">
        <v>353</v>
      </c>
      <c r="AI54" s="55" t="s">
        <v>300</v>
      </c>
      <c r="AJ54" s="194">
        <v>0.05</v>
      </c>
      <c r="AK54" s="195" t="s">
        <v>328</v>
      </c>
      <c r="AL54" s="55" t="s">
        <v>179</v>
      </c>
      <c r="AM54" s="190"/>
      <c r="AN54" s="55" t="s">
        <v>131</v>
      </c>
      <c r="AO54" s="194">
        <v>1079.0</v>
      </c>
      <c r="AP54" s="190"/>
      <c r="AQ54" s="55" t="s">
        <v>354</v>
      </c>
      <c r="AR54" s="55" t="s">
        <v>373</v>
      </c>
      <c r="AS54" s="194">
        <v>0.05</v>
      </c>
      <c r="AT54" s="195" t="s">
        <v>328</v>
      </c>
      <c r="AU54" s="195" t="s">
        <v>179</v>
      </c>
      <c r="AV54" s="187"/>
      <c r="AW54" s="187" t="s">
        <v>131</v>
      </c>
      <c r="AX54" s="187" t="s">
        <v>144</v>
      </c>
      <c r="AY54" s="190"/>
      <c r="AZ54" s="196" t="s">
        <v>137</v>
      </c>
      <c r="BA54" s="186"/>
      <c r="BB54" s="186"/>
      <c r="BC54" s="186"/>
      <c r="BD54" s="186"/>
      <c r="BE54" s="186"/>
      <c r="BF54" s="186"/>
      <c r="BG54" s="186"/>
      <c r="BH54" s="186"/>
      <c r="BI54" s="186"/>
      <c r="BJ54" s="186"/>
      <c r="BK54" s="186"/>
      <c r="BL54" s="186"/>
      <c r="BM54" s="186"/>
      <c r="BN54" s="186"/>
      <c r="BO54" s="186"/>
      <c r="BP54" s="186"/>
      <c r="BQ54" s="186"/>
      <c r="BR54" s="186"/>
      <c r="BS54" s="186"/>
      <c r="BT54" s="186"/>
      <c r="BU54" s="186"/>
      <c r="BV54" s="186"/>
      <c r="BW54" s="186"/>
      <c r="BX54" s="186"/>
      <c r="BY54" s="186"/>
      <c r="BZ54" s="186"/>
      <c r="CA54" s="186"/>
      <c r="CB54" s="186"/>
      <c r="CC54" s="186"/>
      <c r="CD54" s="186"/>
      <c r="CE54" s="186"/>
      <c r="CF54" s="186"/>
      <c r="CG54" s="186"/>
      <c r="CH54" s="186"/>
      <c r="CI54" s="186"/>
      <c r="CJ54" s="186"/>
      <c r="CK54" s="186"/>
      <c r="CL54" s="186"/>
      <c r="CM54" s="186"/>
      <c r="CN54" s="186"/>
      <c r="CO54" s="186"/>
      <c r="CP54" s="186"/>
      <c r="CQ54" s="186"/>
      <c r="CR54" s="186"/>
      <c r="CS54" s="186"/>
      <c r="CT54" s="186"/>
      <c r="CU54" s="186"/>
      <c r="CV54" s="186"/>
      <c r="CW54" s="186"/>
      <c r="CX54" s="186"/>
      <c r="CY54" s="186"/>
      <c r="CZ54" s="186"/>
      <c r="DA54" s="186"/>
      <c r="DB54" s="186"/>
      <c r="DC54" s="186"/>
      <c r="DD54" s="186"/>
      <c r="DE54" s="186"/>
      <c r="DF54" s="186"/>
      <c r="DG54" s="186"/>
      <c r="DH54" s="186"/>
    </row>
    <row r="55" ht="20.25" customHeight="1">
      <c r="A55" s="41">
        <v>55.0</v>
      </c>
      <c r="B55" s="185" t="s">
        <v>107</v>
      </c>
      <c r="C55" s="185" t="s">
        <v>108</v>
      </c>
      <c r="D55" s="185" t="s">
        <v>339</v>
      </c>
      <c r="E55" s="186"/>
      <c r="F55" s="187" t="s">
        <v>340</v>
      </c>
      <c r="G55" s="55" t="s">
        <v>411</v>
      </c>
      <c r="H55" s="55" t="s">
        <v>342</v>
      </c>
      <c r="I55" s="188">
        <v>45637.0</v>
      </c>
      <c r="J55" s="167">
        <v>45692.0</v>
      </c>
      <c r="K55" s="189" t="s">
        <v>343</v>
      </c>
      <c r="L55" s="190"/>
      <c r="M55" s="55" t="s">
        <v>344</v>
      </c>
      <c r="N55" s="189" t="s">
        <v>345</v>
      </c>
      <c r="O55" s="190"/>
      <c r="P55" s="191" t="s">
        <v>346</v>
      </c>
      <c r="Q55" s="49" t="str">
        <f t="array" ref="Q55"> if(iserror(MATCH(V55, 'File Links'!C:C, 0)), "N/A", HYPERLINK(INDEX('File Links'!B:B, MATCH(P55, 'File Links'!C:C, 0))))</f>
        <v>https://drive.google.com/file/d/1OByNKNsjZqSFHFFyt-o1mPqDkVmgruBu/view?usp=drivesdk</v>
      </c>
      <c r="R55" s="55" t="s">
        <v>347</v>
      </c>
      <c r="S55" s="55" t="s">
        <v>348</v>
      </c>
      <c r="T55" s="190"/>
      <c r="U55" s="192"/>
      <c r="V55" s="63" t="str">
        <f> hyperlink(vlookup(lower(S55),'File Links'!E:F, 2, FALSE), SUBSTITUTE(lower(S55), "/", "--") &amp;  ".pdf")</f>
        <v>10.1111--fare.13030.pdf</v>
      </c>
      <c r="W55" s="193" t="s">
        <v>349</v>
      </c>
      <c r="X55" s="51" t="str">
        <f t="array" ref="X55"> if(iserror(MATCH(V55, 'File Links'!C:C, 0)), "N/A", HYPERLINK(INDEX('File Links'!B:B, MATCH(V55, 'File Links'!C:C, 0))))</f>
        <v>https://drive.google.com/file/d/1TGN_TAtoJI3jhMQTEG2wnN59FCyiXC2_/view?usp=drivesdk</v>
      </c>
      <c r="Y55" s="190"/>
      <c r="Z55" s="55" t="s">
        <v>219</v>
      </c>
      <c r="AA55" s="190"/>
      <c r="AB55" s="189" t="s">
        <v>350</v>
      </c>
      <c r="AC55" s="189" t="s">
        <v>412</v>
      </c>
      <c r="AD55" s="189" t="s">
        <v>408</v>
      </c>
      <c r="AE55" s="194">
        <v>1.0</v>
      </c>
      <c r="AF55" s="194">
        <v>1950.0</v>
      </c>
      <c r="AG55" s="190"/>
      <c r="AH55" s="191" t="s">
        <v>353</v>
      </c>
      <c r="AI55" s="55" t="s">
        <v>300</v>
      </c>
      <c r="AJ55" s="194">
        <v>0.05</v>
      </c>
      <c r="AK55" s="195" t="s">
        <v>328</v>
      </c>
      <c r="AL55" s="55" t="s">
        <v>179</v>
      </c>
      <c r="AM55" s="190"/>
      <c r="AN55" s="55" t="s">
        <v>131</v>
      </c>
      <c r="AO55" s="194">
        <v>1079.0</v>
      </c>
      <c r="AP55" s="190"/>
      <c r="AQ55" s="55" t="s">
        <v>354</v>
      </c>
      <c r="AR55" s="55" t="s">
        <v>373</v>
      </c>
      <c r="AS55" s="194">
        <v>0.05</v>
      </c>
      <c r="AT55" s="195" t="s">
        <v>328</v>
      </c>
      <c r="AU55" s="195" t="s">
        <v>179</v>
      </c>
      <c r="AV55" s="187"/>
      <c r="AW55" s="187" t="s">
        <v>131</v>
      </c>
      <c r="AX55" s="187" t="s">
        <v>144</v>
      </c>
      <c r="AY55" s="190"/>
      <c r="AZ55" s="196" t="s">
        <v>137</v>
      </c>
      <c r="BA55" s="186"/>
      <c r="BB55" s="186"/>
      <c r="BC55" s="186"/>
      <c r="BD55" s="186"/>
      <c r="BE55" s="186"/>
      <c r="BF55" s="186"/>
      <c r="BG55" s="186"/>
      <c r="BH55" s="186"/>
      <c r="BI55" s="186"/>
      <c r="BJ55" s="186"/>
      <c r="BK55" s="186"/>
      <c r="BL55" s="186"/>
      <c r="BM55" s="186"/>
      <c r="BN55" s="186"/>
      <c r="BO55" s="186"/>
      <c r="BP55" s="186"/>
      <c r="BQ55" s="186"/>
      <c r="BR55" s="186"/>
      <c r="BS55" s="186"/>
      <c r="BT55" s="186"/>
      <c r="BU55" s="186"/>
      <c r="BV55" s="186"/>
      <c r="BW55" s="186"/>
      <c r="BX55" s="186"/>
      <c r="BY55" s="186"/>
      <c r="BZ55" s="186"/>
      <c r="CA55" s="186"/>
      <c r="CB55" s="186"/>
      <c r="CC55" s="186"/>
      <c r="CD55" s="186"/>
      <c r="CE55" s="186"/>
      <c r="CF55" s="186"/>
      <c r="CG55" s="186"/>
      <c r="CH55" s="186"/>
      <c r="CI55" s="186"/>
      <c r="CJ55" s="186"/>
      <c r="CK55" s="186"/>
      <c r="CL55" s="186"/>
      <c r="CM55" s="186"/>
      <c r="CN55" s="186"/>
      <c r="CO55" s="186"/>
      <c r="CP55" s="186"/>
      <c r="CQ55" s="186"/>
      <c r="CR55" s="186"/>
      <c r="CS55" s="186"/>
      <c r="CT55" s="186"/>
      <c r="CU55" s="186"/>
      <c r="CV55" s="186"/>
      <c r="CW55" s="186"/>
      <c r="CX55" s="186"/>
      <c r="CY55" s="186"/>
      <c r="CZ55" s="186"/>
      <c r="DA55" s="186"/>
      <c r="DB55" s="186"/>
      <c r="DC55" s="186"/>
      <c r="DD55" s="186"/>
      <c r="DE55" s="186"/>
      <c r="DF55" s="186"/>
      <c r="DG55" s="186"/>
      <c r="DH55" s="186"/>
    </row>
    <row r="56" ht="20.25" customHeight="1">
      <c r="A56" s="41">
        <v>56.0</v>
      </c>
      <c r="B56" s="185" t="s">
        <v>107</v>
      </c>
      <c r="C56" s="185" t="s">
        <v>108</v>
      </c>
      <c r="D56" s="185" t="s">
        <v>339</v>
      </c>
      <c r="E56" s="186"/>
      <c r="F56" s="187" t="s">
        <v>340</v>
      </c>
      <c r="G56" s="55" t="s">
        <v>413</v>
      </c>
      <c r="H56" s="55" t="s">
        <v>342</v>
      </c>
      <c r="I56" s="188">
        <v>45637.0</v>
      </c>
      <c r="J56" s="167">
        <v>45692.0</v>
      </c>
      <c r="K56" s="189" t="s">
        <v>343</v>
      </c>
      <c r="L56" s="190"/>
      <c r="M56" s="55" t="s">
        <v>344</v>
      </c>
      <c r="N56" s="189" t="s">
        <v>345</v>
      </c>
      <c r="O56" s="190"/>
      <c r="P56" s="191" t="s">
        <v>346</v>
      </c>
      <c r="Q56" s="49" t="str">
        <f t="array" ref="Q56"> if(iserror(MATCH(V56, 'File Links'!C:C, 0)), "N/A", HYPERLINK(INDEX('File Links'!B:B, MATCH(P56, 'File Links'!C:C, 0))))</f>
        <v>https://drive.google.com/file/d/1OByNKNsjZqSFHFFyt-o1mPqDkVmgruBu/view?usp=drivesdk</v>
      </c>
      <c r="R56" s="55" t="s">
        <v>347</v>
      </c>
      <c r="S56" s="55" t="s">
        <v>348</v>
      </c>
      <c r="T56" s="190"/>
      <c r="U56" s="192"/>
      <c r="V56" s="63" t="str">
        <f> hyperlink(vlookup(lower(S56),'File Links'!E:F, 2, FALSE), SUBSTITUTE(lower(S56), "/", "--") &amp;  ".pdf")</f>
        <v>10.1111--fare.13030.pdf</v>
      </c>
      <c r="W56" s="193" t="s">
        <v>349</v>
      </c>
      <c r="X56" s="51" t="str">
        <f t="array" ref="X56"> if(iserror(MATCH(V56, 'File Links'!C:C, 0)), "N/A", HYPERLINK(INDEX('File Links'!B:B, MATCH(V56, 'File Links'!C:C, 0))))</f>
        <v>https://drive.google.com/file/d/1TGN_TAtoJI3jhMQTEG2wnN59FCyiXC2_/view?usp=drivesdk</v>
      </c>
      <c r="Y56" s="190"/>
      <c r="Z56" s="55" t="s">
        <v>219</v>
      </c>
      <c r="AA56" s="190"/>
      <c r="AB56" s="189" t="s">
        <v>350</v>
      </c>
      <c r="AC56" s="189" t="s">
        <v>414</v>
      </c>
      <c r="AD56" s="189" t="s">
        <v>408</v>
      </c>
      <c r="AE56" s="194">
        <v>1.0</v>
      </c>
      <c r="AF56" s="194">
        <v>1950.0</v>
      </c>
      <c r="AG56" s="190"/>
      <c r="AH56" s="191" t="s">
        <v>353</v>
      </c>
      <c r="AI56" s="55" t="s">
        <v>300</v>
      </c>
      <c r="AJ56" s="194">
        <v>0.05</v>
      </c>
      <c r="AK56" s="195" t="s">
        <v>328</v>
      </c>
      <c r="AL56" s="55" t="s">
        <v>179</v>
      </c>
      <c r="AM56" s="190"/>
      <c r="AN56" s="55" t="s">
        <v>131</v>
      </c>
      <c r="AO56" s="194">
        <v>1079.0</v>
      </c>
      <c r="AP56" s="190"/>
      <c r="AQ56" s="55" t="s">
        <v>354</v>
      </c>
      <c r="AR56" s="55" t="s">
        <v>373</v>
      </c>
      <c r="AS56" s="194">
        <v>0.05</v>
      </c>
      <c r="AT56" s="195" t="s">
        <v>328</v>
      </c>
      <c r="AU56" s="195" t="s">
        <v>179</v>
      </c>
      <c r="AV56" s="187"/>
      <c r="AW56" s="187" t="s">
        <v>131</v>
      </c>
      <c r="AX56" s="187" t="s">
        <v>144</v>
      </c>
      <c r="AY56" s="190"/>
      <c r="AZ56" s="196" t="s">
        <v>137</v>
      </c>
      <c r="BA56" s="186"/>
      <c r="BB56" s="186"/>
      <c r="BC56" s="186"/>
      <c r="BD56" s="186"/>
      <c r="BE56" s="186"/>
      <c r="BF56" s="186"/>
      <c r="BG56" s="186"/>
      <c r="BH56" s="186"/>
      <c r="BI56" s="186"/>
      <c r="BJ56" s="186"/>
      <c r="BK56" s="186"/>
      <c r="BL56" s="186"/>
      <c r="BM56" s="186"/>
      <c r="BN56" s="186"/>
      <c r="BO56" s="186"/>
      <c r="BP56" s="186"/>
      <c r="BQ56" s="186"/>
      <c r="BR56" s="186"/>
      <c r="BS56" s="186"/>
      <c r="BT56" s="186"/>
      <c r="BU56" s="186"/>
      <c r="BV56" s="186"/>
      <c r="BW56" s="186"/>
      <c r="BX56" s="186"/>
      <c r="BY56" s="186"/>
      <c r="BZ56" s="186"/>
      <c r="CA56" s="186"/>
      <c r="CB56" s="186"/>
      <c r="CC56" s="186"/>
      <c r="CD56" s="186"/>
      <c r="CE56" s="186"/>
      <c r="CF56" s="186"/>
      <c r="CG56" s="186"/>
      <c r="CH56" s="186"/>
      <c r="CI56" s="186"/>
      <c r="CJ56" s="186"/>
      <c r="CK56" s="186"/>
      <c r="CL56" s="186"/>
      <c r="CM56" s="186"/>
      <c r="CN56" s="186"/>
      <c r="CO56" s="186"/>
      <c r="CP56" s="186"/>
      <c r="CQ56" s="186"/>
      <c r="CR56" s="186"/>
      <c r="CS56" s="186"/>
      <c r="CT56" s="186"/>
      <c r="CU56" s="186"/>
      <c r="CV56" s="186"/>
      <c r="CW56" s="186"/>
      <c r="CX56" s="186"/>
      <c r="CY56" s="186"/>
      <c r="CZ56" s="186"/>
      <c r="DA56" s="186"/>
      <c r="DB56" s="186"/>
      <c r="DC56" s="186"/>
      <c r="DD56" s="186"/>
      <c r="DE56" s="186"/>
      <c r="DF56" s="186"/>
      <c r="DG56" s="186"/>
      <c r="DH56" s="186"/>
    </row>
    <row r="57" ht="20.25" customHeight="1">
      <c r="A57" s="41">
        <v>57.0</v>
      </c>
      <c r="B57" s="185" t="s">
        <v>107</v>
      </c>
      <c r="C57" s="185" t="s">
        <v>108</v>
      </c>
      <c r="D57" s="185" t="s">
        <v>339</v>
      </c>
      <c r="E57" s="186"/>
      <c r="F57" s="187" t="s">
        <v>340</v>
      </c>
      <c r="G57" s="55" t="s">
        <v>415</v>
      </c>
      <c r="H57" s="55" t="s">
        <v>342</v>
      </c>
      <c r="I57" s="188">
        <v>45637.0</v>
      </c>
      <c r="J57" s="167">
        <v>45692.0</v>
      </c>
      <c r="K57" s="189" t="s">
        <v>343</v>
      </c>
      <c r="L57" s="190"/>
      <c r="M57" s="55" t="s">
        <v>344</v>
      </c>
      <c r="N57" s="189" t="s">
        <v>345</v>
      </c>
      <c r="O57" s="190"/>
      <c r="P57" s="191" t="s">
        <v>346</v>
      </c>
      <c r="Q57" s="49" t="str">
        <f t="array" ref="Q57"> if(iserror(MATCH(V57, 'File Links'!C:C, 0)), "N/A", HYPERLINK(INDEX('File Links'!B:B, MATCH(P57, 'File Links'!C:C, 0))))</f>
        <v>https://drive.google.com/file/d/1OByNKNsjZqSFHFFyt-o1mPqDkVmgruBu/view?usp=drivesdk</v>
      </c>
      <c r="R57" s="55" t="s">
        <v>347</v>
      </c>
      <c r="S57" s="55" t="s">
        <v>348</v>
      </c>
      <c r="T57" s="190"/>
      <c r="U57" s="192"/>
      <c r="V57" s="63" t="str">
        <f> hyperlink(vlookup(lower(S57),'File Links'!E:F, 2, FALSE), SUBSTITUTE(lower(S57), "/", "--") &amp;  ".pdf")</f>
        <v>10.1111--fare.13030.pdf</v>
      </c>
      <c r="W57" s="193" t="s">
        <v>349</v>
      </c>
      <c r="X57" s="51" t="str">
        <f t="array" ref="X57"> if(iserror(MATCH(V57, 'File Links'!C:C, 0)), "N/A", HYPERLINK(INDEX('File Links'!B:B, MATCH(V57, 'File Links'!C:C, 0))))</f>
        <v>https://drive.google.com/file/d/1TGN_TAtoJI3jhMQTEG2wnN59FCyiXC2_/view?usp=drivesdk</v>
      </c>
      <c r="Y57" s="190"/>
      <c r="Z57" s="55" t="s">
        <v>219</v>
      </c>
      <c r="AA57" s="190"/>
      <c r="AB57" s="189" t="s">
        <v>350</v>
      </c>
      <c r="AC57" s="189" t="s">
        <v>416</v>
      </c>
      <c r="AD57" s="189" t="s">
        <v>408</v>
      </c>
      <c r="AE57" s="194">
        <v>1.0</v>
      </c>
      <c r="AF57" s="194">
        <v>1950.0</v>
      </c>
      <c r="AG57" s="190"/>
      <c r="AH57" s="191" t="s">
        <v>353</v>
      </c>
      <c r="AI57" s="55" t="s">
        <v>300</v>
      </c>
      <c r="AJ57" s="194">
        <v>0.05</v>
      </c>
      <c r="AK57" s="195" t="s">
        <v>328</v>
      </c>
      <c r="AL57" s="55" t="s">
        <v>179</v>
      </c>
      <c r="AM57" s="190"/>
      <c r="AN57" s="55" t="s">
        <v>131</v>
      </c>
      <c r="AO57" s="194">
        <v>1079.0</v>
      </c>
      <c r="AP57" s="190"/>
      <c r="AQ57" s="55" t="s">
        <v>354</v>
      </c>
      <c r="AR57" s="55" t="s">
        <v>417</v>
      </c>
      <c r="AS57" s="194">
        <v>0.05</v>
      </c>
      <c r="AT57" s="195" t="s">
        <v>328</v>
      </c>
      <c r="AU57" s="195" t="s">
        <v>179</v>
      </c>
      <c r="AV57" s="187"/>
      <c r="AW57" s="187" t="s">
        <v>131</v>
      </c>
      <c r="AX57" s="187" t="s">
        <v>144</v>
      </c>
      <c r="AY57" s="190"/>
      <c r="AZ57" s="196" t="s">
        <v>137</v>
      </c>
      <c r="BA57" s="186"/>
      <c r="BB57" s="186"/>
      <c r="BC57" s="186"/>
      <c r="BD57" s="186"/>
      <c r="BE57" s="186"/>
      <c r="BF57" s="186"/>
      <c r="BG57" s="186"/>
      <c r="BH57" s="186"/>
      <c r="BI57" s="186"/>
      <c r="BJ57" s="186"/>
      <c r="BK57" s="186"/>
      <c r="BL57" s="186"/>
      <c r="BM57" s="186"/>
      <c r="BN57" s="186"/>
      <c r="BO57" s="186"/>
      <c r="BP57" s="186"/>
      <c r="BQ57" s="186"/>
      <c r="BR57" s="186"/>
      <c r="BS57" s="186"/>
      <c r="BT57" s="186"/>
      <c r="BU57" s="186"/>
      <c r="BV57" s="186"/>
      <c r="BW57" s="186"/>
      <c r="BX57" s="186"/>
      <c r="BY57" s="186"/>
      <c r="BZ57" s="186"/>
      <c r="CA57" s="186"/>
      <c r="CB57" s="186"/>
      <c r="CC57" s="186"/>
      <c r="CD57" s="186"/>
      <c r="CE57" s="186"/>
      <c r="CF57" s="186"/>
      <c r="CG57" s="186"/>
      <c r="CH57" s="186"/>
      <c r="CI57" s="186"/>
      <c r="CJ57" s="186"/>
      <c r="CK57" s="186"/>
      <c r="CL57" s="186"/>
      <c r="CM57" s="186"/>
      <c r="CN57" s="186"/>
      <c r="CO57" s="186"/>
      <c r="CP57" s="186"/>
      <c r="CQ57" s="186"/>
      <c r="CR57" s="186"/>
      <c r="CS57" s="186"/>
      <c r="CT57" s="186"/>
      <c r="CU57" s="186"/>
      <c r="CV57" s="186"/>
      <c r="CW57" s="186"/>
      <c r="CX57" s="186"/>
      <c r="CY57" s="186"/>
      <c r="CZ57" s="186"/>
      <c r="DA57" s="186"/>
      <c r="DB57" s="186"/>
      <c r="DC57" s="186"/>
      <c r="DD57" s="186"/>
      <c r="DE57" s="186"/>
      <c r="DF57" s="186"/>
      <c r="DG57" s="186"/>
      <c r="DH57" s="186"/>
    </row>
    <row r="58" ht="20.25" customHeight="1">
      <c r="A58" s="41">
        <v>58.0</v>
      </c>
      <c r="B58" s="185" t="s">
        <v>107</v>
      </c>
      <c r="C58" s="185" t="s">
        <v>108</v>
      </c>
      <c r="D58" s="185" t="s">
        <v>339</v>
      </c>
      <c r="E58" s="186"/>
      <c r="F58" s="187" t="s">
        <v>340</v>
      </c>
      <c r="G58" s="55" t="s">
        <v>418</v>
      </c>
      <c r="H58" s="55" t="s">
        <v>342</v>
      </c>
      <c r="I58" s="188">
        <v>45637.0</v>
      </c>
      <c r="J58" s="167">
        <v>45692.0</v>
      </c>
      <c r="K58" s="189" t="s">
        <v>343</v>
      </c>
      <c r="L58" s="190"/>
      <c r="M58" s="55" t="s">
        <v>344</v>
      </c>
      <c r="N58" s="189" t="s">
        <v>345</v>
      </c>
      <c r="O58" s="190"/>
      <c r="P58" s="191" t="s">
        <v>346</v>
      </c>
      <c r="Q58" s="49" t="str">
        <f t="array" ref="Q58"> if(iserror(MATCH(V58, 'File Links'!C:C, 0)), "N/A", HYPERLINK(INDEX('File Links'!B:B, MATCH(P58, 'File Links'!C:C, 0))))</f>
        <v>https://drive.google.com/file/d/1OByNKNsjZqSFHFFyt-o1mPqDkVmgruBu/view?usp=drivesdk</v>
      </c>
      <c r="R58" s="55" t="s">
        <v>347</v>
      </c>
      <c r="S58" s="55" t="s">
        <v>348</v>
      </c>
      <c r="T58" s="190"/>
      <c r="U58" s="192"/>
      <c r="V58" s="63" t="str">
        <f> hyperlink(vlookup(lower(S58),'File Links'!E:F, 2, FALSE), SUBSTITUTE(lower(S58), "/", "--") &amp;  ".pdf")</f>
        <v>10.1111--fare.13030.pdf</v>
      </c>
      <c r="W58" s="193" t="s">
        <v>349</v>
      </c>
      <c r="X58" s="51" t="str">
        <f t="array" ref="X58"> if(iserror(MATCH(V58, 'File Links'!C:C, 0)), "N/A", HYPERLINK(INDEX('File Links'!B:B, MATCH(V58, 'File Links'!C:C, 0))))</f>
        <v>https://drive.google.com/file/d/1TGN_TAtoJI3jhMQTEG2wnN59FCyiXC2_/view?usp=drivesdk</v>
      </c>
      <c r="Y58" s="190"/>
      <c r="Z58" s="55" t="s">
        <v>219</v>
      </c>
      <c r="AA58" s="190"/>
      <c r="AB58" s="189" t="s">
        <v>350</v>
      </c>
      <c r="AC58" s="189" t="s">
        <v>419</v>
      </c>
      <c r="AD58" s="189" t="s">
        <v>408</v>
      </c>
      <c r="AE58" s="194">
        <v>1.0</v>
      </c>
      <c r="AF58" s="194">
        <v>1950.0</v>
      </c>
      <c r="AG58" s="190"/>
      <c r="AH58" s="191" t="s">
        <v>353</v>
      </c>
      <c r="AI58" s="55" t="s">
        <v>300</v>
      </c>
      <c r="AJ58" s="194">
        <v>0.05</v>
      </c>
      <c r="AK58" s="195" t="s">
        <v>328</v>
      </c>
      <c r="AL58" s="55" t="s">
        <v>179</v>
      </c>
      <c r="AM58" s="190"/>
      <c r="AN58" s="55" t="s">
        <v>131</v>
      </c>
      <c r="AO58" s="194">
        <v>1079.0</v>
      </c>
      <c r="AP58" s="190"/>
      <c r="AQ58" s="55" t="s">
        <v>354</v>
      </c>
      <c r="AR58" s="55" t="s">
        <v>417</v>
      </c>
      <c r="AS58" s="194">
        <v>0.05</v>
      </c>
      <c r="AT58" s="195" t="s">
        <v>328</v>
      </c>
      <c r="AU58" s="195" t="s">
        <v>179</v>
      </c>
      <c r="AV58" s="187"/>
      <c r="AW58" s="187" t="s">
        <v>131</v>
      </c>
      <c r="AX58" s="187" t="s">
        <v>144</v>
      </c>
      <c r="AY58" s="190"/>
      <c r="AZ58" s="196" t="s">
        <v>137</v>
      </c>
      <c r="BA58" s="186"/>
      <c r="BB58" s="186"/>
      <c r="BC58" s="186"/>
      <c r="BD58" s="186"/>
      <c r="BE58" s="186"/>
      <c r="BF58" s="186"/>
      <c r="BG58" s="186"/>
      <c r="BH58" s="186"/>
      <c r="BI58" s="186"/>
      <c r="BJ58" s="186"/>
      <c r="BK58" s="186"/>
      <c r="BL58" s="186"/>
      <c r="BM58" s="186"/>
      <c r="BN58" s="186"/>
      <c r="BO58" s="186"/>
      <c r="BP58" s="186"/>
      <c r="BQ58" s="186"/>
      <c r="BR58" s="186"/>
      <c r="BS58" s="186"/>
      <c r="BT58" s="186"/>
      <c r="BU58" s="186"/>
      <c r="BV58" s="186"/>
      <c r="BW58" s="186"/>
      <c r="BX58" s="186"/>
      <c r="BY58" s="186"/>
      <c r="BZ58" s="186"/>
      <c r="CA58" s="186"/>
      <c r="CB58" s="186"/>
      <c r="CC58" s="186"/>
      <c r="CD58" s="186"/>
      <c r="CE58" s="186"/>
      <c r="CF58" s="186"/>
      <c r="CG58" s="186"/>
      <c r="CH58" s="186"/>
      <c r="CI58" s="186"/>
      <c r="CJ58" s="186"/>
      <c r="CK58" s="186"/>
      <c r="CL58" s="186"/>
      <c r="CM58" s="186"/>
      <c r="CN58" s="186"/>
      <c r="CO58" s="186"/>
      <c r="CP58" s="186"/>
      <c r="CQ58" s="186"/>
      <c r="CR58" s="186"/>
      <c r="CS58" s="186"/>
      <c r="CT58" s="186"/>
      <c r="CU58" s="186"/>
      <c r="CV58" s="186"/>
      <c r="CW58" s="186"/>
      <c r="CX58" s="186"/>
      <c r="CY58" s="186"/>
      <c r="CZ58" s="186"/>
      <c r="DA58" s="186"/>
      <c r="DB58" s="186"/>
      <c r="DC58" s="186"/>
      <c r="DD58" s="186"/>
      <c r="DE58" s="186"/>
      <c r="DF58" s="186"/>
      <c r="DG58" s="186"/>
      <c r="DH58" s="186"/>
    </row>
    <row r="59" ht="20.25" customHeight="1">
      <c r="A59" s="41">
        <v>59.0</v>
      </c>
      <c r="B59" s="185" t="s">
        <v>107</v>
      </c>
      <c r="C59" s="185" t="s">
        <v>108</v>
      </c>
      <c r="D59" s="185" t="s">
        <v>339</v>
      </c>
      <c r="E59" s="186"/>
      <c r="F59" s="187" t="s">
        <v>340</v>
      </c>
      <c r="G59" s="55" t="s">
        <v>420</v>
      </c>
      <c r="H59" s="55" t="s">
        <v>342</v>
      </c>
      <c r="I59" s="188">
        <v>45637.0</v>
      </c>
      <c r="J59" s="167">
        <v>45692.0</v>
      </c>
      <c r="K59" s="189" t="s">
        <v>343</v>
      </c>
      <c r="L59" s="190"/>
      <c r="M59" s="55" t="s">
        <v>344</v>
      </c>
      <c r="N59" s="189" t="s">
        <v>345</v>
      </c>
      <c r="O59" s="190"/>
      <c r="P59" s="191" t="s">
        <v>346</v>
      </c>
      <c r="Q59" s="49" t="str">
        <f t="array" ref="Q59"> if(iserror(MATCH(V59, 'File Links'!C:C, 0)), "N/A", HYPERLINK(INDEX('File Links'!B:B, MATCH(P59, 'File Links'!C:C, 0))))</f>
        <v>https://drive.google.com/file/d/1OByNKNsjZqSFHFFyt-o1mPqDkVmgruBu/view?usp=drivesdk</v>
      </c>
      <c r="R59" s="55" t="s">
        <v>347</v>
      </c>
      <c r="S59" s="55" t="s">
        <v>348</v>
      </c>
      <c r="T59" s="190"/>
      <c r="U59" s="192"/>
      <c r="V59" s="63" t="str">
        <f> hyperlink(vlookup(lower(S59),'File Links'!E:F, 2, FALSE), SUBSTITUTE(lower(S59), "/", "--") &amp;  ".pdf")</f>
        <v>10.1111--fare.13030.pdf</v>
      </c>
      <c r="W59" s="193" t="s">
        <v>349</v>
      </c>
      <c r="X59" s="51" t="str">
        <f t="array" ref="X59"> if(iserror(MATCH(V59, 'File Links'!C:C, 0)), "N/A", HYPERLINK(INDEX('File Links'!B:B, MATCH(V59, 'File Links'!C:C, 0))))</f>
        <v>https://drive.google.com/file/d/1TGN_TAtoJI3jhMQTEG2wnN59FCyiXC2_/view?usp=drivesdk</v>
      </c>
      <c r="Y59" s="190"/>
      <c r="Z59" s="55" t="s">
        <v>219</v>
      </c>
      <c r="AA59" s="190"/>
      <c r="AB59" s="189" t="s">
        <v>350</v>
      </c>
      <c r="AC59" s="189" t="s">
        <v>421</v>
      </c>
      <c r="AD59" s="189" t="s">
        <v>408</v>
      </c>
      <c r="AE59" s="194">
        <v>1.0</v>
      </c>
      <c r="AF59" s="194">
        <v>1950.0</v>
      </c>
      <c r="AG59" s="190"/>
      <c r="AH59" s="191" t="s">
        <v>353</v>
      </c>
      <c r="AI59" s="55" t="s">
        <v>300</v>
      </c>
      <c r="AJ59" s="194">
        <v>0.05</v>
      </c>
      <c r="AK59" s="195" t="s">
        <v>328</v>
      </c>
      <c r="AL59" s="55" t="s">
        <v>179</v>
      </c>
      <c r="AM59" s="190"/>
      <c r="AN59" s="55" t="s">
        <v>131</v>
      </c>
      <c r="AO59" s="194">
        <v>1079.0</v>
      </c>
      <c r="AP59" s="190"/>
      <c r="AQ59" s="55" t="s">
        <v>354</v>
      </c>
      <c r="AR59" s="55" t="s">
        <v>417</v>
      </c>
      <c r="AS59" s="194">
        <v>0.05</v>
      </c>
      <c r="AT59" s="195" t="s">
        <v>328</v>
      </c>
      <c r="AU59" s="195" t="s">
        <v>179</v>
      </c>
      <c r="AV59" s="187"/>
      <c r="AW59" s="187" t="s">
        <v>131</v>
      </c>
      <c r="AX59" s="187" t="s">
        <v>144</v>
      </c>
      <c r="AY59" s="190"/>
      <c r="AZ59" s="196" t="s">
        <v>137</v>
      </c>
      <c r="BA59" s="186"/>
      <c r="BB59" s="186"/>
      <c r="BC59" s="186"/>
      <c r="BD59" s="186"/>
      <c r="BE59" s="186"/>
      <c r="BF59" s="186"/>
      <c r="BG59" s="186"/>
      <c r="BH59" s="186"/>
      <c r="BI59" s="186"/>
      <c r="BJ59" s="186"/>
      <c r="BK59" s="186"/>
      <c r="BL59" s="186"/>
      <c r="BM59" s="186"/>
      <c r="BN59" s="186"/>
      <c r="BO59" s="186"/>
      <c r="BP59" s="186"/>
      <c r="BQ59" s="186"/>
      <c r="BR59" s="186"/>
      <c r="BS59" s="186"/>
      <c r="BT59" s="186"/>
      <c r="BU59" s="186"/>
      <c r="BV59" s="186"/>
      <c r="BW59" s="186"/>
      <c r="BX59" s="186"/>
      <c r="BY59" s="186"/>
      <c r="BZ59" s="186"/>
      <c r="CA59" s="186"/>
      <c r="CB59" s="186"/>
      <c r="CC59" s="186"/>
      <c r="CD59" s="186"/>
      <c r="CE59" s="186"/>
      <c r="CF59" s="186"/>
      <c r="CG59" s="186"/>
      <c r="CH59" s="186"/>
      <c r="CI59" s="186"/>
      <c r="CJ59" s="186"/>
      <c r="CK59" s="186"/>
      <c r="CL59" s="186"/>
      <c r="CM59" s="186"/>
      <c r="CN59" s="186"/>
      <c r="CO59" s="186"/>
      <c r="CP59" s="186"/>
      <c r="CQ59" s="186"/>
      <c r="CR59" s="186"/>
      <c r="CS59" s="186"/>
      <c r="CT59" s="186"/>
      <c r="CU59" s="186"/>
      <c r="CV59" s="186"/>
      <c r="CW59" s="186"/>
      <c r="CX59" s="186"/>
      <c r="CY59" s="186"/>
      <c r="CZ59" s="186"/>
      <c r="DA59" s="186"/>
      <c r="DB59" s="186"/>
      <c r="DC59" s="186"/>
      <c r="DD59" s="186"/>
      <c r="DE59" s="186"/>
      <c r="DF59" s="186"/>
      <c r="DG59" s="186"/>
      <c r="DH59" s="186"/>
    </row>
    <row r="60" ht="20.25" customHeight="1">
      <c r="A60" s="41">
        <v>60.0</v>
      </c>
      <c r="B60" s="185" t="s">
        <v>107</v>
      </c>
      <c r="C60" s="185" t="s">
        <v>108</v>
      </c>
      <c r="D60" s="185" t="s">
        <v>339</v>
      </c>
      <c r="E60" s="186"/>
      <c r="F60" s="187" t="s">
        <v>340</v>
      </c>
      <c r="G60" s="55" t="s">
        <v>422</v>
      </c>
      <c r="H60" s="55" t="s">
        <v>342</v>
      </c>
      <c r="I60" s="188">
        <v>45637.0</v>
      </c>
      <c r="J60" s="167">
        <v>45692.0</v>
      </c>
      <c r="K60" s="189" t="s">
        <v>343</v>
      </c>
      <c r="L60" s="190"/>
      <c r="M60" s="55" t="s">
        <v>344</v>
      </c>
      <c r="N60" s="189" t="s">
        <v>345</v>
      </c>
      <c r="O60" s="190"/>
      <c r="P60" s="191" t="s">
        <v>346</v>
      </c>
      <c r="Q60" s="49" t="str">
        <f t="array" ref="Q60"> if(iserror(MATCH(V60, 'File Links'!C:C, 0)), "N/A", HYPERLINK(INDEX('File Links'!B:B, MATCH(P60, 'File Links'!C:C, 0))))</f>
        <v>https://drive.google.com/file/d/1OByNKNsjZqSFHFFyt-o1mPqDkVmgruBu/view?usp=drivesdk</v>
      </c>
      <c r="R60" s="55" t="s">
        <v>347</v>
      </c>
      <c r="S60" s="55" t="s">
        <v>348</v>
      </c>
      <c r="T60" s="190"/>
      <c r="U60" s="192"/>
      <c r="V60" s="63" t="str">
        <f> hyperlink(vlookup(lower(S60),'File Links'!E:F, 2, FALSE), SUBSTITUTE(lower(S60), "/", "--") &amp;  ".pdf")</f>
        <v>10.1111--fare.13030.pdf</v>
      </c>
      <c r="W60" s="193" t="s">
        <v>349</v>
      </c>
      <c r="X60" s="51" t="str">
        <f t="array" ref="X60"> if(iserror(MATCH(V60, 'File Links'!C:C, 0)), "N/A", HYPERLINK(INDEX('File Links'!B:B, MATCH(V60, 'File Links'!C:C, 0))))</f>
        <v>https://drive.google.com/file/d/1TGN_TAtoJI3jhMQTEG2wnN59FCyiXC2_/view?usp=drivesdk</v>
      </c>
      <c r="Y60" s="190"/>
      <c r="Z60" s="55" t="s">
        <v>219</v>
      </c>
      <c r="AA60" s="190"/>
      <c r="AB60" s="189" t="s">
        <v>350</v>
      </c>
      <c r="AC60" s="189" t="s">
        <v>423</v>
      </c>
      <c r="AD60" s="189" t="s">
        <v>408</v>
      </c>
      <c r="AE60" s="194">
        <v>1.0</v>
      </c>
      <c r="AF60" s="194">
        <v>1950.0</v>
      </c>
      <c r="AG60" s="190"/>
      <c r="AH60" s="191" t="s">
        <v>353</v>
      </c>
      <c r="AI60" s="55" t="s">
        <v>300</v>
      </c>
      <c r="AJ60" s="194">
        <v>0.05</v>
      </c>
      <c r="AK60" s="195" t="s">
        <v>328</v>
      </c>
      <c r="AL60" s="55" t="s">
        <v>179</v>
      </c>
      <c r="AM60" s="190"/>
      <c r="AN60" s="55" t="s">
        <v>131</v>
      </c>
      <c r="AO60" s="194">
        <v>1079.0</v>
      </c>
      <c r="AP60" s="190"/>
      <c r="AQ60" s="55" t="s">
        <v>354</v>
      </c>
      <c r="AR60" s="55" t="s">
        <v>417</v>
      </c>
      <c r="AS60" s="194">
        <v>0.05</v>
      </c>
      <c r="AT60" s="195" t="s">
        <v>328</v>
      </c>
      <c r="AU60" s="195" t="s">
        <v>179</v>
      </c>
      <c r="AV60" s="187"/>
      <c r="AW60" s="187" t="s">
        <v>131</v>
      </c>
      <c r="AX60" s="187" t="s">
        <v>144</v>
      </c>
      <c r="AY60" s="190"/>
      <c r="AZ60" s="196" t="s">
        <v>137</v>
      </c>
      <c r="BA60" s="186"/>
      <c r="BB60" s="186"/>
      <c r="BC60" s="186"/>
      <c r="BD60" s="186"/>
      <c r="BE60" s="186"/>
      <c r="BF60" s="186"/>
      <c r="BG60" s="186"/>
      <c r="BH60" s="186"/>
      <c r="BI60" s="186"/>
      <c r="BJ60" s="186"/>
      <c r="BK60" s="186"/>
      <c r="BL60" s="186"/>
      <c r="BM60" s="186"/>
      <c r="BN60" s="186"/>
      <c r="BO60" s="186"/>
      <c r="BP60" s="186"/>
      <c r="BQ60" s="186"/>
      <c r="BR60" s="186"/>
      <c r="BS60" s="186"/>
      <c r="BT60" s="186"/>
      <c r="BU60" s="186"/>
      <c r="BV60" s="186"/>
      <c r="BW60" s="186"/>
      <c r="BX60" s="186"/>
      <c r="BY60" s="186"/>
      <c r="BZ60" s="186"/>
      <c r="CA60" s="186"/>
      <c r="CB60" s="186"/>
      <c r="CC60" s="186"/>
      <c r="CD60" s="186"/>
      <c r="CE60" s="186"/>
      <c r="CF60" s="186"/>
      <c r="CG60" s="186"/>
      <c r="CH60" s="186"/>
      <c r="CI60" s="186"/>
      <c r="CJ60" s="186"/>
      <c r="CK60" s="186"/>
      <c r="CL60" s="186"/>
      <c r="CM60" s="186"/>
      <c r="CN60" s="186"/>
      <c r="CO60" s="186"/>
      <c r="CP60" s="186"/>
      <c r="CQ60" s="186"/>
      <c r="CR60" s="186"/>
      <c r="CS60" s="186"/>
      <c r="CT60" s="186"/>
      <c r="CU60" s="186"/>
      <c r="CV60" s="186"/>
      <c r="CW60" s="186"/>
      <c r="CX60" s="186"/>
      <c r="CY60" s="186"/>
      <c r="CZ60" s="186"/>
      <c r="DA60" s="186"/>
      <c r="DB60" s="186"/>
      <c r="DC60" s="186"/>
      <c r="DD60" s="186"/>
      <c r="DE60" s="186"/>
      <c r="DF60" s="186"/>
      <c r="DG60" s="186"/>
      <c r="DH60" s="186"/>
    </row>
    <row r="61" ht="20.25" customHeight="1">
      <c r="A61" s="41">
        <v>61.0</v>
      </c>
      <c r="B61" s="196" t="s">
        <v>145</v>
      </c>
      <c r="C61" s="196" t="s">
        <v>108</v>
      </c>
      <c r="D61" s="196" t="s">
        <v>214</v>
      </c>
      <c r="E61" s="197"/>
      <c r="F61" s="198" t="s">
        <v>340</v>
      </c>
      <c r="G61" s="199" t="s">
        <v>424</v>
      </c>
      <c r="H61" s="198" t="s">
        <v>214</v>
      </c>
      <c r="I61" s="200">
        <v>45686.0</v>
      </c>
      <c r="J61" s="167">
        <v>45692.0</v>
      </c>
      <c r="K61" s="201"/>
      <c r="L61" s="202" t="s">
        <v>425</v>
      </c>
      <c r="M61" s="198" t="s">
        <v>344</v>
      </c>
      <c r="N61" s="198" t="s">
        <v>345</v>
      </c>
      <c r="O61" s="201"/>
      <c r="P61" s="198" t="s">
        <v>346</v>
      </c>
      <c r="Q61" s="49" t="str">
        <f t="array" ref="Q61"> if(iserror(MATCH(V61, 'File Links'!C:C, 0)), "N/A", HYPERLINK(INDEX('File Links'!B:B, MATCH(P61, 'File Links'!C:C, 0))))</f>
        <v>https://drive.google.com/file/d/1OByNKNsjZqSFHFFyt-o1mPqDkVmgruBu/view?usp=drivesdk</v>
      </c>
      <c r="R61" s="198" t="s">
        <v>347</v>
      </c>
      <c r="S61" s="55" t="s">
        <v>348</v>
      </c>
      <c r="T61" s="201"/>
      <c r="U61" s="201"/>
      <c r="V61" s="63" t="str">
        <f> hyperlink(vlookup(lower(S61),'File Links'!E:F, 2, FALSE), SUBSTITUTE(lower(S61), "/", "--") &amp;  ".pdf")</f>
        <v>10.1111--fare.13030.pdf</v>
      </c>
      <c r="W61" s="193" t="s">
        <v>349</v>
      </c>
      <c r="X61" s="51" t="str">
        <f t="array" ref="X61"> if(iserror(MATCH(V61, 'File Links'!C:C, 0)), "N/A", HYPERLINK(INDEX('File Links'!B:B, MATCH(V61, 'File Links'!C:C, 0))))</f>
        <v>https://drive.google.com/file/d/1TGN_TAtoJI3jhMQTEG2wnN59FCyiXC2_/view?usp=drivesdk</v>
      </c>
      <c r="Y61" s="201"/>
      <c r="Z61" s="198" t="s">
        <v>219</v>
      </c>
      <c r="AA61" s="198" t="s">
        <v>426</v>
      </c>
      <c r="AB61" s="189" t="s">
        <v>350</v>
      </c>
      <c r="AC61" s="201" t="s">
        <v>427</v>
      </c>
      <c r="AD61" s="203" t="s">
        <v>428</v>
      </c>
      <c r="AE61" s="204">
        <v>13.0</v>
      </c>
      <c r="AF61" s="205">
        <v>1950.0</v>
      </c>
      <c r="AG61" s="204">
        <v>0.23</v>
      </c>
      <c r="AH61" s="198" t="s">
        <v>354</v>
      </c>
      <c r="AI61" s="203" t="s">
        <v>429</v>
      </c>
      <c r="AJ61" s="206">
        <v>0.001</v>
      </c>
      <c r="AK61" s="199" t="s">
        <v>128</v>
      </c>
      <c r="AL61" s="55" t="s">
        <v>179</v>
      </c>
      <c r="AM61" s="198" t="s">
        <v>130</v>
      </c>
      <c r="AN61" s="199" t="s">
        <v>131</v>
      </c>
      <c r="AO61" s="205">
        <v>1079.0</v>
      </c>
      <c r="AP61" s="203">
        <v>0.16</v>
      </c>
      <c r="AQ61" s="198" t="s">
        <v>354</v>
      </c>
      <c r="AR61" s="203" t="s">
        <v>430</v>
      </c>
      <c r="AS61" s="205">
        <v>0.001</v>
      </c>
      <c r="AT61" s="198" t="s">
        <v>128</v>
      </c>
      <c r="AU61" s="195" t="s">
        <v>179</v>
      </c>
      <c r="AV61" s="198" t="s">
        <v>134</v>
      </c>
      <c r="AW61" s="198" t="s">
        <v>131</v>
      </c>
      <c r="AX61" s="198" t="s">
        <v>431</v>
      </c>
      <c r="AY61" s="197"/>
      <c r="AZ61" s="196" t="s">
        <v>137</v>
      </c>
      <c r="BA61" s="197"/>
      <c r="BB61" s="197"/>
      <c r="BC61" s="197"/>
      <c r="BD61" s="197"/>
      <c r="BE61" s="197"/>
      <c r="BF61" s="197"/>
      <c r="BG61" s="197"/>
      <c r="BH61" s="197"/>
      <c r="BI61" s="197"/>
      <c r="BJ61" s="197"/>
      <c r="BK61" s="197"/>
      <c r="BL61" s="197"/>
      <c r="BM61" s="197"/>
      <c r="BN61" s="197"/>
      <c r="BO61" s="197"/>
      <c r="BP61" s="197"/>
      <c r="BQ61" s="197"/>
      <c r="BR61" s="197"/>
      <c r="BS61" s="197"/>
      <c r="BT61" s="197"/>
      <c r="BU61" s="197"/>
      <c r="BV61" s="197"/>
      <c r="BW61" s="197"/>
      <c r="BX61" s="197"/>
      <c r="BY61" s="197"/>
      <c r="BZ61" s="197"/>
      <c r="CA61" s="197"/>
      <c r="CB61" s="197"/>
      <c r="CC61" s="197"/>
      <c r="CD61" s="197"/>
      <c r="CE61" s="197"/>
      <c r="CF61" s="197"/>
      <c r="CG61" s="197"/>
      <c r="CH61" s="197"/>
      <c r="CI61" s="197"/>
      <c r="CJ61" s="197"/>
      <c r="CK61" s="197"/>
      <c r="CL61" s="197"/>
      <c r="CM61" s="197"/>
      <c r="CN61" s="197"/>
      <c r="CO61" s="197"/>
      <c r="CP61" s="197"/>
      <c r="CQ61" s="197"/>
      <c r="CR61" s="197"/>
      <c r="CS61" s="197"/>
      <c r="CT61" s="197"/>
      <c r="CU61" s="197"/>
      <c r="CV61" s="197"/>
      <c r="CW61" s="197"/>
      <c r="CX61" s="197"/>
      <c r="CY61" s="197"/>
      <c r="CZ61" s="197"/>
      <c r="DA61" s="197"/>
      <c r="DB61" s="197"/>
      <c r="DC61" s="197"/>
      <c r="DD61" s="197"/>
      <c r="DE61" s="197"/>
      <c r="DF61" s="197"/>
      <c r="DG61" s="197"/>
      <c r="DH61" s="197"/>
    </row>
    <row r="62" ht="20.25" customHeight="1">
      <c r="A62" s="41">
        <v>62.0</v>
      </c>
      <c r="B62" s="196" t="s">
        <v>145</v>
      </c>
      <c r="C62" s="196" t="s">
        <v>108</v>
      </c>
      <c r="D62" s="196" t="s">
        <v>214</v>
      </c>
      <c r="E62" s="197"/>
      <c r="F62" s="198" t="s">
        <v>340</v>
      </c>
      <c r="G62" s="199" t="s">
        <v>424</v>
      </c>
      <c r="H62" s="198" t="s">
        <v>214</v>
      </c>
      <c r="I62" s="200">
        <v>45686.0</v>
      </c>
      <c r="J62" s="167">
        <v>45692.0</v>
      </c>
      <c r="K62" s="201"/>
      <c r="L62" s="202" t="s">
        <v>425</v>
      </c>
      <c r="M62" s="198" t="s">
        <v>344</v>
      </c>
      <c r="N62" s="198" t="s">
        <v>345</v>
      </c>
      <c r="O62" s="201"/>
      <c r="P62" s="198" t="s">
        <v>346</v>
      </c>
      <c r="Q62" s="49" t="str">
        <f t="array" ref="Q62"> if(iserror(MATCH(V62, 'File Links'!C:C, 0)), "N/A", HYPERLINK(INDEX('File Links'!B:B, MATCH(P62, 'File Links'!C:C, 0))))</f>
        <v>https://drive.google.com/file/d/1OByNKNsjZqSFHFFyt-o1mPqDkVmgruBu/view?usp=drivesdk</v>
      </c>
      <c r="R62" s="198" t="s">
        <v>347</v>
      </c>
      <c r="S62" s="55" t="s">
        <v>348</v>
      </c>
      <c r="T62" s="201"/>
      <c r="U62" s="201"/>
      <c r="V62" s="63" t="str">
        <f> hyperlink(vlookup(lower(S62),'File Links'!E:F, 2, FALSE), SUBSTITUTE(lower(S62), "/", "--") &amp;  ".pdf")</f>
        <v>10.1111--fare.13030.pdf</v>
      </c>
      <c r="W62" s="193" t="s">
        <v>349</v>
      </c>
      <c r="X62" s="51" t="str">
        <f t="array" ref="X62"> if(iserror(MATCH(V62, 'File Links'!C:C, 0)), "N/A", HYPERLINK(INDEX('File Links'!B:B, MATCH(V62, 'File Links'!C:C, 0))))</f>
        <v>https://drive.google.com/file/d/1TGN_TAtoJI3jhMQTEG2wnN59FCyiXC2_/view?usp=drivesdk</v>
      </c>
      <c r="Y62" s="201"/>
      <c r="Z62" s="198" t="s">
        <v>219</v>
      </c>
      <c r="AA62" s="198" t="s">
        <v>426</v>
      </c>
      <c r="AB62" s="189" t="s">
        <v>350</v>
      </c>
      <c r="AC62" s="201" t="s">
        <v>427</v>
      </c>
      <c r="AD62" s="203" t="s">
        <v>428</v>
      </c>
      <c r="AE62" s="204">
        <v>13.0</v>
      </c>
      <c r="AF62" s="205">
        <v>1950.0</v>
      </c>
      <c r="AG62" s="204">
        <v>0.23</v>
      </c>
      <c r="AH62" s="198" t="s">
        <v>354</v>
      </c>
      <c r="AI62" s="203" t="s">
        <v>429</v>
      </c>
      <c r="AJ62" s="206">
        <v>0.001</v>
      </c>
      <c r="AK62" s="199" t="s">
        <v>128</v>
      </c>
      <c r="AL62" s="55" t="s">
        <v>179</v>
      </c>
      <c r="AM62" s="198" t="s">
        <v>130</v>
      </c>
      <c r="AN62" s="199" t="s">
        <v>131</v>
      </c>
      <c r="AO62" s="205">
        <v>1079.0</v>
      </c>
      <c r="AP62" s="203">
        <v>0.1</v>
      </c>
      <c r="AQ62" s="198" t="s">
        <v>354</v>
      </c>
      <c r="AR62" s="203" t="s">
        <v>432</v>
      </c>
      <c r="AS62" s="204">
        <v>0.05</v>
      </c>
      <c r="AT62" s="198" t="s">
        <v>128</v>
      </c>
      <c r="AU62" s="195" t="s">
        <v>179</v>
      </c>
      <c r="AV62" s="198" t="s">
        <v>134</v>
      </c>
      <c r="AW62" s="198" t="s">
        <v>131</v>
      </c>
      <c r="AX62" s="198" t="s">
        <v>431</v>
      </c>
      <c r="AY62" s="197"/>
      <c r="AZ62" s="196" t="s">
        <v>137</v>
      </c>
      <c r="BA62" s="197"/>
      <c r="BB62" s="197"/>
      <c r="BC62" s="197"/>
      <c r="BD62" s="197"/>
      <c r="BE62" s="197"/>
      <c r="BF62" s="197"/>
      <c r="BG62" s="197"/>
      <c r="BH62" s="197"/>
      <c r="BI62" s="197"/>
      <c r="BJ62" s="197"/>
      <c r="BK62" s="197"/>
      <c r="BL62" s="197"/>
      <c r="BM62" s="197"/>
      <c r="BN62" s="197"/>
      <c r="BO62" s="197"/>
      <c r="BP62" s="197"/>
      <c r="BQ62" s="197"/>
      <c r="BR62" s="197"/>
      <c r="BS62" s="197"/>
      <c r="BT62" s="197"/>
      <c r="BU62" s="197"/>
      <c r="BV62" s="197"/>
      <c r="BW62" s="197"/>
      <c r="BX62" s="197"/>
      <c r="BY62" s="197"/>
      <c r="BZ62" s="197"/>
      <c r="CA62" s="197"/>
      <c r="CB62" s="197"/>
      <c r="CC62" s="197"/>
      <c r="CD62" s="197"/>
      <c r="CE62" s="197"/>
      <c r="CF62" s="197"/>
      <c r="CG62" s="197"/>
      <c r="CH62" s="197"/>
      <c r="CI62" s="197"/>
      <c r="CJ62" s="197"/>
      <c r="CK62" s="197"/>
      <c r="CL62" s="197"/>
      <c r="CM62" s="197"/>
      <c r="CN62" s="197"/>
      <c r="CO62" s="197"/>
      <c r="CP62" s="197"/>
      <c r="CQ62" s="197"/>
      <c r="CR62" s="197"/>
      <c r="CS62" s="197"/>
      <c r="CT62" s="197"/>
      <c r="CU62" s="197"/>
      <c r="CV62" s="197"/>
      <c r="CW62" s="197"/>
      <c r="CX62" s="197"/>
      <c r="CY62" s="197"/>
      <c r="CZ62" s="197"/>
      <c r="DA62" s="197"/>
      <c r="DB62" s="197"/>
      <c r="DC62" s="197"/>
      <c r="DD62" s="197"/>
      <c r="DE62" s="197"/>
      <c r="DF62" s="197"/>
      <c r="DG62" s="197"/>
      <c r="DH62" s="197"/>
    </row>
    <row r="63" ht="20.25" customHeight="1">
      <c r="A63" s="41">
        <v>63.0</v>
      </c>
      <c r="B63" s="196" t="s">
        <v>145</v>
      </c>
      <c r="C63" s="196" t="s">
        <v>108</v>
      </c>
      <c r="D63" s="196" t="s">
        <v>214</v>
      </c>
      <c r="E63" s="197"/>
      <c r="F63" s="198" t="s">
        <v>340</v>
      </c>
      <c r="G63" s="199" t="s">
        <v>356</v>
      </c>
      <c r="H63" s="198" t="s">
        <v>214</v>
      </c>
      <c r="I63" s="200">
        <v>45686.0</v>
      </c>
      <c r="J63" s="167">
        <v>45692.0</v>
      </c>
      <c r="K63" s="201"/>
      <c r="L63" s="202" t="s">
        <v>425</v>
      </c>
      <c r="M63" s="198" t="s">
        <v>344</v>
      </c>
      <c r="N63" s="198" t="s">
        <v>345</v>
      </c>
      <c r="O63" s="201"/>
      <c r="P63" s="198" t="s">
        <v>346</v>
      </c>
      <c r="Q63" s="49" t="str">
        <f t="array" ref="Q63"> if(iserror(MATCH(V63, 'File Links'!C:C, 0)), "N/A", HYPERLINK(INDEX('File Links'!B:B, MATCH(P63, 'File Links'!C:C, 0))))</f>
        <v>https://drive.google.com/file/d/1OByNKNsjZqSFHFFyt-o1mPqDkVmgruBu/view?usp=drivesdk</v>
      </c>
      <c r="R63" s="198" t="s">
        <v>347</v>
      </c>
      <c r="S63" s="55" t="s">
        <v>348</v>
      </c>
      <c r="T63" s="201"/>
      <c r="U63" s="201"/>
      <c r="V63" s="63" t="str">
        <f> hyperlink(vlookup(lower(S63),'File Links'!E:F, 2, FALSE), SUBSTITUTE(lower(S63), "/", "--") &amp;  ".pdf")</f>
        <v>10.1111--fare.13030.pdf</v>
      </c>
      <c r="W63" s="193" t="s">
        <v>349</v>
      </c>
      <c r="X63" s="51" t="str">
        <f t="array" ref="X63"> if(iserror(MATCH(V63, 'File Links'!C:C, 0)), "N/A", HYPERLINK(INDEX('File Links'!B:B, MATCH(V63, 'File Links'!C:C, 0))))</f>
        <v>https://drive.google.com/file/d/1TGN_TAtoJI3jhMQTEG2wnN59FCyiXC2_/view?usp=drivesdk</v>
      </c>
      <c r="Y63" s="201"/>
      <c r="Z63" s="198" t="s">
        <v>219</v>
      </c>
      <c r="AA63" s="198" t="s">
        <v>426</v>
      </c>
      <c r="AB63" s="189" t="s">
        <v>350</v>
      </c>
      <c r="AC63" s="198" t="s">
        <v>433</v>
      </c>
      <c r="AD63" s="203" t="s">
        <v>434</v>
      </c>
      <c r="AE63" s="204">
        <v>13.0</v>
      </c>
      <c r="AF63" s="205">
        <v>1950.0</v>
      </c>
      <c r="AG63" s="204">
        <v>0.07</v>
      </c>
      <c r="AH63" s="198" t="s">
        <v>354</v>
      </c>
      <c r="AI63" s="203" t="s">
        <v>429</v>
      </c>
      <c r="AJ63" s="204">
        <v>0.05</v>
      </c>
      <c r="AK63" s="199" t="s">
        <v>128</v>
      </c>
      <c r="AL63" s="55" t="s">
        <v>179</v>
      </c>
      <c r="AM63" s="198" t="s">
        <v>130</v>
      </c>
      <c r="AN63" s="199" t="s">
        <v>131</v>
      </c>
      <c r="AO63" s="205">
        <v>1079.0</v>
      </c>
      <c r="AP63" s="203">
        <v>-0.42</v>
      </c>
      <c r="AQ63" s="198" t="s">
        <v>354</v>
      </c>
      <c r="AR63" s="203" t="s">
        <v>430</v>
      </c>
      <c r="AS63" s="205">
        <v>0.001</v>
      </c>
      <c r="AT63" s="198" t="s">
        <v>128</v>
      </c>
      <c r="AU63" s="195" t="s">
        <v>179</v>
      </c>
      <c r="AV63" s="198" t="s">
        <v>134</v>
      </c>
      <c r="AW63" s="198" t="s">
        <v>131</v>
      </c>
      <c r="AX63" s="198" t="s">
        <v>431</v>
      </c>
      <c r="AY63" s="197"/>
      <c r="AZ63" s="196" t="s">
        <v>137</v>
      </c>
      <c r="BA63" s="197"/>
      <c r="BB63" s="197"/>
      <c r="BC63" s="197"/>
      <c r="BD63" s="197"/>
      <c r="BE63" s="197"/>
      <c r="BF63" s="197"/>
      <c r="BG63" s="197"/>
      <c r="BH63" s="197"/>
      <c r="BI63" s="197"/>
      <c r="BJ63" s="197"/>
      <c r="BK63" s="197"/>
      <c r="BL63" s="197"/>
      <c r="BM63" s="197"/>
      <c r="BN63" s="197"/>
      <c r="BO63" s="197"/>
      <c r="BP63" s="197"/>
      <c r="BQ63" s="197"/>
      <c r="BR63" s="197"/>
      <c r="BS63" s="197"/>
      <c r="BT63" s="197"/>
      <c r="BU63" s="197"/>
      <c r="BV63" s="197"/>
      <c r="BW63" s="197"/>
      <c r="BX63" s="197"/>
      <c r="BY63" s="197"/>
      <c r="BZ63" s="197"/>
      <c r="CA63" s="197"/>
      <c r="CB63" s="197"/>
      <c r="CC63" s="197"/>
      <c r="CD63" s="197"/>
      <c r="CE63" s="197"/>
      <c r="CF63" s="197"/>
      <c r="CG63" s="197"/>
      <c r="CH63" s="197"/>
      <c r="CI63" s="197"/>
      <c r="CJ63" s="197"/>
      <c r="CK63" s="197"/>
      <c r="CL63" s="197"/>
      <c r="CM63" s="197"/>
      <c r="CN63" s="197"/>
      <c r="CO63" s="197"/>
      <c r="CP63" s="197"/>
      <c r="CQ63" s="197"/>
      <c r="CR63" s="197"/>
      <c r="CS63" s="197"/>
      <c r="CT63" s="197"/>
      <c r="CU63" s="197"/>
      <c r="CV63" s="197"/>
      <c r="CW63" s="197"/>
      <c r="CX63" s="197"/>
      <c r="CY63" s="197"/>
      <c r="CZ63" s="197"/>
      <c r="DA63" s="197"/>
      <c r="DB63" s="197"/>
      <c r="DC63" s="197"/>
      <c r="DD63" s="197"/>
      <c r="DE63" s="197"/>
      <c r="DF63" s="197"/>
      <c r="DG63" s="197"/>
      <c r="DH63" s="197"/>
    </row>
    <row r="64" ht="20.25" customHeight="1">
      <c r="A64" s="41">
        <v>64.0</v>
      </c>
      <c r="B64" s="196" t="s">
        <v>145</v>
      </c>
      <c r="C64" s="196" t="s">
        <v>108</v>
      </c>
      <c r="D64" s="196" t="s">
        <v>214</v>
      </c>
      <c r="E64" s="197"/>
      <c r="F64" s="198" t="s">
        <v>340</v>
      </c>
      <c r="G64" s="199" t="s">
        <v>356</v>
      </c>
      <c r="H64" s="198" t="s">
        <v>214</v>
      </c>
      <c r="I64" s="200">
        <v>45686.0</v>
      </c>
      <c r="J64" s="167">
        <v>45692.0</v>
      </c>
      <c r="K64" s="201"/>
      <c r="L64" s="202" t="s">
        <v>425</v>
      </c>
      <c r="M64" s="198" t="s">
        <v>344</v>
      </c>
      <c r="N64" s="198" t="s">
        <v>345</v>
      </c>
      <c r="O64" s="201"/>
      <c r="P64" s="198" t="s">
        <v>346</v>
      </c>
      <c r="Q64" s="49" t="str">
        <f t="array" ref="Q64"> if(iserror(MATCH(V64, 'File Links'!C:C, 0)), "N/A", HYPERLINK(INDEX('File Links'!B:B, MATCH(P64, 'File Links'!C:C, 0))))</f>
        <v>https://drive.google.com/file/d/1OByNKNsjZqSFHFFyt-o1mPqDkVmgruBu/view?usp=drivesdk</v>
      </c>
      <c r="R64" s="198" t="s">
        <v>347</v>
      </c>
      <c r="S64" s="55" t="s">
        <v>348</v>
      </c>
      <c r="T64" s="201"/>
      <c r="U64" s="201"/>
      <c r="V64" s="63" t="str">
        <f> hyperlink(vlookup(lower(S64),'File Links'!E:F, 2, FALSE), SUBSTITUTE(lower(S64), "/", "--") &amp;  ".pdf")</f>
        <v>10.1111--fare.13030.pdf</v>
      </c>
      <c r="W64" s="193" t="s">
        <v>349</v>
      </c>
      <c r="X64" s="51" t="str">
        <f t="array" ref="X64"> if(iserror(MATCH(V64, 'File Links'!C:C, 0)), "N/A", HYPERLINK(INDEX('File Links'!B:B, MATCH(V64, 'File Links'!C:C, 0))))</f>
        <v>https://drive.google.com/file/d/1TGN_TAtoJI3jhMQTEG2wnN59FCyiXC2_/view?usp=drivesdk</v>
      </c>
      <c r="Y64" s="201"/>
      <c r="Z64" s="198" t="s">
        <v>219</v>
      </c>
      <c r="AA64" s="198" t="s">
        <v>426</v>
      </c>
      <c r="AB64" s="189" t="s">
        <v>350</v>
      </c>
      <c r="AC64" s="198" t="s">
        <v>433</v>
      </c>
      <c r="AD64" s="203" t="s">
        <v>434</v>
      </c>
      <c r="AE64" s="204">
        <v>13.0</v>
      </c>
      <c r="AF64" s="205">
        <v>1950.0</v>
      </c>
      <c r="AG64" s="204">
        <v>0.07</v>
      </c>
      <c r="AH64" s="198" t="s">
        <v>354</v>
      </c>
      <c r="AI64" s="203" t="s">
        <v>429</v>
      </c>
      <c r="AJ64" s="204">
        <v>0.05</v>
      </c>
      <c r="AK64" s="199" t="s">
        <v>128</v>
      </c>
      <c r="AL64" s="55" t="s">
        <v>179</v>
      </c>
      <c r="AM64" s="198" t="s">
        <v>130</v>
      </c>
      <c r="AN64" s="199" t="s">
        <v>131</v>
      </c>
      <c r="AO64" s="205">
        <v>1079.0</v>
      </c>
      <c r="AP64" s="203">
        <v>-0.41</v>
      </c>
      <c r="AQ64" s="198" t="s">
        <v>354</v>
      </c>
      <c r="AR64" s="203" t="s">
        <v>432</v>
      </c>
      <c r="AS64" s="205">
        <v>0.001</v>
      </c>
      <c r="AT64" s="198" t="s">
        <v>128</v>
      </c>
      <c r="AU64" s="195" t="s">
        <v>179</v>
      </c>
      <c r="AV64" s="198" t="s">
        <v>134</v>
      </c>
      <c r="AW64" s="198" t="s">
        <v>131</v>
      </c>
      <c r="AX64" s="198" t="s">
        <v>431</v>
      </c>
      <c r="AY64" s="197"/>
      <c r="AZ64" s="196" t="s">
        <v>137</v>
      </c>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c r="BY64" s="197"/>
      <c r="BZ64" s="197"/>
      <c r="CA64" s="197"/>
      <c r="CB64" s="197"/>
      <c r="CC64" s="197"/>
      <c r="CD64" s="197"/>
      <c r="CE64" s="197"/>
      <c r="CF64" s="197"/>
      <c r="CG64" s="197"/>
      <c r="CH64" s="197"/>
      <c r="CI64" s="197"/>
      <c r="CJ64" s="197"/>
      <c r="CK64" s="197"/>
      <c r="CL64" s="197"/>
      <c r="CM64" s="197"/>
      <c r="CN64" s="197"/>
      <c r="CO64" s="197"/>
      <c r="CP64" s="197"/>
      <c r="CQ64" s="197"/>
      <c r="CR64" s="197"/>
      <c r="CS64" s="197"/>
      <c r="CT64" s="197"/>
      <c r="CU64" s="197"/>
      <c r="CV64" s="197"/>
      <c r="CW64" s="197"/>
      <c r="CX64" s="197"/>
      <c r="CY64" s="197"/>
      <c r="CZ64" s="197"/>
      <c r="DA64" s="197"/>
      <c r="DB64" s="197"/>
      <c r="DC64" s="197"/>
      <c r="DD64" s="197"/>
      <c r="DE64" s="197"/>
      <c r="DF64" s="197"/>
      <c r="DG64" s="197"/>
      <c r="DH64" s="197"/>
    </row>
    <row r="65" ht="20.25" customHeight="1">
      <c r="A65" s="41">
        <v>65.0</v>
      </c>
      <c r="B65" s="106" t="s">
        <v>107</v>
      </c>
      <c r="C65" s="106" t="s">
        <v>108</v>
      </c>
      <c r="D65" s="146" t="s">
        <v>435</v>
      </c>
      <c r="E65" s="69"/>
      <c r="F65" s="122" t="s">
        <v>436</v>
      </c>
      <c r="G65" s="207" t="s">
        <v>437</v>
      </c>
      <c r="H65" s="207" t="s">
        <v>438</v>
      </c>
      <c r="I65" s="208">
        <v>45636.0</v>
      </c>
      <c r="J65" s="111"/>
      <c r="K65" s="207" t="s">
        <v>439</v>
      </c>
      <c r="L65" s="209" t="s">
        <v>440</v>
      </c>
      <c r="M65" s="210" t="s">
        <v>441</v>
      </c>
      <c r="N65" s="210" t="s">
        <v>442</v>
      </c>
      <c r="O65" s="111"/>
      <c r="P65" s="211" t="s">
        <v>443</v>
      </c>
      <c r="Q65" s="49" t="str">
        <f t="array" ref="Q65"> if(iserror(MATCH(V65, 'File Links'!C:C, 0)), "N/A", HYPERLINK(INDEX('File Links'!B:B, MATCH(P65, 'File Links'!C:C, 0))))</f>
        <v>https://drive.google.com/file/d/1DO937F2xhbz54X6xu8qtsy63K6O9mEYa/view?usp=drivesdk</v>
      </c>
      <c r="R65" s="210" t="s">
        <v>444</v>
      </c>
      <c r="S65" s="212" t="s">
        <v>445</v>
      </c>
      <c r="T65" s="111"/>
      <c r="U65" s="117"/>
      <c r="V65" s="63" t="str">
        <f> hyperlink(vlookup(lower(S65),'File Links'!E:F, 2, FALSE), SUBSTITUTE(lower(S65), "/", "--") &amp;  ".pdf")</f>
        <v>10.26443--msurj.v19i1.231.pdf</v>
      </c>
      <c r="W65" s="207" t="s">
        <v>157</v>
      </c>
      <c r="X65" s="51" t="str">
        <f t="array" ref="X65"> if(iserror(MATCH(V65, 'File Links'!C:C, 0)), "N/A", HYPERLINK(INDEX('File Links'!B:B, MATCH(V65, 'File Links'!C:C, 0))))</f>
        <v>https://drive.google.com/file/d/12ZFslJnsSmpbIBYf9YKunwP3Ofv14HZ-/view?usp=drivesdk</v>
      </c>
      <c r="Y65" s="111"/>
      <c r="Z65" s="210" t="s">
        <v>219</v>
      </c>
      <c r="AA65" s="111"/>
      <c r="AB65" s="207" t="s">
        <v>446</v>
      </c>
      <c r="AC65" s="207" t="s">
        <v>447</v>
      </c>
      <c r="AD65" s="213" t="s">
        <v>448</v>
      </c>
      <c r="AE65" s="214">
        <v>263.0</v>
      </c>
      <c r="AF65" s="214">
        <v>86.0</v>
      </c>
      <c r="AG65" s="207" t="s">
        <v>449</v>
      </c>
      <c r="AH65" s="213" t="s">
        <v>127</v>
      </c>
      <c r="AI65" s="207" t="s">
        <v>450</v>
      </c>
      <c r="AJ65" s="214">
        <v>0.02</v>
      </c>
      <c r="AK65" s="215" t="s">
        <v>165</v>
      </c>
      <c r="AL65" s="207" t="s">
        <v>179</v>
      </c>
      <c r="AM65" s="207" t="s">
        <v>130</v>
      </c>
      <c r="AN65" s="216" t="s">
        <v>131</v>
      </c>
      <c r="AO65" s="214">
        <v>71.0</v>
      </c>
      <c r="AP65" s="214" t="s">
        <v>451</v>
      </c>
      <c r="AQ65" s="207" t="s">
        <v>127</v>
      </c>
      <c r="AR65" s="111" t="s">
        <v>452</v>
      </c>
      <c r="AS65" s="214">
        <v>0.438</v>
      </c>
      <c r="AT65" s="215" t="s">
        <v>165</v>
      </c>
      <c r="AU65" s="215" t="s">
        <v>179</v>
      </c>
      <c r="AV65" s="215" t="s">
        <v>130</v>
      </c>
      <c r="AW65" s="108"/>
      <c r="AX65" s="215" t="s">
        <v>136</v>
      </c>
      <c r="AY65" s="126" t="s">
        <v>440</v>
      </c>
      <c r="AZ65" s="59" t="s">
        <v>137</v>
      </c>
      <c r="BA65" s="217"/>
      <c r="BB65" s="217"/>
      <c r="BC65" s="217"/>
      <c r="BD65" s="217"/>
      <c r="BE65" s="217"/>
      <c r="BF65" s="217"/>
      <c r="BG65" s="217"/>
      <c r="BH65" s="217"/>
      <c r="BI65" s="217"/>
      <c r="BJ65" s="217"/>
      <c r="BK65" s="217"/>
      <c r="BL65" s="217"/>
      <c r="BM65" s="217"/>
      <c r="BN65" s="217"/>
      <c r="BO65" s="217"/>
      <c r="BP65" s="217"/>
      <c r="BQ65" s="217"/>
      <c r="BR65" s="217"/>
      <c r="BS65" s="217"/>
      <c r="BT65" s="217"/>
      <c r="BU65" s="217"/>
      <c r="BV65" s="217"/>
      <c r="BW65" s="217"/>
      <c r="BX65" s="217"/>
      <c r="BY65" s="217"/>
      <c r="BZ65" s="217"/>
      <c r="CA65" s="217"/>
      <c r="CB65" s="217"/>
      <c r="CC65" s="217"/>
      <c r="CD65" s="217"/>
      <c r="CE65" s="217"/>
      <c r="CF65" s="217"/>
      <c r="CG65" s="217"/>
      <c r="CH65" s="217"/>
      <c r="CI65" s="217"/>
      <c r="CJ65" s="217"/>
      <c r="CK65" s="217"/>
      <c r="CL65" s="217"/>
      <c r="CM65" s="217"/>
      <c r="CN65" s="217"/>
      <c r="CO65" s="217"/>
      <c r="CP65" s="217"/>
      <c r="CQ65" s="217"/>
      <c r="CR65" s="217"/>
      <c r="CS65" s="217"/>
      <c r="CT65" s="217"/>
      <c r="CU65" s="217"/>
      <c r="CV65" s="217"/>
      <c r="CW65" s="217"/>
      <c r="CX65" s="217"/>
      <c r="CY65" s="217"/>
      <c r="CZ65" s="217"/>
      <c r="DA65" s="217"/>
      <c r="DB65" s="217"/>
      <c r="DC65" s="217"/>
      <c r="DD65" s="217"/>
      <c r="DE65" s="217"/>
      <c r="DF65" s="217"/>
      <c r="DG65" s="217"/>
      <c r="DH65" s="217"/>
    </row>
    <row r="66" ht="20.25" customHeight="1">
      <c r="A66" s="41">
        <v>66.0</v>
      </c>
      <c r="B66" s="121" t="s">
        <v>145</v>
      </c>
      <c r="C66" s="121" t="s">
        <v>108</v>
      </c>
      <c r="D66" s="121" t="s">
        <v>339</v>
      </c>
      <c r="E66" s="104"/>
      <c r="F66" s="122" t="s">
        <v>436</v>
      </c>
      <c r="G66" s="123" t="s">
        <v>437</v>
      </c>
      <c r="H66" s="123" t="s">
        <v>342</v>
      </c>
      <c r="I66" s="218">
        <v>45639.0</v>
      </c>
      <c r="J66" s="218">
        <v>45663.0</v>
      </c>
      <c r="K66" s="219" t="s">
        <v>453</v>
      </c>
      <c r="L66" s="209" t="s">
        <v>454</v>
      </c>
      <c r="M66" s="210" t="s">
        <v>441</v>
      </c>
      <c r="N66" s="210" t="s">
        <v>442</v>
      </c>
      <c r="O66" s="127">
        <v>3.0</v>
      </c>
      <c r="P66" s="220" t="s">
        <v>443</v>
      </c>
      <c r="Q66" s="49" t="str">
        <f t="array" ref="Q66"> if(iserror(MATCH(V66, 'File Links'!C:C, 0)), "N/A", HYPERLINK(INDEX('File Links'!B:B, MATCH(P66, 'File Links'!C:C, 0))))</f>
        <v>https://drive.google.com/file/d/1DO937F2xhbz54X6xu8qtsy63K6O9mEYa/view?usp=drivesdk</v>
      </c>
      <c r="R66" s="210" t="s">
        <v>444</v>
      </c>
      <c r="S66" s="212" t="s">
        <v>455</v>
      </c>
      <c r="T66" s="129"/>
      <c r="U66" s="130">
        <v>1.0</v>
      </c>
      <c r="V66" s="63" t="str">
        <f> hyperlink(vlookup(lower(S66),'File Links'!E:F, 2, FALSE), SUBSTITUTE(lower(S66), "/", "--") &amp;  ".pdf")</f>
        <v>10.26443--msurj.v19i1.231.pdf</v>
      </c>
      <c r="W66" s="207" t="s">
        <v>157</v>
      </c>
      <c r="X66" s="51" t="str">
        <f t="array" ref="X66"> if(iserror(MATCH(V66, 'File Links'!C:C, 0)), "N/A", HYPERLINK(INDEX('File Links'!B:B, MATCH(V66, 'File Links'!C:C, 0))))</f>
        <v>https://drive.google.com/file/d/12ZFslJnsSmpbIBYf9YKunwP3Ofv14HZ-/view?usp=drivesdk</v>
      </c>
      <c r="Y66" s="129"/>
      <c r="Z66" s="210" t="s">
        <v>219</v>
      </c>
      <c r="AA66" s="129"/>
      <c r="AB66" s="219" t="s">
        <v>456</v>
      </c>
      <c r="AC66" s="123" t="s">
        <v>457</v>
      </c>
      <c r="AD66" s="213" t="s">
        <v>448</v>
      </c>
      <c r="AE66" s="127">
        <v>263.0</v>
      </c>
      <c r="AF66" s="221">
        <v>85.0</v>
      </c>
      <c r="AG66" s="207" t="s">
        <v>449</v>
      </c>
      <c r="AH66" s="213" t="s">
        <v>127</v>
      </c>
      <c r="AI66" s="207" t="s">
        <v>450</v>
      </c>
      <c r="AJ66" s="222">
        <v>0.02</v>
      </c>
      <c r="AK66" s="137" t="s">
        <v>165</v>
      </c>
      <c r="AL66" s="207" t="s">
        <v>179</v>
      </c>
      <c r="AM66" s="129" t="s">
        <v>130</v>
      </c>
      <c r="AN66" s="216" t="s">
        <v>131</v>
      </c>
      <c r="AO66" s="214">
        <v>71.0</v>
      </c>
      <c r="AP66" s="214" t="s">
        <v>451</v>
      </c>
      <c r="AQ66" s="207" t="s">
        <v>127</v>
      </c>
      <c r="AR66" s="111" t="s">
        <v>452</v>
      </c>
      <c r="AS66" s="214">
        <v>0.438</v>
      </c>
      <c r="AT66" s="137" t="s">
        <v>165</v>
      </c>
      <c r="AU66" s="215" t="s">
        <v>179</v>
      </c>
      <c r="AV66" s="122" t="s">
        <v>130</v>
      </c>
      <c r="AW66" s="216" t="s">
        <v>131</v>
      </c>
      <c r="AX66" s="122" t="s">
        <v>136</v>
      </c>
      <c r="AY66" s="126" t="s">
        <v>458</v>
      </c>
      <c r="AZ66" s="59" t="s">
        <v>137</v>
      </c>
      <c r="BA66" s="217"/>
      <c r="BB66" s="217"/>
      <c r="BC66" s="217"/>
      <c r="BD66" s="217"/>
      <c r="BE66" s="217"/>
      <c r="BF66" s="217"/>
      <c r="BG66" s="217"/>
      <c r="BH66" s="217"/>
      <c r="BI66" s="217"/>
      <c r="BJ66" s="217"/>
      <c r="BK66" s="217"/>
      <c r="BL66" s="217"/>
      <c r="BM66" s="217"/>
      <c r="BN66" s="217"/>
      <c r="BO66" s="217"/>
      <c r="BP66" s="217"/>
      <c r="BQ66" s="217"/>
      <c r="BR66" s="217"/>
      <c r="BS66" s="217"/>
      <c r="BT66" s="217"/>
      <c r="BU66" s="217"/>
      <c r="BV66" s="217"/>
      <c r="BW66" s="217"/>
      <c r="BX66" s="217"/>
      <c r="BY66" s="217"/>
      <c r="BZ66" s="217"/>
      <c r="CA66" s="217"/>
      <c r="CB66" s="217"/>
      <c r="CC66" s="217"/>
      <c r="CD66" s="217"/>
      <c r="CE66" s="217"/>
      <c r="CF66" s="217"/>
      <c r="CG66" s="217"/>
      <c r="CH66" s="217"/>
      <c r="CI66" s="217"/>
      <c r="CJ66" s="217"/>
      <c r="CK66" s="217"/>
      <c r="CL66" s="217"/>
      <c r="CM66" s="217"/>
      <c r="CN66" s="217"/>
      <c r="CO66" s="217"/>
      <c r="CP66" s="217"/>
      <c r="CQ66" s="217"/>
      <c r="CR66" s="217"/>
      <c r="CS66" s="217"/>
      <c r="CT66" s="217"/>
      <c r="CU66" s="217"/>
      <c r="CV66" s="217"/>
      <c r="CW66" s="217"/>
      <c r="CX66" s="217"/>
      <c r="CY66" s="217"/>
      <c r="CZ66" s="217"/>
      <c r="DA66" s="217"/>
      <c r="DB66" s="217"/>
      <c r="DC66" s="217"/>
      <c r="DD66" s="217"/>
      <c r="DE66" s="217"/>
      <c r="DF66" s="217"/>
      <c r="DG66" s="217"/>
      <c r="DH66" s="217"/>
    </row>
    <row r="67" ht="20.25" customHeight="1">
      <c r="A67" s="41">
        <v>67.0</v>
      </c>
      <c r="B67" s="106" t="s">
        <v>107</v>
      </c>
      <c r="C67" s="106" t="s">
        <v>108</v>
      </c>
      <c r="D67" s="146" t="s">
        <v>435</v>
      </c>
      <c r="E67" s="69"/>
      <c r="F67" s="122" t="s">
        <v>436</v>
      </c>
      <c r="G67" s="207" t="s">
        <v>459</v>
      </c>
      <c r="H67" s="207" t="s">
        <v>438</v>
      </c>
      <c r="I67" s="208">
        <v>45636.0</v>
      </c>
      <c r="J67" s="111"/>
      <c r="K67" s="207" t="s">
        <v>439</v>
      </c>
      <c r="L67" s="111"/>
      <c r="M67" s="210" t="s">
        <v>441</v>
      </c>
      <c r="N67" s="210" t="s">
        <v>442</v>
      </c>
      <c r="O67" s="111"/>
      <c r="P67" s="211" t="s">
        <v>443</v>
      </c>
      <c r="Q67" s="49" t="str">
        <f t="array" ref="Q67"> if(iserror(MATCH(V67, 'File Links'!C:C, 0)), "N/A", HYPERLINK(INDEX('File Links'!B:B, MATCH(P67, 'File Links'!C:C, 0))))</f>
        <v>https://drive.google.com/file/d/1DO937F2xhbz54X6xu8qtsy63K6O9mEYa/view?usp=drivesdk</v>
      </c>
      <c r="R67" s="210" t="s">
        <v>444</v>
      </c>
      <c r="S67" s="212" t="s">
        <v>460</v>
      </c>
      <c r="T67" s="111"/>
      <c r="U67" s="117"/>
      <c r="V67" s="63" t="str">
        <f> hyperlink(vlookup(lower(S67),'File Links'!E:F, 2, FALSE), SUBSTITUTE(lower(S67), "/", "--") &amp;  ".pdf")</f>
        <v>10.26443--msurj.v19i1.231.pdf</v>
      </c>
      <c r="W67" s="207" t="s">
        <v>157</v>
      </c>
      <c r="X67" s="51" t="str">
        <f t="array" ref="X67"> if(iserror(MATCH(V67, 'File Links'!C:C, 0)), "N/A", HYPERLINK(INDEX('File Links'!B:B, MATCH(V67, 'File Links'!C:C, 0))))</f>
        <v>https://drive.google.com/file/d/12ZFslJnsSmpbIBYf9YKunwP3Ofv14HZ-/view?usp=drivesdk</v>
      </c>
      <c r="Y67" s="111"/>
      <c r="Z67" s="210" t="s">
        <v>219</v>
      </c>
      <c r="AA67" s="111"/>
      <c r="AB67" s="207" t="s">
        <v>446</v>
      </c>
      <c r="AC67" s="207" t="s">
        <v>447</v>
      </c>
      <c r="AD67" s="207" t="s">
        <v>461</v>
      </c>
      <c r="AE67" s="214">
        <v>263.0</v>
      </c>
      <c r="AF67" s="214">
        <v>86.0</v>
      </c>
      <c r="AG67" s="207" t="s">
        <v>462</v>
      </c>
      <c r="AH67" s="213" t="s">
        <v>127</v>
      </c>
      <c r="AI67" s="207" t="s">
        <v>450</v>
      </c>
      <c r="AJ67" s="214">
        <v>0.01</v>
      </c>
      <c r="AK67" s="215" t="s">
        <v>165</v>
      </c>
      <c r="AL67" s="207" t="s">
        <v>179</v>
      </c>
      <c r="AM67" s="207" t="s">
        <v>130</v>
      </c>
      <c r="AN67" s="216" t="s">
        <v>131</v>
      </c>
      <c r="AO67" s="214">
        <v>93.0</v>
      </c>
      <c r="AP67" s="214" t="s">
        <v>463</v>
      </c>
      <c r="AQ67" s="207" t="s">
        <v>127</v>
      </c>
      <c r="AR67" s="111" t="s">
        <v>452</v>
      </c>
      <c r="AS67" s="214">
        <v>0.397</v>
      </c>
      <c r="AT67" s="215" t="s">
        <v>165</v>
      </c>
      <c r="AU67" s="215" t="s">
        <v>179</v>
      </c>
      <c r="AV67" s="215" t="s">
        <v>130</v>
      </c>
      <c r="AW67" s="108"/>
      <c r="AX67" s="215" t="s">
        <v>136</v>
      </c>
      <c r="AY67" s="58"/>
      <c r="AZ67" s="59" t="s">
        <v>137</v>
      </c>
      <c r="BA67" s="223"/>
      <c r="BB67" s="223"/>
      <c r="BC67" s="223"/>
      <c r="BD67" s="223"/>
      <c r="BE67" s="223"/>
      <c r="BF67" s="223"/>
      <c r="BG67" s="223"/>
      <c r="BH67" s="223"/>
      <c r="BI67" s="223"/>
      <c r="BJ67" s="223"/>
      <c r="BK67" s="223"/>
      <c r="BL67" s="223"/>
      <c r="BM67" s="223"/>
      <c r="BN67" s="223"/>
      <c r="BO67" s="223"/>
      <c r="BP67" s="223"/>
      <c r="BQ67" s="223"/>
      <c r="BR67" s="223"/>
      <c r="BS67" s="223"/>
      <c r="BT67" s="223"/>
      <c r="BU67" s="223"/>
      <c r="BV67" s="223"/>
      <c r="BW67" s="223"/>
      <c r="BX67" s="223"/>
      <c r="BY67" s="223"/>
      <c r="BZ67" s="223"/>
      <c r="CA67" s="223"/>
      <c r="CB67" s="223"/>
      <c r="CC67" s="223"/>
      <c r="CD67" s="223"/>
      <c r="CE67" s="223"/>
      <c r="CF67" s="223"/>
      <c r="CG67" s="223"/>
      <c r="CH67" s="223"/>
      <c r="CI67" s="223"/>
      <c r="CJ67" s="223"/>
      <c r="CK67" s="223"/>
      <c r="CL67" s="223"/>
      <c r="CM67" s="223"/>
      <c r="CN67" s="223"/>
      <c r="CO67" s="223"/>
      <c r="CP67" s="223"/>
      <c r="CQ67" s="223"/>
      <c r="CR67" s="223"/>
      <c r="CS67" s="223"/>
      <c r="CT67" s="223"/>
      <c r="CU67" s="223"/>
      <c r="CV67" s="223"/>
      <c r="CW67" s="223"/>
      <c r="CX67" s="223"/>
      <c r="CY67" s="223"/>
      <c r="CZ67" s="223"/>
      <c r="DA67" s="223"/>
      <c r="DB67" s="223"/>
      <c r="DC67" s="223"/>
      <c r="DD67" s="223"/>
      <c r="DE67" s="223"/>
      <c r="DF67" s="223"/>
      <c r="DG67" s="223"/>
      <c r="DH67" s="223"/>
    </row>
    <row r="68" ht="20.25" customHeight="1">
      <c r="A68" s="41">
        <v>68.0</v>
      </c>
      <c r="B68" s="224" t="s">
        <v>145</v>
      </c>
      <c r="C68" s="224" t="s">
        <v>108</v>
      </c>
      <c r="D68" s="224" t="s">
        <v>339</v>
      </c>
      <c r="E68" s="225"/>
      <c r="F68" s="122" t="s">
        <v>436</v>
      </c>
      <c r="G68" s="226" t="s">
        <v>459</v>
      </c>
      <c r="H68" s="226" t="s">
        <v>342</v>
      </c>
      <c r="I68" s="227">
        <v>45639.0</v>
      </c>
      <c r="J68" s="218">
        <v>45663.0</v>
      </c>
      <c r="K68" s="210" t="s">
        <v>453</v>
      </c>
      <c r="L68" s="228"/>
      <c r="M68" s="210" t="s">
        <v>441</v>
      </c>
      <c r="N68" s="210" t="s">
        <v>442</v>
      </c>
      <c r="O68" s="229">
        <v>3.0</v>
      </c>
      <c r="P68" s="230" t="s">
        <v>443</v>
      </c>
      <c r="Q68" s="49" t="str">
        <f t="array" ref="Q68"> if(iserror(MATCH(V68, 'File Links'!C:C, 0)), "N/A", HYPERLINK(INDEX('File Links'!B:B, MATCH(P68, 'File Links'!C:C, 0))))</f>
        <v>https://drive.google.com/file/d/1DO937F2xhbz54X6xu8qtsy63K6O9mEYa/view?usp=drivesdk</v>
      </c>
      <c r="R68" s="210" t="s">
        <v>444</v>
      </c>
      <c r="S68" s="212" t="s">
        <v>464</v>
      </c>
      <c r="T68" s="228"/>
      <c r="U68" s="130">
        <v>1.0</v>
      </c>
      <c r="V68" s="63" t="str">
        <f> hyperlink(vlookup(lower(S68),'File Links'!E:F, 2, FALSE), SUBSTITUTE(lower(S68), "/", "--") &amp;  ".pdf")</f>
        <v>10.26443--msurj.v19i1.231.pdf</v>
      </c>
      <c r="W68" s="207" t="s">
        <v>157</v>
      </c>
      <c r="X68" s="51" t="str">
        <f t="array" ref="X68"> if(iserror(MATCH(V68, 'File Links'!C:C, 0)), "N/A", HYPERLINK(INDEX('File Links'!B:B, MATCH(V68, 'File Links'!C:C, 0))))</f>
        <v>https://drive.google.com/file/d/12ZFslJnsSmpbIBYf9YKunwP3Ofv14HZ-/view?usp=drivesdk</v>
      </c>
      <c r="Y68" s="228"/>
      <c r="Z68" s="210" t="s">
        <v>219</v>
      </c>
      <c r="AA68" s="228"/>
      <c r="AB68" s="210" t="s">
        <v>456</v>
      </c>
      <c r="AC68" s="226" t="s">
        <v>457</v>
      </c>
      <c r="AD68" s="207" t="s">
        <v>461</v>
      </c>
      <c r="AE68" s="229">
        <v>263.0</v>
      </c>
      <c r="AF68" s="229">
        <v>85.0</v>
      </c>
      <c r="AG68" s="207" t="s">
        <v>462</v>
      </c>
      <c r="AH68" s="213" t="s">
        <v>127</v>
      </c>
      <c r="AI68" s="231" t="s">
        <v>450</v>
      </c>
      <c r="AJ68" s="229">
        <v>0.02</v>
      </c>
      <c r="AK68" s="232" t="s">
        <v>165</v>
      </c>
      <c r="AL68" s="207" t="s">
        <v>179</v>
      </c>
      <c r="AM68" s="228" t="s">
        <v>130</v>
      </c>
      <c r="AN68" s="216" t="s">
        <v>131</v>
      </c>
      <c r="AO68" s="214">
        <v>93.0</v>
      </c>
      <c r="AP68" s="221" t="s">
        <v>465</v>
      </c>
      <c r="AQ68" s="207" t="s">
        <v>127</v>
      </c>
      <c r="AR68" s="226" t="s">
        <v>466</v>
      </c>
      <c r="AS68" s="214">
        <v>0.397</v>
      </c>
      <c r="AT68" s="232" t="s">
        <v>165</v>
      </c>
      <c r="AU68" s="233" t="s">
        <v>179</v>
      </c>
      <c r="AV68" s="234" t="s">
        <v>130</v>
      </c>
      <c r="AW68" s="216" t="s">
        <v>131</v>
      </c>
      <c r="AX68" s="234" t="s">
        <v>136</v>
      </c>
      <c r="AY68" s="58"/>
      <c r="AZ68" s="59" t="s">
        <v>137</v>
      </c>
      <c r="BA68" s="217"/>
      <c r="BB68" s="217"/>
      <c r="BC68" s="217"/>
      <c r="BD68" s="217"/>
      <c r="BE68" s="217"/>
      <c r="BF68" s="217"/>
      <c r="BG68" s="217"/>
      <c r="BH68" s="217"/>
      <c r="BI68" s="217"/>
      <c r="BJ68" s="217"/>
      <c r="BK68" s="217"/>
      <c r="BL68" s="217"/>
      <c r="BM68" s="217"/>
      <c r="BN68" s="217"/>
      <c r="BO68" s="217"/>
      <c r="BP68" s="217"/>
      <c r="BQ68" s="217"/>
      <c r="BR68" s="217"/>
      <c r="BS68" s="217"/>
      <c r="BT68" s="217"/>
      <c r="BU68" s="217"/>
      <c r="BV68" s="217"/>
      <c r="BW68" s="217"/>
      <c r="BX68" s="217"/>
      <c r="BY68" s="217"/>
      <c r="BZ68" s="217"/>
      <c r="CA68" s="217"/>
      <c r="CB68" s="217"/>
      <c r="CC68" s="217"/>
      <c r="CD68" s="217"/>
      <c r="CE68" s="217"/>
      <c r="CF68" s="217"/>
      <c r="CG68" s="217"/>
      <c r="CH68" s="217"/>
      <c r="CI68" s="217"/>
      <c r="CJ68" s="217"/>
      <c r="CK68" s="217"/>
      <c r="CL68" s="217"/>
      <c r="CM68" s="217"/>
      <c r="CN68" s="217"/>
      <c r="CO68" s="217"/>
      <c r="CP68" s="217"/>
      <c r="CQ68" s="217"/>
      <c r="CR68" s="217"/>
      <c r="CS68" s="217"/>
      <c r="CT68" s="217"/>
      <c r="CU68" s="217"/>
      <c r="CV68" s="217"/>
      <c r="CW68" s="217"/>
      <c r="CX68" s="217"/>
      <c r="CY68" s="217"/>
      <c r="CZ68" s="217"/>
      <c r="DA68" s="217"/>
      <c r="DB68" s="217"/>
      <c r="DC68" s="217"/>
      <c r="DD68" s="217"/>
      <c r="DE68" s="217"/>
      <c r="DF68" s="217"/>
      <c r="DG68" s="217"/>
      <c r="DH68" s="217"/>
    </row>
    <row r="69" ht="20.25" customHeight="1">
      <c r="A69" s="41">
        <v>69.0</v>
      </c>
      <c r="B69" s="235" t="s">
        <v>145</v>
      </c>
      <c r="C69" s="235" t="s">
        <v>108</v>
      </c>
      <c r="D69" s="224" t="s">
        <v>435</v>
      </c>
      <c r="E69" s="225"/>
      <c r="F69" s="122" t="s">
        <v>436</v>
      </c>
      <c r="G69" s="210" t="s">
        <v>467</v>
      </c>
      <c r="H69" s="210" t="s">
        <v>438</v>
      </c>
      <c r="I69" s="236">
        <v>45636.0</v>
      </c>
      <c r="J69" s="218">
        <v>45663.0</v>
      </c>
      <c r="K69" s="210" t="s">
        <v>439</v>
      </c>
      <c r="L69" s="228"/>
      <c r="M69" s="210" t="s">
        <v>441</v>
      </c>
      <c r="N69" s="210" t="s">
        <v>442</v>
      </c>
      <c r="O69" s="229">
        <v>3.0</v>
      </c>
      <c r="P69" s="237" t="s">
        <v>443</v>
      </c>
      <c r="Q69" s="49" t="str">
        <f t="array" ref="Q69"> if(iserror(MATCH(V69, 'File Links'!C:C, 0)), "N/A", HYPERLINK(INDEX('File Links'!B:B, MATCH(P69, 'File Links'!C:C, 0))))</f>
        <v>https://drive.google.com/file/d/1DO937F2xhbz54X6xu8qtsy63K6O9mEYa/view?usp=drivesdk</v>
      </c>
      <c r="R69" s="210" t="s">
        <v>444</v>
      </c>
      <c r="S69" s="212" t="s">
        <v>468</v>
      </c>
      <c r="T69" s="228"/>
      <c r="U69" s="130">
        <v>1.0</v>
      </c>
      <c r="V69" s="63" t="str">
        <f> hyperlink(vlookup(lower(S69),'File Links'!E:F, 2, FALSE), SUBSTITUTE(lower(S69), "/", "--") &amp;  ".pdf")</f>
        <v>10.26443--msurj.v19i1.231.pdf</v>
      </c>
      <c r="W69" s="210" t="s">
        <v>157</v>
      </c>
      <c r="X69" s="51" t="str">
        <f t="array" ref="X69"> if(iserror(MATCH(V69, 'File Links'!C:C, 0)), "N/A", HYPERLINK(INDEX('File Links'!B:B, MATCH(V69, 'File Links'!C:C, 0))))</f>
        <v>https://drive.google.com/file/d/12ZFslJnsSmpbIBYf9YKunwP3Ofv14HZ-/view?usp=drivesdk</v>
      </c>
      <c r="Y69" s="228"/>
      <c r="Z69" s="210" t="s">
        <v>219</v>
      </c>
      <c r="AA69" s="228"/>
      <c r="AB69" s="210" t="s">
        <v>446</v>
      </c>
      <c r="AC69" s="210" t="s">
        <v>447</v>
      </c>
      <c r="AD69" s="238" t="s">
        <v>469</v>
      </c>
      <c r="AE69" s="239">
        <v>263.0</v>
      </c>
      <c r="AF69" s="240">
        <v>85.0</v>
      </c>
      <c r="AG69" s="210" t="s">
        <v>470</v>
      </c>
      <c r="AH69" s="238" t="s">
        <v>127</v>
      </c>
      <c r="AI69" s="210" t="s">
        <v>450</v>
      </c>
      <c r="AJ69" s="239">
        <v>0.79</v>
      </c>
      <c r="AK69" s="233" t="s">
        <v>165</v>
      </c>
      <c r="AL69" s="210" t="s">
        <v>179</v>
      </c>
      <c r="AM69" s="210" t="s">
        <v>130</v>
      </c>
      <c r="AN69" s="216" t="s">
        <v>131</v>
      </c>
      <c r="AO69" s="239">
        <v>84.0</v>
      </c>
      <c r="AP69" s="239" t="s">
        <v>471</v>
      </c>
      <c r="AQ69" s="210" t="s">
        <v>127</v>
      </c>
      <c r="AR69" s="228" t="s">
        <v>452</v>
      </c>
      <c r="AS69" s="239">
        <v>0.618</v>
      </c>
      <c r="AT69" s="233" t="s">
        <v>165</v>
      </c>
      <c r="AU69" s="241" t="s">
        <v>179</v>
      </c>
      <c r="AV69" s="233" t="s">
        <v>130</v>
      </c>
      <c r="AW69" s="216" t="s">
        <v>131</v>
      </c>
      <c r="AX69" s="233" t="s">
        <v>136</v>
      </c>
      <c r="AY69" s="58"/>
      <c r="AZ69" s="59" t="s">
        <v>137</v>
      </c>
      <c r="BA69" s="217"/>
      <c r="BB69" s="217"/>
      <c r="BC69" s="217"/>
      <c r="BD69" s="217"/>
      <c r="BE69" s="217"/>
      <c r="BF69" s="217"/>
      <c r="BG69" s="217"/>
      <c r="BH69" s="217"/>
      <c r="BI69" s="217"/>
      <c r="BJ69" s="217"/>
      <c r="BK69" s="217"/>
      <c r="BL69" s="217"/>
      <c r="BM69" s="217"/>
      <c r="BN69" s="217"/>
      <c r="BO69" s="217"/>
      <c r="BP69" s="217"/>
      <c r="BQ69" s="217"/>
      <c r="BR69" s="217"/>
      <c r="BS69" s="217"/>
      <c r="BT69" s="217"/>
      <c r="BU69" s="217"/>
      <c r="BV69" s="217"/>
      <c r="BW69" s="217"/>
      <c r="BX69" s="217"/>
      <c r="BY69" s="217"/>
      <c r="BZ69" s="217"/>
      <c r="CA69" s="217"/>
      <c r="CB69" s="217"/>
      <c r="CC69" s="217"/>
      <c r="CD69" s="217"/>
      <c r="CE69" s="217"/>
      <c r="CF69" s="217"/>
      <c r="CG69" s="217"/>
      <c r="CH69" s="217"/>
      <c r="CI69" s="217"/>
      <c r="CJ69" s="217"/>
      <c r="CK69" s="217"/>
      <c r="CL69" s="217"/>
      <c r="CM69" s="217"/>
      <c r="CN69" s="217"/>
      <c r="CO69" s="217"/>
      <c r="CP69" s="217"/>
      <c r="CQ69" s="217"/>
      <c r="CR69" s="217"/>
      <c r="CS69" s="217"/>
      <c r="CT69" s="217"/>
      <c r="CU69" s="217"/>
      <c r="CV69" s="217"/>
      <c r="CW69" s="217"/>
      <c r="CX69" s="217"/>
      <c r="CY69" s="217"/>
      <c r="CZ69" s="217"/>
      <c r="DA69" s="217"/>
      <c r="DB69" s="217"/>
      <c r="DC69" s="217"/>
      <c r="DD69" s="217"/>
      <c r="DE69" s="217"/>
      <c r="DF69" s="217"/>
      <c r="DG69" s="217"/>
      <c r="DH69" s="217"/>
    </row>
    <row r="70" ht="20.25" customHeight="1">
      <c r="A70" s="41">
        <v>70.0</v>
      </c>
      <c r="B70" s="242" t="s">
        <v>107</v>
      </c>
      <c r="C70" s="243" t="s">
        <v>108</v>
      </c>
      <c r="D70" s="243" t="s">
        <v>169</v>
      </c>
      <c r="E70" s="243"/>
      <c r="F70" s="243" t="s">
        <v>472</v>
      </c>
      <c r="G70" s="243" t="s">
        <v>473</v>
      </c>
      <c r="H70" s="243" t="s">
        <v>169</v>
      </c>
      <c r="I70" s="244">
        <v>45636.0</v>
      </c>
      <c r="J70" s="245">
        <v>45679.0</v>
      </c>
      <c r="K70" s="243" t="s">
        <v>474</v>
      </c>
      <c r="L70" s="243" t="s">
        <v>475</v>
      </c>
      <c r="M70" s="243" t="s">
        <v>476</v>
      </c>
      <c r="N70" s="243" t="s">
        <v>477</v>
      </c>
      <c r="O70" s="243">
        <v>1.0</v>
      </c>
      <c r="P70" s="243" t="s">
        <v>478</v>
      </c>
      <c r="Q70" s="49" t="str">
        <f t="array" ref="Q70"> if(iserror(MATCH(V70, 'File Links'!C:C, 0)), "N/A", HYPERLINK(INDEX('File Links'!B:B, MATCH(P70, 'File Links'!C:C, 0))))</f>
        <v>https://drive.google.com/file/d/1bOamtHkDDCeR5rldqOBSgCXc_AFZb3yD/view?usp=drivesdk</v>
      </c>
      <c r="R70" s="243" t="s">
        <v>479</v>
      </c>
      <c r="S70" s="243" t="s">
        <v>480</v>
      </c>
      <c r="T70" s="243"/>
      <c r="U70" s="243">
        <v>1.0</v>
      </c>
      <c r="V70" s="63" t="str">
        <f> hyperlink(vlookup(lower(S70),'File Links'!E:F, 2, FALSE), SUBSTITUTE(lower(S70), "/", "--") &amp;  ".pdf")</f>
        <v>10.1016--j.jsams.2024.07.018.pdf</v>
      </c>
      <c r="W70" s="243" t="s">
        <v>157</v>
      </c>
      <c r="X70" s="51" t="str">
        <f t="array" ref="X70"> if(iserror(MATCH(V70, 'File Links'!C:C, 0)), "N/A", HYPERLINK(INDEX('File Links'!B:B, MATCH(V70, 'File Links'!C:C, 0))))</f>
        <v>https://drive.google.com/file/d/1iWxdhqxc4T6twXLJR2WbGMzAHqB2cMPh/view?usp=drivesdk</v>
      </c>
      <c r="Y70" s="243"/>
      <c r="Z70" s="243" t="s">
        <v>481</v>
      </c>
      <c r="AA70" s="243" t="s">
        <v>482</v>
      </c>
      <c r="AB70" s="243" t="s">
        <v>483</v>
      </c>
      <c r="AC70" s="243" t="s">
        <v>484</v>
      </c>
      <c r="AD70" s="243" t="s">
        <v>485</v>
      </c>
      <c r="AE70" s="243" t="s">
        <v>486</v>
      </c>
      <c r="AF70" s="243">
        <v>20.0</v>
      </c>
      <c r="AG70" s="243" t="s">
        <v>487</v>
      </c>
      <c r="AH70" s="243" t="s">
        <v>127</v>
      </c>
      <c r="AI70" s="243" t="s">
        <v>210</v>
      </c>
      <c r="AJ70" s="243">
        <v>0.019</v>
      </c>
      <c r="AK70" s="243" t="s">
        <v>165</v>
      </c>
      <c r="AL70" s="243" t="s">
        <v>179</v>
      </c>
      <c r="AM70" s="243" t="s">
        <v>134</v>
      </c>
      <c r="AN70" s="216" t="s">
        <v>131</v>
      </c>
      <c r="AO70" s="243">
        <v>39.0</v>
      </c>
      <c r="AP70" s="243" t="s">
        <v>488</v>
      </c>
      <c r="AQ70" s="243" t="s">
        <v>132</v>
      </c>
      <c r="AR70" s="243" t="s">
        <v>489</v>
      </c>
      <c r="AS70" s="243" t="s">
        <v>490</v>
      </c>
      <c r="AT70" s="243" t="s">
        <v>165</v>
      </c>
      <c r="AU70" s="243" t="s">
        <v>179</v>
      </c>
      <c r="AV70" s="243" t="s">
        <v>130</v>
      </c>
      <c r="AW70" s="243"/>
      <c r="AX70" s="243" t="s">
        <v>136</v>
      </c>
      <c r="AY70" s="246" t="s">
        <v>491</v>
      </c>
      <c r="AZ70" s="243" t="s">
        <v>492</v>
      </c>
      <c r="BA70" s="243"/>
      <c r="BB70" s="243"/>
      <c r="BC70" s="243"/>
      <c r="BD70" s="243"/>
      <c r="BE70" s="243"/>
      <c r="BF70" s="243"/>
      <c r="BG70" s="243"/>
      <c r="BH70" s="243"/>
      <c r="BI70" s="243"/>
      <c r="BJ70" s="243"/>
      <c r="BK70" s="243"/>
      <c r="BL70" s="243"/>
      <c r="BM70" s="243"/>
      <c r="BN70" s="243"/>
      <c r="BO70" s="243"/>
      <c r="BP70" s="243"/>
      <c r="BQ70" s="243"/>
      <c r="BR70" s="243"/>
      <c r="BS70" s="243"/>
      <c r="BT70" s="243"/>
      <c r="BU70" s="243"/>
      <c r="BV70" s="243"/>
      <c r="BW70" s="243"/>
      <c r="BX70" s="243"/>
      <c r="BY70" s="243"/>
      <c r="BZ70" s="243"/>
      <c r="CA70" s="243"/>
      <c r="CB70" s="243"/>
      <c r="CC70" s="243"/>
      <c r="CD70" s="243"/>
      <c r="CE70" s="243"/>
      <c r="CF70" s="243"/>
      <c r="CG70" s="243"/>
      <c r="CH70" s="243"/>
      <c r="CI70" s="243"/>
      <c r="CJ70" s="243"/>
      <c r="CK70" s="243"/>
      <c r="CL70" s="243"/>
      <c r="CM70" s="243"/>
      <c r="CN70" s="243"/>
      <c r="CO70" s="243"/>
      <c r="CP70" s="243"/>
      <c r="CQ70" s="243"/>
      <c r="CR70" s="243"/>
      <c r="CS70" s="243"/>
      <c r="CT70" s="243"/>
      <c r="CU70" s="243"/>
      <c r="CV70" s="243"/>
      <c r="CW70" s="243"/>
      <c r="CX70" s="243"/>
      <c r="CY70" s="243"/>
      <c r="CZ70" s="243"/>
      <c r="DA70" s="243"/>
      <c r="DB70" s="243"/>
      <c r="DC70" s="243"/>
      <c r="DD70" s="243"/>
      <c r="DE70" s="243"/>
      <c r="DF70" s="243"/>
      <c r="DG70" s="243"/>
      <c r="DH70" s="243"/>
    </row>
    <row r="71" ht="20.25" customHeight="1">
      <c r="A71" s="41">
        <v>71.0</v>
      </c>
      <c r="B71" s="242" t="s">
        <v>145</v>
      </c>
      <c r="C71" s="243" t="s">
        <v>108</v>
      </c>
      <c r="D71" s="243" t="s">
        <v>146</v>
      </c>
      <c r="E71" s="243"/>
      <c r="F71" s="243" t="s">
        <v>472</v>
      </c>
      <c r="G71" s="243" t="s">
        <v>493</v>
      </c>
      <c r="H71" s="243" t="s">
        <v>146</v>
      </c>
      <c r="I71" s="247">
        <v>45638.0</v>
      </c>
      <c r="J71" s="245">
        <v>45679.0</v>
      </c>
      <c r="K71" s="248" t="s">
        <v>494</v>
      </c>
      <c r="L71" s="243"/>
      <c r="M71" s="243" t="s">
        <v>476</v>
      </c>
      <c r="N71" s="243" t="s">
        <v>477</v>
      </c>
      <c r="O71" s="243">
        <v>1.0</v>
      </c>
      <c r="P71" s="243" t="s">
        <v>478</v>
      </c>
      <c r="Q71" s="49" t="str">
        <f t="array" ref="Q71"> if(iserror(MATCH(V71, 'File Links'!C:C, 0)), "N/A", HYPERLINK(INDEX('File Links'!B:B, MATCH(P71, 'File Links'!C:C, 0))))</f>
        <v>https://drive.google.com/file/d/1bOamtHkDDCeR5rldqOBSgCXc_AFZb3yD/view?usp=drivesdk</v>
      </c>
      <c r="R71" s="248" t="s">
        <v>495</v>
      </c>
      <c r="S71" s="248" t="s">
        <v>480</v>
      </c>
      <c r="T71" s="243"/>
      <c r="U71" s="243">
        <v>1.0</v>
      </c>
      <c r="V71" s="63" t="str">
        <f> hyperlink(vlookup(lower(S71),'File Links'!E:F, 2, FALSE), SUBSTITUTE(lower(S71), "/", "--") &amp;  ".pdf")</f>
        <v>10.1016--j.jsams.2024.07.018.pdf</v>
      </c>
      <c r="W71" s="243" t="s">
        <v>157</v>
      </c>
      <c r="X71" s="51" t="str">
        <f t="array" ref="X71"> if(iserror(MATCH(V71, 'File Links'!C:C, 0)), "N/A", HYPERLINK(INDEX('File Links'!B:B, MATCH(V71, 'File Links'!C:C, 0))))</f>
        <v>https://drive.google.com/file/d/1iWxdhqxc4T6twXLJR2WbGMzAHqB2cMPh/view?usp=drivesdk</v>
      </c>
      <c r="Y71" s="243"/>
      <c r="Z71" s="243" t="s">
        <v>496</v>
      </c>
      <c r="AA71" s="243" t="s">
        <v>497</v>
      </c>
      <c r="AB71" s="243" t="s">
        <v>483</v>
      </c>
      <c r="AC71" s="243" t="s">
        <v>498</v>
      </c>
      <c r="AD71" s="243" t="s">
        <v>499</v>
      </c>
      <c r="AE71" s="243">
        <v>3.0</v>
      </c>
      <c r="AF71" s="243">
        <v>20.0</v>
      </c>
      <c r="AG71" s="243" t="s">
        <v>487</v>
      </c>
      <c r="AH71" s="243" t="s">
        <v>127</v>
      </c>
      <c r="AI71" s="243" t="s">
        <v>500</v>
      </c>
      <c r="AJ71" s="243">
        <v>0.025</v>
      </c>
      <c r="AK71" s="243" t="s">
        <v>165</v>
      </c>
      <c r="AL71" s="243" t="s">
        <v>179</v>
      </c>
      <c r="AM71" s="243" t="s">
        <v>134</v>
      </c>
      <c r="AN71" s="216" t="s">
        <v>131</v>
      </c>
      <c r="AO71" s="243">
        <v>39.0</v>
      </c>
      <c r="AP71" s="243">
        <v>0.159</v>
      </c>
      <c r="AQ71" s="243" t="s">
        <v>132</v>
      </c>
      <c r="AR71" s="243" t="s">
        <v>489</v>
      </c>
      <c r="AS71" s="243">
        <v>0.002</v>
      </c>
      <c r="AT71" s="243" t="s">
        <v>165</v>
      </c>
      <c r="AU71" s="243" t="s">
        <v>179</v>
      </c>
      <c r="AV71" s="243" t="s">
        <v>130</v>
      </c>
      <c r="AW71" s="248" t="s">
        <v>501</v>
      </c>
      <c r="AX71" s="248" t="s">
        <v>136</v>
      </c>
      <c r="AY71" s="243" t="s">
        <v>502</v>
      </c>
      <c r="AZ71" s="243" t="s">
        <v>492</v>
      </c>
      <c r="BA71" s="243"/>
      <c r="BB71" s="243"/>
      <c r="BC71" s="243"/>
      <c r="BD71" s="243"/>
      <c r="BE71" s="243"/>
      <c r="BF71" s="243"/>
      <c r="BG71" s="243"/>
      <c r="BH71" s="243"/>
      <c r="BI71" s="243"/>
      <c r="BJ71" s="243"/>
      <c r="BK71" s="243"/>
      <c r="BL71" s="243"/>
      <c r="BM71" s="243"/>
      <c r="BN71" s="243"/>
      <c r="BO71" s="243"/>
      <c r="BP71" s="243"/>
      <c r="BQ71" s="243"/>
      <c r="BR71" s="243"/>
      <c r="BS71" s="243"/>
      <c r="BT71" s="243"/>
      <c r="BU71" s="243"/>
      <c r="BV71" s="243"/>
      <c r="BW71" s="243"/>
      <c r="BX71" s="243"/>
      <c r="BY71" s="243"/>
      <c r="BZ71" s="243"/>
      <c r="CA71" s="243"/>
      <c r="CB71" s="243"/>
      <c r="CC71" s="243"/>
      <c r="CD71" s="243"/>
      <c r="CE71" s="243"/>
      <c r="CF71" s="243"/>
      <c r="CG71" s="243"/>
      <c r="CH71" s="243"/>
      <c r="CI71" s="243"/>
      <c r="CJ71" s="243"/>
      <c r="CK71" s="243"/>
      <c r="CL71" s="243"/>
      <c r="CM71" s="243"/>
      <c r="CN71" s="243"/>
      <c r="CO71" s="243"/>
      <c r="CP71" s="243"/>
      <c r="CQ71" s="243"/>
      <c r="CR71" s="243"/>
      <c r="CS71" s="243"/>
      <c r="CT71" s="243"/>
      <c r="CU71" s="243"/>
      <c r="CV71" s="243"/>
      <c r="CW71" s="243"/>
      <c r="CX71" s="243"/>
      <c r="CY71" s="243"/>
      <c r="CZ71" s="243"/>
      <c r="DA71" s="243"/>
      <c r="DB71" s="243"/>
      <c r="DC71" s="243"/>
      <c r="DD71" s="243"/>
      <c r="DE71" s="243"/>
      <c r="DF71" s="243"/>
      <c r="DG71" s="243"/>
      <c r="DH71" s="243"/>
    </row>
    <row r="72" ht="19.5" customHeight="1">
      <c r="A72" s="41">
        <v>72.0</v>
      </c>
      <c r="B72" s="243" t="s">
        <v>107</v>
      </c>
      <c r="C72" s="243" t="s">
        <v>108</v>
      </c>
      <c r="D72" s="243" t="s">
        <v>169</v>
      </c>
      <c r="E72" s="243"/>
      <c r="F72" s="243" t="s">
        <v>472</v>
      </c>
      <c r="G72" s="243" t="s">
        <v>503</v>
      </c>
      <c r="H72" s="243" t="s">
        <v>169</v>
      </c>
      <c r="I72" s="243">
        <v>45636.0</v>
      </c>
      <c r="J72" s="243">
        <v>45679.0</v>
      </c>
      <c r="K72" s="243" t="s">
        <v>474</v>
      </c>
      <c r="L72" s="243" t="s">
        <v>504</v>
      </c>
      <c r="M72" s="243" t="s">
        <v>505</v>
      </c>
      <c r="N72" s="243" t="s">
        <v>477</v>
      </c>
      <c r="O72" s="243">
        <v>1.0</v>
      </c>
      <c r="P72" s="243" t="s">
        <v>478</v>
      </c>
      <c r="Q72" s="49" t="str">
        <f t="array" ref="Q72"> if(iserror(MATCH(V72, 'File Links'!C:C, 0)), "N/A", HYPERLINK(INDEX('File Links'!B:B, MATCH(P72, 'File Links'!C:C, 0))))</f>
        <v>https://drive.google.com/file/d/1bOamtHkDDCeR5rldqOBSgCXc_AFZb3yD/view?usp=drivesdk</v>
      </c>
      <c r="R72" s="243" t="s">
        <v>479</v>
      </c>
      <c r="S72" s="243" t="s">
        <v>480</v>
      </c>
      <c r="T72" s="243"/>
      <c r="U72" s="243">
        <v>1.0</v>
      </c>
      <c r="V72" s="243" t="s">
        <v>506</v>
      </c>
      <c r="W72" s="243" t="s">
        <v>157</v>
      </c>
      <c r="X72" s="51" t="str">
        <f t="array" ref="X72"> if(iserror(MATCH(V72, 'File Links'!C:C, 0)), "N/A", HYPERLINK(INDEX('File Links'!B:B, MATCH(V72, 'File Links'!C:C, 0))))</f>
        <v>https://drive.google.com/file/d/1iWxdhqxc4T6twXLJR2WbGMzAHqB2cMPh/view?usp=drivesdk</v>
      </c>
      <c r="Y72" s="243" t="s">
        <v>507</v>
      </c>
      <c r="Z72" s="243" t="s">
        <v>481</v>
      </c>
      <c r="AA72" s="243" t="s">
        <v>482</v>
      </c>
      <c r="AB72" s="243" t="s">
        <v>508</v>
      </c>
      <c r="AC72" s="243" t="s">
        <v>509</v>
      </c>
      <c r="AD72" s="243" t="s">
        <v>485</v>
      </c>
      <c r="AE72" s="243" t="s">
        <v>486</v>
      </c>
      <c r="AF72" s="243">
        <v>20.0</v>
      </c>
      <c r="AG72" s="243">
        <v>6503.0</v>
      </c>
      <c r="AH72" s="243" t="s">
        <v>127</v>
      </c>
      <c r="AI72" s="243" t="s">
        <v>210</v>
      </c>
      <c r="AJ72" s="243">
        <v>4.0E-4</v>
      </c>
      <c r="AK72" s="243" t="s">
        <v>165</v>
      </c>
      <c r="AL72" s="243" t="s">
        <v>179</v>
      </c>
      <c r="AM72" s="243" t="s">
        <v>130</v>
      </c>
      <c r="AN72" s="216" t="s">
        <v>131</v>
      </c>
      <c r="AO72" s="243"/>
      <c r="AP72" s="243"/>
      <c r="AQ72" s="243"/>
      <c r="AR72" s="243"/>
      <c r="AS72" s="243"/>
      <c r="AT72" s="243"/>
      <c r="AU72" s="243"/>
      <c r="AV72" s="243"/>
      <c r="AW72" s="243"/>
      <c r="AX72" s="243"/>
      <c r="AY72" s="246" t="s">
        <v>510</v>
      </c>
      <c r="AZ72" s="243" t="s">
        <v>492</v>
      </c>
      <c r="BA72" s="243"/>
      <c r="BB72" s="243"/>
      <c r="BC72" s="243"/>
      <c r="BD72" s="243"/>
      <c r="BE72" s="243"/>
      <c r="BF72" s="243"/>
      <c r="BG72" s="243"/>
      <c r="BH72" s="243"/>
      <c r="BI72" s="243"/>
      <c r="BJ72" s="243"/>
      <c r="BK72" s="243"/>
      <c r="BL72" s="243"/>
      <c r="BM72" s="243"/>
      <c r="BN72" s="243"/>
      <c r="BO72" s="243"/>
      <c r="BP72" s="243"/>
      <c r="BQ72" s="243"/>
      <c r="BR72" s="243"/>
      <c r="BS72" s="243"/>
      <c r="BT72" s="243"/>
      <c r="BU72" s="243"/>
      <c r="BV72" s="243"/>
      <c r="BW72" s="243"/>
      <c r="BX72" s="243"/>
      <c r="BY72" s="243"/>
      <c r="BZ72" s="243"/>
      <c r="CA72" s="243"/>
      <c r="CB72" s="243"/>
      <c r="CC72" s="243"/>
      <c r="CD72" s="243"/>
      <c r="CE72" s="243"/>
      <c r="CF72" s="243"/>
      <c r="CG72" s="243"/>
      <c r="CH72" s="243"/>
      <c r="CI72" s="243"/>
      <c r="CJ72" s="243"/>
      <c r="CK72" s="243"/>
      <c r="CL72" s="243"/>
      <c r="CM72" s="243"/>
      <c r="CN72" s="243"/>
      <c r="CO72" s="243"/>
      <c r="CP72" s="243"/>
      <c r="CQ72" s="243"/>
      <c r="CR72" s="243"/>
      <c r="CS72" s="243"/>
      <c r="CT72" s="243"/>
      <c r="CU72" s="243"/>
      <c r="CV72" s="243"/>
      <c r="CW72" s="243"/>
      <c r="CX72" s="243"/>
      <c r="CY72" s="243"/>
      <c r="CZ72" s="243"/>
      <c r="DA72" s="243"/>
      <c r="DB72" s="243"/>
      <c r="DC72" s="243"/>
      <c r="DD72" s="243"/>
      <c r="DE72" s="243"/>
      <c r="DF72" s="243"/>
      <c r="DG72" s="243"/>
      <c r="DH72" s="243"/>
    </row>
    <row r="73" ht="20.25" customHeight="1">
      <c r="A73" s="41">
        <v>73.0</v>
      </c>
      <c r="B73" s="243" t="s">
        <v>107</v>
      </c>
      <c r="C73" s="243" t="s">
        <v>108</v>
      </c>
      <c r="D73" s="243" t="s">
        <v>169</v>
      </c>
      <c r="E73" s="243"/>
      <c r="F73" s="243" t="s">
        <v>472</v>
      </c>
      <c r="G73" s="243" t="s">
        <v>511</v>
      </c>
      <c r="H73" s="243" t="s">
        <v>169</v>
      </c>
      <c r="I73" s="243">
        <v>45636.0</v>
      </c>
      <c r="J73" s="243">
        <v>45679.0</v>
      </c>
      <c r="K73" s="243" t="s">
        <v>474</v>
      </c>
      <c r="L73" s="243" t="s">
        <v>512</v>
      </c>
      <c r="M73" s="243" t="s">
        <v>513</v>
      </c>
      <c r="N73" s="243" t="s">
        <v>477</v>
      </c>
      <c r="O73" s="243">
        <v>1.0</v>
      </c>
      <c r="P73" s="243" t="s">
        <v>478</v>
      </c>
      <c r="Q73" s="49" t="str">
        <f t="array" ref="Q73"> if(iserror(MATCH(V73, 'File Links'!C:C, 0)), "N/A", HYPERLINK(INDEX('File Links'!B:B, MATCH(P73, 'File Links'!C:C, 0))))</f>
        <v>https://drive.google.com/file/d/1bOamtHkDDCeR5rldqOBSgCXc_AFZb3yD/view?usp=drivesdk</v>
      </c>
      <c r="R73" s="243" t="s">
        <v>479</v>
      </c>
      <c r="S73" s="243" t="s">
        <v>480</v>
      </c>
      <c r="T73" s="243"/>
      <c r="U73" s="243">
        <v>1.0</v>
      </c>
      <c r="V73" s="243" t="s">
        <v>506</v>
      </c>
      <c r="W73" s="243" t="s">
        <v>157</v>
      </c>
      <c r="X73" s="51" t="str">
        <f t="array" ref="X73"> if(iserror(MATCH(V73, 'File Links'!C:C, 0)), "N/A", HYPERLINK(INDEX('File Links'!B:B, MATCH(V73, 'File Links'!C:C, 0))))</f>
        <v>https://drive.google.com/file/d/1iWxdhqxc4T6twXLJR2WbGMzAHqB2cMPh/view?usp=drivesdk</v>
      </c>
      <c r="Y73" s="243" t="s">
        <v>507</v>
      </c>
      <c r="Z73" s="243" t="s">
        <v>481</v>
      </c>
      <c r="AA73" s="243" t="s">
        <v>482</v>
      </c>
      <c r="AB73" s="243" t="s">
        <v>508</v>
      </c>
      <c r="AC73" s="243" t="s">
        <v>514</v>
      </c>
      <c r="AD73" s="243" t="s">
        <v>485</v>
      </c>
      <c r="AE73" s="243" t="s">
        <v>486</v>
      </c>
      <c r="AF73" s="243">
        <v>20.0</v>
      </c>
      <c r="AG73" s="243">
        <v>6503.0</v>
      </c>
      <c r="AH73" s="243" t="s">
        <v>127</v>
      </c>
      <c r="AI73" s="243" t="s">
        <v>210</v>
      </c>
      <c r="AJ73" s="243" t="s">
        <v>515</v>
      </c>
      <c r="AK73" s="243" t="s">
        <v>165</v>
      </c>
      <c r="AL73" s="243" t="s">
        <v>179</v>
      </c>
      <c r="AM73" s="243" t="s">
        <v>130</v>
      </c>
      <c r="AN73" s="216" t="s">
        <v>131</v>
      </c>
      <c r="AO73" s="243"/>
      <c r="AP73" s="243"/>
      <c r="AQ73" s="243"/>
      <c r="AR73" s="243"/>
      <c r="AS73" s="243"/>
      <c r="AT73" s="243"/>
      <c r="AU73" s="243"/>
      <c r="AV73" s="243"/>
      <c r="AW73" s="243"/>
      <c r="AX73" s="243"/>
      <c r="AY73" s="243"/>
      <c r="AZ73" s="243" t="s">
        <v>492</v>
      </c>
      <c r="BA73" s="243"/>
      <c r="BB73" s="243"/>
      <c r="BC73" s="243"/>
      <c r="BD73" s="243"/>
      <c r="BE73" s="243"/>
      <c r="BF73" s="243"/>
      <c r="BG73" s="243"/>
      <c r="BH73" s="243"/>
      <c r="BI73" s="243"/>
      <c r="BJ73" s="243"/>
      <c r="BK73" s="243"/>
      <c r="BL73" s="243"/>
      <c r="BM73" s="243"/>
      <c r="BN73" s="243"/>
      <c r="BO73" s="243"/>
      <c r="BP73" s="243"/>
      <c r="BQ73" s="243"/>
      <c r="BR73" s="243"/>
      <c r="BS73" s="243"/>
      <c r="BT73" s="243"/>
      <c r="BU73" s="243"/>
      <c r="BV73" s="243"/>
      <c r="BW73" s="243"/>
      <c r="BX73" s="243"/>
      <c r="BY73" s="243"/>
      <c r="BZ73" s="243"/>
      <c r="CA73" s="243"/>
      <c r="CB73" s="243"/>
      <c r="CC73" s="243"/>
      <c r="CD73" s="243"/>
      <c r="CE73" s="243"/>
      <c r="CF73" s="243"/>
      <c r="CG73" s="243"/>
      <c r="CH73" s="243"/>
      <c r="CI73" s="243"/>
      <c r="CJ73" s="243"/>
      <c r="CK73" s="243"/>
      <c r="CL73" s="243"/>
      <c r="CM73" s="243"/>
      <c r="CN73" s="243"/>
      <c r="CO73" s="243"/>
      <c r="CP73" s="243"/>
      <c r="CQ73" s="243"/>
      <c r="CR73" s="243"/>
      <c r="CS73" s="243"/>
      <c r="CT73" s="243"/>
      <c r="CU73" s="243"/>
      <c r="CV73" s="243"/>
      <c r="CW73" s="243"/>
      <c r="CX73" s="243"/>
      <c r="CY73" s="243"/>
      <c r="CZ73" s="243"/>
      <c r="DA73" s="243"/>
      <c r="DB73" s="243"/>
      <c r="DC73" s="243"/>
      <c r="DD73" s="243"/>
      <c r="DE73" s="243"/>
      <c r="DF73" s="243"/>
      <c r="DG73" s="243"/>
      <c r="DH73" s="243"/>
    </row>
    <row r="74" ht="20.25" customHeight="1">
      <c r="A74" s="41">
        <v>74.0</v>
      </c>
      <c r="B74" s="249" t="s">
        <v>516</v>
      </c>
      <c r="C74" s="249" t="s">
        <v>108</v>
      </c>
      <c r="D74" s="249" t="s">
        <v>169</v>
      </c>
      <c r="E74" s="250"/>
      <c r="F74" s="251" t="s">
        <v>472</v>
      </c>
      <c r="G74" s="252" t="s">
        <v>517</v>
      </c>
      <c r="H74" s="251" t="s">
        <v>169</v>
      </c>
      <c r="I74" s="253">
        <v>45636.0</v>
      </c>
      <c r="J74" s="254">
        <v>45679.0</v>
      </c>
      <c r="K74" s="251" t="s">
        <v>474</v>
      </c>
      <c r="L74" s="255" t="s">
        <v>518</v>
      </c>
      <c r="M74" s="251" t="s">
        <v>519</v>
      </c>
      <c r="N74" s="251" t="s">
        <v>477</v>
      </c>
      <c r="O74" s="256">
        <v>1.0</v>
      </c>
      <c r="P74" s="251" t="s">
        <v>478</v>
      </c>
      <c r="Q74" s="49" t="str">
        <f t="array" ref="Q74"> if(iserror(MATCH(V74, 'File Links'!C:C, 0)), "N/A", HYPERLINK(INDEX('File Links'!B:B, MATCH(P74, 'File Links'!C:C, 0))))</f>
        <v>https://drive.google.com/file/d/1bOamtHkDDCeR5rldqOBSgCXc_AFZb3yD/view?usp=drivesdk</v>
      </c>
      <c r="R74" s="251" t="s">
        <v>479</v>
      </c>
      <c r="S74" s="251" t="s">
        <v>480</v>
      </c>
      <c r="T74" s="257"/>
      <c r="U74" s="256">
        <v>1.0</v>
      </c>
      <c r="V74" s="63" t="str">
        <f> hyperlink(vlookup(lower(S74),'File Links'!E:F, 2, FALSE), SUBSTITUTE(lower(S74), "/", "--") &amp;  ".pdf")</f>
        <v>10.1016--j.jsams.2024.07.018.pdf</v>
      </c>
      <c r="W74" s="258" t="s">
        <v>157</v>
      </c>
      <c r="X74" s="51" t="str">
        <f t="array" ref="X74"> if(iserror(MATCH(V74, 'File Links'!C:C, 0)), "N/A", HYPERLINK(INDEX('File Links'!B:B, MATCH(V74, 'File Links'!C:C, 0))))</f>
        <v>https://drive.google.com/file/d/1iWxdhqxc4T6twXLJR2WbGMzAHqB2cMPh/view?usp=drivesdk</v>
      </c>
      <c r="Y74" s="257"/>
      <c r="Z74" s="251" t="s">
        <v>481</v>
      </c>
      <c r="AA74" s="251" t="s">
        <v>482</v>
      </c>
      <c r="AB74" s="251" t="s">
        <v>508</v>
      </c>
      <c r="AC74" s="251" t="s">
        <v>520</v>
      </c>
      <c r="AD74" s="251" t="s">
        <v>521</v>
      </c>
      <c r="AE74" s="251" t="s">
        <v>522</v>
      </c>
      <c r="AF74" s="256">
        <v>20.0</v>
      </c>
      <c r="AG74" s="257"/>
      <c r="AH74" s="259"/>
      <c r="AI74" s="260"/>
      <c r="AJ74" s="243" t="s">
        <v>523</v>
      </c>
      <c r="AK74" s="251" t="s">
        <v>165</v>
      </c>
      <c r="AL74" s="252" t="s">
        <v>179</v>
      </c>
      <c r="AM74" s="257" t="s">
        <v>130</v>
      </c>
      <c r="AN74" s="216" t="s">
        <v>131</v>
      </c>
      <c r="AO74" s="261">
        <v>39.0</v>
      </c>
      <c r="AP74" s="257"/>
      <c r="AQ74" s="257"/>
      <c r="AR74" s="257"/>
      <c r="AS74" s="257" t="s">
        <v>523</v>
      </c>
      <c r="AT74" s="251" t="s">
        <v>165</v>
      </c>
      <c r="AU74" s="251" t="s">
        <v>179</v>
      </c>
      <c r="AV74" s="257" t="s">
        <v>130</v>
      </c>
      <c r="AW74" s="257"/>
      <c r="AX74" s="257" t="s">
        <v>136</v>
      </c>
      <c r="AY74" s="255" t="s">
        <v>524</v>
      </c>
      <c r="AZ74" s="249" t="s">
        <v>492</v>
      </c>
      <c r="BA74" s="250"/>
      <c r="BB74" s="250"/>
      <c r="BC74" s="250"/>
      <c r="BD74" s="250"/>
      <c r="BE74" s="250"/>
      <c r="BF74" s="250"/>
      <c r="BG74" s="250"/>
      <c r="BH74" s="250"/>
      <c r="BI74" s="250"/>
      <c r="BJ74" s="250"/>
      <c r="BK74" s="250"/>
      <c r="BL74" s="250"/>
      <c r="BM74" s="250"/>
      <c r="BN74" s="250"/>
      <c r="BO74" s="250"/>
      <c r="BP74" s="250"/>
      <c r="BQ74" s="250"/>
      <c r="BR74" s="250"/>
      <c r="BS74" s="250"/>
      <c r="BT74" s="250"/>
      <c r="BU74" s="250"/>
      <c r="BV74" s="250"/>
      <c r="BW74" s="250"/>
      <c r="BX74" s="250"/>
      <c r="BY74" s="250"/>
      <c r="BZ74" s="250"/>
      <c r="CA74" s="250"/>
      <c r="CB74" s="250"/>
      <c r="CC74" s="250"/>
      <c r="CD74" s="250"/>
      <c r="CE74" s="250"/>
      <c r="CF74" s="250"/>
      <c r="CG74" s="250"/>
      <c r="CH74" s="250"/>
      <c r="CI74" s="250"/>
      <c r="CJ74" s="250"/>
      <c r="CK74" s="250"/>
      <c r="CL74" s="250"/>
      <c r="CM74" s="250"/>
      <c r="CN74" s="250"/>
      <c r="CO74" s="250"/>
      <c r="CP74" s="250"/>
      <c r="CQ74" s="250"/>
      <c r="CR74" s="250"/>
      <c r="CS74" s="250"/>
      <c r="CT74" s="250"/>
      <c r="CU74" s="250"/>
      <c r="CV74" s="250"/>
      <c r="CW74" s="250"/>
      <c r="CX74" s="250"/>
      <c r="CY74" s="250"/>
      <c r="CZ74" s="250"/>
      <c r="DA74" s="250"/>
      <c r="DB74" s="250"/>
      <c r="DC74" s="250"/>
      <c r="DD74" s="250"/>
      <c r="DE74" s="250"/>
      <c r="DF74" s="250"/>
      <c r="DG74" s="250"/>
      <c r="DH74" s="250"/>
    </row>
    <row r="75" ht="20.25" customHeight="1">
      <c r="A75" s="41">
        <v>75.0</v>
      </c>
      <c r="B75" s="242" t="s">
        <v>516</v>
      </c>
      <c r="C75" s="242" t="s">
        <v>108</v>
      </c>
      <c r="D75" s="242" t="s">
        <v>169</v>
      </c>
      <c r="E75" s="243"/>
      <c r="F75" s="262" t="s">
        <v>472</v>
      </c>
      <c r="G75" s="263" t="s">
        <v>525</v>
      </c>
      <c r="H75" s="262" t="s">
        <v>169</v>
      </c>
      <c r="I75" s="264">
        <v>45636.0</v>
      </c>
      <c r="J75" s="265">
        <v>45679.0</v>
      </c>
      <c r="K75" s="262" t="s">
        <v>474</v>
      </c>
      <c r="L75" s="266"/>
      <c r="M75" s="262" t="s">
        <v>526</v>
      </c>
      <c r="N75" s="262" t="s">
        <v>477</v>
      </c>
      <c r="O75" s="267">
        <v>1.0</v>
      </c>
      <c r="P75" s="262" t="s">
        <v>478</v>
      </c>
      <c r="Q75" s="49" t="str">
        <f t="array" ref="Q75"> if(iserror(MATCH(V75, 'File Links'!C:C, 0)), "N/A", HYPERLINK(INDEX('File Links'!B:B, MATCH(P75, 'File Links'!C:C, 0))))</f>
        <v>https://drive.google.com/file/d/1bOamtHkDDCeR5rldqOBSgCXc_AFZb3yD/view?usp=drivesdk</v>
      </c>
      <c r="R75" s="262" t="s">
        <v>479</v>
      </c>
      <c r="S75" s="262" t="s">
        <v>480</v>
      </c>
      <c r="T75" s="266"/>
      <c r="U75" s="267">
        <v>1.0</v>
      </c>
      <c r="V75" s="262" t="s">
        <v>506</v>
      </c>
      <c r="W75" s="268" t="s">
        <v>157</v>
      </c>
      <c r="X75" s="51" t="str">
        <f t="array" ref="X75"> if(iserror(MATCH(V75, 'File Links'!C:C, 0)), "N/A", HYPERLINK(INDEX('File Links'!B:B, MATCH(V75, 'File Links'!C:C, 0))))</f>
        <v>https://drive.google.com/file/d/1iWxdhqxc4T6twXLJR2WbGMzAHqB2cMPh/view?usp=drivesdk</v>
      </c>
      <c r="Y75" s="262" t="s">
        <v>507</v>
      </c>
      <c r="Z75" s="262" t="s">
        <v>481</v>
      </c>
      <c r="AA75" s="262" t="s">
        <v>482</v>
      </c>
      <c r="AB75" s="262" t="s">
        <v>508</v>
      </c>
      <c r="AC75" s="262" t="s">
        <v>527</v>
      </c>
      <c r="AD75" s="262" t="s">
        <v>521</v>
      </c>
      <c r="AE75" s="262" t="s">
        <v>522</v>
      </c>
      <c r="AF75" s="267">
        <v>20.0</v>
      </c>
      <c r="AG75" s="266"/>
      <c r="AH75" s="269"/>
      <c r="AI75" s="270"/>
      <c r="AJ75" s="243" t="s">
        <v>528</v>
      </c>
      <c r="AK75" s="262" t="s">
        <v>165</v>
      </c>
      <c r="AL75" s="263" t="s">
        <v>179</v>
      </c>
      <c r="AM75" s="266" t="s">
        <v>130</v>
      </c>
      <c r="AN75" s="216" t="s">
        <v>131</v>
      </c>
      <c r="AO75" s="266"/>
      <c r="AP75" s="266"/>
      <c r="AQ75" s="266"/>
      <c r="AR75" s="266"/>
      <c r="AS75" s="266"/>
      <c r="AT75" s="266"/>
      <c r="AU75" s="266"/>
      <c r="AV75" s="266"/>
      <c r="AW75" s="266"/>
      <c r="AX75" s="266"/>
      <c r="AY75" s="266"/>
      <c r="AZ75" s="242" t="s">
        <v>492</v>
      </c>
      <c r="BA75" s="243"/>
      <c r="BB75" s="243"/>
      <c r="BC75" s="243"/>
      <c r="BD75" s="243"/>
      <c r="BE75" s="243"/>
      <c r="BF75" s="243"/>
      <c r="BG75" s="243"/>
      <c r="BH75" s="243"/>
      <c r="BI75" s="243"/>
      <c r="BJ75" s="243"/>
      <c r="BK75" s="243"/>
      <c r="BL75" s="243"/>
      <c r="BM75" s="243"/>
      <c r="BN75" s="243"/>
      <c r="BO75" s="243"/>
      <c r="BP75" s="243"/>
      <c r="BQ75" s="243"/>
      <c r="BR75" s="243"/>
      <c r="BS75" s="243"/>
      <c r="BT75" s="243"/>
      <c r="BU75" s="243"/>
      <c r="BV75" s="243"/>
      <c r="BW75" s="243"/>
      <c r="BX75" s="243"/>
      <c r="BY75" s="243"/>
      <c r="BZ75" s="243"/>
      <c r="CA75" s="243"/>
      <c r="CB75" s="243"/>
      <c r="CC75" s="243"/>
      <c r="CD75" s="243"/>
      <c r="CE75" s="243"/>
      <c r="CF75" s="243"/>
      <c r="CG75" s="243"/>
      <c r="CH75" s="243"/>
      <c r="CI75" s="243"/>
      <c r="CJ75" s="243"/>
      <c r="CK75" s="243"/>
      <c r="CL75" s="243"/>
      <c r="CM75" s="243"/>
      <c r="CN75" s="243"/>
      <c r="CO75" s="243"/>
      <c r="CP75" s="243"/>
      <c r="CQ75" s="243"/>
      <c r="CR75" s="243"/>
      <c r="CS75" s="243"/>
      <c r="CT75" s="243"/>
      <c r="CU75" s="243"/>
      <c r="CV75" s="243"/>
      <c r="CW75" s="243"/>
      <c r="CX75" s="243"/>
      <c r="CY75" s="243"/>
      <c r="CZ75" s="243"/>
      <c r="DA75" s="243"/>
      <c r="DB75" s="243"/>
      <c r="DC75" s="243"/>
      <c r="DD75" s="243"/>
      <c r="DE75" s="243"/>
      <c r="DF75" s="243"/>
      <c r="DG75" s="243"/>
      <c r="DH75" s="243"/>
    </row>
    <row r="76" ht="20.25" customHeight="1">
      <c r="A76" s="41">
        <v>76.0</v>
      </c>
      <c r="B76" s="242" t="s">
        <v>516</v>
      </c>
      <c r="C76" s="242" t="s">
        <v>108</v>
      </c>
      <c r="D76" s="242" t="s">
        <v>169</v>
      </c>
      <c r="E76" s="243"/>
      <c r="F76" s="262" t="s">
        <v>472</v>
      </c>
      <c r="G76" s="263" t="s">
        <v>529</v>
      </c>
      <c r="H76" s="262" t="s">
        <v>169</v>
      </c>
      <c r="I76" s="264">
        <v>45636.0</v>
      </c>
      <c r="J76" s="265">
        <v>45679.0</v>
      </c>
      <c r="K76" s="262" t="s">
        <v>474</v>
      </c>
      <c r="L76" s="266"/>
      <c r="M76" s="262" t="s">
        <v>530</v>
      </c>
      <c r="N76" s="262" t="s">
        <v>477</v>
      </c>
      <c r="O76" s="267">
        <v>1.0</v>
      </c>
      <c r="P76" s="262" t="s">
        <v>478</v>
      </c>
      <c r="Q76" s="49" t="str">
        <f t="array" ref="Q76"> if(iserror(MATCH(V76, 'File Links'!C:C, 0)), "N/A", HYPERLINK(INDEX('File Links'!B:B, MATCH(P76, 'File Links'!C:C, 0))))</f>
        <v>https://drive.google.com/file/d/1bOamtHkDDCeR5rldqOBSgCXc_AFZb3yD/view?usp=drivesdk</v>
      </c>
      <c r="R76" s="262" t="s">
        <v>479</v>
      </c>
      <c r="S76" s="262" t="s">
        <v>480</v>
      </c>
      <c r="T76" s="266"/>
      <c r="U76" s="267">
        <v>1.0</v>
      </c>
      <c r="V76" s="262" t="s">
        <v>506</v>
      </c>
      <c r="W76" s="268" t="s">
        <v>157</v>
      </c>
      <c r="X76" s="51" t="str">
        <f t="array" ref="X76"> if(iserror(MATCH(V76, 'File Links'!C:C, 0)), "N/A", HYPERLINK(INDEX('File Links'!B:B, MATCH(V76, 'File Links'!C:C, 0))))</f>
        <v>https://drive.google.com/file/d/1iWxdhqxc4T6twXLJR2WbGMzAHqB2cMPh/view?usp=drivesdk</v>
      </c>
      <c r="Y76" s="262" t="s">
        <v>507</v>
      </c>
      <c r="Z76" s="262" t="s">
        <v>481</v>
      </c>
      <c r="AA76" s="262" t="s">
        <v>482</v>
      </c>
      <c r="AB76" s="262" t="s">
        <v>508</v>
      </c>
      <c r="AC76" s="262" t="s">
        <v>531</v>
      </c>
      <c r="AD76" s="262" t="s">
        <v>521</v>
      </c>
      <c r="AE76" s="262" t="s">
        <v>522</v>
      </c>
      <c r="AF76" s="267">
        <v>20.0</v>
      </c>
      <c r="AG76" s="266"/>
      <c r="AH76" s="269"/>
      <c r="AI76" s="270"/>
      <c r="AJ76" s="243" t="s">
        <v>532</v>
      </c>
      <c r="AK76" s="262" t="s">
        <v>165</v>
      </c>
      <c r="AL76" s="263" t="s">
        <v>179</v>
      </c>
      <c r="AM76" s="266" t="s">
        <v>130</v>
      </c>
      <c r="AN76" s="216" t="s">
        <v>131</v>
      </c>
      <c r="AO76" s="266"/>
      <c r="AP76" s="266"/>
      <c r="AQ76" s="266"/>
      <c r="AR76" s="266"/>
      <c r="AS76" s="266"/>
      <c r="AT76" s="266"/>
      <c r="AU76" s="266"/>
      <c r="AV76" s="266"/>
      <c r="AW76" s="266"/>
      <c r="AX76" s="266"/>
      <c r="AY76" s="266"/>
      <c r="AZ76" s="242" t="s">
        <v>492</v>
      </c>
      <c r="BA76" s="243"/>
      <c r="BB76" s="243"/>
      <c r="BC76" s="243"/>
      <c r="BD76" s="243"/>
      <c r="BE76" s="243"/>
      <c r="BF76" s="243"/>
      <c r="BG76" s="243"/>
      <c r="BH76" s="243"/>
      <c r="BI76" s="243"/>
      <c r="BJ76" s="243"/>
      <c r="BK76" s="243"/>
      <c r="BL76" s="243"/>
      <c r="BM76" s="243"/>
      <c r="BN76" s="243"/>
      <c r="BO76" s="243"/>
      <c r="BP76" s="243"/>
      <c r="BQ76" s="243"/>
      <c r="BR76" s="243"/>
      <c r="BS76" s="243"/>
      <c r="BT76" s="243"/>
      <c r="BU76" s="243"/>
      <c r="BV76" s="243"/>
      <c r="BW76" s="243"/>
      <c r="BX76" s="243"/>
      <c r="BY76" s="243"/>
      <c r="BZ76" s="243"/>
      <c r="CA76" s="243"/>
      <c r="CB76" s="243"/>
      <c r="CC76" s="243"/>
      <c r="CD76" s="243"/>
      <c r="CE76" s="243"/>
      <c r="CF76" s="243"/>
      <c r="CG76" s="243"/>
      <c r="CH76" s="243"/>
      <c r="CI76" s="243"/>
      <c r="CJ76" s="243"/>
      <c r="CK76" s="243"/>
      <c r="CL76" s="243"/>
      <c r="CM76" s="243"/>
      <c r="CN76" s="243"/>
      <c r="CO76" s="243"/>
      <c r="CP76" s="243"/>
      <c r="CQ76" s="243"/>
      <c r="CR76" s="243"/>
      <c r="CS76" s="243"/>
      <c r="CT76" s="243"/>
      <c r="CU76" s="243"/>
      <c r="CV76" s="243"/>
      <c r="CW76" s="243"/>
      <c r="CX76" s="243"/>
      <c r="CY76" s="243"/>
      <c r="CZ76" s="243"/>
      <c r="DA76" s="243"/>
      <c r="DB76" s="243"/>
      <c r="DC76" s="243"/>
      <c r="DD76" s="243"/>
      <c r="DE76" s="243"/>
      <c r="DF76" s="243"/>
      <c r="DG76" s="243"/>
      <c r="DH76" s="243"/>
    </row>
    <row r="77" ht="20.25" customHeight="1">
      <c r="A77" s="41">
        <v>77.0</v>
      </c>
      <c r="B77" s="242" t="s">
        <v>516</v>
      </c>
      <c r="C77" s="242" t="s">
        <v>108</v>
      </c>
      <c r="D77" s="242" t="s">
        <v>169</v>
      </c>
      <c r="E77" s="243"/>
      <c r="F77" s="262" t="s">
        <v>472</v>
      </c>
      <c r="G77" s="263" t="s">
        <v>533</v>
      </c>
      <c r="H77" s="262" t="s">
        <v>169</v>
      </c>
      <c r="I77" s="264">
        <v>45636.0</v>
      </c>
      <c r="J77" s="265">
        <v>45679.0</v>
      </c>
      <c r="K77" s="262" t="s">
        <v>474</v>
      </c>
      <c r="L77" s="266"/>
      <c r="M77" s="262" t="s">
        <v>534</v>
      </c>
      <c r="N77" s="262" t="s">
        <v>477</v>
      </c>
      <c r="O77" s="267">
        <v>1.0</v>
      </c>
      <c r="P77" s="262" t="s">
        <v>478</v>
      </c>
      <c r="Q77" s="49" t="str">
        <f t="array" ref="Q77"> if(iserror(MATCH(V77, 'File Links'!C:C, 0)), "N/A", HYPERLINK(INDEX('File Links'!B:B, MATCH(P77, 'File Links'!C:C, 0))))</f>
        <v>https://drive.google.com/file/d/1bOamtHkDDCeR5rldqOBSgCXc_AFZb3yD/view?usp=drivesdk</v>
      </c>
      <c r="R77" s="262" t="s">
        <v>479</v>
      </c>
      <c r="S77" s="262" t="s">
        <v>480</v>
      </c>
      <c r="T77" s="266"/>
      <c r="U77" s="267">
        <v>1.0</v>
      </c>
      <c r="V77" s="262" t="s">
        <v>506</v>
      </c>
      <c r="W77" s="268" t="s">
        <v>157</v>
      </c>
      <c r="X77" s="51" t="str">
        <f t="array" ref="X77"> if(iserror(MATCH(V77, 'File Links'!C:C, 0)), "N/A", HYPERLINK(INDEX('File Links'!B:B, MATCH(V77, 'File Links'!C:C, 0))))</f>
        <v>https://drive.google.com/file/d/1iWxdhqxc4T6twXLJR2WbGMzAHqB2cMPh/view?usp=drivesdk</v>
      </c>
      <c r="Y77" s="262" t="s">
        <v>507</v>
      </c>
      <c r="Z77" s="262" t="s">
        <v>481</v>
      </c>
      <c r="AA77" s="262" t="s">
        <v>482</v>
      </c>
      <c r="AB77" s="262" t="s">
        <v>508</v>
      </c>
      <c r="AC77" s="262" t="s">
        <v>535</v>
      </c>
      <c r="AD77" s="266"/>
      <c r="AE77" s="262" t="s">
        <v>522</v>
      </c>
      <c r="AF77" s="267">
        <v>20.0</v>
      </c>
      <c r="AG77" s="266"/>
      <c r="AH77" s="269"/>
      <c r="AI77" s="270"/>
      <c r="AJ77" s="270"/>
      <c r="AK77" s="266"/>
      <c r="AL77" s="263" t="s">
        <v>179</v>
      </c>
      <c r="AM77" s="266" t="s">
        <v>130</v>
      </c>
      <c r="AN77" s="216" t="s">
        <v>131</v>
      </c>
      <c r="AO77" s="266"/>
      <c r="AP77" s="266"/>
      <c r="AQ77" s="266"/>
      <c r="AR77" s="266"/>
      <c r="AS77" s="266"/>
      <c r="AT77" s="266"/>
      <c r="AU77" s="266"/>
      <c r="AV77" s="266"/>
      <c r="AW77" s="266"/>
      <c r="AX77" s="266"/>
      <c r="AY77" s="266"/>
      <c r="AZ77" s="242" t="s">
        <v>492</v>
      </c>
      <c r="BA77" s="243"/>
      <c r="BB77" s="243"/>
      <c r="BC77" s="243"/>
      <c r="BD77" s="243"/>
      <c r="BE77" s="243"/>
      <c r="BF77" s="243"/>
      <c r="BG77" s="243"/>
      <c r="BH77" s="243"/>
      <c r="BI77" s="243"/>
      <c r="BJ77" s="243"/>
      <c r="BK77" s="243"/>
      <c r="BL77" s="243"/>
      <c r="BM77" s="243"/>
      <c r="BN77" s="243"/>
      <c r="BO77" s="243"/>
      <c r="BP77" s="243"/>
      <c r="BQ77" s="243"/>
      <c r="BR77" s="243"/>
      <c r="BS77" s="243"/>
      <c r="BT77" s="243"/>
      <c r="BU77" s="243"/>
      <c r="BV77" s="243"/>
      <c r="BW77" s="243"/>
      <c r="BX77" s="243"/>
      <c r="BY77" s="243"/>
      <c r="BZ77" s="243"/>
      <c r="CA77" s="243"/>
      <c r="CB77" s="243"/>
      <c r="CC77" s="243"/>
      <c r="CD77" s="243"/>
      <c r="CE77" s="243"/>
      <c r="CF77" s="243"/>
      <c r="CG77" s="243"/>
      <c r="CH77" s="243"/>
      <c r="CI77" s="243"/>
      <c r="CJ77" s="243"/>
      <c r="CK77" s="243"/>
      <c r="CL77" s="243"/>
      <c r="CM77" s="243"/>
      <c r="CN77" s="243"/>
      <c r="CO77" s="243"/>
      <c r="CP77" s="243"/>
      <c r="CQ77" s="243"/>
      <c r="CR77" s="243"/>
      <c r="CS77" s="243"/>
      <c r="CT77" s="243"/>
      <c r="CU77" s="243"/>
      <c r="CV77" s="243"/>
      <c r="CW77" s="243"/>
      <c r="CX77" s="243"/>
      <c r="CY77" s="243"/>
      <c r="CZ77" s="243"/>
      <c r="DA77" s="243"/>
      <c r="DB77" s="243"/>
      <c r="DC77" s="243"/>
      <c r="DD77" s="243"/>
      <c r="DE77" s="243"/>
      <c r="DF77" s="243"/>
      <c r="DG77" s="243"/>
      <c r="DH77" s="243"/>
    </row>
    <row r="78" ht="20.25" customHeight="1">
      <c r="A78" s="41">
        <v>78.0</v>
      </c>
      <c r="B78" s="242" t="s">
        <v>516</v>
      </c>
      <c r="C78" s="242" t="s">
        <v>108</v>
      </c>
      <c r="D78" s="242" t="s">
        <v>169</v>
      </c>
      <c r="E78" s="243"/>
      <c r="F78" s="262" t="s">
        <v>472</v>
      </c>
      <c r="G78" s="263" t="s">
        <v>536</v>
      </c>
      <c r="H78" s="262" t="s">
        <v>169</v>
      </c>
      <c r="I78" s="264">
        <v>45636.0</v>
      </c>
      <c r="J78" s="265">
        <v>45679.0</v>
      </c>
      <c r="K78" s="262" t="s">
        <v>474</v>
      </c>
      <c r="L78" s="266"/>
      <c r="M78" s="262" t="s">
        <v>537</v>
      </c>
      <c r="N78" s="262" t="s">
        <v>477</v>
      </c>
      <c r="O78" s="267">
        <v>1.0</v>
      </c>
      <c r="P78" s="262" t="s">
        <v>478</v>
      </c>
      <c r="Q78" s="49" t="str">
        <f t="array" ref="Q78"> if(iserror(MATCH(V78, 'File Links'!C:C, 0)), "N/A", HYPERLINK(INDEX('File Links'!B:B, MATCH(P78, 'File Links'!C:C, 0))))</f>
        <v>https://drive.google.com/file/d/1bOamtHkDDCeR5rldqOBSgCXc_AFZb3yD/view?usp=drivesdk</v>
      </c>
      <c r="R78" s="262" t="s">
        <v>479</v>
      </c>
      <c r="S78" s="262" t="s">
        <v>480</v>
      </c>
      <c r="T78" s="266"/>
      <c r="U78" s="267">
        <v>1.0</v>
      </c>
      <c r="V78" s="262" t="s">
        <v>506</v>
      </c>
      <c r="W78" s="268" t="s">
        <v>157</v>
      </c>
      <c r="X78" s="51" t="str">
        <f t="array" ref="X78"> if(iserror(MATCH(V78, 'File Links'!C:C, 0)), "N/A", HYPERLINK(INDEX('File Links'!B:B, MATCH(V78, 'File Links'!C:C, 0))))</f>
        <v>https://drive.google.com/file/d/1iWxdhqxc4T6twXLJR2WbGMzAHqB2cMPh/view?usp=drivesdk</v>
      </c>
      <c r="Y78" s="262" t="s">
        <v>507</v>
      </c>
      <c r="Z78" s="262" t="s">
        <v>481</v>
      </c>
      <c r="AA78" s="262" t="s">
        <v>482</v>
      </c>
      <c r="AB78" s="262" t="s">
        <v>508</v>
      </c>
      <c r="AC78" s="262" t="s">
        <v>538</v>
      </c>
      <c r="AD78" s="266"/>
      <c r="AE78" s="262" t="s">
        <v>522</v>
      </c>
      <c r="AF78" s="267">
        <v>20.0</v>
      </c>
      <c r="AG78" s="266"/>
      <c r="AH78" s="269"/>
      <c r="AI78" s="270"/>
      <c r="AJ78" s="270"/>
      <c r="AK78" s="266"/>
      <c r="AL78" s="263" t="s">
        <v>179</v>
      </c>
      <c r="AM78" s="266" t="s">
        <v>130</v>
      </c>
      <c r="AN78" s="216" t="s">
        <v>131</v>
      </c>
      <c r="AO78" s="266"/>
      <c r="AP78" s="266"/>
      <c r="AQ78" s="266"/>
      <c r="AR78" s="266"/>
      <c r="AS78" s="266"/>
      <c r="AT78" s="266"/>
      <c r="AU78" s="266"/>
      <c r="AV78" s="266"/>
      <c r="AW78" s="266"/>
      <c r="AX78" s="266"/>
      <c r="AY78" s="266"/>
      <c r="AZ78" s="242" t="s">
        <v>492</v>
      </c>
      <c r="BA78" s="243"/>
      <c r="BB78" s="243"/>
      <c r="BC78" s="243"/>
      <c r="BD78" s="243"/>
      <c r="BE78" s="243"/>
      <c r="BF78" s="243"/>
      <c r="BG78" s="243"/>
      <c r="BH78" s="243"/>
      <c r="BI78" s="243"/>
      <c r="BJ78" s="243"/>
      <c r="BK78" s="243"/>
      <c r="BL78" s="243"/>
      <c r="BM78" s="243"/>
      <c r="BN78" s="243"/>
      <c r="BO78" s="243"/>
      <c r="BP78" s="243"/>
      <c r="BQ78" s="243"/>
      <c r="BR78" s="243"/>
      <c r="BS78" s="243"/>
      <c r="BT78" s="243"/>
      <c r="BU78" s="243"/>
      <c r="BV78" s="243"/>
      <c r="BW78" s="243"/>
      <c r="BX78" s="243"/>
      <c r="BY78" s="243"/>
      <c r="BZ78" s="243"/>
      <c r="CA78" s="243"/>
      <c r="CB78" s="243"/>
      <c r="CC78" s="243"/>
      <c r="CD78" s="243"/>
      <c r="CE78" s="243"/>
      <c r="CF78" s="243"/>
      <c r="CG78" s="243"/>
      <c r="CH78" s="243"/>
      <c r="CI78" s="243"/>
      <c r="CJ78" s="243"/>
      <c r="CK78" s="243"/>
      <c r="CL78" s="243"/>
      <c r="CM78" s="243"/>
      <c r="CN78" s="243"/>
      <c r="CO78" s="243"/>
      <c r="CP78" s="243"/>
      <c r="CQ78" s="243"/>
      <c r="CR78" s="243"/>
      <c r="CS78" s="243"/>
      <c r="CT78" s="243"/>
      <c r="CU78" s="243"/>
      <c r="CV78" s="243"/>
      <c r="CW78" s="243"/>
      <c r="CX78" s="243"/>
      <c r="CY78" s="243"/>
      <c r="CZ78" s="243"/>
      <c r="DA78" s="243"/>
      <c r="DB78" s="243"/>
      <c r="DC78" s="243"/>
      <c r="DD78" s="243"/>
      <c r="DE78" s="243"/>
      <c r="DF78" s="243"/>
      <c r="DG78" s="243"/>
      <c r="DH78" s="243"/>
    </row>
    <row r="79" ht="20.25" customHeight="1">
      <c r="A79" s="41">
        <v>79.0</v>
      </c>
      <c r="B79" s="242" t="s">
        <v>516</v>
      </c>
      <c r="C79" s="242" t="s">
        <v>108</v>
      </c>
      <c r="D79" s="242" t="s">
        <v>169</v>
      </c>
      <c r="E79" s="243"/>
      <c r="F79" s="262" t="s">
        <v>472</v>
      </c>
      <c r="G79" s="263" t="s">
        <v>539</v>
      </c>
      <c r="H79" s="262" t="s">
        <v>169</v>
      </c>
      <c r="I79" s="264">
        <v>45636.0</v>
      </c>
      <c r="J79" s="265">
        <v>45679.0</v>
      </c>
      <c r="K79" s="262" t="s">
        <v>474</v>
      </c>
      <c r="L79" s="266"/>
      <c r="M79" s="262" t="s">
        <v>540</v>
      </c>
      <c r="N79" s="262" t="s">
        <v>477</v>
      </c>
      <c r="O79" s="267">
        <v>1.0</v>
      </c>
      <c r="P79" s="262" t="s">
        <v>478</v>
      </c>
      <c r="Q79" s="49" t="str">
        <f t="array" ref="Q79"> if(iserror(MATCH(V79, 'File Links'!C:C, 0)), "N/A", HYPERLINK(INDEX('File Links'!B:B, MATCH(P79, 'File Links'!C:C, 0))))</f>
        <v>https://drive.google.com/file/d/1bOamtHkDDCeR5rldqOBSgCXc_AFZb3yD/view?usp=drivesdk</v>
      </c>
      <c r="R79" s="262" t="s">
        <v>479</v>
      </c>
      <c r="S79" s="262" t="s">
        <v>480</v>
      </c>
      <c r="T79" s="266"/>
      <c r="U79" s="267">
        <v>1.0</v>
      </c>
      <c r="V79" s="262" t="s">
        <v>506</v>
      </c>
      <c r="W79" s="268" t="s">
        <v>157</v>
      </c>
      <c r="X79" s="51" t="str">
        <f t="array" ref="X79"> if(iserror(MATCH(V79, 'File Links'!C:C, 0)), "N/A", HYPERLINK(INDEX('File Links'!B:B, MATCH(V79, 'File Links'!C:C, 0))))</f>
        <v>https://drive.google.com/file/d/1iWxdhqxc4T6twXLJR2WbGMzAHqB2cMPh/view?usp=drivesdk</v>
      </c>
      <c r="Y79" s="262" t="s">
        <v>507</v>
      </c>
      <c r="Z79" s="262" t="s">
        <v>481</v>
      </c>
      <c r="AA79" s="262" t="s">
        <v>482</v>
      </c>
      <c r="AB79" s="262" t="s">
        <v>508</v>
      </c>
      <c r="AC79" s="262" t="s">
        <v>541</v>
      </c>
      <c r="AD79" s="266"/>
      <c r="AE79" s="262" t="s">
        <v>522</v>
      </c>
      <c r="AF79" s="267">
        <v>20.0</v>
      </c>
      <c r="AG79" s="266"/>
      <c r="AH79" s="269"/>
      <c r="AI79" s="270"/>
      <c r="AJ79" s="270"/>
      <c r="AK79" s="266"/>
      <c r="AL79" s="263" t="s">
        <v>179</v>
      </c>
      <c r="AM79" s="266" t="s">
        <v>130</v>
      </c>
      <c r="AN79" s="216" t="s">
        <v>131</v>
      </c>
      <c r="AO79" s="266"/>
      <c r="AP79" s="266"/>
      <c r="AQ79" s="266"/>
      <c r="AR79" s="266"/>
      <c r="AS79" s="266"/>
      <c r="AT79" s="266"/>
      <c r="AU79" s="266"/>
      <c r="AV79" s="266"/>
      <c r="AW79" s="266"/>
      <c r="AX79" s="266"/>
      <c r="AY79" s="266"/>
      <c r="AZ79" s="242" t="s">
        <v>492</v>
      </c>
      <c r="BA79" s="243"/>
      <c r="BB79" s="243"/>
      <c r="BC79" s="243"/>
      <c r="BD79" s="243"/>
      <c r="BE79" s="243"/>
      <c r="BF79" s="243"/>
      <c r="BG79" s="243"/>
      <c r="BH79" s="243"/>
      <c r="BI79" s="243"/>
      <c r="BJ79" s="243"/>
      <c r="BK79" s="243"/>
      <c r="BL79" s="243"/>
      <c r="BM79" s="243"/>
      <c r="BN79" s="243"/>
      <c r="BO79" s="243"/>
      <c r="BP79" s="243"/>
      <c r="BQ79" s="243"/>
      <c r="BR79" s="243"/>
      <c r="BS79" s="243"/>
      <c r="BT79" s="243"/>
      <c r="BU79" s="243"/>
      <c r="BV79" s="243"/>
      <c r="BW79" s="243"/>
      <c r="BX79" s="243"/>
      <c r="BY79" s="243"/>
      <c r="BZ79" s="243"/>
      <c r="CA79" s="243"/>
      <c r="CB79" s="243"/>
      <c r="CC79" s="243"/>
      <c r="CD79" s="243"/>
      <c r="CE79" s="243"/>
      <c r="CF79" s="243"/>
      <c r="CG79" s="243"/>
      <c r="CH79" s="243"/>
      <c r="CI79" s="243"/>
      <c r="CJ79" s="243"/>
      <c r="CK79" s="243"/>
      <c r="CL79" s="243"/>
      <c r="CM79" s="243"/>
      <c r="CN79" s="243"/>
      <c r="CO79" s="243"/>
      <c r="CP79" s="243"/>
      <c r="CQ79" s="243"/>
      <c r="CR79" s="243"/>
      <c r="CS79" s="243"/>
      <c r="CT79" s="243"/>
      <c r="CU79" s="243"/>
      <c r="CV79" s="243"/>
      <c r="CW79" s="243"/>
      <c r="CX79" s="243"/>
      <c r="CY79" s="243"/>
      <c r="CZ79" s="243"/>
      <c r="DA79" s="243"/>
      <c r="DB79" s="243"/>
      <c r="DC79" s="243"/>
      <c r="DD79" s="243"/>
      <c r="DE79" s="243"/>
      <c r="DF79" s="243"/>
      <c r="DG79" s="243"/>
      <c r="DH79" s="243"/>
    </row>
    <row r="80" ht="20.25" customHeight="1">
      <c r="A80" s="41">
        <v>80.0</v>
      </c>
      <c r="B80" s="249" t="s">
        <v>516</v>
      </c>
      <c r="C80" s="271" t="s">
        <v>108</v>
      </c>
      <c r="D80" s="271" t="s">
        <v>146</v>
      </c>
      <c r="E80" s="272"/>
      <c r="F80" s="251" t="s">
        <v>472</v>
      </c>
      <c r="G80" s="252" t="s">
        <v>542</v>
      </c>
      <c r="H80" s="252" t="s">
        <v>146</v>
      </c>
      <c r="I80" s="273">
        <v>45638.0</v>
      </c>
      <c r="J80" s="254">
        <v>45679.0</v>
      </c>
      <c r="K80" s="274" t="s">
        <v>543</v>
      </c>
      <c r="L80" s="260"/>
      <c r="M80" s="252" t="s">
        <v>476</v>
      </c>
      <c r="N80" s="252" t="s">
        <v>477</v>
      </c>
      <c r="O80" s="275">
        <v>1.0</v>
      </c>
      <c r="P80" s="276" t="s">
        <v>478</v>
      </c>
      <c r="Q80" s="49" t="str">
        <f t="array" ref="Q80"> if(iserror(MATCH(V80, 'File Links'!C:C, 0)), "N/A", HYPERLINK(INDEX('File Links'!B:B, MATCH(P80, 'File Links'!C:C, 0))))</f>
        <v>https://drive.google.com/file/d/1bOamtHkDDCeR5rldqOBSgCXc_AFZb3yD/view?usp=drivesdk</v>
      </c>
      <c r="R80" s="252" t="s">
        <v>479</v>
      </c>
      <c r="S80" s="252" t="s">
        <v>480</v>
      </c>
      <c r="T80" s="260"/>
      <c r="U80" s="277">
        <v>1.0</v>
      </c>
      <c r="V80" s="63" t="str">
        <f> hyperlink(vlookup(lower(S80),'File Links'!E:F, 2, FALSE), SUBSTITUTE(lower(S80), "/", "--") &amp;  ".pdf")</f>
        <v>10.1016--j.jsams.2024.07.018.pdf</v>
      </c>
      <c r="W80" s="252" t="s">
        <v>157</v>
      </c>
      <c r="X80" s="51" t="str">
        <f t="array" ref="X80"> if(iserror(MATCH(V80, 'File Links'!C:C, 0)), "N/A", HYPERLINK(INDEX('File Links'!B:B, MATCH(V80, 'File Links'!C:C, 0))))</f>
        <v>https://drive.google.com/file/d/1iWxdhqxc4T6twXLJR2WbGMzAHqB2cMPh/view?usp=drivesdk</v>
      </c>
      <c r="Y80" s="260"/>
      <c r="Z80" s="252" t="s">
        <v>496</v>
      </c>
      <c r="AA80" s="278" t="s">
        <v>497</v>
      </c>
      <c r="AB80" s="278" t="s">
        <v>483</v>
      </c>
      <c r="AC80" s="278" t="s">
        <v>544</v>
      </c>
      <c r="AD80" s="278" t="s">
        <v>545</v>
      </c>
      <c r="AE80" s="279">
        <v>3.0</v>
      </c>
      <c r="AF80" s="279">
        <v>20.0</v>
      </c>
      <c r="AG80" s="252" t="s">
        <v>546</v>
      </c>
      <c r="AH80" s="276" t="s">
        <v>127</v>
      </c>
      <c r="AI80" s="252" t="s">
        <v>500</v>
      </c>
      <c r="AJ80" s="279">
        <v>0.059</v>
      </c>
      <c r="AK80" s="251" t="s">
        <v>165</v>
      </c>
      <c r="AL80" s="252" t="s">
        <v>211</v>
      </c>
      <c r="AM80" s="260" t="s">
        <v>134</v>
      </c>
      <c r="AN80" s="216" t="s">
        <v>131</v>
      </c>
      <c r="AO80" s="279">
        <v>39.0</v>
      </c>
      <c r="AP80" s="279">
        <v>0.052</v>
      </c>
      <c r="AQ80" s="252" t="s">
        <v>132</v>
      </c>
      <c r="AR80" s="252" t="s">
        <v>489</v>
      </c>
      <c r="AS80" s="279">
        <v>0.122</v>
      </c>
      <c r="AT80" s="251" t="s">
        <v>165</v>
      </c>
      <c r="AU80" s="280" t="s">
        <v>179</v>
      </c>
      <c r="AV80" s="257" t="s">
        <v>130</v>
      </c>
      <c r="AW80" s="281" t="s">
        <v>501</v>
      </c>
      <c r="AX80" s="282" t="s">
        <v>136</v>
      </c>
      <c r="AY80" s="283" t="s">
        <v>547</v>
      </c>
      <c r="AZ80" s="249" t="s">
        <v>492</v>
      </c>
      <c r="BA80" s="250"/>
      <c r="BB80" s="250"/>
      <c r="BC80" s="250"/>
      <c r="BD80" s="250"/>
      <c r="BE80" s="250"/>
      <c r="BF80" s="250"/>
      <c r="BG80" s="250"/>
      <c r="BH80" s="250"/>
      <c r="BI80" s="250"/>
      <c r="BJ80" s="250"/>
      <c r="BK80" s="250"/>
      <c r="BL80" s="250"/>
      <c r="BM80" s="250"/>
      <c r="BN80" s="250"/>
      <c r="BO80" s="250"/>
      <c r="BP80" s="250"/>
      <c r="BQ80" s="250"/>
      <c r="BR80" s="250"/>
      <c r="BS80" s="250"/>
      <c r="BT80" s="250"/>
      <c r="BU80" s="250"/>
      <c r="BV80" s="250"/>
      <c r="BW80" s="250"/>
      <c r="BX80" s="250"/>
      <c r="BY80" s="250"/>
      <c r="BZ80" s="250"/>
      <c r="CA80" s="250"/>
      <c r="CB80" s="250"/>
      <c r="CC80" s="250"/>
      <c r="CD80" s="250"/>
      <c r="CE80" s="250"/>
      <c r="CF80" s="250"/>
      <c r="CG80" s="250"/>
      <c r="CH80" s="250"/>
      <c r="CI80" s="250"/>
      <c r="CJ80" s="250"/>
      <c r="CK80" s="250"/>
      <c r="CL80" s="250"/>
      <c r="CM80" s="250"/>
      <c r="CN80" s="250"/>
      <c r="CO80" s="250"/>
      <c r="CP80" s="250"/>
      <c r="CQ80" s="250"/>
      <c r="CR80" s="250"/>
      <c r="CS80" s="250"/>
      <c r="CT80" s="250"/>
      <c r="CU80" s="250"/>
      <c r="CV80" s="250"/>
      <c r="CW80" s="250"/>
      <c r="CX80" s="250"/>
      <c r="CY80" s="250"/>
      <c r="CZ80" s="250"/>
      <c r="DA80" s="250"/>
      <c r="DB80" s="250"/>
      <c r="DC80" s="250"/>
      <c r="DD80" s="250"/>
      <c r="DE80" s="250"/>
      <c r="DF80" s="250"/>
      <c r="DG80" s="250"/>
      <c r="DH80" s="250"/>
    </row>
    <row r="81" ht="20.25" customHeight="1">
      <c r="A81" s="41">
        <v>81.0</v>
      </c>
      <c r="B81" s="284" t="s">
        <v>145</v>
      </c>
      <c r="C81" s="285" t="s">
        <v>108</v>
      </c>
      <c r="D81" s="285" t="s">
        <v>146</v>
      </c>
      <c r="E81" s="286"/>
      <c r="F81" s="287" t="s">
        <v>472</v>
      </c>
      <c r="G81" s="288" t="s">
        <v>548</v>
      </c>
      <c r="H81" s="288" t="s">
        <v>146</v>
      </c>
      <c r="I81" s="289">
        <v>45638.0</v>
      </c>
      <c r="J81" s="290">
        <v>45679.0</v>
      </c>
      <c r="K81" s="291" t="s">
        <v>549</v>
      </c>
      <c r="L81" s="292" t="s">
        <v>550</v>
      </c>
      <c r="M81" s="293" t="s">
        <v>551</v>
      </c>
      <c r="N81" s="288" t="s">
        <v>477</v>
      </c>
      <c r="O81" s="294">
        <v>1.0</v>
      </c>
      <c r="P81" s="295" t="s">
        <v>478</v>
      </c>
      <c r="Q81" s="49" t="str">
        <f t="array" ref="Q81"> if(iserror(MATCH(V81, 'File Links'!C:C, 0)), "N/A", HYPERLINK(INDEX('File Links'!B:B, MATCH(P81, 'File Links'!C:C, 0))))</f>
        <v>https://drive.google.com/file/d/1bOamtHkDDCeR5rldqOBSgCXc_AFZb3yD/view?usp=drivesdk</v>
      </c>
      <c r="R81" s="288" t="s">
        <v>479</v>
      </c>
      <c r="S81" s="288" t="s">
        <v>480</v>
      </c>
      <c r="T81" s="296"/>
      <c r="U81" s="297">
        <v>1.0</v>
      </c>
      <c r="V81" s="63" t="str">
        <f> hyperlink(vlookup(lower(S81),'File Links'!E:F, 2, FALSE), SUBSTITUTE(lower(S81), "/", "--") &amp;  ".pdf")</f>
        <v>10.1016--j.jsams.2024.07.018.pdf</v>
      </c>
      <c r="W81" s="288" t="s">
        <v>157</v>
      </c>
      <c r="X81" s="51" t="str">
        <f t="array" ref="X81"> if(iserror(MATCH(V81, 'File Links'!C:C, 0)), "N/A", HYPERLINK(INDEX('File Links'!B:B, MATCH(V81, 'File Links'!C:C, 0))))</f>
        <v>https://drive.google.com/file/d/1iWxdhqxc4T6twXLJR2WbGMzAHqB2cMPh/view?usp=drivesdk</v>
      </c>
      <c r="Y81" s="296"/>
      <c r="Z81" s="288" t="s">
        <v>496</v>
      </c>
      <c r="AA81" s="298" t="s">
        <v>497</v>
      </c>
      <c r="AB81" s="298" t="s">
        <v>483</v>
      </c>
      <c r="AC81" s="298" t="s">
        <v>552</v>
      </c>
      <c r="AD81" s="298" t="s">
        <v>553</v>
      </c>
      <c r="AE81" s="299">
        <v>3.0</v>
      </c>
      <c r="AF81" s="299">
        <v>20.0</v>
      </c>
      <c r="AG81" s="288" t="s">
        <v>554</v>
      </c>
      <c r="AH81" s="295" t="s">
        <v>127</v>
      </c>
      <c r="AI81" s="300" t="s">
        <v>210</v>
      </c>
      <c r="AJ81" s="299">
        <v>4.0E-4</v>
      </c>
      <c r="AK81" s="287" t="s">
        <v>165</v>
      </c>
      <c r="AL81" s="288" t="s">
        <v>211</v>
      </c>
      <c r="AM81" s="296" t="s">
        <v>134</v>
      </c>
      <c r="AN81" s="216" t="s">
        <v>131</v>
      </c>
      <c r="AO81" s="299">
        <v>39.0</v>
      </c>
      <c r="AP81" s="299">
        <v>0.054</v>
      </c>
      <c r="AQ81" s="288" t="s">
        <v>132</v>
      </c>
      <c r="AR81" s="288" t="s">
        <v>489</v>
      </c>
      <c r="AS81" s="299">
        <v>0.11</v>
      </c>
      <c r="AT81" s="287" t="s">
        <v>165</v>
      </c>
      <c r="AU81" s="301" t="s">
        <v>179</v>
      </c>
      <c r="AV81" s="302" t="s">
        <v>130</v>
      </c>
      <c r="AW81" s="303" t="s">
        <v>501</v>
      </c>
      <c r="AX81" s="304" t="s">
        <v>136</v>
      </c>
      <c r="AY81" s="296"/>
      <c r="AZ81" s="284" t="s">
        <v>492</v>
      </c>
      <c r="BA81" s="305"/>
      <c r="BB81" s="305"/>
      <c r="BC81" s="305"/>
      <c r="BD81" s="305"/>
      <c r="BE81" s="305"/>
      <c r="BF81" s="305"/>
      <c r="BG81" s="305"/>
      <c r="BH81" s="305"/>
      <c r="BI81" s="305"/>
      <c r="BJ81" s="305"/>
      <c r="BK81" s="305"/>
      <c r="BL81" s="305"/>
      <c r="BM81" s="305"/>
      <c r="BN81" s="305"/>
      <c r="BO81" s="305"/>
      <c r="BP81" s="305"/>
      <c r="BQ81" s="305"/>
      <c r="BR81" s="305"/>
      <c r="BS81" s="305"/>
      <c r="BT81" s="305"/>
      <c r="BU81" s="305"/>
      <c r="BV81" s="305"/>
      <c r="BW81" s="305"/>
      <c r="BX81" s="305"/>
      <c r="BY81" s="305"/>
      <c r="BZ81" s="305"/>
      <c r="CA81" s="305"/>
      <c r="CB81" s="305"/>
      <c r="CC81" s="305"/>
      <c r="CD81" s="305"/>
      <c r="CE81" s="305"/>
      <c r="CF81" s="305"/>
      <c r="CG81" s="305"/>
      <c r="CH81" s="305"/>
      <c r="CI81" s="305"/>
      <c r="CJ81" s="305"/>
      <c r="CK81" s="305"/>
      <c r="CL81" s="305"/>
      <c r="CM81" s="305"/>
      <c r="CN81" s="305"/>
      <c r="CO81" s="305"/>
      <c r="CP81" s="305"/>
      <c r="CQ81" s="305"/>
      <c r="CR81" s="305"/>
      <c r="CS81" s="305"/>
      <c r="CT81" s="305"/>
      <c r="CU81" s="305"/>
      <c r="CV81" s="305"/>
      <c r="CW81" s="305"/>
      <c r="CX81" s="305"/>
      <c r="CY81" s="305"/>
      <c r="CZ81" s="305"/>
      <c r="DA81" s="305"/>
      <c r="DB81" s="305"/>
      <c r="DC81" s="305"/>
      <c r="DD81" s="305"/>
      <c r="DE81" s="305"/>
      <c r="DF81" s="305"/>
      <c r="DG81" s="305"/>
      <c r="DH81" s="305"/>
    </row>
    <row r="82" ht="20.25" customHeight="1">
      <c r="A82" s="41">
        <v>82.0</v>
      </c>
      <c r="B82" s="42" t="s">
        <v>107</v>
      </c>
      <c r="C82" s="42" t="s">
        <v>108</v>
      </c>
      <c r="D82" s="148" t="s">
        <v>241</v>
      </c>
      <c r="E82" s="42"/>
      <c r="F82" s="59" t="s">
        <v>555</v>
      </c>
      <c r="G82" s="42" t="s">
        <v>556</v>
      </c>
      <c r="H82" s="42" t="s">
        <v>242</v>
      </c>
      <c r="I82" s="60">
        <v>45427.0</v>
      </c>
      <c r="J82" s="61">
        <v>45626.0</v>
      </c>
      <c r="K82" s="42" t="s">
        <v>557</v>
      </c>
      <c r="L82" s="62"/>
      <c r="M82" s="42" t="s">
        <v>558</v>
      </c>
      <c r="N82" s="42" t="s">
        <v>559</v>
      </c>
      <c r="O82" s="62"/>
      <c r="P82" s="115" t="str">
        <f> hyperlink(vlookup(lower(N82),'File Links'!A:B, 2, FALSE), SUBSTITUTE(lower(N82), "/", "--") &amp;  ".pdf")</f>
        <v>10.1017--s1355617717001059.pdf</v>
      </c>
      <c r="Q82" s="105" t="str">
        <f t="array" ref="Q82"> if(iserror(MATCH(V82, 'File Links'!C:C, 0)), "N/A", HYPERLINK(INDEX('File Links'!B:B, MATCH(P82, 'File Links'!C:C, 0))))</f>
        <v>N/A</v>
      </c>
      <c r="R82" s="42" t="s">
        <v>560</v>
      </c>
      <c r="S82" s="42" t="s">
        <v>561</v>
      </c>
      <c r="T82" s="62"/>
      <c r="U82" s="62"/>
      <c r="V82" s="63" t="str">
        <f> hyperlink(vlookup(lower(S82),'File Links'!E:F, 2, FALSE), SUBSTITUTE(lower(S82), "/", "--") &amp;  ".pdf")</f>
        <v>10.1038--s44220-024-00225-1.pdf</v>
      </c>
      <c r="W82" s="62"/>
      <c r="X82" s="46" t="str">
        <f t="array" ref="X82"> if(iserror(MATCH(V82, 'File Links'!C:C, 0)), "N/A", HYPERLINK(INDEX('File Links'!B:B, MATCH(V82, 'File Links'!C:C, 0))))</f>
        <v>N/A</v>
      </c>
      <c r="Y82" s="42" t="s">
        <v>562</v>
      </c>
      <c r="Z82" s="42" t="s">
        <v>496</v>
      </c>
      <c r="AA82" s="62"/>
      <c r="AB82" s="42" t="s">
        <v>563</v>
      </c>
      <c r="AC82" s="42" t="s">
        <v>564</v>
      </c>
      <c r="AD82" s="42" t="s">
        <v>565</v>
      </c>
      <c r="AE82" s="42" t="s">
        <v>566</v>
      </c>
      <c r="AF82" s="42">
        <v>272.0</v>
      </c>
      <c r="AG82" s="62"/>
      <c r="AH82" s="62"/>
      <c r="AI82" s="62"/>
      <c r="AJ82" s="42"/>
      <c r="AK82" s="62"/>
      <c r="AL82" s="62"/>
      <c r="AM82" s="64"/>
      <c r="AN82" s="216" t="s">
        <v>131</v>
      </c>
      <c r="AO82" s="62"/>
      <c r="AP82" s="62"/>
      <c r="AQ82" s="62"/>
      <c r="AR82" s="62"/>
      <c r="AS82" s="62"/>
      <c r="AT82" s="62"/>
      <c r="AU82" s="62"/>
      <c r="AV82" s="64"/>
      <c r="AX82" s="126" t="s">
        <v>567</v>
      </c>
      <c r="AY82" s="62"/>
      <c r="BA82" s="104"/>
      <c r="BB82" s="104"/>
      <c r="BC82" s="104"/>
      <c r="BD82" s="104"/>
      <c r="BE82" s="104"/>
      <c r="BF82" s="104"/>
      <c r="BG82" s="104"/>
      <c r="BH82" s="104"/>
      <c r="BI82" s="104"/>
      <c r="BJ82" s="104"/>
      <c r="BK82" s="104"/>
      <c r="BL82" s="104"/>
      <c r="BM82" s="104"/>
      <c r="BN82" s="104"/>
      <c r="BO82" s="104"/>
      <c r="BP82" s="104"/>
      <c r="BQ82" s="104"/>
      <c r="BR82" s="104"/>
      <c r="BS82" s="104"/>
      <c r="BT82" s="104"/>
      <c r="BU82" s="104"/>
      <c r="BV82" s="104"/>
      <c r="BW82" s="104"/>
      <c r="BX82" s="104"/>
      <c r="BY82" s="104"/>
      <c r="BZ82" s="104"/>
      <c r="CA82" s="104"/>
      <c r="CB82" s="104"/>
      <c r="CC82" s="104"/>
      <c r="CD82" s="104"/>
      <c r="CE82" s="104"/>
      <c r="CF82" s="104"/>
      <c r="CG82" s="104"/>
      <c r="CH82" s="104"/>
      <c r="CI82" s="104"/>
      <c r="CJ82" s="104"/>
      <c r="CK82" s="104"/>
      <c r="CL82" s="104"/>
      <c r="CM82" s="104"/>
      <c r="CN82" s="104"/>
      <c r="CO82" s="104"/>
      <c r="CP82" s="104"/>
      <c r="CQ82" s="104"/>
      <c r="CR82" s="104"/>
      <c r="CS82" s="104"/>
      <c r="CT82" s="104"/>
      <c r="CU82" s="104"/>
      <c r="CV82" s="104"/>
      <c r="CW82" s="104"/>
      <c r="CX82" s="104"/>
      <c r="CY82" s="104"/>
      <c r="CZ82" s="104"/>
      <c r="DA82" s="104"/>
      <c r="DB82" s="104"/>
      <c r="DC82" s="104"/>
      <c r="DD82" s="104"/>
      <c r="DE82" s="104"/>
      <c r="DF82" s="104"/>
      <c r="DG82" s="104"/>
      <c r="DH82" s="104"/>
    </row>
    <row r="83" ht="20.25" customHeight="1">
      <c r="A83" s="41">
        <v>83.0</v>
      </c>
      <c r="B83" s="42" t="s">
        <v>107</v>
      </c>
      <c r="C83" s="59" t="s">
        <v>108</v>
      </c>
      <c r="D83" s="59" t="s">
        <v>279</v>
      </c>
      <c r="F83" s="152" t="s">
        <v>555</v>
      </c>
      <c r="G83" s="148" t="s">
        <v>556</v>
      </c>
      <c r="H83" s="148" t="s">
        <v>282</v>
      </c>
      <c r="I83" s="150">
        <v>45427.0</v>
      </c>
      <c r="J83" s="150">
        <v>45684.0</v>
      </c>
      <c r="K83" s="126" t="s">
        <v>568</v>
      </c>
      <c r="L83" s="65"/>
      <c r="M83" s="152" t="s">
        <v>558</v>
      </c>
      <c r="N83" s="152" t="s">
        <v>559</v>
      </c>
      <c r="O83" s="153"/>
      <c r="P83" s="306" t="s">
        <v>569</v>
      </c>
      <c r="Q83" s="105" t="str">
        <f t="array" ref="Q83"> if(iserror(MATCH(V83, 'File Links'!C:C, 0)), "N/A", HYPERLINK(INDEX('File Links'!B:B, MATCH(P83, 'File Links'!C:C, 0))))</f>
        <v>N/A</v>
      </c>
      <c r="R83" s="126" t="s">
        <v>560</v>
      </c>
      <c r="S83" s="65"/>
      <c r="T83" s="65"/>
      <c r="U83" s="153"/>
      <c r="V83" s="306" t="s">
        <v>570</v>
      </c>
      <c r="W83" s="65"/>
      <c r="X83" s="46" t="str">
        <f t="array" ref="X83"> if(iserror(MATCH(V83, 'File Links'!C:C, 0)), "N/A", HYPERLINK(INDEX('File Links'!B:B, MATCH(V83, 'File Links'!C:C, 0))))</f>
        <v>N/A</v>
      </c>
      <c r="Y83" s="42" t="s">
        <v>562</v>
      </c>
      <c r="Z83" s="148" t="s">
        <v>141</v>
      </c>
      <c r="AA83" s="65"/>
      <c r="AB83" s="65"/>
      <c r="AC83" s="65"/>
      <c r="AD83" s="155"/>
      <c r="AE83" s="153"/>
      <c r="AF83" s="153"/>
      <c r="AG83" s="153"/>
      <c r="AH83" s="156"/>
      <c r="AI83" s="65"/>
      <c r="AJ83" s="157"/>
      <c r="AK83" s="54"/>
      <c r="AL83" s="54"/>
      <c r="AM83" s="65"/>
      <c r="AN83" s="216" t="s">
        <v>131</v>
      </c>
      <c r="AO83" s="153"/>
      <c r="AP83" s="153"/>
      <c r="AQ83" s="156"/>
      <c r="AR83" s="65"/>
      <c r="AS83" s="159"/>
      <c r="AT83" s="156"/>
      <c r="AU83" s="156"/>
      <c r="AV83" s="65"/>
      <c r="AW83" s="307"/>
      <c r="AX83" s="65"/>
      <c r="BA83" s="69"/>
      <c r="BB83" s="69"/>
      <c r="BC83" s="69"/>
      <c r="BD83" s="69"/>
      <c r="BE83" s="69"/>
      <c r="BF83" s="69"/>
      <c r="BG83" s="69"/>
      <c r="BH83" s="69"/>
      <c r="BI83" s="69"/>
      <c r="BJ83" s="69"/>
      <c r="BK83" s="69"/>
      <c r="BL83" s="69"/>
      <c r="BM83" s="69"/>
      <c r="BN83" s="69"/>
      <c r="BO83" s="69"/>
      <c r="BP83" s="69"/>
      <c r="BQ83" s="69"/>
      <c r="BR83" s="69"/>
      <c r="BS83" s="69"/>
      <c r="BT83" s="69"/>
      <c r="BU83" s="69"/>
      <c r="BV83" s="69"/>
      <c r="BW83" s="69"/>
      <c r="BX83" s="69"/>
      <c r="BY83" s="69"/>
      <c r="BZ83" s="69"/>
      <c r="CA83" s="69"/>
      <c r="CB83" s="69"/>
      <c r="CC83" s="69"/>
      <c r="CD83" s="69"/>
      <c r="CE83" s="69"/>
      <c r="CF83" s="69"/>
      <c r="CG83" s="69"/>
      <c r="CH83" s="69"/>
      <c r="CI83" s="69"/>
      <c r="CJ83" s="69"/>
      <c r="CK83" s="69"/>
      <c r="CL83" s="69"/>
      <c r="CM83" s="69"/>
      <c r="CN83" s="69"/>
      <c r="CO83" s="69"/>
      <c r="CP83" s="69"/>
      <c r="CQ83" s="69"/>
      <c r="CR83" s="69"/>
      <c r="CS83" s="69"/>
      <c r="CT83" s="69"/>
      <c r="CU83" s="69"/>
      <c r="CV83" s="69"/>
      <c r="CW83" s="69"/>
      <c r="CX83" s="69"/>
      <c r="CY83" s="69"/>
      <c r="CZ83" s="69"/>
      <c r="DA83" s="69"/>
      <c r="DB83" s="69"/>
      <c r="DC83" s="69"/>
      <c r="DD83" s="69"/>
      <c r="DE83" s="69"/>
      <c r="DF83" s="69"/>
      <c r="DG83" s="69"/>
      <c r="DH83" s="69"/>
    </row>
    <row r="84" ht="20.25" customHeight="1">
      <c r="A84" s="41">
        <v>84.0</v>
      </c>
      <c r="B84" s="42" t="s">
        <v>516</v>
      </c>
      <c r="C84" s="42" t="s">
        <v>108</v>
      </c>
      <c r="D84" s="148" t="s">
        <v>241</v>
      </c>
      <c r="E84" s="42"/>
      <c r="F84" s="59" t="s">
        <v>571</v>
      </c>
      <c r="G84" s="42" t="s">
        <v>572</v>
      </c>
      <c r="H84" s="42" t="s">
        <v>242</v>
      </c>
      <c r="I84" s="60">
        <v>45427.0</v>
      </c>
      <c r="J84" s="61">
        <v>45626.0</v>
      </c>
      <c r="K84" s="42" t="s">
        <v>573</v>
      </c>
      <c r="L84" s="62"/>
      <c r="M84" s="42" t="s">
        <v>574</v>
      </c>
      <c r="N84" s="42" t="s">
        <v>575</v>
      </c>
      <c r="O84" s="62"/>
      <c r="P84" s="115" t="str">
        <f> hyperlink(vlookup(lower(N84),'File Links'!A:B, 2, FALSE), SUBSTITUTE(lower(N84), "/", "--") &amp;  ".pdf")</f>
        <v>10.2307--25148791.pdf</v>
      </c>
      <c r="Q84" s="49" t="str">
        <f t="array" ref="Q84"> if(iserror(MATCH(V84, 'File Links'!C:C, 0)), "N/A", HYPERLINK(INDEX('File Links'!B:B, MATCH(P84, 'File Links'!C:C, 0))))</f>
        <v>https://drive.google.com/file/d/1R2VrRXYyejGfSg11kpe_vHbQr5DvYbiJ/view?usp=drivesdk</v>
      </c>
      <c r="R84" s="42" t="s">
        <v>576</v>
      </c>
      <c r="S84" s="42" t="s">
        <v>577</v>
      </c>
      <c r="T84" s="62"/>
      <c r="U84" s="62"/>
      <c r="V84" s="63" t="str">
        <f> hyperlink(vlookup(lower(S84),'File Links'!E:F, 2, FALSE), SUBSTITUTE(lower(S84), "/", "--") &amp;  ".pdf")</f>
        <v>10.2139--ssrn.3816626.pdf</v>
      </c>
      <c r="W84" s="62"/>
      <c r="X84" s="51" t="str">
        <f t="array" ref="X84"> if(iserror(MATCH(V84, 'File Links'!C:C, 0)), "N/A", HYPERLINK(INDEX('File Links'!B:B, MATCH(V84, 'File Links'!C:C, 0))))</f>
        <v>https://drive.google.com/file/d/15dFaGlw5PiU4FQdHXfm-MBl-bSuobzO2/view?usp=drivesdk</v>
      </c>
      <c r="Y84" s="42" t="s">
        <v>578</v>
      </c>
      <c r="Z84" s="42" t="s">
        <v>579</v>
      </c>
      <c r="AA84" s="62"/>
      <c r="AB84" s="62"/>
      <c r="AC84" s="42" t="s">
        <v>580</v>
      </c>
      <c r="AD84" s="62"/>
      <c r="AE84" s="62"/>
      <c r="AF84" s="62"/>
      <c r="AG84" s="62"/>
      <c r="AH84" s="62"/>
      <c r="AI84" s="62"/>
      <c r="AJ84" s="42"/>
      <c r="AK84" s="62"/>
      <c r="AL84" s="62"/>
      <c r="AM84" s="64"/>
      <c r="AN84" s="216" t="s">
        <v>131</v>
      </c>
      <c r="AO84" s="62"/>
      <c r="AP84" s="62"/>
      <c r="AQ84" s="62"/>
      <c r="AR84" s="62"/>
      <c r="AS84" s="62"/>
      <c r="AT84" s="62"/>
      <c r="AU84" s="62"/>
      <c r="AV84" s="64"/>
      <c r="AX84" s="126" t="s">
        <v>266</v>
      </c>
      <c r="AY84" s="62"/>
      <c r="BA84" s="104"/>
      <c r="BB84" s="104"/>
      <c r="BC84" s="104"/>
      <c r="BD84" s="104"/>
      <c r="BE84" s="104"/>
      <c r="BF84" s="104"/>
      <c r="BG84" s="104"/>
      <c r="BH84" s="104"/>
      <c r="BI84" s="104"/>
      <c r="BJ84" s="104"/>
      <c r="BK84" s="104"/>
      <c r="BL84" s="104"/>
      <c r="BM84" s="104"/>
      <c r="BN84" s="104"/>
      <c r="BO84" s="104"/>
      <c r="BP84" s="104"/>
      <c r="BQ84" s="104"/>
      <c r="BR84" s="104"/>
      <c r="BS84" s="104"/>
      <c r="BT84" s="104"/>
      <c r="BU84" s="104"/>
      <c r="BV84" s="104"/>
      <c r="BW84" s="104"/>
      <c r="BX84" s="104"/>
      <c r="BY84" s="104"/>
      <c r="BZ84" s="104"/>
      <c r="CA84" s="104"/>
      <c r="CB84" s="104"/>
      <c r="CC84" s="104"/>
      <c r="CD84" s="104"/>
      <c r="CE84" s="104"/>
      <c r="CF84" s="104"/>
      <c r="CG84" s="104"/>
      <c r="CH84" s="104"/>
      <c r="CI84" s="104"/>
      <c r="CJ84" s="104"/>
      <c r="CK84" s="104"/>
      <c r="CL84" s="104"/>
      <c r="CM84" s="104"/>
      <c r="CN84" s="104"/>
      <c r="CO84" s="104"/>
      <c r="CP84" s="104"/>
      <c r="CQ84" s="104"/>
      <c r="CR84" s="104"/>
      <c r="CS84" s="104"/>
      <c r="CT84" s="104"/>
      <c r="CU84" s="104"/>
      <c r="CV84" s="104"/>
      <c r="CW84" s="104"/>
      <c r="CX84" s="104"/>
      <c r="CY84" s="104"/>
      <c r="CZ84" s="104"/>
      <c r="DA84" s="104"/>
      <c r="DB84" s="104"/>
      <c r="DC84" s="104"/>
      <c r="DD84" s="104"/>
      <c r="DE84" s="104"/>
      <c r="DF84" s="104"/>
      <c r="DG84" s="104"/>
      <c r="DH84" s="104"/>
    </row>
    <row r="85" ht="20.25" customHeight="1">
      <c r="A85" s="41">
        <v>85.0</v>
      </c>
      <c r="B85" s="42" t="s">
        <v>516</v>
      </c>
      <c r="C85" s="59" t="s">
        <v>108</v>
      </c>
      <c r="D85" s="59" t="s">
        <v>279</v>
      </c>
      <c r="F85" s="152" t="s">
        <v>571</v>
      </c>
      <c r="G85" s="148" t="s">
        <v>572</v>
      </c>
      <c r="H85" s="148" t="s">
        <v>282</v>
      </c>
      <c r="I85" s="150">
        <v>45427.0</v>
      </c>
      <c r="J85" s="150">
        <v>45684.0</v>
      </c>
      <c r="K85" s="126" t="s">
        <v>581</v>
      </c>
      <c r="L85" s="65"/>
      <c r="M85" s="152" t="s">
        <v>574</v>
      </c>
      <c r="N85" s="152" t="s">
        <v>575</v>
      </c>
      <c r="O85" s="153"/>
      <c r="P85" s="306" t="s">
        <v>582</v>
      </c>
      <c r="Q85" s="49" t="str">
        <f t="array" ref="Q85"> if(iserror(MATCH(V85, 'File Links'!C:C, 0)), "N/A", HYPERLINK(INDEX('File Links'!B:B, MATCH(P85, 'File Links'!C:C, 0))))</f>
        <v>https://drive.google.com/file/d/1R2VrRXYyejGfSg11kpe_vHbQr5DvYbiJ/view?usp=drivesdk</v>
      </c>
      <c r="R85" s="126" t="s">
        <v>576</v>
      </c>
      <c r="S85" s="126" t="s">
        <v>577</v>
      </c>
      <c r="T85" s="65"/>
      <c r="U85" s="153"/>
      <c r="V85" s="63" t="str">
        <f> hyperlink(vlookup(lower(S85),'File Links'!E:F, 2, FALSE), SUBSTITUTE(lower(S85), "/", "--") &amp;  ".pdf")</f>
        <v>10.2139--ssrn.3816626.pdf</v>
      </c>
      <c r="W85" s="65"/>
      <c r="X85" s="51" t="str">
        <f t="array" ref="X85"> if(iserror(MATCH(V85, 'File Links'!C:C, 0)), "N/A", HYPERLINK(INDEX('File Links'!B:B, MATCH(V85, 'File Links'!C:C, 0))))</f>
        <v>https://drive.google.com/file/d/15dFaGlw5PiU4FQdHXfm-MBl-bSuobzO2/view?usp=drivesdk</v>
      </c>
      <c r="Z85" s="148" t="s">
        <v>579</v>
      </c>
      <c r="AG85" s="153"/>
      <c r="AH85" s="156"/>
      <c r="AI85" s="65"/>
      <c r="AJ85" s="157"/>
      <c r="AK85" s="54"/>
      <c r="AL85" s="54"/>
      <c r="AM85" s="65"/>
      <c r="AN85" s="216" t="s">
        <v>131</v>
      </c>
      <c r="AO85" s="153"/>
      <c r="AP85" s="153"/>
      <c r="AQ85" s="156"/>
      <c r="AR85" s="65"/>
      <c r="AS85" s="159"/>
      <c r="AT85" s="156"/>
      <c r="AU85" s="156"/>
      <c r="AV85" s="65"/>
      <c r="AW85" s="307"/>
      <c r="AX85" s="65"/>
      <c r="BA85" s="69"/>
      <c r="BB85" s="69"/>
      <c r="BC85" s="69"/>
      <c r="BD85" s="69"/>
      <c r="BE85" s="69"/>
      <c r="BF85" s="69"/>
      <c r="BG85" s="69"/>
      <c r="BH85" s="69"/>
      <c r="BI85" s="69"/>
      <c r="BJ85" s="69"/>
      <c r="BK85" s="69"/>
      <c r="BL85" s="69"/>
      <c r="BM85" s="69"/>
      <c r="BN85" s="69"/>
      <c r="BO85" s="69"/>
      <c r="BP85" s="69"/>
      <c r="BQ85" s="69"/>
      <c r="BR85" s="69"/>
      <c r="BS85" s="69"/>
      <c r="BT85" s="69"/>
      <c r="BU85" s="69"/>
      <c r="BV85" s="69"/>
      <c r="BW85" s="69"/>
      <c r="BX85" s="69"/>
      <c r="BY85" s="69"/>
      <c r="BZ85" s="69"/>
      <c r="CA85" s="69"/>
      <c r="CB85" s="69"/>
      <c r="CC85" s="69"/>
      <c r="CD85" s="69"/>
      <c r="CE85" s="69"/>
      <c r="CF85" s="69"/>
      <c r="CG85" s="69"/>
      <c r="CH85" s="69"/>
      <c r="CI85" s="69"/>
      <c r="CJ85" s="69"/>
      <c r="CK85" s="69"/>
      <c r="CL85" s="69"/>
      <c r="CM85" s="69"/>
      <c r="CN85" s="69"/>
      <c r="CO85" s="69"/>
      <c r="CP85" s="69"/>
      <c r="CQ85" s="69"/>
      <c r="CR85" s="69"/>
      <c r="CS85" s="69"/>
      <c r="CT85" s="69"/>
      <c r="CU85" s="69"/>
      <c r="CV85" s="69"/>
      <c r="CW85" s="69"/>
      <c r="CX85" s="69"/>
      <c r="CY85" s="69"/>
      <c r="CZ85" s="69"/>
      <c r="DA85" s="69"/>
      <c r="DB85" s="69"/>
      <c r="DC85" s="69"/>
      <c r="DD85" s="69"/>
      <c r="DE85" s="69"/>
      <c r="DF85" s="69"/>
      <c r="DG85" s="69"/>
      <c r="DH85" s="69"/>
    </row>
    <row r="86" ht="20.25" customHeight="1">
      <c r="A86" s="41">
        <v>86.0</v>
      </c>
      <c r="B86" s="106" t="s">
        <v>583</v>
      </c>
      <c r="C86" s="106" t="s">
        <v>108</v>
      </c>
      <c r="D86" s="146" t="s">
        <v>435</v>
      </c>
      <c r="E86" s="69"/>
      <c r="F86" s="215" t="s">
        <v>584</v>
      </c>
      <c r="G86" s="207" t="s">
        <v>585</v>
      </c>
      <c r="H86" s="207" t="s">
        <v>438</v>
      </c>
      <c r="I86" s="208">
        <v>45636.0</v>
      </c>
      <c r="J86" s="308">
        <v>45680.0</v>
      </c>
      <c r="K86" s="111"/>
      <c r="L86" s="144" t="s">
        <v>586</v>
      </c>
      <c r="M86" s="207" t="s">
        <v>587</v>
      </c>
      <c r="N86" s="207" t="s">
        <v>588</v>
      </c>
      <c r="O86" s="111"/>
      <c r="P86" s="211" t="s">
        <v>589</v>
      </c>
      <c r="Q86" s="49" t="str">
        <f t="array" ref="Q86"> if(iserror(MATCH(V86, 'File Links'!C:C, 0)), "N/A", HYPERLINK(INDEX('File Links'!B:B, MATCH(P86, 'File Links'!C:C, 0))))</f>
        <v>https://drive.google.com/file/d/1RTiaFppoyqVSbs6ENCjo8xyaIVfjFhVI/view?usp=drivesdk</v>
      </c>
      <c r="R86" s="207" t="s">
        <v>590</v>
      </c>
      <c r="S86" s="309" t="s">
        <v>591</v>
      </c>
      <c r="T86" s="111"/>
      <c r="U86" s="117"/>
      <c r="V86" s="63" t="str">
        <f> hyperlink(vlookup(lower(S86),'File Links'!E:F, 2, FALSE), SUBSTITUTE(lower(S86), "/", "--") &amp;  ".pdf")</f>
        <v>10.1016--j.jsp.2024.101307.pdf</v>
      </c>
      <c r="W86" s="207" t="s">
        <v>157</v>
      </c>
      <c r="X86" s="51" t="str">
        <f t="array" ref="X86"> if(iserror(MATCH(V86, 'File Links'!C:C, 0)), "N/A", HYPERLINK(INDEX('File Links'!B:B, MATCH(V86, 'File Links'!C:C, 0))))</f>
        <v>https://drive.google.com/file/d/1VAdnhoiJmdHbv1LbvyIfcfg3rNALrpkj/view?usp=drivesdk</v>
      </c>
      <c r="Y86" s="111"/>
      <c r="Z86" s="310" t="s">
        <v>234</v>
      </c>
      <c r="AA86" s="111"/>
      <c r="AB86" s="207" t="s">
        <v>592</v>
      </c>
      <c r="AC86" s="207" t="s">
        <v>593</v>
      </c>
      <c r="AD86" s="311" t="s">
        <v>594</v>
      </c>
      <c r="AE86" s="214">
        <v>25.0</v>
      </c>
      <c r="AF86" s="214">
        <v>6.0</v>
      </c>
      <c r="AG86" s="312">
        <v>1.21</v>
      </c>
      <c r="AH86" s="211" t="s">
        <v>595</v>
      </c>
      <c r="AI86" s="207" t="s">
        <v>596</v>
      </c>
      <c r="AJ86" s="313">
        <v>0.006</v>
      </c>
      <c r="AK86" s="215" t="s">
        <v>165</v>
      </c>
      <c r="AL86" s="207" t="s">
        <v>179</v>
      </c>
      <c r="AM86" s="207" t="s">
        <v>134</v>
      </c>
      <c r="AN86" s="216" t="s">
        <v>131</v>
      </c>
      <c r="AO86" s="214">
        <v>4.0</v>
      </c>
      <c r="AP86" s="214">
        <v>2.06</v>
      </c>
      <c r="AQ86" s="207" t="s">
        <v>595</v>
      </c>
      <c r="AR86" s="207" t="s">
        <v>597</v>
      </c>
      <c r="AS86" s="313">
        <v>0.25</v>
      </c>
      <c r="AT86" s="215" t="s">
        <v>165</v>
      </c>
      <c r="AU86" s="215" t="s">
        <v>179</v>
      </c>
      <c r="AV86" s="215" t="s">
        <v>134</v>
      </c>
      <c r="AW86" s="108"/>
      <c r="AX86" s="215" t="s">
        <v>431</v>
      </c>
      <c r="AY86" s="144" t="s">
        <v>598</v>
      </c>
      <c r="AZ86" s="146" t="s">
        <v>137</v>
      </c>
      <c r="BA86" s="69"/>
      <c r="BB86" s="69"/>
      <c r="BC86" s="69"/>
      <c r="BD86" s="69"/>
      <c r="BE86" s="69"/>
      <c r="BF86" s="69"/>
      <c r="BG86" s="69"/>
      <c r="BH86" s="69"/>
      <c r="BI86" s="69"/>
      <c r="BJ86" s="69"/>
      <c r="BK86" s="69"/>
      <c r="BL86" s="69"/>
      <c r="BM86" s="69"/>
      <c r="BN86" s="69"/>
      <c r="BO86" s="69"/>
      <c r="BP86" s="69"/>
      <c r="BQ86" s="69"/>
      <c r="BR86" s="69"/>
      <c r="BS86" s="69"/>
      <c r="BT86" s="69"/>
      <c r="BU86" s="69"/>
      <c r="BV86" s="69"/>
      <c r="BW86" s="69"/>
      <c r="BX86" s="69"/>
      <c r="BY86" s="69"/>
      <c r="BZ86" s="69"/>
      <c r="CA86" s="69"/>
      <c r="CB86" s="69"/>
      <c r="CC86" s="69"/>
      <c r="CD86" s="69"/>
      <c r="CE86" s="69"/>
      <c r="CF86" s="69"/>
      <c r="CG86" s="69"/>
      <c r="CH86" s="69"/>
      <c r="CI86" s="69"/>
      <c r="CJ86" s="69"/>
      <c r="CK86" s="69"/>
      <c r="CL86" s="69"/>
      <c r="CM86" s="69"/>
      <c r="CN86" s="69"/>
      <c r="CO86" s="69"/>
      <c r="CP86" s="69"/>
      <c r="CQ86" s="69"/>
      <c r="CR86" s="69"/>
      <c r="CS86" s="69"/>
      <c r="CT86" s="69"/>
      <c r="CU86" s="69"/>
      <c r="CV86" s="69"/>
      <c r="CW86" s="69"/>
      <c r="CX86" s="69"/>
      <c r="CY86" s="69"/>
      <c r="CZ86" s="69"/>
      <c r="DA86" s="69"/>
      <c r="DB86" s="69"/>
      <c r="DC86" s="69"/>
      <c r="DD86" s="69"/>
      <c r="DE86" s="69"/>
      <c r="DF86" s="69"/>
      <c r="DG86" s="69"/>
      <c r="DH86" s="69"/>
    </row>
    <row r="87" ht="20.25" customHeight="1">
      <c r="A87" s="41">
        <v>87.0</v>
      </c>
      <c r="B87" s="106" t="s">
        <v>583</v>
      </c>
      <c r="C87" s="121" t="s">
        <v>108</v>
      </c>
      <c r="D87" s="121" t="s">
        <v>339</v>
      </c>
      <c r="E87" s="104"/>
      <c r="F87" s="122" t="s">
        <v>584</v>
      </c>
      <c r="G87" s="123" t="s">
        <v>585</v>
      </c>
      <c r="H87" s="123" t="s">
        <v>342</v>
      </c>
      <c r="I87" s="314">
        <v>45639.0</v>
      </c>
      <c r="J87" s="308">
        <v>45680.0</v>
      </c>
      <c r="K87" s="219" t="s">
        <v>599</v>
      </c>
      <c r="L87" s="144" t="s">
        <v>586</v>
      </c>
      <c r="M87" s="123" t="s">
        <v>587</v>
      </c>
      <c r="N87" s="219" t="s">
        <v>588</v>
      </c>
      <c r="O87" s="129"/>
      <c r="P87" s="220" t="s">
        <v>589</v>
      </c>
      <c r="Q87" s="49" t="str">
        <f t="array" ref="Q87"> if(iserror(MATCH(V87, 'File Links'!C:C, 0)), "N/A", HYPERLINK(INDEX('File Links'!B:B, MATCH(P87, 'File Links'!C:C, 0))))</f>
        <v>https://drive.google.com/file/d/1RTiaFppoyqVSbs6ENCjo8xyaIVfjFhVI/view?usp=drivesdk</v>
      </c>
      <c r="R87" s="123" t="s">
        <v>590</v>
      </c>
      <c r="S87" s="123" t="s">
        <v>591</v>
      </c>
      <c r="T87" s="129"/>
      <c r="U87" s="315"/>
      <c r="V87" s="63" t="str">
        <f> hyperlink(vlookup(lower(S87),'File Links'!E:F, 2, FALSE), SUBSTITUTE(lower(S87), "/", "--") &amp;  ".pdf")</f>
        <v>10.1016--j.jsp.2024.101307.pdf</v>
      </c>
      <c r="W87" s="123" t="s">
        <v>600</v>
      </c>
      <c r="X87" s="51" t="str">
        <f t="array" ref="X87"> if(iserror(MATCH(V87, 'File Links'!C:C, 0)), "N/A", HYPERLINK(INDEX('File Links'!B:B, MATCH(V87, 'File Links'!C:C, 0))))</f>
        <v>https://drive.google.com/file/d/1VAdnhoiJmdHbv1LbvyIfcfg3rNALrpkj/view?usp=drivesdk</v>
      </c>
      <c r="Y87" s="129"/>
      <c r="Z87" s="310" t="s">
        <v>234</v>
      </c>
      <c r="AA87" s="129"/>
      <c r="AB87" s="219" t="s">
        <v>601</v>
      </c>
      <c r="AC87" s="219" t="s">
        <v>602</v>
      </c>
      <c r="AD87" s="219" t="s">
        <v>603</v>
      </c>
      <c r="AE87" s="123" t="s">
        <v>604</v>
      </c>
      <c r="AF87" s="127">
        <v>6.0</v>
      </c>
      <c r="AG87" s="316">
        <v>1.33</v>
      </c>
      <c r="AH87" s="220" t="s">
        <v>166</v>
      </c>
      <c r="AI87" s="123" t="s">
        <v>605</v>
      </c>
      <c r="AJ87" s="127">
        <v>0.006</v>
      </c>
      <c r="AK87" s="137" t="s">
        <v>165</v>
      </c>
      <c r="AL87" s="123" t="s">
        <v>179</v>
      </c>
      <c r="AM87" s="129"/>
      <c r="AN87" s="216" t="s">
        <v>131</v>
      </c>
      <c r="AO87" s="127">
        <v>4.0</v>
      </c>
      <c r="AP87" s="317">
        <v>2.06</v>
      </c>
      <c r="AQ87" s="123" t="s">
        <v>595</v>
      </c>
      <c r="AR87" s="123" t="s">
        <v>606</v>
      </c>
      <c r="AS87" s="317">
        <v>0.25</v>
      </c>
      <c r="AT87" s="137" t="s">
        <v>165</v>
      </c>
      <c r="AU87" s="137" t="s">
        <v>179</v>
      </c>
      <c r="AV87" s="122"/>
      <c r="AW87" s="122" t="s">
        <v>131</v>
      </c>
      <c r="AX87" s="122" t="s">
        <v>431</v>
      </c>
      <c r="AY87" s="216" t="s">
        <v>607</v>
      </c>
      <c r="AZ87" s="146" t="s">
        <v>137</v>
      </c>
      <c r="BC87" s="108"/>
      <c r="BD87" s="108"/>
      <c r="BE87" s="108"/>
      <c r="BF87" s="108"/>
      <c r="BG87" s="108"/>
      <c r="BH87" s="108"/>
      <c r="BI87" s="108"/>
      <c r="BJ87" s="108"/>
      <c r="BK87" s="108"/>
      <c r="BL87" s="108"/>
      <c r="BM87" s="108"/>
      <c r="BN87" s="108"/>
      <c r="BO87" s="108"/>
      <c r="BP87" s="108"/>
      <c r="BQ87" s="108"/>
      <c r="BR87" s="108"/>
      <c r="BS87" s="108"/>
      <c r="BT87" s="108"/>
      <c r="BU87" s="108"/>
      <c r="BV87" s="108"/>
      <c r="BW87" s="108"/>
      <c r="BX87" s="108"/>
      <c r="BY87" s="108"/>
      <c r="BZ87" s="108"/>
      <c r="CA87" s="108"/>
      <c r="CB87" s="108"/>
      <c r="CC87" s="108"/>
      <c r="CD87" s="108"/>
      <c r="CE87" s="108"/>
      <c r="CF87" s="108"/>
      <c r="CG87" s="108"/>
      <c r="CH87" s="108"/>
      <c r="CI87" s="108"/>
      <c r="CJ87" s="108"/>
      <c r="CK87" s="108"/>
      <c r="CL87" s="108"/>
      <c r="CM87" s="108"/>
      <c r="CN87" s="108"/>
      <c r="CO87" s="108"/>
      <c r="CP87" s="108"/>
      <c r="CQ87" s="108"/>
      <c r="CR87" s="108"/>
      <c r="CS87" s="108"/>
      <c r="CT87" s="108"/>
      <c r="CU87" s="108"/>
      <c r="CV87" s="108"/>
      <c r="CW87" s="108"/>
      <c r="CX87" s="108"/>
      <c r="CY87" s="108"/>
      <c r="CZ87" s="108"/>
      <c r="DA87" s="108"/>
      <c r="DB87" s="108"/>
      <c r="DC87" s="108"/>
      <c r="DD87" s="108"/>
      <c r="DE87" s="108"/>
      <c r="DF87" s="108"/>
      <c r="DG87" s="69"/>
      <c r="DH87" s="69"/>
    </row>
    <row r="88" ht="20.25" customHeight="1">
      <c r="A88" s="41">
        <v>88.0</v>
      </c>
      <c r="B88" s="106" t="s">
        <v>583</v>
      </c>
      <c r="C88" s="106" t="s">
        <v>108</v>
      </c>
      <c r="D88" s="146" t="s">
        <v>435</v>
      </c>
      <c r="E88" s="69"/>
      <c r="F88" s="122" t="s">
        <v>584</v>
      </c>
      <c r="G88" s="207" t="s">
        <v>608</v>
      </c>
      <c r="H88" s="207" t="s">
        <v>438</v>
      </c>
      <c r="I88" s="208">
        <v>45636.0</v>
      </c>
      <c r="J88" s="308">
        <v>45680.0</v>
      </c>
      <c r="K88" s="207" t="s">
        <v>609</v>
      </c>
      <c r="L88" s="144" t="s">
        <v>586</v>
      </c>
      <c r="M88" s="207" t="s">
        <v>587</v>
      </c>
      <c r="N88" s="207" t="s">
        <v>588</v>
      </c>
      <c r="O88" s="111"/>
      <c r="P88" s="211" t="s">
        <v>589</v>
      </c>
      <c r="Q88" s="49" t="str">
        <f t="array" ref="Q88"> if(iserror(MATCH(V88, 'File Links'!C:C, 0)), "N/A", HYPERLINK(INDEX('File Links'!B:B, MATCH(P88, 'File Links'!C:C, 0))))</f>
        <v>https://drive.google.com/file/d/1RTiaFppoyqVSbs6ENCjo8xyaIVfjFhVI/view?usp=drivesdk</v>
      </c>
      <c r="R88" s="207" t="s">
        <v>590</v>
      </c>
      <c r="S88" s="309" t="s">
        <v>591</v>
      </c>
      <c r="T88" s="111"/>
      <c r="U88" s="117"/>
      <c r="V88" s="63" t="str">
        <f> hyperlink(vlookup(lower(S88),'File Links'!E:F, 2, FALSE), SUBSTITUTE(lower(S88), "/", "--") &amp;  ".pdf")</f>
        <v>10.1016--j.jsp.2024.101307.pdf</v>
      </c>
      <c r="W88" s="207" t="s">
        <v>157</v>
      </c>
      <c r="X88" s="51" t="str">
        <f t="array" ref="X88"> if(iserror(MATCH(V88, 'File Links'!C:C, 0)), "N/A", HYPERLINK(INDEX('File Links'!B:B, MATCH(V88, 'File Links'!C:C, 0))))</f>
        <v>https://drive.google.com/file/d/1VAdnhoiJmdHbv1LbvyIfcfg3rNALrpkj/view?usp=drivesdk</v>
      </c>
      <c r="Y88" s="111"/>
      <c r="Z88" s="310" t="s">
        <v>234</v>
      </c>
      <c r="AA88" s="111"/>
      <c r="AB88" s="207" t="s">
        <v>592</v>
      </c>
      <c r="AC88" s="207" t="s">
        <v>593</v>
      </c>
      <c r="AD88" s="207" t="s">
        <v>594</v>
      </c>
      <c r="AE88" s="214">
        <v>25.0</v>
      </c>
      <c r="AF88" s="214">
        <v>6.0</v>
      </c>
      <c r="AG88" s="313">
        <v>1.21</v>
      </c>
      <c r="AH88" s="211" t="s">
        <v>595</v>
      </c>
      <c r="AI88" s="207" t="s">
        <v>596</v>
      </c>
      <c r="AJ88" s="313">
        <v>0.006</v>
      </c>
      <c r="AK88" s="215" t="s">
        <v>165</v>
      </c>
      <c r="AL88" s="207" t="s">
        <v>179</v>
      </c>
      <c r="AM88" s="207" t="s">
        <v>134</v>
      </c>
      <c r="AN88" s="216" t="s">
        <v>131</v>
      </c>
      <c r="AO88" s="214">
        <v>4.0</v>
      </c>
      <c r="AP88" s="214">
        <v>1.5</v>
      </c>
      <c r="AQ88" s="207" t="s">
        <v>595</v>
      </c>
      <c r="AR88" s="207" t="s">
        <v>597</v>
      </c>
      <c r="AS88" s="313">
        <v>0.042</v>
      </c>
      <c r="AT88" s="215" t="s">
        <v>165</v>
      </c>
      <c r="AU88" s="215" t="s">
        <v>179</v>
      </c>
      <c r="AV88" s="215" t="s">
        <v>134</v>
      </c>
      <c r="AW88" s="108"/>
      <c r="AX88" s="215" t="s">
        <v>431</v>
      </c>
      <c r="AY88" s="111"/>
      <c r="AZ88" s="146" t="s">
        <v>137</v>
      </c>
      <c r="BC88" s="69"/>
      <c r="BD88" s="69"/>
      <c r="BE88" s="69"/>
      <c r="BF88" s="69"/>
      <c r="BG88" s="69"/>
      <c r="BH88" s="69"/>
      <c r="BI88" s="69"/>
      <c r="BJ88" s="69"/>
      <c r="BK88" s="69"/>
      <c r="BL88" s="69"/>
      <c r="BM88" s="69"/>
      <c r="BN88" s="69"/>
      <c r="BO88" s="69"/>
      <c r="BP88" s="69"/>
      <c r="BQ88" s="69"/>
      <c r="BR88" s="69"/>
      <c r="BS88" s="69"/>
      <c r="BT88" s="69"/>
      <c r="BU88" s="69"/>
      <c r="BV88" s="69"/>
      <c r="BW88" s="69"/>
      <c r="BX88" s="69"/>
      <c r="BY88" s="69"/>
      <c r="BZ88" s="69"/>
      <c r="CA88" s="69"/>
      <c r="CB88" s="69"/>
      <c r="CC88" s="69"/>
      <c r="CD88" s="69"/>
      <c r="CE88" s="69"/>
      <c r="CF88" s="69"/>
      <c r="CG88" s="69"/>
      <c r="CH88" s="69"/>
      <c r="CI88" s="69"/>
      <c r="CJ88" s="69"/>
      <c r="CK88" s="69"/>
      <c r="CL88" s="69"/>
      <c r="CM88" s="69"/>
      <c r="CN88" s="69"/>
      <c r="CO88" s="69"/>
      <c r="CP88" s="69"/>
      <c r="CQ88" s="69"/>
      <c r="CR88" s="69"/>
      <c r="CS88" s="69"/>
      <c r="CT88" s="69"/>
      <c r="CU88" s="69"/>
      <c r="CV88" s="69"/>
      <c r="CW88" s="69"/>
      <c r="CX88" s="69"/>
      <c r="CY88" s="69"/>
      <c r="CZ88" s="69"/>
      <c r="DA88" s="69"/>
      <c r="DB88" s="69"/>
      <c r="DC88" s="69"/>
      <c r="DD88" s="69"/>
      <c r="DE88" s="69"/>
      <c r="DF88" s="69"/>
      <c r="DG88" s="69"/>
      <c r="DH88" s="69"/>
    </row>
    <row r="89" ht="20.25" customHeight="1">
      <c r="A89" s="41">
        <v>89.0</v>
      </c>
      <c r="B89" s="106" t="s">
        <v>583</v>
      </c>
      <c r="C89" s="121" t="s">
        <v>108</v>
      </c>
      <c r="D89" s="121" t="s">
        <v>339</v>
      </c>
      <c r="E89" s="104"/>
      <c r="F89" s="122" t="s">
        <v>584</v>
      </c>
      <c r="G89" s="123" t="s">
        <v>608</v>
      </c>
      <c r="H89" s="123" t="s">
        <v>342</v>
      </c>
      <c r="I89" s="314">
        <v>45639.0</v>
      </c>
      <c r="J89" s="308">
        <v>45680.0</v>
      </c>
      <c r="K89" s="219" t="s">
        <v>610</v>
      </c>
      <c r="L89" s="144" t="s">
        <v>586</v>
      </c>
      <c r="M89" s="123" t="s">
        <v>587</v>
      </c>
      <c r="N89" s="219" t="s">
        <v>588</v>
      </c>
      <c r="O89" s="129"/>
      <c r="P89" s="220" t="s">
        <v>589</v>
      </c>
      <c r="Q89" s="49" t="str">
        <f t="array" ref="Q89"> if(iserror(MATCH(V89, 'File Links'!C:C, 0)), "N/A", HYPERLINK(INDEX('File Links'!B:B, MATCH(P89, 'File Links'!C:C, 0))))</f>
        <v>https://drive.google.com/file/d/1RTiaFppoyqVSbs6ENCjo8xyaIVfjFhVI/view?usp=drivesdk</v>
      </c>
      <c r="R89" s="123" t="s">
        <v>590</v>
      </c>
      <c r="S89" s="123" t="s">
        <v>591</v>
      </c>
      <c r="T89" s="129"/>
      <c r="U89" s="315"/>
      <c r="V89" s="63" t="str">
        <f> hyperlink(vlookup(lower(S89),'File Links'!E:F, 2, FALSE), SUBSTITUTE(lower(S89), "/", "--") &amp;  ".pdf")</f>
        <v>10.1016--j.jsp.2024.101307.pdf</v>
      </c>
      <c r="W89" s="123" t="s">
        <v>600</v>
      </c>
      <c r="X89" s="51" t="str">
        <f t="array" ref="X89"> if(iserror(MATCH(V89, 'File Links'!C:C, 0)), "N/A", HYPERLINK(INDEX('File Links'!B:B, MATCH(V89, 'File Links'!C:C, 0))))</f>
        <v>https://drive.google.com/file/d/1VAdnhoiJmdHbv1LbvyIfcfg3rNALrpkj/view?usp=drivesdk</v>
      </c>
      <c r="Y89" s="129"/>
      <c r="Z89" s="310" t="s">
        <v>234</v>
      </c>
      <c r="AA89" s="129"/>
      <c r="AB89" s="219" t="s">
        <v>601</v>
      </c>
      <c r="AC89" s="219" t="s">
        <v>602</v>
      </c>
      <c r="AD89" s="219" t="s">
        <v>611</v>
      </c>
      <c r="AE89" s="123" t="s">
        <v>612</v>
      </c>
      <c r="AF89" s="127">
        <v>6.0</v>
      </c>
      <c r="AG89" s="127">
        <v>2.8</v>
      </c>
      <c r="AH89" s="220" t="s">
        <v>166</v>
      </c>
      <c r="AI89" s="123" t="s">
        <v>429</v>
      </c>
      <c r="AJ89" s="127">
        <v>0.001</v>
      </c>
      <c r="AK89" s="137" t="s">
        <v>165</v>
      </c>
      <c r="AL89" s="123" t="s">
        <v>179</v>
      </c>
      <c r="AM89" s="129"/>
      <c r="AN89" s="216" t="s">
        <v>131</v>
      </c>
      <c r="AO89" s="127">
        <v>4.0</v>
      </c>
      <c r="AP89" s="127">
        <v>3.59</v>
      </c>
      <c r="AQ89" s="123" t="s">
        <v>595</v>
      </c>
      <c r="AR89" s="123" t="s">
        <v>606</v>
      </c>
      <c r="AS89" s="127">
        <v>0.042</v>
      </c>
      <c r="AT89" s="137" t="s">
        <v>165</v>
      </c>
      <c r="AU89" s="137" t="s">
        <v>179</v>
      </c>
      <c r="AV89" s="122"/>
      <c r="AW89" s="122" t="s">
        <v>131</v>
      </c>
      <c r="AX89" s="122" t="s">
        <v>431</v>
      </c>
      <c r="AY89" s="129"/>
      <c r="AZ89" s="146" t="s">
        <v>137</v>
      </c>
      <c r="BC89" s="69"/>
      <c r="BD89" s="69"/>
      <c r="BE89" s="69"/>
      <c r="BF89" s="69"/>
      <c r="BG89" s="69"/>
      <c r="BH89" s="69"/>
      <c r="BI89" s="69"/>
      <c r="BJ89" s="69"/>
      <c r="BK89" s="69"/>
      <c r="BL89" s="69"/>
      <c r="BM89" s="69"/>
      <c r="BN89" s="69"/>
      <c r="BO89" s="69"/>
      <c r="BP89" s="69"/>
      <c r="BQ89" s="69"/>
      <c r="BR89" s="69"/>
      <c r="BS89" s="69"/>
      <c r="BT89" s="69"/>
      <c r="BU89" s="69"/>
      <c r="BV89" s="69"/>
      <c r="BW89" s="69"/>
      <c r="BX89" s="69"/>
      <c r="BY89" s="69"/>
      <c r="BZ89" s="69"/>
      <c r="CA89" s="69"/>
      <c r="CB89" s="69"/>
      <c r="CC89" s="69"/>
      <c r="CD89" s="69"/>
      <c r="CE89" s="69"/>
      <c r="CF89" s="69"/>
      <c r="CG89" s="69"/>
      <c r="CH89" s="69"/>
      <c r="CI89" s="69"/>
      <c r="CJ89" s="69"/>
      <c r="CK89" s="69"/>
      <c r="CL89" s="69"/>
      <c r="CM89" s="69"/>
      <c r="CN89" s="69"/>
      <c r="CO89" s="69"/>
      <c r="CP89" s="69"/>
      <c r="CQ89" s="69"/>
      <c r="CR89" s="69"/>
      <c r="CS89" s="69"/>
      <c r="CT89" s="69"/>
      <c r="CU89" s="69"/>
      <c r="CV89" s="69"/>
      <c r="CW89" s="69"/>
      <c r="CX89" s="69"/>
      <c r="CY89" s="69"/>
      <c r="CZ89" s="69"/>
      <c r="DA89" s="69"/>
      <c r="DB89" s="69"/>
      <c r="DC89" s="69"/>
      <c r="DD89" s="69"/>
      <c r="DE89" s="69"/>
      <c r="DF89" s="69"/>
      <c r="DG89" s="69"/>
      <c r="DH89" s="69"/>
    </row>
    <row r="90" ht="20.25" customHeight="1">
      <c r="A90" s="41">
        <v>90.0</v>
      </c>
      <c r="B90" s="106" t="s">
        <v>583</v>
      </c>
      <c r="C90" s="106" t="s">
        <v>108</v>
      </c>
      <c r="D90" s="146" t="s">
        <v>435</v>
      </c>
      <c r="E90" s="69"/>
      <c r="F90" s="122" t="s">
        <v>584</v>
      </c>
      <c r="G90" s="207" t="s">
        <v>613</v>
      </c>
      <c r="H90" s="207" t="s">
        <v>438</v>
      </c>
      <c r="I90" s="208">
        <v>45636.0</v>
      </c>
      <c r="J90" s="308">
        <v>45680.0</v>
      </c>
      <c r="K90" s="111"/>
      <c r="L90" s="144" t="s">
        <v>586</v>
      </c>
      <c r="M90" s="207" t="s">
        <v>587</v>
      </c>
      <c r="N90" s="207" t="s">
        <v>588</v>
      </c>
      <c r="O90" s="111"/>
      <c r="P90" s="211" t="s">
        <v>589</v>
      </c>
      <c r="Q90" s="49" t="str">
        <f t="array" ref="Q90"> if(iserror(MATCH(V90, 'File Links'!C:C, 0)), "N/A", HYPERLINK(INDEX('File Links'!B:B, MATCH(P90, 'File Links'!C:C, 0))))</f>
        <v>https://drive.google.com/file/d/1RTiaFppoyqVSbs6ENCjo8xyaIVfjFhVI/view?usp=drivesdk</v>
      </c>
      <c r="R90" s="207" t="s">
        <v>590</v>
      </c>
      <c r="S90" s="309" t="s">
        <v>591</v>
      </c>
      <c r="T90" s="111"/>
      <c r="U90" s="117"/>
      <c r="V90" s="63" t="str">
        <f> hyperlink(vlookup(lower(S90),'File Links'!E:F, 2, FALSE), SUBSTITUTE(lower(S90), "/", "--") &amp;  ".pdf")</f>
        <v>10.1016--j.jsp.2024.101307.pdf</v>
      </c>
      <c r="W90" s="207" t="s">
        <v>157</v>
      </c>
      <c r="X90" s="51" t="str">
        <f t="array" ref="X90"> if(iserror(MATCH(V90, 'File Links'!C:C, 0)), "N/A", HYPERLINK(INDEX('File Links'!B:B, MATCH(V90, 'File Links'!C:C, 0))))</f>
        <v>https://drive.google.com/file/d/1VAdnhoiJmdHbv1LbvyIfcfg3rNALrpkj/view?usp=drivesdk</v>
      </c>
      <c r="Y90" s="111"/>
      <c r="Z90" s="310" t="s">
        <v>234</v>
      </c>
      <c r="AA90" s="111"/>
      <c r="AB90" s="207" t="s">
        <v>592</v>
      </c>
      <c r="AC90" s="207" t="s">
        <v>593</v>
      </c>
      <c r="AD90" s="207" t="s">
        <v>614</v>
      </c>
      <c r="AE90" s="207" t="s">
        <v>615</v>
      </c>
      <c r="AF90" s="214">
        <v>6.0</v>
      </c>
      <c r="AG90" s="313">
        <v>1.03</v>
      </c>
      <c r="AH90" s="211" t="s">
        <v>595</v>
      </c>
      <c r="AI90" s="207" t="s">
        <v>616</v>
      </c>
      <c r="AJ90" s="214">
        <v>0.001</v>
      </c>
      <c r="AK90" s="215" t="s">
        <v>165</v>
      </c>
      <c r="AL90" s="207" t="s">
        <v>179</v>
      </c>
      <c r="AM90" s="207" t="s">
        <v>134</v>
      </c>
      <c r="AN90" s="216" t="s">
        <v>131</v>
      </c>
      <c r="AO90" s="214">
        <v>4.0</v>
      </c>
      <c r="AP90" s="214">
        <v>1.41</v>
      </c>
      <c r="AQ90" s="207" t="s">
        <v>595</v>
      </c>
      <c r="AR90" s="207" t="s">
        <v>617</v>
      </c>
      <c r="AS90" s="313">
        <v>0.29</v>
      </c>
      <c r="AT90" s="215" t="s">
        <v>165</v>
      </c>
      <c r="AU90" s="215" t="s">
        <v>179</v>
      </c>
      <c r="AV90" s="215" t="s">
        <v>134</v>
      </c>
      <c r="AW90" s="108"/>
      <c r="AX90" s="215" t="s">
        <v>431</v>
      </c>
      <c r="AY90" s="111"/>
      <c r="AZ90" s="146" t="s">
        <v>137</v>
      </c>
      <c r="BA90" s="223"/>
      <c r="BB90" s="223"/>
      <c r="BC90" s="223"/>
      <c r="BD90" s="223"/>
      <c r="BE90" s="223"/>
      <c r="BF90" s="223"/>
      <c r="BG90" s="223"/>
      <c r="BH90" s="223"/>
      <c r="BI90" s="223"/>
      <c r="BJ90" s="223"/>
      <c r="BK90" s="223"/>
      <c r="BL90" s="223"/>
      <c r="BM90" s="223"/>
      <c r="BN90" s="223"/>
      <c r="BO90" s="223"/>
      <c r="BP90" s="223"/>
      <c r="BQ90" s="223"/>
      <c r="BR90" s="223"/>
      <c r="BS90" s="223"/>
      <c r="BT90" s="223"/>
      <c r="BU90" s="223"/>
      <c r="BV90" s="223"/>
      <c r="BW90" s="223"/>
      <c r="BX90" s="223"/>
      <c r="BY90" s="223"/>
      <c r="BZ90" s="223"/>
      <c r="CA90" s="223"/>
      <c r="CB90" s="223"/>
      <c r="CC90" s="223"/>
      <c r="CD90" s="223"/>
      <c r="CE90" s="223"/>
      <c r="CF90" s="223"/>
      <c r="CG90" s="223"/>
      <c r="CH90" s="223"/>
      <c r="CI90" s="223"/>
      <c r="CJ90" s="223"/>
      <c r="CK90" s="223"/>
      <c r="CL90" s="223"/>
      <c r="CM90" s="223"/>
      <c r="CN90" s="223"/>
      <c r="CO90" s="223"/>
      <c r="CP90" s="223"/>
      <c r="CQ90" s="223"/>
      <c r="CR90" s="223"/>
      <c r="CS90" s="223"/>
      <c r="CT90" s="223"/>
      <c r="CU90" s="223"/>
      <c r="CV90" s="223"/>
      <c r="CW90" s="223"/>
      <c r="CX90" s="223"/>
      <c r="CY90" s="223"/>
      <c r="CZ90" s="223"/>
      <c r="DA90" s="223"/>
      <c r="DB90" s="223"/>
      <c r="DC90" s="223"/>
      <c r="DD90" s="223"/>
      <c r="DE90" s="223"/>
      <c r="DF90" s="223"/>
      <c r="DG90" s="223"/>
      <c r="DH90" s="223"/>
    </row>
    <row r="91" ht="20.25" customHeight="1">
      <c r="A91" s="41">
        <v>91.0</v>
      </c>
      <c r="B91" s="106" t="s">
        <v>583</v>
      </c>
      <c r="C91" s="121" t="s">
        <v>108</v>
      </c>
      <c r="D91" s="121" t="s">
        <v>339</v>
      </c>
      <c r="E91" s="104"/>
      <c r="F91" s="122" t="s">
        <v>584</v>
      </c>
      <c r="G91" s="123" t="s">
        <v>613</v>
      </c>
      <c r="H91" s="123" t="s">
        <v>342</v>
      </c>
      <c r="I91" s="314">
        <v>45639.0</v>
      </c>
      <c r="J91" s="308">
        <v>45680.0</v>
      </c>
      <c r="K91" s="219" t="s">
        <v>599</v>
      </c>
      <c r="L91" s="144" t="s">
        <v>586</v>
      </c>
      <c r="M91" s="123" t="s">
        <v>587</v>
      </c>
      <c r="N91" s="219" t="s">
        <v>588</v>
      </c>
      <c r="O91" s="129"/>
      <c r="P91" s="220" t="s">
        <v>589</v>
      </c>
      <c r="Q91" s="49" t="str">
        <f t="array" ref="Q91"> if(iserror(MATCH(V91, 'File Links'!C:C, 0)), "N/A", HYPERLINK(INDEX('File Links'!B:B, MATCH(P91, 'File Links'!C:C, 0))))</f>
        <v>https://drive.google.com/file/d/1RTiaFppoyqVSbs6ENCjo8xyaIVfjFhVI/view?usp=drivesdk</v>
      </c>
      <c r="R91" s="123" t="s">
        <v>590</v>
      </c>
      <c r="S91" s="123" t="s">
        <v>591</v>
      </c>
      <c r="T91" s="129"/>
      <c r="U91" s="315"/>
      <c r="V91" s="63" t="str">
        <f> hyperlink(vlookup(lower(S91),'File Links'!E:F, 2, FALSE), SUBSTITUTE(lower(S91), "/", "--") &amp;  ".pdf")</f>
        <v>10.1016--j.jsp.2024.101307.pdf</v>
      </c>
      <c r="W91" s="123" t="s">
        <v>600</v>
      </c>
      <c r="X91" s="51" t="str">
        <f t="array" ref="X91"> if(iserror(MATCH(V91, 'File Links'!C:C, 0)), "N/A", HYPERLINK(INDEX('File Links'!B:B, MATCH(V91, 'File Links'!C:C, 0))))</f>
        <v>https://drive.google.com/file/d/1VAdnhoiJmdHbv1LbvyIfcfg3rNALrpkj/view?usp=drivesdk</v>
      </c>
      <c r="Y91" s="129"/>
      <c r="Z91" s="310" t="s">
        <v>234</v>
      </c>
      <c r="AA91" s="129"/>
      <c r="AB91" s="219" t="s">
        <v>601</v>
      </c>
      <c r="AC91" s="219" t="s">
        <v>602</v>
      </c>
      <c r="AD91" s="219" t="s">
        <v>618</v>
      </c>
      <c r="AE91" s="123" t="s">
        <v>619</v>
      </c>
      <c r="AF91" s="127">
        <v>6.0</v>
      </c>
      <c r="AG91" s="127">
        <v>1.14</v>
      </c>
      <c r="AH91" s="220" t="s">
        <v>166</v>
      </c>
      <c r="AI91" s="123" t="s">
        <v>620</v>
      </c>
      <c r="AJ91" s="127">
        <v>0.001</v>
      </c>
      <c r="AK91" s="137" t="s">
        <v>165</v>
      </c>
      <c r="AL91" s="123" t="s">
        <v>179</v>
      </c>
      <c r="AM91" s="129"/>
      <c r="AN91" s="216" t="s">
        <v>131</v>
      </c>
      <c r="AO91" s="127">
        <v>4.0</v>
      </c>
      <c r="AP91" s="127">
        <v>1.41</v>
      </c>
      <c r="AQ91" s="123" t="s">
        <v>595</v>
      </c>
      <c r="AR91" s="123" t="s">
        <v>621</v>
      </c>
      <c r="AS91" s="127">
        <v>0.29</v>
      </c>
      <c r="AT91" s="137" t="s">
        <v>165</v>
      </c>
      <c r="AU91" s="137" t="s">
        <v>179</v>
      </c>
      <c r="AV91" s="122"/>
      <c r="AW91" s="122" t="s">
        <v>131</v>
      </c>
      <c r="AX91" s="122" t="s">
        <v>431</v>
      </c>
      <c r="AY91" s="129"/>
      <c r="AZ91" s="146" t="s">
        <v>137</v>
      </c>
      <c r="BA91" s="223"/>
      <c r="BB91" s="223"/>
      <c r="BC91" s="223"/>
      <c r="BD91" s="223"/>
      <c r="BE91" s="223"/>
      <c r="BF91" s="223"/>
      <c r="BG91" s="223"/>
      <c r="BH91" s="223"/>
      <c r="BI91" s="223"/>
      <c r="BJ91" s="223"/>
      <c r="BK91" s="223"/>
      <c r="BL91" s="223"/>
      <c r="BM91" s="223"/>
      <c r="BN91" s="223"/>
      <c r="BO91" s="223"/>
      <c r="BP91" s="223"/>
      <c r="BQ91" s="223"/>
      <c r="BR91" s="223"/>
      <c r="BS91" s="223"/>
      <c r="BT91" s="223"/>
      <c r="BU91" s="223"/>
      <c r="BV91" s="223"/>
      <c r="BW91" s="223"/>
      <c r="BX91" s="223"/>
      <c r="BY91" s="223"/>
      <c r="BZ91" s="223"/>
      <c r="CA91" s="223"/>
      <c r="CB91" s="223"/>
      <c r="CC91" s="223"/>
      <c r="CD91" s="223"/>
      <c r="CE91" s="223"/>
      <c r="CF91" s="223"/>
      <c r="CG91" s="223"/>
      <c r="CH91" s="223"/>
      <c r="CI91" s="223"/>
      <c r="CJ91" s="223"/>
      <c r="CK91" s="223"/>
      <c r="CL91" s="223"/>
      <c r="CM91" s="223"/>
      <c r="CN91" s="223"/>
      <c r="CO91" s="223"/>
      <c r="CP91" s="223"/>
      <c r="CQ91" s="223"/>
      <c r="CR91" s="223"/>
      <c r="CS91" s="223"/>
      <c r="CT91" s="223"/>
      <c r="CU91" s="223"/>
      <c r="CV91" s="223"/>
      <c r="CW91" s="223"/>
      <c r="CX91" s="223"/>
      <c r="CY91" s="223"/>
      <c r="CZ91" s="223"/>
      <c r="DA91" s="223"/>
      <c r="DB91" s="223"/>
      <c r="DC91" s="223"/>
      <c r="DD91" s="223"/>
      <c r="DE91" s="223"/>
      <c r="DF91" s="223"/>
      <c r="DG91" s="223"/>
      <c r="DH91" s="223"/>
    </row>
    <row r="92" ht="20.25" customHeight="1">
      <c r="A92" s="41">
        <v>92.0</v>
      </c>
      <c r="B92" s="106" t="s">
        <v>583</v>
      </c>
      <c r="C92" s="106" t="s">
        <v>108</v>
      </c>
      <c r="D92" s="146" t="s">
        <v>435</v>
      </c>
      <c r="E92" s="69"/>
      <c r="F92" s="122" t="s">
        <v>584</v>
      </c>
      <c r="G92" s="207" t="s">
        <v>622</v>
      </c>
      <c r="H92" s="207" t="s">
        <v>438</v>
      </c>
      <c r="I92" s="208">
        <v>45636.0</v>
      </c>
      <c r="J92" s="308">
        <v>45680.0</v>
      </c>
      <c r="K92" s="207" t="s">
        <v>609</v>
      </c>
      <c r="L92" s="144" t="s">
        <v>586</v>
      </c>
      <c r="M92" s="207" t="s">
        <v>587</v>
      </c>
      <c r="N92" s="207" t="s">
        <v>588</v>
      </c>
      <c r="O92" s="111"/>
      <c r="P92" s="211" t="s">
        <v>589</v>
      </c>
      <c r="Q92" s="49" t="str">
        <f t="array" ref="Q92"> if(iserror(MATCH(V92, 'File Links'!C:C, 0)), "N/A", HYPERLINK(INDEX('File Links'!B:B, MATCH(P92, 'File Links'!C:C, 0))))</f>
        <v>https://drive.google.com/file/d/1RTiaFppoyqVSbs6ENCjo8xyaIVfjFhVI/view?usp=drivesdk</v>
      </c>
      <c r="R92" s="207" t="s">
        <v>590</v>
      </c>
      <c r="S92" s="309" t="s">
        <v>591</v>
      </c>
      <c r="T92" s="111"/>
      <c r="U92" s="117"/>
      <c r="V92" s="63" t="str">
        <f> hyperlink(vlookup(lower(S92),'File Links'!E:F, 2, FALSE), SUBSTITUTE(lower(S92), "/", "--") &amp;  ".pdf")</f>
        <v>10.1016--j.jsp.2024.101307.pdf</v>
      </c>
      <c r="W92" s="207" t="s">
        <v>157</v>
      </c>
      <c r="X92" s="51" t="str">
        <f t="array" ref="X92"> if(iserror(MATCH(V92, 'File Links'!C:C, 0)), "N/A", HYPERLINK(INDEX('File Links'!B:B, MATCH(V92, 'File Links'!C:C, 0))))</f>
        <v>https://drive.google.com/file/d/1VAdnhoiJmdHbv1LbvyIfcfg3rNALrpkj/view?usp=drivesdk</v>
      </c>
      <c r="Y92" s="111"/>
      <c r="Z92" s="310" t="s">
        <v>234</v>
      </c>
      <c r="AA92" s="111"/>
      <c r="AB92" s="207" t="s">
        <v>592</v>
      </c>
      <c r="AC92" s="207" t="s">
        <v>593</v>
      </c>
      <c r="AD92" s="207" t="s">
        <v>614</v>
      </c>
      <c r="AE92" s="207" t="s">
        <v>615</v>
      </c>
      <c r="AF92" s="214">
        <v>6.0</v>
      </c>
      <c r="AG92" s="313">
        <v>1.03</v>
      </c>
      <c r="AH92" s="211" t="s">
        <v>595</v>
      </c>
      <c r="AI92" s="207" t="s">
        <v>616</v>
      </c>
      <c r="AJ92" s="214">
        <v>0.001</v>
      </c>
      <c r="AK92" s="215" t="s">
        <v>165</v>
      </c>
      <c r="AL92" s="207" t="s">
        <v>179</v>
      </c>
      <c r="AM92" s="207" t="s">
        <v>134</v>
      </c>
      <c r="AN92" s="216" t="s">
        <v>131</v>
      </c>
      <c r="AO92" s="214">
        <v>4.0</v>
      </c>
      <c r="AP92" s="313">
        <v>1.25</v>
      </c>
      <c r="AQ92" s="207" t="s">
        <v>595</v>
      </c>
      <c r="AR92" s="207" t="s">
        <v>623</v>
      </c>
      <c r="AS92" s="313">
        <v>0.042</v>
      </c>
      <c r="AT92" s="215" t="s">
        <v>165</v>
      </c>
      <c r="AU92" s="215" t="s">
        <v>179</v>
      </c>
      <c r="AV92" s="215" t="s">
        <v>134</v>
      </c>
      <c r="AW92" s="108"/>
      <c r="AX92" s="215" t="s">
        <v>431</v>
      </c>
      <c r="AY92" s="111"/>
      <c r="AZ92" s="146" t="s">
        <v>137</v>
      </c>
      <c r="BA92" s="223"/>
      <c r="BB92" s="223"/>
      <c r="BC92" s="223"/>
      <c r="BD92" s="223"/>
      <c r="BE92" s="223"/>
      <c r="BF92" s="223"/>
      <c r="BG92" s="223"/>
      <c r="BH92" s="223"/>
      <c r="BI92" s="223"/>
      <c r="BJ92" s="223"/>
      <c r="BK92" s="223"/>
      <c r="BL92" s="223"/>
      <c r="BM92" s="223"/>
      <c r="BN92" s="223"/>
      <c r="BO92" s="223"/>
      <c r="BP92" s="223"/>
      <c r="BQ92" s="223"/>
      <c r="BR92" s="223"/>
      <c r="BS92" s="223"/>
      <c r="BT92" s="223"/>
      <c r="BU92" s="223"/>
      <c r="BV92" s="223"/>
      <c r="BW92" s="223"/>
      <c r="BX92" s="223"/>
      <c r="BY92" s="223"/>
      <c r="BZ92" s="223"/>
      <c r="CA92" s="223"/>
      <c r="CB92" s="223"/>
      <c r="CC92" s="223"/>
      <c r="CD92" s="223"/>
      <c r="CE92" s="223"/>
      <c r="CF92" s="223"/>
      <c r="CG92" s="223"/>
      <c r="CH92" s="223"/>
      <c r="CI92" s="223"/>
      <c r="CJ92" s="223"/>
      <c r="CK92" s="223"/>
      <c r="CL92" s="223"/>
      <c r="CM92" s="223"/>
      <c r="CN92" s="223"/>
      <c r="CO92" s="223"/>
      <c r="CP92" s="223"/>
      <c r="CQ92" s="223"/>
      <c r="CR92" s="223"/>
      <c r="CS92" s="223"/>
      <c r="CT92" s="223"/>
      <c r="CU92" s="223"/>
      <c r="CV92" s="223"/>
      <c r="CW92" s="223"/>
      <c r="CX92" s="223"/>
      <c r="CY92" s="223"/>
      <c r="CZ92" s="223"/>
      <c r="DA92" s="223"/>
      <c r="DB92" s="223"/>
      <c r="DC92" s="223"/>
      <c r="DD92" s="223"/>
      <c r="DE92" s="223"/>
      <c r="DF92" s="223"/>
      <c r="DG92" s="223"/>
      <c r="DH92" s="223"/>
    </row>
    <row r="93" ht="20.25" customHeight="1">
      <c r="A93" s="41">
        <v>93.0</v>
      </c>
      <c r="B93" s="106" t="s">
        <v>583</v>
      </c>
      <c r="C93" s="121" t="s">
        <v>108</v>
      </c>
      <c r="D93" s="121" t="s">
        <v>339</v>
      </c>
      <c r="E93" s="104"/>
      <c r="F93" s="122" t="s">
        <v>584</v>
      </c>
      <c r="G93" s="123" t="s">
        <v>622</v>
      </c>
      <c r="H93" s="123" t="s">
        <v>342</v>
      </c>
      <c r="I93" s="314">
        <v>45639.0</v>
      </c>
      <c r="J93" s="308">
        <v>45680.0</v>
      </c>
      <c r="K93" s="219" t="s">
        <v>599</v>
      </c>
      <c r="L93" s="144" t="s">
        <v>586</v>
      </c>
      <c r="M93" s="123" t="s">
        <v>587</v>
      </c>
      <c r="N93" s="219" t="s">
        <v>588</v>
      </c>
      <c r="O93" s="129"/>
      <c r="P93" s="220" t="s">
        <v>589</v>
      </c>
      <c r="Q93" s="49" t="str">
        <f t="array" ref="Q93"> if(iserror(MATCH(V93, 'File Links'!C:C, 0)), "N/A", HYPERLINK(INDEX('File Links'!B:B, MATCH(P93, 'File Links'!C:C, 0))))</f>
        <v>https://drive.google.com/file/d/1RTiaFppoyqVSbs6ENCjo8xyaIVfjFhVI/view?usp=drivesdk</v>
      </c>
      <c r="R93" s="123" t="s">
        <v>590</v>
      </c>
      <c r="S93" s="123" t="s">
        <v>591</v>
      </c>
      <c r="T93" s="129"/>
      <c r="U93" s="315"/>
      <c r="V93" s="63" t="str">
        <f> hyperlink(vlookup(lower(S93),'File Links'!E:F, 2, FALSE), SUBSTITUTE(lower(S93), "/", "--") &amp;  ".pdf")</f>
        <v>10.1016--j.jsp.2024.101307.pdf</v>
      </c>
      <c r="W93" s="123" t="s">
        <v>600</v>
      </c>
      <c r="X93" s="51" t="str">
        <f t="array" ref="X93"> if(iserror(MATCH(V93, 'File Links'!C:C, 0)), "N/A", HYPERLINK(INDEX('File Links'!B:B, MATCH(V93, 'File Links'!C:C, 0))))</f>
        <v>https://drive.google.com/file/d/1VAdnhoiJmdHbv1LbvyIfcfg3rNALrpkj/view?usp=drivesdk</v>
      </c>
      <c r="Y93" s="129"/>
      <c r="Z93" s="310" t="s">
        <v>234</v>
      </c>
      <c r="AA93" s="129"/>
      <c r="AB93" s="219" t="s">
        <v>601</v>
      </c>
      <c r="AC93" s="219" t="s">
        <v>602</v>
      </c>
      <c r="AD93" s="219" t="s">
        <v>624</v>
      </c>
      <c r="AE93" s="123" t="s">
        <v>619</v>
      </c>
      <c r="AF93" s="127">
        <v>6.0</v>
      </c>
      <c r="AG93" s="127">
        <v>-0.85</v>
      </c>
      <c r="AH93" s="220" t="s">
        <v>166</v>
      </c>
      <c r="AI93" s="123" t="s">
        <v>620</v>
      </c>
      <c r="AJ93" s="127">
        <v>0.001</v>
      </c>
      <c r="AK93" s="137" t="s">
        <v>165</v>
      </c>
      <c r="AL93" s="123" t="s">
        <v>179</v>
      </c>
      <c r="AM93" s="129"/>
      <c r="AN93" s="216" t="s">
        <v>131</v>
      </c>
      <c r="AO93" s="127">
        <v>4.0</v>
      </c>
      <c r="AP93" s="127">
        <v>-0.91</v>
      </c>
      <c r="AQ93" s="123" t="s">
        <v>595</v>
      </c>
      <c r="AR93" s="123" t="s">
        <v>625</v>
      </c>
      <c r="AS93" s="127">
        <v>0.33</v>
      </c>
      <c r="AT93" s="137" t="s">
        <v>165</v>
      </c>
      <c r="AU93" s="137" t="s">
        <v>179</v>
      </c>
      <c r="AV93" s="122"/>
      <c r="AW93" s="122" t="s">
        <v>131</v>
      </c>
      <c r="AX93" s="122" t="s">
        <v>431</v>
      </c>
      <c r="AY93" s="129"/>
      <c r="AZ93" s="146" t="s">
        <v>137</v>
      </c>
      <c r="BA93" s="223"/>
      <c r="BB93" s="223"/>
      <c r="BC93" s="223"/>
      <c r="BD93" s="223"/>
      <c r="BE93" s="223"/>
      <c r="BF93" s="223"/>
      <c r="BG93" s="223"/>
      <c r="BH93" s="223"/>
      <c r="BI93" s="223"/>
      <c r="BJ93" s="223"/>
      <c r="BK93" s="223"/>
      <c r="BL93" s="223"/>
      <c r="BM93" s="223"/>
      <c r="BN93" s="223"/>
      <c r="BO93" s="223"/>
      <c r="BP93" s="223"/>
      <c r="BQ93" s="223"/>
      <c r="BR93" s="223"/>
      <c r="BS93" s="223"/>
      <c r="BT93" s="223"/>
      <c r="BU93" s="223"/>
      <c r="BV93" s="223"/>
      <c r="BW93" s="223"/>
      <c r="BX93" s="223"/>
      <c r="BY93" s="223"/>
      <c r="BZ93" s="223"/>
      <c r="CA93" s="223"/>
      <c r="CB93" s="223"/>
      <c r="CC93" s="223"/>
      <c r="CD93" s="223"/>
      <c r="CE93" s="223"/>
      <c r="CF93" s="223"/>
      <c r="CG93" s="223"/>
      <c r="CH93" s="223"/>
      <c r="CI93" s="223"/>
      <c r="CJ93" s="223"/>
      <c r="CK93" s="223"/>
      <c r="CL93" s="223"/>
      <c r="CM93" s="223"/>
      <c r="CN93" s="223"/>
      <c r="CO93" s="223"/>
      <c r="CP93" s="223"/>
      <c r="CQ93" s="223"/>
      <c r="CR93" s="223"/>
      <c r="CS93" s="223"/>
      <c r="CT93" s="223"/>
      <c r="CU93" s="223"/>
      <c r="CV93" s="223"/>
      <c r="CW93" s="223"/>
      <c r="CX93" s="223"/>
      <c r="CY93" s="223"/>
      <c r="CZ93" s="223"/>
      <c r="DA93" s="223"/>
      <c r="DB93" s="223"/>
      <c r="DC93" s="223"/>
      <c r="DD93" s="223"/>
      <c r="DE93" s="223"/>
      <c r="DF93" s="223"/>
      <c r="DG93" s="223"/>
      <c r="DH93" s="223"/>
    </row>
    <row r="94" ht="20.25" customHeight="1">
      <c r="A94" s="41">
        <v>94.0</v>
      </c>
      <c r="B94" s="106" t="s">
        <v>583</v>
      </c>
      <c r="C94" s="106" t="s">
        <v>108</v>
      </c>
      <c r="D94" s="146" t="s">
        <v>435</v>
      </c>
      <c r="E94" s="69"/>
      <c r="F94" s="122" t="s">
        <v>584</v>
      </c>
      <c r="G94" s="207" t="s">
        <v>626</v>
      </c>
      <c r="H94" s="207" t="s">
        <v>438</v>
      </c>
      <c r="I94" s="208">
        <v>45636.0</v>
      </c>
      <c r="J94" s="308">
        <v>45680.0</v>
      </c>
      <c r="K94" s="111"/>
      <c r="L94" s="144" t="s">
        <v>586</v>
      </c>
      <c r="M94" s="207" t="s">
        <v>587</v>
      </c>
      <c r="N94" s="207" t="s">
        <v>588</v>
      </c>
      <c r="O94" s="111"/>
      <c r="P94" s="211" t="s">
        <v>589</v>
      </c>
      <c r="Q94" s="49" t="str">
        <f t="array" ref="Q94"> if(iserror(MATCH(V94, 'File Links'!C:C, 0)), "N/A", HYPERLINK(INDEX('File Links'!B:B, MATCH(P94, 'File Links'!C:C, 0))))</f>
        <v>https://drive.google.com/file/d/1RTiaFppoyqVSbs6ENCjo8xyaIVfjFhVI/view?usp=drivesdk</v>
      </c>
      <c r="R94" s="207" t="s">
        <v>590</v>
      </c>
      <c r="S94" s="309" t="s">
        <v>591</v>
      </c>
      <c r="T94" s="111"/>
      <c r="U94" s="117"/>
      <c r="V94" s="63" t="str">
        <f> hyperlink(vlookup(lower(S94),'File Links'!E:F, 2, FALSE), SUBSTITUTE(lower(S94), "/", "--") &amp;  ".pdf")</f>
        <v>10.1016--j.jsp.2024.101307.pdf</v>
      </c>
      <c r="W94" s="207" t="s">
        <v>157</v>
      </c>
      <c r="X94" s="51" t="str">
        <f t="array" ref="X94"> if(iserror(MATCH(V94, 'File Links'!C:C, 0)), "N/A", HYPERLINK(INDEX('File Links'!B:B, MATCH(V94, 'File Links'!C:C, 0))))</f>
        <v>https://drive.google.com/file/d/1VAdnhoiJmdHbv1LbvyIfcfg3rNALrpkj/view?usp=drivesdk</v>
      </c>
      <c r="Y94" s="111"/>
      <c r="Z94" s="310" t="s">
        <v>234</v>
      </c>
      <c r="AA94" s="111"/>
      <c r="AB94" s="207" t="s">
        <v>592</v>
      </c>
      <c r="AC94" s="207" t="s">
        <v>593</v>
      </c>
      <c r="AD94" s="207" t="s">
        <v>627</v>
      </c>
      <c r="AE94" s="214">
        <v>26.0</v>
      </c>
      <c r="AF94" s="214">
        <v>6.0</v>
      </c>
      <c r="AG94" s="313" t="s">
        <v>628</v>
      </c>
      <c r="AH94" s="211" t="s">
        <v>595</v>
      </c>
      <c r="AI94" s="207" t="s">
        <v>616</v>
      </c>
      <c r="AJ94" s="214">
        <v>0.001</v>
      </c>
      <c r="AK94" s="215" t="s">
        <v>165</v>
      </c>
      <c r="AL94" s="207" t="s">
        <v>179</v>
      </c>
      <c r="AM94" s="207" t="s">
        <v>134</v>
      </c>
      <c r="AN94" s="216" t="s">
        <v>131</v>
      </c>
      <c r="AO94" s="214">
        <v>4.0</v>
      </c>
      <c r="AP94" s="318">
        <v>-0.91</v>
      </c>
      <c r="AQ94" s="207" t="s">
        <v>595</v>
      </c>
      <c r="AR94" s="207" t="s">
        <v>623</v>
      </c>
      <c r="AS94" s="313">
        <v>0.33</v>
      </c>
      <c r="AT94" s="215" t="s">
        <v>165</v>
      </c>
      <c r="AU94" s="215" t="s">
        <v>179</v>
      </c>
      <c r="AV94" s="215" t="s">
        <v>134</v>
      </c>
      <c r="AW94" s="108"/>
      <c r="AX94" s="215" t="s">
        <v>431</v>
      </c>
      <c r="AY94" s="111"/>
      <c r="AZ94" s="146" t="s">
        <v>137</v>
      </c>
      <c r="BC94" s="186"/>
      <c r="BD94" s="186"/>
      <c r="BE94" s="186"/>
      <c r="BF94" s="186"/>
      <c r="BG94" s="186"/>
      <c r="BH94" s="186"/>
      <c r="BI94" s="186"/>
      <c r="BJ94" s="186"/>
      <c r="BK94" s="186"/>
      <c r="BL94" s="186"/>
      <c r="BM94" s="186"/>
      <c r="BN94" s="186"/>
      <c r="BO94" s="186"/>
      <c r="BP94" s="186"/>
      <c r="BQ94" s="186"/>
      <c r="BR94" s="186"/>
      <c r="BS94" s="186"/>
      <c r="BT94" s="186"/>
      <c r="BU94" s="186"/>
      <c r="BV94" s="186"/>
      <c r="BW94" s="186"/>
      <c r="BX94" s="186"/>
      <c r="BY94" s="186"/>
      <c r="BZ94" s="186"/>
      <c r="CA94" s="186"/>
      <c r="CB94" s="186"/>
      <c r="CC94" s="186"/>
      <c r="CD94" s="186"/>
      <c r="CE94" s="186"/>
      <c r="CF94" s="186"/>
      <c r="CG94" s="186"/>
      <c r="CH94" s="186"/>
      <c r="CI94" s="186"/>
      <c r="CJ94" s="186"/>
      <c r="CK94" s="186"/>
      <c r="CL94" s="186"/>
      <c r="CM94" s="186"/>
      <c r="CN94" s="186"/>
      <c r="CO94" s="186"/>
      <c r="CP94" s="186"/>
      <c r="CQ94" s="186"/>
      <c r="CR94" s="186"/>
      <c r="CS94" s="186"/>
      <c r="CT94" s="186"/>
      <c r="CU94" s="186"/>
      <c r="CV94" s="186"/>
      <c r="CW94" s="186"/>
      <c r="CX94" s="186"/>
      <c r="CY94" s="186"/>
      <c r="CZ94" s="186"/>
      <c r="DA94" s="186"/>
      <c r="DB94" s="186"/>
      <c r="DC94" s="186"/>
      <c r="DD94" s="186"/>
      <c r="DE94" s="186"/>
      <c r="DF94" s="186"/>
      <c r="DG94" s="186"/>
      <c r="DH94" s="186"/>
    </row>
    <row r="95" ht="20.25" customHeight="1">
      <c r="A95" s="41">
        <v>95.0</v>
      </c>
      <c r="B95" s="106" t="s">
        <v>583</v>
      </c>
      <c r="C95" s="106" t="s">
        <v>108</v>
      </c>
      <c r="D95" s="146" t="s">
        <v>435</v>
      </c>
      <c r="E95" s="69"/>
      <c r="F95" s="122" t="s">
        <v>584</v>
      </c>
      <c r="G95" s="207" t="s">
        <v>629</v>
      </c>
      <c r="H95" s="207" t="s">
        <v>438</v>
      </c>
      <c r="I95" s="208">
        <v>45636.0</v>
      </c>
      <c r="J95" s="308">
        <v>45680.0</v>
      </c>
      <c r="K95" s="207" t="s">
        <v>609</v>
      </c>
      <c r="L95" s="144" t="s">
        <v>586</v>
      </c>
      <c r="M95" s="207" t="s">
        <v>587</v>
      </c>
      <c r="N95" s="207" t="s">
        <v>588</v>
      </c>
      <c r="O95" s="111"/>
      <c r="P95" s="211" t="s">
        <v>589</v>
      </c>
      <c r="Q95" s="49" t="str">
        <f t="array" ref="Q95"> if(iserror(MATCH(V95, 'File Links'!C:C, 0)), "N/A", HYPERLINK(INDEX('File Links'!B:B, MATCH(P95, 'File Links'!C:C, 0))))</f>
        <v>https://drive.google.com/file/d/1RTiaFppoyqVSbs6ENCjo8xyaIVfjFhVI/view?usp=drivesdk</v>
      </c>
      <c r="R95" s="207" t="s">
        <v>590</v>
      </c>
      <c r="S95" s="309" t="s">
        <v>591</v>
      </c>
      <c r="T95" s="111"/>
      <c r="U95" s="117"/>
      <c r="V95" s="63" t="str">
        <f> hyperlink(vlookup(lower(S95),'File Links'!E:F, 2, FALSE), SUBSTITUTE(lower(S95), "/", "--") &amp;  ".pdf")</f>
        <v>10.1016--j.jsp.2024.101307.pdf</v>
      </c>
      <c r="W95" s="207" t="s">
        <v>157</v>
      </c>
      <c r="X95" s="51" t="str">
        <f t="array" ref="X95"> if(iserror(MATCH(V95, 'File Links'!C:C, 0)), "N/A", HYPERLINK(INDEX('File Links'!B:B, MATCH(V95, 'File Links'!C:C, 0))))</f>
        <v>https://drive.google.com/file/d/1VAdnhoiJmdHbv1LbvyIfcfg3rNALrpkj/view?usp=drivesdk</v>
      </c>
      <c r="Y95" s="111"/>
      <c r="Z95" s="310" t="s">
        <v>234</v>
      </c>
      <c r="AA95" s="111"/>
      <c r="AB95" s="207" t="s">
        <v>592</v>
      </c>
      <c r="AC95" s="207" t="s">
        <v>593</v>
      </c>
      <c r="AD95" s="207" t="s">
        <v>627</v>
      </c>
      <c r="AE95" s="214">
        <v>26.0</v>
      </c>
      <c r="AF95" s="214">
        <v>6.0</v>
      </c>
      <c r="AG95" s="313" t="s">
        <v>628</v>
      </c>
      <c r="AH95" s="211" t="s">
        <v>595</v>
      </c>
      <c r="AI95" s="207" t="s">
        <v>616</v>
      </c>
      <c r="AJ95" s="214">
        <v>0.001</v>
      </c>
      <c r="AK95" s="215" t="s">
        <v>165</v>
      </c>
      <c r="AL95" s="207" t="s">
        <v>179</v>
      </c>
      <c r="AM95" s="207" t="s">
        <v>134</v>
      </c>
      <c r="AN95" s="216" t="s">
        <v>131</v>
      </c>
      <c r="AO95" s="214">
        <v>4.0</v>
      </c>
      <c r="AP95" s="318">
        <v>-1.07</v>
      </c>
      <c r="AQ95" s="207" t="s">
        <v>595</v>
      </c>
      <c r="AR95" s="207" t="s">
        <v>623</v>
      </c>
      <c r="AS95" s="313">
        <v>0.042</v>
      </c>
      <c r="AT95" s="215" t="s">
        <v>165</v>
      </c>
      <c r="AU95" s="215" t="s">
        <v>179</v>
      </c>
      <c r="AV95" s="215" t="s">
        <v>134</v>
      </c>
      <c r="AW95" s="108"/>
      <c r="AX95" s="215" t="s">
        <v>431</v>
      </c>
      <c r="AY95" s="111"/>
      <c r="AZ95" s="146" t="s">
        <v>137</v>
      </c>
    </row>
    <row r="96" ht="20.25" customHeight="1">
      <c r="A96" s="41">
        <v>96.0</v>
      </c>
      <c r="B96" s="319" t="s">
        <v>516</v>
      </c>
      <c r="C96" s="59" t="s">
        <v>108</v>
      </c>
      <c r="D96" s="59" t="s">
        <v>279</v>
      </c>
      <c r="F96" s="147" t="s">
        <v>630</v>
      </c>
      <c r="G96" s="148" t="s">
        <v>631</v>
      </c>
      <c r="H96" s="148" t="s">
        <v>282</v>
      </c>
      <c r="I96" s="149"/>
      <c r="J96" s="150">
        <v>45684.0</v>
      </c>
      <c r="K96" s="126" t="s">
        <v>632</v>
      </c>
      <c r="L96" s="65"/>
      <c r="M96" s="151"/>
      <c r="N96" s="152" t="s">
        <v>633</v>
      </c>
      <c r="O96" s="153"/>
      <c r="P96" s="306" t="s">
        <v>634</v>
      </c>
      <c r="Q96" s="49" t="str">
        <f t="array" ref="Q96"> if(iserror(MATCH(V96, 'File Links'!C:C, 0)), "N/A", HYPERLINK(INDEX('File Links'!B:B, MATCH(P96, 'File Links'!C:C, 0))))</f>
        <v>https://drive.google.com/file/d/1GpQZNwn0thDz2IQRffeGzv6KDWQiKn_I/view?usp=drivesdk</v>
      </c>
      <c r="R96" s="126" t="s">
        <v>635</v>
      </c>
      <c r="S96" s="59" t="s">
        <v>636</v>
      </c>
      <c r="T96" s="65"/>
      <c r="U96" s="153"/>
      <c r="V96" s="63" t="str">
        <f> hyperlink(vlookup(lower(S96),'File Links'!E:F, 2, FALSE), SUBSTITUTE(lower(S96), "/", "--") &amp;  ".pdf")</f>
        <v>10.1080--19345747.2024.2333734.pdf</v>
      </c>
      <c r="W96" s="126" t="s">
        <v>637</v>
      </c>
      <c r="X96" s="51" t="str">
        <f t="array" ref="X96"> if(iserror(MATCH(V96, 'File Links'!C:C, 0)), "N/A", HYPERLINK(INDEX('File Links'!B:B, MATCH(V96, 'File Links'!C:C, 0))))</f>
        <v>https://drive.google.com/file/d/1Rle6yo3utupMLtWPIY-izoAHwsC7-l3z/view?usp=drivesdk</v>
      </c>
      <c r="Z96" s="148" t="s">
        <v>234</v>
      </c>
      <c r="AA96" s="126" t="s">
        <v>638</v>
      </c>
      <c r="AB96" s="126" t="s">
        <v>639</v>
      </c>
      <c r="AD96" s="126" t="s">
        <v>640</v>
      </c>
      <c r="AE96" s="162" t="s">
        <v>641</v>
      </c>
      <c r="AF96" s="158">
        <v>140.0</v>
      </c>
      <c r="AG96" s="158">
        <v>0.66</v>
      </c>
      <c r="AH96" s="319" t="s">
        <v>595</v>
      </c>
      <c r="AI96" s="148" t="s">
        <v>642</v>
      </c>
      <c r="AJ96" s="126">
        <v>0.007</v>
      </c>
      <c r="AK96" s="163" t="s">
        <v>165</v>
      </c>
      <c r="AL96" s="148" t="s">
        <v>179</v>
      </c>
      <c r="AM96" s="148" t="s">
        <v>134</v>
      </c>
      <c r="AN96" s="65"/>
      <c r="AO96" s="320">
        <v>486.0</v>
      </c>
      <c r="AP96" s="158">
        <v>0.41</v>
      </c>
      <c r="AQ96" s="158" t="s">
        <v>595</v>
      </c>
      <c r="AR96" s="148" t="s">
        <v>298</v>
      </c>
      <c r="AS96" s="126">
        <v>0.073</v>
      </c>
      <c r="AT96" s="163" t="s">
        <v>165</v>
      </c>
      <c r="AU96" s="148" t="s">
        <v>179</v>
      </c>
      <c r="AV96" s="148" t="s">
        <v>134</v>
      </c>
      <c r="AW96" s="65"/>
      <c r="AX96" s="160" t="s">
        <v>144</v>
      </c>
    </row>
    <row r="97" ht="20.25" customHeight="1">
      <c r="A97" s="41">
        <v>97.0</v>
      </c>
      <c r="B97" s="319" t="s">
        <v>516</v>
      </c>
      <c r="C97" s="59" t="s">
        <v>108</v>
      </c>
      <c r="D97" s="59" t="s">
        <v>279</v>
      </c>
      <c r="F97" s="147" t="s">
        <v>630</v>
      </c>
      <c r="G97" s="148" t="s">
        <v>643</v>
      </c>
      <c r="H97" s="148" t="s">
        <v>282</v>
      </c>
      <c r="I97" s="149"/>
      <c r="J97" s="150">
        <v>45684.0</v>
      </c>
      <c r="K97" s="126" t="s">
        <v>632</v>
      </c>
      <c r="L97" s="65"/>
      <c r="M97" s="151"/>
      <c r="N97" s="152" t="s">
        <v>633</v>
      </c>
      <c r="O97" s="153"/>
      <c r="P97" s="306" t="s">
        <v>634</v>
      </c>
      <c r="Q97" s="49" t="str">
        <f t="array" ref="Q97"> if(iserror(MATCH(V97, 'File Links'!C:C, 0)), "N/A", HYPERLINK(INDEX('File Links'!B:B, MATCH(P97, 'File Links'!C:C, 0))))</f>
        <v>https://drive.google.com/file/d/1GpQZNwn0thDz2IQRffeGzv6KDWQiKn_I/view?usp=drivesdk</v>
      </c>
      <c r="R97" s="126" t="s">
        <v>644</v>
      </c>
      <c r="S97" s="319" t="s">
        <v>645</v>
      </c>
      <c r="T97" s="65"/>
      <c r="U97" s="153"/>
      <c r="V97" s="63" t="str">
        <f> hyperlink(vlookup(lower(S97),'File Links'!E:F, 2, FALSE), SUBSTITUTE(lower(S97), "/", "--") &amp;  ".pdf")</f>
        <v>10.1080--19345747.2024.2333734.pdf</v>
      </c>
      <c r="W97" s="126" t="s">
        <v>637</v>
      </c>
      <c r="X97" s="51" t="str">
        <f t="array" ref="X97"> if(iserror(MATCH(V97, 'File Links'!C:C, 0)), "N/A", HYPERLINK(INDEX('File Links'!B:B, MATCH(V97, 'File Links'!C:C, 0))))</f>
        <v>https://drive.google.com/file/d/1Rle6yo3utupMLtWPIY-izoAHwsC7-l3z/view?usp=drivesdk</v>
      </c>
      <c r="Z97" s="148" t="s">
        <v>234</v>
      </c>
      <c r="AA97" s="126" t="s">
        <v>646</v>
      </c>
      <c r="AB97" s="126" t="s">
        <v>639</v>
      </c>
      <c r="AD97" s="126" t="s">
        <v>647</v>
      </c>
      <c r="AE97" s="162" t="s">
        <v>641</v>
      </c>
      <c r="AF97" s="158">
        <v>140.0</v>
      </c>
      <c r="AG97" s="158">
        <v>0.58</v>
      </c>
      <c r="AH97" s="319" t="s">
        <v>595</v>
      </c>
      <c r="AI97" s="148" t="s">
        <v>642</v>
      </c>
      <c r="AJ97" s="126">
        <v>0.001</v>
      </c>
      <c r="AK97" s="163" t="s">
        <v>165</v>
      </c>
      <c r="AL97" s="148" t="s">
        <v>179</v>
      </c>
      <c r="AM97" s="148" t="s">
        <v>134</v>
      </c>
      <c r="AN97" s="65"/>
      <c r="AO97" s="320">
        <v>486.0</v>
      </c>
      <c r="AP97" s="158">
        <v>0.46</v>
      </c>
      <c r="AQ97" s="158" t="s">
        <v>595</v>
      </c>
      <c r="AR97" s="148" t="s">
        <v>298</v>
      </c>
      <c r="AS97" s="126">
        <v>0.0</v>
      </c>
      <c r="AT97" s="163" t="s">
        <v>128</v>
      </c>
      <c r="AU97" s="148" t="s">
        <v>179</v>
      </c>
      <c r="AV97" s="148" t="s">
        <v>134</v>
      </c>
      <c r="AW97" s="65"/>
      <c r="AX97" s="160" t="s">
        <v>144</v>
      </c>
    </row>
    <row r="98" ht="20.25" customHeight="1">
      <c r="A98" s="41">
        <v>98.0</v>
      </c>
      <c r="B98" s="319" t="s">
        <v>516</v>
      </c>
      <c r="C98" s="319" t="s">
        <v>108</v>
      </c>
      <c r="D98" s="321" t="s">
        <v>241</v>
      </c>
      <c r="E98" s="319"/>
      <c r="F98" s="322" t="s">
        <v>648</v>
      </c>
      <c r="G98" s="319" t="s">
        <v>649</v>
      </c>
      <c r="H98" s="319" t="s">
        <v>242</v>
      </c>
      <c r="I98" s="323">
        <v>45427.0</v>
      </c>
      <c r="J98" s="324">
        <v>45626.0</v>
      </c>
      <c r="K98" s="319" t="s">
        <v>650</v>
      </c>
      <c r="L98" s="325"/>
      <c r="M98" s="319" t="s">
        <v>651</v>
      </c>
      <c r="N98" s="319" t="s">
        <v>633</v>
      </c>
      <c r="O98" s="325"/>
      <c r="P98" s="326" t="str">
        <f> hyperlink(vlookup(lower(N98),'File Links'!A:B, 2, FALSE), SUBSTITUTE(lower(N98), "/", "--") &amp;  ".pdf")</f>
        <v>10.1016--j.learninstruc.2018.05.004.pdf</v>
      </c>
      <c r="Q98" s="49" t="str">
        <f t="array" ref="Q98"> if(iserror(MATCH(V98, 'File Links'!C:C, 0)), "N/A", HYPERLINK(INDEX('File Links'!B:B, MATCH(P98, 'File Links'!C:C, 0))))</f>
        <v>https://drive.google.com/file/d/1GpQZNwn0thDz2IQRffeGzv6KDWQiKn_I/view?usp=drivesdk</v>
      </c>
      <c r="R98" s="319" t="s">
        <v>652</v>
      </c>
      <c r="S98" s="319" t="s">
        <v>645</v>
      </c>
      <c r="T98" s="325"/>
      <c r="U98" s="325"/>
      <c r="V98" s="63" t="str">
        <f> hyperlink(vlookup(lower(S98),'File Links'!E:F, 2, FALSE), SUBSTITUTE(lower(S98), "/", "--") &amp;  ".pdf")</f>
        <v>10.1080--19345747.2024.2333734.pdf</v>
      </c>
      <c r="W98" s="325"/>
      <c r="X98" s="51" t="str">
        <f t="array" ref="X98"> if(iserror(MATCH(V98, 'File Links'!C:C, 0)), "N/A", HYPERLINK(INDEX('File Links'!B:B, MATCH(V98, 'File Links'!C:C, 0))))</f>
        <v>https://drive.google.com/file/d/1Rle6yo3utupMLtWPIY-izoAHwsC7-l3z/view?usp=drivesdk</v>
      </c>
      <c r="Y98" s="325"/>
      <c r="Z98" s="319" t="s">
        <v>653</v>
      </c>
      <c r="AA98" s="325"/>
      <c r="AB98" s="319" t="s">
        <v>654</v>
      </c>
      <c r="AC98" s="319" t="s">
        <v>655</v>
      </c>
      <c r="AD98" s="319" t="s">
        <v>656</v>
      </c>
      <c r="AE98" s="319" t="s">
        <v>657</v>
      </c>
      <c r="AF98" s="319">
        <v>744.0</v>
      </c>
      <c r="AG98" s="319">
        <v>0.75</v>
      </c>
      <c r="AH98" s="319" t="s">
        <v>595</v>
      </c>
      <c r="AI98" s="325"/>
      <c r="AJ98" s="319">
        <v>0.02</v>
      </c>
      <c r="AK98" s="319" t="s">
        <v>165</v>
      </c>
      <c r="AL98" s="319" t="s">
        <v>179</v>
      </c>
      <c r="AM98" s="223"/>
      <c r="AN98" s="319" t="s">
        <v>131</v>
      </c>
      <c r="AO98" s="319">
        <v>2421.0</v>
      </c>
      <c r="AP98" s="319">
        <v>0.36</v>
      </c>
      <c r="AQ98" s="319" t="s">
        <v>595</v>
      </c>
      <c r="AR98" s="325"/>
      <c r="AS98" s="319">
        <v>0.031</v>
      </c>
      <c r="AT98" s="319" t="s">
        <v>165</v>
      </c>
      <c r="AU98" s="319" t="s">
        <v>179</v>
      </c>
      <c r="AV98" s="223"/>
      <c r="AW98" s="223"/>
      <c r="AX98" s="327" t="s">
        <v>658</v>
      </c>
      <c r="AY98" s="325"/>
      <c r="AZ98" s="328"/>
    </row>
    <row r="99" ht="20.25" customHeight="1">
      <c r="A99" s="41">
        <v>99.0</v>
      </c>
      <c r="B99" s="319" t="s">
        <v>516</v>
      </c>
      <c r="C99" s="319" t="s">
        <v>108</v>
      </c>
      <c r="D99" s="321" t="s">
        <v>241</v>
      </c>
      <c r="E99" s="321"/>
      <c r="F99" s="322" t="s">
        <v>648</v>
      </c>
      <c r="G99" s="319" t="s">
        <v>631</v>
      </c>
      <c r="H99" s="319" t="s">
        <v>242</v>
      </c>
      <c r="I99" s="323">
        <v>45427.0</v>
      </c>
      <c r="J99" s="324">
        <v>45626.0</v>
      </c>
      <c r="K99" s="319" t="s">
        <v>659</v>
      </c>
      <c r="L99" s="325"/>
      <c r="M99" s="319" t="s">
        <v>651</v>
      </c>
      <c r="N99" s="319" t="s">
        <v>633</v>
      </c>
      <c r="O99" s="325"/>
      <c r="P99" s="326" t="str">
        <f> hyperlink(vlookup(lower(N99),'File Links'!A:B, 2, FALSE), SUBSTITUTE(lower(N99), "/", "--") &amp;  ".pdf")</f>
        <v>10.1016--j.learninstruc.2018.05.004.pdf</v>
      </c>
      <c r="Q99" s="49" t="str">
        <f t="array" ref="Q99"> if(iserror(MATCH(V99, 'File Links'!C:C, 0)), "N/A", HYPERLINK(INDEX('File Links'!B:B, MATCH(P99, 'File Links'!C:C, 0))))</f>
        <v>https://drive.google.com/file/d/1GpQZNwn0thDz2IQRffeGzv6KDWQiKn_I/view?usp=drivesdk</v>
      </c>
      <c r="R99" s="319" t="s">
        <v>652</v>
      </c>
      <c r="S99" s="319" t="s">
        <v>645</v>
      </c>
      <c r="T99" s="325"/>
      <c r="U99" s="325"/>
      <c r="V99" s="63" t="str">
        <f> hyperlink(vlookup(lower(S99),'File Links'!E:F, 2, FALSE), SUBSTITUTE(lower(S99), "/", "--") &amp;  ".pdf")</f>
        <v>10.1080--19345747.2024.2333734.pdf</v>
      </c>
      <c r="W99" s="325"/>
      <c r="X99" s="51" t="str">
        <f t="array" ref="X99"> if(iserror(MATCH(V99, 'File Links'!C:C, 0)), "N/A", HYPERLINK(INDEX('File Links'!B:B, MATCH(V99, 'File Links'!C:C, 0))))</f>
        <v>https://drive.google.com/file/d/1Rle6yo3utupMLtWPIY-izoAHwsC7-l3z/view?usp=drivesdk</v>
      </c>
      <c r="Y99" s="325"/>
      <c r="Z99" s="319" t="s">
        <v>653</v>
      </c>
      <c r="AA99" s="325"/>
      <c r="AB99" s="319" t="s">
        <v>660</v>
      </c>
      <c r="AC99" s="319" t="s">
        <v>655</v>
      </c>
      <c r="AD99" s="319" t="s">
        <v>661</v>
      </c>
      <c r="AE99" s="319" t="s">
        <v>657</v>
      </c>
      <c r="AF99" s="319">
        <v>744.0</v>
      </c>
      <c r="AG99" s="319">
        <v>0.61</v>
      </c>
      <c r="AH99" s="319" t="s">
        <v>595</v>
      </c>
      <c r="AI99" s="325"/>
      <c r="AJ99" s="319">
        <v>0.07</v>
      </c>
      <c r="AK99" s="319" t="s">
        <v>165</v>
      </c>
      <c r="AL99" s="319" t="s">
        <v>179</v>
      </c>
      <c r="AM99" s="223"/>
      <c r="AN99" s="319" t="s">
        <v>131</v>
      </c>
      <c r="AO99" s="319">
        <v>2421.0</v>
      </c>
      <c r="AP99" s="319">
        <v>0.58</v>
      </c>
      <c r="AQ99" s="319" t="s">
        <v>595</v>
      </c>
      <c r="AR99" s="325"/>
      <c r="AS99" s="319">
        <v>0.015</v>
      </c>
      <c r="AT99" s="319" t="s">
        <v>165</v>
      </c>
      <c r="AU99" s="319" t="s">
        <v>179</v>
      </c>
      <c r="AV99" s="223"/>
      <c r="AW99" s="223"/>
      <c r="AX99" s="327" t="s">
        <v>658</v>
      </c>
      <c r="AY99" s="325"/>
      <c r="AZ99" s="223"/>
      <c r="BC99" s="223"/>
      <c r="BD99" s="223"/>
      <c r="BE99" s="223"/>
      <c r="BF99" s="223"/>
      <c r="BG99" s="223"/>
      <c r="BH99" s="223"/>
      <c r="BI99" s="223"/>
      <c r="BJ99" s="223"/>
      <c r="BK99" s="223"/>
      <c r="BL99" s="223"/>
      <c r="BM99" s="223"/>
      <c r="BN99" s="223"/>
      <c r="BO99" s="223"/>
      <c r="BP99" s="223"/>
      <c r="BQ99" s="223"/>
      <c r="BR99" s="223"/>
      <c r="BS99" s="223"/>
      <c r="BT99" s="223"/>
      <c r="BU99" s="223"/>
      <c r="BV99" s="223"/>
      <c r="BW99" s="223"/>
      <c r="BX99" s="223"/>
      <c r="BY99" s="223"/>
      <c r="BZ99" s="223"/>
      <c r="CA99" s="223"/>
      <c r="CB99" s="223"/>
      <c r="CC99" s="223"/>
      <c r="CD99" s="223"/>
      <c r="CE99" s="223"/>
      <c r="CF99" s="223"/>
      <c r="CG99" s="223"/>
      <c r="CH99" s="223"/>
      <c r="CI99" s="223"/>
      <c r="CJ99" s="223"/>
      <c r="CK99" s="223"/>
      <c r="CL99" s="223"/>
      <c r="CM99" s="223"/>
      <c r="CN99" s="223"/>
      <c r="CO99" s="223"/>
      <c r="CP99" s="223"/>
      <c r="CQ99" s="223"/>
      <c r="CR99" s="223"/>
      <c r="CS99" s="223"/>
      <c r="CT99" s="223"/>
      <c r="CU99" s="223"/>
      <c r="CV99" s="223"/>
      <c r="CW99" s="223"/>
      <c r="CX99" s="223"/>
      <c r="CY99" s="223"/>
      <c r="CZ99" s="223"/>
      <c r="DA99" s="223"/>
      <c r="DB99" s="223"/>
      <c r="DC99" s="223"/>
      <c r="DD99" s="223"/>
      <c r="DE99" s="223"/>
      <c r="DF99" s="223"/>
      <c r="DG99" s="223"/>
      <c r="DH99" s="223"/>
    </row>
    <row r="100" ht="20.25" customHeight="1">
      <c r="A100" s="41">
        <v>100.0</v>
      </c>
      <c r="B100" s="319" t="s">
        <v>516</v>
      </c>
      <c r="C100" s="319" t="s">
        <v>108</v>
      </c>
      <c r="D100" s="321" t="s">
        <v>241</v>
      </c>
      <c r="E100" s="321"/>
      <c r="F100" s="322" t="s">
        <v>648</v>
      </c>
      <c r="G100" s="319" t="s">
        <v>643</v>
      </c>
      <c r="H100" s="319" t="s">
        <v>242</v>
      </c>
      <c r="I100" s="323">
        <v>45427.0</v>
      </c>
      <c r="J100" s="324">
        <v>45626.0</v>
      </c>
      <c r="K100" s="319" t="s">
        <v>662</v>
      </c>
      <c r="L100" s="325"/>
      <c r="M100" s="319" t="s">
        <v>651</v>
      </c>
      <c r="N100" s="319" t="s">
        <v>633</v>
      </c>
      <c r="O100" s="325"/>
      <c r="P100" s="326" t="str">
        <f> hyperlink(vlookup(lower(N100),'File Links'!A:B, 2, FALSE), SUBSTITUTE(lower(N100), "/", "--") &amp;  ".pdf")</f>
        <v>10.1016--j.learninstruc.2018.05.004.pdf</v>
      </c>
      <c r="Q100" s="49" t="str">
        <f t="array" ref="Q100"> if(iserror(MATCH(V100, 'File Links'!C:C, 0)), "N/A", HYPERLINK(INDEX('File Links'!B:B, MATCH(P100, 'File Links'!C:C, 0))))</f>
        <v>https://drive.google.com/file/d/1GpQZNwn0thDz2IQRffeGzv6KDWQiKn_I/view?usp=drivesdk</v>
      </c>
      <c r="R100" s="319" t="s">
        <v>652</v>
      </c>
      <c r="S100" s="319" t="s">
        <v>645</v>
      </c>
      <c r="T100" s="325"/>
      <c r="U100" s="325"/>
      <c r="V100" s="63" t="str">
        <f> hyperlink(vlookup(lower(S100),'File Links'!E:F, 2, FALSE), SUBSTITUTE(lower(S100), "/", "--") &amp;  ".pdf")</f>
        <v>10.1080--19345747.2024.2333734.pdf</v>
      </c>
      <c r="W100" s="325"/>
      <c r="X100" s="51" t="str">
        <f t="array" ref="X100"> if(iserror(MATCH(V100, 'File Links'!C:C, 0)), "N/A", HYPERLINK(INDEX('File Links'!B:B, MATCH(V100, 'File Links'!C:C, 0))))</f>
        <v>https://drive.google.com/file/d/1Rle6yo3utupMLtWPIY-izoAHwsC7-l3z/view?usp=drivesdk</v>
      </c>
      <c r="Y100" s="325"/>
      <c r="Z100" s="319" t="s">
        <v>653</v>
      </c>
      <c r="AA100" s="325"/>
      <c r="AB100" s="319" t="s">
        <v>663</v>
      </c>
      <c r="AC100" s="319" t="s">
        <v>655</v>
      </c>
      <c r="AD100" s="319" t="s">
        <v>664</v>
      </c>
      <c r="AE100" s="319" t="s">
        <v>657</v>
      </c>
      <c r="AF100" s="319">
        <v>744.0</v>
      </c>
      <c r="AG100" s="319">
        <v>0.57</v>
      </c>
      <c r="AH100" s="319" t="s">
        <v>595</v>
      </c>
      <c r="AI100" s="325"/>
      <c r="AJ100" s="319">
        <v>0.01</v>
      </c>
      <c r="AK100" s="319" t="s">
        <v>128</v>
      </c>
      <c r="AL100" s="319" t="s">
        <v>179</v>
      </c>
      <c r="AM100" s="223"/>
      <c r="AN100" s="319" t="s">
        <v>131</v>
      </c>
      <c r="AO100" s="319">
        <v>2421.0</v>
      </c>
      <c r="AP100" s="319">
        <v>0.54</v>
      </c>
      <c r="AQ100" s="319" t="s">
        <v>595</v>
      </c>
      <c r="AR100" s="325"/>
      <c r="AS100" s="319">
        <v>0.0</v>
      </c>
      <c r="AT100" s="319" t="s">
        <v>165</v>
      </c>
      <c r="AU100" s="319" t="s">
        <v>179</v>
      </c>
      <c r="AV100" s="223"/>
      <c r="AW100" s="223"/>
      <c r="AX100" s="327" t="s">
        <v>658</v>
      </c>
      <c r="AY100" s="325"/>
      <c r="AZ100" s="223"/>
      <c r="BC100" s="223"/>
      <c r="BD100" s="223"/>
      <c r="BE100" s="223"/>
      <c r="BF100" s="223"/>
      <c r="BG100" s="223"/>
      <c r="BH100" s="223"/>
      <c r="BI100" s="223"/>
      <c r="BJ100" s="223"/>
      <c r="BK100" s="223"/>
      <c r="BL100" s="223"/>
      <c r="BM100" s="223"/>
      <c r="BN100" s="223"/>
      <c r="BO100" s="223"/>
      <c r="BP100" s="223"/>
      <c r="BQ100" s="223"/>
      <c r="BR100" s="223"/>
      <c r="BS100" s="223"/>
      <c r="BT100" s="223"/>
      <c r="BU100" s="223"/>
      <c r="BV100" s="223"/>
      <c r="BW100" s="223"/>
      <c r="BX100" s="223"/>
      <c r="BY100" s="223"/>
      <c r="BZ100" s="223"/>
      <c r="CA100" s="223"/>
      <c r="CB100" s="223"/>
      <c r="CC100" s="223"/>
      <c r="CD100" s="223"/>
      <c r="CE100" s="223"/>
      <c r="CF100" s="223"/>
      <c r="CG100" s="223"/>
      <c r="CH100" s="223"/>
      <c r="CI100" s="223"/>
      <c r="CJ100" s="223"/>
      <c r="CK100" s="223"/>
      <c r="CL100" s="223"/>
      <c r="CM100" s="223"/>
      <c r="CN100" s="223"/>
      <c r="CO100" s="223"/>
      <c r="CP100" s="223"/>
      <c r="CQ100" s="223"/>
      <c r="CR100" s="223"/>
      <c r="CS100" s="223"/>
      <c r="CT100" s="223"/>
      <c r="CU100" s="223"/>
      <c r="CV100" s="223"/>
      <c r="CW100" s="223"/>
      <c r="CX100" s="223"/>
      <c r="CY100" s="223"/>
      <c r="CZ100" s="223"/>
      <c r="DA100" s="223"/>
      <c r="DB100" s="223"/>
      <c r="DC100" s="223"/>
      <c r="DD100" s="223"/>
      <c r="DE100" s="223"/>
      <c r="DF100" s="223"/>
      <c r="DG100" s="223"/>
      <c r="DH100" s="223"/>
    </row>
    <row r="101" ht="20.25" customHeight="1">
      <c r="A101" s="41">
        <v>101.0</v>
      </c>
      <c r="B101" s="319" t="s">
        <v>583</v>
      </c>
      <c r="C101" s="322" t="s">
        <v>108</v>
      </c>
      <c r="D101" s="322" t="s">
        <v>279</v>
      </c>
      <c r="E101" s="223"/>
      <c r="F101" s="329" t="s">
        <v>648</v>
      </c>
      <c r="G101" s="321" t="s">
        <v>630</v>
      </c>
      <c r="H101" s="321" t="s">
        <v>282</v>
      </c>
      <c r="I101" s="330">
        <v>45427.0</v>
      </c>
      <c r="J101" s="330">
        <v>45684.0</v>
      </c>
      <c r="K101" s="327" t="s">
        <v>632</v>
      </c>
      <c r="L101" s="328"/>
      <c r="M101" s="329" t="s">
        <v>651</v>
      </c>
      <c r="N101" s="329" t="s">
        <v>633</v>
      </c>
      <c r="O101" s="331"/>
      <c r="P101" s="321" t="s">
        <v>634</v>
      </c>
      <c r="Q101" s="49" t="str">
        <f t="array" ref="Q101"> if(iserror(MATCH(V101, 'File Links'!C:C, 0)), "N/A", HYPERLINK(INDEX('File Links'!B:B, MATCH(P101, 'File Links'!C:C, 0))))</f>
        <v>https://drive.google.com/file/d/1GpQZNwn0thDz2IQRffeGzv6KDWQiKn_I/view?usp=drivesdk</v>
      </c>
      <c r="R101" s="327" t="s">
        <v>652</v>
      </c>
      <c r="S101" s="319" t="s">
        <v>645</v>
      </c>
      <c r="T101" s="328"/>
      <c r="U101" s="331"/>
      <c r="V101" s="63" t="str">
        <f> hyperlink(vlookup(lower(S101),'File Links'!E:F, 2, FALSE), SUBSTITUTE(lower(S101), "/", "--") &amp;  ".pdf")</f>
        <v>10.1080--19345747.2024.2333734.pdf</v>
      </c>
      <c r="W101" s="332" t="s">
        <v>665</v>
      </c>
      <c r="X101" s="51" t="str">
        <f t="array" ref="X101"> if(iserror(MATCH(V101, 'File Links'!C:C, 0)), "N/A", HYPERLINK(INDEX('File Links'!B:B, MATCH(V101, 'File Links'!C:C, 0))))</f>
        <v>https://drive.google.com/file/d/1Rle6yo3utupMLtWPIY-izoAHwsC7-l3z/view?usp=drivesdk</v>
      </c>
      <c r="Y101" s="223"/>
      <c r="Z101" s="321" t="s">
        <v>234</v>
      </c>
      <c r="AA101" s="65" t="s">
        <v>666</v>
      </c>
      <c r="AB101" s="156" t="s">
        <v>639</v>
      </c>
      <c r="AC101" s="65" t="s">
        <v>667</v>
      </c>
      <c r="AD101" s="65" t="s">
        <v>668</v>
      </c>
      <c r="AE101" s="65" t="s">
        <v>641</v>
      </c>
      <c r="AF101" s="333">
        <v>140.0</v>
      </c>
      <c r="AG101" s="334">
        <v>0.75</v>
      </c>
      <c r="AH101" s="319" t="s">
        <v>595</v>
      </c>
      <c r="AI101" s="335" t="s">
        <v>642</v>
      </c>
      <c r="AJ101" s="334">
        <v>0.002</v>
      </c>
      <c r="AK101" s="335" t="s">
        <v>165</v>
      </c>
      <c r="AL101" s="335" t="s">
        <v>179</v>
      </c>
      <c r="AM101" s="65" t="s">
        <v>134</v>
      </c>
      <c r="AN101" s="319" t="s">
        <v>131</v>
      </c>
      <c r="AO101" s="334">
        <v>486.0</v>
      </c>
      <c r="AP101" s="334">
        <v>0.9</v>
      </c>
      <c r="AQ101" s="336" t="s">
        <v>595</v>
      </c>
      <c r="AR101" s="335" t="s">
        <v>298</v>
      </c>
      <c r="AS101" s="334">
        <v>0.047</v>
      </c>
      <c r="AT101" s="335" t="s">
        <v>165</v>
      </c>
      <c r="AU101" s="335" t="s">
        <v>179</v>
      </c>
      <c r="AV101" s="65" t="s">
        <v>134</v>
      </c>
      <c r="AW101" s="335"/>
      <c r="AX101" s="65" t="s">
        <v>144</v>
      </c>
      <c r="AY101" s="223"/>
      <c r="AZ101" s="223"/>
      <c r="BC101" s="223"/>
      <c r="BD101" s="223"/>
      <c r="BE101" s="223"/>
      <c r="BF101" s="223"/>
      <c r="BG101" s="223"/>
      <c r="BH101" s="223"/>
      <c r="BI101" s="223"/>
      <c r="BJ101" s="223"/>
      <c r="BK101" s="223"/>
      <c r="BL101" s="223"/>
      <c r="BM101" s="223"/>
      <c r="BN101" s="223"/>
      <c r="BO101" s="223"/>
      <c r="BP101" s="223"/>
      <c r="BQ101" s="223"/>
      <c r="BR101" s="223"/>
      <c r="BS101" s="223"/>
      <c r="BT101" s="223"/>
      <c r="BU101" s="223"/>
      <c r="BV101" s="223"/>
      <c r="BW101" s="223"/>
      <c r="BX101" s="223"/>
      <c r="BY101" s="223"/>
      <c r="BZ101" s="223"/>
      <c r="CA101" s="223"/>
      <c r="CB101" s="223"/>
      <c r="CC101" s="223"/>
      <c r="CD101" s="223"/>
      <c r="CE101" s="223"/>
      <c r="CF101" s="223"/>
      <c r="CG101" s="223"/>
      <c r="CH101" s="223"/>
      <c r="CI101" s="223"/>
      <c r="CJ101" s="223"/>
      <c r="CK101" s="223"/>
      <c r="CL101" s="223"/>
      <c r="CM101" s="223"/>
      <c r="CN101" s="223"/>
      <c r="CO101" s="223"/>
      <c r="CP101" s="223"/>
      <c r="CQ101" s="223"/>
      <c r="CR101" s="223"/>
      <c r="CS101" s="223"/>
      <c r="CT101" s="223"/>
      <c r="CU101" s="223"/>
      <c r="CV101" s="223"/>
      <c r="CW101" s="223"/>
      <c r="CX101" s="223"/>
      <c r="CY101" s="223"/>
      <c r="CZ101" s="223"/>
      <c r="DA101" s="223"/>
      <c r="DB101" s="223"/>
      <c r="DC101" s="223"/>
      <c r="DD101" s="223"/>
      <c r="DE101" s="223"/>
      <c r="DF101" s="223"/>
      <c r="DG101" s="223"/>
      <c r="DH101" s="223"/>
    </row>
    <row r="102" ht="20.25" customHeight="1">
      <c r="A102" s="41">
        <v>102.0</v>
      </c>
      <c r="B102" s="337" t="s">
        <v>145</v>
      </c>
      <c r="C102" s="338" t="s">
        <v>108</v>
      </c>
      <c r="D102" s="338" t="s">
        <v>279</v>
      </c>
      <c r="E102" s="339"/>
      <c r="F102" s="340" t="s">
        <v>669</v>
      </c>
      <c r="G102" s="340" t="s">
        <v>670</v>
      </c>
      <c r="H102" s="340" t="s">
        <v>282</v>
      </c>
      <c r="I102" s="341"/>
      <c r="J102" s="342">
        <v>45684.0</v>
      </c>
      <c r="K102" s="53" t="s">
        <v>671</v>
      </c>
      <c r="L102" s="53" t="s">
        <v>672</v>
      </c>
      <c r="M102" s="337" t="s">
        <v>673</v>
      </c>
      <c r="N102" s="343" t="s">
        <v>674</v>
      </c>
      <c r="O102" s="344">
        <v>1.0</v>
      </c>
      <c r="P102" s="340" t="s">
        <v>675</v>
      </c>
      <c r="Q102" s="101" t="str">
        <f t="array" ref="Q102"> if(iserror(MATCH(V102, 'File Links'!C:C, 0)), "N/A", HYPERLINK(INDEX('File Links'!B:B, MATCH(P102, 'File Links'!C:C, 0))))</f>
        <v>https://drive.google.com/file/d/1mMbXlq0wHwW3u94B3l_0KZ3_2GsCObmh/view?usp=drivesdk</v>
      </c>
      <c r="R102" s="53" t="s">
        <v>676</v>
      </c>
      <c r="S102" s="337" t="s">
        <v>677</v>
      </c>
      <c r="T102" s="43"/>
      <c r="U102" s="344">
        <v>1.0</v>
      </c>
      <c r="V102" s="337" t="str">
        <f> hyperlink(vlookup(lower(S102),'File Links'!E:F, 2, FALSE), SUBSTITUTE(lower(S102), "/", "--") &amp;  ".pdf")</f>
        <v>10.1177--07419325241240067.pdf</v>
      </c>
      <c r="W102" s="53" t="s">
        <v>678</v>
      </c>
      <c r="X102" s="51" t="str">
        <f t="array" ref="X102"> if(iserror(MATCH(V102, 'File Links'!C:C, 0)), "N/A", HYPERLINK(INDEX('File Links'!B:B, MATCH(V102, 'File Links'!C:C, 0))))</f>
        <v>https://drive.google.com/file/d/1gy34Rj2zubnsdFDxbY0YzwrhmT7eVu5B/view?usp=drivesdk</v>
      </c>
      <c r="Y102" s="339"/>
      <c r="Z102" s="340" t="s">
        <v>234</v>
      </c>
      <c r="AA102" s="53" t="s">
        <v>679</v>
      </c>
      <c r="AB102" s="53" t="s">
        <v>680</v>
      </c>
      <c r="AC102" s="53" t="s">
        <v>681</v>
      </c>
      <c r="AD102" s="345" t="s">
        <v>682</v>
      </c>
      <c r="AE102" s="344">
        <v>429.0</v>
      </c>
      <c r="AF102" s="344">
        <v>79.0</v>
      </c>
      <c r="AG102" s="53" t="s">
        <v>683</v>
      </c>
      <c r="AH102" s="346" t="s">
        <v>127</v>
      </c>
      <c r="AI102" s="53" t="s">
        <v>683</v>
      </c>
      <c r="AJ102" s="347">
        <v>0.2</v>
      </c>
      <c r="AK102" s="340" t="s">
        <v>165</v>
      </c>
      <c r="AL102" s="340" t="s">
        <v>179</v>
      </c>
      <c r="AM102" s="53" t="s">
        <v>130</v>
      </c>
      <c r="AN102" s="337" t="s">
        <v>131</v>
      </c>
      <c r="AO102" s="344">
        <v>40.0</v>
      </c>
      <c r="AP102" s="53" t="s">
        <v>684</v>
      </c>
      <c r="AQ102" s="340" t="s">
        <v>127</v>
      </c>
      <c r="AR102" s="53" t="s">
        <v>684</v>
      </c>
      <c r="AS102" s="347">
        <v>0.25</v>
      </c>
      <c r="AT102" s="340" t="s">
        <v>165</v>
      </c>
      <c r="AU102" s="340" t="s">
        <v>179</v>
      </c>
      <c r="AV102" s="53" t="s">
        <v>130</v>
      </c>
      <c r="AW102" s="105"/>
      <c r="AX102" s="53" t="s">
        <v>144</v>
      </c>
      <c r="AY102" s="339"/>
      <c r="AZ102" s="338" t="s">
        <v>685</v>
      </c>
      <c r="BA102" s="339"/>
      <c r="BB102" s="339"/>
      <c r="BC102" s="339"/>
      <c r="BD102" s="339"/>
      <c r="BE102" s="339"/>
      <c r="BF102" s="339"/>
      <c r="BG102" s="339"/>
      <c r="BH102" s="339"/>
      <c r="BI102" s="339"/>
      <c r="BJ102" s="339"/>
      <c r="BK102" s="339"/>
      <c r="BL102" s="339"/>
      <c r="BM102" s="339"/>
      <c r="BN102" s="339"/>
      <c r="BO102" s="339"/>
      <c r="BP102" s="339"/>
      <c r="BQ102" s="339"/>
      <c r="BR102" s="339"/>
      <c r="BS102" s="339"/>
      <c r="BT102" s="339"/>
      <c r="BU102" s="339"/>
      <c r="BV102" s="339"/>
      <c r="BW102" s="339"/>
      <c r="BX102" s="339"/>
      <c r="BY102" s="339"/>
      <c r="BZ102" s="339"/>
      <c r="CA102" s="339"/>
      <c r="CB102" s="339"/>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row>
    <row r="103" ht="20.25" customHeight="1">
      <c r="A103" s="41">
        <v>103.0</v>
      </c>
      <c r="B103" s="337" t="s">
        <v>145</v>
      </c>
      <c r="C103" s="338" t="s">
        <v>108</v>
      </c>
      <c r="D103" s="338" t="s">
        <v>279</v>
      </c>
      <c r="E103" s="339"/>
      <c r="F103" s="340" t="s">
        <v>669</v>
      </c>
      <c r="G103" s="340" t="s">
        <v>686</v>
      </c>
      <c r="H103" s="340" t="s">
        <v>282</v>
      </c>
      <c r="I103" s="341"/>
      <c r="J103" s="342">
        <v>45684.0</v>
      </c>
      <c r="K103" s="53" t="s">
        <v>671</v>
      </c>
      <c r="L103" s="53" t="s">
        <v>687</v>
      </c>
      <c r="M103" s="337" t="s">
        <v>673</v>
      </c>
      <c r="N103" s="343" t="s">
        <v>674</v>
      </c>
      <c r="O103" s="344">
        <v>1.0</v>
      </c>
      <c r="P103" s="340" t="s">
        <v>675</v>
      </c>
      <c r="Q103" s="101" t="str">
        <f t="array" ref="Q103"> if(iserror(MATCH(V103, 'File Links'!C:C, 0)), "N/A", HYPERLINK(INDEX('File Links'!B:B, MATCH(P103, 'File Links'!C:C, 0))))</f>
        <v>https://drive.google.com/file/d/1mMbXlq0wHwW3u94B3l_0KZ3_2GsCObmh/view?usp=drivesdk</v>
      </c>
      <c r="R103" s="53" t="s">
        <v>688</v>
      </c>
      <c r="S103" s="337" t="s">
        <v>677</v>
      </c>
      <c r="T103" s="43"/>
      <c r="U103" s="344">
        <v>1.0</v>
      </c>
      <c r="V103" s="337" t="str">
        <f> hyperlink(vlookup(lower(S103),'File Links'!E:F, 2, FALSE), SUBSTITUTE(lower(S103), "/", "--") &amp;  ".pdf")</f>
        <v>10.1177--07419325241240067.pdf</v>
      </c>
      <c r="W103" s="53" t="s">
        <v>678</v>
      </c>
      <c r="X103" s="51" t="str">
        <f t="array" ref="X103"> if(iserror(MATCH(V103, 'File Links'!C:C, 0)), "N/A", HYPERLINK(INDEX('File Links'!B:B, MATCH(V103, 'File Links'!C:C, 0))))</f>
        <v>https://drive.google.com/file/d/1gy34Rj2zubnsdFDxbY0YzwrhmT7eVu5B/view?usp=drivesdk</v>
      </c>
      <c r="Y103" s="339"/>
      <c r="Z103" s="340" t="s">
        <v>234</v>
      </c>
      <c r="AA103" s="53" t="s">
        <v>689</v>
      </c>
      <c r="AB103" s="53" t="s">
        <v>680</v>
      </c>
      <c r="AC103" s="53" t="s">
        <v>690</v>
      </c>
      <c r="AD103" s="345" t="s">
        <v>682</v>
      </c>
      <c r="AE103" s="348">
        <v>429.0</v>
      </c>
      <c r="AF103" s="344">
        <v>79.0</v>
      </c>
      <c r="AG103" s="53" t="s">
        <v>691</v>
      </c>
      <c r="AH103" s="346" t="s">
        <v>127</v>
      </c>
      <c r="AI103" s="53" t="s">
        <v>691</v>
      </c>
      <c r="AJ103" s="347">
        <v>0.41</v>
      </c>
      <c r="AK103" s="340" t="s">
        <v>165</v>
      </c>
      <c r="AL103" s="340" t="s">
        <v>179</v>
      </c>
      <c r="AM103" s="53" t="s">
        <v>130</v>
      </c>
      <c r="AN103" s="337" t="s">
        <v>131</v>
      </c>
      <c r="AO103" s="344">
        <v>40.0</v>
      </c>
      <c r="AP103" s="53" t="s">
        <v>692</v>
      </c>
      <c r="AQ103" s="340" t="s">
        <v>127</v>
      </c>
      <c r="AR103" s="53" t="s">
        <v>692</v>
      </c>
      <c r="AS103" s="347">
        <v>0.01</v>
      </c>
      <c r="AT103" s="340" t="s">
        <v>165</v>
      </c>
      <c r="AU103" s="340" t="s">
        <v>179</v>
      </c>
      <c r="AV103" s="53" t="s">
        <v>130</v>
      </c>
      <c r="AW103" s="105"/>
      <c r="AX103" s="53" t="s">
        <v>144</v>
      </c>
      <c r="AY103" s="339"/>
      <c r="AZ103" s="338" t="s">
        <v>685</v>
      </c>
      <c r="BA103" s="339"/>
      <c r="BB103" s="339"/>
      <c r="BC103" s="339"/>
      <c r="BD103" s="339"/>
      <c r="BE103" s="339"/>
      <c r="BF103" s="339"/>
      <c r="BG103" s="339"/>
      <c r="BH103" s="339"/>
      <c r="BI103" s="339"/>
      <c r="BJ103" s="339"/>
      <c r="BK103" s="339"/>
      <c r="BL103" s="339"/>
      <c r="BM103" s="339"/>
      <c r="BN103" s="339"/>
      <c r="BO103" s="339"/>
      <c r="BP103" s="339"/>
      <c r="BQ103" s="339"/>
      <c r="BR103" s="339"/>
      <c r="BS103" s="339"/>
      <c r="BT103" s="339"/>
      <c r="BU103" s="339"/>
      <c r="BV103" s="339"/>
      <c r="BW103" s="339"/>
      <c r="BX103" s="339"/>
      <c r="BY103" s="339"/>
      <c r="BZ103" s="339"/>
      <c r="CA103" s="339"/>
      <c r="CB103" s="339"/>
      <c r="CC103" s="339"/>
      <c r="CD103" s="339"/>
      <c r="CE103" s="339"/>
      <c r="CF103" s="339"/>
      <c r="CG103" s="339"/>
      <c r="CH103" s="339"/>
      <c r="CI103" s="339"/>
      <c r="CJ103" s="339"/>
      <c r="CK103" s="339"/>
      <c r="CL103" s="339"/>
      <c r="CM103" s="339"/>
      <c r="CN103" s="339"/>
      <c r="CO103" s="339"/>
      <c r="CP103" s="339"/>
      <c r="CQ103" s="339"/>
      <c r="CR103" s="339"/>
      <c r="CS103" s="339"/>
      <c r="CT103" s="339"/>
      <c r="CU103" s="339"/>
      <c r="CV103" s="339"/>
      <c r="CW103" s="339"/>
      <c r="CX103" s="339"/>
      <c r="CY103" s="339"/>
      <c r="CZ103" s="339"/>
      <c r="DA103" s="339"/>
      <c r="DB103" s="339"/>
      <c r="DC103" s="339"/>
      <c r="DD103" s="339"/>
      <c r="DE103" s="339"/>
      <c r="DF103" s="339"/>
      <c r="DG103" s="339"/>
      <c r="DH103" s="339"/>
    </row>
    <row r="104" ht="20.25" customHeight="1">
      <c r="A104" s="41">
        <v>104.0</v>
      </c>
      <c r="B104" s="337" t="s">
        <v>145</v>
      </c>
      <c r="C104" s="338" t="s">
        <v>108</v>
      </c>
      <c r="D104" s="338" t="s">
        <v>279</v>
      </c>
      <c r="E104" s="339"/>
      <c r="F104" s="340" t="s">
        <v>669</v>
      </c>
      <c r="G104" s="340" t="s">
        <v>693</v>
      </c>
      <c r="H104" s="340" t="s">
        <v>282</v>
      </c>
      <c r="I104" s="341"/>
      <c r="J104" s="342">
        <v>45677.0</v>
      </c>
      <c r="K104" s="53" t="s">
        <v>671</v>
      </c>
      <c r="L104" s="53" t="s">
        <v>694</v>
      </c>
      <c r="M104" s="337" t="s">
        <v>673</v>
      </c>
      <c r="N104" s="343" t="s">
        <v>674</v>
      </c>
      <c r="O104" s="344">
        <v>1.0</v>
      </c>
      <c r="P104" s="340" t="s">
        <v>675</v>
      </c>
      <c r="Q104" s="101" t="str">
        <f t="array" ref="Q104"> if(iserror(MATCH(V104, 'File Links'!C:C, 0)), "N/A", HYPERLINK(INDEX('File Links'!B:B, MATCH(P104, 'File Links'!C:C, 0))))</f>
        <v>https://drive.google.com/file/d/1mMbXlq0wHwW3u94B3l_0KZ3_2GsCObmh/view?usp=drivesdk</v>
      </c>
      <c r="R104" s="53" t="s">
        <v>695</v>
      </c>
      <c r="S104" s="337" t="s">
        <v>677</v>
      </c>
      <c r="T104" s="43"/>
      <c r="U104" s="344">
        <v>1.0</v>
      </c>
      <c r="V104" s="337" t="str">
        <f> hyperlink(vlookup(lower(S104),'File Links'!E:F, 2, FALSE), SUBSTITUTE(lower(S104), "/", "--") &amp;  ".pdf")</f>
        <v>10.1177--07419325241240067.pdf</v>
      </c>
      <c r="W104" s="53" t="s">
        <v>678</v>
      </c>
      <c r="X104" s="51" t="str">
        <f t="array" ref="X104"> if(iserror(MATCH(V104, 'File Links'!C:C, 0)), "N/A", HYPERLINK(INDEX('File Links'!B:B, MATCH(V104, 'File Links'!C:C, 0))))</f>
        <v>https://drive.google.com/file/d/1gy34Rj2zubnsdFDxbY0YzwrhmT7eVu5B/view?usp=drivesdk</v>
      </c>
      <c r="Y104" s="339"/>
      <c r="Z104" s="340" t="s">
        <v>234</v>
      </c>
      <c r="AA104" s="53" t="s">
        <v>696</v>
      </c>
      <c r="AB104" s="53" t="s">
        <v>680</v>
      </c>
      <c r="AC104" s="53" t="s">
        <v>697</v>
      </c>
      <c r="AD104" s="345" t="s">
        <v>682</v>
      </c>
      <c r="AE104" s="348">
        <v>429.0</v>
      </c>
      <c r="AF104" s="344">
        <v>79.0</v>
      </c>
      <c r="AG104" s="53" t="s">
        <v>698</v>
      </c>
      <c r="AH104" s="346" t="s">
        <v>127</v>
      </c>
      <c r="AI104" s="53" t="s">
        <v>698</v>
      </c>
      <c r="AJ104" s="347">
        <v>0.48</v>
      </c>
      <c r="AK104" s="340" t="s">
        <v>165</v>
      </c>
      <c r="AL104" s="340" t="s">
        <v>179</v>
      </c>
      <c r="AM104" s="53" t="s">
        <v>130</v>
      </c>
      <c r="AN104" s="337" t="s">
        <v>131</v>
      </c>
      <c r="AO104" s="344">
        <v>40.0</v>
      </c>
      <c r="AP104" s="53" t="s">
        <v>699</v>
      </c>
      <c r="AQ104" s="340" t="s">
        <v>127</v>
      </c>
      <c r="AR104" s="53" t="s">
        <v>699</v>
      </c>
      <c r="AS104" s="347">
        <v>0.12</v>
      </c>
      <c r="AT104" s="340" t="s">
        <v>165</v>
      </c>
      <c r="AU104" s="340" t="s">
        <v>179</v>
      </c>
      <c r="AV104" s="53" t="s">
        <v>130</v>
      </c>
      <c r="AW104" s="105"/>
      <c r="AX104" s="53" t="s">
        <v>144</v>
      </c>
      <c r="AY104" s="339"/>
      <c r="AZ104" s="338" t="s">
        <v>685</v>
      </c>
      <c r="BA104" s="339"/>
      <c r="BB104" s="339"/>
      <c r="BC104" s="339"/>
      <c r="BD104" s="339"/>
      <c r="BE104" s="339"/>
      <c r="BF104" s="339"/>
      <c r="BG104" s="339"/>
      <c r="BH104" s="339"/>
      <c r="BI104" s="339"/>
      <c r="BJ104" s="339"/>
      <c r="BK104" s="339"/>
      <c r="BL104" s="339"/>
      <c r="BM104" s="339"/>
      <c r="BN104" s="339"/>
      <c r="BO104" s="339"/>
      <c r="BP104" s="339"/>
      <c r="BQ104" s="339"/>
      <c r="BR104" s="339"/>
      <c r="BS104" s="339"/>
      <c r="BT104" s="339"/>
      <c r="BU104" s="339"/>
      <c r="BV104" s="339"/>
      <c r="BW104" s="339"/>
      <c r="BX104" s="339"/>
      <c r="BY104" s="339"/>
      <c r="BZ104" s="339"/>
      <c r="CA104" s="339"/>
      <c r="CB104" s="339"/>
      <c r="CC104" s="339"/>
      <c r="CD104" s="339"/>
      <c r="CE104" s="339"/>
      <c r="CF104" s="339"/>
      <c r="CG104" s="339"/>
      <c r="CH104" s="339"/>
      <c r="CI104" s="339"/>
      <c r="CJ104" s="339"/>
      <c r="CK104" s="339"/>
      <c r="CL104" s="339"/>
      <c r="CM104" s="339"/>
      <c r="CN104" s="339"/>
      <c r="CO104" s="339"/>
      <c r="CP104" s="339"/>
      <c r="CQ104" s="339"/>
      <c r="CR104" s="339"/>
      <c r="CS104" s="339"/>
      <c r="CT104" s="339"/>
      <c r="CU104" s="339"/>
      <c r="CV104" s="339"/>
      <c r="CW104" s="339"/>
      <c r="CX104" s="339"/>
      <c r="CY104" s="339"/>
      <c r="CZ104" s="339"/>
      <c r="DA104" s="339"/>
      <c r="DB104" s="339"/>
      <c r="DC104" s="339"/>
      <c r="DD104" s="339"/>
      <c r="DE104" s="339"/>
      <c r="DF104" s="339"/>
      <c r="DG104" s="339"/>
      <c r="DH104" s="339"/>
    </row>
    <row r="105" ht="20.25" customHeight="1">
      <c r="A105" s="41">
        <v>105.0</v>
      </c>
      <c r="B105" s="337" t="s">
        <v>145</v>
      </c>
      <c r="C105" s="338" t="s">
        <v>108</v>
      </c>
      <c r="D105" s="338" t="s">
        <v>279</v>
      </c>
      <c r="E105" s="339"/>
      <c r="F105" s="340" t="s">
        <v>669</v>
      </c>
      <c r="G105" s="340" t="s">
        <v>700</v>
      </c>
      <c r="H105" s="340" t="s">
        <v>282</v>
      </c>
      <c r="I105" s="341"/>
      <c r="J105" s="342">
        <v>45684.0</v>
      </c>
      <c r="K105" s="53" t="s">
        <v>671</v>
      </c>
      <c r="L105" s="53" t="s">
        <v>701</v>
      </c>
      <c r="M105" s="337" t="s">
        <v>673</v>
      </c>
      <c r="N105" s="343" t="s">
        <v>674</v>
      </c>
      <c r="O105" s="344">
        <v>1.0</v>
      </c>
      <c r="P105" s="340" t="s">
        <v>675</v>
      </c>
      <c r="Q105" s="101" t="str">
        <f t="array" ref="Q105"> if(iserror(MATCH(V105, 'File Links'!C:C, 0)), "N/A", HYPERLINK(INDEX('File Links'!B:B, MATCH(P105, 'File Links'!C:C, 0))))</f>
        <v>https://drive.google.com/file/d/1mMbXlq0wHwW3u94B3l_0KZ3_2GsCObmh/view?usp=drivesdk</v>
      </c>
      <c r="R105" s="53" t="s">
        <v>702</v>
      </c>
      <c r="S105" s="337" t="s">
        <v>677</v>
      </c>
      <c r="T105" s="43"/>
      <c r="U105" s="344">
        <v>1.0</v>
      </c>
      <c r="V105" s="337" t="str">
        <f> hyperlink(vlookup(lower(S105),'File Links'!E:F, 2, FALSE), SUBSTITUTE(lower(S105), "/", "--") &amp;  ".pdf")</f>
        <v>10.1177--07419325241240067.pdf</v>
      </c>
      <c r="W105" s="53" t="s">
        <v>678</v>
      </c>
      <c r="X105" s="51" t="str">
        <f t="array" ref="X105"> if(iserror(MATCH(V105, 'File Links'!C:C, 0)), "N/A", HYPERLINK(INDEX('File Links'!B:B, MATCH(V105, 'File Links'!C:C, 0))))</f>
        <v>https://drive.google.com/file/d/1gy34Rj2zubnsdFDxbY0YzwrhmT7eVu5B/view?usp=drivesdk</v>
      </c>
      <c r="Y105" s="339"/>
      <c r="Z105" s="340" t="s">
        <v>234</v>
      </c>
      <c r="AA105" s="53" t="s">
        <v>703</v>
      </c>
      <c r="AB105" s="53" t="s">
        <v>680</v>
      </c>
      <c r="AC105" s="53" t="s">
        <v>704</v>
      </c>
      <c r="AD105" s="345" t="s">
        <v>682</v>
      </c>
      <c r="AE105" s="348">
        <v>429.0</v>
      </c>
      <c r="AF105" s="344">
        <v>79.0</v>
      </c>
      <c r="AG105" s="53" t="s">
        <v>705</v>
      </c>
      <c r="AH105" s="346" t="s">
        <v>127</v>
      </c>
      <c r="AI105" s="53" t="s">
        <v>705</v>
      </c>
      <c r="AJ105" s="347">
        <v>0.55</v>
      </c>
      <c r="AK105" s="340" t="s">
        <v>165</v>
      </c>
      <c r="AL105" s="340" t="s">
        <v>179</v>
      </c>
      <c r="AM105" s="53" t="s">
        <v>130</v>
      </c>
      <c r="AN105" s="337" t="s">
        <v>131</v>
      </c>
      <c r="AO105" s="344">
        <v>40.0</v>
      </c>
      <c r="AP105" s="53" t="s">
        <v>706</v>
      </c>
      <c r="AQ105" s="340" t="s">
        <v>127</v>
      </c>
      <c r="AR105" s="53" t="s">
        <v>706</v>
      </c>
      <c r="AS105" s="347">
        <v>0.01</v>
      </c>
      <c r="AT105" s="340" t="s">
        <v>128</v>
      </c>
      <c r="AU105" s="340" t="s">
        <v>179</v>
      </c>
      <c r="AV105" s="53" t="s">
        <v>130</v>
      </c>
      <c r="AW105" s="105"/>
      <c r="AX105" s="53" t="s">
        <v>144</v>
      </c>
      <c r="AY105" s="339"/>
      <c r="AZ105" s="338" t="s">
        <v>685</v>
      </c>
      <c r="BA105" s="339"/>
      <c r="BB105" s="339"/>
      <c r="BC105" s="339"/>
      <c r="BD105" s="339"/>
      <c r="BE105" s="339"/>
      <c r="BF105" s="339"/>
      <c r="BG105" s="339"/>
      <c r="BH105" s="339"/>
      <c r="BI105" s="339"/>
      <c r="BJ105" s="339"/>
      <c r="BK105" s="339"/>
      <c r="BL105" s="339"/>
      <c r="BM105" s="339"/>
      <c r="BN105" s="339"/>
      <c r="BO105" s="339"/>
      <c r="BP105" s="339"/>
      <c r="BQ105" s="339"/>
      <c r="BR105" s="339"/>
      <c r="BS105" s="339"/>
      <c r="BT105" s="339"/>
      <c r="BU105" s="339"/>
      <c r="BV105" s="339"/>
      <c r="BW105" s="339"/>
      <c r="BX105" s="339"/>
      <c r="BY105" s="339"/>
      <c r="BZ105" s="339"/>
      <c r="CA105" s="339"/>
      <c r="CB105" s="339"/>
      <c r="CC105" s="339"/>
      <c r="CD105" s="339"/>
      <c r="CE105" s="339"/>
      <c r="CF105" s="339"/>
      <c r="CG105" s="339"/>
      <c r="CH105" s="339"/>
      <c r="CI105" s="339"/>
      <c r="CJ105" s="339"/>
      <c r="CK105" s="339"/>
      <c r="CL105" s="339"/>
      <c r="CM105" s="339"/>
      <c r="CN105" s="339"/>
      <c r="CO105" s="339"/>
      <c r="CP105" s="339"/>
      <c r="CQ105" s="339"/>
      <c r="CR105" s="339"/>
      <c r="CS105" s="339"/>
      <c r="CT105" s="339"/>
      <c r="CU105" s="339"/>
      <c r="CV105" s="339"/>
      <c r="CW105" s="339"/>
      <c r="CX105" s="339"/>
      <c r="CY105" s="339"/>
      <c r="CZ105" s="339"/>
      <c r="DA105" s="339"/>
      <c r="DB105" s="339"/>
      <c r="DC105" s="339"/>
      <c r="DD105" s="339"/>
      <c r="DE105" s="339"/>
      <c r="DF105" s="339"/>
      <c r="DG105" s="339"/>
      <c r="DH105" s="339"/>
    </row>
    <row r="106" ht="20.25" customHeight="1">
      <c r="A106" s="41">
        <v>106.0</v>
      </c>
      <c r="B106" s="337" t="s">
        <v>107</v>
      </c>
      <c r="C106" s="337" t="s">
        <v>108</v>
      </c>
      <c r="D106" s="340" t="s">
        <v>241</v>
      </c>
      <c r="E106" s="340"/>
      <c r="F106" s="338" t="s">
        <v>707</v>
      </c>
      <c r="G106" s="337" t="s">
        <v>708</v>
      </c>
      <c r="H106" s="337" t="s">
        <v>242</v>
      </c>
      <c r="I106" s="349">
        <v>45427.0</v>
      </c>
      <c r="J106" s="350">
        <v>45626.0</v>
      </c>
      <c r="K106" s="337" t="s">
        <v>709</v>
      </c>
      <c r="L106" s="337" t="s">
        <v>710</v>
      </c>
      <c r="M106" s="337" t="s">
        <v>673</v>
      </c>
      <c r="N106" s="337" t="s">
        <v>674</v>
      </c>
      <c r="O106" s="351"/>
      <c r="P106" s="352" t="str">
        <f> hyperlink(vlookup(lower(N106),'File Links'!A:B, 2, FALSE), SUBSTITUTE(lower(N106), "/", "--") &amp;  ".pdf")</f>
        <v>10.3102--0013189x13507104.pdf</v>
      </c>
      <c r="Q106" s="101" t="str">
        <f t="array" ref="Q106"> if(iserror(MATCH(V106, 'File Links'!C:C, 0)), "N/A", HYPERLINK(INDEX('File Links'!B:B, MATCH(P106, 'File Links'!C:C, 0))))</f>
        <v>https://drive.google.com/file/d/1mMbXlq0wHwW3u94B3l_0KZ3_2GsCObmh/view?usp=drivesdk</v>
      </c>
      <c r="R106" s="337" t="s">
        <v>711</v>
      </c>
      <c r="S106" s="337" t="s">
        <v>677</v>
      </c>
      <c r="T106" s="351"/>
      <c r="U106" s="351"/>
      <c r="V106" s="337" t="str">
        <f> hyperlink(vlookup(lower(S106),'File Links'!E:F, 2, FALSE), SUBSTITUTE(lower(S106), "/", "--") &amp;  ".pdf")</f>
        <v>10.1177--07419325241240067.pdf</v>
      </c>
      <c r="W106" s="53" t="s">
        <v>678</v>
      </c>
      <c r="X106" s="51" t="str">
        <f t="array" ref="X106"> if(iserror(MATCH(V106, 'File Links'!C:C, 0)), "N/A", HYPERLINK(INDEX('File Links'!B:B, MATCH(V106, 'File Links'!C:C, 0))))</f>
        <v>https://drive.google.com/file/d/1gy34Rj2zubnsdFDxbY0YzwrhmT7eVu5B/view?usp=drivesdk</v>
      </c>
      <c r="Y106" s="351"/>
      <c r="Z106" s="337" t="s">
        <v>653</v>
      </c>
      <c r="AA106" s="351"/>
      <c r="AB106" s="337" t="s">
        <v>712</v>
      </c>
      <c r="AC106" s="337" t="s">
        <v>713</v>
      </c>
      <c r="AD106" s="337" t="s">
        <v>714</v>
      </c>
      <c r="AE106" s="337">
        <v>429.0</v>
      </c>
      <c r="AF106" s="337">
        <v>79.0</v>
      </c>
      <c r="AG106" s="337">
        <v>2.0</v>
      </c>
      <c r="AH106" s="337" t="s">
        <v>715</v>
      </c>
      <c r="AI106" s="351"/>
      <c r="AJ106" s="337">
        <v>0.2</v>
      </c>
      <c r="AK106" s="337" t="s">
        <v>165</v>
      </c>
      <c r="AL106" s="337" t="s">
        <v>179</v>
      </c>
      <c r="AM106" s="339"/>
      <c r="AN106" s="337" t="s">
        <v>131</v>
      </c>
      <c r="AO106" s="337">
        <v>40.0</v>
      </c>
      <c r="AP106" s="337">
        <v>0.65</v>
      </c>
      <c r="AQ106" s="337" t="s">
        <v>715</v>
      </c>
      <c r="AR106" s="351"/>
      <c r="AS106" s="337">
        <v>0.25</v>
      </c>
      <c r="AT106" s="337" t="s">
        <v>165</v>
      </c>
      <c r="AU106" s="337" t="s">
        <v>179</v>
      </c>
      <c r="AV106" s="339"/>
      <c r="AW106" s="339"/>
      <c r="AX106" s="53" t="s">
        <v>317</v>
      </c>
      <c r="AY106" s="351"/>
      <c r="AZ106" s="338" t="s">
        <v>685</v>
      </c>
      <c r="BA106" s="339"/>
      <c r="BB106" s="339"/>
      <c r="BC106" s="339"/>
      <c r="BD106" s="339"/>
      <c r="BE106" s="339"/>
      <c r="BF106" s="339"/>
      <c r="BG106" s="339"/>
      <c r="BH106" s="339"/>
      <c r="BI106" s="339"/>
      <c r="BJ106" s="339"/>
      <c r="BK106" s="339"/>
      <c r="BL106" s="339"/>
      <c r="BM106" s="339"/>
      <c r="BN106" s="339"/>
      <c r="BO106" s="339"/>
      <c r="BP106" s="339"/>
      <c r="BQ106" s="339"/>
      <c r="BR106" s="339"/>
      <c r="BS106" s="339"/>
      <c r="BT106" s="339"/>
      <c r="BU106" s="339"/>
      <c r="BV106" s="339"/>
      <c r="BW106" s="339"/>
      <c r="BX106" s="339"/>
      <c r="BY106" s="339"/>
      <c r="BZ106" s="339"/>
      <c r="CA106" s="339"/>
      <c r="CB106" s="339"/>
      <c r="CC106" s="339"/>
      <c r="CD106" s="339"/>
      <c r="CE106" s="339"/>
      <c r="CF106" s="339"/>
      <c r="CG106" s="339"/>
      <c r="CH106" s="339"/>
      <c r="CI106" s="339"/>
      <c r="CJ106" s="339"/>
      <c r="CK106" s="339"/>
      <c r="CL106" s="339"/>
      <c r="CM106" s="339"/>
      <c r="CN106" s="339"/>
      <c r="CO106" s="339"/>
      <c r="CP106" s="339"/>
      <c r="CQ106" s="339"/>
      <c r="CR106" s="339"/>
      <c r="CS106" s="339"/>
      <c r="CT106" s="339"/>
      <c r="CU106" s="339"/>
      <c r="CV106" s="339"/>
      <c r="CW106" s="339"/>
      <c r="CX106" s="339"/>
      <c r="CY106" s="339"/>
      <c r="CZ106" s="339"/>
      <c r="DA106" s="339"/>
      <c r="DB106" s="339"/>
      <c r="DC106" s="339"/>
      <c r="DD106" s="339"/>
      <c r="DE106" s="339"/>
      <c r="DF106" s="339"/>
      <c r="DG106" s="339"/>
      <c r="DH106" s="339"/>
    </row>
    <row r="107" ht="20.25" customHeight="1">
      <c r="A107" s="41">
        <v>107.0</v>
      </c>
      <c r="B107" s="337" t="s">
        <v>107</v>
      </c>
      <c r="C107" s="337" t="s">
        <v>108</v>
      </c>
      <c r="D107" s="340" t="s">
        <v>241</v>
      </c>
      <c r="E107" s="340"/>
      <c r="F107" s="338" t="s">
        <v>707</v>
      </c>
      <c r="G107" s="337" t="s">
        <v>670</v>
      </c>
      <c r="H107" s="337" t="s">
        <v>242</v>
      </c>
      <c r="I107" s="349">
        <v>45427.0</v>
      </c>
      <c r="J107" s="350">
        <v>45626.0</v>
      </c>
      <c r="K107" s="337" t="s">
        <v>716</v>
      </c>
      <c r="L107" s="337" t="s">
        <v>717</v>
      </c>
      <c r="M107" s="337" t="s">
        <v>673</v>
      </c>
      <c r="N107" s="337" t="s">
        <v>674</v>
      </c>
      <c r="O107" s="351"/>
      <c r="P107" s="352" t="str">
        <f> hyperlink(vlookup(lower(N107),'File Links'!A:B, 2, FALSE), SUBSTITUTE(lower(N107), "/", "--") &amp;  ".pdf")</f>
        <v>10.3102--0013189x13507104.pdf</v>
      </c>
      <c r="Q107" s="101" t="str">
        <f t="array" ref="Q107"> if(iserror(MATCH(V107, 'File Links'!C:C, 0)), "N/A", HYPERLINK(INDEX('File Links'!B:B, MATCH(P107, 'File Links'!C:C, 0))))</f>
        <v>https://drive.google.com/file/d/1mMbXlq0wHwW3u94B3l_0KZ3_2GsCObmh/view?usp=drivesdk</v>
      </c>
      <c r="R107" s="337" t="s">
        <v>711</v>
      </c>
      <c r="S107" s="337" t="s">
        <v>677</v>
      </c>
      <c r="T107" s="351"/>
      <c r="U107" s="351"/>
      <c r="V107" s="337" t="str">
        <f> hyperlink(vlookup(lower(S107),'File Links'!E:F, 2, FALSE), SUBSTITUTE(lower(S107), "/", "--") &amp;  ".pdf")</f>
        <v>10.1177--07419325241240067.pdf</v>
      </c>
      <c r="W107" s="53" t="s">
        <v>678</v>
      </c>
      <c r="X107" s="51" t="str">
        <f t="array" ref="X107"> if(iserror(MATCH(V107, 'File Links'!C:C, 0)), "N/A", HYPERLINK(INDEX('File Links'!B:B, MATCH(V107, 'File Links'!C:C, 0))))</f>
        <v>https://drive.google.com/file/d/1gy34Rj2zubnsdFDxbY0YzwrhmT7eVu5B/view?usp=drivesdk</v>
      </c>
      <c r="Y107" s="351"/>
      <c r="Z107" s="337" t="s">
        <v>653</v>
      </c>
      <c r="AA107" s="351"/>
      <c r="AB107" s="337" t="s">
        <v>718</v>
      </c>
      <c r="AC107" s="337" t="s">
        <v>713</v>
      </c>
      <c r="AD107" s="337" t="s">
        <v>719</v>
      </c>
      <c r="AE107" s="337">
        <v>429.0</v>
      </c>
      <c r="AF107" s="337">
        <v>79.0</v>
      </c>
      <c r="AG107" s="337">
        <v>2.97</v>
      </c>
      <c r="AH107" s="337" t="s">
        <v>715</v>
      </c>
      <c r="AI107" s="351"/>
      <c r="AJ107" s="337">
        <v>0.2</v>
      </c>
      <c r="AK107" s="337" t="s">
        <v>165</v>
      </c>
      <c r="AL107" s="337" t="s">
        <v>179</v>
      </c>
      <c r="AM107" s="339"/>
      <c r="AN107" s="337" t="s">
        <v>131</v>
      </c>
      <c r="AO107" s="337">
        <v>40.0</v>
      </c>
      <c r="AP107" s="337">
        <v>1.88</v>
      </c>
      <c r="AQ107" s="337" t="s">
        <v>715</v>
      </c>
      <c r="AR107" s="351"/>
      <c r="AS107" s="337">
        <v>0.25</v>
      </c>
      <c r="AT107" s="337" t="s">
        <v>165</v>
      </c>
      <c r="AU107" s="337" t="s">
        <v>179</v>
      </c>
      <c r="AV107" s="339"/>
      <c r="AW107" s="339"/>
      <c r="AX107" s="53" t="s">
        <v>317</v>
      </c>
      <c r="AY107" s="351"/>
      <c r="AZ107" s="338" t="s">
        <v>685</v>
      </c>
      <c r="BA107" s="339"/>
      <c r="BB107" s="339"/>
      <c r="BC107" s="339"/>
      <c r="BD107" s="339"/>
      <c r="BE107" s="339"/>
      <c r="BF107" s="339"/>
      <c r="BG107" s="339"/>
      <c r="BH107" s="339"/>
      <c r="BI107" s="339"/>
      <c r="BJ107" s="339"/>
      <c r="BK107" s="339"/>
      <c r="BL107" s="339"/>
      <c r="BM107" s="339"/>
      <c r="BN107" s="339"/>
      <c r="BO107" s="339"/>
      <c r="BP107" s="339"/>
      <c r="BQ107" s="339"/>
      <c r="BR107" s="339"/>
      <c r="BS107" s="339"/>
      <c r="BT107" s="339"/>
      <c r="BU107" s="339"/>
      <c r="BV107" s="339"/>
      <c r="BW107" s="339"/>
      <c r="BX107" s="339"/>
      <c r="BY107" s="339"/>
      <c r="BZ107" s="339"/>
      <c r="CA107" s="339"/>
      <c r="CB107" s="339"/>
      <c r="CC107" s="339"/>
      <c r="CD107" s="339"/>
      <c r="CE107" s="339"/>
      <c r="CF107" s="339"/>
      <c r="CG107" s="339"/>
      <c r="CH107" s="339"/>
      <c r="CI107" s="339"/>
      <c r="CJ107" s="339"/>
      <c r="CK107" s="339"/>
      <c r="CL107" s="339"/>
      <c r="CM107" s="339"/>
      <c r="CN107" s="339"/>
      <c r="CO107" s="339"/>
      <c r="CP107" s="339"/>
      <c r="CQ107" s="339"/>
      <c r="CR107" s="339"/>
      <c r="CS107" s="339"/>
      <c r="CT107" s="339"/>
      <c r="CU107" s="339"/>
      <c r="CV107" s="339"/>
      <c r="CW107" s="339"/>
      <c r="CX107" s="339"/>
      <c r="CY107" s="339"/>
      <c r="CZ107" s="339"/>
      <c r="DA107" s="339"/>
      <c r="DB107" s="339"/>
      <c r="DC107" s="339"/>
      <c r="DD107" s="339"/>
      <c r="DE107" s="339"/>
      <c r="DF107" s="339"/>
      <c r="DG107" s="339"/>
      <c r="DH107" s="339"/>
    </row>
    <row r="108" ht="20.25" customHeight="1">
      <c r="A108" s="41">
        <v>108.0</v>
      </c>
      <c r="B108" s="337" t="s">
        <v>107</v>
      </c>
      <c r="C108" s="337" t="s">
        <v>108</v>
      </c>
      <c r="D108" s="340" t="s">
        <v>241</v>
      </c>
      <c r="E108" s="340"/>
      <c r="F108" s="338" t="s">
        <v>707</v>
      </c>
      <c r="G108" s="337" t="s">
        <v>686</v>
      </c>
      <c r="H108" s="337" t="s">
        <v>242</v>
      </c>
      <c r="I108" s="349">
        <v>45427.0</v>
      </c>
      <c r="J108" s="350">
        <v>45626.0</v>
      </c>
      <c r="K108" s="337" t="s">
        <v>720</v>
      </c>
      <c r="L108" s="337" t="s">
        <v>717</v>
      </c>
      <c r="M108" s="337" t="s">
        <v>673</v>
      </c>
      <c r="N108" s="337" t="s">
        <v>674</v>
      </c>
      <c r="O108" s="351"/>
      <c r="P108" s="352" t="str">
        <f> hyperlink(vlookup(lower(N108),'File Links'!A:B, 2, FALSE), SUBSTITUTE(lower(N108), "/", "--") &amp;  ".pdf")</f>
        <v>10.3102--0013189x13507104.pdf</v>
      </c>
      <c r="Q108" s="101" t="str">
        <f t="array" ref="Q108"> if(iserror(MATCH(V108, 'File Links'!C:C, 0)), "N/A", HYPERLINK(INDEX('File Links'!B:B, MATCH(P108, 'File Links'!C:C, 0))))</f>
        <v>https://drive.google.com/file/d/1mMbXlq0wHwW3u94B3l_0KZ3_2GsCObmh/view?usp=drivesdk</v>
      </c>
      <c r="R108" s="337" t="s">
        <v>711</v>
      </c>
      <c r="S108" s="337" t="s">
        <v>677</v>
      </c>
      <c r="T108" s="351"/>
      <c r="U108" s="351"/>
      <c r="V108" s="337" t="str">
        <f> hyperlink(vlookup(lower(S108),'File Links'!E:F, 2, FALSE), SUBSTITUTE(lower(S108), "/", "--") &amp;  ".pdf")</f>
        <v>10.1177--07419325241240067.pdf</v>
      </c>
      <c r="W108" s="53" t="s">
        <v>678</v>
      </c>
      <c r="X108" s="51" t="str">
        <f t="array" ref="X108"> if(iserror(MATCH(V108, 'File Links'!C:C, 0)), "N/A", HYPERLINK(INDEX('File Links'!B:B, MATCH(V108, 'File Links'!C:C, 0))))</f>
        <v>https://drive.google.com/file/d/1gy34Rj2zubnsdFDxbY0YzwrhmT7eVu5B/view?usp=drivesdk</v>
      </c>
      <c r="Y108" s="351"/>
      <c r="Z108" s="337" t="s">
        <v>653</v>
      </c>
      <c r="AA108" s="351"/>
      <c r="AB108" s="337" t="s">
        <v>721</v>
      </c>
      <c r="AC108" s="337" t="s">
        <v>713</v>
      </c>
      <c r="AD108" s="337" t="s">
        <v>722</v>
      </c>
      <c r="AE108" s="337">
        <v>429.0</v>
      </c>
      <c r="AF108" s="337">
        <v>79.0</v>
      </c>
      <c r="AG108" s="337">
        <v>2.35</v>
      </c>
      <c r="AH108" s="337" t="s">
        <v>715</v>
      </c>
      <c r="AI108" s="351"/>
      <c r="AJ108" s="337">
        <v>0.47</v>
      </c>
      <c r="AK108" s="337" t="s">
        <v>165</v>
      </c>
      <c r="AL108" s="337" t="s">
        <v>179</v>
      </c>
      <c r="AM108" s="339"/>
      <c r="AN108" s="337" t="s">
        <v>131</v>
      </c>
      <c r="AO108" s="337">
        <v>40.0</v>
      </c>
      <c r="AP108" s="337">
        <v>1.46</v>
      </c>
      <c r="AQ108" s="337" t="s">
        <v>715</v>
      </c>
      <c r="AR108" s="351"/>
      <c r="AS108" s="337">
        <v>0.01</v>
      </c>
      <c r="AT108" s="337" t="s">
        <v>165</v>
      </c>
      <c r="AU108" s="337" t="s">
        <v>179</v>
      </c>
      <c r="AV108" s="339"/>
      <c r="AW108" s="339"/>
      <c r="AX108" s="53" t="s">
        <v>317</v>
      </c>
      <c r="AY108" s="351"/>
      <c r="AZ108" s="338" t="s">
        <v>685</v>
      </c>
      <c r="BA108" s="339"/>
      <c r="BB108" s="339"/>
      <c r="BC108" s="339"/>
      <c r="BD108" s="339"/>
      <c r="BE108" s="339"/>
      <c r="BF108" s="339"/>
      <c r="BG108" s="339"/>
      <c r="BH108" s="339"/>
      <c r="BI108" s="339"/>
      <c r="BJ108" s="339"/>
      <c r="BK108" s="339"/>
      <c r="BL108" s="339"/>
      <c r="BM108" s="339"/>
      <c r="BN108" s="339"/>
      <c r="BO108" s="339"/>
      <c r="BP108" s="339"/>
      <c r="BQ108" s="339"/>
      <c r="BR108" s="339"/>
      <c r="BS108" s="339"/>
      <c r="BT108" s="339"/>
      <c r="BU108" s="339"/>
      <c r="BV108" s="339"/>
      <c r="BW108" s="339"/>
      <c r="BX108" s="339"/>
      <c r="BY108" s="339"/>
      <c r="BZ108" s="339"/>
      <c r="CA108" s="339"/>
      <c r="CB108" s="339"/>
      <c r="CC108" s="339"/>
      <c r="CD108" s="339"/>
      <c r="CE108" s="339"/>
      <c r="CF108" s="339"/>
      <c r="CG108" s="339"/>
      <c r="CH108" s="339"/>
      <c r="CI108" s="339"/>
      <c r="CJ108" s="339"/>
      <c r="CK108" s="339"/>
      <c r="CL108" s="339"/>
      <c r="CM108" s="339"/>
      <c r="CN108" s="339"/>
      <c r="CO108" s="339"/>
      <c r="CP108" s="339"/>
      <c r="CQ108" s="339"/>
      <c r="CR108" s="339"/>
      <c r="CS108" s="339"/>
      <c r="CT108" s="339"/>
      <c r="CU108" s="339"/>
      <c r="CV108" s="339"/>
      <c r="CW108" s="339"/>
      <c r="CX108" s="339"/>
      <c r="CY108" s="339"/>
      <c r="CZ108" s="339"/>
      <c r="DA108" s="339"/>
      <c r="DB108" s="339"/>
      <c r="DC108" s="339"/>
      <c r="DD108" s="339"/>
      <c r="DE108" s="339"/>
      <c r="DF108" s="339"/>
      <c r="DG108" s="339"/>
      <c r="DH108" s="339"/>
    </row>
    <row r="109" ht="20.25" customHeight="1">
      <c r="A109" s="41">
        <v>109.0</v>
      </c>
      <c r="B109" s="337" t="s">
        <v>107</v>
      </c>
      <c r="C109" s="337" t="s">
        <v>108</v>
      </c>
      <c r="D109" s="340" t="s">
        <v>241</v>
      </c>
      <c r="E109" s="351"/>
      <c r="F109" s="338" t="s">
        <v>707</v>
      </c>
      <c r="G109" s="337" t="s">
        <v>693</v>
      </c>
      <c r="H109" s="337" t="s">
        <v>242</v>
      </c>
      <c r="I109" s="349">
        <v>45427.0</v>
      </c>
      <c r="J109" s="350">
        <v>45626.0</v>
      </c>
      <c r="K109" s="337" t="s">
        <v>723</v>
      </c>
      <c r="L109" s="337" t="s">
        <v>717</v>
      </c>
      <c r="M109" s="337" t="s">
        <v>673</v>
      </c>
      <c r="N109" s="337" t="s">
        <v>674</v>
      </c>
      <c r="O109" s="351"/>
      <c r="P109" s="352" t="str">
        <f> hyperlink(vlookup(lower(N109),'File Links'!A:B, 2, FALSE), SUBSTITUTE(lower(N109), "/", "--") &amp;  ".pdf")</f>
        <v>10.3102--0013189x13507104.pdf</v>
      </c>
      <c r="Q109" s="101" t="str">
        <f t="array" ref="Q109"> if(iserror(MATCH(V109, 'File Links'!C:C, 0)), "N/A", HYPERLINK(INDEX('File Links'!B:B, MATCH(P109, 'File Links'!C:C, 0))))</f>
        <v>https://drive.google.com/file/d/1mMbXlq0wHwW3u94B3l_0KZ3_2GsCObmh/view?usp=drivesdk</v>
      </c>
      <c r="R109" s="337" t="s">
        <v>711</v>
      </c>
      <c r="S109" s="337" t="s">
        <v>677</v>
      </c>
      <c r="T109" s="351"/>
      <c r="U109" s="351"/>
      <c r="V109" s="337" t="str">
        <f> hyperlink(vlookup(lower(S109),'File Links'!E:F, 2, FALSE), SUBSTITUTE(lower(S109), "/", "--") &amp;  ".pdf")</f>
        <v>10.1177--07419325241240067.pdf</v>
      </c>
      <c r="W109" s="53" t="s">
        <v>678</v>
      </c>
      <c r="X109" s="51" t="str">
        <f t="array" ref="X109"> if(iserror(MATCH(V109, 'File Links'!C:C, 0)), "N/A", HYPERLINK(INDEX('File Links'!B:B, MATCH(V109, 'File Links'!C:C, 0))))</f>
        <v>https://drive.google.com/file/d/1gy34Rj2zubnsdFDxbY0YzwrhmT7eVu5B/view?usp=drivesdk</v>
      </c>
      <c r="Y109" s="351"/>
      <c r="Z109" s="337" t="s">
        <v>653</v>
      </c>
      <c r="AA109" s="351"/>
      <c r="AB109" s="337" t="s">
        <v>724</v>
      </c>
      <c r="AC109" s="337" t="s">
        <v>713</v>
      </c>
      <c r="AD109" s="337" t="s">
        <v>725</v>
      </c>
      <c r="AE109" s="337">
        <v>429.0</v>
      </c>
      <c r="AF109" s="337">
        <v>79.0</v>
      </c>
      <c r="AG109" s="337">
        <v>3.05</v>
      </c>
      <c r="AH109" s="337" t="s">
        <v>715</v>
      </c>
      <c r="AI109" s="351"/>
      <c r="AJ109" s="337">
        <v>0.47</v>
      </c>
      <c r="AK109" s="337" t="s">
        <v>165</v>
      </c>
      <c r="AL109" s="337" t="s">
        <v>179</v>
      </c>
      <c r="AM109" s="339"/>
      <c r="AN109" s="337" t="s">
        <v>131</v>
      </c>
      <c r="AO109" s="337">
        <v>40.0</v>
      </c>
      <c r="AP109" s="337">
        <v>1.57</v>
      </c>
      <c r="AQ109" s="337" t="s">
        <v>715</v>
      </c>
      <c r="AR109" s="351"/>
      <c r="AS109" s="337">
        <v>0.01</v>
      </c>
      <c r="AT109" s="337" t="s">
        <v>165</v>
      </c>
      <c r="AU109" s="337" t="s">
        <v>179</v>
      </c>
      <c r="AV109" s="339"/>
      <c r="AW109" s="339"/>
      <c r="AX109" s="53" t="s">
        <v>317</v>
      </c>
      <c r="AY109" s="351"/>
      <c r="AZ109" s="338" t="s">
        <v>685</v>
      </c>
      <c r="BA109" s="339"/>
      <c r="BB109" s="339"/>
      <c r="BC109" s="339"/>
      <c r="BD109" s="339"/>
      <c r="BE109" s="339"/>
      <c r="BF109" s="339"/>
      <c r="BG109" s="339"/>
      <c r="BH109" s="339"/>
      <c r="BI109" s="339"/>
      <c r="BJ109" s="339"/>
      <c r="BK109" s="339"/>
      <c r="BL109" s="339"/>
      <c r="BM109" s="339"/>
      <c r="BN109" s="339"/>
      <c r="BO109" s="339"/>
      <c r="BP109" s="339"/>
      <c r="BQ109" s="339"/>
      <c r="BR109" s="339"/>
      <c r="BS109" s="339"/>
      <c r="BT109" s="339"/>
      <c r="BU109" s="339"/>
      <c r="BV109" s="339"/>
      <c r="BW109" s="339"/>
      <c r="BX109" s="339"/>
      <c r="BY109" s="339"/>
      <c r="BZ109" s="339"/>
      <c r="CA109" s="339"/>
      <c r="CB109" s="339"/>
      <c r="CC109" s="339"/>
      <c r="CD109" s="339"/>
      <c r="CE109" s="339"/>
      <c r="CF109" s="339"/>
      <c r="CG109" s="339"/>
      <c r="CH109" s="339"/>
      <c r="CI109" s="339"/>
      <c r="CJ109" s="339"/>
      <c r="CK109" s="339"/>
      <c r="CL109" s="339"/>
      <c r="CM109" s="339"/>
      <c r="CN109" s="339"/>
      <c r="CO109" s="339"/>
      <c r="CP109" s="339"/>
      <c r="CQ109" s="339"/>
      <c r="CR109" s="339"/>
      <c r="CS109" s="339"/>
      <c r="CT109" s="339"/>
      <c r="CU109" s="339"/>
      <c r="CV109" s="339"/>
      <c r="CW109" s="339"/>
      <c r="CX109" s="339"/>
      <c r="CY109" s="339"/>
      <c r="CZ109" s="339"/>
      <c r="DA109" s="339"/>
      <c r="DB109" s="339"/>
      <c r="DC109" s="339"/>
      <c r="DD109" s="339"/>
      <c r="DE109" s="339"/>
      <c r="DF109" s="339"/>
      <c r="DG109" s="339"/>
      <c r="DH109" s="339"/>
    </row>
    <row r="110" ht="20.25" customHeight="1">
      <c r="A110" s="41">
        <v>110.0</v>
      </c>
      <c r="B110" s="337" t="s">
        <v>107</v>
      </c>
      <c r="C110" s="337" t="s">
        <v>108</v>
      </c>
      <c r="D110" s="340" t="s">
        <v>241</v>
      </c>
      <c r="E110" s="351"/>
      <c r="F110" s="338" t="s">
        <v>707</v>
      </c>
      <c r="G110" s="337" t="s">
        <v>700</v>
      </c>
      <c r="H110" s="337" t="s">
        <v>242</v>
      </c>
      <c r="I110" s="349">
        <v>45427.0</v>
      </c>
      <c r="J110" s="350">
        <v>45626.0</v>
      </c>
      <c r="K110" s="337" t="s">
        <v>726</v>
      </c>
      <c r="L110" s="337" t="s">
        <v>717</v>
      </c>
      <c r="M110" s="337" t="s">
        <v>673</v>
      </c>
      <c r="N110" s="337" t="s">
        <v>674</v>
      </c>
      <c r="O110" s="351"/>
      <c r="P110" s="352" t="str">
        <f> hyperlink(vlookup(lower(N110),'File Links'!A:B, 2, FALSE), SUBSTITUTE(lower(N110), "/", "--") &amp;  ".pdf")</f>
        <v>10.3102--0013189x13507104.pdf</v>
      </c>
      <c r="Q110" s="101" t="str">
        <f t="array" ref="Q110"> if(iserror(MATCH(V110, 'File Links'!C:C, 0)), "N/A", HYPERLINK(INDEX('File Links'!B:B, MATCH(P110, 'File Links'!C:C, 0))))</f>
        <v>https://drive.google.com/file/d/1mMbXlq0wHwW3u94B3l_0KZ3_2GsCObmh/view?usp=drivesdk</v>
      </c>
      <c r="R110" s="337" t="s">
        <v>711</v>
      </c>
      <c r="S110" s="337" t="s">
        <v>677</v>
      </c>
      <c r="T110" s="351"/>
      <c r="U110" s="351"/>
      <c r="V110" s="337" t="str">
        <f> hyperlink(vlookup(lower(S110),'File Links'!E:F, 2, FALSE), SUBSTITUTE(lower(S110), "/", "--") &amp;  ".pdf")</f>
        <v>10.1177--07419325241240067.pdf</v>
      </c>
      <c r="W110" s="53" t="s">
        <v>678</v>
      </c>
      <c r="X110" s="51" t="str">
        <f t="array" ref="X110"> if(iserror(MATCH(V110, 'File Links'!C:C, 0)), "N/A", HYPERLINK(INDEX('File Links'!B:B, MATCH(V110, 'File Links'!C:C, 0))))</f>
        <v>https://drive.google.com/file/d/1gy34Rj2zubnsdFDxbY0YzwrhmT7eVu5B/view?usp=drivesdk</v>
      </c>
      <c r="Y110" s="351"/>
      <c r="Z110" s="337" t="s">
        <v>653</v>
      </c>
      <c r="AA110" s="351"/>
      <c r="AB110" s="337" t="s">
        <v>727</v>
      </c>
      <c r="AC110" s="337" t="s">
        <v>713</v>
      </c>
      <c r="AD110" s="337" t="s">
        <v>728</v>
      </c>
      <c r="AE110" s="337">
        <v>429.0</v>
      </c>
      <c r="AF110" s="337">
        <v>79.0</v>
      </c>
      <c r="AG110" s="337">
        <v>2.68</v>
      </c>
      <c r="AH110" s="337" t="s">
        <v>715</v>
      </c>
      <c r="AI110" s="351"/>
      <c r="AJ110" s="337">
        <v>0.48</v>
      </c>
      <c r="AK110" s="337" t="s">
        <v>165</v>
      </c>
      <c r="AL110" s="337" t="s">
        <v>179</v>
      </c>
      <c r="AM110" s="339"/>
      <c r="AN110" s="337" t="s">
        <v>131</v>
      </c>
      <c r="AO110" s="337">
        <v>40.0</v>
      </c>
      <c r="AP110" s="337">
        <v>1.16</v>
      </c>
      <c r="AQ110" s="337" t="s">
        <v>715</v>
      </c>
      <c r="AR110" s="351"/>
      <c r="AS110" s="337">
        <v>0.12</v>
      </c>
      <c r="AT110" s="337" t="s">
        <v>165</v>
      </c>
      <c r="AU110" s="337" t="s">
        <v>179</v>
      </c>
      <c r="AV110" s="339"/>
      <c r="AW110" s="339"/>
      <c r="AX110" s="53" t="s">
        <v>317</v>
      </c>
      <c r="AY110" s="351"/>
      <c r="AZ110" s="338" t="s">
        <v>685</v>
      </c>
      <c r="BA110" s="339"/>
      <c r="BB110" s="339"/>
      <c r="BC110" s="339"/>
      <c r="BD110" s="339"/>
      <c r="BE110" s="339"/>
      <c r="BF110" s="339"/>
      <c r="BG110" s="339"/>
      <c r="BH110" s="339"/>
      <c r="BI110" s="339"/>
      <c r="BJ110" s="339"/>
      <c r="BK110" s="339"/>
      <c r="BL110" s="339"/>
      <c r="BM110" s="339"/>
      <c r="BN110" s="339"/>
      <c r="BO110" s="339"/>
      <c r="BP110" s="339"/>
      <c r="BQ110" s="339"/>
      <c r="BR110" s="339"/>
      <c r="BS110" s="339"/>
      <c r="BT110" s="339"/>
      <c r="BU110" s="339"/>
      <c r="BV110" s="339"/>
      <c r="BW110" s="339"/>
      <c r="BX110" s="339"/>
      <c r="BY110" s="339"/>
      <c r="BZ110" s="339"/>
      <c r="CA110" s="339"/>
      <c r="CB110" s="339"/>
      <c r="CC110" s="339"/>
      <c r="CD110" s="339"/>
      <c r="CE110" s="339"/>
      <c r="CF110" s="339"/>
      <c r="CG110" s="339"/>
      <c r="CH110" s="339"/>
      <c r="CI110" s="339"/>
      <c r="CJ110" s="339"/>
      <c r="CK110" s="339"/>
      <c r="CL110" s="339"/>
      <c r="CM110" s="339"/>
      <c r="CN110" s="339"/>
      <c r="CO110" s="339"/>
      <c r="CP110" s="339"/>
      <c r="CQ110" s="339"/>
      <c r="CR110" s="339"/>
      <c r="CS110" s="339"/>
      <c r="CT110" s="339"/>
      <c r="CU110" s="339"/>
      <c r="CV110" s="339"/>
      <c r="CW110" s="339"/>
      <c r="CX110" s="339"/>
      <c r="CY110" s="339"/>
      <c r="CZ110" s="339"/>
      <c r="DA110" s="339"/>
      <c r="DB110" s="339"/>
      <c r="DC110" s="339"/>
      <c r="DD110" s="339"/>
      <c r="DE110" s="339"/>
      <c r="DF110" s="339"/>
      <c r="DG110" s="339"/>
      <c r="DH110" s="339"/>
    </row>
    <row r="111" ht="20.25" customHeight="1">
      <c r="A111" s="41">
        <v>111.0</v>
      </c>
      <c r="B111" s="337" t="s">
        <v>107</v>
      </c>
      <c r="C111" s="337" t="s">
        <v>108</v>
      </c>
      <c r="D111" s="340" t="s">
        <v>241</v>
      </c>
      <c r="E111" s="351"/>
      <c r="F111" s="338" t="s">
        <v>707</v>
      </c>
      <c r="G111" s="337" t="s">
        <v>729</v>
      </c>
      <c r="H111" s="337" t="s">
        <v>242</v>
      </c>
      <c r="I111" s="349">
        <v>45427.0</v>
      </c>
      <c r="J111" s="350">
        <v>45626.0</v>
      </c>
      <c r="K111" s="337" t="s">
        <v>730</v>
      </c>
      <c r="L111" s="337" t="s">
        <v>717</v>
      </c>
      <c r="M111" s="337" t="s">
        <v>673</v>
      </c>
      <c r="N111" s="337" t="s">
        <v>674</v>
      </c>
      <c r="O111" s="351"/>
      <c r="P111" s="352" t="str">
        <f> hyperlink(vlookup(lower(N111),'File Links'!A:B, 2, FALSE), SUBSTITUTE(lower(N111), "/", "--") &amp;  ".pdf")</f>
        <v>10.3102--0013189x13507104.pdf</v>
      </c>
      <c r="Q111" s="101" t="str">
        <f t="array" ref="Q111"> if(iserror(MATCH(V111, 'File Links'!C:C, 0)), "N/A", HYPERLINK(INDEX('File Links'!B:B, MATCH(P111, 'File Links'!C:C, 0))))</f>
        <v>https://drive.google.com/file/d/1mMbXlq0wHwW3u94B3l_0KZ3_2GsCObmh/view?usp=drivesdk</v>
      </c>
      <c r="R111" s="337" t="s">
        <v>711</v>
      </c>
      <c r="S111" s="337" t="s">
        <v>677</v>
      </c>
      <c r="T111" s="351"/>
      <c r="U111" s="351"/>
      <c r="V111" s="337" t="str">
        <f> hyperlink(vlookup(lower(S111),'File Links'!E:F, 2, FALSE), SUBSTITUTE(lower(S111), "/", "--") &amp;  ".pdf")</f>
        <v>10.1177--07419325241240067.pdf</v>
      </c>
      <c r="W111" s="53" t="s">
        <v>678</v>
      </c>
      <c r="X111" s="51" t="str">
        <f t="array" ref="X111"> if(iserror(MATCH(V111, 'File Links'!C:C, 0)), "N/A", HYPERLINK(INDEX('File Links'!B:B, MATCH(V111, 'File Links'!C:C, 0))))</f>
        <v>https://drive.google.com/file/d/1gy34Rj2zubnsdFDxbY0YzwrhmT7eVu5B/view?usp=drivesdk</v>
      </c>
      <c r="Y111" s="351"/>
      <c r="Z111" s="337" t="s">
        <v>653</v>
      </c>
      <c r="AA111" s="351"/>
      <c r="AB111" s="337" t="s">
        <v>731</v>
      </c>
      <c r="AC111" s="337" t="s">
        <v>713</v>
      </c>
      <c r="AD111" s="337" t="s">
        <v>732</v>
      </c>
      <c r="AE111" s="337">
        <v>429.0</v>
      </c>
      <c r="AF111" s="337">
        <v>79.0</v>
      </c>
      <c r="AG111" s="337">
        <v>2.16</v>
      </c>
      <c r="AH111" s="337" t="s">
        <v>715</v>
      </c>
      <c r="AI111" s="351"/>
      <c r="AJ111" s="337">
        <v>0.48</v>
      </c>
      <c r="AK111" s="337" t="s">
        <v>165</v>
      </c>
      <c r="AL111" s="337" t="s">
        <v>179</v>
      </c>
      <c r="AM111" s="339"/>
      <c r="AN111" s="337" t="s">
        <v>131</v>
      </c>
      <c r="AO111" s="337">
        <v>40.0</v>
      </c>
      <c r="AP111" s="337">
        <v>1.43</v>
      </c>
      <c r="AQ111" s="337" t="s">
        <v>715</v>
      </c>
      <c r="AR111" s="351"/>
      <c r="AS111" s="337">
        <v>0.12</v>
      </c>
      <c r="AT111" s="337" t="s">
        <v>165</v>
      </c>
      <c r="AU111" s="337" t="s">
        <v>179</v>
      </c>
      <c r="AV111" s="339"/>
      <c r="AW111" s="339"/>
      <c r="AX111" s="53" t="s">
        <v>317</v>
      </c>
      <c r="AY111" s="351"/>
      <c r="AZ111" s="338" t="s">
        <v>685</v>
      </c>
      <c r="BA111" s="339"/>
      <c r="BB111" s="339"/>
      <c r="BC111" s="339"/>
      <c r="BD111" s="339"/>
      <c r="BE111" s="339"/>
      <c r="BF111" s="339"/>
      <c r="BG111" s="339"/>
      <c r="BH111" s="339"/>
      <c r="BI111" s="339"/>
      <c r="BJ111" s="339"/>
      <c r="BK111" s="339"/>
      <c r="BL111" s="339"/>
      <c r="BM111" s="339"/>
      <c r="BN111" s="339"/>
      <c r="BO111" s="339"/>
      <c r="BP111" s="339"/>
      <c r="BQ111" s="339"/>
      <c r="BR111" s="339"/>
      <c r="BS111" s="339"/>
      <c r="BT111" s="339"/>
      <c r="BU111" s="339"/>
      <c r="BV111" s="339"/>
      <c r="BW111" s="339"/>
      <c r="BX111" s="339"/>
      <c r="BY111" s="339"/>
      <c r="BZ111" s="339"/>
      <c r="CA111" s="339"/>
      <c r="CB111" s="339"/>
      <c r="CC111" s="339"/>
      <c r="CD111" s="339"/>
      <c r="CE111" s="339"/>
      <c r="CF111" s="339"/>
      <c r="CG111" s="339"/>
      <c r="CH111" s="339"/>
      <c r="CI111" s="339"/>
      <c r="CJ111" s="339"/>
      <c r="CK111" s="339"/>
      <c r="CL111" s="339"/>
      <c r="CM111" s="339"/>
      <c r="CN111" s="339"/>
      <c r="CO111" s="339"/>
      <c r="CP111" s="339"/>
      <c r="CQ111" s="339"/>
      <c r="CR111" s="339"/>
      <c r="CS111" s="339"/>
      <c r="CT111" s="339"/>
      <c r="CU111" s="339"/>
      <c r="CV111" s="339"/>
      <c r="CW111" s="339"/>
      <c r="CX111" s="339"/>
      <c r="CY111" s="339"/>
      <c r="CZ111" s="339"/>
      <c r="DA111" s="339"/>
      <c r="DB111" s="339"/>
      <c r="DC111" s="339"/>
      <c r="DD111" s="339"/>
      <c r="DE111" s="339"/>
      <c r="DF111" s="339"/>
      <c r="DG111" s="339"/>
      <c r="DH111" s="339"/>
    </row>
    <row r="112" ht="20.25" customHeight="1">
      <c r="A112" s="41">
        <v>112.0</v>
      </c>
      <c r="B112" s="337" t="s">
        <v>107</v>
      </c>
      <c r="C112" s="337" t="s">
        <v>108</v>
      </c>
      <c r="D112" s="340" t="s">
        <v>241</v>
      </c>
      <c r="E112" s="351"/>
      <c r="F112" s="338" t="s">
        <v>707</v>
      </c>
      <c r="G112" s="337" t="s">
        <v>733</v>
      </c>
      <c r="H112" s="337" t="s">
        <v>242</v>
      </c>
      <c r="I112" s="349">
        <v>45427.0</v>
      </c>
      <c r="J112" s="350">
        <v>45626.0</v>
      </c>
      <c r="K112" s="337" t="s">
        <v>734</v>
      </c>
      <c r="L112" s="337" t="s">
        <v>717</v>
      </c>
      <c r="M112" s="337" t="s">
        <v>673</v>
      </c>
      <c r="N112" s="337" t="s">
        <v>674</v>
      </c>
      <c r="O112" s="351"/>
      <c r="P112" s="352" t="str">
        <f> hyperlink(vlookup(lower(N112),'File Links'!A:B, 2, FALSE), SUBSTITUTE(lower(N112), "/", "--") &amp;  ".pdf")</f>
        <v>10.3102--0013189x13507104.pdf</v>
      </c>
      <c r="Q112" s="101" t="str">
        <f t="array" ref="Q112"> if(iserror(MATCH(V112, 'File Links'!C:C, 0)), "N/A", HYPERLINK(INDEX('File Links'!B:B, MATCH(P112, 'File Links'!C:C, 0))))</f>
        <v>https://drive.google.com/file/d/1mMbXlq0wHwW3u94B3l_0KZ3_2GsCObmh/view?usp=drivesdk</v>
      </c>
      <c r="R112" s="337" t="s">
        <v>711</v>
      </c>
      <c r="S112" s="337" t="s">
        <v>677</v>
      </c>
      <c r="T112" s="351"/>
      <c r="U112" s="351"/>
      <c r="V112" s="337" t="str">
        <f> hyperlink(vlookup(lower(S112),'File Links'!E:F, 2, FALSE), SUBSTITUTE(lower(S112), "/", "--") &amp;  ".pdf")</f>
        <v>10.1177--07419325241240067.pdf</v>
      </c>
      <c r="W112" s="53" t="s">
        <v>678</v>
      </c>
      <c r="X112" s="51" t="str">
        <f t="array" ref="X112"> if(iserror(MATCH(V112, 'File Links'!C:C, 0)), "N/A", HYPERLINK(INDEX('File Links'!B:B, MATCH(V112, 'File Links'!C:C, 0))))</f>
        <v>https://drive.google.com/file/d/1gy34Rj2zubnsdFDxbY0YzwrhmT7eVu5B/view?usp=drivesdk</v>
      </c>
      <c r="Y112" s="351"/>
      <c r="Z112" s="337" t="s">
        <v>653</v>
      </c>
      <c r="AA112" s="351"/>
      <c r="AB112" s="337" t="s">
        <v>735</v>
      </c>
      <c r="AC112" s="337" t="s">
        <v>713</v>
      </c>
      <c r="AD112" s="337" t="s">
        <v>736</v>
      </c>
      <c r="AE112" s="337">
        <v>429.0</v>
      </c>
      <c r="AF112" s="337">
        <v>79.0</v>
      </c>
      <c r="AG112" s="337">
        <v>2.46</v>
      </c>
      <c r="AH112" s="337" t="s">
        <v>715</v>
      </c>
      <c r="AI112" s="351"/>
      <c r="AJ112" s="337">
        <v>0.45</v>
      </c>
      <c r="AK112" s="337" t="s">
        <v>165</v>
      </c>
      <c r="AL112" s="337" t="s">
        <v>179</v>
      </c>
      <c r="AM112" s="339"/>
      <c r="AN112" s="337" t="s">
        <v>131</v>
      </c>
      <c r="AO112" s="337">
        <v>40.0</v>
      </c>
      <c r="AP112" s="337">
        <v>2.27</v>
      </c>
      <c r="AQ112" s="337" t="s">
        <v>715</v>
      </c>
      <c r="AR112" s="351"/>
      <c r="AS112" s="337">
        <v>0.01</v>
      </c>
      <c r="AT112" s="337" t="s">
        <v>128</v>
      </c>
      <c r="AU112" s="337" t="s">
        <v>179</v>
      </c>
      <c r="AV112" s="339"/>
      <c r="AW112" s="339"/>
      <c r="AX112" s="53" t="s">
        <v>317</v>
      </c>
      <c r="AY112" s="351"/>
      <c r="AZ112" s="338" t="s">
        <v>685</v>
      </c>
      <c r="BA112" s="339"/>
      <c r="BB112" s="339"/>
      <c r="BC112" s="339"/>
      <c r="BD112" s="339"/>
      <c r="BE112" s="339"/>
      <c r="BF112" s="339"/>
      <c r="BG112" s="339"/>
      <c r="BH112" s="339"/>
      <c r="BI112" s="339"/>
      <c r="BJ112" s="339"/>
      <c r="BK112" s="339"/>
      <c r="BL112" s="339"/>
      <c r="BM112" s="339"/>
      <c r="BN112" s="339"/>
      <c r="BO112" s="339"/>
      <c r="BP112" s="339"/>
      <c r="BQ112" s="339"/>
      <c r="BR112" s="339"/>
      <c r="BS112" s="339"/>
      <c r="BT112" s="339"/>
      <c r="BU112" s="339"/>
      <c r="BV112" s="339"/>
      <c r="BW112" s="339"/>
      <c r="BX112" s="339"/>
      <c r="BY112" s="339"/>
      <c r="BZ112" s="339"/>
      <c r="CA112" s="339"/>
      <c r="CB112" s="339"/>
      <c r="CC112" s="339"/>
      <c r="CD112" s="339"/>
      <c r="CE112" s="339"/>
      <c r="CF112" s="339"/>
      <c r="CG112" s="339"/>
      <c r="CH112" s="339"/>
      <c r="CI112" s="339"/>
      <c r="CJ112" s="339"/>
      <c r="CK112" s="339"/>
      <c r="CL112" s="339"/>
      <c r="CM112" s="339"/>
      <c r="CN112" s="339"/>
      <c r="CO112" s="339"/>
      <c r="CP112" s="339"/>
      <c r="CQ112" s="339"/>
      <c r="CR112" s="339"/>
      <c r="CS112" s="339"/>
      <c r="CT112" s="339"/>
      <c r="CU112" s="339"/>
      <c r="CV112" s="339"/>
      <c r="CW112" s="339"/>
      <c r="CX112" s="339"/>
      <c r="CY112" s="339"/>
      <c r="CZ112" s="339"/>
      <c r="DA112" s="339"/>
      <c r="DB112" s="339"/>
      <c r="DC112" s="339"/>
      <c r="DD112" s="339"/>
      <c r="DE112" s="339"/>
      <c r="DF112" s="339"/>
      <c r="DG112" s="339"/>
      <c r="DH112" s="339"/>
    </row>
    <row r="113" ht="20.25" customHeight="1">
      <c r="A113" s="41">
        <v>113.0</v>
      </c>
      <c r="B113" s="337" t="s">
        <v>107</v>
      </c>
      <c r="C113" s="337" t="s">
        <v>108</v>
      </c>
      <c r="D113" s="340" t="s">
        <v>241</v>
      </c>
      <c r="E113" s="351"/>
      <c r="F113" s="338" t="s">
        <v>707</v>
      </c>
      <c r="G113" s="337" t="s">
        <v>737</v>
      </c>
      <c r="H113" s="337" t="s">
        <v>242</v>
      </c>
      <c r="I113" s="349">
        <v>45427.0</v>
      </c>
      <c r="J113" s="350">
        <v>45626.0</v>
      </c>
      <c r="K113" s="337" t="s">
        <v>738</v>
      </c>
      <c r="L113" s="337" t="s">
        <v>717</v>
      </c>
      <c r="M113" s="337" t="s">
        <v>673</v>
      </c>
      <c r="N113" s="337" t="s">
        <v>674</v>
      </c>
      <c r="O113" s="351"/>
      <c r="P113" s="352" t="str">
        <f> hyperlink(vlookup(lower(N113),'File Links'!A:B, 2, FALSE), SUBSTITUTE(lower(N113), "/", "--") &amp;  ".pdf")</f>
        <v>10.3102--0013189x13507104.pdf</v>
      </c>
      <c r="Q113" s="101" t="str">
        <f t="array" ref="Q113"> if(iserror(MATCH(V113, 'File Links'!C:C, 0)), "N/A", HYPERLINK(INDEX('File Links'!B:B, MATCH(P113, 'File Links'!C:C, 0))))</f>
        <v>https://drive.google.com/file/d/1mMbXlq0wHwW3u94B3l_0KZ3_2GsCObmh/view?usp=drivesdk</v>
      </c>
      <c r="R113" s="337" t="s">
        <v>711</v>
      </c>
      <c r="S113" s="337" t="s">
        <v>677</v>
      </c>
      <c r="T113" s="351"/>
      <c r="U113" s="351"/>
      <c r="V113" s="337" t="str">
        <f> hyperlink(vlookup(lower(S113),'File Links'!E:F, 2, FALSE), SUBSTITUTE(lower(S113), "/", "--") &amp;  ".pdf")</f>
        <v>10.1177--07419325241240067.pdf</v>
      </c>
      <c r="W113" s="53" t="s">
        <v>678</v>
      </c>
      <c r="X113" s="51" t="str">
        <f t="array" ref="X113"> if(iserror(MATCH(V113, 'File Links'!C:C, 0)), "N/A", HYPERLINK(INDEX('File Links'!B:B, MATCH(V113, 'File Links'!C:C, 0))))</f>
        <v>https://drive.google.com/file/d/1gy34Rj2zubnsdFDxbY0YzwrhmT7eVu5B/view?usp=drivesdk</v>
      </c>
      <c r="Y113" s="351"/>
      <c r="Z113" s="337" t="s">
        <v>653</v>
      </c>
      <c r="AA113" s="351"/>
      <c r="AB113" s="337" t="s">
        <v>739</v>
      </c>
      <c r="AC113" s="337" t="s">
        <v>713</v>
      </c>
      <c r="AD113" s="337" t="s">
        <v>740</v>
      </c>
      <c r="AE113" s="337">
        <v>429.0</v>
      </c>
      <c r="AF113" s="337">
        <v>79.0</v>
      </c>
      <c r="AG113" s="337">
        <v>1.99</v>
      </c>
      <c r="AH113" s="337" t="s">
        <v>715</v>
      </c>
      <c r="AI113" s="351"/>
      <c r="AJ113" s="337">
        <v>0.45</v>
      </c>
      <c r="AK113" s="337" t="s">
        <v>165</v>
      </c>
      <c r="AL113" s="337" t="s">
        <v>179</v>
      </c>
      <c r="AM113" s="339"/>
      <c r="AN113" s="337" t="s">
        <v>131</v>
      </c>
      <c r="AO113" s="351"/>
      <c r="AP113" s="337">
        <v>0.55</v>
      </c>
      <c r="AQ113" s="337" t="s">
        <v>715</v>
      </c>
      <c r="AR113" s="351"/>
      <c r="AS113" s="337">
        <v>0.0</v>
      </c>
      <c r="AT113" s="337" t="s">
        <v>165</v>
      </c>
      <c r="AU113" s="337" t="s">
        <v>179</v>
      </c>
      <c r="AV113" s="339"/>
      <c r="AW113" s="339"/>
      <c r="AX113" s="53" t="s">
        <v>317</v>
      </c>
      <c r="AY113" s="351"/>
      <c r="AZ113" s="338" t="s">
        <v>685</v>
      </c>
      <c r="BA113" s="339"/>
      <c r="BB113" s="339"/>
      <c r="BC113" s="339"/>
      <c r="BD113" s="339"/>
      <c r="BE113" s="339"/>
      <c r="BF113" s="339"/>
      <c r="BG113" s="339"/>
      <c r="BH113" s="339"/>
      <c r="BI113" s="339"/>
      <c r="BJ113" s="339"/>
      <c r="BK113" s="339"/>
      <c r="BL113" s="339"/>
      <c r="BM113" s="339"/>
      <c r="BN113" s="339"/>
      <c r="BO113" s="339"/>
      <c r="BP113" s="339"/>
      <c r="BQ113" s="339"/>
      <c r="BR113" s="339"/>
      <c r="BS113" s="339"/>
      <c r="BT113" s="339"/>
      <c r="BU113" s="339"/>
      <c r="BV113" s="339"/>
      <c r="BW113" s="339"/>
      <c r="BX113" s="339"/>
      <c r="BY113" s="339"/>
      <c r="BZ113" s="339"/>
      <c r="CA113" s="339"/>
      <c r="CB113" s="339"/>
      <c r="CC113" s="339"/>
      <c r="CD113" s="339"/>
      <c r="CE113" s="339"/>
      <c r="CF113" s="339"/>
      <c r="CG113" s="339"/>
      <c r="CH113" s="339"/>
      <c r="CI113" s="339"/>
      <c r="CJ113" s="339"/>
      <c r="CK113" s="339"/>
      <c r="CL113" s="339"/>
      <c r="CM113" s="339"/>
      <c r="CN113" s="339"/>
      <c r="CO113" s="339"/>
      <c r="CP113" s="339"/>
      <c r="CQ113" s="339"/>
      <c r="CR113" s="339"/>
      <c r="CS113" s="339"/>
      <c r="CT113" s="339"/>
      <c r="CU113" s="339"/>
      <c r="CV113" s="339"/>
      <c r="CW113" s="339"/>
      <c r="CX113" s="339"/>
      <c r="CY113" s="339"/>
      <c r="CZ113" s="339"/>
      <c r="DA113" s="339"/>
      <c r="DB113" s="339"/>
      <c r="DC113" s="339"/>
      <c r="DD113" s="339"/>
      <c r="DE113" s="339"/>
      <c r="DF113" s="339"/>
      <c r="DG113" s="339"/>
      <c r="DH113" s="339"/>
    </row>
    <row r="114" ht="20.25" customHeight="1">
      <c r="A114" s="41">
        <v>114.0</v>
      </c>
      <c r="B114" s="337" t="s">
        <v>145</v>
      </c>
      <c r="C114" s="338" t="s">
        <v>108</v>
      </c>
      <c r="D114" s="338" t="s">
        <v>279</v>
      </c>
      <c r="E114" s="339"/>
      <c r="F114" s="343" t="s">
        <v>707</v>
      </c>
      <c r="G114" s="340" t="s">
        <v>669</v>
      </c>
      <c r="H114" s="340" t="s">
        <v>282</v>
      </c>
      <c r="I114" s="342">
        <v>45427.0</v>
      </c>
      <c r="J114" s="342">
        <v>45684.0</v>
      </c>
      <c r="K114" s="353" t="s">
        <v>741</v>
      </c>
      <c r="L114" s="43"/>
      <c r="M114" s="343" t="s">
        <v>673</v>
      </c>
      <c r="N114" s="343" t="s">
        <v>674</v>
      </c>
      <c r="O114" s="354"/>
      <c r="P114" s="340" t="s">
        <v>675</v>
      </c>
      <c r="Q114" s="101" t="str">
        <f t="array" ref="Q114"> if(iserror(MATCH(V114, 'File Links'!C:C, 0)), "N/A", HYPERLINK(INDEX('File Links'!B:B, MATCH(P114, 'File Links'!C:C, 0))))</f>
        <v>https://drive.google.com/file/d/1mMbXlq0wHwW3u94B3l_0KZ3_2GsCObmh/view?usp=drivesdk</v>
      </c>
      <c r="R114" s="53" t="s">
        <v>711</v>
      </c>
      <c r="S114" s="337" t="s">
        <v>677</v>
      </c>
      <c r="T114" s="43"/>
      <c r="U114" s="354"/>
      <c r="V114" s="337" t="str">
        <f> hyperlink(vlookup(lower(S114),'File Links'!E:F, 2, FALSE), SUBSTITUTE(lower(S114), "/", "--") &amp;  ".pdf")</f>
        <v>10.1177--07419325241240067.pdf</v>
      </c>
      <c r="W114" s="53" t="s">
        <v>678</v>
      </c>
      <c r="X114" s="51" t="str">
        <f t="array" ref="X114"> if(iserror(MATCH(V114, 'File Links'!C:C, 0)), "N/A", HYPERLINK(INDEX('File Links'!B:B, MATCH(V114, 'File Links'!C:C, 0))))</f>
        <v>https://drive.google.com/file/d/1gy34Rj2zubnsdFDxbY0YzwrhmT7eVu5B/view?usp=drivesdk</v>
      </c>
      <c r="Y114" s="339"/>
      <c r="Z114" s="340" t="s">
        <v>234</v>
      </c>
      <c r="AA114" s="53" t="s">
        <v>742</v>
      </c>
      <c r="AB114" s="53" t="s">
        <v>680</v>
      </c>
      <c r="AC114" s="53" t="s">
        <v>743</v>
      </c>
      <c r="AD114" s="345" t="s">
        <v>744</v>
      </c>
      <c r="AE114" s="344" t="s">
        <v>745</v>
      </c>
      <c r="AF114" s="344">
        <v>79.0</v>
      </c>
      <c r="AG114" s="344">
        <v>2.41</v>
      </c>
      <c r="AH114" s="156" t="s">
        <v>715</v>
      </c>
      <c r="AI114" s="53" t="s">
        <v>745</v>
      </c>
      <c r="AJ114" s="355"/>
      <c r="AK114" s="44"/>
      <c r="AL114" s="44"/>
      <c r="AM114" s="43"/>
      <c r="AN114" s="337" t="s">
        <v>131</v>
      </c>
      <c r="AO114" s="344">
        <v>40.0</v>
      </c>
      <c r="AP114" s="344">
        <v>1.48</v>
      </c>
      <c r="AQ114" s="340" t="s">
        <v>715</v>
      </c>
      <c r="AR114" s="53" t="s">
        <v>125</v>
      </c>
      <c r="AS114" s="356"/>
      <c r="AT114" s="357"/>
      <c r="AU114" s="357"/>
      <c r="AV114" s="43"/>
      <c r="AW114" s="160"/>
      <c r="AX114" s="53" t="s">
        <v>144</v>
      </c>
      <c r="AY114" s="339"/>
      <c r="AZ114" s="338" t="s">
        <v>685</v>
      </c>
      <c r="BA114" s="339"/>
      <c r="BB114" s="339"/>
      <c r="BC114" s="339"/>
      <c r="BD114" s="339"/>
      <c r="BE114" s="339"/>
      <c r="BF114" s="339"/>
      <c r="BG114" s="339"/>
      <c r="BH114" s="339"/>
      <c r="BI114" s="339"/>
      <c r="BJ114" s="339"/>
      <c r="BK114" s="339"/>
      <c r="BL114" s="339"/>
      <c r="BM114" s="339"/>
      <c r="BN114" s="339"/>
      <c r="BO114" s="339"/>
      <c r="BP114" s="339"/>
      <c r="BQ114" s="339"/>
      <c r="BR114" s="339"/>
      <c r="BS114" s="339"/>
      <c r="BT114" s="339"/>
      <c r="BU114" s="339"/>
      <c r="BV114" s="339"/>
      <c r="BW114" s="339"/>
      <c r="BX114" s="339"/>
      <c r="BY114" s="339"/>
      <c r="BZ114" s="339"/>
      <c r="CA114" s="339"/>
      <c r="CB114" s="339"/>
      <c r="CC114" s="339"/>
      <c r="CD114" s="339"/>
      <c r="CE114" s="339"/>
      <c r="CF114" s="339"/>
      <c r="CG114" s="339"/>
      <c r="CH114" s="339"/>
      <c r="CI114" s="339"/>
      <c r="CJ114" s="339"/>
      <c r="CK114" s="339"/>
      <c r="CL114" s="339"/>
      <c r="CM114" s="339"/>
      <c r="CN114" s="339"/>
      <c r="CO114" s="339"/>
      <c r="CP114" s="339"/>
      <c r="CQ114" s="339"/>
      <c r="CR114" s="339"/>
      <c r="CS114" s="339"/>
      <c r="CT114" s="339"/>
      <c r="CU114" s="339"/>
      <c r="CV114" s="339"/>
      <c r="CW114" s="339"/>
      <c r="CX114" s="339"/>
      <c r="CY114" s="339"/>
      <c r="CZ114" s="339"/>
      <c r="DA114" s="339"/>
      <c r="DB114" s="339"/>
      <c r="DC114" s="339"/>
      <c r="DD114" s="339"/>
      <c r="DE114" s="339"/>
      <c r="DF114" s="339"/>
      <c r="DG114" s="339"/>
      <c r="DH114" s="339"/>
    </row>
    <row r="115" ht="20.25" customHeight="1">
      <c r="A115" s="41">
        <v>115.0</v>
      </c>
      <c r="B115" s="106" t="s">
        <v>583</v>
      </c>
      <c r="C115" s="106" t="s">
        <v>108</v>
      </c>
      <c r="D115" s="113" t="s">
        <v>746</v>
      </c>
      <c r="E115" s="107"/>
      <c r="F115" s="146" t="s">
        <v>747</v>
      </c>
      <c r="G115" s="106" t="s">
        <v>748</v>
      </c>
      <c r="H115" s="106" t="s">
        <v>746</v>
      </c>
      <c r="I115" s="141">
        <v>45427.0</v>
      </c>
      <c r="J115" s="141">
        <v>45663.0</v>
      </c>
      <c r="K115" s="106" t="s">
        <v>749</v>
      </c>
      <c r="L115" s="358" t="s">
        <v>750</v>
      </c>
      <c r="M115" s="106" t="s">
        <v>751</v>
      </c>
      <c r="N115" s="106" t="s">
        <v>752</v>
      </c>
      <c r="O115" s="106">
        <v>1.0</v>
      </c>
      <c r="P115" s="143" t="str">
        <f> hyperlink(vlookup(lower(N115),'File Links'!A:B, 2, FALSE), SUBSTITUTE(lower(N115), "/", "--") &amp;  ".pdf")</f>
        <v>10.1017--s0272263114000126.pdf</v>
      </c>
      <c r="Q115" s="49" t="str">
        <f t="array" ref="Q115"> if(iserror(MATCH(V115, 'File Links'!C:C, 0)), "N/A", HYPERLINK(INDEX('File Links'!B:B, MATCH(P115, 'File Links'!C:C, 0))))</f>
        <v>https://drive.google.com/file/d/1rAL0rmM0jbf9S7uX5DiL77r3bNeTGrOY/view?usp=drivesdk</v>
      </c>
      <c r="R115" s="106" t="s">
        <v>753</v>
      </c>
      <c r="S115" s="106" t="s">
        <v>754</v>
      </c>
      <c r="T115" s="107"/>
      <c r="U115" s="106">
        <v>1.0</v>
      </c>
      <c r="V115" s="106" t="str">
        <f> hyperlink(vlookup(lower(S115),'File Links'!E:F, 2, FALSE), SUBSTITUTE(lower(S115), "/", "--") &amp;  ".pdf")</f>
        <v>10.1017--s027226312400010x.pdf</v>
      </c>
      <c r="W115" s="106" t="s">
        <v>313</v>
      </c>
      <c r="X115" s="51" t="str">
        <f t="array" ref="X115"> if(iserror(MATCH(V115, 'File Links'!C:C, 0)), "N/A", HYPERLINK(INDEX('File Links'!B:B, MATCH(V115, 'File Links'!C:C, 0))))</f>
        <v>https://drive.google.com/file/d/1gKS9Z0txNmobZApdh403VlFeWnSEs1mA/view?usp=drivesdk</v>
      </c>
      <c r="Y115" s="106"/>
      <c r="Z115" s="359" t="s">
        <v>288</v>
      </c>
      <c r="AA115" s="106" t="s">
        <v>755</v>
      </c>
      <c r="AB115" s="360" t="s">
        <v>756</v>
      </c>
      <c r="AC115" s="106" t="s">
        <v>757</v>
      </c>
      <c r="AD115" s="106" t="s">
        <v>758</v>
      </c>
      <c r="AE115" s="107"/>
      <c r="AF115" s="106">
        <v>97.0</v>
      </c>
      <c r="AG115" s="106" t="s">
        <v>759</v>
      </c>
      <c r="AH115" s="361" t="s">
        <v>166</v>
      </c>
      <c r="AI115" s="361" t="s">
        <v>760</v>
      </c>
      <c r="AJ115" s="361">
        <v>0.001</v>
      </c>
      <c r="AK115" s="361" t="s">
        <v>128</v>
      </c>
      <c r="AL115" s="361" t="s">
        <v>129</v>
      </c>
      <c r="AM115" s="362"/>
      <c r="AN115" s="319" t="s">
        <v>131</v>
      </c>
      <c r="AO115" s="361">
        <v>119.0</v>
      </c>
      <c r="AP115" s="361">
        <v>0.74</v>
      </c>
      <c r="AQ115" s="361" t="s">
        <v>166</v>
      </c>
      <c r="AR115" s="145">
        <v>6.0</v>
      </c>
      <c r="AS115" s="145">
        <v>0.05</v>
      </c>
      <c r="AT115" s="106" t="s">
        <v>128</v>
      </c>
      <c r="AU115" s="106" t="s">
        <v>179</v>
      </c>
      <c r="AV115" s="69"/>
      <c r="AW115" s="69"/>
      <c r="AX115" s="144" t="s">
        <v>266</v>
      </c>
      <c r="AY115" s="42"/>
    </row>
    <row r="116" ht="20.25" customHeight="1">
      <c r="A116" s="41">
        <v>116.0</v>
      </c>
      <c r="B116" s="106" t="s">
        <v>583</v>
      </c>
      <c r="C116" s="106" t="s">
        <v>108</v>
      </c>
      <c r="D116" s="113" t="s">
        <v>746</v>
      </c>
      <c r="E116" s="107"/>
      <c r="F116" s="146" t="s">
        <v>747</v>
      </c>
      <c r="G116" s="106" t="s">
        <v>748</v>
      </c>
      <c r="H116" s="106" t="s">
        <v>746</v>
      </c>
      <c r="I116" s="141">
        <v>45427.0</v>
      </c>
      <c r="J116" s="141">
        <v>45663.0</v>
      </c>
      <c r="K116" s="106" t="s">
        <v>749</v>
      </c>
      <c r="L116" s="358" t="s">
        <v>750</v>
      </c>
      <c r="M116" s="106" t="s">
        <v>751</v>
      </c>
      <c r="N116" s="106" t="s">
        <v>752</v>
      </c>
      <c r="O116" s="106">
        <v>1.0</v>
      </c>
      <c r="P116" s="143" t="str">
        <f> hyperlink(vlookup(lower(N116),'File Links'!A:B, 2, FALSE), SUBSTITUTE(lower(N116), "/", "--") &amp;  ".pdf")</f>
        <v>10.1017--s0272263114000126.pdf</v>
      </c>
      <c r="Q116" s="49" t="str">
        <f t="array" ref="Q116"> if(iserror(MATCH(V116, 'File Links'!C:C, 0)), "N/A", HYPERLINK(INDEX('File Links'!B:B, MATCH(P116, 'File Links'!C:C, 0))))</f>
        <v>https://drive.google.com/file/d/1rAL0rmM0jbf9S7uX5DiL77r3bNeTGrOY/view?usp=drivesdk</v>
      </c>
      <c r="R116" s="106" t="s">
        <v>753</v>
      </c>
      <c r="S116" s="106" t="s">
        <v>754</v>
      </c>
      <c r="T116" s="107"/>
      <c r="U116" s="106">
        <v>1.0</v>
      </c>
      <c r="V116" s="106" t="str">
        <f> hyperlink(vlookup(lower(S116),'File Links'!E:F, 2, FALSE), SUBSTITUTE(lower(S116), "/", "--") &amp;  ".pdf")</f>
        <v>10.1017--s027226312400010x.pdf</v>
      </c>
      <c r="W116" s="106" t="s">
        <v>313</v>
      </c>
      <c r="X116" s="51" t="str">
        <f t="array" ref="X116"> if(iserror(MATCH(V116, 'File Links'!C:C, 0)), "N/A", HYPERLINK(INDEX('File Links'!B:B, MATCH(V116, 'File Links'!C:C, 0))))</f>
        <v>https://drive.google.com/file/d/1gKS9Z0txNmobZApdh403VlFeWnSEs1mA/view?usp=drivesdk</v>
      </c>
      <c r="Y116" s="106"/>
      <c r="Z116" s="359" t="s">
        <v>288</v>
      </c>
      <c r="AA116" s="106" t="s">
        <v>755</v>
      </c>
      <c r="AB116" s="360" t="s">
        <v>756</v>
      </c>
      <c r="AC116" s="106" t="s">
        <v>757</v>
      </c>
      <c r="AD116" s="106" t="s">
        <v>758</v>
      </c>
      <c r="AE116" s="107"/>
      <c r="AF116" s="106">
        <v>97.0</v>
      </c>
      <c r="AG116" s="106" t="s">
        <v>759</v>
      </c>
      <c r="AH116" s="361" t="s">
        <v>166</v>
      </c>
      <c r="AI116" s="361" t="s">
        <v>760</v>
      </c>
      <c r="AJ116" s="361">
        <v>0.001</v>
      </c>
      <c r="AK116" s="361" t="s">
        <v>128</v>
      </c>
      <c r="AL116" s="361" t="s">
        <v>129</v>
      </c>
      <c r="AM116" s="362"/>
      <c r="AN116" s="319" t="s">
        <v>131</v>
      </c>
      <c r="AO116" s="361">
        <v>119.0</v>
      </c>
      <c r="AP116" s="361">
        <v>-0.37</v>
      </c>
      <c r="AQ116" s="361" t="s">
        <v>166</v>
      </c>
      <c r="AR116" s="145">
        <v>6.0</v>
      </c>
      <c r="AS116" s="145">
        <v>0.05</v>
      </c>
      <c r="AT116" s="106" t="s">
        <v>128</v>
      </c>
      <c r="AU116" s="106" t="s">
        <v>179</v>
      </c>
      <c r="AV116" s="69"/>
      <c r="AW116" s="69"/>
      <c r="AX116" s="144" t="s">
        <v>266</v>
      </c>
      <c r="AY116" s="42"/>
      <c r="AZ116" s="223"/>
    </row>
    <row r="117" ht="20.25" customHeight="1">
      <c r="A117" s="41">
        <v>117.0</v>
      </c>
      <c r="B117" s="106" t="s">
        <v>583</v>
      </c>
      <c r="C117" s="106" t="s">
        <v>108</v>
      </c>
      <c r="D117" s="113" t="s">
        <v>746</v>
      </c>
      <c r="E117" s="107"/>
      <c r="F117" s="113" t="s">
        <v>747</v>
      </c>
      <c r="G117" s="106" t="s">
        <v>748</v>
      </c>
      <c r="H117" s="106" t="s">
        <v>746</v>
      </c>
      <c r="I117" s="141">
        <v>45427.0</v>
      </c>
      <c r="J117" s="141">
        <v>45663.0</v>
      </c>
      <c r="K117" s="106" t="s">
        <v>749</v>
      </c>
      <c r="L117" s="358" t="s">
        <v>750</v>
      </c>
      <c r="M117" s="106" t="s">
        <v>751</v>
      </c>
      <c r="N117" s="106" t="s">
        <v>752</v>
      </c>
      <c r="O117" s="106">
        <v>1.0</v>
      </c>
      <c r="P117" s="143" t="str">
        <f> hyperlink(vlookup(lower(N117),'File Links'!A:B, 2, FALSE), SUBSTITUTE(lower(N117), "/", "--") &amp;  ".pdf")</f>
        <v>10.1017--s0272263114000126.pdf</v>
      </c>
      <c r="Q117" s="49" t="str">
        <f t="array" ref="Q117"> if(iserror(MATCH(V117, 'File Links'!C:C, 0)), "N/A", HYPERLINK(INDEX('File Links'!B:B, MATCH(P117, 'File Links'!C:C, 0))))</f>
        <v>https://drive.google.com/file/d/1rAL0rmM0jbf9S7uX5DiL77r3bNeTGrOY/view?usp=drivesdk</v>
      </c>
      <c r="R117" s="106" t="s">
        <v>753</v>
      </c>
      <c r="S117" s="106" t="s">
        <v>754</v>
      </c>
      <c r="T117" s="107"/>
      <c r="U117" s="106">
        <v>1.0</v>
      </c>
      <c r="V117" s="106" t="str">
        <f> hyperlink(vlookup(lower(S117),'File Links'!E:F, 2, FALSE), SUBSTITUTE(lower(S117), "/", "--") &amp;  ".pdf")</f>
        <v>10.1017--s027226312400010x.pdf</v>
      </c>
      <c r="W117" s="106" t="s">
        <v>313</v>
      </c>
      <c r="X117" s="51" t="str">
        <f t="array" ref="X117"> if(iserror(MATCH(V117, 'File Links'!C:C, 0)), "N/A", HYPERLINK(INDEX('File Links'!B:B, MATCH(V117, 'File Links'!C:C, 0))))</f>
        <v>https://drive.google.com/file/d/1gKS9Z0txNmobZApdh403VlFeWnSEs1mA/view?usp=drivesdk</v>
      </c>
      <c r="Y117" s="106"/>
      <c r="Z117" s="359" t="s">
        <v>288</v>
      </c>
      <c r="AA117" s="106" t="s">
        <v>755</v>
      </c>
      <c r="AB117" s="360" t="s">
        <v>756</v>
      </c>
      <c r="AC117" s="106" t="s">
        <v>757</v>
      </c>
      <c r="AD117" s="106" t="s">
        <v>761</v>
      </c>
      <c r="AE117" s="107"/>
      <c r="AF117" s="106">
        <v>97.0</v>
      </c>
      <c r="AG117" s="106" t="s">
        <v>759</v>
      </c>
      <c r="AH117" s="361" t="s">
        <v>166</v>
      </c>
      <c r="AI117" s="361" t="s">
        <v>760</v>
      </c>
      <c r="AJ117" s="361">
        <v>0.001</v>
      </c>
      <c r="AK117" s="361" t="s">
        <v>128</v>
      </c>
      <c r="AL117" s="361" t="s">
        <v>129</v>
      </c>
      <c r="AM117" s="362"/>
      <c r="AN117" s="319" t="s">
        <v>131</v>
      </c>
      <c r="AO117" s="361">
        <v>119.0</v>
      </c>
      <c r="AP117" s="361">
        <v>0.29</v>
      </c>
      <c r="AQ117" s="361" t="s">
        <v>166</v>
      </c>
      <c r="AR117" s="145">
        <v>6.0</v>
      </c>
      <c r="AS117" s="145">
        <v>0.01</v>
      </c>
      <c r="AT117" s="106" t="s">
        <v>128</v>
      </c>
      <c r="AU117" s="106" t="s">
        <v>179</v>
      </c>
      <c r="AV117" s="69"/>
      <c r="AW117" s="69"/>
      <c r="AX117" s="144" t="s">
        <v>266</v>
      </c>
      <c r="AY117" s="42"/>
      <c r="AZ117" s="223"/>
    </row>
    <row r="118" ht="20.25" customHeight="1">
      <c r="A118" s="41">
        <v>118.0</v>
      </c>
      <c r="B118" s="106" t="s">
        <v>583</v>
      </c>
      <c r="C118" s="106" t="s">
        <v>108</v>
      </c>
      <c r="D118" s="113" t="s">
        <v>746</v>
      </c>
      <c r="E118" s="107"/>
      <c r="F118" s="113" t="s">
        <v>747</v>
      </c>
      <c r="G118" s="106" t="s">
        <v>748</v>
      </c>
      <c r="H118" s="106" t="s">
        <v>746</v>
      </c>
      <c r="I118" s="141">
        <v>45427.0</v>
      </c>
      <c r="J118" s="141">
        <v>45663.0</v>
      </c>
      <c r="K118" s="106" t="s">
        <v>749</v>
      </c>
      <c r="L118" s="358" t="s">
        <v>750</v>
      </c>
      <c r="M118" s="106" t="s">
        <v>751</v>
      </c>
      <c r="N118" s="106" t="s">
        <v>752</v>
      </c>
      <c r="O118" s="106">
        <v>1.0</v>
      </c>
      <c r="P118" s="143" t="str">
        <f> hyperlink(vlookup(lower(N118),'File Links'!A:B, 2, FALSE), SUBSTITUTE(lower(N118), "/", "--") &amp;  ".pdf")</f>
        <v>10.1017--s0272263114000126.pdf</v>
      </c>
      <c r="Q118" s="49" t="str">
        <f t="array" ref="Q118"> if(iserror(MATCH(V118, 'File Links'!C:C, 0)), "N/A", HYPERLINK(INDEX('File Links'!B:B, MATCH(P118, 'File Links'!C:C, 0))))</f>
        <v>https://drive.google.com/file/d/1rAL0rmM0jbf9S7uX5DiL77r3bNeTGrOY/view?usp=drivesdk</v>
      </c>
      <c r="R118" s="106" t="s">
        <v>753</v>
      </c>
      <c r="S118" s="106" t="s">
        <v>754</v>
      </c>
      <c r="T118" s="107"/>
      <c r="U118" s="106">
        <v>1.0</v>
      </c>
      <c r="V118" s="106" t="str">
        <f> hyperlink(vlookup(lower(S118),'File Links'!E:F, 2, FALSE), SUBSTITUTE(lower(S118), "/", "--") &amp;  ".pdf")</f>
        <v>10.1017--s027226312400010x.pdf</v>
      </c>
      <c r="W118" s="106" t="s">
        <v>313</v>
      </c>
      <c r="X118" s="51" t="str">
        <f t="array" ref="X118"> if(iserror(MATCH(V118, 'File Links'!C:C, 0)), "N/A", HYPERLINK(INDEX('File Links'!B:B, MATCH(V118, 'File Links'!C:C, 0))))</f>
        <v>https://drive.google.com/file/d/1gKS9Z0txNmobZApdh403VlFeWnSEs1mA/view?usp=drivesdk</v>
      </c>
      <c r="Y118" s="106"/>
      <c r="Z118" s="359" t="s">
        <v>288</v>
      </c>
      <c r="AA118" s="106" t="s">
        <v>755</v>
      </c>
      <c r="AB118" s="360" t="s">
        <v>756</v>
      </c>
      <c r="AC118" s="106" t="s">
        <v>757</v>
      </c>
      <c r="AD118" s="106" t="s">
        <v>762</v>
      </c>
      <c r="AE118" s="107"/>
      <c r="AF118" s="106">
        <v>97.0</v>
      </c>
      <c r="AG118" s="106" t="s">
        <v>759</v>
      </c>
      <c r="AH118" s="361" t="s">
        <v>166</v>
      </c>
      <c r="AI118" s="361" t="s">
        <v>760</v>
      </c>
      <c r="AJ118" s="361">
        <v>0.001</v>
      </c>
      <c r="AK118" s="361" t="s">
        <v>128</v>
      </c>
      <c r="AL118" s="361" t="s">
        <v>129</v>
      </c>
      <c r="AM118" s="362"/>
      <c r="AN118" s="319" t="s">
        <v>131</v>
      </c>
      <c r="AO118" s="361">
        <v>119.0</v>
      </c>
      <c r="AP118" s="361">
        <v>-0.24</v>
      </c>
      <c r="AQ118" s="361" t="s">
        <v>166</v>
      </c>
      <c r="AR118" s="145">
        <v>6.0</v>
      </c>
      <c r="AS118" s="145">
        <v>0.05</v>
      </c>
      <c r="AT118" s="106" t="s">
        <v>128</v>
      </c>
      <c r="AU118" s="106" t="s">
        <v>179</v>
      </c>
      <c r="AV118" s="69"/>
      <c r="AW118" s="69"/>
      <c r="AX118" s="144" t="s">
        <v>266</v>
      </c>
      <c r="AY118" s="42"/>
      <c r="AZ118" s="223"/>
    </row>
    <row r="119" ht="20.25" customHeight="1">
      <c r="A119" s="41">
        <v>119.0</v>
      </c>
      <c r="B119" s="106" t="s">
        <v>583</v>
      </c>
      <c r="C119" s="106" t="s">
        <v>108</v>
      </c>
      <c r="D119" s="106" t="s">
        <v>225</v>
      </c>
      <c r="E119" s="107"/>
      <c r="F119" s="117" t="s">
        <v>747</v>
      </c>
      <c r="G119" s="118" t="s">
        <v>748</v>
      </c>
      <c r="H119" s="118" t="s">
        <v>228</v>
      </c>
      <c r="I119" s="110">
        <v>45626.0</v>
      </c>
      <c r="J119" s="141">
        <v>45663.0</v>
      </c>
      <c r="K119" s="107"/>
      <c r="L119" s="358" t="s">
        <v>750</v>
      </c>
      <c r="M119" s="118" t="s">
        <v>751</v>
      </c>
      <c r="N119" s="118" t="s">
        <v>752</v>
      </c>
      <c r="O119" s="363">
        <v>1.0</v>
      </c>
      <c r="P119" s="364" t="str">
        <f> hyperlink(vlookup(lower(N119),'File Links'!E:F, 2, FALSE), SUBSTITUTE(lower(N119), "/", "--") &amp;  ".pdf")</f>
        <v>10.1017--s0272263114000126.pdf</v>
      </c>
      <c r="Q119" s="49" t="str">
        <f t="array" ref="Q119"> if(iserror(MATCH(V119, 'File Links'!C:C, 0)), "N/A", HYPERLINK(INDEX('File Links'!B:B, MATCH(P119, 'File Links'!C:C, 0))))</f>
        <v>https://drive.google.com/file/d/1rAL0rmM0jbf9S7uX5DiL77r3bNeTGrOY/view?usp=drivesdk</v>
      </c>
      <c r="R119" s="118" t="s">
        <v>753</v>
      </c>
      <c r="S119" s="118" t="s">
        <v>754</v>
      </c>
      <c r="T119" s="111"/>
      <c r="U119" s="363">
        <v>1.0</v>
      </c>
      <c r="V119" s="63" t="str">
        <f> hyperlink(vlookup(lower(S119),'File Links'!E:F, 2, FALSE), SUBSTITUTE(lower(S119), "/", "--") &amp;  ".pdf")</f>
        <v>10.1017--s027226312400010x.pdf</v>
      </c>
      <c r="W119" s="106" t="s">
        <v>313</v>
      </c>
      <c r="X119" s="51" t="str">
        <f t="array" ref="X119"> if(iserror(MATCH(V119, 'File Links'!C:C, 0)), "N/A", HYPERLINK(INDEX('File Links'!B:B, MATCH(V119, 'File Links'!C:C, 0))))</f>
        <v>https://drive.google.com/file/d/1gKS9Z0txNmobZApdh403VlFeWnSEs1mA/view?usp=drivesdk</v>
      </c>
      <c r="Y119" s="111"/>
      <c r="Z119" s="359" t="s">
        <v>288</v>
      </c>
      <c r="AA119" s="118" t="s">
        <v>763</v>
      </c>
      <c r="AB119" s="113" t="s">
        <v>756</v>
      </c>
      <c r="AC119" s="118" t="s">
        <v>764</v>
      </c>
      <c r="AD119" s="111"/>
      <c r="AE119" s="111"/>
      <c r="AF119" s="363">
        <v>97.0</v>
      </c>
      <c r="AG119" s="107"/>
      <c r="AH119" s="41"/>
      <c r="AI119" s="41"/>
      <c r="AJ119" s="145"/>
      <c r="AK119" s="41"/>
      <c r="AL119" s="41"/>
      <c r="AM119" s="362"/>
      <c r="AN119" s="319" t="s">
        <v>131</v>
      </c>
      <c r="AO119" s="41"/>
      <c r="AP119" s="41"/>
      <c r="AQ119" s="41"/>
      <c r="AR119" s="41"/>
      <c r="AS119" s="41"/>
      <c r="AT119" s="107"/>
      <c r="AU119" s="107"/>
      <c r="AV119" s="69"/>
      <c r="AW119" s="69"/>
      <c r="AX119" s="108"/>
      <c r="AY119" s="42"/>
      <c r="AZ119" s="223"/>
    </row>
    <row r="120" ht="20.25" customHeight="1">
      <c r="A120" s="41">
        <v>120.0</v>
      </c>
      <c r="B120" s="365" t="s">
        <v>107</v>
      </c>
      <c r="C120" s="365" t="s">
        <v>108</v>
      </c>
      <c r="D120" s="185" t="s">
        <v>435</v>
      </c>
      <c r="E120" s="186"/>
      <c r="F120" s="366" t="s">
        <v>765</v>
      </c>
      <c r="G120" s="189" t="s">
        <v>766</v>
      </c>
      <c r="H120" s="189" t="s">
        <v>438</v>
      </c>
      <c r="I120" s="367">
        <v>45634.0</v>
      </c>
      <c r="J120" s="190"/>
      <c r="K120" s="189" t="s">
        <v>767</v>
      </c>
      <c r="L120" s="368" t="s">
        <v>768</v>
      </c>
      <c r="M120" s="189" t="s">
        <v>769</v>
      </c>
      <c r="N120" s="189" t="s">
        <v>770</v>
      </c>
      <c r="O120" s="190"/>
      <c r="P120" s="369" t="s">
        <v>771</v>
      </c>
      <c r="Q120" s="49" t="str">
        <f t="array" ref="Q120"> if(iserror(MATCH(V120, 'File Links'!C:C, 0)), "N/A", HYPERLINK(INDEX('File Links'!B:B, MATCH(P120, 'File Links'!C:C, 0))))</f>
        <v>https://drive.google.com/file/d/1S1BDaMkHx3KW3osHCgZU9COckw9P0yzi/view?usp=drivesdk</v>
      </c>
      <c r="R120" s="370" t="s">
        <v>772</v>
      </c>
      <c r="S120" s="370" t="s">
        <v>773</v>
      </c>
      <c r="T120" s="190"/>
      <c r="U120" s="192"/>
      <c r="V120" s="189" t="s">
        <v>774</v>
      </c>
      <c r="W120" s="189" t="s">
        <v>157</v>
      </c>
      <c r="X120" s="51" t="str">
        <f t="array" ref="X120"> if(iserror(MATCH(V120, 'File Links'!C:C, 0)), "N/A", HYPERLINK(INDEX('File Links'!B:B, MATCH(V120, 'File Links'!C:C, 0))))</f>
        <v>https://drive.google.com/file/d/1VSCtSsv8HPQ12k-JKTjSEPJB-QhdOcwt/view?usp=drivesdk</v>
      </c>
      <c r="Y120" s="371" t="s">
        <v>775</v>
      </c>
      <c r="Z120" s="190"/>
      <c r="AA120" s="190"/>
      <c r="AB120" s="190"/>
      <c r="AC120" s="190"/>
      <c r="AD120" s="190"/>
      <c r="AE120" s="190"/>
      <c r="AF120" s="190"/>
      <c r="AG120" s="190"/>
      <c r="AH120" s="192"/>
      <c r="AI120" s="190"/>
      <c r="AJ120" s="190"/>
      <c r="AK120" s="187"/>
      <c r="AL120" s="190"/>
      <c r="AM120" s="190"/>
      <c r="AN120" s="319" t="s">
        <v>131</v>
      </c>
      <c r="AO120" s="190"/>
      <c r="AP120" s="190"/>
      <c r="AQ120" s="190"/>
      <c r="AR120" s="190"/>
      <c r="AS120" s="190"/>
      <c r="AT120" s="187"/>
      <c r="AU120" s="187"/>
      <c r="AV120" s="187"/>
      <c r="AW120" s="187"/>
      <c r="AX120" s="366" t="s">
        <v>136</v>
      </c>
      <c r="AY120" s="126" t="s">
        <v>768</v>
      </c>
      <c r="AZ120" s="223"/>
    </row>
    <row r="121" ht="20.25" customHeight="1">
      <c r="A121" s="41">
        <v>121.0</v>
      </c>
      <c r="B121" s="365" t="s">
        <v>107</v>
      </c>
      <c r="C121" s="185" t="s">
        <v>108</v>
      </c>
      <c r="D121" s="185" t="s">
        <v>339</v>
      </c>
      <c r="E121" s="186"/>
      <c r="F121" s="187" t="s">
        <v>765</v>
      </c>
      <c r="G121" s="55" t="s">
        <v>766</v>
      </c>
      <c r="H121" s="55" t="s">
        <v>342</v>
      </c>
      <c r="I121" s="188">
        <v>45427.0</v>
      </c>
      <c r="J121" s="188">
        <v>45639.0</v>
      </c>
      <c r="K121" s="189" t="s">
        <v>776</v>
      </c>
      <c r="L121" s="368" t="s">
        <v>768</v>
      </c>
      <c r="M121" s="55" t="s">
        <v>769</v>
      </c>
      <c r="N121" s="189" t="s">
        <v>770</v>
      </c>
      <c r="O121" s="190"/>
      <c r="P121" s="191" t="s">
        <v>771</v>
      </c>
      <c r="Q121" s="105" t="str">
        <f t="array" ref="Q121"> if(iserror(MATCH(V121, 'File Links'!C:C, 0)), "N/A", HYPERLINK(INDEX('File Links'!B:B, MATCH(P121, 'File Links'!C:C, 0))))</f>
        <v>N/A</v>
      </c>
      <c r="R121" s="372" t="s">
        <v>777</v>
      </c>
      <c r="S121" s="372" t="s">
        <v>773</v>
      </c>
      <c r="T121" s="190"/>
      <c r="U121" s="192"/>
      <c r="V121" s="55" t="s">
        <v>570</v>
      </c>
      <c r="W121" s="55" t="s">
        <v>778</v>
      </c>
      <c r="X121" s="46" t="str">
        <f t="array" ref="X121"> if(iserror(MATCH(V121, 'File Links'!C:C, 0)), "N/A", HYPERLINK(INDEX('File Links'!B:B, MATCH(V121, 'File Links'!C:C, 0))))</f>
        <v>N/A</v>
      </c>
      <c r="Y121" s="371" t="s">
        <v>775</v>
      </c>
      <c r="Z121" s="55" t="s">
        <v>779</v>
      </c>
      <c r="AA121" s="190"/>
      <c r="AB121" s="189" t="s">
        <v>780</v>
      </c>
      <c r="AC121" s="189" t="s">
        <v>781</v>
      </c>
      <c r="AD121" s="189" t="s">
        <v>782</v>
      </c>
      <c r="AE121" s="190"/>
      <c r="AF121" s="190"/>
      <c r="AG121" s="194">
        <v>-0.48</v>
      </c>
      <c r="AH121" s="191" t="s">
        <v>783</v>
      </c>
      <c r="AI121" s="55" t="s">
        <v>784</v>
      </c>
      <c r="AJ121" s="190"/>
      <c r="AK121" s="187"/>
      <c r="AL121" s="190"/>
      <c r="AM121" s="190"/>
      <c r="AN121" s="55" t="s">
        <v>131</v>
      </c>
      <c r="AO121" s="190"/>
      <c r="AP121" s="194">
        <v>0.12</v>
      </c>
      <c r="AQ121" s="55" t="s">
        <v>783</v>
      </c>
      <c r="AR121" s="55" t="s">
        <v>125</v>
      </c>
      <c r="AS121" s="190"/>
      <c r="AT121" s="187"/>
      <c r="AU121" s="187"/>
      <c r="AV121" s="187"/>
      <c r="AW121" s="187" t="s">
        <v>131</v>
      </c>
      <c r="AX121" s="187" t="s">
        <v>136</v>
      </c>
      <c r="AY121" s="126" t="s">
        <v>768</v>
      </c>
      <c r="AZ121" s="223"/>
    </row>
    <row r="122" ht="20.25" customHeight="1">
      <c r="A122" s="41">
        <v>122.0</v>
      </c>
      <c r="B122" s="365" t="s">
        <v>107</v>
      </c>
      <c r="C122" s="185" t="s">
        <v>108</v>
      </c>
      <c r="D122" s="185" t="s">
        <v>339</v>
      </c>
      <c r="E122" s="186"/>
      <c r="F122" s="187" t="s">
        <v>765</v>
      </c>
      <c r="G122" s="55" t="s">
        <v>785</v>
      </c>
      <c r="H122" s="55" t="s">
        <v>342</v>
      </c>
      <c r="I122" s="188">
        <v>45427.0</v>
      </c>
      <c r="J122" s="188">
        <v>45639.0</v>
      </c>
      <c r="K122" s="189" t="s">
        <v>776</v>
      </c>
      <c r="L122" s="368" t="s">
        <v>768</v>
      </c>
      <c r="M122" s="55" t="s">
        <v>769</v>
      </c>
      <c r="N122" s="189" t="s">
        <v>770</v>
      </c>
      <c r="O122" s="190"/>
      <c r="P122" s="191" t="s">
        <v>771</v>
      </c>
      <c r="Q122" s="105" t="str">
        <f t="array" ref="Q122"> if(iserror(MATCH(V122, 'File Links'!C:C, 0)), "N/A", HYPERLINK(INDEX('File Links'!B:B, MATCH(P122, 'File Links'!C:C, 0))))</f>
        <v>N/A</v>
      </c>
      <c r="R122" s="372" t="s">
        <v>786</v>
      </c>
      <c r="S122" s="372" t="s">
        <v>773</v>
      </c>
      <c r="T122" s="190"/>
      <c r="U122" s="192"/>
      <c r="V122" s="55" t="s">
        <v>570</v>
      </c>
      <c r="W122" s="55" t="s">
        <v>778</v>
      </c>
      <c r="X122" s="46" t="str">
        <f t="array" ref="X122"> if(iserror(MATCH(V122, 'File Links'!C:C, 0)), "N/A", HYPERLINK(INDEX('File Links'!B:B, MATCH(V122, 'File Links'!C:C, 0))))</f>
        <v>N/A</v>
      </c>
      <c r="Y122" s="371" t="s">
        <v>775</v>
      </c>
      <c r="Z122" s="55" t="s">
        <v>779</v>
      </c>
      <c r="AA122" s="190"/>
      <c r="AB122" s="189" t="s">
        <v>780</v>
      </c>
      <c r="AC122" s="189" t="s">
        <v>787</v>
      </c>
      <c r="AD122" s="189" t="s">
        <v>782</v>
      </c>
      <c r="AE122" s="190"/>
      <c r="AF122" s="190"/>
      <c r="AG122" s="194">
        <v>-0.82</v>
      </c>
      <c r="AH122" s="191" t="s">
        <v>783</v>
      </c>
      <c r="AI122" s="55" t="s">
        <v>784</v>
      </c>
      <c r="AJ122" s="190"/>
      <c r="AK122" s="187"/>
      <c r="AL122" s="190"/>
      <c r="AM122" s="190"/>
      <c r="AN122" s="55" t="s">
        <v>131</v>
      </c>
      <c r="AO122" s="190"/>
      <c r="AP122" s="194">
        <v>0.12</v>
      </c>
      <c r="AQ122" s="55" t="s">
        <v>783</v>
      </c>
      <c r="AR122" s="55" t="s">
        <v>125</v>
      </c>
      <c r="AS122" s="190"/>
      <c r="AT122" s="187"/>
      <c r="AU122" s="187"/>
      <c r="AV122" s="187"/>
      <c r="AW122" s="187" t="s">
        <v>131</v>
      </c>
      <c r="AX122" s="187" t="s">
        <v>136</v>
      </c>
      <c r="AY122" s="126" t="s">
        <v>768</v>
      </c>
      <c r="AZ122" s="223"/>
    </row>
    <row r="123" ht="20.25" customHeight="1">
      <c r="A123" s="41">
        <v>123.0</v>
      </c>
      <c r="B123" s="365" t="s">
        <v>107</v>
      </c>
      <c r="C123" s="185" t="s">
        <v>108</v>
      </c>
      <c r="D123" s="185" t="s">
        <v>339</v>
      </c>
      <c r="E123" s="186"/>
      <c r="F123" s="187" t="s">
        <v>765</v>
      </c>
      <c r="G123" s="55" t="s">
        <v>788</v>
      </c>
      <c r="H123" s="55" t="s">
        <v>342</v>
      </c>
      <c r="I123" s="188">
        <v>45427.0</v>
      </c>
      <c r="J123" s="188">
        <v>45639.0</v>
      </c>
      <c r="K123" s="189" t="s">
        <v>789</v>
      </c>
      <c r="L123" s="368" t="s">
        <v>768</v>
      </c>
      <c r="M123" s="55" t="s">
        <v>769</v>
      </c>
      <c r="N123" s="189" t="s">
        <v>770</v>
      </c>
      <c r="O123" s="190"/>
      <c r="P123" s="191" t="s">
        <v>771</v>
      </c>
      <c r="Q123" s="105" t="str">
        <f t="array" ref="Q123"> if(iserror(MATCH(V123, 'File Links'!C:C, 0)), "N/A", HYPERLINK(INDEX('File Links'!B:B, MATCH(P123, 'File Links'!C:C, 0))))</f>
        <v>N/A</v>
      </c>
      <c r="R123" s="372" t="s">
        <v>790</v>
      </c>
      <c r="S123" s="372" t="s">
        <v>773</v>
      </c>
      <c r="T123" s="190"/>
      <c r="U123" s="192"/>
      <c r="V123" s="55" t="s">
        <v>570</v>
      </c>
      <c r="W123" s="55" t="s">
        <v>778</v>
      </c>
      <c r="X123" s="46" t="str">
        <f t="array" ref="X123"> if(iserror(MATCH(V123, 'File Links'!C:C, 0)), "N/A", HYPERLINK(INDEX('File Links'!B:B, MATCH(V123, 'File Links'!C:C, 0))))</f>
        <v>N/A</v>
      </c>
      <c r="Y123" s="371" t="s">
        <v>775</v>
      </c>
      <c r="Z123" s="55" t="s">
        <v>779</v>
      </c>
      <c r="AA123" s="190"/>
      <c r="AB123" s="189" t="s">
        <v>780</v>
      </c>
      <c r="AC123" s="189" t="s">
        <v>791</v>
      </c>
      <c r="AD123" s="189" t="s">
        <v>782</v>
      </c>
      <c r="AE123" s="190"/>
      <c r="AF123" s="190"/>
      <c r="AG123" s="194">
        <v>-0.52</v>
      </c>
      <c r="AH123" s="191" t="s">
        <v>783</v>
      </c>
      <c r="AI123" s="55" t="s">
        <v>784</v>
      </c>
      <c r="AJ123" s="190"/>
      <c r="AK123" s="187"/>
      <c r="AL123" s="190"/>
      <c r="AM123" s="190"/>
      <c r="AN123" s="55" t="s">
        <v>131</v>
      </c>
      <c r="AO123" s="190"/>
      <c r="AP123" s="194">
        <v>0.06</v>
      </c>
      <c r="AQ123" s="55" t="s">
        <v>783</v>
      </c>
      <c r="AR123" s="55" t="s">
        <v>125</v>
      </c>
      <c r="AS123" s="190"/>
      <c r="AT123" s="187"/>
      <c r="AU123" s="187"/>
      <c r="AV123" s="187"/>
      <c r="AW123" s="187" t="s">
        <v>131</v>
      </c>
      <c r="AX123" s="187" t="s">
        <v>136</v>
      </c>
      <c r="AY123" s="126" t="s">
        <v>768</v>
      </c>
      <c r="AZ123" s="223"/>
    </row>
    <row r="124" ht="20.25" customHeight="1">
      <c r="A124" s="41">
        <v>124.0</v>
      </c>
      <c r="B124" s="165" t="s">
        <v>145</v>
      </c>
      <c r="C124" s="165" t="s">
        <v>108</v>
      </c>
      <c r="D124" s="165" t="s">
        <v>339</v>
      </c>
      <c r="E124" s="161"/>
      <c r="F124" s="156" t="s">
        <v>792</v>
      </c>
      <c r="G124" s="54" t="s">
        <v>793</v>
      </c>
      <c r="H124" s="54" t="s">
        <v>342</v>
      </c>
      <c r="I124" s="149">
        <v>45427.0</v>
      </c>
      <c r="J124" s="150">
        <v>45772.0</v>
      </c>
      <c r="K124" s="373" t="s">
        <v>794</v>
      </c>
      <c r="L124" s="148" t="s">
        <v>795</v>
      </c>
      <c r="M124" s="54" t="s">
        <v>796</v>
      </c>
      <c r="N124" s="373" t="s">
        <v>797</v>
      </c>
      <c r="O124" s="368">
        <v>1.0</v>
      </c>
      <c r="P124" s="374" t="s">
        <v>798</v>
      </c>
      <c r="Q124" s="49" t="str">
        <f t="array" ref="Q124"> if(iserror(MATCH(V124, 'File Links'!C:C, 0)), "N/A", HYPERLINK(INDEX('File Links'!B:B, MATCH(P124, 'File Links'!C:C, 0))))</f>
        <v>https://drive.google.com/file/d/1n-j6Aip_Ueqh39JoVXmnujoaVUR_DnRz/view?usp=drivesdk</v>
      </c>
      <c r="R124" s="54" t="s">
        <v>799</v>
      </c>
      <c r="S124" s="54" t="s">
        <v>800</v>
      </c>
      <c r="T124" s="58"/>
      <c r="U124" s="368">
        <v>1.0</v>
      </c>
      <c r="V124" s="63" t="str">
        <f> hyperlink(vlookup(lower(S124),'File Links'!E:F, 2, FALSE), SUBSTITUTE(lower(S124), "/", "--") &amp;  ".pdf")</f>
        <v>10.1093--schbul--sbae058.pdf</v>
      </c>
      <c r="W124" s="54" t="s">
        <v>600</v>
      </c>
      <c r="X124" s="51" t="str">
        <f t="array" ref="X124"> if(iserror(MATCH(V124, 'File Links'!C:C, 0)), "N/A", HYPERLINK(INDEX('File Links'!B:B, MATCH(V124, 'File Links'!C:C, 0))))</f>
        <v>https://drive.google.com/file/d/1WNCE1BHqI-1JTQSuMkdiS2Xt4dckCPmq/view?usp=drivesdk</v>
      </c>
      <c r="Y124" s="58"/>
      <c r="Z124" s="54" t="s">
        <v>496</v>
      </c>
      <c r="AA124" s="54" t="s">
        <v>801</v>
      </c>
      <c r="AB124" s="373" t="s">
        <v>802</v>
      </c>
      <c r="AC124" s="373" t="s">
        <v>803</v>
      </c>
      <c r="AD124" s="373" t="s">
        <v>804</v>
      </c>
      <c r="AE124" s="375" t="s">
        <v>805</v>
      </c>
      <c r="AF124" s="375">
        <v>899.0</v>
      </c>
      <c r="AG124" s="376">
        <v>1.04</v>
      </c>
      <c r="AH124" s="336" t="s">
        <v>715</v>
      </c>
      <c r="AI124" s="377" t="s">
        <v>806</v>
      </c>
      <c r="AJ124" s="375" t="s">
        <v>131</v>
      </c>
      <c r="AK124" s="375" t="s">
        <v>131</v>
      </c>
      <c r="AL124" s="54" t="s">
        <v>179</v>
      </c>
      <c r="AM124" s="368" t="s">
        <v>130</v>
      </c>
      <c r="AN124" s="54" t="s">
        <v>131</v>
      </c>
      <c r="AO124" s="375">
        <v>1684.0</v>
      </c>
      <c r="AP124" s="376">
        <v>1.2</v>
      </c>
      <c r="AQ124" s="54" t="s">
        <v>715</v>
      </c>
      <c r="AR124" s="377" t="s">
        <v>806</v>
      </c>
      <c r="AS124" s="158">
        <v>0.05</v>
      </c>
      <c r="AT124" s="106" t="s">
        <v>128</v>
      </c>
      <c r="AU124" s="156" t="s">
        <v>179</v>
      </c>
      <c r="AV124" s="368" t="s">
        <v>130</v>
      </c>
      <c r="AW124" s="156" t="s">
        <v>131</v>
      </c>
      <c r="AX124" s="65" t="s">
        <v>431</v>
      </c>
      <c r="AY124" s="54"/>
      <c r="AZ124" s="378" t="s">
        <v>807</v>
      </c>
    </row>
    <row r="125" ht="20.25" customHeight="1">
      <c r="A125" s="41">
        <v>125.0</v>
      </c>
      <c r="B125" s="165" t="s">
        <v>145</v>
      </c>
      <c r="C125" s="165" t="s">
        <v>108</v>
      </c>
      <c r="D125" s="165" t="s">
        <v>339</v>
      </c>
      <c r="E125" s="161"/>
      <c r="F125" s="156" t="s">
        <v>792</v>
      </c>
      <c r="G125" s="54" t="s">
        <v>808</v>
      </c>
      <c r="H125" s="54" t="s">
        <v>342</v>
      </c>
      <c r="I125" s="149">
        <v>45427.0</v>
      </c>
      <c r="J125" s="150">
        <v>45772.0</v>
      </c>
      <c r="K125" s="373" t="s">
        <v>794</v>
      </c>
      <c r="L125" s="148" t="s">
        <v>809</v>
      </c>
      <c r="M125" s="54" t="s">
        <v>796</v>
      </c>
      <c r="N125" s="373" t="s">
        <v>797</v>
      </c>
      <c r="O125" s="368">
        <v>1.0</v>
      </c>
      <c r="P125" s="374" t="s">
        <v>798</v>
      </c>
      <c r="Q125" s="49" t="str">
        <f t="array" ref="Q125"> if(iserror(MATCH(V125, 'File Links'!C:C, 0)), "N/A", HYPERLINK(INDEX('File Links'!B:B, MATCH(P125, 'File Links'!C:C, 0))))</f>
        <v>https://drive.google.com/file/d/1n-j6Aip_Ueqh39JoVXmnujoaVUR_DnRz/view?usp=drivesdk</v>
      </c>
      <c r="R125" s="54" t="s">
        <v>799</v>
      </c>
      <c r="S125" s="54" t="s">
        <v>800</v>
      </c>
      <c r="T125" s="58"/>
      <c r="U125" s="368">
        <v>1.0</v>
      </c>
      <c r="V125" s="63" t="str">
        <f> hyperlink(vlookup(lower(S125),'File Links'!E:F, 2, FALSE), SUBSTITUTE(lower(S125), "/", "--") &amp;  ".pdf")</f>
        <v>10.1093--schbul--sbae058.pdf</v>
      </c>
      <c r="W125" s="54" t="s">
        <v>600</v>
      </c>
      <c r="X125" s="51" t="str">
        <f t="array" ref="X125"> if(iserror(MATCH(V125, 'File Links'!C:C, 0)), "N/A", HYPERLINK(INDEX('File Links'!B:B, MATCH(V125, 'File Links'!C:C, 0))))</f>
        <v>https://drive.google.com/file/d/1WNCE1BHqI-1JTQSuMkdiS2Xt4dckCPmq/view?usp=drivesdk</v>
      </c>
      <c r="Y125" s="58"/>
      <c r="Z125" s="54" t="s">
        <v>496</v>
      </c>
      <c r="AA125" s="54" t="s">
        <v>801</v>
      </c>
      <c r="AB125" s="373" t="s">
        <v>802</v>
      </c>
      <c r="AC125" s="373" t="s">
        <v>803</v>
      </c>
      <c r="AD125" s="373" t="s">
        <v>810</v>
      </c>
      <c r="AE125" s="375" t="s">
        <v>805</v>
      </c>
      <c r="AF125" s="375">
        <v>4196.0</v>
      </c>
      <c r="AG125" s="376">
        <v>1.56</v>
      </c>
      <c r="AH125" s="336" t="s">
        <v>715</v>
      </c>
      <c r="AI125" s="377" t="s">
        <v>806</v>
      </c>
      <c r="AJ125" s="376">
        <v>0.001</v>
      </c>
      <c r="AK125" s="156" t="s">
        <v>128</v>
      </c>
      <c r="AL125" s="54" t="s">
        <v>179</v>
      </c>
      <c r="AM125" s="368" t="s">
        <v>130</v>
      </c>
      <c r="AN125" s="54" t="s">
        <v>131</v>
      </c>
      <c r="AO125" s="375">
        <v>2072.0</v>
      </c>
      <c r="AP125" s="376">
        <v>1.47</v>
      </c>
      <c r="AQ125" s="54" t="s">
        <v>715</v>
      </c>
      <c r="AR125" s="377" t="s">
        <v>806</v>
      </c>
      <c r="AS125" s="158">
        <v>0.05</v>
      </c>
      <c r="AT125" s="106" t="s">
        <v>128</v>
      </c>
      <c r="AU125" s="156" t="s">
        <v>179</v>
      </c>
      <c r="AV125" s="368" t="s">
        <v>130</v>
      </c>
      <c r="AW125" s="156" t="s">
        <v>131</v>
      </c>
      <c r="AX125" s="65" t="s">
        <v>431</v>
      </c>
      <c r="AY125" s="54"/>
      <c r="AZ125" s="378" t="s">
        <v>807</v>
      </c>
    </row>
    <row r="126" ht="20.25" customHeight="1">
      <c r="A126" s="41">
        <v>126.0</v>
      </c>
      <c r="B126" s="165" t="s">
        <v>145</v>
      </c>
      <c r="C126" s="165" t="s">
        <v>108</v>
      </c>
      <c r="D126" s="165" t="s">
        <v>339</v>
      </c>
      <c r="E126" s="161"/>
      <c r="F126" s="156" t="s">
        <v>792</v>
      </c>
      <c r="G126" s="54" t="s">
        <v>811</v>
      </c>
      <c r="H126" s="54" t="s">
        <v>342</v>
      </c>
      <c r="I126" s="149">
        <v>45427.0</v>
      </c>
      <c r="J126" s="150">
        <v>45772.0</v>
      </c>
      <c r="K126" s="373" t="s">
        <v>794</v>
      </c>
      <c r="L126" s="148" t="s">
        <v>812</v>
      </c>
      <c r="M126" s="54" t="s">
        <v>796</v>
      </c>
      <c r="N126" s="373" t="s">
        <v>797</v>
      </c>
      <c r="O126" s="368">
        <v>1.0</v>
      </c>
      <c r="P126" s="374" t="s">
        <v>798</v>
      </c>
      <c r="Q126" s="49" t="str">
        <f t="array" ref="Q126"> if(iserror(MATCH(V126, 'File Links'!C:C, 0)), "N/A", HYPERLINK(INDEX('File Links'!B:B, MATCH(P126, 'File Links'!C:C, 0))))</f>
        <v>https://drive.google.com/file/d/1n-j6Aip_Ueqh39JoVXmnujoaVUR_DnRz/view?usp=drivesdk</v>
      </c>
      <c r="R126" s="54" t="s">
        <v>799</v>
      </c>
      <c r="S126" s="54" t="s">
        <v>800</v>
      </c>
      <c r="T126" s="58"/>
      <c r="U126" s="368">
        <v>1.0</v>
      </c>
      <c r="V126" s="63" t="str">
        <f> hyperlink(vlookup(lower(S126),'File Links'!E:F, 2, FALSE), SUBSTITUTE(lower(S126), "/", "--") &amp;  ".pdf")</f>
        <v>10.1093--schbul--sbae058.pdf</v>
      </c>
      <c r="W126" s="54" t="s">
        <v>600</v>
      </c>
      <c r="X126" s="51" t="str">
        <f t="array" ref="X126"> if(iserror(MATCH(V126, 'File Links'!C:C, 0)), "N/A", HYPERLINK(INDEX('File Links'!B:B, MATCH(V126, 'File Links'!C:C, 0))))</f>
        <v>https://drive.google.com/file/d/1WNCE1BHqI-1JTQSuMkdiS2Xt4dckCPmq/view?usp=drivesdk</v>
      </c>
      <c r="Y126" s="58"/>
      <c r="Z126" s="54" t="s">
        <v>496</v>
      </c>
      <c r="AA126" s="54" t="s">
        <v>813</v>
      </c>
      <c r="AB126" s="373" t="s">
        <v>802</v>
      </c>
      <c r="AC126" s="373" t="s">
        <v>803</v>
      </c>
      <c r="AD126" s="373" t="s">
        <v>814</v>
      </c>
      <c r="AE126" s="375" t="s">
        <v>805</v>
      </c>
      <c r="AF126" s="375">
        <v>455.0</v>
      </c>
      <c r="AG126" s="376">
        <v>0.95</v>
      </c>
      <c r="AH126" s="336" t="s">
        <v>715</v>
      </c>
      <c r="AI126" s="377" t="s">
        <v>806</v>
      </c>
      <c r="AJ126" s="375" t="s">
        <v>131</v>
      </c>
      <c r="AK126" s="375" t="s">
        <v>131</v>
      </c>
      <c r="AL126" s="54" t="s">
        <v>179</v>
      </c>
      <c r="AM126" s="368" t="s">
        <v>130</v>
      </c>
      <c r="AN126" s="54" t="s">
        <v>131</v>
      </c>
      <c r="AO126" s="375">
        <v>899.0</v>
      </c>
      <c r="AP126" s="376">
        <v>1.17</v>
      </c>
      <c r="AQ126" s="54" t="s">
        <v>715</v>
      </c>
      <c r="AR126" s="377" t="s">
        <v>806</v>
      </c>
      <c r="AS126" s="158">
        <v>0.05</v>
      </c>
      <c r="AT126" s="106" t="s">
        <v>328</v>
      </c>
      <c r="AU126" s="156" t="s">
        <v>179</v>
      </c>
      <c r="AV126" s="368" t="s">
        <v>130</v>
      </c>
      <c r="AW126" s="156" t="s">
        <v>131</v>
      </c>
      <c r="AX126" s="65" t="s">
        <v>431</v>
      </c>
      <c r="AY126" s="54"/>
      <c r="AZ126" s="378" t="s">
        <v>807</v>
      </c>
    </row>
    <row r="127" ht="20.25" customHeight="1">
      <c r="A127" s="41">
        <v>127.0</v>
      </c>
      <c r="B127" s="165" t="s">
        <v>145</v>
      </c>
      <c r="C127" s="165" t="s">
        <v>108</v>
      </c>
      <c r="D127" s="165" t="s">
        <v>339</v>
      </c>
      <c r="E127" s="161"/>
      <c r="F127" s="156" t="s">
        <v>792</v>
      </c>
      <c r="G127" s="54" t="s">
        <v>815</v>
      </c>
      <c r="H127" s="54" t="s">
        <v>342</v>
      </c>
      <c r="I127" s="149">
        <v>45427.0</v>
      </c>
      <c r="J127" s="150">
        <v>45772.0</v>
      </c>
      <c r="K127" s="373" t="s">
        <v>794</v>
      </c>
      <c r="L127" s="148" t="s">
        <v>812</v>
      </c>
      <c r="M127" s="54" t="s">
        <v>796</v>
      </c>
      <c r="N127" s="373" t="s">
        <v>797</v>
      </c>
      <c r="O127" s="368">
        <v>1.0</v>
      </c>
      <c r="P127" s="374" t="s">
        <v>798</v>
      </c>
      <c r="Q127" s="49" t="str">
        <f t="array" ref="Q127"> if(iserror(MATCH(V127, 'File Links'!C:C, 0)), "N/A", HYPERLINK(INDEX('File Links'!B:B, MATCH(P127, 'File Links'!C:C, 0))))</f>
        <v>https://drive.google.com/file/d/1n-j6Aip_Ueqh39JoVXmnujoaVUR_DnRz/view?usp=drivesdk</v>
      </c>
      <c r="R127" s="54" t="s">
        <v>799</v>
      </c>
      <c r="S127" s="54" t="s">
        <v>800</v>
      </c>
      <c r="T127" s="58"/>
      <c r="U127" s="368">
        <v>1.0</v>
      </c>
      <c r="V127" s="63" t="str">
        <f> hyperlink(vlookup(lower(S127),'File Links'!E:F, 2, FALSE), SUBSTITUTE(lower(S127), "/", "--") &amp;  ".pdf")</f>
        <v>10.1093--schbul--sbae058.pdf</v>
      </c>
      <c r="W127" s="54" t="s">
        <v>600</v>
      </c>
      <c r="X127" s="51" t="str">
        <f t="array" ref="X127"> if(iserror(MATCH(V127, 'File Links'!C:C, 0)), "N/A", HYPERLINK(INDEX('File Links'!B:B, MATCH(V127, 'File Links'!C:C, 0))))</f>
        <v>https://drive.google.com/file/d/1WNCE1BHqI-1JTQSuMkdiS2Xt4dckCPmq/view?usp=drivesdk</v>
      </c>
      <c r="Y127" s="58"/>
      <c r="Z127" s="54" t="s">
        <v>496</v>
      </c>
      <c r="AA127" s="54" t="s">
        <v>813</v>
      </c>
      <c r="AB127" s="373" t="s">
        <v>802</v>
      </c>
      <c r="AC127" s="373" t="s">
        <v>803</v>
      </c>
      <c r="AD127" s="373" t="s">
        <v>816</v>
      </c>
      <c r="AE127" s="375" t="s">
        <v>805</v>
      </c>
      <c r="AF127" s="375">
        <v>525.0</v>
      </c>
      <c r="AG127" s="376">
        <v>1.19</v>
      </c>
      <c r="AH127" s="336" t="s">
        <v>715</v>
      </c>
      <c r="AI127" s="377" t="s">
        <v>806</v>
      </c>
      <c r="AJ127" s="375" t="s">
        <v>131</v>
      </c>
      <c r="AK127" s="375" t="s">
        <v>131</v>
      </c>
      <c r="AL127" s="54" t="s">
        <v>179</v>
      </c>
      <c r="AM127" s="368" t="s">
        <v>130</v>
      </c>
      <c r="AN127" s="54" t="s">
        <v>131</v>
      </c>
      <c r="AO127" s="375">
        <v>574.0</v>
      </c>
      <c r="AP127" s="376">
        <v>0.99</v>
      </c>
      <c r="AQ127" s="54" t="s">
        <v>715</v>
      </c>
      <c r="AR127" s="377" t="s">
        <v>806</v>
      </c>
      <c r="AS127" s="158">
        <v>0.05</v>
      </c>
      <c r="AT127" s="106" t="s">
        <v>328</v>
      </c>
      <c r="AU127" s="156" t="s">
        <v>179</v>
      </c>
      <c r="AV127" s="368" t="s">
        <v>130</v>
      </c>
      <c r="AW127" s="156" t="s">
        <v>131</v>
      </c>
      <c r="AX127" s="65" t="s">
        <v>431</v>
      </c>
      <c r="AY127" s="54"/>
      <c r="AZ127" s="378" t="s">
        <v>807</v>
      </c>
    </row>
    <row r="128" ht="20.25" customHeight="1">
      <c r="A128" s="41">
        <v>128.0</v>
      </c>
      <c r="B128" s="165" t="s">
        <v>107</v>
      </c>
      <c r="C128" s="165" t="s">
        <v>108</v>
      </c>
      <c r="D128" s="165" t="s">
        <v>214</v>
      </c>
      <c r="E128" s="161"/>
      <c r="F128" s="262" t="s">
        <v>792</v>
      </c>
      <c r="G128" s="44" t="s">
        <v>817</v>
      </c>
      <c r="H128" s="357" t="s">
        <v>214</v>
      </c>
      <c r="I128" s="341">
        <v>45684.0</v>
      </c>
      <c r="J128" s="150">
        <v>45772.0</v>
      </c>
      <c r="K128" s="357" t="s">
        <v>818</v>
      </c>
      <c r="L128" s="148" t="s">
        <v>819</v>
      </c>
      <c r="M128" s="357" t="s">
        <v>796</v>
      </c>
      <c r="N128" s="357" t="s">
        <v>797</v>
      </c>
      <c r="O128" s="368">
        <v>1.0</v>
      </c>
      <c r="P128" s="379" t="s">
        <v>798</v>
      </c>
      <c r="Q128" s="49" t="str">
        <f t="array" ref="Q128"> if(iserror(MATCH(V128, 'File Links'!C:C, 0)), "N/A", HYPERLINK(INDEX('File Links'!B:B, MATCH(P128, 'File Links'!C:C, 0))))</f>
        <v>https://drive.google.com/file/d/1n-j6Aip_Ueqh39JoVXmnujoaVUR_DnRz/view?usp=drivesdk</v>
      </c>
      <c r="R128" s="357" t="s">
        <v>799</v>
      </c>
      <c r="S128" s="54" t="s">
        <v>800</v>
      </c>
      <c r="T128" s="58"/>
      <c r="U128" s="368">
        <v>1.0</v>
      </c>
      <c r="V128" s="63" t="str">
        <f> hyperlink(vlookup(lower(S128),'File Links'!E:F, 2, FALSE), SUBSTITUTE(lower(S128), "/", "--") &amp;  ".pdf")</f>
        <v>10.1093--schbul--sbae058.pdf</v>
      </c>
      <c r="W128" s="357" t="s">
        <v>157</v>
      </c>
      <c r="X128" s="51" t="str">
        <f t="array" ref="X128"> if(iserror(MATCH(V128, 'File Links'!C:C, 0)), "N/A", HYPERLINK(INDEX('File Links'!B:B, MATCH(V128, 'File Links'!C:C, 0))))</f>
        <v>https://drive.google.com/file/d/1WNCE1BHqI-1JTQSuMkdiS2Xt4dckCPmq/view?usp=drivesdk</v>
      </c>
      <c r="Y128" s="43"/>
      <c r="Z128" s="357" t="s">
        <v>496</v>
      </c>
      <c r="AA128" s="380" t="s">
        <v>801</v>
      </c>
      <c r="AB128" s="357" t="s">
        <v>820</v>
      </c>
      <c r="AC128" s="368" t="s">
        <v>821</v>
      </c>
      <c r="AD128" s="381" t="s">
        <v>810</v>
      </c>
      <c r="AE128" s="375" t="s">
        <v>805</v>
      </c>
      <c r="AF128" s="375">
        <v>4196.0</v>
      </c>
      <c r="AG128" s="382">
        <v>1.56</v>
      </c>
      <c r="AH128" s="357" t="s">
        <v>715</v>
      </c>
      <c r="AI128" s="377" t="s">
        <v>806</v>
      </c>
      <c r="AJ128" s="383">
        <v>1.0E-4</v>
      </c>
      <c r="AK128" s="44" t="s">
        <v>128</v>
      </c>
      <c r="AL128" s="377" t="s">
        <v>179</v>
      </c>
      <c r="AM128" s="377" t="s">
        <v>130</v>
      </c>
      <c r="AN128" s="44" t="s">
        <v>131</v>
      </c>
      <c r="AO128" s="375">
        <v>2072.0</v>
      </c>
      <c r="AP128" s="382">
        <v>1.47</v>
      </c>
      <c r="AQ128" s="357" t="s">
        <v>715</v>
      </c>
      <c r="AR128" s="377" t="s">
        <v>806</v>
      </c>
      <c r="AS128" s="158">
        <v>0.05</v>
      </c>
      <c r="AT128" s="106" t="s">
        <v>128</v>
      </c>
      <c r="AU128" s="377" t="s">
        <v>179</v>
      </c>
      <c r="AV128" s="377" t="s">
        <v>130</v>
      </c>
      <c r="AW128" s="357" t="s">
        <v>131</v>
      </c>
      <c r="AX128" s="357" t="s">
        <v>431</v>
      </c>
      <c r="AZ128" s="378" t="s">
        <v>807</v>
      </c>
    </row>
    <row r="129" ht="20.25" customHeight="1">
      <c r="A129" s="41">
        <v>129.0</v>
      </c>
      <c r="B129" s="165" t="s">
        <v>107</v>
      </c>
      <c r="C129" s="165" t="s">
        <v>108</v>
      </c>
      <c r="D129" s="165" t="s">
        <v>214</v>
      </c>
      <c r="E129" s="161"/>
      <c r="F129" s="262" t="s">
        <v>792</v>
      </c>
      <c r="G129" s="44" t="s">
        <v>808</v>
      </c>
      <c r="H129" s="357" t="s">
        <v>214</v>
      </c>
      <c r="I129" s="341">
        <v>45684.0</v>
      </c>
      <c r="J129" s="150">
        <v>45772.0</v>
      </c>
      <c r="K129" s="357" t="s">
        <v>818</v>
      </c>
      <c r="L129" s="148" t="s">
        <v>819</v>
      </c>
      <c r="M129" s="357" t="s">
        <v>796</v>
      </c>
      <c r="N129" s="357" t="s">
        <v>797</v>
      </c>
      <c r="O129" s="368">
        <v>1.0</v>
      </c>
      <c r="P129" s="379" t="s">
        <v>798</v>
      </c>
      <c r="Q129" s="49" t="str">
        <f t="array" ref="Q129"> if(iserror(MATCH(V129, 'File Links'!C:C, 0)), "N/A", HYPERLINK(INDEX('File Links'!B:B, MATCH(P129, 'File Links'!C:C, 0))))</f>
        <v>https://drive.google.com/file/d/1n-j6Aip_Ueqh39JoVXmnujoaVUR_DnRz/view?usp=drivesdk</v>
      </c>
      <c r="R129" s="357" t="s">
        <v>799</v>
      </c>
      <c r="S129" s="54" t="s">
        <v>800</v>
      </c>
      <c r="T129" s="43"/>
      <c r="U129" s="368">
        <v>1.0</v>
      </c>
      <c r="V129" s="63" t="str">
        <f> hyperlink(vlookup(lower(S129),'File Links'!E:F, 2, FALSE), SUBSTITUTE(lower(S129), "/", "--") &amp;  ".pdf")</f>
        <v>10.1093--schbul--sbae058.pdf</v>
      </c>
      <c r="W129" s="357" t="s">
        <v>157</v>
      </c>
      <c r="X129" s="51" t="str">
        <f t="array" ref="X129"> if(iserror(MATCH(V129, 'File Links'!C:C, 0)), "N/A", HYPERLINK(INDEX('File Links'!B:B, MATCH(V129, 'File Links'!C:C, 0))))</f>
        <v>https://drive.google.com/file/d/1WNCE1BHqI-1JTQSuMkdiS2Xt4dckCPmq/view?usp=drivesdk</v>
      </c>
      <c r="Y129" s="43"/>
      <c r="Z129" s="357" t="s">
        <v>496</v>
      </c>
      <c r="AA129" s="380" t="s">
        <v>801</v>
      </c>
      <c r="AB129" s="357" t="s">
        <v>820</v>
      </c>
      <c r="AC129" s="377" t="s">
        <v>822</v>
      </c>
      <c r="AD129" s="381" t="s">
        <v>804</v>
      </c>
      <c r="AE129" s="375" t="s">
        <v>805</v>
      </c>
      <c r="AF129" s="375">
        <v>899.0</v>
      </c>
      <c r="AG129" s="382">
        <v>1.04</v>
      </c>
      <c r="AH129" s="357" t="s">
        <v>715</v>
      </c>
      <c r="AI129" s="377" t="s">
        <v>806</v>
      </c>
      <c r="AJ129" s="375" t="s">
        <v>131</v>
      </c>
      <c r="AK129" s="375" t="s">
        <v>131</v>
      </c>
      <c r="AL129" s="377" t="s">
        <v>179</v>
      </c>
      <c r="AM129" s="377" t="s">
        <v>130</v>
      </c>
      <c r="AN129" s="44" t="s">
        <v>131</v>
      </c>
      <c r="AO129" s="375">
        <v>1684.0</v>
      </c>
      <c r="AP129" s="382">
        <v>1.2</v>
      </c>
      <c r="AQ129" s="357" t="s">
        <v>715</v>
      </c>
      <c r="AR129" s="377" t="s">
        <v>806</v>
      </c>
      <c r="AS129" s="158">
        <v>0.05</v>
      </c>
      <c r="AT129" s="106" t="s">
        <v>128</v>
      </c>
      <c r="AU129" s="377" t="s">
        <v>179</v>
      </c>
      <c r="AV129" s="377" t="s">
        <v>130</v>
      </c>
      <c r="AW129" s="357" t="s">
        <v>131</v>
      </c>
      <c r="AX129" s="357" t="s">
        <v>431</v>
      </c>
      <c r="AZ129" s="378" t="s">
        <v>807</v>
      </c>
    </row>
    <row r="130" ht="20.25" customHeight="1">
      <c r="A130" s="41">
        <v>130.0</v>
      </c>
      <c r="B130" s="319" t="s">
        <v>145</v>
      </c>
      <c r="C130" s="319" t="s">
        <v>108</v>
      </c>
      <c r="D130" s="322" t="s">
        <v>435</v>
      </c>
      <c r="E130" s="223"/>
      <c r="F130" s="384" t="s">
        <v>823</v>
      </c>
      <c r="G130" s="385" t="s">
        <v>824</v>
      </c>
      <c r="H130" s="385" t="s">
        <v>438</v>
      </c>
      <c r="I130" s="386">
        <v>45634.0</v>
      </c>
      <c r="J130" s="308">
        <v>45663.0</v>
      </c>
      <c r="K130" s="385" t="s">
        <v>825</v>
      </c>
      <c r="L130" s="387"/>
      <c r="M130" s="385" t="s">
        <v>826</v>
      </c>
      <c r="N130" s="385" t="s">
        <v>827</v>
      </c>
      <c r="O130" s="327">
        <v>1.0</v>
      </c>
      <c r="P130" s="388" t="s">
        <v>828</v>
      </c>
      <c r="Q130" s="49" t="str">
        <f t="array" ref="Q130"> if(iserror(MATCH(V130, 'File Links'!C:C, 0)), "N/A", HYPERLINK(INDEX('File Links'!B:B, MATCH(P130, 'File Links'!C:C, 0))))</f>
        <v>https://drive.google.com/file/d/15kKUsqyFArf82r6bAlXLuUVgHc1vD9sW/view?usp=drivesdk</v>
      </c>
      <c r="R130" s="385" t="s">
        <v>829</v>
      </c>
      <c r="S130" s="385" t="s">
        <v>830</v>
      </c>
      <c r="T130" s="387"/>
      <c r="U130" s="130">
        <v>1.0</v>
      </c>
      <c r="V130" s="63" t="str">
        <f> hyperlink(vlookup(lower(S130),'File Links'!E:F, 2, FALSE), SUBSTITUTE(lower(S130), "/", "--") &amp;  ".pdf")</f>
        <v>10.1038--s41467-024-46936-y.pdf</v>
      </c>
      <c r="W130" s="385" t="s">
        <v>157</v>
      </c>
      <c r="X130" s="51" t="str">
        <f t="array" ref="X130"> if(iserror(MATCH(V130, 'File Links'!C:C, 0)), "N/A", HYPERLINK(INDEX('File Links'!B:B, MATCH(V130, 'File Links'!C:C, 0))))</f>
        <v>https://drive.google.com/file/d/1TJ6nnv7-YYGU9DUh1ApFGirYy6BbChHy/view?usp=drivesdk</v>
      </c>
      <c r="Y130" s="387"/>
      <c r="Z130" s="385" t="s">
        <v>831</v>
      </c>
      <c r="AA130" s="385" t="s">
        <v>832</v>
      </c>
      <c r="AB130" s="385" t="s">
        <v>833</v>
      </c>
      <c r="AC130" s="385" t="s">
        <v>834</v>
      </c>
      <c r="AD130" s="389" t="s">
        <v>835</v>
      </c>
      <c r="AE130" s="390">
        <v>3.0</v>
      </c>
      <c r="AF130" s="390">
        <v>35.0</v>
      </c>
      <c r="AG130" s="391">
        <v>-0.13</v>
      </c>
      <c r="AH130" s="388" t="s">
        <v>354</v>
      </c>
      <c r="AI130" s="389" t="s">
        <v>210</v>
      </c>
      <c r="AJ130" s="390">
        <v>3.0E-4</v>
      </c>
      <c r="AK130" s="384" t="s">
        <v>165</v>
      </c>
      <c r="AL130" s="385" t="s">
        <v>179</v>
      </c>
      <c r="AM130" s="385" t="s">
        <v>130</v>
      </c>
      <c r="AN130" s="216" t="s">
        <v>131</v>
      </c>
      <c r="AO130" s="390">
        <v>46.0</v>
      </c>
      <c r="AP130" s="391">
        <v>0.03</v>
      </c>
      <c r="AQ130" s="385" t="s">
        <v>354</v>
      </c>
      <c r="AR130" s="385" t="s">
        <v>489</v>
      </c>
      <c r="AS130" s="391">
        <v>0.407</v>
      </c>
      <c r="AT130" s="384" t="s">
        <v>165</v>
      </c>
      <c r="AU130" s="384" t="s">
        <v>179</v>
      </c>
      <c r="AV130" s="384" t="s">
        <v>130</v>
      </c>
      <c r="AW130" s="392" t="s">
        <v>836</v>
      </c>
      <c r="AX130" s="393" t="s">
        <v>431</v>
      </c>
      <c r="AY130" s="58"/>
      <c r="AZ130" s="146" t="s">
        <v>137</v>
      </c>
    </row>
    <row r="131" ht="20.25" customHeight="1">
      <c r="A131" s="41">
        <v>131.0</v>
      </c>
      <c r="B131" s="394" t="s">
        <v>107</v>
      </c>
      <c r="C131" s="394" t="s">
        <v>108</v>
      </c>
      <c r="D131" s="394" t="s">
        <v>339</v>
      </c>
      <c r="E131" s="217"/>
      <c r="F131" s="395" t="s">
        <v>823</v>
      </c>
      <c r="G131" s="396" t="s">
        <v>824</v>
      </c>
      <c r="H131" s="396" t="s">
        <v>342</v>
      </c>
      <c r="I131" s="397">
        <v>45639.0</v>
      </c>
      <c r="J131" s="308">
        <v>45663.0</v>
      </c>
      <c r="K131" s="398" t="s">
        <v>837</v>
      </c>
      <c r="L131" s="209" t="s">
        <v>838</v>
      </c>
      <c r="M131" s="396" t="s">
        <v>826</v>
      </c>
      <c r="N131" s="398" t="s">
        <v>827</v>
      </c>
      <c r="O131" s="399"/>
      <c r="P131" s="400" t="s">
        <v>828</v>
      </c>
      <c r="Q131" s="49" t="str">
        <f t="array" ref="Q131"> if(iserror(MATCH(V131, 'File Links'!C:C, 0)), "N/A", HYPERLINK(INDEX('File Links'!B:B, MATCH(P131, 'File Links'!C:C, 0))))</f>
        <v>https://drive.google.com/file/d/15kKUsqyFArf82r6bAlXLuUVgHc1vD9sW/view?usp=drivesdk</v>
      </c>
      <c r="R131" s="401" t="s">
        <v>839</v>
      </c>
      <c r="S131" s="401" t="s">
        <v>830</v>
      </c>
      <c r="T131" s="399"/>
      <c r="U131" s="402"/>
      <c r="V131" s="63" t="str">
        <f> hyperlink(vlookup(lower(S131),'File Links'!E:F, 2, FALSE), SUBSTITUTE(lower(S131), "/", "--") &amp;  ".pdf")</f>
        <v>10.1038--s41467-024-46936-y.pdf</v>
      </c>
      <c r="W131" s="385" t="s">
        <v>157</v>
      </c>
      <c r="X131" s="51" t="str">
        <f t="array" ref="X131"> if(iserror(MATCH(V131, 'File Links'!C:C, 0)), "N/A", HYPERLINK(INDEX('File Links'!B:B, MATCH(V131, 'File Links'!C:C, 0))))</f>
        <v>https://drive.google.com/file/d/1TJ6nnv7-YYGU9DUh1ApFGirYy6BbChHy/view?usp=drivesdk</v>
      </c>
      <c r="Y131" s="399"/>
      <c r="Z131" s="396" t="s">
        <v>831</v>
      </c>
      <c r="AA131" s="396" t="s">
        <v>840</v>
      </c>
      <c r="AB131" s="399"/>
      <c r="AC131" s="398" t="s">
        <v>841</v>
      </c>
      <c r="AD131" s="398" t="s">
        <v>842</v>
      </c>
      <c r="AE131" s="403">
        <v>3.0</v>
      </c>
      <c r="AF131" s="403">
        <v>35.0</v>
      </c>
      <c r="AG131" s="403">
        <v>-0.13</v>
      </c>
      <c r="AH131" s="388" t="s">
        <v>354</v>
      </c>
      <c r="AI131" s="396" t="s">
        <v>210</v>
      </c>
      <c r="AJ131" s="403">
        <v>3.0E-4</v>
      </c>
      <c r="AK131" s="404" t="s">
        <v>165</v>
      </c>
      <c r="AL131" s="396" t="s">
        <v>179</v>
      </c>
      <c r="AM131" s="399"/>
      <c r="AN131" s="396" t="s">
        <v>131</v>
      </c>
      <c r="AO131" s="403">
        <v>70.0</v>
      </c>
      <c r="AP131" s="405">
        <v>0.03</v>
      </c>
      <c r="AQ131" s="396" t="s">
        <v>354</v>
      </c>
      <c r="AR131" s="396" t="s">
        <v>843</v>
      </c>
      <c r="AS131" s="405">
        <v>0.407</v>
      </c>
      <c r="AT131" s="404" t="s">
        <v>165</v>
      </c>
      <c r="AU131" s="404" t="s">
        <v>179</v>
      </c>
      <c r="AV131" s="395"/>
      <c r="AW131" s="406" t="s">
        <v>844</v>
      </c>
      <c r="AX131" s="407" t="s">
        <v>431</v>
      </c>
      <c r="AY131" s="126" t="s">
        <v>838</v>
      </c>
      <c r="AZ131" s="146" t="s">
        <v>137</v>
      </c>
    </row>
    <row r="132" ht="20.25" customHeight="1">
      <c r="A132" s="41">
        <v>132.0</v>
      </c>
      <c r="B132" s="394" t="s">
        <v>107</v>
      </c>
      <c r="C132" s="394" t="s">
        <v>108</v>
      </c>
      <c r="D132" s="394" t="s">
        <v>339</v>
      </c>
      <c r="E132" s="217"/>
      <c r="F132" s="395" t="s">
        <v>823</v>
      </c>
      <c r="G132" s="396" t="s">
        <v>824</v>
      </c>
      <c r="H132" s="396" t="s">
        <v>342</v>
      </c>
      <c r="I132" s="397">
        <v>45639.0</v>
      </c>
      <c r="J132" s="308">
        <v>45663.0</v>
      </c>
      <c r="K132" s="398" t="s">
        <v>845</v>
      </c>
      <c r="L132" s="399"/>
      <c r="M132" s="396" t="s">
        <v>826</v>
      </c>
      <c r="N132" s="398" t="s">
        <v>827</v>
      </c>
      <c r="O132" s="399"/>
      <c r="P132" s="400" t="s">
        <v>828</v>
      </c>
      <c r="Q132" s="49" t="str">
        <f t="array" ref="Q132"> if(iserror(MATCH(V132, 'File Links'!C:C, 0)), "N/A", HYPERLINK(INDEX('File Links'!B:B, MATCH(P132, 'File Links'!C:C, 0))))</f>
        <v>https://drive.google.com/file/d/15kKUsqyFArf82r6bAlXLuUVgHc1vD9sW/view?usp=drivesdk</v>
      </c>
      <c r="R132" s="401" t="s">
        <v>846</v>
      </c>
      <c r="S132" s="401" t="s">
        <v>830</v>
      </c>
      <c r="T132" s="399"/>
      <c r="U132" s="402"/>
      <c r="V132" s="63" t="str">
        <f> hyperlink(vlookup(lower(S132),'File Links'!E:F, 2, FALSE), SUBSTITUTE(lower(S132), "/", "--") &amp;  ".pdf")</f>
        <v>10.1038--s41467-024-46936-y.pdf</v>
      </c>
      <c r="W132" s="385" t="s">
        <v>157</v>
      </c>
      <c r="X132" s="51" t="str">
        <f t="array" ref="X132"> if(iserror(MATCH(V132, 'File Links'!C:C, 0)), "N/A", HYPERLINK(INDEX('File Links'!B:B, MATCH(V132, 'File Links'!C:C, 0))))</f>
        <v>https://drive.google.com/file/d/1TJ6nnv7-YYGU9DUh1ApFGirYy6BbChHy/view?usp=drivesdk</v>
      </c>
      <c r="Y132" s="399"/>
      <c r="Z132" s="396" t="s">
        <v>831</v>
      </c>
      <c r="AA132" s="396" t="s">
        <v>840</v>
      </c>
      <c r="AB132" s="399"/>
      <c r="AC132" s="398" t="s">
        <v>847</v>
      </c>
      <c r="AD132" s="398" t="s">
        <v>848</v>
      </c>
      <c r="AE132" s="403">
        <v>3.0</v>
      </c>
      <c r="AF132" s="403">
        <v>35.0</v>
      </c>
      <c r="AG132" s="403">
        <v>0.06</v>
      </c>
      <c r="AH132" s="388" t="s">
        <v>354</v>
      </c>
      <c r="AI132" s="396" t="s">
        <v>210</v>
      </c>
      <c r="AJ132" s="403">
        <v>0.1</v>
      </c>
      <c r="AK132" s="404" t="s">
        <v>165</v>
      </c>
      <c r="AL132" s="396" t="s">
        <v>179</v>
      </c>
      <c r="AM132" s="399"/>
      <c r="AN132" s="396" t="s">
        <v>131</v>
      </c>
      <c r="AO132" s="403">
        <v>70.0</v>
      </c>
      <c r="AP132" s="403">
        <v>-0.1</v>
      </c>
      <c r="AQ132" s="396" t="s">
        <v>354</v>
      </c>
      <c r="AR132" s="396" t="s">
        <v>843</v>
      </c>
      <c r="AS132" s="403">
        <v>0.003</v>
      </c>
      <c r="AT132" s="404" t="s">
        <v>165</v>
      </c>
      <c r="AU132" s="404" t="s">
        <v>179</v>
      </c>
      <c r="AV132" s="395"/>
      <c r="AW132" s="406" t="s">
        <v>844</v>
      </c>
      <c r="AX132" s="407" t="s">
        <v>431</v>
      </c>
      <c r="AY132" s="58"/>
      <c r="AZ132" s="146" t="s">
        <v>137</v>
      </c>
    </row>
    <row r="133" ht="20.25" customHeight="1">
      <c r="A133" s="41">
        <v>133.0</v>
      </c>
      <c r="B133" s="394" t="s">
        <v>107</v>
      </c>
      <c r="C133" s="394" t="s">
        <v>108</v>
      </c>
      <c r="D133" s="394" t="s">
        <v>339</v>
      </c>
      <c r="E133" s="217"/>
      <c r="F133" s="395" t="s">
        <v>823</v>
      </c>
      <c r="G133" s="396" t="s">
        <v>824</v>
      </c>
      <c r="H133" s="396" t="s">
        <v>342</v>
      </c>
      <c r="I133" s="397">
        <v>45639.0</v>
      </c>
      <c r="J133" s="308">
        <v>45663.0</v>
      </c>
      <c r="K133" s="398" t="s">
        <v>837</v>
      </c>
      <c r="L133" s="399"/>
      <c r="M133" s="396" t="s">
        <v>826</v>
      </c>
      <c r="N133" s="398" t="s">
        <v>827</v>
      </c>
      <c r="O133" s="399"/>
      <c r="P133" s="400" t="s">
        <v>828</v>
      </c>
      <c r="Q133" s="49" t="str">
        <f t="array" ref="Q133"> if(iserror(MATCH(V133, 'File Links'!C:C, 0)), "N/A", HYPERLINK(INDEX('File Links'!B:B, MATCH(P133, 'File Links'!C:C, 0))))</f>
        <v>https://drive.google.com/file/d/15kKUsqyFArf82r6bAlXLuUVgHc1vD9sW/view?usp=drivesdk</v>
      </c>
      <c r="R133" s="401" t="s">
        <v>849</v>
      </c>
      <c r="S133" s="401" t="s">
        <v>830</v>
      </c>
      <c r="T133" s="399"/>
      <c r="U133" s="402"/>
      <c r="V133" s="63" t="str">
        <f> hyperlink(vlookup(lower(S133),'File Links'!E:F, 2, FALSE), SUBSTITUTE(lower(S133), "/", "--") &amp;  ".pdf")</f>
        <v>10.1038--s41467-024-46936-y.pdf</v>
      </c>
      <c r="W133" s="385" t="s">
        <v>157</v>
      </c>
      <c r="X133" s="51" t="str">
        <f t="array" ref="X133"> if(iserror(MATCH(V133, 'File Links'!C:C, 0)), "N/A", HYPERLINK(INDEX('File Links'!B:B, MATCH(V133, 'File Links'!C:C, 0))))</f>
        <v>https://drive.google.com/file/d/1TJ6nnv7-YYGU9DUh1ApFGirYy6BbChHy/view?usp=drivesdk</v>
      </c>
      <c r="Y133" s="399"/>
      <c r="Z133" s="396" t="s">
        <v>831</v>
      </c>
      <c r="AA133" s="396" t="s">
        <v>840</v>
      </c>
      <c r="AB133" s="399"/>
      <c r="AC133" s="398" t="s">
        <v>850</v>
      </c>
      <c r="AD133" s="398" t="s">
        <v>850</v>
      </c>
      <c r="AE133" s="399"/>
      <c r="AF133" s="403">
        <v>35.0</v>
      </c>
      <c r="AG133" s="399"/>
      <c r="AH133" s="388" t="s">
        <v>354</v>
      </c>
      <c r="AI133" s="399"/>
      <c r="AJ133" s="399"/>
      <c r="AK133" s="395"/>
      <c r="AL133" s="399"/>
      <c r="AM133" s="399"/>
      <c r="AN133" s="396" t="s">
        <v>131</v>
      </c>
      <c r="AO133" s="403">
        <v>70.0</v>
      </c>
      <c r="AP133" s="399"/>
      <c r="AQ133" s="399"/>
      <c r="AR133" s="399"/>
      <c r="AS133" s="399"/>
      <c r="AT133" s="395"/>
      <c r="AU133" s="395"/>
      <c r="AV133" s="395"/>
      <c r="AW133" s="406" t="s">
        <v>844</v>
      </c>
      <c r="AX133" s="407" t="s">
        <v>431</v>
      </c>
      <c r="AY133" s="58"/>
      <c r="AZ133" s="146" t="s">
        <v>137</v>
      </c>
      <c r="BC133" s="362"/>
      <c r="BD133" s="362"/>
      <c r="BE133" s="362"/>
      <c r="BF133" s="362"/>
      <c r="BG133" s="362"/>
      <c r="BH133" s="362"/>
      <c r="BI133" s="362"/>
      <c r="BJ133" s="362"/>
      <c r="BK133" s="362"/>
      <c r="BL133" s="362"/>
      <c r="BM133" s="362"/>
      <c r="BN133" s="362"/>
      <c r="BO133" s="362"/>
      <c r="BP133" s="362"/>
      <c r="BQ133" s="362"/>
      <c r="BR133" s="362"/>
      <c r="BS133" s="362"/>
      <c r="BT133" s="362"/>
      <c r="BU133" s="362"/>
      <c r="BV133" s="362"/>
      <c r="BW133" s="362"/>
      <c r="BX133" s="362"/>
      <c r="BY133" s="362"/>
      <c r="BZ133" s="362"/>
      <c r="CA133" s="362"/>
      <c r="CB133" s="362"/>
      <c r="CC133" s="362"/>
      <c r="CD133" s="362"/>
      <c r="CE133" s="362"/>
      <c r="CF133" s="362"/>
      <c r="CG133" s="362"/>
      <c r="CH133" s="362"/>
      <c r="CI133" s="362"/>
      <c r="CJ133" s="362"/>
      <c r="CK133" s="362"/>
      <c r="CL133" s="362"/>
      <c r="CM133" s="362"/>
      <c r="CN133" s="362"/>
      <c r="CO133" s="362"/>
      <c r="CP133" s="362"/>
      <c r="CQ133" s="362"/>
      <c r="CR133" s="362"/>
      <c r="CS133" s="362"/>
      <c r="CT133" s="362"/>
      <c r="CU133" s="362"/>
      <c r="CV133" s="362"/>
      <c r="CW133" s="362"/>
      <c r="CX133" s="362"/>
      <c r="CY133" s="362"/>
      <c r="CZ133" s="362"/>
      <c r="DA133" s="362"/>
      <c r="DB133" s="362"/>
      <c r="DC133" s="362"/>
      <c r="DD133" s="362"/>
      <c r="DE133" s="362"/>
      <c r="DF133" s="362"/>
      <c r="DG133" s="362"/>
      <c r="DH133" s="362"/>
    </row>
    <row r="134" ht="20.25" customHeight="1">
      <c r="A134" s="41">
        <v>134.0</v>
      </c>
      <c r="B134" s="394" t="s">
        <v>107</v>
      </c>
      <c r="C134" s="394" t="s">
        <v>108</v>
      </c>
      <c r="D134" s="394" t="s">
        <v>339</v>
      </c>
      <c r="E134" s="217"/>
      <c r="F134" s="395" t="s">
        <v>823</v>
      </c>
      <c r="G134" s="396" t="s">
        <v>824</v>
      </c>
      <c r="H134" s="396" t="s">
        <v>342</v>
      </c>
      <c r="I134" s="397">
        <v>45639.0</v>
      </c>
      <c r="J134" s="308">
        <v>45663.0</v>
      </c>
      <c r="K134" s="398" t="s">
        <v>837</v>
      </c>
      <c r="L134" s="399"/>
      <c r="M134" s="396" t="s">
        <v>826</v>
      </c>
      <c r="N134" s="398" t="s">
        <v>827</v>
      </c>
      <c r="O134" s="399"/>
      <c r="P134" s="400" t="s">
        <v>828</v>
      </c>
      <c r="Q134" s="49" t="str">
        <f t="array" ref="Q134"> if(iserror(MATCH(V134, 'File Links'!C:C, 0)), "N/A", HYPERLINK(INDEX('File Links'!B:B, MATCH(P134, 'File Links'!C:C, 0))))</f>
        <v>https://drive.google.com/file/d/15kKUsqyFArf82r6bAlXLuUVgHc1vD9sW/view?usp=drivesdk</v>
      </c>
      <c r="R134" s="401" t="s">
        <v>851</v>
      </c>
      <c r="S134" s="401" t="s">
        <v>830</v>
      </c>
      <c r="T134" s="399"/>
      <c r="U134" s="402"/>
      <c r="V134" s="63" t="str">
        <f> hyperlink(vlookup(lower(S134),'File Links'!E:F, 2, FALSE), SUBSTITUTE(lower(S134), "/", "--") &amp;  ".pdf")</f>
        <v>10.1038--s41467-024-46936-y.pdf</v>
      </c>
      <c r="W134" s="385" t="s">
        <v>157</v>
      </c>
      <c r="X134" s="51" t="str">
        <f t="array" ref="X134"> if(iserror(MATCH(V134, 'File Links'!C:C, 0)), "N/A", HYPERLINK(INDEX('File Links'!B:B, MATCH(V134, 'File Links'!C:C, 0))))</f>
        <v>https://drive.google.com/file/d/1TJ6nnv7-YYGU9DUh1ApFGirYy6BbChHy/view?usp=drivesdk</v>
      </c>
      <c r="Y134" s="399"/>
      <c r="Z134" s="396" t="s">
        <v>831</v>
      </c>
      <c r="AA134" s="396" t="s">
        <v>840</v>
      </c>
      <c r="AB134" s="399"/>
      <c r="AC134" s="398" t="s">
        <v>852</v>
      </c>
      <c r="AD134" s="398" t="s">
        <v>852</v>
      </c>
      <c r="AE134" s="399"/>
      <c r="AF134" s="403">
        <v>35.0</v>
      </c>
      <c r="AG134" s="399"/>
      <c r="AH134" s="388" t="s">
        <v>354</v>
      </c>
      <c r="AI134" s="399"/>
      <c r="AJ134" s="399"/>
      <c r="AK134" s="395"/>
      <c r="AL134" s="399"/>
      <c r="AM134" s="399"/>
      <c r="AN134" s="396" t="s">
        <v>131</v>
      </c>
      <c r="AO134" s="403">
        <v>70.0</v>
      </c>
      <c r="AP134" s="399"/>
      <c r="AQ134" s="399"/>
      <c r="AR134" s="399"/>
      <c r="AS134" s="399"/>
      <c r="AT134" s="395"/>
      <c r="AU134" s="395"/>
      <c r="AV134" s="395"/>
      <c r="AW134" s="406" t="s">
        <v>844</v>
      </c>
      <c r="AX134" s="407" t="s">
        <v>431</v>
      </c>
      <c r="AY134" s="58"/>
      <c r="AZ134" s="146" t="s">
        <v>137</v>
      </c>
      <c r="BC134" s="362"/>
      <c r="BD134" s="362"/>
      <c r="BE134" s="362"/>
      <c r="BF134" s="362"/>
      <c r="BG134" s="362"/>
      <c r="BH134" s="362"/>
      <c r="BI134" s="362"/>
      <c r="BJ134" s="362"/>
      <c r="BK134" s="362"/>
      <c r="BL134" s="362"/>
      <c r="BM134" s="362"/>
      <c r="BN134" s="362"/>
      <c r="BO134" s="362"/>
      <c r="BP134" s="362"/>
      <c r="BQ134" s="362"/>
      <c r="BR134" s="362"/>
      <c r="BS134" s="362"/>
      <c r="BT134" s="362"/>
      <c r="BU134" s="362"/>
      <c r="BV134" s="362"/>
      <c r="BW134" s="362"/>
      <c r="BX134" s="362"/>
      <c r="BY134" s="362"/>
      <c r="BZ134" s="362"/>
      <c r="CA134" s="362"/>
      <c r="CB134" s="362"/>
      <c r="CC134" s="362"/>
      <c r="CD134" s="362"/>
      <c r="CE134" s="362"/>
      <c r="CF134" s="362"/>
      <c r="CG134" s="362"/>
      <c r="CH134" s="362"/>
      <c r="CI134" s="362"/>
      <c r="CJ134" s="362"/>
      <c r="CK134" s="362"/>
      <c r="CL134" s="362"/>
      <c r="CM134" s="362"/>
      <c r="CN134" s="362"/>
      <c r="CO134" s="362"/>
      <c r="CP134" s="362"/>
      <c r="CQ134" s="362"/>
      <c r="CR134" s="362"/>
      <c r="CS134" s="362"/>
      <c r="CT134" s="362"/>
      <c r="CU134" s="362"/>
      <c r="CV134" s="362"/>
      <c r="CW134" s="362"/>
      <c r="CX134" s="362"/>
      <c r="CY134" s="362"/>
      <c r="CZ134" s="362"/>
      <c r="DA134" s="362"/>
      <c r="DB134" s="362"/>
      <c r="DC134" s="362"/>
      <c r="DD134" s="362"/>
      <c r="DE134" s="362"/>
      <c r="DF134" s="362"/>
      <c r="DG134" s="362"/>
      <c r="DH134" s="362"/>
    </row>
    <row r="135" ht="20.25" customHeight="1">
      <c r="A135" s="41">
        <v>135.0</v>
      </c>
      <c r="B135" s="319" t="s">
        <v>145</v>
      </c>
      <c r="C135" s="319" t="s">
        <v>108</v>
      </c>
      <c r="D135" s="322" t="s">
        <v>435</v>
      </c>
      <c r="E135" s="223"/>
      <c r="F135" s="395" t="s">
        <v>823</v>
      </c>
      <c r="G135" s="385" t="s">
        <v>853</v>
      </c>
      <c r="H135" s="385" t="s">
        <v>438</v>
      </c>
      <c r="I135" s="386">
        <v>45634.0</v>
      </c>
      <c r="J135" s="308">
        <v>45663.0</v>
      </c>
      <c r="K135" s="385" t="s">
        <v>825</v>
      </c>
      <c r="L135" s="209" t="s">
        <v>854</v>
      </c>
      <c r="M135" s="385" t="s">
        <v>826</v>
      </c>
      <c r="N135" s="385" t="s">
        <v>827</v>
      </c>
      <c r="O135" s="327">
        <v>1.0</v>
      </c>
      <c r="P135" s="388" t="s">
        <v>828</v>
      </c>
      <c r="Q135" s="49" t="str">
        <f t="array" ref="Q135"> if(iserror(MATCH(V135, 'File Links'!C:C, 0)), "N/A", HYPERLINK(INDEX('File Links'!B:B, MATCH(P135, 'File Links'!C:C, 0))))</f>
        <v>https://drive.google.com/file/d/15kKUsqyFArf82r6bAlXLuUVgHc1vD9sW/view?usp=drivesdk</v>
      </c>
      <c r="R135" s="385" t="s">
        <v>829</v>
      </c>
      <c r="S135" s="385" t="s">
        <v>830</v>
      </c>
      <c r="T135" s="387"/>
      <c r="U135" s="130">
        <v>1.0</v>
      </c>
      <c r="V135" s="63" t="str">
        <f> hyperlink(vlookup(lower(S135),'File Links'!E:F, 2, FALSE), SUBSTITUTE(lower(S135), "/", "--") &amp;  ".pdf")</f>
        <v>10.1038--s41467-024-46936-y.pdf</v>
      </c>
      <c r="W135" s="385" t="s">
        <v>157</v>
      </c>
      <c r="X135" s="51" t="str">
        <f t="array" ref="X135"> if(iserror(MATCH(V135, 'File Links'!C:C, 0)), "N/A", HYPERLINK(INDEX('File Links'!B:B, MATCH(V135, 'File Links'!C:C, 0))))</f>
        <v>https://drive.google.com/file/d/1TJ6nnv7-YYGU9DUh1ApFGirYy6BbChHy/view?usp=drivesdk</v>
      </c>
      <c r="Y135" s="387"/>
      <c r="Z135" s="385" t="s">
        <v>831</v>
      </c>
      <c r="AA135" s="385" t="s">
        <v>832</v>
      </c>
      <c r="AB135" s="385" t="s">
        <v>833</v>
      </c>
      <c r="AC135" s="385" t="s">
        <v>834</v>
      </c>
      <c r="AD135" s="389" t="s">
        <v>855</v>
      </c>
      <c r="AE135" s="390">
        <v>3.0</v>
      </c>
      <c r="AF135" s="390">
        <v>35.0</v>
      </c>
      <c r="AG135" s="391">
        <v>-0.01</v>
      </c>
      <c r="AH135" s="388" t="s">
        <v>354</v>
      </c>
      <c r="AI135" s="389" t="s">
        <v>210</v>
      </c>
      <c r="AJ135" s="390">
        <v>0.86</v>
      </c>
      <c r="AK135" s="384" t="s">
        <v>165</v>
      </c>
      <c r="AL135" s="385" t="s">
        <v>179</v>
      </c>
      <c r="AM135" s="385" t="s">
        <v>130</v>
      </c>
      <c r="AN135" s="216" t="s">
        <v>131</v>
      </c>
      <c r="AO135" s="390">
        <v>46.0</v>
      </c>
      <c r="AP135" s="391">
        <v>0.02</v>
      </c>
      <c r="AQ135" s="385" t="s">
        <v>354</v>
      </c>
      <c r="AR135" s="385" t="s">
        <v>489</v>
      </c>
      <c r="AS135" s="391">
        <v>0.548</v>
      </c>
      <c r="AT135" s="384" t="s">
        <v>165</v>
      </c>
      <c r="AU135" s="384" t="s">
        <v>179</v>
      </c>
      <c r="AV135" s="384" t="s">
        <v>130</v>
      </c>
      <c r="AW135" s="408" t="s">
        <v>856</v>
      </c>
      <c r="AX135" s="393" t="s">
        <v>431</v>
      </c>
      <c r="AY135" s="126" t="s">
        <v>857</v>
      </c>
      <c r="AZ135" s="146" t="s">
        <v>137</v>
      </c>
      <c r="BC135" s="362"/>
      <c r="BD135" s="362"/>
      <c r="BE135" s="362"/>
      <c r="BF135" s="362"/>
      <c r="BG135" s="362"/>
      <c r="BH135" s="362"/>
      <c r="BI135" s="362"/>
      <c r="BJ135" s="362"/>
      <c r="BK135" s="362"/>
      <c r="BL135" s="362"/>
      <c r="BM135" s="362"/>
      <c r="BN135" s="362"/>
      <c r="BO135" s="362"/>
      <c r="BP135" s="362"/>
      <c r="BQ135" s="362"/>
      <c r="BR135" s="362"/>
      <c r="BS135" s="362"/>
      <c r="BT135" s="362"/>
      <c r="BU135" s="362"/>
      <c r="BV135" s="362"/>
      <c r="BW135" s="362"/>
      <c r="BX135" s="362"/>
      <c r="BY135" s="362"/>
      <c r="BZ135" s="362"/>
      <c r="CA135" s="362"/>
      <c r="CB135" s="362"/>
      <c r="CC135" s="362"/>
      <c r="CD135" s="362"/>
      <c r="CE135" s="362"/>
      <c r="CF135" s="362"/>
      <c r="CG135" s="362"/>
      <c r="CH135" s="362"/>
      <c r="CI135" s="362"/>
      <c r="CJ135" s="362"/>
      <c r="CK135" s="362"/>
      <c r="CL135" s="362"/>
      <c r="CM135" s="362"/>
      <c r="CN135" s="362"/>
      <c r="CO135" s="362"/>
      <c r="CP135" s="362"/>
      <c r="CQ135" s="362"/>
      <c r="CR135" s="362"/>
      <c r="CS135" s="362"/>
      <c r="CT135" s="362"/>
      <c r="CU135" s="362"/>
      <c r="CV135" s="362"/>
      <c r="CW135" s="362"/>
      <c r="CX135" s="362"/>
      <c r="CY135" s="362"/>
      <c r="CZ135" s="362"/>
      <c r="DA135" s="362"/>
      <c r="DB135" s="362"/>
      <c r="DC135" s="362"/>
      <c r="DD135" s="362"/>
      <c r="DE135" s="362"/>
      <c r="DF135" s="362"/>
      <c r="DG135" s="362"/>
      <c r="DH135" s="362"/>
    </row>
    <row r="136" ht="20.25" customHeight="1">
      <c r="A136" s="41">
        <v>136.0</v>
      </c>
      <c r="B136" s="319" t="s">
        <v>145</v>
      </c>
      <c r="C136" s="319" t="s">
        <v>108</v>
      </c>
      <c r="D136" s="322" t="s">
        <v>435</v>
      </c>
      <c r="E136" s="223"/>
      <c r="F136" s="395" t="s">
        <v>823</v>
      </c>
      <c r="G136" s="385" t="s">
        <v>858</v>
      </c>
      <c r="H136" s="385" t="s">
        <v>438</v>
      </c>
      <c r="I136" s="386">
        <v>45634.0</v>
      </c>
      <c r="J136" s="308">
        <v>45663.0</v>
      </c>
      <c r="K136" s="385" t="s">
        <v>825</v>
      </c>
      <c r="L136" s="327" t="s">
        <v>859</v>
      </c>
      <c r="M136" s="385" t="s">
        <v>826</v>
      </c>
      <c r="N136" s="385" t="s">
        <v>827</v>
      </c>
      <c r="O136" s="327">
        <v>1.0</v>
      </c>
      <c r="P136" s="388" t="s">
        <v>828</v>
      </c>
      <c r="Q136" s="49" t="str">
        <f t="array" ref="Q136"> if(iserror(MATCH(V136, 'File Links'!C:C, 0)), "N/A", HYPERLINK(INDEX('File Links'!B:B, MATCH(P136, 'File Links'!C:C, 0))))</f>
        <v>https://drive.google.com/file/d/15kKUsqyFArf82r6bAlXLuUVgHc1vD9sW/view?usp=drivesdk</v>
      </c>
      <c r="R136" s="385" t="s">
        <v>829</v>
      </c>
      <c r="S136" s="385" t="s">
        <v>830</v>
      </c>
      <c r="T136" s="387"/>
      <c r="U136" s="130">
        <v>1.0</v>
      </c>
      <c r="V136" s="63" t="str">
        <f> hyperlink(vlookup(lower(S136),'File Links'!E:F, 2, FALSE), SUBSTITUTE(lower(S136), "/", "--") &amp;  ".pdf")</f>
        <v>10.1038--s41467-024-46936-y.pdf</v>
      </c>
      <c r="W136" s="385" t="s">
        <v>157</v>
      </c>
      <c r="X136" s="51" t="str">
        <f t="array" ref="X136"> if(iserror(MATCH(V136, 'File Links'!C:C, 0)), "N/A", HYPERLINK(INDEX('File Links'!B:B, MATCH(V136, 'File Links'!C:C, 0))))</f>
        <v>https://drive.google.com/file/d/1TJ6nnv7-YYGU9DUh1ApFGirYy6BbChHy/view?usp=drivesdk</v>
      </c>
      <c r="Y136" s="387"/>
      <c r="Z136" s="385" t="s">
        <v>831</v>
      </c>
      <c r="AA136" s="385" t="s">
        <v>832</v>
      </c>
      <c r="AB136" s="385" t="s">
        <v>833</v>
      </c>
      <c r="AC136" s="385" t="s">
        <v>834</v>
      </c>
      <c r="AD136" s="389" t="s">
        <v>860</v>
      </c>
      <c r="AE136" s="390">
        <v>3.0</v>
      </c>
      <c r="AF136" s="390">
        <v>35.0</v>
      </c>
      <c r="AG136" s="391">
        <v>0.06</v>
      </c>
      <c r="AH136" s="388" t="s">
        <v>354</v>
      </c>
      <c r="AI136" s="389" t="s">
        <v>210</v>
      </c>
      <c r="AJ136" s="391">
        <v>0.1</v>
      </c>
      <c r="AK136" s="384" t="s">
        <v>165</v>
      </c>
      <c r="AL136" s="385" t="s">
        <v>179</v>
      </c>
      <c r="AM136" s="385" t="s">
        <v>130</v>
      </c>
      <c r="AN136" s="216" t="s">
        <v>131</v>
      </c>
      <c r="AO136" s="390">
        <v>46.0</v>
      </c>
      <c r="AP136" s="391" t="s">
        <v>861</v>
      </c>
      <c r="AQ136" s="385" t="s">
        <v>354</v>
      </c>
      <c r="AR136" s="385" t="s">
        <v>489</v>
      </c>
      <c r="AS136" s="391">
        <v>0.003</v>
      </c>
      <c r="AT136" s="384" t="s">
        <v>165</v>
      </c>
      <c r="AU136" s="384" t="s">
        <v>179</v>
      </c>
      <c r="AV136" s="384" t="s">
        <v>130</v>
      </c>
      <c r="AW136" s="408" t="s">
        <v>856</v>
      </c>
      <c r="AX136" s="393" t="s">
        <v>431</v>
      </c>
      <c r="AY136" s="126"/>
      <c r="AZ136" s="146" t="s">
        <v>137</v>
      </c>
    </row>
    <row r="137" ht="20.25" customHeight="1">
      <c r="A137" s="41">
        <v>137.0</v>
      </c>
      <c r="B137" s="319" t="s">
        <v>145</v>
      </c>
      <c r="C137" s="319" t="s">
        <v>108</v>
      </c>
      <c r="D137" s="322" t="s">
        <v>435</v>
      </c>
      <c r="E137" s="223"/>
      <c r="F137" s="395" t="s">
        <v>823</v>
      </c>
      <c r="G137" s="385" t="s">
        <v>862</v>
      </c>
      <c r="H137" s="385" t="s">
        <v>438</v>
      </c>
      <c r="I137" s="386">
        <v>45634.0</v>
      </c>
      <c r="J137" s="308">
        <v>45663.0</v>
      </c>
      <c r="K137" s="385" t="s">
        <v>863</v>
      </c>
      <c r="L137" s="327" t="s">
        <v>864</v>
      </c>
      <c r="M137" s="385" t="s">
        <v>826</v>
      </c>
      <c r="N137" s="385" t="s">
        <v>827</v>
      </c>
      <c r="O137" s="327">
        <v>1.0</v>
      </c>
      <c r="P137" s="388" t="s">
        <v>828</v>
      </c>
      <c r="Q137" s="49" t="str">
        <f t="array" ref="Q137"> if(iserror(MATCH(V137, 'File Links'!C:C, 0)), "N/A", HYPERLINK(INDEX('File Links'!B:B, MATCH(P137, 'File Links'!C:C, 0))))</f>
        <v>https://drive.google.com/file/d/15kKUsqyFArf82r6bAlXLuUVgHc1vD9sW/view?usp=drivesdk</v>
      </c>
      <c r="R137" s="385" t="s">
        <v>829</v>
      </c>
      <c r="S137" s="385" t="s">
        <v>830</v>
      </c>
      <c r="T137" s="387"/>
      <c r="U137" s="130">
        <v>1.0</v>
      </c>
      <c r="V137" s="63" t="str">
        <f> hyperlink(vlookup(lower(S137),'File Links'!E:F, 2, FALSE), SUBSTITUTE(lower(S137), "/", "--") &amp;  ".pdf")</f>
        <v>10.1038--s41467-024-46936-y.pdf</v>
      </c>
      <c r="W137" s="385" t="s">
        <v>157</v>
      </c>
      <c r="X137" s="51" t="str">
        <f t="array" ref="X137"> if(iserror(MATCH(V137, 'File Links'!C:C, 0)), "N/A", HYPERLINK(INDEX('File Links'!B:B, MATCH(V137, 'File Links'!C:C, 0))))</f>
        <v>https://drive.google.com/file/d/1TJ6nnv7-YYGU9DUh1ApFGirYy6BbChHy/view?usp=drivesdk</v>
      </c>
      <c r="Y137" s="387"/>
      <c r="Z137" s="385" t="s">
        <v>831</v>
      </c>
      <c r="AA137" s="385" t="s">
        <v>832</v>
      </c>
      <c r="AB137" s="385" t="s">
        <v>833</v>
      </c>
      <c r="AC137" s="385" t="s">
        <v>865</v>
      </c>
      <c r="AD137" s="385" t="s">
        <v>866</v>
      </c>
      <c r="AE137" s="390">
        <v>2.0</v>
      </c>
      <c r="AF137" s="390">
        <v>35.0</v>
      </c>
      <c r="AG137" s="409">
        <v>0.17</v>
      </c>
      <c r="AH137" s="377" t="s">
        <v>867</v>
      </c>
      <c r="AI137" s="389" t="s">
        <v>868</v>
      </c>
      <c r="AJ137" s="390">
        <v>0.02</v>
      </c>
      <c r="AK137" s="384" t="s">
        <v>165</v>
      </c>
      <c r="AL137" s="385" t="s">
        <v>179</v>
      </c>
      <c r="AM137" s="385" t="s">
        <v>130</v>
      </c>
      <c r="AN137" s="216" t="s">
        <v>131</v>
      </c>
      <c r="AO137" s="390">
        <v>55.0</v>
      </c>
      <c r="AP137" s="390" t="s">
        <v>869</v>
      </c>
      <c r="AQ137" s="385" t="s">
        <v>127</v>
      </c>
      <c r="AR137" s="385" t="s">
        <v>489</v>
      </c>
      <c r="AS137" s="390">
        <v>0.887</v>
      </c>
      <c r="AT137" s="384" t="s">
        <v>165</v>
      </c>
      <c r="AU137" s="384" t="s">
        <v>179</v>
      </c>
      <c r="AV137" s="384" t="s">
        <v>130</v>
      </c>
      <c r="AW137" s="408" t="s">
        <v>856</v>
      </c>
      <c r="AX137" s="393" t="s">
        <v>431</v>
      </c>
      <c r="AY137" s="126"/>
      <c r="AZ137" s="146" t="s">
        <v>137</v>
      </c>
    </row>
    <row r="138" ht="20.25" customHeight="1">
      <c r="A138" s="41">
        <v>138.0</v>
      </c>
      <c r="B138" s="319" t="s">
        <v>145</v>
      </c>
      <c r="C138" s="319" t="s">
        <v>108</v>
      </c>
      <c r="D138" s="322" t="s">
        <v>435</v>
      </c>
      <c r="E138" s="223"/>
      <c r="F138" s="395" t="s">
        <v>823</v>
      </c>
      <c r="G138" s="385" t="s">
        <v>870</v>
      </c>
      <c r="H138" s="385" t="s">
        <v>438</v>
      </c>
      <c r="I138" s="386">
        <v>45634.0</v>
      </c>
      <c r="J138" s="308">
        <v>45663.0</v>
      </c>
      <c r="K138" s="385" t="s">
        <v>871</v>
      </c>
      <c r="L138" s="327" t="s">
        <v>859</v>
      </c>
      <c r="M138" s="385" t="s">
        <v>826</v>
      </c>
      <c r="N138" s="385" t="s">
        <v>827</v>
      </c>
      <c r="O138" s="327">
        <v>1.0</v>
      </c>
      <c r="P138" s="388" t="s">
        <v>828</v>
      </c>
      <c r="Q138" s="49" t="str">
        <f t="array" ref="Q138"> if(iserror(MATCH(V138, 'File Links'!C:C, 0)), "N/A", HYPERLINK(INDEX('File Links'!B:B, MATCH(P138, 'File Links'!C:C, 0))))</f>
        <v>https://drive.google.com/file/d/15kKUsqyFArf82r6bAlXLuUVgHc1vD9sW/view?usp=drivesdk</v>
      </c>
      <c r="R138" s="385" t="s">
        <v>829</v>
      </c>
      <c r="S138" s="385" t="s">
        <v>830</v>
      </c>
      <c r="T138" s="387"/>
      <c r="U138" s="130">
        <v>1.0</v>
      </c>
      <c r="V138" s="63" t="str">
        <f> hyperlink(vlookup(lower(S138),'File Links'!E:F, 2, FALSE), SUBSTITUTE(lower(S138), "/", "--") &amp;  ".pdf")</f>
        <v>10.1038--s41467-024-46936-y.pdf</v>
      </c>
      <c r="W138" s="385" t="s">
        <v>157</v>
      </c>
      <c r="X138" s="51" t="str">
        <f t="array" ref="X138"> if(iserror(MATCH(V138, 'File Links'!C:C, 0)), "N/A", HYPERLINK(INDEX('File Links'!B:B, MATCH(V138, 'File Links'!C:C, 0))))</f>
        <v>https://drive.google.com/file/d/1TJ6nnv7-YYGU9DUh1ApFGirYy6BbChHy/view?usp=drivesdk</v>
      </c>
      <c r="Y138" s="387"/>
      <c r="Z138" s="385" t="s">
        <v>831</v>
      </c>
      <c r="AA138" s="385" t="s">
        <v>832</v>
      </c>
      <c r="AB138" s="385" t="s">
        <v>833</v>
      </c>
      <c r="AC138" s="385" t="s">
        <v>872</v>
      </c>
      <c r="AD138" s="389" t="s">
        <v>873</v>
      </c>
      <c r="AE138" s="390">
        <v>5.0</v>
      </c>
      <c r="AF138" s="390">
        <v>40.0</v>
      </c>
      <c r="AG138" s="409">
        <v>0.09</v>
      </c>
      <c r="AH138" s="377" t="s">
        <v>867</v>
      </c>
      <c r="AI138" s="389" t="s">
        <v>806</v>
      </c>
      <c r="AJ138" s="390">
        <v>0.02</v>
      </c>
      <c r="AK138" s="384" t="s">
        <v>165</v>
      </c>
      <c r="AL138" s="385" t="s">
        <v>179</v>
      </c>
      <c r="AM138" s="385" t="s">
        <v>130</v>
      </c>
      <c r="AN138" s="216" t="s">
        <v>131</v>
      </c>
      <c r="AO138" s="390">
        <v>46.0</v>
      </c>
      <c r="AP138" s="390" t="s">
        <v>874</v>
      </c>
      <c r="AQ138" s="385" t="s">
        <v>127</v>
      </c>
      <c r="AR138" s="385" t="s">
        <v>875</v>
      </c>
      <c r="AS138" s="390">
        <v>0.7</v>
      </c>
      <c r="AT138" s="384" t="s">
        <v>165</v>
      </c>
      <c r="AU138" s="384" t="s">
        <v>179</v>
      </c>
      <c r="AV138" s="384" t="s">
        <v>130</v>
      </c>
      <c r="AW138" s="408" t="s">
        <v>856</v>
      </c>
      <c r="AX138" s="393" t="s">
        <v>431</v>
      </c>
      <c r="AY138" s="126"/>
      <c r="AZ138" s="146" t="s">
        <v>137</v>
      </c>
      <c r="BC138" s="362"/>
      <c r="BD138" s="362"/>
      <c r="BE138" s="362"/>
      <c r="BF138" s="362"/>
      <c r="BG138" s="362"/>
      <c r="BH138" s="362"/>
      <c r="BI138" s="362"/>
      <c r="BJ138" s="362"/>
      <c r="BK138" s="362"/>
      <c r="BL138" s="362"/>
      <c r="BM138" s="362"/>
      <c r="BN138" s="362"/>
      <c r="BO138" s="362"/>
      <c r="BP138" s="362"/>
      <c r="BQ138" s="362"/>
      <c r="BR138" s="362"/>
      <c r="BS138" s="362"/>
      <c r="BT138" s="362"/>
      <c r="BU138" s="362"/>
      <c r="BV138" s="362"/>
      <c r="BW138" s="362"/>
      <c r="BX138" s="362"/>
      <c r="BY138" s="362"/>
      <c r="BZ138" s="362"/>
      <c r="CA138" s="362"/>
      <c r="CB138" s="362"/>
      <c r="CC138" s="362"/>
      <c r="CD138" s="362"/>
      <c r="CE138" s="362"/>
      <c r="CF138" s="362"/>
      <c r="CG138" s="362"/>
      <c r="CH138" s="362"/>
      <c r="CI138" s="362"/>
      <c r="CJ138" s="362"/>
      <c r="CK138" s="362"/>
      <c r="CL138" s="362"/>
      <c r="CM138" s="362"/>
      <c r="CN138" s="362"/>
      <c r="CO138" s="362"/>
      <c r="CP138" s="362"/>
      <c r="CQ138" s="362"/>
      <c r="CR138" s="362"/>
      <c r="CS138" s="362"/>
      <c r="CT138" s="362"/>
      <c r="CU138" s="362"/>
      <c r="CV138" s="362"/>
      <c r="CW138" s="362"/>
      <c r="CX138" s="362"/>
      <c r="CY138" s="362"/>
      <c r="CZ138" s="362"/>
      <c r="DA138" s="362"/>
      <c r="DB138" s="362"/>
      <c r="DC138" s="362"/>
      <c r="DD138" s="362"/>
      <c r="DE138" s="362"/>
      <c r="DF138" s="362"/>
      <c r="DG138" s="362"/>
      <c r="DH138" s="362"/>
    </row>
    <row r="139" ht="20.25" customHeight="1">
      <c r="A139" s="41">
        <v>139.0</v>
      </c>
      <c r="B139" s="42" t="s">
        <v>278</v>
      </c>
      <c r="C139" s="42" t="s">
        <v>108</v>
      </c>
      <c r="D139" s="42" t="s">
        <v>746</v>
      </c>
      <c r="E139" s="62"/>
      <c r="F139" s="410" t="s">
        <v>876</v>
      </c>
      <c r="G139" s="42" t="s">
        <v>877</v>
      </c>
      <c r="H139" s="42" t="s">
        <v>746</v>
      </c>
      <c r="I139" s="60">
        <v>45427.0</v>
      </c>
      <c r="J139" s="62"/>
      <c r="K139" s="42" t="s">
        <v>878</v>
      </c>
      <c r="L139" s="62"/>
      <c r="M139" s="42" t="s">
        <v>879</v>
      </c>
      <c r="N139" s="42" t="s">
        <v>880</v>
      </c>
      <c r="O139" s="42">
        <v>1.0</v>
      </c>
      <c r="P139" s="115" t="str">
        <f> hyperlink(vlookup(lower(N139),'File Links'!A:B, 2, FALSE), SUBSTITUTE(lower(N139), "/", "--") &amp;  ".pdf")</f>
        <v>10.1016--j.ijinfomgt.2018.03.001.pdf</v>
      </c>
      <c r="Q139" s="105" t="str">
        <f t="array" ref="Q139"> if(iserror(MATCH(V139, 'File Links'!C:C, 0)), "N/A", HYPERLINK(INDEX('File Links'!B:B, MATCH(P139, 'File Links'!C:C, 0))))</f>
        <v>N/A</v>
      </c>
      <c r="R139" s="42" t="s">
        <v>881</v>
      </c>
      <c r="S139" s="42" t="s">
        <v>882</v>
      </c>
      <c r="T139" s="62"/>
      <c r="U139" s="42">
        <v>1.0</v>
      </c>
      <c r="V139" s="63" t="str">
        <f> hyperlink(vlookup(lower(S139),'File Links'!E:F, 2, FALSE), SUBSTITUTE(lower(S139), "/", "--") &amp;  ".pdf")</f>
        <v>10.17645--mac.7666.pdf</v>
      </c>
      <c r="W139" s="42" t="s">
        <v>883</v>
      </c>
      <c r="X139" s="46" t="str">
        <f t="array" ref="X139"> if(iserror(MATCH(V139, 'File Links'!C:C, 0)), "N/A", HYPERLINK(INDEX('File Links'!B:B, MATCH(V139, 'File Links'!C:C, 0))))</f>
        <v>N/A</v>
      </c>
      <c r="Y139" s="42"/>
      <c r="Z139" s="42" t="s">
        <v>579</v>
      </c>
      <c r="AA139" s="42" t="s">
        <v>884</v>
      </c>
      <c r="AB139" s="42" t="s">
        <v>885</v>
      </c>
      <c r="AC139" s="42" t="s">
        <v>886</v>
      </c>
      <c r="AD139" s="42" t="s">
        <v>887</v>
      </c>
      <c r="AE139" s="42">
        <v>28.0</v>
      </c>
      <c r="AF139" s="42">
        <v>341.0</v>
      </c>
      <c r="AG139" s="411">
        <v>415.0</v>
      </c>
      <c r="AH139" s="42" t="s">
        <v>354</v>
      </c>
      <c r="AI139" s="42">
        <v>28.0</v>
      </c>
      <c r="AJ139" s="42">
        <v>0.001</v>
      </c>
      <c r="AK139" s="42" t="s">
        <v>128</v>
      </c>
      <c r="AL139" s="42" t="s">
        <v>129</v>
      </c>
      <c r="AM139" s="64"/>
      <c r="AN139" s="216" t="s">
        <v>131</v>
      </c>
      <c r="AO139" s="42">
        <v>351.0</v>
      </c>
      <c r="AP139" s="411">
        <v>565.0</v>
      </c>
      <c r="AQ139" s="42" t="s">
        <v>354</v>
      </c>
      <c r="AR139" s="42">
        <v>10.0</v>
      </c>
      <c r="AS139" s="42" t="s">
        <v>888</v>
      </c>
      <c r="AT139" s="42" t="s">
        <v>128</v>
      </c>
      <c r="AU139" s="42" t="s">
        <v>129</v>
      </c>
      <c r="AV139" s="64"/>
      <c r="AX139" s="126" t="s">
        <v>317</v>
      </c>
      <c r="AY139" s="62"/>
      <c r="AZ139" s="146"/>
      <c r="BC139" s="362"/>
      <c r="BD139" s="362"/>
      <c r="BE139" s="362"/>
      <c r="BF139" s="362"/>
      <c r="BG139" s="362"/>
      <c r="BH139" s="362"/>
      <c r="BI139" s="362"/>
      <c r="BJ139" s="362"/>
      <c r="BK139" s="362"/>
      <c r="BL139" s="362"/>
      <c r="BM139" s="362"/>
      <c r="BN139" s="362"/>
      <c r="BO139" s="362"/>
      <c r="BP139" s="362"/>
      <c r="BQ139" s="362"/>
      <c r="BR139" s="362"/>
      <c r="BS139" s="362"/>
      <c r="BT139" s="362"/>
      <c r="BU139" s="362"/>
      <c r="BV139" s="362"/>
      <c r="BW139" s="362"/>
      <c r="BX139" s="362"/>
      <c r="BY139" s="362"/>
      <c r="BZ139" s="362"/>
      <c r="CA139" s="362"/>
      <c r="CB139" s="362"/>
      <c r="CC139" s="362"/>
      <c r="CD139" s="362"/>
      <c r="CE139" s="362"/>
      <c r="CF139" s="362"/>
      <c r="CG139" s="362"/>
      <c r="CH139" s="362"/>
      <c r="CI139" s="362"/>
      <c r="CJ139" s="362"/>
      <c r="CK139" s="362"/>
      <c r="CL139" s="362"/>
      <c r="CM139" s="362"/>
      <c r="CN139" s="362"/>
      <c r="CO139" s="362"/>
      <c r="CP139" s="362"/>
      <c r="CQ139" s="362"/>
      <c r="CR139" s="362"/>
      <c r="CS139" s="362"/>
      <c r="CT139" s="362"/>
      <c r="CU139" s="362"/>
      <c r="CV139" s="362"/>
      <c r="CW139" s="362"/>
      <c r="CX139" s="362"/>
      <c r="CY139" s="362"/>
      <c r="CZ139" s="362"/>
      <c r="DA139" s="362"/>
      <c r="DB139" s="362"/>
      <c r="DC139" s="362"/>
      <c r="DD139" s="362"/>
      <c r="DE139" s="362"/>
      <c r="DF139" s="362"/>
      <c r="DG139" s="362"/>
      <c r="DH139" s="362"/>
    </row>
    <row r="140" ht="20.25" customHeight="1">
      <c r="A140" s="41">
        <v>140.0</v>
      </c>
      <c r="B140" s="42" t="s">
        <v>278</v>
      </c>
      <c r="C140" s="42" t="s">
        <v>108</v>
      </c>
      <c r="D140" s="42" t="s">
        <v>746</v>
      </c>
      <c r="E140" s="62"/>
      <c r="F140" s="410" t="s">
        <v>889</v>
      </c>
      <c r="G140" s="42" t="s">
        <v>890</v>
      </c>
      <c r="H140" s="42" t="s">
        <v>746</v>
      </c>
      <c r="I140" s="60">
        <v>45428.0</v>
      </c>
      <c r="J140" s="62"/>
      <c r="K140" s="42" t="s">
        <v>878</v>
      </c>
      <c r="L140" s="62"/>
      <c r="M140" s="42" t="s">
        <v>879</v>
      </c>
      <c r="N140" s="42" t="s">
        <v>880</v>
      </c>
      <c r="O140" s="42">
        <v>1.0</v>
      </c>
      <c r="P140" s="115" t="str">
        <f> hyperlink(vlookup(lower(N140),'File Links'!A:B, 2, FALSE), SUBSTITUTE(lower(N140), "/", "--") &amp;  ".pdf")</f>
        <v>10.1016--j.ijinfomgt.2018.03.001.pdf</v>
      </c>
      <c r="Q140" s="105" t="str">
        <f t="array" ref="Q140"> if(iserror(MATCH(V140, 'File Links'!C:C, 0)), "N/A", HYPERLINK(INDEX('File Links'!B:B, MATCH(P140, 'File Links'!C:C, 0))))</f>
        <v>N/A</v>
      </c>
      <c r="R140" s="42" t="s">
        <v>881</v>
      </c>
      <c r="S140" s="42" t="s">
        <v>882</v>
      </c>
      <c r="T140" s="62"/>
      <c r="U140" s="42">
        <v>1.0</v>
      </c>
      <c r="V140" s="63" t="str">
        <f> hyperlink(vlookup(lower(S140),'File Links'!E:F, 2, FALSE), SUBSTITUTE(lower(S140), "/", "--") &amp;  ".pdf")</f>
        <v>10.17645--mac.7666.pdf</v>
      </c>
      <c r="W140" s="42" t="s">
        <v>883</v>
      </c>
      <c r="X140" s="46" t="str">
        <f t="array" ref="X140"> if(iserror(MATCH(V140, 'File Links'!C:C, 0)), "N/A", HYPERLINK(INDEX('File Links'!B:B, MATCH(V140, 'File Links'!C:C, 0))))</f>
        <v>N/A</v>
      </c>
      <c r="Y140" s="42"/>
      <c r="Z140" s="42" t="s">
        <v>579</v>
      </c>
      <c r="AA140" s="42" t="s">
        <v>884</v>
      </c>
      <c r="AB140" s="42" t="s">
        <v>885</v>
      </c>
      <c r="AC140" s="42" t="s">
        <v>886</v>
      </c>
      <c r="AD140" s="42" t="s">
        <v>891</v>
      </c>
      <c r="AE140" s="42">
        <v>28.0</v>
      </c>
      <c r="AF140" s="42">
        <v>341.0</v>
      </c>
      <c r="AG140" s="411">
        <v>201.0</v>
      </c>
      <c r="AH140" s="42" t="s">
        <v>354</v>
      </c>
      <c r="AI140" s="42">
        <v>28.0</v>
      </c>
      <c r="AJ140" s="42">
        <v>0.001</v>
      </c>
      <c r="AK140" s="42" t="s">
        <v>128</v>
      </c>
      <c r="AL140" s="42" t="s">
        <v>129</v>
      </c>
      <c r="AM140" s="64"/>
      <c r="AN140" s="216" t="s">
        <v>131</v>
      </c>
      <c r="AO140" s="42">
        <v>351.0</v>
      </c>
      <c r="AP140" s="411">
        <v>-159.0</v>
      </c>
      <c r="AQ140" s="42" t="s">
        <v>354</v>
      </c>
      <c r="AR140" s="42">
        <v>10.0</v>
      </c>
      <c r="AS140" s="42" t="s">
        <v>888</v>
      </c>
      <c r="AT140" s="42" t="s">
        <v>128</v>
      </c>
      <c r="AU140" s="42" t="s">
        <v>129</v>
      </c>
      <c r="AV140" s="64"/>
      <c r="AX140" s="126" t="s">
        <v>317</v>
      </c>
      <c r="AY140" s="62"/>
      <c r="AZ140" s="146"/>
      <c r="BC140" s="362"/>
      <c r="BD140" s="362"/>
      <c r="BE140" s="362"/>
      <c r="BF140" s="362"/>
      <c r="BG140" s="362"/>
      <c r="BH140" s="362"/>
      <c r="BI140" s="362"/>
      <c r="BJ140" s="362"/>
      <c r="BK140" s="362"/>
      <c r="BL140" s="362"/>
      <c r="BM140" s="362"/>
      <c r="BN140" s="362"/>
      <c r="BO140" s="362"/>
      <c r="BP140" s="362"/>
      <c r="BQ140" s="362"/>
      <c r="BR140" s="362"/>
      <c r="BS140" s="362"/>
      <c r="BT140" s="362"/>
      <c r="BU140" s="362"/>
      <c r="BV140" s="362"/>
      <c r="BW140" s="362"/>
      <c r="BX140" s="362"/>
      <c r="BY140" s="362"/>
      <c r="BZ140" s="362"/>
      <c r="CA140" s="362"/>
      <c r="CB140" s="362"/>
      <c r="CC140" s="362"/>
      <c r="CD140" s="362"/>
      <c r="CE140" s="362"/>
      <c r="CF140" s="362"/>
      <c r="CG140" s="362"/>
      <c r="CH140" s="362"/>
      <c r="CI140" s="362"/>
      <c r="CJ140" s="362"/>
      <c r="CK140" s="362"/>
      <c r="CL140" s="362"/>
      <c r="CM140" s="362"/>
      <c r="CN140" s="362"/>
      <c r="CO140" s="362"/>
      <c r="CP140" s="362"/>
      <c r="CQ140" s="362"/>
      <c r="CR140" s="362"/>
      <c r="CS140" s="362"/>
      <c r="CT140" s="362"/>
      <c r="CU140" s="362"/>
      <c r="CV140" s="362"/>
      <c r="CW140" s="362"/>
      <c r="CX140" s="362"/>
      <c r="CY140" s="362"/>
      <c r="CZ140" s="362"/>
      <c r="DA140" s="362"/>
      <c r="DB140" s="362"/>
      <c r="DC140" s="362"/>
      <c r="DD140" s="362"/>
      <c r="DE140" s="362"/>
      <c r="DF140" s="362"/>
      <c r="DG140" s="362"/>
      <c r="DH140" s="362"/>
    </row>
    <row r="141" ht="20.25" customHeight="1">
      <c r="A141" s="41">
        <v>141.0</v>
      </c>
      <c r="B141" s="42" t="s">
        <v>278</v>
      </c>
      <c r="C141" s="42" t="s">
        <v>108</v>
      </c>
      <c r="D141" s="42" t="s">
        <v>746</v>
      </c>
      <c r="E141" s="62"/>
      <c r="F141" s="410" t="s">
        <v>892</v>
      </c>
      <c r="G141" s="42" t="s">
        <v>893</v>
      </c>
      <c r="H141" s="42" t="s">
        <v>746</v>
      </c>
      <c r="I141" s="60">
        <v>45429.0</v>
      </c>
      <c r="J141" s="62"/>
      <c r="K141" s="42" t="s">
        <v>878</v>
      </c>
      <c r="L141" s="62"/>
      <c r="M141" s="42" t="s">
        <v>894</v>
      </c>
      <c r="N141" s="42" t="s">
        <v>880</v>
      </c>
      <c r="O141" s="42">
        <v>1.0</v>
      </c>
      <c r="P141" s="115" t="str">
        <f> hyperlink(vlookup(lower(N141),'File Links'!A:B, 2, FALSE), SUBSTITUTE(lower(N141), "/", "--") &amp;  ".pdf")</f>
        <v>10.1016--j.ijinfomgt.2018.03.001.pdf</v>
      </c>
      <c r="Q141" s="105" t="str">
        <f t="array" ref="Q141"> if(iserror(MATCH(V141, 'File Links'!C:C, 0)), "N/A", HYPERLINK(INDEX('File Links'!B:B, MATCH(P141, 'File Links'!C:C, 0))))</f>
        <v>N/A</v>
      </c>
      <c r="R141" s="42" t="s">
        <v>895</v>
      </c>
      <c r="S141" s="42" t="s">
        <v>896</v>
      </c>
      <c r="T141" s="62"/>
      <c r="U141" s="42">
        <v>1.0</v>
      </c>
      <c r="V141" s="63" t="str">
        <f> hyperlink(vlookup(lower(S141),'File Links'!E:F, 2, FALSE), SUBSTITUTE(lower(S141), "/", "--") &amp;  ".pdf")</f>
        <v>10.17645--mac.7667.pdf</v>
      </c>
      <c r="W141" s="42" t="s">
        <v>883</v>
      </c>
      <c r="X141" s="46" t="str">
        <f t="array" ref="X141"> if(iserror(MATCH(V141, 'File Links'!C:C, 0)), "N/A", HYPERLINK(INDEX('File Links'!B:B, MATCH(V141, 'File Links'!C:C, 0))))</f>
        <v>N/A</v>
      </c>
      <c r="Y141" s="42"/>
      <c r="Z141" s="42" t="s">
        <v>579</v>
      </c>
      <c r="AA141" s="42" t="s">
        <v>884</v>
      </c>
      <c r="AB141" s="42" t="s">
        <v>885</v>
      </c>
      <c r="AC141" s="42" t="s">
        <v>886</v>
      </c>
      <c r="AD141" s="42" t="s">
        <v>897</v>
      </c>
      <c r="AE141" s="42">
        <v>28.0</v>
      </c>
      <c r="AF141" s="42">
        <v>341.0</v>
      </c>
      <c r="AG141" s="411">
        <v>-226.0</v>
      </c>
      <c r="AH141" s="42" t="s">
        <v>354</v>
      </c>
      <c r="AI141" s="42">
        <v>28.0</v>
      </c>
      <c r="AJ141" s="42">
        <v>0.001</v>
      </c>
      <c r="AK141" s="42" t="s">
        <v>128</v>
      </c>
      <c r="AL141" s="42" t="s">
        <v>129</v>
      </c>
      <c r="AM141" s="64"/>
      <c r="AN141" s="216" t="s">
        <v>131</v>
      </c>
      <c r="AO141" s="42">
        <v>351.0</v>
      </c>
      <c r="AP141" s="411">
        <v>169.0</v>
      </c>
      <c r="AQ141" s="42" t="s">
        <v>354</v>
      </c>
      <c r="AR141" s="42">
        <v>10.0</v>
      </c>
      <c r="AS141" s="42" t="s">
        <v>888</v>
      </c>
      <c r="AT141" s="42" t="s">
        <v>128</v>
      </c>
      <c r="AU141" s="42" t="s">
        <v>129</v>
      </c>
      <c r="AV141" s="64"/>
      <c r="AX141" s="126" t="s">
        <v>317</v>
      </c>
      <c r="AY141" s="62"/>
      <c r="BC141" s="362"/>
      <c r="BD141" s="362"/>
      <c r="BE141" s="362"/>
      <c r="BF141" s="362"/>
      <c r="BG141" s="362"/>
      <c r="BH141" s="362"/>
      <c r="BI141" s="362"/>
      <c r="BJ141" s="362"/>
      <c r="BK141" s="362"/>
      <c r="BL141" s="362"/>
      <c r="BM141" s="362"/>
      <c r="BN141" s="362"/>
      <c r="BO141" s="362"/>
      <c r="BP141" s="362"/>
      <c r="BQ141" s="362"/>
      <c r="BR141" s="362"/>
      <c r="BS141" s="362"/>
      <c r="BT141" s="362"/>
      <c r="BU141" s="362"/>
      <c r="BV141" s="362"/>
      <c r="BW141" s="362"/>
      <c r="BX141" s="362"/>
      <c r="BY141" s="362"/>
      <c r="BZ141" s="362"/>
      <c r="CA141" s="362"/>
      <c r="CB141" s="362"/>
      <c r="CC141" s="362"/>
      <c r="CD141" s="362"/>
      <c r="CE141" s="362"/>
      <c r="CF141" s="362"/>
      <c r="CG141" s="362"/>
      <c r="CH141" s="362"/>
      <c r="CI141" s="362"/>
      <c r="CJ141" s="362"/>
      <c r="CK141" s="362"/>
      <c r="CL141" s="362"/>
      <c r="CM141" s="362"/>
      <c r="CN141" s="362"/>
      <c r="CO141" s="362"/>
      <c r="CP141" s="362"/>
      <c r="CQ141" s="362"/>
      <c r="CR141" s="362"/>
      <c r="CS141" s="362"/>
      <c r="CT141" s="362"/>
      <c r="CU141" s="362"/>
      <c r="CV141" s="362"/>
      <c r="CW141" s="362"/>
      <c r="CX141" s="362"/>
      <c r="CY141" s="362"/>
      <c r="CZ141" s="362"/>
      <c r="DA141" s="362"/>
      <c r="DB141" s="362"/>
      <c r="DC141" s="362"/>
      <c r="DD141" s="362"/>
      <c r="DE141" s="362"/>
      <c r="DF141" s="362"/>
      <c r="DG141" s="362"/>
      <c r="DH141" s="362"/>
    </row>
    <row r="142" ht="20.25" customHeight="1">
      <c r="A142" s="41">
        <v>142.0</v>
      </c>
      <c r="B142" s="42" t="s">
        <v>278</v>
      </c>
      <c r="C142" s="42" t="s">
        <v>108</v>
      </c>
      <c r="D142" s="42" t="s">
        <v>746</v>
      </c>
      <c r="E142" s="62"/>
      <c r="F142" s="59" t="s">
        <v>898</v>
      </c>
      <c r="G142" s="42" t="s">
        <v>899</v>
      </c>
      <c r="H142" s="42" t="s">
        <v>746</v>
      </c>
      <c r="I142" s="60">
        <v>45430.0</v>
      </c>
      <c r="J142" s="62"/>
      <c r="K142" s="42" t="s">
        <v>878</v>
      </c>
      <c r="L142" s="62"/>
      <c r="M142" s="42" t="s">
        <v>900</v>
      </c>
      <c r="N142" s="42" t="s">
        <v>880</v>
      </c>
      <c r="O142" s="42">
        <v>1.0</v>
      </c>
      <c r="P142" s="115" t="str">
        <f> hyperlink(vlookup(lower(N142),'File Links'!A:B, 2, FALSE), SUBSTITUTE(lower(N142), "/", "--") &amp;  ".pdf")</f>
        <v>10.1016--j.ijinfomgt.2018.03.001.pdf</v>
      </c>
      <c r="Q142" s="105" t="str">
        <f t="array" ref="Q142"> if(iserror(MATCH(V142, 'File Links'!C:C, 0)), "N/A", HYPERLINK(INDEX('File Links'!B:B, MATCH(P142, 'File Links'!C:C, 0))))</f>
        <v>N/A</v>
      </c>
      <c r="R142" s="42" t="s">
        <v>901</v>
      </c>
      <c r="S142" s="42" t="s">
        <v>902</v>
      </c>
      <c r="T142" s="62"/>
      <c r="U142" s="42">
        <v>1.0</v>
      </c>
      <c r="V142" s="63" t="str">
        <f> hyperlink(vlookup(lower(S142),'File Links'!E:F, 2, FALSE), SUBSTITUTE(lower(S142), "/", "--") &amp;  ".pdf")</f>
        <v>10.17645--mac.7668.pdf</v>
      </c>
      <c r="W142" s="42" t="s">
        <v>883</v>
      </c>
      <c r="X142" s="46" t="str">
        <f t="array" ref="X142"> if(iserror(MATCH(V142, 'File Links'!C:C, 0)), "N/A", HYPERLINK(INDEX('File Links'!B:B, MATCH(V142, 'File Links'!C:C, 0))))</f>
        <v>N/A</v>
      </c>
      <c r="Y142" s="42"/>
      <c r="Z142" s="42" t="s">
        <v>579</v>
      </c>
      <c r="AA142" s="42" t="s">
        <v>884</v>
      </c>
      <c r="AB142" s="42" t="s">
        <v>885</v>
      </c>
      <c r="AC142" s="42" t="s">
        <v>886</v>
      </c>
      <c r="AD142" s="42" t="s">
        <v>903</v>
      </c>
      <c r="AE142" s="42">
        <v>28.0</v>
      </c>
      <c r="AF142" s="42">
        <v>341.0</v>
      </c>
      <c r="AG142" s="411">
        <v>1.0</v>
      </c>
      <c r="AH142" s="42" t="s">
        <v>354</v>
      </c>
      <c r="AI142" s="42">
        <v>28.0</v>
      </c>
      <c r="AJ142" s="42">
        <v>0.05</v>
      </c>
      <c r="AK142" s="42" t="s">
        <v>328</v>
      </c>
      <c r="AL142" s="42" t="s">
        <v>129</v>
      </c>
      <c r="AM142" s="64"/>
      <c r="AN142" s="216" t="s">
        <v>131</v>
      </c>
      <c r="AO142" s="42">
        <v>351.0</v>
      </c>
      <c r="AP142" s="411">
        <v>197.0</v>
      </c>
      <c r="AQ142" s="42" t="s">
        <v>354</v>
      </c>
      <c r="AR142" s="42">
        <v>10.0</v>
      </c>
      <c r="AS142" s="42" t="s">
        <v>888</v>
      </c>
      <c r="AT142" s="42" t="s">
        <v>128</v>
      </c>
      <c r="AU142" s="42" t="s">
        <v>129</v>
      </c>
      <c r="AV142" s="64"/>
      <c r="AX142" s="126" t="s">
        <v>317</v>
      </c>
      <c r="AY142" s="62"/>
      <c r="BC142" s="362"/>
      <c r="BD142" s="362"/>
      <c r="BE142" s="362"/>
      <c r="BF142" s="362"/>
      <c r="BG142" s="362"/>
      <c r="BH142" s="362"/>
      <c r="BI142" s="362"/>
      <c r="BJ142" s="362"/>
      <c r="BK142" s="362"/>
      <c r="BL142" s="362"/>
      <c r="BM142" s="362"/>
      <c r="BN142" s="362"/>
      <c r="BO142" s="362"/>
      <c r="BP142" s="362"/>
      <c r="BQ142" s="362"/>
      <c r="BR142" s="362"/>
      <c r="BS142" s="362"/>
      <c r="BT142" s="362"/>
      <c r="BU142" s="362"/>
      <c r="BV142" s="362"/>
      <c r="BW142" s="362"/>
      <c r="BX142" s="362"/>
      <c r="BY142" s="362"/>
      <c r="BZ142" s="362"/>
      <c r="CA142" s="362"/>
      <c r="CB142" s="362"/>
      <c r="CC142" s="362"/>
      <c r="CD142" s="362"/>
      <c r="CE142" s="362"/>
      <c r="CF142" s="362"/>
      <c r="CG142" s="362"/>
      <c r="CH142" s="362"/>
      <c r="CI142" s="362"/>
      <c r="CJ142" s="362"/>
      <c r="CK142" s="362"/>
      <c r="CL142" s="362"/>
      <c r="CM142" s="362"/>
      <c r="CN142" s="362"/>
      <c r="CO142" s="362"/>
      <c r="CP142" s="362"/>
      <c r="CQ142" s="362"/>
      <c r="CR142" s="362"/>
      <c r="CS142" s="362"/>
      <c r="CT142" s="362"/>
      <c r="CU142" s="362"/>
      <c r="CV142" s="362"/>
      <c r="CW142" s="362"/>
      <c r="CX142" s="362"/>
      <c r="CY142" s="362"/>
      <c r="CZ142" s="362"/>
      <c r="DA142" s="362"/>
      <c r="DB142" s="362"/>
      <c r="DC142" s="362"/>
      <c r="DD142" s="362"/>
      <c r="DE142" s="362"/>
      <c r="DF142" s="362"/>
      <c r="DG142" s="362"/>
      <c r="DH142" s="362"/>
    </row>
    <row r="143" ht="20.25" customHeight="1">
      <c r="A143" s="41">
        <v>143.0</v>
      </c>
      <c r="B143" s="42" t="s">
        <v>278</v>
      </c>
      <c r="C143" s="42" t="s">
        <v>108</v>
      </c>
      <c r="D143" s="42" t="s">
        <v>746</v>
      </c>
      <c r="E143" s="62"/>
      <c r="F143" s="59" t="s">
        <v>904</v>
      </c>
      <c r="G143" s="42" t="s">
        <v>905</v>
      </c>
      <c r="H143" s="42" t="s">
        <v>746</v>
      </c>
      <c r="I143" s="60">
        <v>45431.0</v>
      </c>
      <c r="J143" s="62"/>
      <c r="K143" s="42" t="s">
        <v>878</v>
      </c>
      <c r="L143" s="62"/>
      <c r="M143" s="42" t="s">
        <v>906</v>
      </c>
      <c r="N143" s="42" t="s">
        <v>880</v>
      </c>
      <c r="O143" s="42">
        <v>1.0</v>
      </c>
      <c r="P143" s="115" t="str">
        <f> hyperlink(vlookup(lower(N143),'File Links'!A:B, 2, FALSE), SUBSTITUTE(lower(N143), "/", "--") &amp;  ".pdf")</f>
        <v>10.1016--j.ijinfomgt.2018.03.001.pdf</v>
      </c>
      <c r="Q143" s="105" t="str">
        <f t="array" ref="Q143"> if(iserror(MATCH(V143, 'File Links'!C:C, 0)), "N/A", HYPERLINK(INDEX('File Links'!B:B, MATCH(P143, 'File Links'!C:C, 0))))</f>
        <v>N/A</v>
      </c>
      <c r="R143" s="42" t="s">
        <v>907</v>
      </c>
      <c r="S143" s="42" t="s">
        <v>908</v>
      </c>
      <c r="T143" s="62"/>
      <c r="U143" s="42">
        <v>1.0</v>
      </c>
      <c r="V143" s="63" t="str">
        <f> hyperlink(vlookup(lower(S143),'File Links'!E:F, 2, FALSE), SUBSTITUTE(lower(S143), "/", "--") &amp;  ".pdf")</f>
        <v>10.17645--mac.7669.pdf</v>
      </c>
      <c r="W143" s="42" t="s">
        <v>883</v>
      </c>
      <c r="X143" s="46" t="str">
        <f t="array" ref="X143"> if(iserror(MATCH(V143, 'File Links'!C:C, 0)), "N/A", HYPERLINK(INDEX('File Links'!B:B, MATCH(V143, 'File Links'!C:C, 0))))</f>
        <v>N/A</v>
      </c>
      <c r="Y143" s="42"/>
      <c r="Z143" s="42" t="s">
        <v>579</v>
      </c>
      <c r="AA143" s="42" t="s">
        <v>884</v>
      </c>
      <c r="AB143" s="42" t="s">
        <v>885</v>
      </c>
      <c r="AC143" s="42" t="s">
        <v>886</v>
      </c>
      <c r="AD143" s="42" t="s">
        <v>909</v>
      </c>
      <c r="AE143" s="42">
        <v>28.0</v>
      </c>
      <c r="AF143" s="42">
        <v>341.0</v>
      </c>
      <c r="AG143" s="411">
        <v>62.0</v>
      </c>
      <c r="AH143" s="42" t="s">
        <v>354</v>
      </c>
      <c r="AI143" s="42">
        <v>28.0</v>
      </c>
      <c r="AJ143" s="42">
        <v>0.05</v>
      </c>
      <c r="AK143" s="42" t="s">
        <v>328</v>
      </c>
      <c r="AL143" s="42" t="s">
        <v>129</v>
      </c>
      <c r="AM143" s="64"/>
      <c r="AN143" s="216" t="s">
        <v>131</v>
      </c>
      <c r="AO143" s="42">
        <v>351.0</v>
      </c>
      <c r="AP143" s="411">
        <v>94.0</v>
      </c>
      <c r="AQ143" s="42" t="s">
        <v>354</v>
      </c>
      <c r="AR143" s="42">
        <v>10.0</v>
      </c>
      <c r="AS143" s="42" t="s">
        <v>250</v>
      </c>
      <c r="AT143" s="42" t="s">
        <v>128</v>
      </c>
      <c r="AU143" s="42" t="s">
        <v>129</v>
      </c>
      <c r="AV143" s="64"/>
      <c r="AX143" s="126" t="s">
        <v>317</v>
      </c>
      <c r="AY143" s="62"/>
      <c r="BC143" s="362"/>
      <c r="BD143" s="362"/>
      <c r="BE143" s="362"/>
      <c r="BF143" s="362"/>
      <c r="BG143" s="362"/>
      <c r="BH143" s="362"/>
      <c r="BI143" s="362"/>
      <c r="BJ143" s="362"/>
      <c r="BK143" s="362"/>
      <c r="BL143" s="362"/>
      <c r="BM143" s="362"/>
      <c r="BN143" s="362"/>
      <c r="BO143" s="362"/>
      <c r="BP143" s="362"/>
      <c r="BQ143" s="362"/>
      <c r="BR143" s="362"/>
      <c r="BS143" s="362"/>
      <c r="BT143" s="362"/>
      <c r="BU143" s="362"/>
      <c r="BV143" s="362"/>
      <c r="BW143" s="362"/>
      <c r="BX143" s="362"/>
      <c r="BY143" s="362"/>
      <c r="BZ143" s="362"/>
      <c r="CA143" s="362"/>
      <c r="CB143" s="362"/>
      <c r="CC143" s="362"/>
      <c r="CD143" s="362"/>
      <c r="CE143" s="362"/>
      <c r="CF143" s="362"/>
      <c r="CG143" s="362"/>
      <c r="CH143" s="362"/>
      <c r="CI143" s="362"/>
      <c r="CJ143" s="362"/>
      <c r="CK143" s="362"/>
      <c r="CL143" s="362"/>
      <c r="CM143" s="362"/>
      <c r="CN143" s="362"/>
      <c r="CO143" s="362"/>
      <c r="CP143" s="362"/>
      <c r="CQ143" s="362"/>
      <c r="CR143" s="362"/>
      <c r="CS143" s="362"/>
      <c r="CT143" s="362"/>
      <c r="CU143" s="362"/>
      <c r="CV143" s="362"/>
      <c r="CW143" s="362"/>
      <c r="CX143" s="362"/>
      <c r="CY143" s="362"/>
      <c r="CZ143" s="362"/>
      <c r="DA143" s="362"/>
      <c r="DB143" s="362"/>
      <c r="DC143" s="362"/>
      <c r="DD143" s="362"/>
      <c r="DE143" s="362"/>
      <c r="DF143" s="362"/>
      <c r="DG143" s="362"/>
      <c r="DH143" s="362"/>
    </row>
    <row r="144" ht="20.25" customHeight="1">
      <c r="A144" s="41">
        <v>144.0</v>
      </c>
      <c r="B144" s="106" t="s">
        <v>107</v>
      </c>
      <c r="C144" s="106" t="s">
        <v>108</v>
      </c>
      <c r="D144" s="146" t="s">
        <v>435</v>
      </c>
      <c r="E144" s="69"/>
      <c r="F144" s="215" t="s">
        <v>910</v>
      </c>
      <c r="G144" s="207" t="s">
        <v>890</v>
      </c>
      <c r="H144" s="207" t="s">
        <v>438</v>
      </c>
      <c r="I144" s="412">
        <v>45638.0</v>
      </c>
      <c r="J144" s="308">
        <v>45663.0</v>
      </c>
      <c r="K144" s="207" t="s">
        <v>911</v>
      </c>
      <c r="L144" s="111"/>
      <c r="M144" s="207" t="s">
        <v>912</v>
      </c>
      <c r="N144" s="207" t="s">
        <v>913</v>
      </c>
      <c r="O144" s="111"/>
      <c r="P144" s="211" t="s">
        <v>914</v>
      </c>
      <c r="Q144" s="49" t="str">
        <f t="array" ref="Q144"> if(iserror(MATCH(V144, 'File Links'!C:C, 0)), "N/A", HYPERLINK(INDEX('File Links'!B:B, MATCH(P144, 'File Links'!C:C, 0))))</f>
        <v>https://drive.google.com/file/d/1bHfJ-3gEyIURBJhF8bZZGAbZGtPK135A/view?usp=drivesdk</v>
      </c>
      <c r="R144" s="207" t="s">
        <v>915</v>
      </c>
      <c r="S144" s="309" t="s">
        <v>916</v>
      </c>
      <c r="T144" s="111"/>
      <c r="U144" s="117"/>
      <c r="V144" s="63" t="str">
        <f> hyperlink(vlookup(lower(S144),'File Links'!E:F, 2, FALSE), SUBSTITUTE(lower(S144), "/", "--") &amp;  ".pdf")</f>
        <v>10.1007--s40617-024-00933-1.pdf</v>
      </c>
      <c r="W144" s="413" t="s">
        <v>917</v>
      </c>
      <c r="X144" s="51" t="str">
        <f t="array" ref="X144"> if(iserror(MATCH(V144, 'File Links'!C:C, 0)), "N/A", HYPERLINK(INDEX('File Links'!B:B, MATCH(V144, 'File Links'!C:C, 0))))</f>
        <v>https://drive.google.com/file/d/1LH5FS1-bb7IdYkCgO31BjONeTKWAtRQN/view?usp=drivesdk</v>
      </c>
      <c r="Y144" s="111"/>
      <c r="Z144" s="207" t="s">
        <v>234</v>
      </c>
      <c r="AA144" s="111"/>
      <c r="AB144" s="109" t="s">
        <v>918</v>
      </c>
      <c r="AC144" s="109" t="s">
        <v>919</v>
      </c>
      <c r="AD144" s="207" t="s">
        <v>920</v>
      </c>
      <c r="AE144" s="214">
        <v>5.0</v>
      </c>
      <c r="AF144" s="114">
        <v>5.0</v>
      </c>
      <c r="AG144" s="111"/>
      <c r="AH144" s="117"/>
      <c r="AI144" s="111"/>
      <c r="AJ144" s="111"/>
      <c r="AK144" s="108"/>
      <c r="AL144" s="207" t="s">
        <v>179</v>
      </c>
      <c r="AM144" s="207" t="s">
        <v>134</v>
      </c>
      <c r="AN144" s="216" t="s">
        <v>131</v>
      </c>
      <c r="AO144" s="214">
        <v>4.0</v>
      </c>
      <c r="AP144" s="111"/>
      <c r="AQ144" s="111"/>
      <c r="AR144" s="111"/>
      <c r="AS144" s="111"/>
      <c r="AT144" s="108"/>
      <c r="AU144" s="215" t="s">
        <v>179</v>
      </c>
      <c r="AV144" s="215" t="s">
        <v>134</v>
      </c>
      <c r="AW144" s="108"/>
      <c r="AX144" s="215" t="s">
        <v>136</v>
      </c>
      <c r="AY144" s="58"/>
      <c r="AZ144" s="146" t="s">
        <v>137</v>
      </c>
      <c r="BC144" s="362"/>
      <c r="BD144" s="362"/>
      <c r="BE144" s="362"/>
      <c r="BF144" s="362"/>
      <c r="BG144" s="362"/>
      <c r="BH144" s="362"/>
      <c r="BI144" s="362"/>
      <c r="BJ144" s="362"/>
      <c r="BK144" s="362"/>
      <c r="BL144" s="362"/>
      <c r="BM144" s="362"/>
      <c r="BN144" s="362"/>
      <c r="BO144" s="362"/>
      <c r="BP144" s="362"/>
      <c r="BQ144" s="362"/>
      <c r="BR144" s="362"/>
      <c r="BS144" s="362"/>
      <c r="BT144" s="362"/>
      <c r="BU144" s="362"/>
      <c r="BV144" s="362"/>
      <c r="BW144" s="362"/>
      <c r="BX144" s="362"/>
      <c r="BY144" s="362"/>
      <c r="BZ144" s="362"/>
      <c r="CA144" s="362"/>
      <c r="CB144" s="362"/>
      <c r="CC144" s="362"/>
      <c r="CD144" s="362"/>
      <c r="CE144" s="362"/>
      <c r="CF144" s="362"/>
      <c r="CG144" s="362"/>
      <c r="CH144" s="362"/>
      <c r="CI144" s="362"/>
      <c r="CJ144" s="362"/>
      <c r="CK144" s="362"/>
      <c r="CL144" s="362"/>
      <c r="CM144" s="362"/>
      <c r="CN144" s="362"/>
      <c r="CO144" s="362"/>
      <c r="CP144" s="362"/>
      <c r="CQ144" s="362"/>
      <c r="CR144" s="362"/>
      <c r="CS144" s="362"/>
      <c r="CT144" s="362"/>
      <c r="CU144" s="362"/>
      <c r="CV144" s="362"/>
      <c r="CW144" s="362"/>
      <c r="CX144" s="362"/>
      <c r="CY144" s="362"/>
      <c r="CZ144" s="362"/>
      <c r="DA144" s="362"/>
      <c r="DB144" s="362"/>
      <c r="DC144" s="362"/>
      <c r="DD144" s="362"/>
      <c r="DE144" s="362"/>
      <c r="DF144" s="362"/>
      <c r="DG144" s="362"/>
      <c r="DH144" s="362"/>
    </row>
    <row r="145" ht="20.25" customHeight="1">
      <c r="A145" s="41">
        <v>145.0</v>
      </c>
      <c r="B145" s="146" t="s">
        <v>516</v>
      </c>
      <c r="C145" s="146" t="s">
        <v>108</v>
      </c>
      <c r="D145" s="146" t="s">
        <v>339</v>
      </c>
      <c r="E145" s="69"/>
      <c r="F145" s="108" t="s">
        <v>910</v>
      </c>
      <c r="G145" s="109" t="s">
        <v>890</v>
      </c>
      <c r="H145" s="109" t="s">
        <v>342</v>
      </c>
      <c r="I145" s="414">
        <v>45641.0</v>
      </c>
      <c r="J145" s="308">
        <v>45663.0</v>
      </c>
      <c r="K145" s="111"/>
      <c r="L145" s="368" t="s">
        <v>921</v>
      </c>
      <c r="M145" s="109" t="s">
        <v>912</v>
      </c>
      <c r="N145" s="207" t="s">
        <v>913</v>
      </c>
      <c r="O145" s="114">
        <v>1.0</v>
      </c>
      <c r="P145" s="118" t="s">
        <v>914</v>
      </c>
      <c r="Q145" s="49" t="str">
        <f t="array" ref="Q145"> if(iserror(MATCH(V145, 'File Links'!C:C, 0)), "N/A", HYPERLINK(INDEX('File Links'!B:B, MATCH(P145, 'File Links'!C:C, 0))))</f>
        <v>https://drive.google.com/file/d/1bHfJ-3gEyIURBJhF8bZZGAbZGtPK135A/view?usp=drivesdk</v>
      </c>
      <c r="R145" s="415" t="s">
        <v>922</v>
      </c>
      <c r="S145" s="415" t="s">
        <v>916</v>
      </c>
      <c r="T145" s="111"/>
      <c r="U145" s="117"/>
      <c r="V145" s="63" t="str">
        <f> hyperlink(vlookup(lower(S145),'File Links'!E:F, 2, FALSE), SUBSTITUTE(lower(S145), "/", "--") &amp;  ".pdf")</f>
        <v>10.1007--s40617-024-00933-1.pdf</v>
      </c>
      <c r="W145" s="413" t="s">
        <v>917</v>
      </c>
      <c r="X145" s="51" t="str">
        <f t="array" ref="X145"> if(iserror(MATCH(V145, 'File Links'!C:C, 0)), "N/A", HYPERLINK(INDEX('File Links'!B:B, MATCH(V145, 'File Links'!C:C, 0))))</f>
        <v>https://drive.google.com/file/d/1LH5FS1-bb7IdYkCgO31BjONeTKWAtRQN/view?usp=drivesdk</v>
      </c>
      <c r="Y145" s="111"/>
      <c r="Z145" s="109" t="s">
        <v>234</v>
      </c>
      <c r="AA145" s="111"/>
      <c r="AB145" s="207" t="s">
        <v>923</v>
      </c>
      <c r="AC145" s="207" t="s">
        <v>924</v>
      </c>
      <c r="AD145" s="381" t="s">
        <v>925</v>
      </c>
      <c r="AE145" s="114">
        <v>8.0</v>
      </c>
      <c r="AF145" s="114">
        <v>5.0</v>
      </c>
      <c r="AG145" s="114">
        <v>0.98</v>
      </c>
      <c r="AH145" s="118" t="s">
        <v>166</v>
      </c>
      <c r="AI145" s="415" t="s">
        <v>926</v>
      </c>
      <c r="AJ145" s="416">
        <v>0.09</v>
      </c>
      <c r="AK145" s="417" t="s">
        <v>165</v>
      </c>
      <c r="AL145" s="109" t="s">
        <v>129</v>
      </c>
      <c r="AM145" s="111" t="s">
        <v>134</v>
      </c>
      <c r="AN145" s="111" t="s">
        <v>131</v>
      </c>
      <c r="AO145" s="114">
        <v>4.0</v>
      </c>
      <c r="AP145" s="114">
        <v>1.17</v>
      </c>
      <c r="AQ145" s="109" t="s">
        <v>166</v>
      </c>
      <c r="AR145" s="415" t="s">
        <v>927</v>
      </c>
      <c r="AS145" s="416">
        <v>0.101</v>
      </c>
      <c r="AT145" s="417" t="s">
        <v>165</v>
      </c>
      <c r="AU145" s="119" t="s">
        <v>129</v>
      </c>
      <c r="AV145" s="108" t="s">
        <v>134</v>
      </c>
      <c r="AW145" s="108" t="s">
        <v>131</v>
      </c>
      <c r="AX145" s="108" t="s">
        <v>144</v>
      </c>
      <c r="AY145" s="126"/>
      <c r="AZ145" s="146" t="s">
        <v>137</v>
      </c>
      <c r="BC145" s="69"/>
      <c r="BD145" s="69"/>
      <c r="BE145" s="69"/>
      <c r="BF145" s="69"/>
      <c r="BG145" s="69"/>
      <c r="BH145" s="69"/>
      <c r="BI145" s="69"/>
      <c r="BJ145" s="69"/>
      <c r="BK145" s="69"/>
      <c r="BL145" s="69"/>
      <c r="BM145" s="69"/>
      <c r="BN145" s="69"/>
      <c r="BO145" s="69"/>
      <c r="BP145" s="69"/>
      <c r="BQ145" s="69"/>
      <c r="BR145" s="69"/>
      <c r="BS145" s="69"/>
      <c r="BT145" s="69"/>
      <c r="BU145" s="69"/>
      <c r="BV145" s="69"/>
      <c r="BW145" s="69"/>
      <c r="BX145" s="69"/>
      <c r="BY145" s="69"/>
      <c r="BZ145" s="69"/>
      <c r="CA145" s="69"/>
      <c r="CB145" s="69"/>
      <c r="CC145" s="69"/>
      <c r="CD145" s="69"/>
      <c r="CE145" s="69"/>
      <c r="CF145" s="69"/>
      <c r="CG145" s="69"/>
      <c r="CH145" s="69"/>
      <c r="CI145" s="69"/>
      <c r="CJ145" s="69"/>
      <c r="CK145" s="69"/>
      <c r="CL145" s="69"/>
      <c r="CM145" s="69"/>
      <c r="CN145" s="69"/>
      <c r="CO145" s="69"/>
      <c r="CP145" s="69"/>
      <c r="CQ145" s="69"/>
      <c r="CR145" s="69"/>
      <c r="CS145" s="69"/>
      <c r="CT145" s="69"/>
      <c r="CU145" s="69"/>
      <c r="CV145" s="69"/>
      <c r="CW145" s="69"/>
      <c r="CX145" s="69"/>
      <c r="CY145" s="69"/>
      <c r="CZ145" s="69"/>
      <c r="DA145" s="69"/>
      <c r="DB145" s="69"/>
      <c r="DC145" s="69"/>
      <c r="DD145" s="69"/>
      <c r="DE145" s="69"/>
      <c r="DF145" s="69"/>
      <c r="DG145" s="69"/>
      <c r="DH145" s="69"/>
    </row>
    <row r="146" ht="20.25" customHeight="1">
      <c r="A146" s="41">
        <v>146.0</v>
      </c>
      <c r="B146" s="146" t="s">
        <v>516</v>
      </c>
      <c r="C146" s="146" t="s">
        <v>108</v>
      </c>
      <c r="D146" s="146" t="s">
        <v>339</v>
      </c>
      <c r="E146" s="69"/>
      <c r="F146" s="108" t="s">
        <v>910</v>
      </c>
      <c r="G146" s="109" t="s">
        <v>928</v>
      </c>
      <c r="H146" s="109" t="s">
        <v>342</v>
      </c>
      <c r="I146" s="414">
        <v>45641.0</v>
      </c>
      <c r="J146" s="308">
        <v>45663.0</v>
      </c>
      <c r="K146" s="207" t="s">
        <v>929</v>
      </c>
      <c r="L146" s="368" t="s">
        <v>921</v>
      </c>
      <c r="M146" s="109" t="s">
        <v>912</v>
      </c>
      <c r="N146" s="207" t="s">
        <v>913</v>
      </c>
      <c r="O146" s="114">
        <v>1.0</v>
      </c>
      <c r="P146" s="118" t="s">
        <v>914</v>
      </c>
      <c r="Q146" s="49" t="str">
        <f t="array" ref="Q146"> if(iserror(MATCH(V146, 'File Links'!C:C, 0)), "N/A", HYPERLINK(INDEX('File Links'!B:B, MATCH(P146, 'File Links'!C:C, 0))))</f>
        <v>https://drive.google.com/file/d/1bHfJ-3gEyIURBJhF8bZZGAbZGtPK135A/view?usp=drivesdk</v>
      </c>
      <c r="R146" s="415" t="s">
        <v>930</v>
      </c>
      <c r="S146" s="415" t="s">
        <v>916</v>
      </c>
      <c r="T146" s="111"/>
      <c r="U146" s="117"/>
      <c r="V146" s="63" t="str">
        <f> hyperlink(vlookup(lower(S146),'File Links'!E:F, 2, FALSE), SUBSTITUTE(lower(S146), "/", "--") &amp;  ".pdf")</f>
        <v>10.1007--s40617-024-00933-1.pdf</v>
      </c>
      <c r="W146" s="413" t="s">
        <v>917</v>
      </c>
      <c r="X146" s="51" t="str">
        <f t="array" ref="X146"> if(iserror(MATCH(V146, 'File Links'!C:C, 0)), "N/A", HYPERLINK(INDEX('File Links'!B:B, MATCH(V146, 'File Links'!C:C, 0))))</f>
        <v>https://drive.google.com/file/d/1LH5FS1-bb7IdYkCgO31BjONeTKWAtRQN/view?usp=drivesdk</v>
      </c>
      <c r="Y146" s="111"/>
      <c r="Z146" s="109" t="s">
        <v>234</v>
      </c>
      <c r="AA146" s="111"/>
      <c r="AB146" s="207" t="s">
        <v>923</v>
      </c>
      <c r="AC146" s="207" t="s">
        <v>931</v>
      </c>
      <c r="AD146" s="381" t="s">
        <v>932</v>
      </c>
      <c r="AE146" s="114">
        <v>1.0</v>
      </c>
      <c r="AF146" s="114">
        <v>5.0</v>
      </c>
      <c r="AG146" s="111"/>
      <c r="AH146" s="118" t="s">
        <v>166</v>
      </c>
      <c r="AI146" s="111"/>
      <c r="AJ146" s="111"/>
      <c r="AK146" s="108"/>
      <c r="AL146" s="111"/>
      <c r="AM146" s="111"/>
      <c r="AN146" s="111" t="s">
        <v>131</v>
      </c>
      <c r="AO146" s="114">
        <v>4.0</v>
      </c>
      <c r="AP146" s="111"/>
      <c r="AQ146" s="109" t="s">
        <v>166</v>
      </c>
      <c r="AR146" s="111"/>
      <c r="AS146" s="111"/>
      <c r="AT146" s="108"/>
      <c r="AU146" s="108"/>
      <c r="AV146" s="108"/>
      <c r="AW146" s="108" t="s">
        <v>131</v>
      </c>
      <c r="AX146" s="108" t="s">
        <v>144</v>
      </c>
      <c r="AY146" s="126"/>
      <c r="AZ146" s="146" t="s">
        <v>137</v>
      </c>
      <c r="BC146" s="69"/>
      <c r="BD146" s="69"/>
      <c r="BE146" s="69"/>
      <c r="BF146" s="69"/>
      <c r="BG146" s="69"/>
      <c r="BH146" s="69"/>
      <c r="BI146" s="69"/>
      <c r="BJ146" s="69"/>
      <c r="BK146" s="69"/>
      <c r="BL146" s="69"/>
      <c r="BM146" s="69"/>
      <c r="BN146" s="69"/>
      <c r="BO146" s="69"/>
      <c r="BP146" s="69"/>
      <c r="BQ146" s="69"/>
      <c r="BR146" s="69"/>
      <c r="BS146" s="69"/>
      <c r="BT146" s="69"/>
      <c r="BU146" s="69"/>
      <c r="BV146" s="69"/>
      <c r="BW146" s="69"/>
      <c r="BX146" s="69"/>
      <c r="BY146" s="69"/>
      <c r="BZ146" s="69"/>
      <c r="CA146" s="69"/>
      <c r="CB146" s="69"/>
      <c r="CC146" s="69"/>
      <c r="CD146" s="69"/>
      <c r="CE146" s="69"/>
      <c r="CF146" s="69"/>
      <c r="CG146" s="69"/>
      <c r="CH146" s="69"/>
      <c r="CI146" s="69"/>
      <c r="CJ146" s="69"/>
      <c r="CK146" s="69"/>
      <c r="CL146" s="69"/>
      <c r="CM146" s="69"/>
      <c r="CN146" s="69"/>
      <c r="CO146" s="69"/>
      <c r="CP146" s="69"/>
      <c r="CQ146" s="69"/>
      <c r="CR146" s="69"/>
      <c r="CS146" s="69"/>
      <c r="CT146" s="69"/>
      <c r="CU146" s="69"/>
      <c r="CV146" s="69"/>
      <c r="CW146" s="69"/>
      <c r="CX146" s="69"/>
      <c r="CY146" s="69"/>
      <c r="CZ146" s="69"/>
      <c r="DA146" s="69"/>
      <c r="DB146" s="69"/>
      <c r="DC146" s="69"/>
      <c r="DD146" s="69"/>
      <c r="DE146" s="69"/>
      <c r="DF146" s="69"/>
      <c r="DG146" s="69"/>
      <c r="DH146" s="69"/>
    </row>
    <row r="147" ht="20.25" customHeight="1">
      <c r="A147" s="41">
        <v>147.0</v>
      </c>
      <c r="B147" s="42" t="s">
        <v>278</v>
      </c>
      <c r="C147" s="42" t="s">
        <v>108</v>
      </c>
      <c r="D147" s="42" t="s">
        <v>746</v>
      </c>
      <c r="E147" s="62"/>
      <c r="F147" s="59" t="s">
        <v>933</v>
      </c>
      <c r="G147" s="42" t="s">
        <v>893</v>
      </c>
      <c r="H147" s="42" t="s">
        <v>746</v>
      </c>
      <c r="I147" s="60">
        <v>45427.0</v>
      </c>
      <c r="J147" s="62"/>
      <c r="K147" s="42" t="s">
        <v>934</v>
      </c>
      <c r="L147" s="62"/>
      <c r="M147" s="42" t="s">
        <v>935</v>
      </c>
      <c r="N147" s="42" t="s">
        <v>936</v>
      </c>
      <c r="O147" s="42">
        <v>1.0</v>
      </c>
      <c r="P147" s="115" t="str">
        <f> hyperlink(vlookup(lower(N147),'File Links'!A:B, 2, FALSE), SUBSTITUTE(lower(N147), "/", "--") &amp;  ".pdf")</f>
        <v>10.1111--j.1467-9280.2007.01961.x.pdf</v>
      </c>
      <c r="Q147" s="105" t="str">
        <f t="array" ref="Q147"> if(iserror(MATCH(V147, 'File Links'!C:C, 0)), "N/A", HYPERLINK(INDEX('File Links'!B:B, MATCH(P147, 'File Links'!C:C, 0))))</f>
        <v>N/A</v>
      </c>
      <c r="R147" s="42" t="s">
        <v>937</v>
      </c>
      <c r="S147" s="42" t="s">
        <v>938</v>
      </c>
      <c r="T147" s="62"/>
      <c r="U147" s="42">
        <v>2.0</v>
      </c>
      <c r="V147" s="63" t="str">
        <f> hyperlink(vlookup(lower(S147),'File Links'!E:F, 2, FALSE), SUBSTITUTE(lower(S147), "/", "--") &amp;  ".pdf")</f>
        <v>10.1177--09567976241246552.pdf</v>
      </c>
      <c r="W147" s="42" t="s">
        <v>939</v>
      </c>
      <c r="X147" s="46" t="str">
        <f t="array" ref="X147"> if(iserror(MATCH(V147, 'File Links'!C:C, 0)), "N/A", HYPERLINK(INDEX('File Links'!B:B, MATCH(V147, 'File Links'!C:C, 0))))</f>
        <v>N/A</v>
      </c>
      <c r="Y147" s="42"/>
      <c r="Z147" s="42" t="s">
        <v>940</v>
      </c>
      <c r="AA147" s="42" t="s">
        <v>941</v>
      </c>
      <c r="AB147" s="42" t="s">
        <v>942</v>
      </c>
      <c r="AC147" s="42" t="s">
        <v>943</v>
      </c>
      <c r="AD147" s="42" t="s">
        <v>944</v>
      </c>
      <c r="AE147" s="42">
        <v>690.0</v>
      </c>
      <c r="AF147" s="42">
        <v>76.0</v>
      </c>
      <c r="AG147" s="42">
        <v>1.11</v>
      </c>
      <c r="AH147" s="42" t="s">
        <v>166</v>
      </c>
      <c r="AI147" s="42">
        <v>690.0</v>
      </c>
      <c r="AJ147" s="42">
        <v>0.001</v>
      </c>
      <c r="AK147" s="42" t="s">
        <v>165</v>
      </c>
      <c r="AL147" s="42" t="s">
        <v>179</v>
      </c>
      <c r="AM147" s="64"/>
      <c r="AN147" s="111" t="s">
        <v>131</v>
      </c>
      <c r="AO147" s="42">
        <v>590.0</v>
      </c>
      <c r="AP147" s="411">
        <v>3.0</v>
      </c>
      <c r="AQ147" s="42" t="s">
        <v>132</v>
      </c>
      <c r="AR147" s="42">
        <v>22.0</v>
      </c>
      <c r="AS147" s="42" t="s">
        <v>945</v>
      </c>
      <c r="AT147" s="42" t="s">
        <v>165</v>
      </c>
      <c r="AU147" s="42" t="s">
        <v>179</v>
      </c>
      <c r="AV147" s="64"/>
      <c r="AX147" s="126" t="s">
        <v>317</v>
      </c>
      <c r="AY147" s="62"/>
    </row>
    <row r="148" ht="20.25" customHeight="1">
      <c r="A148" s="41">
        <v>148.0</v>
      </c>
      <c r="B148" s="42" t="s">
        <v>278</v>
      </c>
      <c r="C148" s="42" t="s">
        <v>108</v>
      </c>
      <c r="D148" s="42" t="s">
        <v>746</v>
      </c>
      <c r="E148" s="62"/>
      <c r="F148" s="59" t="s">
        <v>946</v>
      </c>
      <c r="G148" s="42" t="s">
        <v>899</v>
      </c>
      <c r="H148" s="42" t="s">
        <v>746</v>
      </c>
      <c r="I148" s="60">
        <v>45427.0</v>
      </c>
      <c r="J148" s="62"/>
      <c r="K148" s="42" t="s">
        <v>947</v>
      </c>
      <c r="L148" s="62"/>
      <c r="M148" s="42" t="s">
        <v>948</v>
      </c>
      <c r="N148" s="42" t="s">
        <v>949</v>
      </c>
      <c r="O148" s="42">
        <v>2.0</v>
      </c>
      <c r="P148" s="115" t="str">
        <f> hyperlink(vlookup(lower(N148),'File Links'!A:B, 2, FALSE), SUBSTITUTE(lower(N148), "/", "--") &amp;  ".pdf")</f>
        <v>10.1521--soco.2008.26.2.143.pdf</v>
      </c>
      <c r="Q148" s="105" t="str">
        <f t="array" ref="Q148"> if(iserror(MATCH(V148, 'File Links'!C:C, 0)), "N/A", HYPERLINK(INDEX('File Links'!B:B, MATCH(P148, 'File Links'!C:C, 0))))</f>
        <v>N/A</v>
      </c>
      <c r="R148" s="42" t="s">
        <v>950</v>
      </c>
      <c r="S148" s="42" t="s">
        <v>951</v>
      </c>
      <c r="T148" s="62"/>
      <c r="U148" s="42">
        <v>2.0</v>
      </c>
      <c r="V148" s="63" t="str">
        <f> hyperlink(vlookup(lower(S148),'File Links'!E:F, 2, FALSE), SUBSTITUTE(lower(S148), "/", "--") &amp;  ".pdf")</f>
        <v>10.1037--cns0000401.pdf</v>
      </c>
      <c r="W148" s="42" t="s">
        <v>939</v>
      </c>
      <c r="X148" s="46" t="str">
        <f t="array" ref="X148"> if(iserror(MATCH(V148, 'File Links'!C:C, 0)), "N/A", HYPERLINK(INDEX('File Links'!B:B, MATCH(V148, 'File Links'!C:C, 0))))</f>
        <v>N/A</v>
      </c>
      <c r="Y148" s="42"/>
      <c r="Z148" s="42" t="s">
        <v>940</v>
      </c>
      <c r="AA148" s="42" t="s">
        <v>952</v>
      </c>
      <c r="AB148" s="42" t="s">
        <v>953</v>
      </c>
      <c r="AC148" s="42" t="s">
        <v>954</v>
      </c>
      <c r="AD148" s="42" t="s">
        <v>955</v>
      </c>
      <c r="AE148" s="42">
        <v>148.0</v>
      </c>
      <c r="AF148" s="42">
        <v>166.0</v>
      </c>
      <c r="AG148" s="42">
        <v>-0.18</v>
      </c>
      <c r="AH148" s="42" t="s">
        <v>208</v>
      </c>
      <c r="AI148" s="42">
        <v>148.0</v>
      </c>
      <c r="AJ148" s="42">
        <v>0.02</v>
      </c>
      <c r="AK148" s="42" t="s">
        <v>165</v>
      </c>
      <c r="AL148" s="42" t="s">
        <v>129</v>
      </c>
      <c r="AM148" s="64"/>
      <c r="AN148" s="111" t="s">
        <v>131</v>
      </c>
      <c r="AO148" s="42">
        <v>885.0</v>
      </c>
      <c r="AP148" s="42">
        <v>0.02</v>
      </c>
      <c r="AQ148" s="42" t="s">
        <v>208</v>
      </c>
      <c r="AR148" s="42">
        <v>422.0</v>
      </c>
      <c r="AS148" s="42" t="s">
        <v>956</v>
      </c>
      <c r="AT148" s="42" t="s">
        <v>165</v>
      </c>
      <c r="AU148" s="42" t="s">
        <v>211</v>
      </c>
      <c r="AV148" s="64"/>
      <c r="AX148" s="126" t="s">
        <v>317</v>
      </c>
      <c r="AY148" s="62"/>
    </row>
    <row r="149" ht="20.25" customHeight="1">
      <c r="A149" s="41">
        <v>149.0</v>
      </c>
      <c r="B149" s="42" t="s">
        <v>278</v>
      </c>
      <c r="C149" s="42" t="s">
        <v>108</v>
      </c>
      <c r="D149" s="42" t="s">
        <v>746</v>
      </c>
      <c r="E149" s="62"/>
      <c r="F149" s="59" t="s">
        <v>957</v>
      </c>
      <c r="G149" s="42" t="s">
        <v>905</v>
      </c>
      <c r="H149" s="42" t="s">
        <v>746</v>
      </c>
      <c r="I149" s="60">
        <v>45427.0</v>
      </c>
      <c r="J149" s="62"/>
      <c r="K149" s="42" t="s">
        <v>958</v>
      </c>
      <c r="L149" s="62"/>
      <c r="M149" s="42" t="s">
        <v>959</v>
      </c>
      <c r="N149" s="42" t="s">
        <v>960</v>
      </c>
      <c r="O149" s="42">
        <v>2.0</v>
      </c>
      <c r="P149" s="115" t="str">
        <f> hyperlink(vlookup(lower(N149),'File Links'!A:B, 2, FALSE), SUBSTITUTE(lower(N149), "/", "--") &amp;  ".pdf")</f>
        <v>10.1177--0956797613478614.pdf</v>
      </c>
      <c r="Q149" s="49" t="str">
        <f t="array" ref="Q149"> if(iserror(MATCH(V149, 'File Links'!C:C, 0)), "N/A", HYPERLINK(INDEX('File Links'!B:B, MATCH(P149, 'File Links'!C:C, 0))))</f>
        <v>https://drive.google.com/file/d/145Pa13zh5Prx2VW-au4YJBMHc37TXuej/view?usp=drivesdk</v>
      </c>
      <c r="R149" s="42" t="s">
        <v>961</v>
      </c>
      <c r="S149" s="42" t="s">
        <v>960</v>
      </c>
      <c r="T149" s="62"/>
      <c r="U149" s="42">
        <v>2.0</v>
      </c>
      <c r="V149" s="63" t="str">
        <f> hyperlink(vlookup(lower(S149),'File Links'!E:F, 2, FALSE), SUBSTITUTE(lower(S149), "/", "--") &amp;  ".pdf")</f>
        <v>10.1177--0956797613478614.pdf</v>
      </c>
      <c r="W149" s="42" t="s">
        <v>939</v>
      </c>
      <c r="X149" s="51" t="str">
        <f t="array" ref="X149"> if(iserror(MATCH(V149, 'File Links'!C:C, 0)), "N/A", HYPERLINK(INDEX('File Links'!B:B, MATCH(V149, 'File Links'!C:C, 0))))</f>
        <v>https://drive.google.com/file/d/145Pa13zh5Prx2VW-au4YJBMHc37TXuej/view?usp=drivesdk</v>
      </c>
      <c r="Y149" s="62"/>
      <c r="Z149" s="42" t="s">
        <v>940</v>
      </c>
      <c r="AA149" s="42" t="s">
        <v>962</v>
      </c>
      <c r="AB149" s="42" t="s">
        <v>963</v>
      </c>
      <c r="AC149" s="42" t="s">
        <v>964</v>
      </c>
      <c r="AD149" s="42" t="s">
        <v>965</v>
      </c>
      <c r="AE149" s="42">
        <v>2.0</v>
      </c>
      <c r="AF149" s="42">
        <v>24.0</v>
      </c>
      <c r="AG149" s="42" t="s">
        <v>966</v>
      </c>
      <c r="AH149" s="42" t="s">
        <v>132</v>
      </c>
      <c r="AI149" s="42" t="s">
        <v>760</v>
      </c>
      <c r="AJ149" s="42">
        <v>0.001155</v>
      </c>
      <c r="AK149" s="42" t="s">
        <v>165</v>
      </c>
      <c r="AL149" s="42" t="s">
        <v>179</v>
      </c>
      <c r="AM149" s="64"/>
      <c r="AN149" s="111" t="s">
        <v>131</v>
      </c>
      <c r="AO149" s="42">
        <v>50.0</v>
      </c>
      <c r="AP149" s="62"/>
      <c r="AQ149" s="62"/>
      <c r="AR149" s="62"/>
      <c r="AS149" s="62"/>
      <c r="AT149" s="62"/>
      <c r="AU149" s="42" t="s">
        <v>179</v>
      </c>
      <c r="AV149" s="64"/>
      <c r="AX149" s="126" t="s">
        <v>567</v>
      </c>
      <c r="AY149" s="62"/>
      <c r="BC149" s="69"/>
      <c r="BD149" s="69"/>
      <c r="BE149" s="69"/>
      <c r="BF149" s="69"/>
      <c r="BG149" s="69"/>
      <c r="BH149" s="69"/>
      <c r="BI149" s="69"/>
      <c r="BJ149" s="69"/>
      <c r="BK149" s="69"/>
      <c r="BL149" s="69"/>
      <c r="BM149" s="69"/>
      <c r="BN149" s="69"/>
      <c r="BO149" s="69"/>
      <c r="BP149" s="69"/>
      <c r="BQ149" s="69"/>
      <c r="BR149" s="69"/>
      <c r="BS149" s="69"/>
      <c r="BT149" s="69"/>
      <c r="BU149" s="69"/>
      <c r="BV149" s="69"/>
      <c r="BW149" s="69"/>
      <c r="BX149" s="69"/>
      <c r="BY149" s="69"/>
      <c r="BZ149" s="69"/>
      <c r="CA149" s="69"/>
      <c r="CB149" s="69"/>
      <c r="CC149" s="69"/>
      <c r="CD149" s="69"/>
      <c r="CE149" s="69"/>
      <c r="CF149" s="69"/>
      <c r="CG149" s="69"/>
      <c r="CH149" s="69"/>
      <c r="CI149" s="69"/>
      <c r="CJ149" s="69"/>
      <c r="CK149" s="69"/>
      <c r="CL149" s="69"/>
      <c r="CM149" s="69"/>
      <c r="CN149" s="69"/>
      <c r="CO149" s="69"/>
      <c r="CP149" s="69"/>
      <c r="CQ149" s="69"/>
      <c r="CR149" s="69"/>
      <c r="CS149" s="69"/>
      <c r="CT149" s="69"/>
      <c r="CU149" s="69"/>
      <c r="CV149" s="69"/>
      <c r="CW149" s="69"/>
      <c r="CX149" s="69"/>
      <c r="CY149" s="69"/>
      <c r="CZ149" s="69"/>
      <c r="DA149" s="69"/>
      <c r="DB149" s="69"/>
      <c r="DC149" s="69"/>
      <c r="DD149" s="69"/>
      <c r="DE149" s="69"/>
      <c r="DF149" s="69"/>
      <c r="DG149" s="69"/>
      <c r="DH149" s="69"/>
    </row>
    <row r="150" ht="20.25" customHeight="1">
      <c r="A150" s="41">
        <v>150.0</v>
      </c>
      <c r="B150" s="42" t="s">
        <v>278</v>
      </c>
      <c r="C150" s="42" t="s">
        <v>108</v>
      </c>
      <c r="D150" s="42" t="s">
        <v>746</v>
      </c>
      <c r="E150" s="62"/>
      <c r="F150" s="59" t="s">
        <v>957</v>
      </c>
      <c r="G150" s="42" t="s">
        <v>905</v>
      </c>
      <c r="H150" s="42" t="s">
        <v>746</v>
      </c>
      <c r="I150" s="60">
        <v>45427.0</v>
      </c>
      <c r="J150" s="62"/>
      <c r="K150" s="42" t="s">
        <v>958</v>
      </c>
      <c r="L150" s="62"/>
      <c r="M150" s="42" t="s">
        <v>959</v>
      </c>
      <c r="N150" s="42" t="s">
        <v>960</v>
      </c>
      <c r="O150" s="42">
        <v>2.0</v>
      </c>
      <c r="P150" s="115" t="str">
        <f> hyperlink(vlookup(lower(N150),'File Links'!A:B, 2, FALSE), SUBSTITUTE(lower(N150), "/", "--") &amp;  ".pdf")</f>
        <v>10.1177--0956797613478614.pdf</v>
      </c>
      <c r="Q150" s="49" t="str">
        <f t="array" ref="Q150"> if(iserror(MATCH(V150, 'File Links'!C:C, 0)), "N/A", HYPERLINK(INDEX('File Links'!B:B, MATCH(P150, 'File Links'!C:C, 0))))</f>
        <v>https://drive.google.com/file/d/145Pa13zh5Prx2VW-au4YJBMHc37TXuej/view?usp=drivesdk</v>
      </c>
      <c r="R150" s="42" t="s">
        <v>961</v>
      </c>
      <c r="S150" s="42" t="s">
        <v>960</v>
      </c>
      <c r="T150" s="62"/>
      <c r="U150" s="42">
        <v>2.0</v>
      </c>
      <c r="V150" s="63" t="str">
        <f> hyperlink(vlookup(lower(S150),'File Links'!E:F, 2, FALSE), SUBSTITUTE(lower(S150), "/", "--") &amp;  ".pdf")</f>
        <v>10.1177--0956797613478614.pdf</v>
      </c>
      <c r="W150" s="42" t="s">
        <v>939</v>
      </c>
      <c r="X150" s="51" t="str">
        <f t="array" ref="X150"> if(iserror(MATCH(V150, 'File Links'!C:C, 0)), "N/A", HYPERLINK(INDEX('File Links'!B:B, MATCH(V150, 'File Links'!C:C, 0))))</f>
        <v>https://drive.google.com/file/d/145Pa13zh5Prx2VW-au4YJBMHc37TXuej/view?usp=drivesdk</v>
      </c>
      <c r="Y150" s="62"/>
      <c r="Z150" s="42" t="s">
        <v>940</v>
      </c>
      <c r="AA150" s="42" t="s">
        <v>962</v>
      </c>
      <c r="AB150" s="42" t="s">
        <v>963</v>
      </c>
      <c r="AC150" s="42" t="s">
        <v>964</v>
      </c>
      <c r="AD150" s="42" t="s">
        <v>967</v>
      </c>
      <c r="AE150" s="42">
        <v>2.0</v>
      </c>
      <c r="AF150" s="42">
        <v>24.0</v>
      </c>
      <c r="AG150" s="42" t="s">
        <v>966</v>
      </c>
      <c r="AH150" s="42" t="s">
        <v>132</v>
      </c>
      <c r="AI150" s="42" t="s">
        <v>760</v>
      </c>
      <c r="AJ150" s="42">
        <v>0.08</v>
      </c>
      <c r="AK150" s="42" t="s">
        <v>128</v>
      </c>
      <c r="AL150" s="42" t="s">
        <v>179</v>
      </c>
      <c r="AM150" s="64"/>
      <c r="AN150" s="111" t="s">
        <v>131</v>
      </c>
      <c r="AO150" s="42">
        <v>50.0</v>
      </c>
      <c r="AP150" s="62"/>
      <c r="AQ150" s="62"/>
      <c r="AR150" s="62"/>
      <c r="AS150" s="62"/>
      <c r="AT150" s="62"/>
      <c r="AU150" s="42" t="s">
        <v>179</v>
      </c>
      <c r="AV150" s="64"/>
      <c r="AX150" s="126" t="s">
        <v>567</v>
      </c>
      <c r="AY150" s="62"/>
      <c r="BC150" s="69"/>
      <c r="BD150" s="69"/>
      <c r="BE150" s="69"/>
      <c r="BF150" s="69"/>
      <c r="BG150" s="69"/>
      <c r="BH150" s="69"/>
      <c r="BI150" s="69"/>
      <c r="BJ150" s="69"/>
      <c r="BK150" s="69"/>
      <c r="BL150" s="69"/>
      <c r="BM150" s="69"/>
      <c r="BN150" s="69"/>
      <c r="BO150" s="69"/>
      <c r="BP150" s="69"/>
      <c r="BQ150" s="69"/>
      <c r="BR150" s="69"/>
      <c r="BS150" s="69"/>
      <c r="BT150" s="69"/>
      <c r="BU150" s="69"/>
      <c r="BV150" s="69"/>
      <c r="BW150" s="69"/>
      <c r="BX150" s="69"/>
      <c r="BY150" s="69"/>
      <c r="BZ150" s="69"/>
      <c r="CA150" s="69"/>
      <c r="CB150" s="69"/>
      <c r="CC150" s="69"/>
      <c r="CD150" s="69"/>
      <c r="CE150" s="69"/>
      <c r="CF150" s="69"/>
      <c r="CG150" s="69"/>
      <c r="CH150" s="69"/>
      <c r="CI150" s="69"/>
      <c r="CJ150" s="69"/>
      <c r="CK150" s="69"/>
      <c r="CL150" s="69"/>
      <c r="CM150" s="69"/>
      <c r="CN150" s="69"/>
      <c r="CO150" s="69"/>
      <c r="CP150" s="69"/>
      <c r="CQ150" s="69"/>
      <c r="CR150" s="69"/>
      <c r="CS150" s="69"/>
      <c r="CT150" s="69"/>
      <c r="CU150" s="69"/>
      <c r="CV150" s="69"/>
      <c r="CW150" s="69"/>
      <c r="CX150" s="69"/>
      <c r="CY150" s="69"/>
      <c r="CZ150" s="69"/>
      <c r="DA150" s="69"/>
      <c r="DB150" s="69"/>
      <c r="DC150" s="69"/>
      <c r="DD150" s="69"/>
      <c r="DE150" s="69"/>
      <c r="DF150" s="69"/>
      <c r="DG150" s="69"/>
      <c r="DH150" s="69"/>
    </row>
    <row r="151" ht="20.25" customHeight="1">
      <c r="A151" s="41">
        <v>151.0</v>
      </c>
      <c r="B151" s="42" t="s">
        <v>278</v>
      </c>
      <c r="C151" s="42" t="s">
        <v>108</v>
      </c>
      <c r="D151" s="42" t="s">
        <v>746</v>
      </c>
      <c r="E151" s="62"/>
      <c r="F151" s="59" t="s">
        <v>957</v>
      </c>
      <c r="G151" s="42" t="s">
        <v>905</v>
      </c>
      <c r="H151" s="42" t="s">
        <v>746</v>
      </c>
      <c r="I151" s="60">
        <v>45427.0</v>
      </c>
      <c r="J151" s="62"/>
      <c r="K151" s="42" t="s">
        <v>958</v>
      </c>
      <c r="L151" s="62"/>
      <c r="M151" s="42" t="s">
        <v>959</v>
      </c>
      <c r="N151" s="42" t="s">
        <v>960</v>
      </c>
      <c r="O151" s="42">
        <v>2.0</v>
      </c>
      <c r="P151" s="115" t="str">
        <f> hyperlink(vlookup(lower(N151),'File Links'!A:B, 2, FALSE), SUBSTITUTE(lower(N151), "/", "--") &amp;  ".pdf")</f>
        <v>10.1177--0956797613478614.pdf</v>
      </c>
      <c r="Q151" s="49" t="str">
        <f t="array" ref="Q151"> if(iserror(MATCH(V151, 'File Links'!C:C, 0)), "N/A", HYPERLINK(INDEX('File Links'!B:B, MATCH(P151, 'File Links'!C:C, 0))))</f>
        <v>https://drive.google.com/file/d/145Pa13zh5Prx2VW-au4YJBMHc37TXuej/view?usp=drivesdk</v>
      </c>
      <c r="R151" s="42" t="s">
        <v>961</v>
      </c>
      <c r="S151" s="42" t="s">
        <v>960</v>
      </c>
      <c r="T151" s="62"/>
      <c r="U151" s="42">
        <v>2.0</v>
      </c>
      <c r="V151" s="63" t="str">
        <f> hyperlink(vlookup(lower(S151),'File Links'!E:F, 2, FALSE), SUBSTITUTE(lower(S151), "/", "--") &amp;  ".pdf")</f>
        <v>10.1177--0956797613478614.pdf</v>
      </c>
      <c r="W151" s="42" t="s">
        <v>939</v>
      </c>
      <c r="X151" s="51" t="str">
        <f t="array" ref="X151"> if(iserror(MATCH(V151, 'File Links'!C:C, 0)), "N/A", HYPERLINK(INDEX('File Links'!B:B, MATCH(V151, 'File Links'!C:C, 0))))</f>
        <v>https://drive.google.com/file/d/145Pa13zh5Prx2VW-au4YJBMHc37TXuej/view?usp=drivesdk</v>
      </c>
      <c r="Y151" s="62"/>
      <c r="Z151" s="42" t="s">
        <v>940</v>
      </c>
      <c r="AA151" s="42" t="s">
        <v>962</v>
      </c>
      <c r="AB151" s="42" t="s">
        <v>963</v>
      </c>
      <c r="AC151" s="42" t="s">
        <v>964</v>
      </c>
      <c r="AD151" s="42" t="s">
        <v>968</v>
      </c>
      <c r="AE151" s="42">
        <v>2.0</v>
      </c>
      <c r="AF151" s="42">
        <v>24.0</v>
      </c>
      <c r="AG151" s="42" t="s">
        <v>966</v>
      </c>
      <c r="AH151" s="42" t="s">
        <v>132</v>
      </c>
      <c r="AI151" s="42" t="s">
        <v>760</v>
      </c>
      <c r="AJ151" s="42">
        <v>0.00265</v>
      </c>
      <c r="AK151" s="42" t="s">
        <v>128</v>
      </c>
      <c r="AL151" s="42" t="s">
        <v>179</v>
      </c>
      <c r="AM151" s="64"/>
      <c r="AN151" s="111" t="s">
        <v>131</v>
      </c>
      <c r="AO151" s="42">
        <v>50.0</v>
      </c>
      <c r="AP151" s="62"/>
      <c r="AQ151" s="62"/>
      <c r="AR151" s="62"/>
      <c r="AS151" s="62"/>
      <c r="AT151" s="62"/>
      <c r="AU151" s="42" t="s">
        <v>179</v>
      </c>
      <c r="AV151" s="64"/>
      <c r="AX151" s="126" t="s">
        <v>567</v>
      </c>
      <c r="AY151" s="62"/>
      <c r="BA151" s="104"/>
      <c r="BB151" s="104"/>
      <c r="BC151" s="104"/>
      <c r="BD151" s="104"/>
      <c r="BE151" s="104"/>
      <c r="BF151" s="104"/>
      <c r="BG151" s="104"/>
      <c r="BH151" s="104"/>
      <c r="BI151" s="104"/>
      <c r="BJ151" s="104"/>
      <c r="BK151" s="104"/>
      <c r="BL151" s="104"/>
      <c r="BM151" s="104"/>
      <c r="BN151" s="104"/>
      <c r="BO151" s="104"/>
      <c r="BP151" s="104"/>
      <c r="BQ151" s="104"/>
      <c r="BR151" s="104"/>
      <c r="BS151" s="104"/>
      <c r="BT151" s="104"/>
      <c r="BU151" s="104"/>
      <c r="BV151" s="104"/>
      <c r="BW151" s="104"/>
      <c r="BX151" s="104"/>
      <c r="BY151" s="104"/>
      <c r="BZ151" s="104"/>
      <c r="CA151" s="104"/>
      <c r="CB151" s="104"/>
      <c r="CC151" s="104"/>
      <c r="CD151" s="104"/>
      <c r="CE151" s="104"/>
      <c r="CF151" s="104"/>
      <c r="CG151" s="104"/>
      <c r="CH151" s="104"/>
      <c r="CI151" s="104"/>
      <c r="CJ151" s="104"/>
      <c r="CK151" s="104"/>
      <c r="CL151" s="104"/>
      <c r="CM151" s="104"/>
      <c r="CN151" s="104"/>
      <c r="CO151" s="104"/>
      <c r="CP151" s="104"/>
      <c r="CQ151" s="104"/>
      <c r="CR151" s="104"/>
      <c r="CS151" s="104"/>
      <c r="CT151" s="104"/>
      <c r="CU151" s="104"/>
      <c r="CV151" s="104"/>
      <c r="CW151" s="104"/>
      <c r="CX151" s="104"/>
      <c r="CY151" s="104"/>
      <c r="CZ151" s="104"/>
      <c r="DA151" s="104"/>
      <c r="DB151" s="104"/>
      <c r="DC151" s="104"/>
      <c r="DD151" s="104"/>
      <c r="DE151" s="104"/>
      <c r="DF151" s="104"/>
      <c r="DG151" s="104"/>
      <c r="DH151" s="104"/>
    </row>
    <row r="152" ht="20.25" customHeight="1">
      <c r="A152" s="41">
        <v>152.0</v>
      </c>
      <c r="B152" s="145" t="s">
        <v>278</v>
      </c>
      <c r="C152" s="145" t="s">
        <v>108</v>
      </c>
      <c r="D152" s="418" t="s">
        <v>435</v>
      </c>
      <c r="E152" s="362"/>
      <c r="F152" s="419" t="s">
        <v>969</v>
      </c>
      <c r="G152" s="420" t="s">
        <v>970</v>
      </c>
      <c r="H152" s="420" t="s">
        <v>438</v>
      </c>
      <c r="I152" s="421">
        <v>45634.0</v>
      </c>
      <c r="J152" s="422">
        <v>45670.0</v>
      </c>
      <c r="K152" s="420" t="s">
        <v>971</v>
      </c>
      <c r="L152" s="423"/>
      <c r="M152" s="420" t="s">
        <v>972</v>
      </c>
      <c r="N152" s="420" t="s">
        <v>973</v>
      </c>
      <c r="O152" s="423"/>
      <c r="P152" s="424" t="s">
        <v>974</v>
      </c>
      <c r="Q152" s="49" t="str">
        <f t="array" ref="Q152"> if(iserror(MATCH(V152, 'File Links'!C:C, 0)), "N/A", HYPERLINK(INDEX('File Links'!B:B, MATCH(P152, 'File Links'!C:C, 0))))</f>
        <v>https://drive.google.com/file/d/1PO93PC_ps2XExqA6N_FX_WnXnQAPrB_Q/view?usp=drivesdk</v>
      </c>
      <c r="R152" s="420" t="s">
        <v>975</v>
      </c>
      <c r="S152" s="420" t="s">
        <v>976</v>
      </c>
      <c r="T152" s="423"/>
      <c r="U152" s="425"/>
      <c r="V152" s="63" t="str">
        <f> hyperlink(vlookup(lower(S152),'File Links'!E:F, 2, FALSE), SUBSTITUTE(lower(S152), "/", "--") &amp;  ".pdf")</f>
        <v>10.1016--j.jenvp.2024.102289.pdf</v>
      </c>
      <c r="W152" s="420" t="s">
        <v>157</v>
      </c>
      <c r="X152" s="51" t="str">
        <f t="array" ref="X152"> if(iserror(MATCH(V152, 'File Links'!C:C, 0)), "N/A", HYPERLINK(INDEX('File Links'!B:B, MATCH(V152, 'File Links'!C:C, 0))))</f>
        <v>https://drive.google.com/file/d/1y9Sta1A62b6o1louE7uCjU6m-n4q0e5j/view?usp=drivesdk</v>
      </c>
      <c r="Y152" s="423"/>
      <c r="Z152" s="420" t="s">
        <v>219</v>
      </c>
      <c r="AA152" s="423"/>
      <c r="AB152" s="420" t="s">
        <v>977</v>
      </c>
      <c r="AC152" s="420" t="s">
        <v>978</v>
      </c>
      <c r="AD152" s="420" t="s">
        <v>979</v>
      </c>
      <c r="AE152" s="426">
        <v>4.0</v>
      </c>
      <c r="AF152" s="426">
        <v>44387.0</v>
      </c>
      <c r="AG152" s="426">
        <v>0.16</v>
      </c>
      <c r="AH152" s="424" t="s">
        <v>980</v>
      </c>
      <c r="AI152" s="420" t="s">
        <v>489</v>
      </c>
      <c r="AJ152" s="426">
        <v>0.001</v>
      </c>
      <c r="AK152" s="419" t="s">
        <v>128</v>
      </c>
      <c r="AL152" s="420" t="s">
        <v>179</v>
      </c>
      <c r="AM152" s="420" t="s">
        <v>134</v>
      </c>
      <c r="AN152" s="427" t="s">
        <v>981</v>
      </c>
      <c r="AO152" s="426">
        <v>40177.0</v>
      </c>
      <c r="AP152" s="428">
        <v>0.18</v>
      </c>
      <c r="AQ152" s="420" t="s">
        <v>980</v>
      </c>
      <c r="AR152" s="427" t="s">
        <v>500</v>
      </c>
      <c r="AS152" s="428">
        <v>0.001</v>
      </c>
      <c r="AT152" s="419" t="s">
        <v>128</v>
      </c>
      <c r="AU152" s="419" t="s">
        <v>179</v>
      </c>
      <c r="AV152" s="419" t="s">
        <v>134</v>
      </c>
      <c r="AW152" s="429" t="s">
        <v>982</v>
      </c>
      <c r="AX152" s="430" t="s">
        <v>431</v>
      </c>
      <c r="AY152" s="58"/>
      <c r="AZ152" s="362"/>
      <c r="BA152" s="69"/>
      <c r="BB152" s="69"/>
      <c r="BC152" s="69"/>
      <c r="BD152" s="69"/>
      <c r="BE152" s="69"/>
      <c r="BF152" s="69"/>
      <c r="BG152" s="69"/>
      <c r="BH152" s="69"/>
      <c r="BI152" s="69"/>
      <c r="BJ152" s="69"/>
      <c r="BK152" s="69"/>
      <c r="BL152" s="69"/>
      <c r="BM152" s="69"/>
      <c r="BN152" s="69"/>
      <c r="BO152" s="69"/>
      <c r="BP152" s="69"/>
      <c r="BQ152" s="69"/>
      <c r="BR152" s="69"/>
      <c r="BS152" s="69"/>
      <c r="BT152" s="69"/>
      <c r="BU152" s="69"/>
      <c r="BV152" s="69"/>
      <c r="BW152" s="69"/>
      <c r="BX152" s="69"/>
      <c r="BY152" s="69"/>
      <c r="BZ152" s="69"/>
      <c r="CA152" s="69"/>
      <c r="CB152" s="69"/>
      <c r="CC152" s="69"/>
      <c r="CD152" s="69"/>
      <c r="CE152" s="69"/>
      <c r="CF152" s="69"/>
      <c r="CG152" s="69"/>
      <c r="CH152" s="69"/>
      <c r="CI152" s="69"/>
      <c r="CJ152" s="69"/>
      <c r="CK152" s="69"/>
      <c r="CL152" s="69"/>
      <c r="CM152" s="69"/>
      <c r="CN152" s="69"/>
      <c r="CO152" s="69"/>
      <c r="CP152" s="69"/>
      <c r="CQ152" s="69"/>
      <c r="CR152" s="69"/>
      <c r="CS152" s="69"/>
      <c r="CT152" s="69"/>
      <c r="CU152" s="69"/>
      <c r="CV152" s="69"/>
      <c r="CW152" s="69"/>
      <c r="CX152" s="69"/>
      <c r="CY152" s="69"/>
      <c r="CZ152" s="69"/>
      <c r="DA152" s="69"/>
      <c r="DB152" s="69"/>
      <c r="DC152" s="69"/>
      <c r="DD152" s="69"/>
      <c r="DE152" s="69"/>
      <c r="DF152" s="69"/>
      <c r="DG152" s="69"/>
      <c r="DH152" s="69"/>
    </row>
    <row r="153" ht="20.25" customHeight="1">
      <c r="A153" s="41">
        <v>153.0</v>
      </c>
      <c r="B153" s="418" t="s">
        <v>583</v>
      </c>
      <c r="C153" s="418" t="s">
        <v>108</v>
      </c>
      <c r="D153" s="418" t="s">
        <v>983</v>
      </c>
      <c r="E153" s="362"/>
      <c r="F153" s="65" t="s">
        <v>969</v>
      </c>
      <c r="G153" s="54" t="s">
        <v>984</v>
      </c>
      <c r="H153" s="156" t="s">
        <v>137</v>
      </c>
      <c r="I153" s="149">
        <v>45427.0</v>
      </c>
      <c r="J153" s="431">
        <v>45639.0</v>
      </c>
      <c r="K153" s="65"/>
      <c r="L153" s="335"/>
      <c r="M153" s="156" t="s">
        <v>972</v>
      </c>
      <c r="N153" s="156" t="s">
        <v>973</v>
      </c>
      <c r="O153" s="153">
        <v>1.0</v>
      </c>
      <c r="P153" s="156" t="s">
        <v>974</v>
      </c>
      <c r="Q153" s="49" t="str">
        <f t="array" ref="Q153"> if(iserror(MATCH(V153, 'File Links'!C:C, 0)), "N/A", HYPERLINK(INDEX('File Links'!B:B, MATCH(P153, 'File Links'!C:C, 0))))</f>
        <v>https://drive.google.com/file/d/1PO93PC_ps2XExqA6N_FX_WnXnQAPrB_Q/view?usp=drivesdk</v>
      </c>
      <c r="R153" s="156" t="s">
        <v>975</v>
      </c>
      <c r="S153" s="54" t="s">
        <v>976</v>
      </c>
      <c r="T153" s="65"/>
      <c r="U153" s="65"/>
      <c r="V153" s="63" t="str">
        <f> hyperlink(vlookup(lower(S153),'File Links'!E:F, 2, FALSE), SUBSTITUTE(lower(S153), "/", "--") &amp;  ".pdf")</f>
        <v>10.1016--j.jenvp.2024.102289.pdf</v>
      </c>
      <c r="W153" s="54" t="s">
        <v>202</v>
      </c>
      <c r="X153" s="51" t="str">
        <f t="array" ref="X153"> if(iserror(MATCH(V153, 'File Links'!C:C, 0)), "N/A", HYPERLINK(INDEX('File Links'!B:B, MATCH(V153, 'File Links'!C:C, 0))))</f>
        <v>https://drive.google.com/file/d/1y9Sta1A62b6o1louE7uCjU6m-n4q0e5j/view?usp=drivesdk</v>
      </c>
      <c r="Y153" s="65"/>
      <c r="Z153" s="54" t="s">
        <v>121</v>
      </c>
      <c r="AA153" s="156" t="s">
        <v>985</v>
      </c>
      <c r="AB153" s="54" t="s">
        <v>986</v>
      </c>
      <c r="AC153" s="156" t="s">
        <v>987</v>
      </c>
      <c r="AD153" s="65" t="s">
        <v>988</v>
      </c>
      <c r="AE153" s="153">
        <v>4.0</v>
      </c>
      <c r="AF153" s="153">
        <v>44387.0</v>
      </c>
      <c r="AG153" s="153">
        <v>0.16</v>
      </c>
      <c r="AH153" s="336" t="s">
        <v>980</v>
      </c>
      <c r="AI153" s="376">
        <v>4.0</v>
      </c>
      <c r="AJ153" s="376">
        <v>0.001</v>
      </c>
      <c r="AK153" s="156" t="s">
        <v>128</v>
      </c>
      <c r="AL153" s="58"/>
      <c r="AM153" s="65"/>
      <c r="AN153" s="111" t="s">
        <v>131</v>
      </c>
      <c r="AO153" s="153">
        <v>40117.0</v>
      </c>
      <c r="AP153" s="153">
        <v>0.19</v>
      </c>
      <c r="AQ153" s="156" t="s">
        <v>980</v>
      </c>
      <c r="AR153" s="153">
        <v>3.0</v>
      </c>
      <c r="AS153" s="153">
        <v>0.001</v>
      </c>
      <c r="AT153" s="156" t="s">
        <v>128</v>
      </c>
      <c r="AU153" s="156" t="s">
        <v>179</v>
      </c>
      <c r="AV153" s="65" t="s">
        <v>134</v>
      </c>
      <c r="AW153" s="432" t="s">
        <v>982</v>
      </c>
      <c r="AX153" s="65" t="s">
        <v>431</v>
      </c>
      <c r="AY153" s="126" t="s">
        <v>989</v>
      </c>
      <c r="AZ153" s="362"/>
      <c r="BA153" s="69"/>
      <c r="BB153" s="69"/>
      <c r="BC153" s="69"/>
      <c r="BD153" s="69"/>
      <c r="BE153" s="69"/>
      <c r="BF153" s="69"/>
      <c r="BG153" s="69"/>
      <c r="BH153" s="69"/>
      <c r="BI153" s="69"/>
      <c r="BJ153" s="69"/>
      <c r="BK153" s="69"/>
      <c r="BL153" s="69"/>
      <c r="BM153" s="69"/>
      <c r="BN153" s="69"/>
      <c r="BO153" s="69"/>
      <c r="BP153" s="69"/>
      <c r="BQ153" s="69"/>
      <c r="BR153" s="69"/>
      <c r="BS153" s="69"/>
      <c r="BT153" s="69"/>
      <c r="BU153" s="69"/>
      <c r="BV153" s="69"/>
      <c r="BW153" s="69"/>
      <c r="BX153" s="69"/>
      <c r="BY153" s="69"/>
      <c r="BZ153" s="69"/>
      <c r="CA153" s="69"/>
      <c r="CB153" s="69"/>
      <c r="CC153" s="69"/>
      <c r="CD153" s="69"/>
      <c r="CE153" s="69"/>
      <c r="CF153" s="69"/>
      <c r="CG153" s="69"/>
      <c r="CH153" s="69"/>
      <c r="CI153" s="69"/>
      <c r="CJ153" s="69"/>
      <c r="CK153" s="69"/>
      <c r="CL153" s="69"/>
      <c r="CM153" s="69"/>
      <c r="CN153" s="69"/>
      <c r="CO153" s="69"/>
      <c r="CP153" s="69"/>
      <c r="CQ153" s="69"/>
      <c r="CR153" s="69"/>
      <c r="CS153" s="69"/>
      <c r="CT153" s="69"/>
      <c r="CU153" s="69"/>
      <c r="CV153" s="69"/>
      <c r="CW153" s="69"/>
      <c r="CX153" s="69"/>
      <c r="CY153" s="69"/>
      <c r="CZ153" s="69"/>
      <c r="DA153" s="69"/>
      <c r="DB153" s="69"/>
      <c r="DC153" s="69"/>
      <c r="DD153" s="69"/>
      <c r="DE153" s="69"/>
      <c r="DF153" s="69"/>
      <c r="DG153" s="69"/>
      <c r="DH153" s="69"/>
    </row>
    <row r="154" ht="20.25" customHeight="1">
      <c r="A154" s="41">
        <v>154.0</v>
      </c>
      <c r="B154" s="418" t="s">
        <v>278</v>
      </c>
      <c r="C154" s="418" t="s">
        <v>108</v>
      </c>
      <c r="D154" s="418" t="s">
        <v>983</v>
      </c>
      <c r="E154" s="362"/>
      <c r="F154" s="65" t="s">
        <v>969</v>
      </c>
      <c r="G154" s="54" t="s">
        <v>990</v>
      </c>
      <c r="H154" s="156" t="s">
        <v>137</v>
      </c>
      <c r="I154" s="149">
        <v>45427.0</v>
      </c>
      <c r="J154" s="431">
        <v>45639.0</v>
      </c>
      <c r="K154" s="65"/>
      <c r="L154" s="335"/>
      <c r="M154" s="156" t="s">
        <v>972</v>
      </c>
      <c r="N154" s="156" t="s">
        <v>973</v>
      </c>
      <c r="O154" s="153">
        <v>1.0</v>
      </c>
      <c r="P154" s="156" t="s">
        <v>974</v>
      </c>
      <c r="Q154" s="49" t="str">
        <f t="array" ref="Q154"> if(iserror(MATCH(V154, 'File Links'!C:C, 0)), "N/A", HYPERLINK(INDEX('File Links'!B:B, MATCH(P154, 'File Links'!C:C, 0))))</f>
        <v>https://drive.google.com/file/d/1PO93PC_ps2XExqA6N_FX_WnXnQAPrB_Q/view?usp=drivesdk</v>
      </c>
      <c r="R154" s="156" t="s">
        <v>975</v>
      </c>
      <c r="S154" s="54" t="s">
        <v>976</v>
      </c>
      <c r="T154" s="65"/>
      <c r="U154" s="65"/>
      <c r="V154" s="63" t="str">
        <f> hyperlink(vlookup(lower(S154),'File Links'!E:F, 2, FALSE), SUBSTITUTE(lower(S154), "/", "--") &amp;  ".pdf")</f>
        <v>10.1016--j.jenvp.2024.102289.pdf</v>
      </c>
      <c r="W154" s="54" t="s">
        <v>202</v>
      </c>
      <c r="X154" s="51" t="str">
        <f t="array" ref="X154"> if(iserror(MATCH(V154, 'File Links'!C:C, 0)), "N/A", HYPERLINK(INDEX('File Links'!B:B, MATCH(V154, 'File Links'!C:C, 0))))</f>
        <v>https://drive.google.com/file/d/1y9Sta1A62b6o1louE7uCjU6m-n4q0e5j/view?usp=drivesdk</v>
      </c>
      <c r="Y154" s="65"/>
      <c r="Z154" s="54" t="s">
        <v>121</v>
      </c>
      <c r="AA154" s="156" t="s">
        <v>985</v>
      </c>
      <c r="AB154" s="54" t="s">
        <v>986</v>
      </c>
      <c r="AC154" s="156" t="s">
        <v>991</v>
      </c>
      <c r="AD154" s="65" t="s">
        <v>992</v>
      </c>
      <c r="AE154" s="153">
        <v>4.0</v>
      </c>
      <c r="AF154" s="153">
        <v>44387.0</v>
      </c>
      <c r="AG154" s="153">
        <v>0.07</v>
      </c>
      <c r="AH154" s="336" t="s">
        <v>980</v>
      </c>
      <c r="AI154" s="376">
        <v>4.0</v>
      </c>
      <c r="AJ154" s="376">
        <v>0.001</v>
      </c>
      <c r="AK154" s="156" t="s">
        <v>128</v>
      </c>
      <c r="AL154" s="58"/>
      <c r="AM154" s="65"/>
      <c r="AN154" s="111" t="s">
        <v>131</v>
      </c>
      <c r="AO154" s="153">
        <v>40117.0</v>
      </c>
      <c r="AP154" s="153">
        <v>0.09</v>
      </c>
      <c r="AQ154" s="156" t="s">
        <v>980</v>
      </c>
      <c r="AR154" s="153">
        <v>3.0</v>
      </c>
      <c r="AS154" s="153">
        <v>0.001</v>
      </c>
      <c r="AT154" s="156" t="s">
        <v>128</v>
      </c>
      <c r="AU154" s="156" t="s">
        <v>179</v>
      </c>
      <c r="AV154" s="65" t="s">
        <v>134</v>
      </c>
      <c r="AW154" s="432" t="s">
        <v>982</v>
      </c>
      <c r="AX154" s="65" t="s">
        <v>431</v>
      </c>
      <c r="AY154" s="126"/>
      <c r="AZ154" s="362"/>
      <c r="BA154" s="69"/>
      <c r="BB154" s="69"/>
      <c r="BC154" s="69"/>
      <c r="BD154" s="69"/>
      <c r="BE154" s="69"/>
      <c r="BF154" s="69"/>
      <c r="BG154" s="69"/>
      <c r="BH154" s="69"/>
      <c r="BI154" s="69"/>
      <c r="BJ154" s="69"/>
      <c r="BK154" s="69"/>
      <c r="BL154" s="69"/>
      <c r="BM154" s="69"/>
      <c r="BN154" s="69"/>
      <c r="BO154" s="69"/>
      <c r="BP154" s="69"/>
      <c r="BQ154" s="69"/>
      <c r="BR154" s="69"/>
      <c r="BS154" s="69"/>
      <c r="BT154" s="69"/>
      <c r="BU154" s="69"/>
      <c r="BV154" s="69"/>
      <c r="BW154" s="69"/>
      <c r="BX154" s="69"/>
      <c r="BY154" s="69"/>
      <c r="BZ154" s="69"/>
      <c r="CA154" s="69"/>
      <c r="CB154" s="69"/>
      <c r="CC154" s="69"/>
      <c r="CD154" s="69"/>
      <c r="CE154" s="69"/>
      <c r="CF154" s="69"/>
      <c r="CG154" s="69"/>
      <c r="CH154" s="69"/>
      <c r="CI154" s="69"/>
      <c r="CJ154" s="69"/>
      <c r="CK154" s="69"/>
      <c r="CL154" s="69"/>
      <c r="CM154" s="69"/>
      <c r="CN154" s="69"/>
      <c r="CO154" s="69"/>
      <c r="CP154" s="69"/>
      <c r="CQ154" s="69"/>
      <c r="CR154" s="69"/>
      <c r="CS154" s="69"/>
      <c r="CT154" s="69"/>
      <c r="CU154" s="69"/>
      <c r="CV154" s="69"/>
      <c r="CW154" s="69"/>
      <c r="CX154" s="69"/>
      <c r="CY154" s="69"/>
      <c r="CZ154" s="69"/>
      <c r="DA154" s="69"/>
      <c r="DB154" s="69"/>
      <c r="DC154" s="69"/>
      <c r="DD154" s="69"/>
      <c r="DE154" s="69"/>
      <c r="DF154" s="69"/>
      <c r="DG154" s="69"/>
      <c r="DH154" s="69"/>
    </row>
    <row r="155" ht="20.25" customHeight="1">
      <c r="A155" s="41">
        <v>155.0</v>
      </c>
      <c r="B155" s="145" t="s">
        <v>278</v>
      </c>
      <c r="C155" s="145" t="s">
        <v>108</v>
      </c>
      <c r="D155" s="418" t="s">
        <v>435</v>
      </c>
      <c r="E155" s="362"/>
      <c r="F155" s="433" t="s">
        <v>969</v>
      </c>
      <c r="G155" s="420" t="s">
        <v>990</v>
      </c>
      <c r="H155" s="420" t="s">
        <v>438</v>
      </c>
      <c r="I155" s="421">
        <v>45634.0</v>
      </c>
      <c r="J155" s="422">
        <v>45670.0</v>
      </c>
      <c r="K155" s="420" t="s">
        <v>971</v>
      </c>
      <c r="L155" s="423"/>
      <c r="M155" s="420" t="s">
        <v>972</v>
      </c>
      <c r="N155" s="420" t="s">
        <v>973</v>
      </c>
      <c r="O155" s="423"/>
      <c r="P155" s="424" t="s">
        <v>974</v>
      </c>
      <c r="Q155" s="49" t="str">
        <f t="array" ref="Q155"> if(iserror(MATCH(V155, 'File Links'!C:C, 0)), "N/A", HYPERLINK(INDEX('File Links'!B:B, MATCH(P155, 'File Links'!C:C, 0))))</f>
        <v>https://drive.google.com/file/d/1PO93PC_ps2XExqA6N_FX_WnXnQAPrB_Q/view?usp=drivesdk</v>
      </c>
      <c r="R155" s="420" t="s">
        <v>975</v>
      </c>
      <c r="S155" s="420" t="s">
        <v>976</v>
      </c>
      <c r="T155" s="423"/>
      <c r="U155" s="425"/>
      <c r="V155" s="63" t="str">
        <f> hyperlink(vlookup(lower(S155),'File Links'!E:F, 2, FALSE), SUBSTITUTE(lower(S155), "/", "--") &amp;  ".pdf")</f>
        <v>10.1016--j.jenvp.2024.102289.pdf</v>
      </c>
      <c r="W155" s="420" t="s">
        <v>157</v>
      </c>
      <c r="X155" s="51" t="str">
        <f t="array" ref="X155"> if(iserror(MATCH(V155, 'File Links'!C:C, 0)), "N/A", HYPERLINK(INDEX('File Links'!B:B, MATCH(V155, 'File Links'!C:C, 0))))</f>
        <v>https://drive.google.com/file/d/1y9Sta1A62b6o1louE7uCjU6m-n4q0e5j/view?usp=drivesdk</v>
      </c>
      <c r="Y155" s="423"/>
      <c r="Z155" s="420" t="s">
        <v>219</v>
      </c>
      <c r="AA155" s="423"/>
      <c r="AB155" s="420" t="s">
        <v>977</v>
      </c>
      <c r="AC155" s="420" t="s">
        <v>978</v>
      </c>
      <c r="AD155" s="420" t="s">
        <v>993</v>
      </c>
      <c r="AE155" s="426">
        <v>4.0</v>
      </c>
      <c r="AF155" s="426">
        <v>44387.0</v>
      </c>
      <c r="AG155" s="426">
        <v>0.07</v>
      </c>
      <c r="AH155" s="424" t="s">
        <v>980</v>
      </c>
      <c r="AI155" s="420" t="s">
        <v>489</v>
      </c>
      <c r="AJ155" s="426">
        <v>0.001</v>
      </c>
      <c r="AK155" s="419" t="s">
        <v>128</v>
      </c>
      <c r="AL155" s="420" t="s">
        <v>179</v>
      </c>
      <c r="AM155" s="420" t="s">
        <v>134</v>
      </c>
      <c r="AN155" s="427" t="s">
        <v>994</v>
      </c>
      <c r="AO155" s="426">
        <v>40177.0</v>
      </c>
      <c r="AP155" s="428">
        <v>0.08</v>
      </c>
      <c r="AQ155" s="420" t="s">
        <v>980</v>
      </c>
      <c r="AR155" s="427" t="s">
        <v>500</v>
      </c>
      <c r="AS155" s="428">
        <v>0.001</v>
      </c>
      <c r="AT155" s="419" t="s">
        <v>128</v>
      </c>
      <c r="AU155" s="419" t="s">
        <v>179</v>
      </c>
      <c r="AV155" s="419" t="s">
        <v>134</v>
      </c>
      <c r="AW155" s="429" t="s">
        <v>982</v>
      </c>
      <c r="AX155" s="430" t="s">
        <v>431</v>
      </c>
      <c r="AY155" s="58"/>
      <c r="AZ155" s="362"/>
      <c r="BA155" s="69"/>
      <c r="BB155" s="69"/>
      <c r="BC155" s="69"/>
      <c r="BD155" s="69"/>
      <c r="BE155" s="69"/>
      <c r="BF155" s="69"/>
      <c r="BG155" s="69"/>
      <c r="BH155" s="69"/>
      <c r="BI155" s="69"/>
      <c r="BJ155" s="69"/>
      <c r="BK155" s="69"/>
      <c r="BL155" s="69"/>
      <c r="BM155" s="69"/>
      <c r="BN155" s="69"/>
      <c r="BO155" s="69"/>
      <c r="BP155" s="69"/>
      <c r="BQ155" s="69"/>
      <c r="BR155" s="69"/>
      <c r="BS155" s="69"/>
      <c r="BT155" s="69"/>
      <c r="BU155" s="69"/>
      <c r="BV155" s="69"/>
      <c r="BW155" s="69"/>
      <c r="BX155" s="69"/>
      <c r="BY155" s="69"/>
      <c r="BZ155" s="69"/>
      <c r="CA155" s="69"/>
      <c r="CB155" s="69"/>
      <c r="CC155" s="69"/>
      <c r="CD155" s="69"/>
      <c r="CE155" s="69"/>
      <c r="CF155" s="69"/>
      <c r="CG155" s="69"/>
      <c r="CH155" s="69"/>
      <c r="CI155" s="69"/>
      <c r="CJ155" s="69"/>
      <c r="CK155" s="69"/>
      <c r="CL155" s="69"/>
      <c r="CM155" s="69"/>
      <c r="CN155" s="69"/>
      <c r="CO155" s="69"/>
      <c r="CP155" s="69"/>
      <c r="CQ155" s="69"/>
      <c r="CR155" s="69"/>
      <c r="CS155" s="69"/>
      <c r="CT155" s="69"/>
      <c r="CU155" s="69"/>
      <c r="CV155" s="69"/>
      <c r="CW155" s="69"/>
      <c r="CX155" s="69"/>
      <c r="CY155" s="69"/>
      <c r="CZ155" s="69"/>
      <c r="DA155" s="69"/>
      <c r="DB155" s="69"/>
      <c r="DC155" s="69"/>
      <c r="DD155" s="69"/>
      <c r="DE155" s="69"/>
      <c r="DF155" s="69"/>
      <c r="DG155" s="69"/>
      <c r="DH155" s="69"/>
    </row>
    <row r="156" ht="20.25" customHeight="1">
      <c r="A156" s="41">
        <v>156.0</v>
      </c>
      <c r="B156" s="42" t="s">
        <v>107</v>
      </c>
      <c r="C156" s="42" t="s">
        <v>108</v>
      </c>
      <c r="D156" s="59" t="s">
        <v>435</v>
      </c>
      <c r="F156" s="434" t="s">
        <v>995</v>
      </c>
      <c r="G156" s="373" t="s">
        <v>996</v>
      </c>
      <c r="H156" s="373" t="s">
        <v>438</v>
      </c>
      <c r="I156" s="435">
        <v>45635.0</v>
      </c>
      <c r="J156" s="58"/>
      <c r="K156" s="436" t="s">
        <v>997</v>
      </c>
      <c r="L156" s="58"/>
      <c r="M156" s="373" t="s">
        <v>998</v>
      </c>
      <c r="N156" s="373" t="s">
        <v>999</v>
      </c>
      <c r="O156" s="58"/>
      <c r="P156" s="437" t="s">
        <v>1000</v>
      </c>
      <c r="Q156" s="49" t="str">
        <f t="array" ref="Q156"> if(iserror(MATCH(V156, 'File Links'!C:C, 0)), "N/A", HYPERLINK(INDEX('File Links'!B:B, MATCH(P156, 'File Links'!C:C, 0))))</f>
        <v>https://drive.google.com/file/d/1CxhrkeSaHBzp5T2m5mVKo0v0N9tNA96j/view?usp=drivesdk</v>
      </c>
      <c r="R156" s="373" t="s">
        <v>1001</v>
      </c>
      <c r="S156" s="126" t="s">
        <v>1002</v>
      </c>
      <c r="T156" s="438" t="s">
        <v>1003</v>
      </c>
      <c r="U156" s="335"/>
      <c r="V156" s="63" t="str">
        <f> hyperlink(vlookup(lower(S156),'File Links'!E:F, 2, FALSE), SUBSTITUTE(lower(S156), "/", "--") &amp;  ".pdf")</f>
        <v>mendoza_2024.pdf</v>
      </c>
      <c r="W156" s="373" t="s">
        <v>157</v>
      </c>
      <c r="X156" s="51" t="str">
        <f t="array" ref="X156"> if(iserror(MATCH(V156, 'File Links'!C:C, 0)), "N/A", HYPERLINK(INDEX('File Links'!B:B, MATCH(V156, 'File Links'!C:C, 0))))</f>
        <v>https://drive.google.com/file/d/1uqPYsQnG8eSYcKJ1Tcphemj3KvGd0mXp/view?usp=drivesdk</v>
      </c>
      <c r="Y156" s="58"/>
      <c r="Z156" s="373" t="s">
        <v>1004</v>
      </c>
      <c r="AA156" s="58"/>
      <c r="AB156" s="373" t="s">
        <v>1005</v>
      </c>
      <c r="AC156" s="58"/>
      <c r="AD156" s="58"/>
      <c r="AE156" s="58"/>
      <c r="AF156" s="58"/>
      <c r="AG156" s="58"/>
      <c r="AH156" s="335"/>
      <c r="AI156" s="58"/>
      <c r="AJ156" s="58"/>
      <c r="AK156" s="65"/>
      <c r="AL156" s="58"/>
      <c r="AM156" s="58"/>
      <c r="AN156" s="111" t="s">
        <v>131</v>
      </c>
      <c r="AO156" s="58"/>
      <c r="AP156" s="58"/>
      <c r="AQ156" s="58"/>
      <c r="AR156" s="58"/>
      <c r="AS156" s="58"/>
      <c r="AT156" s="65"/>
      <c r="AU156" s="65"/>
      <c r="AV156" s="65"/>
      <c r="AW156" s="65"/>
      <c r="AX156" s="434" t="s">
        <v>144</v>
      </c>
      <c r="AY156" s="58"/>
      <c r="AZ156" s="59" t="s">
        <v>137</v>
      </c>
      <c r="BA156" s="69"/>
      <c r="BB156" s="69"/>
      <c r="BC156" s="69"/>
      <c r="BD156" s="69"/>
      <c r="BE156" s="69"/>
      <c r="BF156" s="69"/>
      <c r="BG156" s="69"/>
      <c r="BH156" s="69"/>
      <c r="BI156" s="69"/>
      <c r="BJ156" s="69"/>
      <c r="BK156" s="69"/>
      <c r="BL156" s="69"/>
      <c r="BM156" s="69"/>
      <c r="BN156" s="69"/>
      <c r="BO156" s="69"/>
      <c r="BP156" s="69"/>
      <c r="BQ156" s="69"/>
      <c r="BR156" s="69"/>
      <c r="BS156" s="69"/>
      <c r="BT156" s="69"/>
      <c r="BU156" s="69"/>
      <c r="BV156" s="69"/>
      <c r="BW156" s="69"/>
      <c r="BX156" s="69"/>
      <c r="BY156" s="69"/>
      <c r="BZ156" s="69"/>
      <c r="CA156" s="69"/>
      <c r="CB156" s="69"/>
      <c r="CC156" s="69"/>
      <c r="CD156" s="69"/>
      <c r="CE156" s="69"/>
      <c r="CF156" s="69"/>
      <c r="CG156" s="69"/>
      <c r="CH156" s="69"/>
      <c r="CI156" s="69"/>
      <c r="CJ156" s="69"/>
      <c r="CK156" s="69"/>
      <c r="CL156" s="69"/>
      <c r="CM156" s="69"/>
      <c r="CN156" s="69"/>
      <c r="CO156" s="69"/>
      <c r="CP156" s="69"/>
      <c r="CQ156" s="69"/>
      <c r="CR156" s="69"/>
      <c r="CS156" s="69"/>
      <c r="CT156" s="69"/>
      <c r="CU156" s="69"/>
      <c r="CV156" s="69"/>
      <c r="CW156" s="69"/>
      <c r="CX156" s="69"/>
      <c r="CY156" s="69"/>
      <c r="CZ156" s="69"/>
      <c r="DA156" s="69"/>
      <c r="DB156" s="69"/>
      <c r="DC156" s="69"/>
      <c r="DD156" s="69"/>
      <c r="DE156" s="69"/>
      <c r="DF156" s="69"/>
      <c r="DG156" s="69"/>
      <c r="DH156" s="69"/>
    </row>
    <row r="157" ht="20.25" customHeight="1">
      <c r="A157" s="41">
        <v>157.0</v>
      </c>
      <c r="B157" s="59" t="s">
        <v>107</v>
      </c>
      <c r="C157" s="59" t="s">
        <v>108</v>
      </c>
      <c r="D157" s="59" t="s">
        <v>983</v>
      </c>
      <c r="F157" s="65" t="s">
        <v>995</v>
      </c>
      <c r="G157" s="54" t="s">
        <v>996</v>
      </c>
      <c r="H157" s="156" t="s">
        <v>137</v>
      </c>
      <c r="I157" s="149">
        <v>45427.0</v>
      </c>
      <c r="J157" s="431">
        <v>45639.0</v>
      </c>
      <c r="K157" s="65"/>
      <c r="L157" s="65"/>
      <c r="M157" s="156" t="s">
        <v>998</v>
      </c>
      <c r="N157" s="156" t="s">
        <v>999</v>
      </c>
      <c r="O157" s="65"/>
      <c r="P157" s="379" t="s">
        <v>1000</v>
      </c>
      <c r="Q157" s="49" t="str">
        <f t="array" ref="Q157"> if(iserror(MATCH(V157, 'File Links'!C:C, 0)), "N/A", HYPERLINK(INDEX('File Links'!B:B, MATCH(P157, 'File Links'!C:C, 0))))</f>
        <v>https://drive.google.com/file/d/1CxhrkeSaHBzp5T2m5mVKo0v0N9tNA96j/view?usp=drivesdk</v>
      </c>
      <c r="R157" s="156" t="s">
        <v>1001</v>
      </c>
      <c r="S157" s="65"/>
      <c r="T157" s="65"/>
      <c r="U157" s="65"/>
      <c r="V157" s="379" t="s">
        <v>1006</v>
      </c>
      <c r="W157" s="65"/>
      <c r="X157" s="51" t="str">
        <f t="array" ref="X157"> if(iserror(MATCH(V157, 'File Links'!C:C, 0)), "N/A", HYPERLINK(INDEX('File Links'!B:B, MATCH(V157, 'File Links'!C:C, 0))))</f>
        <v>https://drive.google.com/file/d/1vapTuoFWQvT1qaSJqcvZzdcKGuZPcOor/view?usp=drivesdk</v>
      </c>
      <c r="Y157" s="156" t="s">
        <v>1007</v>
      </c>
      <c r="Z157" s="156" t="s">
        <v>1004</v>
      </c>
      <c r="AA157" s="65"/>
      <c r="AB157" s="65"/>
      <c r="AC157" s="65"/>
      <c r="AD157" s="65"/>
      <c r="AE157" s="65"/>
      <c r="AF157" s="65"/>
      <c r="AG157" s="65"/>
      <c r="AH157" s="335"/>
      <c r="AI157" s="58"/>
      <c r="AJ157" s="58"/>
      <c r="AK157" s="65"/>
      <c r="AL157" s="58"/>
      <c r="AM157" s="65"/>
      <c r="AN157" s="111" t="s">
        <v>131</v>
      </c>
      <c r="AO157" s="65"/>
      <c r="AP157" s="65"/>
      <c r="AQ157" s="65"/>
      <c r="AR157" s="65"/>
      <c r="AS157" s="65"/>
      <c r="AT157" s="65"/>
      <c r="AU157" s="65"/>
      <c r="AV157" s="65"/>
      <c r="AW157" s="65"/>
      <c r="AX157" s="65"/>
      <c r="AY157" s="65"/>
      <c r="AZ157" s="59" t="s">
        <v>137</v>
      </c>
      <c r="BA157" s="69"/>
      <c r="BB157" s="69"/>
      <c r="BC157" s="69"/>
      <c r="BD157" s="69"/>
      <c r="BE157" s="69"/>
      <c r="BF157" s="69"/>
      <c r="BG157" s="69"/>
      <c r="BH157" s="69"/>
      <c r="BI157" s="69"/>
      <c r="BJ157" s="69"/>
      <c r="BK157" s="69"/>
      <c r="BL157" s="69"/>
      <c r="BM157" s="69"/>
      <c r="BN157" s="69"/>
      <c r="BO157" s="69"/>
      <c r="BP157" s="69"/>
      <c r="BQ157" s="69"/>
      <c r="BR157" s="69"/>
      <c r="BS157" s="69"/>
      <c r="BT157" s="69"/>
      <c r="BU157" s="69"/>
      <c r="BV157" s="69"/>
      <c r="BW157" s="69"/>
      <c r="BX157" s="69"/>
      <c r="BY157" s="69"/>
      <c r="BZ157" s="69"/>
      <c r="CA157" s="69"/>
      <c r="CB157" s="69"/>
      <c r="CC157" s="69"/>
      <c r="CD157" s="69"/>
      <c r="CE157" s="69"/>
      <c r="CF157" s="69"/>
      <c r="CG157" s="69"/>
      <c r="CH157" s="69"/>
      <c r="CI157" s="69"/>
      <c r="CJ157" s="69"/>
      <c r="CK157" s="69"/>
      <c r="CL157" s="69"/>
      <c r="CM157" s="69"/>
      <c r="CN157" s="69"/>
      <c r="CO157" s="69"/>
      <c r="CP157" s="69"/>
      <c r="CQ157" s="69"/>
      <c r="CR157" s="69"/>
      <c r="CS157" s="69"/>
      <c r="CT157" s="69"/>
      <c r="CU157" s="69"/>
      <c r="CV157" s="69"/>
      <c r="CW157" s="69"/>
      <c r="CX157" s="69"/>
      <c r="CY157" s="69"/>
      <c r="CZ157" s="69"/>
      <c r="DA157" s="69"/>
      <c r="DB157" s="69"/>
      <c r="DC157" s="69"/>
      <c r="DD157" s="69"/>
      <c r="DE157" s="69"/>
      <c r="DF157" s="69"/>
      <c r="DG157" s="69"/>
      <c r="DH157" s="69"/>
    </row>
    <row r="158" ht="20.25" customHeight="1">
      <c r="A158" s="41">
        <v>158.0</v>
      </c>
      <c r="B158" s="145" t="s">
        <v>278</v>
      </c>
      <c r="C158" s="145" t="s">
        <v>108</v>
      </c>
      <c r="D158" s="418" t="s">
        <v>435</v>
      </c>
      <c r="E158" s="362"/>
      <c r="F158" s="419" t="s">
        <v>1008</v>
      </c>
      <c r="G158" s="420" t="s">
        <v>1009</v>
      </c>
      <c r="H158" s="420" t="s">
        <v>438</v>
      </c>
      <c r="I158" s="421">
        <v>45635.0</v>
      </c>
      <c r="J158" s="423"/>
      <c r="K158" s="423"/>
      <c r="L158" s="423"/>
      <c r="M158" s="420" t="s">
        <v>1010</v>
      </c>
      <c r="N158" s="420" t="s">
        <v>1011</v>
      </c>
      <c r="O158" s="423"/>
      <c r="P158" s="424" t="s">
        <v>1012</v>
      </c>
      <c r="Q158" s="49" t="str">
        <f t="array" ref="Q158"> if(iserror(MATCH(V158, 'File Links'!C:C, 0)), "N/A", HYPERLINK(INDEX('File Links'!B:B, MATCH(P158, 'File Links'!C:C, 0))))</f>
        <v>https://drive.google.com/file/d/1DrC4ktWX9HamK4DWq_tF1P_2alxXHAnN/view?usp=drivesdk</v>
      </c>
      <c r="R158" s="420" t="s">
        <v>1013</v>
      </c>
      <c r="S158" s="439" t="s">
        <v>1014</v>
      </c>
      <c r="T158" s="423"/>
      <c r="U158" s="425"/>
      <c r="V158" s="63" t="str">
        <f> hyperlink(vlookup(lower(S158),'File Links'!E:F, 2, FALSE), SUBSTITUTE(lower(S158), "/", "--") &amp;  ".pdf")</f>
        <v>10.1016--j.drugalcdep.2024.111323.pdf</v>
      </c>
      <c r="W158" s="420" t="s">
        <v>157</v>
      </c>
      <c r="X158" s="51" t="str">
        <f t="array" ref="X158"> if(iserror(MATCH(V158, 'File Links'!C:C, 0)), "N/A", HYPERLINK(INDEX('File Links'!B:B, MATCH(V158, 'File Links'!C:C, 0))))</f>
        <v>https://drive.google.com/file/d/1hw6VxSN8dF8WIp6LhbqOOmsEo0dTvdbu/view?usp=drivesdk</v>
      </c>
      <c r="Y158" s="423"/>
      <c r="Z158" s="420" t="s">
        <v>496</v>
      </c>
      <c r="AA158" s="423"/>
      <c r="AB158" s="420" t="s">
        <v>1015</v>
      </c>
      <c r="AC158" s="440" t="s">
        <v>1016</v>
      </c>
      <c r="AD158" s="420" t="s">
        <v>1017</v>
      </c>
      <c r="AE158" s="426">
        <v>1.0</v>
      </c>
      <c r="AF158" s="426">
        <v>97.0</v>
      </c>
      <c r="AG158" s="426">
        <v>0.27</v>
      </c>
      <c r="AH158" s="388" t="s">
        <v>354</v>
      </c>
      <c r="AI158" s="420" t="s">
        <v>875</v>
      </c>
      <c r="AJ158" s="426">
        <v>0.02</v>
      </c>
      <c r="AK158" s="419" t="s">
        <v>165</v>
      </c>
      <c r="AL158" s="420" t="s">
        <v>179</v>
      </c>
      <c r="AM158" s="420" t="s">
        <v>130</v>
      </c>
      <c r="AN158" s="111" t="s">
        <v>131</v>
      </c>
      <c r="AO158" s="426">
        <v>123.0</v>
      </c>
      <c r="AP158" s="426">
        <v>0.09</v>
      </c>
      <c r="AQ158" s="420" t="s">
        <v>354</v>
      </c>
      <c r="AR158" s="420" t="s">
        <v>875</v>
      </c>
      <c r="AS158" s="428">
        <v>0.47</v>
      </c>
      <c r="AT158" s="419" t="s">
        <v>165</v>
      </c>
      <c r="AU158" s="419" t="s">
        <v>179</v>
      </c>
      <c r="AV158" s="419" t="s">
        <v>130</v>
      </c>
      <c r="AW158" s="441" t="s">
        <v>1018</v>
      </c>
      <c r="AX158" s="430" t="s">
        <v>431</v>
      </c>
      <c r="AY158" s="58"/>
      <c r="AZ158" s="362"/>
      <c r="BA158" s="69"/>
      <c r="BB158" s="69"/>
      <c r="BC158" s="69"/>
      <c r="BD158" s="69"/>
      <c r="BE158" s="69"/>
      <c r="BF158" s="69"/>
      <c r="BG158" s="69"/>
      <c r="BH158" s="69"/>
      <c r="BI158" s="69"/>
      <c r="BJ158" s="69"/>
      <c r="BK158" s="69"/>
      <c r="BL158" s="69"/>
      <c r="BM158" s="69"/>
      <c r="BN158" s="69"/>
      <c r="BO158" s="69"/>
      <c r="BP158" s="69"/>
      <c r="BQ158" s="69"/>
      <c r="BR158" s="69"/>
      <c r="BS158" s="69"/>
      <c r="BT158" s="69"/>
      <c r="BU158" s="69"/>
      <c r="BV158" s="69"/>
      <c r="BW158" s="69"/>
      <c r="BX158" s="69"/>
      <c r="BY158" s="69"/>
      <c r="BZ158" s="69"/>
      <c r="CA158" s="69"/>
      <c r="CB158" s="69"/>
      <c r="CC158" s="69"/>
      <c r="CD158" s="69"/>
      <c r="CE158" s="69"/>
      <c r="CF158" s="69"/>
      <c r="CG158" s="69"/>
      <c r="CH158" s="69"/>
      <c r="CI158" s="69"/>
      <c r="CJ158" s="69"/>
      <c r="CK158" s="69"/>
      <c r="CL158" s="69"/>
      <c r="CM158" s="69"/>
      <c r="CN158" s="69"/>
      <c r="CO158" s="69"/>
      <c r="CP158" s="69"/>
      <c r="CQ158" s="69"/>
      <c r="CR158" s="69"/>
      <c r="CS158" s="69"/>
      <c r="CT158" s="69"/>
      <c r="CU158" s="69"/>
      <c r="CV158" s="69"/>
      <c r="CW158" s="69"/>
      <c r="CX158" s="69"/>
      <c r="CY158" s="69"/>
      <c r="CZ158" s="69"/>
      <c r="DA158" s="69"/>
      <c r="DB158" s="69"/>
      <c r="DC158" s="69"/>
      <c r="DD158" s="69"/>
      <c r="DE158" s="69"/>
      <c r="DF158" s="69"/>
      <c r="DG158" s="69"/>
      <c r="DH158" s="69"/>
    </row>
    <row r="159" ht="20.25" customHeight="1">
      <c r="A159" s="41">
        <v>159.0</v>
      </c>
      <c r="B159" s="418" t="s">
        <v>583</v>
      </c>
      <c r="C159" s="418" t="s">
        <v>108</v>
      </c>
      <c r="D159" s="418" t="s">
        <v>983</v>
      </c>
      <c r="E159" s="362"/>
      <c r="F159" s="65" t="s">
        <v>1008</v>
      </c>
      <c r="G159" s="54" t="s">
        <v>1019</v>
      </c>
      <c r="H159" s="156" t="s">
        <v>137</v>
      </c>
      <c r="I159" s="149">
        <v>45427.0</v>
      </c>
      <c r="J159" s="431">
        <v>45639.0</v>
      </c>
      <c r="K159" s="65"/>
      <c r="L159" s="65"/>
      <c r="M159" s="156" t="s">
        <v>1010</v>
      </c>
      <c r="N159" s="156" t="s">
        <v>1011</v>
      </c>
      <c r="O159" s="153">
        <v>1.0</v>
      </c>
      <c r="P159" s="156" t="s">
        <v>1012</v>
      </c>
      <c r="Q159" s="49" t="str">
        <f t="array" ref="Q159"> if(iserror(MATCH(V159, 'File Links'!C:C, 0)), "N/A", HYPERLINK(INDEX('File Links'!B:B, MATCH(P159, 'File Links'!C:C, 0))))</f>
        <v>https://drive.google.com/file/d/1DrC4ktWX9HamK4DWq_tF1P_2alxXHAnN/view?usp=drivesdk</v>
      </c>
      <c r="R159" s="442" t="s">
        <v>1013</v>
      </c>
      <c r="S159" s="156" t="s">
        <v>1014</v>
      </c>
      <c r="T159" s="65"/>
      <c r="U159" s="153">
        <v>1.0</v>
      </c>
      <c r="V159" s="63" t="str">
        <f> hyperlink(vlookup(lower(S159),'File Links'!E:F, 2, FALSE), SUBSTITUTE(lower(S159), "/", "--") &amp;  ".pdf")</f>
        <v>10.1016--j.drugalcdep.2024.111323.pdf</v>
      </c>
      <c r="W159" s="54" t="s">
        <v>202</v>
      </c>
      <c r="X159" s="51" t="str">
        <f t="array" ref="X159"> if(iserror(MATCH(V159, 'File Links'!C:C, 0)), "N/A", HYPERLINK(INDEX('File Links'!B:B, MATCH(V159, 'File Links'!C:C, 0))))</f>
        <v>https://drive.google.com/file/d/1hw6VxSN8dF8WIp6LhbqOOmsEo0dTvdbu/view?usp=drivesdk</v>
      </c>
      <c r="Y159" s="65"/>
      <c r="Z159" s="156" t="s">
        <v>831</v>
      </c>
      <c r="AA159" s="156" t="s">
        <v>1020</v>
      </c>
      <c r="AB159" s="156" t="s">
        <v>1021</v>
      </c>
      <c r="AC159" s="156" t="s">
        <v>1022</v>
      </c>
      <c r="AD159" s="156" t="s">
        <v>1023</v>
      </c>
      <c r="AE159" s="333">
        <v>5.0</v>
      </c>
      <c r="AF159" s="153">
        <v>97.0</v>
      </c>
      <c r="AG159" s="153">
        <v>10.87</v>
      </c>
      <c r="AH159" s="336" t="s">
        <v>1024</v>
      </c>
      <c r="AI159" s="376">
        <v>5.0</v>
      </c>
      <c r="AJ159" s="376">
        <v>0.001</v>
      </c>
      <c r="AK159" s="156" t="s">
        <v>128</v>
      </c>
      <c r="AL159" s="54" t="s">
        <v>179</v>
      </c>
      <c r="AM159" s="65" t="s">
        <v>130</v>
      </c>
      <c r="AN159" s="111" t="s">
        <v>131</v>
      </c>
      <c r="AO159" s="153">
        <v>123.0</v>
      </c>
      <c r="AP159" s="153">
        <v>8.02</v>
      </c>
      <c r="AQ159" s="156" t="s">
        <v>1024</v>
      </c>
      <c r="AR159" s="153">
        <v>5.0</v>
      </c>
      <c r="AS159" s="153">
        <v>0.001</v>
      </c>
      <c r="AT159" s="156" t="s">
        <v>128</v>
      </c>
      <c r="AU159" s="156" t="s">
        <v>179</v>
      </c>
      <c r="AV159" s="65" t="s">
        <v>134</v>
      </c>
      <c r="AW159" s="65"/>
      <c r="AX159" s="65" t="s">
        <v>431</v>
      </c>
      <c r="AY159" s="65"/>
      <c r="AZ159" s="362"/>
      <c r="BA159" s="69"/>
      <c r="BB159" s="69"/>
      <c r="BC159" s="69"/>
      <c r="BD159" s="69"/>
      <c r="BE159" s="69"/>
      <c r="BF159" s="69"/>
      <c r="BG159" s="69"/>
      <c r="BH159" s="69"/>
      <c r="BI159" s="69"/>
      <c r="BJ159" s="69"/>
      <c r="BK159" s="69"/>
      <c r="BL159" s="69"/>
      <c r="BM159" s="69"/>
      <c r="BN159" s="69"/>
      <c r="BO159" s="69"/>
      <c r="BP159" s="69"/>
      <c r="BQ159" s="69"/>
      <c r="BR159" s="69"/>
      <c r="BS159" s="69"/>
      <c r="BT159" s="69"/>
      <c r="BU159" s="69"/>
      <c r="BV159" s="69"/>
      <c r="BW159" s="69"/>
      <c r="BX159" s="69"/>
      <c r="BY159" s="69"/>
      <c r="BZ159" s="69"/>
      <c r="CA159" s="69"/>
      <c r="CB159" s="69"/>
      <c r="CC159" s="69"/>
      <c r="CD159" s="69"/>
      <c r="CE159" s="69"/>
      <c r="CF159" s="69"/>
      <c r="CG159" s="69"/>
      <c r="CH159" s="69"/>
      <c r="CI159" s="69"/>
      <c r="CJ159" s="69"/>
      <c r="CK159" s="69"/>
      <c r="CL159" s="69"/>
      <c r="CM159" s="69"/>
      <c r="CN159" s="69"/>
      <c r="CO159" s="69"/>
      <c r="CP159" s="69"/>
      <c r="CQ159" s="69"/>
      <c r="CR159" s="69"/>
      <c r="CS159" s="69"/>
      <c r="CT159" s="69"/>
      <c r="CU159" s="69"/>
      <c r="CV159" s="69"/>
      <c r="CW159" s="69"/>
      <c r="CX159" s="69"/>
      <c r="CY159" s="69"/>
      <c r="CZ159" s="69"/>
      <c r="DA159" s="69"/>
      <c r="DB159" s="69"/>
      <c r="DC159" s="69"/>
      <c r="DD159" s="69"/>
      <c r="DE159" s="69"/>
      <c r="DF159" s="69"/>
      <c r="DG159" s="69"/>
      <c r="DH159" s="69"/>
    </row>
    <row r="160" ht="20.25" customHeight="1">
      <c r="A160" s="41">
        <v>160.0</v>
      </c>
      <c r="B160" s="418" t="s">
        <v>583</v>
      </c>
      <c r="C160" s="418"/>
      <c r="D160" s="418"/>
      <c r="E160" s="362"/>
      <c r="F160" s="65" t="s">
        <v>1008</v>
      </c>
      <c r="G160" s="54" t="s">
        <v>1025</v>
      </c>
      <c r="H160" s="156" t="s">
        <v>137</v>
      </c>
      <c r="I160" s="149">
        <v>45427.0</v>
      </c>
      <c r="J160" s="431">
        <v>45639.0</v>
      </c>
      <c r="K160" s="65"/>
      <c r="L160" s="65"/>
      <c r="M160" s="156" t="s">
        <v>1010</v>
      </c>
      <c r="N160" s="156" t="s">
        <v>1011</v>
      </c>
      <c r="O160" s="153">
        <v>1.0</v>
      </c>
      <c r="P160" s="156" t="s">
        <v>1012</v>
      </c>
      <c r="Q160" s="49" t="str">
        <f t="array" ref="Q160"> if(iserror(MATCH(V160, 'File Links'!C:C, 0)), "N/A", HYPERLINK(INDEX('File Links'!B:B, MATCH(P160, 'File Links'!C:C, 0))))</f>
        <v>https://drive.google.com/file/d/1DrC4ktWX9HamK4DWq_tF1P_2alxXHAnN/view?usp=drivesdk</v>
      </c>
      <c r="R160" s="336" t="s">
        <v>1013</v>
      </c>
      <c r="S160" s="156" t="s">
        <v>1014</v>
      </c>
      <c r="T160" s="65"/>
      <c r="U160" s="153">
        <v>1.0</v>
      </c>
      <c r="V160" s="63" t="str">
        <f> hyperlink(vlookup(lower(S160),'File Links'!E:F, 2, FALSE), SUBSTITUTE(lower(S160), "/", "--") &amp;  ".pdf")</f>
        <v>10.1016--j.drugalcdep.2024.111323.pdf</v>
      </c>
      <c r="W160" s="54" t="s">
        <v>202</v>
      </c>
      <c r="X160" s="51" t="str">
        <f t="array" ref="X160"> if(iserror(MATCH(V160, 'File Links'!C:C, 0)), "N/A", HYPERLINK(INDEX('File Links'!B:B, MATCH(V160, 'File Links'!C:C, 0))))</f>
        <v>https://drive.google.com/file/d/1hw6VxSN8dF8WIp6LhbqOOmsEo0dTvdbu/view?usp=drivesdk</v>
      </c>
      <c r="Y160" s="65"/>
      <c r="Z160" s="156" t="s">
        <v>831</v>
      </c>
      <c r="AA160" s="156" t="s">
        <v>1020</v>
      </c>
      <c r="AB160" s="156" t="s">
        <v>1021</v>
      </c>
      <c r="AC160" s="156" t="s">
        <v>1026</v>
      </c>
      <c r="AD160" s="156" t="s">
        <v>1027</v>
      </c>
      <c r="AE160" s="333">
        <v>5.0</v>
      </c>
      <c r="AF160" s="153">
        <v>96.0</v>
      </c>
      <c r="AG160" s="153">
        <v>3.08</v>
      </c>
      <c r="AH160" s="336" t="s">
        <v>1024</v>
      </c>
      <c r="AI160" s="376">
        <v>5.0</v>
      </c>
      <c r="AJ160" s="376">
        <v>0.01</v>
      </c>
      <c r="AK160" s="156" t="s">
        <v>128</v>
      </c>
      <c r="AL160" s="54" t="s">
        <v>179</v>
      </c>
      <c r="AM160" s="65" t="s">
        <v>130</v>
      </c>
      <c r="AN160" s="111" t="s">
        <v>131</v>
      </c>
      <c r="AO160" s="153">
        <v>119.0</v>
      </c>
      <c r="AP160" s="153">
        <v>1.97</v>
      </c>
      <c r="AQ160" s="156" t="s">
        <v>1024</v>
      </c>
      <c r="AR160" s="153">
        <v>5.0</v>
      </c>
      <c r="AS160" s="153">
        <v>0.06</v>
      </c>
      <c r="AT160" s="156" t="s">
        <v>165</v>
      </c>
      <c r="AU160" s="156" t="s">
        <v>179</v>
      </c>
      <c r="AV160" s="65" t="s">
        <v>134</v>
      </c>
      <c r="AW160" s="65"/>
      <c r="AX160" s="65" t="s">
        <v>431</v>
      </c>
      <c r="AY160" s="65"/>
      <c r="AZ160" s="362"/>
      <c r="BA160" s="69"/>
      <c r="BB160" s="69"/>
      <c r="BC160" s="69"/>
      <c r="BD160" s="69"/>
      <c r="BE160" s="69"/>
      <c r="BF160" s="69"/>
      <c r="BG160" s="69"/>
      <c r="BH160" s="69"/>
      <c r="BI160" s="69"/>
      <c r="BJ160" s="69"/>
      <c r="BK160" s="69"/>
      <c r="BL160" s="69"/>
      <c r="BM160" s="69"/>
      <c r="BN160" s="69"/>
      <c r="BO160" s="69"/>
      <c r="BP160" s="69"/>
      <c r="BQ160" s="69"/>
      <c r="BR160" s="69"/>
      <c r="BS160" s="69"/>
      <c r="BT160" s="69"/>
      <c r="BU160" s="69"/>
      <c r="BV160" s="69"/>
      <c r="BW160" s="69"/>
      <c r="BX160" s="69"/>
      <c r="BY160" s="69"/>
      <c r="BZ160" s="69"/>
      <c r="CA160" s="69"/>
      <c r="CB160" s="69"/>
      <c r="CC160" s="69"/>
      <c r="CD160" s="69"/>
      <c r="CE160" s="69"/>
      <c r="CF160" s="69"/>
      <c r="CG160" s="69"/>
      <c r="CH160" s="69"/>
      <c r="CI160" s="69"/>
      <c r="CJ160" s="69"/>
      <c r="CK160" s="69"/>
      <c r="CL160" s="69"/>
      <c r="CM160" s="69"/>
      <c r="CN160" s="69"/>
      <c r="CO160" s="69"/>
      <c r="CP160" s="69"/>
      <c r="CQ160" s="69"/>
      <c r="CR160" s="69"/>
      <c r="CS160" s="69"/>
      <c r="CT160" s="69"/>
      <c r="CU160" s="69"/>
      <c r="CV160" s="69"/>
      <c r="CW160" s="69"/>
      <c r="CX160" s="69"/>
      <c r="CY160" s="69"/>
      <c r="CZ160" s="69"/>
      <c r="DA160" s="69"/>
      <c r="DB160" s="69"/>
      <c r="DC160" s="69"/>
      <c r="DD160" s="69"/>
      <c r="DE160" s="69"/>
      <c r="DF160" s="69"/>
      <c r="DG160" s="69"/>
      <c r="DH160" s="69"/>
    </row>
    <row r="161" ht="20.25" customHeight="1">
      <c r="A161" s="41">
        <v>161.0</v>
      </c>
      <c r="B161" s="418" t="s">
        <v>583</v>
      </c>
      <c r="C161" s="418"/>
      <c r="D161" s="418"/>
      <c r="E161" s="362"/>
      <c r="F161" s="65" t="s">
        <v>1008</v>
      </c>
      <c r="G161" s="54" t="s">
        <v>1028</v>
      </c>
      <c r="H161" s="156" t="s">
        <v>137</v>
      </c>
      <c r="I161" s="149">
        <v>45427.0</v>
      </c>
      <c r="J161" s="431">
        <v>45639.0</v>
      </c>
      <c r="K161" s="65"/>
      <c r="L161" s="65"/>
      <c r="M161" s="156" t="s">
        <v>1010</v>
      </c>
      <c r="N161" s="156" t="s">
        <v>1011</v>
      </c>
      <c r="O161" s="153">
        <v>1.0</v>
      </c>
      <c r="P161" s="156" t="s">
        <v>1012</v>
      </c>
      <c r="Q161" s="49" t="str">
        <f t="array" ref="Q161"> if(iserror(MATCH(V161, 'File Links'!C:C, 0)), "N/A", HYPERLINK(INDEX('File Links'!B:B, MATCH(P161, 'File Links'!C:C, 0))))</f>
        <v>https://drive.google.com/file/d/1DrC4ktWX9HamK4DWq_tF1P_2alxXHAnN/view?usp=drivesdk</v>
      </c>
      <c r="R161" s="336" t="s">
        <v>1013</v>
      </c>
      <c r="S161" s="156" t="s">
        <v>1014</v>
      </c>
      <c r="T161" s="65"/>
      <c r="U161" s="153">
        <v>1.0</v>
      </c>
      <c r="V161" s="63" t="str">
        <f> hyperlink(vlookup(lower(S161),'File Links'!E:F, 2, FALSE), SUBSTITUTE(lower(S161), "/", "--") &amp;  ".pdf")</f>
        <v>10.1016--j.drugalcdep.2024.111323.pdf</v>
      </c>
      <c r="W161" s="54" t="s">
        <v>202</v>
      </c>
      <c r="X161" s="51" t="str">
        <f t="array" ref="X161"> if(iserror(MATCH(V161, 'File Links'!C:C, 0)), "N/A", HYPERLINK(INDEX('File Links'!B:B, MATCH(V161, 'File Links'!C:C, 0))))</f>
        <v>https://drive.google.com/file/d/1hw6VxSN8dF8WIp6LhbqOOmsEo0dTvdbu/view?usp=drivesdk</v>
      </c>
      <c r="Y161" s="65"/>
      <c r="Z161" s="156" t="s">
        <v>831</v>
      </c>
      <c r="AA161" s="156" t="s">
        <v>1020</v>
      </c>
      <c r="AB161" s="156" t="s">
        <v>1021</v>
      </c>
      <c r="AC161" s="156" t="s">
        <v>1029</v>
      </c>
      <c r="AD161" s="156" t="s">
        <v>1030</v>
      </c>
      <c r="AE161" s="333">
        <v>5.0</v>
      </c>
      <c r="AF161" s="153">
        <v>93.0</v>
      </c>
      <c r="AG161" s="153">
        <v>2.11</v>
      </c>
      <c r="AH161" s="336" t="s">
        <v>1024</v>
      </c>
      <c r="AI161" s="376">
        <v>5.0</v>
      </c>
      <c r="AJ161" s="376">
        <v>0.4</v>
      </c>
      <c r="AK161" s="156" t="s">
        <v>165</v>
      </c>
      <c r="AL161" s="54" t="s">
        <v>179</v>
      </c>
      <c r="AM161" s="65" t="s">
        <v>130</v>
      </c>
      <c r="AN161" s="111" t="s">
        <v>131</v>
      </c>
      <c r="AO161" s="153">
        <v>117.0</v>
      </c>
      <c r="AP161" s="153">
        <v>1.51</v>
      </c>
      <c r="AQ161" s="156" t="s">
        <v>1024</v>
      </c>
      <c r="AR161" s="153">
        <v>5.0</v>
      </c>
      <c r="AS161" s="153">
        <v>0.16</v>
      </c>
      <c r="AT161" s="156" t="s">
        <v>165</v>
      </c>
      <c r="AU161" s="156" t="s">
        <v>179</v>
      </c>
      <c r="AV161" s="65" t="s">
        <v>134</v>
      </c>
      <c r="AW161" s="65"/>
      <c r="AX161" s="65" t="s">
        <v>431</v>
      </c>
      <c r="AY161" s="65"/>
      <c r="AZ161" s="362"/>
      <c r="BA161" s="69"/>
      <c r="BB161" s="69"/>
      <c r="BC161" s="69"/>
      <c r="BD161" s="69"/>
      <c r="BE161" s="69"/>
      <c r="BF161" s="69"/>
      <c r="BG161" s="69"/>
      <c r="BH161" s="69"/>
      <c r="BI161" s="69"/>
      <c r="BJ161" s="69"/>
      <c r="BK161" s="69"/>
      <c r="BL161" s="69"/>
      <c r="BM161" s="69"/>
      <c r="BN161" s="69"/>
      <c r="BO161" s="69"/>
      <c r="BP161" s="69"/>
      <c r="BQ161" s="69"/>
      <c r="BR161" s="69"/>
      <c r="BS161" s="69"/>
      <c r="BT161" s="69"/>
      <c r="BU161" s="69"/>
      <c r="BV161" s="69"/>
      <c r="BW161" s="69"/>
      <c r="BX161" s="69"/>
      <c r="BY161" s="69"/>
      <c r="BZ161" s="69"/>
      <c r="CA161" s="69"/>
      <c r="CB161" s="69"/>
      <c r="CC161" s="69"/>
      <c r="CD161" s="69"/>
      <c r="CE161" s="69"/>
      <c r="CF161" s="69"/>
      <c r="CG161" s="69"/>
      <c r="CH161" s="69"/>
      <c r="CI161" s="69"/>
      <c r="CJ161" s="69"/>
      <c r="CK161" s="69"/>
      <c r="CL161" s="69"/>
      <c r="CM161" s="69"/>
      <c r="CN161" s="69"/>
      <c r="CO161" s="69"/>
      <c r="CP161" s="69"/>
      <c r="CQ161" s="69"/>
      <c r="CR161" s="69"/>
      <c r="CS161" s="69"/>
      <c r="CT161" s="69"/>
      <c r="CU161" s="69"/>
      <c r="CV161" s="69"/>
      <c r="CW161" s="69"/>
      <c r="CX161" s="69"/>
      <c r="CY161" s="69"/>
      <c r="CZ161" s="69"/>
      <c r="DA161" s="69"/>
      <c r="DB161" s="69"/>
      <c r="DC161" s="69"/>
      <c r="DD161" s="69"/>
      <c r="DE161" s="69"/>
      <c r="DF161" s="69"/>
      <c r="DG161" s="69"/>
      <c r="DH161" s="69"/>
    </row>
    <row r="162" ht="20.25" customHeight="1">
      <c r="A162" s="41">
        <v>162.0</v>
      </c>
      <c r="B162" s="145" t="s">
        <v>278</v>
      </c>
      <c r="C162" s="145" t="s">
        <v>108</v>
      </c>
      <c r="D162" s="418" t="s">
        <v>435</v>
      </c>
      <c r="E162" s="362"/>
      <c r="F162" s="433" t="s">
        <v>1008</v>
      </c>
      <c r="G162" s="420" t="s">
        <v>1025</v>
      </c>
      <c r="H162" s="420" t="s">
        <v>438</v>
      </c>
      <c r="I162" s="421">
        <v>45635.0</v>
      </c>
      <c r="J162" s="423"/>
      <c r="K162" s="423"/>
      <c r="L162" s="423"/>
      <c r="M162" s="420" t="s">
        <v>1010</v>
      </c>
      <c r="N162" s="420" t="s">
        <v>1011</v>
      </c>
      <c r="O162" s="423"/>
      <c r="P162" s="424" t="s">
        <v>1012</v>
      </c>
      <c r="Q162" s="49" t="str">
        <f t="array" ref="Q162"> if(iserror(MATCH(V162, 'File Links'!C:C, 0)), "N/A", HYPERLINK(INDEX('File Links'!B:B, MATCH(P162, 'File Links'!C:C, 0))))</f>
        <v>https://drive.google.com/file/d/1DrC4ktWX9HamK4DWq_tF1P_2alxXHAnN/view?usp=drivesdk</v>
      </c>
      <c r="R162" s="420" t="s">
        <v>1013</v>
      </c>
      <c r="S162" s="439" t="s">
        <v>1014</v>
      </c>
      <c r="T162" s="423"/>
      <c r="U162" s="425"/>
      <c r="V162" s="63" t="str">
        <f> hyperlink(vlookup(lower(S162),'File Links'!E:F, 2, FALSE), SUBSTITUTE(lower(S162), "/", "--") &amp;  ".pdf")</f>
        <v>10.1016--j.drugalcdep.2024.111323.pdf</v>
      </c>
      <c r="W162" s="420" t="s">
        <v>157</v>
      </c>
      <c r="X162" s="51" t="str">
        <f t="array" ref="X162"> if(iserror(MATCH(V162, 'File Links'!C:C, 0)), "N/A", HYPERLINK(INDEX('File Links'!B:B, MATCH(V162, 'File Links'!C:C, 0))))</f>
        <v>https://drive.google.com/file/d/1hw6VxSN8dF8WIp6LhbqOOmsEo0dTvdbu/view?usp=drivesdk</v>
      </c>
      <c r="Y162" s="423"/>
      <c r="Z162" s="420" t="s">
        <v>496</v>
      </c>
      <c r="AA162" s="423"/>
      <c r="AB162" s="420" t="s">
        <v>1015</v>
      </c>
      <c r="AC162" s="440" t="s">
        <v>1016</v>
      </c>
      <c r="AD162" s="420" t="s">
        <v>1031</v>
      </c>
      <c r="AE162" s="426">
        <v>1.0</v>
      </c>
      <c r="AF162" s="426">
        <v>97.0</v>
      </c>
      <c r="AG162" s="426">
        <v>0.35</v>
      </c>
      <c r="AH162" s="424" t="s">
        <v>354</v>
      </c>
      <c r="AI162" s="420" t="s">
        <v>875</v>
      </c>
      <c r="AJ162" s="426">
        <v>0.01</v>
      </c>
      <c r="AK162" s="419" t="s">
        <v>128</v>
      </c>
      <c r="AL162" s="420" t="s">
        <v>179</v>
      </c>
      <c r="AM162" s="420" t="s">
        <v>130</v>
      </c>
      <c r="AN162" s="111" t="s">
        <v>131</v>
      </c>
      <c r="AO162" s="426">
        <v>123.0</v>
      </c>
      <c r="AP162" s="443">
        <v>-0.01</v>
      </c>
      <c r="AQ162" s="444" t="s">
        <v>354</v>
      </c>
      <c r="AR162" s="420" t="s">
        <v>875</v>
      </c>
      <c r="AS162" s="443">
        <v>0.86</v>
      </c>
      <c r="AT162" s="419" t="s">
        <v>165</v>
      </c>
      <c r="AU162" s="419" t="s">
        <v>179</v>
      </c>
      <c r="AV162" s="419" t="s">
        <v>130</v>
      </c>
      <c r="AW162" s="441" t="s">
        <v>1018</v>
      </c>
      <c r="AX162" s="430" t="s">
        <v>431</v>
      </c>
      <c r="AY162" s="58"/>
      <c r="AZ162" s="362"/>
      <c r="BA162" s="69"/>
      <c r="BB162" s="69"/>
      <c r="BC162" s="69"/>
      <c r="BD162" s="69"/>
      <c r="BE162" s="69"/>
      <c r="BF162" s="69"/>
      <c r="BG162" s="69"/>
      <c r="BH162" s="69"/>
      <c r="BI162" s="69"/>
      <c r="BJ162" s="69"/>
      <c r="BK162" s="69"/>
      <c r="BL162" s="69"/>
      <c r="BM162" s="69"/>
      <c r="BN162" s="69"/>
      <c r="BO162" s="69"/>
      <c r="BP162" s="69"/>
      <c r="BQ162" s="69"/>
      <c r="BR162" s="69"/>
      <c r="BS162" s="69"/>
      <c r="BT162" s="69"/>
      <c r="BU162" s="69"/>
      <c r="BV162" s="69"/>
      <c r="BW162" s="69"/>
      <c r="BX162" s="69"/>
      <c r="BY162" s="69"/>
      <c r="BZ162" s="69"/>
      <c r="CA162" s="69"/>
      <c r="CB162" s="69"/>
      <c r="CC162" s="69"/>
      <c r="CD162" s="69"/>
      <c r="CE162" s="69"/>
      <c r="CF162" s="69"/>
      <c r="CG162" s="69"/>
      <c r="CH162" s="69"/>
      <c r="CI162" s="69"/>
      <c r="CJ162" s="69"/>
      <c r="CK162" s="69"/>
      <c r="CL162" s="69"/>
      <c r="CM162" s="69"/>
      <c r="CN162" s="69"/>
      <c r="CO162" s="69"/>
      <c r="CP162" s="69"/>
      <c r="CQ162" s="69"/>
      <c r="CR162" s="69"/>
      <c r="CS162" s="69"/>
      <c r="CT162" s="69"/>
      <c r="CU162" s="69"/>
      <c r="CV162" s="69"/>
      <c r="CW162" s="69"/>
      <c r="CX162" s="69"/>
      <c r="CY162" s="69"/>
      <c r="CZ162" s="69"/>
      <c r="DA162" s="69"/>
      <c r="DB162" s="69"/>
      <c r="DC162" s="69"/>
      <c r="DD162" s="69"/>
      <c r="DE162" s="69"/>
      <c r="DF162" s="69"/>
      <c r="DG162" s="69"/>
      <c r="DH162" s="69"/>
    </row>
    <row r="163" ht="20.25" customHeight="1">
      <c r="A163" s="41">
        <v>163.0</v>
      </c>
      <c r="B163" s="145" t="s">
        <v>278</v>
      </c>
      <c r="C163" s="145" t="s">
        <v>108</v>
      </c>
      <c r="D163" s="418" t="s">
        <v>435</v>
      </c>
      <c r="E163" s="362"/>
      <c r="F163" s="433" t="s">
        <v>1008</v>
      </c>
      <c r="G163" s="420" t="s">
        <v>1028</v>
      </c>
      <c r="H163" s="420" t="s">
        <v>438</v>
      </c>
      <c r="I163" s="421">
        <v>45635.0</v>
      </c>
      <c r="J163" s="423"/>
      <c r="K163" s="423"/>
      <c r="L163" s="423"/>
      <c r="M163" s="420" t="s">
        <v>1010</v>
      </c>
      <c r="N163" s="420" t="s">
        <v>1011</v>
      </c>
      <c r="O163" s="423"/>
      <c r="P163" s="424" t="s">
        <v>1012</v>
      </c>
      <c r="Q163" s="49" t="str">
        <f t="array" ref="Q163"> if(iserror(MATCH(V163, 'File Links'!C:C, 0)), "N/A", HYPERLINK(INDEX('File Links'!B:B, MATCH(P163, 'File Links'!C:C, 0))))</f>
        <v>https://drive.google.com/file/d/1DrC4ktWX9HamK4DWq_tF1P_2alxXHAnN/view?usp=drivesdk</v>
      </c>
      <c r="R163" s="420" t="s">
        <v>1013</v>
      </c>
      <c r="S163" s="439" t="s">
        <v>1014</v>
      </c>
      <c r="T163" s="423"/>
      <c r="U163" s="425"/>
      <c r="V163" s="63" t="str">
        <f> hyperlink(vlookup(lower(S163),'File Links'!E:F, 2, FALSE), SUBSTITUTE(lower(S163), "/", "--") &amp;  ".pdf")</f>
        <v>10.1016--j.drugalcdep.2024.111323.pdf</v>
      </c>
      <c r="W163" s="420" t="s">
        <v>157</v>
      </c>
      <c r="X163" s="51" t="str">
        <f t="array" ref="X163"> if(iserror(MATCH(V163, 'File Links'!C:C, 0)), "N/A", HYPERLINK(INDEX('File Links'!B:B, MATCH(V163, 'File Links'!C:C, 0))))</f>
        <v>https://drive.google.com/file/d/1hw6VxSN8dF8WIp6LhbqOOmsEo0dTvdbu/view?usp=drivesdk</v>
      </c>
      <c r="Y163" s="423"/>
      <c r="Z163" s="420" t="s">
        <v>496</v>
      </c>
      <c r="AA163" s="423"/>
      <c r="AB163" s="420" t="s">
        <v>1015</v>
      </c>
      <c r="AC163" s="440" t="s">
        <v>1016</v>
      </c>
      <c r="AD163" s="420" t="s">
        <v>1032</v>
      </c>
      <c r="AE163" s="426">
        <v>1.0</v>
      </c>
      <c r="AF163" s="426">
        <v>97.0</v>
      </c>
      <c r="AG163" s="426">
        <v>-0.2</v>
      </c>
      <c r="AH163" s="424" t="s">
        <v>354</v>
      </c>
      <c r="AI163" s="420" t="s">
        <v>875</v>
      </c>
      <c r="AJ163" s="426">
        <v>0.01</v>
      </c>
      <c r="AK163" s="419" t="s">
        <v>128</v>
      </c>
      <c r="AL163" s="420" t="s">
        <v>179</v>
      </c>
      <c r="AM163" s="420" t="s">
        <v>130</v>
      </c>
      <c r="AN163" s="111" t="s">
        <v>131</v>
      </c>
      <c r="AO163" s="426">
        <v>123.0</v>
      </c>
      <c r="AP163" s="443">
        <v>-0.33</v>
      </c>
      <c r="AQ163" s="444" t="s">
        <v>354</v>
      </c>
      <c r="AR163" s="420" t="s">
        <v>875</v>
      </c>
      <c r="AS163" s="443">
        <v>0.01</v>
      </c>
      <c r="AT163" s="419" t="s">
        <v>128</v>
      </c>
      <c r="AU163" s="419" t="s">
        <v>179</v>
      </c>
      <c r="AV163" s="419" t="s">
        <v>130</v>
      </c>
      <c r="AW163" s="441" t="s">
        <v>1018</v>
      </c>
      <c r="AX163" s="430" t="s">
        <v>431</v>
      </c>
      <c r="AY163" s="58"/>
      <c r="AZ163" s="362"/>
    </row>
    <row r="164" ht="20.25" customHeight="1">
      <c r="A164" s="41">
        <v>164.0</v>
      </c>
      <c r="B164" s="145" t="s">
        <v>278</v>
      </c>
      <c r="C164" s="145" t="s">
        <v>108</v>
      </c>
      <c r="D164" s="418" t="s">
        <v>435</v>
      </c>
      <c r="E164" s="362"/>
      <c r="F164" s="433" t="s">
        <v>1008</v>
      </c>
      <c r="G164" s="420" t="s">
        <v>1033</v>
      </c>
      <c r="H164" s="420" t="s">
        <v>438</v>
      </c>
      <c r="I164" s="421">
        <v>45635.0</v>
      </c>
      <c r="J164" s="423"/>
      <c r="K164" s="420" t="s">
        <v>1034</v>
      </c>
      <c r="L164" s="423"/>
      <c r="M164" s="420" t="s">
        <v>1010</v>
      </c>
      <c r="N164" s="420" t="s">
        <v>1011</v>
      </c>
      <c r="O164" s="423"/>
      <c r="P164" s="424" t="s">
        <v>1012</v>
      </c>
      <c r="Q164" s="49" t="str">
        <f t="array" ref="Q164"> if(iserror(MATCH(V164, 'File Links'!C:C, 0)), "N/A", HYPERLINK(INDEX('File Links'!B:B, MATCH(P164, 'File Links'!C:C, 0))))</f>
        <v>https://drive.google.com/file/d/1DrC4ktWX9HamK4DWq_tF1P_2alxXHAnN/view?usp=drivesdk</v>
      </c>
      <c r="R164" s="420" t="s">
        <v>1013</v>
      </c>
      <c r="S164" s="439" t="s">
        <v>1014</v>
      </c>
      <c r="T164" s="423"/>
      <c r="U164" s="425"/>
      <c r="V164" s="63" t="str">
        <f> hyperlink(vlookup(lower(S164),'File Links'!E:F, 2, FALSE), SUBSTITUTE(lower(S164), "/", "--") &amp;  ".pdf")</f>
        <v>10.1016--j.drugalcdep.2024.111323.pdf</v>
      </c>
      <c r="W164" s="420" t="s">
        <v>157</v>
      </c>
      <c r="X164" s="51" t="str">
        <f t="array" ref="X164"> if(iserror(MATCH(V164, 'File Links'!C:C, 0)), "N/A", HYPERLINK(INDEX('File Links'!B:B, MATCH(V164, 'File Links'!C:C, 0))))</f>
        <v>https://drive.google.com/file/d/1hw6VxSN8dF8WIp6LhbqOOmsEo0dTvdbu/view?usp=drivesdk</v>
      </c>
      <c r="Y164" s="423"/>
      <c r="Z164" s="420" t="s">
        <v>496</v>
      </c>
      <c r="AA164" s="423"/>
      <c r="AB164" s="420" t="s">
        <v>1015</v>
      </c>
      <c r="AC164" s="445" t="s">
        <v>1016</v>
      </c>
      <c r="AD164" s="423"/>
      <c r="AE164" s="423"/>
      <c r="AF164" s="426">
        <v>63.0</v>
      </c>
      <c r="AG164" s="443">
        <v>0.22</v>
      </c>
      <c r="AH164" s="424" t="s">
        <v>354</v>
      </c>
      <c r="AI164" s="427" t="s">
        <v>1035</v>
      </c>
      <c r="AJ164" s="443">
        <v>0.17</v>
      </c>
      <c r="AK164" s="419" t="s">
        <v>165</v>
      </c>
      <c r="AL164" s="420" t="s">
        <v>179</v>
      </c>
      <c r="AM164" s="420" t="s">
        <v>130</v>
      </c>
      <c r="AN164" s="111" t="s">
        <v>131</v>
      </c>
      <c r="AO164" s="426">
        <v>61.0</v>
      </c>
      <c r="AP164" s="446">
        <v>0.08</v>
      </c>
      <c r="AQ164" s="420" t="s">
        <v>354</v>
      </c>
      <c r="AR164" s="420" t="s">
        <v>1035</v>
      </c>
      <c r="AS164" s="426">
        <v>0.56</v>
      </c>
      <c r="AT164" s="419" t="s">
        <v>165</v>
      </c>
      <c r="AU164" s="419" t="s">
        <v>179</v>
      </c>
      <c r="AV164" s="419" t="s">
        <v>130</v>
      </c>
      <c r="AW164" s="441" t="s">
        <v>1018</v>
      </c>
      <c r="AX164" s="430" t="s">
        <v>431</v>
      </c>
      <c r="AY164" s="58"/>
      <c r="AZ164" s="362"/>
    </row>
    <row r="165" ht="20.25" customHeight="1">
      <c r="A165" s="41">
        <v>165.0</v>
      </c>
      <c r="B165" s="145" t="s">
        <v>278</v>
      </c>
      <c r="C165" s="145" t="s">
        <v>108</v>
      </c>
      <c r="D165" s="418" t="s">
        <v>435</v>
      </c>
      <c r="E165" s="362"/>
      <c r="F165" s="433" t="s">
        <v>1008</v>
      </c>
      <c r="G165" s="420" t="s">
        <v>1036</v>
      </c>
      <c r="H165" s="420" t="s">
        <v>438</v>
      </c>
      <c r="I165" s="421">
        <v>45635.0</v>
      </c>
      <c r="J165" s="423"/>
      <c r="K165" s="420" t="s">
        <v>1037</v>
      </c>
      <c r="L165" s="423"/>
      <c r="M165" s="420" t="s">
        <v>1010</v>
      </c>
      <c r="N165" s="420" t="s">
        <v>1011</v>
      </c>
      <c r="O165" s="423"/>
      <c r="P165" s="424" t="s">
        <v>1012</v>
      </c>
      <c r="Q165" s="49" t="str">
        <f t="array" ref="Q165"> if(iserror(MATCH(V165, 'File Links'!C:C, 0)), "N/A", HYPERLINK(INDEX('File Links'!B:B, MATCH(P165, 'File Links'!C:C, 0))))</f>
        <v>https://drive.google.com/file/d/1DrC4ktWX9HamK4DWq_tF1P_2alxXHAnN/view?usp=drivesdk</v>
      </c>
      <c r="R165" s="420" t="s">
        <v>1013</v>
      </c>
      <c r="S165" s="439" t="s">
        <v>1014</v>
      </c>
      <c r="T165" s="423"/>
      <c r="U165" s="425"/>
      <c r="V165" s="63" t="str">
        <f> hyperlink(vlookup(lower(S165),'File Links'!E:F, 2, FALSE), SUBSTITUTE(lower(S165), "/", "--") &amp;  ".pdf")</f>
        <v>10.1016--j.drugalcdep.2024.111323.pdf</v>
      </c>
      <c r="W165" s="420" t="s">
        <v>157</v>
      </c>
      <c r="X165" s="51" t="str">
        <f t="array" ref="X165"> if(iserror(MATCH(V165, 'File Links'!C:C, 0)), "N/A", HYPERLINK(INDEX('File Links'!B:B, MATCH(V165, 'File Links'!C:C, 0))))</f>
        <v>https://drive.google.com/file/d/1hw6VxSN8dF8WIp6LhbqOOmsEo0dTvdbu/view?usp=drivesdk</v>
      </c>
      <c r="Y165" s="423"/>
      <c r="Z165" s="420" t="s">
        <v>496</v>
      </c>
      <c r="AA165" s="423"/>
      <c r="AB165" s="420" t="s">
        <v>1015</v>
      </c>
      <c r="AC165" s="445" t="s">
        <v>1016</v>
      </c>
      <c r="AD165" s="423"/>
      <c r="AE165" s="423"/>
      <c r="AF165" s="426">
        <v>63.0</v>
      </c>
      <c r="AG165" s="443">
        <v>0.19</v>
      </c>
      <c r="AH165" s="424" t="s">
        <v>354</v>
      </c>
      <c r="AI165" s="427" t="s">
        <v>1035</v>
      </c>
      <c r="AJ165" s="443">
        <v>0.26</v>
      </c>
      <c r="AK165" s="419" t="s">
        <v>165</v>
      </c>
      <c r="AL165" s="420" t="s">
        <v>179</v>
      </c>
      <c r="AM165" s="420" t="s">
        <v>130</v>
      </c>
      <c r="AN165" s="111" t="s">
        <v>131</v>
      </c>
      <c r="AO165" s="426">
        <v>61.0</v>
      </c>
      <c r="AP165" s="446">
        <v>-0.03</v>
      </c>
      <c r="AQ165" s="420" t="s">
        <v>354</v>
      </c>
      <c r="AR165" s="420" t="s">
        <v>1035</v>
      </c>
      <c r="AS165" s="426">
        <v>0.8</v>
      </c>
      <c r="AT165" s="419" t="s">
        <v>165</v>
      </c>
      <c r="AU165" s="419" t="s">
        <v>179</v>
      </c>
      <c r="AV165" s="419" t="s">
        <v>130</v>
      </c>
      <c r="AW165" s="441" t="s">
        <v>1018</v>
      </c>
      <c r="AX165" s="430" t="s">
        <v>431</v>
      </c>
      <c r="AY165" s="58"/>
      <c r="AZ165" s="362"/>
    </row>
    <row r="166" ht="20.25" customHeight="1">
      <c r="A166" s="41">
        <v>166.0</v>
      </c>
      <c r="B166" s="145" t="s">
        <v>278</v>
      </c>
      <c r="C166" s="145" t="s">
        <v>108</v>
      </c>
      <c r="D166" s="418" t="s">
        <v>435</v>
      </c>
      <c r="E166" s="362"/>
      <c r="F166" s="433" t="s">
        <v>1008</v>
      </c>
      <c r="G166" s="420" t="s">
        <v>1038</v>
      </c>
      <c r="H166" s="420" t="s">
        <v>438</v>
      </c>
      <c r="I166" s="421">
        <v>45635.0</v>
      </c>
      <c r="J166" s="423"/>
      <c r="K166" s="420" t="s">
        <v>1039</v>
      </c>
      <c r="L166" s="423"/>
      <c r="M166" s="420" t="s">
        <v>1010</v>
      </c>
      <c r="N166" s="420" t="s">
        <v>1011</v>
      </c>
      <c r="O166" s="423"/>
      <c r="P166" s="424" t="s">
        <v>1012</v>
      </c>
      <c r="Q166" s="49" t="str">
        <f t="array" ref="Q166"> if(iserror(MATCH(V166, 'File Links'!C:C, 0)), "N/A", HYPERLINK(INDEX('File Links'!B:B, MATCH(P166, 'File Links'!C:C, 0))))</f>
        <v>https://drive.google.com/file/d/1DrC4ktWX9HamK4DWq_tF1P_2alxXHAnN/view?usp=drivesdk</v>
      </c>
      <c r="R166" s="420" t="s">
        <v>1013</v>
      </c>
      <c r="S166" s="439" t="s">
        <v>1014</v>
      </c>
      <c r="T166" s="423"/>
      <c r="U166" s="425"/>
      <c r="V166" s="63" t="str">
        <f> hyperlink(vlookup(lower(S166),'File Links'!E:F, 2, FALSE), SUBSTITUTE(lower(S166), "/", "--") &amp;  ".pdf")</f>
        <v>10.1016--j.drugalcdep.2024.111323.pdf</v>
      </c>
      <c r="W166" s="420" t="s">
        <v>157</v>
      </c>
      <c r="X166" s="51" t="str">
        <f t="array" ref="X166"> if(iserror(MATCH(V166, 'File Links'!C:C, 0)), "N/A", HYPERLINK(INDEX('File Links'!B:B, MATCH(V166, 'File Links'!C:C, 0))))</f>
        <v>https://drive.google.com/file/d/1hw6VxSN8dF8WIp6LhbqOOmsEo0dTvdbu/view?usp=drivesdk</v>
      </c>
      <c r="Y166" s="423"/>
      <c r="Z166" s="420" t="s">
        <v>496</v>
      </c>
      <c r="AA166" s="423"/>
      <c r="AB166" s="420" t="s">
        <v>1015</v>
      </c>
      <c r="AC166" s="445" t="s">
        <v>1016</v>
      </c>
      <c r="AD166" s="423"/>
      <c r="AE166" s="423"/>
      <c r="AF166" s="426">
        <v>63.0</v>
      </c>
      <c r="AG166" s="443" t="s">
        <v>1040</v>
      </c>
      <c r="AH166" s="424" t="s">
        <v>354</v>
      </c>
      <c r="AI166" s="427" t="s">
        <v>1035</v>
      </c>
      <c r="AJ166" s="443">
        <v>0.83</v>
      </c>
      <c r="AK166" s="419" t="s">
        <v>165</v>
      </c>
      <c r="AL166" s="420" t="s">
        <v>179</v>
      </c>
      <c r="AM166" s="420" t="s">
        <v>130</v>
      </c>
      <c r="AN166" s="111" t="s">
        <v>131</v>
      </c>
      <c r="AO166" s="426">
        <v>61.0</v>
      </c>
      <c r="AP166" s="443">
        <v>0.1</v>
      </c>
      <c r="AQ166" s="444" t="s">
        <v>354</v>
      </c>
      <c r="AR166" s="420" t="s">
        <v>1035</v>
      </c>
      <c r="AS166" s="443">
        <v>0.41</v>
      </c>
      <c r="AT166" s="419" t="s">
        <v>165</v>
      </c>
      <c r="AU166" s="419" t="s">
        <v>179</v>
      </c>
      <c r="AV166" s="419" t="s">
        <v>130</v>
      </c>
      <c r="AW166" s="441" t="s">
        <v>1018</v>
      </c>
      <c r="AX166" s="430" t="s">
        <v>431</v>
      </c>
      <c r="AY166" s="58"/>
      <c r="AZ166" s="362"/>
    </row>
    <row r="167" ht="20.25" customHeight="1">
      <c r="A167" s="41">
        <v>167.0</v>
      </c>
      <c r="B167" s="447" t="s">
        <v>107</v>
      </c>
      <c r="C167" s="447" t="s">
        <v>108</v>
      </c>
      <c r="D167" s="447" t="s">
        <v>746</v>
      </c>
      <c r="E167" s="448"/>
      <c r="F167" s="196" t="s">
        <v>1041</v>
      </c>
      <c r="G167" s="447" t="s">
        <v>1042</v>
      </c>
      <c r="H167" s="447" t="s">
        <v>746</v>
      </c>
      <c r="I167" s="449">
        <v>45427.0</v>
      </c>
      <c r="J167" s="141">
        <v>45670.0</v>
      </c>
      <c r="K167" s="107"/>
      <c r="L167" s="358" t="s">
        <v>1043</v>
      </c>
      <c r="M167" s="106" t="s">
        <v>1044</v>
      </c>
      <c r="N167" s="106" t="s">
        <v>1045</v>
      </c>
      <c r="O167" s="107"/>
      <c r="P167" s="143" t="str">
        <f> hyperlink(vlookup(lower(N167),'File Links'!A:B, 2, FALSE), SUBSTITUTE(lower(N167), "/", "--") &amp;  ".pdf")</f>
        <v>10.1002--jeab.432.pdf</v>
      </c>
      <c r="Q167" s="49" t="str">
        <f t="array" ref="Q167"> if(iserror(MATCH(V167, 'File Links'!C:C, 0)), "N/A", HYPERLINK(INDEX('File Links'!B:B, MATCH(P167, 'File Links'!C:C, 0))))</f>
        <v>https://drive.google.com/file/d/1oqwZUfEfzfjGZaYk1A2E8B-PU-AQ6SKz/view?usp=drivesdk</v>
      </c>
      <c r="R167" s="450" t="s">
        <v>1046</v>
      </c>
      <c r="S167" s="111" t="s">
        <v>1047</v>
      </c>
      <c r="T167" s="107"/>
      <c r="U167" s="107"/>
      <c r="V167" s="63" t="str">
        <f> hyperlink(vlookup(lower(S167),'File Links'!E:F, 2, FALSE), SUBSTITUTE(lower(S167), "/", "--") &amp;  ".pdf")</f>
        <v>10.1007--s40732-024-00597-x.pdf</v>
      </c>
      <c r="W167" s="111" t="s">
        <v>1048</v>
      </c>
      <c r="X167" s="51" t="str">
        <f t="array" ref="X167"> if(iserror(MATCH(V167, 'File Links'!C:C, 0)), "N/A", HYPERLINK(INDEX('File Links'!B:B, MATCH(V167, 'File Links'!C:C, 0))))</f>
        <v>https://drive.google.com/file/d/1BuhIf3isP0KQXBW8CveCqOhEBWMkWgvl/view?usp=drivesdk</v>
      </c>
      <c r="Y167" s="107"/>
      <c r="Z167" s="106" t="s">
        <v>940</v>
      </c>
      <c r="AA167" s="107"/>
      <c r="AB167" s="107"/>
      <c r="AC167" s="106" t="s">
        <v>1049</v>
      </c>
      <c r="AD167" s="107"/>
      <c r="AE167" s="107"/>
      <c r="AF167" s="107"/>
      <c r="AG167" s="107"/>
      <c r="AH167" s="107"/>
      <c r="AI167" s="107"/>
      <c r="AJ167" s="106"/>
      <c r="AK167" s="107"/>
      <c r="AL167" s="107"/>
      <c r="AM167" s="69"/>
      <c r="AN167" s="111" t="s">
        <v>131</v>
      </c>
      <c r="AO167" s="107"/>
      <c r="AP167" s="107"/>
      <c r="AQ167" s="107"/>
      <c r="AR167" s="107"/>
      <c r="AS167" s="107"/>
      <c r="AT167" s="107"/>
      <c r="AU167" s="107"/>
      <c r="AV167" s="69"/>
      <c r="AW167" s="69"/>
      <c r="AX167" s="108"/>
      <c r="AY167" s="42" t="s">
        <v>1043</v>
      </c>
      <c r="AZ167" s="146" t="s">
        <v>137</v>
      </c>
    </row>
    <row r="168" ht="20.25" customHeight="1">
      <c r="A168" s="41">
        <v>168.0</v>
      </c>
      <c r="B168" s="196" t="s">
        <v>145</v>
      </c>
      <c r="C168" s="196" t="s">
        <v>108</v>
      </c>
      <c r="D168" s="196" t="s">
        <v>241</v>
      </c>
      <c r="E168" s="197"/>
      <c r="F168" s="201" t="s">
        <v>1041</v>
      </c>
      <c r="G168" s="451" t="s">
        <v>1042</v>
      </c>
      <c r="H168" s="451" t="s">
        <v>242</v>
      </c>
      <c r="I168" s="452">
        <v>45644.0</v>
      </c>
      <c r="J168" s="141">
        <v>45670.0</v>
      </c>
      <c r="K168" s="111"/>
      <c r="L168" s="209" t="s">
        <v>1050</v>
      </c>
      <c r="M168" s="190" t="s">
        <v>1044</v>
      </c>
      <c r="N168" s="190" t="s">
        <v>1045</v>
      </c>
      <c r="O168" s="371">
        <v>1.0</v>
      </c>
      <c r="P168" s="453" t="str">
        <f> hyperlink(vlookup(lower(N168),'File Links'!E:F, 2, FALSE), SUBSTITUTE(lower(N168), "/", "--") &amp;  ".pdf")</f>
        <v>10.1002--jeab.432.pdf</v>
      </c>
      <c r="Q168" s="49" t="str">
        <f t="array" ref="Q168"> if(iserror(MATCH(V168, 'File Links'!C:C, 0)), "N/A", HYPERLINK(INDEX('File Links'!B:B, MATCH(P168, 'File Links'!C:C, 0))))</f>
        <v>https://drive.google.com/file/d/1oqwZUfEfzfjGZaYk1A2E8B-PU-AQ6SKz/view?usp=drivesdk</v>
      </c>
      <c r="R168" s="454" t="s">
        <v>1051</v>
      </c>
      <c r="S168" s="190" t="s">
        <v>1047</v>
      </c>
      <c r="T168" s="190"/>
      <c r="U168" s="130">
        <v>1.0</v>
      </c>
      <c r="V168" s="63" t="str">
        <f> hyperlink(vlookup(lower(S168),'File Links'!E:F, 2, FALSE), SUBSTITUTE(lower(S168), "/", "--") &amp;  ".pdf")</f>
        <v>10.1007--s40732-024-00597-x.pdf</v>
      </c>
      <c r="W168" s="190" t="s">
        <v>1048</v>
      </c>
      <c r="X168" s="51" t="str">
        <f t="array" ref="X168"> if(iserror(MATCH(V168, 'File Links'!C:C, 0)), "N/A", HYPERLINK(INDEX('File Links'!B:B, MATCH(V168, 'File Links'!C:C, 0))))</f>
        <v>https://drive.google.com/file/d/1BuhIf3isP0KQXBW8CveCqOhEBWMkWgvl/view?usp=drivesdk</v>
      </c>
      <c r="Y168" s="190"/>
      <c r="Z168" s="365" t="s">
        <v>940</v>
      </c>
      <c r="AA168" s="190"/>
      <c r="AB168" s="190" t="s">
        <v>1052</v>
      </c>
      <c r="AC168" s="365" t="s">
        <v>1049</v>
      </c>
      <c r="AD168" s="455" t="s">
        <v>1053</v>
      </c>
      <c r="AE168" s="456">
        <v>8.0</v>
      </c>
      <c r="AF168" s="144">
        <v>34.0</v>
      </c>
      <c r="AG168" s="457" t="s">
        <v>1054</v>
      </c>
      <c r="AH168" s="458" t="s">
        <v>127</v>
      </c>
      <c r="AI168" s="459" t="s">
        <v>1055</v>
      </c>
      <c r="AJ168" s="106">
        <v>0.005</v>
      </c>
      <c r="AK168" s="108" t="s">
        <v>165</v>
      </c>
      <c r="AL168" s="111" t="s">
        <v>179</v>
      </c>
      <c r="AM168" s="190" t="s">
        <v>130</v>
      </c>
      <c r="AN168" s="111" t="s">
        <v>131</v>
      </c>
      <c r="AO168" s="460">
        <v>48.0</v>
      </c>
      <c r="AP168" s="461" t="s">
        <v>1056</v>
      </c>
      <c r="AQ168" s="462" t="s">
        <v>127</v>
      </c>
      <c r="AR168" s="459" t="s">
        <v>1057</v>
      </c>
      <c r="AS168" s="463">
        <v>0.04</v>
      </c>
      <c r="AT168" s="201" t="s">
        <v>165</v>
      </c>
      <c r="AU168" s="201" t="s">
        <v>179</v>
      </c>
      <c r="AV168" s="201" t="s">
        <v>130</v>
      </c>
      <c r="AW168" s="201" t="s">
        <v>131</v>
      </c>
      <c r="AX168" s="201" t="s">
        <v>144</v>
      </c>
      <c r="AY168" s="126" t="s">
        <v>1058</v>
      </c>
      <c r="AZ168" s="146" t="s">
        <v>137</v>
      </c>
    </row>
    <row r="169" ht="20.25" customHeight="1">
      <c r="A169" s="41">
        <v>169.0</v>
      </c>
      <c r="B169" s="59" t="s">
        <v>278</v>
      </c>
      <c r="C169" s="59" t="s">
        <v>108</v>
      </c>
      <c r="D169" s="59" t="s">
        <v>279</v>
      </c>
      <c r="F169" s="152" t="s">
        <v>1041</v>
      </c>
      <c r="G169" s="148" t="s">
        <v>1042</v>
      </c>
      <c r="H169" s="148" t="s">
        <v>282</v>
      </c>
      <c r="I169" s="150">
        <v>45427.0</v>
      </c>
      <c r="J169" s="150">
        <v>45684.0</v>
      </c>
      <c r="K169" s="126" t="s">
        <v>1059</v>
      </c>
      <c r="L169" s="65"/>
      <c r="M169" s="152" t="s">
        <v>1044</v>
      </c>
      <c r="N169" s="152" t="s">
        <v>1045</v>
      </c>
      <c r="O169" s="153"/>
      <c r="P169" s="306" t="s">
        <v>1060</v>
      </c>
      <c r="Q169" s="49" t="str">
        <f t="array" ref="Q169"> if(iserror(MATCH(V169, 'File Links'!C:C, 0)), "N/A", HYPERLINK(INDEX('File Links'!B:B, MATCH(P169, 'File Links'!C:C, 0))))</f>
        <v>https://drive.google.com/file/d/1oqwZUfEfzfjGZaYk1A2E8B-PU-AQ6SKz/view?usp=drivesdk</v>
      </c>
      <c r="R169" s="126" t="s">
        <v>1061</v>
      </c>
      <c r="S169" s="190" t="s">
        <v>1047</v>
      </c>
      <c r="T169" s="65"/>
      <c r="U169" s="375"/>
      <c r="V169" s="63" t="str">
        <f> hyperlink(vlookup(lower(S169),'File Links'!E:F, 2, FALSE), SUBSTITUTE(lower(S169), "/", "--") &amp;  ".pdf")</f>
        <v>10.1007--s40732-024-00597-x.pdf</v>
      </c>
      <c r="W169" s="126" t="s">
        <v>1062</v>
      </c>
      <c r="X169" s="51" t="str">
        <f t="array" ref="X169"> if(iserror(MATCH(V169, 'File Links'!C:C, 0)), "N/A", HYPERLINK(INDEX('File Links'!B:B, MATCH(V169, 'File Links'!C:C, 0))))</f>
        <v>https://drive.google.com/file/d/1BuhIf3isP0KQXBW8CveCqOhEBWMkWgvl/view?usp=drivesdk</v>
      </c>
      <c r="Z169" s="148" t="s">
        <v>831</v>
      </c>
      <c r="AA169" s="65"/>
      <c r="AB169" s="65"/>
      <c r="AC169" s="65"/>
      <c r="AD169" s="155"/>
      <c r="AE169" s="153"/>
      <c r="AF169" s="153"/>
      <c r="AG169" s="153"/>
      <c r="AH169" s="156"/>
      <c r="AI169" s="65"/>
      <c r="AJ169" s="157"/>
      <c r="AK169" s="54"/>
      <c r="AL169" s="54"/>
      <c r="AM169" s="65"/>
      <c r="AN169" s="111" t="s">
        <v>131</v>
      </c>
      <c r="AO169" s="153"/>
      <c r="AP169" s="153"/>
      <c r="AQ169" s="156"/>
      <c r="AR169" s="65"/>
      <c r="AS169" s="159"/>
      <c r="AT169" s="156"/>
      <c r="AU169" s="156"/>
      <c r="AV169" s="65"/>
      <c r="AW169" s="307"/>
      <c r="AX169" s="65"/>
    </row>
    <row r="170" ht="20.25" customHeight="1">
      <c r="A170" s="41">
        <v>170.0</v>
      </c>
      <c r="B170" s="464" t="s">
        <v>145</v>
      </c>
      <c r="C170" s="464" t="s">
        <v>108</v>
      </c>
      <c r="D170" s="464" t="s">
        <v>339</v>
      </c>
      <c r="E170" s="465"/>
      <c r="F170" s="466" t="s">
        <v>1063</v>
      </c>
      <c r="G170" s="467" t="s">
        <v>1064</v>
      </c>
      <c r="H170" s="467" t="s">
        <v>342</v>
      </c>
      <c r="I170" s="468">
        <v>45427.0</v>
      </c>
      <c r="J170" s="469">
        <v>45786.0</v>
      </c>
      <c r="K170" s="470" t="s">
        <v>1065</v>
      </c>
      <c r="L170" s="471" t="s">
        <v>1066</v>
      </c>
      <c r="M170" s="467" t="s">
        <v>1067</v>
      </c>
      <c r="N170" s="470" t="s">
        <v>1068</v>
      </c>
      <c r="O170" s="368">
        <v>1.0</v>
      </c>
      <c r="P170" s="472" t="s">
        <v>1069</v>
      </c>
      <c r="Q170" s="49" t="str">
        <f t="array" ref="Q170"> if(iserror(MATCH(V170, 'File Links'!C:C, 0)), "N/A", HYPERLINK(INDEX('File Links'!B:B, MATCH(P170, 'File Links'!C:C, 0))))</f>
        <v>https://drive.google.com/file/d/1GCYFeLrlGpCBF1GyjSAAd1YFst71bifH/view?usp=drivesdk</v>
      </c>
      <c r="R170" s="467" t="s">
        <v>1070</v>
      </c>
      <c r="S170" s="467" t="s">
        <v>1071</v>
      </c>
      <c r="T170" s="473"/>
      <c r="U170" s="471">
        <v>1.0</v>
      </c>
      <c r="V170" s="474" t="str">
        <f> hyperlink(vlookup(lower(S170),'File Links'!E:F, 2, FALSE), SUBSTITUTE(lower(S170), "/", "--") &amp;  ".pdf")</f>
        <v>10.1016--j.paid.2024.112692.pdf</v>
      </c>
      <c r="W170" s="467" t="s">
        <v>600</v>
      </c>
      <c r="X170" s="51" t="str">
        <f t="array" ref="X170"> if(iserror(MATCH(V170, 'File Links'!C:C, 0)), "N/A", HYPERLINK(INDEX('File Links'!B:B, MATCH(V170, 'File Links'!C:C, 0))))</f>
        <v>https://drive.google.com/file/d/1maMe58N1aLmqdBUtveOinCFDUWOh5rcE/view?usp=drivesdk</v>
      </c>
      <c r="Y170" s="473"/>
      <c r="Z170" s="467" t="s">
        <v>1072</v>
      </c>
      <c r="AA170" s="377" t="s">
        <v>1073</v>
      </c>
      <c r="AB170" s="470" t="s">
        <v>1074</v>
      </c>
      <c r="AC170" s="470" t="s">
        <v>1075</v>
      </c>
      <c r="AD170" s="475" t="s">
        <v>1076</v>
      </c>
      <c r="AE170" s="476">
        <v>5.0</v>
      </c>
      <c r="AF170" s="476">
        <v>2428.0</v>
      </c>
      <c r="AG170" s="477" t="s">
        <v>1077</v>
      </c>
      <c r="AH170" s="472" t="s">
        <v>127</v>
      </c>
      <c r="AI170" s="467" t="s">
        <v>806</v>
      </c>
      <c r="AJ170" s="476">
        <v>0.001</v>
      </c>
      <c r="AK170" s="466" t="s">
        <v>128</v>
      </c>
      <c r="AL170" s="467" t="s">
        <v>179</v>
      </c>
      <c r="AM170" s="471" t="s">
        <v>134</v>
      </c>
      <c r="AN170" s="467" t="s">
        <v>131</v>
      </c>
      <c r="AO170" s="476">
        <v>3906.0</v>
      </c>
      <c r="AP170" s="148" t="s">
        <v>1078</v>
      </c>
      <c r="AQ170" s="467" t="s">
        <v>127</v>
      </c>
      <c r="AR170" s="478" t="s">
        <v>210</v>
      </c>
      <c r="AS170" s="476">
        <v>0.001</v>
      </c>
      <c r="AT170" s="466" t="s">
        <v>128</v>
      </c>
      <c r="AU170" s="466" t="s">
        <v>179</v>
      </c>
      <c r="AV170" s="368" t="s">
        <v>134</v>
      </c>
      <c r="AW170" s="466" t="s">
        <v>131</v>
      </c>
      <c r="AX170" s="479" t="s">
        <v>136</v>
      </c>
      <c r="AY170" s="473"/>
      <c r="AZ170" s="464" t="s">
        <v>807</v>
      </c>
      <c r="BA170" s="465"/>
      <c r="BB170" s="465"/>
      <c r="BC170" s="465"/>
      <c r="BD170" s="465"/>
      <c r="BE170" s="465"/>
      <c r="BF170" s="465"/>
      <c r="BG170" s="465"/>
      <c r="BH170" s="465"/>
      <c r="BI170" s="465"/>
      <c r="BJ170" s="465"/>
      <c r="BK170" s="465"/>
      <c r="BL170" s="465"/>
      <c r="BM170" s="465"/>
      <c r="BN170" s="465"/>
      <c r="BO170" s="465"/>
      <c r="BP170" s="465"/>
      <c r="BQ170" s="465"/>
      <c r="BR170" s="465"/>
      <c r="BS170" s="465"/>
      <c r="BT170" s="465"/>
      <c r="BU170" s="465"/>
      <c r="BV170" s="465"/>
      <c r="BW170" s="465"/>
      <c r="BX170" s="465"/>
      <c r="BY170" s="465"/>
      <c r="BZ170" s="465"/>
      <c r="CA170" s="465"/>
      <c r="CB170" s="465"/>
      <c r="CC170" s="465"/>
      <c r="CD170" s="465"/>
      <c r="CE170" s="465"/>
      <c r="CF170" s="465"/>
      <c r="CG170" s="465"/>
      <c r="CH170" s="465"/>
      <c r="CI170" s="465"/>
      <c r="CJ170" s="465"/>
      <c r="CK170" s="465"/>
      <c r="CL170" s="465"/>
      <c r="CM170" s="465"/>
      <c r="CN170" s="465"/>
      <c r="CO170" s="465"/>
      <c r="CP170" s="465"/>
      <c r="CQ170" s="465"/>
      <c r="CR170" s="465"/>
      <c r="CS170" s="465"/>
      <c r="CT170" s="465"/>
      <c r="CU170" s="465"/>
      <c r="CV170" s="465"/>
      <c r="CW170" s="465"/>
      <c r="CX170" s="465"/>
      <c r="CY170" s="465"/>
      <c r="CZ170" s="465"/>
      <c r="DA170" s="465"/>
      <c r="DB170" s="465"/>
      <c r="DC170" s="465"/>
      <c r="DD170" s="465"/>
      <c r="DE170" s="465"/>
      <c r="DF170" s="465"/>
      <c r="DG170" s="465"/>
      <c r="DH170" s="465"/>
    </row>
    <row r="171" ht="20.25" customHeight="1">
      <c r="A171" s="41">
        <v>171.0</v>
      </c>
      <c r="B171" s="394" t="s">
        <v>145</v>
      </c>
      <c r="C171" s="394" t="s">
        <v>108</v>
      </c>
      <c r="D171" s="394" t="s">
        <v>339</v>
      </c>
      <c r="E171" s="217"/>
      <c r="F171" s="156" t="s">
        <v>1063</v>
      </c>
      <c r="G171" s="54" t="s">
        <v>1079</v>
      </c>
      <c r="H171" s="54" t="s">
        <v>342</v>
      </c>
      <c r="I171" s="149">
        <v>45427.0</v>
      </c>
      <c r="J171" s="469">
        <v>45786.0</v>
      </c>
      <c r="K171" s="373" t="s">
        <v>1065</v>
      </c>
      <c r="L171" s="126" t="s">
        <v>1066</v>
      </c>
      <c r="M171" s="54" t="s">
        <v>1067</v>
      </c>
      <c r="N171" s="373" t="s">
        <v>1068</v>
      </c>
      <c r="O171" s="368">
        <v>1.0</v>
      </c>
      <c r="P171" s="374" t="s">
        <v>1069</v>
      </c>
      <c r="Q171" s="49" t="str">
        <f t="array" ref="Q171"> if(iserror(MATCH(V171, 'File Links'!C:C, 0)), "N/A", HYPERLINK(INDEX('File Links'!B:B, MATCH(P171, 'File Links'!C:C, 0))))</f>
        <v>https://drive.google.com/file/d/1GCYFeLrlGpCBF1GyjSAAd1YFst71bifH/view?usp=drivesdk</v>
      </c>
      <c r="R171" s="54" t="s">
        <v>1070</v>
      </c>
      <c r="S171" s="54" t="s">
        <v>1071</v>
      </c>
      <c r="T171" s="58"/>
      <c r="U171" s="368">
        <v>1.0</v>
      </c>
      <c r="V171" s="63" t="str">
        <f> hyperlink(vlookup(lower(S171),'File Links'!E:F, 2, FALSE), SUBSTITUTE(lower(S171), "/", "--") &amp;  ".pdf")</f>
        <v>10.1016--j.paid.2024.112692.pdf</v>
      </c>
      <c r="W171" s="54" t="s">
        <v>600</v>
      </c>
      <c r="X171" s="51" t="str">
        <f t="array" ref="X171"> if(iserror(MATCH(V171, 'File Links'!C:C, 0)), "N/A", HYPERLINK(INDEX('File Links'!B:B, MATCH(V171, 'File Links'!C:C, 0))))</f>
        <v>https://drive.google.com/file/d/1maMe58N1aLmqdBUtveOinCFDUWOh5rcE/view?usp=drivesdk</v>
      </c>
      <c r="Y171" s="58"/>
      <c r="Z171" s="54" t="s">
        <v>1072</v>
      </c>
      <c r="AA171" s="377" t="s">
        <v>1073</v>
      </c>
      <c r="AB171" s="373" t="s">
        <v>1074</v>
      </c>
      <c r="AC171" s="373" t="s">
        <v>1075</v>
      </c>
      <c r="AD171" s="480" t="s">
        <v>1080</v>
      </c>
      <c r="AE171" s="376">
        <v>5.0</v>
      </c>
      <c r="AF171" s="376">
        <v>2428.0</v>
      </c>
      <c r="AG171" s="148" t="s">
        <v>1081</v>
      </c>
      <c r="AH171" s="336" t="s">
        <v>127</v>
      </c>
      <c r="AI171" s="54" t="s">
        <v>806</v>
      </c>
      <c r="AJ171" s="376">
        <v>0.001</v>
      </c>
      <c r="AK171" s="156" t="s">
        <v>128</v>
      </c>
      <c r="AL171" s="54" t="s">
        <v>179</v>
      </c>
      <c r="AM171" s="368" t="s">
        <v>134</v>
      </c>
      <c r="AN171" s="54" t="s">
        <v>131</v>
      </c>
      <c r="AO171" s="376">
        <v>3906.0</v>
      </c>
      <c r="AP171" s="148" t="s">
        <v>1082</v>
      </c>
      <c r="AQ171" s="54" t="s">
        <v>127</v>
      </c>
      <c r="AR171" s="478" t="s">
        <v>210</v>
      </c>
      <c r="AS171" s="376">
        <v>0.001</v>
      </c>
      <c r="AT171" s="156" t="s">
        <v>128</v>
      </c>
      <c r="AU171" s="156" t="s">
        <v>179</v>
      </c>
      <c r="AV171" s="368" t="s">
        <v>134</v>
      </c>
      <c r="AW171" s="156" t="s">
        <v>131</v>
      </c>
      <c r="AX171" s="65" t="s">
        <v>136</v>
      </c>
      <c r="AY171" s="58"/>
      <c r="AZ171" s="464" t="s">
        <v>807</v>
      </c>
    </row>
    <row r="172" ht="20.25" customHeight="1">
      <c r="A172" s="41">
        <v>172.0</v>
      </c>
      <c r="B172" s="394" t="s">
        <v>145</v>
      </c>
      <c r="C172" s="394" t="s">
        <v>108</v>
      </c>
      <c r="D172" s="394" t="s">
        <v>339</v>
      </c>
      <c r="E172" s="217"/>
      <c r="F172" s="156" t="s">
        <v>1063</v>
      </c>
      <c r="G172" s="54" t="s">
        <v>1083</v>
      </c>
      <c r="H172" s="54" t="s">
        <v>342</v>
      </c>
      <c r="I172" s="149">
        <v>45427.0</v>
      </c>
      <c r="J172" s="469">
        <v>45786.0</v>
      </c>
      <c r="K172" s="373" t="s">
        <v>1065</v>
      </c>
      <c r="L172" s="126" t="s">
        <v>1084</v>
      </c>
      <c r="M172" s="54" t="s">
        <v>1067</v>
      </c>
      <c r="N172" s="373" t="s">
        <v>1068</v>
      </c>
      <c r="O172" s="368">
        <v>1.0</v>
      </c>
      <c r="P172" s="374" t="s">
        <v>1069</v>
      </c>
      <c r="Q172" s="49" t="str">
        <f t="array" ref="Q172"> if(iserror(MATCH(V172, 'File Links'!C:C, 0)), "N/A", HYPERLINK(INDEX('File Links'!B:B, MATCH(P172, 'File Links'!C:C, 0))))</f>
        <v>https://drive.google.com/file/d/1GCYFeLrlGpCBF1GyjSAAd1YFst71bifH/view?usp=drivesdk</v>
      </c>
      <c r="R172" s="54" t="s">
        <v>1070</v>
      </c>
      <c r="S172" s="54" t="s">
        <v>1071</v>
      </c>
      <c r="T172" s="58"/>
      <c r="U172" s="368">
        <v>1.0</v>
      </c>
      <c r="V172" s="63" t="str">
        <f> hyperlink(vlookup(lower(S172),'File Links'!E:F, 2, FALSE), SUBSTITUTE(lower(S172), "/", "--") &amp;  ".pdf")</f>
        <v>10.1016--j.paid.2024.112692.pdf</v>
      </c>
      <c r="W172" s="54" t="s">
        <v>600</v>
      </c>
      <c r="X172" s="51" t="str">
        <f t="array" ref="X172"> if(iserror(MATCH(V172, 'File Links'!C:C, 0)), "N/A", HYPERLINK(INDEX('File Links'!B:B, MATCH(V172, 'File Links'!C:C, 0))))</f>
        <v>https://drive.google.com/file/d/1maMe58N1aLmqdBUtveOinCFDUWOh5rcE/view?usp=drivesdk</v>
      </c>
      <c r="Y172" s="58"/>
      <c r="Z172" s="54" t="s">
        <v>1072</v>
      </c>
      <c r="AA172" s="377" t="s">
        <v>1073</v>
      </c>
      <c r="AB172" s="373" t="s">
        <v>1074</v>
      </c>
      <c r="AC172" s="373" t="s">
        <v>1075</v>
      </c>
      <c r="AD172" s="480" t="s">
        <v>1085</v>
      </c>
      <c r="AE172" s="376">
        <v>5.0</v>
      </c>
      <c r="AF172" s="376">
        <v>2428.0</v>
      </c>
      <c r="AG172" s="148" t="s">
        <v>1086</v>
      </c>
      <c r="AH172" s="336" t="s">
        <v>127</v>
      </c>
      <c r="AI172" s="54" t="s">
        <v>806</v>
      </c>
      <c r="AJ172" s="376">
        <v>0.001</v>
      </c>
      <c r="AK172" s="156" t="s">
        <v>128</v>
      </c>
      <c r="AL172" s="54" t="s">
        <v>179</v>
      </c>
      <c r="AM172" s="368" t="s">
        <v>134</v>
      </c>
      <c r="AN172" s="54" t="s">
        <v>131</v>
      </c>
      <c r="AO172" s="376">
        <v>3906.0</v>
      </c>
      <c r="AP172" s="377" t="s">
        <v>1087</v>
      </c>
      <c r="AQ172" s="54" t="s">
        <v>127</v>
      </c>
      <c r="AR172" s="478" t="s">
        <v>210</v>
      </c>
      <c r="AS172" s="375">
        <v>0.02</v>
      </c>
      <c r="AT172" s="156" t="s">
        <v>128</v>
      </c>
      <c r="AU172" s="156" t="s">
        <v>179</v>
      </c>
      <c r="AV172" s="368" t="s">
        <v>134</v>
      </c>
      <c r="AW172" s="156" t="s">
        <v>131</v>
      </c>
      <c r="AX172" s="65" t="s">
        <v>136</v>
      </c>
      <c r="AY172" s="58"/>
      <c r="AZ172" s="464" t="s">
        <v>807</v>
      </c>
    </row>
    <row r="173" ht="20.25" customHeight="1">
      <c r="A173" s="41">
        <v>173.0</v>
      </c>
      <c r="B173" s="394" t="s">
        <v>107</v>
      </c>
      <c r="C173" s="394" t="s">
        <v>108</v>
      </c>
      <c r="D173" s="394" t="s">
        <v>339</v>
      </c>
      <c r="E173" s="217"/>
      <c r="F173" s="156" t="s">
        <v>1063</v>
      </c>
      <c r="G173" s="54" t="s">
        <v>1088</v>
      </c>
      <c r="H173" s="54" t="s">
        <v>342</v>
      </c>
      <c r="I173" s="149">
        <v>45427.0</v>
      </c>
      <c r="J173" s="469">
        <v>45786.0</v>
      </c>
      <c r="K173" s="373" t="s">
        <v>1065</v>
      </c>
      <c r="L173" s="126" t="s">
        <v>1089</v>
      </c>
      <c r="M173" s="54" t="s">
        <v>1067</v>
      </c>
      <c r="N173" s="373" t="s">
        <v>1068</v>
      </c>
      <c r="O173" s="368">
        <v>1.0</v>
      </c>
      <c r="P173" s="374" t="s">
        <v>1069</v>
      </c>
      <c r="Q173" s="49" t="str">
        <f t="array" ref="Q173"> if(iserror(MATCH(V173, 'File Links'!C:C, 0)), "N/A", HYPERLINK(INDEX('File Links'!B:B, MATCH(P173, 'File Links'!C:C, 0))))</f>
        <v>https://drive.google.com/file/d/1GCYFeLrlGpCBF1GyjSAAd1YFst71bifH/view?usp=drivesdk</v>
      </c>
      <c r="R173" s="54" t="s">
        <v>1070</v>
      </c>
      <c r="S173" s="54" t="s">
        <v>1071</v>
      </c>
      <c r="T173" s="58"/>
      <c r="U173" s="368">
        <v>1.0</v>
      </c>
      <c r="V173" s="63" t="str">
        <f> hyperlink(vlookup(lower(S173),'File Links'!E:F, 2, FALSE), SUBSTITUTE(lower(S173), "/", "--") &amp;  ".pdf")</f>
        <v>10.1016--j.paid.2024.112692.pdf</v>
      </c>
      <c r="W173" s="54" t="s">
        <v>600</v>
      </c>
      <c r="X173" s="51" t="str">
        <f t="array" ref="X173"> if(iserror(MATCH(V173, 'File Links'!C:C, 0)), "N/A", HYPERLINK(INDEX('File Links'!B:B, MATCH(V173, 'File Links'!C:C, 0))))</f>
        <v>https://drive.google.com/file/d/1maMe58N1aLmqdBUtveOinCFDUWOh5rcE/view?usp=drivesdk</v>
      </c>
      <c r="Y173" s="126" t="s">
        <v>1090</v>
      </c>
      <c r="Z173" s="54" t="s">
        <v>1072</v>
      </c>
      <c r="AA173" s="377" t="s">
        <v>1073</v>
      </c>
      <c r="AB173" s="373" t="s">
        <v>1074</v>
      </c>
      <c r="AC173" s="373" t="s">
        <v>1075</v>
      </c>
      <c r="AD173" s="381" t="s">
        <v>1091</v>
      </c>
      <c r="AE173" s="376">
        <v>5.0</v>
      </c>
      <c r="AF173" s="376">
        <v>2428.0</v>
      </c>
      <c r="AG173" s="148" t="s">
        <v>1086</v>
      </c>
      <c r="AH173" s="336" t="s">
        <v>127</v>
      </c>
      <c r="AI173" s="54" t="s">
        <v>806</v>
      </c>
      <c r="AJ173" s="376">
        <v>0.001</v>
      </c>
      <c r="AK173" s="156" t="s">
        <v>128</v>
      </c>
      <c r="AL173" s="54" t="s">
        <v>179</v>
      </c>
      <c r="AM173" s="58"/>
      <c r="AN173" s="54" t="s">
        <v>131</v>
      </c>
      <c r="AO173" s="376">
        <v>3906.0</v>
      </c>
      <c r="AP173" s="377" t="s">
        <v>1092</v>
      </c>
      <c r="AQ173" s="54" t="s">
        <v>127</v>
      </c>
      <c r="AR173" s="478" t="s">
        <v>210</v>
      </c>
      <c r="AS173" s="375">
        <v>0.02</v>
      </c>
      <c r="AT173" s="156" t="s">
        <v>128</v>
      </c>
      <c r="AU173" s="156" t="s">
        <v>179</v>
      </c>
      <c r="AV173" s="65"/>
      <c r="AW173" s="156" t="s">
        <v>131</v>
      </c>
      <c r="AX173" s="65" t="s">
        <v>136</v>
      </c>
      <c r="AY173" s="58"/>
      <c r="AZ173" s="464" t="s">
        <v>807</v>
      </c>
    </row>
    <row r="174" ht="20.25" customHeight="1">
      <c r="A174" s="41">
        <v>174.0</v>
      </c>
      <c r="B174" s="378" t="s">
        <v>107</v>
      </c>
      <c r="C174" s="378" t="s">
        <v>108</v>
      </c>
      <c r="D174" s="378" t="s">
        <v>214</v>
      </c>
      <c r="E174" s="481"/>
      <c r="F174" s="482" t="s">
        <v>1063</v>
      </c>
      <c r="G174" s="483" t="s">
        <v>1093</v>
      </c>
      <c r="H174" s="482" t="s">
        <v>214</v>
      </c>
      <c r="I174" s="484">
        <v>45686.0</v>
      </c>
      <c r="J174" s="469">
        <v>45786.0</v>
      </c>
      <c r="K174" s="482" t="s">
        <v>1094</v>
      </c>
      <c r="L174" s="485" t="s">
        <v>1095</v>
      </c>
      <c r="M174" s="482" t="s">
        <v>1067</v>
      </c>
      <c r="N174" s="482" t="s">
        <v>1068</v>
      </c>
      <c r="O174" s="485">
        <v>1.0</v>
      </c>
      <c r="P174" s="482" t="s">
        <v>1069</v>
      </c>
      <c r="Q174" s="49" t="str">
        <f t="array" ref="Q174"> if(iserror(MATCH(V174, 'File Links'!C:C, 0)), "N/A", HYPERLINK(INDEX('File Links'!B:B, MATCH(P174, 'File Links'!C:C, 0))))</f>
        <v>https://drive.google.com/file/d/1GCYFeLrlGpCBF1GyjSAAd1YFst71bifH/view?usp=drivesdk</v>
      </c>
      <c r="R174" s="482" t="s">
        <v>1070</v>
      </c>
      <c r="S174" s="483" t="s">
        <v>1071</v>
      </c>
      <c r="T174" s="486"/>
      <c r="U174" s="485">
        <v>1.0</v>
      </c>
      <c r="V174" s="487" t="str">
        <f> hyperlink(vlookup(lower(S174),'File Links'!E:F, 2, FALSE), SUBSTITUTE(lower(S174), "/", "--") &amp;  ".pdf")</f>
        <v>10.1016--j.paid.2024.112692.pdf</v>
      </c>
      <c r="W174" s="482" t="s">
        <v>1096</v>
      </c>
      <c r="X174" s="51" t="str">
        <f t="array" ref="X174"> if(iserror(MATCH(V174, 'File Links'!C:C, 0)), "N/A", HYPERLINK(INDEX('File Links'!B:B, MATCH(V174, 'File Links'!C:C, 0))))</f>
        <v>https://drive.google.com/file/d/1maMe58N1aLmqdBUtveOinCFDUWOh5rcE/view?usp=drivesdk</v>
      </c>
      <c r="Y174" s="486"/>
      <c r="Z174" s="482" t="s">
        <v>1072</v>
      </c>
      <c r="AA174" s="488" t="s">
        <v>1073</v>
      </c>
      <c r="AB174" s="482" t="s">
        <v>1097</v>
      </c>
      <c r="AC174" s="470" t="s">
        <v>1075</v>
      </c>
      <c r="AD174" s="480" t="s">
        <v>1076</v>
      </c>
      <c r="AE174" s="489">
        <v>5.0</v>
      </c>
      <c r="AF174" s="489">
        <v>2428.0</v>
      </c>
      <c r="AG174" s="377" t="s">
        <v>1077</v>
      </c>
      <c r="AH174" s="490" t="s">
        <v>127</v>
      </c>
      <c r="AI174" s="380" t="s">
        <v>806</v>
      </c>
      <c r="AJ174" s="491">
        <v>0.001</v>
      </c>
      <c r="AK174" s="483" t="s">
        <v>128</v>
      </c>
      <c r="AL174" s="483" t="s">
        <v>129</v>
      </c>
      <c r="AM174" s="482" t="s">
        <v>134</v>
      </c>
      <c r="AN174" s="483" t="s">
        <v>131</v>
      </c>
      <c r="AO174" s="492">
        <v>3906.0</v>
      </c>
      <c r="AP174" s="148" t="s">
        <v>1078</v>
      </c>
      <c r="AQ174" s="467" t="s">
        <v>127</v>
      </c>
      <c r="AR174" s="478" t="s">
        <v>210</v>
      </c>
      <c r="AS174" s="476">
        <v>0.001</v>
      </c>
      <c r="AT174" s="482" t="s">
        <v>128</v>
      </c>
      <c r="AU174" s="482" t="s">
        <v>129</v>
      </c>
      <c r="AV174" s="482" t="s">
        <v>134</v>
      </c>
      <c r="AW174" s="482" t="s">
        <v>131</v>
      </c>
      <c r="AX174" s="482" t="s">
        <v>136</v>
      </c>
      <c r="AY174" s="481"/>
      <c r="AZ174" s="464" t="s">
        <v>807</v>
      </c>
      <c r="BA174" s="481"/>
      <c r="BB174" s="481"/>
      <c r="BC174" s="481"/>
      <c r="BD174" s="481"/>
      <c r="BE174" s="481"/>
      <c r="BF174" s="481"/>
      <c r="BG174" s="481"/>
      <c r="BH174" s="481"/>
      <c r="BI174" s="481"/>
      <c r="BJ174" s="481"/>
      <c r="BK174" s="481"/>
      <c r="BL174" s="481"/>
      <c r="BM174" s="481"/>
      <c r="BN174" s="481"/>
      <c r="BO174" s="481"/>
      <c r="BP174" s="481"/>
      <c r="BQ174" s="481"/>
      <c r="BR174" s="481"/>
      <c r="BS174" s="481"/>
      <c r="BT174" s="481"/>
      <c r="BU174" s="481"/>
      <c r="BV174" s="481"/>
      <c r="BW174" s="481"/>
      <c r="BX174" s="481"/>
      <c r="BY174" s="481"/>
      <c r="BZ174" s="481"/>
      <c r="CA174" s="481"/>
      <c r="CB174" s="481"/>
      <c r="CC174" s="481"/>
      <c r="CD174" s="481"/>
      <c r="CE174" s="481"/>
      <c r="CF174" s="481"/>
      <c r="CG174" s="481"/>
      <c r="CH174" s="481"/>
      <c r="CI174" s="481"/>
      <c r="CJ174" s="481"/>
      <c r="CK174" s="481"/>
      <c r="CL174" s="481"/>
      <c r="CM174" s="481"/>
      <c r="CN174" s="481"/>
      <c r="CO174" s="481"/>
      <c r="CP174" s="481"/>
      <c r="CQ174" s="481"/>
      <c r="CR174" s="481"/>
      <c r="CS174" s="481"/>
      <c r="CT174" s="481"/>
      <c r="CU174" s="481"/>
      <c r="CV174" s="481"/>
      <c r="CW174" s="481"/>
      <c r="CX174" s="481"/>
      <c r="CY174" s="481"/>
      <c r="CZ174" s="481"/>
      <c r="DA174" s="481"/>
      <c r="DB174" s="481"/>
      <c r="DC174" s="481"/>
      <c r="DD174" s="481"/>
      <c r="DE174" s="481"/>
      <c r="DF174" s="481"/>
      <c r="DG174" s="481"/>
      <c r="DH174" s="481"/>
    </row>
    <row r="175" ht="20.25" customHeight="1">
      <c r="A175" s="41">
        <v>175.0</v>
      </c>
      <c r="B175" s="394" t="s">
        <v>107</v>
      </c>
      <c r="C175" s="394" t="s">
        <v>108</v>
      </c>
      <c r="D175" s="394" t="s">
        <v>214</v>
      </c>
      <c r="E175" s="217"/>
      <c r="F175" s="262" t="s">
        <v>1063</v>
      </c>
      <c r="G175" s="44" t="s">
        <v>1079</v>
      </c>
      <c r="H175" s="357" t="s">
        <v>214</v>
      </c>
      <c r="I175" s="341">
        <v>45686.0</v>
      </c>
      <c r="J175" s="469">
        <v>45786.0</v>
      </c>
      <c r="K175" s="357" t="s">
        <v>1094</v>
      </c>
      <c r="L175" s="485" t="s">
        <v>1095</v>
      </c>
      <c r="M175" s="357" t="s">
        <v>1067</v>
      </c>
      <c r="N175" s="357" t="s">
        <v>1068</v>
      </c>
      <c r="O175" s="368">
        <v>1.0</v>
      </c>
      <c r="P175" s="379" t="s">
        <v>1069</v>
      </c>
      <c r="Q175" s="49" t="str">
        <f t="array" ref="Q175"> if(iserror(MATCH(V175, 'File Links'!C:C, 0)), "N/A", HYPERLINK(INDEX('File Links'!B:B, MATCH(P175, 'File Links'!C:C, 0))))</f>
        <v>https://drive.google.com/file/d/1GCYFeLrlGpCBF1GyjSAAd1YFst71bifH/view?usp=drivesdk</v>
      </c>
      <c r="R175" s="357" t="s">
        <v>1070</v>
      </c>
      <c r="S175" s="54" t="s">
        <v>1071</v>
      </c>
      <c r="T175" s="43"/>
      <c r="U175" s="368">
        <v>1.0</v>
      </c>
      <c r="V175" s="63" t="str">
        <f> hyperlink(vlookup(lower(S175),'File Links'!E:F, 2, FALSE), SUBSTITUTE(lower(S175), "/", "--") &amp;  ".pdf")</f>
        <v>10.1016--j.paid.2024.112692.pdf</v>
      </c>
      <c r="W175" s="357" t="s">
        <v>1096</v>
      </c>
      <c r="X175" s="51" t="str">
        <f t="array" ref="X175"> if(iserror(MATCH(V175, 'File Links'!C:C, 0)), "N/A", HYPERLINK(INDEX('File Links'!B:B, MATCH(V175, 'File Links'!C:C, 0))))</f>
        <v>https://drive.google.com/file/d/1maMe58N1aLmqdBUtveOinCFDUWOh5rcE/view?usp=drivesdk</v>
      </c>
      <c r="Y175" s="43"/>
      <c r="Z175" s="357" t="s">
        <v>1072</v>
      </c>
      <c r="AA175" s="488" t="s">
        <v>1073</v>
      </c>
      <c r="AB175" s="357" t="s">
        <v>1097</v>
      </c>
      <c r="AC175" s="373" t="s">
        <v>1075</v>
      </c>
      <c r="AD175" s="480" t="s">
        <v>1080</v>
      </c>
      <c r="AE175" s="489">
        <v>5.0</v>
      </c>
      <c r="AF175" s="489">
        <v>2428.0</v>
      </c>
      <c r="AG175" s="377" t="s">
        <v>1081</v>
      </c>
      <c r="AH175" s="490" t="s">
        <v>127</v>
      </c>
      <c r="AI175" s="380" t="s">
        <v>806</v>
      </c>
      <c r="AJ175" s="383">
        <v>0.001</v>
      </c>
      <c r="AK175" s="44" t="s">
        <v>128</v>
      </c>
      <c r="AL175" s="44" t="s">
        <v>129</v>
      </c>
      <c r="AM175" s="357" t="s">
        <v>134</v>
      </c>
      <c r="AN175" s="44" t="s">
        <v>131</v>
      </c>
      <c r="AO175" s="354">
        <v>3906.0</v>
      </c>
      <c r="AP175" s="148" t="s">
        <v>1098</v>
      </c>
      <c r="AQ175" s="54" t="s">
        <v>127</v>
      </c>
      <c r="AR175" s="478" t="s">
        <v>210</v>
      </c>
      <c r="AS175" s="376">
        <v>0.001</v>
      </c>
      <c r="AT175" s="357" t="s">
        <v>128</v>
      </c>
      <c r="AU175" s="357" t="s">
        <v>129</v>
      </c>
      <c r="AV175" s="357" t="s">
        <v>134</v>
      </c>
      <c r="AW175" s="357" t="s">
        <v>131</v>
      </c>
      <c r="AX175" s="357" t="s">
        <v>136</v>
      </c>
      <c r="AZ175" s="464" t="s">
        <v>807</v>
      </c>
    </row>
    <row r="176" ht="20.25" customHeight="1">
      <c r="A176" s="41">
        <v>176.0</v>
      </c>
      <c r="B176" s="394" t="s">
        <v>107</v>
      </c>
      <c r="C176" s="394" t="s">
        <v>108</v>
      </c>
      <c r="D176" s="394" t="s">
        <v>214</v>
      </c>
      <c r="E176" s="217"/>
      <c r="F176" s="262" t="s">
        <v>1063</v>
      </c>
      <c r="G176" s="44" t="s">
        <v>1083</v>
      </c>
      <c r="H176" s="357" t="s">
        <v>214</v>
      </c>
      <c r="I176" s="341">
        <v>45686.0</v>
      </c>
      <c r="J176" s="469">
        <v>45786.0</v>
      </c>
      <c r="K176" s="357" t="s">
        <v>1094</v>
      </c>
      <c r="L176" s="485" t="s">
        <v>1095</v>
      </c>
      <c r="M176" s="357" t="s">
        <v>1067</v>
      </c>
      <c r="N176" s="357" t="s">
        <v>1068</v>
      </c>
      <c r="O176" s="368">
        <v>1.0</v>
      </c>
      <c r="P176" s="379" t="s">
        <v>1069</v>
      </c>
      <c r="Q176" s="49" t="str">
        <f t="array" ref="Q176"> if(iserror(MATCH(V176, 'File Links'!C:C, 0)), "N/A", HYPERLINK(INDEX('File Links'!B:B, MATCH(P176, 'File Links'!C:C, 0))))</f>
        <v>https://drive.google.com/file/d/1GCYFeLrlGpCBF1GyjSAAd1YFst71bifH/view?usp=drivesdk</v>
      </c>
      <c r="R176" s="357" t="s">
        <v>1070</v>
      </c>
      <c r="S176" s="54" t="s">
        <v>1071</v>
      </c>
      <c r="T176" s="43"/>
      <c r="U176" s="368">
        <v>1.0</v>
      </c>
      <c r="V176" s="63" t="str">
        <f> hyperlink(vlookup(lower(S176),'File Links'!E:F, 2, FALSE), SUBSTITUTE(lower(S176), "/", "--") &amp;  ".pdf")</f>
        <v>10.1016--j.paid.2024.112692.pdf</v>
      </c>
      <c r="W176" s="357" t="s">
        <v>1096</v>
      </c>
      <c r="X176" s="51" t="str">
        <f t="array" ref="X176"> if(iserror(MATCH(V176, 'File Links'!C:C, 0)), "N/A", HYPERLINK(INDEX('File Links'!B:B, MATCH(V176, 'File Links'!C:C, 0))))</f>
        <v>https://drive.google.com/file/d/1maMe58N1aLmqdBUtveOinCFDUWOh5rcE/view?usp=drivesdk</v>
      </c>
      <c r="Y176" s="43"/>
      <c r="Z176" s="357" t="s">
        <v>1072</v>
      </c>
      <c r="AA176" s="488" t="s">
        <v>1073</v>
      </c>
      <c r="AB176" s="357" t="s">
        <v>1097</v>
      </c>
      <c r="AC176" s="373" t="s">
        <v>1075</v>
      </c>
      <c r="AD176" s="480" t="s">
        <v>1085</v>
      </c>
      <c r="AE176" s="489">
        <v>5.0</v>
      </c>
      <c r="AF176" s="489">
        <v>2428.0</v>
      </c>
      <c r="AG176" s="377" t="s">
        <v>1086</v>
      </c>
      <c r="AH176" s="490" t="s">
        <v>127</v>
      </c>
      <c r="AI176" s="380" t="s">
        <v>806</v>
      </c>
      <c r="AJ176" s="383">
        <v>0.001</v>
      </c>
      <c r="AK176" s="44" t="s">
        <v>128</v>
      </c>
      <c r="AL176" s="44" t="s">
        <v>129</v>
      </c>
      <c r="AM176" s="357" t="s">
        <v>134</v>
      </c>
      <c r="AN176" s="44" t="s">
        <v>131</v>
      </c>
      <c r="AO176" s="354">
        <v>3906.0</v>
      </c>
      <c r="AP176" s="377" t="s">
        <v>1092</v>
      </c>
      <c r="AQ176" s="54" t="s">
        <v>127</v>
      </c>
      <c r="AR176" s="478" t="s">
        <v>210</v>
      </c>
      <c r="AS176" s="375">
        <v>0.02</v>
      </c>
      <c r="AT176" s="357" t="s">
        <v>128</v>
      </c>
      <c r="AU176" s="357" t="s">
        <v>129</v>
      </c>
      <c r="AV176" s="357" t="s">
        <v>134</v>
      </c>
      <c r="AW176" s="357" t="s">
        <v>131</v>
      </c>
      <c r="AX176" s="357" t="s">
        <v>136</v>
      </c>
      <c r="AZ176" s="464" t="s">
        <v>807</v>
      </c>
    </row>
    <row r="177" ht="20.25" customHeight="1">
      <c r="A177" s="41">
        <v>177.0</v>
      </c>
      <c r="B177" s="394" t="s">
        <v>107</v>
      </c>
      <c r="C177" s="394" t="s">
        <v>108</v>
      </c>
      <c r="D177" s="394" t="s">
        <v>214</v>
      </c>
      <c r="E177" s="217"/>
      <c r="F177" s="262" t="s">
        <v>1063</v>
      </c>
      <c r="G177" s="44" t="s">
        <v>1088</v>
      </c>
      <c r="H177" s="357" t="s">
        <v>214</v>
      </c>
      <c r="I177" s="341">
        <v>45686.0</v>
      </c>
      <c r="J177" s="469">
        <v>45786.0</v>
      </c>
      <c r="K177" s="357" t="s">
        <v>1094</v>
      </c>
      <c r="L177" s="53" t="s">
        <v>1089</v>
      </c>
      <c r="M177" s="357" t="s">
        <v>1067</v>
      </c>
      <c r="N177" s="357" t="s">
        <v>1068</v>
      </c>
      <c r="O177" s="368">
        <v>1.0</v>
      </c>
      <c r="P177" s="379" t="s">
        <v>1069</v>
      </c>
      <c r="Q177" s="49" t="str">
        <f t="array" ref="Q177"> if(iserror(MATCH(V177, 'File Links'!C:C, 0)), "N/A", HYPERLINK(INDEX('File Links'!B:B, MATCH(P177, 'File Links'!C:C, 0))))</f>
        <v>https://drive.google.com/file/d/1GCYFeLrlGpCBF1GyjSAAd1YFst71bifH/view?usp=drivesdk</v>
      </c>
      <c r="R177" s="357" t="s">
        <v>1070</v>
      </c>
      <c r="S177" s="54" t="s">
        <v>1071</v>
      </c>
      <c r="T177" s="43"/>
      <c r="U177" s="368">
        <v>1.0</v>
      </c>
      <c r="V177" s="63" t="str">
        <f> hyperlink(vlookup(lower(S177),'File Links'!E:F, 2, FALSE), SUBSTITUTE(lower(S177), "/", "--") &amp;  ".pdf")</f>
        <v>10.1016--j.paid.2024.112692.pdf</v>
      </c>
      <c r="W177" s="357" t="s">
        <v>1096</v>
      </c>
      <c r="X177" s="51" t="str">
        <f t="array" ref="X177"> if(iserror(MATCH(V177, 'File Links'!C:C, 0)), "N/A", HYPERLINK(INDEX('File Links'!B:B, MATCH(V177, 'File Links'!C:C, 0))))</f>
        <v>https://drive.google.com/file/d/1maMe58N1aLmqdBUtveOinCFDUWOh5rcE/view?usp=drivesdk</v>
      </c>
      <c r="Y177" s="53" t="s">
        <v>1099</v>
      </c>
      <c r="Z177" s="357" t="s">
        <v>1072</v>
      </c>
      <c r="AA177" s="488" t="s">
        <v>1073</v>
      </c>
      <c r="AB177" s="357" t="s">
        <v>1097</v>
      </c>
      <c r="AC177" s="357" t="s">
        <v>1100</v>
      </c>
      <c r="AD177" s="357" t="s">
        <v>1101</v>
      </c>
      <c r="AE177" s="354">
        <v>16.0</v>
      </c>
      <c r="AF177" s="354">
        <v>4711.0</v>
      </c>
      <c r="AG177" s="354">
        <v>0.4</v>
      </c>
      <c r="AH177" s="357" t="s">
        <v>132</v>
      </c>
      <c r="AI177" s="357" t="s">
        <v>133</v>
      </c>
      <c r="AJ177" s="383">
        <v>0.001</v>
      </c>
      <c r="AK177" s="44" t="s">
        <v>128</v>
      </c>
      <c r="AL177" s="44" t="s">
        <v>129</v>
      </c>
      <c r="AM177" s="357" t="s">
        <v>134</v>
      </c>
      <c r="AN177" s="44" t="s">
        <v>131</v>
      </c>
      <c r="AO177" s="354">
        <v>3906.0</v>
      </c>
      <c r="AP177" s="493">
        <v>0.36</v>
      </c>
      <c r="AQ177" s="357" t="s">
        <v>132</v>
      </c>
      <c r="AR177" s="357" t="s">
        <v>210</v>
      </c>
      <c r="AS177" s="354">
        <v>0.001</v>
      </c>
      <c r="AT177" s="357" t="s">
        <v>128</v>
      </c>
      <c r="AU177" s="357" t="s">
        <v>129</v>
      </c>
      <c r="AV177" s="357" t="s">
        <v>134</v>
      </c>
      <c r="AW177" s="357" t="s">
        <v>131</v>
      </c>
      <c r="AX177" s="357" t="s">
        <v>136</v>
      </c>
      <c r="AZ177" s="464" t="s">
        <v>807</v>
      </c>
    </row>
    <row r="178" ht="20.25" customHeight="1">
      <c r="A178" s="41">
        <v>178.0</v>
      </c>
      <c r="B178" s="337" t="s">
        <v>107</v>
      </c>
      <c r="C178" s="337" t="s">
        <v>108</v>
      </c>
      <c r="D178" s="337" t="s">
        <v>746</v>
      </c>
      <c r="E178" s="351"/>
      <c r="F178" s="338" t="s">
        <v>1102</v>
      </c>
      <c r="G178" s="337" t="s">
        <v>1103</v>
      </c>
      <c r="H178" s="337" t="s">
        <v>746</v>
      </c>
      <c r="I178" s="349">
        <v>45427.0</v>
      </c>
      <c r="J178" s="351"/>
      <c r="K178" s="351"/>
      <c r="L178" s="337" t="s">
        <v>1104</v>
      </c>
      <c r="M178" s="337" t="s">
        <v>1105</v>
      </c>
      <c r="N178" s="337" t="s">
        <v>1106</v>
      </c>
      <c r="O178" s="351"/>
      <c r="P178" s="352" t="str">
        <f> hyperlink(vlookup(lower(N178),'File Links'!A:B, 2, FALSE), SUBSTITUTE(lower(N178), "/", "--") &amp;  ".pdf")</f>
        <v>10.1016--j.learninstruc.2018.04.006.pdf</v>
      </c>
      <c r="Q178" s="101" t="str">
        <f t="array" ref="Q178"> if(iserror(MATCH(V178, 'File Links'!C:C, 0)), "N/A", HYPERLINK(INDEX('File Links'!B:B, MATCH(P178, 'File Links'!C:C, 0))))</f>
        <v>https://drive.google.com/file/d/1woJDHccS6Df_7DkKmeLElCzqxpjoRtns/view?usp=drivesdk</v>
      </c>
      <c r="R178" s="337" t="s">
        <v>1107</v>
      </c>
      <c r="S178" s="494" t="s">
        <v>1108</v>
      </c>
      <c r="T178" s="351"/>
      <c r="U178" s="351"/>
      <c r="V178" s="337" t="str">
        <f> hyperlink(vlookup(lower(S178),'File Links'!E:F, 2, FALSE), SUBSTITUTE(lower(S178), "/", "--") &amp;  ".pdf")</f>
        <v>10.1080--0163853x.2024.2339738.pdf</v>
      </c>
      <c r="W178" s="351"/>
      <c r="X178" s="51" t="str">
        <f t="array" ref="X178"> if(iserror(MATCH(V178, 'File Links'!C:C, 0)), "N/A", HYPERLINK(INDEX('File Links'!B:B, MATCH(V178, 'File Links'!C:C, 0))))</f>
        <v>https://drive.google.com/file/d/1qKtm6cJaGp1OYT52DZ-rdF0umAGshXgk/view?usp=drivesdk</v>
      </c>
      <c r="Y178" s="351"/>
      <c r="Z178" s="337" t="s">
        <v>1109</v>
      </c>
      <c r="AA178" s="351"/>
      <c r="AB178" s="494" t="s">
        <v>1110</v>
      </c>
      <c r="AC178" s="337" t="s">
        <v>1111</v>
      </c>
      <c r="AD178" s="351"/>
      <c r="AE178" s="351"/>
      <c r="AF178" s="351"/>
      <c r="AG178" s="351"/>
      <c r="AH178" s="351"/>
      <c r="AI178" s="351"/>
      <c r="AJ178" s="337"/>
      <c r="AK178" s="351"/>
      <c r="AL178" s="351"/>
      <c r="AM178" s="339"/>
      <c r="AN178" s="44" t="s">
        <v>131</v>
      </c>
      <c r="AO178" s="351"/>
      <c r="AP178" s="351"/>
      <c r="AQ178" s="351"/>
      <c r="AR178" s="351"/>
      <c r="AS178" s="351"/>
      <c r="AT178" s="351"/>
      <c r="AU178" s="351"/>
      <c r="AV178" s="339"/>
      <c r="AW178" s="339"/>
      <c r="AX178" s="43"/>
      <c r="AY178" s="337" t="s">
        <v>1112</v>
      </c>
      <c r="AZ178" s="338" t="s">
        <v>685</v>
      </c>
      <c r="BA178" s="339"/>
      <c r="BB178" s="339"/>
      <c r="BC178" s="339"/>
      <c r="BD178" s="339"/>
      <c r="BE178" s="339"/>
      <c r="BF178" s="339"/>
      <c r="BG178" s="339"/>
      <c r="BH178" s="339"/>
      <c r="BI178" s="339"/>
      <c r="BJ178" s="339"/>
      <c r="BK178" s="339"/>
      <c r="BL178" s="339"/>
      <c r="BM178" s="339"/>
      <c r="BN178" s="339"/>
      <c r="BO178" s="339"/>
      <c r="BP178" s="339"/>
      <c r="BQ178" s="339"/>
      <c r="BR178" s="339"/>
      <c r="BS178" s="339"/>
      <c r="BT178" s="339"/>
      <c r="BU178" s="339"/>
      <c r="BV178" s="339"/>
      <c r="BW178" s="339"/>
      <c r="BX178" s="339"/>
      <c r="BY178" s="339"/>
      <c r="BZ178" s="339"/>
      <c r="CA178" s="339"/>
      <c r="CB178" s="339"/>
      <c r="CC178" s="339"/>
      <c r="CD178" s="339"/>
      <c r="CE178" s="339"/>
      <c r="CF178" s="339"/>
      <c r="CG178" s="339"/>
      <c r="CH178" s="339"/>
      <c r="CI178" s="339"/>
      <c r="CJ178" s="339"/>
      <c r="CK178" s="339"/>
      <c r="CL178" s="339"/>
      <c r="CM178" s="339"/>
      <c r="CN178" s="339"/>
      <c r="CO178" s="339"/>
      <c r="CP178" s="339"/>
      <c r="CQ178" s="339"/>
      <c r="CR178" s="339"/>
      <c r="CS178" s="339"/>
      <c r="CT178" s="339"/>
      <c r="CU178" s="339"/>
      <c r="CV178" s="339"/>
      <c r="CW178" s="339"/>
      <c r="CX178" s="339"/>
      <c r="CY178" s="339"/>
      <c r="CZ178" s="339"/>
      <c r="DA178" s="339"/>
      <c r="DB178" s="339"/>
      <c r="DC178" s="339"/>
      <c r="DD178" s="339"/>
      <c r="DE178" s="339"/>
      <c r="DF178" s="339"/>
      <c r="DG178" s="339"/>
      <c r="DH178" s="339"/>
    </row>
    <row r="179" ht="20.25" customHeight="1">
      <c r="A179" s="41">
        <v>179.0</v>
      </c>
      <c r="B179" s="337" t="s">
        <v>145</v>
      </c>
      <c r="C179" s="338" t="s">
        <v>108</v>
      </c>
      <c r="D179" s="338" t="s">
        <v>241</v>
      </c>
      <c r="E179" s="339"/>
      <c r="F179" s="43" t="s">
        <v>1102</v>
      </c>
      <c r="G179" s="46" t="s">
        <v>1103</v>
      </c>
      <c r="H179" s="46" t="s">
        <v>242</v>
      </c>
      <c r="I179" s="45">
        <v>45644.0</v>
      </c>
      <c r="J179" s="339"/>
      <c r="K179" s="46"/>
      <c r="L179" s="53" t="s">
        <v>1113</v>
      </c>
      <c r="M179" s="46" t="s">
        <v>1105</v>
      </c>
      <c r="N179" s="46" t="s">
        <v>1106</v>
      </c>
      <c r="O179" s="53">
        <v>1.0</v>
      </c>
      <c r="P179" s="495" t="str">
        <f> hyperlink(vlookup(lower(N179),'File Links'!E:F, 2, FALSE), SUBSTITUTE(lower(N179), "/", "--") &amp;  ".pdf")</f>
        <v>10.1016--j.learninstruc.2018.04.006.pdf</v>
      </c>
      <c r="Q179" s="101" t="str">
        <f t="array" ref="Q179"> if(iserror(MATCH(V179, 'File Links'!C:C, 0)), "N/A", HYPERLINK(INDEX('File Links'!B:B, MATCH(P179, 'File Links'!C:C, 0))))</f>
        <v>https://drive.google.com/file/d/1woJDHccS6Df_7DkKmeLElCzqxpjoRtns/view?usp=drivesdk</v>
      </c>
      <c r="R179" s="496" t="s">
        <v>1114</v>
      </c>
      <c r="S179" s="46" t="s">
        <v>1108</v>
      </c>
      <c r="T179" s="46"/>
      <c r="U179" s="53">
        <v>1.0</v>
      </c>
      <c r="V179" s="337" t="str">
        <f> hyperlink(vlookup(lower(S179),'File Links'!E:F, 2, FALSE), SUBSTITUTE(lower(S179), "/", "--") &amp;  ".pdf")</f>
        <v>10.1080--0163853x.2024.2339738.pdf</v>
      </c>
      <c r="W179" s="46" t="s">
        <v>1115</v>
      </c>
      <c r="X179" s="51" t="str">
        <f t="array" ref="X179"> if(iserror(MATCH(V179, 'File Links'!C:C, 0)), "N/A", HYPERLINK(INDEX('File Links'!B:B, MATCH(V179, 'File Links'!C:C, 0))))</f>
        <v>https://drive.google.com/file/d/1qKtm6cJaGp1OYT52DZ-rdF0umAGshXgk/view?usp=drivesdk</v>
      </c>
      <c r="Y179" s="46"/>
      <c r="Z179" s="46" t="s">
        <v>234</v>
      </c>
      <c r="AA179" s="53" t="s">
        <v>1116</v>
      </c>
      <c r="AB179" s="46" t="s">
        <v>1110</v>
      </c>
      <c r="AC179" s="46"/>
      <c r="AD179" s="53" t="s">
        <v>1117</v>
      </c>
      <c r="AE179" s="497">
        <v>59.0</v>
      </c>
      <c r="AF179" s="47">
        <v>137.0</v>
      </c>
      <c r="AG179" s="47">
        <v>0.09</v>
      </c>
      <c r="AH179" s="102" t="s">
        <v>1118</v>
      </c>
      <c r="AI179" s="46" t="s">
        <v>1119</v>
      </c>
      <c r="AJ179" s="47">
        <v>0.05</v>
      </c>
      <c r="AK179" s="43" t="s">
        <v>128</v>
      </c>
      <c r="AL179" s="46" t="s">
        <v>179</v>
      </c>
      <c r="AM179" s="46" t="s">
        <v>134</v>
      </c>
      <c r="AN179" s="46" t="s">
        <v>131</v>
      </c>
      <c r="AO179" s="47">
        <v>229.0</v>
      </c>
      <c r="AP179" s="47">
        <v>0.29</v>
      </c>
      <c r="AQ179" s="46" t="s">
        <v>354</v>
      </c>
      <c r="AR179" s="46" t="s">
        <v>1120</v>
      </c>
      <c r="AS179" s="47">
        <v>0.01</v>
      </c>
      <c r="AT179" s="43" t="s">
        <v>128</v>
      </c>
      <c r="AU179" s="43" t="s">
        <v>179</v>
      </c>
      <c r="AV179" s="43" t="s">
        <v>134</v>
      </c>
      <c r="AW179" s="57" t="s">
        <v>1121</v>
      </c>
      <c r="AX179" s="57" t="s">
        <v>144</v>
      </c>
      <c r="AY179" s="53" t="s">
        <v>1122</v>
      </c>
      <c r="AZ179" s="338" t="s">
        <v>685</v>
      </c>
      <c r="BA179" s="339"/>
      <c r="BB179" s="339"/>
      <c r="BC179" s="339"/>
      <c r="BD179" s="339"/>
      <c r="BE179" s="339"/>
      <c r="BF179" s="339"/>
      <c r="BG179" s="339"/>
      <c r="BH179" s="339"/>
      <c r="BI179" s="339"/>
      <c r="BJ179" s="339"/>
      <c r="BK179" s="339"/>
      <c r="BL179" s="339"/>
      <c r="BM179" s="339"/>
      <c r="BN179" s="339"/>
      <c r="BO179" s="339"/>
      <c r="BP179" s="339"/>
      <c r="BQ179" s="339"/>
      <c r="BR179" s="339"/>
      <c r="BS179" s="339"/>
      <c r="BT179" s="339"/>
      <c r="BU179" s="339"/>
      <c r="BV179" s="339"/>
      <c r="BW179" s="339"/>
      <c r="BX179" s="339"/>
      <c r="BY179" s="339"/>
      <c r="BZ179" s="339"/>
      <c r="CA179" s="339"/>
      <c r="CB179" s="339"/>
      <c r="CC179" s="339"/>
      <c r="CD179" s="339"/>
      <c r="CE179" s="339"/>
      <c r="CF179" s="339"/>
      <c r="CG179" s="339"/>
      <c r="CH179" s="339"/>
      <c r="CI179" s="339"/>
      <c r="CJ179" s="339"/>
      <c r="CK179" s="339"/>
      <c r="CL179" s="339"/>
      <c r="CM179" s="339"/>
      <c r="CN179" s="339"/>
      <c r="CO179" s="339"/>
      <c r="CP179" s="339"/>
      <c r="CQ179" s="339"/>
      <c r="CR179" s="339"/>
      <c r="CS179" s="339"/>
      <c r="CT179" s="339"/>
      <c r="CU179" s="339"/>
      <c r="CV179" s="339"/>
      <c r="CW179" s="339"/>
      <c r="CX179" s="339"/>
      <c r="CY179" s="339"/>
      <c r="CZ179" s="339"/>
      <c r="DA179" s="339"/>
      <c r="DB179" s="339"/>
      <c r="DC179" s="339"/>
      <c r="DD179" s="339"/>
      <c r="DE179" s="339"/>
      <c r="DF179" s="339"/>
      <c r="DG179" s="339"/>
      <c r="DH179" s="339"/>
    </row>
    <row r="180" ht="20.25" customHeight="1">
      <c r="A180" s="41">
        <v>180.0</v>
      </c>
      <c r="B180" s="337" t="s">
        <v>145</v>
      </c>
      <c r="C180" s="338" t="s">
        <v>108</v>
      </c>
      <c r="D180" s="338" t="s">
        <v>241</v>
      </c>
      <c r="E180" s="339"/>
      <c r="F180" s="43" t="s">
        <v>1102</v>
      </c>
      <c r="G180" s="46" t="s">
        <v>1123</v>
      </c>
      <c r="H180" s="46" t="s">
        <v>242</v>
      </c>
      <c r="I180" s="45">
        <v>45644.0</v>
      </c>
      <c r="J180" s="339"/>
      <c r="K180" s="46"/>
      <c r="L180" s="53" t="s">
        <v>1113</v>
      </c>
      <c r="M180" s="46" t="s">
        <v>1105</v>
      </c>
      <c r="N180" s="46" t="s">
        <v>1106</v>
      </c>
      <c r="O180" s="53">
        <v>1.0</v>
      </c>
      <c r="P180" s="495" t="str">
        <f> hyperlink(vlookup(lower(N180),'File Links'!E:F, 2, FALSE), SUBSTITUTE(lower(N180), "/", "--") &amp;  ".pdf")</f>
        <v>10.1016--j.learninstruc.2018.04.006.pdf</v>
      </c>
      <c r="Q180" s="101" t="str">
        <f t="array" ref="Q180"> if(iserror(MATCH(V180, 'File Links'!C:C, 0)), "N/A", HYPERLINK(INDEX('File Links'!B:B, MATCH(P180, 'File Links'!C:C, 0))))</f>
        <v>https://drive.google.com/file/d/1woJDHccS6Df_7DkKmeLElCzqxpjoRtns/view?usp=drivesdk</v>
      </c>
      <c r="R180" s="496" t="s">
        <v>1114</v>
      </c>
      <c r="S180" s="46" t="s">
        <v>1108</v>
      </c>
      <c r="T180" s="46"/>
      <c r="U180" s="53">
        <v>1.0</v>
      </c>
      <c r="V180" s="337" t="str">
        <f> hyperlink(vlookup(lower(S180),'File Links'!E:F, 2, FALSE), SUBSTITUTE(lower(S180), "/", "--") &amp;  ".pdf")</f>
        <v>10.1080--0163853x.2024.2339738.pdf</v>
      </c>
      <c r="W180" s="46" t="s">
        <v>1115</v>
      </c>
      <c r="X180" s="51" t="str">
        <f t="array" ref="X180"> if(iserror(MATCH(V180, 'File Links'!C:C, 0)), "N/A", HYPERLINK(INDEX('File Links'!B:B, MATCH(V180, 'File Links'!C:C, 0))))</f>
        <v>https://drive.google.com/file/d/1qKtm6cJaGp1OYT52DZ-rdF0umAGshXgk/view?usp=drivesdk</v>
      </c>
      <c r="Y180" s="46"/>
      <c r="Z180" s="46" t="s">
        <v>234</v>
      </c>
      <c r="AA180" s="53" t="s">
        <v>1116</v>
      </c>
      <c r="AB180" s="46" t="s">
        <v>1124</v>
      </c>
      <c r="AC180" s="46"/>
      <c r="AD180" s="53" t="s">
        <v>1125</v>
      </c>
      <c r="AE180" s="497">
        <v>59.0</v>
      </c>
      <c r="AF180" s="47">
        <v>137.0</v>
      </c>
      <c r="AG180" s="47">
        <v>0.08</v>
      </c>
      <c r="AH180" s="102" t="s">
        <v>1118</v>
      </c>
      <c r="AI180" s="46" t="s">
        <v>1119</v>
      </c>
      <c r="AJ180" s="47">
        <v>0.05</v>
      </c>
      <c r="AK180" s="43" t="s">
        <v>128</v>
      </c>
      <c r="AL180" s="46" t="s">
        <v>179</v>
      </c>
      <c r="AM180" s="46" t="s">
        <v>134</v>
      </c>
      <c r="AN180" s="46" t="s">
        <v>131</v>
      </c>
      <c r="AO180" s="47">
        <v>229.0</v>
      </c>
      <c r="AP180" s="52">
        <v>-0.21</v>
      </c>
      <c r="AQ180" s="46" t="s">
        <v>354</v>
      </c>
      <c r="AR180" s="46" t="s">
        <v>1120</v>
      </c>
      <c r="AS180" s="47">
        <v>0.01</v>
      </c>
      <c r="AT180" s="43" t="s">
        <v>128</v>
      </c>
      <c r="AU180" s="43" t="s">
        <v>179</v>
      </c>
      <c r="AV180" s="43" t="s">
        <v>134</v>
      </c>
      <c r="AW180" s="57" t="s">
        <v>1121</v>
      </c>
      <c r="AX180" s="57" t="s">
        <v>144</v>
      </c>
      <c r="AY180" s="46"/>
      <c r="AZ180" s="338" t="s">
        <v>685</v>
      </c>
      <c r="BA180" s="339"/>
      <c r="BB180" s="339"/>
      <c r="BC180" s="339"/>
      <c r="BD180" s="339"/>
      <c r="BE180" s="339"/>
      <c r="BF180" s="339"/>
      <c r="BG180" s="339"/>
      <c r="BH180" s="339"/>
      <c r="BI180" s="339"/>
      <c r="BJ180" s="339"/>
      <c r="BK180" s="339"/>
      <c r="BL180" s="339"/>
      <c r="BM180" s="339"/>
      <c r="BN180" s="339"/>
      <c r="BO180" s="339"/>
      <c r="BP180" s="339"/>
      <c r="BQ180" s="339"/>
      <c r="BR180" s="339"/>
      <c r="BS180" s="339"/>
      <c r="BT180" s="339"/>
      <c r="BU180" s="339"/>
      <c r="BV180" s="339"/>
      <c r="BW180" s="339"/>
      <c r="BX180" s="339"/>
      <c r="BY180" s="339"/>
      <c r="BZ180" s="339"/>
      <c r="CA180" s="339"/>
      <c r="CB180" s="339"/>
      <c r="CC180" s="339"/>
      <c r="CD180" s="339"/>
      <c r="CE180" s="339"/>
      <c r="CF180" s="339"/>
      <c r="CG180" s="339"/>
      <c r="CH180" s="339"/>
      <c r="CI180" s="339"/>
      <c r="CJ180" s="339"/>
      <c r="CK180" s="339"/>
      <c r="CL180" s="339"/>
      <c r="CM180" s="339"/>
      <c r="CN180" s="339"/>
      <c r="CO180" s="339"/>
      <c r="CP180" s="339"/>
      <c r="CQ180" s="339"/>
      <c r="CR180" s="339"/>
      <c r="CS180" s="339"/>
      <c r="CT180" s="339"/>
      <c r="CU180" s="339"/>
      <c r="CV180" s="339"/>
      <c r="CW180" s="339"/>
      <c r="CX180" s="339"/>
      <c r="CY180" s="339"/>
      <c r="CZ180" s="339"/>
      <c r="DA180" s="339"/>
      <c r="DB180" s="339"/>
      <c r="DC180" s="339"/>
      <c r="DD180" s="339"/>
      <c r="DE180" s="339"/>
      <c r="DF180" s="339"/>
      <c r="DG180" s="339"/>
      <c r="DH180" s="339"/>
    </row>
    <row r="181" ht="20.25" customHeight="1">
      <c r="A181" s="41">
        <v>181.0</v>
      </c>
      <c r="B181" s="337" t="s">
        <v>145</v>
      </c>
      <c r="C181" s="338" t="s">
        <v>108</v>
      </c>
      <c r="D181" s="338" t="s">
        <v>241</v>
      </c>
      <c r="E181" s="339"/>
      <c r="F181" s="43" t="s">
        <v>1102</v>
      </c>
      <c r="G181" s="46" t="s">
        <v>1126</v>
      </c>
      <c r="H181" s="46" t="s">
        <v>242</v>
      </c>
      <c r="I181" s="45">
        <v>45644.0</v>
      </c>
      <c r="J181" s="339"/>
      <c r="K181" s="46"/>
      <c r="L181" s="53" t="s">
        <v>1113</v>
      </c>
      <c r="M181" s="46" t="s">
        <v>1105</v>
      </c>
      <c r="N181" s="46" t="s">
        <v>1106</v>
      </c>
      <c r="O181" s="53">
        <v>1.0</v>
      </c>
      <c r="P181" s="495" t="str">
        <f> hyperlink(vlookup(lower(N181),'File Links'!E:F, 2, FALSE), SUBSTITUTE(lower(N181), "/", "--") &amp;  ".pdf")</f>
        <v>10.1016--j.learninstruc.2018.04.006.pdf</v>
      </c>
      <c r="Q181" s="101" t="str">
        <f t="array" ref="Q181"> if(iserror(MATCH(V181, 'File Links'!C:C, 0)), "N/A", HYPERLINK(INDEX('File Links'!B:B, MATCH(P181, 'File Links'!C:C, 0))))</f>
        <v>https://drive.google.com/file/d/1woJDHccS6Df_7DkKmeLElCzqxpjoRtns/view?usp=drivesdk</v>
      </c>
      <c r="R181" s="496" t="s">
        <v>1114</v>
      </c>
      <c r="S181" s="46" t="s">
        <v>1108</v>
      </c>
      <c r="T181" s="46"/>
      <c r="U181" s="53">
        <v>1.0</v>
      </c>
      <c r="V181" s="337" t="str">
        <f> hyperlink(vlookup(lower(S181),'File Links'!E:F, 2, FALSE), SUBSTITUTE(lower(S181), "/", "--") &amp;  ".pdf")</f>
        <v>10.1080--0163853x.2024.2339738.pdf</v>
      </c>
      <c r="W181" s="46" t="s">
        <v>1115</v>
      </c>
      <c r="X181" s="51" t="str">
        <f t="array" ref="X181"> if(iserror(MATCH(V181, 'File Links'!C:C, 0)), "N/A", HYPERLINK(INDEX('File Links'!B:B, MATCH(V181, 'File Links'!C:C, 0))))</f>
        <v>https://drive.google.com/file/d/1qKtm6cJaGp1OYT52DZ-rdF0umAGshXgk/view?usp=drivesdk</v>
      </c>
      <c r="Y181" s="46"/>
      <c r="Z181" s="46" t="s">
        <v>234</v>
      </c>
      <c r="AA181" s="53" t="s">
        <v>1116</v>
      </c>
      <c r="AB181" s="46" t="s">
        <v>1127</v>
      </c>
      <c r="AC181" s="46"/>
      <c r="AD181" s="53" t="s">
        <v>1128</v>
      </c>
      <c r="AE181" s="497">
        <v>59.0</v>
      </c>
      <c r="AF181" s="47">
        <v>137.0</v>
      </c>
      <c r="AG181" s="47">
        <v>0.37</v>
      </c>
      <c r="AH181" s="102" t="s">
        <v>1118</v>
      </c>
      <c r="AI181" s="46" t="s">
        <v>1119</v>
      </c>
      <c r="AJ181" s="47">
        <v>0.001</v>
      </c>
      <c r="AK181" s="43" t="s">
        <v>128</v>
      </c>
      <c r="AL181" s="46" t="s">
        <v>179</v>
      </c>
      <c r="AM181" s="46" t="s">
        <v>134</v>
      </c>
      <c r="AN181" s="46" t="s">
        <v>131</v>
      </c>
      <c r="AO181" s="47">
        <v>229.0</v>
      </c>
      <c r="AP181" s="47">
        <v>1.57</v>
      </c>
      <c r="AQ181" s="46" t="s">
        <v>354</v>
      </c>
      <c r="AR181" s="46" t="s">
        <v>1120</v>
      </c>
      <c r="AS181" s="47">
        <v>0.001</v>
      </c>
      <c r="AT181" s="43" t="s">
        <v>128</v>
      </c>
      <c r="AU181" s="43" t="s">
        <v>179</v>
      </c>
      <c r="AV181" s="43" t="s">
        <v>134</v>
      </c>
      <c r="AW181" s="57" t="s">
        <v>1121</v>
      </c>
      <c r="AX181" s="57" t="s">
        <v>144</v>
      </c>
      <c r="AY181" s="46"/>
      <c r="AZ181" s="338" t="s">
        <v>685</v>
      </c>
      <c r="BA181" s="339"/>
      <c r="BB181" s="339"/>
      <c r="BC181" s="339"/>
      <c r="BD181" s="339"/>
      <c r="BE181" s="339"/>
      <c r="BF181" s="339"/>
      <c r="BG181" s="339"/>
      <c r="BH181" s="339"/>
      <c r="BI181" s="339"/>
      <c r="BJ181" s="339"/>
      <c r="BK181" s="339"/>
      <c r="BL181" s="339"/>
      <c r="BM181" s="339"/>
      <c r="BN181" s="339"/>
      <c r="BO181" s="339"/>
      <c r="BP181" s="339"/>
      <c r="BQ181" s="339"/>
      <c r="BR181" s="339"/>
      <c r="BS181" s="339"/>
      <c r="BT181" s="339"/>
      <c r="BU181" s="339"/>
      <c r="BV181" s="339"/>
      <c r="BW181" s="339"/>
      <c r="BX181" s="339"/>
      <c r="BY181" s="339"/>
      <c r="BZ181" s="339"/>
      <c r="CA181" s="339"/>
      <c r="CB181" s="339"/>
      <c r="CC181" s="339"/>
      <c r="CD181" s="339"/>
      <c r="CE181" s="339"/>
      <c r="CF181" s="339"/>
      <c r="CG181" s="339"/>
      <c r="CH181" s="339"/>
      <c r="CI181" s="339"/>
      <c r="CJ181" s="339"/>
      <c r="CK181" s="339"/>
      <c r="CL181" s="339"/>
      <c r="CM181" s="339"/>
      <c r="CN181" s="339"/>
      <c r="CO181" s="339"/>
      <c r="CP181" s="339"/>
      <c r="CQ181" s="339"/>
      <c r="CR181" s="339"/>
      <c r="CS181" s="339"/>
      <c r="CT181" s="339"/>
      <c r="CU181" s="339"/>
      <c r="CV181" s="339"/>
      <c r="CW181" s="339"/>
      <c r="CX181" s="339"/>
      <c r="CY181" s="339"/>
      <c r="CZ181" s="339"/>
      <c r="DA181" s="339"/>
      <c r="DB181" s="339"/>
      <c r="DC181" s="339"/>
      <c r="DD181" s="339"/>
      <c r="DE181" s="339"/>
      <c r="DF181" s="339"/>
      <c r="DG181" s="339"/>
      <c r="DH181" s="339"/>
    </row>
    <row r="182" ht="20.25" customHeight="1">
      <c r="A182" s="41">
        <v>182.0</v>
      </c>
      <c r="B182" s="337" t="s">
        <v>145</v>
      </c>
      <c r="C182" s="338" t="s">
        <v>108</v>
      </c>
      <c r="D182" s="338" t="s">
        <v>241</v>
      </c>
      <c r="E182" s="339"/>
      <c r="F182" s="43" t="s">
        <v>1102</v>
      </c>
      <c r="G182" s="46" t="s">
        <v>1129</v>
      </c>
      <c r="H182" s="46" t="s">
        <v>242</v>
      </c>
      <c r="I182" s="45">
        <v>45644.0</v>
      </c>
      <c r="J182" s="339"/>
      <c r="K182" s="46"/>
      <c r="L182" s="53" t="s">
        <v>1130</v>
      </c>
      <c r="M182" s="46" t="s">
        <v>1105</v>
      </c>
      <c r="N182" s="46" t="s">
        <v>1106</v>
      </c>
      <c r="O182" s="53">
        <v>1.0</v>
      </c>
      <c r="P182" s="495" t="str">
        <f> hyperlink(vlookup(lower(N182),'File Links'!E:F, 2, FALSE), SUBSTITUTE(lower(N182), "/", "--") &amp;  ".pdf")</f>
        <v>10.1016--j.learninstruc.2018.04.006.pdf</v>
      </c>
      <c r="Q182" s="101" t="str">
        <f t="array" ref="Q182"> if(iserror(MATCH(V182, 'File Links'!C:C, 0)), "N/A", HYPERLINK(INDEX('File Links'!B:B, MATCH(P182, 'File Links'!C:C, 0))))</f>
        <v>https://drive.google.com/file/d/1woJDHccS6Df_7DkKmeLElCzqxpjoRtns/view?usp=drivesdk</v>
      </c>
      <c r="R182" s="496" t="s">
        <v>1114</v>
      </c>
      <c r="S182" s="46" t="s">
        <v>1108</v>
      </c>
      <c r="T182" s="46"/>
      <c r="U182" s="53">
        <v>1.0</v>
      </c>
      <c r="V182" s="337" t="str">
        <f> hyperlink(vlookup(lower(S182),'File Links'!E:F, 2, FALSE), SUBSTITUTE(lower(S182), "/", "--") &amp;  ".pdf")</f>
        <v>10.1080--0163853x.2024.2339738.pdf</v>
      </c>
      <c r="W182" s="46" t="s">
        <v>1115</v>
      </c>
      <c r="X182" s="51" t="str">
        <f t="array" ref="X182"> if(iserror(MATCH(V182, 'File Links'!C:C, 0)), "N/A", HYPERLINK(INDEX('File Links'!B:B, MATCH(V182, 'File Links'!C:C, 0))))</f>
        <v>https://drive.google.com/file/d/1qKtm6cJaGp1OYT52DZ-rdF0umAGshXgk/view?usp=drivesdk</v>
      </c>
      <c r="Y182" s="46"/>
      <c r="Z182" s="46" t="s">
        <v>234</v>
      </c>
      <c r="AA182" s="53" t="s">
        <v>1116</v>
      </c>
      <c r="AB182" s="46" t="s">
        <v>1131</v>
      </c>
      <c r="AC182" s="46"/>
      <c r="AD182" s="53" t="s">
        <v>1132</v>
      </c>
      <c r="AE182" s="47">
        <v>60.0</v>
      </c>
      <c r="AF182" s="47">
        <v>137.0</v>
      </c>
      <c r="AG182" s="47">
        <v>0.04</v>
      </c>
      <c r="AH182" s="102" t="s">
        <v>1118</v>
      </c>
      <c r="AI182" s="46" t="s">
        <v>1119</v>
      </c>
      <c r="AJ182" s="47">
        <v>0.05</v>
      </c>
      <c r="AK182" s="43" t="s">
        <v>128</v>
      </c>
      <c r="AL182" s="46" t="s">
        <v>179</v>
      </c>
      <c r="AM182" s="46" t="s">
        <v>134</v>
      </c>
      <c r="AN182" s="46" t="s">
        <v>131</v>
      </c>
      <c r="AO182" s="47">
        <v>229.0</v>
      </c>
      <c r="AP182" s="47">
        <v>1.16</v>
      </c>
      <c r="AQ182" s="46" t="s">
        <v>354</v>
      </c>
      <c r="AR182" s="46" t="s">
        <v>1120</v>
      </c>
      <c r="AS182" s="47">
        <v>0.001</v>
      </c>
      <c r="AT182" s="43" t="s">
        <v>128</v>
      </c>
      <c r="AU182" s="43" t="s">
        <v>179</v>
      </c>
      <c r="AV182" s="43" t="s">
        <v>134</v>
      </c>
      <c r="AW182" s="57" t="s">
        <v>1121</v>
      </c>
      <c r="AX182" s="57" t="s">
        <v>144</v>
      </c>
      <c r="AY182" s="46"/>
      <c r="AZ182" s="338" t="s">
        <v>685</v>
      </c>
      <c r="BA182" s="339"/>
      <c r="BB182" s="339"/>
      <c r="BC182" s="339"/>
      <c r="BD182" s="339"/>
      <c r="BE182" s="339"/>
      <c r="BF182" s="339"/>
      <c r="BG182" s="339"/>
      <c r="BH182" s="339"/>
      <c r="BI182" s="339"/>
      <c r="BJ182" s="339"/>
      <c r="BK182" s="339"/>
      <c r="BL182" s="339"/>
      <c r="BM182" s="339"/>
      <c r="BN182" s="339"/>
      <c r="BO182" s="339"/>
      <c r="BP182" s="339"/>
      <c r="BQ182" s="339"/>
      <c r="BR182" s="339"/>
      <c r="BS182" s="339"/>
      <c r="BT182" s="339"/>
      <c r="BU182" s="339"/>
      <c r="BV182" s="339"/>
      <c r="BW182" s="339"/>
      <c r="BX182" s="339"/>
      <c r="BY182" s="339"/>
      <c r="BZ182" s="339"/>
      <c r="CA182" s="339"/>
      <c r="CB182" s="339"/>
      <c r="CC182" s="339"/>
      <c r="CD182" s="339"/>
      <c r="CE182" s="339"/>
      <c r="CF182" s="339"/>
      <c r="CG182" s="339"/>
      <c r="CH182" s="339"/>
      <c r="CI182" s="339"/>
      <c r="CJ182" s="339"/>
      <c r="CK182" s="339"/>
      <c r="CL182" s="339"/>
      <c r="CM182" s="339"/>
      <c r="CN182" s="339"/>
      <c r="CO182" s="339"/>
      <c r="CP182" s="339"/>
      <c r="CQ182" s="339"/>
      <c r="CR182" s="339"/>
      <c r="CS182" s="339"/>
      <c r="CT182" s="339"/>
      <c r="CU182" s="339"/>
      <c r="CV182" s="339"/>
      <c r="CW182" s="339"/>
      <c r="CX182" s="339"/>
      <c r="CY182" s="339"/>
      <c r="CZ182" s="339"/>
      <c r="DA182" s="339"/>
      <c r="DB182" s="339"/>
      <c r="DC182" s="339"/>
      <c r="DD182" s="339"/>
      <c r="DE182" s="339"/>
      <c r="DF182" s="339"/>
      <c r="DG182" s="339"/>
      <c r="DH182" s="339"/>
    </row>
    <row r="183" ht="20.25" customHeight="1">
      <c r="A183" s="41">
        <v>183.0</v>
      </c>
      <c r="B183" s="337" t="s">
        <v>145</v>
      </c>
      <c r="C183" s="338" t="s">
        <v>108</v>
      </c>
      <c r="D183" s="338" t="s">
        <v>241</v>
      </c>
      <c r="E183" s="339"/>
      <c r="F183" s="43" t="s">
        <v>1102</v>
      </c>
      <c r="G183" s="46" t="s">
        <v>1133</v>
      </c>
      <c r="H183" s="46" t="s">
        <v>242</v>
      </c>
      <c r="I183" s="45">
        <v>45644.0</v>
      </c>
      <c r="J183" s="339"/>
      <c r="K183" s="46"/>
      <c r="L183" s="53" t="s">
        <v>1130</v>
      </c>
      <c r="M183" s="46" t="s">
        <v>1105</v>
      </c>
      <c r="N183" s="46" t="s">
        <v>1106</v>
      </c>
      <c r="O183" s="53">
        <v>1.0</v>
      </c>
      <c r="P183" s="495" t="str">
        <f> hyperlink(vlookup(lower(N183),'File Links'!E:F, 2, FALSE), SUBSTITUTE(lower(N183), "/", "--") &amp;  ".pdf")</f>
        <v>10.1016--j.learninstruc.2018.04.006.pdf</v>
      </c>
      <c r="Q183" s="101" t="str">
        <f t="array" ref="Q183"> if(iserror(MATCH(V183, 'File Links'!C:C, 0)), "N/A", HYPERLINK(INDEX('File Links'!B:B, MATCH(P183, 'File Links'!C:C, 0))))</f>
        <v>https://drive.google.com/file/d/1woJDHccS6Df_7DkKmeLElCzqxpjoRtns/view?usp=drivesdk</v>
      </c>
      <c r="R183" s="496" t="s">
        <v>1114</v>
      </c>
      <c r="S183" s="46" t="s">
        <v>1108</v>
      </c>
      <c r="T183" s="46"/>
      <c r="U183" s="53">
        <v>1.0</v>
      </c>
      <c r="V183" s="337" t="str">
        <f> hyperlink(vlookup(lower(S183),'File Links'!E:F, 2, FALSE), SUBSTITUTE(lower(S183), "/", "--") &amp;  ".pdf")</f>
        <v>10.1080--0163853x.2024.2339738.pdf</v>
      </c>
      <c r="W183" s="46" t="s">
        <v>1115</v>
      </c>
      <c r="X183" s="51" t="str">
        <f t="array" ref="X183"> if(iserror(MATCH(V183, 'File Links'!C:C, 0)), "N/A", HYPERLINK(INDEX('File Links'!B:B, MATCH(V183, 'File Links'!C:C, 0))))</f>
        <v>https://drive.google.com/file/d/1qKtm6cJaGp1OYT52DZ-rdF0umAGshXgk/view?usp=drivesdk</v>
      </c>
      <c r="Y183" s="46"/>
      <c r="Z183" s="46" t="s">
        <v>234</v>
      </c>
      <c r="AA183" s="53" t="s">
        <v>1134</v>
      </c>
      <c r="AB183" s="46" t="s">
        <v>1135</v>
      </c>
      <c r="AC183" s="46"/>
      <c r="AD183" s="53" t="s">
        <v>1136</v>
      </c>
      <c r="AE183" s="47">
        <v>60.0</v>
      </c>
      <c r="AF183" s="47">
        <v>137.0</v>
      </c>
      <c r="AG183" s="47">
        <v>0.39</v>
      </c>
      <c r="AH183" s="53" t="s">
        <v>715</v>
      </c>
      <c r="AI183" s="46" t="s">
        <v>1137</v>
      </c>
      <c r="AJ183" s="47">
        <v>0.01</v>
      </c>
      <c r="AK183" s="43" t="s">
        <v>128</v>
      </c>
      <c r="AL183" s="46" t="s">
        <v>179</v>
      </c>
      <c r="AM183" s="46" t="s">
        <v>134</v>
      </c>
      <c r="AN183" s="46" t="s">
        <v>131</v>
      </c>
      <c r="AO183" s="47">
        <v>229.0</v>
      </c>
      <c r="AP183" s="47">
        <v>1.17</v>
      </c>
      <c r="AQ183" s="46" t="s">
        <v>715</v>
      </c>
      <c r="AR183" s="46" t="s">
        <v>1138</v>
      </c>
      <c r="AS183" s="47">
        <v>0.686</v>
      </c>
      <c r="AT183" s="43" t="s">
        <v>165</v>
      </c>
      <c r="AU183" s="43" t="s">
        <v>179</v>
      </c>
      <c r="AV183" s="43" t="s">
        <v>134</v>
      </c>
      <c r="AW183" s="57" t="s">
        <v>1121</v>
      </c>
      <c r="AX183" s="57" t="s">
        <v>144</v>
      </c>
      <c r="AY183" s="46"/>
      <c r="AZ183" s="338" t="s">
        <v>685</v>
      </c>
      <c r="BA183" s="339"/>
      <c r="BB183" s="339"/>
      <c r="BC183" s="339"/>
      <c r="BD183" s="339"/>
      <c r="BE183" s="339"/>
      <c r="BF183" s="339"/>
      <c r="BG183" s="339"/>
      <c r="BH183" s="339"/>
      <c r="BI183" s="339"/>
      <c r="BJ183" s="339"/>
      <c r="BK183" s="339"/>
      <c r="BL183" s="339"/>
      <c r="BM183" s="339"/>
      <c r="BN183" s="339"/>
      <c r="BO183" s="339"/>
      <c r="BP183" s="339"/>
      <c r="BQ183" s="339"/>
      <c r="BR183" s="339"/>
      <c r="BS183" s="339"/>
      <c r="BT183" s="339"/>
      <c r="BU183" s="339"/>
      <c r="BV183" s="339"/>
      <c r="BW183" s="339"/>
      <c r="BX183" s="339"/>
      <c r="BY183" s="339"/>
      <c r="BZ183" s="339"/>
      <c r="CA183" s="339"/>
      <c r="CB183" s="339"/>
      <c r="CC183" s="339"/>
      <c r="CD183" s="339"/>
      <c r="CE183" s="339"/>
      <c r="CF183" s="339"/>
      <c r="CG183" s="339"/>
      <c r="CH183" s="339"/>
      <c r="CI183" s="339"/>
      <c r="CJ183" s="339"/>
      <c r="CK183" s="339"/>
      <c r="CL183" s="339"/>
      <c r="CM183" s="339"/>
      <c r="CN183" s="339"/>
      <c r="CO183" s="339"/>
      <c r="CP183" s="339"/>
      <c r="CQ183" s="339"/>
      <c r="CR183" s="339"/>
      <c r="CS183" s="339"/>
      <c r="CT183" s="339"/>
      <c r="CU183" s="339"/>
      <c r="CV183" s="339"/>
      <c r="CW183" s="339"/>
      <c r="CX183" s="339"/>
      <c r="CY183" s="339"/>
      <c r="CZ183" s="339"/>
      <c r="DA183" s="339"/>
      <c r="DB183" s="339"/>
      <c r="DC183" s="339"/>
      <c r="DD183" s="339"/>
      <c r="DE183" s="339"/>
      <c r="DF183" s="339"/>
      <c r="DG183" s="339"/>
      <c r="DH183" s="339"/>
    </row>
    <row r="184" ht="20.25" customHeight="1">
      <c r="A184" s="41">
        <v>184.0</v>
      </c>
      <c r="B184" s="337" t="s">
        <v>145</v>
      </c>
      <c r="C184" s="338" t="s">
        <v>108</v>
      </c>
      <c r="D184" s="338" t="s">
        <v>241</v>
      </c>
      <c r="E184" s="339"/>
      <c r="F184" s="43" t="s">
        <v>1102</v>
      </c>
      <c r="G184" s="46" t="s">
        <v>1139</v>
      </c>
      <c r="H184" s="46" t="s">
        <v>242</v>
      </c>
      <c r="I184" s="45">
        <v>45644.0</v>
      </c>
      <c r="J184" s="339"/>
      <c r="K184" s="46"/>
      <c r="L184" s="53" t="s">
        <v>1140</v>
      </c>
      <c r="M184" s="46" t="s">
        <v>1105</v>
      </c>
      <c r="N184" s="46" t="s">
        <v>1106</v>
      </c>
      <c r="O184" s="53">
        <v>1.0</v>
      </c>
      <c r="P184" s="495" t="str">
        <f> hyperlink(vlookup(lower(N184),'File Links'!E:F, 2, FALSE), SUBSTITUTE(lower(N184), "/", "--") &amp;  ".pdf")</f>
        <v>10.1016--j.learninstruc.2018.04.006.pdf</v>
      </c>
      <c r="Q184" s="101" t="str">
        <f t="array" ref="Q184"> if(iserror(MATCH(V184, 'File Links'!C:C, 0)), "N/A", HYPERLINK(INDEX('File Links'!B:B, MATCH(P184, 'File Links'!C:C, 0))))</f>
        <v>https://drive.google.com/file/d/1woJDHccS6Df_7DkKmeLElCzqxpjoRtns/view?usp=drivesdk</v>
      </c>
      <c r="R184" s="496" t="s">
        <v>1114</v>
      </c>
      <c r="S184" s="46" t="s">
        <v>1108</v>
      </c>
      <c r="T184" s="46"/>
      <c r="U184" s="53">
        <v>1.0</v>
      </c>
      <c r="V184" s="337" t="str">
        <f> hyperlink(vlookup(lower(S184),'File Links'!E:F, 2, FALSE), SUBSTITUTE(lower(S184), "/", "--") &amp;  ".pdf")</f>
        <v>10.1080--0163853x.2024.2339738.pdf</v>
      </c>
      <c r="W184" s="46" t="s">
        <v>1115</v>
      </c>
      <c r="X184" s="51" t="str">
        <f t="array" ref="X184"> if(iserror(MATCH(V184, 'File Links'!C:C, 0)), "N/A", HYPERLINK(INDEX('File Links'!B:B, MATCH(V184, 'File Links'!C:C, 0))))</f>
        <v>https://drive.google.com/file/d/1qKtm6cJaGp1OYT52DZ-rdF0umAGshXgk/view?usp=drivesdk</v>
      </c>
      <c r="Y184" s="46"/>
      <c r="Z184" s="46" t="s">
        <v>234</v>
      </c>
      <c r="AA184" s="53" t="s">
        <v>1134</v>
      </c>
      <c r="AB184" s="46" t="s">
        <v>1141</v>
      </c>
      <c r="AC184" s="46"/>
      <c r="AD184" s="53" t="s">
        <v>1142</v>
      </c>
      <c r="AE184" s="47">
        <v>60.0</v>
      </c>
      <c r="AF184" s="47">
        <v>137.0</v>
      </c>
      <c r="AG184" s="498">
        <v>2.38095238095</v>
      </c>
      <c r="AH184" s="102" t="s">
        <v>715</v>
      </c>
      <c r="AI184" s="46" t="s">
        <v>1137</v>
      </c>
      <c r="AJ184" s="47">
        <v>0.05</v>
      </c>
      <c r="AK184" s="43" t="s">
        <v>128</v>
      </c>
      <c r="AL184" s="46" t="s">
        <v>179</v>
      </c>
      <c r="AM184" s="46" t="s">
        <v>134</v>
      </c>
      <c r="AN184" s="46" t="s">
        <v>131</v>
      </c>
      <c r="AO184" s="47">
        <v>229.0</v>
      </c>
      <c r="AP184" s="499">
        <v>3.38</v>
      </c>
      <c r="AQ184" s="46" t="s">
        <v>715</v>
      </c>
      <c r="AR184" s="46" t="s">
        <v>1138</v>
      </c>
      <c r="AS184" s="47">
        <v>0.001</v>
      </c>
      <c r="AT184" s="43" t="s">
        <v>128</v>
      </c>
      <c r="AU184" s="43" t="s">
        <v>179</v>
      </c>
      <c r="AV184" s="43" t="s">
        <v>134</v>
      </c>
      <c r="AW184" s="57" t="s">
        <v>1121</v>
      </c>
      <c r="AX184" s="57" t="s">
        <v>144</v>
      </c>
      <c r="AY184" s="46"/>
      <c r="AZ184" s="338" t="s">
        <v>1143</v>
      </c>
      <c r="BA184" s="339"/>
      <c r="BB184" s="339"/>
      <c r="BC184" s="339"/>
      <c r="BD184" s="339"/>
      <c r="BE184" s="339"/>
      <c r="BF184" s="339"/>
      <c r="BG184" s="339"/>
      <c r="BH184" s="339"/>
      <c r="BI184" s="339"/>
      <c r="BJ184" s="339"/>
      <c r="BK184" s="339"/>
      <c r="BL184" s="339"/>
      <c r="BM184" s="339"/>
      <c r="BN184" s="339"/>
      <c r="BO184" s="339"/>
      <c r="BP184" s="339"/>
      <c r="BQ184" s="339"/>
      <c r="BR184" s="339"/>
      <c r="BS184" s="339"/>
      <c r="BT184" s="339"/>
      <c r="BU184" s="339"/>
      <c r="BV184" s="339"/>
      <c r="BW184" s="339"/>
      <c r="BX184" s="339"/>
      <c r="BY184" s="339"/>
      <c r="BZ184" s="339"/>
      <c r="CA184" s="339"/>
      <c r="CB184" s="339"/>
      <c r="CC184" s="339"/>
      <c r="CD184" s="339"/>
      <c r="CE184" s="339"/>
      <c r="CF184" s="339"/>
      <c r="CG184" s="339"/>
      <c r="CH184" s="339"/>
      <c r="CI184" s="339"/>
      <c r="CJ184" s="339"/>
      <c r="CK184" s="339"/>
      <c r="CL184" s="339"/>
      <c r="CM184" s="339"/>
      <c r="CN184" s="339"/>
      <c r="CO184" s="339"/>
      <c r="CP184" s="339"/>
      <c r="CQ184" s="339"/>
      <c r="CR184" s="339"/>
      <c r="CS184" s="339"/>
      <c r="CT184" s="339"/>
      <c r="CU184" s="339"/>
      <c r="CV184" s="339"/>
      <c r="CW184" s="339"/>
      <c r="CX184" s="339"/>
      <c r="CY184" s="339"/>
      <c r="CZ184" s="339"/>
      <c r="DA184" s="339"/>
      <c r="DB184" s="339"/>
      <c r="DC184" s="339"/>
      <c r="DD184" s="339"/>
      <c r="DE184" s="339"/>
      <c r="DF184" s="339"/>
      <c r="DG184" s="339"/>
      <c r="DH184" s="339"/>
    </row>
    <row r="185" ht="20.25" customHeight="1">
      <c r="A185" s="41">
        <v>185.0</v>
      </c>
      <c r="B185" s="337" t="s">
        <v>145</v>
      </c>
      <c r="C185" s="338" t="s">
        <v>108</v>
      </c>
      <c r="D185" s="338" t="s">
        <v>241</v>
      </c>
      <c r="E185" s="339"/>
      <c r="F185" s="43" t="s">
        <v>1102</v>
      </c>
      <c r="G185" s="46" t="s">
        <v>1144</v>
      </c>
      <c r="H185" s="46" t="s">
        <v>242</v>
      </c>
      <c r="I185" s="45">
        <v>45644.0</v>
      </c>
      <c r="J185" s="339"/>
      <c r="K185" s="46"/>
      <c r="L185" s="53" t="s">
        <v>1113</v>
      </c>
      <c r="M185" s="46" t="s">
        <v>1105</v>
      </c>
      <c r="N185" s="46" t="s">
        <v>1106</v>
      </c>
      <c r="O185" s="53">
        <v>1.0</v>
      </c>
      <c r="P185" s="495" t="str">
        <f> hyperlink(vlookup(lower(N185),'File Links'!E:F, 2, FALSE), SUBSTITUTE(lower(N185), "/", "--") &amp;  ".pdf")</f>
        <v>10.1016--j.learninstruc.2018.04.006.pdf</v>
      </c>
      <c r="Q185" s="101" t="str">
        <f t="array" ref="Q185"> if(iserror(MATCH(V185, 'File Links'!C:C, 0)), "N/A", HYPERLINK(INDEX('File Links'!B:B, MATCH(P185, 'File Links'!C:C, 0))))</f>
        <v>https://drive.google.com/file/d/1woJDHccS6Df_7DkKmeLElCzqxpjoRtns/view?usp=drivesdk</v>
      </c>
      <c r="R185" s="496" t="s">
        <v>1114</v>
      </c>
      <c r="S185" s="46" t="s">
        <v>1108</v>
      </c>
      <c r="T185" s="46"/>
      <c r="U185" s="53">
        <v>1.0</v>
      </c>
      <c r="V185" s="337" t="str">
        <f> hyperlink(vlookup(lower(S185),'File Links'!E:F, 2, FALSE), SUBSTITUTE(lower(S185), "/", "--") &amp;  ".pdf")</f>
        <v>10.1080--0163853x.2024.2339738.pdf</v>
      </c>
      <c r="W185" s="46" t="s">
        <v>1115</v>
      </c>
      <c r="X185" s="51" t="str">
        <f t="array" ref="X185"> if(iserror(MATCH(V185, 'File Links'!C:C, 0)), "N/A", HYPERLINK(INDEX('File Links'!B:B, MATCH(V185, 'File Links'!C:C, 0))))</f>
        <v>https://drive.google.com/file/d/1qKtm6cJaGp1OYT52DZ-rdF0umAGshXgk/view?usp=drivesdk</v>
      </c>
      <c r="Y185" s="46"/>
      <c r="Z185" s="46" t="s">
        <v>234</v>
      </c>
      <c r="AA185" s="53" t="s">
        <v>1134</v>
      </c>
      <c r="AB185" s="46" t="s">
        <v>1145</v>
      </c>
      <c r="AC185" s="46"/>
      <c r="AD185" s="53" t="s">
        <v>1146</v>
      </c>
      <c r="AE185" s="497">
        <v>60.0</v>
      </c>
      <c r="AF185" s="47">
        <v>137.0</v>
      </c>
      <c r="AG185" s="47">
        <v>0.19</v>
      </c>
      <c r="AH185" s="102" t="s">
        <v>715</v>
      </c>
      <c r="AI185" s="46" t="s">
        <v>1137</v>
      </c>
      <c r="AJ185" s="47">
        <v>0.01</v>
      </c>
      <c r="AK185" s="43" t="s">
        <v>128</v>
      </c>
      <c r="AL185" s="46" t="s">
        <v>179</v>
      </c>
      <c r="AM185" s="46" t="s">
        <v>134</v>
      </c>
      <c r="AN185" s="46" t="s">
        <v>131</v>
      </c>
      <c r="AO185" s="47">
        <v>229.0</v>
      </c>
      <c r="AP185" s="47">
        <v>0.0588</v>
      </c>
      <c r="AQ185" s="46" t="s">
        <v>715</v>
      </c>
      <c r="AR185" s="46" t="s">
        <v>1147</v>
      </c>
      <c r="AS185" s="47">
        <v>1.0E-4</v>
      </c>
      <c r="AT185" s="43" t="s">
        <v>128</v>
      </c>
      <c r="AU185" s="43" t="s">
        <v>179</v>
      </c>
      <c r="AV185" s="43" t="s">
        <v>134</v>
      </c>
      <c r="AW185" s="57" t="s">
        <v>1121</v>
      </c>
      <c r="AX185" s="57" t="s">
        <v>144</v>
      </c>
      <c r="AY185" s="46"/>
      <c r="AZ185" s="338" t="s">
        <v>685</v>
      </c>
      <c r="BA185" s="339"/>
      <c r="BB185" s="339"/>
      <c r="BC185" s="339"/>
      <c r="BD185" s="339"/>
      <c r="BE185" s="339"/>
      <c r="BF185" s="339"/>
      <c r="BG185" s="339"/>
      <c r="BH185" s="339"/>
      <c r="BI185" s="339"/>
      <c r="BJ185" s="339"/>
      <c r="BK185" s="339"/>
      <c r="BL185" s="339"/>
      <c r="BM185" s="339"/>
      <c r="BN185" s="339"/>
      <c r="BO185" s="339"/>
      <c r="BP185" s="339"/>
      <c r="BQ185" s="339"/>
      <c r="BR185" s="339"/>
      <c r="BS185" s="339"/>
      <c r="BT185" s="339"/>
      <c r="BU185" s="339"/>
      <c r="BV185" s="339"/>
      <c r="BW185" s="339"/>
      <c r="BX185" s="339"/>
      <c r="BY185" s="339"/>
      <c r="BZ185" s="339"/>
      <c r="CA185" s="339"/>
      <c r="CB185" s="339"/>
      <c r="CC185" s="339"/>
      <c r="CD185" s="339"/>
      <c r="CE185" s="339"/>
      <c r="CF185" s="339"/>
      <c r="CG185" s="339"/>
      <c r="CH185" s="339"/>
      <c r="CI185" s="339"/>
      <c r="CJ185" s="339"/>
      <c r="CK185" s="339"/>
      <c r="CL185" s="339"/>
      <c r="CM185" s="339"/>
      <c r="CN185" s="339"/>
      <c r="CO185" s="339"/>
      <c r="CP185" s="339"/>
      <c r="CQ185" s="339"/>
      <c r="CR185" s="339"/>
      <c r="CS185" s="339"/>
      <c r="CT185" s="339"/>
      <c r="CU185" s="339"/>
      <c r="CV185" s="339"/>
      <c r="CW185" s="339"/>
      <c r="CX185" s="339"/>
      <c r="CY185" s="339"/>
      <c r="CZ185" s="339"/>
      <c r="DA185" s="339"/>
      <c r="DB185" s="339"/>
      <c r="DC185" s="339"/>
      <c r="DD185" s="339"/>
      <c r="DE185" s="339"/>
      <c r="DF185" s="339"/>
      <c r="DG185" s="339"/>
      <c r="DH185" s="339"/>
    </row>
    <row r="186" ht="20.25" customHeight="1">
      <c r="A186" s="41">
        <v>186.0</v>
      </c>
      <c r="B186" s="337" t="s">
        <v>145</v>
      </c>
      <c r="C186" s="338" t="s">
        <v>108</v>
      </c>
      <c r="D186" s="338" t="s">
        <v>241</v>
      </c>
      <c r="E186" s="339"/>
      <c r="F186" s="43" t="s">
        <v>1102</v>
      </c>
      <c r="G186" s="46" t="s">
        <v>1148</v>
      </c>
      <c r="H186" s="46" t="s">
        <v>242</v>
      </c>
      <c r="I186" s="45">
        <v>45644.0</v>
      </c>
      <c r="J186" s="339"/>
      <c r="K186" s="46"/>
      <c r="L186" s="53" t="s">
        <v>1113</v>
      </c>
      <c r="M186" s="46" t="s">
        <v>1105</v>
      </c>
      <c r="N186" s="46" t="s">
        <v>1106</v>
      </c>
      <c r="O186" s="53">
        <v>1.0</v>
      </c>
      <c r="P186" s="495" t="str">
        <f> hyperlink(vlookup(lower(N186),'File Links'!E:F, 2, FALSE), SUBSTITUTE(lower(N186), "/", "--") &amp;  ".pdf")</f>
        <v>10.1016--j.learninstruc.2018.04.006.pdf</v>
      </c>
      <c r="Q186" s="101" t="str">
        <f t="array" ref="Q186"> if(iserror(MATCH(V186, 'File Links'!C:C, 0)), "N/A", HYPERLINK(INDEX('File Links'!B:B, MATCH(P186, 'File Links'!C:C, 0))))</f>
        <v>https://drive.google.com/file/d/1woJDHccS6Df_7DkKmeLElCzqxpjoRtns/view?usp=drivesdk</v>
      </c>
      <c r="R186" s="496" t="s">
        <v>1114</v>
      </c>
      <c r="S186" s="46" t="s">
        <v>1108</v>
      </c>
      <c r="T186" s="46"/>
      <c r="U186" s="53">
        <v>1.0</v>
      </c>
      <c r="V186" s="337" t="str">
        <f> hyperlink(vlookup(lower(S186),'File Links'!E:F, 2, FALSE), SUBSTITUTE(lower(S186), "/", "--") &amp;  ".pdf")</f>
        <v>10.1080--0163853x.2024.2339738.pdf</v>
      </c>
      <c r="W186" s="46" t="s">
        <v>1115</v>
      </c>
      <c r="X186" s="51" t="str">
        <f t="array" ref="X186"> if(iserror(MATCH(V186, 'File Links'!C:C, 0)), "N/A", HYPERLINK(INDEX('File Links'!B:B, MATCH(V186, 'File Links'!C:C, 0))))</f>
        <v>https://drive.google.com/file/d/1qKtm6cJaGp1OYT52DZ-rdF0umAGshXgk/view?usp=drivesdk</v>
      </c>
      <c r="Y186" s="46"/>
      <c r="Z186" s="46" t="s">
        <v>234</v>
      </c>
      <c r="AA186" s="53" t="s">
        <v>1134</v>
      </c>
      <c r="AB186" s="46" t="s">
        <v>1149</v>
      </c>
      <c r="AC186" s="46"/>
      <c r="AD186" s="53" t="s">
        <v>1150</v>
      </c>
      <c r="AE186" s="497">
        <v>60.0</v>
      </c>
      <c r="AF186" s="47">
        <v>137.0</v>
      </c>
      <c r="AG186" s="47">
        <v>0.31</v>
      </c>
      <c r="AH186" s="102" t="s">
        <v>715</v>
      </c>
      <c r="AI186" s="46" t="s">
        <v>1137</v>
      </c>
      <c r="AJ186" s="47">
        <v>0.05</v>
      </c>
      <c r="AK186" s="43" t="s">
        <v>128</v>
      </c>
      <c r="AL186" s="46" t="s">
        <v>179</v>
      </c>
      <c r="AM186" s="46" t="s">
        <v>134</v>
      </c>
      <c r="AN186" s="46" t="s">
        <v>131</v>
      </c>
      <c r="AO186" s="47">
        <v>229.0</v>
      </c>
      <c r="AP186" s="47">
        <v>0.1601</v>
      </c>
      <c r="AQ186" s="46" t="s">
        <v>715</v>
      </c>
      <c r="AR186" s="46" t="s">
        <v>1147</v>
      </c>
      <c r="AS186" s="47">
        <v>1.0E-4</v>
      </c>
      <c r="AT186" s="43" t="s">
        <v>165</v>
      </c>
      <c r="AU186" s="43" t="s">
        <v>179</v>
      </c>
      <c r="AV186" s="43" t="s">
        <v>134</v>
      </c>
      <c r="AW186" s="57" t="s">
        <v>1121</v>
      </c>
      <c r="AX186" s="57" t="s">
        <v>144</v>
      </c>
      <c r="AY186" s="46"/>
      <c r="AZ186" s="338" t="s">
        <v>685</v>
      </c>
      <c r="BA186" s="339"/>
      <c r="BB186" s="339"/>
      <c r="BC186" s="339"/>
      <c r="BD186" s="339"/>
      <c r="BE186" s="339"/>
      <c r="BF186" s="339"/>
      <c r="BG186" s="339"/>
      <c r="BH186" s="339"/>
      <c r="BI186" s="339"/>
      <c r="BJ186" s="339"/>
      <c r="BK186" s="339"/>
      <c r="BL186" s="339"/>
      <c r="BM186" s="339"/>
      <c r="BN186" s="339"/>
      <c r="BO186" s="339"/>
      <c r="BP186" s="339"/>
      <c r="BQ186" s="339"/>
      <c r="BR186" s="339"/>
      <c r="BS186" s="339"/>
      <c r="BT186" s="339"/>
      <c r="BU186" s="339"/>
      <c r="BV186" s="339"/>
      <c r="BW186" s="339"/>
      <c r="BX186" s="339"/>
      <c r="BY186" s="339"/>
      <c r="BZ186" s="339"/>
      <c r="CA186" s="339"/>
      <c r="CB186" s="339"/>
      <c r="CC186" s="339"/>
      <c r="CD186" s="339"/>
      <c r="CE186" s="339"/>
      <c r="CF186" s="339"/>
      <c r="CG186" s="339"/>
      <c r="CH186" s="339"/>
      <c r="CI186" s="339"/>
      <c r="CJ186" s="339"/>
      <c r="CK186" s="339"/>
      <c r="CL186" s="339"/>
      <c r="CM186" s="339"/>
      <c r="CN186" s="339"/>
      <c r="CO186" s="339"/>
      <c r="CP186" s="339"/>
      <c r="CQ186" s="339"/>
      <c r="CR186" s="339"/>
      <c r="CS186" s="339"/>
      <c r="CT186" s="339"/>
      <c r="CU186" s="339"/>
      <c r="CV186" s="339"/>
      <c r="CW186" s="339"/>
      <c r="CX186" s="339"/>
      <c r="CY186" s="339"/>
      <c r="CZ186" s="339"/>
      <c r="DA186" s="339"/>
      <c r="DB186" s="339"/>
      <c r="DC186" s="339"/>
      <c r="DD186" s="339"/>
      <c r="DE186" s="339"/>
      <c r="DF186" s="339"/>
      <c r="DG186" s="339"/>
      <c r="DH186" s="339"/>
    </row>
    <row r="187" ht="20.25" customHeight="1">
      <c r="A187" s="41">
        <v>187.0</v>
      </c>
      <c r="B187" s="59" t="s">
        <v>516</v>
      </c>
      <c r="C187" s="59" t="s">
        <v>108</v>
      </c>
      <c r="D187" s="59" t="s">
        <v>279</v>
      </c>
      <c r="F187" s="152" t="s">
        <v>1102</v>
      </c>
      <c r="G187" s="148" t="s">
        <v>1103</v>
      </c>
      <c r="H187" s="148" t="s">
        <v>282</v>
      </c>
      <c r="I187" s="150">
        <v>45427.0</v>
      </c>
      <c r="J187" s="149"/>
      <c r="K187" s="126" t="s">
        <v>1151</v>
      </c>
      <c r="L187" s="65"/>
      <c r="M187" s="152" t="s">
        <v>1105</v>
      </c>
      <c r="N187" s="152" t="s">
        <v>1106</v>
      </c>
      <c r="O187" s="153"/>
      <c r="P187" s="306" t="s">
        <v>1152</v>
      </c>
      <c r="Q187" s="49" t="str">
        <f t="array" ref="Q187"> if(iserror(MATCH(V187, 'File Links'!C:C, 0)), "N/A", HYPERLINK(INDEX('File Links'!B:B, MATCH(P187, 'File Links'!C:C, 0))))</f>
        <v>https://drive.google.com/file/d/1woJDHccS6Df_7DkKmeLElCzqxpjoRtns/view?usp=drivesdk</v>
      </c>
      <c r="R187" s="126" t="s">
        <v>1107</v>
      </c>
      <c r="S187" s="111" t="s">
        <v>1108</v>
      </c>
      <c r="T187" s="65"/>
      <c r="U187" s="153"/>
      <c r="V187" s="63" t="str">
        <f> hyperlink(vlookup(lower(S187),'File Links'!E:F, 2, FALSE), SUBSTITUTE(lower(S187), "/", "--") &amp;  ".pdf")</f>
        <v>10.1080--0163853x.2024.2339738.pdf</v>
      </c>
      <c r="W187" s="65"/>
      <c r="X187" s="51" t="str">
        <f t="array" ref="X187"> if(iserror(MATCH(V187, 'File Links'!C:C, 0)), "N/A", HYPERLINK(INDEX('File Links'!B:B, MATCH(V187, 'File Links'!C:C, 0))))</f>
        <v>https://drive.google.com/file/d/1qKtm6cJaGp1OYT52DZ-rdF0umAGshXgk/view?usp=drivesdk</v>
      </c>
      <c r="Z187" s="156"/>
      <c r="AA187" s="65"/>
      <c r="AB187" s="65"/>
      <c r="AC187" s="65"/>
      <c r="AD187" s="155"/>
      <c r="AE187" s="153"/>
      <c r="AF187" s="153"/>
      <c r="AG187" s="153"/>
      <c r="AH187" s="156"/>
      <c r="AI187" s="65"/>
      <c r="AJ187" s="157"/>
      <c r="AK187" s="54"/>
      <c r="AL187" s="54"/>
      <c r="AM187" s="65"/>
      <c r="AN187" s="111" t="s">
        <v>131</v>
      </c>
      <c r="AO187" s="153"/>
      <c r="AP187" s="153"/>
      <c r="AQ187" s="156"/>
      <c r="AR187" s="65"/>
      <c r="AS187" s="159"/>
      <c r="AT187" s="156"/>
      <c r="AU187" s="156"/>
      <c r="AV187" s="65"/>
      <c r="AW187" s="160" t="s">
        <v>1153</v>
      </c>
      <c r="AX187" s="126" t="s">
        <v>136</v>
      </c>
    </row>
    <row r="188" ht="20.25" customHeight="1">
      <c r="A188" s="41">
        <v>188.0</v>
      </c>
      <c r="B188" s="337" t="s">
        <v>107</v>
      </c>
      <c r="C188" s="337" t="s">
        <v>108</v>
      </c>
      <c r="D188" s="338" t="s">
        <v>435</v>
      </c>
      <c r="E188" s="339"/>
      <c r="F188" s="500" t="s">
        <v>1154</v>
      </c>
      <c r="G188" s="501" t="s">
        <v>1155</v>
      </c>
      <c r="H188" s="501" t="s">
        <v>438</v>
      </c>
      <c r="I188" s="502">
        <v>45635.0</v>
      </c>
      <c r="J188" s="46"/>
      <c r="K188" s="501" t="s">
        <v>1156</v>
      </c>
      <c r="L188" s="46"/>
      <c r="M188" s="501" t="s">
        <v>1157</v>
      </c>
      <c r="N188" s="501" t="s">
        <v>1158</v>
      </c>
      <c r="O188" s="46"/>
      <c r="P188" s="503" t="s">
        <v>1159</v>
      </c>
      <c r="Q188" s="101" t="str">
        <f t="array" ref="Q188"> if(iserror(MATCH(V188, 'File Links'!C:C, 0)), "N/A", HYPERLINK(INDEX('File Links'!B:B, MATCH(P188, 'File Links'!C:C, 0))))</f>
        <v>https://drive.google.com/file/d/11FrEIq8nBGRjHM8n6665RHudNtasAq_q/view?usp=drivesdk</v>
      </c>
      <c r="R188" s="501" t="s">
        <v>1160</v>
      </c>
      <c r="S188" s="44" t="s">
        <v>1161</v>
      </c>
      <c r="T188" s="46"/>
      <c r="U188" s="102"/>
      <c r="V188" s="337" t="str">
        <f> hyperlink(vlookup(lower(S188),'File Links'!E:F, 2, FALSE), SUBSTITUTE(lower(S188), "/", "--") &amp;  ".pdf")</f>
        <v>10.1002--acp.4202.pdf</v>
      </c>
      <c r="W188" s="501" t="s">
        <v>157</v>
      </c>
      <c r="X188" s="51" t="str">
        <f t="array" ref="X188"> if(iserror(MATCH(V188, 'File Links'!C:C, 0)), "N/A", HYPERLINK(INDEX('File Links'!B:B, MATCH(V188, 'File Links'!C:C, 0))))</f>
        <v>https://drive.google.com/file/d/1GpMdw7ZFDWpDIdg1IjCcxRYXmuDta-6_/view?usp=drivesdk</v>
      </c>
      <c r="Y188" s="46"/>
      <c r="Z188" s="501" t="s">
        <v>141</v>
      </c>
      <c r="AA188" s="44" t="s">
        <v>1162</v>
      </c>
      <c r="AB188" s="501" t="s">
        <v>1163</v>
      </c>
      <c r="AC188" s="501" t="s">
        <v>1164</v>
      </c>
      <c r="AD188" s="501" t="s">
        <v>1165</v>
      </c>
      <c r="AE188" s="504">
        <v>30.0</v>
      </c>
      <c r="AF188" s="504">
        <v>198.0</v>
      </c>
      <c r="AG188" s="505">
        <v>-0.69</v>
      </c>
      <c r="AH188" s="503" t="s">
        <v>208</v>
      </c>
      <c r="AI188" s="501" t="s">
        <v>1166</v>
      </c>
      <c r="AJ188" s="504">
        <v>0.001</v>
      </c>
      <c r="AK188" s="500" t="s">
        <v>128</v>
      </c>
      <c r="AL188" s="501" t="s">
        <v>211</v>
      </c>
      <c r="AM188" s="501" t="s">
        <v>134</v>
      </c>
      <c r="AN188" s="46" t="s">
        <v>131</v>
      </c>
      <c r="AO188" s="504">
        <v>229.0</v>
      </c>
      <c r="AP188" s="504">
        <v>-0.385</v>
      </c>
      <c r="AQ188" s="501" t="s">
        <v>208</v>
      </c>
      <c r="AR188" s="501" t="s">
        <v>1167</v>
      </c>
      <c r="AS188" s="504">
        <v>0.07</v>
      </c>
      <c r="AT188" s="500" t="s">
        <v>165</v>
      </c>
      <c r="AU188" s="500" t="s">
        <v>211</v>
      </c>
      <c r="AV188" s="500" t="s">
        <v>134</v>
      </c>
      <c r="AW188" s="506" t="s">
        <v>1168</v>
      </c>
      <c r="AX188" s="507" t="s">
        <v>144</v>
      </c>
      <c r="AY188" s="46"/>
      <c r="AZ188" s="338" t="s">
        <v>685</v>
      </c>
      <c r="BA188" s="339"/>
      <c r="BB188" s="339"/>
      <c r="BC188" s="339"/>
      <c r="BD188" s="339"/>
      <c r="BE188" s="339"/>
      <c r="BF188" s="339"/>
      <c r="BG188" s="339"/>
      <c r="BH188" s="339"/>
      <c r="BI188" s="339"/>
      <c r="BJ188" s="339"/>
      <c r="BK188" s="339"/>
      <c r="BL188" s="339"/>
      <c r="BM188" s="339"/>
      <c r="BN188" s="339"/>
      <c r="BO188" s="339"/>
      <c r="BP188" s="339"/>
      <c r="BQ188" s="339"/>
      <c r="BR188" s="339"/>
      <c r="BS188" s="339"/>
      <c r="BT188" s="339"/>
      <c r="BU188" s="339"/>
      <c r="BV188" s="339"/>
      <c r="BW188" s="339"/>
      <c r="BX188" s="339"/>
      <c r="BY188" s="339"/>
      <c r="BZ188" s="339"/>
      <c r="CA188" s="339"/>
      <c r="CB188" s="339"/>
      <c r="CC188" s="339"/>
      <c r="CD188" s="339"/>
      <c r="CE188" s="339"/>
      <c r="CF188" s="339"/>
      <c r="CG188" s="339"/>
      <c r="CH188" s="339"/>
      <c r="CI188" s="339"/>
      <c r="CJ188" s="339"/>
      <c r="CK188" s="339"/>
      <c r="CL188" s="339"/>
      <c r="CM188" s="339"/>
      <c r="CN188" s="339"/>
      <c r="CO188" s="339"/>
      <c r="CP188" s="339"/>
      <c r="CQ188" s="339"/>
      <c r="CR188" s="339"/>
      <c r="CS188" s="339"/>
      <c r="CT188" s="339"/>
      <c r="CU188" s="339"/>
      <c r="CV188" s="339"/>
      <c r="CW188" s="339"/>
      <c r="CX188" s="339"/>
      <c r="CY188" s="339"/>
      <c r="CZ188" s="339"/>
      <c r="DA188" s="339"/>
      <c r="DB188" s="339"/>
      <c r="DC188" s="339"/>
      <c r="DD188" s="339"/>
      <c r="DE188" s="339"/>
      <c r="DF188" s="339"/>
      <c r="DG188" s="339"/>
      <c r="DH188" s="339"/>
    </row>
    <row r="189" ht="20.25" customHeight="1">
      <c r="A189" s="41">
        <v>189.0</v>
      </c>
      <c r="B189" s="337" t="s">
        <v>145</v>
      </c>
      <c r="C189" s="338" t="s">
        <v>108</v>
      </c>
      <c r="D189" s="338" t="s">
        <v>983</v>
      </c>
      <c r="E189" s="339"/>
      <c r="F189" s="43" t="s">
        <v>1154</v>
      </c>
      <c r="G189" s="44" t="s">
        <v>1169</v>
      </c>
      <c r="H189" s="357" t="s">
        <v>137</v>
      </c>
      <c r="I189" s="341">
        <v>45427.0</v>
      </c>
      <c r="J189" s="508">
        <v>45639.0</v>
      </c>
      <c r="K189" s="43"/>
      <c r="L189" s="43"/>
      <c r="M189" s="357" t="s">
        <v>1157</v>
      </c>
      <c r="N189" s="357" t="s">
        <v>1158</v>
      </c>
      <c r="O189" s="354">
        <v>1.0</v>
      </c>
      <c r="P189" s="357" t="s">
        <v>1159</v>
      </c>
      <c r="Q189" s="101" t="str">
        <f t="array" ref="Q189"> if(iserror(MATCH(V189, 'File Links'!C:C, 0)), "N/A", HYPERLINK(INDEX('File Links'!B:B, MATCH(P189, 'File Links'!C:C, 0))))</f>
        <v>https://drive.google.com/file/d/11FrEIq8nBGRjHM8n6665RHudNtasAq_q/view?usp=drivesdk</v>
      </c>
      <c r="R189" s="357" t="s">
        <v>1160</v>
      </c>
      <c r="S189" s="43" t="s">
        <v>1161</v>
      </c>
      <c r="T189" s="43"/>
      <c r="U189" s="354">
        <v>1.0</v>
      </c>
      <c r="V189" s="337" t="str">
        <f> hyperlink(vlookup(lower(S189),'File Links'!E:F, 2, FALSE), SUBSTITUTE(lower(S189), "/", "--") &amp;  ".pdf")</f>
        <v>10.1002--acp.4202.pdf</v>
      </c>
      <c r="W189" s="44" t="s">
        <v>202</v>
      </c>
      <c r="X189" s="51" t="str">
        <f t="array" ref="X189"> if(iserror(MATCH(V189, 'File Links'!C:C, 0)), "N/A", HYPERLINK(INDEX('File Links'!B:B, MATCH(V189, 'File Links'!C:C, 0))))</f>
        <v>https://drive.google.com/file/d/1GpMdw7ZFDWpDIdg1IjCcxRYXmuDta-6_/view?usp=drivesdk</v>
      </c>
      <c r="Y189" s="43"/>
      <c r="Z189" s="357" t="s">
        <v>141</v>
      </c>
      <c r="AA189" s="43" t="s">
        <v>1170</v>
      </c>
      <c r="AB189" s="43" t="s">
        <v>1171</v>
      </c>
      <c r="AC189" s="357" t="s">
        <v>1172</v>
      </c>
      <c r="AD189" s="43" t="s">
        <v>1173</v>
      </c>
      <c r="AE189" s="354">
        <v>16.0</v>
      </c>
      <c r="AF189" s="354">
        <v>96.0</v>
      </c>
      <c r="AG189" s="354">
        <v>-0.69</v>
      </c>
      <c r="AH189" s="48" t="s">
        <v>208</v>
      </c>
      <c r="AI189" s="505">
        <v>16.0</v>
      </c>
      <c r="AJ189" s="505">
        <v>0.001</v>
      </c>
      <c r="AK189" s="357" t="s">
        <v>128</v>
      </c>
      <c r="AL189" s="44" t="s">
        <v>211</v>
      </c>
      <c r="AM189" s="43" t="s">
        <v>130</v>
      </c>
      <c r="AN189" s="46" t="s">
        <v>131</v>
      </c>
      <c r="AO189" s="354">
        <v>229.0</v>
      </c>
      <c r="AP189" s="354">
        <v>-0.385</v>
      </c>
      <c r="AQ189" s="357" t="s">
        <v>208</v>
      </c>
      <c r="AR189" s="354">
        <v>11.0</v>
      </c>
      <c r="AS189" s="382">
        <v>0.07</v>
      </c>
      <c r="AT189" s="357" t="s">
        <v>165</v>
      </c>
      <c r="AU189" s="357" t="s">
        <v>179</v>
      </c>
      <c r="AV189" s="43" t="s">
        <v>130</v>
      </c>
      <c r="AW189" s="56" t="s">
        <v>1168</v>
      </c>
      <c r="AX189" s="43" t="s">
        <v>431</v>
      </c>
      <c r="AY189" s="43"/>
      <c r="AZ189" s="338" t="s">
        <v>685</v>
      </c>
      <c r="BA189" s="339"/>
      <c r="BB189" s="339"/>
      <c r="BC189" s="339"/>
      <c r="BD189" s="339"/>
      <c r="BE189" s="339"/>
      <c r="BF189" s="339"/>
      <c r="BG189" s="339"/>
      <c r="BH189" s="339"/>
      <c r="BI189" s="339"/>
      <c r="BJ189" s="339"/>
      <c r="BK189" s="339"/>
      <c r="BL189" s="339"/>
      <c r="BM189" s="339"/>
      <c r="BN189" s="339"/>
      <c r="BO189" s="339"/>
      <c r="BP189" s="339"/>
      <c r="BQ189" s="339"/>
      <c r="BR189" s="339"/>
      <c r="BS189" s="339"/>
      <c r="BT189" s="339"/>
      <c r="BU189" s="339"/>
      <c r="BV189" s="339"/>
      <c r="BW189" s="339"/>
      <c r="BX189" s="339"/>
      <c r="BY189" s="339"/>
      <c r="BZ189" s="339"/>
      <c r="CA189" s="339"/>
      <c r="CB189" s="339"/>
      <c r="CC189" s="339"/>
      <c r="CD189" s="339"/>
      <c r="CE189" s="339"/>
      <c r="CF189" s="339"/>
      <c r="CG189" s="339"/>
      <c r="CH189" s="339"/>
      <c r="CI189" s="339"/>
      <c r="CJ189" s="339"/>
      <c r="CK189" s="339"/>
      <c r="CL189" s="339"/>
      <c r="CM189" s="339"/>
      <c r="CN189" s="339"/>
      <c r="CO189" s="339"/>
      <c r="CP189" s="339"/>
      <c r="CQ189" s="339"/>
      <c r="CR189" s="339"/>
      <c r="CS189" s="339"/>
      <c r="CT189" s="339"/>
      <c r="CU189" s="339"/>
      <c r="CV189" s="339"/>
      <c r="CW189" s="339"/>
      <c r="CX189" s="339"/>
      <c r="CY189" s="339"/>
      <c r="CZ189" s="339"/>
      <c r="DA189" s="339"/>
      <c r="DB189" s="339"/>
      <c r="DC189" s="339"/>
      <c r="DD189" s="339"/>
      <c r="DE189" s="339"/>
      <c r="DF189" s="339"/>
      <c r="DG189" s="339"/>
      <c r="DH189" s="339"/>
    </row>
    <row r="190" ht="20.25" customHeight="1">
      <c r="A190" s="41">
        <v>190.0</v>
      </c>
      <c r="B190" s="337" t="s">
        <v>145</v>
      </c>
      <c r="C190" s="338" t="s">
        <v>108</v>
      </c>
      <c r="D190" s="338" t="s">
        <v>983</v>
      </c>
      <c r="E190" s="339"/>
      <c r="F190" s="43" t="s">
        <v>1154</v>
      </c>
      <c r="G190" s="44" t="s">
        <v>1174</v>
      </c>
      <c r="H190" s="357" t="s">
        <v>137</v>
      </c>
      <c r="I190" s="341">
        <v>45427.0</v>
      </c>
      <c r="J190" s="508">
        <v>45639.0</v>
      </c>
      <c r="K190" s="43"/>
      <c r="L190" s="43"/>
      <c r="M190" s="357" t="s">
        <v>1157</v>
      </c>
      <c r="N190" s="357" t="s">
        <v>1158</v>
      </c>
      <c r="O190" s="354">
        <v>1.0</v>
      </c>
      <c r="P190" s="357" t="s">
        <v>1159</v>
      </c>
      <c r="Q190" s="101" t="str">
        <f t="array" ref="Q190"> if(iserror(MATCH(V190, 'File Links'!C:C, 0)), "N/A", HYPERLINK(INDEX('File Links'!B:B, MATCH(P190, 'File Links'!C:C, 0))))</f>
        <v>https://drive.google.com/file/d/11FrEIq8nBGRjHM8n6665RHudNtasAq_q/view?usp=drivesdk</v>
      </c>
      <c r="R190" s="357" t="s">
        <v>1160</v>
      </c>
      <c r="S190" s="43" t="s">
        <v>1161</v>
      </c>
      <c r="T190" s="43"/>
      <c r="U190" s="354">
        <v>1.0</v>
      </c>
      <c r="V190" s="337" t="str">
        <f> hyperlink(vlookup(lower(S190),'File Links'!E:F, 2, FALSE), SUBSTITUTE(lower(S190), "/", "--") &amp;  ".pdf")</f>
        <v>10.1002--acp.4202.pdf</v>
      </c>
      <c r="W190" s="44" t="s">
        <v>202</v>
      </c>
      <c r="X190" s="51" t="str">
        <f t="array" ref="X190"> if(iserror(MATCH(V190, 'File Links'!C:C, 0)), "N/A", HYPERLINK(INDEX('File Links'!B:B, MATCH(V190, 'File Links'!C:C, 0))))</f>
        <v>https://drive.google.com/file/d/1GpMdw7ZFDWpDIdg1IjCcxRYXmuDta-6_/view?usp=drivesdk</v>
      </c>
      <c r="Y190" s="43"/>
      <c r="Z190" s="357" t="s">
        <v>141</v>
      </c>
      <c r="AA190" s="43" t="s">
        <v>1170</v>
      </c>
      <c r="AB190" s="43" t="s">
        <v>1171</v>
      </c>
      <c r="AC190" s="357" t="s">
        <v>1175</v>
      </c>
      <c r="AD190" s="43" t="s">
        <v>1173</v>
      </c>
      <c r="AE190" s="354">
        <v>16.0</v>
      </c>
      <c r="AF190" s="354">
        <v>96.0</v>
      </c>
      <c r="AG190" s="354">
        <v>-0.7</v>
      </c>
      <c r="AH190" s="48" t="s">
        <v>208</v>
      </c>
      <c r="AI190" s="505">
        <v>16.0</v>
      </c>
      <c r="AJ190" s="505">
        <v>0.001</v>
      </c>
      <c r="AK190" s="357" t="s">
        <v>128</v>
      </c>
      <c r="AL190" s="44" t="s">
        <v>211</v>
      </c>
      <c r="AM190" s="43" t="s">
        <v>130</v>
      </c>
      <c r="AN190" s="46" t="s">
        <v>131</v>
      </c>
      <c r="AO190" s="354">
        <v>229.0</v>
      </c>
      <c r="AP190" s="354">
        <v>-0.57</v>
      </c>
      <c r="AQ190" s="357" t="s">
        <v>208</v>
      </c>
      <c r="AR190" s="354">
        <v>11.0</v>
      </c>
      <c r="AS190" s="382">
        <v>0.01</v>
      </c>
      <c r="AT190" s="357" t="s">
        <v>165</v>
      </c>
      <c r="AU190" s="357" t="s">
        <v>211</v>
      </c>
      <c r="AV190" s="43" t="s">
        <v>130</v>
      </c>
      <c r="AW190" s="56" t="s">
        <v>1168</v>
      </c>
      <c r="AX190" s="43" t="s">
        <v>431</v>
      </c>
      <c r="AY190" s="43"/>
      <c r="AZ190" s="338" t="s">
        <v>685</v>
      </c>
      <c r="BA190" s="339"/>
      <c r="BB190" s="339"/>
      <c r="BC190" s="339"/>
      <c r="BD190" s="339"/>
      <c r="BE190" s="339"/>
      <c r="BF190" s="339"/>
      <c r="BG190" s="339"/>
      <c r="BH190" s="339"/>
      <c r="BI190" s="339"/>
      <c r="BJ190" s="339"/>
      <c r="BK190" s="339"/>
      <c r="BL190" s="339"/>
      <c r="BM190" s="339"/>
      <c r="BN190" s="339"/>
      <c r="BO190" s="339"/>
      <c r="BP190" s="339"/>
      <c r="BQ190" s="339"/>
      <c r="BR190" s="339"/>
      <c r="BS190" s="339"/>
      <c r="BT190" s="339"/>
      <c r="BU190" s="339"/>
      <c r="BV190" s="339"/>
      <c r="BW190" s="339"/>
      <c r="BX190" s="339"/>
      <c r="BY190" s="339"/>
      <c r="BZ190" s="339"/>
      <c r="CA190" s="339"/>
      <c r="CB190" s="339"/>
      <c r="CC190" s="339"/>
      <c r="CD190" s="339"/>
      <c r="CE190" s="339"/>
      <c r="CF190" s="339"/>
      <c r="CG190" s="339"/>
      <c r="CH190" s="339"/>
      <c r="CI190" s="339"/>
      <c r="CJ190" s="339"/>
      <c r="CK190" s="339"/>
      <c r="CL190" s="339"/>
      <c r="CM190" s="339"/>
      <c r="CN190" s="339"/>
      <c r="CO190" s="339"/>
      <c r="CP190" s="339"/>
      <c r="CQ190" s="339"/>
      <c r="CR190" s="339"/>
      <c r="CS190" s="339"/>
      <c r="CT190" s="339"/>
      <c r="CU190" s="339"/>
      <c r="CV190" s="339"/>
      <c r="CW190" s="339"/>
      <c r="CX190" s="339"/>
      <c r="CY190" s="339"/>
      <c r="CZ190" s="339"/>
      <c r="DA190" s="339"/>
      <c r="DB190" s="339"/>
      <c r="DC190" s="339"/>
      <c r="DD190" s="339"/>
      <c r="DE190" s="339"/>
      <c r="DF190" s="339"/>
      <c r="DG190" s="339"/>
      <c r="DH190" s="339"/>
    </row>
    <row r="191" ht="20.25" customHeight="1">
      <c r="A191" s="41">
        <v>191.0</v>
      </c>
      <c r="B191" s="337" t="s">
        <v>107</v>
      </c>
      <c r="C191" s="337" t="s">
        <v>108</v>
      </c>
      <c r="D191" s="338" t="s">
        <v>435</v>
      </c>
      <c r="E191" s="339"/>
      <c r="F191" s="43" t="s">
        <v>1154</v>
      </c>
      <c r="G191" s="501" t="s">
        <v>1174</v>
      </c>
      <c r="H191" s="501" t="s">
        <v>438</v>
      </c>
      <c r="I191" s="502">
        <v>45635.0</v>
      </c>
      <c r="J191" s="46"/>
      <c r="K191" s="501" t="s">
        <v>1156</v>
      </c>
      <c r="L191" s="46"/>
      <c r="M191" s="501" t="s">
        <v>1157</v>
      </c>
      <c r="N191" s="501" t="s">
        <v>1158</v>
      </c>
      <c r="O191" s="46"/>
      <c r="P191" s="503" t="s">
        <v>1159</v>
      </c>
      <c r="Q191" s="101" t="str">
        <f t="array" ref="Q191"> if(iserror(MATCH(V191, 'File Links'!C:C, 0)), "N/A", HYPERLINK(INDEX('File Links'!B:B, MATCH(P191, 'File Links'!C:C, 0))))</f>
        <v>https://drive.google.com/file/d/11FrEIq8nBGRjHM8n6665RHudNtasAq_q/view?usp=drivesdk</v>
      </c>
      <c r="R191" s="501" t="s">
        <v>1160</v>
      </c>
      <c r="S191" s="44" t="s">
        <v>1161</v>
      </c>
      <c r="T191" s="46"/>
      <c r="U191" s="102"/>
      <c r="V191" s="337" t="str">
        <f> hyperlink(vlookup(lower(S191),'File Links'!E:F, 2, FALSE), SUBSTITUTE(lower(S191), "/", "--") &amp;  ".pdf")</f>
        <v>10.1002--acp.4202.pdf</v>
      </c>
      <c r="W191" s="501" t="s">
        <v>157</v>
      </c>
      <c r="X191" s="51" t="str">
        <f t="array" ref="X191"> if(iserror(MATCH(V191, 'File Links'!C:C, 0)), "N/A", HYPERLINK(INDEX('File Links'!B:B, MATCH(V191, 'File Links'!C:C, 0))))</f>
        <v>https://drive.google.com/file/d/1GpMdw7ZFDWpDIdg1IjCcxRYXmuDta-6_/view?usp=drivesdk</v>
      </c>
      <c r="Y191" s="46"/>
      <c r="Z191" s="501" t="s">
        <v>141</v>
      </c>
      <c r="AA191" s="44" t="s">
        <v>1162</v>
      </c>
      <c r="AB191" s="501" t="s">
        <v>1163</v>
      </c>
      <c r="AC191" s="501" t="s">
        <v>1164</v>
      </c>
      <c r="AD191" s="501" t="s">
        <v>1176</v>
      </c>
      <c r="AE191" s="504">
        <v>30.0</v>
      </c>
      <c r="AF191" s="504">
        <v>198.0</v>
      </c>
      <c r="AG191" s="505">
        <v>-0.7</v>
      </c>
      <c r="AH191" s="503" t="s">
        <v>208</v>
      </c>
      <c r="AI191" s="501" t="s">
        <v>1166</v>
      </c>
      <c r="AJ191" s="504">
        <v>0.001</v>
      </c>
      <c r="AK191" s="500" t="s">
        <v>128</v>
      </c>
      <c r="AL191" s="501" t="s">
        <v>211</v>
      </c>
      <c r="AM191" s="501" t="s">
        <v>134</v>
      </c>
      <c r="AN191" s="46" t="s">
        <v>131</v>
      </c>
      <c r="AO191" s="504">
        <v>229.0</v>
      </c>
      <c r="AP191" s="504">
        <v>-0.57</v>
      </c>
      <c r="AQ191" s="501" t="s">
        <v>208</v>
      </c>
      <c r="AR191" s="501" t="s">
        <v>1167</v>
      </c>
      <c r="AS191" s="504">
        <v>0.01</v>
      </c>
      <c r="AT191" s="500" t="s">
        <v>165</v>
      </c>
      <c r="AU191" s="500" t="s">
        <v>211</v>
      </c>
      <c r="AV191" s="500" t="s">
        <v>134</v>
      </c>
      <c r="AW191" s="506" t="s">
        <v>1168</v>
      </c>
      <c r="AX191" s="507" t="s">
        <v>144</v>
      </c>
      <c r="AY191" s="46"/>
      <c r="AZ191" s="338" t="s">
        <v>685</v>
      </c>
      <c r="BA191" s="339"/>
      <c r="BB191" s="339"/>
      <c r="BC191" s="339"/>
      <c r="BD191" s="339"/>
      <c r="BE191" s="339"/>
      <c r="BF191" s="339"/>
      <c r="BG191" s="339"/>
      <c r="BH191" s="339"/>
      <c r="BI191" s="339"/>
      <c r="BJ191" s="339"/>
      <c r="BK191" s="339"/>
      <c r="BL191" s="339"/>
      <c r="BM191" s="339"/>
      <c r="BN191" s="339"/>
      <c r="BO191" s="339"/>
      <c r="BP191" s="339"/>
      <c r="BQ191" s="339"/>
      <c r="BR191" s="339"/>
      <c r="BS191" s="339"/>
      <c r="BT191" s="339"/>
      <c r="BU191" s="339"/>
      <c r="BV191" s="339"/>
      <c r="BW191" s="339"/>
      <c r="BX191" s="339"/>
      <c r="BY191" s="339"/>
      <c r="BZ191" s="339"/>
      <c r="CA191" s="339"/>
      <c r="CB191" s="339"/>
      <c r="CC191" s="339"/>
      <c r="CD191" s="339"/>
      <c r="CE191" s="339"/>
      <c r="CF191" s="339"/>
      <c r="CG191" s="339"/>
      <c r="CH191" s="339"/>
      <c r="CI191" s="339"/>
      <c r="CJ191" s="339"/>
      <c r="CK191" s="339"/>
      <c r="CL191" s="339"/>
      <c r="CM191" s="339"/>
      <c r="CN191" s="339"/>
      <c r="CO191" s="339"/>
      <c r="CP191" s="339"/>
      <c r="CQ191" s="339"/>
      <c r="CR191" s="339"/>
      <c r="CS191" s="339"/>
      <c r="CT191" s="339"/>
      <c r="CU191" s="339"/>
      <c r="CV191" s="339"/>
      <c r="CW191" s="339"/>
      <c r="CX191" s="339"/>
      <c r="CY191" s="339"/>
      <c r="CZ191" s="339"/>
      <c r="DA191" s="339"/>
      <c r="DB191" s="339"/>
      <c r="DC191" s="339"/>
      <c r="DD191" s="339"/>
      <c r="DE191" s="339"/>
      <c r="DF191" s="339"/>
      <c r="DG191" s="339"/>
      <c r="DH191" s="339"/>
    </row>
    <row r="192" ht="20.25" customHeight="1">
      <c r="A192" s="41">
        <v>192.0</v>
      </c>
      <c r="B192" s="337" t="s">
        <v>145</v>
      </c>
      <c r="C192" s="337" t="s">
        <v>108</v>
      </c>
      <c r="D192" s="338" t="s">
        <v>435</v>
      </c>
      <c r="E192" s="339"/>
      <c r="F192" s="500" t="s">
        <v>1177</v>
      </c>
      <c r="G192" s="501" t="s">
        <v>1178</v>
      </c>
      <c r="H192" s="501" t="s">
        <v>438</v>
      </c>
      <c r="I192" s="509">
        <v>45637.0</v>
      </c>
      <c r="J192" s="46"/>
      <c r="K192" s="501" t="s">
        <v>1179</v>
      </c>
      <c r="L192" s="46"/>
      <c r="M192" s="501" t="s">
        <v>1180</v>
      </c>
      <c r="N192" s="501" t="s">
        <v>1181</v>
      </c>
      <c r="O192" s="46"/>
      <c r="P192" s="510" t="s">
        <v>1182</v>
      </c>
      <c r="Q192" s="101" t="str">
        <f t="array" ref="Q192"> if(iserror(MATCH(V192, 'File Links'!C:C, 0)), "N/A", HYPERLINK(INDEX('File Links'!B:B, MATCH(P192, 'File Links'!C:C, 0))))</f>
        <v>https://drive.google.com/file/d/11NrpozUj6QEvSuPcqdy2reV2ZmG62r_Z/view?usp=drivesdk</v>
      </c>
      <c r="R192" s="501" t="s">
        <v>1183</v>
      </c>
      <c r="S192" s="501" t="s">
        <v>1184</v>
      </c>
      <c r="T192" s="46"/>
      <c r="U192" s="102"/>
      <c r="V192" s="337" t="str">
        <f> hyperlink(vlookup(lower(S192),'File Links'!E:F, 2, FALSE), SUBSTITUTE(lower(S192), "/", "--") &amp;  ".pdf")</f>
        <v>10.1080--23273798.2024.2337948.pdf</v>
      </c>
      <c r="W192" s="501" t="s">
        <v>157</v>
      </c>
      <c r="X192" s="51" t="str">
        <f t="array" ref="X192"> if(iserror(MATCH(V192, 'File Links'!C:C, 0)), "N/A", HYPERLINK(INDEX('File Links'!B:B, MATCH(V192, 'File Links'!C:C, 0))))</f>
        <v>https://drive.google.com/file/d/1Aes0K1gD14f_6QAHkD9IPsvD4OgnIJ9K/view?usp=drivesdk</v>
      </c>
      <c r="Y192" s="46"/>
      <c r="Z192" s="501" t="s">
        <v>141</v>
      </c>
      <c r="AA192" s="501" t="s">
        <v>1185</v>
      </c>
      <c r="AB192" s="501" t="s">
        <v>1186</v>
      </c>
      <c r="AC192" s="501" t="s">
        <v>1187</v>
      </c>
      <c r="AD192" s="501" t="s">
        <v>1188</v>
      </c>
      <c r="AE192" s="504">
        <v>4.0</v>
      </c>
      <c r="AF192" s="504">
        <v>30.0</v>
      </c>
      <c r="AG192" s="504">
        <v>-33.42</v>
      </c>
      <c r="AH192" s="503" t="s">
        <v>980</v>
      </c>
      <c r="AI192" s="501" t="s">
        <v>489</v>
      </c>
      <c r="AJ192" s="511" t="s">
        <v>131</v>
      </c>
      <c r="AK192" s="43"/>
      <c r="AL192" s="501" t="s">
        <v>179</v>
      </c>
      <c r="AM192" s="501" t="s">
        <v>134</v>
      </c>
      <c r="AN192" s="46" t="s">
        <v>131</v>
      </c>
      <c r="AO192" s="504">
        <v>100.0</v>
      </c>
      <c r="AP192" s="512" t="s">
        <v>1189</v>
      </c>
      <c r="AQ192" s="501" t="s">
        <v>127</v>
      </c>
      <c r="AR192" s="46" t="s">
        <v>489</v>
      </c>
      <c r="AS192" s="504">
        <v>0.001</v>
      </c>
      <c r="AT192" s="500" t="s">
        <v>128</v>
      </c>
      <c r="AU192" s="500" t="s">
        <v>179</v>
      </c>
      <c r="AV192" s="500" t="s">
        <v>134</v>
      </c>
      <c r="AW192" s="513" t="s">
        <v>1190</v>
      </c>
      <c r="AX192" s="507" t="s">
        <v>431</v>
      </c>
      <c r="AY192" s="46"/>
      <c r="AZ192" s="338" t="s">
        <v>685</v>
      </c>
      <c r="BA192" s="339"/>
      <c r="BB192" s="339"/>
      <c r="BC192" s="339"/>
      <c r="BD192" s="339"/>
      <c r="BE192" s="339"/>
      <c r="BF192" s="339"/>
      <c r="BG192" s="339"/>
      <c r="BH192" s="339"/>
      <c r="BI192" s="339"/>
      <c r="BJ192" s="339"/>
      <c r="BK192" s="339"/>
      <c r="BL192" s="339"/>
      <c r="BM192" s="339"/>
      <c r="BN192" s="339"/>
      <c r="BO192" s="339"/>
      <c r="BP192" s="339"/>
      <c r="BQ192" s="339"/>
      <c r="BR192" s="339"/>
      <c r="BS192" s="339"/>
      <c r="BT192" s="339"/>
      <c r="BU192" s="339"/>
      <c r="BV192" s="339"/>
      <c r="BW192" s="339"/>
      <c r="BX192" s="339"/>
      <c r="BY192" s="339"/>
      <c r="BZ192" s="339"/>
      <c r="CA192" s="339"/>
      <c r="CB192" s="339"/>
      <c r="CC192" s="339"/>
      <c r="CD192" s="339"/>
      <c r="CE192" s="339"/>
      <c r="CF192" s="339"/>
      <c r="CG192" s="339"/>
      <c r="CH192" s="339"/>
      <c r="CI192" s="339"/>
      <c r="CJ192" s="339"/>
      <c r="CK192" s="339"/>
      <c r="CL192" s="339"/>
      <c r="CM192" s="339"/>
      <c r="CN192" s="339"/>
      <c r="CO192" s="339"/>
      <c r="CP192" s="339"/>
      <c r="CQ192" s="339"/>
      <c r="CR192" s="339"/>
      <c r="CS192" s="339"/>
      <c r="CT192" s="339"/>
      <c r="CU192" s="339"/>
      <c r="CV192" s="339"/>
      <c r="CW192" s="339"/>
      <c r="CX192" s="339"/>
      <c r="CY192" s="339"/>
      <c r="CZ192" s="339"/>
      <c r="DA192" s="339"/>
      <c r="DB192" s="339"/>
      <c r="DC192" s="339"/>
      <c r="DD192" s="339"/>
      <c r="DE192" s="339"/>
      <c r="DF192" s="339"/>
      <c r="DG192" s="339"/>
      <c r="DH192" s="339"/>
    </row>
    <row r="193" ht="20.25" customHeight="1">
      <c r="A193" s="41">
        <v>193.0</v>
      </c>
      <c r="B193" s="337" t="s">
        <v>107</v>
      </c>
      <c r="C193" s="338" t="s">
        <v>108</v>
      </c>
      <c r="D193" s="338" t="s">
        <v>983</v>
      </c>
      <c r="E193" s="339"/>
      <c r="F193" s="43" t="s">
        <v>1177</v>
      </c>
      <c r="G193" s="44" t="s">
        <v>1178</v>
      </c>
      <c r="H193" s="357" t="s">
        <v>137</v>
      </c>
      <c r="I193" s="341">
        <v>45427.0</v>
      </c>
      <c r="J193" s="508">
        <v>45639.0</v>
      </c>
      <c r="K193" s="357" t="s">
        <v>1191</v>
      </c>
      <c r="L193" s="43"/>
      <c r="M193" s="357" t="s">
        <v>1180</v>
      </c>
      <c r="N193" s="357" t="s">
        <v>1181</v>
      </c>
      <c r="O193" s="43"/>
      <c r="P193" s="514" t="s">
        <v>1182</v>
      </c>
      <c r="Q193" s="101" t="str">
        <f t="array" ref="Q193"> if(iserror(MATCH(V193, 'File Links'!C:C, 0)), "N/A", HYPERLINK(INDEX('File Links'!B:B, MATCH(P193, 'File Links'!C:C, 0))))</f>
        <v>https://drive.google.com/file/d/11NrpozUj6QEvSuPcqdy2reV2ZmG62r_Z/view?usp=drivesdk</v>
      </c>
      <c r="R193" s="357" t="s">
        <v>1183</v>
      </c>
      <c r="S193" s="501" t="s">
        <v>1184</v>
      </c>
      <c r="T193" s="43"/>
      <c r="U193" s="43"/>
      <c r="V193" s="337" t="str">
        <f> hyperlink(vlookup(lower(S193),'File Links'!E:F, 2, FALSE), SUBSTITUTE(lower(S193), "/", "--") &amp;  ".pdf")</f>
        <v>10.1080--23273798.2024.2337948.pdf</v>
      </c>
      <c r="W193" s="43"/>
      <c r="X193" s="51" t="str">
        <f t="array" ref="X193"> if(iserror(MATCH(V193, 'File Links'!C:C, 0)), "N/A", HYPERLINK(INDEX('File Links'!B:B, MATCH(V193, 'File Links'!C:C, 0))))</f>
        <v>https://drive.google.com/file/d/1Aes0K1gD14f_6QAHkD9IPsvD4OgnIJ9K/view?usp=drivesdk</v>
      </c>
      <c r="Y193" s="43"/>
      <c r="Z193" s="43"/>
      <c r="AA193" s="43"/>
      <c r="AB193" s="43"/>
      <c r="AC193" s="43"/>
      <c r="AD193" s="43"/>
      <c r="AE193" s="43"/>
      <c r="AF193" s="43"/>
      <c r="AG193" s="43"/>
      <c r="AH193" s="102"/>
      <c r="AI193" s="46"/>
      <c r="AJ193" s="46"/>
      <c r="AK193" s="43"/>
      <c r="AL193" s="46"/>
      <c r="AM193" s="43"/>
      <c r="AN193" s="46" t="s">
        <v>131</v>
      </c>
      <c r="AO193" s="43"/>
      <c r="AP193" s="43"/>
      <c r="AQ193" s="43"/>
      <c r="AR193" s="43"/>
      <c r="AS193" s="43"/>
      <c r="AT193" s="43"/>
      <c r="AU193" s="43"/>
      <c r="AV193" s="43"/>
      <c r="AW193" s="43"/>
      <c r="AX193" s="43"/>
      <c r="AY193" s="43"/>
      <c r="AZ193" s="338" t="s">
        <v>685</v>
      </c>
      <c r="BA193" s="339"/>
      <c r="BB193" s="339"/>
      <c r="BC193" s="339"/>
      <c r="BD193" s="339"/>
      <c r="BE193" s="339"/>
      <c r="BF193" s="339"/>
      <c r="BG193" s="339"/>
      <c r="BH193" s="339"/>
      <c r="BI193" s="339"/>
      <c r="BJ193" s="339"/>
      <c r="BK193" s="339"/>
      <c r="BL193" s="339"/>
      <c r="BM193" s="339"/>
      <c r="BN193" s="339"/>
      <c r="BO193" s="339"/>
      <c r="BP193" s="339"/>
      <c r="BQ193" s="339"/>
      <c r="BR193" s="339"/>
      <c r="BS193" s="339"/>
      <c r="BT193" s="339"/>
      <c r="BU193" s="339"/>
      <c r="BV193" s="339"/>
      <c r="BW193" s="339"/>
      <c r="BX193" s="339"/>
      <c r="BY193" s="339"/>
      <c r="BZ193" s="339"/>
      <c r="CA193" s="339"/>
      <c r="CB193" s="339"/>
      <c r="CC193" s="339"/>
      <c r="CD193" s="339"/>
      <c r="CE193" s="339"/>
      <c r="CF193" s="339"/>
      <c r="CG193" s="339"/>
      <c r="CH193" s="339"/>
      <c r="CI193" s="339"/>
      <c r="CJ193" s="339"/>
      <c r="CK193" s="339"/>
      <c r="CL193" s="339"/>
      <c r="CM193" s="339"/>
      <c r="CN193" s="339"/>
      <c r="CO193" s="339"/>
      <c r="CP193" s="339"/>
      <c r="CQ193" s="339"/>
      <c r="CR193" s="339"/>
      <c r="CS193" s="339"/>
      <c r="CT193" s="339"/>
      <c r="CU193" s="339"/>
      <c r="CV193" s="339"/>
      <c r="CW193" s="339"/>
      <c r="CX193" s="339"/>
      <c r="CY193" s="339"/>
      <c r="CZ193" s="339"/>
      <c r="DA193" s="339"/>
      <c r="DB193" s="339"/>
      <c r="DC193" s="339"/>
      <c r="DD193" s="339"/>
      <c r="DE193" s="339"/>
      <c r="DF193" s="339"/>
      <c r="DG193" s="339"/>
      <c r="DH193" s="339"/>
    </row>
    <row r="194" ht="20.25" customHeight="1">
      <c r="A194" s="41">
        <v>194.0</v>
      </c>
      <c r="B194" s="337" t="s">
        <v>145</v>
      </c>
      <c r="C194" s="337" t="s">
        <v>108</v>
      </c>
      <c r="D194" s="338" t="s">
        <v>435</v>
      </c>
      <c r="E194" s="339"/>
      <c r="F194" s="43" t="s">
        <v>1177</v>
      </c>
      <c r="G194" s="501" t="s">
        <v>1192</v>
      </c>
      <c r="H194" s="501" t="s">
        <v>438</v>
      </c>
      <c r="I194" s="509">
        <v>45637.0</v>
      </c>
      <c r="J194" s="46"/>
      <c r="K194" s="501" t="s">
        <v>1179</v>
      </c>
      <c r="L194" s="46"/>
      <c r="M194" s="501" t="s">
        <v>1180</v>
      </c>
      <c r="N194" s="501" t="s">
        <v>1181</v>
      </c>
      <c r="O194" s="46"/>
      <c r="P194" s="510" t="s">
        <v>1182</v>
      </c>
      <c r="Q194" s="101" t="str">
        <f t="array" ref="Q194"> if(iserror(MATCH(V194, 'File Links'!C:C, 0)), "N/A", HYPERLINK(INDEX('File Links'!B:B, MATCH(P194, 'File Links'!C:C, 0))))</f>
        <v>https://drive.google.com/file/d/11NrpozUj6QEvSuPcqdy2reV2ZmG62r_Z/view?usp=drivesdk</v>
      </c>
      <c r="R194" s="501" t="s">
        <v>1183</v>
      </c>
      <c r="S194" s="501" t="s">
        <v>1184</v>
      </c>
      <c r="T194" s="46"/>
      <c r="U194" s="102"/>
      <c r="V194" s="337" t="str">
        <f> hyperlink(vlookup(lower(S194),'File Links'!E:F, 2, FALSE), SUBSTITUTE(lower(S194), "/", "--") &amp;  ".pdf")</f>
        <v>10.1080--23273798.2024.2337948.pdf</v>
      </c>
      <c r="W194" s="501" t="s">
        <v>157</v>
      </c>
      <c r="X194" s="51" t="str">
        <f t="array" ref="X194"> if(iserror(MATCH(V194, 'File Links'!C:C, 0)), "N/A", HYPERLINK(INDEX('File Links'!B:B, MATCH(V194, 'File Links'!C:C, 0))))</f>
        <v>https://drive.google.com/file/d/1Aes0K1gD14f_6QAHkD9IPsvD4OgnIJ9K/view?usp=drivesdk</v>
      </c>
      <c r="Y194" s="46"/>
      <c r="Z194" s="501" t="s">
        <v>141</v>
      </c>
      <c r="AA194" s="501" t="s">
        <v>1185</v>
      </c>
      <c r="AB194" s="501" t="s">
        <v>1186</v>
      </c>
      <c r="AC194" s="501" t="s">
        <v>1187</v>
      </c>
      <c r="AD194" s="501" t="s">
        <v>1193</v>
      </c>
      <c r="AE194" s="504">
        <v>4.0</v>
      </c>
      <c r="AF194" s="504">
        <v>30.0</v>
      </c>
      <c r="AG194" s="504">
        <v>29.71</v>
      </c>
      <c r="AH194" s="503" t="s">
        <v>980</v>
      </c>
      <c r="AI194" s="501" t="s">
        <v>489</v>
      </c>
      <c r="AJ194" s="511" t="s">
        <v>131</v>
      </c>
      <c r="AK194" s="43"/>
      <c r="AL194" s="501" t="s">
        <v>179</v>
      </c>
      <c r="AM194" s="501" t="s">
        <v>134</v>
      </c>
      <c r="AN194" s="46" t="s">
        <v>131</v>
      </c>
      <c r="AO194" s="504">
        <v>100.0</v>
      </c>
      <c r="AP194" s="504">
        <v>3.033</v>
      </c>
      <c r="AQ194" s="501" t="s">
        <v>166</v>
      </c>
      <c r="AR194" s="46" t="s">
        <v>489</v>
      </c>
      <c r="AS194" s="504">
        <v>0.002</v>
      </c>
      <c r="AT194" s="500" t="s">
        <v>165</v>
      </c>
      <c r="AU194" s="500" t="s">
        <v>179</v>
      </c>
      <c r="AV194" s="500" t="s">
        <v>134</v>
      </c>
      <c r="AW194" s="513" t="s">
        <v>1190</v>
      </c>
      <c r="AX194" s="507" t="s">
        <v>431</v>
      </c>
      <c r="AY194" s="46"/>
      <c r="AZ194" s="338" t="s">
        <v>685</v>
      </c>
      <c r="BA194" s="339"/>
      <c r="BB194" s="339"/>
      <c r="BC194" s="339"/>
      <c r="BD194" s="339"/>
      <c r="BE194" s="339"/>
      <c r="BF194" s="339"/>
      <c r="BG194" s="339"/>
      <c r="BH194" s="339"/>
      <c r="BI194" s="339"/>
      <c r="BJ194" s="339"/>
      <c r="BK194" s="339"/>
      <c r="BL194" s="339"/>
      <c r="BM194" s="339"/>
      <c r="BN194" s="339"/>
      <c r="BO194" s="339"/>
      <c r="BP194" s="339"/>
      <c r="BQ194" s="339"/>
      <c r="BR194" s="339"/>
      <c r="BS194" s="339"/>
      <c r="BT194" s="339"/>
      <c r="BU194" s="339"/>
      <c r="BV194" s="339"/>
      <c r="BW194" s="339"/>
      <c r="BX194" s="339"/>
      <c r="BY194" s="339"/>
      <c r="BZ194" s="339"/>
      <c r="CA194" s="339"/>
      <c r="CB194" s="339"/>
      <c r="CC194" s="339"/>
      <c r="CD194" s="339"/>
      <c r="CE194" s="339"/>
      <c r="CF194" s="339"/>
      <c r="CG194" s="339"/>
      <c r="CH194" s="339"/>
      <c r="CI194" s="339"/>
      <c r="CJ194" s="339"/>
      <c r="CK194" s="339"/>
      <c r="CL194" s="339"/>
      <c r="CM194" s="339"/>
      <c r="CN194" s="339"/>
      <c r="CO194" s="339"/>
      <c r="CP194" s="339"/>
      <c r="CQ194" s="339"/>
      <c r="CR194" s="339"/>
      <c r="CS194" s="339"/>
      <c r="CT194" s="339"/>
      <c r="CU194" s="339"/>
      <c r="CV194" s="339"/>
      <c r="CW194" s="339"/>
      <c r="CX194" s="339"/>
      <c r="CY194" s="339"/>
      <c r="CZ194" s="339"/>
      <c r="DA194" s="339"/>
      <c r="DB194" s="339"/>
      <c r="DC194" s="339"/>
      <c r="DD194" s="339"/>
      <c r="DE194" s="339"/>
      <c r="DF194" s="339"/>
      <c r="DG194" s="339"/>
      <c r="DH194" s="339"/>
    </row>
    <row r="195" ht="20.25" customHeight="1">
      <c r="A195" s="41">
        <v>195.0</v>
      </c>
      <c r="B195" s="337" t="s">
        <v>145</v>
      </c>
      <c r="C195" s="337" t="s">
        <v>108</v>
      </c>
      <c r="D195" s="338" t="s">
        <v>435</v>
      </c>
      <c r="E195" s="339"/>
      <c r="F195" s="43" t="s">
        <v>1177</v>
      </c>
      <c r="G195" s="501" t="s">
        <v>1194</v>
      </c>
      <c r="H195" s="501" t="s">
        <v>438</v>
      </c>
      <c r="I195" s="509">
        <v>45637.0</v>
      </c>
      <c r="J195" s="46"/>
      <c r="K195" s="501" t="s">
        <v>1179</v>
      </c>
      <c r="L195" s="46"/>
      <c r="M195" s="501" t="s">
        <v>1180</v>
      </c>
      <c r="N195" s="501" t="s">
        <v>1181</v>
      </c>
      <c r="O195" s="46"/>
      <c r="P195" s="510" t="s">
        <v>1182</v>
      </c>
      <c r="Q195" s="101" t="str">
        <f t="array" ref="Q195"> if(iserror(MATCH(V195, 'File Links'!C:C, 0)), "N/A", HYPERLINK(INDEX('File Links'!B:B, MATCH(P195, 'File Links'!C:C, 0))))</f>
        <v>https://drive.google.com/file/d/11NrpozUj6QEvSuPcqdy2reV2ZmG62r_Z/view?usp=drivesdk</v>
      </c>
      <c r="R195" s="501" t="s">
        <v>1183</v>
      </c>
      <c r="S195" s="501" t="s">
        <v>1184</v>
      </c>
      <c r="T195" s="46"/>
      <c r="U195" s="102"/>
      <c r="V195" s="337" t="str">
        <f> hyperlink(vlookup(lower(S195),'File Links'!E:F, 2, FALSE), SUBSTITUTE(lower(S195), "/", "--") &amp;  ".pdf")</f>
        <v>10.1080--23273798.2024.2337948.pdf</v>
      </c>
      <c r="W195" s="501" t="s">
        <v>157</v>
      </c>
      <c r="X195" s="51" t="str">
        <f t="array" ref="X195"> if(iserror(MATCH(V195, 'File Links'!C:C, 0)), "N/A", HYPERLINK(INDEX('File Links'!B:B, MATCH(V195, 'File Links'!C:C, 0))))</f>
        <v>https://drive.google.com/file/d/1Aes0K1gD14f_6QAHkD9IPsvD4OgnIJ9K/view?usp=drivesdk</v>
      </c>
      <c r="Y195" s="46"/>
      <c r="Z195" s="501" t="s">
        <v>141</v>
      </c>
      <c r="AA195" s="501" t="s">
        <v>1185</v>
      </c>
      <c r="AB195" s="501" t="s">
        <v>1186</v>
      </c>
      <c r="AC195" s="501" t="s">
        <v>1187</v>
      </c>
      <c r="AD195" s="501" t="s">
        <v>1195</v>
      </c>
      <c r="AE195" s="504">
        <v>4.0</v>
      </c>
      <c r="AF195" s="504">
        <v>30.0</v>
      </c>
      <c r="AG195" s="504">
        <v>28.31</v>
      </c>
      <c r="AH195" s="503" t="s">
        <v>980</v>
      </c>
      <c r="AI195" s="501" t="s">
        <v>489</v>
      </c>
      <c r="AJ195" s="511" t="s">
        <v>131</v>
      </c>
      <c r="AK195" s="43"/>
      <c r="AL195" s="501" t="s">
        <v>179</v>
      </c>
      <c r="AM195" s="501" t="s">
        <v>134</v>
      </c>
      <c r="AN195" s="46" t="s">
        <v>131</v>
      </c>
      <c r="AO195" s="504">
        <v>100.0</v>
      </c>
      <c r="AP195" s="512">
        <v>-2.694</v>
      </c>
      <c r="AQ195" s="501" t="s">
        <v>166</v>
      </c>
      <c r="AR195" s="46" t="s">
        <v>489</v>
      </c>
      <c r="AS195" s="504">
        <v>0.007</v>
      </c>
      <c r="AT195" s="500" t="s">
        <v>165</v>
      </c>
      <c r="AU195" s="500" t="s">
        <v>179</v>
      </c>
      <c r="AV195" s="500" t="s">
        <v>134</v>
      </c>
      <c r="AW195" s="513" t="s">
        <v>1190</v>
      </c>
      <c r="AX195" s="507" t="s">
        <v>431</v>
      </c>
      <c r="AY195" s="46"/>
      <c r="AZ195" s="338" t="s">
        <v>685</v>
      </c>
      <c r="BA195" s="339"/>
      <c r="BB195" s="339"/>
      <c r="BC195" s="339"/>
      <c r="BD195" s="339"/>
      <c r="BE195" s="339"/>
      <c r="BF195" s="339"/>
      <c r="BG195" s="339"/>
      <c r="BH195" s="339"/>
      <c r="BI195" s="339"/>
      <c r="BJ195" s="339"/>
      <c r="BK195" s="339"/>
      <c r="BL195" s="339"/>
      <c r="BM195" s="339"/>
      <c r="BN195" s="339"/>
      <c r="BO195" s="339"/>
      <c r="BP195" s="339"/>
      <c r="BQ195" s="339"/>
      <c r="BR195" s="339"/>
      <c r="BS195" s="339"/>
      <c r="BT195" s="339"/>
      <c r="BU195" s="339"/>
      <c r="BV195" s="339"/>
      <c r="BW195" s="339"/>
      <c r="BX195" s="339"/>
      <c r="BY195" s="339"/>
      <c r="BZ195" s="339"/>
      <c r="CA195" s="339"/>
      <c r="CB195" s="339"/>
      <c r="CC195" s="339"/>
      <c r="CD195" s="339"/>
      <c r="CE195" s="339"/>
      <c r="CF195" s="339"/>
      <c r="CG195" s="339"/>
      <c r="CH195" s="339"/>
      <c r="CI195" s="339"/>
      <c r="CJ195" s="339"/>
      <c r="CK195" s="339"/>
      <c r="CL195" s="339"/>
      <c r="CM195" s="339"/>
      <c r="CN195" s="339"/>
      <c r="CO195" s="339"/>
      <c r="CP195" s="339"/>
      <c r="CQ195" s="339"/>
      <c r="CR195" s="339"/>
      <c r="CS195" s="339"/>
      <c r="CT195" s="339"/>
      <c r="CU195" s="339"/>
      <c r="CV195" s="339"/>
      <c r="CW195" s="339"/>
      <c r="CX195" s="339"/>
      <c r="CY195" s="339"/>
      <c r="CZ195" s="339"/>
      <c r="DA195" s="339"/>
      <c r="DB195" s="339"/>
      <c r="DC195" s="339"/>
      <c r="DD195" s="339"/>
      <c r="DE195" s="339"/>
      <c r="DF195" s="339"/>
      <c r="DG195" s="339"/>
      <c r="DH195" s="339"/>
    </row>
    <row r="196" ht="20.25" customHeight="1">
      <c r="A196" s="41">
        <v>196.0</v>
      </c>
      <c r="B196" s="337" t="s">
        <v>145</v>
      </c>
      <c r="C196" s="337" t="s">
        <v>108</v>
      </c>
      <c r="D196" s="338" t="s">
        <v>435</v>
      </c>
      <c r="E196" s="339"/>
      <c r="F196" s="43" t="s">
        <v>1177</v>
      </c>
      <c r="G196" s="501" t="s">
        <v>1196</v>
      </c>
      <c r="H196" s="501" t="s">
        <v>438</v>
      </c>
      <c r="I196" s="509">
        <v>45637.0</v>
      </c>
      <c r="J196" s="46"/>
      <c r="K196" s="501" t="s">
        <v>1179</v>
      </c>
      <c r="L196" s="46"/>
      <c r="M196" s="501" t="s">
        <v>1180</v>
      </c>
      <c r="N196" s="501" t="s">
        <v>1181</v>
      </c>
      <c r="O196" s="46"/>
      <c r="P196" s="510" t="s">
        <v>1182</v>
      </c>
      <c r="Q196" s="101" t="str">
        <f t="array" ref="Q196"> if(iserror(MATCH(V196, 'File Links'!C:C, 0)), "N/A", HYPERLINK(INDEX('File Links'!B:B, MATCH(P196, 'File Links'!C:C, 0))))</f>
        <v>https://drive.google.com/file/d/11NrpozUj6QEvSuPcqdy2reV2ZmG62r_Z/view?usp=drivesdk</v>
      </c>
      <c r="R196" s="501" t="s">
        <v>1183</v>
      </c>
      <c r="S196" s="501" t="s">
        <v>1184</v>
      </c>
      <c r="T196" s="46"/>
      <c r="U196" s="102"/>
      <c r="V196" s="337" t="str">
        <f> hyperlink(vlookup(lower(S196),'File Links'!E:F, 2, FALSE), SUBSTITUTE(lower(S196), "/", "--") &amp;  ".pdf")</f>
        <v>10.1080--23273798.2024.2337948.pdf</v>
      </c>
      <c r="W196" s="501" t="s">
        <v>157</v>
      </c>
      <c r="X196" s="51" t="str">
        <f t="array" ref="X196"> if(iserror(MATCH(V196, 'File Links'!C:C, 0)), "N/A", HYPERLINK(INDEX('File Links'!B:B, MATCH(V196, 'File Links'!C:C, 0))))</f>
        <v>https://drive.google.com/file/d/1Aes0K1gD14f_6QAHkD9IPsvD4OgnIJ9K/view?usp=drivesdk</v>
      </c>
      <c r="Y196" s="46"/>
      <c r="Z196" s="501" t="s">
        <v>141</v>
      </c>
      <c r="AA196" s="501" t="s">
        <v>1185</v>
      </c>
      <c r="AB196" s="501" t="s">
        <v>1186</v>
      </c>
      <c r="AC196" s="501" t="s">
        <v>1187</v>
      </c>
      <c r="AD196" s="501" t="s">
        <v>1197</v>
      </c>
      <c r="AE196" s="504">
        <v>4.0</v>
      </c>
      <c r="AF196" s="504">
        <v>30.0</v>
      </c>
      <c r="AG196" s="504">
        <v>-1.4</v>
      </c>
      <c r="AH196" s="503" t="s">
        <v>980</v>
      </c>
      <c r="AI196" s="501" t="s">
        <v>489</v>
      </c>
      <c r="AJ196" s="511" t="s">
        <v>131</v>
      </c>
      <c r="AK196" s="43"/>
      <c r="AL196" s="501" t="s">
        <v>179</v>
      </c>
      <c r="AM196" s="501" t="s">
        <v>134</v>
      </c>
      <c r="AN196" s="46" t="s">
        <v>131</v>
      </c>
      <c r="AO196" s="504">
        <v>100.0</v>
      </c>
      <c r="AP196" s="504">
        <v>0.329</v>
      </c>
      <c r="AQ196" s="501" t="s">
        <v>166</v>
      </c>
      <c r="AR196" s="46" t="s">
        <v>489</v>
      </c>
      <c r="AS196" s="504">
        <v>0.742</v>
      </c>
      <c r="AT196" s="500" t="s">
        <v>165</v>
      </c>
      <c r="AU196" s="500" t="s">
        <v>179</v>
      </c>
      <c r="AV196" s="500" t="s">
        <v>134</v>
      </c>
      <c r="AW196" s="513" t="s">
        <v>1190</v>
      </c>
      <c r="AX196" s="507" t="s">
        <v>431</v>
      </c>
      <c r="AY196" s="46"/>
      <c r="AZ196" s="338" t="s">
        <v>685</v>
      </c>
      <c r="BA196" s="339"/>
      <c r="BB196" s="339"/>
      <c r="BC196" s="339"/>
      <c r="BD196" s="339"/>
      <c r="BE196" s="339"/>
      <c r="BF196" s="339"/>
      <c r="BG196" s="339"/>
      <c r="BH196" s="339"/>
      <c r="BI196" s="339"/>
      <c r="BJ196" s="339"/>
      <c r="BK196" s="339"/>
      <c r="BL196" s="339"/>
      <c r="BM196" s="339"/>
      <c r="BN196" s="339"/>
      <c r="BO196" s="339"/>
      <c r="BP196" s="339"/>
      <c r="BQ196" s="339"/>
      <c r="BR196" s="339"/>
      <c r="BS196" s="339"/>
      <c r="BT196" s="339"/>
      <c r="BU196" s="339"/>
      <c r="BV196" s="339"/>
      <c r="BW196" s="339"/>
      <c r="BX196" s="339"/>
      <c r="BY196" s="339"/>
      <c r="BZ196" s="339"/>
      <c r="CA196" s="339"/>
      <c r="CB196" s="339"/>
      <c r="CC196" s="339"/>
      <c r="CD196" s="339"/>
      <c r="CE196" s="339"/>
      <c r="CF196" s="339"/>
      <c r="CG196" s="339"/>
      <c r="CH196" s="339"/>
      <c r="CI196" s="339"/>
      <c r="CJ196" s="339"/>
      <c r="CK196" s="339"/>
      <c r="CL196" s="339"/>
      <c r="CM196" s="339"/>
      <c r="CN196" s="339"/>
      <c r="CO196" s="339"/>
      <c r="CP196" s="339"/>
      <c r="CQ196" s="339"/>
      <c r="CR196" s="339"/>
      <c r="CS196" s="339"/>
      <c r="CT196" s="339"/>
      <c r="CU196" s="339"/>
      <c r="CV196" s="339"/>
      <c r="CW196" s="339"/>
      <c r="CX196" s="339"/>
      <c r="CY196" s="339"/>
      <c r="CZ196" s="339"/>
      <c r="DA196" s="339"/>
      <c r="DB196" s="339"/>
      <c r="DC196" s="339"/>
      <c r="DD196" s="339"/>
      <c r="DE196" s="339"/>
      <c r="DF196" s="339"/>
      <c r="DG196" s="339"/>
      <c r="DH196" s="339"/>
    </row>
    <row r="197" ht="20.25" customHeight="1">
      <c r="A197" s="41">
        <v>197.0</v>
      </c>
      <c r="B197" s="337" t="s">
        <v>145</v>
      </c>
      <c r="C197" s="337" t="s">
        <v>108</v>
      </c>
      <c r="D197" s="338" t="s">
        <v>435</v>
      </c>
      <c r="E197" s="339"/>
      <c r="F197" s="43" t="s">
        <v>1177</v>
      </c>
      <c r="G197" s="501" t="s">
        <v>1198</v>
      </c>
      <c r="H197" s="501" t="s">
        <v>438</v>
      </c>
      <c r="I197" s="509">
        <v>45637.0</v>
      </c>
      <c r="J197" s="46"/>
      <c r="K197" s="501" t="s">
        <v>1199</v>
      </c>
      <c r="L197" s="46"/>
      <c r="M197" s="501" t="s">
        <v>1180</v>
      </c>
      <c r="N197" s="501" t="s">
        <v>1181</v>
      </c>
      <c r="O197" s="46"/>
      <c r="P197" s="510" t="s">
        <v>1182</v>
      </c>
      <c r="Q197" s="101" t="str">
        <f t="array" ref="Q197"> if(iserror(MATCH(V197, 'File Links'!C:C, 0)), "N/A", HYPERLINK(INDEX('File Links'!B:B, MATCH(P197, 'File Links'!C:C, 0))))</f>
        <v>https://drive.google.com/file/d/11NrpozUj6QEvSuPcqdy2reV2ZmG62r_Z/view?usp=drivesdk</v>
      </c>
      <c r="R197" s="501" t="s">
        <v>1183</v>
      </c>
      <c r="S197" s="501" t="s">
        <v>1184</v>
      </c>
      <c r="T197" s="46"/>
      <c r="U197" s="102"/>
      <c r="V197" s="337" t="str">
        <f> hyperlink(vlookup(lower(S197),'File Links'!E:F, 2, FALSE), SUBSTITUTE(lower(S197), "/", "--") &amp;  ".pdf")</f>
        <v>10.1080--23273798.2024.2337948.pdf</v>
      </c>
      <c r="W197" s="501" t="s">
        <v>157</v>
      </c>
      <c r="X197" s="51" t="str">
        <f t="array" ref="X197"> if(iserror(MATCH(V197, 'File Links'!C:C, 0)), "N/A", HYPERLINK(INDEX('File Links'!B:B, MATCH(V197, 'File Links'!C:C, 0))))</f>
        <v>https://drive.google.com/file/d/1Aes0K1gD14f_6QAHkD9IPsvD4OgnIJ9K/view?usp=drivesdk</v>
      </c>
      <c r="Y197" s="46"/>
      <c r="Z197" s="501" t="s">
        <v>141</v>
      </c>
      <c r="AA197" s="501" t="s">
        <v>1185</v>
      </c>
      <c r="AB197" s="501" t="s">
        <v>1186</v>
      </c>
      <c r="AC197" s="501" t="s">
        <v>1187</v>
      </c>
      <c r="AD197" s="501" t="s">
        <v>1200</v>
      </c>
      <c r="AE197" s="504">
        <v>4.0</v>
      </c>
      <c r="AF197" s="504">
        <v>30.0</v>
      </c>
      <c r="AG197" s="515">
        <v>-0.63</v>
      </c>
      <c r="AH197" s="503" t="s">
        <v>980</v>
      </c>
      <c r="AI197" s="501" t="s">
        <v>489</v>
      </c>
      <c r="AJ197" s="511" t="s">
        <v>131</v>
      </c>
      <c r="AK197" s="43"/>
      <c r="AL197" s="501" t="s">
        <v>179</v>
      </c>
      <c r="AM197" s="501" t="s">
        <v>134</v>
      </c>
      <c r="AN197" s="46" t="s">
        <v>131</v>
      </c>
      <c r="AO197" s="504">
        <v>100.0</v>
      </c>
      <c r="AP197" s="512">
        <v>-2.23</v>
      </c>
      <c r="AQ197" s="501" t="s">
        <v>166</v>
      </c>
      <c r="AR197" s="46" t="s">
        <v>489</v>
      </c>
      <c r="AS197" s="504">
        <v>0.023</v>
      </c>
      <c r="AT197" s="500" t="s">
        <v>165</v>
      </c>
      <c r="AU197" s="500" t="s">
        <v>179</v>
      </c>
      <c r="AV197" s="500" t="s">
        <v>134</v>
      </c>
      <c r="AW197" s="513" t="s">
        <v>1190</v>
      </c>
      <c r="AX197" s="507" t="s">
        <v>431</v>
      </c>
      <c r="AY197" s="46"/>
      <c r="AZ197" s="338" t="s">
        <v>685</v>
      </c>
      <c r="BA197" s="339"/>
      <c r="BB197" s="339"/>
      <c r="BC197" s="339"/>
      <c r="BD197" s="339"/>
      <c r="BE197" s="339"/>
      <c r="BF197" s="339"/>
      <c r="BG197" s="339"/>
      <c r="BH197" s="339"/>
      <c r="BI197" s="339"/>
      <c r="BJ197" s="339"/>
      <c r="BK197" s="339"/>
      <c r="BL197" s="339"/>
      <c r="BM197" s="339"/>
      <c r="BN197" s="339"/>
      <c r="BO197" s="339"/>
      <c r="BP197" s="339"/>
      <c r="BQ197" s="339"/>
      <c r="BR197" s="339"/>
      <c r="BS197" s="339"/>
      <c r="BT197" s="339"/>
      <c r="BU197" s="339"/>
      <c r="BV197" s="339"/>
      <c r="BW197" s="339"/>
      <c r="BX197" s="339"/>
      <c r="BY197" s="339"/>
      <c r="BZ197" s="339"/>
      <c r="CA197" s="339"/>
      <c r="CB197" s="339"/>
      <c r="CC197" s="339"/>
      <c r="CD197" s="339"/>
      <c r="CE197" s="339"/>
      <c r="CF197" s="339"/>
      <c r="CG197" s="339"/>
      <c r="CH197" s="339"/>
      <c r="CI197" s="339"/>
      <c r="CJ197" s="339"/>
      <c r="CK197" s="339"/>
      <c r="CL197" s="339"/>
      <c r="CM197" s="339"/>
      <c r="CN197" s="339"/>
      <c r="CO197" s="339"/>
      <c r="CP197" s="339"/>
      <c r="CQ197" s="339"/>
      <c r="CR197" s="339"/>
      <c r="CS197" s="339"/>
      <c r="CT197" s="339"/>
      <c r="CU197" s="339"/>
      <c r="CV197" s="339"/>
      <c r="CW197" s="339"/>
      <c r="CX197" s="339"/>
      <c r="CY197" s="339"/>
      <c r="CZ197" s="339"/>
      <c r="DA197" s="339"/>
      <c r="DB197" s="339"/>
      <c r="DC197" s="339"/>
      <c r="DD197" s="339"/>
      <c r="DE197" s="339"/>
      <c r="DF197" s="339"/>
      <c r="DG197" s="339"/>
      <c r="DH197" s="339"/>
    </row>
    <row r="198" ht="20.25" customHeight="1">
      <c r="A198" s="41">
        <v>198.0</v>
      </c>
      <c r="B198" s="337" t="s">
        <v>145</v>
      </c>
      <c r="C198" s="337" t="s">
        <v>108</v>
      </c>
      <c r="D198" s="338" t="s">
        <v>435</v>
      </c>
      <c r="E198" s="339"/>
      <c r="F198" s="43" t="s">
        <v>1177</v>
      </c>
      <c r="G198" s="501" t="s">
        <v>1201</v>
      </c>
      <c r="H198" s="501" t="s">
        <v>438</v>
      </c>
      <c r="I198" s="509">
        <v>45637.0</v>
      </c>
      <c r="J198" s="46"/>
      <c r="K198" s="501" t="s">
        <v>1199</v>
      </c>
      <c r="L198" s="46"/>
      <c r="M198" s="501" t="s">
        <v>1180</v>
      </c>
      <c r="N198" s="501" t="s">
        <v>1181</v>
      </c>
      <c r="O198" s="46"/>
      <c r="P198" s="510" t="s">
        <v>1182</v>
      </c>
      <c r="Q198" s="101" t="str">
        <f t="array" ref="Q198"> if(iserror(MATCH(V198, 'File Links'!C:C, 0)), "N/A", HYPERLINK(INDEX('File Links'!B:B, MATCH(P198, 'File Links'!C:C, 0))))</f>
        <v>https://drive.google.com/file/d/11NrpozUj6QEvSuPcqdy2reV2ZmG62r_Z/view?usp=drivesdk</v>
      </c>
      <c r="R198" s="501" t="s">
        <v>1183</v>
      </c>
      <c r="S198" s="501" t="s">
        <v>1184</v>
      </c>
      <c r="T198" s="46"/>
      <c r="U198" s="102"/>
      <c r="V198" s="337" t="str">
        <f> hyperlink(vlookup(lower(S198),'File Links'!E:F, 2, FALSE), SUBSTITUTE(lower(S198), "/", "--") &amp;  ".pdf")</f>
        <v>10.1080--23273798.2024.2337948.pdf</v>
      </c>
      <c r="W198" s="501" t="s">
        <v>157</v>
      </c>
      <c r="X198" s="51" t="str">
        <f t="array" ref="X198"> if(iserror(MATCH(V198, 'File Links'!C:C, 0)), "N/A", HYPERLINK(INDEX('File Links'!B:B, MATCH(V198, 'File Links'!C:C, 0))))</f>
        <v>https://drive.google.com/file/d/1Aes0K1gD14f_6QAHkD9IPsvD4OgnIJ9K/view?usp=drivesdk</v>
      </c>
      <c r="Y198" s="46"/>
      <c r="Z198" s="501" t="s">
        <v>141</v>
      </c>
      <c r="AA198" s="501" t="s">
        <v>1185</v>
      </c>
      <c r="AB198" s="501" t="s">
        <v>1186</v>
      </c>
      <c r="AC198" s="501" t="s">
        <v>1187</v>
      </c>
      <c r="AD198" s="501" t="s">
        <v>1202</v>
      </c>
      <c r="AE198" s="504">
        <v>4.0</v>
      </c>
      <c r="AF198" s="504">
        <v>30.0</v>
      </c>
      <c r="AG198" s="516" t="s">
        <v>1203</v>
      </c>
      <c r="AH198" s="503" t="s">
        <v>980</v>
      </c>
      <c r="AI198" s="501" t="s">
        <v>489</v>
      </c>
      <c r="AJ198" s="511" t="s">
        <v>131</v>
      </c>
      <c r="AK198" s="43"/>
      <c r="AL198" s="501" t="s">
        <v>179</v>
      </c>
      <c r="AM198" s="501" t="s">
        <v>134</v>
      </c>
      <c r="AN198" s="46" t="s">
        <v>131</v>
      </c>
      <c r="AO198" s="504">
        <v>100.0</v>
      </c>
      <c r="AP198" s="504">
        <v>3.731</v>
      </c>
      <c r="AQ198" s="501" t="s">
        <v>166</v>
      </c>
      <c r="AR198" s="46" t="s">
        <v>489</v>
      </c>
      <c r="AS198" s="504">
        <v>0.001</v>
      </c>
      <c r="AT198" s="500" t="s">
        <v>128</v>
      </c>
      <c r="AU198" s="500" t="s">
        <v>179</v>
      </c>
      <c r="AV198" s="500" t="s">
        <v>134</v>
      </c>
      <c r="AW198" s="513" t="s">
        <v>1190</v>
      </c>
      <c r="AX198" s="507" t="s">
        <v>431</v>
      </c>
      <c r="AY198" s="46"/>
      <c r="AZ198" s="338" t="s">
        <v>685</v>
      </c>
      <c r="BA198" s="339"/>
      <c r="BB198" s="339"/>
      <c r="BC198" s="339"/>
      <c r="BD198" s="339"/>
      <c r="BE198" s="339"/>
      <c r="BF198" s="339"/>
      <c r="BG198" s="339"/>
      <c r="BH198" s="339"/>
      <c r="BI198" s="339"/>
      <c r="BJ198" s="339"/>
      <c r="BK198" s="339"/>
      <c r="BL198" s="339"/>
      <c r="BM198" s="339"/>
      <c r="BN198" s="339"/>
      <c r="BO198" s="339"/>
      <c r="BP198" s="339"/>
      <c r="BQ198" s="339"/>
      <c r="BR198" s="339"/>
      <c r="BS198" s="339"/>
      <c r="BT198" s="339"/>
      <c r="BU198" s="339"/>
      <c r="BV198" s="339"/>
      <c r="BW198" s="339"/>
      <c r="BX198" s="339"/>
      <c r="BY198" s="339"/>
      <c r="BZ198" s="339"/>
      <c r="CA198" s="339"/>
      <c r="CB198" s="339"/>
      <c r="CC198" s="339"/>
      <c r="CD198" s="339"/>
      <c r="CE198" s="339"/>
      <c r="CF198" s="339"/>
      <c r="CG198" s="339"/>
      <c r="CH198" s="339"/>
      <c r="CI198" s="339"/>
      <c r="CJ198" s="339"/>
      <c r="CK198" s="339"/>
      <c r="CL198" s="339"/>
      <c r="CM198" s="339"/>
      <c r="CN198" s="339"/>
      <c r="CO198" s="339"/>
      <c r="CP198" s="339"/>
      <c r="CQ198" s="339"/>
      <c r="CR198" s="339"/>
      <c r="CS198" s="339"/>
      <c r="CT198" s="339"/>
      <c r="CU198" s="339"/>
      <c r="CV198" s="339"/>
      <c r="CW198" s="339"/>
      <c r="CX198" s="339"/>
      <c r="CY198" s="339"/>
      <c r="CZ198" s="339"/>
      <c r="DA198" s="339"/>
      <c r="DB198" s="339"/>
      <c r="DC198" s="339"/>
      <c r="DD198" s="339"/>
      <c r="DE198" s="339"/>
      <c r="DF198" s="339"/>
      <c r="DG198" s="339"/>
      <c r="DH198" s="339"/>
    </row>
    <row r="199" ht="20.25" customHeight="1">
      <c r="A199" s="41">
        <v>199.0</v>
      </c>
      <c r="B199" s="337" t="s">
        <v>145</v>
      </c>
      <c r="C199" s="337" t="s">
        <v>108</v>
      </c>
      <c r="D199" s="338" t="s">
        <v>435</v>
      </c>
      <c r="E199" s="339"/>
      <c r="F199" s="43" t="s">
        <v>1177</v>
      </c>
      <c r="G199" s="501" t="s">
        <v>1204</v>
      </c>
      <c r="H199" s="501" t="s">
        <v>438</v>
      </c>
      <c r="I199" s="509">
        <v>45637.0</v>
      </c>
      <c r="J199" s="46"/>
      <c r="K199" s="501" t="s">
        <v>1199</v>
      </c>
      <c r="L199" s="46"/>
      <c r="M199" s="501" t="s">
        <v>1180</v>
      </c>
      <c r="N199" s="501" t="s">
        <v>1181</v>
      </c>
      <c r="O199" s="46"/>
      <c r="P199" s="510" t="s">
        <v>1182</v>
      </c>
      <c r="Q199" s="101" t="str">
        <f t="array" ref="Q199"> if(iserror(MATCH(V199, 'File Links'!C:C, 0)), "N/A", HYPERLINK(INDEX('File Links'!B:B, MATCH(P199, 'File Links'!C:C, 0))))</f>
        <v>https://drive.google.com/file/d/11NrpozUj6QEvSuPcqdy2reV2ZmG62r_Z/view?usp=drivesdk</v>
      </c>
      <c r="R199" s="501" t="s">
        <v>1183</v>
      </c>
      <c r="S199" s="501" t="s">
        <v>1184</v>
      </c>
      <c r="T199" s="46"/>
      <c r="U199" s="102"/>
      <c r="V199" s="337" t="str">
        <f> hyperlink(vlookup(lower(S199),'File Links'!E:F, 2, FALSE), SUBSTITUTE(lower(S199), "/", "--") &amp;  ".pdf")</f>
        <v>10.1080--23273798.2024.2337948.pdf</v>
      </c>
      <c r="W199" s="501" t="s">
        <v>157</v>
      </c>
      <c r="X199" s="51" t="str">
        <f t="array" ref="X199"> if(iserror(MATCH(V199, 'File Links'!C:C, 0)), "N/A", HYPERLINK(INDEX('File Links'!B:B, MATCH(V199, 'File Links'!C:C, 0))))</f>
        <v>https://drive.google.com/file/d/1Aes0K1gD14f_6QAHkD9IPsvD4OgnIJ9K/view?usp=drivesdk</v>
      </c>
      <c r="Y199" s="46"/>
      <c r="Z199" s="501" t="s">
        <v>141</v>
      </c>
      <c r="AA199" s="501" t="s">
        <v>1185</v>
      </c>
      <c r="AB199" s="501" t="s">
        <v>1186</v>
      </c>
      <c r="AC199" s="501" t="s">
        <v>1187</v>
      </c>
      <c r="AD199" s="501" t="s">
        <v>1205</v>
      </c>
      <c r="AE199" s="504">
        <v>4.0</v>
      </c>
      <c r="AF199" s="504">
        <v>30.0</v>
      </c>
      <c r="AG199" s="501" t="s">
        <v>1206</v>
      </c>
      <c r="AH199" s="503" t="s">
        <v>980</v>
      </c>
      <c r="AI199" s="501" t="s">
        <v>489</v>
      </c>
      <c r="AJ199" s="511" t="s">
        <v>131</v>
      </c>
      <c r="AK199" s="43"/>
      <c r="AL199" s="501" t="s">
        <v>179</v>
      </c>
      <c r="AM199" s="501" t="s">
        <v>134</v>
      </c>
      <c r="AN199" s="46" t="s">
        <v>131</v>
      </c>
      <c r="AO199" s="504">
        <v>100.0</v>
      </c>
      <c r="AP199" s="504">
        <v>1.923</v>
      </c>
      <c r="AQ199" s="501" t="s">
        <v>166</v>
      </c>
      <c r="AR199" s="46" t="s">
        <v>489</v>
      </c>
      <c r="AS199" s="504">
        <v>0.054</v>
      </c>
      <c r="AT199" s="500" t="s">
        <v>165</v>
      </c>
      <c r="AU199" s="500" t="s">
        <v>179</v>
      </c>
      <c r="AV199" s="500" t="s">
        <v>134</v>
      </c>
      <c r="AW199" s="513" t="s">
        <v>1190</v>
      </c>
      <c r="AX199" s="507" t="s">
        <v>431</v>
      </c>
      <c r="AY199" s="46"/>
      <c r="AZ199" s="338" t="s">
        <v>685</v>
      </c>
      <c r="BA199" s="339"/>
      <c r="BB199" s="339"/>
      <c r="BC199" s="339"/>
      <c r="BD199" s="339"/>
      <c r="BE199" s="339"/>
      <c r="BF199" s="339"/>
      <c r="BG199" s="339"/>
      <c r="BH199" s="339"/>
      <c r="BI199" s="339"/>
      <c r="BJ199" s="339"/>
      <c r="BK199" s="339"/>
      <c r="BL199" s="339"/>
      <c r="BM199" s="339"/>
      <c r="BN199" s="339"/>
      <c r="BO199" s="339"/>
      <c r="BP199" s="339"/>
      <c r="BQ199" s="339"/>
      <c r="BR199" s="339"/>
      <c r="BS199" s="339"/>
      <c r="BT199" s="339"/>
      <c r="BU199" s="339"/>
      <c r="BV199" s="339"/>
      <c r="BW199" s="339"/>
      <c r="BX199" s="339"/>
      <c r="BY199" s="339"/>
      <c r="BZ199" s="339"/>
      <c r="CA199" s="339"/>
      <c r="CB199" s="339"/>
      <c r="CC199" s="339"/>
      <c r="CD199" s="339"/>
      <c r="CE199" s="339"/>
      <c r="CF199" s="339"/>
      <c r="CG199" s="339"/>
      <c r="CH199" s="339"/>
      <c r="CI199" s="339"/>
      <c r="CJ199" s="339"/>
      <c r="CK199" s="339"/>
      <c r="CL199" s="339"/>
      <c r="CM199" s="339"/>
      <c r="CN199" s="339"/>
      <c r="CO199" s="339"/>
      <c r="CP199" s="339"/>
      <c r="CQ199" s="339"/>
      <c r="CR199" s="339"/>
      <c r="CS199" s="339"/>
      <c r="CT199" s="339"/>
      <c r="CU199" s="339"/>
      <c r="CV199" s="339"/>
      <c r="CW199" s="339"/>
      <c r="CX199" s="339"/>
      <c r="CY199" s="339"/>
      <c r="CZ199" s="339"/>
      <c r="DA199" s="339"/>
      <c r="DB199" s="339"/>
      <c r="DC199" s="339"/>
      <c r="DD199" s="339"/>
      <c r="DE199" s="339"/>
      <c r="DF199" s="339"/>
      <c r="DG199" s="339"/>
      <c r="DH199" s="339"/>
    </row>
    <row r="200" ht="20.25" customHeight="1">
      <c r="A200" s="41">
        <v>200.0</v>
      </c>
      <c r="B200" s="42" t="s">
        <v>107</v>
      </c>
      <c r="C200" s="42" t="s">
        <v>108</v>
      </c>
      <c r="D200" s="42" t="s">
        <v>746</v>
      </c>
      <c r="E200" s="62"/>
      <c r="F200" s="59" t="s">
        <v>1207</v>
      </c>
      <c r="G200" s="42" t="s">
        <v>1208</v>
      </c>
      <c r="H200" s="42" t="s">
        <v>746</v>
      </c>
      <c r="I200" s="60">
        <v>45427.0</v>
      </c>
      <c r="J200" s="62"/>
      <c r="K200" s="62"/>
      <c r="L200" s="62"/>
      <c r="M200" s="42" t="s">
        <v>1209</v>
      </c>
      <c r="N200" s="42" t="s">
        <v>1210</v>
      </c>
      <c r="O200" s="62"/>
      <c r="P200" s="517" t="str">
        <f> hyperlink(vlookup(lower(N200),'File Links'!A:B, 2, FALSE), SUBSTITUTE(lower(N200), "/", "--") &amp;  ".pdf")</f>
        <v>10.1016--j.system.2004.01.001.pdf</v>
      </c>
      <c r="Q200" s="49" t="str">
        <f t="array" ref="Q200"> if(iserror(MATCH(V200, 'File Links'!C:C, 0)), "N/A", HYPERLINK(INDEX('File Links'!B:B, MATCH(P200, 'File Links'!C:C, 0))))</f>
        <v>https://drive.google.com/file/d/1c0WTQTFC6wVjO3perznTR_rfzhpTPGnJ/view?usp=drivesdk</v>
      </c>
      <c r="R200" s="42" t="s">
        <v>1211</v>
      </c>
      <c r="S200" s="59" t="s">
        <v>1212</v>
      </c>
      <c r="T200" s="62"/>
      <c r="U200" s="62"/>
      <c r="V200" s="63" t="s">
        <v>1213</v>
      </c>
      <c r="W200" s="62"/>
      <c r="X200" s="51" t="str">
        <f t="array" ref="X200"> if(iserror(MATCH(V200, 'File Links'!C:C, 0)), "N/A", HYPERLINK(INDEX('File Links'!B:B, MATCH(V200, 'File Links'!C:C, 0))))</f>
        <v>https://drive.google.com/file/d/1sSSGJnEV4E18FQJXK-1-tt9r58Mi889H/view?usp=drivesdk</v>
      </c>
      <c r="Y200" s="62"/>
      <c r="Z200" s="42" t="s">
        <v>940</v>
      </c>
      <c r="AA200" s="62"/>
      <c r="AB200" s="62"/>
      <c r="AC200" s="42" t="s">
        <v>1214</v>
      </c>
      <c r="AD200" s="62"/>
      <c r="AE200" s="62"/>
      <c r="AF200" s="62"/>
      <c r="AG200" s="62"/>
      <c r="AH200" s="62"/>
      <c r="AI200" s="62"/>
      <c r="AJ200" s="42"/>
      <c r="AK200" s="62"/>
      <c r="AL200" s="62"/>
      <c r="AM200" s="64"/>
      <c r="AN200" s="111" t="s">
        <v>131</v>
      </c>
      <c r="AO200" s="62"/>
      <c r="AP200" s="62"/>
      <c r="AQ200" s="62"/>
      <c r="AR200" s="62"/>
      <c r="AS200" s="62"/>
      <c r="AT200" s="62"/>
      <c r="AU200" s="62"/>
      <c r="AV200" s="64"/>
      <c r="AX200" s="65"/>
      <c r="AY200" s="62"/>
      <c r="AZ200" s="59" t="s">
        <v>137</v>
      </c>
    </row>
    <row r="201" ht="20.25" customHeight="1">
      <c r="A201" s="41">
        <v>201.0</v>
      </c>
      <c r="B201" s="59" t="s">
        <v>107</v>
      </c>
      <c r="C201" s="59" t="s">
        <v>108</v>
      </c>
      <c r="D201" s="59" t="s">
        <v>241</v>
      </c>
      <c r="F201" s="65" t="s">
        <v>1207</v>
      </c>
      <c r="G201" s="518" t="s">
        <v>1208</v>
      </c>
      <c r="H201" s="518" t="s">
        <v>242</v>
      </c>
      <c r="I201" s="519">
        <v>45427.0</v>
      </c>
      <c r="J201" s="520">
        <v>45644.0</v>
      </c>
      <c r="K201" s="518"/>
      <c r="L201" s="518"/>
      <c r="M201" s="518" t="s">
        <v>1209</v>
      </c>
      <c r="N201" s="518" t="s">
        <v>1210</v>
      </c>
      <c r="O201" s="518"/>
      <c r="P201" s="521" t="str">
        <f> hyperlink(vlookup(lower(N201),'File Links'!E:F, 2, FALSE), SUBSTITUTE(lower(N201), "/", "--") &amp;  ".pdf")</f>
        <v>10.1016--j.system.2004.01.001.pdf</v>
      </c>
      <c r="Q201" s="105" t="str">
        <f t="array" ref="Q201"> if(iserror(MATCH(V201, 'File Links'!C:C, 0)), "N/A", HYPERLINK(INDEX('File Links'!B:B, MATCH(P201, 'File Links'!C:C, 0))))</f>
        <v>N/A</v>
      </c>
      <c r="R201" s="522" t="s">
        <v>1215</v>
      </c>
      <c r="S201" s="518" t="s">
        <v>1212</v>
      </c>
      <c r="T201" s="518"/>
      <c r="U201" s="523"/>
      <c r="V201" s="518"/>
      <c r="W201" s="518"/>
      <c r="X201" s="46" t="str">
        <f t="array" ref="X201"> if(iserror(MATCH(V201, 'File Links'!C:C, 0)), "N/A", HYPERLINK(INDEX('File Links'!B:B, MATCH(V201, 'File Links'!C:C, 0))))</f>
        <v>N/A</v>
      </c>
      <c r="Y201" s="518" t="s">
        <v>1216</v>
      </c>
      <c r="Z201" s="518" t="s">
        <v>234</v>
      </c>
      <c r="AA201" s="518"/>
      <c r="AB201" s="518"/>
      <c r="AC201" s="518"/>
      <c r="AD201" s="518"/>
      <c r="AE201" s="518"/>
      <c r="AF201" s="518"/>
      <c r="AG201" s="518"/>
      <c r="AH201" s="523"/>
      <c r="AI201" s="518"/>
      <c r="AJ201" s="518"/>
      <c r="AK201" s="524"/>
      <c r="AL201" s="518"/>
      <c r="AM201" s="518"/>
      <c r="AN201" s="111" t="s">
        <v>131</v>
      </c>
      <c r="AO201" s="518"/>
      <c r="AP201" s="518"/>
      <c r="AQ201" s="518"/>
      <c r="AR201" s="518"/>
      <c r="AS201" s="518"/>
      <c r="AT201" s="524"/>
      <c r="AU201" s="524"/>
      <c r="AV201" s="524"/>
      <c r="AW201" s="524"/>
      <c r="AX201" s="524"/>
      <c r="AY201" s="518"/>
      <c r="AZ201" s="59" t="s">
        <v>137</v>
      </c>
      <c r="BC201" s="104"/>
      <c r="BD201" s="104"/>
      <c r="BE201" s="104"/>
      <c r="BF201" s="104"/>
      <c r="BG201" s="104"/>
      <c r="BH201" s="104"/>
      <c r="BI201" s="104"/>
      <c r="BJ201" s="104"/>
      <c r="BK201" s="104"/>
      <c r="BL201" s="104"/>
      <c r="BM201" s="104"/>
      <c r="BN201" s="104"/>
      <c r="BO201" s="104"/>
      <c r="BP201" s="104"/>
      <c r="BQ201" s="104"/>
      <c r="BR201" s="104"/>
      <c r="BS201" s="104"/>
      <c r="BT201" s="104"/>
      <c r="BU201" s="104"/>
      <c r="BV201" s="104"/>
      <c r="BW201" s="104"/>
      <c r="BX201" s="104"/>
      <c r="BY201" s="104"/>
      <c r="BZ201" s="104"/>
      <c r="CA201" s="104"/>
      <c r="CB201" s="104"/>
      <c r="CC201" s="104"/>
      <c r="CD201" s="104"/>
      <c r="CE201" s="104"/>
      <c r="CF201" s="104"/>
      <c r="CG201" s="104"/>
      <c r="CH201" s="104"/>
      <c r="CI201" s="104"/>
      <c r="CJ201" s="104"/>
      <c r="CK201" s="104"/>
      <c r="CL201" s="104"/>
      <c r="CM201" s="104"/>
      <c r="CN201" s="104"/>
      <c r="CO201" s="104"/>
      <c r="CP201" s="104"/>
      <c r="CQ201" s="104"/>
      <c r="CR201" s="104"/>
      <c r="CS201" s="104"/>
      <c r="CT201" s="104"/>
      <c r="CU201" s="104"/>
      <c r="CV201" s="104"/>
      <c r="CW201" s="104"/>
      <c r="CX201" s="104"/>
      <c r="CY201" s="104"/>
      <c r="CZ201" s="104"/>
      <c r="DA201" s="104"/>
      <c r="DB201" s="104"/>
      <c r="DC201" s="104"/>
      <c r="DD201" s="104"/>
      <c r="DE201" s="104"/>
      <c r="DF201" s="104"/>
      <c r="DG201" s="104"/>
      <c r="DH201" s="104"/>
    </row>
    <row r="202" ht="20.25" customHeight="1">
      <c r="A202" s="41">
        <v>202.0</v>
      </c>
      <c r="B202" s="59" t="s">
        <v>278</v>
      </c>
      <c r="C202" s="59" t="s">
        <v>108</v>
      </c>
      <c r="D202" s="59" t="s">
        <v>279</v>
      </c>
      <c r="F202" s="152" t="s">
        <v>1207</v>
      </c>
      <c r="G202" s="148" t="s">
        <v>1208</v>
      </c>
      <c r="H202" s="148" t="s">
        <v>282</v>
      </c>
      <c r="I202" s="150">
        <v>45427.0</v>
      </c>
      <c r="J202" s="150">
        <v>45685.0</v>
      </c>
      <c r="K202" s="126" t="s">
        <v>1217</v>
      </c>
      <c r="L202" s="65"/>
      <c r="M202" s="152" t="s">
        <v>1209</v>
      </c>
      <c r="N202" s="152" t="s">
        <v>1210</v>
      </c>
      <c r="O202" s="153"/>
      <c r="P202" s="525" t="s">
        <v>1218</v>
      </c>
      <c r="Q202" s="49" t="str">
        <f t="array" ref="Q202"> if(iserror(MATCH(V202, 'File Links'!C:C, 0)), "N/A", HYPERLINK(INDEX('File Links'!B:B, MATCH(P202, 'File Links'!C:C, 0))))</f>
        <v>https://drive.google.com/file/d/1c0WTQTFC6wVjO3perznTR_rfzhpTPGnJ/view?usp=drivesdk</v>
      </c>
      <c r="R202" s="126" t="s">
        <v>1211</v>
      </c>
      <c r="S202" s="59" t="s">
        <v>1212</v>
      </c>
      <c r="T202" s="65"/>
      <c r="U202" s="153"/>
      <c r="V202" s="63" t="str">
        <f> hyperlink(vlookup(lower(S202),'File Links'!E:F, 2, FALSE), SUBSTITUTE(lower(S202), "/", "--") &amp;  ".pdf")</f>
        <v>10.1017--s0261444824000120.pdf</v>
      </c>
      <c r="W202" s="126" t="s">
        <v>1219</v>
      </c>
      <c r="X202" s="51" t="str">
        <f t="array" ref="X202"> if(iserror(MATCH(V202, 'File Links'!C:C, 0)), "N/A", HYPERLINK(INDEX('File Links'!B:B, MATCH(V202, 'File Links'!C:C, 0))))</f>
        <v>https://drive.google.com/file/d/1sSSGJnEV4E18FQJXK-1-tt9r58Mi889H/view?usp=drivesdk</v>
      </c>
      <c r="Z202" s="148" t="s">
        <v>288</v>
      </c>
      <c r="AA202" s="65"/>
      <c r="AB202" s="65"/>
      <c r="AC202" s="65"/>
      <c r="AD202" s="155"/>
      <c r="AE202" s="153"/>
      <c r="AF202" s="153"/>
      <c r="AG202" s="153"/>
      <c r="AH202" s="156"/>
      <c r="AI202" s="65"/>
      <c r="AJ202" s="157"/>
      <c r="AK202" s="54"/>
      <c r="AL202" s="54"/>
      <c r="AM202" s="65"/>
      <c r="AN202" s="111" t="s">
        <v>131</v>
      </c>
      <c r="AO202" s="153"/>
      <c r="AP202" s="153"/>
      <c r="AQ202" s="156"/>
      <c r="AR202" s="65"/>
      <c r="AS202" s="159"/>
      <c r="AT202" s="156"/>
      <c r="AU202" s="156"/>
      <c r="AV202" s="65"/>
      <c r="AW202" s="307"/>
      <c r="AX202" s="65"/>
    </row>
    <row r="203" ht="20.25" customHeight="1">
      <c r="A203" s="41">
        <v>203.0</v>
      </c>
      <c r="B203" s="59" t="s">
        <v>107</v>
      </c>
      <c r="C203" s="42" t="s">
        <v>108</v>
      </c>
      <c r="D203" s="42" t="s">
        <v>746</v>
      </c>
      <c r="E203" s="62"/>
      <c r="F203" s="59" t="s">
        <v>1220</v>
      </c>
      <c r="G203" s="42" t="s">
        <v>1221</v>
      </c>
      <c r="H203" s="42" t="s">
        <v>746</v>
      </c>
      <c r="I203" s="60">
        <v>45427.0</v>
      </c>
      <c r="J203" s="62"/>
      <c r="K203" s="62"/>
      <c r="L203" s="62"/>
      <c r="M203" s="42" t="s">
        <v>1222</v>
      </c>
      <c r="N203" s="42" t="s">
        <v>1223</v>
      </c>
      <c r="O203" s="62"/>
      <c r="P203" s="517" t="str">
        <f> hyperlink(vlookup(lower(N203),'File Links'!A:B, 2, FALSE), SUBSTITUTE(lower(N203), "/", "--") &amp;  ".pdf")</f>
        <v>10.3138--cmlr.65.3.395.pdf</v>
      </c>
      <c r="Q203" s="49" t="str">
        <f t="array" ref="Q203"> if(iserror(MATCH(V203, 'File Links'!C:C, 0)), "N/A", HYPERLINK(INDEX('File Links'!B:B, MATCH(P203, 'File Links'!C:C, 0))))</f>
        <v>https://drive.google.com/file/d/19ZhWLN_zymp-mzX14YC7jEv-MHZn0Qb4/view?usp=drivesdk</v>
      </c>
      <c r="R203" s="42" t="s">
        <v>1224</v>
      </c>
      <c r="S203" s="59" t="s">
        <v>1212</v>
      </c>
      <c r="T203" s="62"/>
      <c r="U203" s="62"/>
      <c r="V203" s="63" t="str">
        <f> hyperlink(vlookup(lower(S203),'File Links'!E:F, 2, FALSE), SUBSTITUTE(lower(S203), "/", "--") &amp;  ".pdf")</f>
        <v>10.1017--s0261444824000120.pdf</v>
      </c>
      <c r="W203" s="62"/>
      <c r="X203" s="51" t="str">
        <f t="array" ref="X203"> if(iserror(MATCH(V203, 'File Links'!C:C, 0)), "N/A", HYPERLINK(INDEX('File Links'!B:B, MATCH(V203, 'File Links'!C:C, 0))))</f>
        <v>https://drive.google.com/file/d/1sSSGJnEV4E18FQJXK-1-tt9r58Mi889H/view?usp=drivesdk</v>
      </c>
      <c r="Y203" s="62"/>
      <c r="Z203" s="42" t="s">
        <v>940</v>
      </c>
      <c r="AA203" s="62"/>
      <c r="AB203" s="62"/>
      <c r="AC203" s="42" t="s">
        <v>1214</v>
      </c>
      <c r="AD203" s="62"/>
      <c r="AE203" s="62"/>
      <c r="AF203" s="62"/>
      <c r="AG203" s="62"/>
      <c r="AH203" s="62"/>
      <c r="AI203" s="62"/>
      <c r="AJ203" s="42"/>
      <c r="AK203" s="62"/>
      <c r="AL203" s="62"/>
      <c r="AM203" s="64"/>
      <c r="AN203" s="111" t="s">
        <v>131</v>
      </c>
      <c r="AO203" s="62"/>
      <c r="AP203" s="62"/>
      <c r="AQ203" s="62"/>
      <c r="AR203" s="62"/>
      <c r="AS203" s="62"/>
      <c r="AT203" s="62"/>
      <c r="AU203" s="62"/>
      <c r="AV203" s="64"/>
      <c r="AX203" s="65"/>
      <c r="AY203" s="62"/>
      <c r="BC203" s="104"/>
      <c r="BD203" s="104"/>
      <c r="BE203" s="104"/>
      <c r="BF203" s="104"/>
      <c r="BG203" s="104"/>
      <c r="BH203" s="104"/>
      <c r="BI203" s="104"/>
      <c r="BJ203" s="104"/>
      <c r="BK203" s="104"/>
      <c r="BL203" s="104"/>
      <c r="BM203" s="104"/>
      <c r="BN203" s="104"/>
      <c r="BO203" s="104"/>
      <c r="BP203" s="104"/>
      <c r="BQ203" s="104"/>
      <c r="BR203" s="104"/>
      <c r="BS203" s="104"/>
      <c r="BT203" s="104"/>
      <c r="BU203" s="104"/>
      <c r="BV203" s="104"/>
      <c r="BW203" s="104"/>
      <c r="BX203" s="104"/>
      <c r="BY203" s="104"/>
      <c r="BZ203" s="104"/>
      <c r="CA203" s="104"/>
      <c r="CB203" s="104"/>
      <c r="CC203" s="104"/>
      <c r="CD203" s="104"/>
      <c r="CE203" s="104"/>
      <c r="CF203" s="104"/>
      <c r="CG203" s="104"/>
      <c r="CH203" s="104"/>
      <c r="CI203" s="104"/>
      <c r="CJ203" s="104"/>
      <c r="CK203" s="104"/>
      <c r="CL203" s="104"/>
      <c r="CM203" s="104"/>
      <c r="CN203" s="104"/>
      <c r="CO203" s="104"/>
      <c r="CP203" s="104"/>
      <c r="CQ203" s="104"/>
      <c r="CR203" s="104"/>
      <c r="CS203" s="104"/>
      <c r="CT203" s="104"/>
      <c r="CU203" s="104"/>
      <c r="CV203" s="104"/>
      <c r="CW203" s="104"/>
      <c r="CX203" s="104"/>
      <c r="CY203" s="104"/>
      <c r="CZ203" s="104"/>
      <c r="DA203" s="104"/>
      <c r="DB203" s="104"/>
      <c r="DC203" s="104"/>
      <c r="DD203" s="104"/>
      <c r="DE203" s="104"/>
      <c r="DF203" s="104"/>
      <c r="DG203" s="104"/>
      <c r="DH203" s="104"/>
    </row>
    <row r="204" ht="20.25" customHeight="1">
      <c r="A204" s="41">
        <v>204.0</v>
      </c>
      <c r="B204" s="59" t="s">
        <v>107</v>
      </c>
      <c r="C204" s="59" t="s">
        <v>108</v>
      </c>
      <c r="D204" s="59" t="s">
        <v>241</v>
      </c>
      <c r="F204" s="65" t="s">
        <v>1220</v>
      </c>
      <c r="G204" s="58" t="s">
        <v>1221</v>
      </c>
      <c r="H204" s="58" t="s">
        <v>242</v>
      </c>
      <c r="I204" s="526">
        <v>45427.0</v>
      </c>
      <c r="J204" s="527">
        <v>45644.0</v>
      </c>
      <c r="K204" s="58"/>
      <c r="L204" s="58"/>
      <c r="M204" s="58" t="s">
        <v>1222</v>
      </c>
      <c r="N204" s="58" t="s">
        <v>1223</v>
      </c>
      <c r="O204" s="58"/>
      <c r="P204" s="521" t="str">
        <f> hyperlink(vlookup(lower(N204),'File Links'!E:F, 2, FALSE), SUBSTITUTE(lower(N204), "/", "--") &amp;  ".pdf")</f>
        <v>10.3138--cmlr.65.3.395.pdf</v>
      </c>
      <c r="Q204" s="105" t="str">
        <f t="array" ref="Q204"> if(iserror(MATCH(V204, 'File Links'!C:C, 0)), "N/A", HYPERLINK(INDEX('File Links'!B:B, MATCH(P204, 'File Links'!C:C, 0))))</f>
        <v>N/A</v>
      </c>
      <c r="R204" s="496" t="s">
        <v>1215</v>
      </c>
      <c r="S204" s="58" t="s">
        <v>1212</v>
      </c>
      <c r="T204" s="58"/>
      <c r="U204" s="335"/>
      <c r="V204" s="518"/>
      <c r="W204" s="58"/>
      <c r="X204" s="46" t="str">
        <f t="array" ref="X204"> if(iserror(MATCH(V204, 'File Links'!C:C, 0)), "N/A", HYPERLINK(INDEX('File Links'!B:B, MATCH(V204, 'File Links'!C:C, 0))))</f>
        <v>N/A</v>
      </c>
      <c r="Y204" s="58" t="s">
        <v>1225</v>
      </c>
      <c r="Z204" s="58" t="s">
        <v>234</v>
      </c>
      <c r="AA204" s="58"/>
      <c r="AB204" s="58"/>
      <c r="AC204" s="58"/>
      <c r="AD204" s="58"/>
      <c r="AE204" s="58"/>
      <c r="AF204" s="58"/>
      <c r="AG204" s="58"/>
      <c r="AH204" s="335"/>
      <c r="AI204" s="58"/>
      <c r="AJ204" s="58"/>
      <c r="AK204" s="65"/>
      <c r="AL204" s="58"/>
      <c r="AM204" s="58"/>
      <c r="AN204" s="111" t="s">
        <v>131</v>
      </c>
      <c r="AO204" s="58"/>
      <c r="AP204" s="58"/>
      <c r="AQ204" s="58"/>
      <c r="AR204" s="58"/>
      <c r="AS204" s="58"/>
      <c r="AT204" s="65"/>
      <c r="AU204" s="65"/>
      <c r="AV204" s="65"/>
      <c r="AW204" s="65"/>
      <c r="AX204" s="65"/>
      <c r="AY204" s="58"/>
      <c r="BC204" s="104"/>
      <c r="BD204" s="104"/>
      <c r="BE204" s="104"/>
      <c r="BF204" s="104"/>
      <c r="BG204" s="104"/>
      <c r="BH204" s="104"/>
      <c r="BI204" s="104"/>
      <c r="BJ204" s="104"/>
      <c r="BK204" s="104"/>
      <c r="BL204" s="104"/>
      <c r="BM204" s="104"/>
      <c r="BN204" s="104"/>
      <c r="BO204" s="104"/>
      <c r="BP204" s="104"/>
      <c r="BQ204" s="104"/>
      <c r="BR204" s="104"/>
      <c r="BS204" s="104"/>
      <c r="BT204" s="104"/>
      <c r="BU204" s="104"/>
      <c r="BV204" s="104"/>
      <c r="BW204" s="104"/>
      <c r="BX204" s="104"/>
      <c r="BY204" s="104"/>
      <c r="BZ204" s="104"/>
      <c r="CA204" s="104"/>
      <c r="CB204" s="104"/>
      <c r="CC204" s="104"/>
      <c r="CD204" s="104"/>
      <c r="CE204" s="104"/>
      <c r="CF204" s="104"/>
      <c r="CG204" s="104"/>
      <c r="CH204" s="104"/>
      <c r="CI204" s="104"/>
      <c r="CJ204" s="104"/>
      <c r="CK204" s="104"/>
      <c r="CL204" s="104"/>
      <c r="CM204" s="104"/>
      <c r="CN204" s="104"/>
      <c r="CO204" s="104"/>
      <c r="CP204" s="104"/>
      <c r="CQ204" s="104"/>
      <c r="CR204" s="104"/>
      <c r="CS204" s="104"/>
      <c r="CT204" s="104"/>
      <c r="CU204" s="104"/>
      <c r="CV204" s="104"/>
      <c r="CW204" s="104"/>
      <c r="CX204" s="104"/>
      <c r="CY204" s="104"/>
      <c r="CZ204" s="104"/>
      <c r="DA204" s="104"/>
      <c r="DB204" s="104"/>
      <c r="DC204" s="104"/>
      <c r="DD204" s="104"/>
      <c r="DE204" s="104"/>
      <c r="DF204" s="104"/>
      <c r="DG204" s="104"/>
      <c r="DH204" s="104"/>
    </row>
    <row r="205" ht="20.25" customHeight="1">
      <c r="A205" s="41">
        <v>205.0</v>
      </c>
      <c r="B205" s="59" t="s">
        <v>278</v>
      </c>
      <c r="C205" s="59" t="s">
        <v>108</v>
      </c>
      <c r="D205" s="59" t="s">
        <v>279</v>
      </c>
      <c r="F205" s="152" t="s">
        <v>1220</v>
      </c>
      <c r="G205" s="148" t="s">
        <v>1221</v>
      </c>
      <c r="H205" s="148" t="s">
        <v>282</v>
      </c>
      <c r="I205" s="150">
        <v>45427.0</v>
      </c>
      <c r="J205" s="150">
        <v>45685.0</v>
      </c>
      <c r="K205" s="126" t="s">
        <v>1217</v>
      </c>
      <c r="L205" s="65"/>
      <c r="M205" s="152" t="s">
        <v>1222</v>
      </c>
      <c r="N205" s="152" t="s">
        <v>1223</v>
      </c>
      <c r="O205" s="153"/>
      <c r="P205" s="525" t="s">
        <v>1226</v>
      </c>
      <c r="Q205" s="49" t="str">
        <f t="array" ref="Q205"> if(iserror(MATCH(V205, 'File Links'!C:C, 0)), "N/A", HYPERLINK(INDEX('File Links'!B:B, MATCH(P205, 'File Links'!C:C, 0))))</f>
        <v>https://drive.google.com/file/d/19ZhWLN_zymp-mzX14YC7jEv-MHZn0Qb4/view?usp=drivesdk</v>
      </c>
      <c r="R205" s="126" t="s">
        <v>1224</v>
      </c>
      <c r="S205" s="59" t="s">
        <v>1212</v>
      </c>
      <c r="T205" s="65"/>
      <c r="U205" s="153"/>
      <c r="V205" s="63" t="str">
        <f> hyperlink(vlookup(lower(S205),'File Links'!E:F, 2, FALSE), SUBSTITUTE(lower(S205), "/", "--") &amp;  ".pdf")</f>
        <v>10.1017--s0261444824000120.pdf</v>
      </c>
      <c r="W205" s="126" t="s">
        <v>1219</v>
      </c>
      <c r="X205" s="51" t="str">
        <f t="array" ref="X205"> if(iserror(MATCH(V205, 'File Links'!C:C, 0)), "N/A", HYPERLINK(INDEX('File Links'!B:B, MATCH(V205, 'File Links'!C:C, 0))))</f>
        <v>https://drive.google.com/file/d/1sSSGJnEV4E18FQJXK-1-tt9r58Mi889H/view?usp=drivesdk</v>
      </c>
      <c r="Z205" s="148" t="s">
        <v>288</v>
      </c>
      <c r="AA205" s="65"/>
      <c r="AB205" s="65"/>
      <c r="AC205" s="65"/>
      <c r="AD205" s="155"/>
      <c r="AE205" s="153"/>
      <c r="AF205" s="153"/>
      <c r="AG205" s="153"/>
      <c r="AH205" s="156"/>
      <c r="AI205" s="65"/>
      <c r="AJ205" s="157"/>
      <c r="AK205" s="54"/>
      <c r="AL205" s="54"/>
      <c r="AM205" s="65"/>
      <c r="AN205" s="111" t="s">
        <v>131</v>
      </c>
      <c r="AO205" s="153"/>
      <c r="AP205" s="153"/>
      <c r="AQ205" s="156"/>
      <c r="AR205" s="65"/>
      <c r="AS205" s="159"/>
      <c r="AT205" s="156"/>
      <c r="AU205" s="156"/>
      <c r="AV205" s="65"/>
      <c r="AW205" s="307"/>
      <c r="AX205" s="65"/>
      <c r="BC205" s="69"/>
      <c r="BD205" s="69"/>
      <c r="BE205" s="69"/>
      <c r="BF205" s="69"/>
      <c r="BG205" s="69"/>
      <c r="BH205" s="69"/>
      <c r="BI205" s="69"/>
      <c r="BJ205" s="69"/>
      <c r="BK205" s="69"/>
      <c r="BL205" s="69"/>
      <c r="BM205" s="69"/>
      <c r="BN205" s="69"/>
      <c r="BO205" s="69"/>
      <c r="BP205" s="69"/>
      <c r="BQ205" s="69"/>
      <c r="BR205" s="69"/>
      <c r="BS205" s="69"/>
      <c r="BT205" s="69"/>
      <c r="BU205" s="69"/>
      <c r="BV205" s="69"/>
      <c r="BW205" s="69"/>
      <c r="BX205" s="69"/>
      <c r="BY205" s="69"/>
      <c r="BZ205" s="69"/>
      <c r="CA205" s="69"/>
      <c r="CB205" s="69"/>
      <c r="CC205" s="69"/>
      <c r="CD205" s="69"/>
      <c r="CE205" s="69"/>
      <c r="CF205" s="69"/>
      <c r="CG205" s="69"/>
      <c r="CH205" s="69"/>
      <c r="CI205" s="69"/>
      <c r="CJ205" s="69"/>
      <c r="CK205" s="69"/>
      <c r="CL205" s="69"/>
      <c r="CM205" s="69"/>
      <c r="CN205" s="69"/>
      <c r="CO205" s="69"/>
      <c r="CP205" s="69"/>
      <c r="CQ205" s="69"/>
      <c r="CR205" s="69"/>
      <c r="CS205" s="69"/>
      <c r="CT205" s="69"/>
      <c r="CU205" s="69"/>
      <c r="CV205" s="69"/>
      <c r="CW205" s="69"/>
      <c r="CX205" s="69"/>
      <c r="CY205" s="69"/>
      <c r="CZ205" s="69"/>
      <c r="DA205" s="69"/>
      <c r="DB205" s="69"/>
      <c r="DC205" s="69"/>
      <c r="DD205" s="69"/>
      <c r="DE205" s="69"/>
      <c r="DF205" s="69"/>
      <c r="DG205" s="69"/>
      <c r="DH205" s="69"/>
    </row>
    <row r="206" ht="20.25" customHeight="1">
      <c r="A206" s="41">
        <v>206.0</v>
      </c>
      <c r="B206" s="196" t="s">
        <v>107</v>
      </c>
      <c r="C206" s="196" t="s">
        <v>108</v>
      </c>
      <c r="D206" s="528" t="s">
        <v>1227</v>
      </c>
      <c r="E206" s="529"/>
      <c r="F206" s="201" t="s">
        <v>1228</v>
      </c>
      <c r="G206" s="199" t="s">
        <v>1229</v>
      </c>
      <c r="H206" s="199" t="s">
        <v>1230</v>
      </c>
      <c r="I206" s="530">
        <v>45641.0</v>
      </c>
      <c r="J206" s="531">
        <v>45670.0</v>
      </c>
      <c r="K206" s="451"/>
      <c r="L206" s="209" t="s">
        <v>1231</v>
      </c>
      <c r="M206" s="109" t="s">
        <v>1232</v>
      </c>
      <c r="N206" s="109" t="s">
        <v>1233</v>
      </c>
      <c r="O206" s="114">
        <v>1.0</v>
      </c>
      <c r="P206" s="532" t="s">
        <v>1234</v>
      </c>
      <c r="Q206" s="49" t="str">
        <f t="array" ref="Q206"> if(iserror(MATCH(V206, 'File Links'!C:C, 0)), "N/A", HYPERLINK(INDEX('File Links'!B:B, MATCH(P206, 'File Links'!C:C, 0))))</f>
        <v>https://drive.google.com/file/d/1hiobo976wpKGT4ybTmzucLhLBTnypf_I/view?usp=drivesdk</v>
      </c>
      <c r="R206" s="109" t="s">
        <v>1235</v>
      </c>
      <c r="S206" s="109" t="s">
        <v>1236</v>
      </c>
      <c r="U206" s="363">
        <v>1.0</v>
      </c>
      <c r="V206" s="63" t="str">
        <f> hyperlink(vlookup(lower(S206),'File Links'!E:F, 2, FALSE), SUBSTITUTE(lower(S206), "/", "--") &amp;  ".pdf")</f>
        <v>10.1002--jeab.915.pdf</v>
      </c>
      <c r="W206" s="109" t="s">
        <v>1237</v>
      </c>
      <c r="X206" s="51" t="str">
        <f t="array" ref="X206"> if(iserror(MATCH(V206, 'File Links'!C:C, 0)), "N/A", HYPERLINK(INDEX('File Links'!B:B, MATCH(V206, 'File Links'!C:C, 0))))</f>
        <v>https://drive.google.com/file/d/1s7Xp1h565EAKnPa_0Zp3RnS0qmb4t53a/view?usp=drivesdk</v>
      </c>
      <c r="Y206" s="109"/>
      <c r="Z206" s="109" t="s">
        <v>141</v>
      </c>
      <c r="AA206" s="109"/>
      <c r="AB206" s="111"/>
      <c r="AC206" s="111"/>
      <c r="AD206" s="109" t="s">
        <v>1238</v>
      </c>
      <c r="AE206" s="114">
        <v>96.0</v>
      </c>
      <c r="AF206" s="111"/>
      <c r="AG206" s="111"/>
      <c r="AH206" s="117"/>
      <c r="AI206" s="111"/>
      <c r="AJ206" s="111"/>
      <c r="AK206" s="108"/>
      <c r="AL206" s="111"/>
      <c r="AM206" s="111"/>
      <c r="AN206" s="111" t="s">
        <v>131</v>
      </c>
      <c r="AO206" s="456">
        <v>81.0</v>
      </c>
      <c r="AP206" s="111"/>
      <c r="AQ206" s="111"/>
      <c r="AR206" s="111"/>
      <c r="AS206" s="111"/>
      <c r="AT206" s="108"/>
      <c r="AU206" s="108"/>
      <c r="AV206" s="108"/>
      <c r="AW206" s="108"/>
      <c r="AX206" s="108"/>
      <c r="AY206" s="126" t="s">
        <v>1231</v>
      </c>
      <c r="AZ206" s="146" t="s">
        <v>137</v>
      </c>
      <c r="BC206" s="104"/>
      <c r="BD206" s="104"/>
      <c r="BE206" s="104"/>
      <c r="BF206" s="104"/>
      <c r="BG206" s="104"/>
      <c r="BH206" s="104"/>
      <c r="BI206" s="104"/>
      <c r="BJ206" s="104"/>
      <c r="BK206" s="104"/>
      <c r="BL206" s="104"/>
      <c r="BM206" s="104"/>
      <c r="BN206" s="104"/>
      <c r="BO206" s="104"/>
      <c r="BP206" s="104"/>
      <c r="BQ206" s="104"/>
      <c r="BR206" s="104"/>
      <c r="BS206" s="104"/>
      <c r="BT206" s="104"/>
      <c r="BU206" s="104"/>
      <c r="BV206" s="104"/>
      <c r="BW206" s="104"/>
      <c r="BX206" s="104"/>
      <c r="BY206" s="104"/>
      <c r="BZ206" s="104"/>
      <c r="CA206" s="104"/>
      <c r="CB206" s="104"/>
      <c r="CC206" s="104"/>
      <c r="CD206" s="104"/>
      <c r="CE206" s="104"/>
      <c r="CF206" s="104"/>
      <c r="CG206" s="104"/>
      <c r="CH206" s="104"/>
      <c r="CI206" s="104"/>
      <c r="CJ206" s="104"/>
      <c r="CK206" s="104"/>
      <c r="CL206" s="104"/>
      <c r="CM206" s="104"/>
      <c r="CN206" s="104"/>
      <c r="CO206" s="104"/>
      <c r="CP206" s="104"/>
      <c r="CQ206" s="104"/>
      <c r="CR206" s="104"/>
      <c r="CS206" s="104"/>
      <c r="CT206" s="104"/>
      <c r="CU206" s="104"/>
      <c r="CV206" s="104"/>
      <c r="CW206" s="104"/>
      <c r="CX206" s="104"/>
      <c r="CY206" s="104"/>
      <c r="CZ206" s="104"/>
      <c r="DA206" s="104"/>
      <c r="DB206" s="104"/>
      <c r="DC206" s="104"/>
      <c r="DD206" s="104"/>
      <c r="DE206" s="104"/>
      <c r="DF206" s="104"/>
      <c r="DG206" s="104"/>
      <c r="DH206" s="104"/>
    </row>
    <row r="207" ht="20.25" customHeight="1">
      <c r="A207" s="41">
        <v>207.0</v>
      </c>
      <c r="B207" s="196" t="s">
        <v>145</v>
      </c>
      <c r="C207" s="196" t="s">
        <v>108</v>
      </c>
      <c r="D207" s="196" t="s">
        <v>279</v>
      </c>
      <c r="E207" s="197"/>
      <c r="F207" s="201" t="s">
        <v>1228</v>
      </c>
      <c r="G207" s="199" t="s">
        <v>1229</v>
      </c>
      <c r="H207" s="202" t="s">
        <v>279</v>
      </c>
      <c r="I207" s="530">
        <v>45636.0</v>
      </c>
      <c r="J207" s="531">
        <v>45670.0</v>
      </c>
      <c r="K207" s="198" t="s">
        <v>1239</v>
      </c>
      <c r="L207" s="209" t="s">
        <v>1240</v>
      </c>
      <c r="M207" s="417" t="s">
        <v>1241</v>
      </c>
      <c r="N207" s="119" t="s">
        <v>1233</v>
      </c>
      <c r="O207" s="114">
        <v>1.0</v>
      </c>
      <c r="P207" s="533" t="s">
        <v>1234</v>
      </c>
      <c r="Q207" s="49" t="str">
        <f t="array" ref="Q207"> if(iserror(MATCH(V207, 'File Links'!C:C, 0)), "N/A", HYPERLINK(INDEX('File Links'!B:B, MATCH(P207, 'File Links'!C:C, 0))))</f>
        <v>https://drive.google.com/file/d/1hiobo976wpKGT4ybTmzucLhLBTnypf_I/view?usp=drivesdk</v>
      </c>
      <c r="R207" s="417" t="s">
        <v>1242</v>
      </c>
      <c r="S207" s="109" t="s">
        <v>1236</v>
      </c>
      <c r="U207" s="130">
        <v>1.0</v>
      </c>
      <c r="V207" s="63" t="str">
        <f> hyperlink(vlookup(lower(S207),'File Links'!E:F, 2, FALSE), SUBSTITUTE(lower(S207), "/", "--") &amp;  ".pdf")</f>
        <v>10.1002--jeab.915.pdf</v>
      </c>
      <c r="W207" s="119" t="s">
        <v>1237</v>
      </c>
      <c r="X207" s="51" t="str">
        <f t="array" ref="X207"> if(iserror(MATCH(V207, 'File Links'!C:C, 0)), "N/A", HYPERLINK(INDEX('File Links'!B:B, MATCH(V207, 'File Links'!C:C, 0))))</f>
        <v>https://drive.google.com/file/d/1s7Xp1h565EAKnPa_0Zp3RnS0qmb4t53a/view?usp=drivesdk</v>
      </c>
      <c r="Y207" s="108"/>
      <c r="Z207" s="119" t="s">
        <v>141</v>
      </c>
      <c r="AA207" s="108" t="s">
        <v>1243</v>
      </c>
      <c r="AB207" s="119" t="s">
        <v>1244</v>
      </c>
      <c r="AC207" s="119" t="s">
        <v>1245</v>
      </c>
      <c r="AD207" s="119" t="s">
        <v>1246</v>
      </c>
      <c r="AE207" s="534">
        <v>107.0</v>
      </c>
      <c r="AF207" s="534">
        <v>54.0</v>
      </c>
      <c r="AG207" s="113" t="s">
        <v>1247</v>
      </c>
      <c r="AH207" s="346" t="s">
        <v>127</v>
      </c>
      <c r="AI207" s="113" t="s">
        <v>1248</v>
      </c>
      <c r="AJ207" s="114">
        <v>1.0E-5</v>
      </c>
      <c r="AK207" s="119" t="s">
        <v>165</v>
      </c>
      <c r="AL207" s="109" t="s">
        <v>179</v>
      </c>
      <c r="AM207" s="108" t="s">
        <v>130</v>
      </c>
      <c r="AN207" s="216" t="s">
        <v>131</v>
      </c>
      <c r="AO207" s="534">
        <v>81.0</v>
      </c>
      <c r="AP207" s="534">
        <v>0.73</v>
      </c>
      <c r="AQ207" s="119" t="s">
        <v>1249</v>
      </c>
      <c r="AR207" s="119" t="s">
        <v>1250</v>
      </c>
      <c r="AS207" s="534">
        <v>1.0E-5</v>
      </c>
      <c r="AT207" s="119" t="s">
        <v>165</v>
      </c>
      <c r="AU207" s="119" t="s">
        <v>179</v>
      </c>
      <c r="AV207" s="108" t="s">
        <v>130</v>
      </c>
      <c r="AW207" s="59" t="s">
        <v>131</v>
      </c>
      <c r="AX207" s="108" t="s">
        <v>431</v>
      </c>
      <c r="AY207" s="126" t="s">
        <v>1240</v>
      </c>
      <c r="AZ207" s="146" t="s">
        <v>137</v>
      </c>
      <c r="BC207" s="69"/>
      <c r="BD207" s="69"/>
      <c r="BE207" s="69"/>
      <c r="BF207" s="69"/>
      <c r="BG207" s="69"/>
      <c r="BH207" s="69"/>
      <c r="BI207" s="69"/>
      <c r="BJ207" s="69"/>
      <c r="BK207" s="69"/>
      <c r="BL207" s="69"/>
      <c r="BM207" s="69"/>
      <c r="BN207" s="69"/>
      <c r="BO207" s="69"/>
      <c r="BP207" s="69"/>
      <c r="BQ207" s="69"/>
      <c r="BR207" s="69"/>
      <c r="BS207" s="69"/>
      <c r="BT207" s="69"/>
      <c r="BU207" s="69"/>
      <c r="BV207" s="69"/>
      <c r="BW207" s="69"/>
      <c r="BX207" s="69"/>
      <c r="BY207" s="69"/>
      <c r="BZ207" s="69"/>
      <c r="CA207" s="69"/>
      <c r="CB207" s="69"/>
      <c r="CC207" s="69"/>
      <c r="CD207" s="69"/>
      <c r="CE207" s="69"/>
      <c r="CF207" s="69"/>
      <c r="CG207" s="69"/>
      <c r="CH207" s="69"/>
      <c r="CI207" s="69"/>
      <c r="CJ207" s="69"/>
      <c r="CK207" s="69"/>
      <c r="CL207" s="69"/>
      <c r="CM207" s="69"/>
      <c r="CN207" s="69"/>
      <c r="CO207" s="69"/>
      <c r="CP207" s="69"/>
      <c r="CQ207" s="69"/>
      <c r="CR207" s="69"/>
      <c r="CS207" s="69"/>
      <c r="CT207" s="69"/>
      <c r="CU207" s="69"/>
      <c r="CV207" s="69"/>
      <c r="CW207" s="69"/>
      <c r="CX207" s="69"/>
      <c r="CY207" s="69"/>
      <c r="CZ207" s="69"/>
      <c r="DA207" s="69"/>
      <c r="DB207" s="69"/>
      <c r="DC207" s="69"/>
      <c r="DD207" s="69"/>
      <c r="DE207" s="69"/>
      <c r="DF207" s="69"/>
      <c r="DG207" s="69"/>
      <c r="DH207" s="69"/>
    </row>
    <row r="208" ht="20.25" customHeight="1">
      <c r="A208" s="41">
        <v>208.0</v>
      </c>
      <c r="B208" s="535" t="s">
        <v>145</v>
      </c>
      <c r="C208" s="535" t="s">
        <v>108</v>
      </c>
      <c r="D208" s="535" t="s">
        <v>279</v>
      </c>
      <c r="E208" s="536"/>
      <c r="F208" s="147" t="s">
        <v>1251</v>
      </c>
      <c r="G208" s="148" t="s">
        <v>1252</v>
      </c>
      <c r="H208" s="148" t="s">
        <v>282</v>
      </c>
      <c r="I208" s="149"/>
      <c r="J208" s="537">
        <v>45775.0</v>
      </c>
      <c r="L208" s="126" t="s">
        <v>1253</v>
      </c>
      <c r="M208" s="152" t="s">
        <v>1254</v>
      </c>
      <c r="N208" s="152" t="s">
        <v>1255</v>
      </c>
      <c r="O208" s="375">
        <v>1.0</v>
      </c>
      <c r="P208" s="115" t="str">
        <f> hyperlink(vlookup(lower(N208),'File Links'!A:B, 2, FALSE), SUBSTITUTE(lower(N208), "/", "--") &amp;  ".pdf")</f>
        <v>10.1016--j.psychres.2017.09.048.pdf</v>
      </c>
      <c r="Q208" s="49" t="str">
        <f t="array" ref="Q208"> if(iserror(MATCH(V208, 'File Links'!C:C, 0)), "N/A", HYPERLINK(INDEX('File Links'!B:B, MATCH(P208, 'File Links'!C:C, 0))))</f>
        <v>https://drive.google.com/file/d/1bB5zAUL5oQPM2ClvdBCDeAd5AlkWVp4P/view?usp=drivesdk</v>
      </c>
      <c r="R208" s="126" t="s">
        <v>1256</v>
      </c>
      <c r="S208" s="58" t="s">
        <v>1257</v>
      </c>
      <c r="T208" s="65"/>
      <c r="U208" s="375">
        <v>1.0</v>
      </c>
      <c r="V208" s="63" t="str">
        <f> hyperlink(vlookup(lower(S208),'File Links'!E:F, 2, FALSE), SUBSTITUTE(lower(S208), "/", "--") &amp;  ".pdf")</f>
        <v>10.1002--erv.3103.pdf</v>
      </c>
      <c r="W208" s="126" t="s">
        <v>1258</v>
      </c>
      <c r="X208" s="51" t="str">
        <f t="array" ref="X208"> if(iserror(MATCH(V208, 'File Links'!C:C, 0)), "N/A", HYPERLINK(INDEX('File Links'!B:B, MATCH(V208, 'File Links'!C:C, 0))))</f>
        <v>https://drive.google.com/file/d/1bJ0BC-Xy_bNt41DXHAjv1ms0mnz9Vq86/view?usp=drivesdk</v>
      </c>
      <c r="Z208" s="148" t="s">
        <v>141</v>
      </c>
      <c r="AA208" s="126" t="s">
        <v>1259</v>
      </c>
      <c r="AB208" s="126" t="s">
        <v>1260</v>
      </c>
      <c r="AC208" s="368" t="s">
        <v>1261</v>
      </c>
      <c r="AD208" s="538" t="s">
        <v>1262</v>
      </c>
      <c r="AE208" s="158" t="s">
        <v>843</v>
      </c>
      <c r="AF208" s="158">
        <v>89.0</v>
      </c>
      <c r="AG208" s="158">
        <v>0.556</v>
      </c>
      <c r="AH208" s="377" t="s">
        <v>867</v>
      </c>
      <c r="AI208" s="126" t="s">
        <v>843</v>
      </c>
      <c r="AJ208" s="163">
        <v>0.001</v>
      </c>
      <c r="AK208" s="148" t="s">
        <v>128</v>
      </c>
      <c r="AL208" s="148" t="s">
        <v>129</v>
      </c>
      <c r="AM208" s="126" t="s">
        <v>134</v>
      </c>
      <c r="AN208" s="216" t="s">
        <v>131</v>
      </c>
      <c r="AO208" s="158">
        <v>74.0</v>
      </c>
      <c r="AP208" s="158">
        <v>0.547</v>
      </c>
      <c r="AQ208" s="377" t="s">
        <v>867</v>
      </c>
      <c r="AR208" s="368" t="s">
        <v>843</v>
      </c>
      <c r="AS208" s="163">
        <v>0.001</v>
      </c>
      <c r="AT208" s="148" t="s">
        <v>128</v>
      </c>
      <c r="AU208" s="148" t="s">
        <v>179</v>
      </c>
      <c r="AV208" s="126" t="s">
        <v>134</v>
      </c>
      <c r="AW208" s="539" t="s">
        <v>131</v>
      </c>
      <c r="AX208" s="126" t="s">
        <v>431</v>
      </c>
      <c r="AZ208" s="378" t="s">
        <v>1263</v>
      </c>
      <c r="BC208" s="104"/>
      <c r="BD208" s="104"/>
      <c r="BE208" s="104"/>
      <c r="BF208" s="104"/>
      <c r="BG208" s="104"/>
      <c r="BH208" s="104"/>
      <c r="BI208" s="104"/>
      <c r="BJ208" s="104"/>
      <c r="BK208" s="104"/>
      <c r="BL208" s="104"/>
      <c r="BM208" s="104"/>
      <c r="BN208" s="104"/>
      <c r="BO208" s="104"/>
      <c r="BP208" s="104"/>
      <c r="BQ208" s="104"/>
      <c r="BR208" s="104"/>
      <c r="BS208" s="104"/>
      <c r="BT208" s="104"/>
      <c r="BU208" s="104"/>
      <c r="BV208" s="104"/>
      <c r="BW208" s="104"/>
      <c r="BX208" s="104"/>
      <c r="BY208" s="104"/>
      <c r="BZ208" s="104"/>
      <c r="CA208" s="104"/>
      <c r="CB208" s="104"/>
      <c r="CC208" s="104"/>
      <c r="CD208" s="104"/>
      <c r="CE208" s="104"/>
      <c r="CF208" s="104"/>
      <c r="CG208" s="104"/>
      <c r="CH208" s="104"/>
      <c r="CI208" s="104"/>
      <c r="CJ208" s="104"/>
      <c r="CK208" s="104"/>
      <c r="CL208" s="104"/>
      <c r="CM208" s="104"/>
      <c r="CN208" s="104"/>
      <c r="CO208" s="104"/>
      <c r="CP208" s="104"/>
      <c r="CQ208" s="104"/>
      <c r="CR208" s="104"/>
      <c r="CS208" s="104"/>
      <c r="CT208" s="104"/>
      <c r="CU208" s="104"/>
      <c r="CV208" s="104"/>
      <c r="CW208" s="104"/>
      <c r="CX208" s="104"/>
      <c r="CY208" s="104"/>
      <c r="CZ208" s="104"/>
      <c r="DA208" s="104"/>
      <c r="DB208" s="104"/>
      <c r="DC208" s="104"/>
      <c r="DD208" s="104"/>
      <c r="DE208" s="104"/>
      <c r="DF208" s="104"/>
      <c r="DG208" s="104"/>
      <c r="DH208" s="104"/>
    </row>
    <row r="209" ht="20.25" customHeight="1">
      <c r="A209" s="41">
        <v>209.0</v>
      </c>
      <c r="B209" s="535" t="s">
        <v>145</v>
      </c>
      <c r="C209" s="535" t="s">
        <v>108</v>
      </c>
      <c r="D209" s="535" t="s">
        <v>279</v>
      </c>
      <c r="E209" s="536"/>
      <c r="F209" s="147" t="s">
        <v>1251</v>
      </c>
      <c r="G209" s="148" t="s">
        <v>1264</v>
      </c>
      <c r="H209" s="148" t="s">
        <v>282</v>
      </c>
      <c r="I209" s="149"/>
      <c r="J209" s="537">
        <v>45775.0</v>
      </c>
      <c r="L209" s="126" t="s">
        <v>1253</v>
      </c>
      <c r="M209" s="152" t="s">
        <v>1265</v>
      </c>
      <c r="N209" s="152" t="s">
        <v>1255</v>
      </c>
      <c r="O209" s="375">
        <v>1.0</v>
      </c>
      <c r="P209" s="115" t="str">
        <f> hyperlink(vlookup(lower(N209),'File Links'!A:B, 2, FALSE), SUBSTITUTE(lower(N209), "/", "--") &amp;  ".pdf")</f>
        <v>10.1016--j.psychres.2017.09.048.pdf</v>
      </c>
      <c r="Q209" s="49" t="str">
        <f t="array" ref="Q209"> if(iserror(MATCH(V209, 'File Links'!C:C, 0)), "N/A", HYPERLINK(INDEX('File Links'!B:B, MATCH(P209, 'File Links'!C:C, 0))))</f>
        <v>https://drive.google.com/file/d/1bB5zAUL5oQPM2ClvdBCDeAd5AlkWVp4P/view?usp=drivesdk</v>
      </c>
      <c r="R209" s="126" t="s">
        <v>1256</v>
      </c>
      <c r="S209" s="58" t="s">
        <v>1257</v>
      </c>
      <c r="T209" s="65"/>
      <c r="U209" s="375">
        <v>1.0</v>
      </c>
      <c r="V209" s="63" t="str">
        <f> hyperlink(vlookup(lower(S209),'File Links'!E:F, 2, FALSE), SUBSTITUTE(lower(S209), "/", "--") &amp;  ".pdf")</f>
        <v>10.1002--erv.3103.pdf</v>
      </c>
      <c r="W209" s="126" t="s">
        <v>1258</v>
      </c>
      <c r="X209" s="51" t="str">
        <f t="array" ref="X209"> if(iserror(MATCH(V209, 'File Links'!C:C, 0)), "N/A", HYPERLINK(INDEX('File Links'!B:B, MATCH(V209, 'File Links'!C:C, 0))))</f>
        <v>https://drive.google.com/file/d/1bJ0BC-Xy_bNt41DXHAjv1ms0mnz9Vq86/view?usp=drivesdk</v>
      </c>
      <c r="Z209" s="148" t="s">
        <v>141</v>
      </c>
      <c r="AA209" s="126" t="s">
        <v>1266</v>
      </c>
      <c r="AB209" s="126" t="s">
        <v>1260</v>
      </c>
      <c r="AC209" s="368" t="s">
        <v>1261</v>
      </c>
      <c r="AD209" s="538" t="s">
        <v>1267</v>
      </c>
      <c r="AE209" s="158" t="s">
        <v>843</v>
      </c>
      <c r="AF209" s="158">
        <v>89.0</v>
      </c>
      <c r="AG209" s="158">
        <v>0.067</v>
      </c>
      <c r="AH209" s="377" t="s">
        <v>867</v>
      </c>
      <c r="AI209" s="126" t="s">
        <v>843</v>
      </c>
      <c r="AJ209" s="163">
        <v>0.031</v>
      </c>
      <c r="AK209" s="148" t="s">
        <v>165</v>
      </c>
      <c r="AL209" s="148" t="s">
        <v>129</v>
      </c>
      <c r="AM209" s="126" t="s">
        <v>134</v>
      </c>
      <c r="AN209" s="216" t="s">
        <v>131</v>
      </c>
      <c r="AO209" s="158">
        <v>74.0</v>
      </c>
      <c r="AP209" s="158">
        <v>0.095</v>
      </c>
      <c r="AQ209" s="377" t="s">
        <v>867</v>
      </c>
      <c r="AR209" s="368" t="s">
        <v>843</v>
      </c>
      <c r="AS209" s="163">
        <v>0.008</v>
      </c>
      <c r="AT209" s="148" t="s">
        <v>165</v>
      </c>
      <c r="AU209" s="148" t="s">
        <v>179</v>
      </c>
      <c r="AV209" s="126" t="s">
        <v>134</v>
      </c>
      <c r="AW209" s="539" t="s">
        <v>131</v>
      </c>
      <c r="AX209" s="126" t="s">
        <v>431</v>
      </c>
      <c r="AZ209" s="378" t="s">
        <v>1263</v>
      </c>
      <c r="BC209" s="69"/>
      <c r="BD209" s="69"/>
      <c r="BE209" s="69"/>
      <c r="BF209" s="69"/>
      <c r="BG209" s="69"/>
      <c r="BH209" s="69"/>
      <c r="BI209" s="69"/>
      <c r="BJ209" s="69"/>
      <c r="BK209" s="69"/>
      <c r="BL209" s="69"/>
      <c r="BM209" s="69"/>
      <c r="BN209" s="69"/>
      <c r="BO209" s="69"/>
      <c r="BP209" s="69"/>
      <c r="BQ209" s="69"/>
      <c r="BR209" s="69"/>
      <c r="BS209" s="69"/>
      <c r="BT209" s="69"/>
      <c r="BU209" s="69"/>
      <c r="BV209" s="69"/>
      <c r="BW209" s="69"/>
      <c r="BX209" s="69"/>
      <c r="BY209" s="69"/>
      <c r="BZ209" s="69"/>
      <c r="CA209" s="69"/>
      <c r="CB209" s="69"/>
      <c r="CC209" s="69"/>
      <c r="CD209" s="69"/>
      <c r="CE209" s="69"/>
      <c r="CF209" s="69"/>
      <c r="CG209" s="69"/>
      <c r="CH209" s="69"/>
      <c r="CI209" s="69"/>
      <c r="CJ209" s="69"/>
      <c r="CK209" s="69"/>
      <c r="CL209" s="69"/>
      <c r="CM209" s="69"/>
      <c r="CN209" s="69"/>
      <c r="CO209" s="69"/>
      <c r="CP209" s="69"/>
      <c r="CQ209" s="69"/>
      <c r="CR209" s="69"/>
      <c r="CS209" s="69"/>
      <c r="CT209" s="69"/>
      <c r="CU209" s="69"/>
      <c r="CV209" s="69"/>
      <c r="CW209" s="69"/>
      <c r="CX209" s="69"/>
      <c r="CY209" s="69"/>
      <c r="CZ209" s="69"/>
      <c r="DA209" s="69"/>
      <c r="DB209" s="69"/>
      <c r="DC209" s="69"/>
      <c r="DD209" s="69"/>
      <c r="DE209" s="69"/>
      <c r="DF209" s="69"/>
      <c r="DG209" s="69"/>
      <c r="DH209" s="69"/>
    </row>
    <row r="210" ht="20.25" customHeight="1">
      <c r="A210" s="41">
        <v>210.0</v>
      </c>
      <c r="B210" s="535" t="s">
        <v>145</v>
      </c>
      <c r="C210" s="535" t="s">
        <v>108</v>
      </c>
      <c r="D210" s="535" t="s">
        <v>279</v>
      </c>
      <c r="E210" s="536"/>
      <c r="F210" s="147" t="s">
        <v>1251</v>
      </c>
      <c r="G210" s="148" t="s">
        <v>1268</v>
      </c>
      <c r="H210" s="148" t="s">
        <v>282</v>
      </c>
      <c r="I210" s="149"/>
      <c r="J210" s="537">
        <v>45775.0</v>
      </c>
      <c r="L210" s="126" t="s">
        <v>1269</v>
      </c>
      <c r="M210" s="152" t="s">
        <v>1270</v>
      </c>
      <c r="N210" s="152" t="s">
        <v>1255</v>
      </c>
      <c r="O210" s="375">
        <v>1.0</v>
      </c>
      <c r="P210" s="115" t="str">
        <f> hyperlink(vlookup(lower(N210),'File Links'!A:B, 2, FALSE), SUBSTITUTE(lower(N210), "/", "--") &amp;  ".pdf")</f>
        <v>10.1016--j.psychres.2017.09.048.pdf</v>
      </c>
      <c r="Q210" s="49" t="str">
        <f t="array" ref="Q210"> if(iserror(MATCH(V210, 'File Links'!C:C, 0)), "N/A", HYPERLINK(INDEX('File Links'!B:B, MATCH(P210, 'File Links'!C:C, 0))))</f>
        <v>https://drive.google.com/file/d/1bB5zAUL5oQPM2ClvdBCDeAd5AlkWVp4P/view?usp=drivesdk</v>
      </c>
      <c r="R210" s="126" t="s">
        <v>1256</v>
      </c>
      <c r="S210" s="58" t="s">
        <v>1257</v>
      </c>
      <c r="T210" s="65"/>
      <c r="U210" s="375">
        <v>1.0</v>
      </c>
      <c r="V210" s="63" t="str">
        <f> hyperlink(vlookup(lower(S210),'File Links'!E:F, 2, FALSE), SUBSTITUTE(lower(S210), "/", "--") &amp;  ".pdf")</f>
        <v>10.1002--erv.3103.pdf</v>
      </c>
      <c r="W210" s="126" t="s">
        <v>1258</v>
      </c>
      <c r="X210" s="51" t="str">
        <f t="array" ref="X210"> if(iserror(MATCH(V210, 'File Links'!C:C, 0)), "N/A", HYPERLINK(INDEX('File Links'!B:B, MATCH(V210, 'File Links'!C:C, 0))))</f>
        <v>https://drive.google.com/file/d/1bJ0BC-Xy_bNt41DXHAjv1ms0mnz9Vq86/view?usp=drivesdk</v>
      </c>
      <c r="Z210" s="148" t="s">
        <v>141</v>
      </c>
      <c r="AA210" s="126" t="s">
        <v>1271</v>
      </c>
      <c r="AB210" s="126" t="s">
        <v>1260</v>
      </c>
      <c r="AC210" s="368" t="s">
        <v>1261</v>
      </c>
      <c r="AD210" s="538" t="s">
        <v>1272</v>
      </c>
      <c r="AE210" s="158" t="s">
        <v>843</v>
      </c>
      <c r="AF210" s="158">
        <v>89.0</v>
      </c>
      <c r="AG210" s="158">
        <v>0.518</v>
      </c>
      <c r="AH210" s="377" t="s">
        <v>867</v>
      </c>
      <c r="AI210" s="126" t="s">
        <v>843</v>
      </c>
      <c r="AJ210" s="163">
        <v>0.001</v>
      </c>
      <c r="AK210" s="148" t="s">
        <v>128</v>
      </c>
      <c r="AL210" s="148" t="s">
        <v>129</v>
      </c>
      <c r="AM210" s="126" t="s">
        <v>134</v>
      </c>
      <c r="AN210" s="216" t="s">
        <v>131</v>
      </c>
      <c r="AO210" s="158">
        <v>74.0</v>
      </c>
      <c r="AP210" s="158">
        <v>0.369</v>
      </c>
      <c r="AQ210" s="377" t="s">
        <v>867</v>
      </c>
      <c r="AR210" s="368" t="s">
        <v>843</v>
      </c>
      <c r="AS210" s="163">
        <v>0.001</v>
      </c>
      <c r="AT210" s="148" t="s">
        <v>128</v>
      </c>
      <c r="AU210" s="148" t="s">
        <v>179</v>
      </c>
      <c r="AV210" s="126" t="s">
        <v>134</v>
      </c>
      <c r="AW210" s="539" t="s">
        <v>131</v>
      </c>
      <c r="AX210" s="126" t="s">
        <v>431</v>
      </c>
      <c r="AZ210" s="378" t="s">
        <v>1263</v>
      </c>
    </row>
    <row r="211" ht="20.25" customHeight="1">
      <c r="A211" s="41">
        <v>211.0</v>
      </c>
      <c r="B211" s="535" t="s">
        <v>145</v>
      </c>
      <c r="C211" s="535" t="s">
        <v>108</v>
      </c>
      <c r="D211" s="535" t="s">
        <v>279</v>
      </c>
      <c r="E211" s="536"/>
      <c r="F211" s="147" t="s">
        <v>1251</v>
      </c>
      <c r="G211" s="148" t="s">
        <v>1273</v>
      </c>
      <c r="H211" s="148" t="s">
        <v>282</v>
      </c>
      <c r="I211" s="149"/>
      <c r="J211" s="537">
        <v>45775.0</v>
      </c>
      <c r="K211" s="126" t="s">
        <v>1274</v>
      </c>
      <c r="L211" s="126" t="s">
        <v>1269</v>
      </c>
      <c r="M211" s="152" t="s">
        <v>1275</v>
      </c>
      <c r="N211" s="152" t="s">
        <v>1255</v>
      </c>
      <c r="O211" s="375">
        <v>1.0</v>
      </c>
      <c r="P211" s="115" t="str">
        <f> hyperlink(vlookup(lower(N211),'File Links'!A:B, 2, FALSE), SUBSTITUTE(lower(N211), "/", "--") &amp;  ".pdf")</f>
        <v>10.1016--j.psychres.2017.09.048.pdf</v>
      </c>
      <c r="Q211" s="49" t="str">
        <f t="array" ref="Q211"> if(iserror(MATCH(V211, 'File Links'!C:C, 0)), "N/A", HYPERLINK(INDEX('File Links'!B:B, MATCH(P211, 'File Links'!C:C, 0))))</f>
        <v>https://drive.google.com/file/d/1bB5zAUL5oQPM2ClvdBCDeAd5AlkWVp4P/view?usp=drivesdk</v>
      </c>
      <c r="R211" s="126" t="s">
        <v>1256</v>
      </c>
      <c r="S211" s="58" t="s">
        <v>1257</v>
      </c>
      <c r="T211" s="65"/>
      <c r="U211" s="375">
        <v>1.0</v>
      </c>
      <c r="V211" s="63" t="str">
        <f> hyperlink(vlookup(lower(S211),'File Links'!E:F, 2, FALSE), SUBSTITUTE(lower(S211), "/", "--") &amp;  ".pdf")</f>
        <v>10.1002--erv.3103.pdf</v>
      </c>
      <c r="W211" s="126" t="s">
        <v>1258</v>
      </c>
      <c r="X211" s="51" t="str">
        <f t="array" ref="X211"> if(iserror(MATCH(V211, 'File Links'!C:C, 0)), "N/A", HYPERLINK(INDEX('File Links'!B:B, MATCH(V211, 'File Links'!C:C, 0))))</f>
        <v>https://drive.google.com/file/d/1bJ0BC-Xy_bNt41DXHAjv1ms0mnz9Vq86/view?usp=drivesdk</v>
      </c>
      <c r="Z211" s="148" t="s">
        <v>141</v>
      </c>
      <c r="AA211" s="126" t="s">
        <v>1276</v>
      </c>
      <c r="AB211" s="126" t="s">
        <v>1260</v>
      </c>
      <c r="AC211" s="368" t="s">
        <v>1261</v>
      </c>
      <c r="AD211" s="538" t="s">
        <v>1277</v>
      </c>
      <c r="AE211" s="158" t="s">
        <v>1278</v>
      </c>
      <c r="AF211" s="158">
        <v>89.0</v>
      </c>
      <c r="AG211" s="158">
        <v>0.056</v>
      </c>
      <c r="AH211" s="377" t="s">
        <v>867</v>
      </c>
      <c r="AI211" s="126" t="s">
        <v>806</v>
      </c>
      <c r="AJ211" s="163">
        <v>0.009</v>
      </c>
      <c r="AK211" s="148" t="s">
        <v>165</v>
      </c>
      <c r="AL211" s="148" t="s">
        <v>129</v>
      </c>
      <c r="AM211" s="126" t="s">
        <v>134</v>
      </c>
      <c r="AN211" s="216" t="s">
        <v>131</v>
      </c>
      <c r="AO211" s="158">
        <v>74.0</v>
      </c>
      <c r="AP211" s="158">
        <v>0.041</v>
      </c>
      <c r="AQ211" s="377" t="s">
        <v>867</v>
      </c>
      <c r="AR211" s="368" t="s">
        <v>843</v>
      </c>
      <c r="AS211" s="163">
        <v>0.021</v>
      </c>
      <c r="AT211" s="148" t="s">
        <v>165</v>
      </c>
      <c r="AU211" s="148" t="s">
        <v>179</v>
      </c>
      <c r="AV211" s="126" t="s">
        <v>134</v>
      </c>
      <c r="AW211" s="539" t="s">
        <v>131</v>
      </c>
      <c r="AX211" s="126" t="s">
        <v>431</v>
      </c>
      <c r="AZ211" s="378" t="s">
        <v>1263</v>
      </c>
    </row>
    <row r="212" ht="20.25" customHeight="1">
      <c r="A212" s="41">
        <v>212.0</v>
      </c>
      <c r="B212" s="535" t="s">
        <v>145</v>
      </c>
      <c r="C212" s="535" t="s">
        <v>108</v>
      </c>
      <c r="D212" s="535" t="s">
        <v>279</v>
      </c>
      <c r="E212" s="536"/>
      <c r="F212" s="147" t="s">
        <v>1251</v>
      </c>
      <c r="G212" s="148" t="s">
        <v>1279</v>
      </c>
      <c r="H212" s="148" t="s">
        <v>282</v>
      </c>
      <c r="I212" s="149"/>
      <c r="J212" s="537">
        <v>45775.0</v>
      </c>
      <c r="K212" s="126" t="s">
        <v>1274</v>
      </c>
      <c r="L212" s="126" t="s">
        <v>1269</v>
      </c>
      <c r="M212" s="152" t="s">
        <v>1280</v>
      </c>
      <c r="N212" s="152" t="s">
        <v>1255</v>
      </c>
      <c r="O212" s="375">
        <v>1.0</v>
      </c>
      <c r="P212" s="115" t="str">
        <f> hyperlink(vlookup(lower(N212),'File Links'!A:B, 2, FALSE), SUBSTITUTE(lower(N212), "/", "--") &amp;  ".pdf")</f>
        <v>10.1016--j.psychres.2017.09.048.pdf</v>
      </c>
      <c r="Q212" s="49" t="str">
        <f t="array" ref="Q212"> if(iserror(MATCH(V212, 'File Links'!C:C, 0)), "N/A", HYPERLINK(INDEX('File Links'!B:B, MATCH(P212, 'File Links'!C:C, 0))))</f>
        <v>https://drive.google.com/file/d/1bB5zAUL5oQPM2ClvdBCDeAd5AlkWVp4P/view?usp=drivesdk</v>
      </c>
      <c r="R212" s="126" t="s">
        <v>1256</v>
      </c>
      <c r="S212" s="58" t="s">
        <v>1257</v>
      </c>
      <c r="T212" s="65"/>
      <c r="U212" s="375">
        <v>1.0</v>
      </c>
      <c r="V212" s="63" t="str">
        <f> hyperlink(vlookup(lower(S212),'File Links'!E:F, 2, FALSE), SUBSTITUTE(lower(S212), "/", "--") &amp;  ".pdf")</f>
        <v>10.1002--erv.3103.pdf</v>
      </c>
      <c r="W212" s="126" t="s">
        <v>1258</v>
      </c>
      <c r="X212" s="51" t="str">
        <f t="array" ref="X212"> if(iserror(MATCH(V212, 'File Links'!C:C, 0)), "N/A", HYPERLINK(INDEX('File Links'!B:B, MATCH(V212, 'File Links'!C:C, 0))))</f>
        <v>https://drive.google.com/file/d/1bJ0BC-Xy_bNt41DXHAjv1ms0mnz9Vq86/view?usp=drivesdk</v>
      </c>
      <c r="Z212" s="148" t="s">
        <v>141</v>
      </c>
      <c r="AA212" s="126" t="s">
        <v>1281</v>
      </c>
      <c r="AB212" s="126" t="s">
        <v>1260</v>
      </c>
      <c r="AC212" s="368" t="s">
        <v>1261</v>
      </c>
      <c r="AD212" s="538" t="s">
        <v>1282</v>
      </c>
      <c r="AE212" s="158" t="s">
        <v>806</v>
      </c>
      <c r="AF212" s="158">
        <v>89.0</v>
      </c>
      <c r="AG212" s="158">
        <v>0.571</v>
      </c>
      <c r="AH212" s="377" t="s">
        <v>867</v>
      </c>
      <c r="AI212" s="126" t="s">
        <v>806</v>
      </c>
      <c r="AJ212" s="163">
        <v>0.001</v>
      </c>
      <c r="AK212" s="148" t="s">
        <v>128</v>
      </c>
      <c r="AL212" s="148" t="s">
        <v>129</v>
      </c>
      <c r="AM212" s="126" t="s">
        <v>134</v>
      </c>
      <c r="AN212" s="216" t="s">
        <v>131</v>
      </c>
      <c r="AO212" s="158">
        <v>74.0</v>
      </c>
      <c r="AP212" s="158">
        <v>0.501</v>
      </c>
      <c r="AQ212" s="377" t="s">
        <v>867</v>
      </c>
      <c r="AR212" s="368" t="s">
        <v>843</v>
      </c>
      <c r="AS212" s="163">
        <v>0.001</v>
      </c>
      <c r="AT212" s="148" t="s">
        <v>128</v>
      </c>
      <c r="AU212" s="148" t="s">
        <v>179</v>
      </c>
      <c r="AV212" s="126" t="s">
        <v>134</v>
      </c>
      <c r="AW212" s="539" t="s">
        <v>131</v>
      </c>
      <c r="AX212" s="126" t="s">
        <v>431</v>
      </c>
      <c r="AZ212" s="378" t="s">
        <v>1263</v>
      </c>
    </row>
    <row r="213" ht="20.25" customHeight="1">
      <c r="A213" s="41">
        <v>213.0</v>
      </c>
      <c r="B213" s="535" t="s">
        <v>145</v>
      </c>
      <c r="C213" s="535" t="s">
        <v>108</v>
      </c>
      <c r="D213" s="535" t="s">
        <v>279</v>
      </c>
      <c r="E213" s="536"/>
      <c r="F213" s="147" t="s">
        <v>1251</v>
      </c>
      <c r="G213" s="148" t="s">
        <v>1283</v>
      </c>
      <c r="H213" s="148" t="s">
        <v>282</v>
      </c>
      <c r="I213" s="149"/>
      <c r="J213" s="537">
        <v>45775.0</v>
      </c>
      <c r="K213" s="126" t="s">
        <v>1274</v>
      </c>
      <c r="L213" s="126" t="s">
        <v>1284</v>
      </c>
      <c r="M213" s="152" t="s">
        <v>1285</v>
      </c>
      <c r="N213" s="152" t="s">
        <v>1255</v>
      </c>
      <c r="O213" s="375">
        <v>1.0</v>
      </c>
      <c r="P213" s="115" t="str">
        <f> hyperlink(vlookup(lower(N213),'File Links'!A:B, 2, FALSE), SUBSTITUTE(lower(N213), "/", "--") &amp;  ".pdf")</f>
        <v>10.1016--j.psychres.2017.09.048.pdf</v>
      </c>
      <c r="Q213" s="49" t="str">
        <f t="array" ref="Q213"> if(iserror(MATCH(V213, 'File Links'!C:C, 0)), "N/A", HYPERLINK(INDEX('File Links'!B:B, MATCH(P213, 'File Links'!C:C, 0))))</f>
        <v>https://drive.google.com/file/d/1bB5zAUL5oQPM2ClvdBCDeAd5AlkWVp4P/view?usp=drivesdk</v>
      </c>
      <c r="R213" s="126" t="s">
        <v>1256</v>
      </c>
      <c r="S213" s="58" t="s">
        <v>1257</v>
      </c>
      <c r="T213" s="65"/>
      <c r="U213" s="375">
        <v>1.0</v>
      </c>
      <c r="V213" s="63" t="str">
        <f> hyperlink(vlookup(lower(S213),'File Links'!E:F, 2, FALSE), SUBSTITUTE(lower(S213), "/", "--") &amp;  ".pdf")</f>
        <v>10.1002--erv.3103.pdf</v>
      </c>
      <c r="W213" s="126" t="s">
        <v>1258</v>
      </c>
      <c r="X213" s="51" t="str">
        <f t="array" ref="X213"> if(iserror(MATCH(V213, 'File Links'!C:C, 0)), "N/A", HYPERLINK(INDEX('File Links'!B:B, MATCH(V213, 'File Links'!C:C, 0))))</f>
        <v>https://drive.google.com/file/d/1bJ0BC-Xy_bNt41DXHAjv1ms0mnz9Vq86/view?usp=drivesdk</v>
      </c>
      <c r="Z213" s="148" t="s">
        <v>141</v>
      </c>
      <c r="AA213" s="126" t="s">
        <v>1286</v>
      </c>
      <c r="AB213" s="126" t="s">
        <v>1260</v>
      </c>
      <c r="AC213" s="368" t="s">
        <v>1261</v>
      </c>
      <c r="AD213" s="538" t="s">
        <v>1287</v>
      </c>
      <c r="AE213" s="158" t="s">
        <v>806</v>
      </c>
      <c r="AF213" s="158">
        <v>89.0</v>
      </c>
      <c r="AG213" s="158">
        <v>0.072</v>
      </c>
      <c r="AH213" s="377" t="s">
        <v>867</v>
      </c>
      <c r="AI213" s="126" t="s">
        <v>806</v>
      </c>
      <c r="AJ213" s="163">
        <v>0.04</v>
      </c>
      <c r="AK213" s="377" t="s">
        <v>165</v>
      </c>
      <c r="AL213" s="148" t="s">
        <v>129</v>
      </c>
      <c r="AM213" s="126" t="s">
        <v>134</v>
      </c>
      <c r="AN213" s="216" t="s">
        <v>131</v>
      </c>
      <c r="AO213" s="158">
        <v>74.0</v>
      </c>
      <c r="AP213" s="158">
        <v>0.06</v>
      </c>
      <c r="AQ213" s="377" t="s">
        <v>867</v>
      </c>
      <c r="AR213" s="368" t="s">
        <v>843</v>
      </c>
      <c r="AS213" s="163">
        <v>0.036</v>
      </c>
      <c r="AT213" s="148" t="s">
        <v>165</v>
      </c>
      <c r="AU213" s="148" t="s">
        <v>179</v>
      </c>
      <c r="AV213" s="126" t="s">
        <v>134</v>
      </c>
      <c r="AW213" s="539" t="s">
        <v>131</v>
      </c>
      <c r="AX213" s="126" t="s">
        <v>431</v>
      </c>
      <c r="AZ213" s="378" t="s">
        <v>1263</v>
      </c>
    </row>
    <row r="214" ht="20.25" customHeight="1">
      <c r="A214" s="41">
        <v>214.0</v>
      </c>
      <c r="B214" s="535" t="s">
        <v>145</v>
      </c>
      <c r="C214" s="535" t="s">
        <v>108</v>
      </c>
      <c r="D214" s="535" t="s">
        <v>279</v>
      </c>
      <c r="E214" s="536"/>
      <c r="F214" s="147" t="s">
        <v>1251</v>
      </c>
      <c r="G214" s="148" t="s">
        <v>1288</v>
      </c>
      <c r="H214" s="148" t="s">
        <v>282</v>
      </c>
      <c r="I214" s="149"/>
      <c r="J214" s="537">
        <v>45775.0</v>
      </c>
      <c r="K214" s="126" t="s">
        <v>1274</v>
      </c>
      <c r="L214" s="126" t="s">
        <v>1269</v>
      </c>
      <c r="M214" s="152" t="s">
        <v>1289</v>
      </c>
      <c r="N214" s="152" t="s">
        <v>1255</v>
      </c>
      <c r="O214" s="375">
        <v>1.0</v>
      </c>
      <c r="P214" s="115" t="str">
        <f> hyperlink(vlookup(lower(N214),'File Links'!A:B, 2, FALSE), SUBSTITUTE(lower(N214), "/", "--") &amp;  ".pdf")</f>
        <v>10.1016--j.psychres.2017.09.048.pdf</v>
      </c>
      <c r="Q214" s="49" t="str">
        <f t="array" ref="Q214"> if(iserror(MATCH(V214, 'File Links'!C:C, 0)), "N/A", HYPERLINK(INDEX('File Links'!B:B, MATCH(P214, 'File Links'!C:C, 0))))</f>
        <v>https://drive.google.com/file/d/1bB5zAUL5oQPM2ClvdBCDeAd5AlkWVp4P/view?usp=drivesdk</v>
      </c>
      <c r="R214" s="126" t="s">
        <v>1256</v>
      </c>
      <c r="S214" s="58" t="s">
        <v>1257</v>
      </c>
      <c r="T214" s="65"/>
      <c r="U214" s="375">
        <v>1.0</v>
      </c>
      <c r="V214" s="63" t="str">
        <f> hyperlink(vlookup(lower(S214),'File Links'!E:F, 2, FALSE), SUBSTITUTE(lower(S214), "/", "--") &amp;  ".pdf")</f>
        <v>10.1002--erv.3103.pdf</v>
      </c>
      <c r="W214" s="126" t="s">
        <v>1258</v>
      </c>
      <c r="X214" s="51" t="str">
        <f t="array" ref="X214"> if(iserror(MATCH(V214, 'File Links'!C:C, 0)), "N/A", HYPERLINK(INDEX('File Links'!B:B, MATCH(V214, 'File Links'!C:C, 0))))</f>
        <v>https://drive.google.com/file/d/1bJ0BC-Xy_bNt41DXHAjv1ms0mnz9Vq86/view?usp=drivesdk</v>
      </c>
      <c r="Z214" s="148" t="s">
        <v>141</v>
      </c>
      <c r="AA214" s="126" t="s">
        <v>1290</v>
      </c>
      <c r="AB214" s="126" t="s">
        <v>1260</v>
      </c>
      <c r="AC214" s="368" t="s">
        <v>1261</v>
      </c>
      <c r="AD214" s="538" t="s">
        <v>1291</v>
      </c>
      <c r="AE214" s="158" t="s">
        <v>806</v>
      </c>
      <c r="AF214" s="158">
        <v>89.0</v>
      </c>
      <c r="AG214" s="158">
        <v>0.059</v>
      </c>
      <c r="AH214" s="377" t="s">
        <v>867</v>
      </c>
      <c r="AI214" s="126" t="s">
        <v>806</v>
      </c>
      <c r="AJ214" s="163">
        <v>0.012</v>
      </c>
      <c r="AK214" s="148" t="s">
        <v>165</v>
      </c>
      <c r="AL214" s="148" t="s">
        <v>129</v>
      </c>
      <c r="AM214" s="126" t="s">
        <v>134</v>
      </c>
      <c r="AN214" s="216" t="s">
        <v>131</v>
      </c>
      <c r="AO214" s="158">
        <v>74.0</v>
      </c>
      <c r="AP214" s="158">
        <v>0.037</v>
      </c>
      <c r="AQ214" s="377" t="s">
        <v>867</v>
      </c>
      <c r="AR214" s="368" t="s">
        <v>843</v>
      </c>
      <c r="AS214" s="163">
        <v>0.036</v>
      </c>
      <c r="AT214" s="148" t="s">
        <v>165</v>
      </c>
      <c r="AU214" s="148" t="s">
        <v>179</v>
      </c>
      <c r="AV214" s="126" t="s">
        <v>134</v>
      </c>
      <c r="AW214" s="539" t="s">
        <v>131</v>
      </c>
      <c r="AX214" s="126" t="s">
        <v>431</v>
      </c>
      <c r="AZ214" s="378" t="s">
        <v>1263</v>
      </c>
    </row>
    <row r="215" ht="20.25" customHeight="1">
      <c r="A215" s="41">
        <v>215.0</v>
      </c>
      <c r="B215" s="535" t="s">
        <v>145</v>
      </c>
      <c r="C215" s="535" t="s">
        <v>108</v>
      </c>
      <c r="D215" s="535" t="s">
        <v>279</v>
      </c>
      <c r="E215" s="536"/>
      <c r="F215" s="147" t="s">
        <v>1251</v>
      </c>
      <c r="G215" s="148" t="s">
        <v>1292</v>
      </c>
      <c r="H215" s="148" t="s">
        <v>282</v>
      </c>
      <c r="I215" s="149"/>
      <c r="J215" s="537">
        <v>45775.0</v>
      </c>
      <c r="K215" s="126" t="s">
        <v>1274</v>
      </c>
      <c r="L215" s="126" t="s">
        <v>1293</v>
      </c>
      <c r="M215" s="152" t="s">
        <v>1294</v>
      </c>
      <c r="N215" s="152" t="s">
        <v>1255</v>
      </c>
      <c r="O215" s="375">
        <v>1.0</v>
      </c>
      <c r="P215" s="115" t="str">
        <f> hyperlink(vlookup(lower(N215),'File Links'!A:B, 2, FALSE), SUBSTITUTE(lower(N215), "/", "--") &amp;  ".pdf")</f>
        <v>10.1016--j.psychres.2017.09.048.pdf</v>
      </c>
      <c r="Q215" s="49" t="str">
        <f t="array" ref="Q215"> if(iserror(MATCH(V215, 'File Links'!C:C, 0)), "N/A", HYPERLINK(INDEX('File Links'!B:B, MATCH(P215, 'File Links'!C:C, 0))))</f>
        <v>https://drive.google.com/file/d/1bB5zAUL5oQPM2ClvdBCDeAd5AlkWVp4P/view?usp=drivesdk</v>
      </c>
      <c r="R215" s="126" t="s">
        <v>1256</v>
      </c>
      <c r="S215" s="58" t="s">
        <v>1257</v>
      </c>
      <c r="T215" s="65"/>
      <c r="U215" s="375">
        <v>1.0</v>
      </c>
      <c r="V215" s="63" t="str">
        <f> hyperlink(vlookup(lower(S215),'File Links'!E:F, 2, FALSE), SUBSTITUTE(lower(S215), "/", "--") &amp;  ".pdf")</f>
        <v>10.1002--erv.3103.pdf</v>
      </c>
      <c r="W215" s="126" t="s">
        <v>1258</v>
      </c>
      <c r="X215" s="51" t="str">
        <f t="array" ref="X215"> if(iserror(MATCH(V215, 'File Links'!C:C, 0)), "N/A", HYPERLINK(INDEX('File Links'!B:B, MATCH(V215, 'File Links'!C:C, 0))))</f>
        <v>https://drive.google.com/file/d/1bJ0BC-Xy_bNt41DXHAjv1ms0mnz9Vq86/view?usp=drivesdk</v>
      </c>
      <c r="Z215" s="148" t="s">
        <v>141</v>
      </c>
      <c r="AA215" s="126" t="s">
        <v>1295</v>
      </c>
      <c r="AB215" s="126" t="s">
        <v>1260</v>
      </c>
      <c r="AC215" s="368" t="s">
        <v>1261</v>
      </c>
      <c r="AD215" s="540" t="s">
        <v>1296</v>
      </c>
      <c r="AE215" s="158" t="s">
        <v>806</v>
      </c>
      <c r="AF215" s="375">
        <v>63.0</v>
      </c>
      <c r="AG215" s="375">
        <v>0.73</v>
      </c>
      <c r="AH215" s="377" t="s">
        <v>166</v>
      </c>
      <c r="AI215" s="126" t="s">
        <v>806</v>
      </c>
      <c r="AJ215" s="541">
        <v>0.013</v>
      </c>
      <c r="AK215" s="148" t="s">
        <v>165</v>
      </c>
      <c r="AL215" s="148" t="s">
        <v>129</v>
      </c>
      <c r="AM215" s="368" t="s">
        <v>130</v>
      </c>
      <c r="AN215" s="216" t="s">
        <v>131</v>
      </c>
      <c r="AO215" s="158">
        <v>74.0</v>
      </c>
      <c r="AP215" s="126" t="s">
        <v>1297</v>
      </c>
      <c r="AQ215" s="148" t="s">
        <v>127</v>
      </c>
      <c r="AR215" s="368" t="s">
        <v>843</v>
      </c>
      <c r="AS215" s="163">
        <v>0.1</v>
      </c>
      <c r="AT215" s="148" t="s">
        <v>328</v>
      </c>
      <c r="AU215" s="148" t="s">
        <v>179</v>
      </c>
      <c r="AV215" s="368" t="s">
        <v>130</v>
      </c>
      <c r="AW215" s="539" t="s">
        <v>131</v>
      </c>
      <c r="AX215" s="126" t="s">
        <v>431</v>
      </c>
      <c r="AZ215" s="378" t="s">
        <v>1263</v>
      </c>
    </row>
    <row r="216" ht="20.25" customHeight="1">
      <c r="A216" s="41">
        <v>216.0</v>
      </c>
      <c r="B216" s="535" t="s">
        <v>145</v>
      </c>
      <c r="C216" s="535" t="s">
        <v>108</v>
      </c>
      <c r="D216" s="535" t="s">
        <v>279</v>
      </c>
      <c r="E216" s="536"/>
      <c r="F216" s="147" t="s">
        <v>1251</v>
      </c>
      <c r="G216" s="148" t="s">
        <v>1298</v>
      </c>
      <c r="H216" s="148" t="s">
        <v>282</v>
      </c>
      <c r="I216" s="149"/>
      <c r="J216" s="537">
        <v>45775.0</v>
      </c>
      <c r="K216" s="126" t="s">
        <v>1274</v>
      </c>
      <c r="L216" s="126" t="s">
        <v>1299</v>
      </c>
      <c r="M216" s="152" t="s">
        <v>1300</v>
      </c>
      <c r="N216" s="152" t="s">
        <v>1255</v>
      </c>
      <c r="O216" s="375">
        <v>1.0</v>
      </c>
      <c r="P216" s="115" t="str">
        <f> hyperlink(vlookup(lower(N216),'File Links'!A:B, 2, FALSE), SUBSTITUTE(lower(N216), "/", "--") &amp;  ".pdf")</f>
        <v>10.1016--j.psychres.2017.09.048.pdf</v>
      </c>
      <c r="Q216" s="49" t="str">
        <f t="array" ref="Q216"> if(iserror(MATCH(V216, 'File Links'!C:C, 0)), "N/A", HYPERLINK(INDEX('File Links'!B:B, MATCH(P216, 'File Links'!C:C, 0))))</f>
        <v>https://drive.google.com/file/d/1bB5zAUL5oQPM2ClvdBCDeAd5AlkWVp4P/view?usp=drivesdk</v>
      </c>
      <c r="R216" s="126" t="s">
        <v>1256</v>
      </c>
      <c r="S216" s="58" t="s">
        <v>1257</v>
      </c>
      <c r="T216" s="65"/>
      <c r="U216" s="375">
        <v>1.0</v>
      </c>
      <c r="V216" s="63" t="str">
        <f> hyperlink(vlookup(lower(S216),'File Links'!E:F, 2, FALSE), SUBSTITUTE(lower(S216), "/", "--") &amp;  ".pdf")</f>
        <v>10.1002--erv.3103.pdf</v>
      </c>
      <c r="W216" s="126" t="s">
        <v>1258</v>
      </c>
      <c r="X216" s="51" t="str">
        <f t="array" ref="X216"> if(iserror(MATCH(V216, 'File Links'!C:C, 0)), "N/A", HYPERLINK(INDEX('File Links'!B:B, MATCH(V216, 'File Links'!C:C, 0))))</f>
        <v>https://drive.google.com/file/d/1bJ0BC-Xy_bNt41DXHAjv1ms0mnz9Vq86/view?usp=drivesdk</v>
      </c>
      <c r="Z216" s="148" t="s">
        <v>141</v>
      </c>
      <c r="AA216" s="126" t="s">
        <v>1301</v>
      </c>
      <c r="AB216" s="126" t="s">
        <v>1260</v>
      </c>
      <c r="AC216" s="368" t="s">
        <v>1261</v>
      </c>
      <c r="AD216" s="162" t="s">
        <v>1302</v>
      </c>
      <c r="AE216" s="158" t="s">
        <v>806</v>
      </c>
      <c r="AF216" s="375">
        <v>63.0</v>
      </c>
      <c r="AG216" s="375">
        <v>0.74</v>
      </c>
      <c r="AH216" s="377" t="s">
        <v>166</v>
      </c>
      <c r="AI216" s="126" t="s">
        <v>806</v>
      </c>
      <c r="AJ216" s="541">
        <v>0.01</v>
      </c>
      <c r="AK216" s="148" t="s">
        <v>165</v>
      </c>
      <c r="AL216" s="148" t="s">
        <v>129</v>
      </c>
      <c r="AM216" s="368" t="s">
        <v>130</v>
      </c>
      <c r="AN216" s="216" t="s">
        <v>131</v>
      </c>
      <c r="AO216" s="158">
        <v>74.0</v>
      </c>
      <c r="AP216" s="158">
        <v>0.51</v>
      </c>
      <c r="AQ216" s="148" t="s">
        <v>166</v>
      </c>
      <c r="AR216" s="368" t="s">
        <v>843</v>
      </c>
      <c r="AS216" s="163">
        <v>0.031</v>
      </c>
      <c r="AT216" s="148" t="s">
        <v>165</v>
      </c>
      <c r="AU216" s="148" t="s">
        <v>179</v>
      </c>
      <c r="AV216" s="368" t="s">
        <v>130</v>
      </c>
      <c r="AW216" s="539" t="s">
        <v>131</v>
      </c>
      <c r="AX216" s="126" t="s">
        <v>431</v>
      </c>
      <c r="AZ216" s="378" t="s">
        <v>1263</v>
      </c>
      <c r="BC216" s="104"/>
      <c r="BD216" s="104"/>
      <c r="BE216" s="104"/>
      <c r="BF216" s="104"/>
      <c r="BG216" s="104"/>
      <c r="BH216" s="104"/>
      <c r="BI216" s="104"/>
      <c r="BJ216" s="104"/>
      <c r="BK216" s="104"/>
      <c r="BL216" s="104"/>
      <c r="BM216" s="104"/>
      <c r="BN216" s="104"/>
      <c r="BO216" s="104"/>
      <c r="BP216" s="104"/>
      <c r="BQ216" s="104"/>
      <c r="BR216" s="104"/>
      <c r="BS216" s="104"/>
      <c r="BT216" s="104"/>
      <c r="BU216" s="104"/>
      <c r="BV216" s="104"/>
      <c r="BW216" s="104"/>
      <c r="BX216" s="104"/>
      <c r="BY216" s="104"/>
      <c r="BZ216" s="104"/>
      <c r="CA216" s="104"/>
      <c r="CB216" s="104"/>
      <c r="CC216" s="104"/>
      <c r="CD216" s="104"/>
      <c r="CE216" s="104"/>
      <c r="CF216" s="104"/>
      <c r="CG216" s="104"/>
      <c r="CH216" s="104"/>
      <c r="CI216" s="104"/>
      <c r="CJ216" s="104"/>
      <c r="CK216" s="104"/>
      <c r="CL216" s="104"/>
      <c r="CM216" s="104"/>
      <c r="CN216" s="104"/>
      <c r="CO216" s="104"/>
      <c r="CP216" s="104"/>
      <c r="CQ216" s="104"/>
      <c r="CR216" s="104"/>
      <c r="CS216" s="104"/>
      <c r="CT216" s="104"/>
      <c r="CU216" s="104"/>
      <c r="CV216" s="104"/>
      <c r="CW216" s="104"/>
      <c r="CX216" s="104"/>
      <c r="CY216" s="104"/>
      <c r="CZ216" s="104"/>
      <c r="DA216" s="104"/>
      <c r="DB216" s="104"/>
      <c r="DC216" s="104"/>
      <c r="DD216" s="104"/>
      <c r="DE216" s="104"/>
      <c r="DF216" s="104"/>
      <c r="DG216" s="104"/>
      <c r="DH216" s="104"/>
    </row>
    <row r="217" ht="20.25" customHeight="1">
      <c r="A217" s="41">
        <v>217.0</v>
      </c>
      <c r="B217" s="535" t="s">
        <v>107</v>
      </c>
      <c r="C217" s="535" t="s">
        <v>108</v>
      </c>
      <c r="D217" s="535" t="s">
        <v>279</v>
      </c>
      <c r="E217" s="536"/>
      <c r="F217" s="542" t="s">
        <v>1251</v>
      </c>
      <c r="G217" s="543" t="s">
        <v>1303</v>
      </c>
      <c r="H217" s="543" t="s">
        <v>282</v>
      </c>
      <c r="I217" s="544"/>
      <c r="J217" s="537">
        <v>45775.0</v>
      </c>
      <c r="K217" s="545" t="s">
        <v>1274</v>
      </c>
      <c r="L217" s="126" t="s">
        <v>1304</v>
      </c>
      <c r="M217" s="546" t="s">
        <v>1305</v>
      </c>
      <c r="N217" s="152" t="s">
        <v>1255</v>
      </c>
      <c r="O217" s="375">
        <v>1.0</v>
      </c>
      <c r="P217" s="115" t="str">
        <f> hyperlink(vlookup(lower(N217),'File Links'!A:B, 2, FALSE), SUBSTITUTE(lower(N217), "/", "--") &amp;  ".pdf")</f>
        <v>10.1016--j.psychres.2017.09.048.pdf</v>
      </c>
      <c r="Q217" s="49" t="str">
        <f t="array" ref="Q217"> if(iserror(MATCH(V217, 'File Links'!C:C, 0)), "N/A", HYPERLINK(INDEX('File Links'!B:B, MATCH(P217, 'File Links'!C:C, 0))))</f>
        <v>https://drive.google.com/file/d/1bB5zAUL5oQPM2ClvdBCDeAd5AlkWVp4P/view?usp=drivesdk</v>
      </c>
      <c r="R217" s="126" t="s">
        <v>1256</v>
      </c>
      <c r="S217" s="58" t="s">
        <v>1257</v>
      </c>
      <c r="T217" s="524"/>
      <c r="U217" s="375">
        <v>1.0</v>
      </c>
      <c r="V217" s="63" t="str">
        <f> hyperlink(vlookup(lower(S217),'File Links'!E:F, 2, FALSE), SUBSTITUTE(lower(S217), "/", "--") &amp;  ".pdf")</f>
        <v>10.1002--erv.3103.pdf</v>
      </c>
      <c r="W217" s="545" t="s">
        <v>1258</v>
      </c>
      <c r="X217" s="51" t="str">
        <f t="array" ref="X217"> if(iserror(MATCH(V217, 'File Links'!C:C, 0)), "N/A", HYPERLINK(INDEX('File Links'!B:B, MATCH(V217, 'File Links'!C:C, 0))))</f>
        <v>https://drive.google.com/file/d/1bJ0BC-Xy_bNt41DXHAjv1ms0mnz9Vq86/view?usp=drivesdk</v>
      </c>
      <c r="Y217" s="547"/>
      <c r="Z217" s="543" t="s">
        <v>141</v>
      </c>
      <c r="AA217" s="545" t="s">
        <v>1306</v>
      </c>
      <c r="AB217" s="545" t="s">
        <v>1260</v>
      </c>
      <c r="AC217" s="368" t="s">
        <v>1261</v>
      </c>
      <c r="AD217" s="548" t="s">
        <v>1307</v>
      </c>
      <c r="AE217" s="549" t="s">
        <v>806</v>
      </c>
      <c r="AF217" s="550">
        <v>63.0</v>
      </c>
      <c r="AG217" s="550">
        <v>0.84</v>
      </c>
      <c r="AH217" s="551" t="s">
        <v>166</v>
      </c>
      <c r="AI217" s="545" t="s">
        <v>806</v>
      </c>
      <c r="AJ217" s="552">
        <v>0.001</v>
      </c>
      <c r="AK217" s="148" t="s">
        <v>165</v>
      </c>
      <c r="AL217" s="543" t="s">
        <v>129</v>
      </c>
      <c r="AM217" s="553" t="s">
        <v>130</v>
      </c>
      <c r="AN217" s="216" t="s">
        <v>131</v>
      </c>
      <c r="AO217" s="549">
        <v>74.0</v>
      </c>
      <c r="AP217" s="549">
        <v>0.59</v>
      </c>
      <c r="AQ217" s="543" t="s">
        <v>166</v>
      </c>
      <c r="AR217" s="368" t="s">
        <v>843</v>
      </c>
      <c r="AS217" s="554">
        <v>0.01</v>
      </c>
      <c r="AT217" s="148" t="s">
        <v>165</v>
      </c>
      <c r="AU217" s="543" t="s">
        <v>179</v>
      </c>
      <c r="AV217" s="553" t="s">
        <v>130</v>
      </c>
      <c r="AW217" s="539" t="s">
        <v>131</v>
      </c>
      <c r="AX217" s="545" t="s">
        <v>431</v>
      </c>
      <c r="AY217" s="547"/>
      <c r="AZ217" s="378" t="s">
        <v>1263</v>
      </c>
      <c r="BC217" s="69"/>
      <c r="BD217" s="69"/>
      <c r="BE217" s="69"/>
      <c r="BF217" s="69"/>
      <c r="BG217" s="69"/>
      <c r="BH217" s="69"/>
      <c r="BI217" s="69"/>
      <c r="BJ217" s="69"/>
      <c r="BK217" s="69"/>
      <c r="BL217" s="69"/>
      <c r="BM217" s="69"/>
      <c r="BN217" s="69"/>
      <c r="BO217" s="69"/>
      <c r="BP217" s="69"/>
      <c r="BQ217" s="69"/>
      <c r="BR217" s="69"/>
      <c r="BS217" s="69"/>
      <c r="BT217" s="69"/>
      <c r="BU217" s="69"/>
      <c r="BV217" s="69"/>
      <c r="BW217" s="69"/>
      <c r="BX217" s="69"/>
      <c r="BY217" s="69"/>
      <c r="BZ217" s="69"/>
      <c r="CA217" s="69"/>
      <c r="CB217" s="69"/>
      <c r="CC217" s="69"/>
      <c r="CD217" s="69"/>
      <c r="CE217" s="69"/>
      <c r="CF217" s="69"/>
      <c r="CG217" s="69"/>
      <c r="CH217" s="69"/>
      <c r="CI217" s="69"/>
      <c r="CJ217" s="69"/>
      <c r="CK217" s="69"/>
      <c r="CL217" s="69"/>
      <c r="CM217" s="69"/>
      <c r="CN217" s="69"/>
      <c r="CO217" s="69"/>
      <c r="CP217" s="69"/>
      <c r="CQ217" s="69"/>
      <c r="CR217" s="69"/>
      <c r="CS217" s="69"/>
      <c r="CT217" s="69"/>
      <c r="CU217" s="69"/>
      <c r="CV217" s="69"/>
      <c r="CW217" s="69"/>
      <c r="CX217" s="69"/>
      <c r="CY217" s="69"/>
      <c r="CZ217" s="69"/>
      <c r="DA217" s="69"/>
      <c r="DB217" s="69"/>
      <c r="DC217" s="69"/>
      <c r="DD217" s="69"/>
      <c r="DE217" s="69"/>
      <c r="DF217" s="69"/>
      <c r="DG217" s="69"/>
      <c r="DH217" s="69"/>
    </row>
    <row r="218" ht="20.25" customHeight="1">
      <c r="A218" s="41">
        <v>218.0</v>
      </c>
      <c r="B218" s="535" t="s">
        <v>145</v>
      </c>
      <c r="C218" s="535" t="s">
        <v>108</v>
      </c>
      <c r="D218" s="535" t="s">
        <v>279</v>
      </c>
      <c r="E218" s="536"/>
      <c r="F218" s="542" t="s">
        <v>1251</v>
      </c>
      <c r="G218" s="543" t="s">
        <v>1308</v>
      </c>
      <c r="H218" s="148" t="s">
        <v>282</v>
      </c>
      <c r="I218" s="544"/>
      <c r="J218" s="537">
        <v>45775.0</v>
      </c>
      <c r="K218" s="545" t="s">
        <v>1274</v>
      </c>
      <c r="L218" s="126" t="s">
        <v>1309</v>
      </c>
      <c r="M218" s="546" t="s">
        <v>1310</v>
      </c>
      <c r="N218" s="152" t="s">
        <v>1255</v>
      </c>
      <c r="O218" s="375">
        <v>1.0</v>
      </c>
      <c r="P218" s="115" t="str">
        <f> hyperlink(vlookup(lower(N218),'File Links'!A:B, 2, FALSE), SUBSTITUTE(lower(N218), "/", "--") &amp;  ".pdf")</f>
        <v>10.1016--j.psychres.2017.09.048.pdf</v>
      </c>
      <c r="Q218" s="49" t="str">
        <f t="array" ref="Q218"> if(iserror(MATCH(V218, 'File Links'!C:C, 0)), "N/A", HYPERLINK(INDEX('File Links'!B:B, MATCH(P218, 'File Links'!C:C, 0))))</f>
        <v>https://drive.google.com/file/d/1bB5zAUL5oQPM2ClvdBCDeAd5AlkWVp4P/view?usp=drivesdk</v>
      </c>
      <c r="R218" s="126" t="s">
        <v>1256</v>
      </c>
      <c r="S218" s="58" t="s">
        <v>1257</v>
      </c>
      <c r="T218" s="524"/>
      <c r="U218" s="375">
        <v>1.0</v>
      </c>
      <c r="V218" s="63" t="str">
        <f> hyperlink(vlookup(lower(S218),'File Links'!E:F, 2, FALSE), SUBSTITUTE(lower(S218), "/", "--") &amp;  ".pdf")</f>
        <v>10.1002--erv.3103.pdf</v>
      </c>
      <c r="W218" s="545" t="s">
        <v>1258</v>
      </c>
      <c r="X218" s="51" t="str">
        <f t="array" ref="X218"> if(iserror(MATCH(V218, 'File Links'!C:C, 0)), "N/A", HYPERLINK(INDEX('File Links'!B:B, MATCH(V218, 'File Links'!C:C, 0))))</f>
        <v>https://drive.google.com/file/d/1bJ0BC-Xy_bNt41DXHAjv1ms0mnz9Vq86/view?usp=drivesdk</v>
      </c>
      <c r="Y218" s="547"/>
      <c r="Z218" s="543" t="s">
        <v>141</v>
      </c>
      <c r="AA218" s="545" t="s">
        <v>1311</v>
      </c>
      <c r="AB218" s="545" t="s">
        <v>1260</v>
      </c>
      <c r="AC218" s="368" t="s">
        <v>1312</v>
      </c>
      <c r="AD218" s="548" t="s">
        <v>1313</v>
      </c>
      <c r="AE218" s="549" t="s">
        <v>806</v>
      </c>
      <c r="AF218" s="549">
        <v>89.0</v>
      </c>
      <c r="AG218" s="553" t="s">
        <v>1314</v>
      </c>
      <c r="AH218" s="543" t="s">
        <v>127</v>
      </c>
      <c r="AI218" s="553" t="s">
        <v>806</v>
      </c>
      <c r="AJ218" s="552" t="s">
        <v>131</v>
      </c>
      <c r="AK218" s="552" t="s">
        <v>131</v>
      </c>
      <c r="AL218" s="552" t="s">
        <v>131</v>
      </c>
      <c r="AM218" s="552" t="s">
        <v>131</v>
      </c>
      <c r="AN218" s="216" t="s">
        <v>131</v>
      </c>
      <c r="AO218" s="549">
        <v>74.0</v>
      </c>
      <c r="AP218" s="545" t="s">
        <v>1297</v>
      </c>
      <c r="AQ218" s="543" t="s">
        <v>127</v>
      </c>
      <c r="AR218" s="368" t="s">
        <v>843</v>
      </c>
      <c r="AS218" s="554">
        <v>0.1</v>
      </c>
      <c r="AT218" s="543" t="s">
        <v>328</v>
      </c>
      <c r="AU218" s="543" t="s">
        <v>179</v>
      </c>
      <c r="AV218" s="553" t="s">
        <v>130</v>
      </c>
      <c r="AW218" s="539" t="s">
        <v>131</v>
      </c>
      <c r="AX218" s="545" t="s">
        <v>431</v>
      </c>
      <c r="AY218" s="547"/>
      <c r="AZ218" s="378" t="s">
        <v>1263</v>
      </c>
      <c r="BC218" s="69"/>
      <c r="BD218" s="69"/>
      <c r="BE218" s="69"/>
      <c r="BF218" s="69"/>
      <c r="BG218" s="69"/>
      <c r="BH218" s="69"/>
      <c r="BI218" s="69"/>
      <c r="BJ218" s="69"/>
      <c r="BK218" s="69"/>
      <c r="BL218" s="69"/>
      <c r="BM218" s="69"/>
      <c r="BN218" s="69"/>
      <c r="BO218" s="69"/>
      <c r="BP218" s="69"/>
      <c r="BQ218" s="69"/>
      <c r="BR218" s="69"/>
      <c r="BS218" s="69"/>
      <c r="BT218" s="69"/>
      <c r="BU218" s="69"/>
      <c r="BV218" s="69"/>
      <c r="BW218" s="69"/>
      <c r="BX218" s="69"/>
      <c r="BY218" s="69"/>
      <c r="BZ218" s="69"/>
      <c r="CA218" s="69"/>
      <c r="CB218" s="69"/>
      <c r="CC218" s="69"/>
      <c r="CD218" s="69"/>
      <c r="CE218" s="69"/>
      <c r="CF218" s="69"/>
      <c r="CG218" s="69"/>
      <c r="CH218" s="69"/>
      <c r="CI218" s="69"/>
      <c r="CJ218" s="69"/>
      <c r="CK218" s="69"/>
      <c r="CL218" s="69"/>
      <c r="CM218" s="69"/>
      <c r="CN218" s="69"/>
      <c r="CO218" s="69"/>
      <c r="CP218" s="69"/>
      <c r="CQ218" s="69"/>
      <c r="CR218" s="69"/>
      <c r="CS218" s="69"/>
      <c r="CT218" s="69"/>
      <c r="CU218" s="69"/>
      <c r="CV218" s="69"/>
      <c r="CW218" s="69"/>
      <c r="CX218" s="69"/>
      <c r="CY218" s="69"/>
      <c r="CZ218" s="69"/>
      <c r="DA218" s="69"/>
      <c r="DB218" s="69"/>
      <c r="DC218" s="69"/>
      <c r="DD218" s="69"/>
      <c r="DE218" s="69"/>
      <c r="DF218" s="69"/>
      <c r="DG218" s="69"/>
      <c r="DH218" s="69"/>
    </row>
    <row r="219" ht="20.25" customHeight="1">
      <c r="A219" s="41">
        <v>219.0</v>
      </c>
      <c r="B219" s="535" t="s">
        <v>145</v>
      </c>
      <c r="C219" s="535" t="s">
        <v>108</v>
      </c>
      <c r="D219" s="535" t="s">
        <v>279</v>
      </c>
      <c r="E219" s="536"/>
      <c r="F219" s="542" t="s">
        <v>1251</v>
      </c>
      <c r="G219" s="148" t="s">
        <v>1315</v>
      </c>
      <c r="H219" s="148" t="s">
        <v>282</v>
      </c>
      <c r="I219" s="149"/>
      <c r="J219" s="537">
        <v>45775.0</v>
      </c>
      <c r="K219" s="126" t="s">
        <v>1274</v>
      </c>
      <c r="L219" s="126" t="s">
        <v>1309</v>
      </c>
      <c r="M219" s="152" t="s">
        <v>1316</v>
      </c>
      <c r="N219" s="152" t="s">
        <v>1255</v>
      </c>
      <c r="O219" s="375">
        <v>1.0</v>
      </c>
      <c r="P219" s="115" t="str">
        <f> hyperlink(vlookup(lower(N219),'File Links'!A:B, 2, FALSE), SUBSTITUTE(lower(N219), "/", "--") &amp;  ".pdf")</f>
        <v>10.1016--j.psychres.2017.09.048.pdf</v>
      </c>
      <c r="Q219" s="49" t="str">
        <f t="array" ref="Q219"> if(iserror(MATCH(V219, 'File Links'!C:C, 0)), "N/A", HYPERLINK(INDEX('File Links'!B:B, MATCH(P219, 'File Links'!C:C, 0))))</f>
        <v>https://drive.google.com/file/d/1bB5zAUL5oQPM2ClvdBCDeAd5AlkWVp4P/view?usp=drivesdk</v>
      </c>
      <c r="R219" s="126" t="s">
        <v>1256</v>
      </c>
      <c r="S219" s="58" t="s">
        <v>1257</v>
      </c>
      <c r="T219" s="65"/>
      <c r="U219" s="375">
        <v>1.0</v>
      </c>
      <c r="V219" s="63" t="str">
        <f> hyperlink(vlookup(lower(S219),'File Links'!E:F, 2, FALSE), SUBSTITUTE(lower(S219), "/", "--") &amp;  ".pdf")</f>
        <v>10.1002--erv.3103.pdf</v>
      </c>
      <c r="W219" s="126" t="s">
        <v>1258</v>
      </c>
      <c r="X219" s="51" t="str">
        <f t="array" ref="X219"> if(iserror(MATCH(V219, 'File Links'!C:C, 0)), "N/A", HYPERLINK(INDEX('File Links'!B:B, MATCH(V219, 'File Links'!C:C, 0))))</f>
        <v>https://drive.google.com/file/d/1bJ0BC-Xy_bNt41DXHAjv1ms0mnz9Vq86/view?usp=drivesdk</v>
      </c>
      <c r="Z219" s="148" t="s">
        <v>141</v>
      </c>
      <c r="AA219" s="126" t="s">
        <v>1317</v>
      </c>
      <c r="AB219" s="126" t="s">
        <v>1260</v>
      </c>
      <c r="AC219" s="368" t="s">
        <v>1312</v>
      </c>
      <c r="AD219" s="548" t="s">
        <v>1313</v>
      </c>
      <c r="AE219" s="549" t="s">
        <v>806</v>
      </c>
      <c r="AF219" s="158">
        <v>89.0</v>
      </c>
      <c r="AG219" s="368" t="s">
        <v>1314</v>
      </c>
      <c r="AH219" s="148" t="s">
        <v>127</v>
      </c>
      <c r="AI219" s="368" t="s">
        <v>806</v>
      </c>
      <c r="AJ219" s="541" t="s">
        <v>131</v>
      </c>
      <c r="AK219" s="541" t="s">
        <v>131</v>
      </c>
      <c r="AL219" s="541" t="s">
        <v>131</v>
      </c>
      <c r="AM219" s="541" t="s">
        <v>131</v>
      </c>
      <c r="AN219" s="216" t="s">
        <v>131</v>
      </c>
      <c r="AO219" s="158">
        <v>74.0</v>
      </c>
      <c r="AP219" s="126" t="s">
        <v>1297</v>
      </c>
      <c r="AQ219" s="148" t="s">
        <v>127</v>
      </c>
      <c r="AR219" s="368" t="s">
        <v>843</v>
      </c>
      <c r="AS219" s="163">
        <v>0.1</v>
      </c>
      <c r="AT219" s="148" t="s">
        <v>328</v>
      </c>
      <c r="AU219" s="148" t="s">
        <v>179</v>
      </c>
      <c r="AV219" s="368" t="s">
        <v>130</v>
      </c>
      <c r="AW219" s="539" t="s">
        <v>131</v>
      </c>
      <c r="AX219" s="126" t="s">
        <v>431</v>
      </c>
      <c r="AY219" s="547"/>
      <c r="AZ219" s="378" t="s">
        <v>1263</v>
      </c>
      <c r="BC219" s="69"/>
      <c r="BD219" s="69"/>
      <c r="BE219" s="69"/>
      <c r="BF219" s="69"/>
      <c r="BG219" s="69"/>
      <c r="BH219" s="69"/>
      <c r="BI219" s="69"/>
      <c r="BJ219" s="69"/>
      <c r="BK219" s="69"/>
      <c r="BL219" s="69"/>
      <c r="BM219" s="69"/>
      <c r="BN219" s="69"/>
      <c r="BO219" s="69"/>
      <c r="BP219" s="69"/>
      <c r="BQ219" s="69"/>
      <c r="BR219" s="69"/>
      <c r="BS219" s="69"/>
      <c r="BT219" s="69"/>
      <c r="BU219" s="69"/>
      <c r="BV219" s="69"/>
      <c r="BW219" s="69"/>
      <c r="BX219" s="69"/>
      <c r="BY219" s="69"/>
      <c r="BZ219" s="69"/>
      <c r="CA219" s="69"/>
      <c r="CB219" s="69"/>
      <c r="CC219" s="69"/>
      <c r="CD219" s="69"/>
      <c r="CE219" s="69"/>
      <c r="CF219" s="69"/>
      <c r="CG219" s="69"/>
      <c r="CH219" s="69"/>
      <c r="CI219" s="69"/>
      <c r="CJ219" s="69"/>
      <c r="CK219" s="69"/>
      <c r="CL219" s="69"/>
      <c r="CM219" s="69"/>
      <c r="CN219" s="69"/>
      <c r="CO219" s="69"/>
      <c r="CP219" s="69"/>
      <c r="CQ219" s="69"/>
      <c r="CR219" s="69"/>
      <c r="CS219" s="69"/>
      <c r="CT219" s="69"/>
      <c r="CU219" s="69"/>
      <c r="CV219" s="69"/>
      <c r="CW219" s="69"/>
      <c r="CX219" s="69"/>
      <c r="CY219" s="69"/>
      <c r="CZ219" s="69"/>
      <c r="DA219" s="69"/>
      <c r="DB219" s="69"/>
      <c r="DC219" s="69"/>
      <c r="DD219" s="69"/>
      <c r="DE219" s="69"/>
      <c r="DF219" s="69"/>
      <c r="DG219" s="69"/>
      <c r="DH219" s="69"/>
    </row>
    <row r="220" ht="20.25" customHeight="1">
      <c r="A220" s="41">
        <v>220.0</v>
      </c>
      <c r="B220" s="535" t="s">
        <v>145</v>
      </c>
      <c r="C220" s="535" t="s">
        <v>108</v>
      </c>
      <c r="D220" s="535" t="s">
        <v>279</v>
      </c>
      <c r="E220" s="536"/>
      <c r="F220" s="542" t="s">
        <v>1251</v>
      </c>
      <c r="G220" s="148" t="s">
        <v>1318</v>
      </c>
      <c r="H220" s="148" t="s">
        <v>282</v>
      </c>
      <c r="I220" s="149"/>
      <c r="J220" s="150">
        <v>45782.0</v>
      </c>
      <c r="K220" s="126" t="s">
        <v>1274</v>
      </c>
      <c r="L220" s="126" t="s">
        <v>1319</v>
      </c>
      <c r="M220" s="152" t="s">
        <v>1320</v>
      </c>
      <c r="N220" s="152" t="s">
        <v>1255</v>
      </c>
      <c r="O220" s="375">
        <v>1.0</v>
      </c>
      <c r="P220" s="115" t="str">
        <f> hyperlink(vlookup(lower(N220),'File Links'!A:B, 2, FALSE), SUBSTITUTE(lower(N220), "/", "--") &amp;  ".pdf")</f>
        <v>10.1016--j.psychres.2017.09.048.pdf</v>
      </c>
      <c r="Q220" s="49" t="str">
        <f t="array" ref="Q220"> if(iserror(MATCH(V220, 'File Links'!C:C, 0)), "N/A", HYPERLINK(INDEX('File Links'!B:B, MATCH(P220, 'File Links'!C:C, 0))))</f>
        <v>https://drive.google.com/file/d/1bB5zAUL5oQPM2ClvdBCDeAd5AlkWVp4P/view?usp=drivesdk</v>
      </c>
      <c r="R220" s="126" t="s">
        <v>1256</v>
      </c>
      <c r="S220" s="58" t="s">
        <v>1257</v>
      </c>
      <c r="T220" s="65"/>
      <c r="U220" s="375">
        <v>1.0</v>
      </c>
      <c r="V220" s="63" t="str">
        <f> hyperlink(vlookup(lower(S220),'File Links'!E:F, 2, FALSE), SUBSTITUTE(lower(S220), "/", "--") &amp;  ".pdf")</f>
        <v>10.1002--erv.3103.pdf</v>
      </c>
      <c r="W220" s="126" t="s">
        <v>1258</v>
      </c>
      <c r="X220" s="51" t="str">
        <f t="array" ref="X220"> if(iserror(MATCH(V220, 'File Links'!C:C, 0)), "N/A", HYPERLINK(INDEX('File Links'!B:B, MATCH(V220, 'File Links'!C:C, 0))))</f>
        <v>https://drive.google.com/file/d/1bJ0BC-Xy_bNt41DXHAjv1ms0mnz9Vq86/view?usp=drivesdk</v>
      </c>
      <c r="Z220" s="148" t="s">
        <v>141</v>
      </c>
      <c r="AA220" s="126" t="s">
        <v>1321</v>
      </c>
      <c r="AB220" s="126" t="s">
        <v>1260</v>
      </c>
      <c r="AC220" s="368" t="s">
        <v>1312</v>
      </c>
      <c r="AD220" s="555" t="s">
        <v>1322</v>
      </c>
      <c r="AE220" s="549" t="s">
        <v>806</v>
      </c>
      <c r="AF220" s="158">
        <v>89.0</v>
      </c>
      <c r="AG220" s="158">
        <v>0.233</v>
      </c>
      <c r="AH220" s="377" t="s">
        <v>867</v>
      </c>
      <c r="AI220" s="126" t="s">
        <v>806</v>
      </c>
      <c r="AJ220" s="163">
        <v>0.001</v>
      </c>
      <c r="AK220" s="148" t="s">
        <v>128</v>
      </c>
      <c r="AL220" s="148" t="s">
        <v>129</v>
      </c>
      <c r="AM220" s="126" t="s">
        <v>134</v>
      </c>
      <c r="AN220" s="216" t="s">
        <v>131</v>
      </c>
      <c r="AO220" s="158">
        <v>74.0</v>
      </c>
      <c r="AP220" s="158">
        <v>0.363</v>
      </c>
      <c r="AQ220" s="377" t="s">
        <v>867</v>
      </c>
      <c r="AR220" s="368" t="s">
        <v>843</v>
      </c>
      <c r="AS220" s="163">
        <v>0.001</v>
      </c>
      <c r="AT220" s="148" t="s">
        <v>128</v>
      </c>
      <c r="AU220" s="148" t="s">
        <v>179</v>
      </c>
      <c r="AV220" s="126" t="s">
        <v>134</v>
      </c>
      <c r="AW220" s="539" t="s">
        <v>131</v>
      </c>
      <c r="AX220" s="126" t="s">
        <v>431</v>
      </c>
      <c r="AY220" s="547"/>
      <c r="AZ220" s="378" t="s">
        <v>1263</v>
      </c>
      <c r="BC220" s="69"/>
      <c r="BD220" s="69"/>
      <c r="BE220" s="69"/>
      <c r="BF220" s="69"/>
      <c r="BG220" s="69"/>
      <c r="BH220" s="69"/>
      <c r="BI220" s="69"/>
      <c r="BJ220" s="69"/>
      <c r="BK220" s="69"/>
      <c r="BL220" s="69"/>
      <c r="BM220" s="69"/>
      <c r="BN220" s="69"/>
      <c r="BO220" s="69"/>
      <c r="BP220" s="69"/>
      <c r="BQ220" s="69"/>
      <c r="BR220" s="69"/>
      <c r="BS220" s="69"/>
      <c r="BT220" s="69"/>
      <c r="BU220" s="69"/>
      <c r="BV220" s="69"/>
      <c r="BW220" s="69"/>
      <c r="BX220" s="69"/>
      <c r="BY220" s="69"/>
      <c r="BZ220" s="69"/>
      <c r="CA220" s="69"/>
      <c r="CB220" s="69"/>
      <c r="CC220" s="69"/>
      <c r="CD220" s="69"/>
      <c r="CE220" s="69"/>
      <c r="CF220" s="69"/>
      <c r="CG220" s="69"/>
      <c r="CH220" s="69"/>
      <c r="CI220" s="69"/>
      <c r="CJ220" s="69"/>
      <c r="CK220" s="69"/>
      <c r="CL220" s="69"/>
      <c r="CM220" s="69"/>
      <c r="CN220" s="69"/>
      <c r="CO220" s="69"/>
      <c r="CP220" s="69"/>
      <c r="CQ220" s="69"/>
      <c r="CR220" s="69"/>
      <c r="CS220" s="69"/>
      <c r="CT220" s="69"/>
      <c r="CU220" s="69"/>
      <c r="CV220" s="69"/>
      <c r="CW220" s="69"/>
      <c r="CX220" s="69"/>
      <c r="CY220" s="69"/>
      <c r="CZ220" s="69"/>
      <c r="DA220" s="69"/>
      <c r="DB220" s="69"/>
      <c r="DC220" s="69"/>
      <c r="DD220" s="69"/>
      <c r="DE220" s="69"/>
      <c r="DF220" s="69"/>
      <c r="DG220" s="69"/>
      <c r="DH220" s="69"/>
    </row>
    <row r="221" ht="20.25" customHeight="1">
      <c r="A221" s="41">
        <v>221.0</v>
      </c>
      <c r="B221" s="535" t="s">
        <v>145</v>
      </c>
      <c r="C221" s="535" t="s">
        <v>108</v>
      </c>
      <c r="D221" s="535" t="s">
        <v>279</v>
      </c>
      <c r="E221" s="536"/>
      <c r="F221" s="542" t="s">
        <v>1251</v>
      </c>
      <c r="G221" s="148" t="s">
        <v>1323</v>
      </c>
      <c r="H221" s="148" t="s">
        <v>282</v>
      </c>
      <c r="I221" s="149"/>
      <c r="J221" s="150">
        <v>45782.0</v>
      </c>
      <c r="K221" s="126" t="s">
        <v>1274</v>
      </c>
      <c r="L221" s="545" t="s">
        <v>1324</v>
      </c>
      <c r="M221" s="152" t="s">
        <v>1325</v>
      </c>
      <c r="N221" s="152" t="s">
        <v>1255</v>
      </c>
      <c r="O221" s="375">
        <v>1.0</v>
      </c>
      <c r="P221" s="115" t="str">
        <f> hyperlink(vlookup(lower(N221),'File Links'!A:B, 2, FALSE), SUBSTITUTE(lower(N221), "/", "--") &amp;  ".pdf")</f>
        <v>10.1016--j.psychres.2017.09.048.pdf</v>
      </c>
      <c r="Q221" s="49" t="str">
        <f t="array" ref="Q221"> if(iserror(MATCH(V221, 'File Links'!C:C, 0)), "N/A", HYPERLINK(INDEX('File Links'!B:B, MATCH(P221, 'File Links'!C:C, 0))))</f>
        <v>https://drive.google.com/file/d/1bB5zAUL5oQPM2ClvdBCDeAd5AlkWVp4P/view?usp=drivesdk</v>
      </c>
      <c r="R221" s="126" t="s">
        <v>1256</v>
      </c>
      <c r="S221" s="58" t="s">
        <v>1257</v>
      </c>
      <c r="T221" s="65"/>
      <c r="U221" s="375">
        <v>1.0</v>
      </c>
      <c r="V221" s="63" t="str">
        <f> hyperlink(vlookup(lower(S221),'File Links'!E:F, 2, FALSE), SUBSTITUTE(lower(S221), "/", "--") &amp;  ".pdf")</f>
        <v>10.1002--erv.3103.pdf</v>
      </c>
      <c r="W221" s="126" t="s">
        <v>1258</v>
      </c>
      <c r="X221" s="51" t="str">
        <f t="array" ref="X221"> if(iserror(MATCH(V221, 'File Links'!C:C, 0)), "N/A", HYPERLINK(INDEX('File Links'!B:B, MATCH(V221, 'File Links'!C:C, 0))))</f>
        <v>https://drive.google.com/file/d/1bJ0BC-Xy_bNt41DXHAjv1ms0mnz9Vq86/view?usp=drivesdk</v>
      </c>
      <c r="Z221" s="148" t="s">
        <v>141</v>
      </c>
      <c r="AA221" s="126" t="s">
        <v>1326</v>
      </c>
      <c r="AB221" s="126" t="s">
        <v>1260</v>
      </c>
      <c r="AC221" s="368" t="s">
        <v>1312</v>
      </c>
      <c r="AD221" s="555" t="s">
        <v>1327</v>
      </c>
      <c r="AE221" s="549" t="s">
        <v>806</v>
      </c>
      <c r="AF221" s="158">
        <v>89.0</v>
      </c>
      <c r="AG221" s="368" t="s">
        <v>1314</v>
      </c>
      <c r="AH221" s="148" t="s">
        <v>127</v>
      </c>
      <c r="AI221" s="368" t="s">
        <v>806</v>
      </c>
      <c r="AJ221" s="552" t="s">
        <v>131</v>
      </c>
      <c r="AK221" s="552" t="s">
        <v>131</v>
      </c>
      <c r="AL221" s="552" t="s">
        <v>131</v>
      </c>
      <c r="AM221" s="552" t="s">
        <v>131</v>
      </c>
      <c r="AN221" s="216" t="s">
        <v>131</v>
      </c>
      <c r="AO221" s="158">
        <v>74.0</v>
      </c>
      <c r="AP221" s="368" t="s">
        <v>1328</v>
      </c>
      <c r="AQ221" s="148" t="s">
        <v>127</v>
      </c>
      <c r="AR221" s="368" t="s">
        <v>843</v>
      </c>
      <c r="AS221" s="541" t="s">
        <v>131</v>
      </c>
      <c r="AT221" s="541" t="s">
        <v>131</v>
      </c>
      <c r="AU221" s="541" t="s">
        <v>131</v>
      </c>
      <c r="AV221" s="541" t="s">
        <v>131</v>
      </c>
      <c r="AW221" s="539" t="s">
        <v>131</v>
      </c>
      <c r="AX221" s="126" t="s">
        <v>431</v>
      </c>
      <c r="AY221" s="547"/>
      <c r="AZ221" s="378" t="s">
        <v>1263</v>
      </c>
      <c r="BC221" s="69"/>
      <c r="BD221" s="69"/>
      <c r="BE221" s="69"/>
      <c r="BF221" s="69"/>
      <c r="BG221" s="69"/>
      <c r="BH221" s="69"/>
      <c r="BI221" s="69"/>
      <c r="BJ221" s="69"/>
      <c r="BK221" s="69"/>
      <c r="BL221" s="69"/>
      <c r="BM221" s="69"/>
      <c r="BN221" s="69"/>
      <c r="BO221" s="69"/>
      <c r="BP221" s="69"/>
      <c r="BQ221" s="69"/>
      <c r="BR221" s="69"/>
      <c r="BS221" s="69"/>
      <c r="BT221" s="69"/>
      <c r="BU221" s="69"/>
      <c r="BV221" s="69"/>
      <c r="BW221" s="69"/>
      <c r="BX221" s="69"/>
      <c r="BY221" s="69"/>
      <c r="BZ221" s="69"/>
      <c r="CA221" s="69"/>
      <c r="CB221" s="69"/>
      <c r="CC221" s="69"/>
      <c r="CD221" s="69"/>
      <c r="CE221" s="69"/>
      <c r="CF221" s="69"/>
      <c r="CG221" s="69"/>
      <c r="CH221" s="69"/>
      <c r="CI221" s="69"/>
      <c r="CJ221" s="69"/>
      <c r="CK221" s="69"/>
      <c r="CL221" s="69"/>
      <c r="CM221" s="69"/>
      <c r="CN221" s="69"/>
      <c r="CO221" s="69"/>
      <c r="CP221" s="69"/>
      <c r="CQ221" s="69"/>
      <c r="CR221" s="69"/>
      <c r="CS221" s="69"/>
      <c r="CT221" s="69"/>
      <c r="CU221" s="69"/>
      <c r="CV221" s="69"/>
      <c r="CW221" s="69"/>
      <c r="CX221" s="69"/>
      <c r="CY221" s="69"/>
      <c r="CZ221" s="69"/>
      <c r="DA221" s="69"/>
      <c r="DB221" s="69"/>
      <c r="DC221" s="69"/>
      <c r="DD221" s="69"/>
      <c r="DE221" s="69"/>
      <c r="DF221" s="69"/>
      <c r="DG221" s="69"/>
      <c r="DH221" s="69"/>
    </row>
    <row r="222" ht="20.25" customHeight="1">
      <c r="A222" s="41">
        <v>222.0</v>
      </c>
      <c r="B222" s="535" t="s">
        <v>145</v>
      </c>
      <c r="C222" s="535" t="s">
        <v>108</v>
      </c>
      <c r="D222" s="535" t="s">
        <v>279</v>
      </c>
      <c r="E222" s="536"/>
      <c r="F222" s="542" t="s">
        <v>1251</v>
      </c>
      <c r="G222" s="148" t="s">
        <v>1329</v>
      </c>
      <c r="H222" s="148" t="s">
        <v>282</v>
      </c>
      <c r="I222" s="149"/>
      <c r="J222" s="150">
        <v>45782.0</v>
      </c>
      <c r="K222" s="126" t="s">
        <v>1274</v>
      </c>
      <c r="L222" s="126" t="s">
        <v>1330</v>
      </c>
      <c r="M222" s="152" t="s">
        <v>1331</v>
      </c>
      <c r="N222" s="152" t="s">
        <v>1255</v>
      </c>
      <c r="O222" s="375">
        <v>1.0</v>
      </c>
      <c r="P222" s="115" t="str">
        <f> hyperlink(vlookup(lower(N222),'File Links'!A:B, 2, FALSE), SUBSTITUTE(lower(N222), "/", "--") &amp;  ".pdf")</f>
        <v>10.1016--j.psychres.2017.09.048.pdf</v>
      </c>
      <c r="Q222" s="49" t="str">
        <f t="array" ref="Q222"> if(iserror(MATCH(V222, 'File Links'!C:C, 0)), "N/A", HYPERLINK(INDEX('File Links'!B:B, MATCH(P222, 'File Links'!C:C, 0))))</f>
        <v>https://drive.google.com/file/d/1bB5zAUL5oQPM2ClvdBCDeAd5AlkWVp4P/view?usp=drivesdk</v>
      </c>
      <c r="R222" s="126" t="s">
        <v>1256</v>
      </c>
      <c r="S222" s="58" t="s">
        <v>1257</v>
      </c>
      <c r="T222" s="65"/>
      <c r="U222" s="375">
        <v>1.0</v>
      </c>
      <c r="V222" s="63" t="str">
        <f> hyperlink(vlookup(lower(S222),'File Links'!E:F, 2, FALSE), SUBSTITUTE(lower(S222), "/", "--") &amp;  ".pdf")</f>
        <v>10.1002--erv.3103.pdf</v>
      </c>
      <c r="W222" s="126" t="s">
        <v>1258</v>
      </c>
      <c r="X222" s="51" t="str">
        <f t="array" ref="X222"> if(iserror(MATCH(V222, 'File Links'!C:C, 0)), "N/A", HYPERLINK(INDEX('File Links'!B:B, MATCH(V222, 'File Links'!C:C, 0))))</f>
        <v>https://drive.google.com/file/d/1bJ0BC-Xy_bNt41DXHAjv1ms0mnz9Vq86/view?usp=drivesdk</v>
      </c>
      <c r="Z222" s="148" t="s">
        <v>141</v>
      </c>
      <c r="AA222" s="126" t="s">
        <v>1332</v>
      </c>
      <c r="AB222" s="126" t="s">
        <v>1260</v>
      </c>
      <c r="AC222" s="368" t="s">
        <v>1333</v>
      </c>
      <c r="AD222" s="556" t="s">
        <v>1334</v>
      </c>
      <c r="AE222" s="549" t="s">
        <v>806</v>
      </c>
      <c r="AF222" s="158">
        <v>89.0</v>
      </c>
      <c r="AG222" s="158">
        <v>0.917</v>
      </c>
      <c r="AH222" s="377" t="s">
        <v>867</v>
      </c>
      <c r="AI222" s="126" t="s">
        <v>806</v>
      </c>
      <c r="AJ222" s="163">
        <v>0.001</v>
      </c>
      <c r="AK222" s="148" t="s">
        <v>128</v>
      </c>
      <c r="AL222" s="148" t="s">
        <v>129</v>
      </c>
      <c r="AM222" s="126" t="s">
        <v>134</v>
      </c>
      <c r="AN222" s="216" t="s">
        <v>131</v>
      </c>
      <c r="AO222" s="158">
        <v>74.0</v>
      </c>
      <c r="AP222" s="158">
        <v>0.849</v>
      </c>
      <c r="AQ222" s="377" t="s">
        <v>867</v>
      </c>
      <c r="AR222" s="368" t="s">
        <v>843</v>
      </c>
      <c r="AS222" s="163">
        <v>0.001</v>
      </c>
      <c r="AT222" s="148" t="s">
        <v>128</v>
      </c>
      <c r="AU222" s="148" t="s">
        <v>179</v>
      </c>
      <c r="AV222" s="126" t="s">
        <v>134</v>
      </c>
      <c r="AW222" s="539" t="s">
        <v>131</v>
      </c>
      <c r="AX222" s="126" t="s">
        <v>431</v>
      </c>
      <c r="AZ222" s="378" t="s">
        <v>1263</v>
      </c>
      <c r="BC222" s="69"/>
      <c r="BD222" s="69"/>
      <c r="BE222" s="69"/>
      <c r="BF222" s="69"/>
      <c r="BG222" s="69"/>
      <c r="BH222" s="69"/>
      <c r="BI222" s="69"/>
      <c r="BJ222" s="69"/>
      <c r="BK222" s="69"/>
      <c r="BL222" s="69"/>
      <c r="BM222" s="69"/>
      <c r="BN222" s="69"/>
      <c r="BO222" s="69"/>
      <c r="BP222" s="69"/>
      <c r="BQ222" s="69"/>
      <c r="BR222" s="69"/>
      <c r="BS222" s="69"/>
      <c r="BT222" s="69"/>
      <c r="BU222" s="69"/>
      <c r="BV222" s="69"/>
      <c r="BW222" s="69"/>
      <c r="BX222" s="69"/>
      <c r="BY222" s="69"/>
      <c r="BZ222" s="69"/>
      <c r="CA222" s="69"/>
      <c r="CB222" s="69"/>
      <c r="CC222" s="69"/>
      <c r="CD222" s="69"/>
      <c r="CE222" s="69"/>
      <c r="CF222" s="69"/>
      <c r="CG222" s="69"/>
      <c r="CH222" s="69"/>
      <c r="CI222" s="69"/>
      <c r="CJ222" s="69"/>
      <c r="CK222" s="69"/>
      <c r="CL222" s="69"/>
      <c r="CM222" s="69"/>
      <c r="CN222" s="69"/>
      <c r="CO222" s="69"/>
      <c r="CP222" s="69"/>
      <c r="CQ222" s="69"/>
      <c r="CR222" s="69"/>
      <c r="CS222" s="69"/>
      <c r="CT222" s="69"/>
      <c r="CU222" s="69"/>
      <c r="CV222" s="69"/>
      <c r="CW222" s="69"/>
      <c r="CX222" s="69"/>
      <c r="CY222" s="69"/>
      <c r="CZ222" s="69"/>
      <c r="DA222" s="69"/>
      <c r="DB222" s="69"/>
      <c r="DC222" s="69"/>
      <c r="DD222" s="69"/>
      <c r="DE222" s="69"/>
      <c r="DF222" s="69"/>
      <c r="DG222" s="69"/>
      <c r="DH222" s="69"/>
    </row>
    <row r="223" ht="20.25" customHeight="1">
      <c r="A223" s="41">
        <v>223.0</v>
      </c>
      <c r="B223" s="535" t="s">
        <v>145</v>
      </c>
      <c r="C223" s="535" t="s">
        <v>108</v>
      </c>
      <c r="D223" s="535" t="s">
        <v>279</v>
      </c>
      <c r="E223" s="536"/>
      <c r="F223" s="542" t="s">
        <v>1251</v>
      </c>
      <c r="G223" s="148" t="s">
        <v>1335</v>
      </c>
      <c r="H223" s="148" t="s">
        <v>282</v>
      </c>
      <c r="I223" s="149"/>
      <c r="J223" s="150">
        <v>45782.0</v>
      </c>
      <c r="K223" s="126" t="s">
        <v>1274</v>
      </c>
      <c r="L223" s="126" t="s">
        <v>1336</v>
      </c>
      <c r="M223" s="152" t="s">
        <v>1337</v>
      </c>
      <c r="N223" s="152" t="s">
        <v>1255</v>
      </c>
      <c r="O223" s="375">
        <v>1.0</v>
      </c>
      <c r="P223" s="115" t="str">
        <f> hyperlink(vlookup(lower(N223),'File Links'!A:B, 2, FALSE), SUBSTITUTE(lower(N223), "/", "--") &amp;  ".pdf")</f>
        <v>10.1016--j.psychres.2017.09.048.pdf</v>
      </c>
      <c r="Q223" s="49" t="str">
        <f t="array" ref="Q223"> if(iserror(MATCH(V223, 'File Links'!C:C, 0)), "N/A", HYPERLINK(INDEX('File Links'!B:B, MATCH(P223, 'File Links'!C:C, 0))))</f>
        <v>https://drive.google.com/file/d/1bB5zAUL5oQPM2ClvdBCDeAd5AlkWVp4P/view?usp=drivesdk</v>
      </c>
      <c r="R223" s="126" t="s">
        <v>1256</v>
      </c>
      <c r="S223" s="58" t="s">
        <v>1257</v>
      </c>
      <c r="T223" s="65"/>
      <c r="U223" s="375">
        <v>1.0</v>
      </c>
      <c r="V223" s="63" t="str">
        <f> hyperlink(vlookup(lower(S223),'File Links'!E:F, 2, FALSE), SUBSTITUTE(lower(S223), "/", "--") &amp;  ".pdf")</f>
        <v>10.1002--erv.3103.pdf</v>
      </c>
      <c r="W223" s="126" t="s">
        <v>1258</v>
      </c>
      <c r="X223" s="51" t="str">
        <f t="array" ref="X223"> if(iserror(MATCH(V223, 'File Links'!C:C, 0)), "N/A", HYPERLINK(INDEX('File Links'!B:B, MATCH(V223, 'File Links'!C:C, 0))))</f>
        <v>https://drive.google.com/file/d/1bJ0BC-Xy_bNt41DXHAjv1ms0mnz9Vq86/view?usp=drivesdk</v>
      </c>
      <c r="Z223" s="148" t="s">
        <v>141</v>
      </c>
      <c r="AA223" s="126" t="s">
        <v>1338</v>
      </c>
      <c r="AB223" s="126" t="s">
        <v>1260</v>
      </c>
      <c r="AC223" s="368" t="s">
        <v>1333</v>
      </c>
      <c r="AD223" s="555" t="s">
        <v>1339</v>
      </c>
      <c r="AE223" s="549" t="s">
        <v>806</v>
      </c>
      <c r="AF223" s="158">
        <v>89.0</v>
      </c>
      <c r="AG223" s="158">
        <v>0.519</v>
      </c>
      <c r="AH223" s="377" t="s">
        <v>867</v>
      </c>
      <c r="AI223" s="126" t="s">
        <v>806</v>
      </c>
      <c r="AJ223" s="163">
        <v>0.001</v>
      </c>
      <c r="AK223" s="148" t="s">
        <v>128</v>
      </c>
      <c r="AL223" s="148" t="s">
        <v>129</v>
      </c>
      <c r="AM223" s="126" t="s">
        <v>134</v>
      </c>
      <c r="AN223" s="216" t="s">
        <v>131</v>
      </c>
      <c r="AO223" s="158">
        <v>74.0</v>
      </c>
      <c r="AP223" s="158">
        <v>0.647</v>
      </c>
      <c r="AQ223" s="377" t="s">
        <v>867</v>
      </c>
      <c r="AR223" s="368" t="s">
        <v>843</v>
      </c>
      <c r="AS223" s="163">
        <v>0.001</v>
      </c>
      <c r="AT223" s="148" t="s">
        <v>128</v>
      </c>
      <c r="AU223" s="148" t="s">
        <v>179</v>
      </c>
      <c r="AV223" s="126" t="s">
        <v>134</v>
      </c>
      <c r="AW223" s="539" t="s">
        <v>131</v>
      </c>
      <c r="AX223" s="126" t="s">
        <v>431</v>
      </c>
      <c r="AY223" s="547"/>
      <c r="AZ223" s="378" t="s">
        <v>1263</v>
      </c>
      <c r="BC223" s="69"/>
      <c r="BD223" s="69"/>
      <c r="BE223" s="69"/>
      <c r="BF223" s="69"/>
      <c r="BG223" s="69"/>
      <c r="BH223" s="69"/>
      <c r="BI223" s="69"/>
      <c r="BJ223" s="69"/>
      <c r="BK223" s="69"/>
      <c r="BL223" s="69"/>
      <c r="BM223" s="69"/>
      <c r="BN223" s="69"/>
      <c r="BO223" s="69"/>
      <c r="BP223" s="69"/>
      <c r="BQ223" s="69"/>
      <c r="BR223" s="69"/>
      <c r="BS223" s="69"/>
      <c r="BT223" s="69"/>
      <c r="BU223" s="69"/>
      <c r="BV223" s="69"/>
      <c r="BW223" s="69"/>
      <c r="BX223" s="69"/>
      <c r="BY223" s="69"/>
      <c r="BZ223" s="69"/>
      <c r="CA223" s="69"/>
      <c r="CB223" s="69"/>
      <c r="CC223" s="69"/>
      <c r="CD223" s="69"/>
      <c r="CE223" s="69"/>
      <c r="CF223" s="69"/>
      <c r="CG223" s="69"/>
      <c r="CH223" s="69"/>
      <c r="CI223" s="69"/>
      <c r="CJ223" s="69"/>
      <c r="CK223" s="69"/>
      <c r="CL223" s="69"/>
      <c r="CM223" s="69"/>
      <c r="CN223" s="69"/>
      <c r="CO223" s="69"/>
      <c r="CP223" s="69"/>
      <c r="CQ223" s="69"/>
      <c r="CR223" s="69"/>
      <c r="CS223" s="69"/>
      <c r="CT223" s="69"/>
      <c r="CU223" s="69"/>
      <c r="CV223" s="69"/>
      <c r="CW223" s="69"/>
      <c r="CX223" s="69"/>
      <c r="CY223" s="69"/>
      <c r="CZ223" s="69"/>
      <c r="DA223" s="69"/>
      <c r="DB223" s="69"/>
      <c r="DC223" s="69"/>
      <c r="DD223" s="69"/>
      <c r="DE223" s="69"/>
      <c r="DF223" s="69"/>
      <c r="DG223" s="69"/>
      <c r="DH223" s="69"/>
    </row>
    <row r="224" ht="20.25" customHeight="1">
      <c r="A224" s="41">
        <v>224.0</v>
      </c>
      <c r="B224" s="535" t="s">
        <v>145</v>
      </c>
      <c r="C224" s="535" t="s">
        <v>108</v>
      </c>
      <c r="D224" s="535" t="s">
        <v>279</v>
      </c>
      <c r="E224" s="536"/>
      <c r="F224" s="542" t="s">
        <v>1251</v>
      </c>
      <c r="G224" s="148" t="s">
        <v>1340</v>
      </c>
      <c r="H224" s="148" t="s">
        <v>282</v>
      </c>
      <c r="I224" s="149"/>
      <c r="J224" s="150">
        <v>45782.0</v>
      </c>
      <c r="K224" s="126" t="s">
        <v>1274</v>
      </c>
      <c r="L224" s="126" t="s">
        <v>1336</v>
      </c>
      <c r="M224" s="152" t="s">
        <v>1341</v>
      </c>
      <c r="N224" s="152" t="s">
        <v>1255</v>
      </c>
      <c r="O224" s="375">
        <v>1.0</v>
      </c>
      <c r="P224" s="115" t="str">
        <f> hyperlink(vlookup(lower(N224),'File Links'!A:B, 2, FALSE), SUBSTITUTE(lower(N224), "/", "--") &amp;  ".pdf")</f>
        <v>10.1016--j.psychres.2017.09.048.pdf</v>
      </c>
      <c r="Q224" s="49" t="str">
        <f t="array" ref="Q224"> if(iserror(MATCH(V224, 'File Links'!C:C, 0)), "N/A", HYPERLINK(INDEX('File Links'!B:B, MATCH(P224, 'File Links'!C:C, 0))))</f>
        <v>https://drive.google.com/file/d/1bB5zAUL5oQPM2ClvdBCDeAd5AlkWVp4P/view?usp=drivesdk</v>
      </c>
      <c r="R224" s="126" t="s">
        <v>1256</v>
      </c>
      <c r="S224" s="58" t="s">
        <v>1257</v>
      </c>
      <c r="T224" s="65"/>
      <c r="U224" s="375">
        <v>1.0</v>
      </c>
      <c r="V224" s="63" t="str">
        <f> hyperlink(vlookup(lower(S224),'File Links'!E:F, 2, FALSE), SUBSTITUTE(lower(S224), "/", "--") &amp;  ".pdf")</f>
        <v>10.1002--erv.3103.pdf</v>
      </c>
      <c r="W224" s="126" t="s">
        <v>1258</v>
      </c>
      <c r="X224" s="51" t="str">
        <f t="array" ref="X224"> if(iserror(MATCH(V224, 'File Links'!C:C, 0)), "N/A", HYPERLINK(INDEX('File Links'!B:B, MATCH(V224, 'File Links'!C:C, 0))))</f>
        <v>https://drive.google.com/file/d/1bJ0BC-Xy_bNt41DXHAjv1ms0mnz9Vq86/view?usp=drivesdk</v>
      </c>
      <c r="Z224" s="148" t="s">
        <v>141</v>
      </c>
      <c r="AA224" s="126" t="s">
        <v>1342</v>
      </c>
      <c r="AB224" s="126" t="s">
        <v>1260</v>
      </c>
      <c r="AC224" s="368" t="s">
        <v>1343</v>
      </c>
      <c r="AD224" s="555" t="s">
        <v>1344</v>
      </c>
      <c r="AE224" s="549" t="s">
        <v>806</v>
      </c>
      <c r="AF224" s="158">
        <v>89.0</v>
      </c>
      <c r="AG224" s="158">
        <v>0.536</v>
      </c>
      <c r="AH224" s="377" t="s">
        <v>867</v>
      </c>
      <c r="AI224" s="126" t="s">
        <v>806</v>
      </c>
      <c r="AJ224" s="163">
        <v>0.001</v>
      </c>
      <c r="AK224" s="148" t="s">
        <v>128</v>
      </c>
      <c r="AL224" s="148" t="s">
        <v>129</v>
      </c>
      <c r="AM224" s="126" t="s">
        <v>134</v>
      </c>
      <c r="AN224" s="216" t="s">
        <v>131</v>
      </c>
      <c r="AO224" s="158">
        <v>74.0</v>
      </c>
      <c r="AP224" s="158">
        <v>0.595</v>
      </c>
      <c r="AQ224" s="377" t="s">
        <v>867</v>
      </c>
      <c r="AR224" s="368" t="s">
        <v>843</v>
      </c>
      <c r="AS224" s="163">
        <v>0.001</v>
      </c>
      <c r="AT224" s="148" t="s">
        <v>128</v>
      </c>
      <c r="AU224" s="148" t="s">
        <v>179</v>
      </c>
      <c r="AV224" s="126" t="s">
        <v>134</v>
      </c>
      <c r="AW224" s="539" t="s">
        <v>131</v>
      </c>
      <c r="AX224" s="126" t="s">
        <v>431</v>
      </c>
      <c r="AY224" s="547"/>
      <c r="AZ224" s="378" t="s">
        <v>1263</v>
      </c>
      <c r="BC224" s="69"/>
      <c r="BD224" s="69"/>
      <c r="BE224" s="69"/>
      <c r="BF224" s="69"/>
      <c r="BG224" s="69"/>
      <c r="BH224" s="69"/>
      <c r="BI224" s="69"/>
      <c r="BJ224" s="69"/>
      <c r="BK224" s="69"/>
      <c r="BL224" s="69"/>
      <c r="BM224" s="69"/>
      <c r="BN224" s="69"/>
      <c r="BO224" s="69"/>
      <c r="BP224" s="69"/>
      <c r="BQ224" s="69"/>
      <c r="BR224" s="69"/>
      <c r="BS224" s="69"/>
      <c r="BT224" s="69"/>
      <c r="BU224" s="69"/>
      <c r="BV224" s="69"/>
      <c r="BW224" s="69"/>
      <c r="BX224" s="69"/>
      <c r="BY224" s="69"/>
      <c r="BZ224" s="69"/>
      <c r="CA224" s="69"/>
      <c r="CB224" s="69"/>
      <c r="CC224" s="69"/>
      <c r="CD224" s="69"/>
      <c r="CE224" s="69"/>
      <c r="CF224" s="69"/>
      <c r="CG224" s="69"/>
      <c r="CH224" s="69"/>
      <c r="CI224" s="69"/>
      <c r="CJ224" s="69"/>
      <c r="CK224" s="69"/>
      <c r="CL224" s="69"/>
      <c r="CM224" s="69"/>
      <c r="CN224" s="69"/>
      <c r="CO224" s="69"/>
      <c r="CP224" s="69"/>
      <c r="CQ224" s="69"/>
      <c r="CR224" s="69"/>
      <c r="CS224" s="69"/>
      <c r="CT224" s="69"/>
      <c r="CU224" s="69"/>
      <c r="CV224" s="69"/>
      <c r="CW224" s="69"/>
      <c r="CX224" s="69"/>
      <c r="CY224" s="69"/>
      <c r="CZ224" s="69"/>
      <c r="DA224" s="69"/>
      <c r="DB224" s="69"/>
      <c r="DC224" s="69"/>
      <c r="DD224" s="69"/>
      <c r="DE224" s="69"/>
      <c r="DF224" s="69"/>
      <c r="DG224" s="69"/>
      <c r="DH224" s="69"/>
    </row>
    <row r="225" ht="20.25" customHeight="1">
      <c r="A225" s="41">
        <v>225.0</v>
      </c>
      <c r="B225" s="535" t="s">
        <v>145</v>
      </c>
      <c r="C225" s="535" t="s">
        <v>108</v>
      </c>
      <c r="D225" s="535" t="s">
        <v>279</v>
      </c>
      <c r="E225" s="536"/>
      <c r="F225" s="542" t="s">
        <v>1251</v>
      </c>
      <c r="G225" s="543" t="s">
        <v>1345</v>
      </c>
      <c r="H225" s="543" t="s">
        <v>282</v>
      </c>
      <c r="I225" s="544"/>
      <c r="J225" s="150">
        <v>45782.0</v>
      </c>
      <c r="K225" s="545" t="s">
        <v>1274</v>
      </c>
      <c r="L225" s="545" t="s">
        <v>1346</v>
      </c>
      <c r="M225" s="546" t="s">
        <v>1347</v>
      </c>
      <c r="N225" s="152" t="s">
        <v>1255</v>
      </c>
      <c r="O225" s="375">
        <v>1.0</v>
      </c>
      <c r="P225" s="115" t="str">
        <f> hyperlink(vlookup(lower(N225),'File Links'!A:B, 2, FALSE), SUBSTITUTE(lower(N225), "/", "--") &amp;  ".pdf")</f>
        <v>10.1016--j.psychres.2017.09.048.pdf</v>
      </c>
      <c r="Q225" s="49" t="str">
        <f t="array" ref="Q225"> if(iserror(MATCH(V225, 'File Links'!C:C, 0)), "N/A", HYPERLINK(INDEX('File Links'!B:B, MATCH(P225, 'File Links'!C:C, 0))))</f>
        <v>https://drive.google.com/file/d/1bB5zAUL5oQPM2ClvdBCDeAd5AlkWVp4P/view?usp=drivesdk</v>
      </c>
      <c r="R225" s="126" t="s">
        <v>1256</v>
      </c>
      <c r="S225" s="58" t="s">
        <v>1257</v>
      </c>
      <c r="T225" s="524"/>
      <c r="U225" s="375">
        <v>1.0</v>
      </c>
      <c r="V225" s="63" t="str">
        <f> hyperlink(vlookup(lower(S225),'File Links'!E:F, 2, FALSE), SUBSTITUTE(lower(S225), "/", "--") &amp;  ".pdf")</f>
        <v>10.1002--erv.3103.pdf</v>
      </c>
      <c r="W225" s="545" t="s">
        <v>1258</v>
      </c>
      <c r="X225" s="51" t="str">
        <f t="array" ref="X225"> if(iserror(MATCH(V225, 'File Links'!C:C, 0)), "N/A", HYPERLINK(INDEX('File Links'!B:B, MATCH(V225, 'File Links'!C:C, 0))))</f>
        <v>https://drive.google.com/file/d/1bJ0BC-Xy_bNt41DXHAjv1ms0mnz9Vq86/view?usp=drivesdk</v>
      </c>
      <c r="Y225" s="547"/>
      <c r="Z225" s="543" t="s">
        <v>141</v>
      </c>
      <c r="AA225" s="545" t="s">
        <v>1348</v>
      </c>
      <c r="AB225" s="545" t="s">
        <v>1260</v>
      </c>
      <c r="AC225" s="553" t="s">
        <v>1333</v>
      </c>
      <c r="AD225" s="548" t="s">
        <v>1349</v>
      </c>
      <c r="AE225" s="549" t="s">
        <v>806</v>
      </c>
      <c r="AF225" s="549">
        <v>89.0</v>
      </c>
      <c r="AG225" s="550" t="s">
        <v>1350</v>
      </c>
      <c r="AH225" s="377" t="s">
        <v>127</v>
      </c>
      <c r="AI225" s="368" t="s">
        <v>806</v>
      </c>
      <c r="AJ225" s="554">
        <v>0.05</v>
      </c>
      <c r="AK225" s="543" t="s">
        <v>328</v>
      </c>
      <c r="AL225" s="543" t="s">
        <v>129</v>
      </c>
      <c r="AM225" s="545" t="s">
        <v>134</v>
      </c>
      <c r="AN225" s="216" t="s">
        <v>131</v>
      </c>
      <c r="AO225" s="549">
        <v>74.0</v>
      </c>
      <c r="AP225" s="553" t="s">
        <v>1328</v>
      </c>
      <c r="AQ225" s="148" t="s">
        <v>127</v>
      </c>
      <c r="AR225" s="368" t="s">
        <v>843</v>
      </c>
      <c r="AS225" s="541" t="s">
        <v>131</v>
      </c>
      <c r="AT225" s="541" t="s">
        <v>131</v>
      </c>
      <c r="AU225" s="541" t="s">
        <v>131</v>
      </c>
      <c r="AV225" s="541" t="s">
        <v>131</v>
      </c>
      <c r="AW225" s="539" t="s">
        <v>131</v>
      </c>
      <c r="AX225" s="545" t="s">
        <v>431</v>
      </c>
      <c r="AY225" s="547"/>
      <c r="AZ225" s="378" t="s">
        <v>1263</v>
      </c>
      <c r="BC225" s="69"/>
      <c r="BD225" s="69"/>
      <c r="BE225" s="69"/>
      <c r="BF225" s="69"/>
      <c r="BG225" s="69"/>
      <c r="BH225" s="69"/>
      <c r="BI225" s="69"/>
      <c r="BJ225" s="69"/>
      <c r="BK225" s="69"/>
      <c r="BL225" s="69"/>
      <c r="BM225" s="69"/>
      <c r="BN225" s="69"/>
      <c r="BO225" s="69"/>
      <c r="BP225" s="69"/>
      <c r="BQ225" s="69"/>
      <c r="BR225" s="69"/>
      <c r="BS225" s="69"/>
      <c r="BT225" s="69"/>
      <c r="BU225" s="69"/>
      <c r="BV225" s="69"/>
      <c r="BW225" s="69"/>
      <c r="BX225" s="69"/>
      <c r="BY225" s="69"/>
      <c r="BZ225" s="69"/>
      <c r="CA225" s="69"/>
      <c r="CB225" s="69"/>
      <c r="CC225" s="69"/>
      <c r="CD225" s="69"/>
      <c r="CE225" s="69"/>
      <c r="CF225" s="69"/>
      <c r="CG225" s="69"/>
      <c r="CH225" s="69"/>
      <c r="CI225" s="69"/>
      <c r="CJ225" s="69"/>
      <c r="CK225" s="69"/>
      <c r="CL225" s="69"/>
      <c r="CM225" s="69"/>
      <c r="CN225" s="69"/>
      <c r="CO225" s="69"/>
      <c r="CP225" s="69"/>
      <c r="CQ225" s="69"/>
      <c r="CR225" s="69"/>
      <c r="CS225" s="69"/>
      <c r="CT225" s="69"/>
      <c r="CU225" s="69"/>
      <c r="CV225" s="69"/>
      <c r="CW225" s="69"/>
      <c r="CX225" s="69"/>
      <c r="CY225" s="69"/>
      <c r="CZ225" s="69"/>
      <c r="DA225" s="69"/>
      <c r="DB225" s="69"/>
      <c r="DC225" s="69"/>
      <c r="DD225" s="69"/>
      <c r="DE225" s="69"/>
      <c r="DF225" s="69"/>
      <c r="DG225" s="69"/>
      <c r="DH225" s="69"/>
    </row>
    <row r="226" ht="20.25" customHeight="1">
      <c r="A226" s="41">
        <v>226.0</v>
      </c>
      <c r="B226" s="535" t="s">
        <v>145</v>
      </c>
      <c r="C226" s="535" t="s">
        <v>108</v>
      </c>
      <c r="D226" s="535" t="s">
        <v>279</v>
      </c>
      <c r="E226" s="536"/>
      <c r="F226" s="542" t="s">
        <v>1251</v>
      </c>
      <c r="G226" s="148" t="s">
        <v>1351</v>
      </c>
      <c r="H226" s="148" t="s">
        <v>282</v>
      </c>
      <c r="I226" s="149"/>
      <c r="J226" s="150">
        <v>45782.0</v>
      </c>
      <c r="K226" s="126" t="s">
        <v>1274</v>
      </c>
      <c r="L226" s="545" t="s">
        <v>1352</v>
      </c>
      <c r="M226" s="152" t="s">
        <v>1353</v>
      </c>
      <c r="N226" s="152" t="s">
        <v>1255</v>
      </c>
      <c r="O226" s="375">
        <v>1.0</v>
      </c>
      <c r="P226" s="115" t="str">
        <f> hyperlink(vlookup(lower(N226),'File Links'!A:B, 2, FALSE), SUBSTITUTE(lower(N226), "/", "--") &amp;  ".pdf")</f>
        <v>10.1016--j.psychres.2017.09.048.pdf</v>
      </c>
      <c r="Q226" s="49" t="str">
        <f t="array" ref="Q226"> if(iserror(MATCH(V226, 'File Links'!C:C, 0)), "N/A", HYPERLINK(INDEX('File Links'!B:B, MATCH(P226, 'File Links'!C:C, 0))))</f>
        <v>https://drive.google.com/file/d/1bB5zAUL5oQPM2ClvdBCDeAd5AlkWVp4P/view?usp=drivesdk</v>
      </c>
      <c r="R226" s="126" t="s">
        <v>1256</v>
      </c>
      <c r="S226" s="58" t="s">
        <v>1257</v>
      </c>
      <c r="T226" s="65"/>
      <c r="U226" s="375">
        <v>1.0</v>
      </c>
      <c r="V226" s="63" t="str">
        <f> hyperlink(vlookup(lower(S226),'File Links'!E:F, 2, FALSE), SUBSTITUTE(lower(S226), "/", "--") &amp;  ".pdf")</f>
        <v>10.1002--erv.3103.pdf</v>
      </c>
      <c r="W226" s="126" t="s">
        <v>1258</v>
      </c>
      <c r="X226" s="51" t="str">
        <f t="array" ref="X226"> if(iserror(MATCH(V226, 'File Links'!C:C, 0)), "N/A", HYPERLINK(INDEX('File Links'!B:B, MATCH(V226, 'File Links'!C:C, 0))))</f>
        <v>https://drive.google.com/file/d/1bJ0BC-Xy_bNt41DXHAjv1ms0mnz9Vq86/view?usp=drivesdk</v>
      </c>
      <c r="Z226" s="148" t="s">
        <v>141</v>
      </c>
      <c r="AA226" s="126" t="s">
        <v>1354</v>
      </c>
      <c r="AB226" s="126" t="s">
        <v>1260</v>
      </c>
      <c r="AC226" s="368" t="s">
        <v>1355</v>
      </c>
      <c r="AD226" s="548" t="s">
        <v>1356</v>
      </c>
      <c r="AE226" s="549" t="s">
        <v>806</v>
      </c>
      <c r="AF226" s="158">
        <v>89.0</v>
      </c>
      <c r="AG226" s="158">
        <v>0.057</v>
      </c>
      <c r="AH226" s="377" t="s">
        <v>867</v>
      </c>
      <c r="AI226" s="126" t="s">
        <v>875</v>
      </c>
      <c r="AJ226" s="163">
        <v>0.029</v>
      </c>
      <c r="AK226" s="148" t="s">
        <v>165</v>
      </c>
      <c r="AL226" s="148" t="s">
        <v>129</v>
      </c>
      <c r="AM226" s="126" t="s">
        <v>134</v>
      </c>
      <c r="AN226" s="216" t="s">
        <v>131</v>
      </c>
      <c r="AO226" s="158">
        <v>74.0</v>
      </c>
      <c r="AP226" s="158">
        <v>0.047</v>
      </c>
      <c r="AQ226" s="377" t="s">
        <v>867</v>
      </c>
      <c r="AR226" s="368" t="s">
        <v>1357</v>
      </c>
      <c r="AS226" s="163">
        <v>0.035</v>
      </c>
      <c r="AT226" s="148" t="s">
        <v>165</v>
      </c>
      <c r="AU226" s="148" t="s">
        <v>179</v>
      </c>
      <c r="AV226" s="126" t="s">
        <v>134</v>
      </c>
      <c r="AW226" s="539" t="s">
        <v>131</v>
      </c>
      <c r="AX226" s="126" t="s">
        <v>431</v>
      </c>
      <c r="AY226" s="547"/>
      <c r="AZ226" s="378" t="s">
        <v>1263</v>
      </c>
      <c r="BC226" s="69"/>
      <c r="BD226" s="69"/>
      <c r="BE226" s="69"/>
      <c r="BF226" s="69"/>
      <c r="BG226" s="69"/>
      <c r="BH226" s="69"/>
      <c r="BI226" s="69"/>
      <c r="BJ226" s="69"/>
      <c r="BK226" s="69"/>
      <c r="BL226" s="69"/>
      <c r="BM226" s="69"/>
      <c r="BN226" s="69"/>
      <c r="BO226" s="69"/>
      <c r="BP226" s="69"/>
      <c r="BQ226" s="69"/>
      <c r="BR226" s="69"/>
      <c r="BS226" s="69"/>
      <c r="BT226" s="69"/>
      <c r="BU226" s="69"/>
      <c r="BV226" s="69"/>
      <c r="BW226" s="69"/>
      <c r="BX226" s="69"/>
      <c r="BY226" s="69"/>
      <c r="BZ226" s="69"/>
      <c r="CA226" s="69"/>
      <c r="CB226" s="69"/>
      <c r="CC226" s="69"/>
      <c r="CD226" s="69"/>
      <c r="CE226" s="69"/>
      <c r="CF226" s="69"/>
      <c r="CG226" s="69"/>
      <c r="CH226" s="69"/>
      <c r="CI226" s="69"/>
      <c r="CJ226" s="69"/>
      <c r="CK226" s="69"/>
      <c r="CL226" s="69"/>
      <c r="CM226" s="69"/>
      <c r="CN226" s="69"/>
      <c r="CO226" s="69"/>
      <c r="CP226" s="69"/>
      <c r="CQ226" s="69"/>
      <c r="CR226" s="69"/>
      <c r="CS226" s="69"/>
      <c r="CT226" s="69"/>
      <c r="CU226" s="69"/>
      <c r="CV226" s="69"/>
      <c r="CW226" s="69"/>
      <c r="CX226" s="69"/>
      <c r="CY226" s="69"/>
      <c r="CZ226" s="69"/>
      <c r="DA226" s="69"/>
      <c r="DB226" s="69"/>
      <c r="DC226" s="69"/>
      <c r="DD226" s="69"/>
      <c r="DE226" s="69"/>
      <c r="DF226" s="69"/>
      <c r="DG226" s="69"/>
      <c r="DH226" s="69"/>
    </row>
    <row r="227" ht="20.25" customHeight="1">
      <c r="A227" s="41">
        <v>227.0</v>
      </c>
      <c r="B227" s="535" t="s">
        <v>145</v>
      </c>
      <c r="C227" s="535" t="s">
        <v>108</v>
      </c>
      <c r="D227" s="535" t="s">
        <v>279</v>
      </c>
      <c r="E227" s="536"/>
      <c r="F227" s="542" t="s">
        <v>1251</v>
      </c>
      <c r="G227" s="148" t="s">
        <v>1358</v>
      </c>
      <c r="H227" s="148" t="s">
        <v>282</v>
      </c>
      <c r="I227" s="149"/>
      <c r="J227" s="150">
        <v>45782.0</v>
      </c>
      <c r="K227" s="126" t="s">
        <v>1274</v>
      </c>
      <c r="L227" s="126" t="s">
        <v>1352</v>
      </c>
      <c r="M227" s="152" t="s">
        <v>1359</v>
      </c>
      <c r="N227" s="152" t="s">
        <v>1255</v>
      </c>
      <c r="O227" s="375">
        <v>1.0</v>
      </c>
      <c r="P227" s="115" t="str">
        <f> hyperlink(vlookup(lower(N227),'File Links'!A:B, 2, FALSE), SUBSTITUTE(lower(N227), "/", "--") &amp;  ".pdf")</f>
        <v>10.1016--j.psychres.2017.09.048.pdf</v>
      </c>
      <c r="Q227" s="49" t="str">
        <f t="array" ref="Q227"> if(iserror(MATCH(V227, 'File Links'!C:C, 0)), "N/A", HYPERLINK(INDEX('File Links'!B:B, MATCH(P227, 'File Links'!C:C, 0))))</f>
        <v>https://drive.google.com/file/d/1bB5zAUL5oQPM2ClvdBCDeAd5AlkWVp4P/view?usp=drivesdk</v>
      </c>
      <c r="R227" s="126" t="s">
        <v>1256</v>
      </c>
      <c r="S227" s="58" t="s">
        <v>1257</v>
      </c>
      <c r="T227" s="65"/>
      <c r="U227" s="375">
        <v>1.0</v>
      </c>
      <c r="V227" s="63" t="str">
        <f> hyperlink(vlookup(lower(S227),'File Links'!E:F, 2, FALSE), SUBSTITUTE(lower(S227), "/", "--") &amp;  ".pdf")</f>
        <v>10.1002--erv.3103.pdf</v>
      </c>
      <c r="W227" s="126" t="s">
        <v>1258</v>
      </c>
      <c r="X227" s="51" t="str">
        <f t="array" ref="X227"> if(iserror(MATCH(V227, 'File Links'!C:C, 0)), "N/A", HYPERLINK(INDEX('File Links'!B:B, MATCH(V227, 'File Links'!C:C, 0))))</f>
        <v>https://drive.google.com/file/d/1bJ0BC-Xy_bNt41DXHAjv1ms0mnz9Vq86/view?usp=drivesdk</v>
      </c>
      <c r="Z227" s="148" t="s">
        <v>141</v>
      </c>
      <c r="AA227" s="126" t="s">
        <v>1360</v>
      </c>
      <c r="AB227" s="126" t="s">
        <v>1260</v>
      </c>
      <c r="AC227" s="368" t="s">
        <v>1361</v>
      </c>
      <c r="AD227" s="162" t="s">
        <v>1362</v>
      </c>
      <c r="AE227" s="158" t="s">
        <v>806</v>
      </c>
      <c r="AF227" s="158">
        <v>89.0</v>
      </c>
      <c r="AG227" s="158">
        <v>0.1</v>
      </c>
      <c r="AH227" s="377" t="s">
        <v>867</v>
      </c>
      <c r="AI227" s="126" t="s">
        <v>806</v>
      </c>
      <c r="AJ227" s="163">
        <v>0.011</v>
      </c>
      <c r="AK227" s="148" t="s">
        <v>165</v>
      </c>
      <c r="AL227" s="148" t="s">
        <v>129</v>
      </c>
      <c r="AM227" s="126" t="s">
        <v>134</v>
      </c>
      <c r="AN227" s="216" t="s">
        <v>131</v>
      </c>
      <c r="AO227" s="158">
        <v>74.0</v>
      </c>
      <c r="AP227" s="158" t="s">
        <v>1363</v>
      </c>
      <c r="AQ227" s="148" t="s">
        <v>127</v>
      </c>
      <c r="AR227" s="368" t="s">
        <v>1357</v>
      </c>
      <c r="AS227" s="163">
        <v>0.072</v>
      </c>
      <c r="AT227" s="148" t="s">
        <v>328</v>
      </c>
      <c r="AU227" s="148" t="s">
        <v>179</v>
      </c>
      <c r="AV227" s="126" t="s">
        <v>134</v>
      </c>
      <c r="AW227" s="539" t="s">
        <v>131</v>
      </c>
      <c r="AX227" s="126" t="s">
        <v>431</v>
      </c>
      <c r="AZ227" s="378" t="s">
        <v>1263</v>
      </c>
      <c r="BC227" s="217"/>
      <c r="BD227" s="217"/>
      <c r="BE227" s="217"/>
      <c r="BF227" s="217"/>
      <c r="BG227" s="217"/>
      <c r="BH227" s="217"/>
      <c r="BI227" s="217"/>
      <c r="BJ227" s="217"/>
      <c r="BK227" s="217"/>
      <c r="BL227" s="217"/>
      <c r="BM227" s="217"/>
      <c r="BN227" s="217"/>
      <c r="BO227" s="217"/>
      <c r="BP227" s="217"/>
      <c r="BQ227" s="217"/>
      <c r="BR227" s="217"/>
      <c r="BS227" s="217"/>
      <c r="BT227" s="217"/>
      <c r="BU227" s="217"/>
      <c r="BV227" s="217"/>
      <c r="BW227" s="217"/>
      <c r="BX227" s="217"/>
      <c r="BY227" s="217"/>
      <c r="BZ227" s="217"/>
      <c r="CA227" s="217"/>
      <c r="CB227" s="217"/>
      <c r="CC227" s="217"/>
      <c r="CD227" s="217"/>
      <c r="CE227" s="217"/>
      <c r="CF227" s="217"/>
      <c r="CG227" s="217"/>
      <c r="CH227" s="217"/>
      <c r="CI227" s="217"/>
      <c r="CJ227" s="217"/>
      <c r="CK227" s="217"/>
      <c r="CL227" s="217"/>
      <c r="CM227" s="217"/>
      <c r="CN227" s="217"/>
      <c r="CO227" s="217"/>
      <c r="CP227" s="217"/>
      <c r="CQ227" s="217"/>
      <c r="CR227" s="217"/>
      <c r="CS227" s="217"/>
      <c r="CT227" s="217"/>
      <c r="CU227" s="217"/>
      <c r="CV227" s="217"/>
      <c r="CW227" s="217"/>
      <c r="CX227" s="217"/>
      <c r="CY227" s="217"/>
      <c r="CZ227" s="217"/>
      <c r="DA227" s="217"/>
      <c r="DB227" s="217"/>
      <c r="DC227" s="217"/>
      <c r="DD227" s="217"/>
      <c r="DE227" s="217"/>
      <c r="DF227" s="217"/>
      <c r="DG227" s="217"/>
      <c r="DH227" s="217"/>
    </row>
    <row r="228" ht="20.25" customHeight="1">
      <c r="A228" s="41">
        <v>228.0</v>
      </c>
      <c r="B228" s="535" t="s">
        <v>145</v>
      </c>
      <c r="C228" s="535" t="s">
        <v>108</v>
      </c>
      <c r="D228" s="535" t="s">
        <v>279</v>
      </c>
      <c r="E228" s="536"/>
      <c r="F228" s="542" t="s">
        <v>1251</v>
      </c>
      <c r="G228" s="148" t="s">
        <v>1364</v>
      </c>
      <c r="H228" s="148" t="s">
        <v>282</v>
      </c>
      <c r="I228" s="149"/>
      <c r="J228" s="150">
        <v>45782.0</v>
      </c>
      <c r="K228" s="126" t="s">
        <v>1274</v>
      </c>
      <c r="L228" s="126" t="s">
        <v>1365</v>
      </c>
      <c r="M228" s="152" t="s">
        <v>1366</v>
      </c>
      <c r="N228" s="152" t="s">
        <v>1255</v>
      </c>
      <c r="O228" s="375">
        <v>1.0</v>
      </c>
      <c r="P228" s="115" t="str">
        <f> hyperlink(vlookup(lower(N228),'File Links'!A:B, 2, FALSE), SUBSTITUTE(lower(N228), "/", "--") &amp;  ".pdf")</f>
        <v>10.1016--j.psychres.2017.09.048.pdf</v>
      </c>
      <c r="Q228" s="49" t="str">
        <f t="array" ref="Q228"> if(iserror(MATCH(V228, 'File Links'!C:C, 0)), "N/A", HYPERLINK(INDEX('File Links'!B:B, MATCH(P228, 'File Links'!C:C, 0))))</f>
        <v>https://drive.google.com/file/d/1bB5zAUL5oQPM2ClvdBCDeAd5AlkWVp4P/view?usp=drivesdk</v>
      </c>
      <c r="R228" s="126" t="s">
        <v>1256</v>
      </c>
      <c r="S228" s="58" t="s">
        <v>1257</v>
      </c>
      <c r="T228" s="65"/>
      <c r="U228" s="375">
        <v>1.0</v>
      </c>
      <c r="V228" s="63" t="str">
        <f> hyperlink(vlookup(lower(S228),'File Links'!E:F, 2, FALSE), SUBSTITUTE(lower(S228), "/", "--") &amp;  ".pdf")</f>
        <v>10.1002--erv.3103.pdf</v>
      </c>
      <c r="W228" s="126" t="s">
        <v>1258</v>
      </c>
      <c r="X228" s="51" t="str">
        <f t="array" ref="X228"> if(iserror(MATCH(V228, 'File Links'!C:C, 0)), "N/A", HYPERLINK(INDEX('File Links'!B:B, MATCH(V228, 'File Links'!C:C, 0))))</f>
        <v>https://drive.google.com/file/d/1bJ0BC-Xy_bNt41DXHAjv1ms0mnz9Vq86/view?usp=drivesdk</v>
      </c>
      <c r="Z228" s="148" t="s">
        <v>141</v>
      </c>
      <c r="AA228" s="126" t="s">
        <v>1367</v>
      </c>
      <c r="AB228" s="126" t="s">
        <v>1260</v>
      </c>
      <c r="AC228" s="368" t="s">
        <v>1361</v>
      </c>
      <c r="AD228" s="162" t="s">
        <v>1368</v>
      </c>
      <c r="AE228" s="158" t="s">
        <v>806</v>
      </c>
      <c r="AF228" s="158">
        <v>89.0</v>
      </c>
      <c r="AG228" s="158">
        <v>0.069</v>
      </c>
      <c r="AH228" s="377" t="s">
        <v>867</v>
      </c>
      <c r="AI228" s="126" t="s">
        <v>806</v>
      </c>
      <c r="AJ228" s="163">
        <v>0.46</v>
      </c>
      <c r="AK228" s="148" t="s">
        <v>165</v>
      </c>
      <c r="AL228" s="148" t="s">
        <v>129</v>
      </c>
      <c r="AM228" s="126" t="s">
        <v>134</v>
      </c>
      <c r="AN228" s="216" t="s">
        <v>131</v>
      </c>
      <c r="AO228" s="158">
        <v>74.0</v>
      </c>
      <c r="AP228" s="368" t="s">
        <v>1369</v>
      </c>
      <c r="AQ228" s="148" t="s">
        <v>127</v>
      </c>
      <c r="AR228" s="368" t="s">
        <v>1357</v>
      </c>
      <c r="AS228" s="163">
        <v>0.065</v>
      </c>
      <c r="AT228" s="148" t="s">
        <v>328</v>
      </c>
      <c r="AU228" s="148" t="s">
        <v>179</v>
      </c>
      <c r="AV228" s="126" t="s">
        <v>134</v>
      </c>
      <c r="AW228" s="539" t="s">
        <v>131</v>
      </c>
      <c r="AX228" s="126" t="s">
        <v>431</v>
      </c>
      <c r="AZ228" s="378" t="s">
        <v>1263</v>
      </c>
      <c r="BC228" s="89"/>
      <c r="BD228" s="89"/>
      <c r="BE228" s="89"/>
      <c r="BF228" s="89"/>
      <c r="BG228" s="89"/>
      <c r="BH228" s="89"/>
      <c r="BI228" s="89"/>
      <c r="BJ228" s="89"/>
      <c r="BK228" s="89"/>
      <c r="BL228" s="89"/>
      <c r="BM228" s="89"/>
      <c r="BN228" s="89"/>
      <c r="BO228" s="89"/>
      <c r="BP228" s="89"/>
      <c r="BQ228" s="89"/>
      <c r="BR228" s="89"/>
      <c r="BS228" s="89"/>
      <c r="BT228" s="89"/>
      <c r="BU228" s="89"/>
      <c r="BV228" s="89"/>
      <c r="BW228" s="89"/>
      <c r="BX228" s="89"/>
      <c r="BY228" s="89"/>
      <c r="BZ228" s="89"/>
      <c r="CA228" s="89"/>
      <c r="CB228" s="89"/>
      <c r="CC228" s="89"/>
      <c r="CD228" s="89"/>
      <c r="CE228" s="89"/>
      <c r="CF228" s="89"/>
      <c r="CG228" s="89"/>
      <c r="CH228" s="89"/>
      <c r="CI228" s="89"/>
      <c r="CJ228" s="89"/>
      <c r="CK228" s="89"/>
      <c r="CL228" s="89"/>
      <c r="CM228" s="89"/>
      <c r="CN228" s="89"/>
      <c r="CO228" s="89"/>
      <c r="CP228" s="89"/>
      <c r="CQ228" s="89"/>
      <c r="CR228" s="89"/>
      <c r="CS228" s="89"/>
      <c r="CT228" s="89"/>
      <c r="CU228" s="89"/>
      <c r="CV228" s="89"/>
      <c r="CW228" s="89"/>
      <c r="CX228" s="89"/>
      <c r="CY228" s="89"/>
      <c r="CZ228" s="89"/>
      <c r="DA228" s="89"/>
      <c r="DB228" s="89"/>
      <c r="DC228" s="89"/>
      <c r="DD228" s="89"/>
      <c r="DE228" s="89"/>
      <c r="DF228" s="89"/>
      <c r="DG228" s="89"/>
      <c r="DH228" s="89"/>
    </row>
    <row r="229" ht="20.25" customHeight="1">
      <c r="A229" s="41">
        <v>229.0</v>
      </c>
      <c r="B229" s="535" t="s">
        <v>145</v>
      </c>
      <c r="C229" s="535" t="s">
        <v>108</v>
      </c>
      <c r="D229" s="535" t="s">
        <v>279</v>
      </c>
      <c r="E229" s="536"/>
      <c r="F229" s="542" t="s">
        <v>1251</v>
      </c>
      <c r="G229" s="148" t="s">
        <v>1370</v>
      </c>
      <c r="H229" s="148" t="s">
        <v>282</v>
      </c>
      <c r="I229" s="149"/>
      <c r="J229" s="150">
        <v>45782.0</v>
      </c>
      <c r="K229" s="126" t="s">
        <v>1274</v>
      </c>
      <c r="L229" s="126" t="s">
        <v>1365</v>
      </c>
      <c r="M229" s="152" t="s">
        <v>1371</v>
      </c>
      <c r="N229" s="152" t="s">
        <v>1255</v>
      </c>
      <c r="O229" s="375">
        <v>1.0</v>
      </c>
      <c r="P229" s="115" t="str">
        <f> hyperlink(vlookup(lower(N229),'File Links'!A:B, 2, FALSE), SUBSTITUTE(lower(N229), "/", "--") &amp;  ".pdf")</f>
        <v>10.1016--j.psychres.2017.09.048.pdf</v>
      </c>
      <c r="Q229" s="49" t="str">
        <f t="array" ref="Q229"> if(iserror(MATCH(V229, 'File Links'!C:C, 0)), "N/A", HYPERLINK(INDEX('File Links'!B:B, MATCH(P229, 'File Links'!C:C, 0))))</f>
        <v>https://drive.google.com/file/d/1bB5zAUL5oQPM2ClvdBCDeAd5AlkWVp4P/view?usp=drivesdk</v>
      </c>
      <c r="R229" s="126" t="s">
        <v>1256</v>
      </c>
      <c r="S229" s="58" t="s">
        <v>1257</v>
      </c>
      <c r="T229" s="65"/>
      <c r="U229" s="375">
        <v>1.0</v>
      </c>
      <c r="V229" s="63" t="str">
        <f> hyperlink(vlookup(lower(S229),'File Links'!E:F, 2, FALSE), SUBSTITUTE(lower(S229), "/", "--") &amp;  ".pdf")</f>
        <v>10.1002--erv.3103.pdf</v>
      </c>
      <c r="W229" s="126" t="s">
        <v>1258</v>
      </c>
      <c r="X229" s="51" t="str">
        <f t="array" ref="X229"> if(iserror(MATCH(V229, 'File Links'!C:C, 0)), "N/A", HYPERLINK(INDEX('File Links'!B:B, MATCH(V229, 'File Links'!C:C, 0))))</f>
        <v>https://drive.google.com/file/d/1bJ0BC-Xy_bNt41DXHAjv1ms0mnz9Vq86/view?usp=drivesdk</v>
      </c>
      <c r="Z229" s="148" t="s">
        <v>141</v>
      </c>
      <c r="AA229" s="126" t="s">
        <v>1372</v>
      </c>
      <c r="AB229" s="126" t="s">
        <v>1260</v>
      </c>
      <c r="AC229" s="368" t="s">
        <v>1373</v>
      </c>
      <c r="AD229" s="162" t="s">
        <v>1374</v>
      </c>
      <c r="AE229" s="158" t="s">
        <v>1375</v>
      </c>
      <c r="AF229" s="158">
        <v>89.0</v>
      </c>
      <c r="AG229" s="158">
        <v>0.069</v>
      </c>
      <c r="AH229" s="377" t="s">
        <v>867</v>
      </c>
      <c r="AI229" s="126" t="s">
        <v>133</v>
      </c>
      <c r="AJ229" s="163">
        <v>0.047</v>
      </c>
      <c r="AK229" s="148" t="s">
        <v>165</v>
      </c>
      <c r="AL229" s="148" t="s">
        <v>129</v>
      </c>
      <c r="AM229" s="126" t="s">
        <v>134</v>
      </c>
      <c r="AN229" s="216" t="s">
        <v>131</v>
      </c>
      <c r="AO229" s="158">
        <v>74.0</v>
      </c>
      <c r="AP229" s="368" t="s">
        <v>1369</v>
      </c>
      <c r="AQ229" s="148" t="s">
        <v>127</v>
      </c>
      <c r="AR229" s="368" t="s">
        <v>1357</v>
      </c>
      <c r="AS229" s="163">
        <v>0.065</v>
      </c>
      <c r="AT229" s="148" t="s">
        <v>328</v>
      </c>
      <c r="AU229" s="148" t="s">
        <v>179</v>
      </c>
      <c r="AV229" s="126" t="s">
        <v>134</v>
      </c>
      <c r="AW229" s="539" t="s">
        <v>131</v>
      </c>
      <c r="AX229" s="126" t="s">
        <v>431</v>
      </c>
      <c r="AZ229" s="378" t="s">
        <v>1263</v>
      </c>
      <c r="BC229" s="217"/>
      <c r="BD229" s="217"/>
      <c r="BE229" s="217"/>
      <c r="BF229" s="217"/>
      <c r="BG229" s="217"/>
      <c r="BH229" s="217"/>
      <c r="BI229" s="217"/>
      <c r="BJ229" s="217"/>
      <c r="BK229" s="217"/>
      <c r="BL229" s="217"/>
      <c r="BM229" s="217"/>
      <c r="BN229" s="217"/>
      <c r="BO229" s="217"/>
      <c r="BP229" s="217"/>
      <c r="BQ229" s="217"/>
      <c r="BR229" s="217"/>
      <c r="BS229" s="217"/>
      <c r="BT229" s="217"/>
      <c r="BU229" s="217"/>
      <c r="BV229" s="217"/>
      <c r="BW229" s="217"/>
      <c r="BX229" s="217"/>
      <c r="BY229" s="217"/>
      <c r="BZ229" s="217"/>
      <c r="CA229" s="217"/>
      <c r="CB229" s="217"/>
      <c r="CC229" s="217"/>
      <c r="CD229" s="217"/>
      <c r="CE229" s="217"/>
      <c r="CF229" s="217"/>
      <c r="CG229" s="217"/>
      <c r="CH229" s="217"/>
      <c r="CI229" s="217"/>
      <c r="CJ229" s="217"/>
      <c r="CK229" s="217"/>
      <c r="CL229" s="217"/>
      <c r="CM229" s="217"/>
      <c r="CN229" s="217"/>
      <c r="CO229" s="217"/>
      <c r="CP229" s="217"/>
      <c r="CQ229" s="217"/>
      <c r="CR229" s="217"/>
      <c r="CS229" s="217"/>
      <c r="CT229" s="217"/>
      <c r="CU229" s="217"/>
      <c r="CV229" s="217"/>
      <c r="CW229" s="217"/>
      <c r="CX229" s="217"/>
      <c r="CY229" s="217"/>
      <c r="CZ229" s="217"/>
      <c r="DA229" s="217"/>
      <c r="DB229" s="217"/>
      <c r="DC229" s="217"/>
      <c r="DD229" s="217"/>
      <c r="DE229" s="217"/>
      <c r="DF229" s="217"/>
      <c r="DG229" s="217"/>
      <c r="DH229" s="217"/>
    </row>
    <row r="230" ht="20.25" customHeight="1">
      <c r="A230" s="41">
        <v>230.0</v>
      </c>
      <c r="B230" s="535" t="s">
        <v>145</v>
      </c>
      <c r="C230" s="535" t="s">
        <v>108</v>
      </c>
      <c r="D230" s="535" t="s">
        <v>279</v>
      </c>
      <c r="E230" s="536"/>
      <c r="F230" s="542" t="s">
        <v>1251</v>
      </c>
      <c r="G230" s="148" t="s">
        <v>1376</v>
      </c>
      <c r="H230" s="148" t="s">
        <v>282</v>
      </c>
      <c r="I230" s="149"/>
      <c r="J230" s="150">
        <v>45782.0</v>
      </c>
      <c r="K230" s="126" t="s">
        <v>1274</v>
      </c>
      <c r="L230" s="126" t="s">
        <v>1365</v>
      </c>
      <c r="M230" s="152" t="s">
        <v>1377</v>
      </c>
      <c r="N230" s="152" t="s">
        <v>1255</v>
      </c>
      <c r="O230" s="375">
        <v>1.0</v>
      </c>
      <c r="P230" s="115" t="str">
        <f> hyperlink(vlookup(lower(N230),'File Links'!A:B, 2, FALSE), SUBSTITUTE(lower(N230), "/", "--") &amp;  ".pdf")</f>
        <v>10.1016--j.psychres.2017.09.048.pdf</v>
      </c>
      <c r="Q230" s="49" t="str">
        <f t="array" ref="Q230"> if(iserror(MATCH(V230, 'File Links'!C:C, 0)), "N/A", HYPERLINK(INDEX('File Links'!B:B, MATCH(P230, 'File Links'!C:C, 0))))</f>
        <v>https://drive.google.com/file/d/1bB5zAUL5oQPM2ClvdBCDeAd5AlkWVp4P/view?usp=drivesdk</v>
      </c>
      <c r="R230" s="126" t="s">
        <v>1256</v>
      </c>
      <c r="S230" s="58" t="s">
        <v>1257</v>
      </c>
      <c r="T230" s="65"/>
      <c r="U230" s="375">
        <v>1.0</v>
      </c>
      <c r="V230" s="63" t="str">
        <f> hyperlink(vlookup(lower(S230),'File Links'!E:F, 2, FALSE), SUBSTITUTE(lower(S230), "/", "--") &amp;  ".pdf")</f>
        <v>10.1002--erv.3103.pdf</v>
      </c>
      <c r="W230" s="126" t="s">
        <v>1258</v>
      </c>
      <c r="X230" s="51" t="str">
        <f t="array" ref="X230"> if(iserror(MATCH(V230, 'File Links'!C:C, 0)), "N/A", HYPERLINK(INDEX('File Links'!B:B, MATCH(V230, 'File Links'!C:C, 0))))</f>
        <v>https://drive.google.com/file/d/1bJ0BC-Xy_bNt41DXHAjv1ms0mnz9Vq86/view?usp=drivesdk</v>
      </c>
      <c r="Z230" s="148" t="s">
        <v>141</v>
      </c>
      <c r="AA230" s="126" t="s">
        <v>1378</v>
      </c>
      <c r="AB230" s="126" t="s">
        <v>1260</v>
      </c>
      <c r="AC230" s="368" t="s">
        <v>1361</v>
      </c>
      <c r="AD230" s="162" t="s">
        <v>1379</v>
      </c>
      <c r="AE230" s="158" t="s">
        <v>133</v>
      </c>
      <c r="AF230" s="158">
        <v>89.0</v>
      </c>
      <c r="AG230" s="158">
        <v>0.078</v>
      </c>
      <c r="AH230" s="377" t="s">
        <v>867</v>
      </c>
      <c r="AI230" s="126" t="s">
        <v>133</v>
      </c>
      <c r="AJ230" s="163">
        <v>0.03</v>
      </c>
      <c r="AK230" s="148" t="s">
        <v>165</v>
      </c>
      <c r="AL230" s="148" t="s">
        <v>129</v>
      </c>
      <c r="AM230" s="126" t="s">
        <v>134</v>
      </c>
      <c r="AN230" s="216" t="s">
        <v>131</v>
      </c>
      <c r="AO230" s="158">
        <v>74.0</v>
      </c>
      <c r="AP230" s="368" t="s">
        <v>1369</v>
      </c>
      <c r="AQ230" s="148" t="s">
        <v>127</v>
      </c>
      <c r="AR230" s="368" t="s">
        <v>1357</v>
      </c>
      <c r="AS230" s="163">
        <v>0.065</v>
      </c>
      <c r="AT230" s="148" t="s">
        <v>328</v>
      </c>
      <c r="AU230" s="148" t="s">
        <v>179</v>
      </c>
      <c r="AV230" s="126" t="s">
        <v>134</v>
      </c>
      <c r="AW230" s="539" t="s">
        <v>131</v>
      </c>
      <c r="AX230" s="126" t="s">
        <v>431</v>
      </c>
      <c r="AZ230" s="378" t="s">
        <v>1263</v>
      </c>
      <c r="BC230" s="89"/>
      <c r="BD230" s="89"/>
      <c r="BE230" s="89"/>
      <c r="BF230" s="89"/>
      <c r="BG230" s="89"/>
      <c r="BH230" s="89"/>
      <c r="BI230" s="89"/>
      <c r="BJ230" s="89"/>
      <c r="BK230" s="89"/>
      <c r="BL230" s="89"/>
      <c r="BM230" s="89"/>
      <c r="BN230" s="89"/>
      <c r="BO230" s="89"/>
      <c r="BP230" s="89"/>
      <c r="BQ230" s="89"/>
      <c r="BR230" s="89"/>
      <c r="BS230" s="89"/>
      <c r="BT230" s="89"/>
      <c r="BU230" s="89"/>
      <c r="BV230" s="89"/>
      <c r="BW230" s="89"/>
      <c r="BX230" s="89"/>
      <c r="BY230" s="89"/>
      <c r="BZ230" s="89"/>
      <c r="CA230" s="89"/>
      <c r="CB230" s="89"/>
      <c r="CC230" s="89"/>
      <c r="CD230" s="89"/>
      <c r="CE230" s="89"/>
      <c r="CF230" s="89"/>
      <c r="CG230" s="89"/>
      <c r="CH230" s="89"/>
      <c r="CI230" s="89"/>
      <c r="CJ230" s="89"/>
      <c r="CK230" s="89"/>
      <c r="CL230" s="89"/>
      <c r="CM230" s="89"/>
      <c r="CN230" s="89"/>
      <c r="CO230" s="89"/>
      <c r="CP230" s="89"/>
      <c r="CQ230" s="89"/>
      <c r="CR230" s="89"/>
      <c r="CS230" s="89"/>
      <c r="CT230" s="89"/>
      <c r="CU230" s="89"/>
      <c r="CV230" s="89"/>
      <c r="CW230" s="89"/>
      <c r="CX230" s="89"/>
      <c r="CY230" s="89"/>
      <c r="CZ230" s="89"/>
      <c r="DA230" s="89"/>
      <c r="DB230" s="89"/>
      <c r="DC230" s="89"/>
      <c r="DD230" s="89"/>
      <c r="DE230" s="89"/>
      <c r="DF230" s="89"/>
      <c r="DG230" s="89"/>
      <c r="DH230" s="89"/>
    </row>
    <row r="231" ht="20.25" customHeight="1">
      <c r="A231" s="41">
        <v>231.0</v>
      </c>
      <c r="B231" s="535" t="s">
        <v>145</v>
      </c>
      <c r="C231" s="535" t="s">
        <v>108</v>
      </c>
      <c r="D231" s="535" t="s">
        <v>279</v>
      </c>
      <c r="E231" s="536"/>
      <c r="F231" s="542" t="s">
        <v>1251</v>
      </c>
      <c r="G231" s="148" t="s">
        <v>1380</v>
      </c>
      <c r="H231" s="148" t="s">
        <v>282</v>
      </c>
      <c r="I231" s="149"/>
      <c r="J231" s="150">
        <v>45782.0</v>
      </c>
      <c r="K231" s="126" t="s">
        <v>1274</v>
      </c>
      <c r="L231" s="126" t="s">
        <v>1381</v>
      </c>
      <c r="M231" s="152" t="s">
        <v>1382</v>
      </c>
      <c r="N231" s="152" t="s">
        <v>1255</v>
      </c>
      <c r="O231" s="375">
        <v>1.0</v>
      </c>
      <c r="P231" s="115" t="str">
        <f> hyperlink(vlookup(lower(N231),'File Links'!A:B, 2, FALSE), SUBSTITUTE(lower(N231), "/", "--") &amp;  ".pdf")</f>
        <v>10.1016--j.psychres.2017.09.048.pdf</v>
      </c>
      <c r="Q231" s="49" t="str">
        <f t="array" ref="Q231"> if(iserror(MATCH(V231, 'File Links'!C:C, 0)), "N/A", HYPERLINK(INDEX('File Links'!B:B, MATCH(P231, 'File Links'!C:C, 0))))</f>
        <v>https://drive.google.com/file/d/1bB5zAUL5oQPM2ClvdBCDeAd5AlkWVp4P/view?usp=drivesdk</v>
      </c>
      <c r="R231" s="126" t="s">
        <v>1256</v>
      </c>
      <c r="S231" s="58" t="s">
        <v>1257</v>
      </c>
      <c r="T231" s="65"/>
      <c r="U231" s="375">
        <v>1.0</v>
      </c>
      <c r="V231" s="63" t="str">
        <f> hyperlink(vlookup(lower(S231),'File Links'!E:F, 2, FALSE), SUBSTITUTE(lower(S231), "/", "--") &amp;  ".pdf")</f>
        <v>10.1002--erv.3103.pdf</v>
      </c>
      <c r="W231" s="126" t="s">
        <v>1258</v>
      </c>
      <c r="X231" s="51" t="str">
        <f t="array" ref="X231"> if(iserror(MATCH(V231, 'File Links'!C:C, 0)), "N/A", HYPERLINK(INDEX('File Links'!B:B, MATCH(V231, 'File Links'!C:C, 0))))</f>
        <v>https://drive.google.com/file/d/1bJ0BC-Xy_bNt41DXHAjv1ms0mnz9Vq86/view?usp=drivesdk</v>
      </c>
      <c r="Z231" s="148" t="s">
        <v>141</v>
      </c>
      <c r="AA231" s="126" t="s">
        <v>1383</v>
      </c>
      <c r="AB231" s="126" t="s">
        <v>1260</v>
      </c>
      <c r="AC231" s="368" t="s">
        <v>1373</v>
      </c>
      <c r="AD231" s="538" t="s">
        <v>1384</v>
      </c>
      <c r="AE231" s="158" t="s">
        <v>133</v>
      </c>
      <c r="AF231" s="158">
        <v>89.0</v>
      </c>
      <c r="AG231" s="158">
        <v>0.084</v>
      </c>
      <c r="AH231" s="377" t="s">
        <v>867</v>
      </c>
      <c r="AI231" s="126" t="s">
        <v>133</v>
      </c>
      <c r="AJ231" s="163">
        <v>0.023</v>
      </c>
      <c r="AK231" s="148" t="s">
        <v>165</v>
      </c>
      <c r="AL231" s="148" t="s">
        <v>129</v>
      </c>
      <c r="AM231" s="126" t="s">
        <v>134</v>
      </c>
      <c r="AN231" s="216" t="s">
        <v>131</v>
      </c>
      <c r="AO231" s="158">
        <v>74.0</v>
      </c>
      <c r="AP231" s="368" t="s">
        <v>1369</v>
      </c>
      <c r="AQ231" s="148" t="s">
        <v>127</v>
      </c>
      <c r="AR231" s="368" t="s">
        <v>1357</v>
      </c>
      <c r="AS231" s="163">
        <v>0.065</v>
      </c>
      <c r="AT231" s="148" t="s">
        <v>328</v>
      </c>
      <c r="AU231" s="148" t="s">
        <v>179</v>
      </c>
      <c r="AV231" s="126" t="s">
        <v>134</v>
      </c>
      <c r="AW231" s="539" t="s">
        <v>131</v>
      </c>
      <c r="AX231" s="126" t="s">
        <v>431</v>
      </c>
      <c r="AZ231" s="378" t="s">
        <v>1263</v>
      </c>
      <c r="BC231" s="217"/>
      <c r="BD231" s="217"/>
      <c r="BE231" s="217"/>
      <c r="BF231" s="217"/>
      <c r="BG231" s="217"/>
      <c r="BH231" s="217"/>
      <c r="BI231" s="217"/>
      <c r="BJ231" s="217"/>
      <c r="BK231" s="217"/>
      <c r="BL231" s="217"/>
      <c r="BM231" s="217"/>
      <c r="BN231" s="217"/>
      <c r="BO231" s="217"/>
      <c r="BP231" s="217"/>
      <c r="BQ231" s="217"/>
      <c r="BR231" s="217"/>
      <c r="BS231" s="217"/>
      <c r="BT231" s="217"/>
      <c r="BU231" s="217"/>
      <c r="BV231" s="217"/>
      <c r="BW231" s="217"/>
      <c r="BX231" s="217"/>
      <c r="BY231" s="217"/>
      <c r="BZ231" s="217"/>
      <c r="CA231" s="217"/>
      <c r="CB231" s="217"/>
      <c r="CC231" s="217"/>
      <c r="CD231" s="217"/>
      <c r="CE231" s="217"/>
      <c r="CF231" s="217"/>
      <c r="CG231" s="217"/>
      <c r="CH231" s="217"/>
      <c r="CI231" s="217"/>
      <c r="CJ231" s="217"/>
      <c r="CK231" s="217"/>
      <c r="CL231" s="217"/>
      <c r="CM231" s="217"/>
      <c r="CN231" s="217"/>
      <c r="CO231" s="217"/>
      <c r="CP231" s="217"/>
      <c r="CQ231" s="217"/>
      <c r="CR231" s="217"/>
      <c r="CS231" s="217"/>
      <c r="CT231" s="217"/>
      <c r="CU231" s="217"/>
      <c r="CV231" s="217"/>
      <c r="CW231" s="217"/>
      <c r="CX231" s="217"/>
      <c r="CY231" s="217"/>
      <c r="CZ231" s="217"/>
      <c r="DA231" s="217"/>
      <c r="DB231" s="217"/>
      <c r="DC231" s="217"/>
      <c r="DD231" s="217"/>
      <c r="DE231" s="217"/>
      <c r="DF231" s="217"/>
      <c r="DG231" s="217"/>
      <c r="DH231" s="217"/>
    </row>
    <row r="232" ht="20.25" customHeight="1">
      <c r="A232" s="41">
        <v>232.0</v>
      </c>
      <c r="B232" s="535" t="s">
        <v>145</v>
      </c>
      <c r="C232" s="535" t="s">
        <v>108</v>
      </c>
      <c r="D232" s="535" t="s">
        <v>279</v>
      </c>
      <c r="E232" s="536"/>
      <c r="F232" s="542" t="s">
        <v>1251</v>
      </c>
      <c r="G232" s="148" t="s">
        <v>1385</v>
      </c>
      <c r="H232" s="148" t="s">
        <v>282</v>
      </c>
      <c r="I232" s="149"/>
      <c r="J232" s="150">
        <v>45782.0</v>
      </c>
      <c r="K232" s="126" t="s">
        <v>1274</v>
      </c>
      <c r="L232" s="126" t="s">
        <v>1381</v>
      </c>
      <c r="M232" s="152" t="s">
        <v>1386</v>
      </c>
      <c r="N232" s="152" t="s">
        <v>1255</v>
      </c>
      <c r="O232" s="375">
        <v>1.0</v>
      </c>
      <c r="P232" s="115" t="str">
        <f> hyperlink(vlookup(lower(N232),'File Links'!A:B, 2, FALSE), SUBSTITUTE(lower(N232), "/", "--") &amp;  ".pdf")</f>
        <v>10.1016--j.psychres.2017.09.048.pdf</v>
      </c>
      <c r="Q232" s="49" t="str">
        <f t="array" ref="Q232"> if(iserror(MATCH(V232, 'File Links'!C:C, 0)), "N/A", HYPERLINK(INDEX('File Links'!B:B, MATCH(P232, 'File Links'!C:C, 0))))</f>
        <v>https://drive.google.com/file/d/1bB5zAUL5oQPM2ClvdBCDeAd5AlkWVp4P/view?usp=drivesdk</v>
      </c>
      <c r="R232" s="126" t="s">
        <v>1256</v>
      </c>
      <c r="S232" s="58" t="s">
        <v>1257</v>
      </c>
      <c r="T232" s="65"/>
      <c r="U232" s="375">
        <v>1.0</v>
      </c>
      <c r="V232" s="63" t="str">
        <f> hyperlink(vlookup(lower(S232),'File Links'!E:F, 2, FALSE), SUBSTITUTE(lower(S232), "/", "--") &amp;  ".pdf")</f>
        <v>10.1002--erv.3103.pdf</v>
      </c>
      <c r="W232" s="126" t="s">
        <v>1258</v>
      </c>
      <c r="X232" s="51" t="str">
        <f t="array" ref="X232"> if(iserror(MATCH(V232, 'File Links'!C:C, 0)), "N/A", HYPERLINK(INDEX('File Links'!B:B, MATCH(V232, 'File Links'!C:C, 0))))</f>
        <v>https://drive.google.com/file/d/1bJ0BC-Xy_bNt41DXHAjv1ms0mnz9Vq86/view?usp=drivesdk</v>
      </c>
      <c r="Z232" s="148" t="s">
        <v>141</v>
      </c>
      <c r="AA232" s="126" t="s">
        <v>1387</v>
      </c>
      <c r="AB232" s="126" t="s">
        <v>1260</v>
      </c>
      <c r="AC232" s="368" t="s">
        <v>1373</v>
      </c>
      <c r="AD232" s="538" t="s">
        <v>1388</v>
      </c>
      <c r="AE232" s="158" t="s">
        <v>133</v>
      </c>
      <c r="AF232" s="158">
        <v>89.0</v>
      </c>
      <c r="AG232" s="375" t="s">
        <v>1350</v>
      </c>
      <c r="AH232" s="148" t="s">
        <v>127</v>
      </c>
      <c r="AI232" s="368" t="s">
        <v>133</v>
      </c>
      <c r="AJ232" s="163">
        <v>0.05</v>
      </c>
      <c r="AK232" s="148" t="s">
        <v>328</v>
      </c>
      <c r="AL232" s="148" t="s">
        <v>129</v>
      </c>
      <c r="AM232" s="126" t="s">
        <v>134</v>
      </c>
      <c r="AN232" s="216" t="s">
        <v>131</v>
      </c>
      <c r="AO232" s="158">
        <v>74.0</v>
      </c>
      <c r="AP232" s="368" t="s">
        <v>1369</v>
      </c>
      <c r="AQ232" s="148" t="s">
        <v>127</v>
      </c>
      <c r="AR232" s="368" t="s">
        <v>1357</v>
      </c>
      <c r="AS232" s="163">
        <v>0.065</v>
      </c>
      <c r="AT232" s="148" t="s">
        <v>328</v>
      </c>
      <c r="AU232" s="148" t="s">
        <v>179</v>
      </c>
      <c r="AV232" s="126" t="s">
        <v>134</v>
      </c>
      <c r="AW232" s="539" t="s">
        <v>131</v>
      </c>
      <c r="AX232" s="126" t="s">
        <v>431</v>
      </c>
      <c r="AZ232" s="378" t="s">
        <v>1263</v>
      </c>
      <c r="BC232" s="89"/>
      <c r="BD232" s="89"/>
      <c r="BE232" s="89"/>
      <c r="BF232" s="89"/>
      <c r="BG232" s="89"/>
      <c r="BH232" s="89"/>
      <c r="BI232" s="89"/>
      <c r="BJ232" s="89"/>
      <c r="BK232" s="89"/>
      <c r="BL232" s="89"/>
      <c r="BM232" s="89"/>
      <c r="BN232" s="89"/>
      <c r="BO232" s="89"/>
      <c r="BP232" s="89"/>
      <c r="BQ232" s="89"/>
      <c r="BR232" s="89"/>
      <c r="BS232" s="89"/>
      <c r="BT232" s="89"/>
      <c r="BU232" s="89"/>
      <c r="BV232" s="89"/>
      <c r="BW232" s="89"/>
      <c r="BX232" s="89"/>
      <c r="BY232" s="89"/>
      <c r="BZ232" s="89"/>
      <c r="CA232" s="89"/>
      <c r="CB232" s="89"/>
      <c r="CC232" s="89"/>
      <c r="CD232" s="89"/>
      <c r="CE232" s="89"/>
      <c r="CF232" s="89"/>
      <c r="CG232" s="89"/>
      <c r="CH232" s="89"/>
      <c r="CI232" s="89"/>
      <c r="CJ232" s="89"/>
      <c r="CK232" s="89"/>
      <c r="CL232" s="89"/>
      <c r="CM232" s="89"/>
      <c r="CN232" s="89"/>
      <c r="CO232" s="89"/>
      <c r="CP232" s="89"/>
      <c r="CQ232" s="89"/>
      <c r="CR232" s="89"/>
      <c r="CS232" s="89"/>
      <c r="CT232" s="89"/>
      <c r="CU232" s="89"/>
      <c r="CV232" s="89"/>
      <c r="CW232" s="89"/>
      <c r="CX232" s="89"/>
      <c r="CY232" s="89"/>
      <c r="CZ232" s="89"/>
      <c r="DA232" s="89"/>
      <c r="DB232" s="89"/>
      <c r="DC232" s="89"/>
      <c r="DD232" s="89"/>
      <c r="DE232" s="89"/>
      <c r="DF232" s="89"/>
      <c r="DG232" s="89"/>
      <c r="DH232" s="89"/>
    </row>
    <row r="233" ht="20.25" customHeight="1">
      <c r="A233" s="41">
        <v>233.0</v>
      </c>
      <c r="B233" s="535" t="s">
        <v>145</v>
      </c>
      <c r="C233" s="535" t="s">
        <v>108</v>
      </c>
      <c r="D233" s="535" t="s">
        <v>279</v>
      </c>
      <c r="E233" s="536"/>
      <c r="F233" s="542" t="s">
        <v>1251</v>
      </c>
      <c r="G233" s="148" t="s">
        <v>1389</v>
      </c>
      <c r="H233" s="148" t="s">
        <v>282</v>
      </c>
      <c r="I233" s="149"/>
      <c r="J233" s="150">
        <v>45782.0</v>
      </c>
      <c r="K233" s="126" t="s">
        <v>1274</v>
      </c>
      <c r="L233" s="126" t="s">
        <v>1390</v>
      </c>
      <c r="M233" s="152" t="s">
        <v>1391</v>
      </c>
      <c r="N233" s="152" t="s">
        <v>1255</v>
      </c>
      <c r="O233" s="375">
        <v>1.0</v>
      </c>
      <c r="P233" s="115" t="str">
        <f> hyperlink(vlookup(lower(N233),'File Links'!A:B, 2, FALSE), SUBSTITUTE(lower(N233), "/", "--") &amp;  ".pdf")</f>
        <v>10.1016--j.psychres.2017.09.048.pdf</v>
      </c>
      <c r="Q233" s="49" t="str">
        <f t="array" ref="Q233"> if(iserror(MATCH(V233, 'File Links'!C:C, 0)), "N/A", HYPERLINK(INDEX('File Links'!B:B, MATCH(P233, 'File Links'!C:C, 0))))</f>
        <v>https://drive.google.com/file/d/1bB5zAUL5oQPM2ClvdBCDeAd5AlkWVp4P/view?usp=drivesdk</v>
      </c>
      <c r="R233" s="126" t="s">
        <v>1256</v>
      </c>
      <c r="S233" s="58" t="s">
        <v>1257</v>
      </c>
      <c r="T233" s="65"/>
      <c r="U233" s="375">
        <v>1.0</v>
      </c>
      <c r="V233" s="63" t="str">
        <f> hyperlink(vlookup(lower(S233),'File Links'!E:F, 2, FALSE), SUBSTITUTE(lower(S233), "/", "--") &amp;  ".pdf")</f>
        <v>10.1002--erv.3103.pdf</v>
      </c>
      <c r="W233" s="126" t="s">
        <v>1258</v>
      </c>
      <c r="X233" s="51" t="str">
        <f t="array" ref="X233"> if(iserror(MATCH(V233, 'File Links'!C:C, 0)), "N/A", HYPERLINK(INDEX('File Links'!B:B, MATCH(V233, 'File Links'!C:C, 0))))</f>
        <v>https://drive.google.com/file/d/1bJ0BC-Xy_bNt41DXHAjv1ms0mnz9Vq86/view?usp=drivesdk</v>
      </c>
      <c r="Z233" s="148" t="s">
        <v>141</v>
      </c>
      <c r="AA233" s="126" t="s">
        <v>1392</v>
      </c>
      <c r="AB233" s="126" t="s">
        <v>1260</v>
      </c>
      <c r="AC233" s="368" t="s">
        <v>1373</v>
      </c>
      <c r="AD233" s="538" t="s">
        <v>1393</v>
      </c>
      <c r="AE233" s="158" t="s">
        <v>133</v>
      </c>
      <c r="AF233" s="158">
        <v>89.0</v>
      </c>
      <c r="AG233" s="375" t="s">
        <v>1350</v>
      </c>
      <c r="AH233" s="148" t="s">
        <v>127</v>
      </c>
      <c r="AI233" s="368" t="s">
        <v>133</v>
      </c>
      <c r="AJ233" s="163">
        <v>0.05</v>
      </c>
      <c r="AK233" s="148" t="s">
        <v>328</v>
      </c>
      <c r="AL233" s="148" t="s">
        <v>129</v>
      </c>
      <c r="AM233" s="126" t="s">
        <v>134</v>
      </c>
      <c r="AN233" s="216" t="s">
        <v>131</v>
      </c>
      <c r="AO233" s="158">
        <v>74.0</v>
      </c>
      <c r="AP233" s="158">
        <v>0.053</v>
      </c>
      <c r="AQ233" s="377" t="s">
        <v>867</v>
      </c>
      <c r="AR233" s="368" t="s">
        <v>1357</v>
      </c>
      <c r="AS233" s="163">
        <v>0.049</v>
      </c>
      <c r="AT233" s="148" t="s">
        <v>165</v>
      </c>
      <c r="AU233" s="148" t="s">
        <v>179</v>
      </c>
      <c r="AV233" s="126" t="s">
        <v>134</v>
      </c>
      <c r="AW233" s="539" t="s">
        <v>131</v>
      </c>
      <c r="AX233" s="126" t="s">
        <v>431</v>
      </c>
      <c r="AZ233" s="378" t="s">
        <v>1263</v>
      </c>
      <c r="BC233" s="217"/>
      <c r="BD233" s="217"/>
      <c r="BE233" s="217"/>
      <c r="BF233" s="217"/>
      <c r="BG233" s="217"/>
      <c r="BH233" s="217"/>
      <c r="BI233" s="217"/>
      <c r="BJ233" s="217"/>
      <c r="BK233" s="217"/>
      <c r="BL233" s="217"/>
      <c r="BM233" s="217"/>
      <c r="BN233" s="217"/>
      <c r="BO233" s="217"/>
      <c r="BP233" s="217"/>
      <c r="BQ233" s="217"/>
      <c r="BR233" s="217"/>
      <c r="BS233" s="217"/>
      <c r="BT233" s="217"/>
      <c r="BU233" s="217"/>
      <c r="BV233" s="217"/>
      <c r="BW233" s="217"/>
      <c r="BX233" s="217"/>
      <c r="BY233" s="217"/>
      <c r="BZ233" s="217"/>
      <c r="CA233" s="217"/>
      <c r="CB233" s="217"/>
      <c r="CC233" s="217"/>
      <c r="CD233" s="217"/>
      <c r="CE233" s="217"/>
      <c r="CF233" s="217"/>
      <c r="CG233" s="217"/>
      <c r="CH233" s="217"/>
      <c r="CI233" s="217"/>
      <c r="CJ233" s="217"/>
      <c r="CK233" s="217"/>
      <c r="CL233" s="217"/>
      <c r="CM233" s="217"/>
      <c r="CN233" s="217"/>
      <c r="CO233" s="217"/>
      <c r="CP233" s="217"/>
      <c r="CQ233" s="217"/>
      <c r="CR233" s="217"/>
      <c r="CS233" s="217"/>
      <c r="CT233" s="217"/>
      <c r="CU233" s="217"/>
      <c r="CV233" s="217"/>
      <c r="CW233" s="217"/>
      <c r="CX233" s="217"/>
      <c r="CY233" s="217"/>
      <c r="CZ233" s="217"/>
      <c r="DA233" s="217"/>
      <c r="DB233" s="217"/>
      <c r="DC233" s="217"/>
      <c r="DD233" s="217"/>
      <c r="DE233" s="217"/>
      <c r="DF233" s="217"/>
      <c r="DG233" s="217"/>
      <c r="DH233" s="217"/>
    </row>
    <row r="234" ht="20.25" customHeight="1">
      <c r="A234" s="41">
        <v>234.0</v>
      </c>
      <c r="B234" s="535" t="s">
        <v>145</v>
      </c>
      <c r="C234" s="535" t="s">
        <v>108</v>
      </c>
      <c r="D234" s="535" t="s">
        <v>279</v>
      </c>
      <c r="E234" s="536"/>
      <c r="F234" s="546" t="s">
        <v>1394</v>
      </c>
      <c r="G234" s="148" t="s">
        <v>1251</v>
      </c>
      <c r="H234" s="148" t="s">
        <v>282</v>
      </c>
      <c r="I234" s="150">
        <v>45427.0</v>
      </c>
      <c r="J234" s="537">
        <v>45775.0</v>
      </c>
      <c r="L234" s="126" t="s">
        <v>1253</v>
      </c>
      <c r="M234" s="152" t="s">
        <v>1395</v>
      </c>
      <c r="N234" s="152" t="s">
        <v>1255</v>
      </c>
      <c r="O234" s="375">
        <v>1.0</v>
      </c>
      <c r="P234" s="306" t="s">
        <v>1396</v>
      </c>
      <c r="Q234" s="49" t="str">
        <f t="array" ref="Q234"> if(iserror(MATCH(V234, 'File Links'!C:C, 0)), "N/A", HYPERLINK(INDEX('File Links'!B:B, MATCH(P234, 'File Links'!C:C, 0))))</f>
        <v>https://drive.google.com/file/d/1bB5zAUL5oQPM2ClvdBCDeAd5AlkWVp4P/view?usp=drivesdk</v>
      </c>
      <c r="R234" s="126" t="s">
        <v>1256</v>
      </c>
      <c r="S234" s="58" t="s">
        <v>1257</v>
      </c>
      <c r="T234" s="65"/>
      <c r="U234" s="375">
        <v>1.0</v>
      </c>
      <c r="V234" s="63" t="str">
        <f> hyperlink(vlookup(lower(S234),'File Links'!E:F, 2, FALSE), SUBSTITUTE(lower(S234), "/", "--") &amp;  ".pdf")</f>
        <v>10.1002--erv.3103.pdf</v>
      </c>
      <c r="W234" s="126" t="s">
        <v>1258</v>
      </c>
      <c r="X234" s="51" t="str">
        <f t="array" ref="X234"> if(iserror(MATCH(V234, 'File Links'!C:C, 0)), "N/A", HYPERLINK(INDEX('File Links'!B:B, MATCH(V234, 'File Links'!C:C, 0))))</f>
        <v>https://drive.google.com/file/d/1bJ0BC-Xy_bNt41DXHAjv1ms0mnz9Vq86/view?usp=drivesdk</v>
      </c>
      <c r="Z234" s="148" t="s">
        <v>141</v>
      </c>
      <c r="AA234" s="126" t="s">
        <v>1397</v>
      </c>
      <c r="AB234" s="126" t="s">
        <v>1260</v>
      </c>
      <c r="AC234" s="368" t="s">
        <v>1261</v>
      </c>
      <c r="AD234" s="538" t="s">
        <v>1398</v>
      </c>
      <c r="AE234" s="158" t="s">
        <v>843</v>
      </c>
      <c r="AF234" s="158">
        <v>89.0</v>
      </c>
      <c r="AG234" s="158">
        <v>0.822</v>
      </c>
      <c r="AH234" s="377" t="s">
        <v>867</v>
      </c>
      <c r="AI234" s="126" t="s">
        <v>843</v>
      </c>
      <c r="AJ234" s="163">
        <v>0.001</v>
      </c>
      <c r="AK234" s="148" t="s">
        <v>128</v>
      </c>
      <c r="AL234" s="148" t="s">
        <v>129</v>
      </c>
      <c r="AM234" s="126" t="s">
        <v>134</v>
      </c>
      <c r="AN234" s="58" t="s">
        <v>131</v>
      </c>
      <c r="AO234" s="158">
        <v>74.0</v>
      </c>
      <c r="AP234" s="158">
        <v>0.243</v>
      </c>
      <c r="AQ234" s="377" t="s">
        <v>867</v>
      </c>
      <c r="AR234" s="368" t="s">
        <v>843</v>
      </c>
      <c r="AS234" s="163">
        <v>0.001</v>
      </c>
      <c r="AT234" s="148" t="s">
        <v>128</v>
      </c>
      <c r="AU234" s="148" t="s">
        <v>179</v>
      </c>
      <c r="AV234" s="126" t="s">
        <v>134</v>
      </c>
      <c r="AW234" s="539" t="s">
        <v>131</v>
      </c>
      <c r="AX234" s="126" t="s">
        <v>431</v>
      </c>
      <c r="AZ234" s="378" t="s">
        <v>1263</v>
      </c>
      <c r="BC234" s="89"/>
      <c r="BD234" s="89"/>
      <c r="BE234" s="89"/>
      <c r="BF234" s="89"/>
      <c r="BG234" s="89"/>
      <c r="BH234" s="89"/>
      <c r="BI234" s="89"/>
      <c r="BJ234" s="89"/>
      <c r="BK234" s="89"/>
      <c r="BL234" s="89"/>
      <c r="BM234" s="89"/>
      <c r="BN234" s="89"/>
      <c r="BO234" s="89"/>
      <c r="BP234" s="89"/>
      <c r="BQ234" s="89"/>
      <c r="BR234" s="89"/>
      <c r="BS234" s="89"/>
      <c r="BT234" s="89"/>
      <c r="BU234" s="89"/>
      <c r="BV234" s="89"/>
      <c r="BW234" s="89"/>
      <c r="BX234" s="89"/>
      <c r="BY234" s="89"/>
      <c r="BZ234" s="89"/>
      <c r="CA234" s="89"/>
      <c r="CB234" s="89"/>
      <c r="CC234" s="89"/>
      <c r="CD234" s="89"/>
      <c r="CE234" s="89"/>
      <c r="CF234" s="89"/>
      <c r="CG234" s="89"/>
      <c r="CH234" s="89"/>
      <c r="CI234" s="89"/>
      <c r="CJ234" s="89"/>
      <c r="CK234" s="89"/>
      <c r="CL234" s="89"/>
      <c r="CM234" s="89"/>
      <c r="CN234" s="89"/>
      <c r="CO234" s="89"/>
      <c r="CP234" s="89"/>
      <c r="CQ234" s="89"/>
      <c r="CR234" s="89"/>
      <c r="CS234" s="89"/>
      <c r="CT234" s="89"/>
      <c r="CU234" s="89"/>
      <c r="CV234" s="89"/>
      <c r="CW234" s="89"/>
      <c r="CX234" s="89"/>
      <c r="CY234" s="89"/>
      <c r="CZ234" s="89"/>
      <c r="DA234" s="89"/>
      <c r="DB234" s="89"/>
      <c r="DC234" s="89"/>
      <c r="DD234" s="89"/>
      <c r="DE234" s="89"/>
      <c r="DF234" s="89"/>
      <c r="DG234" s="89"/>
      <c r="DH234" s="89"/>
    </row>
    <row r="235" ht="20.25" customHeight="1">
      <c r="A235" s="41">
        <v>235.0</v>
      </c>
      <c r="B235" s="535" t="s">
        <v>107</v>
      </c>
      <c r="C235" s="557" t="s">
        <v>108</v>
      </c>
      <c r="D235" s="557" t="s">
        <v>746</v>
      </c>
      <c r="E235" s="558"/>
      <c r="F235" s="559" t="s">
        <v>1394</v>
      </c>
      <c r="G235" s="42" t="s">
        <v>1251</v>
      </c>
      <c r="H235" s="42" t="s">
        <v>746</v>
      </c>
      <c r="I235" s="60">
        <v>45427.0</v>
      </c>
      <c r="J235" s="62"/>
      <c r="K235" s="62"/>
      <c r="L235" s="42" t="s">
        <v>1399</v>
      </c>
      <c r="M235" s="42" t="s">
        <v>1395</v>
      </c>
      <c r="N235" s="42" t="s">
        <v>1255</v>
      </c>
      <c r="O235" s="375">
        <v>1.0</v>
      </c>
      <c r="P235" s="517" t="str">
        <f> hyperlink(vlookup(lower(N235),'File Links'!A:B, 2, FALSE), SUBSTITUTE(lower(N235), "/", "--") &amp;  ".pdf")</f>
        <v>10.1016--j.psychres.2017.09.048.pdf</v>
      </c>
      <c r="Q235" s="49" t="str">
        <f t="array" ref="Q235"> if(iserror(MATCH(V235, 'File Links'!C:C, 0)), "N/A", HYPERLINK(INDEX('File Links'!B:B, MATCH(P235, 'File Links'!C:C, 0))))</f>
        <v>https://drive.google.com/file/d/1bB5zAUL5oQPM2ClvdBCDeAd5AlkWVp4P/view?usp=drivesdk</v>
      </c>
      <c r="R235" s="126" t="s">
        <v>1256</v>
      </c>
      <c r="S235" s="58" t="s">
        <v>1257</v>
      </c>
      <c r="T235" s="62"/>
      <c r="U235" s="375">
        <v>1.0</v>
      </c>
      <c r="V235" s="63" t="str">
        <f> hyperlink(vlookup(lower(S235),'File Links'!E:F, 2, FALSE), SUBSTITUTE(lower(S235), "/", "--") &amp;  ".pdf")</f>
        <v>10.1002--erv.3103.pdf</v>
      </c>
      <c r="W235" s="62"/>
      <c r="X235" s="51" t="str">
        <f t="array" ref="X235"> if(iserror(MATCH(V235, 'File Links'!C:C, 0)), "N/A", HYPERLINK(INDEX('File Links'!B:B, MATCH(V235, 'File Links'!C:C, 0))))</f>
        <v>https://drive.google.com/file/d/1bJ0BC-Xy_bNt41DXHAjv1ms0mnz9Vq86/view?usp=drivesdk</v>
      </c>
      <c r="Y235" s="62"/>
      <c r="Z235" s="42" t="s">
        <v>940</v>
      </c>
      <c r="AA235" s="62"/>
      <c r="AB235" s="62"/>
      <c r="AC235" s="42" t="s">
        <v>1400</v>
      </c>
      <c r="AD235" s="62"/>
      <c r="AE235" s="62"/>
      <c r="AF235" s="62"/>
      <c r="AG235" s="62"/>
      <c r="AH235" s="62"/>
      <c r="AI235" s="62"/>
      <c r="AJ235" s="42"/>
      <c r="AK235" s="62"/>
      <c r="AL235" s="62"/>
      <c r="AM235" s="64"/>
      <c r="AN235" s="216" t="s">
        <v>131</v>
      </c>
      <c r="AO235" s="62"/>
      <c r="AP235" s="62"/>
      <c r="AQ235" s="62"/>
      <c r="AR235" s="62"/>
      <c r="AS235" s="62"/>
      <c r="AT235" s="62"/>
      <c r="AU235" s="62"/>
      <c r="AV235" s="64"/>
      <c r="AX235" s="65"/>
      <c r="AY235" s="62"/>
      <c r="AZ235" s="378" t="s">
        <v>1263</v>
      </c>
      <c r="BC235" s="217"/>
      <c r="BD235" s="217"/>
      <c r="BE235" s="217"/>
      <c r="BF235" s="217"/>
      <c r="BG235" s="217"/>
      <c r="BH235" s="217"/>
      <c r="BI235" s="217"/>
      <c r="BJ235" s="217"/>
      <c r="BK235" s="217"/>
      <c r="BL235" s="217"/>
      <c r="BM235" s="217"/>
      <c r="BN235" s="217"/>
      <c r="BO235" s="217"/>
      <c r="BP235" s="217"/>
      <c r="BQ235" s="217"/>
      <c r="BR235" s="217"/>
      <c r="BS235" s="217"/>
      <c r="BT235" s="217"/>
      <c r="BU235" s="217"/>
      <c r="BV235" s="217"/>
      <c r="BW235" s="217"/>
      <c r="BX235" s="217"/>
      <c r="BY235" s="217"/>
      <c r="BZ235" s="217"/>
      <c r="CA235" s="217"/>
      <c r="CB235" s="217"/>
      <c r="CC235" s="217"/>
      <c r="CD235" s="217"/>
      <c r="CE235" s="217"/>
      <c r="CF235" s="217"/>
      <c r="CG235" s="217"/>
      <c r="CH235" s="217"/>
      <c r="CI235" s="217"/>
      <c r="CJ235" s="217"/>
      <c r="CK235" s="217"/>
      <c r="CL235" s="217"/>
      <c r="CM235" s="217"/>
      <c r="CN235" s="217"/>
      <c r="CO235" s="217"/>
      <c r="CP235" s="217"/>
      <c r="CQ235" s="217"/>
      <c r="CR235" s="217"/>
      <c r="CS235" s="217"/>
      <c r="CT235" s="217"/>
      <c r="CU235" s="217"/>
      <c r="CV235" s="217"/>
      <c r="CW235" s="217"/>
      <c r="CX235" s="217"/>
      <c r="CY235" s="217"/>
      <c r="CZ235" s="217"/>
      <c r="DA235" s="217"/>
      <c r="DB235" s="217"/>
      <c r="DC235" s="217"/>
      <c r="DD235" s="217"/>
      <c r="DE235" s="217"/>
      <c r="DF235" s="217"/>
      <c r="DG235" s="217"/>
      <c r="DH235" s="217"/>
    </row>
    <row r="236" ht="20.25" customHeight="1">
      <c r="A236" s="41">
        <v>236.0</v>
      </c>
      <c r="B236" s="535" t="s">
        <v>107</v>
      </c>
      <c r="C236" s="535" t="s">
        <v>108</v>
      </c>
      <c r="D236" s="535" t="s">
        <v>241</v>
      </c>
      <c r="E236" s="536"/>
      <c r="F236" s="524" t="s">
        <v>1394</v>
      </c>
      <c r="G236" s="58" t="s">
        <v>1251</v>
      </c>
      <c r="H236" s="58" t="s">
        <v>242</v>
      </c>
      <c r="I236" s="526">
        <v>45427.0</v>
      </c>
      <c r="J236" s="537">
        <v>45775.0</v>
      </c>
      <c r="L236" s="126" t="s">
        <v>1401</v>
      </c>
      <c r="M236" s="58" t="s">
        <v>1395</v>
      </c>
      <c r="N236" s="58" t="s">
        <v>1255</v>
      </c>
      <c r="O236" s="375">
        <v>1.0</v>
      </c>
      <c r="P236" s="521" t="str">
        <f> hyperlink(vlookup(lower(N236),'File Links'!E:F, 2, FALSE), SUBSTITUTE(lower(N236), "/", "--") &amp;  ".pdf")</f>
        <v>10.1016--j.psychres.2017.09.048.pdf</v>
      </c>
      <c r="Q236" s="49" t="str">
        <f t="array" ref="Q236"> if(iserror(MATCH(V236, 'File Links'!C:C, 0)), "N/A", HYPERLINK(INDEX('File Links'!B:B, MATCH(P236, 'File Links'!C:C, 0))))</f>
        <v>https://drive.google.com/file/d/1bB5zAUL5oQPM2ClvdBCDeAd5AlkWVp4P/view?usp=drivesdk</v>
      </c>
      <c r="R236" s="126" t="s">
        <v>1256</v>
      </c>
      <c r="S236" s="58" t="s">
        <v>1257</v>
      </c>
      <c r="T236" s="58"/>
      <c r="U236" s="375">
        <v>1.0</v>
      </c>
      <c r="V236" s="63" t="str">
        <f> hyperlink(vlookup(lower(S236),'File Links'!E:F, 2, FALSE), SUBSTITUTE(lower(S236), "/", "--") &amp;  ".pdf")</f>
        <v>10.1002--erv.3103.pdf</v>
      </c>
      <c r="W236" s="58" t="s">
        <v>202</v>
      </c>
      <c r="X236" s="51" t="str">
        <f t="array" ref="X236"> if(iserror(MATCH(V236, 'File Links'!C:C, 0)), "N/A", HYPERLINK(INDEX('File Links'!B:B, MATCH(V236, 'File Links'!C:C, 0))))</f>
        <v>https://drive.google.com/file/d/1bJ0BC-Xy_bNt41DXHAjv1ms0mnz9Vq86/view?usp=drivesdk</v>
      </c>
      <c r="Y236" s="58"/>
      <c r="Z236" s="58" t="s">
        <v>141</v>
      </c>
      <c r="AA236" s="368" t="s">
        <v>1402</v>
      </c>
      <c r="AB236" s="58" t="s">
        <v>1403</v>
      </c>
      <c r="AC236" s="368" t="s">
        <v>1261</v>
      </c>
      <c r="AD236" s="58" t="s">
        <v>1404</v>
      </c>
      <c r="AE236" s="158" t="s">
        <v>843</v>
      </c>
      <c r="AF236" s="375">
        <v>89.0</v>
      </c>
      <c r="AG236" s="375">
        <v>0.822</v>
      </c>
      <c r="AH236" s="377" t="s">
        <v>867</v>
      </c>
      <c r="AI236" s="126" t="s">
        <v>843</v>
      </c>
      <c r="AJ236" s="560">
        <v>0.001</v>
      </c>
      <c r="AK236" s="65" t="s">
        <v>128</v>
      </c>
      <c r="AL236" s="58" t="s">
        <v>129</v>
      </c>
      <c r="AM236" s="58" t="s">
        <v>134</v>
      </c>
      <c r="AN236" s="58" t="s">
        <v>131</v>
      </c>
      <c r="AO236" s="375">
        <v>74.0</v>
      </c>
      <c r="AP236" s="375">
        <v>0.243</v>
      </c>
      <c r="AQ236" s="377" t="s">
        <v>132</v>
      </c>
      <c r="AR236" s="368" t="s">
        <v>843</v>
      </c>
      <c r="AS236" s="163">
        <v>0.001</v>
      </c>
      <c r="AT236" s="65" t="s">
        <v>128</v>
      </c>
      <c r="AU236" s="65" t="s">
        <v>179</v>
      </c>
      <c r="AV236" s="65" t="s">
        <v>134</v>
      </c>
      <c r="AW236" s="65" t="s">
        <v>131</v>
      </c>
      <c r="AX236" s="65" t="s">
        <v>431</v>
      </c>
      <c r="AY236" s="126" t="s">
        <v>1405</v>
      </c>
      <c r="AZ236" s="378" t="s">
        <v>1263</v>
      </c>
      <c r="BC236" s="89"/>
      <c r="BD236" s="89"/>
      <c r="BE236" s="89"/>
      <c r="BF236" s="89"/>
      <c r="BG236" s="89"/>
      <c r="BH236" s="89"/>
      <c r="BI236" s="89"/>
      <c r="BJ236" s="89"/>
      <c r="BK236" s="89"/>
      <c r="BL236" s="89"/>
      <c r="BM236" s="89"/>
      <c r="BN236" s="89"/>
      <c r="BO236" s="89"/>
      <c r="BP236" s="89"/>
      <c r="BQ236" s="89"/>
      <c r="BR236" s="89"/>
      <c r="BS236" s="89"/>
      <c r="BT236" s="89"/>
      <c r="BU236" s="89"/>
      <c r="BV236" s="89"/>
      <c r="BW236" s="89"/>
      <c r="BX236" s="89"/>
      <c r="BY236" s="89"/>
      <c r="BZ236" s="89"/>
      <c r="CA236" s="89"/>
      <c r="CB236" s="89"/>
      <c r="CC236" s="89"/>
      <c r="CD236" s="89"/>
      <c r="CE236" s="89"/>
      <c r="CF236" s="89"/>
      <c r="CG236" s="89"/>
      <c r="CH236" s="89"/>
      <c r="CI236" s="89"/>
      <c r="CJ236" s="89"/>
      <c r="CK236" s="89"/>
      <c r="CL236" s="89"/>
      <c r="CM236" s="89"/>
      <c r="CN236" s="89"/>
      <c r="CO236" s="89"/>
      <c r="CP236" s="89"/>
      <c r="CQ236" s="89"/>
      <c r="CR236" s="89"/>
      <c r="CS236" s="89"/>
      <c r="CT236" s="89"/>
      <c r="CU236" s="89"/>
      <c r="CV236" s="89"/>
      <c r="CW236" s="89"/>
      <c r="CX236" s="89"/>
      <c r="CY236" s="89"/>
      <c r="CZ236" s="89"/>
      <c r="DA236" s="89"/>
      <c r="DB236" s="89"/>
      <c r="DC236" s="89"/>
      <c r="DD236" s="89"/>
      <c r="DE236" s="89"/>
      <c r="DF236" s="89"/>
      <c r="DG236" s="89"/>
      <c r="DH236" s="89"/>
    </row>
    <row r="237" ht="20.25" customHeight="1">
      <c r="A237" s="41">
        <v>237.0</v>
      </c>
      <c r="B237" s="535" t="s">
        <v>107</v>
      </c>
      <c r="C237" s="535" t="s">
        <v>108</v>
      </c>
      <c r="D237" s="535" t="s">
        <v>241</v>
      </c>
      <c r="E237" s="536"/>
      <c r="F237" s="524" t="s">
        <v>1394</v>
      </c>
      <c r="G237" s="58" t="s">
        <v>1252</v>
      </c>
      <c r="H237" s="58" t="s">
        <v>242</v>
      </c>
      <c r="I237" s="526">
        <v>45427.0</v>
      </c>
      <c r="J237" s="537">
        <v>45775.0</v>
      </c>
      <c r="L237" s="126" t="s">
        <v>1401</v>
      </c>
      <c r="M237" s="58" t="s">
        <v>1395</v>
      </c>
      <c r="N237" s="58" t="s">
        <v>1255</v>
      </c>
      <c r="O237" s="375">
        <v>1.0</v>
      </c>
      <c r="P237" s="521" t="str">
        <f> hyperlink(vlookup(lower(N237),'File Links'!E:F, 2, FALSE), SUBSTITUTE(lower(N237), "/", "--") &amp;  ".pdf")</f>
        <v>10.1016--j.psychres.2017.09.048.pdf</v>
      </c>
      <c r="Q237" s="49" t="str">
        <f t="array" ref="Q237"> if(iserror(MATCH(V237, 'File Links'!C:C, 0)), "N/A", HYPERLINK(INDEX('File Links'!B:B, MATCH(P237, 'File Links'!C:C, 0))))</f>
        <v>https://drive.google.com/file/d/1bB5zAUL5oQPM2ClvdBCDeAd5AlkWVp4P/view?usp=drivesdk</v>
      </c>
      <c r="R237" s="126" t="s">
        <v>1256</v>
      </c>
      <c r="S237" s="58" t="s">
        <v>1257</v>
      </c>
      <c r="T237" s="58"/>
      <c r="U237" s="375">
        <v>1.0</v>
      </c>
      <c r="V237" s="63" t="str">
        <f> hyperlink(vlookup(lower(S237),'File Links'!E:F, 2, FALSE), SUBSTITUTE(lower(S237), "/", "--") &amp;  ".pdf")</f>
        <v>10.1002--erv.3103.pdf</v>
      </c>
      <c r="W237" s="58" t="s">
        <v>202</v>
      </c>
      <c r="X237" s="51" t="str">
        <f t="array" ref="X237"> if(iserror(MATCH(V237, 'File Links'!C:C, 0)), "N/A", HYPERLINK(INDEX('File Links'!B:B, MATCH(V237, 'File Links'!C:C, 0))))</f>
        <v>https://drive.google.com/file/d/1bJ0BC-Xy_bNt41DXHAjv1ms0mnz9Vq86/view?usp=drivesdk</v>
      </c>
      <c r="Y237" s="58"/>
      <c r="Z237" s="58" t="s">
        <v>141</v>
      </c>
      <c r="AA237" s="368" t="s">
        <v>1406</v>
      </c>
      <c r="AB237" s="58" t="s">
        <v>1407</v>
      </c>
      <c r="AC237" s="368" t="s">
        <v>1261</v>
      </c>
      <c r="AD237" s="58" t="s">
        <v>1408</v>
      </c>
      <c r="AE237" s="158" t="s">
        <v>843</v>
      </c>
      <c r="AF237" s="375">
        <v>89.0</v>
      </c>
      <c r="AG237" s="375">
        <v>0.556</v>
      </c>
      <c r="AH237" s="377" t="s">
        <v>867</v>
      </c>
      <c r="AI237" s="126" t="s">
        <v>843</v>
      </c>
      <c r="AJ237" s="560">
        <v>0.001</v>
      </c>
      <c r="AK237" s="65" t="s">
        <v>128</v>
      </c>
      <c r="AL237" s="58" t="s">
        <v>129</v>
      </c>
      <c r="AM237" s="58" t="s">
        <v>134</v>
      </c>
      <c r="AN237" s="58" t="s">
        <v>131</v>
      </c>
      <c r="AO237" s="375">
        <v>74.0</v>
      </c>
      <c r="AP237" s="375">
        <v>0.547</v>
      </c>
      <c r="AQ237" s="377" t="s">
        <v>132</v>
      </c>
      <c r="AR237" s="368" t="s">
        <v>843</v>
      </c>
      <c r="AS237" s="163">
        <v>0.001</v>
      </c>
      <c r="AT237" s="65" t="s">
        <v>128</v>
      </c>
      <c r="AU237" s="65" t="s">
        <v>179</v>
      </c>
      <c r="AV237" s="65" t="s">
        <v>134</v>
      </c>
      <c r="AW237" s="65" t="s">
        <v>131</v>
      </c>
      <c r="AX237" s="65" t="s">
        <v>431</v>
      </c>
      <c r="AY237" s="58"/>
      <c r="AZ237" s="378" t="s">
        <v>1263</v>
      </c>
      <c r="BC237" s="217"/>
      <c r="BD237" s="217"/>
      <c r="BE237" s="217"/>
      <c r="BF237" s="217"/>
      <c r="BG237" s="217"/>
      <c r="BH237" s="217"/>
      <c r="BI237" s="217"/>
      <c r="BJ237" s="217"/>
      <c r="BK237" s="217"/>
      <c r="BL237" s="217"/>
      <c r="BM237" s="217"/>
      <c r="BN237" s="217"/>
      <c r="BO237" s="217"/>
      <c r="BP237" s="217"/>
      <c r="BQ237" s="217"/>
      <c r="BR237" s="217"/>
      <c r="BS237" s="217"/>
      <c r="BT237" s="217"/>
      <c r="BU237" s="217"/>
      <c r="BV237" s="217"/>
      <c r="BW237" s="217"/>
      <c r="BX237" s="217"/>
      <c r="BY237" s="217"/>
      <c r="BZ237" s="217"/>
      <c r="CA237" s="217"/>
      <c r="CB237" s="217"/>
      <c r="CC237" s="217"/>
      <c r="CD237" s="217"/>
      <c r="CE237" s="217"/>
      <c r="CF237" s="217"/>
      <c r="CG237" s="217"/>
      <c r="CH237" s="217"/>
      <c r="CI237" s="217"/>
      <c r="CJ237" s="217"/>
      <c r="CK237" s="217"/>
      <c r="CL237" s="217"/>
      <c r="CM237" s="217"/>
      <c r="CN237" s="217"/>
      <c r="CO237" s="217"/>
      <c r="CP237" s="217"/>
      <c r="CQ237" s="217"/>
      <c r="CR237" s="217"/>
      <c r="CS237" s="217"/>
      <c r="CT237" s="217"/>
      <c r="CU237" s="217"/>
      <c r="CV237" s="217"/>
      <c r="CW237" s="217"/>
      <c r="CX237" s="217"/>
      <c r="CY237" s="217"/>
      <c r="CZ237" s="217"/>
      <c r="DA237" s="217"/>
      <c r="DB237" s="217"/>
      <c r="DC237" s="217"/>
      <c r="DD237" s="217"/>
      <c r="DE237" s="217"/>
      <c r="DF237" s="217"/>
      <c r="DG237" s="217"/>
      <c r="DH237" s="217"/>
    </row>
    <row r="238" ht="20.25" customHeight="1">
      <c r="A238" s="41">
        <v>238.0</v>
      </c>
      <c r="B238" s="535" t="s">
        <v>107</v>
      </c>
      <c r="C238" s="535" t="s">
        <v>108</v>
      </c>
      <c r="D238" s="535" t="s">
        <v>241</v>
      </c>
      <c r="E238" s="536"/>
      <c r="F238" s="524" t="s">
        <v>1394</v>
      </c>
      <c r="G238" s="58" t="s">
        <v>1264</v>
      </c>
      <c r="H238" s="58" t="s">
        <v>242</v>
      </c>
      <c r="I238" s="526">
        <v>45427.0</v>
      </c>
      <c r="J238" s="537">
        <v>45775.0</v>
      </c>
      <c r="K238" s="58"/>
      <c r="L238" s="126" t="s">
        <v>1401</v>
      </c>
      <c r="M238" s="58" t="s">
        <v>1395</v>
      </c>
      <c r="N238" s="58" t="s">
        <v>1255</v>
      </c>
      <c r="O238" s="375">
        <v>1.0</v>
      </c>
      <c r="P238" s="521" t="str">
        <f> hyperlink(vlookup(lower(N238),'File Links'!E:F, 2, FALSE), SUBSTITUTE(lower(N238), "/", "--") &amp;  ".pdf")</f>
        <v>10.1016--j.psychres.2017.09.048.pdf</v>
      </c>
      <c r="Q238" s="49" t="str">
        <f t="array" ref="Q238"> if(iserror(MATCH(V238, 'File Links'!C:C, 0)), "N/A", HYPERLINK(INDEX('File Links'!B:B, MATCH(P238, 'File Links'!C:C, 0))))</f>
        <v>https://drive.google.com/file/d/1bB5zAUL5oQPM2ClvdBCDeAd5AlkWVp4P/view?usp=drivesdk</v>
      </c>
      <c r="R238" s="126" t="s">
        <v>1256</v>
      </c>
      <c r="S238" s="58" t="s">
        <v>1257</v>
      </c>
      <c r="T238" s="58"/>
      <c r="U238" s="375">
        <v>1.0</v>
      </c>
      <c r="V238" s="63" t="str">
        <f> hyperlink(vlookup(lower(S238),'File Links'!E:F, 2, FALSE), SUBSTITUTE(lower(S238), "/", "--") &amp;  ".pdf")</f>
        <v>10.1002--erv.3103.pdf</v>
      </c>
      <c r="W238" s="58" t="s">
        <v>202</v>
      </c>
      <c r="X238" s="51" t="str">
        <f t="array" ref="X238"> if(iserror(MATCH(V238, 'File Links'!C:C, 0)), "N/A", HYPERLINK(INDEX('File Links'!B:B, MATCH(V238, 'File Links'!C:C, 0))))</f>
        <v>https://drive.google.com/file/d/1bJ0BC-Xy_bNt41DXHAjv1ms0mnz9Vq86/view?usp=drivesdk</v>
      </c>
      <c r="Y238" s="58"/>
      <c r="Z238" s="58" t="s">
        <v>141</v>
      </c>
      <c r="AA238" s="368" t="s">
        <v>1276</v>
      </c>
      <c r="AB238" s="58" t="s">
        <v>1409</v>
      </c>
      <c r="AC238" s="368" t="s">
        <v>1261</v>
      </c>
      <c r="AD238" s="58" t="s">
        <v>1410</v>
      </c>
      <c r="AE238" s="158" t="s">
        <v>1278</v>
      </c>
      <c r="AF238" s="375">
        <v>89.0</v>
      </c>
      <c r="AG238" s="375">
        <v>0.056</v>
      </c>
      <c r="AH238" s="377" t="s">
        <v>867</v>
      </c>
      <c r="AI238" s="499">
        <v>5.0</v>
      </c>
      <c r="AJ238" s="560">
        <v>0.009</v>
      </c>
      <c r="AK238" s="65" t="s">
        <v>165</v>
      </c>
      <c r="AL238" s="58" t="s">
        <v>129</v>
      </c>
      <c r="AM238" s="58" t="s">
        <v>134</v>
      </c>
      <c r="AN238" s="58" t="s">
        <v>131</v>
      </c>
      <c r="AO238" s="375">
        <v>74.0</v>
      </c>
      <c r="AP238" s="375">
        <v>0.041</v>
      </c>
      <c r="AQ238" s="377" t="s">
        <v>132</v>
      </c>
      <c r="AR238" s="368" t="s">
        <v>843</v>
      </c>
      <c r="AS238" s="499">
        <v>0.021</v>
      </c>
      <c r="AT238" s="65" t="s">
        <v>165</v>
      </c>
      <c r="AU238" s="65" t="s">
        <v>179</v>
      </c>
      <c r="AV238" s="65" t="s">
        <v>134</v>
      </c>
      <c r="AW238" s="65" t="s">
        <v>131</v>
      </c>
      <c r="AX238" s="65" t="s">
        <v>431</v>
      </c>
      <c r="AY238" s="58"/>
      <c r="AZ238" s="378" t="s">
        <v>1263</v>
      </c>
      <c r="BC238" s="89"/>
      <c r="BD238" s="89"/>
      <c r="BE238" s="89"/>
      <c r="BF238" s="89"/>
      <c r="BG238" s="89"/>
      <c r="BH238" s="89"/>
      <c r="BI238" s="89"/>
      <c r="BJ238" s="89"/>
      <c r="BK238" s="89"/>
      <c r="BL238" s="89"/>
      <c r="BM238" s="89"/>
      <c r="BN238" s="89"/>
      <c r="BO238" s="89"/>
      <c r="BP238" s="89"/>
      <c r="BQ238" s="89"/>
      <c r="BR238" s="89"/>
      <c r="BS238" s="89"/>
      <c r="BT238" s="89"/>
      <c r="BU238" s="89"/>
      <c r="BV238" s="89"/>
      <c r="BW238" s="89"/>
      <c r="BX238" s="89"/>
      <c r="BY238" s="89"/>
      <c r="BZ238" s="89"/>
      <c r="CA238" s="89"/>
      <c r="CB238" s="89"/>
      <c r="CC238" s="89"/>
      <c r="CD238" s="89"/>
      <c r="CE238" s="89"/>
      <c r="CF238" s="89"/>
      <c r="CG238" s="89"/>
      <c r="CH238" s="89"/>
      <c r="CI238" s="89"/>
      <c r="CJ238" s="89"/>
      <c r="CK238" s="89"/>
      <c r="CL238" s="89"/>
      <c r="CM238" s="89"/>
      <c r="CN238" s="89"/>
      <c r="CO238" s="89"/>
      <c r="CP238" s="89"/>
      <c r="CQ238" s="89"/>
      <c r="CR238" s="89"/>
      <c r="CS238" s="89"/>
      <c r="CT238" s="89"/>
      <c r="CU238" s="89"/>
      <c r="CV238" s="89"/>
      <c r="CW238" s="89"/>
      <c r="CX238" s="89"/>
      <c r="CY238" s="89"/>
      <c r="CZ238" s="89"/>
      <c r="DA238" s="89"/>
      <c r="DB238" s="89"/>
      <c r="DC238" s="89"/>
      <c r="DD238" s="89"/>
      <c r="DE238" s="89"/>
      <c r="DF238" s="89"/>
      <c r="DG238" s="89"/>
      <c r="DH238" s="89"/>
    </row>
    <row r="239" ht="20.25" customHeight="1">
      <c r="A239" s="41">
        <v>239.0</v>
      </c>
      <c r="B239" s="535" t="s">
        <v>107</v>
      </c>
      <c r="C239" s="535" t="s">
        <v>108</v>
      </c>
      <c r="D239" s="535" t="s">
        <v>241</v>
      </c>
      <c r="E239" s="536"/>
      <c r="F239" s="524" t="s">
        <v>1394</v>
      </c>
      <c r="G239" s="58" t="s">
        <v>1268</v>
      </c>
      <c r="H239" s="58" t="s">
        <v>242</v>
      </c>
      <c r="I239" s="526">
        <v>45427.0</v>
      </c>
      <c r="J239" s="537">
        <v>45775.0</v>
      </c>
      <c r="K239" s="58"/>
      <c r="L239" s="126" t="s">
        <v>1401</v>
      </c>
      <c r="M239" s="58" t="s">
        <v>1395</v>
      </c>
      <c r="N239" s="58" t="s">
        <v>1255</v>
      </c>
      <c r="O239" s="375">
        <v>1.0</v>
      </c>
      <c r="P239" s="521" t="str">
        <f> hyperlink(vlookup(lower(N239),'File Links'!E:F, 2, FALSE), SUBSTITUTE(lower(N239), "/", "--") &amp;  ".pdf")</f>
        <v>10.1016--j.psychres.2017.09.048.pdf</v>
      </c>
      <c r="Q239" s="49" t="str">
        <f t="array" ref="Q239"> if(iserror(MATCH(V239, 'File Links'!C:C, 0)), "N/A", HYPERLINK(INDEX('File Links'!B:B, MATCH(P239, 'File Links'!C:C, 0))))</f>
        <v>https://drive.google.com/file/d/1bB5zAUL5oQPM2ClvdBCDeAd5AlkWVp4P/view?usp=drivesdk</v>
      </c>
      <c r="R239" s="126" t="s">
        <v>1256</v>
      </c>
      <c r="S239" s="58" t="s">
        <v>1257</v>
      </c>
      <c r="T239" s="58"/>
      <c r="U239" s="375">
        <v>1.0</v>
      </c>
      <c r="V239" s="63" t="str">
        <f> hyperlink(vlookup(lower(S239),'File Links'!E:F, 2, FALSE), SUBSTITUTE(lower(S239), "/", "--") &amp;  ".pdf")</f>
        <v>10.1002--erv.3103.pdf</v>
      </c>
      <c r="W239" s="58" t="s">
        <v>202</v>
      </c>
      <c r="X239" s="51" t="str">
        <f t="array" ref="X239"> if(iserror(MATCH(V239, 'File Links'!C:C, 0)), "N/A", HYPERLINK(INDEX('File Links'!B:B, MATCH(V239, 'File Links'!C:C, 0))))</f>
        <v>https://drive.google.com/file/d/1bJ0BC-Xy_bNt41DXHAjv1ms0mnz9Vq86/view?usp=drivesdk</v>
      </c>
      <c r="Y239" s="58"/>
      <c r="Z239" s="58" t="s">
        <v>141</v>
      </c>
      <c r="AA239" s="368" t="s">
        <v>1281</v>
      </c>
      <c r="AB239" s="58" t="s">
        <v>1411</v>
      </c>
      <c r="AC239" s="368" t="s">
        <v>1261</v>
      </c>
      <c r="AD239" s="58" t="s">
        <v>1412</v>
      </c>
      <c r="AE239" s="158" t="s">
        <v>806</v>
      </c>
      <c r="AF239" s="375">
        <v>89.0</v>
      </c>
      <c r="AG239" s="375">
        <v>0.571</v>
      </c>
      <c r="AH239" s="377" t="s">
        <v>867</v>
      </c>
      <c r="AI239" s="499">
        <v>5.0</v>
      </c>
      <c r="AJ239" s="499">
        <v>0.001</v>
      </c>
      <c r="AK239" s="65" t="s">
        <v>128</v>
      </c>
      <c r="AL239" s="58" t="s">
        <v>129</v>
      </c>
      <c r="AM239" s="58" t="s">
        <v>134</v>
      </c>
      <c r="AN239" s="58" t="s">
        <v>131</v>
      </c>
      <c r="AO239" s="375">
        <v>74.0</v>
      </c>
      <c r="AP239" s="375">
        <v>0.501</v>
      </c>
      <c r="AQ239" s="377" t="s">
        <v>132</v>
      </c>
      <c r="AR239" s="368" t="s">
        <v>843</v>
      </c>
      <c r="AS239" s="499">
        <v>0.001</v>
      </c>
      <c r="AT239" s="65" t="s">
        <v>128</v>
      </c>
      <c r="AU239" s="65" t="s">
        <v>179</v>
      </c>
      <c r="AV239" s="65" t="s">
        <v>134</v>
      </c>
      <c r="AW239" s="65" t="s">
        <v>131</v>
      </c>
      <c r="AX239" s="65" t="s">
        <v>431</v>
      </c>
      <c r="AY239" s="58"/>
      <c r="AZ239" s="378" t="s">
        <v>1263</v>
      </c>
      <c r="BC239" s="217"/>
      <c r="BD239" s="217"/>
      <c r="BE239" s="217"/>
      <c r="BF239" s="217"/>
      <c r="BG239" s="217"/>
      <c r="BH239" s="217"/>
      <c r="BI239" s="217"/>
      <c r="BJ239" s="217"/>
      <c r="BK239" s="217"/>
      <c r="BL239" s="217"/>
      <c r="BM239" s="217"/>
      <c r="BN239" s="217"/>
      <c r="BO239" s="217"/>
      <c r="BP239" s="217"/>
      <c r="BQ239" s="217"/>
      <c r="BR239" s="217"/>
      <c r="BS239" s="217"/>
      <c r="BT239" s="217"/>
      <c r="BU239" s="217"/>
      <c r="BV239" s="217"/>
      <c r="BW239" s="217"/>
      <c r="BX239" s="217"/>
      <c r="BY239" s="217"/>
      <c r="BZ239" s="217"/>
      <c r="CA239" s="217"/>
      <c r="CB239" s="217"/>
      <c r="CC239" s="217"/>
      <c r="CD239" s="217"/>
      <c r="CE239" s="217"/>
      <c r="CF239" s="217"/>
      <c r="CG239" s="217"/>
      <c r="CH239" s="217"/>
      <c r="CI239" s="217"/>
      <c r="CJ239" s="217"/>
      <c r="CK239" s="217"/>
      <c r="CL239" s="217"/>
      <c r="CM239" s="217"/>
      <c r="CN239" s="217"/>
      <c r="CO239" s="217"/>
      <c r="CP239" s="217"/>
      <c r="CQ239" s="217"/>
      <c r="CR239" s="217"/>
      <c r="CS239" s="217"/>
      <c r="CT239" s="217"/>
      <c r="CU239" s="217"/>
      <c r="CV239" s="217"/>
      <c r="CW239" s="217"/>
      <c r="CX239" s="217"/>
      <c r="CY239" s="217"/>
      <c r="CZ239" s="217"/>
      <c r="DA239" s="217"/>
      <c r="DB239" s="217"/>
      <c r="DC239" s="217"/>
      <c r="DD239" s="217"/>
      <c r="DE239" s="217"/>
      <c r="DF239" s="217"/>
      <c r="DG239" s="217"/>
      <c r="DH239" s="217"/>
    </row>
    <row r="240" ht="20.25" customHeight="1">
      <c r="A240" s="41">
        <v>240.0</v>
      </c>
      <c r="B240" s="535" t="s">
        <v>107</v>
      </c>
      <c r="C240" s="535" t="s">
        <v>108</v>
      </c>
      <c r="D240" s="535" t="s">
        <v>241</v>
      </c>
      <c r="E240" s="536"/>
      <c r="F240" s="524" t="s">
        <v>1394</v>
      </c>
      <c r="G240" s="58" t="s">
        <v>1273</v>
      </c>
      <c r="H240" s="58" t="s">
        <v>242</v>
      </c>
      <c r="I240" s="526">
        <v>45427.0</v>
      </c>
      <c r="J240" s="537">
        <v>45775.0</v>
      </c>
      <c r="K240" s="58"/>
      <c r="L240" s="126" t="s">
        <v>1401</v>
      </c>
      <c r="M240" s="58" t="s">
        <v>1395</v>
      </c>
      <c r="N240" s="58" t="s">
        <v>1255</v>
      </c>
      <c r="O240" s="375">
        <v>1.0</v>
      </c>
      <c r="P240" s="521" t="str">
        <f> hyperlink(vlookup(lower(N240),'File Links'!E:F, 2, FALSE), SUBSTITUTE(lower(N240), "/", "--") &amp;  ".pdf")</f>
        <v>10.1016--j.psychres.2017.09.048.pdf</v>
      </c>
      <c r="Q240" s="49" t="str">
        <f t="array" ref="Q240"> if(iserror(MATCH(V240, 'File Links'!C:C, 0)), "N/A", HYPERLINK(INDEX('File Links'!B:B, MATCH(P240, 'File Links'!C:C, 0))))</f>
        <v>https://drive.google.com/file/d/1bB5zAUL5oQPM2ClvdBCDeAd5AlkWVp4P/view?usp=drivesdk</v>
      </c>
      <c r="R240" s="126" t="s">
        <v>1256</v>
      </c>
      <c r="S240" s="58" t="s">
        <v>1257</v>
      </c>
      <c r="T240" s="58"/>
      <c r="U240" s="375">
        <v>1.0</v>
      </c>
      <c r="V240" s="63" t="str">
        <f> hyperlink(vlookup(lower(S240),'File Links'!E:F, 2, FALSE), SUBSTITUTE(lower(S240), "/", "--") &amp;  ".pdf")</f>
        <v>10.1002--erv.3103.pdf</v>
      </c>
      <c r="W240" s="58" t="s">
        <v>202</v>
      </c>
      <c r="X240" s="51" t="str">
        <f t="array" ref="X240"> if(iserror(MATCH(V240, 'File Links'!C:C, 0)), "N/A", HYPERLINK(INDEX('File Links'!B:B, MATCH(V240, 'File Links'!C:C, 0))))</f>
        <v>https://drive.google.com/file/d/1bJ0BC-Xy_bNt41DXHAjv1ms0mnz9Vq86/view?usp=drivesdk</v>
      </c>
      <c r="Y240" s="58"/>
      <c r="Z240" s="58" t="s">
        <v>141</v>
      </c>
      <c r="AA240" s="368" t="s">
        <v>1286</v>
      </c>
      <c r="AB240" s="58" t="s">
        <v>1413</v>
      </c>
      <c r="AC240" s="368" t="s">
        <v>1261</v>
      </c>
      <c r="AD240" s="58" t="s">
        <v>1414</v>
      </c>
      <c r="AE240" s="158" t="s">
        <v>806</v>
      </c>
      <c r="AF240" s="375">
        <v>89.0</v>
      </c>
      <c r="AG240" s="375">
        <v>0.072</v>
      </c>
      <c r="AH240" s="377" t="s">
        <v>867</v>
      </c>
      <c r="AI240" s="499">
        <v>5.0</v>
      </c>
      <c r="AJ240" s="499">
        <v>0.04</v>
      </c>
      <c r="AK240" s="65" t="s">
        <v>165</v>
      </c>
      <c r="AL240" s="58" t="s">
        <v>129</v>
      </c>
      <c r="AM240" s="58" t="s">
        <v>134</v>
      </c>
      <c r="AN240" s="58" t="s">
        <v>131</v>
      </c>
      <c r="AO240" s="375">
        <v>74.0</v>
      </c>
      <c r="AP240" s="375">
        <v>0.06</v>
      </c>
      <c r="AQ240" s="377" t="s">
        <v>132</v>
      </c>
      <c r="AR240" s="368" t="s">
        <v>843</v>
      </c>
      <c r="AS240" s="499">
        <v>0.036</v>
      </c>
      <c r="AT240" s="65" t="s">
        <v>165</v>
      </c>
      <c r="AU240" s="65" t="s">
        <v>179</v>
      </c>
      <c r="AV240" s="65" t="s">
        <v>134</v>
      </c>
      <c r="AW240" s="65" t="s">
        <v>131</v>
      </c>
      <c r="AX240" s="65" t="s">
        <v>431</v>
      </c>
      <c r="AY240" s="58"/>
      <c r="AZ240" s="378" t="s">
        <v>1263</v>
      </c>
      <c r="BC240" s="217"/>
      <c r="BD240" s="217"/>
      <c r="BE240" s="217"/>
      <c r="BF240" s="217"/>
      <c r="BG240" s="217"/>
      <c r="BH240" s="217"/>
      <c r="BI240" s="217"/>
      <c r="BJ240" s="217"/>
      <c r="BK240" s="217"/>
      <c r="BL240" s="217"/>
      <c r="BM240" s="217"/>
      <c r="BN240" s="217"/>
      <c r="BO240" s="217"/>
      <c r="BP240" s="217"/>
      <c r="BQ240" s="217"/>
      <c r="BR240" s="217"/>
      <c r="BS240" s="217"/>
      <c r="BT240" s="217"/>
      <c r="BU240" s="217"/>
      <c r="BV240" s="217"/>
      <c r="BW240" s="217"/>
      <c r="BX240" s="217"/>
      <c r="BY240" s="217"/>
      <c r="BZ240" s="217"/>
      <c r="CA240" s="217"/>
      <c r="CB240" s="217"/>
      <c r="CC240" s="217"/>
      <c r="CD240" s="217"/>
      <c r="CE240" s="217"/>
      <c r="CF240" s="217"/>
      <c r="CG240" s="217"/>
      <c r="CH240" s="217"/>
      <c r="CI240" s="217"/>
      <c r="CJ240" s="217"/>
      <c r="CK240" s="217"/>
      <c r="CL240" s="217"/>
      <c r="CM240" s="217"/>
      <c r="CN240" s="217"/>
      <c r="CO240" s="217"/>
      <c r="CP240" s="217"/>
      <c r="CQ240" s="217"/>
      <c r="CR240" s="217"/>
      <c r="CS240" s="217"/>
      <c r="CT240" s="217"/>
      <c r="CU240" s="217"/>
      <c r="CV240" s="217"/>
      <c r="CW240" s="217"/>
      <c r="CX240" s="217"/>
      <c r="CY240" s="217"/>
      <c r="CZ240" s="217"/>
      <c r="DA240" s="217"/>
      <c r="DB240" s="217"/>
      <c r="DC240" s="217"/>
      <c r="DD240" s="217"/>
      <c r="DE240" s="217"/>
      <c r="DF240" s="217"/>
      <c r="DG240" s="217"/>
      <c r="DH240" s="217"/>
    </row>
    <row r="241" ht="20.25" customHeight="1">
      <c r="A241" s="41">
        <v>241.0</v>
      </c>
      <c r="B241" s="535" t="s">
        <v>107</v>
      </c>
      <c r="C241" s="535" t="s">
        <v>108</v>
      </c>
      <c r="D241" s="535" t="s">
        <v>241</v>
      </c>
      <c r="E241" s="536"/>
      <c r="F241" s="524" t="s">
        <v>1394</v>
      </c>
      <c r="G241" s="58" t="s">
        <v>1279</v>
      </c>
      <c r="H241" s="58" t="s">
        <v>242</v>
      </c>
      <c r="I241" s="526">
        <v>45427.0</v>
      </c>
      <c r="J241" s="537">
        <v>45775.0</v>
      </c>
      <c r="K241" s="58"/>
      <c r="L241" s="126" t="s">
        <v>1401</v>
      </c>
      <c r="M241" s="58" t="s">
        <v>1395</v>
      </c>
      <c r="N241" s="58" t="s">
        <v>1255</v>
      </c>
      <c r="O241" s="375">
        <v>1.0</v>
      </c>
      <c r="P241" s="521" t="str">
        <f> hyperlink(vlookup(lower(N241),'File Links'!E:F, 2, FALSE), SUBSTITUTE(lower(N241), "/", "--") &amp;  ".pdf")</f>
        <v>10.1016--j.psychres.2017.09.048.pdf</v>
      </c>
      <c r="Q241" s="49" t="str">
        <f t="array" ref="Q241"> if(iserror(MATCH(V241, 'File Links'!C:C, 0)), "N/A", HYPERLINK(INDEX('File Links'!B:B, MATCH(P241, 'File Links'!C:C, 0))))</f>
        <v>https://drive.google.com/file/d/1bB5zAUL5oQPM2ClvdBCDeAd5AlkWVp4P/view?usp=drivesdk</v>
      </c>
      <c r="R241" s="126" t="s">
        <v>1256</v>
      </c>
      <c r="S241" s="58" t="s">
        <v>1257</v>
      </c>
      <c r="T241" s="58"/>
      <c r="U241" s="375">
        <v>1.0</v>
      </c>
      <c r="V241" s="63" t="str">
        <f> hyperlink(vlookup(lower(S241),'File Links'!E:F, 2, FALSE), SUBSTITUTE(lower(S241), "/", "--") &amp;  ".pdf")</f>
        <v>10.1002--erv.3103.pdf</v>
      </c>
      <c r="W241" s="58" t="s">
        <v>202</v>
      </c>
      <c r="X241" s="51" t="str">
        <f t="array" ref="X241"> if(iserror(MATCH(V241, 'File Links'!C:C, 0)), "N/A", HYPERLINK(INDEX('File Links'!B:B, MATCH(V241, 'File Links'!C:C, 0))))</f>
        <v>https://drive.google.com/file/d/1bJ0BC-Xy_bNt41DXHAjv1ms0mnz9Vq86/view?usp=drivesdk</v>
      </c>
      <c r="Y241" s="58"/>
      <c r="Z241" s="58" t="s">
        <v>141</v>
      </c>
      <c r="AA241" s="368" t="s">
        <v>1290</v>
      </c>
      <c r="AB241" s="58" t="s">
        <v>1415</v>
      </c>
      <c r="AC241" s="368" t="s">
        <v>1261</v>
      </c>
      <c r="AD241" s="126" t="s">
        <v>1416</v>
      </c>
      <c r="AE241" s="158" t="s">
        <v>806</v>
      </c>
      <c r="AF241" s="375">
        <v>89.0</v>
      </c>
      <c r="AG241" s="375">
        <v>0.059</v>
      </c>
      <c r="AH241" s="377" t="s">
        <v>867</v>
      </c>
      <c r="AI241" s="499">
        <v>5.0</v>
      </c>
      <c r="AJ241" s="560">
        <v>0.012</v>
      </c>
      <c r="AK241" s="65" t="s">
        <v>165</v>
      </c>
      <c r="AL241" s="58" t="s">
        <v>129</v>
      </c>
      <c r="AM241" s="58" t="s">
        <v>134</v>
      </c>
      <c r="AN241" s="58" t="s">
        <v>131</v>
      </c>
      <c r="AO241" s="375">
        <v>74.0</v>
      </c>
      <c r="AP241" s="375">
        <v>0.037</v>
      </c>
      <c r="AQ241" s="377" t="s">
        <v>132</v>
      </c>
      <c r="AR241" s="368" t="s">
        <v>843</v>
      </c>
      <c r="AS241" s="499">
        <v>0.036</v>
      </c>
      <c r="AT241" s="65" t="s">
        <v>165</v>
      </c>
      <c r="AU241" s="65" t="s">
        <v>179</v>
      </c>
      <c r="AV241" s="65" t="s">
        <v>134</v>
      </c>
      <c r="AW241" s="65" t="s">
        <v>131</v>
      </c>
      <c r="AX241" s="65" t="s">
        <v>431</v>
      </c>
      <c r="AY241" s="58"/>
      <c r="AZ241" s="378" t="s">
        <v>1263</v>
      </c>
      <c r="BC241" s="217"/>
      <c r="BD241" s="217"/>
      <c r="BE241" s="217"/>
      <c r="BF241" s="217"/>
      <c r="BG241" s="217"/>
      <c r="BH241" s="217"/>
      <c r="BI241" s="217"/>
      <c r="BJ241" s="217"/>
      <c r="BK241" s="217"/>
      <c r="BL241" s="217"/>
      <c r="BM241" s="217"/>
      <c r="BN241" s="217"/>
      <c r="BO241" s="217"/>
      <c r="BP241" s="217"/>
      <c r="BQ241" s="217"/>
      <c r="BR241" s="217"/>
      <c r="BS241" s="217"/>
      <c r="BT241" s="217"/>
      <c r="BU241" s="217"/>
      <c r="BV241" s="217"/>
      <c r="BW241" s="217"/>
      <c r="BX241" s="217"/>
      <c r="BY241" s="217"/>
      <c r="BZ241" s="217"/>
      <c r="CA241" s="217"/>
      <c r="CB241" s="217"/>
      <c r="CC241" s="217"/>
      <c r="CD241" s="217"/>
      <c r="CE241" s="217"/>
      <c r="CF241" s="217"/>
      <c r="CG241" s="217"/>
      <c r="CH241" s="217"/>
      <c r="CI241" s="217"/>
      <c r="CJ241" s="217"/>
      <c r="CK241" s="217"/>
      <c r="CL241" s="217"/>
      <c r="CM241" s="217"/>
      <c r="CN241" s="217"/>
      <c r="CO241" s="217"/>
      <c r="CP241" s="217"/>
      <c r="CQ241" s="217"/>
      <c r="CR241" s="217"/>
      <c r="CS241" s="217"/>
      <c r="CT241" s="217"/>
      <c r="CU241" s="217"/>
      <c r="CV241" s="217"/>
      <c r="CW241" s="217"/>
      <c r="CX241" s="217"/>
      <c r="CY241" s="217"/>
      <c r="CZ241" s="217"/>
      <c r="DA241" s="217"/>
      <c r="DB241" s="217"/>
      <c r="DC241" s="217"/>
      <c r="DD241" s="217"/>
      <c r="DE241" s="217"/>
      <c r="DF241" s="217"/>
      <c r="DG241" s="217"/>
      <c r="DH241" s="217"/>
    </row>
    <row r="242" ht="20.25" customHeight="1">
      <c r="A242" s="41">
        <v>242.0</v>
      </c>
      <c r="B242" s="535" t="s">
        <v>145</v>
      </c>
      <c r="C242" s="535" t="s">
        <v>108</v>
      </c>
      <c r="D242" s="535" t="s">
        <v>241</v>
      </c>
      <c r="E242" s="536"/>
      <c r="F242" s="524" t="s">
        <v>1394</v>
      </c>
      <c r="G242" s="58" t="s">
        <v>1283</v>
      </c>
      <c r="H242" s="58" t="s">
        <v>242</v>
      </c>
      <c r="I242" s="526">
        <v>45427.0</v>
      </c>
      <c r="J242" s="537">
        <v>45775.0</v>
      </c>
      <c r="K242" s="58"/>
      <c r="L242" s="126" t="s">
        <v>1417</v>
      </c>
      <c r="M242" s="58" t="s">
        <v>1395</v>
      </c>
      <c r="N242" s="58" t="s">
        <v>1255</v>
      </c>
      <c r="O242" s="375">
        <v>1.0</v>
      </c>
      <c r="P242" s="561" t="str">
        <f> hyperlink(vlookup(lower(N242),'File Links'!E:F, 2, FALSE), SUBSTITUTE(lower(N242), "/", "--") &amp;  ".pdf")</f>
        <v>10.1016--j.psychres.2017.09.048.pdf</v>
      </c>
      <c r="Q242" s="49" t="str">
        <f t="array" ref="Q242"> if(iserror(MATCH(V242, 'File Links'!C:C, 0)), "N/A", HYPERLINK(INDEX('File Links'!B:B, MATCH(P242, 'File Links'!C:C, 0))))</f>
        <v>https://drive.google.com/file/d/1bB5zAUL5oQPM2ClvdBCDeAd5AlkWVp4P/view?usp=drivesdk</v>
      </c>
      <c r="R242" s="126" t="s">
        <v>1256</v>
      </c>
      <c r="S242" s="58" t="s">
        <v>1257</v>
      </c>
      <c r="T242" s="58"/>
      <c r="U242" s="375">
        <v>1.0</v>
      </c>
      <c r="V242" s="63" t="str">
        <f> hyperlink(vlookup(lower(S242),'File Links'!E:F, 2, FALSE), SUBSTITUTE(lower(S242), "/", "--") &amp;  ".pdf")</f>
        <v>10.1002--erv.3103.pdf</v>
      </c>
      <c r="W242" s="58" t="s">
        <v>202</v>
      </c>
      <c r="X242" s="51" t="str">
        <f t="array" ref="X242"> if(iserror(MATCH(V242, 'File Links'!C:C, 0)), "N/A", HYPERLINK(INDEX('File Links'!B:B, MATCH(V242, 'File Links'!C:C, 0))))</f>
        <v>https://drive.google.com/file/d/1bJ0BC-Xy_bNt41DXHAjv1ms0mnz9Vq86/view?usp=drivesdk</v>
      </c>
      <c r="Y242" s="58"/>
      <c r="Z242" s="58" t="s">
        <v>141</v>
      </c>
      <c r="AA242" s="553" t="s">
        <v>1306</v>
      </c>
      <c r="AB242" s="58" t="s">
        <v>1418</v>
      </c>
      <c r="AC242" s="368" t="s">
        <v>1261</v>
      </c>
      <c r="AD242" s="58" t="s">
        <v>1419</v>
      </c>
      <c r="AE242" s="499">
        <v>5.0</v>
      </c>
      <c r="AF242" s="562">
        <v>63.0</v>
      </c>
      <c r="AG242" s="499">
        <v>0.84</v>
      </c>
      <c r="AH242" s="335" t="s">
        <v>166</v>
      </c>
      <c r="AI242" s="499">
        <v>5.0</v>
      </c>
      <c r="AJ242" s="560">
        <v>0.001</v>
      </c>
      <c r="AK242" s="65" t="s">
        <v>165</v>
      </c>
      <c r="AL242" s="58" t="s">
        <v>129</v>
      </c>
      <c r="AM242" s="368" t="s">
        <v>130</v>
      </c>
      <c r="AN242" s="58" t="s">
        <v>131</v>
      </c>
      <c r="AO242" s="375">
        <v>74.0</v>
      </c>
      <c r="AP242" s="499">
        <v>0.59</v>
      </c>
      <c r="AQ242" s="58" t="s">
        <v>166</v>
      </c>
      <c r="AR242" s="368" t="s">
        <v>843</v>
      </c>
      <c r="AS242" s="563">
        <v>0.01</v>
      </c>
      <c r="AT242" s="65" t="s">
        <v>165</v>
      </c>
      <c r="AU242" s="65" t="s">
        <v>179</v>
      </c>
      <c r="AV242" s="65" t="s">
        <v>134</v>
      </c>
      <c r="AW242" s="65" t="s">
        <v>131</v>
      </c>
      <c r="AX242" s="65" t="s">
        <v>431</v>
      </c>
      <c r="AY242" s="58"/>
      <c r="AZ242" s="378" t="s">
        <v>1263</v>
      </c>
      <c r="BC242" s="217"/>
      <c r="BD242" s="217"/>
      <c r="BE242" s="217"/>
      <c r="BF242" s="217"/>
      <c r="BG242" s="217"/>
      <c r="BH242" s="217"/>
      <c r="BI242" s="217"/>
      <c r="BJ242" s="217"/>
      <c r="BK242" s="217"/>
      <c r="BL242" s="217"/>
      <c r="BM242" s="217"/>
      <c r="BN242" s="217"/>
      <c r="BO242" s="217"/>
      <c r="BP242" s="217"/>
      <c r="BQ242" s="217"/>
      <c r="BR242" s="217"/>
      <c r="BS242" s="217"/>
      <c r="BT242" s="217"/>
      <c r="BU242" s="217"/>
      <c r="BV242" s="217"/>
      <c r="BW242" s="217"/>
      <c r="BX242" s="217"/>
      <c r="BY242" s="217"/>
      <c r="BZ242" s="217"/>
      <c r="CA242" s="217"/>
      <c r="CB242" s="217"/>
      <c r="CC242" s="217"/>
      <c r="CD242" s="217"/>
      <c r="CE242" s="217"/>
      <c r="CF242" s="217"/>
      <c r="CG242" s="217"/>
      <c r="CH242" s="217"/>
      <c r="CI242" s="217"/>
      <c r="CJ242" s="217"/>
      <c r="CK242" s="217"/>
      <c r="CL242" s="217"/>
      <c r="CM242" s="217"/>
      <c r="CN242" s="217"/>
      <c r="CO242" s="217"/>
      <c r="CP242" s="217"/>
      <c r="CQ242" s="217"/>
      <c r="CR242" s="217"/>
      <c r="CS242" s="217"/>
      <c r="CT242" s="217"/>
      <c r="CU242" s="217"/>
      <c r="CV242" s="217"/>
      <c r="CW242" s="217"/>
      <c r="CX242" s="217"/>
      <c r="CY242" s="217"/>
      <c r="CZ242" s="217"/>
      <c r="DA242" s="217"/>
      <c r="DB242" s="217"/>
      <c r="DC242" s="217"/>
      <c r="DD242" s="217"/>
      <c r="DE242" s="217"/>
      <c r="DF242" s="217"/>
      <c r="DG242" s="217"/>
      <c r="DH242" s="217"/>
    </row>
    <row r="243" ht="20.25" customHeight="1">
      <c r="A243" s="41">
        <v>243.0</v>
      </c>
      <c r="B243" s="535" t="s">
        <v>107</v>
      </c>
      <c r="C243" s="535" t="s">
        <v>108</v>
      </c>
      <c r="D243" s="535" t="s">
        <v>241</v>
      </c>
      <c r="E243" s="536"/>
      <c r="F243" s="65" t="s">
        <v>1394</v>
      </c>
      <c r="G243" s="58" t="s">
        <v>1283</v>
      </c>
      <c r="H243" s="58" t="s">
        <v>242</v>
      </c>
      <c r="I243" s="526">
        <v>45427.0</v>
      </c>
      <c r="J243" s="564">
        <v>45782.0</v>
      </c>
      <c r="K243" s="58"/>
      <c r="L243" s="126" t="s">
        <v>1420</v>
      </c>
      <c r="M243" s="58" t="s">
        <v>1395</v>
      </c>
      <c r="N243" s="58" t="s">
        <v>1255</v>
      </c>
      <c r="O243" s="375">
        <v>1.0</v>
      </c>
      <c r="P243" s="561" t="str">
        <f> hyperlink(vlookup(lower(N243),'File Links'!E:F, 2, FALSE), SUBSTITUTE(lower(N243), "/", "--") &amp;  ".pdf")</f>
        <v>10.1016--j.psychres.2017.09.048.pdf</v>
      </c>
      <c r="Q243" s="49" t="str">
        <f t="array" ref="Q243"> if(iserror(MATCH(V243, 'File Links'!C:C, 0)), "N/A", HYPERLINK(INDEX('File Links'!B:B, MATCH(P243, 'File Links'!C:C, 0))))</f>
        <v>https://drive.google.com/file/d/1bB5zAUL5oQPM2ClvdBCDeAd5AlkWVp4P/view?usp=drivesdk</v>
      </c>
      <c r="R243" s="126" t="s">
        <v>1256</v>
      </c>
      <c r="S243" s="58" t="s">
        <v>1257</v>
      </c>
      <c r="T243" s="58"/>
      <c r="U243" s="375">
        <v>1.0</v>
      </c>
      <c r="V243" s="63" t="str">
        <f> hyperlink(vlookup(lower(S243),'File Links'!E:F, 2, FALSE), SUBSTITUTE(lower(S243), "/", "--") &amp;  ".pdf")</f>
        <v>10.1002--erv.3103.pdf</v>
      </c>
      <c r="W243" s="58" t="s">
        <v>202</v>
      </c>
      <c r="X243" s="51" t="str">
        <f t="array" ref="X243"> if(iserror(MATCH(V243, 'File Links'!C:C, 0)), "N/A", HYPERLINK(INDEX('File Links'!B:B, MATCH(V243, 'File Links'!C:C, 0))))</f>
        <v>https://drive.google.com/file/d/1bJ0BC-Xy_bNt41DXHAjv1ms0mnz9Vq86/view?usp=drivesdk</v>
      </c>
      <c r="Y243" s="58"/>
      <c r="Z243" s="58" t="s">
        <v>141</v>
      </c>
      <c r="AA243" s="368" t="s">
        <v>1332</v>
      </c>
      <c r="AB243" s="58" t="s">
        <v>1421</v>
      </c>
      <c r="AC243" s="368" t="s">
        <v>1312</v>
      </c>
      <c r="AD243" s="58" t="s">
        <v>1422</v>
      </c>
      <c r="AE243" s="499">
        <v>5.0</v>
      </c>
      <c r="AF243" s="562">
        <v>89.0</v>
      </c>
      <c r="AG243" s="562">
        <v>0.917</v>
      </c>
      <c r="AH243" s="377" t="s">
        <v>867</v>
      </c>
      <c r="AI243" s="499">
        <v>5.0</v>
      </c>
      <c r="AJ243" s="499">
        <v>0.001</v>
      </c>
      <c r="AK243" s="65" t="s">
        <v>128</v>
      </c>
      <c r="AL243" s="58" t="s">
        <v>129</v>
      </c>
      <c r="AM243" s="58" t="s">
        <v>134</v>
      </c>
      <c r="AN243" s="58" t="s">
        <v>131</v>
      </c>
      <c r="AO243" s="375">
        <v>74.0</v>
      </c>
      <c r="AP243" s="498">
        <v>0.849</v>
      </c>
      <c r="AQ243" s="377" t="s">
        <v>867</v>
      </c>
      <c r="AR243" s="368" t="s">
        <v>843</v>
      </c>
      <c r="AS243" s="499">
        <v>0.001</v>
      </c>
      <c r="AT243" s="65" t="s">
        <v>128</v>
      </c>
      <c r="AU243" s="65" t="s">
        <v>179</v>
      </c>
      <c r="AV243" s="65" t="s">
        <v>134</v>
      </c>
      <c r="AW243" s="65" t="s">
        <v>131</v>
      </c>
      <c r="AX243" s="65" t="s">
        <v>431</v>
      </c>
      <c r="AY243" s="58"/>
      <c r="AZ243" s="378" t="s">
        <v>1263</v>
      </c>
      <c r="BA243" s="69"/>
      <c r="BB243" s="69"/>
      <c r="BC243" s="69"/>
      <c r="BD243" s="69"/>
      <c r="BE243" s="69"/>
      <c r="BF243" s="69"/>
      <c r="BG243" s="69"/>
      <c r="BH243" s="69"/>
      <c r="BI243" s="69"/>
      <c r="BJ243" s="69"/>
      <c r="BK243" s="69"/>
      <c r="BL243" s="69"/>
      <c r="BM243" s="69"/>
      <c r="BN243" s="69"/>
      <c r="BO243" s="69"/>
      <c r="BP243" s="69"/>
      <c r="BQ243" s="69"/>
      <c r="BR243" s="69"/>
      <c r="BS243" s="69"/>
      <c r="BT243" s="69"/>
      <c r="BU243" s="69"/>
      <c r="BV243" s="69"/>
      <c r="BW243" s="69"/>
      <c r="BX243" s="69"/>
      <c r="BY243" s="69"/>
      <c r="BZ243" s="69"/>
      <c r="CA243" s="69"/>
      <c r="CB243" s="69"/>
      <c r="CC243" s="69"/>
      <c r="CD243" s="69"/>
      <c r="CE243" s="69"/>
      <c r="CF243" s="69"/>
      <c r="CG243" s="69"/>
      <c r="CH243" s="69"/>
      <c r="CI243" s="69"/>
      <c r="CJ243" s="69"/>
      <c r="CK243" s="69"/>
      <c r="CL243" s="69"/>
      <c r="CM243" s="69"/>
      <c r="CN243" s="69"/>
      <c r="CO243" s="69"/>
      <c r="CP243" s="69"/>
      <c r="CQ243" s="69"/>
      <c r="CR243" s="69"/>
      <c r="CS243" s="69"/>
      <c r="CT243" s="69"/>
      <c r="CU243" s="69"/>
      <c r="CV243" s="69"/>
      <c r="CW243" s="69"/>
      <c r="CX243" s="69"/>
      <c r="CY243" s="69"/>
      <c r="CZ243" s="69"/>
      <c r="DA243" s="69"/>
      <c r="DB243" s="69"/>
      <c r="DC243" s="69"/>
      <c r="DD243" s="69"/>
      <c r="DE243" s="69"/>
      <c r="DF243" s="69"/>
      <c r="DG243" s="69"/>
      <c r="DH243" s="69"/>
    </row>
    <row r="244" ht="20.25" customHeight="1">
      <c r="A244" s="41">
        <v>244.0</v>
      </c>
      <c r="B244" s="535" t="s">
        <v>107</v>
      </c>
      <c r="C244" s="535" t="s">
        <v>108</v>
      </c>
      <c r="D244" s="535" t="s">
        <v>241</v>
      </c>
      <c r="E244" s="536"/>
      <c r="F244" s="65" t="s">
        <v>1394</v>
      </c>
      <c r="G244" s="58" t="s">
        <v>1288</v>
      </c>
      <c r="H244" s="58" t="s">
        <v>242</v>
      </c>
      <c r="I244" s="526">
        <v>45427.0</v>
      </c>
      <c r="J244" s="564">
        <v>45782.0</v>
      </c>
      <c r="K244" s="58"/>
      <c r="L244" s="126" t="s">
        <v>1420</v>
      </c>
      <c r="M244" s="58" t="s">
        <v>1395</v>
      </c>
      <c r="N244" s="58" t="s">
        <v>1255</v>
      </c>
      <c r="O244" s="375">
        <v>1.0</v>
      </c>
      <c r="P244" s="561" t="str">
        <f> hyperlink(vlookup(lower(N244),'File Links'!E:F, 2, FALSE), SUBSTITUTE(lower(N244), "/", "--") &amp;  ".pdf")</f>
        <v>10.1016--j.psychres.2017.09.048.pdf</v>
      </c>
      <c r="Q244" s="49" t="str">
        <f t="array" ref="Q244"> if(iserror(MATCH(V244, 'File Links'!C:C, 0)), "N/A", HYPERLINK(INDEX('File Links'!B:B, MATCH(P244, 'File Links'!C:C, 0))))</f>
        <v>https://drive.google.com/file/d/1bB5zAUL5oQPM2ClvdBCDeAd5AlkWVp4P/view?usp=drivesdk</v>
      </c>
      <c r="R244" s="126" t="s">
        <v>1256</v>
      </c>
      <c r="S244" s="58" t="s">
        <v>1257</v>
      </c>
      <c r="T244" s="58"/>
      <c r="U244" s="375">
        <v>1.0</v>
      </c>
      <c r="V244" s="63" t="str">
        <f> hyperlink(vlookup(lower(S244),'File Links'!E:F, 2, FALSE), SUBSTITUTE(lower(S244), "/", "--") &amp;  ".pdf")</f>
        <v>10.1002--erv.3103.pdf</v>
      </c>
      <c r="W244" s="58" t="s">
        <v>202</v>
      </c>
      <c r="X244" s="51" t="str">
        <f t="array" ref="X244"> if(iserror(MATCH(V244, 'File Links'!C:C, 0)), "N/A", HYPERLINK(INDEX('File Links'!B:B, MATCH(V244, 'File Links'!C:C, 0))))</f>
        <v>https://drive.google.com/file/d/1bJ0BC-Xy_bNt41DXHAjv1ms0mnz9Vq86/view?usp=drivesdk</v>
      </c>
      <c r="Y244" s="58"/>
      <c r="Z244" s="58" t="s">
        <v>141</v>
      </c>
      <c r="AA244" s="368" t="s">
        <v>1321</v>
      </c>
      <c r="AB244" s="58" t="s">
        <v>1423</v>
      </c>
      <c r="AC244" s="368" t="s">
        <v>1312</v>
      </c>
      <c r="AD244" s="58" t="s">
        <v>1424</v>
      </c>
      <c r="AE244" s="499">
        <v>5.0</v>
      </c>
      <c r="AF244" s="375">
        <v>89.0</v>
      </c>
      <c r="AG244" s="158">
        <v>0.233</v>
      </c>
      <c r="AH244" s="377" t="s">
        <v>867</v>
      </c>
      <c r="AI244" s="126" t="s">
        <v>806</v>
      </c>
      <c r="AJ244" s="499">
        <v>0.001</v>
      </c>
      <c r="AK244" s="65" t="s">
        <v>128</v>
      </c>
      <c r="AL244" s="58" t="s">
        <v>129</v>
      </c>
      <c r="AM244" s="58" t="s">
        <v>134</v>
      </c>
      <c r="AN244" s="58" t="s">
        <v>131</v>
      </c>
      <c r="AO244" s="375">
        <v>74.0</v>
      </c>
      <c r="AP244" s="158">
        <v>0.363</v>
      </c>
      <c r="AQ244" s="377" t="s">
        <v>867</v>
      </c>
      <c r="AR244" s="368" t="s">
        <v>843</v>
      </c>
      <c r="AS244" s="499">
        <v>0.001</v>
      </c>
      <c r="AT244" s="65" t="s">
        <v>128</v>
      </c>
      <c r="AU244" s="65" t="s">
        <v>179</v>
      </c>
      <c r="AV244" s="65" t="s">
        <v>134</v>
      </c>
      <c r="AW244" s="65" t="s">
        <v>131</v>
      </c>
      <c r="AX244" s="65" t="s">
        <v>431</v>
      </c>
      <c r="AY244" s="58"/>
      <c r="AZ244" s="378" t="s">
        <v>1263</v>
      </c>
      <c r="BA244" s="69"/>
      <c r="BB244" s="69"/>
      <c r="BC244" s="69"/>
      <c r="BD244" s="69"/>
      <c r="BE244" s="69"/>
      <c r="BF244" s="69"/>
      <c r="BG244" s="69"/>
      <c r="BH244" s="69"/>
      <c r="BI244" s="69"/>
      <c r="BJ244" s="69"/>
      <c r="BK244" s="69"/>
      <c r="BL244" s="69"/>
      <c r="BM244" s="69"/>
      <c r="BN244" s="69"/>
      <c r="BO244" s="69"/>
      <c r="BP244" s="69"/>
      <c r="BQ244" s="69"/>
      <c r="BR244" s="69"/>
      <c r="BS244" s="69"/>
      <c r="BT244" s="69"/>
      <c r="BU244" s="69"/>
      <c r="BV244" s="69"/>
      <c r="BW244" s="69"/>
      <c r="BX244" s="69"/>
      <c r="BY244" s="69"/>
      <c r="BZ244" s="69"/>
      <c r="CA244" s="69"/>
      <c r="CB244" s="69"/>
      <c r="CC244" s="69"/>
      <c r="CD244" s="69"/>
      <c r="CE244" s="69"/>
      <c r="CF244" s="69"/>
      <c r="CG244" s="69"/>
      <c r="CH244" s="69"/>
      <c r="CI244" s="69"/>
      <c r="CJ244" s="69"/>
      <c r="CK244" s="69"/>
      <c r="CL244" s="69"/>
      <c r="CM244" s="69"/>
      <c r="CN244" s="69"/>
      <c r="CO244" s="69"/>
      <c r="CP244" s="69"/>
      <c r="CQ244" s="69"/>
      <c r="CR244" s="69"/>
      <c r="CS244" s="69"/>
      <c r="CT244" s="69"/>
      <c r="CU244" s="69"/>
      <c r="CV244" s="69"/>
      <c r="CW244" s="69"/>
      <c r="CX244" s="69"/>
      <c r="CY244" s="69"/>
      <c r="CZ244" s="69"/>
      <c r="DA244" s="69"/>
      <c r="DB244" s="69"/>
      <c r="DC244" s="69"/>
      <c r="DD244" s="69"/>
      <c r="DE244" s="69"/>
      <c r="DF244" s="69"/>
      <c r="DG244" s="69"/>
      <c r="DH244" s="69"/>
    </row>
    <row r="245" ht="20.25" customHeight="1">
      <c r="A245" s="41">
        <v>245.0</v>
      </c>
      <c r="B245" s="535" t="s">
        <v>107</v>
      </c>
      <c r="C245" s="535" t="s">
        <v>108</v>
      </c>
      <c r="D245" s="535" t="s">
        <v>241</v>
      </c>
      <c r="E245" s="536"/>
      <c r="F245" s="65" t="s">
        <v>1394</v>
      </c>
      <c r="G245" s="58" t="s">
        <v>1292</v>
      </c>
      <c r="H245" s="58" t="s">
        <v>242</v>
      </c>
      <c r="I245" s="526">
        <v>45427.0</v>
      </c>
      <c r="J245" s="564">
        <v>45782.0</v>
      </c>
      <c r="K245" s="58"/>
      <c r="L245" s="126" t="s">
        <v>1425</v>
      </c>
      <c r="M245" s="58" t="s">
        <v>1395</v>
      </c>
      <c r="N245" s="58" t="s">
        <v>1255</v>
      </c>
      <c r="O245" s="375">
        <v>1.0</v>
      </c>
      <c r="P245" s="561" t="str">
        <f> hyperlink(vlookup(lower(N245),'File Links'!E:F, 2, FALSE), SUBSTITUTE(lower(N245), "/", "--") &amp;  ".pdf")</f>
        <v>10.1016--j.psychres.2017.09.048.pdf</v>
      </c>
      <c r="Q245" s="49" t="str">
        <f t="array" ref="Q245"> if(iserror(MATCH(V245, 'File Links'!C:C, 0)), "N/A", HYPERLINK(INDEX('File Links'!B:B, MATCH(P245, 'File Links'!C:C, 0))))</f>
        <v>https://drive.google.com/file/d/1bB5zAUL5oQPM2ClvdBCDeAd5AlkWVp4P/view?usp=drivesdk</v>
      </c>
      <c r="R245" s="126" t="s">
        <v>1256</v>
      </c>
      <c r="S245" s="58" t="s">
        <v>1257</v>
      </c>
      <c r="T245" s="58"/>
      <c r="U245" s="375">
        <v>1.0</v>
      </c>
      <c r="V245" s="63" t="str">
        <f> hyperlink(vlookup(lower(S245),'File Links'!E:F, 2, FALSE), SUBSTITUTE(lower(S245), "/", "--") &amp;  ".pdf")</f>
        <v>10.1002--erv.3103.pdf</v>
      </c>
      <c r="W245" s="58" t="s">
        <v>202</v>
      </c>
      <c r="X245" s="51" t="str">
        <f t="array" ref="X245"> if(iserror(MATCH(V245, 'File Links'!C:C, 0)), "N/A", HYPERLINK(INDEX('File Links'!B:B, MATCH(V245, 'File Links'!C:C, 0))))</f>
        <v>https://drive.google.com/file/d/1bJ0BC-Xy_bNt41DXHAjv1ms0mnz9Vq86/view?usp=drivesdk</v>
      </c>
      <c r="Y245" s="58"/>
      <c r="Z245" s="58" t="s">
        <v>141</v>
      </c>
      <c r="AA245" s="368" t="s">
        <v>1326</v>
      </c>
      <c r="AB245" s="58" t="s">
        <v>1423</v>
      </c>
      <c r="AC245" s="368" t="s">
        <v>1312</v>
      </c>
      <c r="AD245" s="58" t="s">
        <v>1426</v>
      </c>
      <c r="AE245" s="499">
        <v>5.0</v>
      </c>
      <c r="AF245" s="375">
        <v>89.0</v>
      </c>
      <c r="AG245" s="368" t="s">
        <v>1427</v>
      </c>
      <c r="AH245" s="148" t="s">
        <v>127</v>
      </c>
      <c r="AI245" s="368" t="s">
        <v>806</v>
      </c>
      <c r="AJ245" s="541" t="s">
        <v>131</v>
      </c>
      <c r="AK245" s="541" t="s">
        <v>131</v>
      </c>
      <c r="AL245" s="541" t="s">
        <v>131</v>
      </c>
      <c r="AM245" s="541" t="s">
        <v>131</v>
      </c>
      <c r="AN245" s="58" t="s">
        <v>131</v>
      </c>
      <c r="AO245" s="375">
        <v>74.0</v>
      </c>
      <c r="AP245" s="368" t="s">
        <v>1428</v>
      </c>
      <c r="AQ245" s="148" t="s">
        <v>127</v>
      </c>
      <c r="AR245" s="368" t="s">
        <v>843</v>
      </c>
      <c r="AS245" s="541" t="s">
        <v>131</v>
      </c>
      <c r="AT245" s="541" t="s">
        <v>131</v>
      </c>
      <c r="AU245" s="541" t="s">
        <v>131</v>
      </c>
      <c r="AV245" s="541" t="s">
        <v>131</v>
      </c>
      <c r="AW245" s="539" t="s">
        <v>131</v>
      </c>
      <c r="AX245" s="65" t="s">
        <v>431</v>
      </c>
      <c r="AY245" s="58"/>
      <c r="AZ245" s="378" t="s">
        <v>1263</v>
      </c>
      <c r="BA245" s="223"/>
      <c r="BB245" s="223"/>
      <c r="BC245" s="223"/>
      <c r="BD245" s="223"/>
      <c r="BE245" s="223"/>
      <c r="BF245" s="223"/>
      <c r="BG245" s="223"/>
      <c r="BH245" s="223"/>
      <c r="BI245" s="223"/>
      <c r="BJ245" s="223"/>
      <c r="BK245" s="223"/>
      <c r="BL245" s="223"/>
      <c r="BM245" s="223"/>
      <c r="BN245" s="223"/>
      <c r="BO245" s="223"/>
      <c r="BP245" s="223"/>
      <c r="BQ245" s="223"/>
      <c r="BR245" s="223"/>
      <c r="BS245" s="223"/>
      <c r="BT245" s="223"/>
      <c r="BU245" s="223"/>
      <c r="BV245" s="223"/>
      <c r="BW245" s="223"/>
      <c r="BX245" s="223"/>
      <c r="BY245" s="223"/>
      <c r="BZ245" s="223"/>
      <c r="CA245" s="223"/>
      <c r="CB245" s="223"/>
      <c r="CC245" s="223"/>
      <c r="CD245" s="223"/>
      <c r="CE245" s="223"/>
      <c r="CF245" s="223"/>
      <c r="CG245" s="223"/>
      <c r="CH245" s="223"/>
      <c r="CI245" s="223"/>
      <c r="CJ245" s="223"/>
      <c r="CK245" s="223"/>
      <c r="CL245" s="223"/>
      <c r="CM245" s="223"/>
      <c r="CN245" s="223"/>
      <c r="CO245" s="223"/>
      <c r="CP245" s="223"/>
      <c r="CQ245" s="223"/>
      <c r="CR245" s="223"/>
      <c r="CS245" s="223"/>
      <c r="CT245" s="223"/>
      <c r="CU245" s="223"/>
      <c r="CV245" s="223"/>
      <c r="CW245" s="223"/>
      <c r="CX245" s="223"/>
      <c r="CY245" s="223"/>
      <c r="CZ245" s="223"/>
      <c r="DA245" s="223"/>
      <c r="DB245" s="223"/>
      <c r="DC245" s="223"/>
      <c r="DD245" s="223"/>
      <c r="DE245" s="223"/>
      <c r="DF245" s="223"/>
      <c r="DG245" s="223"/>
      <c r="DH245" s="223"/>
    </row>
    <row r="246" ht="20.25" customHeight="1">
      <c r="A246" s="41">
        <v>246.0</v>
      </c>
      <c r="B246" s="535" t="s">
        <v>107</v>
      </c>
      <c r="C246" s="535" t="s">
        <v>108</v>
      </c>
      <c r="D246" s="535" t="s">
        <v>241</v>
      </c>
      <c r="E246" s="536"/>
      <c r="F246" s="65" t="s">
        <v>1394</v>
      </c>
      <c r="G246" s="58" t="s">
        <v>1303</v>
      </c>
      <c r="H246" s="58" t="s">
        <v>242</v>
      </c>
      <c r="I246" s="526">
        <v>45427.0</v>
      </c>
      <c r="J246" s="564">
        <v>45782.0</v>
      </c>
      <c r="K246" s="58"/>
      <c r="L246" s="126" t="s">
        <v>1401</v>
      </c>
      <c r="M246" s="58" t="s">
        <v>1395</v>
      </c>
      <c r="N246" s="58" t="s">
        <v>1255</v>
      </c>
      <c r="O246" s="375">
        <v>1.0</v>
      </c>
      <c r="P246" s="561" t="str">
        <f> hyperlink(vlookup(lower(N246),'File Links'!E:F, 2, FALSE), SUBSTITUTE(lower(N246), "/", "--") &amp;  ".pdf")</f>
        <v>10.1016--j.psychres.2017.09.048.pdf</v>
      </c>
      <c r="Q246" s="49" t="str">
        <f t="array" ref="Q246"> if(iserror(MATCH(V246, 'File Links'!C:C, 0)), "N/A", HYPERLINK(INDEX('File Links'!B:B, MATCH(P246, 'File Links'!C:C, 0))))</f>
        <v>https://drive.google.com/file/d/1bB5zAUL5oQPM2ClvdBCDeAd5AlkWVp4P/view?usp=drivesdk</v>
      </c>
      <c r="R246" s="126" t="s">
        <v>1256</v>
      </c>
      <c r="S246" s="58" t="s">
        <v>1257</v>
      </c>
      <c r="T246" s="58"/>
      <c r="U246" s="375">
        <v>1.0</v>
      </c>
      <c r="V246" s="63" t="str">
        <f> hyperlink(vlookup(lower(S246),'File Links'!E:F, 2, FALSE), SUBSTITUTE(lower(S246), "/", "--") &amp;  ".pdf")</f>
        <v>10.1002--erv.3103.pdf</v>
      </c>
      <c r="W246" s="58" t="s">
        <v>202</v>
      </c>
      <c r="X246" s="51" t="str">
        <f t="array" ref="X246"> if(iserror(MATCH(V246, 'File Links'!C:C, 0)), "N/A", HYPERLINK(INDEX('File Links'!B:B, MATCH(V246, 'File Links'!C:C, 0))))</f>
        <v>https://drive.google.com/file/d/1bJ0BC-Xy_bNt41DXHAjv1ms0mnz9Vq86/view?usp=drivesdk</v>
      </c>
      <c r="Y246" s="58"/>
      <c r="Z246" s="58" t="s">
        <v>141</v>
      </c>
      <c r="AA246" s="368" t="s">
        <v>1338</v>
      </c>
      <c r="AB246" s="58" t="s">
        <v>1429</v>
      </c>
      <c r="AC246" s="368" t="s">
        <v>1312</v>
      </c>
      <c r="AD246" s="58" t="s">
        <v>1430</v>
      </c>
      <c r="AE246" s="499">
        <v>5.0</v>
      </c>
      <c r="AF246" s="375">
        <v>89.0</v>
      </c>
      <c r="AG246" s="562">
        <v>0.519</v>
      </c>
      <c r="AH246" s="377" t="s">
        <v>867</v>
      </c>
      <c r="AI246" s="368" t="s">
        <v>806</v>
      </c>
      <c r="AJ246" s="499">
        <v>0.001</v>
      </c>
      <c r="AK246" s="65" t="s">
        <v>128</v>
      </c>
      <c r="AL246" s="58" t="s">
        <v>129</v>
      </c>
      <c r="AM246" s="58" t="s">
        <v>134</v>
      </c>
      <c r="AN246" s="58" t="s">
        <v>131</v>
      </c>
      <c r="AO246" s="375">
        <v>74.0</v>
      </c>
      <c r="AP246" s="562">
        <v>0.647</v>
      </c>
      <c r="AQ246" s="377" t="s">
        <v>867</v>
      </c>
      <c r="AR246" s="368" t="s">
        <v>843</v>
      </c>
      <c r="AS246" s="499">
        <v>0.001</v>
      </c>
      <c r="AT246" s="65" t="s">
        <v>128</v>
      </c>
      <c r="AU246" s="65" t="s">
        <v>179</v>
      </c>
      <c r="AV246" s="65" t="s">
        <v>134</v>
      </c>
      <c r="AW246" s="65" t="s">
        <v>131</v>
      </c>
      <c r="AX246" s="65" t="s">
        <v>431</v>
      </c>
      <c r="AY246" s="58"/>
      <c r="AZ246" s="378" t="s">
        <v>1263</v>
      </c>
      <c r="BA246" s="223"/>
      <c r="BB246" s="223"/>
      <c r="BC246" s="223"/>
      <c r="BD246" s="223"/>
      <c r="BE246" s="223"/>
      <c r="BF246" s="223"/>
      <c r="BG246" s="223"/>
      <c r="BH246" s="223"/>
      <c r="BI246" s="223"/>
      <c r="BJ246" s="223"/>
      <c r="BK246" s="223"/>
      <c r="BL246" s="223"/>
      <c r="BM246" s="223"/>
      <c r="BN246" s="223"/>
      <c r="BO246" s="223"/>
      <c r="BP246" s="223"/>
      <c r="BQ246" s="223"/>
      <c r="BR246" s="223"/>
      <c r="BS246" s="223"/>
      <c r="BT246" s="223"/>
      <c r="BU246" s="223"/>
      <c r="BV246" s="223"/>
      <c r="BW246" s="223"/>
      <c r="BX246" s="223"/>
      <c r="BY246" s="223"/>
      <c r="BZ246" s="223"/>
      <c r="CA246" s="223"/>
      <c r="CB246" s="223"/>
      <c r="CC246" s="223"/>
      <c r="CD246" s="223"/>
      <c r="CE246" s="223"/>
      <c r="CF246" s="223"/>
      <c r="CG246" s="223"/>
      <c r="CH246" s="223"/>
      <c r="CI246" s="223"/>
      <c r="CJ246" s="223"/>
      <c r="CK246" s="223"/>
      <c r="CL246" s="223"/>
      <c r="CM246" s="223"/>
      <c r="CN246" s="223"/>
      <c r="CO246" s="223"/>
      <c r="CP246" s="223"/>
      <c r="CQ246" s="223"/>
      <c r="CR246" s="223"/>
      <c r="CS246" s="223"/>
      <c r="CT246" s="223"/>
      <c r="CU246" s="223"/>
      <c r="CV246" s="223"/>
      <c r="CW246" s="223"/>
      <c r="CX246" s="223"/>
      <c r="CY246" s="223"/>
      <c r="CZ246" s="223"/>
      <c r="DA246" s="223"/>
      <c r="DB246" s="223"/>
      <c r="DC246" s="223"/>
      <c r="DD246" s="223"/>
      <c r="DE246" s="223"/>
      <c r="DF246" s="223"/>
      <c r="DG246" s="223"/>
      <c r="DH246" s="223"/>
    </row>
    <row r="247" ht="20.25" customHeight="1">
      <c r="A247" s="41">
        <v>247.0</v>
      </c>
      <c r="B247" s="535" t="s">
        <v>107</v>
      </c>
      <c r="C247" s="535" t="s">
        <v>108</v>
      </c>
      <c r="D247" s="535" t="s">
        <v>241</v>
      </c>
      <c r="E247" s="536"/>
      <c r="F247" s="65" t="s">
        <v>1394</v>
      </c>
      <c r="G247" s="58" t="s">
        <v>1308</v>
      </c>
      <c r="H247" s="58" t="s">
        <v>242</v>
      </c>
      <c r="I247" s="526">
        <v>45427.0</v>
      </c>
      <c r="J247" s="564">
        <v>45782.0</v>
      </c>
      <c r="K247" s="58"/>
      <c r="L247" s="126" t="s">
        <v>1401</v>
      </c>
      <c r="M247" s="58" t="s">
        <v>1395</v>
      </c>
      <c r="N247" s="58" t="s">
        <v>1255</v>
      </c>
      <c r="O247" s="375">
        <v>1.0</v>
      </c>
      <c r="P247" s="561" t="str">
        <f> hyperlink(vlookup(lower(N247),'File Links'!E:F, 2, FALSE), SUBSTITUTE(lower(N247), "/", "--") &amp;  ".pdf")</f>
        <v>10.1016--j.psychres.2017.09.048.pdf</v>
      </c>
      <c r="Q247" s="49" t="str">
        <f t="array" ref="Q247"> if(iserror(MATCH(V247, 'File Links'!C:C, 0)), "N/A", HYPERLINK(INDEX('File Links'!B:B, MATCH(P247, 'File Links'!C:C, 0))))</f>
        <v>https://drive.google.com/file/d/1bB5zAUL5oQPM2ClvdBCDeAd5AlkWVp4P/view?usp=drivesdk</v>
      </c>
      <c r="R247" s="126" t="s">
        <v>1256</v>
      </c>
      <c r="S247" s="58" t="s">
        <v>1257</v>
      </c>
      <c r="T247" s="58"/>
      <c r="U247" s="375">
        <v>1.0</v>
      </c>
      <c r="V247" s="63" t="str">
        <f> hyperlink(vlookup(lower(S247),'File Links'!E:F, 2, FALSE), SUBSTITUTE(lower(S247), "/", "--") &amp;  ".pdf")</f>
        <v>10.1002--erv.3103.pdf</v>
      </c>
      <c r="W247" s="58" t="s">
        <v>202</v>
      </c>
      <c r="X247" s="51" t="str">
        <f t="array" ref="X247"> if(iserror(MATCH(V247, 'File Links'!C:C, 0)), "N/A", HYPERLINK(INDEX('File Links'!B:B, MATCH(V247, 'File Links'!C:C, 0))))</f>
        <v>https://drive.google.com/file/d/1bJ0BC-Xy_bNt41DXHAjv1ms0mnz9Vq86/view?usp=drivesdk</v>
      </c>
      <c r="Y247" s="58"/>
      <c r="Z247" s="58" t="s">
        <v>141</v>
      </c>
      <c r="AA247" s="368" t="s">
        <v>1342</v>
      </c>
      <c r="AB247" s="58" t="s">
        <v>1431</v>
      </c>
      <c r="AC247" s="368" t="s">
        <v>1312</v>
      </c>
      <c r="AD247" s="58" t="s">
        <v>1432</v>
      </c>
      <c r="AE247" s="499">
        <v>5.0</v>
      </c>
      <c r="AF247" s="375">
        <v>89.0</v>
      </c>
      <c r="AG247" s="562">
        <v>0.536</v>
      </c>
      <c r="AH247" s="377" t="s">
        <v>867</v>
      </c>
      <c r="AI247" s="368" t="s">
        <v>806</v>
      </c>
      <c r="AJ247" s="499">
        <v>0.001</v>
      </c>
      <c r="AK247" s="65" t="s">
        <v>128</v>
      </c>
      <c r="AL247" s="58" t="s">
        <v>129</v>
      </c>
      <c r="AM247" s="58" t="s">
        <v>134</v>
      </c>
      <c r="AN247" s="58" t="s">
        <v>131</v>
      </c>
      <c r="AO247" s="375">
        <v>74.0</v>
      </c>
      <c r="AP247" s="562">
        <v>0.595</v>
      </c>
      <c r="AQ247" s="377" t="s">
        <v>867</v>
      </c>
      <c r="AR247" s="368" t="s">
        <v>843</v>
      </c>
      <c r="AS247" s="499">
        <v>0.001</v>
      </c>
      <c r="AT247" s="65" t="s">
        <v>128</v>
      </c>
      <c r="AU247" s="65" t="s">
        <v>179</v>
      </c>
      <c r="AV247" s="65" t="s">
        <v>134</v>
      </c>
      <c r="AW247" s="65" t="s">
        <v>131</v>
      </c>
      <c r="AX247" s="65" t="s">
        <v>431</v>
      </c>
      <c r="AY247" s="58"/>
      <c r="AZ247" s="378" t="s">
        <v>1263</v>
      </c>
      <c r="BA247" s="223"/>
      <c r="BB247" s="223"/>
      <c r="BC247" s="223"/>
      <c r="BD247" s="223"/>
      <c r="BE247" s="223"/>
      <c r="BF247" s="223"/>
      <c r="BG247" s="223"/>
      <c r="BH247" s="223"/>
      <c r="BI247" s="223"/>
      <c r="BJ247" s="223"/>
      <c r="BK247" s="223"/>
      <c r="BL247" s="223"/>
      <c r="BM247" s="223"/>
      <c r="BN247" s="223"/>
      <c r="BO247" s="223"/>
      <c r="BP247" s="223"/>
      <c r="BQ247" s="223"/>
      <c r="BR247" s="223"/>
      <c r="BS247" s="223"/>
      <c r="BT247" s="223"/>
      <c r="BU247" s="223"/>
      <c r="BV247" s="223"/>
      <c r="BW247" s="223"/>
      <c r="BX247" s="223"/>
      <c r="BY247" s="223"/>
      <c r="BZ247" s="223"/>
      <c r="CA247" s="223"/>
      <c r="CB247" s="223"/>
      <c r="CC247" s="223"/>
      <c r="CD247" s="223"/>
      <c r="CE247" s="223"/>
      <c r="CF247" s="223"/>
      <c r="CG247" s="223"/>
      <c r="CH247" s="223"/>
      <c r="CI247" s="223"/>
      <c r="CJ247" s="223"/>
      <c r="CK247" s="223"/>
      <c r="CL247" s="223"/>
      <c r="CM247" s="223"/>
      <c r="CN247" s="223"/>
      <c r="CO247" s="223"/>
      <c r="CP247" s="223"/>
      <c r="CQ247" s="223"/>
      <c r="CR247" s="223"/>
      <c r="CS247" s="223"/>
      <c r="CT247" s="223"/>
      <c r="CU247" s="223"/>
      <c r="CV247" s="223"/>
      <c r="CW247" s="223"/>
      <c r="CX247" s="223"/>
      <c r="CY247" s="223"/>
      <c r="CZ247" s="223"/>
      <c r="DA247" s="223"/>
      <c r="DB247" s="223"/>
      <c r="DC247" s="223"/>
      <c r="DD247" s="223"/>
      <c r="DE247" s="223"/>
      <c r="DF247" s="223"/>
      <c r="DG247" s="223"/>
      <c r="DH247" s="223"/>
    </row>
    <row r="248" ht="20.25" customHeight="1">
      <c r="A248" s="41">
        <v>248.0</v>
      </c>
      <c r="B248" s="535" t="s">
        <v>107</v>
      </c>
      <c r="C248" s="535" t="s">
        <v>108</v>
      </c>
      <c r="D248" s="535" t="s">
        <v>241</v>
      </c>
      <c r="E248" s="536"/>
      <c r="F248" s="65" t="s">
        <v>1394</v>
      </c>
      <c r="G248" s="58" t="s">
        <v>1315</v>
      </c>
      <c r="H248" s="58" t="s">
        <v>242</v>
      </c>
      <c r="I248" s="526">
        <v>45427.0</v>
      </c>
      <c r="J248" s="564">
        <v>45782.0</v>
      </c>
      <c r="K248" s="58"/>
      <c r="L248" s="126" t="s">
        <v>1425</v>
      </c>
      <c r="M248" s="58" t="s">
        <v>1395</v>
      </c>
      <c r="N248" s="58" t="s">
        <v>1255</v>
      </c>
      <c r="O248" s="375">
        <v>1.0</v>
      </c>
      <c r="P248" s="561" t="str">
        <f> hyperlink(vlookup(lower(N248),'File Links'!E:F, 2, FALSE), SUBSTITUTE(lower(N248), "/", "--") &amp;  ".pdf")</f>
        <v>10.1016--j.psychres.2017.09.048.pdf</v>
      </c>
      <c r="Q248" s="49" t="str">
        <f t="array" ref="Q248"> if(iserror(MATCH(V248, 'File Links'!C:C, 0)), "N/A", HYPERLINK(INDEX('File Links'!B:B, MATCH(P248, 'File Links'!C:C, 0))))</f>
        <v>https://drive.google.com/file/d/1bB5zAUL5oQPM2ClvdBCDeAd5AlkWVp4P/view?usp=drivesdk</v>
      </c>
      <c r="R248" s="126" t="s">
        <v>1256</v>
      </c>
      <c r="S248" s="58" t="s">
        <v>1257</v>
      </c>
      <c r="T248" s="58"/>
      <c r="U248" s="375">
        <v>1.0</v>
      </c>
      <c r="V248" s="63" t="str">
        <f> hyperlink(vlookup(lower(S248),'File Links'!E:F, 2, FALSE), SUBSTITUTE(lower(S248), "/", "--") &amp;  ".pdf")</f>
        <v>10.1002--erv.3103.pdf</v>
      </c>
      <c r="W248" s="58" t="s">
        <v>202</v>
      </c>
      <c r="X248" s="51" t="str">
        <f t="array" ref="X248"> if(iserror(MATCH(V248, 'File Links'!C:C, 0)), "N/A", HYPERLINK(INDEX('File Links'!B:B, MATCH(V248, 'File Links'!C:C, 0))))</f>
        <v>https://drive.google.com/file/d/1bJ0BC-Xy_bNt41DXHAjv1ms0mnz9Vq86/view?usp=drivesdk</v>
      </c>
      <c r="Y248" s="58"/>
      <c r="Z248" s="58" t="s">
        <v>141</v>
      </c>
      <c r="AA248" s="553" t="s">
        <v>1348</v>
      </c>
      <c r="AB248" s="58" t="s">
        <v>1423</v>
      </c>
      <c r="AC248" s="368" t="s">
        <v>1312</v>
      </c>
      <c r="AD248" s="58" t="s">
        <v>1349</v>
      </c>
      <c r="AE248" s="499">
        <v>5.0</v>
      </c>
      <c r="AF248" s="375">
        <v>89.0</v>
      </c>
      <c r="AG248" s="562" t="s">
        <v>1433</v>
      </c>
      <c r="AH248" s="368" t="s">
        <v>127</v>
      </c>
      <c r="AI248" s="368" t="s">
        <v>806</v>
      </c>
      <c r="AJ248" s="499">
        <v>0.5</v>
      </c>
      <c r="AK248" s="65" t="s">
        <v>328</v>
      </c>
      <c r="AL248" s="58" t="s">
        <v>129</v>
      </c>
      <c r="AM248" s="58" t="s">
        <v>134</v>
      </c>
      <c r="AN248" s="58" t="s">
        <v>131</v>
      </c>
      <c r="AO248" s="375">
        <v>74.0</v>
      </c>
      <c r="AP248" s="498" t="s">
        <v>1428</v>
      </c>
      <c r="AQ248" s="368" t="s">
        <v>127</v>
      </c>
      <c r="AR248" s="368" t="s">
        <v>843</v>
      </c>
      <c r="AS248" s="541" t="s">
        <v>131</v>
      </c>
      <c r="AT248" s="541" t="s">
        <v>131</v>
      </c>
      <c r="AU248" s="541" t="s">
        <v>131</v>
      </c>
      <c r="AV248" s="541" t="s">
        <v>131</v>
      </c>
      <c r="AW248" s="539" t="s">
        <v>131</v>
      </c>
      <c r="AX248" s="65" t="s">
        <v>431</v>
      </c>
      <c r="AY248" s="58"/>
      <c r="AZ248" s="378" t="s">
        <v>1263</v>
      </c>
      <c r="BA248" s="223"/>
      <c r="BB248" s="223"/>
      <c r="BC248" s="223"/>
      <c r="BD248" s="223"/>
      <c r="BE248" s="223"/>
      <c r="BF248" s="223"/>
      <c r="BG248" s="223"/>
      <c r="BH248" s="223"/>
      <c r="BI248" s="223"/>
      <c r="BJ248" s="223"/>
      <c r="BK248" s="223"/>
      <c r="BL248" s="223"/>
      <c r="BM248" s="223"/>
      <c r="BN248" s="223"/>
      <c r="BO248" s="223"/>
      <c r="BP248" s="223"/>
      <c r="BQ248" s="223"/>
      <c r="BR248" s="223"/>
      <c r="BS248" s="223"/>
      <c r="BT248" s="223"/>
      <c r="BU248" s="223"/>
      <c r="BV248" s="223"/>
      <c r="BW248" s="223"/>
      <c r="BX248" s="223"/>
      <c r="BY248" s="223"/>
      <c r="BZ248" s="223"/>
      <c r="CA248" s="223"/>
      <c r="CB248" s="223"/>
      <c r="CC248" s="223"/>
      <c r="CD248" s="223"/>
      <c r="CE248" s="223"/>
      <c r="CF248" s="223"/>
      <c r="CG248" s="223"/>
      <c r="CH248" s="223"/>
      <c r="CI248" s="223"/>
      <c r="CJ248" s="223"/>
      <c r="CK248" s="223"/>
      <c r="CL248" s="223"/>
      <c r="CM248" s="223"/>
      <c r="CN248" s="223"/>
      <c r="CO248" s="223"/>
      <c r="CP248" s="223"/>
      <c r="CQ248" s="223"/>
      <c r="CR248" s="223"/>
      <c r="CS248" s="223"/>
      <c r="CT248" s="223"/>
      <c r="CU248" s="223"/>
      <c r="CV248" s="223"/>
      <c r="CW248" s="223"/>
      <c r="CX248" s="223"/>
      <c r="CY248" s="223"/>
      <c r="CZ248" s="223"/>
      <c r="DA248" s="223"/>
      <c r="DB248" s="223"/>
      <c r="DC248" s="223"/>
      <c r="DD248" s="223"/>
      <c r="DE248" s="223"/>
      <c r="DF248" s="223"/>
      <c r="DG248" s="223"/>
      <c r="DH248" s="223"/>
    </row>
    <row r="249" ht="20.25" customHeight="1">
      <c r="A249" s="41">
        <v>249.0</v>
      </c>
      <c r="B249" s="447" t="s">
        <v>107</v>
      </c>
      <c r="C249" s="447" t="s">
        <v>108</v>
      </c>
      <c r="D249" s="447" t="s">
        <v>1434</v>
      </c>
      <c r="E249" s="448"/>
      <c r="F249" s="198" t="s">
        <v>1435</v>
      </c>
      <c r="G249" s="123" t="s">
        <v>1436</v>
      </c>
      <c r="H249" s="123" t="s">
        <v>1437</v>
      </c>
      <c r="I249" s="565">
        <v>45633.0</v>
      </c>
      <c r="J249" s="566">
        <v>45663.0</v>
      </c>
      <c r="K249" s="129"/>
      <c r="L249" s="209" t="s">
        <v>1438</v>
      </c>
      <c r="M249" s="123" t="s">
        <v>1439</v>
      </c>
      <c r="N249" s="123" t="s">
        <v>1440</v>
      </c>
      <c r="O249" s="129"/>
      <c r="P249" s="220" t="str">
        <f>SUBSTITUTE(LOWER(N249), "/", "--") &amp;  ".pdf"</f>
        <v>10.1177--0267658310386439.pdf</v>
      </c>
      <c r="Q249" s="49" t="str">
        <f t="array" ref="Q249"> if(iserror(MATCH(V249, 'File Links'!C:C, 0)), "N/A", HYPERLINK(INDEX('File Links'!B:B, MATCH(P249, 'File Links'!C:C, 0))))</f>
        <v>https://drive.google.com/file/d/1c_xOizbgC83hFcsc5jmN-idvU1vfACNB/view?usp=drivesdk</v>
      </c>
      <c r="R249" s="123" t="s">
        <v>1441</v>
      </c>
      <c r="S249" s="123" t="s">
        <v>1442</v>
      </c>
      <c r="T249" s="129"/>
      <c r="U249" s="315"/>
      <c r="V249" s="123" t="str">
        <f>HYPERLINK(VLOOKUP(LOWER(S249),#REF!, 2, FALSE), SUBSTITUTE(LOWER(S249), "/", "--") &amp;  ".pdf")</f>
        <v>10.1017--s0272263124000342.pdf</v>
      </c>
      <c r="W249" s="131" t="s">
        <v>1443</v>
      </c>
      <c r="X249" s="51" t="str">
        <f t="array" ref="X249"> if(iserror(MATCH(V249, 'File Links'!C:C, 0)), "N/A", HYPERLINK(INDEX('File Links'!B:B, MATCH(V249, 'File Links'!C:C, 0))))</f>
        <v>https://drive.google.com/file/d/1fNwzy4f6SEAeVccICF8BD0SDAIH7uPVr/view?usp=drivesdk</v>
      </c>
      <c r="Y249" s="129"/>
      <c r="Z249" s="123" t="s">
        <v>288</v>
      </c>
      <c r="AA249" s="131" t="s">
        <v>1444</v>
      </c>
      <c r="AB249" s="131" t="s">
        <v>1445</v>
      </c>
      <c r="AC249" s="123" t="s">
        <v>1446</v>
      </c>
      <c r="AD249" s="123" t="s">
        <v>1447</v>
      </c>
      <c r="AE249" s="317">
        <v>118.0</v>
      </c>
      <c r="AF249" s="127">
        <v>60.0</v>
      </c>
      <c r="AG249" s="567" t="s">
        <v>1448</v>
      </c>
      <c r="AH249" s="374" t="s">
        <v>127</v>
      </c>
      <c r="AI249" s="568"/>
      <c r="AJ249" s="569">
        <v>0.901</v>
      </c>
      <c r="AK249" s="570" t="s">
        <v>165</v>
      </c>
      <c r="AL249" s="568" t="s">
        <v>179</v>
      </c>
      <c r="AM249" s="129" t="s">
        <v>134</v>
      </c>
      <c r="AN249" s="58" t="s">
        <v>131</v>
      </c>
      <c r="AO249" s="127">
        <v>211.0</v>
      </c>
      <c r="AP249" s="116" t="s">
        <v>1449</v>
      </c>
      <c r="AQ249" s="123" t="s">
        <v>127</v>
      </c>
      <c r="AR249" s="129"/>
      <c r="AS249" s="127">
        <v>0.05</v>
      </c>
      <c r="AT249" s="122" t="s">
        <v>128</v>
      </c>
      <c r="AU249" s="122" t="s">
        <v>179</v>
      </c>
      <c r="AV249" s="122" t="s">
        <v>134</v>
      </c>
      <c r="AW249" s="122"/>
      <c r="AX249" s="137" t="s">
        <v>136</v>
      </c>
      <c r="AY249" s="126" t="s">
        <v>1450</v>
      </c>
      <c r="AZ249" s="121" t="s">
        <v>137</v>
      </c>
      <c r="BC249" s="69"/>
      <c r="BD249" s="69"/>
      <c r="BE249" s="69"/>
      <c r="BF249" s="69"/>
      <c r="BG249" s="69"/>
      <c r="BH249" s="69"/>
      <c r="BI249" s="69"/>
      <c r="BJ249" s="69"/>
      <c r="BK249" s="69"/>
      <c r="BL249" s="69"/>
      <c r="BM249" s="69"/>
      <c r="BN249" s="69"/>
      <c r="BO249" s="69"/>
      <c r="BP249" s="69"/>
      <c r="BQ249" s="69"/>
      <c r="BR249" s="69"/>
      <c r="BS249" s="69"/>
      <c r="BT249" s="69"/>
      <c r="BU249" s="69"/>
      <c r="BV249" s="69"/>
      <c r="BW249" s="69"/>
      <c r="BX249" s="69"/>
      <c r="BY249" s="69"/>
      <c r="BZ249" s="69"/>
      <c r="CA249" s="69"/>
      <c r="CB249" s="69"/>
      <c r="CC249" s="69"/>
      <c r="CD249" s="69"/>
      <c r="CE249" s="69"/>
      <c r="CF249" s="69"/>
      <c r="CG249" s="69"/>
      <c r="CH249" s="69"/>
      <c r="CI249" s="69"/>
      <c r="CJ249" s="69"/>
      <c r="CK249" s="69"/>
      <c r="CL249" s="69"/>
      <c r="CM249" s="69"/>
      <c r="CN249" s="69"/>
      <c r="CO249" s="69"/>
      <c r="CP249" s="69"/>
      <c r="CQ249" s="69"/>
      <c r="CR249" s="69"/>
      <c r="CS249" s="69"/>
      <c r="CT249" s="69"/>
      <c r="CU249" s="69"/>
      <c r="CV249" s="69"/>
      <c r="CW249" s="69"/>
      <c r="CX249" s="69"/>
      <c r="CY249" s="69"/>
      <c r="CZ249" s="69"/>
      <c r="DA249" s="69"/>
      <c r="DB249" s="69"/>
      <c r="DC249" s="69"/>
      <c r="DD249" s="69"/>
      <c r="DE249" s="69"/>
      <c r="DF249" s="69"/>
      <c r="DG249" s="69"/>
      <c r="DH249" s="69"/>
    </row>
    <row r="250" ht="20.25" customHeight="1">
      <c r="A250" s="41">
        <v>250.0</v>
      </c>
      <c r="B250" s="196" t="s">
        <v>145</v>
      </c>
      <c r="C250" s="196" t="s">
        <v>108</v>
      </c>
      <c r="D250" s="196" t="s">
        <v>1451</v>
      </c>
      <c r="E250" s="197"/>
      <c r="F250" s="198" t="s">
        <v>1435</v>
      </c>
      <c r="G250" s="109" t="s">
        <v>1436</v>
      </c>
      <c r="H250" s="109" t="s">
        <v>1452</v>
      </c>
      <c r="I250" s="414">
        <v>45636.0</v>
      </c>
      <c r="J250" s="571">
        <v>45663.0</v>
      </c>
      <c r="K250" s="415" t="s">
        <v>1453</v>
      </c>
      <c r="L250" s="111"/>
      <c r="M250" s="415" t="s">
        <v>1454</v>
      </c>
      <c r="N250" s="109" t="s">
        <v>1440</v>
      </c>
      <c r="O250" s="144">
        <v>1.0</v>
      </c>
      <c r="P250" s="118" t="str">
        <f> SUBSTITUTE(lower(N250), "/", "--") &amp;  ".pdf"</f>
        <v>10.1177--0267658310386439.pdf</v>
      </c>
      <c r="Q250" s="49" t="str">
        <f t="array" ref="Q250"> if(iserror(MATCH(V250, 'File Links'!C:C, 0)), "N/A", HYPERLINK(INDEX('File Links'!B:B, MATCH(P250, 'File Links'!C:C, 0))))</f>
        <v>https://drive.google.com/file/d/1c_xOizbgC83hFcsc5jmN-idvU1vfACNB/view?usp=drivesdk</v>
      </c>
      <c r="R250" s="415" t="s">
        <v>1455</v>
      </c>
      <c r="S250" s="415" t="s">
        <v>1442</v>
      </c>
      <c r="T250" s="111"/>
      <c r="U250" s="130">
        <v>1.0</v>
      </c>
      <c r="V250" s="109" t="str">
        <f> hyperlink(vlookup(lower(S250),#REF!, 2, FALSE), SUBSTITUTE(lower(S250), "/", "--") &amp;  ".pdf")</f>
        <v>10.1017--s0272263124000342.pdf</v>
      </c>
      <c r="W250" s="136" t="s">
        <v>1443</v>
      </c>
      <c r="X250" s="51" t="str">
        <f t="array" ref="X250"> if(iserror(MATCH(V250, 'File Links'!C:C, 0)), "N/A", HYPERLINK(INDEX('File Links'!B:B, MATCH(V250, 'File Links'!C:C, 0))))</f>
        <v>https://drive.google.com/file/d/1fNwzy4f6SEAeVccICF8BD0SDAIH7uPVr/view?usp=drivesdk</v>
      </c>
      <c r="Y250" s="111"/>
      <c r="Z250" s="109" t="s">
        <v>288</v>
      </c>
      <c r="AA250" s="136" t="s">
        <v>1444</v>
      </c>
      <c r="AB250" s="136" t="s">
        <v>1445</v>
      </c>
      <c r="AC250" s="111" t="s">
        <v>1456</v>
      </c>
      <c r="AD250" s="109" t="s">
        <v>1457</v>
      </c>
      <c r="AE250" s="114">
        <v>12.0</v>
      </c>
      <c r="AF250" s="114">
        <v>60.0</v>
      </c>
      <c r="AG250" s="55" t="s">
        <v>1448</v>
      </c>
      <c r="AH250" s="191" t="s">
        <v>127</v>
      </c>
      <c r="AI250" s="572" t="s">
        <v>605</v>
      </c>
      <c r="AJ250" s="194">
        <v>0.901</v>
      </c>
      <c r="AK250" s="195" t="s">
        <v>165</v>
      </c>
      <c r="AL250" s="190" t="s">
        <v>179</v>
      </c>
      <c r="AM250" s="55" t="s">
        <v>134</v>
      </c>
      <c r="AN250" s="58" t="s">
        <v>131</v>
      </c>
      <c r="AO250" s="194">
        <v>211.0</v>
      </c>
      <c r="AP250" s="116" t="s">
        <v>1449</v>
      </c>
      <c r="AQ250" s="190" t="s">
        <v>127</v>
      </c>
      <c r="AR250" s="109" t="s">
        <v>617</v>
      </c>
      <c r="AS250" s="114">
        <v>0.05</v>
      </c>
      <c r="AT250" s="119" t="s">
        <v>128</v>
      </c>
      <c r="AU250" s="119" t="s">
        <v>179</v>
      </c>
      <c r="AV250" s="119" t="s">
        <v>134</v>
      </c>
      <c r="AW250" s="59" t="s">
        <v>131</v>
      </c>
      <c r="AX250" s="119" t="s">
        <v>136</v>
      </c>
      <c r="AY250" s="58"/>
      <c r="AZ250" s="121" t="s">
        <v>137</v>
      </c>
      <c r="BC250" s="104"/>
      <c r="BD250" s="104"/>
      <c r="BE250" s="104"/>
      <c r="BF250" s="104"/>
      <c r="BG250" s="104"/>
      <c r="BH250" s="104"/>
      <c r="BI250" s="104"/>
      <c r="BJ250" s="104"/>
      <c r="BK250" s="104"/>
      <c r="BL250" s="104"/>
      <c r="BM250" s="104"/>
      <c r="BN250" s="104"/>
      <c r="BO250" s="104"/>
      <c r="BP250" s="104"/>
      <c r="BQ250" s="104"/>
      <c r="BR250" s="104"/>
      <c r="BS250" s="104"/>
      <c r="BT250" s="104"/>
      <c r="BU250" s="104"/>
      <c r="BV250" s="104"/>
      <c r="BW250" s="104"/>
      <c r="BX250" s="104"/>
      <c r="BY250" s="104"/>
      <c r="BZ250" s="104"/>
      <c r="CA250" s="104"/>
      <c r="CB250" s="104"/>
      <c r="CC250" s="104"/>
      <c r="CD250" s="104"/>
      <c r="CE250" s="104"/>
      <c r="CF250" s="104"/>
      <c r="CG250" s="104"/>
      <c r="CH250" s="104"/>
      <c r="CI250" s="104"/>
      <c r="CJ250" s="104"/>
      <c r="CK250" s="104"/>
      <c r="CL250" s="104"/>
      <c r="CM250" s="104"/>
      <c r="CN250" s="104"/>
      <c r="CO250" s="104"/>
      <c r="CP250" s="104"/>
      <c r="CQ250" s="104"/>
      <c r="CR250" s="104"/>
      <c r="CS250" s="104"/>
      <c r="CT250" s="104"/>
      <c r="CU250" s="104"/>
      <c r="CV250" s="104"/>
      <c r="CW250" s="104"/>
      <c r="CX250" s="104"/>
      <c r="CY250" s="104"/>
      <c r="CZ250" s="104"/>
      <c r="DA250" s="104"/>
      <c r="DB250" s="104"/>
      <c r="DC250" s="104"/>
      <c r="DD250" s="104"/>
      <c r="DE250" s="104"/>
      <c r="DF250" s="104"/>
      <c r="DG250" s="104"/>
      <c r="DH250" s="104"/>
    </row>
    <row r="251" ht="20.25" customHeight="1">
      <c r="A251" s="41">
        <v>251.0</v>
      </c>
      <c r="B251" s="447" t="s">
        <v>145</v>
      </c>
      <c r="C251" s="447" t="s">
        <v>108</v>
      </c>
      <c r="D251" s="447" t="s">
        <v>1434</v>
      </c>
      <c r="E251" s="448"/>
      <c r="F251" s="198" t="s">
        <v>1435</v>
      </c>
      <c r="G251" s="123" t="s">
        <v>1458</v>
      </c>
      <c r="H251" s="123" t="s">
        <v>1437</v>
      </c>
      <c r="I251" s="565">
        <v>45633.0</v>
      </c>
      <c r="J251" s="566">
        <v>45663.0</v>
      </c>
      <c r="K251" s="129"/>
      <c r="L251" s="129"/>
      <c r="M251" s="123" t="s">
        <v>1439</v>
      </c>
      <c r="N251" s="123" t="s">
        <v>1440</v>
      </c>
      <c r="O251" s="216">
        <v>1.0</v>
      </c>
      <c r="P251" s="220" t="str">
        <f>SUBSTITUTE(LOWER(N251), "/", "--") &amp;  ".pdf"</f>
        <v>10.1177--0267658310386439.pdf</v>
      </c>
      <c r="Q251" s="49" t="str">
        <f t="array" ref="Q251"> if(iserror(MATCH(V251, 'File Links'!C:C, 0)), "N/A", HYPERLINK(INDEX('File Links'!B:B, MATCH(P251, 'File Links'!C:C, 0))))</f>
        <v>https://drive.google.com/file/d/1c_xOizbgC83hFcsc5jmN-idvU1vfACNB/view?usp=drivesdk</v>
      </c>
      <c r="R251" s="123" t="s">
        <v>1441</v>
      </c>
      <c r="S251" s="123" t="s">
        <v>1442</v>
      </c>
      <c r="T251" s="129"/>
      <c r="U251" s="130">
        <v>1.0</v>
      </c>
      <c r="V251" s="123" t="str">
        <f>HYPERLINK(VLOOKUP(LOWER(S251),#REF!, 2, FALSE), SUBSTITUTE(LOWER(S251), "/", "--") &amp;  ".pdf")</f>
        <v>10.1017--s0272263124000342.pdf</v>
      </c>
      <c r="W251" s="131" t="s">
        <v>1443</v>
      </c>
      <c r="X251" s="51" t="str">
        <f t="array" ref="X251"> if(iserror(MATCH(V251, 'File Links'!C:C, 0)), "N/A", HYPERLINK(INDEX('File Links'!B:B, MATCH(V251, 'File Links'!C:C, 0))))</f>
        <v>https://drive.google.com/file/d/1fNwzy4f6SEAeVccICF8BD0SDAIH7uPVr/view?usp=drivesdk</v>
      </c>
      <c r="Y251" s="129"/>
      <c r="Z251" s="123" t="s">
        <v>288</v>
      </c>
      <c r="AA251" s="131" t="s">
        <v>1444</v>
      </c>
      <c r="AB251" s="131" t="s">
        <v>1445</v>
      </c>
      <c r="AC251" s="123" t="s">
        <v>1459</v>
      </c>
      <c r="AD251" s="123" t="s">
        <v>1460</v>
      </c>
      <c r="AE251" s="317">
        <v>118.0</v>
      </c>
      <c r="AF251" s="127">
        <v>60.0</v>
      </c>
      <c r="AG251" s="199" t="s">
        <v>1461</v>
      </c>
      <c r="AH251" s="573" t="s">
        <v>127</v>
      </c>
      <c r="AI251" s="539"/>
      <c r="AJ251" s="574">
        <v>0.917</v>
      </c>
      <c r="AK251" s="201" t="s">
        <v>165</v>
      </c>
      <c r="AL251" s="451" t="s">
        <v>179</v>
      </c>
      <c r="AM251" s="451" t="s">
        <v>134</v>
      </c>
      <c r="AN251" s="58" t="s">
        <v>131</v>
      </c>
      <c r="AO251" s="574">
        <v>211.0</v>
      </c>
      <c r="AP251" s="203" t="s">
        <v>1462</v>
      </c>
      <c r="AQ251" s="199" t="s">
        <v>127</v>
      </c>
      <c r="AR251" s="228"/>
      <c r="AS251" s="229">
        <v>0.05</v>
      </c>
      <c r="AT251" s="234" t="s">
        <v>128</v>
      </c>
      <c r="AU251" s="122" t="s">
        <v>179</v>
      </c>
      <c r="AV251" s="122" t="s">
        <v>134</v>
      </c>
      <c r="AW251" s="59" t="s">
        <v>131</v>
      </c>
      <c r="AX251" s="137" t="s">
        <v>136</v>
      </c>
      <c r="AY251" s="58"/>
      <c r="AZ251" s="121" t="s">
        <v>137</v>
      </c>
      <c r="BC251" s="69"/>
      <c r="BD251" s="69"/>
      <c r="BE251" s="69"/>
      <c r="BF251" s="69"/>
      <c r="BG251" s="69"/>
      <c r="BH251" s="69"/>
      <c r="BI251" s="69"/>
      <c r="BJ251" s="69"/>
      <c r="BK251" s="69"/>
      <c r="BL251" s="69"/>
      <c r="BM251" s="69"/>
      <c r="BN251" s="69"/>
      <c r="BO251" s="69"/>
      <c r="BP251" s="69"/>
      <c r="BQ251" s="69"/>
      <c r="BR251" s="69"/>
      <c r="BS251" s="69"/>
      <c r="BT251" s="69"/>
      <c r="BU251" s="69"/>
      <c r="BV251" s="69"/>
      <c r="BW251" s="69"/>
      <c r="BX251" s="69"/>
      <c r="BY251" s="69"/>
      <c r="BZ251" s="69"/>
      <c r="CA251" s="69"/>
      <c r="CB251" s="69"/>
      <c r="CC251" s="69"/>
      <c r="CD251" s="69"/>
      <c r="CE251" s="69"/>
      <c r="CF251" s="69"/>
      <c r="CG251" s="69"/>
      <c r="CH251" s="69"/>
      <c r="CI251" s="69"/>
      <c r="CJ251" s="69"/>
      <c r="CK251" s="69"/>
      <c r="CL251" s="69"/>
      <c r="CM251" s="69"/>
      <c r="CN251" s="69"/>
      <c r="CO251" s="69"/>
      <c r="CP251" s="69"/>
      <c r="CQ251" s="69"/>
      <c r="CR251" s="69"/>
      <c r="CS251" s="69"/>
      <c r="CT251" s="69"/>
      <c r="CU251" s="69"/>
      <c r="CV251" s="69"/>
      <c r="CW251" s="69"/>
      <c r="CX251" s="69"/>
      <c r="CY251" s="69"/>
      <c r="CZ251" s="69"/>
      <c r="DA251" s="69"/>
      <c r="DB251" s="69"/>
      <c r="DC251" s="69"/>
      <c r="DD251" s="69"/>
      <c r="DE251" s="69"/>
      <c r="DF251" s="69"/>
      <c r="DG251" s="69"/>
      <c r="DH251" s="69"/>
    </row>
    <row r="252" ht="20.25" customHeight="1">
      <c r="A252" s="41">
        <v>252.0</v>
      </c>
      <c r="B252" s="196" t="s">
        <v>145</v>
      </c>
      <c r="C252" s="196" t="s">
        <v>108</v>
      </c>
      <c r="D252" s="196" t="s">
        <v>1451</v>
      </c>
      <c r="E252" s="197"/>
      <c r="F252" s="198" t="s">
        <v>1435</v>
      </c>
      <c r="G252" s="109" t="s">
        <v>1458</v>
      </c>
      <c r="H252" s="109" t="s">
        <v>1452</v>
      </c>
      <c r="I252" s="414">
        <v>45636.0</v>
      </c>
      <c r="J252" s="571">
        <v>45663.0</v>
      </c>
      <c r="K252" s="109" t="s">
        <v>1463</v>
      </c>
      <c r="L252" s="111"/>
      <c r="M252" s="415" t="s">
        <v>1464</v>
      </c>
      <c r="N252" s="109" t="s">
        <v>1440</v>
      </c>
      <c r="O252" s="144">
        <v>1.0</v>
      </c>
      <c r="P252" s="118" t="str">
        <f> SUBSTITUTE(lower(N252), "/", "--") &amp;  ".pdf"</f>
        <v>10.1177--0267658310386439.pdf</v>
      </c>
      <c r="Q252" s="49" t="str">
        <f t="array" ref="Q252"> if(iserror(MATCH(V252, 'File Links'!C:C, 0)), "N/A", HYPERLINK(INDEX('File Links'!B:B, MATCH(P252, 'File Links'!C:C, 0))))</f>
        <v>https://drive.google.com/file/d/1c_xOizbgC83hFcsc5jmN-idvU1vfACNB/view?usp=drivesdk</v>
      </c>
      <c r="R252" s="415" t="s">
        <v>1465</v>
      </c>
      <c r="S252" s="415" t="s">
        <v>1442</v>
      </c>
      <c r="T252" s="111"/>
      <c r="U252" s="130">
        <v>1.0</v>
      </c>
      <c r="V252" s="109" t="str">
        <f> hyperlink(vlookup(lower(S252),#REF!, 2, FALSE), SUBSTITUTE(lower(S252), "/", "--") &amp;  ".pdf")</f>
        <v>10.1017--s0272263124000342.pdf</v>
      </c>
      <c r="W252" s="136" t="s">
        <v>1443</v>
      </c>
      <c r="X252" s="51" t="str">
        <f t="array" ref="X252"> if(iserror(MATCH(V252, 'File Links'!C:C, 0)), "N/A", HYPERLINK(INDEX('File Links'!B:B, MATCH(V252, 'File Links'!C:C, 0))))</f>
        <v>https://drive.google.com/file/d/1fNwzy4f6SEAeVccICF8BD0SDAIH7uPVr/view?usp=drivesdk</v>
      </c>
      <c r="Y252" s="111"/>
      <c r="Z252" s="109" t="s">
        <v>288</v>
      </c>
      <c r="AA252" s="136" t="s">
        <v>1444</v>
      </c>
      <c r="AB252" s="136" t="s">
        <v>1445</v>
      </c>
      <c r="AC252" s="111" t="s">
        <v>1456</v>
      </c>
      <c r="AD252" s="109" t="s">
        <v>1466</v>
      </c>
      <c r="AE252" s="114">
        <v>12.0</v>
      </c>
      <c r="AF252" s="114">
        <v>60.0</v>
      </c>
      <c r="AG252" s="55" t="s">
        <v>1467</v>
      </c>
      <c r="AH252" s="191" t="s">
        <v>127</v>
      </c>
      <c r="AI252" s="572" t="s">
        <v>605</v>
      </c>
      <c r="AJ252" s="194">
        <v>0.669</v>
      </c>
      <c r="AK252" s="187" t="s">
        <v>165</v>
      </c>
      <c r="AL252" s="190" t="s">
        <v>179</v>
      </c>
      <c r="AM252" s="55" t="s">
        <v>134</v>
      </c>
      <c r="AN252" s="58" t="s">
        <v>131</v>
      </c>
      <c r="AO252" s="194">
        <v>211.0</v>
      </c>
      <c r="AP252" s="203" t="s">
        <v>1462</v>
      </c>
      <c r="AQ252" s="190" t="s">
        <v>127</v>
      </c>
      <c r="AR252" s="109" t="s">
        <v>623</v>
      </c>
      <c r="AS252" s="114">
        <v>0.64</v>
      </c>
      <c r="AT252" s="119" t="s">
        <v>165</v>
      </c>
      <c r="AU252" s="119" t="s">
        <v>179</v>
      </c>
      <c r="AV252" s="119" t="s">
        <v>134</v>
      </c>
      <c r="AW252" s="59" t="s">
        <v>131</v>
      </c>
      <c r="AX252" s="108" t="s">
        <v>136</v>
      </c>
      <c r="AY252" s="58"/>
      <c r="AZ252" s="121" t="s">
        <v>137</v>
      </c>
      <c r="BC252" s="104"/>
      <c r="BD252" s="104"/>
      <c r="BE252" s="104"/>
      <c r="BF252" s="104"/>
      <c r="BG252" s="104"/>
      <c r="BH252" s="104"/>
      <c r="BI252" s="104"/>
      <c r="BJ252" s="104"/>
      <c r="BK252" s="104"/>
      <c r="BL252" s="104"/>
      <c r="BM252" s="104"/>
      <c r="BN252" s="104"/>
      <c r="BO252" s="104"/>
      <c r="BP252" s="104"/>
      <c r="BQ252" s="104"/>
      <c r="BR252" s="104"/>
      <c r="BS252" s="104"/>
      <c r="BT252" s="104"/>
      <c r="BU252" s="104"/>
      <c r="BV252" s="104"/>
      <c r="BW252" s="104"/>
      <c r="BX252" s="104"/>
      <c r="BY252" s="104"/>
      <c r="BZ252" s="104"/>
      <c r="CA252" s="104"/>
      <c r="CB252" s="104"/>
      <c r="CC252" s="104"/>
      <c r="CD252" s="104"/>
      <c r="CE252" s="104"/>
      <c r="CF252" s="104"/>
      <c r="CG252" s="104"/>
      <c r="CH252" s="104"/>
      <c r="CI252" s="104"/>
      <c r="CJ252" s="104"/>
      <c r="CK252" s="104"/>
      <c r="CL252" s="104"/>
      <c r="CM252" s="104"/>
      <c r="CN252" s="104"/>
      <c r="CO252" s="104"/>
      <c r="CP252" s="104"/>
      <c r="CQ252" s="104"/>
      <c r="CR252" s="104"/>
      <c r="CS252" s="104"/>
      <c r="CT252" s="104"/>
      <c r="CU252" s="104"/>
      <c r="CV252" s="104"/>
      <c r="CW252" s="104"/>
      <c r="CX252" s="104"/>
      <c r="CY252" s="104"/>
      <c r="CZ252" s="104"/>
      <c r="DA252" s="104"/>
      <c r="DB252" s="104"/>
      <c r="DC252" s="104"/>
      <c r="DD252" s="104"/>
      <c r="DE252" s="104"/>
      <c r="DF252" s="104"/>
      <c r="DG252" s="104"/>
      <c r="DH252" s="104"/>
    </row>
    <row r="253" ht="20.25" customHeight="1">
      <c r="A253" s="41">
        <v>253.0</v>
      </c>
      <c r="B253" s="447" t="s">
        <v>107</v>
      </c>
      <c r="C253" s="447" t="s">
        <v>108</v>
      </c>
      <c r="D253" s="447" t="s">
        <v>1434</v>
      </c>
      <c r="E253" s="448"/>
      <c r="F253" s="198" t="s">
        <v>1435</v>
      </c>
      <c r="G253" s="123" t="s">
        <v>1468</v>
      </c>
      <c r="H253" s="123" t="s">
        <v>1437</v>
      </c>
      <c r="I253" s="565">
        <v>45633.0</v>
      </c>
      <c r="J253" s="566">
        <v>45663.0</v>
      </c>
      <c r="K253" s="129"/>
      <c r="L253" s="129"/>
      <c r="M253" s="123" t="s">
        <v>1439</v>
      </c>
      <c r="N253" s="123" t="s">
        <v>1440</v>
      </c>
      <c r="O253" s="129"/>
      <c r="P253" s="220" t="str">
        <f>SUBSTITUTE(LOWER(N253), "/", "--") &amp;  ".pdf"</f>
        <v>10.1177--0267658310386439.pdf</v>
      </c>
      <c r="Q253" s="49" t="str">
        <f t="array" ref="Q253"> if(iserror(MATCH(V253, 'File Links'!C:C, 0)), "N/A", HYPERLINK(INDEX('File Links'!B:B, MATCH(P253, 'File Links'!C:C, 0))))</f>
        <v>https://drive.google.com/file/d/1c_xOizbgC83hFcsc5jmN-idvU1vfACNB/view?usp=drivesdk</v>
      </c>
      <c r="R253" s="123" t="s">
        <v>1441</v>
      </c>
      <c r="S253" s="123" t="s">
        <v>1442</v>
      </c>
      <c r="T253" s="129"/>
      <c r="U253" s="315"/>
      <c r="V253" s="123" t="str">
        <f>HYPERLINK(VLOOKUP(LOWER(S253),#REF!, 2, FALSE), SUBSTITUTE(LOWER(S253), "/", "--") &amp;  ".pdf")</f>
        <v>10.1017--s0272263124000342.pdf</v>
      </c>
      <c r="W253" s="131" t="s">
        <v>1443</v>
      </c>
      <c r="X253" s="51" t="str">
        <f t="array" ref="X253"> if(iserror(MATCH(V253, 'File Links'!C:C, 0)), "N/A", HYPERLINK(INDEX('File Links'!B:B, MATCH(V253, 'File Links'!C:C, 0))))</f>
        <v>https://drive.google.com/file/d/1fNwzy4f6SEAeVccICF8BD0SDAIH7uPVr/view?usp=drivesdk</v>
      </c>
      <c r="Y253" s="129"/>
      <c r="Z253" s="123" t="s">
        <v>288</v>
      </c>
      <c r="AA253" s="131" t="s">
        <v>1444</v>
      </c>
      <c r="AB253" s="131" t="s">
        <v>1445</v>
      </c>
      <c r="AC253" s="123" t="s">
        <v>1469</v>
      </c>
      <c r="AD253" s="123" t="s">
        <v>1470</v>
      </c>
      <c r="AE253" s="317">
        <v>118.0</v>
      </c>
      <c r="AF253" s="127">
        <v>60.0</v>
      </c>
      <c r="AG253" s="575" t="s">
        <v>1467</v>
      </c>
      <c r="AH253" s="576" t="s">
        <v>127</v>
      </c>
      <c r="AI253" s="577"/>
      <c r="AJ253" s="578">
        <v>0.669</v>
      </c>
      <c r="AK253" s="579" t="s">
        <v>165</v>
      </c>
      <c r="AL253" s="577" t="s">
        <v>179</v>
      </c>
      <c r="AM253" s="577" t="s">
        <v>134</v>
      </c>
      <c r="AN253" s="58" t="s">
        <v>131</v>
      </c>
      <c r="AO253" s="578">
        <v>211.0</v>
      </c>
      <c r="AP253" s="410" t="s">
        <v>1471</v>
      </c>
      <c r="AQ253" s="575" t="s">
        <v>127</v>
      </c>
      <c r="AR253" s="577"/>
      <c r="AS253" s="578">
        <v>0.64</v>
      </c>
      <c r="AT253" s="579" t="s">
        <v>165</v>
      </c>
      <c r="AU253" s="122" t="s">
        <v>179</v>
      </c>
      <c r="AV253" s="122" t="s">
        <v>134</v>
      </c>
      <c r="AW253" s="122"/>
      <c r="AX253" s="137" t="s">
        <v>136</v>
      </c>
      <c r="AY253" s="58"/>
      <c r="AZ253" s="121" t="s">
        <v>137</v>
      </c>
      <c r="BC253" s="69"/>
      <c r="BD253" s="69"/>
      <c r="BE253" s="69"/>
      <c r="BF253" s="69"/>
      <c r="BG253" s="69"/>
      <c r="BH253" s="69"/>
      <c r="BI253" s="69"/>
      <c r="BJ253" s="69"/>
      <c r="BK253" s="69"/>
      <c r="BL253" s="69"/>
      <c r="BM253" s="69"/>
      <c r="BN253" s="69"/>
      <c r="BO253" s="69"/>
      <c r="BP253" s="69"/>
      <c r="BQ253" s="69"/>
      <c r="BR253" s="69"/>
      <c r="BS253" s="69"/>
      <c r="BT253" s="69"/>
      <c r="BU253" s="69"/>
      <c r="BV253" s="69"/>
      <c r="BW253" s="69"/>
      <c r="BX253" s="69"/>
      <c r="BY253" s="69"/>
      <c r="BZ253" s="69"/>
      <c r="CA253" s="69"/>
      <c r="CB253" s="69"/>
      <c r="CC253" s="69"/>
      <c r="CD253" s="69"/>
      <c r="CE253" s="69"/>
      <c r="CF253" s="69"/>
      <c r="CG253" s="69"/>
      <c r="CH253" s="69"/>
      <c r="CI253" s="69"/>
      <c r="CJ253" s="69"/>
      <c r="CK253" s="69"/>
      <c r="CL253" s="69"/>
      <c r="CM253" s="69"/>
      <c r="CN253" s="69"/>
      <c r="CO253" s="69"/>
      <c r="CP253" s="69"/>
      <c r="CQ253" s="69"/>
      <c r="CR253" s="69"/>
      <c r="CS253" s="69"/>
      <c r="CT253" s="69"/>
      <c r="CU253" s="69"/>
      <c r="CV253" s="69"/>
      <c r="CW253" s="69"/>
      <c r="CX253" s="69"/>
      <c r="CY253" s="69"/>
      <c r="CZ253" s="69"/>
      <c r="DA253" s="69"/>
      <c r="DB253" s="69"/>
      <c r="DC253" s="69"/>
      <c r="DD253" s="69"/>
      <c r="DE253" s="69"/>
      <c r="DF253" s="69"/>
      <c r="DG253" s="69"/>
      <c r="DH253" s="69"/>
    </row>
    <row r="254" ht="20.25" customHeight="1">
      <c r="A254" s="41">
        <v>254.0</v>
      </c>
      <c r="B254" s="196" t="s">
        <v>145</v>
      </c>
      <c r="C254" s="196" t="s">
        <v>108</v>
      </c>
      <c r="D254" s="196" t="s">
        <v>1451</v>
      </c>
      <c r="E254" s="197"/>
      <c r="F254" s="198" t="s">
        <v>1435</v>
      </c>
      <c r="G254" s="109" t="s">
        <v>1468</v>
      </c>
      <c r="H254" s="109" t="s">
        <v>1452</v>
      </c>
      <c r="I254" s="414">
        <v>45636.0</v>
      </c>
      <c r="J254" s="571">
        <v>45663.0</v>
      </c>
      <c r="K254" s="109" t="s">
        <v>1472</v>
      </c>
      <c r="L254" s="111"/>
      <c r="M254" s="415" t="s">
        <v>1473</v>
      </c>
      <c r="N254" s="109" t="s">
        <v>1440</v>
      </c>
      <c r="O254" s="144">
        <v>1.0</v>
      </c>
      <c r="P254" s="118" t="str">
        <f> SUBSTITUTE(lower(N254), "/", "--") &amp;  ".pdf"</f>
        <v>10.1177--0267658310386439.pdf</v>
      </c>
      <c r="Q254" s="49" t="str">
        <f t="array" ref="Q254"> if(iserror(MATCH(V254, 'File Links'!C:C, 0)), "N/A", HYPERLINK(INDEX('File Links'!B:B, MATCH(P254, 'File Links'!C:C, 0))))</f>
        <v>https://drive.google.com/file/d/1c_xOizbgC83hFcsc5jmN-idvU1vfACNB/view?usp=drivesdk</v>
      </c>
      <c r="R254" s="415" t="s">
        <v>1474</v>
      </c>
      <c r="S254" s="580" t="s">
        <v>1442</v>
      </c>
      <c r="T254" s="111"/>
      <c r="U254" s="130">
        <v>1.0</v>
      </c>
      <c r="V254" s="109" t="str">
        <f> hyperlink(vlookup(lower(S254),#REF!, 2, FALSE), SUBSTITUTE(lower(S254), "/", "--") &amp;  ".pdf")</f>
        <v>10.1017--s0272263124000342.pdf</v>
      </c>
      <c r="W254" s="136" t="s">
        <v>1443</v>
      </c>
      <c r="X254" s="51" t="str">
        <f t="array" ref="X254"> if(iserror(MATCH(V254, 'File Links'!C:C, 0)), "N/A", HYPERLINK(INDEX('File Links'!B:B, MATCH(V254, 'File Links'!C:C, 0))))</f>
        <v>https://drive.google.com/file/d/1fNwzy4f6SEAeVccICF8BD0SDAIH7uPVr/view?usp=drivesdk</v>
      </c>
      <c r="Y254" s="111"/>
      <c r="Z254" s="109" t="s">
        <v>288</v>
      </c>
      <c r="AA254" s="136" t="s">
        <v>1444</v>
      </c>
      <c r="AB254" s="136" t="s">
        <v>1445</v>
      </c>
      <c r="AC254" s="111" t="s">
        <v>1456</v>
      </c>
      <c r="AD254" s="109" t="s">
        <v>1475</v>
      </c>
      <c r="AE254" s="109" t="s">
        <v>1476</v>
      </c>
      <c r="AF254" s="114">
        <v>60.0</v>
      </c>
      <c r="AG254" s="199" t="s">
        <v>1477</v>
      </c>
      <c r="AH254" s="573" t="s">
        <v>127</v>
      </c>
      <c r="AI254" s="203" t="s">
        <v>429</v>
      </c>
      <c r="AJ254" s="574">
        <v>0.751</v>
      </c>
      <c r="AK254" s="201" t="s">
        <v>165</v>
      </c>
      <c r="AL254" s="451" t="s">
        <v>179</v>
      </c>
      <c r="AM254" s="199" t="s">
        <v>134</v>
      </c>
      <c r="AN254" s="58" t="s">
        <v>131</v>
      </c>
      <c r="AO254" s="574">
        <v>215.0</v>
      </c>
      <c r="AP254" s="581" t="s">
        <v>1478</v>
      </c>
      <c r="AQ254" s="451" t="s">
        <v>127</v>
      </c>
      <c r="AR254" s="199" t="s">
        <v>623</v>
      </c>
      <c r="AS254" s="574">
        <v>0.05</v>
      </c>
      <c r="AT254" s="198" t="s">
        <v>128</v>
      </c>
      <c r="AU254" s="198" t="s">
        <v>179</v>
      </c>
      <c r="AV254" s="119" t="s">
        <v>134</v>
      </c>
      <c r="AW254" s="59" t="s">
        <v>131</v>
      </c>
      <c r="AX254" s="108" t="s">
        <v>136</v>
      </c>
      <c r="AY254" s="58"/>
      <c r="AZ254" s="121" t="s">
        <v>137</v>
      </c>
      <c r="BC254" s="104"/>
      <c r="BD254" s="104"/>
      <c r="BE254" s="104"/>
      <c r="BF254" s="104"/>
      <c r="BG254" s="104"/>
      <c r="BH254" s="104"/>
      <c r="BI254" s="104"/>
      <c r="BJ254" s="104"/>
      <c r="BK254" s="104"/>
      <c r="BL254" s="104"/>
      <c r="BM254" s="104"/>
      <c r="BN254" s="104"/>
      <c r="BO254" s="104"/>
      <c r="BP254" s="104"/>
      <c r="BQ254" s="104"/>
      <c r="BR254" s="104"/>
      <c r="BS254" s="104"/>
      <c r="BT254" s="104"/>
      <c r="BU254" s="104"/>
      <c r="BV254" s="104"/>
      <c r="BW254" s="104"/>
      <c r="BX254" s="104"/>
      <c r="BY254" s="104"/>
      <c r="BZ254" s="104"/>
      <c r="CA254" s="104"/>
      <c r="CB254" s="104"/>
      <c r="CC254" s="104"/>
      <c r="CD254" s="104"/>
      <c r="CE254" s="104"/>
      <c r="CF254" s="104"/>
      <c r="CG254" s="104"/>
      <c r="CH254" s="104"/>
      <c r="CI254" s="104"/>
      <c r="CJ254" s="104"/>
      <c r="CK254" s="104"/>
      <c r="CL254" s="104"/>
      <c r="CM254" s="104"/>
      <c r="CN254" s="104"/>
      <c r="CO254" s="104"/>
      <c r="CP254" s="104"/>
      <c r="CQ254" s="104"/>
      <c r="CR254" s="104"/>
      <c r="CS254" s="104"/>
      <c r="CT254" s="104"/>
      <c r="CU254" s="104"/>
      <c r="CV254" s="104"/>
      <c r="CW254" s="104"/>
      <c r="CX254" s="104"/>
      <c r="CY254" s="104"/>
      <c r="CZ254" s="104"/>
      <c r="DA254" s="104"/>
      <c r="DB254" s="104"/>
      <c r="DC254" s="104"/>
      <c r="DD254" s="104"/>
      <c r="DE254" s="104"/>
      <c r="DF254" s="104"/>
      <c r="DG254" s="104"/>
      <c r="DH254" s="104"/>
    </row>
    <row r="255" ht="20.25" customHeight="1">
      <c r="A255" s="41">
        <v>255.0</v>
      </c>
      <c r="B255" s="447" t="s">
        <v>107</v>
      </c>
      <c r="C255" s="447" t="s">
        <v>108</v>
      </c>
      <c r="D255" s="447" t="s">
        <v>1434</v>
      </c>
      <c r="E255" s="448"/>
      <c r="F255" s="198" t="s">
        <v>1435</v>
      </c>
      <c r="G255" s="123" t="s">
        <v>1479</v>
      </c>
      <c r="H255" s="123" t="s">
        <v>1437</v>
      </c>
      <c r="I255" s="565">
        <v>45633.0</v>
      </c>
      <c r="J255" s="566">
        <v>45663.0</v>
      </c>
      <c r="K255" s="129"/>
      <c r="L255" s="129"/>
      <c r="M255" s="123" t="s">
        <v>1439</v>
      </c>
      <c r="N255" s="123" t="s">
        <v>1440</v>
      </c>
      <c r="O255" s="129"/>
      <c r="P255" s="220" t="str">
        <f>SUBSTITUTE(LOWER(N255), "/", "--") &amp;  ".pdf"</f>
        <v>10.1177--0267658310386439.pdf</v>
      </c>
      <c r="Q255" s="49" t="str">
        <f t="array" ref="Q255"> if(iserror(MATCH(V255, 'File Links'!C:C, 0)), "N/A", HYPERLINK(INDEX('File Links'!B:B, MATCH(P255, 'File Links'!C:C, 0))))</f>
        <v>https://drive.google.com/file/d/1c_xOizbgC83hFcsc5jmN-idvU1vfACNB/view?usp=drivesdk</v>
      </c>
      <c r="R255" s="123" t="s">
        <v>1441</v>
      </c>
      <c r="S255" s="123" t="s">
        <v>1442</v>
      </c>
      <c r="T255" s="129"/>
      <c r="U255" s="315"/>
      <c r="V255" s="123" t="str">
        <f>HYPERLINK(VLOOKUP(LOWER(S255),#REF!, 2, FALSE), SUBSTITUTE(LOWER(S255), "/", "--") &amp;  ".pdf")</f>
        <v>10.1017--s0272263124000342.pdf</v>
      </c>
      <c r="W255" s="131" t="s">
        <v>1443</v>
      </c>
      <c r="X255" s="51" t="str">
        <f t="array" ref="X255"> if(iserror(MATCH(V255, 'File Links'!C:C, 0)), "N/A", HYPERLINK(INDEX('File Links'!B:B, MATCH(V255, 'File Links'!C:C, 0))))</f>
        <v>https://drive.google.com/file/d/1fNwzy4f6SEAeVccICF8BD0SDAIH7uPVr/view?usp=drivesdk</v>
      </c>
      <c r="Y255" s="129"/>
      <c r="Z255" s="123" t="s">
        <v>288</v>
      </c>
      <c r="AA255" s="131" t="s">
        <v>1444</v>
      </c>
      <c r="AB255" s="131" t="s">
        <v>1445</v>
      </c>
      <c r="AC255" s="123" t="s">
        <v>1480</v>
      </c>
      <c r="AD255" s="123" t="s">
        <v>1481</v>
      </c>
      <c r="AE255" s="317">
        <v>119.0</v>
      </c>
      <c r="AF255" s="127">
        <v>60.0</v>
      </c>
      <c r="AG255" s="575" t="s">
        <v>1477</v>
      </c>
      <c r="AH255" s="576" t="s">
        <v>127</v>
      </c>
      <c r="AI255" s="577"/>
      <c r="AJ255" s="578">
        <v>0.751</v>
      </c>
      <c r="AK255" s="579" t="s">
        <v>165</v>
      </c>
      <c r="AL255" s="577" t="s">
        <v>179</v>
      </c>
      <c r="AM255" s="577" t="s">
        <v>134</v>
      </c>
      <c r="AN255" s="58" t="s">
        <v>131</v>
      </c>
      <c r="AO255" s="578">
        <v>215.0</v>
      </c>
      <c r="AP255" s="410" t="s">
        <v>1478</v>
      </c>
      <c r="AQ255" s="575" t="s">
        <v>127</v>
      </c>
      <c r="AR255" s="577"/>
      <c r="AS255" s="127">
        <v>0.05</v>
      </c>
      <c r="AT255" s="122" t="s">
        <v>128</v>
      </c>
      <c r="AU255" s="122" t="s">
        <v>179</v>
      </c>
      <c r="AV255" s="122" t="s">
        <v>134</v>
      </c>
      <c r="AW255" s="122"/>
      <c r="AX255" s="137" t="s">
        <v>136</v>
      </c>
      <c r="AY255" s="58"/>
      <c r="AZ255" s="121" t="s">
        <v>137</v>
      </c>
      <c r="BC255" s="69"/>
      <c r="BD255" s="69"/>
      <c r="BE255" s="69"/>
      <c r="BF255" s="69"/>
      <c r="BG255" s="69"/>
      <c r="BH255" s="69"/>
      <c r="BI255" s="69"/>
      <c r="BJ255" s="69"/>
      <c r="BK255" s="69"/>
      <c r="BL255" s="69"/>
      <c r="BM255" s="69"/>
      <c r="BN255" s="69"/>
      <c r="BO255" s="69"/>
      <c r="BP255" s="69"/>
      <c r="BQ255" s="69"/>
      <c r="BR255" s="69"/>
      <c r="BS255" s="69"/>
      <c r="BT255" s="69"/>
      <c r="BU255" s="69"/>
      <c r="BV255" s="69"/>
      <c r="BW255" s="69"/>
      <c r="BX255" s="69"/>
      <c r="BY255" s="69"/>
      <c r="BZ255" s="69"/>
      <c r="CA255" s="69"/>
      <c r="CB255" s="69"/>
      <c r="CC255" s="69"/>
      <c r="CD255" s="69"/>
      <c r="CE255" s="69"/>
      <c r="CF255" s="69"/>
      <c r="CG255" s="69"/>
      <c r="CH255" s="69"/>
      <c r="CI255" s="69"/>
      <c r="CJ255" s="69"/>
      <c r="CK255" s="69"/>
      <c r="CL255" s="69"/>
      <c r="CM255" s="69"/>
      <c r="CN255" s="69"/>
      <c r="CO255" s="69"/>
      <c r="CP255" s="69"/>
      <c r="CQ255" s="69"/>
      <c r="CR255" s="69"/>
      <c r="CS255" s="69"/>
      <c r="CT255" s="69"/>
      <c r="CU255" s="69"/>
      <c r="CV255" s="69"/>
      <c r="CW255" s="69"/>
      <c r="CX255" s="69"/>
      <c r="CY255" s="69"/>
      <c r="CZ255" s="69"/>
      <c r="DA255" s="69"/>
      <c r="DB255" s="69"/>
      <c r="DC255" s="69"/>
      <c r="DD255" s="69"/>
      <c r="DE255" s="69"/>
      <c r="DF255" s="69"/>
      <c r="DG255" s="69"/>
      <c r="DH255" s="69"/>
    </row>
    <row r="256" ht="20.25" customHeight="1">
      <c r="A256" s="41">
        <v>256.0</v>
      </c>
      <c r="B256" s="196" t="s">
        <v>145</v>
      </c>
      <c r="C256" s="196" t="s">
        <v>108</v>
      </c>
      <c r="D256" s="196" t="s">
        <v>1451</v>
      </c>
      <c r="E256" s="197"/>
      <c r="F256" s="198" t="s">
        <v>1435</v>
      </c>
      <c r="G256" s="109" t="s">
        <v>1479</v>
      </c>
      <c r="H256" s="109" t="s">
        <v>1452</v>
      </c>
      <c r="I256" s="414">
        <v>45636.0</v>
      </c>
      <c r="J256" s="571">
        <v>45663.0</v>
      </c>
      <c r="K256" s="109" t="s">
        <v>1482</v>
      </c>
      <c r="L256" s="111"/>
      <c r="M256" s="415" t="s">
        <v>1483</v>
      </c>
      <c r="N256" s="109" t="s">
        <v>1440</v>
      </c>
      <c r="O256" s="144">
        <v>1.0</v>
      </c>
      <c r="P256" s="118" t="str">
        <f> SUBSTITUTE(lower(N256), "/", "--") &amp;  ".pdf"</f>
        <v>10.1177--0267658310386439.pdf</v>
      </c>
      <c r="Q256" s="49" t="str">
        <f t="array" ref="Q256"> if(iserror(MATCH(V256, 'File Links'!C:C, 0)), "N/A", HYPERLINK(INDEX('File Links'!B:B, MATCH(P256, 'File Links'!C:C, 0))))</f>
        <v>https://drive.google.com/file/d/1c_xOizbgC83hFcsc5jmN-idvU1vfACNB/view?usp=drivesdk</v>
      </c>
      <c r="R256" s="415" t="s">
        <v>1484</v>
      </c>
      <c r="S256" s="580" t="s">
        <v>1442</v>
      </c>
      <c r="T256" s="111"/>
      <c r="U256" s="130">
        <v>1.0</v>
      </c>
      <c r="V256" s="109" t="str">
        <f> hyperlink(vlookup(lower(S256),#REF!, 2, FALSE), SUBSTITUTE(lower(S256), "/", "--") &amp;  ".pdf")</f>
        <v>10.1017--s0272263124000342.pdf</v>
      </c>
      <c r="W256" s="136" t="s">
        <v>1443</v>
      </c>
      <c r="X256" s="51" t="str">
        <f t="array" ref="X256"> if(iserror(MATCH(V256, 'File Links'!C:C, 0)), "N/A", HYPERLINK(INDEX('File Links'!B:B, MATCH(V256, 'File Links'!C:C, 0))))</f>
        <v>https://drive.google.com/file/d/1fNwzy4f6SEAeVccICF8BD0SDAIH7uPVr/view?usp=drivesdk</v>
      </c>
      <c r="Y256" s="111"/>
      <c r="Z256" s="109" t="s">
        <v>288</v>
      </c>
      <c r="AA256" s="136" t="s">
        <v>1444</v>
      </c>
      <c r="AB256" s="136" t="s">
        <v>1445</v>
      </c>
      <c r="AC256" s="111" t="s">
        <v>1456</v>
      </c>
      <c r="AD256" s="109" t="s">
        <v>1485</v>
      </c>
      <c r="AE256" s="109" t="s">
        <v>1476</v>
      </c>
      <c r="AF256" s="114">
        <v>60.0</v>
      </c>
      <c r="AG256" s="199" t="s">
        <v>1486</v>
      </c>
      <c r="AH256" s="573" t="s">
        <v>127</v>
      </c>
      <c r="AI256" s="203" t="s">
        <v>429</v>
      </c>
      <c r="AJ256" s="574">
        <v>0.763</v>
      </c>
      <c r="AK256" s="201" t="s">
        <v>165</v>
      </c>
      <c r="AL256" s="451" t="s">
        <v>179</v>
      </c>
      <c r="AM256" s="199" t="s">
        <v>134</v>
      </c>
      <c r="AN256" s="58" t="s">
        <v>131</v>
      </c>
      <c r="AO256" s="574">
        <v>215.0</v>
      </c>
      <c r="AP256" s="581" t="s">
        <v>1487</v>
      </c>
      <c r="AQ256" s="451" t="s">
        <v>127</v>
      </c>
      <c r="AR256" s="199" t="s">
        <v>623</v>
      </c>
      <c r="AS256" s="574">
        <v>0.05</v>
      </c>
      <c r="AT256" s="198" t="s">
        <v>165</v>
      </c>
      <c r="AU256" s="198" t="s">
        <v>179</v>
      </c>
      <c r="AV256" s="119" t="s">
        <v>134</v>
      </c>
      <c r="AW256" s="59" t="s">
        <v>131</v>
      </c>
      <c r="AX256" s="108" t="s">
        <v>136</v>
      </c>
      <c r="AY256" s="58"/>
      <c r="AZ256" s="121" t="s">
        <v>137</v>
      </c>
      <c r="BC256" s="69"/>
      <c r="BD256" s="69"/>
      <c r="BE256" s="69"/>
      <c r="BF256" s="69"/>
      <c r="BG256" s="69"/>
      <c r="BH256" s="69"/>
      <c r="BI256" s="69"/>
      <c r="BJ256" s="69"/>
      <c r="BK256" s="69"/>
      <c r="BL256" s="69"/>
      <c r="BM256" s="69"/>
      <c r="BN256" s="69"/>
      <c r="BO256" s="69"/>
      <c r="BP256" s="69"/>
      <c r="BQ256" s="69"/>
      <c r="BR256" s="69"/>
      <c r="BS256" s="69"/>
      <c r="BT256" s="69"/>
      <c r="BU256" s="69"/>
      <c r="BV256" s="69"/>
      <c r="BW256" s="69"/>
      <c r="BX256" s="69"/>
      <c r="BY256" s="69"/>
      <c r="BZ256" s="69"/>
      <c r="CA256" s="69"/>
      <c r="CB256" s="69"/>
      <c r="CC256" s="69"/>
      <c r="CD256" s="69"/>
      <c r="CE256" s="69"/>
      <c r="CF256" s="69"/>
      <c r="CG256" s="69"/>
      <c r="CH256" s="69"/>
      <c r="CI256" s="69"/>
      <c r="CJ256" s="69"/>
      <c r="CK256" s="69"/>
      <c r="CL256" s="69"/>
      <c r="CM256" s="69"/>
      <c r="CN256" s="69"/>
      <c r="CO256" s="69"/>
      <c r="CP256" s="69"/>
      <c r="CQ256" s="69"/>
      <c r="CR256" s="69"/>
      <c r="CS256" s="69"/>
      <c r="CT256" s="69"/>
      <c r="CU256" s="69"/>
      <c r="CV256" s="69"/>
      <c r="CW256" s="69"/>
      <c r="CX256" s="69"/>
      <c r="CY256" s="69"/>
      <c r="CZ256" s="69"/>
      <c r="DA256" s="69"/>
      <c r="DB256" s="69"/>
      <c r="DC256" s="69"/>
      <c r="DD256" s="69"/>
      <c r="DE256" s="69"/>
      <c r="DF256" s="69"/>
      <c r="DG256" s="69"/>
      <c r="DH256" s="69"/>
    </row>
    <row r="257" ht="20.25" customHeight="1">
      <c r="A257" s="41">
        <v>257.0</v>
      </c>
      <c r="B257" s="447" t="s">
        <v>145</v>
      </c>
      <c r="C257" s="447" t="s">
        <v>108</v>
      </c>
      <c r="D257" s="447" t="s">
        <v>1434</v>
      </c>
      <c r="E257" s="448"/>
      <c r="F257" s="198" t="s">
        <v>1435</v>
      </c>
      <c r="G257" s="123" t="s">
        <v>1488</v>
      </c>
      <c r="H257" s="123" t="s">
        <v>1437</v>
      </c>
      <c r="I257" s="565">
        <v>45633.0</v>
      </c>
      <c r="J257" s="566">
        <v>45663.0</v>
      </c>
      <c r="K257" s="129"/>
      <c r="L257" s="129"/>
      <c r="M257" s="123" t="s">
        <v>1439</v>
      </c>
      <c r="N257" s="123" t="s">
        <v>1440</v>
      </c>
      <c r="O257" s="216">
        <v>1.0</v>
      </c>
      <c r="P257" s="220" t="str">
        <f t="shared" ref="P257:P259" si="1">SUBSTITUTE(LOWER(N257), "/", "--") &amp;  ".pdf"</f>
        <v>10.1177--0267658310386439.pdf</v>
      </c>
      <c r="Q257" s="49" t="str">
        <f t="array" ref="Q257"> if(iserror(MATCH(V257, 'File Links'!C:C, 0)), "N/A", HYPERLINK(INDEX('File Links'!B:B, MATCH(P257, 'File Links'!C:C, 0))))</f>
        <v>https://drive.google.com/file/d/1c_xOizbgC83hFcsc5jmN-idvU1vfACNB/view?usp=drivesdk</v>
      </c>
      <c r="R257" s="123" t="s">
        <v>1441</v>
      </c>
      <c r="S257" s="123" t="s">
        <v>1442</v>
      </c>
      <c r="T257" s="129"/>
      <c r="U257" s="130">
        <v>1.0</v>
      </c>
      <c r="V257" s="123" t="str">
        <f t="shared" ref="V257:V259" si="2">HYPERLINK(VLOOKUP(LOWER(S257),#REF!, 2, FALSE), SUBSTITUTE(LOWER(S257), "/", "--") &amp;  ".pdf")</f>
        <v>10.1017--s0272263124000342.pdf</v>
      </c>
      <c r="W257" s="131" t="s">
        <v>1443</v>
      </c>
      <c r="X257" s="51" t="str">
        <f t="array" ref="X257"> if(iserror(MATCH(V257, 'File Links'!C:C, 0)), "N/A", HYPERLINK(INDEX('File Links'!B:B, MATCH(V257, 'File Links'!C:C, 0))))</f>
        <v>https://drive.google.com/file/d/1fNwzy4f6SEAeVccICF8BD0SDAIH7uPVr/view?usp=drivesdk</v>
      </c>
      <c r="Y257" s="129"/>
      <c r="Z257" s="123" t="s">
        <v>288</v>
      </c>
      <c r="AA257" s="131" t="s">
        <v>1444</v>
      </c>
      <c r="AB257" s="131" t="s">
        <v>1445</v>
      </c>
      <c r="AC257" s="123" t="s">
        <v>1489</v>
      </c>
      <c r="AD257" s="123" t="s">
        <v>1490</v>
      </c>
      <c r="AE257" s="317">
        <v>119.0</v>
      </c>
      <c r="AF257" s="127">
        <v>60.0</v>
      </c>
      <c r="AG257" s="199" t="s">
        <v>1491</v>
      </c>
      <c r="AH257" s="573" t="s">
        <v>127</v>
      </c>
      <c r="AI257" s="539"/>
      <c r="AJ257" s="574">
        <v>0.118</v>
      </c>
      <c r="AK257" s="201" t="s">
        <v>165</v>
      </c>
      <c r="AL257" s="451" t="s">
        <v>179</v>
      </c>
      <c r="AM257" s="451" t="s">
        <v>134</v>
      </c>
      <c r="AN257" s="58" t="s">
        <v>131</v>
      </c>
      <c r="AO257" s="574">
        <v>215.0</v>
      </c>
      <c r="AP257" s="203" t="s">
        <v>1492</v>
      </c>
      <c r="AQ257" s="199" t="s">
        <v>127</v>
      </c>
      <c r="AR257" s="129"/>
      <c r="AS257" s="127">
        <v>0.05</v>
      </c>
      <c r="AT257" s="122" t="s">
        <v>128</v>
      </c>
      <c r="AU257" s="122" t="s">
        <v>179</v>
      </c>
      <c r="AV257" s="122" t="s">
        <v>134</v>
      </c>
      <c r="AW257" s="59" t="s">
        <v>131</v>
      </c>
      <c r="AX257" s="137" t="s">
        <v>136</v>
      </c>
      <c r="AY257" s="58"/>
      <c r="AZ257" s="121" t="s">
        <v>137</v>
      </c>
    </row>
    <row r="258" ht="20.25" customHeight="1">
      <c r="A258" s="41">
        <v>258.0</v>
      </c>
      <c r="B258" s="447" t="s">
        <v>107</v>
      </c>
      <c r="C258" s="447" t="s">
        <v>108</v>
      </c>
      <c r="D258" s="447" t="s">
        <v>1434</v>
      </c>
      <c r="E258" s="448"/>
      <c r="F258" s="198" t="s">
        <v>1435</v>
      </c>
      <c r="G258" s="123" t="s">
        <v>1493</v>
      </c>
      <c r="H258" s="123" t="s">
        <v>1437</v>
      </c>
      <c r="I258" s="565">
        <v>45428.0</v>
      </c>
      <c r="J258" s="565">
        <v>45633.0</v>
      </c>
      <c r="K258" s="129"/>
      <c r="L258" s="216" t="s">
        <v>1494</v>
      </c>
      <c r="M258" s="123" t="s">
        <v>1439</v>
      </c>
      <c r="N258" s="123" t="s">
        <v>1440</v>
      </c>
      <c r="O258" s="129"/>
      <c r="P258" s="220" t="str">
        <f t="shared" si="1"/>
        <v>10.1177--0267658310386439.pdf</v>
      </c>
      <c r="Q258" s="49" t="str">
        <f t="array" ref="Q258"> if(iserror(MATCH(V258, 'File Links'!C:C, 0)), "N/A", HYPERLINK(INDEX('File Links'!B:B, MATCH(P258, 'File Links'!C:C, 0))))</f>
        <v>https://drive.google.com/file/d/1c_xOizbgC83hFcsc5jmN-idvU1vfACNB/view?usp=drivesdk</v>
      </c>
      <c r="R258" s="123" t="s">
        <v>1441</v>
      </c>
      <c r="S258" s="123" t="s">
        <v>1442</v>
      </c>
      <c r="T258" s="129"/>
      <c r="U258" s="315"/>
      <c r="V258" s="123" t="str">
        <f t="shared" si="2"/>
        <v>10.1017--s0272263124000342.pdf</v>
      </c>
      <c r="W258" s="131" t="s">
        <v>1443</v>
      </c>
      <c r="X258" s="51" t="str">
        <f t="array" ref="X258"> if(iserror(MATCH(V258, 'File Links'!C:C, 0)), "N/A", HYPERLINK(INDEX('File Links'!B:B, MATCH(V258, 'File Links'!C:C, 0))))</f>
        <v>https://drive.google.com/file/d/1fNwzy4f6SEAeVccICF8BD0SDAIH7uPVr/view?usp=drivesdk</v>
      </c>
      <c r="Y258" s="129"/>
      <c r="Z258" s="123" t="s">
        <v>288</v>
      </c>
      <c r="AA258" s="131" t="s">
        <v>1444</v>
      </c>
      <c r="AB258" s="131" t="s">
        <v>1445</v>
      </c>
      <c r="AC258" s="123" t="s">
        <v>1495</v>
      </c>
      <c r="AD258" s="582" t="s">
        <v>1496</v>
      </c>
      <c r="AE258" s="127">
        <v>119.0</v>
      </c>
      <c r="AF258" s="127">
        <v>60.0</v>
      </c>
      <c r="AG258" s="575" t="s">
        <v>1486</v>
      </c>
      <c r="AH258" s="576" t="s">
        <v>127</v>
      </c>
      <c r="AI258" s="577"/>
      <c r="AJ258" s="578">
        <v>0.763</v>
      </c>
      <c r="AK258" s="579" t="s">
        <v>165</v>
      </c>
      <c r="AL258" s="577" t="s">
        <v>179</v>
      </c>
      <c r="AM258" s="577" t="s">
        <v>134</v>
      </c>
      <c r="AN258" s="58" t="s">
        <v>131</v>
      </c>
      <c r="AO258" s="578">
        <v>215.0</v>
      </c>
      <c r="AP258" s="575" t="s">
        <v>1487</v>
      </c>
      <c r="AQ258" s="575" t="s">
        <v>127</v>
      </c>
      <c r="AR258" s="577"/>
      <c r="AS258" s="578">
        <v>0.5</v>
      </c>
      <c r="AT258" s="579" t="s">
        <v>165</v>
      </c>
      <c r="AU258" s="122" t="s">
        <v>179</v>
      </c>
      <c r="AV258" s="122" t="s">
        <v>134</v>
      </c>
      <c r="AW258" s="122"/>
      <c r="AX258" s="137" t="s">
        <v>136</v>
      </c>
      <c r="AY258" s="58"/>
      <c r="AZ258" s="121" t="s">
        <v>137</v>
      </c>
    </row>
    <row r="259" ht="20.25" customHeight="1">
      <c r="A259" s="41">
        <v>259.0</v>
      </c>
      <c r="B259" s="106" t="s">
        <v>278</v>
      </c>
      <c r="C259" s="106" t="s">
        <v>108</v>
      </c>
      <c r="D259" s="106" t="s">
        <v>1434</v>
      </c>
      <c r="E259" s="107"/>
      <c r="F259" s="119" t="s">
        <v>1497</v>
      </c>
      <c r="G259" s="109" t="s">
        <v>1498</v>
      </c>
      <c r="H259" s="109" t="s">
        <v>1437</v>
      </c>
      <c r="I259" s="583">
        <v>45428.0</v>
      </c>
      <c r="J259" s="583">
        <v>45636.0</v>
      </c>
      <c r="K259" s="111"/>
      <c r="L259" s="111"/>
      <c r="M259" s="109" t="s">
        <v>1499</v>
      </c>
      <c r="N259" s="109" t="s">
        <v>1500</v>
      </c>
      <c r="O259" s="111"/>
      <c r="P259" s="118" t="str">
        <f t="shared" si="1"/>
        <v>10.1111--1467-6281.00073.pdf</v>
      </c>
      <c r="Q259" s="105" t="str">
        <f t="array" ref="Q259"> if(iserror(MATCH(V259, 'File Links'!C:C, 0)), "N/A", HYPERLINK(INDEX('File Links'!B:B, MATCH(P259, 'File Links'!C:C, 0))))</f>
        <v>N/A</v>
      </c>
      <c r="R259" s="109" t="s">
        <v>1501</v>
      </c>
      <c r="S259" s="109" t="s">
        <v>1502</v>
      </c>
      <c r="T259" s="584" t="s">
        <v>1503</v>
      </c>
      <c r="U259" s="117"/>
      <c r="V259" s="109" t="str">
        <f t="shared" si="2"/>
        <v>10.1108--s1574-076520240000026005.pdf</v>
      </c>
      <c r="W259" s="415" t="s">
        <v>1504</v>
      </c>
      <c r="X259" s="46" t="str">
        <f t="array" ref="X259"> if(iserror(MATCH(V259, 'File Links'!C:C, 0)), "N/A", HYPERLINK(INDEX('File Links'!B:B, MATCH(V259, 'File Links'!C:C, 0))))</f>
        <v>N/A</v>
      </c>
      <c r="Y259" s="111"/>
      <c r="Z259" s="109" t="s">
        <v>219</v>
      </c>
      <c r="AA259" s="109" t="s">
        <v>1505</v>
      </c>
      <c r="AB259" s="109" t="s">
        <v>1506</v>
      </c>
      <c r="AC259" s="109" t="s">
        <v>1507</v>
      </c>
      <c r="AD259" s="109" t="s">
        <v>1508</v>
      </c>
      <c r="AE259" s="114">
        <v>9.0</v>
      </c>
      <c r="AF259" s="114">
        <v>250.0</v>
      </c>
      <c r="AG259" s="109" t="s">
        <v>1509</v>
      </c>
      <c r="AH259" s="118" t="s">
        <v>127</v>
      </c>
      <c r="AI259" s="111"/>
      <c r="AJ259" s="114">
        <v>0.0025</v>
      </c>
      <c r="AK259" s="108" t="s">
        <v>165</v>
      </c>
      <c r="AL259" s="111" t="s">
        <v>211</v>
      </c>
      <c r="AM259" s="111" t="s">
        <v>130</v>
      </c>
      <c r="AN259" s="58" t="s">
        <v>131</v>
      </c>
      <c r="AO259" s="114">
        <v>198.0</v>
      </c>
      <c r="AP259" s="109" t="s">
        <v>1510</v>
      </c>
      <c r="AQ259" s="109" t="s">
        <v>127</v>
      </c>
      <c r="AR259" s="111"/>
      <c r="AS259" s="114">
        <v>0.021</v>
      </c>
      <c r="AT259" s="108" t="s">
        <v>165</v>
      </c>
      <c r="AU259" s="108" t="s">
        <v>211</v>
      </c>
      <c r="AV259" s="108" t="s">
        <v>130</v>
      </c>
      <c r="AW259" s="108"/>
      <c r="AX259" s="119" t="s">
        <v>136</v>
      </c>
      <c r="AY259" s="58"/>
      <c r="AZ259" s="69"/>
    </row>
    <row r="260" ht="20.25" customHeight="1">
      <c r="A260" s="41">
        <v>260.0</v>
      </c>
      <c r="B260" s="121" t="s">
        <v>278</v>
      </c>
      <c r="C260" s="121" t="s">
        <v>108</v>
      </c>
      <c r="D260" s="121" t="s">
        <v>1451</v>
      </c>
      <c r="E260" s="104"/>
      <c r="F260" s="137" t="s">
        <v>1497</v>
      </c>
      <c r="G260" s="123" t="s">
        <v>1498</v>
      </c>
      <c r="H260" s="123" t="s">
        <v>1511</v>
      </c>
      <c r="I260" s="314">
        <v>45428.0</v>
      </c>
      <c r="J260" s="124">
        <v>45640.0</v>
      </c>
      <c r="K260" s="123" t="s">
        <v>1512</v>
      </c>
      <c r="L260" s="129"/>
      <c r="M260" s="123" t="s">
        <v>1499</v>
      </c>
      <c r="N260" s="123" t="s">
        <v>1500</v>
      </c>
      <c r="O260" s="129"/>
      <c r="P260" s="220" t="str">
        <f> SUBSTITUTE(lower(N260), "/", "--") &amp;  ".pdf"</f>
        <v>10.1111--1467-6281.00073.pdf</v>
      </c>
      <c r="Q260" s="105" t="str">
        <f t="array" ref="Q260"> if(iserror(MATCH(V260, 'File Links'!C:C, 0)), "N/A", HYPERLINK(INDEX('File Links'!B:B, MATCH(P260, 'File Links'!C:C, 0))))</f>
        <v>N/A</v>
      </c>
      <c r="R260" s="584" t="s">
        <v>1513</v>
      </c>
      <c r="S260" s="216" t="s">
        <v>1502</v>
      </c>
      <c r="T260" s="584" t="s">
        <v>1514</v>
      </c>
      <c r="U260" s="315"/>
      <c r="V260" s="123" t="str">
        <f> hyperlink(vlookup(lower(S260),#REF!, 2, FALSE), SUBSTITUTE(lower(S260), "/", "--") &amp;  ".pdf")</f>
        <v>10.1108--s1574-076520240000026005.pdf</v>
      </c>
      <c r="W260" s="129"/>
      <c r="X260" s="46" t="str">
        <f t="array" ref="X260"> if(iserror(MATCH(V260, 'File Links'!C:C, 0)), "N/A", HYPERLINK(INDEX('File Links'!B:B, MATCH(V260, 'File Links'!C:C, 0))))</f>
        <v>N/A</v>
      </c>
      <c r="Y260" s="129"/>
      <c r="Z260" s="129"/>
      <c r="AA260" s="129"/>
      <c r="AB260" s="129"/>
      <c r="AC260" s="129"/>
      <c r="AD260" s="129"/>
      <c r="AE260" s="129"/>
      <c r="AF260" s="129"/>
      <c r="AG260" s="129"/>
      <c r="AH260" s="315"/>
      <c r="AI260" s="129"/>
      <c r="AJ260" s="129"/>
      <c r="AK260" s="122"/>
      <c r="AL260" s="129"/>
      <c r="AM260" s="129"/>
      <c r="AN260" s="58" t="s">
        <v>131</v>
      </c>
      <c r="AO260" s="129"/>
      <c r="AP260" s="129"/>
      <c r="AQ260" s="129"/>
      <c r="AR260" s="129"/>
      <c r="AS260" s="129"/>
      <c r="AT260" s="122"/>
      <c r="AU260" s="122"/>
      <c r="AV260" s="122"/>
      <c r="AW260" s="122"/>
      <c r="AX260" s="122"/>
      <c r="AY260" s="58"/>
      <c r="AZ260" s="104"/>
    </row>
    <row r="261" ht="20.25" customHeight="1">
      <c r="A261" s="41">
        <v>261.0</v>
      </c>
      <c r="B261" s="106" t="s">
        <v>278</v>
      </c>
      <c r="C261" s="106" t="s">
        <v>108</v>
      </c>
      <c r="D261" s="106" t="s">
        <v>1434</v>
      </c>
      <c r="E261" s="107"/>
      <c r="F261" s="137" t="s">
        <v>1497</v>
      </c>
      <c r="G261" s="109" t="s">
        <v>1515</v>
      </c>
      <c r="H261" s="109" t="s">
        <v>1437</v>
      </c>
      <c r="I261" s="583">
        <v>45636.0</v>
      </c>
      <c r="J261" s="583">
        <v>45636.0</v>
      </c>
      <c r="K261" s="111"/>
      <c r="L261" s="111"/>
      <c r="M261" s="109" t="s">
        <v>1516</v>
      </c>
      <c r="N261" s="109" t="s">
        <v>1500</v>
      </c>
      <c r="O261" s="111"/>
      <c r="P261" s="118" t="str">
        <f t="shared" ref="P261:P263" si="3">SUBSTITUTE(LOWER(N261), "/", "--") &amp;  ".pdf"</f>
        <v>10.1111--1467-6281.00073.pdf</v>
      </c>
      <c r="Q261" s="105" t="str">
        <f t="array" ref="Q261"> if(iserror(MATCH(V261, 'File Links'!C:C, 0)), "N/A", HYPERLINK(INDEX('File Links'!B:B, MATCH(P261, 'File Links'!C:C, 0))))</f>
        <v>N/A</v>
      </c>
      <c r="R261" s="109" t="s">
        <v>1501</v>
      </c>
      <c r="S261" s="109" t="s">
        <v>1502</v>
      </c>
      <c r="T261" s="584" t="s">
        <v>1517</v>
      </c>
      <c r="U261" s="117"/>
      <c r="V261" s="109" t="str">
        <f t="shared" ref="V261:V263" si="4">HYPERLINK(VLOOKUP(LOWER(S261),#REF!, 2, FALSE), SUBSTITUTE(LOWER(S261), "/", "--") &amp;  ".pdf")</f>
        <v>10.1108--s1574-076520240000026005.pdf</v>
      </c>
      <c r="W261" s="109" t="s">
        <v>1504</v>
      </c>
      <c r="X261" s="46" t="str">
        <f t="array" ref="X261"> if(iserror(MATCH(V261, 'File Links'!C:C, 0)), "N/A", HYPERLINK(INDEX('File Links'!B:B, MATCH(V261, 'File Links'!C:C, 0))))</f>
        <v>N/A</v>
      </c>
      <c r="Y261" s="111"/>
      <c r="Z261" s="109" t="s">
        <v>219</v>
      </c>
      <c r="AA261" s="109" t="s">
        <v>1505</v>
      </c>
      <c r="AB261" s="109" t="s">
        <v>1506</v>
      </c>
      <c r="AC261" s="109" t="s">
        <v>1518</v>
      </c>
      <c r="AD261" s="109" t="s">
        <v>1519</v>
      </c>
      <c r="AE261" s="114">
        <v>9.0</v>
      </c>
      <c r="AF261" s="114">
        <v>250.0</v>
      </c>
      <c r="AG261" s="109" t="s">
        <v>1520</v>
      </c>
      <c r="AH261" s="118" t="s">
        <v>127</v>
      </c>
      <c r="AI261" s="111"/>
      <c r="AJ261" s="114">
        <v>1.0E-4</v>
      </c>
      <c r="AK261" s="108" t="s">
        <v>128</v>
      </c>
      <c r="AL261" s="111" t="s">
        <v>179</v>
      </c>
      <c r="AM261" s="111" t="s">
        <v>130</v>
      </c>
      <c r="AN261" s="58" t="s">
        <v>131</v>
      </c>
      <c r="AO261" s="114">
        <v>198.0</v>
      </c>
      <c r="AP261" s="109" t="s">
        <v>1521</v>
      </c>
      <c r="AQ261" s="109" t="s">
        <v>127</v>
      </c>
      <c r="AR261" s="111"/>
      <c r="AS261" s="114">
        <v>1.0E-4</v>
      </c>
      <c r="AT261" s="108" t="s">
        <v>128</v>
      </c>
      <c r="AU261" s="108" t="s">
        <v>211</v>
      </c>
      <c r="AV261" s="108" t="s">
        <v>130</v>
      </c>
      <c r="AW261" s="108"/>
      <c r="AX261" s="119" t="s">
        <v>136</v>
      </c>
      <c r="AY261" s="58"/>
      <c r="AZ261" s="69"/>
    </row>
    <row r="262" ht="20.25" customHeight="1">
      <c r="A262" s="41">
        <v>262.0</v>
      </c>
      <c r="B262" s="106" t="s">
        <v>278</v>
      </c>
      <c r="C262" s="106" t="s">
        <v>108</v>
      </c>
      <c r="D262" s="106" t="s">
        <v>1434</v>
      </c>
      <c r="E262" s="107"/>
      <c r="F262" s="137" t="s">
        <v>1497</v>
      </c>
      <c r="G262" s="109" t="s">
        <v>1522</v>
      </c>
      <c r="H262" s="109" t="s">
        <v>1437</v>
      </c>
      <c r="I262" s="583">
        <v>45636.0</v>
      </c>
      <c r="J262" s="583">
        <v>45636.0</v>
      </c>
      <c r="K262" s="585" t="s">
        <v>1523</v>
      </c>
      <c r="L262" s="111"/>
      <c r="M262" s="109" t="s">
        <v>1524</v>
      </c>
      <c r="N262" s="109" t="s">
        <v>1500</v>
      </c>
      <c r="O262" s="111"/>
      <c r="P262" s="118" t="str">
        <f t="shared" si="3"/>
        <v>10.1111--1467-6281.00073.pdf</v>
      </c>
      <c r="Q262" s="105" t="str">
        <f t="array" ref="Q262"> if(iserror(MATCH(V262, 'File Links'!C:C, 0)), "N/A", HYPERLINK(INDEX('File Links'!B:B, MATCH(P262, 'File Links'!C:C, 0))))</f>
        <v>N/A</v>
      </c>
      <c r="R262" s="109" t="s">
        <v>1501</v>
      </c>
      <c r="S262" s="109" t="s">
        <v>1502</v>
      </c>
      <c r="T262" s="584" t="s">
        <v>1525</v>
      </c>
      <c r="U262" s="117"/>
      <c r="V262" s="109" t="str">
        <f t="shared" si="4"/>
        <v>10.1108--s1574-076520240000026005.pdf</v>
      </c>
      <c r="W262" s="109" t="s">
        <v>1504</v>
      </c>
      <c r="X262" s="46" t="str">
        <f t="array" ref="X262"> if(iserror(MATCH(V262, 'File Links'!C:C, 0)), "N/A", HYPERLINK(INDEX('File Links'!B:B, MATCH(V262, 'File Links'!C:C, 0))))</f>
        <v>N/A</v>
      </c>
      <c r="Y262" s="111"/>
      <c r="Z262" s="109" t="s">
        <v>219</v>
      </c>
      <c r="AA262" s="109" t="s">
        <v>1505</v>
      </c>
      <c r="AB262" s="109" t="s">
        <v>1506</v>
      </c>
      <c r="AC262" s="109" t="s">
        <v>1526</v>
      </c>
      <c r="AD262" s="109" t="s">
        <v>1527</v>
      </c>
      <c r="AE262" s="114">
        <v>8.0</v>
      </c>
      <c r="AF262" s="114">
        <v>250.0</v>
      </c>
      <c r="AG262" s="586" t="s">
        <v>1528</v>
      </c>
      <c r="AH262" s="118" t="s">
        <v>1529</v>
      </c>
      <c r="AI262" s="111"/>
      <c r="AJ262" s="109" t="s">
        <v>1528</v>
      </c>
      <c r="AK262" s="113" t="s">
        <v>131</v>
      </c>
      <c r="AL262" s="109" t="s">
        <v>1528</v>
      </c>
      <c r="AM262" s="109" t="s">
        <v>1528</v>
      </c>
      <c r="AN262" s="58" t="s">
        <v>131</v>
      </c>
      <c r="AO262" s="114">
        <v>198.0</v>
      </c>
      <c r="AP262" s="109" t="s">
        <v>1528</v>
      </c>
      <c r="AQ262" s="109" t="s">
        <v>1530</v>
      </c>
      <c r="AR262" s="111"/>
      <c r="AS262" s="109" t="s">
        <v>1528</v>
      </c>
      <c r="AT262" s="119" t="s">
        <v>1528</v>
      </c>
      <c r="AU262" s="119" t="s">
        <v>1528</v>
      </c>
      <c r="AV262" s="119" t="s">
        <v>1528</v>
      </c>
      <c r="AW262" s="108"/>
      <c r="AX262" s="119" t="s">
        <v>136</v>
      </c>
      <c r="AY262" s="58"/>
      <c r="AZ262" s="69"/>
    </row>
    <row r="263" ht="20.25" customHeight="1">
      <c r="A263" s="41">
        <v>263.0</v>
      </c>
      <c r="B263" s="42" t="s">
        <v>107</v>
      </c>
      <c r="C263" s="42" t="s">
        <v>108</v>
      </c>
      <c r="D263" s="42" t="s">
        <v>1434</v>
      </c>
      <c r="E263" s="62"/>
      <c r="F263" s="478" t="s">
        <v>1531</v>
      </c>
      <c r="G263" s="380" t="s">
        <v>1532</v>
      </c>
      <c r="H263" s="380" t="s">
        <v>1533</v>
      </c>
      <c r="I263" s="587">
        <v>45433.0</v>
      </c>
      <c r="J263" s="587">
        <v>41983.0</v>
      </c>
      <c r="K263" s="380" t="s">
        <v>1534</v>
      </c>
      <c r="L263" s="459"/>
      <c r="M263" s="380" t="s">
        <v>1535</v>
      </c>
      <c r="N263" s="380" t="s">
        <v>1536</v>
      </c>
      <c r="O263" s="459"/>
      <c r="P263" s="490" t="str">
        <f t="shared" si="3"/>
        <v>10.1037--a0025345.pdf</v>
      </c>
      <c r="Q263" s="49" t="str">
        <f t="array" ref="Q263"> if(iserror(MATCH(V263, 'File Links'!C:C, 0)), "N/A", HYPERLINK(INDEX('File Links'!B:B, MATCH(P263, 'File Links'!C:C, 0))))</f>
        <v>https://drive.google.com/file/d/1Dm7RxWVN3iiT5GipgY8Gq3dl65EkIYDu/view?usp=drivesdk</v>
      </c>
      <c r="R263" s="380" t="s">
        <v>1537</v>
      </c>
      <c r="S263" s="380" t="s">
        <v>1538</v>
      </c>
      <c r="T263" s="459"/>
      <c r="U263" s="588"/>
      <c r="V263" s="109" t="str">
        <f t="shared" si="4"/>
        <v>10.1017--pds.2024.14.pdf</v>
      </c>
      <c r="W263" s="589" t="s">
        <v>1539</v>
      </c>
      <c r="X263" s="51" t="str">
        <f t="array" ref="X263"> if(iserror(MATCH(V263, 'File Links'!C:C, 0)), "N/A", HYPERLINK(INDEX('File Links'!B:B, MATCH(V263, 'File Links'!C:C, 0))))</f>
        <v>https://drive.google.com/file/d/14Gn77igqT7z48cFv6fyuoc9vsjaDleJT/view?usp=drivesdk</v>
      </c>
      <c r="Y263" s="459"/>
      <c r="Z263" s="459"/>
      <c r="AA263" s="459"/>
      <c r="AB263" s="459"/>
      <c r="AC263" s="459"/>
      <c r="AD263" s="459"/>
      <c r="AE263" s="459"/>
      <c r="AF263" s="459"/>
      <c r="AG263" s="459"/>
      <c r="AH263" s="588"/>
      <c r="AI263" s="459"/>
      <c r="AJ263" s="459"/>
      <c r="AK263" s="539"/>
      <c r="AL263" s="459"/>
      <c r="AM263" s="459"/>
      <c r="AN263" s="58" t="s">
        <v>131</v>
      </c>
      <c r="AO263" s="459"/>
      <c r="AP263" s="459"/>
      <c r="AQ263" s="459"/>
      <c r="AR263" s="459"/>
      <c r="AS263" s="459"/>
      <c r="AT263" s="539"/>
      <c r="AU263" s="539"/>
      <c r="AV263" s="539"/>
      <c r="AW263" s="539"/>
      <c r="AX263" s="539"/>
      <c r="AY263" s="58"/>
      <c r="AZ263" s="59" t="s">
        <v>137</v>
      </c>
    </row>
    <row r="264" ht="20.25" customHeight="1">
      <c r="A264" s="41">
        <v>264.0</v>
      </c>
      <c r="B264" s="59" t="s">
        <v>107</v>
      </c>
      <c r="C264" s="59" t="s">
        <v>108</v>
      </c>
      <c r="D264" s="59" t="s">
        <v>1451</v>
      </c>
      <c r="F264" s="156" t="s">
        <v>1531</v>
      </c>
      <c r="G264" s="54" t="s">
        <v>1532</v>
      </c>
      <c r="H264" s="54" t="s">
        <v>1511</v>
      </c>
      <c r="I264" s="149">
        <v>45433.0</v>
      </c>
      <c r="J264" s="431">
        <v>45640.0</v>
      </c>
      <c r="K264" s="54" t="s">
        <v>1540</v>
      </c>
      <c r="L264" s="58"/>
      <c r="M264" s="54" t="s">
        <v>1535</v>
      </c>
      <c r="N264" s="54" t="s">
        <v>1536</v>
      </c>
      <c r="O264" s="58"/>
      <c r="P264" s="336" t="str">
        <f> SUBSTITUTE(lower(N264), "/", "--") &amp;  ".pdf"</f>
        <v>10.1037--a0025345.pdf</v>
      </c>
      <c r="Q264" s="49" t="str">
        <f t="array" ref="Q264"> if(iserror(MATCH(V264, 'File Links'!C:C, 0)), "N/A", HYPERLINK(INDEX('File Links'!B:B, MATCH(P264, 'File Links'!C:C, 0))))</f>
        <v>https://drive.google.com/file/d/1Dm7RxWVN3iiT5GipgY8Gq3dl65EkIYDu/view?usp=drivesdk</v>
      </c>
      <c r="R264" s="590" t="s">
        <v>1541</v>
      </c>
      <c r="S264" s="590" t="s">
        <v>1538</v>
      </c>
      <c r="T264" s="58"/>
      <c r="U264" s="335"/>
      <c r="V264" s="54" t="str">
        <f> hyperlink(vlookup(lower(S264),#REF!, 2, FALSE), SUBSTITUTE(lower(S264), "/", "--") &amp;  ".pdf")</f>
        <v>10.1017--pds.2024.14.pdf</v>
      </c>
      <c r="W264" s="58"/>
      <c r="X264" s="51" t="str">
        <f t="array" ref="X264"> if(iserror(MATCH(V264, 'File Links'!C:C, 0)), "N/A", HYPERLINK(INDEX('File Links'!B:B, MATCH(V264, 'File Links'!C:C, 0))))</f>
        <v>https://drive.google.com/file/d/14Gn77igqT7z48cFv6fyuoc9vsjaDleJT/view?usp=drivesdk</v>
      </c>
      <c r="Y264" s="54" t="s">
        <v>1540</v>
      </c>
      <c r="Z264" s="58"/>
      <c r="AA264" s="58"/>
      <c r="AB264" s="58"/>
      <c r="AC264" s="58"/>
      <c r="AD264" s="58"/>
      <c r="AE264" s="58"/>
      <c r="AF264" s="58"/>
      <c r="AG264" s="58"/>
      <c r="AH264" s="335"/>
      <c r="AI264" s="58"/>
      <c r="AJ264" s="58"/>
      <c r="AK264" s="65"/>
      <c r="AL264" s="58"/>
      <c r="AM264" s="58"/>
      <c r="AN264" s="58" t="s">
        <v>131</v>
      </c>
      <c r="AO264" s="58"/>
      <c r="AP264" s="58"/>
      <c r="AQ264" s="58"/>
      <c r="AR264" s="58"/>
      <c r="AS264" s="58"/>
      <c r="AT264" s="65"/>
      <c r="AU264" s="65"/>
      <c r="AV264" s="65"/>
      <c r="AW264" s="65"/>
      <c r="AX264" s="65"/>
      <c r="AY264" s="58"/>
      <c r="AZ264" s="59" t="s">
        <v>137</v>
      </c>
      <c r="BC264" s="69"/>
      <c r="BD264" s="69"/>
      <c r="BE264" s="69"/>
      <c r="BF264" s="69"/>
      <c r="BG264" s="69"/>
      <c r="BH264" s="69"/>
      <c r="BI264" s="69"/>
      <c r="BJ264" s="69"/>
      <c r="BK264" s="69"/>
      <c r="BL264" s="69"/>
      <c r="BM264" s="69"/>
      <c r="BN264" s="69"/>
      <c r="BO264" s="69"/>
      <c r="BP264" s="69"/>
      <c r="BQ264" s="69"/>
      <c r="BR264" s="69"/>
      <c r="BS264" s="69"/>
      <c r="BT264" s="69"/>
      <c r="BU264" s="69"/>
      <c r="BV264" s="69"/>
      <c r="BW264" s="69"/>
      <c r="BX264" s="69"/>
      <c r="BY264" s="69"/>
      <c r="BZ264" s="69"/>
      <c r="CA264" s="69"/>
      <c r="CB264" s="69"/>
      <c r="CC264" s="69"/>
      <c r="CD264" s="69"/>
      <c r="CE264" s="69"/>
      <c r="CF264" s="69"/>
      <c r="CG264" s="69"/>
      <c r="CH264" s="69"/>
      <c r="CI264" s="69"/>
      <c r="CJ264" s="69"/>
      <c r="CK264" s="69"/>
      <c r="CL264" s="69"/>
      <c r="CM264" s="69"/>
      <c r="CN264" s="69"/>
      <c r="CO264" s="69"/>
      <c r="CP264" s="69"/>
      <c r="CQ264" s="69"/>
      <c r="CR264" s="69"/>
      <c r="CS264" s="69"/>
      <c r="CT264" s="69"/>
      <c r="CU264" s="69"/>
      <c r="CV264" s="69"/>
      <c r="CW264" s="69"/>
      <c r="CX264" s="69"/>
      <c r="CY264" s="69"/>
      <c r="CZ264" s="69"/>
      <c r="DA264" s="69"/>
      <c r="DB264" s="69"/>
      <c r="DC264" s="69"/>
      <c r="DD264" s="69"/>
      <c r="DE264" s="69"/>
      <c r="DF264" s="69"/>
      <c r="DG264" s="69"/>
      <c r="DH264" s="69"/>
    </row>
    <row r="265" ht="20.25" customHeight="1">
      <c r="A265" s="41">
        <v>265.0</v>
      </c>
      <c r="B265" s="322" t="s">
        <v>145</v>
      </c>
      <c r="C265" s="322" t="s">
        <v>108</v>
      </c>
      <c r="D265" s="322" t="s">
        <v>339</v>
      </c>
      <c r="E265" s="223"/>
      <c r="F265" s="65" t="s">
        <v>1542</v>
      </c>
      <c r="G265" s="54" t="s">
        <v>1543</v>
      </c>
      <c r="H265" s="54" t="s">
        <v>342</v>
      </c>
      <c r="I265" s="149">
        <v>45427.0</v>
      </c>
      <c r="J265" s="342">
        <v>45782.0</v>
      </c>
      <c r="K265" s="58"/>
      <c r="L265" s="126" t="s">
        <v>1544</v>
      </c>
      <c r="M265" s="54" t="s">
        <v>1545</v>
      </c>
      <c r="N265" s="373" t="s">
        <v>1546</v>
      </c>
      <c r="O265" s="54" t="s">
        <v>1547</v>
      </c>
      <c r="P265" s="374" t="s">
        <v>1548</v>
      </c>
      <c r="Q265" s="49" t="str">
        <f t="array" ref="Q265"> if(iserror(MATCH(V265, 'File Links'!C:C, 0)), "N/A", HYPERLINK(INDEX('File Links'!B:B, MATCH(P265, 'File Links'!C:C, 0))))</f>
        <v>https://drive.google.com/file/d/1_YiZ9ym1etIoqiYTErFO56HCfNn-rWNe/view?usp=drivesdk</v>
      </c>
      <c r="R265" s="54" t="s">
        <v>1549</v>
      </c>
      <c r="S265" s="54" t="s">
        <v>1550</v>
      </c>
      <c r="T265" s="58"/>
      <c r="U265" s="368" t="s">
        <v>1547</v>
      </c>
      <c r="V265" s="109" t="str">
        <f t="shared" ref="V265:V270" si="5">HYPERLINK(VLOOKUP(LOWER(S265),#REF!, 2, FALSE), SUBSTITUTE(LOWER(S265), "/", "--") &amp;  ".pdf")</f>
        <v>10.31234--osf.io--68jft.pdf</v>
      </c>
      <c r="W265" s="54" t="s">
        <v>600</v>
      </c>
      <c r="X265" s="51" t="str">
        <f t="array" ref="X265"> if(iserror(MATCH(V265, 'File Links'!C:C, 0)), "N/A", HYPERLINK(INDEX('File Links'!B:B, MATCH(V265, 'File Links'!C:C, 0))))</f>
        <v>https://drive.google.com/file/d/1TqbYPD6TfJF6VjNMngYfnoD5Y8nHUi0O/view?usp=drivesdk</v>
      </c>
      <c r="Y265" s="58"/>
      <c r="Z265" s="54" t="s">
        <v>219</v>
      </c>
      <c r="AA265" s="54" t="s">
        <v>1551</v>
      </c>
      <c r="AB265" s="373" t="s">
        <v>1552</v>
      </c>
      <c r="AC265" s="373" t="s">
        <v>1553</v>
      </c>
      <c r="AD265" s="480" t="s">
        <v>1554</v>
      </c>
      <c r="AE265" s="375" t="s">
        <v>806</v>
      </c>
      <c r="AF265" s="376">
        <v>405.0</v>
      </c>
      <c r="AG265" s="376">
        <v>0.042</v>
      </c>
      <c r="AH265" s="377" t="s">
        <v>867</v>
      </c>
      <c r="AI265" s="375" t="s">
        <v>806</v>
      </c>
      <c r="AJ265" s="376">
        <v>0.001</v>
      </c>
      <c r="AK265" s="156" t="s">
        <v>128</v>
      </c>
      <c r="AL265" s="54" t="s">
        <v>179</v>
      </c>
      <c r="AM265" s="58" t="s">
        <v>130</v>
      </c>
      <c r="AN265" s="54" t="s">
        <v>131</v>
      </c>
      <c r="AO265" s="376">
        <v>321.0</v>
      </c>
      <c r="AP265" s="376">
        <v>0.08</v>
      </c>
      <c r="AQ265" s="377" t="s">
        <v>867</v>
      </c>
      <c r="AR265" s="377" t="s">
        <v>621</v>
      </c>
      <c r="AS265" s="376">
        <v>0.01</v>
      </c>
      <c r="AT265" s="156" t="s">
        <v>128</v>
      </c>
      <c r="AU265" s="156" t="s">
        <v>179</v>
      </c>
      <c r="AV265" s="65" t="s">
        <v>130</v>
      </c>
      <c r="AW265" s="432" t="s">
        <v>1555</v>
      </c>
      <c r="AX265" s="591" t="s">
        <v>136</v>
      </c>
      <c r="AY265" s="58"/>
      <c r="AZ265" s="378" t="s">
        <v>1263</v>
      </c>
      <c r="BC265" s="104"/>
      <c r="BD265" s="104"/>
      <c r="BE265" s="104"/>
      <c r="BF265" s="104"/>
      <c r="BG265" s="104"/>
      <c r="BH265" s="104"/>
      <c r="BI265" s="104"/>
      <c r="BJ265" s="104"/>
      <c r="BK265" s="104"/>
      <c r="BL265" s="104"/>
      <c r="BM265" s="104"/>
      <c r="BN265" s="104"/>
      <c r="BO265" s="104"/>
      <c r="BP265" s="104"/>
      <c r="BQ265" s="104"/>
      <c r="BR265" s="104"/>
      <c r="BS265" s="104"/>
      <c r="BT265" s="104"/>
      <c r="BU265" s="104"/>
      <c r="BV265" s="104"/>
      <c r="BW265" s="104"/>
      <c r="BX265" s="104"/>
      <c r="BY265" s="104"/>
      <c r="BZ265" s="104"/>
      <c r="CA265" s="104"/>
      <c r="CB265" s="104"/>
      <c r="CC265" s="104"/>
      <c r="CD265" s="104"/>
      <c r="CE265" s="104"/>
      <c r="CF265" s="104"/>
      <c r="CG265" s="104"/>
      <c r="CH265" s="104"/>
      <c r="CI265" s="104"/>
      <c r="CJ265" s="104"/>
      <c r="CK265" s="104"/>
      <c r="CL265" s="104"/>
      <c r="CM265" s="104"/>
      <c r="CN265" s="104"/>
      <c r="CO265" s="104"/>
      <c r="CP265" s="104"/>
      <c r="CQ265" s="104"/>
      <c r="CR265" s="104"/>
      <c r="CS265" s="104"/>
      <c r="CT265" s="104"/>
      <c r="CU265" s="104"/>
      <c r="CV265" s="104"/>
      <c r="CW265" s="104"/>
      <c r="CX265" s="104"/>
      <c r="CY265" s="104"/>
      <c r="CZ265" s="104"/>
      <c r="DA265" s="104"/>
      <c r="DB265" s="104"/>
      <c r="DC265" s="104"/>
      <c r="DD265" s="104"/>
      <c r="DE265" s="104"/>
      <c r="DF265" s="104"/>
      <c r="DG265" s="104"/>
      <c r="DH265" s="104"/>
    </row>
    <row r="266" ht="20.25" customHeight="1">
      <c r="A266" s="41">
        <v>266.0</v>
      </c>
      <c r="B266" s="322" t="s">
        <v>145</v>
      </c>
      <c r="C266" s="322" t="s">
        <v>108</v>
      </c>
      <c r="D266" s="322" t="s">
        <v>339</v>
      </c>
      <c r="E266" s="223"/>
      <c r="F266" s="65" t="s">
        <v>1542</v>
      </c>
      <c r="G266" s="54" t="s">
        <v>1556</v>
      </c>
      <c r="H266" s="54" t="s">
        <v>342</v>
      </c>
      <c r="I266" s="149">
        <v>45427.0</v>
      </c>
      <c r="J266" s="342">
        <v>45782.0</v>
      </c>
      <c r="K266" s="58"/>
      <c r="L266" s="126" t="s">
        <v>1557</v>
      </c>
      <c r="M266" s="54" t="s">
        <v>1545</v>
      </c>
      <c r="N266" s="373" t="s">
        <v>1546</v>
      </c>
      <c r="O266" s="376">
        <v>6.0</v>
      </c>
      <c r="P266" s="374" t="s">
        <v>1548</v>
      </c>
      <c r="Q266" s="49" t="str">
        <f t="array" ref="Q266"> if(iserror(MATCH(V266, 'File Links'!C:C, 0)), "N/A", HYPERLINK(INDEX('File Links'!B:B, MATCH(P266, 'File Links'!C:C, 0))))</f>
        <v>https://drive.google.com/file/d/1_YiZ9ym1etIoqiYTErFO56HCfNn-rWNe/view?usp=drivesdk</v>
      </c>
      <c r="R266" s="54" t="s">
        <v>1549</v>
      </c>
      <c r="S266" s="54" t="s">
        <v>1550</v>
      </c>
      <c r="T266" s="58"/>
      <c r="U266" s="368">
        <v>6.0</v>
      </c>
      <c r="V266" s="109" t="str">
        <f t="shared" si="5"/>
        <v>10.31234--osf.io--68jft.pdf</v>
      </c>
      <c r="W266" s="54" t="s">
        <v>600</v>
      </c>
      <c r="X266" s="51" t="str">
        <f t="array" ref="X266"> if(iserror(MATCH(V266, 'File Links'!C:C, 0)), "N/A", HYPERLINK(INDEX('File Links'!B:B, MATCH(V266, 'File Links'!C:C, 0))))</f>
        <v>https://drive.google.com/file/d/1TqbYPD6TfJF6VjNMngYfnoD5Y8nHUi0O/view?usp=drivesdk</v>
      </c>
      <c r="Y266" s="58"/>
      <c r="Z266" s="54" t="s">
        <v>219</v>
      </c>
      <c r="AA266" s="54" t="s">
        <v>1551</v>
      </c>
      <c r="AB266" s="373" t="s">
        <v>1552</v>
      </c>
      <c r="AC266" s="373" t="s">
        <v>1553</v>
      </c>
      <c r="AD266" s="373" t="s">
        <v>1558</v>
      </c>
      <c r="AE266" s="375" t="s">
        <v>620</v>
      </c>
      <c r="AF266" s="376">
        <v>97.0</v>
      </c>
      <c r="AG266" s="376">
        <v>0.48</v>
      </c>
      <c r="AH266" s="336" t="s">
        <v>166</v>
      </c>
      <c r="AI266" s="54" t="s">
        <v>1559</v>
      </c>
      <c r="AJ266" s="376">
        <v>0.023</v>
      </c>
      <c r="AK266" s="156" t="s">
        <v>165</v>
      </c>
      <c r="AL266" s="54" t="s">
        <v>179</v>
      </c>
      <c r="AM266" s="58" t="s">
        <v>130</v>
      </c>
      <c r="AN266" s="54" t="s">
        <v>131</v>
      </c>
      <c r="AO266" s="376">
        <v>321.0</v>
      </c>
      <c r="AP266" s="376">
        <v>0.36</v>
      </c>
      <c r="AQ266" s="54" t="s">
        <v>166</v>
      </c>
      <c r="AR266" s="377" t="s">
        <v>625</v>
      </c>
      <c r="AS266" s="376">
        <v>0.01</v>
      </c>
      <c r="AT266" s="156" t="s">
        <v>128</v>
      </c>
      <c r="AU266" s="156" t="s">
        <v>179</v>
      </c>
      <c r="AV266" s="65" t="s">
        <v>130</v>
      </c>
      <c r="AW266" s="432" t="s">
        <v>1555</v>
      </c>
      <c r="AX266" s="591" t="s">
        <v>136</v>
      </c>
      <c r="AY266" s="58"/>
      <c r="AZ266" s="378" t="s">
        <v>1263</v>
      </c>
      <c r="BC266" s="104"/>
      <c r="BD266" s="104"/>
      <c r="BE266" s="104"/>
      <c r="BF266" s="104"/>
      <c r="BG266" s="104"/>
      <c r="BH266" s="104"/>
      <c r="BI266" s="104"/>
      <c r="BJ266" s="104"/>
      <c r="BK266" s="104"/>
      <c r="BL266" s="104"/>
      <c r="BM266" s="104"/>
      <c r="BN266" s="104"/>
      <c r="BO266" s="104"/>
      <c r="BP266" s="104"/>
      <c r="BQ266" s="104"/>
      <c r="BR266" s="104"/>
      <c r="BS266" s="104"/>
      <c r="BT266" s="104"/>
      <c r="BU266" s="104"/>
      <c r="BV266" s="104"/>
      <c r="BW266" s="104"/>
      <c r="BX266" s="104"/>
      <c r="BY266" s="104"/>
      <c r="BZ266" s="104"/>
      <c r="CA266" s="104"/>
      <c r="CB266" s="104"/>
      <c r="CC266" s="104"/>
      <c r="CD266" s="104"/>
      <c r="CE266" s="104"/>
      <c r="CF266" s="104"/>
      <c r="CG266" s="104"/>
      <c r="CH266" s="104"/>
      <c r="CI266" s="104"/>
      <c r="CJ266" s="104"/>
      <c r="CK266" s="104"/>
      <c r="CL266" s="104"/>
      <c r="CM266" s="104"/>
      <c r="CN266" s="104"/>
      <c r="CO266" s="104"/>
      <c r="CP266" s="104"/>
      <c r="CQ266" s="104"/>
      <c r="CR266" s="104"/>
      <c r="CS266" s="104"/>
      <c r="CT266" s="104"/>
      <c r="CU266" s="104"/>
      <c r="CV266" s="104"/>
      <c r="CW266" s="104"/>
      <c r="CX266" s="104"/>
      <c r="CY266" s="104"/>
      <c r="CZ266" s="104"/>
      <c r="DA266" s="104"/>
      <c r="DB266" s="104"/>
      <c r="DC266" s="104"/>
      <c r="DD266" s="104"/>
      <c r="DE266" s="104"/>
      <c r="DF266" s="104"/>
      <c r="DG266" s="104"/>
      <c r="DH266" s="104"/>
    </row>
    <row r="267" ht="20.25" customHeight="1">
      <c r="A267" s="41">
        <v>267.0</v>
      </c>
      <c r="B267" s="322" t="s">
        <v>145</v>
      </c>
      <c r="C267" s="322" t="s">
        <v>108</v>
      </c>
      <c r="D267" s="322" t="s">
        <v>339</v>
      </c>
      <c r="E267" s="223"/>
      <c r="F267" s="65" t="s">
        <v>1542</v>
      </c>
      <c r="G267" s="54" t="s">
        <v>1560</v>
      </c>
      <c r="H267" s="54" t="s">
        <v>342</v>
      </c>
      <c r="I267" s="149">
        <v>45427.0</v>
      </c>
      <c r="J267" s="150">
        <v>45786.0</v>
      </c>
      <c r="K267" s="58"/>
      <c r="L267" s="126" t="s">
        <v>1561</v>
      </c>
      <c r="M267" s="54" t="s">
        <v>1545</v>
      </c>
      <c r="N267" s="373" t="s">
        <v>1546</v>
      </c>
      <c r="O267" s="376">
        <v>6.0</v>
      </c>
      <c r="P267" s="374" t="s">
        <v>1548</v>
      </c>
      <c r="Q267" s="49" t="str">
        <f t="array" ref="Q267"> if(iserror(MATCH(V267, 'File Links'!C:C, 0)), "N/A", HYPERLINK(INDEX('File Links'!B:B, MATCH(P267, 'File Links'!C:C, 0))))</f>
        <v>https://drive.google.com/file/d/1_YiZ9ym1etIoqiYTErFO56HCfNn-rWNe/view?usp=drivesdk</v>
      </c>
      <c r="R267" s="54" t="s">
        <v>1549</v>
      </c>
      <c r="S267" s="54" t="s">
        <v>1550</v>
      </c>
      <c r="T267" s="58"/>
      <c r="U267" s="368">
        <v>6.0</v>
      </c>
      <c r="V267" s="109" t="str">
        <f t="shared" si="5"/>
        <v>10.31234--osf.io--68jft.pdf</v>
      </c>
      <c r="W267" s="54" t="s">
        <v>600</v>
      </c>
      <c r="X267" s="51" t="str">
        <f t="array" ref="X267"> if(iserror(MATCH(V267, 'File Links'!C:C, 0)), "N/A", HYPERLINK(INDEX('File Links'!B:B, MATCH(V267, 'File Links'!C:C, 0))))</f>
        <v>https://drive.google.com/file/d/1TqbYPD6TfJF6VjNMngYfnoD5Y8nHUi0O/view?usp=drivesdk</v>
      </c>
      <c r="Y267" s="58"/>
      <c r="Z267" s="54" t="s">
        <v>219</v>
      </c>
      <c r="AA267" s="54" t="s">
        <v>1551</v>
      </c>
      <c r="AB267" s="373" t="s">
        <v>1552</v>
      </c>
      <c r="AC267" s="373" t="s">
        <v>1562</v>
      </c>
      <c r="AD267" s="373" t="s">
        <v>1563</v>
      </c>
      <c r="AE267" s="375" t="s">
        <v>175</v>
      </c>
      <c r="AF267" s="376">
        <v>97.0</v>
      </c>
      <c r="AG267" s="376">
        <v>0.21</v>
      </c>
      <c r="AH267" s="592" t="s">
        <v>980</v>
      </c>
      <c r="AI267" s="375" t="s">
        <v>175</v>
      </c>
      <c r="AJ267" s="376">
        <v>0.05</v>
      </c>
      <c r="AK267" s="156" t="s">
        <v>128</v>
      </c>
      <c r="AL267" s="54" t="s">
        <v>179</v>
      </c>
      <c r="AM267" s="368" t="s">
        <v>130</v>
      </c>
      <c r="AN267" s="54" t="s">
        <v>131</v>
      </c>
      <c r="AO267" s="376">
        <v>321.0</v>
      </c>
      <c r="AP267" s="376">
        <v>-0.04</v>
      </c>
      <c r="AQ267" s="54" t="s">
        <v>980</v>
      </c>
      <c r="AR267" s="377" t="s">
        <v>300</v>
      </c>
      <c r="AS267" s="375" t="s">
        <v>131</v>
      </c>
      <c r="AT267" s="375" t="s">
        <v>131</v>
      </c>
      <c r="AU267" s="156" t="s">
        <v>179</v>
      </c>
      <c r="AV267" s="539" t="s">
        <v>130</v>
      </c>
      <c r="AW267" s="432" t="s">
        <v>1555</v>
      </c>
      <c r="AX267" s="591" t="s">
        <v>136</v>
      </c>
      <c r="AY267" s="58"/>
      <c r="AZ267" s="378" t="s">
        <v>1263</v>
      </c>
      <c r="BC267" s="104"/>
      <c r="BD267" s="104"/>
      <c r="BE267" s="104"/>
      <c r="BF267" s="104"/>
      <c r="BG267" s="104"/>
      <c r="BH267" s="104"/>
      <c r="BI267" s="104"/>
      <c r="BJ267" s="104"/>
      <c r="BK267" s="104"/>
      <c r="BL267" s="104"/>
      <c r="BM267" s="104"/>
      <c r="BN267" s="104"/>
      <c r="BO267" s="104"/>
      <c r="BP267" s="104"/>
      <c r="BQ267" s="104"/>
      <c r="BR267" s="104"/>
      <c r="BS267" s="104"/>
      <c r="BT267" s="104"/>
      <c r="BU267" s="104"/>
      <c r="BV267" s="104"/>
      <c r="BW267" s="104"/>
      <c r="BX267" s="104"/>
      <c r="BY267" s="104"/>
      <c r="BZ267" s="104"/>
      <c r="CA267" s="104"/>
      <c r="CB267" s="104"/>
      <c r="CC267" s="104"/>
      <c r="CD267" s="104"/>
      <c r="CE267" s="104"/>
      <c r="CF267" s="104"/>
      <c r="CG267" s="104"/>
      <c r="CH267" s="104"/>
      <c r="CI267" s="104"/>
      <c r="CJ267" s="104"/>
      <c r="CK267" s="104"/>
      <c r="CL267" s="104"/>
      <c r="CM267" s="104"/>
      <c r="CN267" s="104"/>
      <c r="CO267" s="104"/>
      <c r="CP267" s="104"/>
      <c r="CQ267" s="104"/>
      <c r="CR267" s="104"/>
      <c r="CS267" s="104"/>
      <c r="CT267" s="104"/>
      <c r="CU267" s="104"/>
      <c r="CV267" s="104"/>
      <c r="CW267" s="104"/>
      <c r="CX267" s="104"/>
      <c r="CY267" s="104"/>
      <c r="CZ267" s="104"/>
      <c r="DA267" s="104"/>
      <c r="DB267" s="104"/>
      <c r="DC267" s="104"/>
      <c r="DD267" s="104"/>
      <c r="DE267" s="104"/>
      <c r="DF267" s="104"/>
      <c r="DG267" s="104"/>
      <c r="DH267" s="104"/>
    </row>
    <row r="268" ht="20.25" customHeight="1">
      <c r="A268" s="41">
        <v>268.0</v>
      </c>
      <c r="B268" s="322" t="s">
        <v>145</v>
      </c>
      <c r="C268" s="322" t="s">
        <v>108</v>
      </c>
      <c r="D268" s="322" t="s">
        <v>339</v>
      </c>
      <c r="E268" s="223"/>
      <c r="F268" s="65" t="s">
        <v>1542</v>
      </c>
      <c r="G268" s="54" t="s">
        <v>1564</v>
      </c>
      <c r="H268" s="54" t="s">
        <v>342</v>
      </c>
      <c r="I268" s="149">
        <v>45427.0</v>
      </c>
      <c r="J268" s="150">
        <v>45786.0</v>
      </c>
      <c r="K268" s="58"/>
      <c r="L268" s="126" t="s">
        <v>1561</v>
      </c>
      <c r="M268" s="54" t="s">
        <v>1545</v>
      </c>
      <c r="N268" s="373" t="s">
        <v>1546</v>
      </c>
      <c r="O268" s="376">
        <v>6.0</v>
      </c>
      <c r="P268" s="374" t="s">
        <v>1548</v>
      </c>
      <c r="Q268" s="49" t="str">
        <f t="array" ref="Q268"> if(iserror(MATCH(V268, 'File Links'!C:C, 0)), "N/A", HYPERLINK(INDEX('File Links'!B:B, MATCH(P268, 'File Links'!C:C, 0))))</f>
        <v>https://drive.google.com/file/d/1_YiZ9ym1etIoqiYTErFO56HCfNn-rWNe/view?usp=drivesdk</v>
      </c>
      <c r="R268" s="54" t="s">
        <v>1549</v>
      </c>
      <c r="S268" s="54" t="s">
        <v>1550</v>
      </c>
      <c r="T268" s="58"/>
      <c r="U268" s="368">
        <v>6.0</v>
      </c>
      <c r="V268" s="109" t="str">
        <f t="shared" si="5"/>
        <v>10.31234--osf.io--68jft.pdf</v>
      </c>
      <c r="W268" s="54" t="s">
        <v>600</v>
      </c>
      <c r="X268" s="51" t="str">
        <f t="array" ref="X268"> if(iserror(MATCH(V268, 'File Links'!C:C, 0)), "N/A", HYPERLINK(INDEX('File Links'!B:B, MATCH(V268, 'File Links'!C:C, 0))))</f>
        <v>https://drive.google.com/file/d/1TqbYPD6TfJF6VjNMngYfnoD5Y8nHUi0O/view?usp=drivesdk</v>
      </c>
      <c r="Y268" s="58"/>
      <c r="Z268" s="54" t="s">
        <v>219</v>
      </c>
      <c r="AA268" s="54" t="s">
        <v>1551</v>
      </c>
      <c r="AB268" s="373" t="s">
        <v>1552</v>
      </c>
      <c r="AC268" s="373" t="s">
        <v>1565</v>
      </c>
      <c r="AD268" s="373" t="s">
        <v>1566</v>
      </c>
      <c r="AE268" s="375" t="s">
        <v>175</v>
      </c>
      <c r="AF268" s="376">
        <v>97.0</v>
      </c>
      <c r="AG268" s="376">
        <v>0.35</v>
      </c>
      <c r="AH268" s="592" t="s">
        <v>980</v>
      </c>
      <c r="AI268" s="375" t="s">
        <v>175</v>
      </c>
      <c r="AJ268" s="376">
        <v>0.05</v>
      </c>
      <c r="AK268" s="156" t="s">
        <v>128</v>
      </c>
      <c r="AL268" s="54" t="s">
        <v>179</v>
      </c>
      <c r="AM268" s="368" t="s">
        <v>130</v>
      </c>
      <c r="AN268" s="54" t="s">
        <v>131</v>
      </c>
      <c r="AO268" s="376">
        <v>321.0</v>
      </c>
      <c r="AP268" s="376">
        <v>-0.03</v>
      </c>
      <c r="AQ268" s="54" t="s">
        <v>980</v>
      </c>
      <c r="AR268" s="377" t="s">
        <v>300</v>
      </c>
      <c r="AS268" s="375" t="s">
        <v>131</v>
      </c>
      <c r="AT268" s="375" t="s">
        <v>131</v>
      </c>
      <c r="AU268" s="156" t="s">
        <v>179</v>
      </c>
      <c r="AV268" s="539" t="s">
        <v>130</v>
      </c>
      <c r="AW268" s="432" t="s">
        <v>1555</v>
      </c>
      <c r="AX268" s="591" t="s">
        <v>136</v>
      </c>
      <c r="AY268" s="58"/>
      <c r="AZ268" s="378" t="s">
        <v>1263</v>
      </c>
      <c r="BC268" s="69"/>
      <c r="BD268" s="69"/>
      <c r="BE268" s="69"/>
      <c r="BF268" s="69"/>
      <c r="BG268" s="69"/>
      <c r="BH268" s="69"/>
      <c r="BI268" s="69"/>
      <c r="BJ268" s="69"/>
      <c r="BK268" s="69"/>
      <c r="BL268" s="69"/>
      <c r="BM268" s="69"/>
      <c r="BN268" s="69"/>
      <c r="BO268" s="69"/>
      <c r="BP268" s="69"/>
      <c r="BQ268" s="69"/>
      <c r="BR268" s="69"/>
      <c r="BS268" s="69"/>
      <c r="BT268" s="69"/>
      <c r="BU268" s="69"/>
      <c r="BV268" s="69"/>
      <c r="BW268" s="69"/>
      <c r="BX268" s="69"/>
      <c r="BY268" s="69"/>
      <c r="BZ268" s="69"/>
      <c r="CA268" s="69"/>
      <c r="CB268" s="69"/>
      <c r="CC268" s="69"/>
      <c r="CD268" s="69"/>
      <c r="CE268" s="69"/>
      <c r="CF268" s="69"/>
      <c r="CG268" s="69"/>
      <c r="CH268" s="69"/>
      <c r="CI268" s="69"/>
      <c r="CJ268" s="69"/>
      <c r="CK268" s="69"/>
      <c r="CL268" s="69"/>
      <c r="CM268" s="69"/>
      <c r="CN268" s="69"/>
      <c r="CO268" s="69"/>
      <c r="CP268" s="69"/>
      <c r="CQ268" s="69"/>
      <c r="CR268" s="69"/>
      <c r="CS268" s="69"/>
      <c r="CT268" s="69"/>
      <c r="CU268" s="69"/>
      <c r="CV268" s="69"/>
      <c r="CW268" s="69"/>
      <c r="CX268" s="69"/>
      <c r="CY268" s="69"/>
      <c r="CZ268" s="69"/>
      <c r="DA268" s="69"/>
      <c r="DB268" s="69"/>
      <c r="DC268" s="69"/>
      <c r="DD268" s="69"/>
      <c r="DE268" s="69"/>
      <c r="DF268" s="69"/>
      <c r="DG268" s="69"/>
      <c r="DH268" s="69"/>
    </row>
    <row r="269" ht="20.25" customHeight="1">
      <c r="A269" s="41">
        <v>269.0</v>
      </c>
      <c r="B269" s="322" t="s">
        <v>145</v>
      </c>
      <c r="C269" s="322" t="s">
        <v>108</v>
      </c>
      <c r="D269" s="322" t="s">
        <v>214</v>
      </c>
      <c r="E269" s="223"/>
      <c r="F269" s="262" t="s">
        <v>1542</v>
      </c>
      <c r="G269" s="44" t="s">
        <v>1567</v>
      </c>
      <c r="H269" s="357" t="s">
        <v>214</v>
      </c>
      <c r="I269" s="341">
        <v>45685.0</v>
      </c>
      <c r="J269" s="342">
        <v>45782.0</v>
      </c>
      <c r="K269" s="43"/>
      <c r="L269" s="53" t="s">
        <v>1568</v>
      </c>
      <c r="M269" s="357" t="s">
        <v>1545</v>
      </c>
      <c r="N269" s="357" t="s">
        <v>1546</v>
      </c>
      <c r="O269" s="368" t="s">
        <v>1547</v>
      </c>
      <c r="P269" s="379" t="s">
        <v>1548</v>
      </c>
      <c r="Q269" s="49" t="str">
        <f t="array" ref="Q269"> if(iserror(MATCH(V269, 'File Links'!C:C, 0)), "N/A", HYPERLINK(INDEX('File Links'!B:B, MATCH(P269, 'File Links'!C:C, 0))))</f>
        <v>https://drive.google.com/file/d/1_YiZ9ym1etIoqiYTErFO56HCfNn-rWNe/view?usp=drivesdk</v>
      </c>
      <c r="R269" s="357" t="s">
        <v>1549</v>
      </c>
      <c r="S269" s="54" t="s">
        <v>1550</v>
      </c>
      <c r="T269" s="43"/>
      <c r="U269" s="368" t="s">
        <v>1547</v>
      </c>
      <c r="V269" s="109" t="str">
        <f t="shared" si="5"/>
        <v>10.31234--osf.io--68jft.pdf</v>
      </c>
      <c r="W269" s="357" t="s">
        <v>157</v>
      </c>
      <c r="X269" s="51" t="str">
        <f t="array" ref="X269"> if(iserror(MATCH(V269, 'File Links'!C:C, 0)), "N/A", HYPERLINK(INDEX('File Links'!B:B, MATCH(V269, 'File Links'!C:C, 0))))</f>
        <v>https://drive.google.com/file/d/1TqbYPD6TfJF6VjNMngYfnoD5Y8nHUi0O/view?usp=drivesdk</v>
      </c>
      <c r="Y269" s="43"/>
      <c r="Z269" s="357" t="s">
        <v>1569</v>
      </c>
      <c r="AA269" s="357" t="s">
        <v>1570</v>
      </c>
      <c r="AB269" s="357" t="s">
        <v>1571</v>
      </c>
      <c r="AC269" s="381" t="s">
        <v>1553</v>
      </c>
      <c r="AD269" s="377" t="s">
        <v>1572</v>
      </c>
      <c r="AE269" s="375" t="s">
        <v>133</v>
      </c>
      <c r="AF269" s="354">
        <v>405.0</v>
      </c>
      <c r="AG269" s="562">
        <v>0.423</v>
      </c>
      <c r="AH269" s="357" t="s">
        <v>166</v>
      </c>
      <c r="AI269" s="377" t="s">
        <v>133</v>
      </c>
      <c r="AJ269" s="541" t="s">
        <v>131</v>
      </c>
      <c r="AK269" s="541" t="s">
        <v>131</v>
      </c>
      <c r="AL269" s="541" t="s">
        <v>131</v>
      </c>
      <c r="AM269" s="541" t="s">
        <v>131</v>
      </c>
      <c r="AN269" s="44" t="s">
        <v>131</v>
      </c>
      <c r="AO269" s="489">
        <v>321.0</v>
      </c>
      <c r="AP269" s="354">
        <v>0.57</v>
      </c>
      <c r="AQ269" s="357" t="s">
        <v>166</v>
      </c>
      <c r="AR269" s="377" t="s">
        <v>621</v>
      </c>
      <c r="AS269" s="375">
        <v>0.01</v>
      </c>
      <c r="AT269" s="377" t="s">
        <v>128</v>
      </c>
      <c r="AU269" s="478" t="s">
        <v>179</v>
      </c>
      <c r="AV269" s="357" t="s">
        <v>130</v>
      </c>
      <c r="AW269" s="593" t="s">
        <v>1573</v>
      </c>
      <c r="AX269" s="506" t="s">
        <v>136</v>
      </c>
      <c r="AZ269" s="378" t="s">
        <v>1263</v>
      </c>
      <c r="BC269" s="69"/>
      <c r="BD269" s="69"/>
      <c r="BE269" s="69"/>
      <c r="BF269" s="69"/>
      <c r="BG269" s="69"/>
      <c r="BH269" s="69"/>
      <c r="BI269" s="69"/>
      <c r="BJ269" s="69"/>
      <c r="BK269" s="69"/>
      <c r="BL269" s="69"/>
      <c r="BM269" s="69"/>
      <c r="BN269" s="69"/>
      <c r="BO269" s="69"/>
      <c r="BP269" s="69"/>
      <c r="BQ269" s="69"/>
      <c r="BR269" s="69"/>
      <c r="BS269" s="69"/>
      <c r="BT269" s="69"/>
      <c r="BU269" s="69"/>
      <c r="BV269" s="69"/>
      <c r="BW269" s="69"/>
      <c r="BX269" s="69"/>
      <c r="BY269" s="69"/>
      <c r="BZ269" s="69"/>
      <c r="CA269" s="69"/>
      <c r="CB269" s="69"/>
      <c r="CC269" s="69"/>
      <c r="CD269" s="69"/>
      <c r="CE269" s="69"/>
      <c r="CF269" s="69"/>
      <c r="CG269" s="69"/>
      <c r="CH269" s="69"/>
      <c r="CI269" s="69"/>
      <c r="CJ269" s="69"/>
      <c r="CK269" s="69"/>
      <c r="CL269" s="69"/>
      <c r="CM269" s="69"/>
      <c r="CN269" s="69"/>
      <c r="CO269" s="69"/>
      <c r="CP269" s="69"/>
      <c r="CQ269" s="69"/>
      <c r="CR269" s="69"/>
      <c r="CS269" s="69"/>
      <c r="CT269" s="69"/>
      <c r="CU269" s="69"/>
      <c r="CV269" s="69"/>
      <c r="CW269" s="69"/>
      <c r="CX269" s="69"/>
      <c r="CY269" s="69"/>
      <c r="CZ269" s="69"/>
      <c r="DA269" s="69"/>
      <c r="DB269" s="69"/>
      <c r="DC269" s="69"/>
      <c r="DD269" s="69"/>
      <c r="DE269" s="69"/>
      <c r="DF269" s="69"/>
      <c r="DG269" s="69"/>
      <c r="DH269" s="69"/>
    </row>
    <row r="270" ht="20.25" customHeight="1">
      <c r="A270" s="41">
        <v>270.0</v>
      </c>
      <c r="B270" s="322" t="s">
        <v>145</v>
      </c>
      <c r="C270" s="322" t="s">
        <v>108</v>
      </c>
      <c r="D270" s="322" t="s">
        <v>214</v>
      </c>
      <c r="E270" s="223"/>
      <c r="F270" s="262" t="s">
        <v>1542</v>
      </c>
      <c r="G270" s="340" t="s">
        <v>1556</v>
      </c>
      <c r="H270" s="357" t="s">
        <v>214</v>
      </c>
      <c r="I270" s="341">
        <v>45685.0</v>
      </c>
      <c r="J270" s="150">
        <v>45786.0</v>
      </c>
      <c r="K270" s="43"/>
      <c r="L270" s="53" t="s">
        <v>1574</v>
      </c>
      <c r="M270" s="506" t="s">
        <v>1575</v>
      </c>
      <c r="N270" s="357" t="s">
        <v>1546</v>
      </c>
      <c r="O270" s="368">
        <v>6.0</v>
      </c>
      <c r="P270" s="379" t="s">
        <v>1548</v>
      </c>
      <c r="Q270" s="49" t="str">
        <f t="array" ref="Q270"> if(iserror(MATCH(V270, 'File Links'!C:C, 0)), "N/A", HYPERLINK(INDEX('File Links'!B:B, MATCH(P270, 'File Links'!C:C, 0))))</f>
        <v>https://drive.google.com/file/d/1_YiZ9ym1etIoqiYTErFO56HCfNn-rWNe/view?usp=drivesdk</v>
      </c>
      <c r="R270" s="357" t="s">
        <v>1549</v>
      </c>
      <c r="S270" s="54" t="s">
        <v>1550</v>
      </c>
      <c r="T270" s="43"/>
      <c r="U270" s="368">
        <v>6.0</v>
      </c>
      <c r="V270" s="109" t="str">
        <f t="shared" si="5"/>
        <v>10.31234--osf.io--68jft.pdf</v>
      </c>
      <c r="W270" s="357" t="s">
        <v>157</v>
      </c>
      <c r="X270" s="51" t="str">
        <f t="array" ref="X270"> if(iserror(MATCH(V270, 'File Links'!C:C, 0)), "N/A", HYPERLINK(INDEX('File Links'!B:B, MATCH(V270, 'File Links'!C:C, 0))))</f>
        <v>https://drive.google.com/file/d/1TqbYPD6TfJF6VjNMngYfnoD5Y8nHUi0O/view?usp=drivesdk</v>
      </c>
      <c r="Y270" s="43"/>
      <c r="Z270" s="357" t="s">
        <v>1569</v>
      </c>
      <c r="AA270" s="357" t="s">
        <v>1570</v>
      </c>
      <c r="AB270" s="357" t="s">
        <v>1571</v>
      </c>
      <c r="AC270" s="377" t="s">
        <v>1576</v>
      </c>
      <c r="AD270" s="377" t="s">
        <v>1577</v>
      </c>
      <c r="AE270" s="375" t="s">
        <v>620</v>
      </c>
      <c r="AF270" s="493">
        <v>97.0</v>
      </c>
      <c r="AG270" s="368">
        <v>0.48</v>
      </c>
      <c r="AH270" s="340" t="s">
        <v>166</v>
      </c>
      <c r="AI270" s="375" t="s">
        <v>620</v>
      </c>
      <c r="AJ270" s="344">
        <v>0.023</v>
      </c>
      <c r="AK270" s="44" t="s">
        <v>165</v>
      </c>
      <c r="AL270" s="380" t="s">
        <v>179</v>
      </c>
      <c r="AM270" s="357" t="s">
        <v>130</v>
      </c>
      <c r="AN270" s="44" t="s">
        <v>131</v>
      </c>
      <c r="AO270" s="354">
        <v>321.0</v>
      </c>
      <c r="AP270" s="354">
        <v>0.36</v>
      </c>
      <c r="AQ270" s="357" t="s">
        <v>166</v>
      </c>
      <c r="AR270" s="377" t="s">
        <v>625</v>
      </c>
      <c r="AS270" s="375">
        <v>0.002</v>
      </c>
      <c r="AT270" s="478" t="s">
        <v>128</v>
      </c>
      <c r="AU270" s="478" t="s">
        <v>179</v>
      </c>
      <c r="AV270" s="357" t="s">
        <v>130</v>
      </c>
      <c r="AW270" s="593" t="s">
        <v>1573</v>
      </c>
      <c r="AX270" s="506" t="s">
        <v>136</v>
      </c>
      <c r="AZ270" s="378" t="s">
        <v>1263</v>
      </c>
      <c r="BC270" s="69"/>
      <c r="BD270" s="69"/>
      <c r="BE270" s="69"/>
      <c r="BF270" s="69"/>
      <c r="BG270" s="69"/>
      <c r="BH270" s="69"/>
      <c r="BI270" s="69"/>
      <c r="BJ270" s="69"/>
      <c r="BK270" s="69"/>
      <c r="BL270" s="69"/>
      <c r="BM270" s="69"/>
      <c r="BN270" s="69"/>
      <c r="BO270" s="69"/>
      <c r="BP270" s="69"/>
      <c r="BQ270" s="69"/>
      <c r="BR270" s="69"/>
      <c r="BS270" s="69"/>
      <c r="BT270" s="69"/>
      <c r="BU270" s="69"/>
      <c r="BV270" s="69"/>
      <c r="BW270" s="69"/>
      <c r="BX270" s="69"/>
      <c r="BY270" s="69"/>
      <c r="BZ270" s="69"/>
      <c r="CA270" s="69"/>
      <c r="CB270" s="69"/>
      <c r="CC270" s="69"/>
      <c r="CD270" s="69"/>
      <c r="CE270" s="69"/>
      <c r="CF270" s="69"/>
      <c r="CG270" s="69"/>
      <c r="CH270" s="69"/>
      <c r="CI270" s="69"/>
      <c r="CJ270" s="69"/>
      <c r="CK270" s="69"/>
      <c r="CL270" s="69"/>
      <c r="CM270" s="69"/>
      <c r="CN270" s="69"/>
      <c r="CO270" s="69"/>
      <c r="CP270" s="69"/>
      <c r="CQ270" s="69"/>
      <c r="CR270" s="69"/>
      <c r="CS270" s="69"/>
      <c r="CT270" s="69"/>
      <c r="CU270" s="69"/>
      <c r="CV270" s="69"/>
      <c r="CW270" s="69"/>
      <c r="CX270" s="69"/>
      <c r="CY270" s="69"/>
      <c r="CZ270" s="69"/>
      <c r="DA270" s="69"/>
      <c r="DB270" s="69"/>
      <c r="DC270" s="69"/>
      <c r="DD270" s="69"/>
      <c r="DE270" s="69"/>
      <c r="DF270" s="69"/>
      <c r="DG270" s="69"/>
      <c r="DH270" s="69"/>
    </row>
    <row r="271" ht="20.25" customHeight="1">
      <c r="A271" s="41">
        <v>271.0</v>
      </c>
      <c r="B271" s="594" t="s">
        <v>107</v>
      </c>
      <c r="C271" s="594" t="s">
        <v>108</v>
      </c>
      <c r="D271" s="594" t="s">
        <v>1227</v>
      </c>
      <c r="E271" s="595"/>
      <c r="F271" s="596" t="s">
        <v>1578</v>
      </c>
      <c r="G271" s="582" t="s">
        <v>1579</v>
      </c>
      <c r="H271" s="582" t="s">
        <v>1230</v>
      </c>
      <c r="I271" s="597">
        <v>45641.0</v>
      </c>
      <c r="J271" s="598">
        <v>45670.0</v>
      </c>
      <c r="K271" s="599"/>
      <c r="L271" s="600" t="s">
        <v>1580</v>
      </c>
      <c r="M271" s="582" t="s">
        <v>1581</v>
      </c>
      <c r="N271" s="601" t="s">
        <v>1582</v>
      </c>
      <c r="O271" s="602">
        <v>1.0</v>
      </c>
      <c r="P271" s="603" t="str">
        <f>SUBSTITUTE(LOWER(N271), "/", "--") &amp;  ".pdf"</f>
        <v>thekeep.eiu.edu--theses--4783.pdf</v>
      </c>
      <c r="Q271" s="49" t="str">
        <f t="array" ref="Q271"> if(iserror(MATCH(V271, 'File Links'!C:C, 0)), "N/A", HYPERLINK(INDEX('File Links'!B:B, MATCH(P271, 'File Links'!C:C, 0))))</f>
        <v>https://drive.google.com/file/d/13W9ZIRuUntMYZ1V5eqz7utx5OSyGY3y3/view?usp=drivesdk</v>
      </c>
      <c r="R271" s="582" t="s">
        <v>1583</v>
      </c>
      <c r="S271" s="604" t="s">
        <v>1584</v>
      </c>
      <c r="T271" s="605" t="s">
        <v>1585</v>
      </c>
      <c r="U271" s="606">
        <v>1.0</v>
      </c>
      <c r="V271" s="59" t="s">
        <v>1586</v>
      </c>
      <c r="W271" s="582" t="s">
        <v>1587</v>
      </c>
      <c r="X271" s="51" t="str">
        <f t="array" ref="X271"> if(iserror(MATCH(V271, 'File Links'!C:C, 0)), "N/A", HYPERLINK(INDEX('File Links'!B:B, MATCH(V271, 'File Links'!C:C, 0))))</f>
        <v>https://drive.google.com/file/d/1Fg206MUtjoN9d31kEAQ7bIDHvbUqwyGY/view?usp=drivesdk</v>
      </c>
      <c r="Y271" s="599"/>
      <c r="Z271" s="582" t="s">
        <v>234</v>
      </c>
      <c r="AA271" s="599"/>
      <c r="AB271" s="582" t="s">
        <v>131</v>
      </c>
      <c r="AC271" s="599"/>
      <c r="AD271" s="599"/>
      <c r="AE271" s="599"/>
      <c r="AF271" s="602">
        <v>101.0</v>
      </c>
      <c r="AG271" s="599"/>
      <c r="AH271" s="607"/>
      <c r="AI271" s="599"/>
      <c r="AJ271" s="599"/>
      <c r="AK271" s="596"/>
      <c r="AL271" s="599"/>
      <c r="AM271" s="599"/>
      <c r="AN271" s="44" t="s">
        <v>131</v>
      </c>
      <c r="AO271" s="602">
        <v>103.0</v>
      </c>
      <c r="AP271" s="599"/>
      <c r="AQ271" s="599"/>
      <c r="AR271" s="599"/>
      <c r="AS271" s="599"/>
      <c r="AT271" s="596"/>
      <c r="AU271" s="596"/>
      <c r="AV271" s="596"/>
      <c r="AW271" s="596"/>
      <c r="AX271" s="596"/>
      <c r="AY271" s="608" t="s">
        <v>1580</v>
      </c>
      <c r="AZ271" s="121" t="s">
        <v>137</v>
      </c>
      <c r="BC271" s="69"/>
      <c r="BD271" s="69"/>
      <c r="BE271" s="69"/>
      <c r="BF271" s="69"/>
      <c r="BG271" s="69"/>
      <c r="BH271" s="69"/>
      <c r="BI271" s="69"/>
      <c r="BJ271" s="69"/>
      <c r="BK271" s="69"/>
      <c r="BL271" s="69"/>
      <c r="BM271" s="69"/>
      <c r="BN271" s="69"/>
      <c r="BO271" s="69"/>
      <c r="BP271" s="69"/>
      <c r="BQ271" s="69"/>
      <c r="BR271" s="69"/>
      <c r="BS271" s="69"/>
      <c r="BT271" s="69"/>
      <c r="BU271" s="69"/>
      <c r="BV271" s="69"/>
      <c r="BW271" s="69"/>
      <c r="BX271" s="69"/>
      <c r="BY271" s="69"/>
      <c r="BZ271" s="69"/>
      <c r="CA271" s="69"/>
      <c r="CB271" s="69"/>
      <c r="CC271" s="69"/>
      <c r="CD271" s="69"/>
      <c r="CE271" s="69"/>
      <c r="CF271" s="69"/>
      <c r="CG271" s="69"/>
      <c r="CH271" s="69"/>
      <c r="CI271" s="69"/>
      <c r="CJ271" s="69"/>
      <c r="CK271" s="69"/>
      <c r="CL271" s="69"/>
      <c r="CM271" s="69"/>
      <c r="CN271" s="69"/>
      <c r="CO271" s="69"/>
      <c r="CP271" s="69"/>
      <c r="CQ271" s="69"/>
      <c r="CR271" s="69"/>
      <c r="CS271" s="69"/>
      <c r="CT271" s="69"/>
      <c r="CU271" s="69"/>
      <c r="CV271" s="69"/>
      <c r="CW271" s="69"/>
      <c r="CX271" s="69"/>
      <c r="CY271" s="69"/>
      <c r="CZ271" s="69"/>
      <c r="DA271" s="69"/>
      <c r="DB271" s="69"/>
      <c r="DC271" s="69"/>
      <c r="DD271" s="69"/>
      <c r="DE271" s="69"/>
      <c r="DF271" s="69"/>
      <c r="DG271" s="69"/>
      <c r="DH271" s="69"/>
    </row>
    <row r="272" ht="20.25" customHeight="1">
      <c r="A272" s="41">
        <v>272.0</v>
      </c>
      <c r="B272" s="609" t="s">
        <v>145</v>
      </c>
      <c r="C272" s="609" t="s">
        <v>108</v>
      </c>
      <c r="D272" s="609" t="s">
        <v>279</v>
      </c>
      <c r="E272" s="610"/>
      <c r="F272" s="611" t="s">
        <v>1578</v>
      </c>
      <c r="G272" s="585" t="s">
        <v>1579</v>
      </c>
      <c r="H272" s="611" t="s">
        <v>137</v>
      </c>
      <c r="I272" s="612">
        <v>45670.0</v>
      </c>
      <c r="J272" s="598">
        <v>45670.0</v>
      </c>
      <c r="K272" s="611"/>
      <c r="L272" s="613"/>
      <c r="M272" s="614" t="s">
        <v>1588</v>
      </c>
      <c r="N272" s="615"/>
      <c r="O272" s="613">
        <v>1.0</v>
      </c>
      <c r="P272" s="611" t="s">
        <v>1589</v>
      </c>
      <c r="Q272" s="49" t="str">
        <f t="array" ref="Q272"> if(iserror(MATCH(V272, 'File Links'!C:C, 0)), "N/A", HYPERLINK(INDEX('File Links'!B:B, MATCH(P272, 'File Links'!C:C, 0))))</f>
        <v>https://drive.google.com/file/d/13W9ZIRuUntMYZ1V5eqz7utx5OSyGY3y3/view?usp=drivesdk</v>
      </c>
      <c r="R272" s="616" t="s">
        <v>1590</v>
      </c>
      <c r="S272" s="604" t="s">
        <v>1584</v>
      </c>
      <c r="T272" s="614" t="s">
        <v>1591</v>
      </c>
      <c r="U272" s="130">
        <v>1.0</v>
      </c>
      <c r="V272" s="59" t="s">
        <v>1586</v>
      </c>
      <c r="W272" s="611" t="s">
        <v>1592</v>
      </c>
      <c r="X272" s="51" t="str">
        <f t="array" ref="X272"> if(iserror(MATCH(V272, 'File Links'!C:C, 0)), "N/A", HYPERLINK(INDEX('File Links'!B:B, MATCH(V272, 'File Links'!C:C, 0))))</f>
        <v>https://drive.google.com/file/d/1Fg206MUtjoN9d31kEAQ7bIDHvbUqwyGY/view?usp=drivesdk</v>
      </c>
      <c r="Y272" s="615"/>
      <c r="Z272" s="611" t="s">
        <v>1593</v>
      </c>
      <c r="AA272" s="611" t="s">
        <v>1594</v>
      </c>
      <c r="AB272" s="615" t="s">
        <v>1595</v>
      </c>
      <c r="AC272" s="611" t="s">
        <v>1596</v>
      </c>
      <c r="AD272" s="617" t="s">
        <v>1597</v>
      </c>
      <c r="AE272" s="618">
        <v>52.0</v>
      </c>
      <c r="AF272" s="618">
        <v>101.0</v>
      </c>
      <c r="AG272" s="619">
        <v>0.79</v>
      </c>
      <c r="AH272" s="617" t="s">
        <v>208</v>
      </c>
      <c r="AI272" s="617" t="s">
        <v>1598</v>
      </c>
      <c r="AJ272" s="619">
        <v>0.01</v>
      </c>
      <c r="AK272" s="156" t="s">
        <v>128</v>
      </c>
      <c r="AL272" s="585" t="s">
        <v>179</v>
      </c>
      <c r="AM272" s="615" t="s">
        <v>130</v>
      </c>
      <c r="AN272" s="216" t="s">
        <v>131</v>
      </c>
      <c r="AO272" s="618">
        <v>103.0</v>
      </c>
      <c r="AP272" s="619">
        <v>0.76</v>
      </c>
      <c r="AQ272" s="617" t="s">
        <v>208</v>
      </c>
      <c r="AR272" s="620">
        <v>63.0</v>
      </c>
      <c r="AS272" s="619">
        <v>0.001</v>
      </c>
      <c r="AT272" s="156" t="s">
        <v>128</v>
      </c>
      <c r="AU272" s="611" t="s">
        <v>179</v>
      </c>
      <c r="AV272" s="615" t="s">
        <v>130</v>
      </c>
      <c r="AW272" s="59" t="s">
        <v>131</v>
      </c>
      <c r="AX272" s="615" t="s">
        <v>136</v>
      </c>
      <c r="AY272" s="608"/>
      <c r="AZ272" s="121" t="s">
        <v>137</v>
      </c>
      <c r="BC272" s="69"/>
      <c r="BD272" s="69"/>
      <c r="BE272" s="69"/>
      <c r="BF272" s="69"/>
      <c r="BG272" s="69"/>
      <c r="BH272" s="69"/>
      <c r="BI272" s="69"/>
      <c r="BJ272" s="69"/>
      <c r="BK272" s="69"/>
      <c r="BL272" s="69"/>
      <c r="BM272" s="69"/>
      <c r="BN272" s="69"/>
      <c r="BO272" s="69"/>
      <c r="BP272" s="69"/>
      <c r="BQ272" s="69"/>
      <c r="BR272" s="69"/>
      <c r="BS272" s="69"/>
      <c r="BT272" s="69"/>
      <c r="BU272" s="69"/>
      <c r="BV272" s="69"/>
      <c r="BW272" s="69"/>
      <c r="BX272" s="69"/>
      <c r="BY272" s="69"/>
      <c r="BZ272" s="69"/>
      <c r="CA272" s="69"/>
      <c r="CB272" s="69"/>
      <c r="CC272" s="69"/>
      <c r="CD272" s="69"/>
      <c r="CE272" s="69"/>
      <c r="CF272" s="69"/>
      <c r="CG272" s="69"/>
      <c r="CH272" s="69"/>
      <c r="CI272" s="69"/>
      <c r="CJ272" s="69"/>
      <c r="CK272" s="69"/>
      <c r="CL272" s="69"/>
      <c r="CM272" s="69"/>
      <c r="CN272" s="69"/>
      <c r="CO272" s="69"/>
      <c r="CP272" s="69"/>
      <c r="CQ272" s="69"/>
      <c r="CR272" s="69"/>
      <c r="CS272" s="69"/>
      <c r="CT272" s="69"/>
      <c r="CU272" s="69"/>
      <c r="CV272" s="69"/>
      <c r="CW272" s="69"/>
      <c r="CX272" s="69"/>
      <c r="CY272" s="69"/>
      <c r="CZ272" s="69"/>
      <c r="DA272" s="69"/>
      <c r="DB272" s="69"/>
      <c r="DC272" s="69"/>
      <c r="DD272" s="69"/>
      <c r="DE272" s="69"/>
      <c r="DF272" s="69"/>
      <c r="DG272" s="69"/>
      <c r="DH272" s="69"/>
    </row>
    <row r="273" ht="20.25" customHeight="1">
      <c r="A273" s="41">
        <v>273.0</v>
      </c>
      <c r="B273" s="609" t="s">
        <v>145</v>
      </c>
      <c r="C273" s="609" t="s">
        <v>108</v>
      </c>
      <c r="D273" s="609" t="s">
        <v>279</v>
      </c>
      <c r="E273" s="610"/>
      <c r="F273" s="611" t="s">
        <v>1578</v>
      </c>
      <c r="G273" s="585" t="s">
        <v>1579</v>
      </c>
      <c r="H273" s="611" t="s">
        <v>1599</v>
      </c>
      <c r="I273" s="621">
        <v>45634.0</v>
      </c>
      <c r="J273" s="598">
        <v>45670.0</v>
      </c>
      <c r="K273" s="611" t="s">
        <v>1600</v>
      </c>
      <c r="L273" s="613"/>
      <c r="M273" s="614" t="s">
        <v>1601</v>
      </c>
      <c r="N273" s="615"/>
      <c r="O273" s="613">
        <v>1.0</v>
      </c>
      <c r="P273" s="611" t="s">
        <v>1589</v>
      </c>
      <c r="Q273" s="49" t="str">
        <f t="array" ref="Q273"> if(iserror(MATCH(V273, 'File Links'!C:C, 0)), "N/A", HYPERLINK(INDEX('File Links'!B:B, MATCH(P273, 'File Links'!C:C, 0))))</f>
        <v>https://drive.google.com/file/d/13W9ZIRuUntMYZ1V5eqz7utx5OSyGY3y3/view?usp=drivesdk</v>
      </c>
      <c r="R273" s="616" t="s">
        <v>1602</v>
      </c>
      <c r="S273" s="604" t="s">
        <v>1584</v>
      </c>
      <c r="T273" s="614" t="s">
        <v>1591</v>
      </c>
      <c r="U273" s="130">
        <v>1.0</v>
      </c>
      <c r="V273" s="59" t="s">
        <v>1586</v>
      </c>
      <c r="W273" s="611" t="s">
        <v>1592</v>
      </c>
      <c r="X273" s="51" t="str">
        <f t="array" ref="X273"> if(iserror(MATCH(V273, 'File Links'!C:C, 0)), "N/A", HYPERLINK(INDEX('File Links'!B:B, MATCH(V273, 'File Links'!C:C, 0))))</f>
        <v>https://drive.google.com/file/d/1Fg206MUtjoN9d31kEAQ7bIDHvbUqwyGY/view?usp=drivesdk</v>
      </c>
      <c r="Y273" s="615"/>
      <c r="Z273" s="611" t="s">
        <v>1593</v>
      </c>
      <c r="AA273" s="611" t="s">
        <v>1594</v>
      </c>
      <c r="AB273" s="615" t="s">
        <v>1595</v>
      </c>
      <c r="AC273" s="611" t="s">
        <v>1596</v>
      </c>
      <c r="AD273" s="617" t="s">
        <v>1603</v>
      </c>
      <c r="AE273" s="619">
        <v>57.0</v>
      </c>
      <c r="AF273" s="618">
        <v>101.0</v>
      </c>
      <c r="AG273" s="618">
        <v>0.18</v>
      </c>
      <c r="AH273" s="622" t="s">
        <v>166</v>
      </c>
      <c r="AI273" s="617" t="s">
        <v>1604</v>
      </c>
      <c r="AJ273" s="623">
        <v>0.0717</v>
      </c>
      <c r="AK273" s="611" t="s">
        <v>165</v>
      </c>
      <c r="AL273" s="585" t="s">
        <v>179</v>
      </c>
      <c r="AM273" s="615" t="s">
        <v>130</v>
      </c>
      <c r="AN273" s="216" t="s">
        <v>131</v>
      </c>
      <c r="AO273" s="618">
        <v>103.0</v>
      </c>
      <c r="AP273" s="618">
        <v>0.25</v>
      </c>
      <c r="AQ273" s="611" t="s">
        <v>166</v>
      </c>
      <c r="AR273" s="611" t="s">
        <v>1605</v>
      </c>
      <c r="AS273" s="618">
        <v>0.01</v>
      </c>
      <c r="AT273" s="611" t="s">
        <v>165</v>
      </c>
      <c r="AU273" s="611" t="s">
        <v>179</v>
      </c>
      <c r="AV273" s="615" t="s">
        <v>130</v>
      </c>
      <c r="AW273" s="59" t="s">
        <v>131</v>
      </c>
      <c r="AX273" s="615" t="s">
        <v>136</v>
      </c>
      <c r="AY273" s="608"/>
      <c r="AZ273" s="121" t="s">
        <v>137</v>
      </c>
    </row>
    <row r="274" ht="20.25" customHeight="1">
      <c r="A274" s="41">
        <v>274.0</v>
      </c>
      <c r="B274" s="609" t="s">
        <v>145</v>
      </c>
      <c r="C274" s="609" t="s">
        <v>108</v>
      </c>
      <c r="D274" s="609" t="s">
        <v>279</v>
      </c>
      <c r="E274" s="610"/>
      <c r="F274" s="611" t="s">
        <v>1578</v>
      </c>
      <c r="G274" s="585" t="s">
        <v>1606</v>
      </c>
      <c r="H274" s="611" t="s">
        <v>1599</v>
      </c>
      <c r="I274" s="621">
        <v>45634.0</v>
      </c>
      <c r="J274" s="598">
        <v>45670.0</v>
      </c>
      <c r="K274" s="611" t="s">
        <v>1600</v>
      </c>
      <c r="L274" s="613"/>
      <c r="M274" s="614" t="s">
        <v>1607</v>
      </c>
      <c r="N274" s="615"/>
      <c r="O274" s="613">
        <v>1.0</v>
      </c>
      <c r="P274" s="611" t="s">
        <v>1589</v>
      </c>
      <c r="Q274" s="49" t="str">
        <f t="array" ref="Q274"> if(iserror(MATCH(V274, 'File Links'!C:C, 0)), "N/A", HYPERLINK(INDEX('File Links'!B:B, MATCH(P274, 'File Links'!C:C, 0))))</f>
        <v>https://drive.google.com/file/d/13W9ZIRuUntMYZ1V5eqz7utx5OSyGY3y3/view?usp=drivesdk</v>
      </c>
      <c r="R274" s="616" t="s">
        <v>1608</v>
      </c>
      <c r="S274" s="604" t="s">
        <v>1584</v>
      </c>
      <c r="T274" s="614" t="s">
        <v>1591</v>
      </c>
      <c r="U274" s="130">
        <v>1.0</v>
      </c>
      <c r="V274" s="59" t="s">
        <v>1586</v>
      </c>
      <c r="W274" s="611" t="s">
        <v>1592</v>
      </c>
      <c r="X274" s="51" t="str">
        <f t="array" ref="X274"> if(iserror(MATCH(V274, 'File Links'!C:C, 0)), "N/A", HYPERLINK(INDEX('File Links'!B:B, MATCH(V274, 'File Links'!C:C, 0))))</f>
        <v>https://drive.google.com/file/d/1Fg206MUtjoN9d31kEAQ7bIDHvbUqwyGY/view?usp=drivesdk</v>
      </c>
      <c r="Y274" s="615"/>
      <c r="Z274" s="611" t="s">
        <v>1593</v>
      </c>
      <c r="AA274" s="611" t="s">
        <v>1609</v>
      </c>
      <c r="AB274" s="615" t="s">
        <v>1610</v>
      </c>
      <c r="AC274" s="611" t="s">
        <v>1611</v>
      </c>
      <c r="AD274" s="617" t="s">
        <v>1612</v>
      </c>
      <c r="AE274" s="619">
        <v>57.0</v>
      </c>
      <c r="AF274" s="624">
        <v>101.0</v>
      </c>
      <c r="AG274" s="618">
        <v>0.09</v>
      </c>
      <c r="AH274" s="622" t="s">
        <v>166</v>
      </c>
      <c r="AI274" s="617" t="s">
        <v>1604</v>
      </c>
      <c r="AJ274" s="623">
        <v>0.3451</v>
      </c>
      <c r="AK274" s="611" t="s">
        <v>165</v>
      </c>
      <c r="AL274" s="585" t="s">
        <v>179</v>
      </c>
      <c r="AM274" s="615" t="s">
        <v>130</v>
      </c>
      <c r="AN274" s="216" t="s">
        <v>131</v>
      </c>
      <c r="AO274" s="618">
        <v>103.0</v>
      </c>
      <c r="AP274" s="618">
        <v>0.09</v>
      </c>
      <c r="AQ274" s="611" t="s">
        <v>166</v>
      </c>
      <c r="AR274" s="611" t="s">
        <v>1605</v>
      </c>
      <c r="AS274" s="618">
        <v>0.38</v>
      </c>
      <c r="AT274" s="611" t="s">
        <v>165</v>
      </c>
      <c r="AU274" s="611" t="s">
        <v>179</v>
      </c>
      <c r="AV274" s="615" t="s">
        <v>130</v>
      </c>
      <c r="AW274" s="59" t="s">
        <v>131</v>
      </c>
      <c r="AX274" s="615" t="s">
        <v>136</v>
      </c>
      <c r="AY274" s="608"/>
      <c r="AZ274" s="121" t="s">
        <v>137</v>
      </c>
    </row>
    <row r="275" ht="20.25" customHeight="1">
      <c r="A275" s="41">
        <v>275.0</v>
      </c>
      <c r="B275" s="609" t="s">
        <v>145</v>
      </c>
      <c r="C275" s="609" t="s">
        <v>108</v>
      </c>
      <c r="D275" s="609" t="s">
        <v>279</v>
      </c>
      <c r="E275" s="610"/>
      <c r="F275" s="611" t="s">
        <v>1578</v>
      </c>
      <c r="G275" s="585" t="s">
        <v>1613</v>
      </c>
      <c r="H275" s="611" t="s">
        <v>282</v>
      </c>
      <c r="I275" s="621">
        <v>45634.0</v>
      </c>
      <c r="J275" s="598">
        <v>45670.0</v>
      </c>
      <c r="K275" s="611" t="s">
        <v>1600</v>
      </c>
      <c r="L275" s="613"/>
      <c r="M275" s="614" t="s">
        <v>1614</v>
      </c>
      <c r="N275" s="615"/>
      <c r="O275" s="613">
        <v>1.0</v>
      </c>
      <c r="P275" s="611" t="s">
        <v>1589</v>
      </c>
      <c r="Q275" s="49" t="str">
        <f t="array" ref="Q275"> if(iserror(MATCH(V275, 'File Links'!C:C, 0)), "N/A", HYPERLINK(INDEX('File Links'!B:B, MATCH(P275, 'File Links'!C:C, 0))))</f>
        <v>https://drive.google.com/file/d/13W9ZIRuUntMYZ1V5eqz7utx5OSyGY3y3/view?usp=drivesdk</v>
      </c>
      <c r="R275" s="616" t="s">
        <v>1615</v>
      </c>
      <c r="S275" s="604" t="s">
        <v>1584</v>
      </c>
      <c r="T275" s="614" t="s">
        <v>1591</v>
      </c>
      <c r="U275" s="130">
        <v>1.0</v>
      </c>
      <c r="V275" s="59" t="s">
        <v>1586</v>
      </c>
      <c r="W275" s="611" t="s">
        <v>1592</v>
      </c>
      <c r="X275" s="51" t="str">
        <f t="array" ref="X275"> if(iserror(MATCH(V275, 'File Links'!C:C, 0)), "N/A", HYPERLINK(INDEX('File Links'!B:B, MATCH(V275, 'File Links'!C:C, 0))))</f>
        <v>https://drive.google.com/file/d/1Fg206MUtjoN9d31kEAQ7bIDHvbUqwyGY/view?usp=drivesdk</v>
      </c>
      <c r="Y275" s="615"/>
      <c r="Z275" s="611" t="s">
        <v>1593</v>
      </c>
      <c r="AA275" s="611" t="s">
        <v>1616</v>
      </c>
      <c r="AB275" s="615" t="s">
        <v>1617</v>
      </c>
      <c r="AC275" s="611" t="s">
        <v>1618</v>
      </c>
      <c r="AD275" s="617" t="s">
        <v>1619</v>
      </c>
      <c r="AE275" s="619">
        <v>57.0</v>
      </c>
      <c r="AF275" s="624">
        <v>101.0</v>
      </c>
      <c r="AG275" s="618">
        <v>0.75</v>
      </c>
      <c r="AH275" s="622" t="s">
        <v>166</v>
      </c>
      <c r="AI275" s="617" t="s">
        <v>1604</v>
      </c>
      <c r="AJ275" s="623">
        <v>1.0E-4</v>
      </c>
      <c r="AK275" s="611" t="s">
        <v>165</v>
      </c>
      <c r="AL275" s="585" t="s">
        <v>179</v>
      </c>
      <c r="AM275" s="615" t="s">
        <v>130</v>
      </c>
      <c r="AN275" s="216" t="s">
        <v>131</v>
      </c>
      <c r="AO275" s="618">
        <v>103.0</v>
      </c>
      <c r="AP275" s="618">
        <v>0.45</v>
      </c>
      <c r="AQ275" s="611" t="s">
        <v>166</v>
      </c>
      <c r="AR275" s="611" t="s">
        <v>1605</v>
      </c>
      <c r="AS275" s="618">
        <v>0.01</v>
      </c>
      <c r="AT275" s="611" t="s">
        <v>128</v>
      </c>
      <c r="AU275" s="611" t="s">
        <v>179</v>
      </c>
      <c r="AV275" s="615" t="s">
        <v>130</v>
      </c>
      <c r="AW275" s="59" t="s">
        <v>131</v>
      </c>
      <c r="AX275" s="615" t="s">
        <v>136</v>
      </c>
      <c r="AY275" s="608"/>
      <c r="AZ275" s="121" t="s">
        <v>137</v>
      </c>
      <c r="BC275" s="69"/>
      <c r="BD275" s="69"/>
      <c r="BE275" s="69"/>
      <c r="BF275" s="69"/>
      <c r="BG275" s="69"/>
      <c r="BH275" s="69"/>
      <c r="BI275" s="69"/>
      <c r="BJ275" s="69"/>
      <c r="BK275" s="69"/>
      <c r="BL275" s="69"/>
      <c r="BM275" s="69"/>
      <c r="BN275" s="69"/>
      <c r="BO275" s="69"/>
      <c r="BP275" s="69"/>
      <c r="BQ275" s="69"/>
      <c r="BR275" s="69"/>
      <c r="BS275" s="69"/>
      <c r="BT275" s="69"/>
      <c r="BU275" s="69"/>
      <c r="BV275" s="69"/>
      <c r="BW275" s="69"/>
      <c r="BX275" s="69"/>
      <c r="BY275" s="69"/>
      <c r="BZ275" s="69"/>
      <c r="CA275" s="69"/>
      <c r="CB275" s="69"/>
      <c r="CC275" s="69"/>
      <c r="CD275" s="69"/>
      <c r="CE275" s="69"/>
      <c r="CF275" s="69"/>
      <c r="CG275" s="69"/>
      <c r="CH275" s="69"/>
      <c r="CI275" s="69"/>
      <c r="CJ275" s="69"/>
      <c r="CK275" s="69"/>
      <c r="CL275" s="69"/>
      <c r="CM275" s="69"/>
      <c r="CN275" s="69"/>
      <c r="CO275" s="69"/>
      <c r="CP275" s="69"/>
      <c r="CQ275" s="69"/>
      <c r="CR275" s="69"/>
      <c r="CS275" s="69"/>
      <c r="CT275" s="69"/>
      <c r="CU275" s="69"/>
      <c r="CV275" s="69"/>
      <c r="CW275" s="69"/>
      <c r="CX275" s="69"/>
      <c r="CY275" s="69"/>
      <c r="CZ275" s="69"/>
      <c r="DA275" s="69"/>
      <c r="DB275" s="69"/>
      <c r="DC275" s="69"/>
      <c r="DD275" s="69"/>
      <c r="DE275" s="69"/>
      <c r="DF275" s="69"/>
      <c r="DG275" s="69"/>
      <c r="DH275" s="69"/>
    </row>
    <row r="276" ht="20.25" customHeight="1">
      <c r="A276" s="41">
        <v>276.0</v>
      </c>
      <c r="B276" s="609" t="s">
        <v>145</v>
      </c>
      <c r="C276" s="609" t="s">
        <v>108</v>
      </c>
      <c r="D276" s="609" t="s">
        <v>279</v>
      </c>
      <c r="E276" s="610"/>
      <c r="F276" s="611" t="s">
        <v>1578</v>
      </c>
      <c r="G276" s="585" t="s">
        <v>1620</v>
      </c>
      <c r="H276" s="611" t="s">
        <v>282</v>
      </c>
      <c r="I276" s="621">
        <v>45634.0</v>
      </c>
      <c r="J276" s="598">
        <v>45670.0</v>
      </c>
      <c r="K276" s="611" t="s">
        <v>1600</v>
      </c>
      <c r="L276" s="613"/>
      <c r="M276" s="614" t="s">
        <v>1621</v>
      </c>
      <c r="N276" s="615"/>
      <c r="O276" s="613">
        <v>1.0</v>
      </c>
      <c r="P276" s="611" t="s">
        <v>1589</v>
      </c>
      <c r="Q276" s="49" t="str">
        <f t="array" ref="Q276"> if(iserror(MATCH(V276, 'File Links'!C:C, 0)), "N/A", HYPERLINK(INDEX('File Links'!B:B, MATCH(P276, 'File Links'!C:C, 0))))</f>
        <v>https://drive.google.com/file/d/13W9ZIRuUntMYZ1V5eqz7utx5OSyGY3y3/view?usp=drivesdk</v>
      </c>
      <c r="R276" s="616" t="s">
        <v>1622</v>
      </c>
      <c r="S276" s="604" t="s">
        <v>1584</v>
      </c>
      <c r="T276" s="614" t="s">
        <v>1591</v>
      </c>
      <c r="U276" s="130">
        <v>1.0</v>
      </c>
      <c r="V276" s="59" t="s">
        <v>1586</v>
      </c>
      <c r="W276" s="611" t="s">
        <v>1592</v>
      </c>
      <c r="X276" s="51" t="str">
        <f t="array" ref="X276"> if(iserror(MATCH(V276, 'File Links'!C:C, 0)), "N/A", HYPERLINK(INDEX('File Links'!B:B, MATCH(V276, 'File Links'!C:C, 0))))</f>
        <v>https://drive.google.com/file/d/1Fg206MUtjoN9d31kEAQ7bIDHvbUqwyGY/view?usp=drivesdk</v>
      </c>
      <c r="Y276" s="615"/>
      <c r="Z276" s="611" t="s">
        <v>1593</v>
      </c>
      <c r="AA276" s="611" t="s">
        <v>1623</v>
      </c>
      <c r="AB276" s="611" t="s">
        <v>1624</v>
      </c>
      <c r="AC276" s="611" t="s">
        <v>1625</v>
      </c>
      <c r="AD276" s="617" t="s">
        <v>1626</v>
      </c>
      <c r="AE276" s="619">
        <v>57.0</v>
      </c>
      <c r="AF276" s="624">
        <v>101.0</v>
      </c>
      <c r="AG276" s="618">
        <v>0.45</v>
      </c>
      <c r="AH276" s="622" t="s">
        <v>166</v>
      </c>
      <c r="AI276" s="617" t="s">
        <v>1604</v>
      </c>
      <c r="AJ276" s="623">
        <v>0.0012</v>
      </c>
      <c r="AK276" s="611" t="s">
        <v>165</v>
      </c>
      <c r="AL276" s="585" t="s">
        <v>179</v>
      </c>
      <c r="AM276" s="615" t="s">
        <v>130</v>
      </c>
      <c r="AN276" s="216" t="s">
        <v>131</v>
      </c>
      <c r="AO276" s="618">
        <v>103.0</v>
      </c>
      <c r="AP276" s="618">
        <v>0.48</v>
      </c>
      <c r="AQ276" s="611" t="s">
        <v>166</v>
      </c>
      <c r="AR276" s="611" t="s">
        <v>1605</v>
      </c>
      <c r="AS276" s="618">
        <v>0.01</v>
      </c>
      <c r="AT276" s="611" t="s">
        <v>128</v>
      </c>
      <c r="AU276" s="611" t="s">
        <v>179</v>
      </c>
      <c r="AV276" s="615" t="s">
        <v>130</v>
      </c>
      <c r="AW276" s="59" t="s">
        <v>131</v>
      </c>
      <c r="AX276" s="615" t="s">
        <v>136</v>
      </c>
      <c r="AY276" s="608"/>
      <c r="AZ276" s="121" t="s">
        <v>137</v>
      </c>
      <c r="BC276" s="225"/>
      <c r="BD276" s="225"/>
      <c r="BE276" s="225"/>
      <c r="BF276" s="225"/>
      <c r="BG276" s="225"/>
      <c r="BH276" s="225"/>
      <c r="BI276" s="225"/>
      <c r="BJ276" s="225"/>
      <c r="BK276" s="225"/>
      <c r="BL276" s="225"/>
      <c r="BM276" s="225"/>
      <c r="BN276" s="225"/>
      <c r="BO276" s="225"/>
      <c r="BP276" s="225"/>
      <c r="BQ276" s="225"/>
      <c r="BR276" s="225"/>
      <c r="BS276" s="225"/>
      <c r="BT276" s="225"/>
      <c r="BU276" s="225"/>
      <c r="BV276" s="225"/>
      <c r="BW276" s="225"/>
      <c r="BX276" s="225"/>
      <c r="BY276" s="225"/>
      <c r="BZ276" s="225"/>
      <c r="CA276" s="225"/>
      <c r="CB276" s="225"/>
      <c r="CC276" s="225"/>
      <c r="CD276" s="225"/>
      <c r="CE276" s="225"/>
      <c r="CF276" s="225"/>
      <c r="CG276" s="225"/>
      <c r="CH276" s="225"/>
      <c r="CI276" s="225"/>
      <c r="CJ276" s="225"/>
      <c r="CK276" s="225"/>
      <c r="CL276" s="225"/>
      <c r="CM276" s="225"/>
      <c r="CN276" s="225"/>
      <c r="CO276" s="225"/>
      <c r="CP276" s="225"/>
      <c r="CQ276" s="225"/>
      <c r="CR276" s="225"/>
      <c r="CS276" s="225"/>
      <c r="CT276" s="225"/>
      <c r="CU276" s="225"/>
      <c r="CV276" s="225"/>
      <c r="CW276" s="225"/>
      <c r="CX276" s="225"/>
      <c r="CY276" s="225"/>
      <c r="CZ276" s="225"/>
      <c r="DA276" s="225"/>
      <c r="DB276" s="225"/>
      <c r="DC276" s="225"/>
      <c r="DD276" s="225"/>
      <c r="DE276" s="225"/>
      <c r="DF276" s="225"/>
      <c r="DG276" s="225"/>
      <c r="DH276" s="225"/>
    </row>
    <row r="277" ht="20.25" customHeight="1">
      <c r="A277" s="41">
        <v>277.0</v>
      </c>
      <c r="B277" s="609" t="s">
        <v>145</v>
      </c>
      <c r="C277" s="609" t="s">
        <v>108</v>
      </c>
      <c r="D277" s="609" t="s">
        <v>279</v>
      </c>
      <c r="E277" s="610"/>
      <c r="F277" s="611" t="s">
        <v>1578</v>
      </c>
      <c r="G277" s="585" t="s">
        <v>1627</v>
      </c>
      <c r="H277" s="611" t="s">
        <v>282</v>
      </c>
      <c r="I277" s="621">
        <v>45634.0</v>
      </c>
      <c r="J277" s="598">
        <v>45670.0</v>
      </c>
      <c r="K277" s="611" t="s">
        <v>1600</v>
      </c>
      <c r="L277" s="600" t="s">
        <v>1628</v>
      </c>
      <c r="M277" s="614" t="s">
        <v>1629</v>
      </c>
      <c r="N277" s="615"/>
      <c r="O277" s="613">
        <v>1.0</v>
      </c>
      <c r="P277" s="611" t="s">
        <v>1589</v>
      </c>
      <c r="Q277" s="49" t="str">
        <f t="array" ref="Q277"> if(iserror(MATCH(V277, 'File Links'!C:C, 0)), "N/A", HYPERLINK(INDEX('File Links'!B:B, MATCH(P277, 'File Links'!C:C, 0))))</f>
        <v>https://drive.google.com/file/d/13W9ZIRuUntMYZ1V5eqz7utx5OSyGY3y3/view?usp=drivesdk</v>
      </c>
      <c r="R277" s="616" t="s">
        <v>1630</v>
      </c>
      <c r="S277" s="604" t="s">
        <v>1584</v>
      </c>
      <c r="T277" s="614" t="s">
        <v>1591</v>
      </c>
      <c r="U277" s="130">
        <v>1.0</v>
      </c>
      <c r="V277" s="59" t="s">
        <v>1586</v>
      </c>
      <c r="W277" s="611" t="s">
        <v>1592</v>
      </c>
      <c r="X277" s="51" t="str">
        <f t="array" ref="X277"> if(iserror(MATCH(V277, 'File Links'!C:C, 0)), "N/A", HYPERLINK(INDEX('File Links'!B:B, MATCH(V277, 'File Links'!C:C, 0))))</f>
        <v>https://drive.google.com/file/d/1Fg206MUtjoN9d31kEAQ7bIDHvbUqwyGY/view?usp=drivesdk</v>
      </c>
      <c r="Y277" s="615"/>
      <c r="Z277" s="611" t="s">
        <v>1593</v>
      </c>
      <c r="AA277" s="611" t="s">
        <v>1631</v>
      </c>
      <c r="AB277" s="611" t="s">
        <v>1632</v>
      </c>
      <c r="AC277" s="611" t="s">
        <v>1633</v>
      </c>
      <c r="AD277" s="617" t="s">
        <v>1634</v>
      </c>
      <c r="AE277" s="619">
        <v>57.0</v>
      </c>
      <c r="AF277" s="624">
        <v>101.0</v>
      </c>
      <c r="AG277" s="618">
        <v>0.24</v>
      </c>
      <c r="AH277" s="622" t="s">
        <v>166</v>
      </c>
      <c r="AI277" s="617" t="s">
        <v>1604</v>
      </c>
      <c r="AJ277" s="625">
        <v>0.0187</v>
      </c>
      <c r="AK277" s="611" t="s">
        <v>165</v>
      </c>
      <c r="AL277" s="585" t="s">
        <v>179</v>
      </c>
      <c r="AM277" s="615" t="s">
        <v>130</v>
      </c>
      <c r="AN277" s="216" t="s">
        <v>131</v>
      </c>
      <c r="AO277" s="618">
        <v>103.0</v>
      </c>
      <c r="AP277" s="618">
        <v>0.26</v>
      </c>
      <c r="AQ277" s="611" t="s">
        <v>166</v>
      </c>
      <c r="AR277" s="611" t="s">
        <v>1605</v>
      </c>
      <c r="AS277" s="618">
        <v>0.01</v>
      </c>
      <c r="AT277" s="611" t="s">
        <v>165</v>
      </c>
      <c r="AU277" s="611" t="s">
        <v>179</v>
      </c>
      <c r="AV277" s="615" t="s">
        <v>130</v>
      </c>
      <c r="AW277" s="59" t="s">
        <v>131</v>
      </c>
      <c r="AX277" s="615" t="s">
        <v>136</v>
      </c>
      <c r="AY277" s="608" t="s">
        <v>1628</v>
      </c>
      <c r="AZ277" s="121" t="s">
        <v>137</v>
      </c>
      <c r="BC277" s="69"/>
      <c r="BD277" s="69"/>
      <c r="BE277" s="69"/>
      <c r="BF277" s="69"/>
      <c r="BG277" s="69"/>
      <c r="BH277" s="69"/>
      <c r="BI277" s="69"/>
      <c r="BJ277" s="69"/>
      <c r="BK277" s="69"/>
      <c r="BL277" s="69"/>
      <c r="BM277" s="69"/>
      <c r="BN277" s="69"/>
      <c r="BO277" s="69"/>
      <c r="BP277" s="69"/>
      <c r="BQ277" s="69"/>
      <c r="BR277" s="69"/>
      <c r="BS277" s="69"/>
      <c r="BT277" s="69"/>
      <c r="BU277" s="69"/>
      <c r="BV277" s="69"/>
      <c r="BW277" s="69"/>
      <c r="BX277" s="69"/>
      <c r="BY277" s="69"/>
      <c r="BZ277" s="69"/>
      <c r="CA277" s="69"/>
      <c r="CB277" s="69"/>
      <c r="CC277" s="69"/>
      <c r="CD277" s="69"/>
      <c r="CE277" s="69"/>
      <c r="CF277" s="69"/>
      <c r="CG277" s="69"/>
      <c r="CH277" s="69"/>
      <c r="CI277" s="69"/>
      <c r="CJ277" s="69"/>
      <c r="CK277" s="69"/>
      <c r="CL277" s="69"/>
      <c r="CM277" s="69"/>
      <c r="CN277" s="69"/>
      <c r="CO277" s="69"/>
      <c r="CP277" s="69"/>
      <c r="CQ277" s="69"/>
      <c r="CR277" s="69"/>
      <c r="CS277" s="69"/>
      <c r="CT277" s="69"/>
      <c r="CU277" s="69"/>
      <c r="CV277" s="69"/>
      <c r="CW277" s="69"/>
      <c r="CX277" s="69"/>
      <c r="CY277" s="69"/>
      <c r="CZ277" s="69"/>
      <c r="DA277" s="69"/>
      <c r="DB277" s="69"/>
      <c r="DC277" s="69"/>
      <c r="DD277" s="69"/>
      <c r="DE277" s="69"/>
      <c r="DF277" s="69"/>
      <c r="DG277" s="69"/>
      <c r="DH277" s="69"/>
    </row>
    <row r="278" ht="20.25" customHeight="1">
      <c r="A278" s="41">
        <v>278.0</v>
      </c>
      <c r="B278" s="609" t="s">
        <v>145</v>
      </c>
      <c r="C278" s="609" t="s">
        <v>108</v>
      </c>
      <c r="D278" s="609" t="s">
        <v>279</v>
      </c>
      <c r="E278" s="610"/>
      <c r="F278" s="611" t="s">
        <v>1578</v>
      </c>
      <c r="G278" s="585" t="s">
        <v>1635</v>
      </c>
      <c r="H278" s="611" t="s">
        <v>282</v>
      </c>
      <c r="I278" s="621">
        <v>45634.0</v>
      </c>
      <c r="J278" s="598">
        <v>45670.0</v>
      </c>
      <c r="K278" s="611" t="s">
        <v>1600</v>
      </c>
      <c r="L278" s="613"/>
      <c r="M278" s="614" t="s">
        <v>1636</v>
      </c>
      <c r="N278" s="615"/>
      <c r="O278" s="613">
        <v>1.0</v>
      </c>
      <c r="P278" s="611" t="s">
        <v>1589</v>
      </c>
      <c r="Q278" s="49" t="str">
        <f t="array" ref="Q278"> if(iserror(MATCH(V278, 'File Links'!C:C, 0)), "N/A", HYPERLINK(INDEX('File Links'!B:B, MATCH(P278, 'File Links'!C:C, 0))))</f>
        <v>https://drive.google.com/file/d/13W9ZIRuUntMYZ1V5eqz7utx5OSyGY3y3/view?usp=drivesdk</v>
      </c>
      <c r="R278" s="616" t="s">
        <v>1637</v>
      </c>
      <c r="S278" s="604" t="s">
        <v>1584</v>
      </c>
      <c r="T278" s="614" t="s">
        <v>1591</v>
      </c>
      <c r="U278" s="130">
        <v>1.0</v>
      </c>
      <c r="V278" s="109" t="str">
        <f t="shared" ref="V278:V318" si="6">HYPERLINK(VLOOKUP(LOWER(S278),#REF!, 2, FALSE), SUBSTITUTE(LOWER(S278), "/", "--") &amp;  ".pdf")</f>
        <v>thekeep.eiu.edu--theses--5025.pdf</v>
      </c>
      <c r="W278" s="611" t="s">
        <v>1592</v>
      </c>
      <c r="X278" s="51" t="str">
        <f t="array" ref="X278"> if(iserror(MATCH(V278, 'File Links'!C:C, 0)), "N/A", HYPERLINK(INDEX('File Links'!B:B, MATCH(V278, 'File Links'!C:C, 0))))</f>
        <v>https://drive.google.com/file/d/1Fg206MUtjoN9d31kEAQ7bIDHvbUqwyGY/view?usp=drivesdk</v>
      </c>
      <c r="Y278" s="615"/>
      <c r="Z278" s="611" t="s">
        <v>1593</v>
      </c>
      <c r="AA278" s="611" t="s">
        <v>1638</v>
      </c>
      <c r="AB278" s="611" t="s">
        <v>1639</v>
      </c>
      <c r="AC278" s="611" t="s">
        <v>1640</v>
      </c>
      <c r="AD278" s="617" t="s">
        <v>1641</v>
      </c>
      <c r="AE278" s="619">
        <v>57.0</v>
      </c>
      <c r="AF278" s="624">
        <v>101.0</v>
      </c>
      <c r="AG278" s="618">
        <v>0.25</v>
      </c>
      <c r="AH278" s="622" t="s">
        <v>166</v>
      </c>
      <c r="AI278" s="617" t="s">
        <v>1604</v>
      </c>
      <c r="AJ278" s="623">
        <v>0.0134</v>
      </c>
      <c r="AK278" s="611" t="s">
        <v>165</v>
      </c>
      <c r="AL278" s="585" t="s">
        <v>179</v>
      </c>
      <c r="AM278" s="615" t="s">
        <v>130</v>
      </c>
      <c r="AN278" s="216" t="s">
        <v>131</v>
      </c>
      <c r="AO278" s="618">
        <v>103.0</v>
      </c>
      <c r="AP278" s="618">
        <v>0.07</v>
      </c>
      <c r="AQ278" s="611" t="s">
        <v>166</v>
      </c>
      <c r="AR278" s="611" t="s">
        <v>1605</v>
      </c>
      <c r="AS278" s="618">
        <v>0.45</v>
      </c>
      <c r="AT278" s="611" t="s">
        <v>165</v>
      </c>
      <c r="AU278" s="611" t="s">
        <v>179</v>
      </c>
      <c r="AV278" s="615" t="s">
        <v>130</v>
      </c>
      <c r="AW278" s="59" t="s">
        <v>131</v>
      </c>
      <c r="AX278" s="615" t="s">
        <v>136</v>
      </c>
      <c r="AY278" s="608"/>
      <c r="AZ278" s="121" t="s">
        <v>137</v>
      </c>
      <c r="BC278" s="225"/>
      <c r="BD278" s="225"/>
      <c r="BE278" s="225"/>
      <c r="BF278" s="225"/>
      <c r="BG278" s="225"/>
      <c r="BH278" s="225"/>
      <c r="BI278" s="225"/>
      <c r="BJ278" s="225"/>
      <c r="BK278" s="225"/>
      <c r="BL278" s="225"/>
      <c r="BM278" s="225"/>
      <c r="BN278" s="225"/>
      <c r="BO278" s="225"/>
      <c r="BP278" s="225"/>
      <c r="BQ278" s="225"/>
      <c r="BR278" s="225"/>
      <c r="BS278" s="225"/>
      <c r="BT278" s="225"/>
      <c r="BU278" s="225"/>
      <c r="BV278" s="225"/>
      <c r="BW278" s="225"/>
      <c r="BX278" s="225"/>
      <c r="BY278" s="225"/>
      <c r="BZ278" s="225"/>
      <c r="CA278" s="225"/>
      <c r="CB278" s="225"/>
      <c r="CC278" s="225"/>
      <c r="CD278" s="225"/>
      <c r="CE278" s="225"/>
      <c r="CF278" s="225"/>
      <c r="CG278" s="225"/>
      <c r="CH278" s="225"/>
      <c r="CI278" s="225"/>
      <c r="CJ278" s="225"/>
      <c r="CK278" s="225"/>
      <c r="CL278" s="225"/>
      <c r="CM278" s="225"/>
      <c r="CN278" s="225"/>
      <c r="CO278" s="225"/>
      <c r="CP278" s="225"/>
      <c r="CQ278" s="225"/>
      <c r="CR278" s="225"/>
      <c r="CS278" s="225"/>
      <c r="CT278" s="225"/>
      <c r="CU278" s="225"/>
      <c r="CV278" s="225"/>
      <c r="CW278" s="225"/>
      <c r="CX278" s="225"/>
      <c r="CY278" s="225"/>
      <c r="CZ278" s="225"/>
      <c r="DA278" s="225"/>
      <c r="DB278" s="225"/>
      <c r="DC278" s="225"/>
      <c r="DD278" s="225"/>
      <c r="DE278" s="225"/>
      <c r="DF278" s="225"/>
      <c r="DG278" s="225"/>
      <c r="DH278" s="225"/>
    </row>
    <row r="279" ht="20.25" customHeight="1">
      <c r="A279" s="41">
        <v>279.0</v>
      </c>
      <c r="B279" s="609" t="s">
        <v>145</v>
      </c>
      <c r="C279" s="609" t="s">
        <v>108</v>
      </c>
      <c r="D279" s="609" t="s">
        <v>279</v>
      </c>
      <c r="E279" s="610"/>
      <c r="F279" s="611" t="s">
        <v>1578</v>
      </c>
      <c r="G279" s="585" t="s">
        <v>1642</v>
      </c>
      <c r="H279" s="611" t="s">
        <v>282</v>
      </c>
      <c r="I279" s="621">
        <v>45634.0</v>
      </c>
      <c r="J279" s="598">
        <v>45670.0</v>
      </c>
      <c r="K279" s="611" t="s">
        <v>1600</v>
      </c>
      <c r="L279" s="613"/>
      <c r="M279" s="614" t="s">
        <v>1643</v>
      </c>
      <c r="N279" s="615"/>
      <c r="O279" s="613">
        <v>1.0</v>
      </c>
      <c r="P279" s="611" t="s">
        <v>1589</v>
      </c>
      <c r="Q279" s="49" t="str">
        <f t="array" ref="Q279"> if(iserror(MATCH(V279, 'File Links'!C:C, 0)), "N/A", HYPERLINK(INDEX('File Links'!B:B, MATCH(P279, 'File Links'!C:C, 0))))</f>
        <v>https://drive.google.com/file/d/13W9ZIRuUntMYZ1V5eqz7utx5OSyGY3y3/view?usp=drivesdk</v>
      </c>
      <c r="R279" s="616" t="s">
        <v>1644</v>
      </c>
      <c r="S279" s="604" t="s">
        <v>1584</v>
      </c>
      <c r="T279" s="614" t="s">
        <v>1591</v>
      </c>
      <c r="U279" s="130">
        <v>1.0</v>
      </c>
      <c r="V279" s="109" t="str">
        <f t="shared" si="6"/>
        <v>thekeep.eiu.edu--theses--5025.pdf</v>
      </c>
      <c r="W279" s="611" t="s">
        <v>1592</v>
      </c>
      <c r="X279" s="51" t="str">
        <f t="array" ref="X279"> if(iserror(MATCH(V279, 'File Links'!C:C, 0)), "N/A", HYPERLINK(INDEX('File Links'!B:B, MATCH(V279, 'File Links'!C:C, 0))))</f>
        <v>https://drive.google.com/file/d/1Fg206MUtjoN9d31kEAQ7bIDHvbUqwyGY/view?usp=drivesdk</v>
      </c>
      <c r="Y279" s="615"/>
      <c r="Z279" s="611" t="s">
        <v>1593</v>
      </c>
      <c r="AA279" s="611" t="s">
        <v>1645</v>
      </c>
      <c r="AB279" s="611" t="s">
        <v>1646</v>
      </c>
      <c r="AC279" s="611" t="s">
        <v>1647</v>
      </c>
      <c r="AD279" s="617" t="s">
        <v>1648</v>
      </c>
      <c r="AE279" s="619">
        <v>57.0</v>
      </c>
      <c r="AF279" s="624">
        <v>101.0</v>
      </c>
      <c r="AG279" s="618">
        <v>0.25</v>
      </c>
      <c r="AH279" s="622" t="s">
        <v>166</v>
      </c>
      <c r="AI279" s="617" t="s">
        <v>1604</v>
      </c>
      <c r="AJ279" s="623">
        <v>0.0154</v>
      </c>
      <c r="AK279" s="611" t="s">
        <v>165</v>
      </c>
      <c r="AL279" s="585" t="s">
        <v>179</v>
      </c>
      <c r="AM279" s="615" t="s">
        <v>130</v>
      </c>
      <c r="AN279" s="216" t="s">
        <v>131</v>
      </c>
      <c r="AO279" s="618">
        <v>103.0</v>
      </c>
      <c r="AP279" s="618">
        <v>0.11</v>
      </c>
      <c r="AQ279" s="611" t="s">
        <v>166</v>
      </c>
      <c r="AR279" s="611" t="s">
        <v>1605</v>
      </c>
      <c r="AS279" s="618">
        <v>0.27</v>
      </c>
      <c r="AT279" s="611" t="s">
        <v>165</v>
      </c>
      <c r="AU279" s="611" t="s">
        <v>179</v>
      </c>
      <c r="AV279" s="615" t="s">
        <v>130</v>
      </c>
      <c r="AW279" s="59" t="s">
        <v>131</v>
      </c>
      <c r="AX279" s="615" t="s">
        <v>136</v>
      </c>
      <c r="AY279" s="608"/>
      <c r="AZ279" s="121" t="s">
        <v>137</v>
      </c>
      <c r="BC279" s="69"/>
      <c r="BD279" s="69"/>
      <c r="BE279" s="69"/>
      <c r="BF279" s="69"/>
      <c r="BG279" s="69"/>
      <c r="BH279" s="69"/>
      <c r="BI279" s="69"/>
      <c r="BJ279" s="69"/>
      <c r="BK279" s="69"/>
      <c r="BL279" s="69"/>
      <c r="BM279" s="69"/>
      <c r="BN279" s="69"/>
      <c r="BO279" s="69"/>
      <c r="BP279" s="69"/>
      <c r="BQ279" s="69"/>
      <c r="BR279" s="69"/>
      <c r="BS279" s="69"/>
      <c r="BT279" s="69"/>
      <c r="BU279" s="69"/>
      <c r="BV279" s="69"/>
      <c r="BW279" s="69"/>
      <c r="BX279" s="69"/>
      <c r="BY279" s="69"/>
      <c r="BZ279" s="69"/>
      <c r="CA279" s="69"/>
      <c r="CB279" s="69"/>
      <c r="CC279" s="69"/>
      <c r="CD279" s="69"/>
      <c r="CE279" s="69"/>
      <c r="CF279" s="69"/>
      <c r="CG279" s="69"/>
      <c r="CH279" s="69"/>
      <c r="CI279" s="69"/>
      <c r="CJ279" s="69"/>
      <c r="CK279" s="69"/>
      <c r="CL279" s="69"/>
      <c r="CM279" s="69"/>
      <c r="CN279" s="69"/>
      <c r="CO279" s="69"/>
      <c r="CP279" s="69"/>
      <c r="CQ279" s="69"/>
      <c r="CR279" s="69"/>
      <c r="CS279" s="69"/>
      <c r="CT279" s="69"/>
      <c r="CU279" s="69"/>
      <c r="CV279" s="69"/>
      <c r="CW279" s="69"/>
      <c r="CX279" s="69"/>
      <c r="CY279" s="69"/>
      <c r="CZ279" s="69"/>
      <c r="DA279" s="69"/>
      <c r="DB279" s="69"/>
      <c r="DC279" s="69"/>
      <c r="DD279" s="69"/>
      <c r="DE279" s="69"/>
      <c r="DF279" s="69"/>
      <c r="DG279" s="69"/>
      <c r="DH279" s="69"/>
    </row>
    <row r="280" ht="20.25" customHeight="1">
      <c r="A280" s="41">
        <v>280.0</v>
      </c>
      <c r="B280" s="609" t="s">
        <v>145</v>
      </c>
      <c r="C280" s="609" t="s">
        <v>108</v>
      </c>
      <c r="D280" s="609" t="s">
        <v>279</v>
      </c>
      <c r="E280" s="610"/>
      <c r="F280" s="611" t="s">
        <v>1578</v>
      </c>
      <c r="G280" s="585" t="s">
        <v>1649</v>
      </c>
      <c r="H280" s="611" t="s">
        <v>282</v>
      </c>
      <c r="I280" s="621">
        <v>45634.0</v>
      </c>
      <c r="J280" s="598">
        <v>45670.0</v>
      </c>
      <c r="K280" s="611" t="s">
        <v>1600</v>
      </c>
      <c r="L280" s="613"/>
      <c r="M280" s="614" t="s">
        <v>1650</v>
      </c>
      <c r="N280" s="615"/>
      <c r="O280" s="613">
        <v>1.0</v>
      </c>
      <c r="P280" s="611" t="s">
        <v>1589</v>
      </c>
      <c r="Q280" s="49" t="str">
        <f t="array" ref="Q280"> if(iserror(MATCH(V280, 'File Links'!C:C, 0)), "N/A", HYPERLINK(INDEX('File Links'!B:B, MATCH(P280, 'File Links'!C:C, 0))))</f>
        <v>https://drive.google.com/file/d/13W9ZIRuUntMYZ1V5eqz7utx5OSyGY3y3/view?usp=drivesdk</v>
      </c>
      <c r="R280" s="616" t="s">
        <v>1651</v>
      </c>
      <c r="S280" s="604" t="s">
        <v>1584</v>
      </c>
      <c r="T280" s="614" t="s">
        <v>1591</v>
      </c>
      <c r="U280" s="130">
        <v>1.0</v>
      </c>
      <c r="V280" s="109" t="str">
        <f t="shared" si="6"/>
        <v>thekeep.eiu.edu--theses--5025.pdf</v>
      </c>
      <c r="W280" s="611" t="s">
        <v>1592</v>
      </c>
      <c r="X280" s="51" t="str">
        <f t="array" ref="X280"> if(iserror(MATCH(V280, 'File Links'!C:C, 0)), "N/A", HYPERLINK(INDEX('File Links'!B:B, MATCH(V280, 'File Links'!C:C, 0))))</f>
        <v>https://drive.google.com/file/d/1Fg206MUtjoN9d31kEAQ7bIDHvbUqwyGY/view?usp=drivesdk</v>
      </c>
      <c r="Y280" s="615"/>
      <c r="Z280" s="611" t="s">
        <v>1593</v>
      </c>
      <c r="AA280" s="611" t="s">
        <v>1652</v>
      </c>
      <c r="AB280" s="611" t="s">
        <v>1653</v>
      </c>
      <c r="AC280" s="611" t="s">
        <v>1654</v>
      </c>
      <c r="AD280" s="617" t="s">
        <v>1655</v>
      </c>
      <c r="AE280" s="619">
        <v>57.0</v>
      </c>
      <c r="AF280" s="624">
        <v>101.0</v>
      </c>
      <c r="AG280" s="618">
        <v>0.14</v>
      </c>
      <c r="AH280" s="622" t="s">
        <v>166</v>
      </c>
      <c r="AI280" s="617" t="s">
        <v>1604</v>
      </c>
      <c r="AJ280" s="623">
        <v>0.1649</v>
      </c>
      <c r="AK280" s="611" t="s">
        <v>165</v>
      </c>
      <c r="AL280" s="585" t="s">
        <v>179</v>
      </c>
      <c r="AM280" s="615" t="s">
        <v>130</v>
      </c>
      <c r="AN280" s="216" t="s">
        <v>131</v>
      </c>
      <c r="AO280" s="618">
        <v>103.0</v>
      </c>
      <c r="AP280" s="618">
        <v>0.0</v>
      </c>
      <c r="AQ280" s="611" t="s">
        <v>166</v>
      </c>
      <c r="AR280" s="611" t="s">
        <v>1605</v>
      </c>
      <c r="AS280" s="618">
        <v>0.97</v>
      </c>
      <c r="AT280" s="611" t="s">
        <v>165</v>
      </c>
      <c r="AU280" s="611" t="s">
        <v>179</v>
      </c>
      <c r="AV280" s="615" t="s">
        <v>130</v>
      </c>
      <c r="AW280" s="59" t="s">
        <v>131</v>
      </c>
      <c r="AX280" s="615" t="s">
        <v>136</v>
      </c>
      <c r="AY280" s="608"/>
      <c r="AZ280" s="121" t="s">
        <v>137</v>
      </c>
      <c r="BC280" s="225"/>
      <c r="BD280" s="225"/>
      <c r="BE280" s="225"/>
      <c r="BF280" s="225"/>
      <c r="BG280" s="225"/>
      <c r="BH280" s="225"/>
      <c r="BI280" s="225"/>
      <c r="BJ280" s="225"/>
      <c r="BK280" s="225"/>
      <c r="BL280" s="225"/>
      <c r="BM280" s="225"/>
      <c r="BN280" s="225"/>
      <c r="BO280" s="225"/>
      <c r="BP280" s="225"/>
      <c r="BQ280" s="225"/>
      <c r="BR280" s="225"/>
      <c r="BS280" s="225"/>
      <c r="BT280" s="225"/>
      <c r="BU280" s="225"/>
      <c r="BV280" s="225"/>
      <c r="BW280" s="225"/>
      <c r="BX280" s="225"/>
      <c r="BY280" s="225"/>
      <c r="BZ280" s="225"/>
      <c r="CA280" s="225"/>
      <c r="CB280" s="225"/>
      <c r="CC280" s="225"/>
      <c r="CD280" s="225"/>
      <c r="CE280" s="225"/>
      <c r="CF280" s="225"/>
      <c r="CG280" s="225"/>
      <c r="CH280" s="225"/>
      <c r="CI280" s="225"/>
      <c r="CJ280" s="225"/>
      <c r="CK280" s="225"/>
      <c r="CL280" s="225"/>
      <c r="CM280" s="225"/>
      <c r="CN280" s="225"/>
      <c r="CO280" s="225"/>
      <c r="CP280" s="225"/>
      <c r="CQ280" s="225"/>
      <c r="CR280" s="225"/>
      <c r="CS280" s="225"/>
      <c r="CT280" s="225"/>
      <c r="CU280" s="225"/>
      <c r="CV280" s="225"/>
      <c r="CW280" s="225"/>
      <c r="CX280" s="225"/>
      <c r="CY280" s="225"/>
      <c r="CZ280" s="225"/>
      <c r="DA280" s="225"/>
      <c r="DB280" s="225"/>
      <c r="DC280" s="225"/>
      <c r="DD280" s="225"/>
      <c r="DE280" s="225"/>
      <c r="DF280" s="225"/>
      <c r="DG280" s="225"/>
      <c r="DH280" s="225"/>
    </row>
    <row r="281" ht="20.25" customHeight="1">
      <c r="A281" s="41">
        <v>281.0</v>
      </c>
      <c r="B281" s="609" t="s">
        <v>145</v>
      </c>
      <c r="C281" s="609" t="s">
        <v>108</v>
      </c>
      <c r="D281" s="609" t="s">
        <v>279</v>
      </c>
      <c r="E281" s="610"/>
      <c r="F281" s="611" t="s">
        <v>1578</v>
      </c>
      <c r="G281" s="585" t="s">
        <v>1656</v>
      </c>
      <c r="H281" s="611" t="s">
        <v>282</v>
      </c>
      <c r="I281" s="621">
        <v>45634.0</v>
      </c>
      <c r="J281" s="598">
        <v>45670.0</v>
      </c>
      <c r="K281" s="611" t="s">
        <v>1600</v>
      </c>
      <c r="L281" s="613"/>
      <c r="M281" s="614" t="s">
        <v>1657</v>
      </c>
      <c r="N281" s="615"/>
      <c r="O281" s="613">
        <v>1.0</v>
      </c>
      <c r="P281" s="611" t="s">
        <v>1589</v>
      </c>
      <c r="Q281" s="49" t="str">
        <f t="array" ref="Q281"> if(iserror(MATCH(V281, 'File Links'!C:C, 0)), "N/A", HYPERLINK(INDEX('File Links'!B:B, MATCH(P281, 'File Links'!C:C, 0))))</f>
        <v>https://drive.google.com/file/d/13W9ZIRuUntMYZ1V5eqz7utx5OSyGY3y3/view?usp=drivesdk</v>
      </c>
      <c r="R281" s="616" t="s">
        <v>1658</v>
      </c>
      <c r="S281" s="604" t="s">
        <v>1584</v>
      </c>
      <c r="T281" s="614" t="s">
        <v>1591</v>
      </c>
      <c r="U281" s="130">
        <v>1.0</v>
      </c>
      <c r="V281" s="109" t="str">
        <f t="shared" si="6"/>
        <v>thekeep.eiu.edu--theses--5025.pdf</v>
      </c>
      <c r="W281" s="611" t="s">
        <v>1592</v>
      </c>
      <c r="X281" s="51" t="str">
        <f t="array" ref="X281"> if(iserror(MATCH(V281, 'File Links'!C:C, 0)), "N/A", HYPERLINK(INDEX('File Links'!B:B, MATCH(V281, 'File Links'!C:C, 0))))</f>
        <v>https://drive.google.com/file/d/1Fg206MUtjoN9d31kEAQ7bIDHvbUqwyGY/view?usp=drivesdk</v>
      </c>
      <c r="Y281" s="615"/>
      <c r="Z281" s="611" t="s">
        <v>1593</v>
      </c>
      <c r="AA281" s="611" t="s">
        <v>1659</v>
      </c>
      <c r="AB281" s="611" t="s">
        <v>1660</v>
      </c>
      <c r="AC281" s="611" t="s">
        <v>1661</v>
      </c>
      <c r="AD281" s="617" t="s">
        <v>1662</v>
      </c>
      <c r="AE281" s="619">
        <v>57.0</v>
      </c>
      <c r="AF281" s="624">
        <v>101.0</v>
      </c>
      <c r="AG281" s="618">
        <v>0.38</v>
      </c>
      <c r="AH281" s="622" t="s">
        <v>166</v>
      </c>
      <c r="AI281" s="617" t="s">
        <v>1604</v>
      </c>
      <c r="AJ281" s="623">
        <v>2.0E-4</v>
      </c>
      <c r="AK281" s="611" t="s">
        <v>165</v>
      </c>
      <c r="AL281" s="585" t="s">
        <v>179</v>
      </c>
      <c r="AM281" s="615" t="s">
        <v>130</v>
      </c>
      <c r="AN281" s="216" t="s">
        <v>131</v>
      </c>
      <c r="AO281" s="618">
        <v>103.0</v>
      </c>
      <c r="AP281" s="618">
        <v>-0.07</v>
      </c>
      <c r="AQ281" s="611" t="s">
        <v>166</v>
      </c>
      <c r="AR281" s="611" t="s">
        <v>1605</v>
      </c>
      <c r="AS281" s="618">
        <v>0.49</v>
      </c>
      <c r="AT281" s="611" t="s">
        <v>165</v>
      </c>
      <c r="AU281" s="611" t="s">
        <v>179</v>
      </c>
      <c r="AV281" s="615" t="s">
        <v>130</v>
      </c>
      <c r="AW281" s="59" t="s">
        <v>131</v>
      </c>
      <c r="AX281" s="615" t="s">
        <v>136</v>
      </c>
      <c r="AY281" s="608"/>
      <c r="AZ281" s="121" t="s">
        <v>137</v>
      </c>
      <c r="BC281" s="69"/>
      <c r="BD281" s="69"/>
      <c r="BE281" s="69"/>
      <c r="BF281" s="69"/>
      <c r="BG281" s="69"/>
      <c r="BH281" s="69"/>
      <c r="BI281" s="69"/>
      <c r="BJ281" s="69"/>
      <c r="BK281" s="69"/>
      <c r="BL281" s="69"/>
      <c r="BM281" s="69"/>
      <c r="BN281" s="69"/>
      <c r="BO281" s="69"/>
      <c r="BP281" s="69"/>
      <c r="BQ281" s="69"/>
      <c r="BR281" s="69"/>
      <c r="BS281" s="69"/>
      <c r="BT281" s="69"/>
      <c r="BU281" s="69"/>
      <c r="BV281" s="69"/>
      <c r="BW281" s="69"/>
      <c r="BX281" s="69"/>
      <c r="BY281" s="69"/>
      <c r="BZ281" s="69"/>
      <c r="CA281" s="69"/>
      <c r="CB281" s="69"/>
      <c r="CC281" s="69"/>
      <c r="CD281" s="69"/>
      <c r="CE281" s="69"/>
      <c r="CF281" s="69"/>
      <c r="CG281" s="69"/>
      <c r="CH281" s="69"/>
      <c r="CI281" s="69"/>
      <c r="CJ281" s="69"/>
      <c r="CK281" s="69"/>
      <c r="CL281" s="69"/>
      <c r="CM281" s="69"/>
      <c r="CN281" s="69"/>
      <c r="CO281" s="69"/>
      <c r="CP281" s="69"/>
      <c r="CQ281" s="69"/>
      <c r="CR281" s="69"/>
      <c r="CS281" s="69"/>
      <c r="CT281" s="69"/>
      <c r="CU281" s="69"/>
      <c r="CV281" s="69"/>
      <c r="CW281" s="69"/>
      <c r="CX281" s="69"/>
      <c r="CY281" s="69"/>
      <c r="CZ281" s="69"/>
      <c r="DA281" s="69"/>
      <c r="DB281" s="69"/>
      <c r="DC281" s="69"/>
      <c r="DD281" s="69"/>
      <c r="DE281" s="69"/>
      <c r="DF281" s="69"/>
      <c r="DG281" s="69"/>
      <c r="DH281" s="69"/>
    </row>
    <row r="282" ht="20.25" customHeight="1">
      <c r="A282" s="41">
        <v>282.0</v>
      </c>
      <c r="B282" s="90" t="s">
        <v>145</v>
      </c>
      <c r="C282" s="90" t="s">
        <v>108</v>
      </c>
      <c r="D282" s="90" t="s">
        <v>1451</v>
      </c>
      <c r="E282" s="89"/>
      <c r="F282" s="92" t="s">
        <v>1663</v>
      </c>
      <c r="G282" s="74" t="s">
        <v>1664</v>
      </c>
      <c r="H282" s="74" t="s">
        <v>1511</v>
      </c>
      <c r="I282" s="626">
        <v>45640.0</v>
      </c>
      <c r="J282" s="627">
        <v>45670.0</v>
      </c>
      <c r="K282" s="74" t="s">
        <v>1665</v>
      </c>
      <c r="L282" s="628" t="s">
        <v>1666</v>
      </c>
      <c r="M282" s="629" t="s">
        <v>1667</v>
      </c>
      <c r="N282" s="74" t="s">
        <v>1668</v>
      </c>
      <c r="O282" s="77">
        <v>1.0</v>
      </c>
      <c r="P282" s="96" t="str">
        <f> SUBSTITUTE(lower(N282), "/", "--") &amp;  ".pdf"</f>
        <v>10.1002--pam.21702.pdf</v>
      </c>
      <c r="Q282" s="49" t="str">
        <f t="array" ref="Q282"> if(iserror(MATCH(V282, 'File Links'!C:C, 0)), "N/A", HYPERLINK(INDEX('File Links'!B:B, MATCH(P282, 'File Links'!C:C, 0))))</f>
        <v>https://drive.google.com/file/d/1NxD4srcP8NGAkHA1AWvYHXJLyf_l73EF/view?usp=drivesdk</v>
      </c>
      <c r="R282" s="98" t="s">
        <v>1669</v>
      </c>
      <c r="S282" s="629" t="s">
        <v>1670</v>
      </c>
      <c r="T282" s="80"/>
      <c r="U282" s="630">
        <v>2.0</v>
      </c>
      <c r="V282" s="109" t="str">
        <f t="shared" si="6"/>
        <v>10.1111--padm.12860.pdf</v>
      </c>
      <c r="W282" s="74" t="s">
        <v>1671</v>
      </c>
      <c r="X282" s="51" t="str">
        <f t="array" ref="X282"> if(iserror(MATCH(V282, 'File Links'!C:C, 0)), "N/A", HYPERLINK(INDEX('File Links'!B:B, MATCH(V282, 'File Links'!C:C, 0))))</f>
        <v>https://drive.google.com/file/d/1Zty8FHdgF4Nqed1S2bjomumBBiyC8Mfz/view?usp=drivesdk</v>
      </c>
      <c r="Y282" s="80"/>
      <c r="Z282" s="80" t="s">
        <v>1672</v>
      </c>
      <c r="AA282" s="80" t="s">
        <v>1673</v>
      </c>
      <c r="AB282" s="80" t="s">
        <v>1674</v>
      </c>
      <c r="AC282" s="74" t="s">
        <v>1675</v>
      </c>
      <c r="AD282" s="74" t="s">
        <v>1676</v>
      </c>
      <c r="AE282" s="631">
        <v>45637.0</v>
      </c>
      <c r="AF282" s="632">
        <v>908.0</v>
      </c>
      <c r="AG282" s="632">
        <v>0.55</v>
      </c>
      <c r="AH282" s="592" t="s">
        <v>980</v>
      </c>
      <c r="AI282" s="98" t="s">
        <v>605</v>
      </c>
      <c r="AJ282" s="632">
        <v>0.01</v>
      </c>
      <c r="AK282" s="91" t="s">
        <v>128</v>
      </c>
      <c r="AL282" s="80" t="s">
        <v>129</v>
      </c>
      <c r="AM282" s="74" t="s">
        <v>134</v>
      </c>
      <c r="AN282" s="216" t="s">
        <v>131</v>
      </c>
      <c r="AO282" s="632">
        <v>992.0</v>
      </c>
      <c r="AP282" s="632">
        <v>0.906</v>
      </c>
      <c r="AQ282" s="80" t="s">
        <v>980</v>
      </c>
      <c r="AR282" s="98">
        <v>10.0</v>
      </c>
      <c r="AS282" s="632">
        <v>0.01</v>
      </c>
      <c r="AT282" s="633" t="s">
        <v>128</v>
      </c>
      <c r="AU282" s="633" t="s">
        <v>179</v>
      </c>
      <c r="AV282" s="92" t="s">
        <v>134</v>
      </c>
      <c r="AW282" s="634" t="s">
        <v>1677</v>
      </c>
      <c r="AX282" s="633" t="s">
        <v>136</v>
      </c>
      <c r="AY282" s="126"/>
      <c r="AZ282" s="121" t="s">
        <v>137</v>
      </c>
      <c r="BC282" s="225"/>
      <c r="BD282" s="225"/>
      <c r="BE282" s="225"/>
      <c r="BF282" s="225"/>
      <c r="BG282" s="225"/>
      <c r="BH282" s="225"/>
      <c r="BI282" s="225"/>
      <c r="BJ282" s="225"/>
      <c r="BK282" s="225"/>
      <c r="BL282" s="225"/>
      <c r="BM282" s="225"/>
      <c r="BN282" s="225"/>
      <c r="BO282" s="225"/>
      <c r="BP282" s="225"/>
      <c r="BQ282" s="225"/>
      <c r="BR282" s="225"/>
      <c r="BS282" s="225"/>
      <c r="BT282" s="225"/>
      <c r="BU282" s="225"/>
      <c r="BV282" s="225"/>
      <c r="BW282" s="225"/>
      <c r="BX282" s="225"/>
      <c r="BY282" s="225"/>
      <c r="BZ282" s="225"/>
      <c r="CA282" s="225"/>
      <c r="CB282" s="225"/>
      <c r="CC282" s="225"/>
      <c r="CD282" s="225"/>
      <c r="CE282" s="225"/>
      <c r="CF282" s="225"/>
      <c r="CG282" s="225"/>
      <c r="CH282" s="225"/>
      <c r="CI282" s="225"/>
      <c r="CJ282" s="225"/>
      <c r="CK282" s="225"/>
      <c r="CL282" s="225"/>
      <c r="CM282" s="225"/>
      <c r="CN282" s="225"/>
      <c r="CO282" s="225"/>
      <c r="CP282" s="225"/>
      <c r="CQ282" s="225"/>
      <c r="CR282" s="225"/>
      <c r="CS282" s="225"/>
      <c r="CT282" s="225"/>
      <c r="CU282" s="225"/>
      <c r="CV282" s="225"/>
      <c r="CW282" s="225"/>
      <c r="CX282" s="225"/>
      <c r="CY282" s="225"/>
      <c r="CZ282" s="225"/>
      <c r="DA282" s="225"/>
      <c r="DB282" s="225"/>
      <c r="DC282" s="225"/>
      <c r="DD282" s="225"/>
      <c r="DE282" s="225"/>
      <c r="DF282" s="225"/>
      <c r="DG282" s="225"/>
      <c r="DH282" s="225"/>
    </row>
    <row r="283" ht="20.25" customHeight="1">
      <c r="A283" s="41">
        <v>283.0</v>
      </c>
      <c r="B283" s="90" t="s">
        <v>145</v>
      </c>
      <c r="C283" s="635" t="s">
        <v>108</v>
      </c>
      <c r="D283" s="635" t="s">
        <v>1434</v>
      </c>
      <c r="E283" s="636"/>
      <c r="F283" s="404" t="s">
        <v>1663</v>
      </c>
      <c r="G283" s="396" t="s">
        <v>1664</v>
      </c>
      <c r="H283" s="637" t="s">
        <v>1437</v>
      </c>
      <c r="I283" s="638">
        <v>45637.0</v>
      </c>
      <c r="J283" s="639">
        <v>45670.0</v>
      </c>
      <c r="K283" s="399"/>
      <c r="L283" s="628" t="s">
        <v>1666</v>
      </c>
      <c r="M283" s="396" t="s">
        <v>1678</v>
      </c>
      <c r="N283" s="396" t="s">
        <v>1668</v>
      </c>
      <c r="O283" s="628">
        <v>1.0</v>
      </c>
      <c r="P283" s="400" t="str">
        <f>SUBSTITUTE(LOWER(N283), "/", "--") &amp;  ".pdf"</f>
        <v>10.1002--pam.21702.pdf</v>
      </c>
      <c r="Q283" s="49" t="str">
        <f t="array" ref="Q283"> if(iserror(MATCH(V283, 'File Links'!C:C, 0)), "N/A", HYPERLINK(INDEX('File Links'!B:B, MATCH(P283, 'File Links'!C:C, 0))))</f>
        <v>https://drive.google.com/file/d/1NxD4srcP8NGAkHA1AWvYHXJLyf_l73EF/view?usp=drivesdk</v>
      </c>
      <c r="R283" s="98" t="s">
        <v>1669</v>
      </c>
      <c r="S283" s="396" t="s">
        <v>1670</v>
      </c>
      <c r="T283" s="399"/>
      <c r="U283" s="630">
        <v>2.0</v>
      </c>
      <c r="V283" s="109" t="str">
        <f t="shared" si="6"/>
        <v>10.1111--padm.12860.pdf</v>
      </c>
      <c r="W283" s="401" t="s">
        <v>1679</v>
      </c>
      <c r="X283" s="51" t="str">
        <f t="array" ref="X283"> if(iserror(MATCH(V283, 'File Links'!C:C, 0)), "N/A", HYPERLINK(INDEX('File Links'!B:B, MATCH(V283, 'File Links'!C:C, 0))))</f>
        <v>https://drive.google.com/file/d/1Zty8FHdgF4Nqed1S2bjomumBBiyC8Mfz/view?usp=drivesdk</v>
      </c>
      <c r="Y283" s="399"/>
      <c r="Z283" s="80" t="s">
        <v>1672</v>
      </c>
      <c r="AA283" s="396" t="s">
        <v>1680</v>
      </c>
      <c r="AB283" s="396" t="s">
        <v>1681</v>
      </c>
      <c r="AC283" s="396" t="s">
        <v>1682</v>
      </c>
      <c r="AD283" s="396" t="s">
        <v>1683</v>
      </c>
      <c r="AE283" s="403">
        <v>10.0</v>
      </c>
      <c r="AF283" s="403">
        <v>908.0</v>
      </c>
      <c r="AG283" s="640">
        <v>-0.903</v>
      </c>
      <c r="AH283" s="402" t="s">
        <v>980</v>
      </c>
      <c r="AI283" s="641" t="s">
        <v>300</v>
      </c>
      <c r="AJ283" s="403">
        <v>0.001</v>
      </c>
      <c r="AK283" s="395" t="s">
        <v>128</v>
      </c>
      <c r="AL283" s="399" t="s">
        <v>179</v>
      </c>
      <c r="AM283" s="399" t="s">
        <v>134</v>
      </c>
      <c r="AN283" s="216" t="s">
        <v>131</v>
      </c>
      <c r="AO283" s="403">
        <v>992.0</v>
      </c>
      <c r="AP283" s="463">
        <v>-0.968</v>
      </c>
      <c r="AQ283" s="399" t="s">
        <v>980</v>
      </c>
      <c r="AR283" s="642">
        <v>9.0</v>
      </c>
      <c r="AS283" s="405">
        <v>0.001</v>
      </c>
      <c r="AT283" s="395" t="s">
        <v>128</v>
      </c>
      <c r="AU283" s="395" t="s">
        <v>179</v>
      </c>
      <c r="AV283" s="395" t="s">
        <v>134</v>
      </c>
      <c r="AW283" s="634" t="s">
        <v>1677</v>
      </c>
      <c r="AX283" s="643" t="s">
        <v>136</v>
      </c>
      <c r="AY283" s="126"/>
      <c r="AZ283" s="121" t="s">
        <v>137</v>
      </c>
      <c r="BC283" s="69"/>
      <c r="BD283" s="69"/>
      <c r="BE283" s="69"/>
      <c r="BF283" s="69"/>
      <c r="BG283" s="69"/>
      <c r="BH283" s="69"/>
      <c r="BI283" s="69"/>
      <c r="BJ283" s="69"/>
      <c r="BK283" s="69"/>
      <c r="BL283" s="69"/>
      <c r="BM283" s="69"/>
      <c r="BN283" s="69"/>
      <c r="BO283" s="69"/>
      <c r="BP283" s="69"/>
      <c r="BQ283" s="69"/>
      <c r="BR283" s="69"/>
      <c r="BS283" s="69"/>
      <c r="BT283" s="69"/>
      <c r="BU283" s="69"/>
      <c r="BV283" s="69"/>
      <c r="BW283" s="69"/>
      <c r="BX283" s="69"/>
      <c r="BY283" s="69"/>
      <c r="BZ283" s="69"/>
      <c r="CA283" s="69"/>
      <c r="CB283" s="69"/>
      <c r="CC283" s="69"/>
      <c r="CD283" s="69"/>
      <c r="CE283" s="69"/>
      <c r="CF283" s="69"/>
      <c r="CG283" s="69"/>
      <c r="CH283" s="69"/>
      <c r="CI283" s="69"/>
      <c r="CJ283" s="69"/>
      <c r="CK283" s="69"/>
      <c r="CL283" s="69"/>
      <c r="CM283" s="69"/>
      <c r="CN283" s="69"/>
      <c r="CO283" s="69"/>
      <c r="CP283" s="69"/>
      <c r="CQ283" s="69"/>
      <c r="CR283" s="69"/>
      <c r="CS283" s="69"/>
      <c r="CT283" s="69"/>
      <c r="CU283" s="69"/>
      <c r="CV283" s="69"/>
      <c r="CW283" s="69"/>
      <c r="CX283" s="69"/>
      <c r="CY283" s="69"/>
      <c r="CZ283" s="69"/>
      <c r="DA283" s="69"/>
      <c r="DB283" s="69"/>
      <c r="DC283" s="69"/>
      <c r="DD283" s="69"/>
      <c r="DE283" s="69"/>
      <c r="DF283" s="69"/>
      <c r="DG283" s="69"/>
      <c r="DH283" s="69"/>
    </row>
    <row r="284" ht="20.25" customHeight="1">
      <c r="A284" s="41">
        <v>284.0</v>
      </c>
      <c r="B284" s="90" t="s">
        <v>145</v>
      </c>
      <c r="C284" s="90" t="s">
        <v>108</v>
      </c>
      <c r="D284" s="90" t="s">
        <v>1451</v>
      </c>
      <c r="E284" s="89"/>
      <c r="F284" s="404" t="s">
        <v>1663</v>
      </c>
      <c r="G284" s="74" t="s">
        <v>1684</v>
      </c>
      <c r="H284" s="74" t="s">
        <v>1511</v>
      </c>
      <c r="I284" s="644">
        <v>45640.0</v>
      </c>
      <c r="J284" s="627">
        <v>45670.0</v>
      </c>
      <c r="K284" s="74" t="s">
        <v>1665</v>
      </c>
      <c r="L284" s="628" t="s">
        <v>1666</v>
      </c>
      <c r="M284" s="74" t="s">
        <v>1678</v>
      </c>
      <c r="N284" s="645" t="s">
        <v>1668</v>
      </c>
      <c r="O284" s="77">
        <v>1.0</v>
      </c>
      <c r="P284" s="96" t="str">
        <f> SUBSTITUTE(lower(N284), "/", "--") &amp;  ".pdf"</f>
        <v>10.1002--pam.21702.pdf</v>
      </c>
      <c r="Q284" s="49" t="str">
        <f t="array" ref="Q284"> if(iserror(MATCH(V284, 'File Links'!C:C, 0)), "N/A", HYPERLINK(INDEX('File Links'!B:B, MATCH(P284, 'File Links'!C:C, 0))))</f>
        <v>https://drive.google.com/file/d/1NxD4srcP8NGAkHA1AWvYHXJLyf_l73EF/view?usp=drivesdk</v>
      </c>
      <c r="R284" s="98" t="s">
        <v>1669</v>
      </c>
      <c r="S284" s="646" t="s">
        <v>1670</v>
      </c>
      <c r="T284" s="80"/>
      <c r="U284" s="630">
        <v>2.0</v>
      </c>
      <c r="V284" s="109" t="str">
        <f t="shared" si="6"/>
        <v>10.1111--padm.12860.pdf</v>
      </c>
      <c r="W284" s="74" t="s">
        <v>1671</v>
      </c>
      <c r="X284" s="51" t="str">
        <f t="array" ref="X284"> if(iserror(MATCH(V284, 'File Links'!C:C, 0)), "N/A", HYPERLINK(INDEX('File Links'!B:B, MATCH(V284, 'File Links'!C:C, 0))))</f>
        <v>https://drive.google.com/file/d/1Zty8FHdgF4Nqed1S2bjomumBBiyC8Mfz/view?usp=drivesdk</v>
      </c>
      <c r="Y284" s="80"/>
      <c r="Z284" s="80" t="s">
        <v>1672</v>
      </c>
      <c r="AA284" s="80" t="s">
        <v>1673</v>
      </c>
      <c r="AB284" s="80" t="s">
        <v>1674</v>
      </c>
      <c r="AC284" s="74" t="s">
        <v>1675</v>
      </c>
      <c r="AD284" s="74" t="s">
        <v>1685</v>
      </c>
      <c r="AE284" s="631">
        <v>45637.0</v>
      </c>
      <c r="AF284" s="632">
        <v>908.0</v>
      </c>
      <c r="AG284" s="114">
        <v>-0.01</v>
      </c>
      <c r="AH284" s="592" t="s">
        <v>980</v>
      </c>
      <c r="AI284" s="98" t="s">
        <v>605</v>
      </c>
      <c r="AJ284" s="619" t="s">
        <v>131</v>
      </c>
      <c r="AK284" s="619" t="s">
        <v>131</v>
      </c>
      <c r="AL284" s="80" t="s">
        <v>129</v>
      </c>
      <c r="AM284" s="74" t="s">
        <v>134</v>
      </c>
      <c r="AN284" s="216" t="s">
        <v>131</v>
      </c>
      <c r="AO284" s="632">
        <v>992.0</v>
      </c>
      <c r="AP284" s="647">
        <v>0.031</v>
      </c>
      <c r="AQ284" s="80" t="s">
        <v>980</v>
      </c>
      <c r="AR284" s="98">
        <v>10.0</v>
      </c>
      <c r="AS284" s="77" t="s">
        <v>131</v>
      </c>
      <c r="AT284" s="77" t="s">
        <v>131</v>
      </c>
      <c r="AU284" s="633" t="s">
        <v>179</v>
      </c>
      <c r="AV284" s="92" t="s">
        <v>134</v>
      </c>
      <c r="AW284" s="634" t="s">
        <v>1677</v>
      </c>
      <c r="AX284" s="633" t="s">
        <v>136</v>
      </c>
      <c r="AY284" s="126"/>
      <c r="AZ284" s="121" t="s">
        <v>137</v>
      </c>
      <c r="BC284" s="225"/>
      <c r="BD284" s="225"/>
      <c r="BE284" s="225"/>
      <c r="BF284" s="225"/>
      <c r="BG284" s="225"/>
      <c r="BH284" s="225"/>
      <c r="BI284" s="225"/>
      <c r="BJ284" s="225"/>
      <c r="BK284" s="225"/>
      <c r="BL284" s="225"/>
      <c r="BM284" s="225"/>
      <c r="BN284" s="225"/>
      <c r="BO284" s="225"/>
      <c r="BP284" s="225"/>
      <c r="BQ284" s="225"/>
      <c r="BR284" s="225"/>
      <c r="BS284" s="225"/>
      <c r="BT284" s="225"/>
      <c r="BU284" s="225"/>
      <c r="BV284" s="225"/>
      <c r="BW284" s="225"/>
      <c r="BX284" s="225"/>
      <c r="BY284" s="225"/>
      <c r="BZ284" s="225"/>
      <c r="CA284" s="225"/>
      <c r="CB284" s="225"/>
      <c r="CC284" s="225"/>
      <c r="CD284" s="225"/>
      <c r="CE284" s="225"/>
      <c r="CF284" s="225"/>
      <c r="CG284" s="225"/>
      <c r="CH284" s="225"/>
      <c r="CI284" s="225"/>
      <c r="CJ284" s="225"/>
      <c r="CK284" s="225"/>
      <c r="CL284" s="225"/>
      <c r="CM284" s="225"/>
      <c r="CN284" s="225"/>
      <c r="CO284" s="225"/>
      <c r="CP284" s="225"/>
      <c r="CQ284" s="225"/>
      <c r="CR284" s="225"/>
      <c r="CS284" s="225"/>
      <c r="CT284" s="225"/>
      <c r="CU284" s="225"/>
      <c r="CV284" s="225"/>
      <c r="CW284" s="225"/>
      <c r="CX284" s="225"/>
      <c r="CY284" s="225"/>
      <c r="CZ284" s="225"/>
      <c r="DA284" s="225"/>
      <c r="DB284" s="225"/>
      <c r="DC284" s="225"/>
      <c r="DD284" s="225"/>
      <c r="DE284" s="225"/>
      <c r="DF284" s="225"/>
      <c r="DG284" s="225"/>
      <c r="DH284" s="225"/>
    </row>
    <row r="285" ht="20.25" customHeight="1">
      <c r="A285" s="41">
        <v>285.0</v>
      </c>
      <c r="B285" s="90" t="s">
        <v>145</v>
      </c>
      <c r="C285" s="635" t="s">
        <v>108</v>
      </c>
      <c r="D285" s="394" t="s">
        <v>1434</v>
      </c>
      <c r="E285" s="217"/>
      <c r="F285" s="404" t="s">
        <v>1663</v>
      </c>
      <c r="G285" s="396" t="s">
        <v>1684</v>
      </c>
      <c r="H285" s="396" t="s">
        <v>1437</v>
      </c>
      <c r="I285" s="638">
        <v>45637.0</v>
      </c>
      <c r="J285" s="639">
        <v>45670.0</v>
      </c>
      <c r="K285" s="399"/>
      <c r="L285" s="628" t="s">
        <v>1666</v>
      </c>
      <c r="M285" s="396" t="s">
        <v>1678</v>
      </c>
      <c r="N285" s="396" t="s">
        <v>1668</v>
      </c>
      <c r="O285" s="628">
        <v>1.0</v>
      </c>
      <c r="P285" s="400" t="str">
        <f>SUBSTITUTE(LOWER(N285), "/", "--") &amp;  ".pdf"</f>
        <v>10.1002--pam.21702.pdf</v>
      </c>
      <c r="Q285" s="49" t="str">
        <f t="array" ref="Q285"> if(iserror(MATCH(V285, 'File Links'!C:C, 0)), "N/A", HYPERLINK(INDEX('File Links'!B:B, MATCH(P285, 'File Links'!C:C, 0))))</f>
        <v>https://drive.google.com/file/d/1NxD4srcP8NGAkHA1AWvYHXJLyf_l73EF/view?usp=drivesdk</v>
      </c>
      <c r="R285" s="98" t="s">
        <v>1669</v>
      </c>
      <c r="S285" s="396" t="s">
        <v>1670</v>
      </c>
      <c r="T285" s="399"/>
      <c r="U285" s="630">
        <v>2.0</v>
      </c>
      <c r="V285" s="109" t="str">
        <f t="shared" si="6"/>
        <v>10.1111--padm.12860.pdf</v>
      </c>
      <c r="W285" s="401" t="s">
        <v>1679</v>
      </c>
      <c r="X285" s="51" t="str">
        <f t="array" ref="X285"> if(iserror(MATCH(V285, 'File Links'!C:C, 0)), "N/A", HYPERLINK(INDEX('File Links'!B:B, MATCH(V285, 'File Links'!C:C, 0))))</f>
        <v>https://drive.google.com/file/d/1Zty8FHdgF4Nqed1S2bjomumBBiyC8Mfz/view?usp=drivesdk</v>
      </c>
      <c r="Y285" s="399"/>
      <c r="Z285" s="80" t="s">
        <v>1672</v>
      </c>
      <c r="AA285" s="396" t="s">
        <v>1680</v>
      </c>
      <c r="AB285" s="396" t="s">
        <v>1681</v>
      </c>
      <c r="AC285" s="396" t="s">
        <v>1686</v>
      </c>
      <c r="AD285" s="396" t="s">
        <v>1683</v>
      </c>
      <c r="AE285" s="403">
        <v>10.0</v>
      </c>
      <c r="AF285" s="403">
        <v>908.0</v>
      </c>
      <c r="AG285" s="194">
        <v>1.445</v>
      </c>
      <c r="AH285" s="402" t="s">
        <v>980</v>
      </c>
      <c r="AI285" s="98" t="s">
        <v>625</v>
      </c>
      <c r="AJ285" s="403">
        <v>0.001</v>
      </c>
      <c r="AK285" s="395" t="s">
        <v>128</v>
      </c>
      <c r="AL285" s="399" t="s">
        <v>179</v>
      </c>
      <c r="AM285" s="399" t="s">
        <v>134</v>
      </c>
      <c r="AN285" s="216" t="s">
        <v>131</v>
      </c>
      <c r="AO285" s="403">
        <v>992.0</v>
      </c>
      <c r="AP285" s="463">
        <v>2.507</v>
      </c>
      <c r="AQ285" s="399" t="s">
        <v>980</v>
      </c>
      <c r="AR285" s="642">
        <v>9.0</v>
      </c>
      <c r="AS285" s="405">
        <v>0.001</v>
      </c>
      <c r="AT285" s="395" t="s">
        <v>128</v>
      </c>
      <c r="AU285" s="395" t="s">
        <v>179</v>
      </c>
      <c r="AV285" s="395" t="s">
        <v>134</v>
      </c>
      <c r="AW285" s="634" t="s">
        <v>1677</v>
      </c>
      <c r="AX285" s="404" t="s">
        <v>136</v>
      </c>
      <c r="AY285" s="126"/>
      <c r="AZ285" s="121" t="s">
        <v>137</v>
      </c>
      <c r="BC285" s="69"/>
      <c r="BD285" s="69"/>
      <c r="BE285" s="69"/>
      <c r="BF285" s="69"/>
      <c r="BG285" s="69"/>
      <c r="BH285" s="69"/>
      <c r="BI285" s="69"/>
      <c r="BJ285" s="69"/>
      <c r="BK285" s="69"/>
      <c r="BL285" s="69"/>
      <c r="BM285" s="69"/>
      <c r="BN285" s="69"/>
      <c r="BO285" s="69"/>
      <c r="BP285" s="69"/>
      <c r="BQ285" s="69"/>
      <c r="BR285" s="69"/>
      <c r="BS285" s="69"/>
      <c r="BT285" s="69"/>
      <c r="BU285" s="69"/>
      <c r="BV285" s="69"/>
      <c r="BW285" s="69"/>
      <c r="BX285" s="69"/>
      <c r="BY285" s="69"/>
      <c r="BZ285" s="69"/>
      <c r="CA285" s="69"/>
      <c r="CB285" s="69"/>
      <c r="CC285" s="69"/>
      <c r="CD285" s="69"/>
      <c r="CE285" s="69"/>
      <c r="CF285" s="69"/>
      <c r="CG285" s="69"/>
      <c r="CH285" s="69"/>
      <c r="CI285" s="69"/>
      <c r="CJ285" s="69"/>
      <c r="CK285" s="69"/>
      <c r="CL285" s="69"/>
      <c r="CM285" s="69"/>
      <c r="CN285" s="69"/>
      <c r="CO285" s="69"/>
      <c r="CP285" s="69"/>
      <c r="CQ285" s="69"/>
      <c r="CR285" s="69"/>
      <c r="CS285" s="69"/>
      <c r="CT285" s="69"/>
      <c r="CU285" s="69"/>
      <c r="CV285" s="69"/>
      <c r="CW285" s="69"/>
      <c r="CX285" s="69"/>
      <c r="CY285" s="69"/>
      <c r="CZ285" s="69"/>
      <c r="DA285" s="69"/>
      <c r="DB285" s="69"/>
      <c r="DC285" s="69"/>
      <c r="DD285" s="69"/>
      <c r="DE285" s="69"/>
      <c r="DF285" s="69"/>
      <c r="DG285" s="69"/>
      <c r="DH285" s="69"/>
    </row>
    <row r="286" ht="20.25" customHeight="1">
      <c r="A286" s="41">
        <v>286.0</v>
      </c>
      <c r="B286" s="90" t="s">
        <v>145</v>
      </c>
      <c r="C286" s="90" t="s">
        <v>108</v>
      </c>
      <c r="D286" s="90" t="s">
        <v>1451</v>
      </c>
      <c r="E286" s="89"/>
      <c r="F286" s="404" t="s">
        <v>1663</v>
      </c>
      <c r="G286" s="74" t="s">
        <v>1687</v>
      </c>
      <c r="H286" s="74" t="s">
        <v>1511</v>
      </c>
      <c r="I286" s="644">
        <v>45640.0</v>
      </c>
      <c r="J286" s="627">
        <v>45670.0</v>
      </c>
      <c r="K286" s="74" t="s">
        <v>1665</v>
      </c>
      <c r="L286" s="628" t="s">
        <v>1666</v>
      </c>
      <c r="M286" s="629" t="s">
        <v>1688</v>
      </c>
      <c r="N286" s="645" t="s">
        <v>1668</v>
      </c>
      <c r="O286" s="77">
        <v>1.0</v>
      </c>
      <c r="P286" s="96" t="str">
        <f> SUBSTITUTE(lower(N286), "/", "--") &amp;  ".pdf"</f>
        <v>10.1002--pam.21702.pdf</v>
      </c>
      <c r="Q286" s="49" t="str">
        <f t="array" ref="Q286"> if(iserror(MATCH(V286, 'File Links'!C:C, 0)), "N/A", HYPERLINK(INDEX('File Links'!B:B, MATCH(P286, 'File Links'!C:C, 0))))</f>
        <v>https://drive.google.com/file/d/1NxD4srcP8NGAkHA1AWvYHXJLyf_l73EF/view?usp=drivesdk</v>
      </c>
      <c r="R286" s="98" t="s">
        <v>1669</v>
      </c>
      <c r="S286" s="645" t="s">
        <v>1670</v>
      </c>
      <c r="T286" s="80"/>
      <c r="U286" s="630">
        <v>2.0</v>
      </c>
      <c r="V286" s="109" t="str">
        <f t="shared" si="6"/>
        <v>10.1111--padm.12860.pdf</v>
      </c>
      <c r="W286" s="74" t="s">
        <v>1671</v>
      </c>
      <c r="X286" s="51" t="str">
        <f t="array" ref="X286"> if(iserror(MATCH(V286, 'File Links'!C:C, 0)), "N/A", HYPERLINK(INDEX('File Links'!B:B, MATCH(V286, 'File Links'!C:C, 0))))</f>
        <v>https://drive.google.com/file/d/1Zty8FHdgF4Nqed1S2bjomumBBiyC8Mfz/view?usp=drivesdk</v>
      </c>
      <c r="Y286" s="80"/>
      <c r="Z286" s="80" t="s">
        <v>1672</v>
      </c>
      <c r="AA286" s="80" t="s">
        <v>1673</v>
      </c>
      <c r="AB286" s="80" t="s">
        <v>1674</v>
      </c>
      <c r="AC286" s="74" t="s">
        <v>1675</v>
      </c>
      <c r="AD286" s="74" t="s">
        <v>1689</v>
      </c>
      <c r="AE286" s="631">
        <v>45637.0</v>
      </c>
      <c r="AF286" s="632">
        <v>908.0</v>
      </c>
      <c r="AG286" s="476">
        <v>0.08</v>
      </c>
      <c r="AH286" s="592" t="s">
        <v>980</v>
      </c>
      <c r="AI286" s="98" t="s">
        <v>605</v>
      </c>
      <c r="AJ286" s="619" t="s">
        <v>131</v>
      </c>
      <c r="AK286" s="619" t="s">
        <v>131</v>
      </c>
      <c r="AL286" s="80" t="s">
        <v>129</v>
      </c>
      <c r="AM286" s="74" t="s">
        <v>134</v>
      </c>
      <c r="AN286" s="216" t="s">
        <v>131</v>
      </c>
      <c r="AO286" s="632">
        <v>992.0</v>
      </c>
      <c r="AP286" s="632">
        <v>-0.024</v>
      </c>
      <c r="AQ286" s="80" t="s">
        <v>980</v>
      </c>
      <c r="AR286" s="98">
        <v>10.0</v>
      </c>
      <c r="AS286" s="77" t="s">
        <v>131</v>
      </c>
      <c r="AT286" s="77" t="s">
        <v>131</v>
      </c>
      <c r="AU286" s="633" t="s">
        <v>179</v>
      </c>
      <c r="AV286" s="92" t="s">
        <v>134</v>
      </c>
      <c r="AW286" s="634" t="s">
        <v>1677</v>
      </c>
      <c r="AX286" s="633" t="s">
        <v>136</v>
      </c>
      <c r="AY286" s="126"/>
      <c r="AZ286" s="121" t="s">
        <v>137</v>
      </c>
      <c r="BC286" s="225"/>
      <c r="BD286" s="225"/>
      <c r="BE286" s="225"/>
      <c r="BF286" s="225"/>
      <c r="BG286" s="225"/>
      <c r="BH286" s="225"/>
      <c r="BI286" s="225"/>
      <c r="BJ286" s="225"/>
      <c r="BK286" s="225"/>
      <c r="BL286" s="225"/>
      <c r="BM286" s="225"/>
      <c r="BN286" s="225"/>
      <c r="BO286" s="225"/>
      <c r="BP286" s="225"/>
      <c r="BQ286" s="225"/>
      <c r="BR286" s="225"/>
      <c r="BS286" s="225"/>
      <c r="BT286" s="225"/>
      <c r="BU286" s="225"/>
      <c r="BV286" s="225"/>
      <c r="BW286" s="225"/>
      <c r="BX286" s="225"/>
      <c r="BY286" s="225"/>
      <c r="BZ286" s="225"/>
      <c r="CA286" s="225"/>
      <c r="CB286" s="225"/>
      <c r="CC286" s="225"/>
      <c r="CD286" s="225"/>
      <c r="CE286" s="225"/>
      <c r="CF286" s="225"/>
      <c r="CG286" s="225"/>
      <c r="CH286" s="225"/>
      <c r="CI286" s="225"/>
      <c r="CJ286" s="225"/>
      <c r="CK286" s="225"/>
      <c r="CL286" s="225"/>
      <c r="CM286" s="225"/>
      <c r="CN286" s="225"/>
      <c r="CO286" s="225"/>
      <c r="CP286" s="225"/>
      <c r="CQ286" s="225"/>
      <c r="CR286" s="225"/>
      <c r="CS286" s="225"/>
      <c r="CT286" s="225"/>
      <c r="CU286" s="225"/>
      <c r="CV286" s="225"/>
      <c r="CW286" s="225"/>
      <c r="CX286" s="225"/>
      <c r="CY286" s="225"/>
      <c r="CZ286" s="225"/>
      <c r="DA286" s="225"/>
      <c r="DB286" s="225"/>
      <c r="DC286" s="225"/>
      <c r="DD286" s="225"/>
      <c r="DE286" s="225"/>
      <c r="DF286" s="225"/>
      <c r="DG286" s="225"/>
      <c r="DH286" s="225"/>
    </row>
    <row r="287" ht="20.25" customHeight="1">
      <c r="A287" s="41">
        <v>287.0</v>
      </c>
      <c r="B287" s="90" t="s">
        <v>145</v>
      </c>
      <c r="C287" s="635" t="s">
        <v>108</v>
      </c>
      <c r="D287" s="394" t="s">
        <v>1434</v>
      </c>
      <c r="E287" s="217"/>
      <c r="F287" s="404" t="s">
        <v>1663</v>
      </c>
      <c r="G287" s="396" t="s">
        <v>1687</v>
      </c>
      <c r="H287" s="396" t="s">
        <v>1437</v>
      </c>
      <c r="I287" s="638">
        <v>45637.0</v>
      </c>
      <c r="J287" s="639">
        <v>45670.0</v>
      </c>
      <c r="K287" s="399"/>
      <c r="L287" s="628" t="s">
        <v>1666</v>
      </c>
      <c r="M287" s="396" t="s">
        <v>1678</v>
      </c>
      <c r="N287" s="396" t="s">
        <v>1668</v>
      </c>
      <c r="O287" s="628">
        <v>1.0</v>
      </c>
      <c r="P287" s="400" t="str">
        <f>SUBSTITUTE(LOWER(N287), "/", "--") &amp;  ".pdf"</f>
        <v>10.1002--pam.21702.pdf</v>
      </c>
      <c r="Q287" s="49" t="str">
        <f t="array" ref="Q287"> if(iserror(MATCH(V287, 'File Links'!C:C, 0)), "N/A", HYPERLINK(INDEX('File Links'!B:B, MATCH(P287, 'File Links'!C:C, 0))))</f>
        <v>https://drive.google.com/file/d/1NxD4srcP8NGAkHA1AWvYHXJLyf_l73EF/view?usp=drivesdk</v>
      </c>
      <c r="R287" s="98" t="s">
        <v>1669</v>
      </c>
      <c r="S287" s="396" t="s">
        <v>1670</v>
      </c>
      <c r="T287" s="399"/>
      <c r="U287" s="630">
        <v>2.0</v>
      </c>
      <c r="V287" s="109" t="str">
        <f t="shared" si="6"/>
        <v>10.1111--padm.12860.pdf</v>
      </c>
      <c r="W287" s="401" t="s">
        <v>1679</v>
      </c>
      <c r="X287" s="51" t="str">
        <f t="array" ref="X287"> if(iserror(MATCH(V287, 'File Links'!C:C, 0)), "N/A", HYPERLINK(INDEX('File Links'!B:B, MATCH(V287, 'File Links'!C:C, 0))))</f>
        <v>https://drive.google.com/file/d/1Zty8FHdgF4Nqed1S2bjomumBBiyC8Mfz/view?usp=drivesdk</v>
      </c>
      <c r="Y287" s="399"/>
      <c r="Z287" s="80" t="s">
        <v>1672</v>
      </c>
      <c r="AA287" s="396" t="s">
        <v>1680</v>
      </c>
      <c r="AB287" s="396" t="s">
        <v>1681</v>
      </c>
      <c r="AC287" s="396" t="s">
        <v>1690</v>
      </c>
      <c r="AD287" s="396" t="s">
        <v>1683</v>
      </c>
      <c r="AE287" s="403">
        <v>10.0</v>
      </c>
      <c r="AF287" s="403">
        <v>908.0</v>
      </c>
      <c r="AG287" s="127">
        <v>0.354</v>
      </c>
      <c r="AH287" s="402" t="s">
        <v>980</v>
      </c>
      <c r="AI287" s="98" t="s">
        <v>625</v>
      </c>
      <c r="AJ287" s="403">
        <v>0.001</v>
      </c>
      <c r="AK287" s="395" t="s">
        <v>128</v>
      </c>
      <c r="AL287" s="399" t="s">
        <v>179</v>
      </c>
      <c r="AM287" s="399" t="s">
        <v>134</v>
      </c>
      <c r="AN287" s="216" t="s">
        <v>131</v>
      </c>
      <c r="AO287" s="403">
        <v>992.0</v>
      </c>
      <c r="AP287" s="574">
        <v>0.274</v>
      </c>
      <c r="AQ287" s="399" t="s">
        <v>980</v>
      </c>
      <c r="AR287" s="642">
        <v>9.0</v>
      </c>
      <c r="AS287" s="405">
        <v>0.001</v>
      </c>
      <c r="AT287" s="395" t="s">
        <v>128</v>
      </c>
      <c r="AU287" s="395" t="s">
        <v>179</v>
      </c>
      <c r="AV287" s="395" t="s">
        <v>134</v>
      </c>
      <c r="AW287" s="634" t="s">
        <v>1677</v>
      </c>
      <c r="AX287" s="404" t="s">
        <v>136</v>
      </c>
      <c r="AY287" s="126"/>
      <c r="AZ287" s="121" t="s">
        <v>137</v>
      </c>
      <c r="BC287" s="69"/>
      <c r="BD287" s="69"/>
      <c r="BE287" s="69"/>
      <c r="BF287" s="69"/>
      <c r="BG287" s="69"/>
      <c r="BH287" s="69"/>
      <c r="BI287" s="69"/>
      <c r="BJ287" s="69"/>
      <c r="BK287" s="69"/>
      <c r="BL287" s="69"/>
      <c r="BM287" s="69"/>
      <c r="BN287" s="69"/>
      <c r="BO287" s="69"/>
      <c r="BP287" s="69"/>
      <c r="BQ287" s="69"/>
      <c r="BR287" s="69"/>
      <c r="BS287" s="69"/>
      <c r="BT287" s="69"/>
      <c r="BU287" s="69"/>
      <c r="BV287" s="69"/>
      <c r="BW287" s="69"/>
      <c r="BX287" s="69"/>
      <c r="BY287" s="69"/>
      <c r="BZ287" s="69"/>
      <c r="CA287" s="69"/>
      <c r="CB287" s="69"/>
      <c r="CC287" s="69"/>
      <c r="CD287" s="69"/>
      <c r="CE287" s="69"/>
      <c r="CF287" s="69"/>
      <c r="CG287" s="69"/>
      <c r="CH287" s="69"/>
      <c r="CI287" s="69"/>
      <c r="CJ287" s="69"/>
      <c r="CK287" s="69"/>
      <c r="CL287" s="69"/>
      <c r="CM287" s="69"/>
      <c r="CN287" s="69"/>
      <c r="CO287" s="69"/>
      <c r="CP287" s="69"/>
      <c r="CQ287" s="69"/>
      <c r="CR287" s="69"/>
      <c r="CS287" s="69"/>
      <c r="CT287" s="69"/>
      <c r="CU287" s="69"/>
      <c r="CV287" s="69"/>
      <c r="CW287" s="69"/>
      <c r="CX287" s="69"/>
      <c r="CY287" s="69"/>
      <c r="CZ287" s="69"/>
      <c r="DA287" s="69"/>
      <c r="DB287" s="69"/>
      <c r="DC287" s="69"/>
      <c r="DD287" s="69"/>
      <c r="DE287" s="69"/>
      <c r="DF287" s="69"/>
      <c r="DG287" s="69"/>
      <c r="DH287" s="69"/>
    </row>
    <row r="288" ht="20.25" customHeight="1">
      <c r="A288" s="41">
        <v>288.0</v>
      </c>
      <c r="B288" s="90" t="s">
        <v>145</v>
      </c>
      <c r="C288" s="90" t="s">
        <v>108</v>
      </c>
      <c r="D288" s="90" t="s">
        <v>1451</v>
      </c>
      <c r="E288" s="89"/>
      <c r="F288" s="404" t="s">
        <v>1663</v>
      </c>
      <c r="G288" s="74" t="s">
        <v>1691</v>
      </c>
      <c r="H288" s="74" t="s">
        <v>1511</v>
      </c>
      <c r="I288" s="644">
        <v>45640.0</v>
      </c>
      <c r="J288" s="627">
        <v>45670.0</v>
      </c>
      <c r="K288" s="74" t="s">
        <v>1692</v>
      </c>
      <c r="L288" s="628" t="s">
        <v>1666</v>
      </c>
      <c r="M288" s="629" t="s">
        <v>1693</v>
      </c>
      <c r="N288" s="645" t="s">
        <v>1668</v>
      </c>
      <c r="O288" s="77">
        <v>1.0</v>
      </c>
      <c r="P288" s="96" t="str">
        <f> SUBSTITUTE(lower(N288), "/", "--") &amp;  ".pdf"</f>
        <v>10.1002--pam.21702.pdf</v>
      </c>
      <c r="Q288" s="49" t="str">
        <f t="array" ref="Q288"> if(iserror(MATCH(V288, 'File Links'!C:C, 0)), "N/A", HYPERLINK(INDEX('File Links'!B:B, MATCH(P288, 'File Links'!C:C, 0))))</f>
        <v>https://drive.google.com/file/d/1NxD4srcP8NGAkHA1AWvYHXJLyf_l73EF/view?usp=drivesdk</v>
      </c>
      <c r="R288" s="98" t="s">
        <v>1669</v>
      </c>
      <c r="S288" s="645" t="s">
        <v>1670</v>
      </c>
      <c r="T288" s="80"/>
      <c r="U288" s="630">
        <v>2.0</v>
      </c>
      <c r="V288" s="109" t="str">
        <f t="shared" si="6"/>
        <v>10.1111--padm.12860.pdf</v>
      </c>
      <c r="W288" s="74" t="s">
        <v>1671</v>
      </c>
      <c r="X288" s="51" t="str">
        <f t="array" ref="X288"> if(iserror(MATCH(V288, 'File Links'!C:C, 0)), "N/A", HYPERLINK(INDEX('File Links'!B:B, MATCH(V288, 'File Links'!C:C, 0))))</f>
        <v>https://drive.google.com/file/d/1Zty8FHdgF4Nqed1S2bjomumBBiyC8Mfz/view?usp=drivesdk</v>
      </c>
      <c r="Y288" s="80"/>
      <c r="Z288" s="80" t="s">
        <v>1672</v>
      </c>
      <c r="AA288" s="80" t="s">
        <v>1673</v>
      </c>
      <c r="AB288" s="80" t="s">
        <v>1674</v>
      </c>
      <c r="AC288" s="74" t="s">
        <v>1675</v>
      </c>
      <c r="AD288" s="74" t="s">
        <v>1676</v>
      </c>
      <c r="AE288" s="631">
        <v>45637.0</v>
      </c>
      <c r="AF288" s="632">
        <v>908.0</v>
      </c>
      <c r="AG288" s="632">
        <v>0.55</v>
      </c>
      <c r="AH288" s="592" t="s">
        <v>980</v>
      </c>
      <c r="AI288" s="98" t="s">
        <v>605</v>
      </c>
      <c r="AJ288" s="632">
        <v>0.01</v>
      </c>
      <c r="AK288" s="91" t="s">
        <v>128</v>
      </c>
      <c r="AL288" s="77" t="s">
        <v>129</v>
      </c>
      <c r="AM288" s="74" t="s">
        <v>134</v>
      </c>
      <c r="AN288" s="216" t="s">
        <v>131</v>
      </c>
      <c r="AO288" s="632">
        <v>1228.0</v>
      </c>
      <c r="AP288" s="632">
        <v>1.216</v>
      </c>
      <c r="AQ288" s="80" t="s">
        <v>980</v>
      </c>
      <c r="AR288" s="98">
        <v>10.0</v>
      </c>
      <c r="AS288" s="632">
        <v>0.01</v>
      </c>
      <c r="AT288" s="92" t="s">
        <v>128</v>
      </c>
      <c r="AU288" s="633" t="s">
        <v>179</v>
      </c>
      <c r="AV288" s="92" t="s">
        <v>134</v>
      </c>
      <c r="AW288" s="99" t="s">
        <v>1677</v>
      </c>
      <c r="AX288" s="648" t="s">
        <v>136</v>
      </c>
      <c r="AY288" s="126"/>
      <c r="AZ288" s="121" t="s">
        <v>137</v>
      </c>
      <c r="BC288" s="225"/>
      <c r="BD288" s="225"/>
      <c r="BE288" s="225"/>
      <c r="BF288" s="225"/>
      <c r="BG288" s="225"/>
      <c r="BH288" s="225"/>
      <c r="BI288" s="225"/>
      <c r="BJ288" s="225"/>
      <c r="BK288" s="225"/>
      <c r="BL288" s="225"/>
      <c r="BM288" s="225"/>
      <c r="BN288" s="225"/>
      <c r="BO288" s="225"/>
      <c r="BP288" s="225"/>
      <c r="BQ288" s="225"/>
      <c r="BR288" s="225"/>
      <c r="BS288" s="225"/>
      <c r="BT288" s="225"/>
      <c r="BU288" s="225"/>
      <c r="BV288" s="225"/>
      <c r="BW288" s="225"/>
      <c r="BX288" s="225"/>
      <c r="BY288" s="225"/>
      <c r="BZ288" s="225"/>
      <c r="CA288" s="225"/>
      <c r="CB288" s="225"/>
      <c r="CC288" s="225"/>
      <c r="CD288" s="225"/>
      <c r="CE288" s="225"/>
      <c r="CF288" s="225"/>
      <c r="CG288" s="225"/>
      <c r="CH288" s="225"/>
      <c r="CI288" s="225"/>
      <c r="CJ288" s="225"/>
      <c r="CK288" s="225"/>
      <c r="CL288" s="225"/>
      <c r="CM288" s="225"/>
      <c r="CN288" s="225"/>
      <c r="CO288" s="225"/>
      <c r="CP288" s="225"/>
      <c r="CQ288" s="225"/>
      <c r="CR288" s="225"/>
      <c r="CS288" s="225"/>
      <c r="CT288" s="225"/>
      <c r="CU288" s="225"/>
      <c r="CV288" s="225"/>
      <c r="CW288" s="225"/>
      <c r="CX288" s="225"/>
      <c r="CY288" s="225"/>
      <c r="CZ288" s="225"/>
      <c r="DA288" s="225"/>
      <c r="DB288" s="225"/>
      <c r="DC288" s="225"/>
      <c r="DD288" s="225"/>
      <c r="DE288" s="225"/>
      <c r="DF288" s="225"/>
      <c r="DG288" s="225"/>
      <c r="DH288" s="225"/>
    </row>
    <row r="289" ht="20.25" customHeight="1">
      <c r="A289" s="41">
        <v>289.0</v>
      </c>
      <c r="B289" s="90" t="s">
        <v>145</v>
      </c>
      <c r="C289" s="635" t="s">
        <v>108</v>
      </c>
      <c r="D289" s="394" t="s">
        <v>1434</v>
      </c>
      <c r="E289" s="217"/>
      <c r="F289" s="404" t="s">
        <v>1663</v>
      </c>
      <c r="G289" s="396" t="s">
        <v>1691</v>
      </c>
      <c r="H289" s="396" t="s">
        <v>1437</v>
      </c>
      <c r="I289" s="638">
        <v>45637.0</v>
      </c>
      <c r="J289" s="639">
        <v>45670.0</v>
      </c>
      <c r="K289" s="399"/>
      <c r="L289" s="628" t="s">
        <v>1666</v>
      </c>
      <c r="M289" s="396" t="s">
        <v>1678</v>
      </c>
      <c r="N289" s="396" t="s">
        <v>1668</v>
      </c>
      <c r="O289" s="628">
        <v>1.0</v>
      </c>
      <c r="P289" s="400" t="str">
        <f>SUBSTITUTE(LOWER(N289), "/", "--") &amp;  ".pdf"</f>
        <v>10.1002--pam.21702.pdf</v>
      </c>
      <c r="Q289" s="49" t="str">
        <f t="array" ref="Q289"> if(iserror(MATCH(V289, 'File Links'!C:C, 0)), "N/A", HYPERLINK(INDEX('File Links'!B:B, MATCH(P289, 'File Links'!C:C, 0))))</f>
        <v>https://drive.google.com/file/d/1NxD4srcP8NGAkHA1AWvYHXJLyf_l73EF/view?usp=drivesdk</v>
      </c>
      <c r="R289" s="98" t="s">
        <v>1669</v>
      </c>
      <c r="S289" s="396" t="s">
        <v>1670</v>
      </c>
      <c r="T289" s="399"/>
      <c r="U289" s="630">
        <v>2.0</v>
      </c>
      <c r="V289" s="109" t="str">
        <f t="shared" si="6"/>
        <v>10.1111--padm.12860.pdf</v>
      </c>
      <c r="W289" s="401" t="s">
        <v>1679</v>
      </c>
      <c r="X289" s="51" t="str">
        <f t="array" ref="X289"> if(iserror(MATCH(V289, 'File Links'!C:C, 0)), "N/A", HYPERLINK(INDEX('File Links'!B:B, MATCH(V289, 'File Links'!C:C, 0))))</f>
        <v>https://drive.google.com/file/d/1Zty8FHdgF4Nqed1S2bjomumBBiyC8Mfz/view?usp=drivesdk</v>
      </c>
      <c r="Y289" s="399"/>
      <c r="Z289" s="80" t="s">
        <v>1672</v>
      </c>
      <c r="AA289" s="396" t="s">
        <v>1680</v>
      </c>
      <c r="AB289" s="396" t="s">
        <v>1681</v>
      </c>
      <c r="AC289" s="396" t="s">
        <v>1694</v>
      </c>
      <c r="AD289" s="396" t="s">
        <v>1683</v>
      </c>
      <c r="AE289" s="403">
        <v>10.0</v>
      </c>
      <c r="AF289" s="403">
        <v>908.0</v>
      </c>
      <c r="AG289" s="649">
        <v>0.583</v>
      </c>
      <c r="AH289" s="402" t="s">
        <v>980</v>
      </c>
      <c r="AI289" s="98" t="s">
        <v>625</v>
      </c>
      <c r="AJ289" s="403">
        <v>0.001</v>
      </c>
      <c r="AK289" s="395" t="s">
        <v>128</v>
      </c>
      <c r="AL289" s="399" t="s">
        <v>179</v>
      </c>
      <c r="AM289" s="399" t="s">
        <v>134</v>
      </c>
      <c r="AN289" s="216" t="s">
        <v>131</v>
      </c>
      <c r="AO289" s="403">
        <v>992.0</v>
      </c>
      <c r="AP289" s="574">
        <v>1.121</v>
      </c>
      <c r="AQ289" s="399" t="s">
        <v>980</v>
      </c>
      <c r="AR289" s="642">
        <v>9.0</v>
      </c>
      <c r="AS289" s="405">
        <v>0.001</v>
      </c>
      <c r="AT289" s="395" t="s">
        <v>128</v>
      </c>
      <c r="AU289" s="395" t="s">
        <v>179</v>
      </c>
      <c r="AV289" s="395" t="s">
        <v>134</v>
      </c>
      <c r="AW289" s="634" t="s">
        <v>1677</v>
      </c>
      <c r="AX289" s="404" t="s">
        <v>136</v>
      </c>
      <c r="AY289" s="126"/>
      <c r="AZ289" s="121" t="s">
        <v>137</v>
      </c>
      <c r="BC289" s="69"/>
      <c r="BD289" s="69"/>
      <c r="BE289" s="69"/>
      <c r="BF289" s="69"/>
      <c r="BG289" s="69"/>
      <c r="BH289" s="69"/>
      <c r="BI289" s="69"/>
      <c r="BJ289" s="69"/>
      <c r="BK289" s="69"/>
      <c r="BL289" s="69"/>
      <c r="BM289" s="69"/>
      <c r="BN289" s="69"/>
      <c r="BO289" s="69"/>
      <c r="BP289" s="69"/>
      <c r="BQ289" s="69"/>
      <c r="BR289" s="69"/>
      <c r="BS289" s="69"/>
      <c r="BT289" s="69"/>
      <c r="BU289" s="69"/>
      <c r="BV289" s="69"/>
      <c r="BW289" s="69"/>
      <c r="BX289" s="69"/>
      <c r="BY289" s="69"/>
      <c r="BZ289" s="69"/>
      <c r="CA289" s="69"/>
      <c r="CB289" s="69"/>
      <c r="CC289" s="69"/>
      <c r="CD289" s="69"/>
      <c r="CE289" s="69"/>
      <c r="CF289" s="69"/>
      <c r="CG289" s="69"/>
      <c r="CH289" s="69"/>
      <c r="CI289" s="69"/>
      <c r="CJ289" s="69"/>
      <c r="CK289" s="69"/>
      <c r="CL289" s="69"/>
      <c r="CM289" s="69"/>
      <c r="CN289" s="69"/>
      <c r="CO289" s="69"/>
      <c r="CP289" s="69"/>
      <c r="CQ289" s="69"/>
      <c r="CR289" s="69"/>
      <c r="CS289" s="69"/>
      <c r="CT289" s="69"/>
      <c r="CU289" s="69"/>
      <c r="CV289" s="69"/>
      <c r="CW289" s="69"/>
      <c r="CX289" s="69"/>
      <c r="CY289" s="69"/>
      <c r="CZ289" s="69"/>
      <c r="DA289" s="69"/>
      <c r="DB289" s="69"/>
      <c r="DC289" s="69"/>
      <c r="DD289" s="69"/>
      <c r="DE289" s="69"/>
      <c r="DF289" s="69"/>
      <c r="DG289" s="69"/>
      <c r="DH289" s="69"/>
    </row>
    <row r="290" ht="20.25" customHeight="1">
      <c r="A290" s="41">
        <v>290.0</v>
      </c>
      <c r="B290" s="90" t="s">
        <v>145</v>
      </c>
      <c r="C290" s="90" t="s">
        <v>108</v>
      </c>
      <c r="D290" s="90" t="s">
        <v>1451</v>
      </c>
      <c r="E290" s="89"/>
      <c r="F290" s="404" t="s">
        <v>1663</v>
      </c>
      <c r="G290" s="74" t="s">
        <v>1695</v>
      </c>
      <c r="H290" s="74" t="s">
        <v>1511</v>
      </c>
      <c r="I290" s="644">
        <v>45640.0</v>
      </c>
      <c r="J290" s="627">
        <v>45670.0</v>
      </c>
      <c r="K290" s="74" t="s">
        <v>1692</v>
      </c>
      <c r="L290" s="628" t="s">
        <v>1666</v>
      </c>
      <c r="M290" s="629" t="s">
        <v>1696</v>
      </c>
      <c r="N290" s="645" t="s">
        <v>1668</v>
      </c>
      <c r="O290" s="77">
        <v>1.0</v>
      </c>
      <c r="P290" s="96" t="str">
        <f> SUBSTITUTE(lower(N290), "/", "--") &amp;  ".pdf"</f>
        <v>10.1002--pam.21702.pdf</v>
      </c>
      <c r="Q290" s="49" t="str">
        <f t="array" ref="Q290"> if(iserror(MATCH(V290, 'File Links'!C:C, 0)), "N/A", HYPERLINK(INDEX('File Links'!B:B, MATCH(P290, 'File Links'!C:C, 0))))</f>
        <v>https://drive.google.com/file/d/1NxD4srcP8NGAkHA1AWvYHXJLyf_l73EF/view?usp=drivesdk</v>
      </c>
      <c r="R290" s="98" t="s">
        <v>1669</v>
      </c>
      <c r="S290" s="645" t="s">
        <v>1670</v>
      </c>
      <c r="T290" s="80"/>
      <c r="U290" s="630">
        <v>2.0</v>
      </c>
      <c r="V290" s="109" t="str">
        <f t="shared" si="6"/>
        <v>10.1111--padm.12860.pdf</v>
      </c>
      <c r="W290" s="74" t="s">
        <v>1671</v>
      </c>
      <c r="X290" s="51" t="str">
        <f t="array" ref="X290"> if(iserror(MATCH(V290, 'File Links'!C:C, 0)), "N/A", HYPERLINK(INDEX('File Links'!B:B, MATCH(V290, 'File Links'!C:C, 0))))</f>
        <v>https://drive.google.com/file/d/1Zty8FHdgF4Nqed1S2bjomumBBiyC8Mfz/view?usp=drivesdk</v>
      </c>
      <c r="Y290" s="80"/>
      <c r="Z290" s="80" t="s">
        <v>1672</v>
      </c>
      <c r="AA290" s="80" t="s">
        <v>1673</v>
      </c>
      <c r="AB290" s="80" t="s">
        <v>1674</v>
      </c>
      <c r="AC290" s="74" t="s">
        <v>1675</v>
      </c>
      <c r="AD290" s="74" t="s">
        <v>1685</v>
      </c>
      <c r="AE290" s="631">
        <v>45637.0</v>
      </c>
      <c r="AF290" s="632">
        <v>908.0</v>
      </c>
      <c r="AG290" s="114">
        <v>-0.01</v>
      </c>
      <c r="AH290" s="592" t="s">
        <v>980</v>
      </c>
      <c r="AI290" s="98" t="s">
        <v>625</v>
      </c>
      <c r="AJ290" s="619" t="s">
        <v>131</v>
      </c>
      <c r="AK290" s="619" t="s">
        <v>131</v>
      </c>
      <c r="AL290" s="77" t="s">
        <v>129</v>
      </c>
      <c r="AM290" s="74" t="s">
        <v>134</v>
      </c>
      <c r="AN290" s="216" t="s">
        <v>131</v>
      </c>
      <c r="AO290" s="632">
        <v>1228.0</v>
      </c>
      <c r="AP290" s="632">
        <v>0.005</v>
      </c>
      <c r="AQ290" s="80" t="s">
        <v>980</v>
      </c>
      <c r="AR290" s="98">
        <v>10.0</v>
      </c>
      <c r="AS290" s="77" t="s">
        <v>131</v>
      </c>
      <c r="AT290" s="77" t="s">
        <v>131</v>
      </c>
      <c r="AU290" s="633" t="s">
        <v>179</v>
      </c>
      <c r="AV290" s="92" t="s">
        <v>134</v>
      </c>
      <c r="AW290" s="99" t="s">
        <v>1677</v>
      </c>
      <c r="AX290" s="648" t="s">
        <v>136</v>
      </c>
      <c r="AY290" s="126"/>
      <c r="AZ290" s="121" t="s">
        <v>137</v>
      </c>
      <c r="BC290" s="225"/>
      <c r="BD290" s="225"/>
      <c r="BE290" s="225"/>
      <c r="BF290" s="225"/>
      <c r="BG290" s="225"/>
      <c r="BH290" s="225"/>
      <c r="BI290" s="225"/>
      <c r="BJ290" s="225"/>
      <c r="BK290" s="225"/>
      <c r="BL290" s="225"/>
      <c r="BM290" s="225"/>
      <c r="BN290" s="225"/>
      <c r="BO290" s="225"/>
      <c r="BP290" s="225"/>
      <c r="BQ290" s="225"/>
      <c r="BR290" s="225"/>
      <c r="BS290" s="225"/>
      <c r="BT290" s="225"/>
      <c r="BU290" s="225"/>
      <c r="BV290" s="225"/>
      <c r="BW290" s="225"/>
      <c r="BX290" s="225"/>
      <c r="BY290" s="225"/>
      <c r="BZ290" s="225"/>
      <c r="CA290" s="225"/>
      <c r="CB290" s="225"/>
      <c r="CC290" s="225"/>
      <c r="CD290" s="225"/>
      <c r="CE290" s="225"/>
      <c r="CF290" s="225"/>
      <c r="CG290" s="225"/>
      <c r="CH290" s="225"/>
      <c r="CI290" s="225"/>
      <c r="CJ290" s="225"/>
      <c r="CK290" s="225"/>
      <c r="CL290" s="225"/>
      <c r="CM290" s="225"/>
      <c r="CN290" s="225"/>
      <c r="CO290" s="225"/>
      <c r="CP290" s="225"/>
      <c r="CQ290" s="225"/>
      <c r="CR290" s="225"/>
      <c r="CS290" s="225"/>
      <c r="CT290" s="225"/>
      <c r="CU290" s="225"/>
      <c r="CV290" s="225"/>
      <c r="CW290" s="225"/>
      <c r="CX290" s="225"/>
      <c r="CY290" s="225"/>
      <c r="CZ290" s="225"/>
      <c r="DA290" s="225"/>
      <c r="DB290" s="225"/>
      <c r="DC290" s="225"/>
      <c r="DD290" s="225"/>
      <c r="DE290" s="225"/>
      <c r="DF290" s="225"/>
      <c r="DG290" s="225"/>
      <c r="DH290" s="225"/>
    </row>
    <row r="291" ht="20.25" customHeight="1">
      <c r="A291" s="41">
        <v>291.0</v>
      </c>
      <c r="B291" s="90" t="s">
        <v>145</v>
      </c>
      <c r="C291" s="635" t="s">
        <v>108</v>
      </c>
      <c r="D291" s="394" t="s">
        <v>1434</v>
      </c>
      <c r="E291" s="217"/>
      <c r="F291" s="404" t="s">
        <v>1663</v>
      </c>
      <c r="G291" s="396" t="s">
        <v>1695</v>
      </c>
      <c r="H291" s="396" t="s">
        <v>1437</v>
      </c>
      <c r="I291" s="638">
        <v>45637.0</v>
      </c>
      <c r="J291" s="639">
        <v>45670.0</v>
      </c>
      <c r="K291" s="399"/>
      <c r="L291" s="628" t="s">
        <v>1666</v>
      </c>
      <c r="M291" s="396" t="s">
        <v>1678</v>
      </c>
      <c r="N291" s="396" t="s">
        <v>1668</v>
      </c>
      <c r="O291" s="628">
        <v>1.0</v>
      </c>
      <c r="P291" s="400" t="str">
        <f>SUBSTITUTE(LOWER(N291), "/", "--") &amp;  ".pdf"</f>
        <v>10.1002--pam.21702.pdf</v>
      </c>
      <c r="Q291" s="49" t="str">
        <f t="array" ref="Q291"> if(iserror(MATCH(V291, 'File Links'!C:C, 0)), "N/A", HYPERLINK(INDEX('File Links'!B:B, MATCH(P291, 'File Links'!C:C, 0))))</f>
        <v>https://drive.google.com/file/d/1NxD4srcP8NGAkHA1AWvYHXJLyf_l73EF/view?usp=drivesdk</v>
      </c>
      <c r="R291" s="98" t="s">
        <v>1669</v>
      </c>
      <c r="S291" s="396" t="s">
        <v>1670</v>
      </c>
      <c r="T291" s="399"/>
      <c r="U291" s="630">
        <v>2.0</v>
      </c>
      <c r="V291" s="109" t="str">
        <f t="shared" si="6"/>
        <v>10.1111--padm.12860.pdf</v>
      </c>
      <c r="W291" s="401" t="s">
        <v>1679</v>
      </c>
      <c r="X291" s="51" t="str">
        <f t="array" ref="X291"> if(iserror(MATCH(V291, 'File Links'!C:C, 0)), "N/A", HYPERLINK(INDEX('File Links'!B:B, MATCH(V291, 'File Links'!C:C, 0))))</f>
        <v>https://drive.google.com/file/d/1Zty8FHdgF4Nqed1S2bjomumBBiyC8Mfz/view?usp=drivesdk</v>
      </c>
      <c r="Y291" s="399"/>
      <c r="Z291" s="80" t="s">
        <v>1672</v>
      </c>
      <c r="AA291" s="396" t="s">
        <v>1680</v>
      </c>
      <c r="AB291" s="396" t="s">
        <v>1681</v>
      </c>
      <c r="AC291" s="396" t="s">
        <v>1697</v>
      </c>
      <c r="AD291" s="396" t="s">
        <v>1683</v>
      </c>
      <c r="AE291" s="403">
        <v>10.0</v>
      </c>
      <c r="AF291" s="403">
        <v>908.0</v>
      </c>
      <c r="AG291" s="574">
        <v>0.314</v>
      </c>
      <c r="AH291" s="402" t="s">
        <v>980</v>
      </c>
      <c r="AI291" s="98" t="s">
        <v>625</v>
      </c>
      <c r="AJ291" s="403">
        <v>0.001</v>
      </c>
      <c r="AK291" s="395" t="s">
        <v>128</v>
      </c>
      <c r="AL291" s="399" t="s">
        <v>179</v>
      </c>
      <c r="AM291" s="399" t="s">
        <v>134</v>
      </c>
      <c r="AN291" s="216" t="s">
        <v>131</v>
      </c>
      <c r="AO291" s="403">
        <v>992.0</v>
      </c>
      <c r="AP291" s="574">
        <v>0.33</v>
      </c>
      <c r="AQ291" s="399" t="s">
        <v>980</v>
      </c>
      <c r="AR291" s="642">
        <v>9.0</v>
      </c>
      <c r="AS291" s="405">
        <v>0.001</v>
      </c>
      <c r="AT291" s="395" t="s">
        <v>128</v>
      </c>
      <c r="AU291" s="395" t="s">
        <v>179</v>
      </c>
      <c r="AV291" s="395" t="s">
        <v>134</v>
      </c>
      <c r="AW291" s="634" t="s">
        <v>1677</v>
      </c>
      <c r="AX291" s="404" t="s">
        <v>136</v>
      </c>
      <c r="AY291" s="126"/>
      <c r="AZ291" s="121" t="s">
        <v>137</v>
      </c>
      <c r="BC291" s="225"/>
      <c r="BD291" s="225"/>
      <c r="BE291" s="225"/>
      <c r="BF291" s="225"/>
      <c r="BG291" s="225"/>
      <c r="BH291" s="225"/>
      <c r="BI291" s="225"/>
      <c r="BJ291" s="225"/>
      <c r="BK291" s="225"/>
      <c r="BL291" s="225"/>
      <c r="BM291" s="225"/>
      <c r="BN291" s="225"/>
      <c r="BO291" s="225"/>
      <c r="BP291" s="225"/>
      <c r="BQ291" s="225"/>
      <c r="BR291" s="225"/>
      <c r="BS291" s="225"/>
      <c r="BT291" s="225"/>
      <c r="BU291" s="225"/>
      <c r="BV291" s="225"/>
      <c r="BW291" s="225"/>
      <c r="BX291" s="225"/>
      <c r="BY291" s="225"/>
      <c r="BZ291" s="225"/>
      <c r="CA291" s="225"/>
      <c r="CB291" s="225"/>
      <c r="CC291" s="225"/>
      <c r="CD291" s="225"/>
      <c r="CE291" s="225"/>
      <c r="CF291" s="225"/>
      <c r="CG291" s="225"/>
      <c r="CH291" s="225"/>
      <c r="CI291" s="225"/>
      <c r="CJ291" s="225"/>
      <c r="CK291" s="225"/>
      <c r="CL291" s="225"/>
      <c r="CM291" s="225"/>
      <c r="CN291" s="225"/>
      <c r="CO291" s="225"/>
      <c r="CP291" s="225"/>
      <c r="CQ291" s="225"/>
      <c r="CR291" s="225"/>
      <c r="CS291" s="225"/>
      <c r="CT291" s="225"/>
      <c r="CU291" s="225"/>
      <c r="CV291" s="225"/>
      <c r="CW291" s="225"/>
      <c r="CX291" s="225"/>
      <c r="CY291" s="225"/>
      <c r="CZ291" s="225"/>
      <c r="DA291" s="225"/>
      <c r="DB291" s="225"/>
      <c r="DC291" s="225"/>
      <c r="DD291" s="225"/>
      <c r="DE291" s="225"/>
      <c r="DF291" s="225"/>
      <c r="DG291" s="225"/>
      <c r="DH291" s="225"/>
    </row>
    <row r="292" ht="20.25" customHeight="1">
      <c r="A292" s="41">
        <v>292.0</v>
      </c>
      <c r="B292" s="90" t="s">
        <v>145</v>
      </c>
      <c r="C292" s="90" t="s">
        <v>108</v>
      </c>
      <c r="D292" s="90" t="s">
        <v>1451</v>
      </c>
      <c r="E292" s="89"/>
      <c r="F292" s="404" t="s">
        <v>1663</v>
      </c>
      <c r="G292" s="74" t="s">
        <v>1698</v>
      </c>
      <c r="H292" s="74" t="s">
        <v>1511</v>
      </c>
      <c r="I292" s="644">
        <v>45640.0</v>
      </c>
      <c r="J292" s="627">
        <v>45670.0</v>
      </c>
      <c r="K292" s="74" t="s">
        <v>1692</v>
      </c>
      <c r="L292" s="628" t="s">
        <v>1666</v>
      </c>
      <c r="M292" s="629" t="s">
        <v>1699</v>
      </c>
      <c r="N292" s="645" t="s">
        <v>1668</v>
      </c>
      <c r="O292" s="77">
        <v>1.0</v>
      </c>
      <c r="P292" s="96" t="str">
        <f> SUBSTITUTE(lower(N292), "/", "--") &amp;  ".pdf"</f>
        <v>10.1002--pam.21702.pdf</v>
      </c>
      <c r="Q292" s="49" t="str">
        <f t="array" ref="Q292"> if(iserror(MATCH(V292, 'File Links'!C:C, 0)), "N/A", HYPERLINK(INDEX('File Links'!B:B, MATCH(P292, 'File Links'!C:C, 0))))</f>
        <v>https://drive.google.com/file/d/1NxD4srcP8NGAkHA1AWvYHXJLyf_l73EF/view?usp=drivesdk</v>
      </c>
      <c r="R292" s="98" t="s">
        <v>1669</v>
      </c>
      <c r="S292" s="645" t="s">
        <v>1670</v>
      </c>
      <c r="T292" s="80"/>
      <c r="U292" s="630">
        <v>2.0</v>
      </c>
      <c r="V292" s="109" t="str">
        <f t="shared" si="6"/>
        <v>10.1111--padm.12860.pdf</v>
      </c>
      <c r="W292" s="74" t="s">
        <v>1671</v>
      </c>
      <c r="X292" s="51" t="str">
        <f t="array" ref="X292"> if(iserror(MATCH(V292, 'File Links'!C:C, 0)), "N/A", HYPERLINK(INDEX('File Links'!B:B, MATCH(V292, 'File Links'!C:C, 0))))</f>
        <v>https://drive.google.com/file/d/1Zty8FHdgF4Nqed1S2bjomumBBiyC8Mfz/view?usp=drivesdk</v>
      </c>
      <c r="Y292" s="80"/>
      <c r="Z292" s="80" t="s">
        <v>1672</v>
      </c>
      <c r="AA292" s="80" t="s">
        <v>1673</v>
      </c>
      <c r="AB292" s="80" t="s">
        <v>1674</v>
      </c>
      <c r="AC292" s="74" t="s">
        <v>1675</v>
      </c>
      <c r="AD292" s="74" t="s">
        <v>1689</v>
      </c>
      <c r="AE292" s="631">
        <v>45637.0</v>
      </c>
      <c r="AF292" s="632">
        <v>908.0</v>
      </c>
      <c r="AG292" s="476">
        <v>0.08</v>
      </c>
      <c r="AH292" s="592" t="s">
        <v>980</v>
      </c>
      <c r="AI292" s="98" t="s">
        <v>605</v>
      </c>
      <c r="AJ292" s="619" t="s">
        <v>131</v>
      </c>
      <c r="AK292" s="619" t="s">
        <v>131</v>
      </c>
      <c r="AL292" s="77" t="s">
        <v>129</v>
      </c>
      <c r="AM292" s="74" t="s">
        <v>134</v>
      </c>
      <c r="AN292" s="216" t="s">
        <v>131</v>
      </c>
      <c r="AO292" s="632">
        <v>1228.0</v>
      </c>
      <c r="AP292" s="632">
        <v>0.017</v>
      </c>
      <c r="AQ292" s="80" t="s">
        <v>980</v>
      </c>
      <c r="AR292" s="98">
        <v>10.0</v>
      </c>
      <c r="AS292" s="77" t="s">
        <v>131</v>
      </c>
      <c r="AT292" s="77" t="s">
        <v>131</v>
      </c>
      <c r="AU292" s="92" t="s">
        <v>179</v>
      </c>
      <c r="AV292" s="92" t="s">
        <v>134</v>
      </c>
      <c r="AW292" s="99" t="s">
        <v>1677</v>
      </c>
      <c r="AX292" s="648" t="s">
        <v>136</v>
      </c>
      <c r="AY292" s="126"/>
      <c r="AZ292" s="121" t="s">
        <v>137</v>
      </c>
    </row>
    <row r="293" ht="20.25" customHeight="1">
      <c r="A293" s="41">
        <v>293.0</v>
      </c>
      <c r="B293" s="90" t="s">
        <v>145</v>
      </c>
      <c r="C293" s="635" t="s">
        <v>108</v>
      </c>
      <c r="D293" s="394" t="s">
        <v>1434</v>
      </c>
      <c r="E293" s="217"/>
      <c r="F293" s="404" t="s">
        <v>1663</v>
      </c>
      <c r="G293" s="396" t="s">
        <v>1698</v>
      </c>
      <c r="H293" s="637" t="s">
        <v>1437</v>
      </c>
      <c r="I293" s="638">
        <v>45637.0</v>
      </c>
      <c r="J293" s="639">
        <v>45670.0</v>
      </c>
      <c r="K293" s="399"/>
      <c r="L293" s="628" t="s">
        <v>1666</v>
      </c>
      <c r="M293" s="396" t="s">
        <v>1678</v>
      </c>
      <c r="N293" s="396" t="s">
        <v>1668</v>
      </c>
      <c r="O293" s="628">
        <v>1.0</v>
      </c>
      <c r="P293" s="400" t="str">
        <f t="shared" ref="P293:P297" si="7">SUBSTITUTE(LOWER(N293), "/", "--") &amp;  ".pdf"</f>
        <v>10.1002--pam.21702.pdf</v>
      </c>
      <c r="Q293" s="49" t="str">
        <f t="array" ref="Q293"> if(iserror(MATCH(V293, 'File Links'!C:C, 0)), "N/A", HYPERLINK(INDEX('File Links'!B:B, MATCH(P293, 'File Links'!C:C, 0))))</f>
        <v>https://drive.google.com/file/d/1NxD4srcP8NGAkHA1AWvYHXJLyf_l73EF/view?usp=drivesdk</v>
      </c>
      <c r="R293" s="98" t="s">
        <v>1669</v>
      </c>
      <c r="S293" s="396" t="s">
        <v>1670</v>
      </c>
      <c r="T293" s="399"/>
      <c r="U293" s="630">
        <v>2.0</v>
      </c>
      <c r="V293" s="109" t="str">
        <f t="shared" si="6"/>
        <v>10.1111--padm.12860.pdf</v>
      </c>
      <c r="W293" s="401" t="s">
        <v>1679</v>
      </c>
      <c r="X293" s="51" t="str">
        <f t="array" ref="X293"> if(iserror(MATCH(V293, 'File Links'!C:C, 0)), "N/A", HYPERLINK(INDEX('File Links'!B:B, MATCH(V293, 'File Links'!C:C, 0))))</f>
        <v>https://drive.google.com/file/d/1Zty8FHdgF4Nqed1S2bjomumBBiyC8Mfz/view?usp=drivesdk</v>
      </c>
      <c r="Y293" s="399"/>
      <c r="Z293" s="80" t="s">
        <v>1672</v>
      </c>
      <c r="AA293" s="396" t="s">
        <v>1680</v>
      </c>
      <c r="AB293" s="396" t="s">
        <v>1681</v>
      </c>
      <c r="AC293" s="396" t="s">
        <v>1700</v>
      </c>
      <c r="AD293" s="396" t="s">
        <v>1683</v>
      </c>
      <c r="AE293" s="403">
        <v>10.0</v>
      </c>
      <c r="AF293" s="403">
        <v>908.0</v>
      </c>
      <c r="AG293" s="640">
        <v>-0.903</v>
      </c>
      <c r="AH293" s="402" t="s">
        <v>980</v>
      </c>
      <c r="AI293" s="98" t="s">
        <v>625</v>
      </c>
      <c r="AJ293" s="403">
        <v>0.001</v>
      </c>
      <c r="AK293" s="395" t="s">
        <v>128</v>
      </c>
      <c r="AL293" s="399" t="s">
        <v>179</v>
      </c>
      <c r="AM293" s="399" t="s">
        <v>134</v>
      </c>
      <c r="AN293" s="216" t="s">
        <v>131</v>
      </c>
      <c r="AO293" s="403">
        <v>1228.0</v>
      </c>
      <c r="AP293" s="463">
        <v>-0.371</v>
      </c>
      <c r="AQ293" s="399" t="s">
        <v>980</v>
      </c>
      <c r="AR293" s="642">
        <v>9.0</v>
      </c>
      <c r="AS293" s="405">
        <v>0.001</v>
      </c>
      <c r="AT293" s="395" t="s">
        <v>128</v>
      </c>
      <c r="AU293" s="395" t="s">
        <v>179</v>
      </c>
      <c r="AV293" s="395" t="s">
        <v>134</v>
      </c>
      <c r="AW293" s="634" t="s">
        <v>1677</v>
      </c>
      <c r="AX293" s="404" t="s">
        <v>136</v>
      </c>
      <c r="AY293" s="126"/>
      <c r="AZ293" s="121" t="s">
        <v>137</v>
      </c>
    </row>
    <row r="294" ht="20.25" customHeight="1">
      <c r="A294" s="41">
        <v>294.0</v>
      </c>
      <c r="B294" s="90" t="s">
        <v>145</v>
      </c>
      <c r="C294" s="635" t="s">
        <v>108</v>
      </c>
      <c r="D294" s="394" t="s">
        <v>1434</v>
      </c>
      <c r="E294" s="217"/>
      <c r="F294" s="404" t="s">
        <v>1663</v>
      </c>
      <c r="G294" s="396" t="s">
        <v>1701</v>
      </c>
      <c r="H294" s="396" t="s">
        <v>1437</v>
      </c>
      <c r="I294" s="638">
        <v>45637.0</v>
      </c>
      <c r="J294" s="639">
        <v>45670.0</v>
      </c>
      <c r="K294" s="399"/>
      <c r="L294" s="628" t="s">
        <v>1666</v>
      </c>
      <c r="M294" s="396" t="s">
        <v>1678</v>
      </c>
      <c r="N294" s="396" t="s">
        <v>1668</v>
      </c>
      <c r="O294" s="628">
        <v>1.0</v>
      </c>
      <c r="P294" s="400" t="str">
        <f t="shared" si="7"/>
        <v>10.1002--pam.21702.pdf</v>
      </c>
      <c r="Q294" s="49" t="str">
        <f t="array" ref="Q294"> if(iserror(MATCH(V294, 'File Links'!C:C, 0)), "N/A", HYPERLINK(INDEX('File Links'!B:B, MATCH(P294, 'File Links'!C:C, 0))))</f>
        <v>https://drive.google.com/file/d/1NxD4srcP8NGAkHA1AWvYHXJLyf_l73EF/view?usp=drivesdk</v>
      </c>
      <c r="R294" s="98" t="s">
        <v>1669</v>
      </c>
      <c r="S294" s="396" t="s">
        <v>1670</v>
      </c>
      <c r="T294" s="399"/>
      <c r="U294" s="630">
        <v>2.0</v>
      </c>
      <c r="V294" s="109" t="str">
        <f t="shared" si="6"/>
        <v>10.1111--padm.12860.pdf</v>
      </c>
      <c r="W294" s="401" t="s">
        <v>1679</v>
      </c>
      <c r="X294" s="51" t="str">
        <f t="array" ref="X294"> if(iserror(MATCH(V294, 'File Links'!C:C, 0)), "N/A", HYPERLINK(INDEX('File Links'!B:B, MATCH(V294, 'File Links'!C:C, 0))))</f>
        <v>https://drive.google.com/file/d/1Zty8FHdgF4Nqed1S2bjomumBBiyC8Mfz/view?usp=drivesdk</v>
      </c>
      <c r="Y294" s="399"/>
      <c r="Z294" s="80" t="s">
        <v>1672</v>
      </c>
      <c r="AA294" s="396" t="s">
        <v>1680</v>
      </c>
      <c r="AB294" s="396" t="s">
        <v>1681</v>
      </c>
      <c r="AC294" s="396" t="s">
        <v>1702</v>
      </c>
      <c r="AD294" s="396" t="s">
        <v>1683</v>
      </c>
      <c r="AE294" s="403">
        <v>10.0</v>
      </c>
      <c r="AF294" s="403">
        <v>908.0</v>
      </c>
      <c r="AG294" s="194">
        <v>1.445</v>
      </c>
      <c r="AH294" s="402" t="s">
        <v>980</v>
      </c>
      <c r="AI294" s="98" t="s">
        <v>625</v>
      </c>
      <c r="AJ294" s="403">
        <v>0.001</v>
      </c>
      <c r="AK294" s="395" t="s">
        <v>128</v>
      </c>
      <c r="AL294" s="399" t="s">
        <v>179</v>
      </c>
      <c r="AM294" s="399" t="s">
        <v>134</v>
      </c>
      <c r="AN294" s="216" t="s">
        <v>131</v>
      </c>
      <c r="AO294" s="403">
        <v>1228.0</v>
      </c>
      <c r="AP294" s="463">
        <v>3.051</v>
      </c>
      <c r="AQ294" s="399" t="s">
        <v>980</v>
      </c>
      <c r="AR294" s="642">
        <v>9.0</v>
      </c>
      <c r="AS294" s="405">
        <v>0.001</v>
      </c>
      <c r="AT294" s="395" t="s">
        <v>128</v>
      </c>
      <c r="AU294" s="395" t="s">
        <v>179</v>
      </c>
      <c r="AV294" s="395" t="s">
        <v>134</v>
      </c>
      <c r="AW294" s="634" t="s">
        <v>1677</v>
      </c>
      <c r="AX294" s="404" t="s">
        <v>136</v>
      </c>
      <c r="AY294" s="126"/>
      <c r="AZ294" s="121" t="s">
        <v>137</v>
      </c>
    </row>
    <row r="295" ht="20.25" customHeight="1">
      <c r="A295" s="41">
        <v>295.0</v>
      </c>
      <c r="B295" s="90" t="s">
        <v>145</v>
      </c>
      <c r="C295" s="635" t="s">
        <v>108</v>
      </c>
      <c r="D295" s="394" t="s">
        <v>1434</v>
      </c>
      <c r="E295" s="217"/>
      <c r="F295" s="404" t="s">
        <v>1663</v>
      </c>
      <c r="G295" s="396" t="s">
        <v>1703</v>
      </c>
      <c r="H295" s="396" t="s">
        <v>1437</v>
      </c>
      <c r="I295" s="638">
        <v>45637.0</v>
      </c>
      <c r="J295" s="639">
        <v>45670.0</v>
      </c>
      <c r="K295" s="399"/>
      <c r="L295" s="628" t="s">
        <v>1666</v>
      </c>
      <c r="M295" s="396" t="s">
        <v>1678</v>
      </c>
      <c r="N295" s="396" t="s">
        <v>1668</v>
      </c>
      <c r="O295" s="628">
        <v>1.0</v>
      </c>
      <c r="P295" s="400" t="str">
        <f t="shared" si="7"/>
        <v>10.1002--pam.21702.pdf</v>
      </c>
      <c r="Q295" s="49" t="str">
        <f t="array" ref="Q295"> if(iserror(MATCH(V295, 'File Links'!C:C, 0)), "N/A", HYPERLINK(INDEX('File Links'!B:B, MATCH(P295, 'File Links'!C:C, 0))))</f>
        <v>https://drive.google.com/file/d/1NxD4srcP8NGAkHA1AWvYHXJLyf_l73EF/view?usp=drivesdk</v>
      </c>
      <c r="R295" s="98" t="s">
        <v>1669</v>
      </c>
      <c r="S295" s="396" t="s">
        <v>1670</v>
      </c>
      <c r="T295" s="399"/>
      <c r="U295" s="630">
        <v>2.0</v>
      </c>
      <c r="V295" s="109" t="str">
        <f t="shared" si="6"/>
        <v>10.1111--padm.12860.pdf</v>
      </c>
      <c r="W295" s="401" t="s">
        <v>1679</v>
      </c>
      <c r="X295" s="51" t="str">
        <f t="array" ref="X295"> if(iserror(MATCH(V295, 'File Links'!C:C, 0)), "N/A", HYPERLINK(INDEX('File Links'!B:B, MATCH(V295, 'File Links'!C:C, 0))))</f>
        <v>https://drive.google.com/file/d/1Zty8FHdgF4Nqed1S2bjomumBBiyC8Mfz/view?usp=drivesdk</v>
      </c>
      <c r="Y295" s="399"/>
      <c r="Z295" s="80" t="s">
        <v>1672</v>
      </c>
      <c r="AA295" s="396" t="s">
        <v>1680</v>
      </c>
      <c r="AB295" s="396" t="s">
        <v>1681</v>
      </c>
      <c r="AC295" s="396" t="s">
        <v>1704</v>
      </c>
      <c r="AD295" s="396" t="s">
        <v>1683</v>
      </c>
      <c r="AE295" s="403">
        <v>10.0</v>
      </c>
      <c r="AF295" s="403">
        <v>908.0</v>
      </c>
      <c r="AG295" s="127">
        <v>0.354</v>
      </c>
      <c r="AH295" s="402" t="s">
        <v>980</v>
      </c>
      <c r="AI295" s="98" t="s">
        <v>625</v>
      </c>
      <c r="AJ295" s="403">
        <v>0.001</v>
      </c>
      <c r="AK295" s="395" t="s">
        <v>128</v>
      </c>
      <c r="AL295" s="399" t="s">
        <v>179</v>
      </c>
      <c r="AM295" s="399" t="s">
        <v>134</v>
      </c>
      <c r="AN295" s="216" t="s">
        <v>131</v>
      </c>
      <c r="AO295" s="403">
        <v>1228.0</v>
      </c>
      <c r="AP295" s="574">
        <v>0.39</v>
      </c>
      <c r="AQ295" s="399" t="s">
        <v>980</v>
      </c>
      <c r="AR295" s="642">
        <v>9.0</v>
      </c>
      <c r="AS295" s="405">
        <v>0.001</v>
      </c>
      <c r="AT295" s="395" t="s">
        <v>128</v>
      </c>
      <c r="AU295" s="395" t="s">
        <v>179</v>
      </c>
      <c r="AV295" s="395" t="s">
        <v>134</v>
      </c>
      <c r="AW295" s="634" t="s">
        <v>1677</v>
      </c>
      <c r="AX295" s="404" t="s">
        <v>136</v>
      </c>
      <c r="AY295" s="126"/>
      <c r="AZ295" s="121" t="s">
        <v>137</v>
      </c>
    </row>
    <row r="296" ht="20.25" customHeight="1">
      <c r="A296" s="41">
        <v>296.0</v>
      </c>
      <c r="B296" s="90" t="s">
        <v>145</v>
      </c>
      <c r="C296" s="635" t="s">
        <v>108</v>
      </c>
      <c r="D296" s="394" t="s">
        <v>1434</v>
      </c>
      <c r="E296" s="217"/>
      <c r="F296" s="404" t="s">
        <v>1663</v>
      </c>
      <c r="G296" s="396" t="s">
        <v>1705</v>
      </c>
      <c r="H296" s="396" t="s">
        <v>1437</v>
      </c>
      <c r="I296" s="638">
        <v>45637.0</v>
      </c>
      <c r="J296" s="639">
        <v>45670.0</v>
      </c>
      <c r="K296" s="399"/>
      <c r="L296" s="628" t="s">
        <v>1666</v>
      </c>
      <c r="M296" s="396" t="s">
        <v>1678</v>
      </c>
      <c r="N296" s="396" t="s">
        <v>1668</v>
      </c>
      <c r="O296" s="628">
        <v>1.0</v>
      </c>
      <c r="P296" s="400" t="str">
        <f t="shared" si="7"/>
        <v>10.1002--pam.21702.pdf</v>
      </c>
      <c r="Q296" s="49" t="str">
        <f t="array" ref="Q296"> if(iserror(MATCH(V296, 'File Links'!C:C, 0)), "N/A", HYPERLINK(INDEX('File Links'!B:B, MATCH(P296, 'File Links'!C:C, 0))))</f>
        <v>https://drive.google.com/file/d/1NxD4srcP8NGAkHA1AWvYHXJLyf_l73EF/view?usp=drivesdk</v>
      </c>
      <c r="R296" s="98" t="s">
        <v>1669</v>
      </c>
      <c r="S296" s="396" t="s">
        <v>1670</v>
      </c>
      <c r="T296" s="399"/>
      <c r="U296" s="630">
        <v>2.0</v>
      </c>
      <c r="V296" s="109" t="str">
        <f t="shared" si="6"/>
        <v>10.1111--padm.12860.pdf</v>
      </c>
      <c r="W296" s="401" t="s">
        <v>1679</v>
      </c>
      <c r="X296" s="51" t="str">
        <f t="array" ref="X296"> if(iserror(MATCH(V296, 'File Links'!C:C, 0)), "N/A", HYPERLINK(INDEX('File Links'!B:B, MATCH(V296, 'File Links'!C:C, 0))))</f>
        <v>https://drive.google.com/file/d/1Zty8FHdgF4Nqed1S2bjomumBBiyC8Mfz/view?usp=drivesdk</v>
      </c>
      <c r="Y296" s="399"/>
      <c r="Z296" s="80" t="s">
        <v>1672</v>
      </c>
      <c r="AA296" s="396" t="s">
        <v>1680</v>
      </c>
      <c r="AB296" s="396" t="s">
        <v>1681</v>
      </c>
      <c r="AC296" s="396" t="s">
        <v>1706</v>
      </c>
      <c r="AD296" s="396" t="s">
        <v>1683</v>
      </c>
      <c r="AE296" s="403">
        <v>10.0</v>
      </c>
      <c r="AF296" s="403">
        <v>908.0</v>
      </c>
      <c r="AG296" s="649">
        <v>0.583</v>
      </c>
      <c r="AH296" s="402" t="s">
        <v>980</v>
      </c>
      <c r="AI296" s="98" t="s">
        <v>625</v>
      </c>
      <c r="AJ296" s="403">
        <v>0.001</v>
      </c>
      <c r="AK296" s="395" t="s">
        <v>128</v>
      </c>
      <c r="AL296" s="399" t="s">
        <v>179</v>
      </c>
      <c r="AM296" s="399" t="s">
        <v>134</v>
      </c>
      <c r="AN296" s="216" t="s">
        <v>131</v>
      </c>
      <c r="AO296" s="403">
        <v>1228.0</v>
      </c>
      <c r="AP296" s="574">
        <v>1.243</v>
      </c>
      <c r="AQ296" s="399" t="s">
        <v>980</v>
      </c>
      <c r="AR296" s="642">
        <v>9.0</v>
      </c>
      <c r="AS296" s="405">
        <v>0.001</v>
      </c>
      <c r="AT296" s="395" t="s">
        <v>128</v>
      </c>
      <c r="AU296" s="395" t="s">
        <v>179</v>
      </c>
      <c r="AV296" s="395" t="s">
        <v>134</v>
      </c>
      <c r="AW296" s="634" t="s">
        <v>1677</v>
      </c>
      <c r="AX296" s="404" t="s">
        <v>136</v>
      </c>
      <c r="AY296" s="126"/>
      <c r="AZ296" s="121" t="s">
        <v>137</v>
      </c>
    </row>
    <row r="297" ht="20.25" customHeight="1">
      <c r="A297" s="41">
        <v>297.0</v>
      </c>
      <c r="B297" s="90" t="s">
        <v>145</v>
      </c>
      <c r="C297" s="635" t="s">
        <v>108</v>
      </c>
      <c r="D297" s="394" t="s">
        <v>1434</v>
      </c>
      <c r="E297" s="217"/>
      <c r="F297" s="404" t="s">
        <v>1663</v>
      </c>
      <c r="G297" s="396" t="s">
        <v>1707</v>
      </c>
      <c r="H297" s="396" t="s">
        <v>1437</v>
      </c>
      <c r="I297" s="638">
        <v>45637.0</v>
      </c>
      <c r="J297" s="639">
        <v>45670.0</v>
      </c>
      <c r="K297" s="399"/>
      <c r="L297" s="628" t="s">
        <v>1666</v>
      </c>
      <c r="M297" s="396" t="s">
        <v>1678</v>
      </c>
      <c r="N297" s="396" t="s">
        <v>1668</v>
      </c>
      <c r="O297" s="628">
        <v>1.0</v>
      </c>
      <c r="P297" s="400" t="str">
        <f t="shared" si="7"/>
        <v>10.1002--pam.21702.pdf</v>
      </c>
      <c r="Q297" s="49" t="str">
        <f t="array" ref="Q297"> if(iserror(MATCH(V297, 'File Links'!C:C, 0)), "N/A", HYPERLINK(INDEX('File Links'!B:B, MATCH(P297, 'File Links'!C:C, 0))))</f>
        <v>https://drive.google.com/file/d/1NxD4srcP8NGAkHA1AWvYHXJLyf_l73EF/view?usp=drivesdk</v>
      </c>
      <c r="R297" s="98" t="s">
        <v>1669</v>
      </c>
      <c r="S297" s="396" t="s">
        <v>1670</v>
      </c>
      <c r="T297" s="399"/>
      <c r="U297" s="630">
        <v>2.0</v>
      </c>
      <c r="V297" s="109" t="str">
        <f t="shared" si="6"/>
        <v>10.1111--padm.12860.pdf</v>
      </c>
      <c r="W297" s="401" t="s">
        <v>1679</v>
      </c>
      <c r="X297" s="51" t="str">
        <f t="array" ref="X297"> if(iserror(MATCH(V297, 'File Links'!C:C, 0)), "N/A", HYPERLINK(INDEX('File Links'!B:B, MATCH(V297, 'File Links'!C:C, 0))))</f>
        <v>https://drive.google.com/file/d/1Zty8FHdgF4Nqed1S2bjomumBBiyC8Mfz/view?usp=drivesdk</v>
      </c>
      <c r="Y297" s="399"/>
      <c r="Z297" s="80" t="s">
        <v>1672</v>
      </c>
      <c r="AA297" s="396" t="s">
        <v>1680</v>
      </c>
      <c r="AB297" s="396" t="s">
        <v>1681</v>
      </c>
      <c r="AC297" s="396" t="s">
        <v>1708</v>
      </c>
      <c r="AD297" s="396" t="s">
        <v>1683</v>
      </c>
      <c r="AE297" s="403">
        <v>10.0</v>
      </c>
      <c r="AF297" s="403">
        <v>908.0</v>
      </c>
      <c r="AG297" s="574">
        <v>0.314</v>
      </c>
      <c r="AH297" s="402" t="s">
        <v>980</v>
      </c>
      <c r="AI297" s="98" t="s">
        <v>625</v>
      </c>
      <c r="AJ297" s="403">
        <v>0.001</v>
      </c>
      <c r="AK297" s="395" t="s">
        <v>128</v>
      </c>
      <c r="AL297" s="399" t="s">
        <v>179</v>
      </c>
      <c r="AM297" s="399" t="s">
        <v>134</v>
      </c>
      <c r="AN297" s="216" t="s">
        <v>131</v>
      </c>
      <c r="AO297" s="403">
        <v>1228.0</v>
      </c>
      <c r="AP297" s="574">
        <v>0.154</v>
      </c>
      <c r="AQ297" s="399" t="s">
        <v>980</v>
      </c>
      <c r="AR297" s="642">
        <v>9.0</v>
      </c>
      <c r="AS297" s="405">
        <v>0.05</v>
      </c>
      <c r="AT297" s="395" t="s">
        <v>128</v>
      </c>
      <c r="AU297" s="395" t="s">
        <v>179</v>
      </c>
      <c r="AV297" s="395" t="s">
        <v>134</v>
      </c>
      <c r="AW297" s="634" t="s">
        <v>1677</v>
      </c>
      <c r="AX297" s="404" t="s">
        <v>136</v>
      </c>
      <c r="AY297" s="126"/>
      <c r="AZ297" s="121" t="s">
        <v>137</v>
      </c>
    </row>
    <row r="298" ht="20.25" customHeight="1">
      <c r="A298" s="41">
        <v>298.0</v>
      </c>
      <c r="B298" s="146" t="s">
        <v>278</v>
      </c>
      <c r="C298" s="146" t="s">
        <v>108</v>
      </c>
      <c r="D298" s="146" t="s">
        <v>1227</v>
      </c>
      <c r="E298" s="69"/>
      <c r="F298" s="108" t="s">
        <v>1709</v>
      </c>
      <c r="G298" s="109" t="s">
        <v>1710</v>
      </c>
      <c r="H298" s="109" t="s">
        <v>1230</v>
      </c>
      <c r="I298" s="414">
        <v>45433.0</v>
      </c>
      <c r="J298" s="110">
        <v>45641.0</v>
      </c>
      <c r="K298" s="111"/>
      <c r="L298" s="111"/>
      <c r="M298" s="109" t="s">
        <v>1711</v>
      </c>
      <c r="N298" s="109" t="s">
        <v>1712</v>
      </c>
      <c r="O298" s="114">
        <v>1.0</v>
      </c>
      <c r="P298" s="118" t="s">
        <v>1713</v>
      </c>
      <c r="Q298" s="49" t="str">
        <f t="array" ref="Q298"> if(iserror(MATCH(V298, 'File Links'!C:C, 0)), "N/A", HYPERLINK(INDEX('File Links'!B:B, MATCH(P298, 'File Links'!C:C, 0))))</f>
        <v>https://drive.google.com/file/d/14Tmk9XIOQYVh24x1jFR4QedpIbTx_n_e/view?usp=drivesdk</v>
      </c>
      <c r="R298" s="109" t="s">
        <v>1714</v>
      </c>
      <c r="S298" s="113" t="s">
        <v>1715</v>
      </c>
      <c r="T298" s="650" t="s">
        <v>1716</v>
      </c>
      <c r="U298" s="651">
        <v>1.0</v>
      </c>
      <c r="V298" s="109" t="str">
        <f t="shared" si="6"/>
        <v>2024.lrec-main.91.pdf</v>
      </c>
      <c r="W298" s="109" t="s">
        <v>1717</v>
      </c>
      <c r="X298" s="51" t="str">
        <f t="array" ref="X298"> if(iserror(MATCH(V298, 'File Links'!C:C, 0)), "N/A", HYPERLINK(INDEX('File Links'!B:B, MATCH(V298, 'File Links'!C:C, 0))))</f>
        <v>https://drive.google.com/file/d/1NIjwBw1HSQxLQI9DGPXfoBeD-8Wnntz5/view?usp=drivesdk</v>
      </c>
      <c r="Y298" s="109"/>
      <c r="Z298" s="109" t="s">
        <v>288</v>
      </c>
      <c r="AA298" s="111"/>
      <c r="AB298" s="109" t="s">
        <v>1718</v>
      </c>
      <c r="AC298" s="109" t="s">
        <v>1719</v>
      </c>
      <c r="AD298" s="109" t="s">
        <v>1720</v>
      </c>
      <c r="AE298" s="114">
        <v>1026.0</v>
      </c>
      <c r="AF298" s="109" t="s">
        <v>1721</v>
      </c>
      <c r="AG298" s="111"/>
      <c r="AH298" s="117"/>
      <c r="AI298" s="111"/>
      <c r="AJ298" s="111"/>
      <c r="AK298" s="108"/>
      <c r="AL298" s="109" t="s">
        <v>179</v>
      </c>
      <c r="AM298" s="111"/>
      <c r="AN298" s="216" t="s">
        <v>131</v>
      </c>
      <c r="AO298" s="111"/>
      <c r="AP298" s="111"/>
      <c r="AQ298" s="111"/>
      <c r="AR298" s="111"/>
      <c r="AS298" s="111"/>
      <c r="AT298" s="108"/>
      <c r="AU298" s="108"/>
      <c r="AV298" s="108"/>
      <c r="AW298" s="108"/>
      <c r="AX298" s="108"/>
      <c r="AY298" s="111"/>
      <c r="AZ298" s="69"/>
    </row>
    <row r="299" ht="20.25" customHeight="1">
      <c r="A299" s="41">
        <v>299.0</v>
      </c>
      <c r="B299" s="146" t="s">
        <v>278</v>
      </c>
      <c r="C299" s="146" t="s">
        <v>108</v>
      </c>
      <c r="D299" s="146" t="s">
        <v>279</v>
      </c>
      <c r="E299" s="69"/>
      <c r="F299" s="108" t="s">
        <v>1709</v>
      </c>
      <c r="G299" s="109" t="s">
        <v>1710</v>
      </c>
      <c r="H299" s="119" t="s">
        <v>137</v>
      </c>
      <c r="I299" s="414">
        <v>45433.0</v>
      </c>
      <c r="J299" s="414">
        <v>45634.0</v>
      </c>
      <c r="K299" s="119" t="s">
        <v>1722</v>
      </c>
      <c r="L299" s="108"/>
      <c r="M299" s="417" t="s">
        <v>1723</v>
      </c>
      <c r="N299" s="119" t="s">
        <v>1712</v>
      </c>
      <c r="O299" s="108"/>
      <c r="P299" s="119" t="s">
        <v>1713</v>
      </c>
      <c r="Q299" s="49" t="str">
        <f t="array" ref="Q299"> if(iserror(MATCH(V299, 'File Links'!C:C, 0)), "N/A", HYPERLINK(INDEX('File Links'!B:B, MATCH(P299, 'File Links'!C:C, 0))))</f>
        <v>https://drive.google.com/file/d/14Tmk9XIOQYVh24x1jFR4QedpIbTx_n_e/view?usp=drivesdk</v>
      </c>
      <c r="R299" s="119" t="s">
        <v>1714</v>
      </c>
      <c r="S299" s="652" t="s">
        <v>1715</v>
      </c>
      <c r="T299" s="653" t="s">
        <v>1724</v>
      </c>
      <c r="U299" s="108"/>
      <c r="V299" s="109" t="str">
        <f t="shared" si="6"/>
        <v>2024.lrec-main.91.pdf</v>
      </c>
      <c r="W299" s="119" t="s">
        <v>1717</v>
      </c>
      <c r="X299" s="51" t="str">
        <f t="array" ref="X299"> if(iserror(MATCH(V299, 'File Links'!C:C, 0)), "N/A", HYPERLINK(INDEX('File Links'!B:B, MATCH(V299, 'File Links'!C:C, 0))))</f>
        <v>https://drive.google.com/file/d/1NIjwBw1HSQxLQI9DGPXfoBeD-8Wnntz5/view?usp=drivesdk</v>
      </c>
      <c r="Y299" s="108"/>
      <c r="Z299" s="119" t="s">
        <v>288</v>
      </c>
      <c r="AA299" s="108"/>
      <c r="AB299" s="108"/>
      <c r="AC299" s="108"/>
      <c r="AD299" s="108"/>
      <c r="AE299" s="108"/>
      <c r="AF299" s="654"/>
      <c r="AG299" s="108"/>
      <c r="AH299" s="117"/>
      <c r="AI299" s="111"/>
      <c r="AJ299" s="111"/>
      <c r="AK299" s="108"/>
      <c r="AL299" s="111"/>
      <c r="AM299" s="108"/>
      <c r="AN299" s="216" t="s">
        <v>131</v>
      </c>
      <c r="AO299" s="108"/>
      <c r="AP299" s="108"/>
      <c r="AQ299" s="108"/>
      <c r="AR299" s="108"/>
      <c r="AS299" s="108"/>
      <c r="AT299" s="108"/>
      <c r="AU299" s="108"/>
      <c r="AV299" s="108"/>
      <c r="AW299" s="108"/>
      <c r="AX299" s="108"/>
      <c r="AY299" s="108"/>
      <c r="AZ299" s="69"/>
    </row>
    <row r="300" ht="20.25" customHeight="1">
      <c r="A300" s="41">
        <v>300.0</v>
      </c>
      <c r="B300" s="322" t="s">
        <v>278</v>
      </c>
      <c r="C300" s="322" t="s">
        <v>108</v>
      </c>
      <c r="D300" s="322" t="s">
        <v>1227</v>
      </c>
      <c r="E300" s="223"/>
      <c r="F300" s="328" t="s">
        <v>1725</v>
      </c>
      <c r="G300" s="409" t="s">
        <v>1726</v>
      </c>
      <c r="H300" s="409" t="s">
        <v>1230</v>
      </c>
      <c r="I300" s="655">
        <v>45433.0</v>
      </c>
      <c r="J300" s="656">
        <v>45641.0</v>
      </c>
      <c r="K300" s="328" t="s">
        <v>1727</v>
      </c>
      <c r="L300" s="387"/>
      <c r="M300" s="409" t="s">
        <v>1728</v>
      </c>
      <c r="N300" s="409" t="s">
        <v>1729</v>
      </c>
      <c r="P300" s="657" t="s">
        <v>1730</v>
      </c>
      <c r="Q300" s="105" t="str">
        <f t="array" ref="Q300"> if(iserror(MATCH(V300, 'File Links'!C:C, 0)), "N/A", HYPERLINK(INDEX('File Links'!B:B, MATCH(P300, 'File Links'!C:C, 0))))</f>
        <v>N/A</v>
      </c>
      <c r="R300" s="321" t="s">
        <v>1731</v>
      </c>
      <c r="S300" s="409"/>
      <c r="T300" s="658" t="s">
        <v>1732</v>
      </c>
      <c r="U300" s="409"/>
      <c r="V300" s="109" t="str">
        <f t="shared" si="6"/>
        <v>.pdf</v>
      </c>
      <c r="W300" s="387"/>
      <c r="X300" s="46" t="str">
        <f t="array" ref="X300"> if(iserror(MATCH(V300, 'File Links'!C:C, 0)), "N/A", HYPERLINK(INDEX('File Links'!B:B, MATCH(V300, 'File Links'!C:C, 0))))</f>
        <v>N/A</v>
      </c>
      <c r="Y300" s="387"/>
      <c r="Z300" s="387"/>
      <c r="AA300" s="387"/>
      <c r="AB300" s="387"/>
      <c r="AC300" s="387"/>
      <c r="AD300" s="387"/>
      <c r="AE300" s="387"/>
      <c r="AF300" s="387"/>
      <c r="AG300" s="387"/>
      <c r="AH300" s="659"/>
      <c r="AI300" s="387"/>
      <c r="AJ300" s="387"/>
      <c r="AK300" s="328"/>
      <c r="AL300" s="387"/>
      <c r="AM300" s="387"/>
      <c r="AN300" s="216" t="s">
        <v>131</v>
      </c>
      <c r="AO300" s="387"/>
      <c r="AP300" s="387"/>
      <c r="AQ300" s="387"/>
      <c r="AR300" s="387"/>
      <c r="AS300" s="387"/>
      <c r="AT300" s="328"/>
      <c r="AU300" s="328"/>
      <c r="AV300" s="328"/>
      <c r="AW300" s="328"/>
      <c r="AX300" s="328"/>
      <c r="AY300" s="387"/>
      <c r="AZ300" s="223"/>
    </row>
    <row r="301" ht="20.25" customHeight="1">
      <c r="A301" s="41">
        <v>301.0</v>
      </c>
      <c r="B301" s="322" t="s">
        <v>278</v>
      </c>
      <c r="C301" s="322" t="s">
        <v>108</v>
      </c>
      <c r="D301" s="322" t="s">
        <v>279</v>
      </c>
      <c r="E301" s="223"/>
      <c r="F301" s="328" t="s">
        <v>1725</v>
      </c>
      <c r="G301" s="409" t="s">
        <v>1726</v>
      </c>
      <c r="H301" s="241" t="s">
        <v>137</v>
      </c>
      <c r="I301" s="655">
        <v>45433.0</v>
      </c>
      <c r="J301" s="656">
        <v>45636.0</v>
      </c>
      <c r="K301" s="328" t="s">
        <v>1727</v>
      </c>
      <c r="L301" s="328"/>
      <c r="M301" s="408" t="s">
        <v>1733</v>
      </c>
      <c r="N301" s="241" t="s">
        <v>1729</v>
      </c>
      <c r="O301" s="328"/>
      <c r="P301" s="241" t="s">
        <v>1730</v>
      </c>
      <c r="Q301" s="105" t="str">
        <f t="array" ref="Q301"> if(iserror(MATCH(V301, 'File Links'!C:C, 0)), "N/A", HYPERLINK(INDEX('File Links'!B:B, MATCH(P301, 'File Links'!C:C, 0))))</f>
        <v>N/A</v>
      </c>
      <c r="R301" s="241" t="s">
        <v>1734</v>
      </c>
      <c r="S301" s="328"/>
      <c r="T301" s="660" t="s">
        <v>1732</v>
      </c>
      <c r="U301" s="328"/>
      <c r="V301" s="109" t="str">
        <f t="shared" si="6"/>
        <v>.pdf</v>
      </c>
      <c r="W301" s="328"/>
      <c r="X301" s="46" t="str">
        <f t="array" ref="X301"> if(iserror(MATCH(V301, 'File Links'!C:C, 0)), "N/A", HYPERLINK(INDEX('File Links'!B:B, MATCH(V301, 'File Links'!C:C, 0))))</f>
        <v>N/A</v>
      </c>
      <c r="Y301" s="328"/>
      <c r="Z301" s="328"/>
      <c r="AA301" s="328"/>
      <c r="AB301" s="328"/>
      <c r="AC301" s="328"/>
      <c r="AD301" s="328"/>
      <c r="AE301" s="328"/>
      <c r="AF301" s="328"/>
      <c r="AG301" s="328"/>
      <c r="AH301" s="659"/>
      <c r="AI301" s="387"/>
      <c r="AJ301" s="387"/>
      <c r="AK301" s="328"/>
      <c r="AL301" s="387"/>
      <c r="AM301" s="328"/>
      <c r="AN301" s="216" t="s">
        <v>131</v>
      </c>
      <c r="AO301" s="328"/>
      <c r="AP301" s="328"/>
      <c r="AQ301" s="328"/>
      <c r="AR301" s="328"/>
      <c r="AS301" s="328"/>
      <c r="AT301" s="328"/>
      <c r="AU301" s="328"/>
      <c r="AV301" s="328"/>
      <c r="AW301" s="328"/>
      <c r="AX301" s="328"/>
      <c r="AY301" s="328"/>
      <c r="AZ301" s="223"/>
    </row>
    <row r="302" ht="20.25" customHeight="1">
      <c r="A302" s="41">
        <v>302.0</v>
      </c>
      <c r="B302" s="322" t="s">
        <v>278</v>
      </c>
      <c r="C302" s="322" t="s">
        <v>108</v>
      </c>
      <c r="D302" s="322" t="s">
        <v>1227</v>
      </c>
      <c r="E302" s="223"/>
      <c r="F302" s="328" t="s">
        <v>1725</v>
      </c>
      <c r="G302" s="409" t="s">
        <v>1735</v>
      </c>
      <c r="H302" s="387"/>
      <c r="I302" s="661"/>
      <c r="J302" s="662"/>
      <c r="K302" s="387"/>
      <c r="L302" s="387"/>
      <c r="M302" s="409" t="s">
        <v>1736</v>
      </c>
      <c r="N302" s="409" t="s">
        <v>1737</v>
      </c>
      <c r="O302" s="391">
        <v>1.0</v>
      </c>
      <c r="P302" s="657" t="s">
        <v>1713</v>
      </c>
      <c r="Q302" s="49" t="str">
        <f t="array" ref="Q302"> if(iserror(MATCH(V302, 'File Links'!C:C, 0)), "N/A", HYPERLINK(INDEX('File Links'!B:B, MATCH(P302, 'File Links'!C:C, 0))))</f>
        <v>https://drive.google.com/file/d/14Tmk9XIOQYVh24x1jFR4QedpIbTx_n_e/view?usp=drivesdk</v>
      </c>
      <c r="R302" s="409" t="s">
        <v>1714</v>
      </c>
      <c r="S302" s="652" t="s">
        <v>1715</v>
      </c>
      <c r="T302" s="663" t="s">
        <v>1738</v>
      </c>
      <c r="U302" s="664">
        <v>1.0</v>
      </c>
      <c r="V302" s="109" t="str">
        <f t="shared" si="6"/>
        <v>2024.lrec-main.91.pdf</v>
      </c>
      <c r="W302" s="409" t="s">
        <v>1717</v>
      </c>
      <c r="X302" s="51" t="str">
        <f t="array" ref="X302"> if(iserror(MATCH(V302, 'File Links'!C:C, 0)), "N/A", HYPERLINK(INDEX('File Links'!B:B, MATCH(V302, 'File Links'!C:C, 0))))</f>
        <v>https://drive.google.com/file/d/1NIjwBw1HSQxLQI9DGPXfoBeD-8Wnntz5/view?usp=drivesdk</v>
      </c>
      <c r="Y302" s="409"/>
      <c r="Z302" s="409" t="s">
        <v>288</v>
      </c>
      <c r="AA302" s="387"/>
      <c r="AB302" s="409" t="s">
        <v>1718</v>
      </c>
      <c r="AC302" s="409" t="s">
        <v>1739</v>
      </c>
      <c r="AD302" s="409" t="s">
        <v>1720</v>
      </c>
      <c r="AE302" s="391">
        <v>1026.0</v>
      </c>
      <c r="AF302" s="409" t="s">
        <v>1721</v>
      </c>
      <c r="AG302" s="387"/>
      <c r="AH302" s="659"/>
      <c r="AI302" s="387"/>
      <c r="AJ302" s="387"/>
      <c r="AK302" s="328"/>
      <c r="AL302" s="409" t="s">
        <v>179</v>
      </c>
      <c r="AM302" s="387"/>
      <c r="AN302" s="216" t="s">
        <v>131</v>
      </c>
      <c r="AO302" s="387"/>
      <c r="AP302" s="387"/>
      <c r="AQ302" s="387"/>
      <c r="AR302" s="387"/>
      <c r="AS302" s="387"/>
      <c r="AT302" s="328"/>
      <c r="AU302" s="328"/>
      <c r="AV302" s="328"/>
      <c r="AW302" s="328"/>
      <c r="AX302" s="328"/>
      <c r="AY302" s="387"/>
      <c r="AZ302" s="223"/>
    </row>
    <row r="303" ht="20.25" customHeight="1">
      <c r="A303" s="41">
        <v>303.0</v>
      </c>
      <c r="B303" s="322" t="s">
        <v>278</v>
      </c>
      <c r="C303" s="322" t="s">
        <v>108</v>
      </c>
      <c r="D303" s="322" t="s">
        <v>1227</v>
      </c>
      <c r="E303" s="223"/>
      <c r="F303" s="328" t="s">
        <v>1725</v>
      </c>
      <c r="G303" s="409" t="s">
        <v>1740</v>
      </c>
      <c r="H303" s="387"/>
      <c r="I303" s="661"/>
      <c r="J303" s="662"/>
      <c r="K303" s="387"/>
      <c r="L303" s="387"/>
      <c r="M303" s="409" t="s">
        <v>1741</v>
      </c>
      <c r="N303" s="409" t="s">
        <v>1742</v>
      </c>
      <c r="O303" s="391">
        <v>1.0</v>
      </c>
      <c r="P303" s="657" t="s">
        <v>1713</v>
      </c>
      <c r="Q303" s="49" t="str">
        <f t="array" ref="Q303"> if(iserror(MATCH(V303, 'File Links'!C:C, 0)), "N/A", HYPERLINK(INDEX('File Links'!B:B, MATCH(P303, 'File Links'!C:C, 0))))</f>
        <v>https://drive.google.com/file/d/14Tmk9XIOQYVh24x1jFR4QedpIbTx_n_e/view?usp=drivesdk</v>
      </c>
      <c r="R303" s="409" t="s">
        <v>1714</v>
      </c>
      <c r="S303" s="652" t="s">
        <v>1715</v>
      </c>
      <c r="T303" s="663" t="s">
        <v>1743</v>
      </c>
      <c r="U303" s="664">
        <v>1.0</v>
      </c>
      <c r="V303" s="109" t="str">
        <f t="shared" si="6"/>
        <v>2024.lrec-main.91.pdf</v>
      </c>
      <c r="W303" s="409" t="s">
        <v>1717</v>
      </c>
      <c r="X303" s="51" t="str">
        <f t="array" ref="X303"> if(iserror(MATCH(V303, 'File Links'!C:C, 0)), "N/A", HYPERLINK(INDEX('File Links'!B:B, MATCH(V303, 'File Links'!C:C, 0))))</f>
        <v>https://drive.google.com/file/d/1NIjwBw1HSQxLQI9DGPXfoBeD-8Wnntz5/view?usp=drivesdk</v>
      </c>
      <c r="Y303" s="409"/>
      <c r="Z303" s="409" t="s">
        <v>288</v>
      </c>
      <c r="AA303" s="387"/>
      <c r="AB303" s="409" t="s">
        <v>1718</v>
      </c>
      <c r="AC303" s="409" t="s">
        <v>1744</v>
      </c>
      <c r="AD303" s="409" t="s">
        <v>1745</v>
      </c>
      <c r="AE303" s="391">
        <v>1026.0</v>
      </c>
      <c r="AF303" s="409" t="s">
        <v>1721</v>
      </c>
      <c r="AG303" s="387"/>
      <c r="AH303" s="659"/>
      <c r="AI303" s="387"/>
      <c r="AJ303" s="387"/>
      <c r="AK303" s="328"/>
      <c r="AL303" s="409" t="s">
        <v>179</v>
      </c>
      <c r="AM303" s="387"/>
      <c r="AN303" s="216" t="s">
        <v>131</v>
      </c>
      <c r="AO303" s="409" t="s">
        <v>1746</v>
      </c>
      <c r="AP303" s="387"/>
      <c r="AQ303" s="387"/>
      <c r="AR303" s="409" t="s">
        <v>131</v>
      </c>
      <c r="AS303" s="391">
        <v>0.001</v>
      </c>
      <c r="AT303" s="241" t="s">
        <v>128</v>
      </c>
      <c r="AU303" s="241" t="s">
        <v>179</v>
      </c>
      <c r="AV303" s="328" t="s">
        <v>130</v>
      </c>
      <c r="AW303" s="328"/>
      <c r="AX303" s="328"/>
      <c r="AY303" s="387"/>
      <c r="AZ303" s="223"/>
    </row>
    <row r="304" ht="20.25" customHeight="1">
      <c r="A304" s="41">
        <v>304.0</v>
      </c>
      <c r="B304" s="665" t="s">
        <v>107</v>
      </c>
      <c r="C304" s="665" t="s">
        <v>108</v>
      </c>
      <c r="D304" s="121" t="s">
        <v>1434</v>
      </c>
      <c r="E304" s="104"/>
      <c r="F304" s="137" t="s">
        <v>1747</v>
      </c>
      <c r="G304" s="123" t="s">
        <v>1748</v>
      </c>
      <c r="H304" s="123" t="s">
        <v>1533</v>
      </c>
      <c r="I304" s="565">
        <v>45638.0</v>
      </c>
      <c r="J304" s="566">
        <v>45670.0</v>
      </c>
      <c r="K304" s="123" t="s">
        <v>1749</v>
      </c>
      <c r="L304" s="123" t="s">
        <v>1750</v>
      </c>
      <c r="M304" s="123" t="s">
        <v>1751</v>
      </c>
      <c r="N304" s="123" t="s">
        <v>1752</v>
      </c>
      <c r="O304" s="129"/>
      <c r="P304" s="220" t="str">
        <f>SUBSTITUTE(LOWER(N304), "/", "--") &amp;  ".pdf"</f>
        <v>10.1016--j.jpsychires.2008.07.004.pdf</v>
      </c>
      <c r="Q304" s="49" t="str">
        <f t="array" ref="Q304"> if(iserror(MATCH(V304, 'File Links'!C:C, 0)), "N/A", HYPERLINK(INDEX('File Links'!B:B, MATCH(P304, 'File Links'!C:C, 0))))</f>
        <v>https://drive.google.com/file/d/1gOWd02cezb5MHlIvhprXv-TgaFt5Ij8f/view?usp=drivesdk</v>
      </c>
      <c r="R304" s="123" t="s">
        <v>1753</v>
      </c>
      <c r="S304" s="123" t="s">
        <v>1754</v>
      </c>
      <c r="T304" s="129"/>
      <c r="U304" s="315"/>
      <c r="V304" s="109" t="str">
        <f t="shared" si="6"/>
        <v>10.31234--osf.io--cf4xz.pdf</v>
      </c>
      <c r="W304" s="123" t="s">
        <v>1755</v>
      </c>
      <c r="X304" s="51" t="str">
        <f t="array" ref="X304"> if(iserror(MATCH(V304, 'File Links'!C:C, 0)), "N/A", HYPERLINK(INDEX('File Links'!B:B, MATCH(V304, 'File Links'!C:C, 0))))</f>
        <v>https://drive.google.com/file/d/1Tsg1BvUDYPZ40L5izJMMYH7m3hZ-Z2QJ/view?usp=drivesdk</v>
      </c>
      <c r="Y304" s="129"/>
      <c r="Z304" s="123" t="s">
        <v>141</v>
      </c>
      <c r="AA304" s="123" t="s">
        <v>1756</v>
      </c>
      <c r="AB304" s="123" t="s">
        <v>1757</v>
      </c>
      <c r="AC304" s="123" t="s">
        <v>1758</v>
      </c>
      <c r="AD304" s="123" t="s">
        <v>1759</v>
      </c>
      <c r="AE304" s="127">
        <v>5.0</v>
      </c>
      <c r="AF304" s="127">
        <v>17.0</v>
      </c>
      <c r="AG304" s="317">
        <v>0.52</v>
      </c>
      <c r="AH304" s="315" t="s">
        <v>132</v>
      </c>
      <c r="AI304" s="129"/>
      <c r="AJ304" s="127">
        <v>0.001</v>
      </c>
      <c r="AK304" s="122" t="s">
        <v>165</v>
      </c>
      <c r="AL304" s="129" t="s">
        <v>179</v>
      </c>
      <c r="AM304" s="129" t="s">
        <v>134</v>
      </c>
      <c r="AN304" s="216" t="s">
        <v>131</v>
      </c>
      <c r="AO304" s="129"/>
      <c r="AP304" s="129"/>
      <c r="AQ304" s="129"/>
      <c r="AR304" s="129"/>
      <c r="AS304" s="129"/>
      <c r="AT304" s="122"/>
      <c r="AU304" s="122"/>
      <c r="AV304" s="122"/>
      <c r="AW304" s="666" t="s">
        <v>1760</v>
      </c>
      <c r="AX304" s="667" t="s">
        <v>136</v>
      </c>
      <c r="AY304" s="54"/>
      <c r="AZ304" s="121" t="s">
        <v>137</v>
      </c>
    </row>
    <row r="305" ht="20.25" customHeight="1">
      <c r="A305" s="41">
        <v>305.0</v>
      </c>
      <c r="B305" s="665" t="s">
        <v>107</v>
      </c>
      <c r="C305" s="146" t="s">
        <v>108</v>
      </c>
      <c r="D305" s="146" t="s">
        <v>1451</v>
      </c>
      <c r="E305" s="69"/>
      <c r="F305" s="119" t="s">
        <v>1747</v>
      </c>
      <c r="G305" s="109" t="s">
        <v>1748</v>
      </c>
      <c r="H305" s="109" t="s">
        <v>1511</v>
      </c>
      <c r="I305" s="110">
        <v>45640.0</v>
      </c>
      <c r="J305" s="566">
        <v>45670.0</v>
      </c>
      <c r="K305" s="109" t="s">
        <v>1761</v>
      </c>
      <c r="L305" s="109" t="s">
        <v>1750</v>
      </c>
      <c r="M305" s="109" t="s">
        <v>1751</v>
      </c>
      <c r="N305" s="109" t="s">
        <v>1752</v>
      </c>
      <c r="O305" s="111"/>
      <c r="P305" s="118" t="str">
        <f> SUBSTITUTE(lower(N305), "/", "--") &amp;  ".pdf"</f>
        <v>10.1016--j.jpsychires.2008.07.004.pdf</v>
      </c>
      <c r="Q305" s="49" t="str">
        <f t="array" ref="Q305"> if(iserror(MATCH(V305, 'File Links'!C:C, 0)), "N/A", HYPERLINK(INDEX('File Links'!B:B, MATCH(P305, 'File Links'!C:C, 0))))</f>
        <v>https://drive.google.com/file/d/1gOWd02cezb5MHlIvhprXv-TgaFt5Ij8f/view?usp=drivesdk</v>
      </c>
      <c r="R305" s="415" t="s">
        <v>1762</v>
      </c>
      <c r="S305" s="415" t="s">
        <v>1754</v>
      </c>
      <c r="T305" s="111"/>
      <c r="U305" s="117"/>
      <c r="V305" s="109" t="str">
        <f t="shared" si="6"/>
        <v>10.31234--osf.io--cf4xz.pdf</v>
      </c>
      <c r="W305" s="109" t="s">
        <v>1763</v>
      </c>
      <c r="X305" s="51" t="str">
        <f t="array" ref="X305"> if(iserror(MATCH(V305, 'File Links'!C:C, 0)), "N/A", HYPERLINK(INDEX('File Links'!B:B, MATCH(V305, 'File Links'!C:C, 0))))</f>
        <v>https://drive.google.com/file/d/1Tsg1BvUDYPZ40L5izJMMYH7m3hZ-Z2QJ/view?usp=drivesdk</v>
      </c>
      <c r="Y305" s="111"/>
      <c r="Z305" s="111" t="s">
        <v>496</v>
      </c>
      <c r="AA305" s="109" t="s">
        <v>1764</v>
      </c>
      <c r="AB305" s="111" t="s">
        <v>1765</v>
      </c>
      <c r="AC305" s="109" t="s">
        <v>1766</v>
      </c>
      <c r="AD305" s="109" t="s">
        <v>1767</v>
      </c>
      <c r="AE305" s="668">
        <v>45416.0</v>
      </c>
      <c r="AF305" s="114">
        <v>17.0</v>
      </c>
      <c r="AG305" s="114">
        <v>0.52</v>
      </c>
      <c r="AH305" s="117" t="s">
        <v>867</v>
      </c>
      <c r="AI305" s="109" t="s">
        <v>875</v>
      </c>
      <c r="AJ305" s="114">
        <v>0.001</v>
      </c>
      <c r="AK305" s="108" t="s">
        <v>165</v>
      </c>
      <c r="AL305" s="111" t="s">
        <v>179</v>
      </c>
      <c r="AM305" s="109" t="s">
        <v>134</v>
      </c>
      <c r="AN305" s="216" t="s">
        <v>131</v>
      </c>
      <c r="AO305" s="111"/>
      <c r="AP305" s="111"/>
      <c r="AQ305" s="111"/>
      <c r="AR305" s="111"/>
      <c r="AS305" s="111"/>
      <c r="AT305" s="108"/>
      <c r="AU305" s="108"/>
      <c r="AV305" s="108"/>
      <c r="AW305" s="669" t="s">
        <v>1768</v>
      </c>
      <c r="AX305" s="670" t="s">
        <v>136</v>
      </c>
      <c r="AY305" s="54"/>
      <c r="AZ305" s="121" t="s">
        <v>137</v>
      </c>
    </row>
    <row r="306" ht="20.25" customHeight="1">
      <c r="A306" s="41">
        <v>306.0</v>
      </c>
      <c r="B306" s="665" t="s">
        <v>107</v>
      </c>
      <c r="C306" s="665" t="s">
        <v>108</v>
      </c>
      <c r="D306" s="121" t="s">
        <v>1434</v>
      </c>
      <c r="E306" s="104"/>
      <c r="F306" s="119" t="s">
        <v>1747</v>
      </c>
      <c r="G306" s="123" t="s">
        <v>1769</v>
      </c>
      <c r="H306" s="123" t="s">
        <v>1437</v>
      </c>
      <c r="I306" s="565">
        <v>45638.0</v>
      </c>
      <c r="J306" s="566">
        <v>45670.0</v>
      </c>
      <c r="K306" s="123" t="s">
        <v>1749</v>
      </c>
      <c r="L306" s="123" t="s">
        <v>1750</v>
      </c>
      <c r="M306" s="123" t="s">
        <v>1751</v>
      </c>
      <c r="N306" s="123" t="s">
        <v>1752</v>
      </c>
      <c r="O306" s="129"/>
      <c r="P306" s="220" t="str">
        <f>SUBSTITUTE(LOWER(N306), "/", "--") &amp;  ".pdf"</f>
        <v>10.1016--j.jpsychires.2008.07.004.pdf</v>
      </c>
      <c r="Q306" s="49" t="str">
        <f t="array" ref="Q306"> if(iserror(MATCH(V306, 'File Links'!C:C, 0)), "N/A", HYPERLINK(INDEX('File Links'!B:B, MATCH(P306, 'File Links'!C:C, 0))))</f>
        <v>https://drive.google.com/file/d/1gOWd02cezb5MHlIvhprXv-TgaFt5Ij8f/view?usp=drivesdk</v>
      </c>
      <c r="R306" s="123" t="s">
        <v>1753</v>
      </c>
      <c r="S306" s="123" t="s">
        <v>1754</v>
      </c>
      <c r="T306" s="129"/>
      <c r="U306" s="315"/>
      <c r="V306" s="109" t="str">
        <f t="shared" si="6"/>
        <v>10.31234--osf.io--cf4xz.pdf</v>
      </c>
      <c r="W306" s="123" t="s">
        <v>1755</v>
      </c>
      <c r="X306" s="51" t="str">
        <f t="array" ref="X306"> if(iserror(MATCH(V306, 'File Links'!C:C, 0)), "N/A", HYPERLINK(INDEX('File Links'!B:B, MATCH(V306, 'File Links'!C:C, 0))))</f>
        <v>https://drive.google.com/file/d/1Tsg1BvUDYPZ40L5izJMMYH7m3hZ-Z2QJ/view?usp=drivesdk</v>
      </c>
      <c r="Y306" s="129"/>
      <c r="Z306" s="123" t="s">
        <v>141</v>
      </c>
      <c r="AA306" s="123" t="s">
        <v>1756</v>
      </c>
      <c r="AB306" s="123" t="s">
        <v>1757</v>
      </c>
      <c r="AC306" s="123" t="s">
        <v>1770</v>
      </c>
      <c r="AD306" s="123" t="s">
        <v>1771</v>
      </c>
      <c r="AE306" s="127">
        <v>5.0</v>
      </c>
      <c r="AF306" s="127">
        <v>17.0</v>
      </c>
      <c r="AG306" s="127">
        <v>0.31</v>
      </c>
      <c r="AH306" s="315" t="s">
        <v>132</v>
      </c>
      <c r="AI306" s="129"/>
      <c r="AJ306" s="127">
        <v>0.21</v>
      </c>
      <c r="AK306" s="122" t="s">
        <v>165</v>
      </c>
      <c r="AL306" s="129" t="s">
        <v>179</v>
      </c>
      <c r="AM306" s="129" t="s">
        <v>134</v>
      </c>
      <c r="AN306" s="216" t="s">
        <v>131</v>
      </c>
      <c r="AO306" s="129"/>
      <c r="AP306" s="129"/>
      <c r="AQ306" s="129"/>
      <c r="AR306" s="129"/>
      <c r="AS306" s="129"/>
      <c r="AT306" s="122"/>
      <c r="AU306" s="122"/>
      <c r="AV306" s="122"/>
      <c r="AW306" s="666" t="s">
        <v>1760</v>
      </c>
      <c r="AX306" s="137" t="s">
        <v>136</v>
      </c>
      <c r="AY306" s="54"/>
      <c r="AZ306" s="121" t="s">
        <v>137</v>
      </c>
    </row>
    <row r="307" ht="20.25" customHeight="1">
      <c r="A307" s="41">
        <v>307.0</v>
      </c>
      <c r="B307" s="665" t="s">
        <v>107</v>
      </c>
      <c r="C307" s="146" t="s">
        <v>108</v>
      </c>
      <c r="D307" s="146" t="s">
        <v>1451</v>
      </c>
      <c r="E307" s="69"/>
      <c r="F307" s="119" t="s">
        <v>1747</v>
      </c>
      <c r="G307" s="109" t="s">
        <v>1769</v>
      </c>
      <c r="H307" s="109" t="s">
        <v>1511</v>
      </c>
      <c r="I307" s="671">
        <v>45640.0</v>
      </c>
      <c r="J307" s="566">
        <v>45670.0</v>
      </c>
      <c r="K307" s="109" t="s">
        <v>1761</v>
      </c>
      <c r="L307" s="109" t="s">
        <v>1750</v>
      </c>
      <c r="M307" s="109" t="s">
        <v>1772</v>
      </c>
      <c r="N307" s="109" t="s">
        <v>1752</v>
      </c>
      <c r="O307" s="111"/>
      <c r="P307" s="118" t="str">
        <f> SUBSTITUTE(lower(N307), "/", "--") &amp;  ".pdf"</f>
        <v>10.1016--j.jpsychires.2008.07.004.pdf</v>
      </c>
      <c r="Q307" s="49" t="str">
        <f t="array" ref="Q307"> if(iserror(MATCH(V307, 'File Links'!C:C, 0)), "N/A", HYPERLINK(INDEX('File Links'!B:B, MATCH(P307, 'File Links'!C:C, 0))))</f>
        <v>https://drive.google.com/file/d/1gOWd02cezb5MHlIvhprXv-TgaFt5Ij8f/view?usp=drivesdk</v>
      </c>
      <c r="R307" s="415" t="s">
        <v>1773</v>
      </c>
      <c r="S307" s="415" t="s">
        <v>1754</v>
      </c>
      <c r="T307" s="111"/>
      <c r="U307" s="117"/>
      <c r="V307" s="109" t="str">
        <f t="shared" si="6"/>
        <v>10.31234--osf.io--cf4xz.pdf</v>
      </c>
      <c r="W307" s="109" t="s">
        <v>1763</v>
      </c>
      <c r="X307" s="51" t="str">
        <f t="array" ref="X307"> if(iserror(MATCH(V307, 'File Links'!C:C, 0)), "N/A", HYPERLINK(INDEX('File Links'!B:B, MATCH(V307, 'File Links'!C:C, 0))))</f>
        <v>https://drive.google.com/file/d/1Tsg1BvUDYPZ40L5izJMMYH7m3hZ-Z2QJ/view?usp=drivesdk</v>
      </c>
      <c r="Y307" s="111"/>
      <c r="Z307" s="111" t="s">
        <v>1774</v>
      </c>
      <c r="AA307" s="109" t="s">
        <v>1764</v>
      </c>
      <c r="AB307" s="111" t="s">
        <v>1765</v>
      </c>
      <c r="AC307" s="109" t="s">
        <v>1766</v>
      </c>
      <c r="AD307" s="109" t="s">
        <v>1775</v>
      </c>
      <c r="AE307" s="114">
        <v>5.0</v>
      </c>
      <c r="AF307" s="114">
        <v>17.0</v>
      </c>
      <c r="AG307" s="114">
        <v>0.31</v>
      </c>
      <c r="AH307" s="117" t="s">
        <v>867</v>
      </c>
      <c r="AI307" s="109" t="s">
        <v>875</v>
      </c>
      <c r="AJ307" s="114">
        <v>0.021</v>
      </c>
      <c r="AK307" s="108" t="s">
        <v>165</v>
      </c>
      <c r="AL307" s="111" t="s">
        <v>179</v>
      </c>
      <c r="AM307" s="109" t="s">
        <v>134</v>
      </c>
      <c r="AN307" s="216" t="s">
        <v>131</v>
      </c>
      <c r="AO307" s="111"/>
      <c r="AP307" s="111"/>
      <c r="AQ307" s="111"/>
      <c r="AR307" s="111"/>
      <c r="AS307" s="111"/>
      <c r="AT307" s="108"/>
      <c r="AU307" s="108"/>
      <c r="AV307" s="108"/>
      <c r="AW307" s="669" t="s">
        <v>1768</v>
      </c>
      <c r="AX307" s="670" t="s">
        <v>136</v>
      </c>
      <c r="AY307" s="54"/>
      <c r="AZ307" s="121" t="s">
        <v>137</v>
      </c>
    </row>
    <row r="308" ht="20.25" customHeight="1">
      <c r="A308" s="41">
        <v>308.0</v>
      </c>
      <c r="B308" s="665" t="s">
        <v>107</v>
      </c>
      <c r="C308" s="665" t="s">
        <v>108</v>
      </c>
      <c r="D308" s="121" t="s">
        <v>1434</v>
      </c>
      <c r="E308" s="104"/>
      <c r="F308" s="119" t="s">
        <v>1747</v>
      </c>
      <c r="G308" s="123" t="s">
        <v>1776</v>
      </c>
      <c r="H308" s="123" t="s">
        <v>1437</v>
      </c>
      <c r="I308" s="565">
        <v>45638.0</v>
      </c>
      <c r="J308" s="566">
        <v>45670.0</v>
      </c>
      <c r="K308" s="123" t="s">
        <v>1749</v>
      </c>
      <c r="L308" s="123" t="s">
        <v>1750</v>
      </c>
      <c r="M308" s="123" t="s">
        <v>1751</v>
      </c>
      <c r="N308" s="123" t="s">
        <v>1752</v>
      </c>
      <c r="O308" s="129"/>
      <c r="P308" s="220" t="str">
        <f>SUBSTITUTE(LOWER(N308), "/", "--") &amp;  ".pdf"</f>
        <v>10.1016--j.jpsychires.2008.07.004.pdf</v>
      </c>
      <c r="Q308" s="49" t="str">
        <f t="array" ref="Q308"> if(iserror(MATCH(V308, 'File Links'!C:C, 0)), "N/A", HYPERLINK(INDEX('File Links'!B:B, MATCH(P308, 'File Links'!C:C, 0))))</f>
        <v>https://drive.google.com/file/d/1gOWd02cezb5MHlIvhprXv-TgaFt5Ij8f/view?usp=drivesdk</v>
      </c>
      <c r="R308" s="123" t="s">
        <v>1753</v>
      </c>
      <c r="S308" s="123" t="s">
        <v>1754</v>
      </c>
      <c r="T308" s="129"/>
      <c r="U308" s="315"/>
      <c r="V308" s="109" t="str">
        <f t="shared" si="6"/>
        <v>10.31234--osf.io--cf4xz.pdf</v>
      </c>
      <c r="W308" s="123" t="s">
        <v>1755</v>
      </c>
      <c r="X308" s="51" t="str">
        <f t="array" ref="X308"> if(iserror(MATCH(V308, 'File Links'!C:C, 0)), "N/A", HYPERLINK(INDEX('File Links'!B:B, MATCH(V308, 'File Links'!C:C, 0))))</f>
        <v>https://drive.google.com/file/d/1Tsg1BvUDYPZ40L5izJMMYH7m3hZ-Z2QJ/view?usp=drivesdk</v>
      </c>
      <c r="Y308" s="129"/>
      <c r="Z308" s="123" t="s">
        <v>141</v>
      </c>
      <c r="AA308" s="123" t="s">
        <v>1756</v>
      </c>
      <c r="AB308" s="123" t="s">
        <v>1757</v>
      </c>
      <c r="AC308" s="123" t="s">
        <v>1777</v>
      </c>
      <c r="AD308" s="123" t="s">
        <v>1778</v>
      </c>
      <c r="AE308" s="127">
        <v>5.0</v>
      </c>
      <c r="AF308" s="127">
        <v>17.0</v>
      </c>
      <c r="AG308" s="127">
        <v>0.39</v>
      </c>
      <c r="AH308" s="315" t="s">
        <v>132</v>
      </c>
      <c r="AI308" s="129"/>
      <c r="AJ308" s="127">
        <v>0.001</v>
      </c>
      <c r="AK308" s="122" t="s">
        <v>165</v>
      </c>
      <c r="AL308" s="129" t="s">
        <v>179</v>
      </c>
      <c r="AM308" s="129" t="s">
        <v>134</v>
      </c>
      <c r="AN308" s="216" t="s">
        <v>131</v>
      </c>
      <c r="AO308" s="129"/>
      <c r="AP308" s="129"/>
      <c r="AQ308" s="129"/>
      <c r="AR308" s="129"/>
      <c r="AS308" s="129"/>
      <c r="AT308" s="122"/>
      <c r="AU308" s="122"/>
      <c r="AV308" s="122"/>
      <c r="AW308" s="666" t="s">
        <v>1760</v>
      </c>
      <c r="AX308" s="137" t="s">
        <v>136</v>
      </c>
      <c r="AY308" s="54"/>
      <c r="AZ308" s="121" t="s">
        <v>137</v>
      </c>
    </row>
    <row r="309" ht="20.25" customHeight="1">
      <c r="A309" s="41">
        <v>309.0</v>
      </c>
      <c r="B309" s="665" t="s">
        <v>107</v>
      </c>
      <c r="C309" s="146" t="s">
        <v>108</v>
      </c>
      <c r="D309" s="146" t="s">
        <v>1451</v>
      </c>
      <c r="E309" s="69"/>
      <c r="F309" s="119" t="s">
        <v>1747</v>
      </c>
      <c r="G309" s="109" t="s">
        <v>1776</v>
      </c>
      <c r="H309" s="109" t="s">
        <v>1511</v>
      </c>
      <c r="I309" s="671">
        <v>45640.0</v>
      </c>
      <c r="J309" s="566">
        <v>45670.0</v>
      </c>
      <c r="K309" s="109" t="s">
        <v>1779</v>
      </c>
      <c r="L309" s="109" t="s">
        <v>1750</v>
      </c>
      <c r="M309" s="109" t="s">
        <v>1780</v>
      </c>
      <c r="N309" s="109" t="s">
        <v>1752</v>
      </c>
      <c r="O309" s="111"/>
      <c r="P309" s="118" t="str">
        <f> SUBSTITUTE(lower(N309), "/", "--") &amp;  ".pdf"</f>
        <v>10.1016--j.jpsychires.2008.07.004.pdf</v>
      </c>
      <c r="Q309" s="49" t="str">
        <f t="array" ref="Q309"> if(iserror(MATCH(V309, 'File Links'!C:C, 0)), "N/A", HYPERLINK(INDEX('File Links'!B:B, MATCH(P309, 'File Links'!C:C, 0))))</f>
        <v>https://drive.google.com/file/d/1gOWd02cezb5MHlIvhprXv-TgaFt5Ij8f/view?usp=drivesdk</v>
      </c>
      <c r="R309" s="415" t="s">
        <v>1781</v>
      </c>
      <c r="S309" s="415" t="s">
        <v>1754</v>
      </c>
      <c r="T309" s="111"/>
      <c r="U309" s="117"/>
      <c r="V309" s="109" t="str">
        <f t="shared" si="6"/>
        <v>10.31234--osf.io--cf4xz.pdf</v>
      </c>
      <c r="W309" s="109" t="s">
        <v>1763</v>
      </c>
      <c r="X309" s="51" t="str">
        <f t="array" ref="X309"> if(iserror(MATCH(V309, 'File Links'!C:C, 0)), "N/A", HYPERLINK(INDEX('File Links'!B:B, MATCH(V309, 'File Links'!C:C, 0))))</f>
        <v>https://drive.google.com/file/d/1Tsg1BvUDYPZ40L5izJMMYH7m3hZ-Z2QJ/view?usp=drivesdk</v>
      </c>
      <c r="Y309" s="111"/>
      <c r="Z309" s="111" t="s">
        <v>1774</v>
      </c>
      <c r="AA309" s="109" t="s">
        <v>1764</v>
      </c>
      <c r="AB309" s="111" t="s">
        <v>1765</v>
      </c>
      <c r="AC309" s="109" t="s">
        <v>1766</v>
      </c>
      <c r="AD309" s="672" t="s">
        <v>1782</v>
      </c>
      <c r="AE309" s="114">
        <v>5.0</v>
      </c>
      <c r="AF309" s="114">
        <v>23.0</v>
      </c>
      <c r="AG309" s="114">
        <v>0.39</v>
      </c>
      <c r="AH309" s="117" t="s">
        <v>867</v>
      </c>
      <c r="AI309" s="109" t="s">
        <v>875</v>
      </c>
      <c r="AJ309" s="114">
        <v>0.001</v>
      </c>
      <c r="AK309" s="108" t="s">
        <v>165</v>
      </c>
      <c r="AL309" s="111" t="s">
        <v>179</v>
      </c>
      <c r="AM309" s="109" t="s">
        <v>134</v>
      </c>
      <c r="AN309" s="216" t="s">
        <v>131</v>
      </c>
      <c r="AO309" s="111"/>
      <c r="AP309" s="111"/>
      <c r="AQ309" s="111"/>
      <c r="AR309" s="111"/>
      <c r="AS309" s="111"/>
      <c r="AT309" s="108"/>
      <c r="AU309" s="108"/>
      <c r="AV309" s="108"/>
      <c r="AW309" s="669" t="s">
        <v>1768</v>
      </c>
      <c r="AX309" s="670" t="s">
        <v>136</v>
      </c>
      <c r="AY309" s="54"/>
      <c r="AZ309" s="121" t="s">
        <v>137</v>
      </c>
    </row>
    <row r="310" ht="20.25" customHeight="1">
      <c r="A310" s="41">
        <v>310.0</v>
      </c>
      <c r="B310" s="665" t="s">
        <v>107</v>
      </c>
      <c r="C310" s="665" t="s">
        <v>108</v>
      </c>
      <c r="D310" s="121" t="s">
        <v>1434</v>
      </c>
      <c r="E310" s="104"/>
      <c r="F310" s="119" t="s">
        <v>1747</v>
      </c>
      <c r="G310" s="123" t="s">
        <v>1783</v>
      </c>
      <c r="H310" s="123" t="s">
        <v>1437</v>
      </c>
      <c r="I310" s="565">
        <v>45638.0</v>
      </c>
      <c r="J310" s="566">
        <v>45670.0</v>
      </c>
      <c r="K310" s="123" t="s">
        <v>1749</v>
      </c>
      <c r="L310" s="123" t="s">
        <v>1750</v>
      </c>
      <c r="M310" s="123" t="s">
        <v>1751</v>
      </c>
      <c r="N310" s="123" t="s">
        <v>1752</v>
      </c>
      <c r="O310" s="129"/>
      <c r="P310" s="220" t="str">
        <f>SUBSTITUTE(LOWER(N310), "/", "--") &amp;  ".pdf"</f>
        <v>10.1016--j.jpsychires.2008.07.004.pdf</v>
      </c>
      <c r="Q310" s="49" t="str">
        <f t="array" ref="Q310"> if(iserror(MATCH(V310, 'File Links'!C:C, 0)), "N/A", HYPERLINK(INDEX('File Links'!B:B, MATCH(P310, 'File Links'!C:C, 0))))</f>
        <v>https://drive.google.com/file/d/1gOWd02cezb5MHlIvhprXv-TgaFt5Ij8f/view?usp=drivesdk</v>
      </c>
      <c r="R310" s="123" t="s">
        <v>1753</v>
      </c>
      <c r="S310" s="123" t="s">
        <v>1754</v>
      </c>
      <c r="T310" s="129"/>
      <c r="U310" s="315"/>
      <c r="V310" s="109" t="str">
        <f t="shared" si="6"/>
        <v>10.31234--osf.io--cf4xz.pdf</v>
      </c>
      <c r="W310" s="123" t="s">
        <v>1755</v>
      </c>
      <c r="X310" s="51" t="str">
        <f t="array" ref="X310"> if(iserror(MATCH(V310, 'File Links'!C:C, 0)), "N/A", HYPERLINK(INDEX('File Links'!B:B, MATCH(V310, 'File Links'!C:C, 0))))</f>
        <v>https://drive.google.com/file/d/1Tsg1BvUDYPZ40L5izJMMYH7m3hZ-Z2QJ/view?usp=drivesdk</v>
      </c>
      <c r="Y310" s="129"/>
      <c r="Z310" s="123" t="s">
        <v>141</v>
      </c>
      <c r="AA310" s="123" t="s">
        <v>1756</v>
      </c>
      <c r="AB310" s="123" t="s">
        <v>1757</v>
      </c>
      <c r="AC310" s="123" t="s">
        <v>1784</v>
      </c>
      <c r="AD310" s="123" t="s">
        <v>1785</v>
      </c>
      <c r="AE310" s="127">
        <v>5.0</v>
      </c>
      <c r="AF310" s="127">
        <v>17.0</v>
      </c>
      <c r="AG310" s="127">
        <v>0.39</v>
      </c>
      <c r="AH310" s="315" t="s">
        <v>132</v>
      </c>
      <c r="AI310" s="129"/>
      <c r="AJ310" s="127">
        <v>0.002</v>
      </c>
      <c r="AK310" s="122" t="s">
        <v>165</v>
      </c>
      <c r="AL310" s="129" t="s">
        <v>179</v>
      </c>
      <c r="AM310" s="129" t="s">
        <v>134</v>
      </c>
      <c r="AN310" s="216" t="s">
        <v>131</v>
      </c>
      <c r="AO310" s="129"/>
      <c r="AP310" s="129"/>
      <c r="AQ310" s="129"/>
      <c r="AR310" s="129"/>
      <c r="AS310" s="129"/>
      <c r="AT310" s="122"/>
      <c r="AU310" s="122"/>
      <c r="AV310" s="122"/>
      <c r="AW310" s="666" t="s">
        <v>1760</v>
      </c>
      <c r="AX310" s="137" t="s">
        <v>136</v>
      </c>
      <c r="AY310" s="54"/>
      <c r="AZ310" s="121" t="s">
        <v>137</v>
      </c>
    </row>
    <row r="311" ht="20.25" customHeight="1">
      <c r="A311" s="41">
        <v>311.0</v>
      </c>
      <c r="B311" s="665" t="s">
        <v>107</v>
      </c>
      <c r="C311" s="146" t="s">
        <v>108</v>
      </c>
      <c r="D311" s="146" t="s">
        <v>1451</v>
      </c>
      <c r="E311" s="69"/>
      <c r="F311" s="119" t="s">
        <v>1747</v>
      </c>
      <c r="G311" s="109" t="s">
        <v>1783</v>
      </c>
      <c r="H311" s="109" t="s">
        <v>1511</v>
      </c>
      <c r="I311" s="671">
        <v>45640.0</v>
      </c>
      <c r="J311" s="566">
        <v>45670.0</v>
      </c>
      <c r="K311" s="109" t="s">
        <v>1761</v>
      </c>
      <c r="L311" s="109" t="s">
        <v>1750</v>
      </c>
      <c r="M311" s="109" t="s">
        <v>1786</v>
      </c>
      <c r="N311" s="109" t="s">
        <v>1752</v>
      </c>
      <c r="O311" s="111"/>
      <c r="P311" s="118" t="str">
        <f t="shared" ref="P311:P312" si="8"> SUBSTITUTE(lower(N311), "/", "--") &amp;  ".pdf"</f>
        <v>10.1016--j.jpsychires.2008.07.004.pdf</v>
      </c>
      <c r="Q311" s="49" t="str">
        <f t="array" ref="Q311"> if(iserror(MATCH(V311, 'File Links'!C:C, 0)), "N/A", HYPERLINK(INDEX('File Links'!B:B, MATCH(P311, 'File Links'!C:C, 0))))</f>
        <v>https://drive.google.com/file/d/1gOWd02cezb5MHlIvhprXv-TgaFt5Ij8f/view?usp=drivesdk</v>
      </c>
      <c r="R311" s="415" t="s">
        <v>1787</v>
      </c>
      <c r="S311" s="415" t="s">
        <v>1754</v>
      </c>
      <c r="T311" s="111"/>
      <c r="U311" s="117"/>
      <c r="V311" s="109" t="str">
        <f t="shared" si="6"/>
        <v>10.31234--osf.io--cf4xz.pdf</v>
      </c>
      <c r="W311" s="109" t="s">
        <v>1763</v>
      </c>
      <c r="X311" s="51" t="str">
        <f t="array" ref="X311"> if(iserror(MATCH(V311, 'File Links'!C:C, 0)), "N/A", HYPERLINK(INDEX('File Links'!B:B, MATCH(V311, 'File Links'!C:C, 0))))</f>
        <v>https://drive.google.com/file/d/1Tsg1BvUDYPZ40L5izJMMYH7m3hZ-Z2QJ/view?usp=drivesdk</v>
      </c>
      <c r="Y311" s="111"/>
      <c r="Z311" s="111" t="s">
        <v>1774</v>
      </c>
      <c r="AA311" s="109" t="s">
        <v>1764</v>
      </c>
      <c r="AB311" s="111" t="s">
        <v>1765</v>
      </c>
      <c r="AC311" s="109" t="s">
        <v>1766</v>
      </c>
      <c r="AD311" s="109" t="s">
        <v>1788</v>
      </c>
      <c r="AE311" s="668">
        <v>45448.0</v>
      </c>
      <c r="AF311" s="114">
        <v>17.0</v>
      </c>
      <c r="AG311" s="114">
        <v>0.39</v>
      </c>
      <c r="AH311" s="117" t="s">
        <v>867</v>
      </c>
      <c r="AI311" s="109" t="s">
        <v>875</v>
      </c>
      <c r="AJ311" s="114">
        <v>0.002</v>
      </c>
      <c r="AK311" s="108" t="s">
        <v>165</v>
      </c>
      <c r="AL311" s="111" t="s">
        <v>179</v>
      </c>
      <c r="AM311" s="109" t="s">
        <v>134</v>
      </c>
      <c r="AN311" s="216" t="s">
        <v>131</v>
      </c>
      <c r="AO311" s="111"/>
      <c r="AP311" s="111"/>
      <c r="AQ311" s="111"/>
      <c r="AR311" s="111"/>
      <c r="AS311" s="111"/>
      <c r="AT311" s="108"/>
      <c r="AU311" s="108"/>
      <c r="AV311" s="108"/>
      <c r="AW311" s="669" t="s">
        <v>1768</v>
      </c>
      <c r="AX311" s="417" t="s">
        <v>136</v>
      </c>
      <c r="AY311" s="54"/>
      <c r="AZ311" s="121" t="s">
        <v>137</v>
      </c>
    </row>
    <row r="312" ht="20.25" customHeight="1">
      <c r="A312" s="41">
        <v>312.0</v>
      </c>
      <c r="B312" s="665" t="s">
        <v>107</v>
      </c>
      <c r="C312" s="146" t="s">
        <v>108</v>
      </c>
      <c r="D312" s="146" t="s">
        <v>1451</v>
      </c>
      <c r="E312" s="69"/>
      <c r="F312" s="119" t="s">
        <v>1747</v>
      </c>
      <c r="G312" s="109" t="s">
        <v>1789</v>
      </c>
      <c r="H312" s="109" t="s">
        <v>1511</v>
      </c>
      <c r="I312" s="671">
        <v>45640.0</v>
      </c>
      <c r="J312" s="566">
        <v>45670.0</v>
      </c>
      <c r="K312" s="109" t="s">
        <v>1790</v>
      </c>
      <c r="L312" s="109" t="s">
        <v>1750</v>
      </c>
      <c r="M312" s="109" t="s">
        <v>1791</v>
      </c>
      <c r="N312" s="673" t="s">
        <v>1752</v>
      </c>
      <c r="O312" s="111"/>
      <c r="P312" s="118" t="str">
        <f t="shared" si="8"/>
        <v>10.1016--j.jpsychires.2008.07.004.pdf</v>
      </c>
      <c r="Q312" s="49" t="str">
        <f t="array" ref="Q312"> if(iserror(MATCH(V312, 'File Links'!C:C, 0)), "N/A", HYPERLINK(INDEX('File Links'!B:B, MATCH(P312, 'File Links'!C:C, 0))))</f>
        <v>https://drive.google.com/file/d/1gOWd02cezb5MHlIvhprXv-TgaFt5Ij8f/view?usp=drivesdk</v>
      </c>
      <c r="R312" s="415" t="s">
        <v>1792</v>
      </c>
      <c r="S312" s="415" t="s">
        <v>1754</v>
      </c>
      <c r="T312" s="111"/>
      <c r="U312" s="117"/>
      <c r="V312" s="109" t="str">
        <f t="shared" si="6"/>
        <v>10.31234--osf.io--cf4xz.pdf</v>
      </c>
      <c r="W312" s="109" t="s">
        <v>1763</v>
      </c>
      <c r="X312" s="51" t="str">
        <f t="array" ref="X312"> if(iserror(MATCH(V312, 'File Links'!C:C, 0)), "N/A", HYPERLINK(INDEX('File Links'!B:B, MATCH(V312, 'File Links'!C:C, 0))))</f>
        <v>https://drive.google.com/file/d/1Tsg1BvUDYPZ40L5izJMMYH7m3hZ-Z2QJ/view?usp=drivesdk</v>
      </c>
      <c r="Y312" s="111"/>
      <c r="Z312" s="111" t="s">
        <v>1774</v>
      </c>
      <c r="AA312" s="109" t="s">
        <v>1764</v>
      </c>
      <c r="AB312" s="111" t="s">
        <v>1765</v>
      </c>
      <c r="AC312" s="109" t="s">
        <v>1766</v>
      </c>
      <c r="AD312" s="109" t="s">
        <v>1793</v>
      </c>
      <c r="AE312" s="111"/>
      <c r="AF312" s="111"/>
      <c r="AG312" s="111"/>
      <c r="AH312" s="117"/>
      <c r="AI312" s="111"/>
      <c r="AJ312" s="111"/>
      <c r="AK312" s="108"/>
      <c r="AL312" s="111"/>
      <c r="AM312" s="111"/>
      <c r="AN312" s="216" t="s">
        <v>131</v>
      </c>
      <c r="AO312" s="111"/>
      <c r="AP312" s="111"/>
      <c r="AQ312" s="111"/>
      <c r="AR312" s="111"/>
      <c r="AS312" s="111"/>
      <c r="AT312" s="108"/>
      <c r="AU312" s="108"/>
      <c r="AV312" s="108"/>
      <c r="AW312" s="669" t="s">
        <v>1768</v>
      </c>
      <c r="AX312" s="108"/>
      <c r="AY312" s="54"/>
      <c r="AZ312" s="121" t="s">
        <v>137</v>
      </c>
    </row>
    <row r="313" ht="20.25" customHeight="1">
      <c r="A313" s="41">
        <v>313.0</v>
      </c>
      <c r="B313" s="42" t="s">
        <v>107</v>
      </c>
      <c r="C313" s="42" t="s">
        <v>108</v>
      </c>
      <c r="D313" s="59" t="s">
        <v>1434</v>
      </c>
      <c r="F313" s="478" t="s">
        <v>1794</v>
      </c>
      <c r="G313" s="380" t="s">
        <v>1795</v>
      </c>
      <c r="H313" s="380" t="s">
        <v>1533</v>
      </c>
      <c r="I313" s="587">
        <v>45436.0</v>
      </c>
      <c r="J313" s="587">
        <v>45638.0</v>
      </c>
      <c r="K313" s="380" t="s">
        <v>1796</v>
      </c>
      <c r="L313" s="368" t="s">
        <v>1797</v>
      </c>
      <c r="M313" s="380" t="s">
        <v>1798</v>
      </c>
      <c r="N313" s="380" t="s">
        <v>1799</v>
      </c>
      <c r="O313" s="459"/>
      <c r="P313" s="490" t="str">
        <f>SUBSTITUTE(LOWER(N313), "/", "--") &amp;  ".pdf"</f>
        <v>10.1162--rest.90.2.300.pdf</v>
      </c>
      <c r="Q313" s="49" t="str">
        <f t="array" ref="Q313"> if(iserror(MATCH(V313, 'File Links'!C:C, 0)), "N/A", HYPERLINK(INDEX('File Links'!B:B, MATCH(P313, 'File Links'!C:C, 0))))</f>
        <v>https://drive.google.com/file/d/150VkxMJ6Qzq8PM52a6Vi7Y9e4ojtHPne/view?usp=drivesdk</v>
      </c>
      <c r="R313" s="380" t="s">
        <v>1800</v>
      </c>
      <c r="S313" s="380" t="s">
        <v>1801</v>
      </c>
      <c r="T313" s="459"/>
      <c r="U313" s="588"/>
      <c r="V313" s="380" t="str">
        <f t="shared" si="6"/>
        <v>10.18718--81781.34.pdf</v>
      </c>
      <c r="W313" s="589" t="s">
        <v>1504</v>
      </c>
      <c r="X313" s="51" t="str">
        <f t="array" ref="X313"> if(iserror(MATCH(V313, 'File Links'!C:C, 0)), "N/A", HYPERLINK(INDEX('File Links'!B:B, MATCH(V313, 'File Links'!C:C, 0))))</f>
        <v>https://drive.google.com/file/d/1Y24HtovNy5BwKos6_FsV4A_pE93bEfUv/view?usp=drivesdk</v>
      </c>
      <c r="Y313" s="589" t="s">
        <v>1796</v>
      </c>
      <c r="Z313" s="380" t="s">
        <v>1802</v>
      </c>
      <c r="AA313" s="459"/>
      <c r="AB313" s="459"/>
      <c r="AC313" s="459"/>
      <c r="AD313" s="459"/>
      <c r="AE313" s="459"/>
      <c r="AF313" s="459"/>
      <c r="AG313" s="459"/>
      <c r="AH313" s="588"/>
      <c r="AI313" s="459"/>
      <c r="AJ313" s="459"/>
      <c r="AK313" s="539"/>
      <c r="AL313" s="459"/>
      <c r="AM313" s="459"/>
      <c r="AN313" s="216" t="s">
        <v>131</v>
      </c>
      <c r="AO313" s="459"/>
      <c r="AP313" s="459"/>
      <c r="AQ313" s="459"/>
      <c r="AR313" s="459"/>
      <c r="AS313" s="459"/>
      <c r="AT313" s="539"/>
      <c r="AU313" s="539"/>
      <c r="AV313" s="539"/>
      <c r="AW313" s="539"/>
      <c r="AX313" s="539"/>
      <c r="AY313" s="58"/>
    </row>
    <row r="314" ht="20.25" customHeight="1">
      <c r="A314" s="41">
        <v>314.0</v>
      </c>
      <c r="B314" s="42" t="s">
        <v>107</v>
      </c>
      <c r="C314" s="59" t="s">
        <v>108</v>
      </c>
      <c r="D314" s="59" t="s">
        <v>1803</v>
      </c>
      <c r="F314" s="156" t="s">
        <v>1794</v>
      </c>
      <c r="G314" s="54" t="s">
        <v>1795</v>
      </c>
      <c r="H314" s="54" t="s">
        <v>1804</v>
      </c>
      <c r="I314" s="149">
        <v>45436.0</v>
      </c>
      <c r="J314" s="431">
        <v>45642.0</v>
      </c>
      <c r="K314" s="54" t="s">
        <v>1805</v>
      </c>
      <c r="L314" s="368" t="s">
        <v>1797</v>
      </c>
      <c r="M314" s="54" t="s">
        <v>1798</v>
      </c>
      <c r="N314" s="54" t="s">
        <v>1799</v>
      </c>
      <c r="O314" s="58"/>
      <c r="P314" s="374" t="str">
        <f t="shared" ref="P314:P317" si="9"> SUBSTITUTE(lower(N314), "/", "--") &amp;  ".pdf"</f>
        <v>10.1162--rest.90.2.300.pdf</v>
      </c>
      <c r="Q314" s="49" t="str">
        <f t="array" ref="Q314"> if(iserror(MATCH(V314, 'File Links'!C:C, 0)), "N/A", HYPERLINK(INDEX('File Links'!B:B, MATCH(P314, 'File Links'!C:C, 0))))</f>
        <v>https://drive.google.com/file/d/150VkxMJ6Qzq8PM52a6Vi7Y9e4ojtHPne/view?usp=drivesdk</v>
      </c>
      <c r="R314" s="54" t="s">
        <v>1800</v>
      </c>
      <c r="S314" s="54" t="s">
        <v>1801</v>
      </c>
      <c r="T314" s="58"/>
      <c r="U314" s="335"/>
      <c r="V314" s="109" t="str">
        <f t="shared" si="6"/>
        <v>10.18718--81781.34.pdf</v>
      </c>
      <c r="W314" s="54" t="s">
        <v>1806</v>
      </c>
      <c r="X314" s="51" t="str">
        <f t="array" ref="X314"> if(iserror(MATCH(V314, 'File Links'!C:C, 0)), "N/A", HYPERLINK(INDEX('File Links'!B:B, MATCH(V314, 'File Links'!C:C, 0))))</f>
        <v>https://drive.google.com/file/d/1Y24HtovNy5BwKos6_FsV4A_pE93bEfUv/view?usp=drivesdk</v>
      </c>
      <c r="Y314" s="58"/>
      <c r="Z314" s="54" t="s">
        <v>1802</v>
      </c>
      <c r="AA314" s="54" t="s">
        <v>1807</v>
      </c>
      <c r="AB314" s="54" t="s">
        <v>1808</v>
      </c>
      <c r="AC314" s="58"/>
      <c r="AD314" s="54" t="s">
        <v>1809</v>
      </c>
      <c r="AE314" s="54" t="s">
        <v>1810</v>
      </c>
      <c r="AF314" s="54" t="s">
        <v>131</v>
      </c>
      <c r="AG314" s="376">
        <v>4.4</v>
      </c>
      <c r="AH314" s="336" t="s">
        <v>127</v>
      </c>
      <c r="AI314" s="54" t="s">
        <v>1811</v>
      </c>
      <c r="AJ314" s="54" t="s">
        <v>131</v>
      </c>
      <c r="AK314" s="156" t="s">
        <v>131</v>
      </c>
      <c r="AL314" s="674" t="s">
        <v>131</v>
      </c>
      <c r="AM314" s="674" t="s">
        <v>131</v>
      </c>
      <c r="AN314" s="54" t="s">
        <v>131</v>
      </c>
      <c r="AO314" s="54" t="s">
        <v>131</v>
      </c>
      <c r="AP314" s="376">
        <v>3.9</v>
      </c>
      <c r="AQ314" s="54" t="s">
        <v>127</v>
      </c>
      <c r="AR314" s="54" t="s">
        <v>1812</v>
      </c>
      <c r="AS314" s="54" t="s">
        <v>131</v>
      </c>
      <c r="AT314" s="675" t="s">
        <v>131</v>
      </c>
      <c r="AU314" s="675" t="s">
        <v>131</v>
      </c>
      <c r="AV314" s="675" t="s">
        <v>131</v>
      </c>
      <c r="AW314" s="156" t="s">
        <v>131</v>
      </c>
      <c r="AX314" s="156" t="s">
        <v>144</v>
      </c>
      <c r="AY314" s="58"/>
    </row>
    <row r="315" ht="20.25" customHeight="1">
      <c r="A315" s="41">
        <v>315.0</v>
      </c>
      <c r="B315" s="42" t="s">
        <v>107</v>
      </c>
      <c r="C315" s="59" t="s">
        <v>108</v>
      </c>
      <c r="D315" s="59" t="s">
        <v>1803</v>
      </c>
      <c r="F315" s="156" t="s">
        <v>1794</v>
      </c>
      <c r="G315" s="54" t="s">
        <v>1795</v>
      </c>
      <c r="H315" s="54" t="s">
        <v>1804</v>
      </c>
      <c r="I315" s="149">
        <v>45436.0</v>
      </c>
      <c r="J315" s="431">
        <v>45642.0</v>
      </c>
      <c r="K315" s="54" t="s">
        <v>1813</v>
      </c>
      <c r="L315" s="368" t="s">
        <v>1797</v>
      </c>
      <c r="M315" s="54" t="s">
        <v>1798</v>
      </c>
      <c r="N315" s="54" t="s">
        <v>1799</v>
      </c>
      <c r="O315" s="58"/>
      <c r="P315" s="374" t="str">
        <f t="shared" si="9"/>
        <v>10.1162--rest.90.2.300.pdf</v>
      </c>
      <c r="Q315" s="49" t="str">
        <f t="array" ref="Q315"> if(iserror(MATCH(V315, 'File Links'!C:C, 0)), "N/A", HYPERLINK(INDEX('File Links'!B:B, MATCH(P315, 'File Links'!C:C, 0))))</f>
        <v>https://drive.google.com/file/d/150VkxMJ6Qzq8PM52a6Vi7Y9e4ojtHPne/view?usp=drivesdk</v>
      </c>
      <c r="R315" s="54" t="s">
        <v>1800</v>
      </c>
      <c r="S315" s="54" t="s">
        <v>1801</v>
      </c>
      <c r="T315" s="58"/>
      <c r="U315" s="335"/>
      <c r="V315" s="109" t="str">
        <f t="shared" si="6"/>
        <v>10.18718--81781.34.pdf</v>
      </c>
      <c r="W315" s="54" t="s">
        <v>1806</v>
      </c>
      <c r="X315" s="51" t="str">
        <f t="array" ref="X315"> if(iserror(MATCH(V315, 'File Links'!C:C, 0)), "N/A", HYPERLINK(INDEX('File Links'!B:B, MATCH(V315, 'File Links'!C:C, 0))))</f>
        <v>https://drive.google.com/file/d/1Y24HtovNy5BwKos6_FsV4A_pE93bEfUv/view?usp=drivesdk</v>
      </c>
      <c r="Y315" s="58"/>
      <c r="Z315" s="54" t="s">
        <v>1802</v>
      </c>
      <c r="AA315" s="54" t="s">
        <v>1807</v>
      </c>
      <c r="AB315" s="54" t="s">
        <v>1808</v>
      </c>
      <c r="AC315" s="58"/>
      <c r="AD315" s="54" t="s">
        <v>1809</v>
      </c>
      <c r="AE315" s="54" t="s">
        <v>1810</v>
      </c>
      <c r="AF315" s="54" t="s">
        <v>131</v>
      </c>
      <c r="AG315" s="376">
        <v>4.0</v>
      </c>
      <c r="AH315" s="336" t="s">
        <v>127</v>
      </c>
      <c r="AI315" s="54" t="s">
        <v>1811</v>
      </c>
      <c r="AJ315" s="54" t="s">
        <v>131</v>
      </c>
      <c r="AK315" s="156" t="s">
        <v>131</v>
      </c>
      <c r="AL315" s="674" t="s">
        <v>131</v>
      </c>
      <c r="AM315" s="674" t="s">
        <v>131</v>
      </c>
      <c r="AN315" s="54" t="s">
        <v>131</v>
      </c>
      <c r="AO315" s="54" t="s">
        <v>131</v>
      </c>
      <c r="AP315" s="376">
        <v>6.0</v>
      </c>
      <c r="AQ315" s="54" t="s">
        <v>127</v>
      </c>
      <c r="AR315" s="54" t="s">
        <v>1812</v>
      </c>
      <c r="AS315" s="54" t="s">
        <v>131</v>
      </c>
      <c r="AT315" s="675" t="s">
        <v>131</v>
      </c>
      <c r="AU315" s="675" t="s">
        <v>131</v>
      </c>
      <c r="AV315" s="675" t="s">
        <v>131</v>
      </c>
      <c r="AW315" s="156" t="s">
        <v>131</v>
      </c>
      <c r="AX315" s="156" t="s">
        <v>144</v>
      </c>
      <c r="AY315" s="58"/>
    </row>
    <row r="316" ht="20.25" customHeight="1">
      <c r="A316" s="41">
        <v>316.0</v>
      </c>
      <c r="B316" s="42" t="s">
        <v>107</v>
      </c>
      <c r="C316" s="59" t="s">
        <v>108</v>
      </c>
      <c r="D316" s="59" t="s">
        <v>1803</v>
      </c>
      <c r="F316" s="156" t="s">
        <v>1794</v>
      </c>
      <c r="G316" s="54" t="s">
        <v>1795</v>
      </c>
      <c r="H316" s="54" t="s">
        <v>1804</v>
      </c>
      <c r="I316" s="149">
        <v>45436.0</v>
      </c>
      <c r="J316" s="431">
        <v>45642.0</v>
      </c>
      <c r="K316" s="54" t="s">
        <v>1813</v>
      </c>
      <c r="L316" s="368" t="s">
        <v>1797</v>
      </c>
      <c r="M316" s="54" t="s">
        <v>1798</v>
      </c>
      <c r="N316" s="54" t="s">
        <v>1799</v>
      </c>
      <c r="O316" s="58"/>
      <c r="P316" s="374" t="str">
        <f t="shared" si="9"/>
        <v>10.1162--rest.90.2.300.pdf</v>
      </c>
      <c r="Q316" s="49" t="str">
        <f t="array" ref="Q316"> if(iserror(MATCH(V316, 'File Links'!C:C, 0)), "N/A", HYPERLINK(INDEX('File Links'!B:B, MATCH(P316, 'File Links'!C:C, 0))))</f>
        <v>https://drive.google.com/file/d/150VkxMJ6Qzq8PM52a6Vi7Y9e4ojtHPne/view?usp=drivesdk</v>
      </c>
      <c r="R316" s="54" t="s">
        <v>1800</v>
      </c>
      <c r="S316" s="54" t="s">
        <v>1801</v>
      </c>
      <c r="T316" s="58"/>
      <c r="U316" s="335"/>
      <c r="V316" s="109" t="str">
        <f t="shared" si="6"/>
        <v>10.18718--81781.34.pdf</v>
      </c>
      <c r="W316" s="54" t="s">
        <v>1806</v>
      </c>
      <c r="X316" s="51" t="str">
        <f t="array" ref="X316"> if(iserror(MATCH(V316, 'File Links'!C:C, 0)), "N/A", HYPERLINK(INDEX('File Links'!B:B, MATCH(V316, 'File Links'!C:C, 0))))</f>
        <v>https://drive.google.com/file/d/1Y24HtovNy5BwKos6_FsV4A_pE93bEfUv/view?usp=drivesdk</v>
      </c>
      <c r="Y316" s="58"/>
      <c r="Z316" s="54" t="s">
        <v>1802</v>
      </c>
      <c r="AA316" s="54" t="s">
        <v>1807</v>
      </c>
      <c r="AB316" s="54" t="s">
        <v>1808</v>
      </c>
      <c r="AC316" s="58"/>
      <c r="AD316" s="54" t="s">
        <v>1809</v>
      </c>
      <c r="AE316" s="54" t="s">
        <v>1810</v>
      </c>
      <c r="AF316" s="54" t="s">
        <v>131</v>
      </c>
      <c r="AG316" s="376">
        <v>5.7</v>
      </c>
      <c r="AH316" s="336" t="s">
        <v>127</v>
      </c>
      <c r="AI316" s="54" t="s">
        <v>1811</v>
      </c>
      <c r="AJ316" s="54" t="s">
        <v>131</v>
      </c>
      <c r="AK316" s="156" t="s">
        <v>131</v>
      </c>
      <c r="AL316" s="674" t="s">
        <v>131</v>
      </c>
      <c r="AM316" s="674" t="s">
        <v>131</v>
      </c>
      <c r="AN316" s="54" t="s">
        <v>131</v>
      </c>
      <c r="AO316" s="54" t="s">
        <v>131</v>
      </c>
      <c r="AP316" s="376">
        <v>6.2</v>
      </c>
      <c r="AQ316" s="54" t="s">
        <v>127</v>
      </c>
      <c r="AR316" s="54" t="s">
        <v>1812</v>
      </c>
      <c r="AS316" s="54" t="s">
        <v>131</v>
      </c>
      <c r="AT316" s="675" t="s">
        <v>131</v>
      </c>
      <c r="AU316" s="675" t="s">
        <v>131</v>
      </c>
      <c r="AV316" s="675" t="s">
        <v>131</v>
      </c>
      <c r="AW316" s="156" t="s">
        <v>131</v>
      </c>
      <c r="AX316" s="156" t="s">
        <v>144</v>
      </c>
      <c r="AY316" s="58"/>
    </row>
    <row r="317" ht="20.25" customHeight="1">
      <c r="A317" s="41">
        <v>317.0</v>
      </c>
      <c r="B317" s="42" t="s">
        <v>107</v>
      </c>
      <c r="C317" s="59" t="s">
        <v>108</v>
      </c>
      <c r="D317" s="59" t="s">
        <v>1803</v>
      </c>
      <c r="F317" s="156" t="s">
        <v>1794</v>
      </c>
      <c r="G317" s="54" t="s">
        <v>1795</v>
      </c>
      <c r="H317" s="54" t="s">
        <v>1804</v>
      </c>
      <c r="I317" s="149">
        <v>45436.0</v>
      </c>
      <c r="J317" s="431">
        <v>45642.0</v>
      </c>
      <c r="K317" s="54" t="s">
        <v>1813</v>
      </c>
      <c r="L317" s="368" t="s">
        <v>1797</v>
      </c>
      <c r="M317" s="54" t="s">
        <v>1798</v>
      </c>
      <c r="N317" s="54" t="s">
        <v>1799</v>
      </c>
      <c r="O317" s="58"/>
      <c r="P317" s="374" t="str">
        <f t="shared" si="9"/>
        <v>10.1162--rest.90.2.300.pdf</v>
      </c>
      <c r="Q317" s="49" t="str">
        <f t="array" ref="Q317"> if(iserror(MATCH(V317, 'File Links'!C:C, 0)), "N/A", HYPERLINK(INDEX('File Links'!B:B, MATCH(P317, 'File Links'!C:C, 0))))</f>
        <v>https://drive.google.com/file/d/150VkxMJ6Qzq8PM52a6Vi7Y9e4ojtHPne/view?usp=drivesdk</v>
      </c>
      <c r="R317" s="54" t="s">
        <v>1800</v>
      </c>
      <c r="S317" s="54" t="s">
        <v>1801</v>
      </c>
      <c r="T317" s="58"/>
      <c r="U317" s="335"/>
      <c r="V317" s="109" t="str">
        <f t="shared" si="6"/>
        <v>10.18718--81781.34.pdf</v>
      </c>
      <c r="W317" s="54" t="s">
        <v>1806</v>
      </c>
      <c r="X317" s="51" t="str">
        <f t="array" ref="X317"> if(iserror(MATCH(V317, 'File Links'!C:C, 0)), "N/A", HYPERLINK(INDEX('File Links'!B:B, MATCH(V317, 'File Links'!C:C, 0))))</f>
        <v>https://drive.google.com/file/d/1Y24HtovNy5BwKos6_FsV4A_pE93bEfUv/view?usp=drivesdk</v>
      </c>
      <c r="Y317" s="58"/>
      <c r="Z317" s="54" t="s">
        <v>1802</v>
      </c>
      <c r="AA317" s="54" t="s">
        <v>1807</v>
      </c>
      <c r="AB317" s="54" t="s">
        <v>1808</v>
      </c>
      <c r="AC317" s="58"/>
      <c r="AD317" s="54" t="s">
        <v>1809</v>
      </c>
      <c r="AE317" s="54" t="s">
        <v>1810</v>
      </c>
      <c r="AF317" s="54" t="s">
        <v>131</v>
      </c>
      <c r="AG317" s="376">
        <v>1.3</v>
      </c>
      <c r="AH317" s="336" t="s">
        <v>127</v>
      </c>
      <c r="AI317" s="54" t="s">
        <v>1811</v>
      </c>
      <c r="AJ317" s="54" t="s">
        <v>131</v>
      </c>
      <c r="AK317" s="156" t="s">
        <v>131</v>
      </c>
      <c r="AL317" s="674" t="s">
        <v>131</v>
      </c>
      <c r="AM317" s="674" t="s">
        <v>131</v>
      </c>
      <c r="AN317" s="54" t="s">
        <v>131</v>
      </c>
      <c r="AO317" s="54" t="s">
        <v>131</v>
      </c>
      <c r="AP317" s="376">
        <v>-2.7</v>
      </c>
      <c r="AQ317" s="54" t="s">
        <v>127</v>
      </c>
      <c r="AR317" s="54" t="s">
        <v>1812</v>
      </c>
      <c r="AS317" s="54" t="s">
        <v>131</v>
      </c>
      <c r="AT317" s="675" t="s">
        <v>131</v>
      </c>
      <c r="AU317" s="675" t="s">
        <v>131</v>
      </c>
      <c r="AV317" s="675" t="s">
        <v>131</v>
      </c>
      <c r="AW317" s="156" t="s">
        <v>131</v>
      </c>
      <c r="AX317" s="156" t="s">
        <v>144</v>
      </c>
      <c r="AY317" s="58"/>
    </row>
    <row r="318" ht="20.25" customHeight="1">
      <c r="A318" s="41">
        <v>318.0</v>
      </c>
      <c r="B318" s="59" t="s">
        <v>107</v>
      </c>
      <c r="C318" s="59" t="s">
        <v>108</v>
      </c>
      <c r="D318" s="59" t="s">
        <v>1227</v>
      </c>
      <c r="F318" s="65" t="s">
        <v>1814</v>
      </c>
      <c r="G318" s="54" t="s">
        <v>1815</v>
      </c>
      <c r="H318" s="54" t="s">
        <v>1230</v>
      </c>
      <c r="I318" s="149">
        <v>45440.0</v>
      </c>
      <c r="J318" s="431">
        <v>45641.0</v>
      </c>
      <c r="K318" s="58"/>
      <c r="L318" s="58"/>
      <c r="M318" s="54" t="s">
        <v>1816</v>
      </c>
      <c r="N318" s="676" t="s">
        <v>1817</v>
      </c>
      <c r="P318" s="374" t="s">
        <v>1818</v>
      </c>
      <c r="Q318" s="49" t="str">
        <f t="array" ref="Q318"> if(iserror(MATCH(V318, 'File Links'!C:C, 0)), "N/A", HYPERLINK(INDEX('File Links'!B:B, MATCH(P318, 'File Links'!C:C, 0))))</f>
        <v>https://drive.google.com/file/d/1ntHR-2TST8Pa9kLmC5CL_wNP2lafijMc/view?usp=drivesdk</v>
      </c>
      <c r="R318" s="54" t="s">
        <v>1819</v>
      </c>
      <c r="S318" s="54" t="s">
        <v>1820</v>
      </c>
      <c r="U318" s="335"/>
      <c r="V318" s="109" t="str">
        <f t="shared" si="6"/>
        <v>10.1075--ijlcr.00046.ozk.pdf</v>
      </c>
      <c r="W318" s="58"/>
      <c r="X318" s="51" t="str">
        <f t="array" ref="X318"> if(iserror(MATCH(V318, 'File Links'!C:C, 0)), "N/A", HYPERLINK(INDEX('File Links'!B:B, MATCH(V318, 'File Links'!C:C, 0))))</f>
        <v>https://drive.google.com/file/d/1lyco4NN8QUadLrLaxT4tk2Kth7hjO4p_/view?usp=drivesdk</v>
      </c>
      <c r="Y318" s="58"/>
      <c r="Z318" s="58"/>
      <c r="AA318" s="58"/>
      <c r="AB318" s="58"/>
      <c r="AC318" s="58"/>
      <c r="AD318" s="58"/>
      <c r="AE318" s="58"/>
      <c r="AF318" s="58"/>
      <c r="AG318" s="58"/>
      <c r="AH318" s="335"/>
      <c r="AI318" s="58"/>
      <c r="AJ318" s="58"/>
      <c r="AK318" s="65"/>
      <c r="AL318" s="58"/>
      <c r="AM318" s="58"/>
      <c r="AN318" s="54" t="s">
        <v>131</v>
      </c>
      <c r="AO318" s="58"/>
      <c r="AP318" s="58"/>
      <c r="AQ318" s="58"/>
      <c r="AR318" s="58"/>
      <c r="AS318" s="58"/>
      <c r="AT318" s="65"/>
      <c r="AU318" s="65"/>
      <c r="AV318" s="65"/>
      <c r="AW318" s="65"/>
      <c r="AX318" s="65"/>
      <c r="AY318" s="58"/>
      <c r="AZ318" s="59" t="s">
        <v>137</v>
      </c>
    </row>
    <row r="319" ht="20.25" customHeight="1">
      <c r="A319" s="41">
        <v>319.0</v>
      </c>
      <c r="B319" s="59" t="s">
        <v>107</v>
      </c>
      <c r="C319" s="59" t="s">
        <v>108</v>
      </c>
      <c r="D319" s="59" t="s">
        <v>279</v>
      </c>
      <c r="F319" s="65" t="s">
        <v>1814</v>
      </c>
      <c r="G319" s="54" t="s">
        <v>1815</v>
      </c>
      <c r="H319" s="156" t="s">
        <v>137</v>
      </c>
      <c r="I319" s="149">
        <v>45440.0</v>
      </c>
      <c r="J319" s="431">
        <v>45636.0</v>
      </c>
      <c r="K319" s="156" t="s">
        <v>1821</v>
      </c>
      <c r="L319" s="65"/>
      <c r="M319" s="156" t="s">
        <v>1816</v>
      </c>
      <c r="N319" s="677" t="s">
        <v>1822</v>
      </c>
      <c r="O319" s="65"/>
      <c r="P319" s="379" t="s">
        <v>1818</v>
      </c>
      <c r="Q319" s="49" t="str">
        <f t="array" ref="Q319"> if(iserror(MATCH(V319, 'File Links'!C:C, 0)), "N/A", HYPERLINK(INDEX('File Links'!B:B, MATCH(P319, 'File Links'!C:C, 0))))</f>
        <v>https://drive.google.com/file/d/1ntHR-2TST8Pa9kLmC5CL_wNP2lafijMc/view?usp=drivesdk</v>
      </c>
      <c r="R319" s="677" t="s">
        <v>1823</v>
      </c>
      <c r="S319" s="677" t="s">
        <v>1820</v>
      </c>
      <c r="T319" s="65"/>
      <c r="U319" s="65"/>
      <c r="V319" s="379" t="s">
        <v>1824</v>
      </c>
      <c r="W319" s="156" t="s">
        <v>1825</v>
      </c>
      <c r="X319" s="51" t="str">
        <f t="array" ref="X319"> if(iserror(MATCH(V319, 'File Links'!C:C, 0)), "N/A", HYPERLINK(INDEX('File Links'!B:B, MATCH(V319, 'File Links'!C:C, 0))))</f>
        <v>https://drive.google.com/file/d/1lyco4NN8QUadLrLaxT4tk2Kth7hjO4p_/view?usp=drivesdk</v>
      </c>
      <c r="Y319" s="357" t="s">
        <v>1826</v>
      </c>
      <c r="Z319" s="156" t="s">
        <v>288</v>
      </c>
      <c r="AA319" s="65"/>
      <c r="AB319" s="65"/>
      <c r="AC319" s="65"/>
      <c r="AD319" s="65"/>
      <c r="AE319" s="65"/>
      <c r="AF319" s="65"/>
      <c r="AG319" s="65"/>
      <c r="AH319" s="335"/>
      <c r="AI319" s="58"/>
      <c r="AJ319" s="58"/>
      <c r="AK319" s="65"/>
      <c r="AL319" s="58"/>
      <c r="AM319" s="65"/>
      <c r="AN319" s="54" t="s">
        <v>131</v>
      </c>
      <c r="AO319" s="65"/>
      <c r="AP319" s="65"/>
      <c r="AQ319" s="65"/>
      <c r="AR319" s="65"/>
      <c r="AS319" s="65"/>
      <c r="AT319" s="65"/>
      <c r="AU319" s="65"/>
      <c r="AV319" s="65"/>
      <c r="AW319" s="65"/>
      <c r="AX319" s="65"/>
      <c r="AY319" s="65"/>
      <c r="AZ319" s="59" t="s">
        <v>137</v>
      </c>
    </row>
    <row r="320" ht="20.25" customHeight="1">
      <c r="A320" s="41">
        <v>320.0</v>
      </c>
      <c r="B320" s="365" t="s">
        <v>145</v>
      </c>
      <c r="C320" s="365" t="s">
        <v>108</v>
      </c>
      <c r="D320" s="185" t="s">
        <v>1434</v>
      </c>
      <c r="E320" s="186"/>
      <c r="F320" s="195" t="s">
        <v>1827</v>
      </c>
      <c r="G320" s="55" t="s">
        <v>1828</v>
      </c>
      <c r="H320" s="55" t="s">
        <v>1533</v>
      </c>
      <c r="I320" s="678">
        <v>45638.0</v>
      </c>
      <c r="J320" s="679">
        <v>45670.0</v>
      </c>
      <c r="K320" s="111"/>
      <c r="L320" s="209" t="s">
        <v>1829</v>
      </c>
      <c r="M320" s="109" t="s">
        <v>1830</v>
      </c>
      <c r="N320" s="109" t="s">
        <v>1831</v>
      </c>
      <c r="O320" s="144">
        <v>1.0</v>
      </c>
      <c r="P320" s="118" t="str">
        <f>SUBSTITUTE(LOWER(N320), "/", "--") &amp;  ".pdf"</f>
        <v>10.1017--s1366728914000273.pdf</v>
      </c>
      <c r="Q320" s="49" t="str">
        <f t="array" ref="Q320"> if(iserror(MATCH(V320, 'File Links'!C:C, 0)), "N/A", HYPERLINK(INDEX('File Links'!B:B, MATCH(P320, 'File Links'!C:C, 0))))</f>
        <v>https://drive.google.com/file/d/1Baedt_RF56dAcd90mHgk4WyAWq0rNUNl/view?usp=drivesdk</v>
      </c>
      <c r="R320" s="109" t="s">
        <v>1832</v>
      </c>
      <c r="S320" s="109" t="s">
        <v>1833</v>
      </c>
      <c r="T320" s="111"/>
      <c r="U320" s="144">
        <v>1.0</v>
      </c>
      <c r="V320" s="109" t="str">
        <f t="shared" ref="V320:V354" si="10">HYPERLINK(VLOOKUP(LOWER(S320),#REF!, 2, FALSE), SUBSTITUTE(LOWER(S320), "/", "--") &amp;  ".pdf")</f>
        <v>10.1017--s0272263124000378.pdf</v>
      </c>
      <c r="W320" s="123" t="s">
        <v>313</v>
      </c>
      <c r="X320" s="51" t="str">
        <f t="array" ref="X320"> if(iserror(MATCH(V320, 'File Links'!C:C, 0)), "N/A", HYPERLINK(INDEX('File Links'!B:B, MATCH(V320, 'File Links'!C:C, 0))))</f>
        <v>https://drive.google.com/file/d/19bZUP_N4YxLTtw7Y4tZumU1mxVv8t29B/view?usp=drivesdk</v>
      </c>
      <c r="Y320" s="111"/>
      <c r="Z320" s="109" t="s">
        <v>288</v>
      </c>
      <c r="AA320" s="109" t="s">
        <v>1834</v>
      </c>
      <c r="AB320" s="109" t="s">
        <v>1835</v>
      </c>
      <c r="AC320" s="109" t="s">
        <v>1836</v>
      </c>
      <c r="AD320" s="109" t="s">
        <v>1837</v>
      </c>
      <c r="AE320" s="114">
        <v>5.0</v>
      </c>
      <c r="AF320" s="114">
        <v>68.0</v>
      </c>
      <c r="AG320" s="114">
        <v>0.78</v>
      </c>
      <c r="AH320" s="117" t="s">
        <v>132</v>
      </c>
      <c r="AI320" s="680" t="s">
        <v>806</v>
      </c>
      <c r="AJ320" s="114">
        <v>0.001</v>
      </c>
      <c r="AK320" s="108" t="s">
        <v>128</v>
      </c>
      <c r="AL320" s="111" t="s">
        <v>179</v>
      </c>
      <c r="AM320" s="111" t="s">
        <v>134</v>
      </c>
      <c r="AN320" s="216" t="s">
        <v>131</v>
      </c>
      <c r="AO320" s="114">
        <v>78.0</v>
      </c>
      <c r="AP320" s="114">
        <v>0.62</v>
      </c>
      <c r="AQ320" s="111" t="s">
        <v>132</v>
      </c>
      <c r="AR320" s="126">
        <v>10.0</v>
      </c>
      <c r="AS320" s="114">
        <v>0.001</v>
      </c>
      <c r="AT320" s="108" t="s">
        <v>128</v>
      </c>
      <c r="AU320" s="108" t="s">
        <v>179</v>
      </c>
      <c r="AV320" s="108" t="s">
        <v>134</v>
      </c>
      <c r="AW320" s="681" t="s">
        <v>131</v>
      </c>
      <c r="AX320" s="119" t="s">
        <v>136</v>
      </c>
      <c r="AY320" s="126" t="s">
        <v>1829</v>
      </c>
      <c r="AZ320" s="59" t="s">
        <v>137</v>
      </c>
    </row>
    <row r="321" ht="20.25" customHeight="1">
      <c r="A321" s="41">
        <v>321.0</v>
      </c>
      <c r="B321" s="185" t="s">
        <v>107</v>
      </c>
      <c r="C321" s="185" t="s">
        <v>108</v>
      </c>
      <c r="D321" s="185" t="s">
        <v>1803</v>
      </c>
      <c r="E321" s="186"/>
      <c r="F321" s="195" t="s">
        <v>1827</v>
      </c>
      <c r="G321" s="55" t="s">
        <v>1828</v>
      </c>
      <c r="H321" s="55" t="s">
        <v>1804</v>
      </c>
      <c r="I321" s="682">
        <v>45642.0</v>
      </c>
      <c r="J321" s="679">
        <v>45670.0</v>
      </c>
      <c r="K321" s="129"/>
      <c r="L321" s="209" t="s">
        <v>1838</v>
      </c>
      <c r="M321" s="123" t="s">
        <v>1830</v>
      </c>
      <c r="N321" s="123" t="s">
        <v>1831</v>
      </c>
      <c r="O321" s="129"/>
      <c r="P321" s="220" t="str">
        <f t="shared" ref="P321:P323" si="11"> SUBSTITUTE(lower(N321), "/", "--") &amp;  ".pdf"</f>
        <v>10.1017--s1366728914000273.pdf</v>
      </c>
      <c r="Q321" s="49" t="str">
        <f t="array" ref="Q321"> if(iserror(MATCH(V321, 'File Links'!C:C, 0)), "N/A", HYPERLINK(INDEX('File Links'!B:B, MATCH(P321, 'File Links'!C:C, 0))))</f>
        <v>https://drive.google.com/file/d/1Baedt_RF56dAcd90mHgk4WyAWq0rNUNl/view?usp=drivesdk</v>
      </c>
      <c r="R321" s="123" t="s">
        <v>1832</v>
      </c>
      <c r="S321" s="123" t="s">
        <v>1833</v>
      </c>
      <c r="T321" s="129"/>
      <c r="U321" s="315"/>
      <c r="V321" s="109" t="str">
        <f t="shared" si="10"/>
        <v>10.1017--s0272263124000378.pdf</v>
      </c>
      <c r="W321" s="123" t="s">
        <v>313</v>
      </c>
      <c r="X321" s="51" t="str">
        <f t="array" ref="X321"> if(iserror(MATCH(V321, 'File Links'!C:C, 0)), "N/A", HYPERLINK(INDEX('File Links'!B:B, MATCH(V321, 'File Links'!C:C, 0))))</f>
        <v>https://drive.google.com/file/d/19bZUP_N4YxLTtw7Y4tZumU1mxVv8t29B/view?usp=drivesdk</v>
      </c>
      <c r="Y321" s="129"/>
      <c r="Z321" s="109" t="s">
        <v>288</v>
      </c>
      <c r="AA321" s="123" t="s">
        <v>1839</v>
      </c>
      <c r="AB321" s="123" t="s">
        <v>1840</v>
      </c>
      <c r="AC321" s="123" t="s">
        <v>1841</v>
      </c>
      <c r="AD321" s="123" t="s">
        <v>1842</v>
      </c>
      <c r="AE321" s="683">
        <v>45416.0</v>
      </c>
      <c r="AF321" s="127">
        <v>68.0</v>
      </c>
      <c r="AG321" s="127">
        <v>228.4</v>
      </c>
      <c r="AH321" s="116" t="s">
        <v>127</v>
      </c>
      <c r="AI321" s="123" t="s">
        <v>489</v>
      </c>
      <c r="AJ321" s="127">
        <v>0.001</v>
      </c>
      <c r="AK321" s="216" t="s">
        <v>128</v>
      </c>
      <c r="AL321" s="684" t="s">
        <v>131</v>
      </c>
      <c r="AM321" s="684" t="s">
        <v>131</v>
      </c>
      <c r="AN321" s="123" t="s">
        <v>131</v>
      </c>
      <c r="AO321" s="127">
        <v>78.0</v>
      </c>
      <c r="AP321" s="222" t="s">
        <v>1843</v>
      </c>
      <c r="AQ321" s="116" t="s">
        <v>127</v>
      </c>
      <c r="AR321" s="123" t="s">
        <v>623</v>
      </c>
      <c r="AS321" s="127">
        <v>0.001</v>
      </c>
      <c r="AT321" s="216" t="s">
        <v>128</v>
      </c>
      <c r="AU321" s="685" t="s">
        <v>131</v>
      </c>
      <c r="AV321" s="685" t="s">
        <v>131</v>
      </c>
      <c r="AW321" s="137" t="s">
        <v>131</v>
      </c>
      <c r="AX321" s="137" t="s">
        <v>136</v>
      </c>
      <c r="AY321" s="126" t="s">
        <v>1838</v>
      </c>
      <c r="AZ321" s="59" t="s">
        <v>137</v>
      </c>
    </row>
    <row r="322" ht="20.25" customHeight="1">
      <c r="A322" s="41">
        <v>322.0</v>
      </c>
      <c r="B322" s="185" t="s">
        <v>107</v>
      </c>
      <c r="C322" s="185" t="s">
        <v>108</v>
      </c>
      <c r="D322" s="185" t="s">
        <v>1803</v>
      </c>
      <c r="E322" s="186"/>
      <c r="F322" s="195" t="s">
        <v>1827</v>
      </c>
      <c r="G322" s="55" t="s">
        <v>1828</v>
      </c>
      <c r="H322" s="55" t="s">
        <v>1804</v>
      </c>
      <c r="I322" s="682">
        <v>45642.0</v>
      </c>
      <c r="J322" s="679">
        <v>45670.0</v>
      </c>
      <c r="K322" s="129"/>
      <c r="L322" s="129"/>
      <c r="M322" s="123" t="s">
        <v>1830</v>
      </c>
      <c r="N322" s="123" t="s">
        <v>1831</v>
      </c>
      <c r="O322" s="129"/>
      <c r="P322" s="220" t="str">
        <f t="shared" si="11"/>
        <v>10.1017--s1366728914000273.pdf</v>
      </c>
      <c r="Q322" s="49" t="str">
        <f t="array" ref="Q322"> if(iserror(MATCH(V322, 'File Links'!C:C, 0)), "N/A", HYPERLINK(INDEX('File Links'!B:B, MATCH(P322, 'File Links'!C:C, 0))))</f>
        <v>https://drive.google.com/file/d/1Baedt_RF56dAcd90mHgk4WyAWq0rNUNl/view?usp=drivesdk</v>
      </c>
      <c r="R322" s="123" t="s">
        <v>1832</v>
      </c>
      <c r="S322" s="123" t="s">
        <v>1833</v>
      </c>
      <c r="T322" s="129"/>
      <c r="U322" s="315"/>
      <c r="V322" s="109" t="str">
        <f t="shared" si="10"/>
        <v>10.1017--s0272263124000378.pdf</v>
      </c>
      <c r="W322" s="123" t="s">
        <v>313</v>
      </c>
      <c r="X322" s="51" t="str">
        <f t="array" ref="X322"> if(iserror(MATCH(V322, 'File Links'!C:C, 0)), "N/A", HYPERLINK(INDEX('File Links'!B:B, MATCH(V322, 'File Links'!C:C, 0))))</f>
        <v>https://drive.google.com/file/d/19bZUP_N4YxLTtw7Y4tZumU1mxVv8t29B/view?usp=drivesdk</v>
      </c>
      <c r="Y322" s="129"/>
      <c r="Z322" s="109" t="s">
        <v>288</v>
      </c>
      <c r="AA322" s="123" t="s">
        <v>1839</v>
      </c>
      <c r="AB322" s="123" t="s">
        <v>1840</v>
      </c>
      <c r="AC322" s="123" t="s">
        <v>1841</v>
      </c>
      <c r="AD322" s="123" t="s">
        <v>1842</v>
      </c>
      <c r="AE322" s="683">
        <v>45416.0</v>
      </c>
      <c r="AF322" s="127">
        <v>68.0</v>
      </c>
      <c r="AG322" s="127">
        <v>4.9</v>
      </c>
      <c r="AH322" s="116" t="s">
        <v>127</v>
      </c>
      <c r="AI322" s="123" t="s">
        <v>489</v>
      </c>
      <c r="AJ322" s="127">
        <v>0.03</v>
      </c>
      <c r="AK322" s="216" t="s">
        <v>165</v>
      </c>
      <c r="AL322" s="684" t="s">
        <v>131</v>
      </c>
      <c r="AM322" s="684" t="s">
        <v>131</v>
      </c>
      <c r="AN322" s="123" t="s">
        <v>131</v>
      </c>
      <c r="AO322" s="127">
        <v>78.0</v>
      </c>
      <c r="AP322" s="222" t="s">
        <v>1844</v>
      </c>
      <c r="AQ322" s="116" t="s">
        <v>127</v>
      </c>
      <c r="AR322" s="123" t="s">
        <v>623</v>
      </c>
      <c r="AS322" s="127">
        <v>0.047</v>
      </c>
      <c r="AT322" s="216" t="s">
        <v>165</v>
      </c>
      <c r="AU322" s="685" t="s">
        <v>131</v>
      </c>
      <c r="AV322" s="685" t="s">
        <v>131</v>
      </c>
      <c r="AW322" s="137" t="s">
        <v>131</v>
      </c>
      <c r="AX322" s="137" t="s">
        <v>136</v>
      </c>
      <c r="AY322" s="58"/>
      <c r="AZ322" s="59" t="s">
        <v>137</v>
      </c>
    </row>
    <row r="323" ht="20.25" customHeight="1">
      <c r="A323" s="41">
        <v>323.0</v>
      </c>
      <c r="B323" s="185" t="s">
        <v>107</v>
      </c>
      <c r="C323" s="185" t="s">
        <v>108</v>
      </c>
      <c r="D323" s="185" t="s">
        <v>1803</v>
      </c>
      <c r="E323" s="186"/>
      <c r="F323" s="195" t="s">
        <v>1827</v>
      </c>
      <c r="G323" s="55" t="s">
        <v>1828</v>
      </c>
      <c r="H323" s="55" t="s">
        <v>1804</v>
      </c>
      <c r="I323" s="682">
        <v>45642.0</v>
      </c>
      <c r="J323" s="679">
        <v>45670.0</v>
      </c>
      <c r="K323" s="129"/>
      <c r="L323" s="129"/>
      <c r="M323" s="123" t="s">
        <v>1830</v>
      </c>
      <c r="N323" s="123" t="s">
        <v>1831</v>
      </c>
      <c r="O323" s="129"/>
      <c r="P323" s="220" t="str">
        <f t="shared" si="11"/>
        <v>10.1017--s1366728914000273.pdf</v>
      </c>
      <c r="Q323" s="49" t="str">
        <f t="array" ref="Q323"> if(iserror(MATCH(V323, 'File Links'!C:C, 0)), "N/A", HYPERLINK(INDEX('File Links'!B:B, MATCH(P323, 'File Links'!C:C, 0))))</f>
        <v>https://drive.google.com/file/d/1Baedt_RF56dAcd90mHgk4WyAWq0rNUNl/view?usp=drivesdk</v>
      </c>
      <c r="R323" s="123" t="s">
        <v>1832</v>
      </c>
      <c r="S323" s="123" t="s">
        <v>1833</v>
      </c>
      <c r="T323" s="129"/>
      <c r="U323" s="315"/>
      <c r="V323" s="109" t="str">
        <f t="shared" si="10"/>
        <v>10.1017--s0272263124000378.pdf</v>
      </c>
      <c r="W323" s="123" t="s">
        <v>313</v>
      </c>
      <c r="X323" s="51" t="str">
        <f t="array" ref="X323"> if(iserror(MATCH(V323, 'File Links'!C:C, 0)), "N/A", HYPERLINK(INDEX('File Links'!B:B, MATCH(V323, 'File Links'!C:C, 0))))</f>
        <v>https://drive.google.com/file/d/19bZUP_N4YxLTtw7Y4tZumU1mxVv8t29B/view?usp=drivesdk</v>
      </c>
      <c r="Y323" s="129"/>
      <c r="Z323" s="109" t="s">
        <v>288</v>
      </c>
      <c r="AA323" s="123" t="s">
        <v>1839</v>
      </c>
      <c r="AB323" s="123" t="s">
        <v>1840</v>
      </c>
      <c r="AC323" s="123" t="s">
        <v>1841</v>
      </c>
      <c r="AD323" s="123" t="s">
        <v>1845</v>
      </c>
      <c r="AE323" s="683">
        <v>45416.0</v>
      </c>
      <c r="AF323" s="127">
        <v>68.0</v>
      </c>
      <c r="AG323" s="127">
        <v>53.2</v>
      </c>
      <c r="AH323" s="116" t="s">
        <v>127</v>
      </c>
      <c r="AI323" s="123" t="s">
        <v>489</v>
      </c>
      <c r="AJ323" s="127">
        <v>0.001</v>
      </c>
      <c r="AK323" s="216" t="s">
        <v>128</v>
      </c>
      <c r="AL323" s="684" t="s">
        <v>131</v>
      </c>
      <c r="AM323" s="684" t="s">
        <v>131</v>
      </c>
      <c r="AN323" s="123" t="s">
        <v>131</v>
      </c>
      <c r="AO323" s="127">
        <v>78.0</v>
      </c>
      <c r="AP323" s="222" t="s">
        <v>1846</v>
      </c>
      <c r="AQ323" s="116" t="s">
        <v>127</v>
      </c>
      <c r="AR323" s="116" t="s">
        <v>1167</v>
      </c>
      <c r="AS323" s="127">
        <v>0.001</v>
      </c>
      <c r="AT323" s="216" t="s">
        <v>128</v>
      </c>
      <c r="AU323" s="685" t="s">
        <v>131</v>
      </c>
      <c r="AV323" s="685" t="s">
        <v>131</v>
      </c>
      <c r="AW323" s="137" t="s">
        <v>131</v>
      </c>
      <c r="AX323" s="137" t="s">
        <v>136</v>
      </c>
      <c r="AY323" s="58"/>
      <c r="AZ323" s="59" t="s">
        <v>137</v>
      </c>
    </row>
    <row r="324" ht="20.25" customHeight="1">
      <c r="A324" s="41">
        <v>324.0</v>
      </c>
      <c r="B324" s="365" t="s">
        <v>145</v>
      </c>
      <c r="C324" s="365" t="s">
        <v>108</v>
      </c>
      <c r="D324" s="185" t="s">
        <v>1434</v>
      </c>
      <c r="E324" s="186"/>
      <c r="F324" s="195" t="s">
        <v>1827</v>
      </c>
      <c r="G324" s="55" t="s">
        <v>1847</v>
      </c>
      <c r="H324" s="55" t="s">
        <v>1533</v>
      </c>
      <c r="I324" s="678">
        <v>45638.0</v>
      </c>
      <c r="J324" s="679">
        <v>45670.0</v>
      </c>
      <c r="K324" s="111"/>
      <c r="L324" s="111"/>
      <c r="M324" s="109" t="s">
        <v>1830</v>
      </c>
      <c r="N324" s="109" t="s">
        <v>1831</v>
      </c>
      <c r="O324" s="144">
        <v>1.0</v>
      </c>
      <c r="P324" s="118" t="str">
        <f t="shared" ref="P324:P330" si="12">SUBSTITUTE(LOWER(N324), "/", "--") &amp;  ".pdf"</f>
        <v>10.1017--s1366728914000273.pdf</v>
      </c>
      <c r="Q324" s="49" t="str">
        <f t="array" ref="Q324"> if(iserror(MATCH(V324, 'File Links'!C:C, 0)), "N/A", HYPERLINK(INDEX('File Links'!B:B, MATCH(P324, 'File Links'!C:C, 0))))</f>
        <v>https://drive.google.com/file/d/1Baedt_RF56dAcd90mHgk4WyAWq0rNUNl/view?usp=drivesdk</v>
      </c>
      <c r="R324" s="109" t="s">
        <v>1832</v>
      </c>
      <c r="S324" s="109" t="s">
        <v>1833</v>
      </c>
      <c r="T324" s="111"/>
      <c r="U324" s="144">
        <v>1.0</v>
      </c>
      <c r="V324" s="109" t="str">
        <f t="shared" si="10"/>
        <v>10.1017--s0272263124000378.pdf</v>
      </c>
      <c r="W324" s="123" t="s">
        <v>313</v>
      </c>
      <c r="X324" s="51" t="str">
        <f t="array" ref="X324"> if(iserror(MATCH(V324, 'File Links'!C:C, 0)), "N/A", HYPERLINK(INDEX('File Links'!B:B, MATCH(V324, 'File Links'!C:C, 0))))</f>
        <v>https://drive.google.com/file/d/19bZUP_N4YxLTtw7Y4tZumU1mxVv8t29B/view?usp=drivesdk</v>
      </c>
      <c r="Y324" s="111"/>
      <c r="Z324" s="109" t="s">
        <v>288</v>
      </c>
      <c r="AA324" s="109" t="s">
        <v>1834</v>
      </c>
      <c r="AB324" s="109" t="s">
        <v>1835</v>
      </c>
      <c r="AC324" s="109" t="s">
        <v>1848</v>
      </c>
      <c r="AD324" s="109" t="s">
        <v>1849</v>
      </c>
      <c r="AE324" s="114">
        <v>5.0</v>
      </c>
      <c r="AF324" s="114">
        <v>68.0</v>
      </c>
      <c r="AG324" s="113" t="s">
        <v>131</v>
      </c>
      <c r="AH324" s="164" t="s">
        <v>131</v>
      </c>
      <c r="AI324" s="680" t="s">
        <v>806</v>
      </c>
      <c r="AJ324" s="113" t="s">
        <v>131</v>
      </c>
      <c r="AK324" s="113" t="s">
        <v>131</v>
      </c>
      <c r="AL324" s="111" t="s">
        <v>179</v>
      </c>
      <c r="AM324" s="111" t="s">
        <v>134</v>
      </c>
      <c r="AN324" s="216" t="s">
        <v>131</v>
      </c>
      <c r="AO324" s="114">
        <v>78.0</v>
      </c>
      <c r="AP324" s="114">
        <v>0.01</v>
      </c>
      <c r="AQ324" s="111" t="s">
        <v>132</v>
      </c>
      <c r="AR324" s="126">
        <v>10.0</v>
      </c>
      <c r="AS324" s="114">
        <v>0.384</v>
      </c>
      <c r="AT324" s="108" t="s">
        <v>165</v>
      </c>
      <c r="AU324" s="108" t="s">
        <v>179</v>
      </c>
      <c r="AV324" s="108" t="s">
        <v>134</v>
      </c>
      <c r="AW324" s="681" t="s">
        <v>131</v>
      </c>
      <c r="AX324" s="119" t="s">
        <v>136</v>
      </c>
      <c r="AY324" s="58"/>
      <c r="AZ324" s="59" t="s">
        <v>137</v>
      </c>
      <c r="BC324" s="104"/>
      <c r="BD324" s="104"/>
      <c r="BE324" s="104"/>
      <c r="BF324" s="104"/>
      <c r="BG324" s="104"/>
      <c r="BH324" s="104"/>
      <c r="BI324" s="104"/>
      <c r="BJ324" s="104"/>
      <c r="BK324" s="104"/>
      <c r="BL324" s="104"/>
      <c r="BM324" s="104"/>
      <c r="BN324" s="104"/>
      <c r="BO324" s="104"/>
      <c r="BP324" s="104"/>
      <c r="BQ324" s="104"/>
      <c r="BR324" s="104"/>
      <c r="BS324" s="104"/>
      <c r="BT324" s="104"/>
      <c r="BU324" s="104"/>
      <c r="BV324" s="104"/>
      <c r="BW324" s="104"/>
      <c r="BX324" s="104"/>
      <c r="BY324" s="104"/>
      <c r="BZ324" s="104"/>
      <c r="CA324" s="104"/>
      <c r="CB324" s="104"/>
      <c r="CC324" s="104"/>
      <c r="CD324" s="104"/>
      <c r="CE324" s="104"/>
      <c r="CF324" s="104"/>
      <c r="CG324" s="104"/>
      <c r="CH324" s="104"/>
      <c r="CI324" s="104"/>
      <c r="CJ324" s="104"/>
      <c r="CK324" s="104"/>
      <c r="CL324" s="104"/>
      <c r="CM324" s="104"/>
      <c r="CN324" s="104"/>
      <c r="CO324" s="104"/>
      <c r="CP324" s="104"/>
      <c r="CQ324" s="104"/>
      <c r="CR324" s="104"/>
      <c r="CS324" s="104"/>
      <c r="CT324" s="104"/>
      <c r="CU324" s="104"/>
      <c r="CV324" s="104"/>
      <c r="CW324" s="104"/>
      <c r="CX324" s="104"/>
      <c r="CY324" s="104"/>
      <c r="CZ324" s="104"/>
      <c r="DA324" s="104"/>
      <c r="DB324" s="104"/>
      <c r="DC324" s="104"/>
      <c r="DD324" s="104"/>
      <c r="DE324" s="104"/>
      <c r="DF324" s="104"/>
      <c r="DG324" s="104"/>
      <c r="DH324" s="104"/>
    </row>
    <row r="325" ht="20.25" customHeight="1">
      <c r="A325" s="41">
        <v>325.0</v>
      </c>
      <c r="B325" s="365" t="s">
        <v>145</v>
      </c>
      <c r="C325" s="365" t="s">
        <v>108</v>
      </c>
      <c r="D325" s="185" t="s">
        <v>1434</v>
      </c>
      <c r="E325" s="186"/>
      <c r="F325" s="195" t="s">
        <v>1827</v>
      </c>
      <c r="G325" s="55" t="s">
        <v>1850</v>
      </c>
      <c r="H325" s="55" t="s">
        <v>1533</v>
      </c>
      <c r="I325" s="678">
        <v>45638.0</v>
      </c>
      <c r="J325" s="679">
        <v>45670.0</v>
      </c>
      <c r="K325" s="111"/>
      <c r="L325" s="111"/>
      <c r="M325" s="109" t="s">
        <v>1830</v>
      </c>
      <c r="N325" s="109" t="s">
        <v>1831</v>
      </c>
      <c r="O325" s="144">
        <v>1.0</v>
      </c>
      <c r="P325" s="118" t="str">
        <f t="shared" si="12"/>
        <v>10.1017--s1366728914000273.pdf</v>
      </c>
      <c r="Q325" s="49" t="str">
        <f t="array" ref="Q325"> if(iserror(MATCH(V325, 'File Links'!C:C, 0)), "N/A", HYPERLINK(INDEX('File Links'!B:B, MATCH(P325, 'File Links'!C:C, 0))))</f>
        <v>https://drive.google.com/file/d/1Baedt_RF56dAcd90mHgk4WyAWq0rNUNl/view?usp=drivesdk</v>
      </c>
      <c r="R325" s="109" t="s">
        <v>1832</v>
      </c>
      <c r="S325" s="109" t="s">
        <v>1833</v>
      </c>
      <c r="T325" s="111"/>
      <c r="U325" s="144">
        <v>1.0</v>
      </c>
      <c r="V325" s="109" t="str">
        <f t="shared" si="10"/>
        <v>10.1017--s0272263124000378.pdf</v>
      </c>
      <c r="W325" s="123" t="s">
        <v>313</v>
      </c>
      <c r="X325" s="51" t="str">
        <f t="array" ref="X325"> if(iserror(MATCH(V325, 'File Links'!C:C, 0)), "N/A", HYPERLINK(INDEX('File Links'!B:B, MATCH(V325, 'File Links'!C:C, 0))))</f>
        <v>https://drive.google.com/file/d/19bZUP_N4YxLTtw7Y4tZumU1mxVv8t29B/view?usp=drivesdk</v>
      </c>
      <c r="Y325" s="111"/>
      <c r="Z325" s="109" t="s">
        <v>288</v>
      </c>
      <c r="AA325" s="109" t="s">
        <v>1834</v>
      </c>
      <c r="AB325" s="109" t="s">
        <v>1835</v>
      </c>
      <c r="AC325" s="109" t="s">
        <v>1851</v>
      </c>
      <c r="AD325" s="109" t="s">
        <v>1852</v>
      </c>
      <c r="AE325" s="114">
        <v>5.0</v>
      </c>
      <c r="AF325" s="114">
        <v>68.0</v>
      </c>
      <c r="AG325" s="114">
        <v>0.07</v>
      </c>
      <c r="AH325" s="117" t="s">
        <v>132</v>
      </c>
      <c r="AI325" s="680" t="s">
        <v>806</v>
      </c>
      <c r="AJ325" s="114">
        <v>0.03</v>
      </c>
      <c r="AK325" s="108" t="s">
        <v>165</v>
      </c>
      <c r="AL325" s="111" t="s">
        <v>179</v>
      </c>
      <c r="AM325" s="111" t="s">
        <v>134</v>
      </c>
      <c r="AN325" s="216" t="s">
        <v>131</v>
      </c>
      <c r="AO325" s="114">
        <v>78.0</v>
      </c>
      <c r="AP325" s="114">
        <v>0.051</v>
      </c>
      <c r="AQ325" s="111" t="s">
        <v>132</v>
      </c>
      <c r="AR325" s="126">
        <v>10.0</v>
      </c>
      <c r="AS325" s="114">
        <v>0.047</v>
      </c>
      <c r="AT325" s="108" t="s">
        <v>165</v>
      </c>
      <c r="AU325" s="108" t="s">
        <v>179</v>
      </c>
      <c r="AV325" s="108" t="s">
        <v>134</v>
      </c>
      <c r="AW325" s="681" t="s">
        <v>131</v>
      </c>
      <c r="AX325" s="119" t="s">
        <v>136</v>
      </c>
      <c r="AY325" s="58"/>
      <c r="AZ325" s="59" t="s">
        <v>137</v>
      </c>
      <c r="BC325" s="69"/>
      <c r="BD325" s="69"/>
      <c r="BE325" s="69"/>
      <c r="BF325" s="69"/>
      <c r="BG325" s="69"/>
      <c r="BH325" s="69"/>
      <c r="BI325" s="69"/>
      <c r="BJ325" s="69"/>
      <c r="BK325" s="69"/>
      <c r="BL325" s="69"/>
      <c r="BM325" s="69"/>
      <c r="BN325" s="69"/>
      <c r="BO325" s="69"/>
      <c r="BP325" s="69"/>
      <c r="BQ325" s="69"/>
      <c r="BR325" s="69"/>
      <c r="BS325" s="69"/>
      <c r="BT325" s="69"/>
      <c r="BU325" s="69"/>
      <c r="BV325" s="69"/>
      <c r="BW325" s="69"/>
      <c r="BX325" s="69"/>
      <c r="BY325" s="69"/>
      <c r="BZ325" s="69"/>
      <c r="CA325" s="69"/>
      <c r="CB325" s="69"/>
      <c r="CC325" s="69"/>
      <c r="CD325" s="69"/>
      <c r="CE325" s="69"/>
      <c r="CF325" s="69"/>
      <c r="CG325" s="69"/>
      <c r="CH325" s="69"/>
      <c r="CI325" s="69"/>
      <c r="CJ325" s="69"/>
      <c r="CK325" s="69"/>
      <c r="CL325" s="69"/>
      <c r="CM325" s="69"/>
      <c r="CN325" s="69"/>
      <c r="CO325" s="69"/>
      <c r="CP325" s="69"/>
      <c r="CQ325" s="69"/>
      <c r="CR325" s="69"/>
      <c r="CS325" s="69"/>
      <c r="CT325" s="69"/>
      <c r="CU325" s="69"/>
      <c r="CV325" s="69"/>
      <c r="CW325" s="69"/>
      <c r="CX325" s="69"/>
      <c r="CY325" s="69"/>
      <c r="CZ325" s="69"/>
      <c r="DA325" s="69"/>
      <c r="DB325" s="69"/>
      <c r="DC325" s="69"/>
      <c r="DD325" s="69"/>
      <c r="DE325" s="69"/>
      <c r="DF325" s="69"/>
      <c r="DG325" s="69"/>
      <c r="DH325" s="69"/>
    </row>
    <row r="326" ht="20.25" customHeight="1">
      <c r="A326" s="41">
        <v>326.0</v>
      </c>
      <c r="B326" s="365" t="s">
        <v>145</v>
      </c>
      <c r="C326" s="365" t="s">
        <v>108</v>
      </c>
      <c r="D326" s="185" t="s">
        <v>1434</v>
      </c>
      <c r="E326" s="186"/>
      <c r="F326" s="195" t="s">
        <v>1827</v>
      </c>
      <c r="G326" s="55" t="s">
        <v>1853</v>
      </c>
      <c r="H326" s="55" t="s">
        <v>1533</v>
      </c>
      <c r="I326" s="678">
        <v>45638.0</v>
      </c>
      <c r="J326" s="679">
        <v>45670.0</v>
      </c>
      <c r="K326" s="111"/>
      <c r="L326" s="111"/>
      <c r="M326" s="109" t="s">
        <v>1830</v>
      </c>
      <c r="N326" s="109" t="s">
        <v>1831</v>
      </c>
      <c r="O326" s="144">
        <v>1.0</v>
      </c>
      <c r="P326" s="118" t="str">
        <f t="shared" si="12"/>
        <v>10.1017--s1366728914000273.pdf</v>
      </c>
      <c r="Q326" s="49" t="str">
        <f t="array" ref="Q326"> if(iserror(MATCH(V326, 'File Links'!C:C, 0)), "N/A", HYPERLINK(INDEX('File Links'!B:B, MATCH(P326, 'File Links'!C:C, 0))))</f>
        <v>https://drive.google.com/file/d/1Baedt_RF56dAcd90mHgk4WyAWq0rNUNl/view?usp=drivesdk</v>
      </c>
      <c r="R326" s="109" t="s">
        <v>1832</v>
      </c>
      <c r="S326" s="109" t="s">
        <v>1833</v>
      </c>
      <c r="T326" s="111"/>
      <c r="U326" s="144">
        <v>1.0</v>
      </c>
      <c r="V326" s="109" t="str">
        <f t="shared" si="10"/>
        <v>10.1017--s0272263124000378.pdf</v>
      </c>
      <c r="W326" s="123" t="s">
        <v>313</v>
      </c>
      <c r="X326" s="51" t="str">
        <f t="array" ref="X326"> if(iserror(MATCH(V326, 'File Links'!C:C, 0)), "N/A", HYPERLINK(INDEX('File Links'!B:B, MATCH(V326, 'File Links'!C:C, 0))))</f>
        <v>https://drive.google.com/file/d/19bZUP_N4YxLTtw7Y4tZumU1mxVv8t29B/view?usp=drivesdk</v>
      </c>
      <c r="Y326" s="111"/>
      <c r="Z326" s="109" t="s">
        <v>288</v>
      </c>
      <c r="AA326" s="109" t="s">
        <v>1834</v>
      </c>
      <c r="AB326" s="109" t="s">
        <v>1835</v>
      </c>
      <c r="AC326" s="109" t="s">
        <v>1854</v>
      </c>
      <c r="AD326" s="109" t="s">
        <v>1855</v>
      </c>
      <c r="AE326" s="114">
        <v>6.0</v>
      </c>
      <c r="AF326" s="114">
        <v>68.0</v>
      </c>
      <c r="AG326" s="114">
        <v>0.45</v>
      </c>
      <c r="AH326" s="117" t="s">
        <v>132</v>
      </c>
      <c r="AI326" s="680" t="s">
        <v>133</v>
      </c>
      <c r="AJ326" s="114">
        <v>0.001</v>
      </c>
      <c r="AK326" s="108" t="s">
        <v>128</v>
      </c>
      <c r="AL326" s="111" t="s">
        <v>179</v>
      </c>
      <c r="AM326" s="111" t="s">
        <v>134</v>
      </c>
      <c r="AN326" s="216" t="s">
        <v>131</v>
      </c>
      <c r="AO326" s="114">
        <v>78.0</v>
      </c>
      <c r="AP326" s="114">
        <v>0.418</v>
      </c>
      <c r="AQ326" s="111" t="s">
        <v>132</v>
      </c>
      <c r="AR326" s="126">
        <v>11.0</v>
      </c>
      <c r="AS326" s="114">
        <v>0.001</v>
      </c>
      <c r="AT326" s="108" t="s">
        <v>128</v>
      </c>
      <c r="AU326" s="108" t="s">
        <v>179</v>
      </c>
      <c r="AV326" s="108" t="s">
        <v>134</v>
      </c>
      <c r="AW326" s="681" t="s">
        <v>131</v>
      </c>
      <c r="AX326" s="119" t="s">
        <v>136</v>
      </c>
      <c r="AY326" s="58"/>
      <c r="AZ326" s="59" t="s">
        <v>137</v>
      </c>
      <c r="BC326" s="69"/>
      <c r="BD326" s="69"/>
      <c r="BE326" s="69"/>
      <c r="BF326" s="69"/>
      <c r="BG326" s="69"/>
      <c r="BH326" s="69"/>
      <c r="BI326" s="69"/>
      <c r="BJ326" s="69"/>
      <c r="BK326" s="69"/>
      <c r="BL326" s="69"/>
      <c r="BM326" s="69"/>
      <c r="BN326" s="69"/>
      <c r="BO326" s="69"/>
      <c r="BP326" s="69"/>
      <c r="BQ326" s="69"/>
      <c r="BR326" s="69"/>
      <c r="BS326" s="69"/>
      <c r="BT326" s="69"/>
      <c r="BU326" s="69"/>
      <c r="BV326" s="69"/>
      <c r="BW326" s="69"/>
      <c r="BX326" s="69"/>
      <c r="BY326" s="69"/>
      <c r="BZ326" s="69"/>
      <c r="CA326" s="69"/>
      <c r="CB326" s="69"/>
      <c r="CC326" s="69"/>
      <c r="CD326" s="69"/>
      <c r="CE326" s="69"/>
      <c r="CF326" s="69"/>
      <c r="CG326" s="69"/>
      <c r="CH326" s="69"/>
      <c r="CI326" s="69"/>
      <c r="CJ326" s="69"/>
      <c r="CK326" s="69"/>
      <c r="CL326" s="69"/>
      <c r="CM326" s="69"/>
      <c r="CN326" s="69"/>
      <c r="CO326" s="69"/>
      <c r="CP326" s="69"/>
      <c r="CQ326" s="69"/>
      <c r="CR326" s="69"/>
      <c r="CS326" s="69"/>
      <c r="CT326" s="69"/>
      <c r="CU326" s="69"/>
      <c r="CV326" s="69"/>
      <c r="CW326" s="69"/>
      <c r="CX326" s="69"/>
      <c r="CY326" s="69"/>
      <c r="CZ326" s="69"/>
      <c r="DA326" s="69"/>
      <c r="DB326" s="69"/>
      <c r="DC326" s="69"/>
      <c r="DD326" s="69"/>
      <c r="DE326" s="69"/>
      <c r="DF326" s="69"/>
      <c r="DG326" s="69"/>
      <c r="DH326" s="69"/>
    </row>
    <row r="327" ht="20.25" customHeight="1">
      <c r="A327" s="41">
        <v>327.0</v>
      </c>
      <c r="B327" s="365" t="s">
        <v>145</v>
      </c>
      <c r="C327" s="365" t="s">
        <v>108</v>
      </c>
      <c r="D327" s="185" t="s">
        <v>1434</v>
      </c>
      <c r="E327" s="186"/>
      <c r="F327" s="195" t="s">
        <v>1827</v>
      </c>
      <c r="G327" s="55" t="s">
        <v>1856</v>
      </c>
      <c r="H327" s="55" t="s">
        <v>1533</v>
      </c>
      <c r="I327" s="678">
        <v>45638.0</v>
      </c>
      <c r="J327" s="679">
        <v>45670.0</v>
      </c>
      <c r="K327" s="111"/>
      <c r="L327" s="209"/>
      <c r="M327" s="109" t="s">
        <v>1830</v>
      </c>
      <c r="N327" s="109" t="s">
        <v>1831</v>
      </c>
      <c r="O327" s="144">
        <v>1.0</v>
      </c>
      <c r="P327" s="118" t="str">
        <f t="shared" si="12"/>
        <v>10.1017--s1366728914000273.pdf</v>
      </c>
      <c r="Q327" s="49" t="str">
        <f t="array" ref="Q327"> if(iserror(MATCH(V327, 'File Links'!C:C, 0)), "N/A", HYPERLINK(INDEX('File Links'!B:B, MATCH(P327, 'File Links'!C:C, 0))))</f>
        <v>https://drive.google.com/file/d/1Baedt_RF56dAcd90mHgk4WyAWq0rNUNl/view?usp=drivesdk</v>
      </c>
      <c r="R327" s="109" t="s">
        <v>1832</v>
      </c>
      <c r="S327" s="109" t="s">
        <v>1833</v>
      </c>
      <c r="T327" s="111"/>
      <c r="U327" s="144">
        <v>1.0</v>
      </c>
      <c r="V327" s="109" t="str">
        <f t="shared" si="10"/>
        <v>10.1017--s0272263124000378.pdf</v>
      </c>
      <c r="W327" s="123" t="s">
        <v>313</v>
      </c>
      <c r="X327" s="51" t="str">
        <f t="array" ref="X327"> if(iserror(MATCH(V327, 'File Links'!C:C, 0)), "N/A", HYPERLINK(INDEX('File Links'!B:B, MATCH(V327, 'File Links'!C:C, 0))))</f>
        <v>https://drive.google.com/file/d/19bZUP_N4YxLTtw7Y4tZumU1mxVv8t29B/view?usp=drivesdk</v>
      </c>
      <c r="Y327" s="111"/>
      <c r="Z327" s="109" t="s">
        <v>288</v>
      </c>
      <c r="AA327" s="109" t="s">
        <v>1834</v>
      </c>
      <c r="AB327" s="109" t="s">
        <v>1835</v>
      </c>
      <c r="AC327" s="109" t="s">
        <v>1857</v>
      </c>
      <c r="AD327" s="109" t="s">
        <v>1858</v>
      </c>
      <c r="AE327" s="114">
        <v>6.0</v>
      </c>
      <c r="AF327" s="114">
        <v>68.0</v>
      </c>
      <c r="AG327" s="113" t="s">
        <v>131</v>
      </c>
      <c r="AH327" s="164" t="s">
        <v>131</v>
      </c>
      <c r="AI327" s="680" t="s">
        <v>133</v>
      </c>
      <c r="AJ327" s="113" t="s">
        <v>131</v>
      </c>
      <c r="AK327" s="113" t="s">
        <v>131</v>
      </c>
      <c r="AL327" s="111" t="s">
        <v>179</v>
      </c>
      <c r="AM327" s="111" t="s">
        <v>134</v>
      </c>
      <c r="AN327" s="216" t="s">
        <v>131</v>
      </c>
      <c r="AO327" s="114">
        <v>78.0</v>
      </c>
      <c r="AP327" s="114">
        <v>0.029</v>
      </c>
      <c r="AQ327" s="111" t="s">
        <v>132</v>
      </c>
      <c r="AR327" s="126">
        <v>11.0</v>
      </c>
      <c r="AS327" s="680">
        <v>0.133</v>
      </c>
      <c r="AT327" s="108" t="s">
        <v>165</v>
      </c>
      <c r="AU327" s="108" t="s">
        <v>179</v>
      </c>
      <c r="AV327" s="108" t="s">
        <v>134</v>
      </c>
      <c r="AW327" s="681" t="s">
        <v>131</v>
      </c>
      <c r="AX327" s="119" t="s">
        <v>136</v>
      </c>
      <c r="AY327" s="126"/>
      <c r="AZ327" s="59" t="s">
        <v>137</v>
      </c>
      <c r="BC327" s="69"/>
      <c r="BD327" s="69"/>
      <c r="BE327" s="69"/>
      <c r="BF327" s="69"/>
      <c r="BG327" s="69"/>
      <c r="BH327" s="69"/>
      <c r="BI327" s="69"/>
      <c r="BJ327" s="69"/>
      <c r="BK327" s="69"/>
      <c r="BL327" s="69"/>
      <c r="BM327" s="69"/>
      <c r="BN327" s="69"/>
      <c r="BO327" s="69"/>
      <c r="BP327" s="69"/>
      <c r="BQ327" s="69"/>
      <c r="BR327" s="69"/>
      <c r="BS327" s="69"/>
      <c r="BT327" s="69"/>
      <c r="BU327" s="69"/>
      <c r="BV327" s="69"/>
      <c r="BW327" s="69"/>
      <c r="BX327" s="69"/>
      <c r="BY327" s="69"/>
      <c r="BZ327" s="69"/>
      <c r="CA327" s="69"/>
      <c r="CB327" s="69"/>
      <c r="CC327" s="69"/>
      <c r="CD327" s="69"/>
      <c r="CE327" s="69"/>
      <c r="CF327" s="69"/>
      <c r="CG327" s="69"/>
      <c r="CH327" s="69"/>
      <c r="CI327" s="69"/>
      <c r="CJ327" s="69"/>
      <c r="CK327" s="69"/>
      <c r="CL327" s="69"/>
      <c r="CM327" s="69"/>
      <c r="CN327" s="69"/>
      <c r="CO327" s="69"/>
      <c r="CP327" s="69"/>
      <c r="CQ327" s="69"/>
      <c r="CR327" s="69"/>
      <c r="CS327" s="69"/>
      <c r="CT327" s="69"/>
      <c r="CU327" s="69"/>
      <c r="CV327" s="69"/>
      <c r="CW327" s="69"/>
      <c r="CX327" s="69"/>
      <c r="CY327" s="69"/>
      <c r="CZ327" s="69"/>
      <c r="DA327" s="69"/>
      <c r="DB327" s="69"/>
      <c r="DC327" s="69"/>
      <c r="DD327" s="69"/>
      <c r="DE327" s="69"/>
      <c r="DF327" s="69"/>
      <c r="DG327" s="69"/>
      <c r="DH327" s="69"/>
    </row>
    <row r="328" ht="20.25" customHeight="1">
      <c r="A328" s="41">
        <v>328.0</v>
      </c>
      <c r="B328" s="365" t="s">
        <v>145</v>
      </c>
      <c r="C328" s="365" t="s">
        <v>108</v>
      </c>
      <c r="D328" s="185" t="s">
        <v>1434</v>
      </c>
      <c r="E328" s="186"/>
      <c r="F328" s="195" t="s">
        <v>1827</v>
      </c>
      <c r="G328" s="55" t="s">
        <v>1859</v>
      </c>
      <c r="H328" s="55" t="s">
        <v>1533</v>
      </c>
      <c r="I328" s="678">
        <v>45638.0</v>
      </c>
      <c r="J328" s="679">
        <v>45670.0</v>
      </c>
      <c r="K328" s="111"/>
      <c r="L328" s="111"/>
      <c r="M328" s="109" t="s">
        <v>1830</v>
      </c>
      <c r="N328" s="109" t="s">
        <v>1831</v>
      </c>
      <c r="O328" s="144">
        <v>1.0</v>
      </c>
      <c r="P328" s="118" t="str">
        <f t="shared" si="12"/>
        <v>10.1017--s1366728914000273.pdf</v>
      </c>
      <c r="Q328" s="49" t="str">
        <f t="array" ref="Q328"> if(iserror(MATCH(V328, 'File Links'!C:C, 0)), "N/A", HYPERLINK(INDEX('File Links'!B:B, MATCH(P328, 'File Links'!C:C, 0))))</f>
        <v>https://drive.google.com/file/d/1Baedt_RF56dAcd90mHgk4WyAWq0rNUNl/view?usp=drivesdk</v>
      </c>
      <c r="R328" s="109" t="s">
        <v>1832</v>
      </c>
      <c r="S328" s="109" t="s">
        <v>1833</v>
      </c>
      <c r="T328" s="111"/>
      <c r="U328" s="144">
        <v>1.0</v>
      </c>
      <c r="V328" s="109" t="str">
        <f t="shared" si="10"/>
        <v>10.1017--s0272263124000378.pdf</v>
      </c>
      <c r="W328" s="123" t="s">
        <v>313</v>
      </c>
      <c r="X328" s="51" t="str">
        <f t="array" ref="X328"> if(iserror(MATCH(V328, 'File Links'!C:C, 0)), "N/A", HYPERLINK(INDEX('File Links'!B:B, MATCH(V328, 'File Links'!C:C, 0))))</f>
        <v>https://drive.google.com/file/d/19bZUP_N4YxLTtw7Y4tZumU1mxVv8t29B/view?usp=drivesdk</v>
      </c>
      <c r="Y328" s="111"/>
      <c r="Z328" s="109" t="s">
        <v>288</v>
      </c>
      <c r="AA328" s="109" t="s">
        <v>1834</v>
      </c>
      <c r="AB328" s="109" t="s">
        <v>1835</v>
      </c>
      <c r="AC328" s="109" t="s">
        <v>1860</v>
      </c>
      <c r="AD328" s="109" t="s">
        <v>1858</v>
      </c>
      <c r="AE328" s="114">
        <v>6.0</v>
      </c>
      <c r="AF328" s="114">
        <v>68.0</v>
      </c>
      <c r="AG328" s="113" t="s">
        <v>131</v>
      </c>
      <c r="AH328" s="164" t="s">
        <v>131</v>
      </c>
      <c r="AI328" s="680" t="s">
        <v>133</v>
      </c>
      <c r="AJ328" s="113" t="s">
        <v>131</v>
      </c>
      <c r="AK328" s="113" t="s">
        <v>131</v>
      </c>
      <c r="AL328" s="111" t="s">
        <v>179</v>
      </c>
      <c r="AM328" s="111" t="s">
        <v>134</v>
      </c>
      <c r="AN328" s="216" t="s">
        <v>131</v>
      </c>
      <c r="AO328" s="114">
        <v>78.0</v>
      </c>
      <c r="AP328" s="114">
        <v>0.015</v>
      </c>
      <c r="AQ328" s="111" t="s">
        <v>132</v>
      </c>
      <c r="AR328" s="126">
        <v>11.0</v>
      </c>
      <c r="AS328" s="114">
        <v>0.282</v>
      </c>
      <c r="AT328" s="108" t="s">
        <v>165</v>
      </c>
      <c r="AU328" s="108" t="s">
        <v>179</v>
      </c>
      <c r="AV328" s="108" t="s">
        <v>134</v>
      </c>
      <c r="AW328" s="681" t="s">
        <v>131</v>
      </c>
      <c r="AX328" s="119" t="s">
        <v>136</v>
      </c>
      <c r="AY328" s="58"/>
      <c r="AZ328" s="59" t="s">
        <v>137</v>
      </c>
      <c r="BC328" s="69"/>
      <c r="BD328" s="69"/>
      <c r="BE328" s="69"/>
      <c r="BF328" s="69"/>
      <c r="BG328" s="69"/>
      <c r="BH328" s="69"/>
      <c r="BI328" s="69"/>
      <c r="BJ328" s="69"/>
      <c r="BK328" s="69"/>
      <c r="BL328" s="69"/>
      <c r="BM328" s="69"/>
      <c r="BN328" s="69"/>
      <c r="BO328" s="69"/>
      <c r="BP328" s="69"/>
      <c r="BQ328" s="69"/>
      <c r="BR328" s="69"/>
      <c r="BS328" s="69"/>
      <c r="BT328" s="69"/>
      <c r="BU328" s="69"/>
      <c r="BV328" s="69"/>
      <c r="BW328" s="69"/>
      <c r="BX328" s="69"/>
      <c r="BY328" s="69"/>
      <c r="BZ328" s="69"/>
      <c r="CA328" s="69"/>
      <c r="CB328" s="69"/>
      <c r="CC328" s="69"/>
      <c r="CD328" s="69"/>
      <c r="CE328" s="69"/>
      <c r="CF328" s="69"/>
      <c r="CG328" s="69"/>
      <c r="CH328" s="69"/>
      <c r="CI328" s="69"/>
      <c r="CJ328" s="69"/>
      <c r="CK328" s="69"/>
      <c r="CL328" s="69"/>
      <c r="CM328" s="69"/>
      <c r="CN328" s="69"/>
      <c r="CO328" s="69"/>
      <c r="CP328" s="69"/>
      <c r="CQ328" s="69"/>
      <c r="CR328" s="69"/>
      <c r="CS328" s="69"/>
      <c r="CT328" s="69"/>
      <c r="CU328" s="69"/>
      <c r="CV328" s="69"/>
      <c r="CW328" s="69"/>
      <c r="CX328" s="69"/>
      <c r="CY328" s="69"/>
      <c r="CZ328" s="69"/>
      <c r="DA328" s="69"/>
      <c r="DB328" s="69"/>
      <c r="DC328" s="69"/>
      <c r="DD328" s="69"/>
      <c r="DE328" s="69"/>
      <c r="DF328" s="69"/>
      <c r="DG328" s="69"/>
      <c r="DH328" s="69"/>
    </row>
    <row r="329" ht="20.25" customHeight="1">
      <c r="A329" s="41">
        <v>329.0</v>
      </c>
      <c r="B329" s="365" t="s">
        <v>107</v>
      </c>
      <c r="C329" s="365" t="s">
        <v>108</v>
      </c>
      <c r="D329" s="365" t="s">
        <v>192</v>
      </c>
      <c r="E329" s="686"/>
      <c r="F329" s="156" t="s">
        <v>1861</v>
      </c>
      <c r="G329" s="54" t="s">
        <v>1862</v>
      </c>
      <c r="H329" s="54" t="s">
        <v>195</v>
      </c>
      <c r="I329" s="431">
        <v>45639.0</v>
      </c>
      <c r="J329" s="679">
        <v>45670.0</v>
      </c>
      <c r="K329" s="54" t="s">
        <v>1863</v>
      </c>
      <c r="L329" s="58"/>
      <c r="M329" s="54" t="s">
        <v>1864</v>
      </c>
      <c r="N329" s="126" t="s">
        <v>1865</v>
      </c>
      <c r="O329" s="58"/>
      <c r="P329" s="603" t="str">
        <f t="shared" si="12"/>
        <v>scholars.indianastate.eduetds--2136.pdf</v>
      </c>
      <c r="Q329" s="49" t="str">
        <f t="array" ref="Q329"> if(iserror(MATCH(V329, 'File Links'!C:C, 0)), "N/A", HYPERLINK(INDEX('File Links'!B:B, MATCH(P329, 'File Links'!C:C, 0))))</f>
        <v>https://drive.google.com/file/d/1jZb-p-3Rc26saHcNX9fyKAs8ayXvLp_G/view?usp=drivesdk</v>
      </c>
      <c r="R329" s="54" t="s">
        <v>1866</v>
      </c>
      <c r="S329" s="126" t="s">
        <v>1867</v>
      </c>
      <c r="T329" s="677" t="s">
        <v>1868</v>
      </c>
      <c r="U329" s="335"/>
      <c r="V329" s="109" t="str">
        <f t="shared" si="10"/>
        <v>digitalcommons.memphis.edu--etd--3538.pdf</v>
      </c>
      <c r="W329" s="54" t="s">
        <v>202</v>
      </c>
      <c r="X329" s="51" t="str">
        <f t="array" ref="X329"> if(iserror(MATCH(V329, 'File Links'!C:C, 0)), "N/A", HYPERLINK(INDEX('File Links'!B:B, MATCH(V329, 'File Links'!C:C, 0))))</f>
        <v>https://drive.google.com/file/d/1mh0lOHypF2E9Nk9sQ57YmqKyEOyrqka8/view?usp=drivesdk</v>
      </c>
      <c r="Y329" s="58"/>
      <c r="Z329" s="54" t="s">
        <v>234</v>
      </c>
      <c r="AA329" s="54" t="s">
        <v>1869</v>
      </c>
      <c r="AB329" s="54" t="s">
        <v>1870</v>
      </c>
      <c r="AC329" s="58"/>
      <c r="AD329" s="58"/>
      <c r="AE329" s="58"/>
      <c r="AF329" s="58"/>
      <c r="AG329" s="58"/>
      <c r="AH329" s="335"/>
      <c r="AI329" s="58"/>
      <c r="AJ329" s="58"/>
      <c r="AK329" s="65"/>
      <c r="AL329" s="58"/>
      <c r="AM329" s="58"/>
      <c r="AN329" s="216" t="s">
        <v>131</v>
      </c>
      <c r="AO329" s="58"/>
      <c r="AP329" s="58"/>
      <c r="AQ329" s="58"/>
      <c r="AR329" s="58"/>
      <c r="AS329" s="58"/>
      <c r="AT329" s="65"/>
      <c r="AU329" s="65"/>
      <c r="AV329" s="65"/>
      <c r="AW329" s="65"/>
      <c r="AX329" s="65"/>
      <c r="AY329" s="58"/>
      <c r="AZ329" s="59" t="s">
        <v>137</v>
      </c>
      <c r="BC329" s="104"/>
      <c r="BD329" s="104"/>
      <c r="BE329" s="104"/>
      <c r="BF329" s="104"/>
      <c r="BG329" s="104"/>
      <c r="BH329" s="104"/>
      <c r="BI329" s="104"/>
      <c r="BJ329" s="104"/>
      <c r="BK329" s="104"/>
      <c r="BL329" s="104"/>
      <c r="BM329" s="104"/>
      <c r="BN329" s="104"/>
      <c r="BO329" s="104"/>
      <c r="BP329" s="104"/>
      <c r="BQ329" s="104"/>
      <c r="BR329" s="104"/>
      <c r="BS329" s="104"/>
      <c r="BT329" s="104"/>
      <c r="BU329" s="104"/>
      <c r="BV329" s="104"/>
      <c r="BW329" s="104"/>
      <c r="BX329" s="104"/>
      <c r="BY329" s="104"/>
      <c r="BZ329" s="104"/>
      <c r="CA329" s="104"/>
      <c r="CB329" s="104"/>
      <c r="CC329" s="104"/>
      <c r="CD329" s="104"/>
      <c r="CE329" s="104"/>
      <c r="CF329" s="104"/>
      <c r="CG329" s="104"/>
      <c r="CH329" s="104"/>
      <c r="CI329" s="104"/>
      <c r="CJ329" s="104"/>
      <c r="CK329" s="104"/>
      <c r="CL329" s="104"/>
      <c r="CM329" s="104"/>
      <c r="CN329" s="104"/>
      <c r="CO329" s="104"/>
      <c r="CP329" s="104"/>
      <c r="CQ329" s="104"/>
      <c r="CR329" s="104"/>
      <c r="CS329" s="104"/>
      <c r="CT329" s="104"/>
      <c r="CU329" s="104"/>
      <c r="CV329" s="104"/>
      <c r="CW329" s="104"/>
      <c r="CX329" s="104"/>
      <c r="CY329" s="104"/>
      <c r="CZ329" s="104"/>
      <c r="DA329" s="104"/>
      <c r="DB329" s="104"/>
      <c r="DC329" s="104"/>
      <c r="DD329" s="104"/>
      <c r="DE329" s="104"/>
      <c r="DF329" s="104"/>
      <c r="DG329" s="104"/>
      <c r="DH329" s="104"/>
    </row>
    <row r="330" ht="20.25" customHeight="1">
      <c r="A330" s="41">
        <v>330.0</v>
      </c>
      <c r="B330" s="185" t="s">
        <v>145</v>
      </c>
      <c r="C330" s="185" t="s">
        <v>108</v>
      </c>
      <c r="D330" s="185" t="s">
        <v>279</v>
      </c>
      <c r="E330" s="186"/>
      <c r="F330" s="65" t="s">
        <v>1861</v>
      </c>
      <c r="G330" s="54" t="s">
        <v>1862</v>
      </c>
      <c r="H330" s="148" t="s">
        <v>279</v>
      </c>
      <c r="I330" s="431">
        <v>45636.0</v>
      </c>
      <c r="J330" s="679">
        <v>45670.0</v>
      </c>
      <c r="K330" s="156" t="s">
        <v>1871</v>
      </c>
      <c r="L330" s="209" t="s">
        <v>1872</v>
      </c>
      <c r="M330" s="687" t="s">
        <v>1873</v>
      </c>
      <c r="N330" s="126" t="s">
        <v>1865</v>
      </c>
      <c r="O330" s="126">
        <v>1.0</v>
      </c>
      <c r="P330" s="603" t="str">
        <f t="shared" si="12"/>
        <v>scholars.indianastate.eduetds--2136.pdf</v>
      </c>
      <c r="Q330" s="49" t="str">
        <f t="array" ref="Q330"> if(iserror(MATCH(V330, 'File Links'!C:C, 0)), "N/A", HYPERLINK(INDEX('File Links'!B:B, MATCH(P330, 'File Links'!C:C, 0))))</f>
        <v>https://drive.google.com/file/d/1jZb-p-3Rc26saHcNX9fyKAs8ayXvLp_G/view?usp=drivesdk</v>
      </c>
      <c r="R330" s="156" t="s">
        <v>1866</v>
      </c>
      <c r="S330" s="126" t="s">
        <v>1867</v>
      </c>
      <c r="T330" s="677" t="s">
        <v>1868</v>
      </c>
      <c r="U330" s="144">
        <v>1.0</v>
      </c>
      <c r="V330" s="109" t="str">
        <f t="shared" si="10"/>
        <v>digitalcommons.memphis.edu--etd--3538.pdf</v>
      </c>
      <c r="W330" s="54" t="s">
        <v>202</v>
      </c>
      <c r="X330" s="51" t="str">
        <f t="array" ref="X330"> if(iserror(MATCH(V330, 'File Links'!C:C, 0)), "N/A", HYPERLINK(INDEX('File Links'!B:B, MATCH(V330, 'File Links'!C:C, 0))))</f>
        <v>https://drive.google.com/file/d/1mh0lOHypF2E9Nk9sQ57YmqKyEOyrqka8/view?usp=drivesdk</v>
      </c>
      <c r="Y330" s="65"/>
      <c r="Z330" s="156" t="s">
        <v>234</v>
      </c>
      <c r="AA330" s="156" t="s">
        <v>1874</v>
      </c>
      <c r="AB330" s="156" t="s">
        <v>1875</v>
      </c>
      <c r="AC330" s="156" t="s">
        <v>1876</v>
      </c>
      <c r="AD330" s="156" t="s">
        <v>1877</v>
      </c>
      <c r="AE330" s="153">
        <v>77.0</v>
      </c>
      <c r="AF330" s="153">
        <v>1110.0</v>
      </c>
      <c r="AG330" s="148" t="s">
        <v>1878</v>
      </c>
      <c r="AH330" s="346" t="s">
        <v>127</v>
      </c>
      <c r="AI330" s="148" t="s">
        <v>1879</v>
      </c>
      <c r="AJ330" s="376">
        <v>0.0</v>
      </c>
      <c r="AK330" s="156" t="s">
        <v>165</v>
      </c>
      <c r="AL330" s="54" t="s">
        <v>179</v>
      </c>
      <c r="AM330" s="65" t="s">
        <v>130</v>
      </c>
      <c r="AN330" s="216" t="s">
        <v>131</v>
      </c>
      <c r="AO330" s="65"/>
      <c r="AP330" s="148" t="s">
        <v>1880</v>
      </c>
      <c r="AQ330" s="156" t="s">
        <v>127</v>
      </c>
      <c r="AR330" s="156" t="s">
        <v>1881</v>
      </c>
      <c r="AS330" s="153">
        <v>0.001</v>
      </c>
      <c r="AT330" s="156" t="s">
        <v>128</v>
      </c>
      <c r="AU330" s="156" t="s">
        <v>179</v>
      </c>
      <c r="AV330" s="65" t="s">
        <v>130</v>
      </c>
      <c r="AW330" s="126" t="s">
        <v>131</v>
      </c>
      <c r="AX330" s="65" t="s">
        <v>136</v>
      </c>
      <c r="AY330" s="126" t="s">
        <v>1872</v>
      </c>
      <c r="AZ330" s="59" t="s">
        <v>137</v>
      </c>
      <c r="BC330" s="104"/>
      <c r="BD330" s="104"/>
      <c r="BE330" s="104"/>
      <c r="BF330" s="104"/>
      <c r="BG330" s="104"/>
      <c r="BH330" s="104"/>
      <c r="BI330" s="104"/>
      <c r="BJ330" s="104"/>
      <c r="BK330" s="104"/>
      <c r="BL330" s="104"/>
      <c r="BM330" s="104"/>
      <c r="BN330" s="104"/>
      <c r="BO330" s="104"/>
      <c r="BP330" s="104"/>
      <c r="BQ330" s="104"/>
      <c r="BR330" s="104"/>
      <c r="BS330" s="104"/>
      <c r="BT330" s="104"/>
      <c r="BU330" s="104"/>
      <c r="BV330" s="104"/>
      <c r="BW330" s="104"/>
      <c r="BX330" s="104"/>
      <c r="BY330" s="104"/>
      <c r="BZ330" s="104"/>
      <c r="CA330" s="104"/>
      <c r="CB330" s="104"/>
      <c r="CC330" s="104"/>
      <c r="CD330" s="104"/>
      <c r="CE330" s="104"/>
      <c r="CF330" s="104"/>
      <c r="CG330" s="104"/>
      <c r="CH330" s="104"/>
      <c r="CI330" s="104"/>
      <c r="CJ330" s="104"/>
      <c r="CK330" s="104"/>
      <c r="CL330" s="104"/>
      <c r="CM330" s="104"/>
      <c r="CN330" s="104"/>
      <c r="CO330" s="104"/>
      <c r="CP330" s="104"/>
      <c r="CQ330" s="104"/>
      <c r="CR330" s="104"/>
      <c r="CS330" s="104"/>
      <c r="CT330" s="104"/>
      <c r="CU330" s="104"/>
      <c r="CV330" s="104"/>
      <c r="CW330" s="104"/>
      <c r="CX330" s="104"/>
      <c r="CY330" s="104"/>
      <c r="CZ330" s="104"/>
      <c r="DA330" s="104"/>
      <c r="DB330" s="104"/>
      <c r="DC330" s="104"/>
      <c r="DD330" s="104"/>
      <c r="DE330" s="104"/>
      <c r="DF330" s="104"/>
      <c r="DG330" s="104"/>
      <c r="DH330" s="104"/>
    </row>
    <row r="331" ht="20.25" customHeight="1">
      <c r="A331" s="41">
        <v>331.0</v>
      </c>
      <c r="B331" s="365" t="s">
        <v>107</v>
      </c>
      <c r="C331" s="365" t="s">
        <v>108</v>
      </c>
      <c r="D331" s="365" t="s">
        <v>192</v>
      </c>
      <c r="E331" s="686"/>
      <c r="F331" s="119" t="s">
        <v>1882</v>
      </c>
      <c r="G331" s="109" t="s">
        <v>1883</v>
      </c>
      <c r="H331" s="109" t="s">
        <v>195</v>
      </c>
      <c r="I331" s="110">
        <v>45639.0</v>
      </c>
      <c r="J331" s="688">
        <v>45670.0</v>
      </c>
      <c r="K331" s="109" t="s">
        <v>1884</v>
      </c>
      <c r="L331" s="209" t="s">
        <v>1885</v>
      </c>
      <c r="M331" s="109" t="s">
        <v>1886</v>
      </c>
      <c r="N331" s="109" t="s">
        <v>1887</v>
      </c>
      <c r="O331" s="111"/>
      <c r="P331" s="118" t="s">
        <v>1888</v>
      </c>
      <c r="Q331" s="49" t="str">
        <f t="array" ref="Q331"> if(iserror(MATCH(V331, 'File Links'!C:C, 0)), "N/A", HYPERLINK(INDEX('File Links'!B:B, MATCH(P331, 'File Links'!C:C, 0))))</f>
        <v>https://drive.google.com/file/d/1h26KXyOgQpabChNDwArC5YlDBW4_cfve/view?usp=drivesdk</v>
      </c>
      <c r="R331" s="109" t="s">
        <v>1889</v>
      </c>
      <c r="S331" s="144" t="s">
        <v>1890</v>
      </c>
      <c r="T331" s="689" t="s">
        <v>1891</v>
      </c>
      <c r="U331" s="117"/>
      <c r="V331" s="109" t="str">
        <f t="shared" si="10"/>
        <v>kontkanen_jaakko_thesis_2024.pdf</v>
      </c>
      <c r="W331" s="109" t="s">
        <v>202</v>
      </c>
      <c r="X331" s="51" t="str">
        <f t="array" ref="X331"> if(iserror(MATCH(V331, 'File Links'!C:C, 0)), "N/A", HYPERLINK(INDEX('File Links'!B:B, MATCH(V331, 'File Links'!C:C, 0))))</f>
        <v>https://drive.google.com/file/d/1AUxxuZsTugos0bfw5gX9jMDqt7bWDrfc/view?usp=drivesdk</v>
      </c>
      <c r="Y331" s="111"/>
      <c r="Z331" s="109" t="s">
        <v>288</v>
      </c>
      <c r="AA331" s="109" t="s">
        <v>1892</v>
      </c>
      <c r="AB331" s="109" t="s">
        <v>1893</v>
      </c>
      <c r="AC331" s="109" t="s">
        <v>1894</v>
      </c>
      <c r="AD331" s="109" t="s">
        <v>1895</v>
      </c>
      <c r="AE331" s="114">
        <v>2.0</v>
      </c>
      <c r="AF331" s="114">
        <v>40.0</v>
      </c>
      <c r="AG331" s="113" t="s">
        <v>1896</v>
      </c>
      <c r="AH331" s="118" t="s">
        <v>127</v>
      </c>
      <c r="AI331" s="109" t="s">
        <v>1897</v>
      </c>
      <c r="AJ331" s="114">
        <v>0.02</v>
      </c>
      <c r="AK331" s="119" t="s">
        <v>128</v>
      </c>
      <c r="AL331" s="109" t="s">
        <v>179</v>
      </c>
      <c r="AM331" s="111" t="s">
        <v>1898</v>
      </c>
      <c r="AN331" s="216" t="s">
        <v>131</v>
      </c>
      <c r="AO331" s="114">
        <v>127.0</v>
      </c>
      <c r="AP331" s="144" t="s">
        <v>1899</v>
      </c>
      <c r="AQ331" s="109" t="s">
        <v>127</v>
      </c>
      <c r="AR331" s="109" t="s">
        <v>1900</v>
      </c>
      <c r="AS331" s="114">
        <v>0.126</v>
      </c>
      <c r="AT331" s="119" t="s">
        <v>165</v>
      </c>
      <c r="AU331" s="119" t="s">
        <v>179</v>
      </c>
      <c r="AV331" s="108" t="s">
        <v>1898</v>
      </c>
      <c r="AW331" s="108"/>
      <c r="AX331" s="108" t="s">
        <v>136</v>
      </c>
      <c r="AY331" s="126" t="s">
        <v>1885</v>
      </c>
      <c r="AZ331" s="59" t="s">
        <v>137</v>
      </c>
      <c r="BC331" s="104"/>
      <c r="BD331" s="104"/>
      <c r="BE331" s="104"/>
      <c r="BF331" s="104"/>
      <c r="BG331" s="104"/>
      <c r="BH331" s="104"/>
      <c r="BI331" s="104"/>
      <c r="BJ331" s="104"/>
      <c r="BK331" s="104"/>
      <c r="BL331" s="104"/>
      <c r="BM331" s="104"/>
      <c r="BN331" s="104"/>
      <c r="BO331" s="104"/>
      <c r="BP331" s="104"/>
      <c r="BQ331" s="104"/>
      <c r="BR331" s="104"/>
      <c r="BS331" s="104"/>
      <c r="BT331" s="104"/>
      <c r="BU331" s="104"/>
      <c r="BV331" s="104"/>
      <c r="BW331" s="104"/>
      <c r="BX331" s="104"/>
      <c r="BY331" s="104"/>
      <c r="BZ331" s="104"/>
      <c r="CA331" s="104"/>
      <c r="CB331" s="104"/>
      <c r="CC331" s="104"/>
      <c r="CD331" s="104"/>
      <c r="CE331" s="104"/>
      <c r="CF331" s="104"/>
      <c r="CG331" s="104"/>
      <c r="CH331" s="104"/>
      <c r="CI331" s="104"/>
      <c r="CJ331" s="104"/>
      <c r="CK331" s="104"/>
      <c r="CL331" s="104"/>
      <c r="CM331" s="104"/>
      <c r="CN331" s="104"/>
      <c r="CO331" s="104"/>
      <c r="CP331" s="104"/>
      <c r="CQ331" s="104"/>
      <c r="CR331" s="104"/>
      <c r="CS331" s="104"/>
      <c r="CT331" s="104"/>
      <c r="CU331" s="104"/>
      <c r="CV331" s="104"/>
      <c r="CW331" s="104"/>
      <c r="CX331" s="104"/>
      <c r="CY331" s="104"/>
      <c r="CZ331" s="104"/>
      <c r="DA331" s="104"/>
      <c r="DB331" s="104"/>
      <c r="DC331" s="104"/>
      <c r="DD331" s="104"/>
      <c r="DE331" s="104"/>
      <c r="DF331" s="104"/>
      <c r="DG331" s="104"/>
      <c r="DH331" s="104"/>
    </row>
    <row r="332" ht="20.25" customHeight="1">
      <c r="A332" s="41">
        <v>332.0</v>
      </c>
      <c r="B332" s="185" t="s">
        <v>145</v>
      </c>
      <c r="C332" s="185" t="s">
        <v>108</v>
      </c>
      <c r="D332" s="185" t="s">
        <v>279</v>
      </c>
      <c r="E332" s="186"/>
      <c r="F332" s="234" t="s">
        <v>1882</v>
      </c>
      <c r="G332" s="226" t="s">
        <v>1883</v>
      </c>
      <c r="H332" s="232" t="s">
        <v>282</v>
      </c>
      <c r="I332" s="227">
        <v>45634.0</v>
      </c>
      <c r="J332" s="690">
        <v>45670.0</v>
      </c>
      <c r="K332" s="232" t="s">
        <v>1901</v>
      </c>
      <c r="L332" s="209" t="s">
        <v>1902</v>
      </c>
      <c r="M332" s="691" t="s">
        <v>1903</v>
      </c>
      <c r="N332" s="232" t="s">
        <v>1887</v>
      </c>
      <c r="O332" s="692">
        <v>1.0</v>
      </c>
      <c r="P332" s="232" t="s">
        <v>1888</v>
      </c>
      <c r="Q332" s="49" t="str">
        <f t="array" ref="Q332"> if(iserror(MATCH(V332, 'File Links'!C:C, 0)), "N/A", HYPERLINK(INDEX('File Links'!B:B, MATCH(P332, 'File Links'!C:C, 0))))</f>
        <v>https://drive.google.com/file/d/1h26KXyOgQpabChNDwArC5YlDBW4_cfve/view?usp=drivesdk</v>
      </c>
      <c r="R332" s="232" t="s">
        <v>1889</v>
      </c>
      <c r="S332" s="692" t="s">
        <v>1890</v>
      </c>
      <c r="T332" s="689" t="s">
        <v>1891</v>
      </c>
      <c r="U332" s="144">
        <v>1.0</v>
      </c>
      <c r="V332" s="109" t="str">
        <f t="shared" si="10"/>
        <v>kontkanen_jaakko_thesis_2024.pdf</v>
      </c>
      <c r="W332" s="109" t="s">
        <v>202</v>
      </c>
      <c r="X332" s="51" t="str">
        <f t="array" ref="X332"> if(iserror(MATCH(V332, 'File Links'!C:C, 0)), "N/A", HYPERLINK(INDEX('File Links'!B:B, MATCH(V332, 'File Links'!C:C, 0))))</f>
        <v>https://drive.google.com/file/d/1AUxxuZsTugos0bfw5gX9jMDqt7bWDrfc/view?usp=drivesdk</v>
      </c>
      <c r="Y332" s="234"/>
      <c r="Z332" s="232" t="s">
        <v>288</v>
      </c>
      <c r="AA332" s="232" t="s">
        <v>1904</v>
      </c>
      <c r="AB332" s="232" t="s">
        <v>1905</v>
      </c>
      <c r="AC332" s="232" t="s">
        <v>1906</v>
      </c>
      <c r="AD332" s="231" t="s">
        <v>1907</v>
      </c>
      <c r="AE332" s="693">
        <v>100.0</v>
      </c>
      <c r="AF332" s="693">
        <v>40.0</v>
      </c>
      <c r="AG332" s="113" t="s">
        <v>1896</v>
      </c>
      <c r="AH332" s="118" t="s">
        <v>127</v>
      </c>
      <c r="AI332" s="231" t="s">
        <v>1908</v>
      </c>
      <c r="AJ332" s="229">
        <v>0.02</v>
      </c>
      <c r="AK332" s="232" t="s">
        <v>128</v>
      </c>
      <c r="AL332" s="226" t="s">
        <v>179</v>
      </c>
      <c r="AM332" s="234" t="s">
        <v>130</v>
      </c>
      <c r="AN332" s="216" t="s">
        <v>131</v>
      </c>
      <c r="AO332" s="693">
        <v>40.0</v>
      </c>
      <c r="AP332" s="144" t="s">
        <v>1899</v>
      </c>
      <c r="AQ332" s="109" t="s">
        <v>127</v>
      </c>
      <c r="AR332" s="232" t="s">
        <v>164</v>
      </c>
      <c r="AS332" s="693">
        <v>0.126</v>
      </c>
      <c r="AT332" s="232" t="s">
        <v>165</v>
      </c>
      <c r="AU332" s="232" t="s">
        <v>179</v>
      </c>
      <c r="AV332" s="234" t="s">
        <v>130</v>
      </c>
      <c r="AW332" s="692" t="s">
        <v>131</v>
      </c>
      <c r="AX332" s="234" t="s">
        <v>136</v>
      </c>
      <c r="AY332" s="126" t="s">
        <v>1902</v>
      </c>
      <c r="AZ332" s="59" t="s">
        <v>137</v>
      </c>
      <c r="BC332" s="104"/>
      <c r="BD332" s="104"/>
      <c r="BE332" s="104"/>
      <c r="BF332" s="104"/>
      <c r="BG332" s="104"/>
      <c r="BH332" s="104"/>
      <c r="BI332" s="104"/>
      <c r="BJ332" s="104"/>
      <c r="BK332" s="104"/>
      <c r="BL332" s="104"/>
      <c r="BM332" s="104"/>
      <c r="BN332" s="104"/>
      <c r="BO332" s="104"/>
      <c r="BP332" s="104"/>
      <c r="BQ332" s="104"/>
      <c r="BR332" s="104"/>
      <c r="BS332" s="104"/>
      <c r="BT332" s="104"/>
      <c r="BU332" s="104"/>
      <c r="BV332" s="104"/>
      <c r="BW332" s="104"/>
      <c r="BX332" s="104"/>
      <c r="BY332" s="104"/>
      <c r="BZ332" s="104"/>
      <c r="CA332" s="104"/>
      <c r="CB332" s="104"/>
      <c r="CC332" s="104"/>
      <c r="CD332" s="104"/>
      <c r="CE332" s="104"/>
      <c r="CF332" s="104"/>
      <c r="CG332" s="104"/>
      <c r="CH332" s="104"/>
      <c r="CI332" s="104"/>
      <c r="CJ332" s="104"/>
      <c r="CK332" s="104"/>
      <c r="CL332" s="104"/>
      <c r="CM332" s="104"/>
      <c r="CN332" s="104"/>
      <c r="CO332" s="104"/>
      <c r="CP332" s="104"/>
      <c r="CQ332" s="104"/>
      <c r="CR332" s="104"/>
      <c r="CS332" s="104"/>
      <c r="CT332" s="104"/>
      <c r="CU332" s="104"/>
      <c r="CV332" s="104"/>
      <c r="CW332" s="104"/>
      <c r="CX332" s="104"/>
      <c r="CY332" s="104"/>
      <c r="CZ332" s="104"/>
      <c r="DA332" s="104"/>
      <c r="DB332" s="104"/>
      <c r="DC332" s="104"/>
      <c r="DD332" s="104"/>
      <c r="DE332" s="104"/>
      <c r="DF332" s="104"/>
      <c r="DG332" s="104"/>
      <c r="DH332" s="104"/>
    </row>
    <row r="333" ht="20.25" customHeight="1">
      <c r="A333" s="41">
        <v>333.0</v>
      </c>
      <c r="B333" s="365" t="s">
        <v>107</v>
      </c>
      <c r="C333" s="365" t="s">
        <v>108</v>
      </c>
      <c r="D333" s="365" t="s">
        <v>192</v>
      </c>
      <c r="E333" s="686"/>
      <c r="F333" s="234" t="s">
        <v>1882</v>
      </c>
      <c r="G333" s="109" t="s">
        <v>1909</v>
      </c>
      <c r="H333" s="109" t="s">
        <v>195</v>
      </c>
      <c r="I333" s="110">
        <v>45639.0</v>
      </c>
      <c r="J333" s="688">
        <v>45670.0</v>
      </c>
      <c r="K333" s="109" t="s">
        <v>1910</v>
      </c>
      <c r="L333" s="111"/>
      <c r="M333" s="109" t="s">
        <v>1886</v>
      </c>
      <c r="N333" s="109" t="s">
        <v>1887</v>
      </c>
      <c r="O333" s="111"/>
      <c r="P333" s="118" t="s">
        <v>1888</v>
      </c>
      <c r="Q333" s="49" t="str">
        <f t="array" ref="Q333"> if(iserror(MATCH(V333, 'File Links'!C:C, 0)), "N/A", HYPERLINK(INDEX('File Links'!B:B, MATCH(P333, 'File Links'!C:C, 0))))</f>
        <v>https://drive.google.com/file/d/1h26KXyOgQpabChNDwArC5YlDBW4_cfve/view?usp=drivesdk</v>
      </c>
      <c r="R333" s="109" t="s">
        <v>1889</v>
      </c>
      <c r="S333" s="144" t="s">
        <v>1890</v>
      </c>
      <c r="T333" s="689" t="s">
        <v>1891</v>
      </c>
      <c r="U333" s="117"/>
      <c r="V333" s="109" t="str">
        <f t="shared" si="10"/>
        <v>kontkanen_jaakko_thesis_2024.pdf</v>
      </c>
      <c r="W333" s="109" t="s">
        <v>202</v>
      </c>
      <c r="X333" s="51" t="str">
        <f t="array" ref="X333"> if(iserror(MATCH(V333, 'File Links'!C:C, 0)), "N/A", HYPERLINK(INDEX('File Links'!B:B, MATCH(V333, 'File Links'!C:C, 0))))</f>
        <v>https://drive.google.com/file/d/1AUxxuZsTugos0bfw5gX9jMDqt7bWDrfc/view?usp=drivesdk</v>
      </c>
      <c r="Y333" s="111"/>
      <c r="Z333" s="109" t="s">
        <v>288</v>
      </c>
      <c r="AA333" s="109" t="s">
        <v>1892</v>
      </c>
      <c r="AB333" s="109" t="s">
        <v>1893</v>
      </c>
      <c r="AC333" s="109" t="s">
        <v>1894</v>
      </c>
      <c r="AD333" s="109" t="s">
        <v>1895</v>
      </c>
      <c r="AE333" s="114">
        <v>2.0</v>
      </c>
      <c r="AF333" s="114">
        <v>40.0</v>
      </c>
      <c r="AG333" s="113" t="s">
        <v>1911</v>
      </c>
      <c r="AH333" s="118" t="s">
        <v>127</v>
      </c>
      <c r="AI333" s="109" t="s">
        <v>1897</v>
      </c>
      <c r="AJ333" s="114">
        <v>0.05</v>
      </c>
      <c r="AK333" s="119" t="s">
        <v>328</v>
      </c>
      <c r="AL333" s="109" t="s">
        <v>179</v>
      </c>
      <c r="AM333" s="111" t="s">
        <v>1898</v>
      </c>
      <c r="AN333" s="216" t="s">
        <v>131</v>
      </c>
      <c r="AO333" s="114">
        <v>127.0</v>
      </c>
      <c r="AP333" s="144" t="s">
        <v>1912</v>
      </c>
      <c r="AQ333" s="109" t="s">
        <v>127</v>
      </c>
      <c r="AR333" s="109" t="s">
        <v>1900</v>
      </c>
      <c r="AS333" s="114">
        <v>0.19</v>
      </c>
      <c r="AT333" s="119" t="s">
        <v>165</v>
      </c>
      <c r="AU333" s="119" t="s">
        <v>179</v>
      </c>
      <c r="AV333" s="108" t="s">
        <v>1898</v>
      </c>
      <c r="AW333" s="108"/>
      <c r="AX333" s="108" t="s">
        <v>136</v>
      </c>
      <c r="AY333" s="58"/>
      <c r="AZ333" s="59" t="s">
        <v>137</v>
      </c>
      <c r="BC333" s="104"/>
      <c r="BD333" s="104"/>
      <c r="BE333" s="104"/>
      <c r="BF333" s="104"/>
      <c r="BG333" s="104"/>
      <c r="BH333" s="104"/>
      <c r="BI333" s="104"/>
      <c r="BJ333" s="104"/>
      <c r="BK333" s="104"/>
      <c r="BL333" s="104"/>
      <c r="BM333" s="104"/>
      <c r="BN333" s="104"/>
      <c r="BO333" s="104"/>
      <c r="BP333" s="104"/>
      <c r="BQ333" s="104"/>
      <c r="BR333" s="104"/>
      <c r="BS333" s="104"/>
      <c r="BT333" s="104"/>
      <c r="BU333" s="104"/>
      <c r="BV333" s="104"/>
      <c r="BW333" s="104"/>
      <c r="BX333" s="104"/>
      <c r="BY333" s="104"/>
      <c r="BZ333" s="104"/>
      <c r="CA333" s="104"/>
      <c r="CB333" s="104"/>
      <c r="CC333" s="104"/>
      <c r="CD333" s="104"/>
      <c r="CE333" s="104"/>
      <c r="CF333" s="104"/>
      <c r="CG333" s="104"/>
      <c r="CH333" s="104"/>
      <c r="CI333" s="104"/>
      <c r="CJ333" s="104"/>
      <c r="CK333" s="104"/>
      <c r="CL333" s="104"/>
      <c r="CM333" s="104"/>
      <c r="CN333" s="104"/>
      <c r="CO333" s="104"/>
      <c r="CP333" s="104"/>
      <c r="CQ333" s="104"/>
      <c r="CR333" s="104"/>
      <c r="CS333" s="104"/>
      <c r="CT333" s="104"/>
      <c r="CU333" s="104"/>
      <c r="CV333" s="104"/>
      <c r="CW333" s="104"/>
      <c r="CX333" s="104"/>
      <c r="CY333" s="104"/>
      <c r="CZ333" s="104"/>
      <c r="DA333" s="104"/>
      <c r="DB333" s="104"/>
      <c r="DC333" s="104"/>
      <c r="DD333" s="104"/>
      <c r="DE333" s="104"/>
      <c r="DF333" s="104"/>
      <c r="DG333" s="104"/>
      <c r="DH333" s="104"/>
    </row>
    <row r="334" ht="20.25" customHeight="1">
      <c r="A334" s="41">
        <v>334.0</v>
      </c>
      <c r="B334" s="185" t="s">
        <v>145</v>
      </c>
      <c r="C334" s="185" t="s">
        <v>108</v>
      </c>
      <c r="D334" s="185" t="s">
        <v>279</v>
      </c>
      <c r="E334" s="186"/>
      <c r="F334" s="234" t="s">
        <v>1882</v>
      </c>
      <c r="G334" s="226" t="s">
        <v>1909</v>
      </c>
      <c r="H334" s="232" t="s">
        <v>282</v>
      </c>
      <c r="I334" s="227">
        <v>45634.0</v>
      </c>
      <c r="J334" s="690">
        <v>45670.0</v>
      </c>
      <c r="K334" s="232" t="s">
        <v>1901</v>
      </c>
      <c r="L334" s="234"/>
      <c r="M334" s="691" t="s">
        <v>1913</v>
      </c>
      <c r="N334" s="232" t="s">
        <v>1887</v>
      </c>
      <c r="O334" s="692">
        <v>1.0</v>
      </c>
      <c r="P334" s="232" t="s">
        <v>1888</v>
      </c>
      <c r="Q334" s="49" t="str">
        <f t="array" ref="Q334"> if(iserror(MATCH(V334, 'File Links'!C:C, 0)), "N/A", HYPERLINK(INDEX('File Links'!B:B, MATCH(P334, 'File Links'!C:C, 0))))</f>
        <v>https://drive.google.com/file/d/1h26KXyOgQpabChNDwArC5YlDBW4_cfve/view?usp=drivesdk</v>
      </c>
      <c r="R334" s="232" t="s">
        <v>1889</v>
      </c>
      <c r="S334" s="692" t="s">
        <v>1890</v>
      </c>
      <c r="T334" s="689" t="s">
        <v>1891</v>
      </c>
      <c r="U334" s="144">
        <v>1.0</v>
      </c>
      <c r="V334" s="109" t="str">
        <f t="shared" si="10"/>
        <v>kontkanen_jaakko_thesis_2024.pdf</v>
      </c>
      <c r="W334" s="109" t="s">
        <v>202</v>
      </c>
      <c r="X334" s="51" t="str">
        <f t="array" ref="X334"> if(iserror(MATCH(V334, 'File Links'!C:C, 0)), "N/A", HYPERLINK(INDEX('File Links'!B:B, MATCH(V334, 'File Links'!C:C, 0))))</f>
        <v>https://drive.google.com/file/d/1AUxxuZsTugos0bfw5gX9jMDqt7bWDrfc/view?usp=drivesdk</v>
      </c>
      <c r="Y334" s="234"/>
      <c r="Z334" s="232" t="s">
        <v>288</v>
      </c>
      <c r="AA334" s="232" t="s">
        <v>1914</v>
      </c>
      <c r="AB334" s="232" t="s">
        <v>1905</v>
      </c>
      <c r="AC334" s="232" t="s">
        <v>1915</v>
      </c>
      <c r="AD334" s="231" t="s">
        <v>1907</v>
      </c>
      <c r="AE334" s="693">
        <v>100.0</v>
      </c>
      <c r="AF334" s="693">
        <v>40.0</v>
      </c>
      <c r="AG334" s="113" t="s">
        <v>1911</v>
      </c>
      <c r="AH334" s="118" t="s">
        <v>127</v>
      </c>
      <c r="AI334" s="226" t="s">
        <v>1916</v>
      </c>
      <c r="AJ334" s="229">
        <v>0.05</v>
      </c>
      <c r="AK334" s="232" t="s">
        <v>128</v>
      </c>
      <c r="AL334" s="226" t="s">
        <v>179</v>
      </c>
      <c r="AM334" s="234" t="s">
        <v>130</v>
      </c>
      <c r="AN334" s="216" t="s">
        <v>131</v>
      </c>
      <c r="AO334" s="693">
        <v>40.0</v>
      </c>
      <c r="AP334" s="144" t="s">
        <v>1912</v>
      </c>
      <c r="AQ334" s="109" t="s">
        <v>127</v>
      </c>
      <c r="AR334" s="232" t="s">
        <v>164</v>
      </c>
      <c r="AS334" s="693">
        <v>0.19</v>
      </c>
      <c r="AT334" s="232" t="s">
        <v>165</v>
      </c>
      <c r="AU334" s="232" t="s">
        <v>179</v>
      </c>
      <c r="AV334" s="234" t="s">
        <v>130</v>
      </c>
      <c r="AW334" s="692" t="s">
        <v>131</v>
      </c>
      <c r="AX334" s="234" t="s">
        <v>136</v>
      </c>
      <c r="AY334" s="65"/>
      <c r="AZ334" s="59" t="s">
        <v>137</v>
      </c>
      <c r="BC334" s="104"/>
      <c r="BD334" s="104"/>
      <c r="BE334" s="104"/>
      <c r="BF334" s="104"/>
      <c r="BG334" s="104"/>
      <c r="BH334" s="104"/>
      <c r="BI334" s="104"/>
      <c r="BJ334" s="104"/>
      <c r="BK334" s="104"/>
      <c r="BL334" s="104"/>
      <c r="BM334" s="104"/>
      <c r="BN334" s="104"/>
      <c r="BO334" s="104"/>
      <c r="BP334" s="104"/>
      <c r="BQ334" s="104"/>
      <c r="BR334" s="104"/>
      <c r="BS334" s="104"/>
      <c r="BT334" s="104"/>
      <c r="BU334" s="104"/>
      <c r="BV334" s="104"/>
      <c r="BW334" s="104"/>
      <c r="BX334" s="104"/>
      <c r="BY334" s="104"/>
      <c r="BZ334" s="104"/>
      <c r="CA334" s="104"/>
      <c r="CB334" s="104"/>
      <c r="CC334" s="104"/>
      <c r="CD334" s="104"/>
      <c r="CE334" s="104"/>
      <c r="CF334" s="104"/>
      <c r="CG334" s="104"/>
      <c r="CH334" s="104"/>
      <c r="CI334" s="104"/>
      <c r="CJ334" s="104"/>
      <c r="CK334" s="104"/>
      <c r="CL334" s="104"/>
      <c r="CM334" s="104"/>
      <c r="CN334" s="104"/>
      <c r="CO334" s="104"/>
      <c r="CP334" s="104"/>
      <c r="CQ334" s="104"/>
      <c r="CR334" s="104"/>
      <c r="CS334" s="104"/>
      <c r="CT334" s="104"/>
      <c r="CU334" s="104"/>
      <c r="CV334" s="104"/>
      <c r="CW334" s="104"/>
      <c r="CX334" s="104"/>
      <c r="CY334" s="104"/>
      <c r="CZ334" s="104"/>
      <c r="DA334" s="104"/>
      <c r="DB334" s="104"/>
      <c r="DC334" s="104"/>
      <c r="DD334" s="104"/>
      <c r="DE334" s="104"/>
      <c r="DF334" s="104"/>
      <c r="DG334" s="104"/>
      <c r="DH334" s="104"/>
    </row>
    <row r="335" ht="20.25" customHeight="1">
      <c r="A335" s="41">
        <v>335.0</v>
      </c>
      <c r="B335" s="365" t="s">
        <v>107</v>
      </c>
      <c r="C335" s="365" t="s">
        <v>108</v>
      </c>
      <c r="D335" s="365" t="s">
        <v>192</v>
      </c>
      <c r="E335" s="686"/>
      <c r="F335" s="234" t="s">
        <v>1882</v>
      </c>
      <c r="G335" s="109" t="s">
        <v>1917</v>
      </c>
      <c r="H335" s="109" t="s">
        <v>195</v>
      </c>
      <c r="I335" s="110">
        <v>45639.0</v>
      </c>
      <c r="J335" s="688">
        <v>45670.0</v>
      </c>
      <c r="K335" s="109" t="s">
        <v>1918</v>
      </c>
      <c r="L335" s="111"/>
      <c r="M335" s="109" t="s">
        <v>1886</v>
      </c>
      <c r="N335" s="109" t="s">
        <v>1887</v>
      </c>
      <c r="O335" s="111"/>
      <c r="P335" s="118" t="s">
        <v>1888</v>
      </c>
      <c r="Q335" s="49" t="str">
        <f t="array" ref="Q335"> if(iserror(MATCH(V335, 'File Links'!C:C, 0)), "N/A", HYPERLINK(INDEX('File Links'!B:B, MATCH(P335, 'File Links'!C:C, 0))))</f>
        <v>https://drive.google.com/file/d/1h26KXyOgQpabChNDwArC5YlDBW4_cfve/view?usp=drivesdk</v>
      </c>
      <c r="R335" s="109" t="s">
        <v>1889</v>
      </c>
      <c r="S335" s="144" t="s">
        <v>1890</v>
      </c>
      <c r="T335" s="689" t="s">
        <v>1891</v>
      </c>
      <c r="U335" s="117"/>
      <c r="V335" s="109" t="str">
        <f t="shared" si="10"/>
        <v>kontkanen_jaakko_thesis_2024.pdf</v>
      </c>
      <c r="W335" s="109" t="s">
        <v>202</v>
      </c>
      <c r="X335" s="51" t="str">
        <f t="array" ref="X335"> if(iserror(MATCH(V335, 'File Links'!C:C, 0)), "N/A", HYPERLINK(INDEX('File Links'!B:B, MATCH(V335, 'File Links'!C:C, 0))))</f>
        <v>https://drive.google.com/file/d/1AUxxuZsTugos0bfw5gX9jMDqt7bWDrfc/view?usp=drivesdk</v>
      </c>
      <c r="Y335" s="111"/>
      <c r="Z335" s="109" t="s">
        <v>288</v>
      </c>
      <c r="AA335" s="109" t="s">
        <v>1892</v>
      </c>
      <c r="AB335" s="109" t="s">
        <v>1893</v>
      </c>
      <c r="AC335" s="109" t="s">
        <v>1894</v>
      </c>
      <c r="AD335" s="109" t="s">
        <v>1895</v>
      </c>
      <c r="AE335" s="114">
        <v>2.0</v>
      </c>
      <c r="AF335" s="114">
        <v>40.0</v>
      </c>
      <c r="AG335" s="113" t="s">
        <v>1919</v>
      </c>
      <c r="AH335" s="118" t="s">
        <v>127</v>
      </c>
      <c r="AI335" s="109" t="s">
        <v>1897</v>
      </c>
      <c r="AJ335" s="114">
        <v>0.02</v>
      </c>
      <c r="AK335" s="119" t="s">
        <v>128</v>
      </c>
      <c r="AL335" s="109" t="s">
        <v>179</v>
      </c>
      <c r="AM335" s="111" t="s">
        <v>1898</v>
      </c>
      <c r="AN335" s="216" t="s">
        <v>131</v>
      </c>
      <c r="AO335" s="114">
        <v>127.0</v>
      </c>
      <c r="AP335" s="144" t="s">
        <v>1920</v>
      </c>
      <c r="AQ335" s="109" t="s">
        <v>127</v>
      </c>
      <c r="AR335" s="109" t="s">
        <v>1900</v>
      </c>
      <c r="AS335" s="114">
        <v>0.162</v>
      </c>
      <c r="AT335" s="119" t="s">
        <v>165</v>
      </c>
      <c r="AU335" s="119" t="s">
        <v>179</v>
      </c>
      <c r="AV335" s="108" t="s">
        <v>1898</v>
      </c>
      <c r="AW335" s="108"/>
      <c r="AX335" s="108" t="s">
        <v>136</v>
      </c>
      <c r="AY335" s="58"/>
      <c r="AZ335" s="59" t="s">
        <v>137</v>
      </c>
      <c r="BC335" s="104"/>
      <c r="BD335" s="104"/>
      <c r="BE335" s="104"/>
      <c r="BF335" s="104"/>
      <c r="BG335" s="104"/>
      <c r="BH335" s="104"/>
      <c r="BI335" s="104"/>
      <c r="BJ335" s="104"/>
      <c r="BK335" s="104"/>
      <c r="BL335" s="104"/>
      <c r="BM335" s="104"/>
      <c r="BN335" s="104"/>
      <c r="BO335" s="104"/>
      <c r="BP335" s="104"/>
      <c r="BQ335" s="104"/>
      <c r="BR335" s="104"/>
      <c r="BS335" s="104"/>
      <c r="BT335" s="104"/>
      <c r="BU335" s="104"/>
      <c r="BV335" s="104"/>
      <c r="BW335" s="104"/>
      <c r="BX335" s="104"/>
      <c r="BY335" s="104"/>
      <c r="BZ335" s="104"/>
      <c r="CA335" s="104"/>
      <c r="CB335" s="104"/>
      <c r="CC335" s="104"/>
      <c r="CD335" s="104"/>
      <c r="CE335" s="104"/>
      <c r="CF335" s="104"/>
      <c r="CG335" s="104"/>
      <c r="CH335" s="104"/>
      <c r="CI335" s="104"/>
      <c r="CJ335" s="104"/>
      <c r="CK335" s="104"/>
      <c r="CL335" s="104"/>
      <c r="CM335" s="104"/>
      <c r="CN335" s="104"/>
      <c r="CO335" s="104"/>
      <c r="CP335" s="104"/>
      <c r="CQ335" s="104"/>
      <c r="CR335" s="104"/>
      <c r="CS335" s="104"/>
      <c r="CT335" s="104"/>
      <c r="CU335" s="104"/>
      <c r="CV335" s="104"/>
      <c r="CW335" s="104"/>
      <c r="CX335" s="104"/>
      <c r="CY335" s="104"/>
      <c r="CZ335" s="104"/>
      <c r="DA335" s="104"/>
      <c r="DB335" s="104"/>
      <c r="DC335" s="104"/>
      <c r="DD335" s="104"/>
      <c r="DE335" s="104"/>
      <c r="DF335" s="104"/>
      <c r="DG335" s="104"/>
      <c r="DH335" s="104"/>
    </row>
    <row r="336" ht="20.25" customHeight="1">
      <c r="A336" s="41">
        <v>336.0</v>
      </c>
      <c r="B336" s="185" t="s">
        <v>145</v>
      </c>
      <c r="C336" s="185" t="s">
        <v>108</v>
      </c>
      <c r="D336" s="185" t="s">
        <v>279</v>
      </c>
      <c r="E336" s="186"/>
      <c r="F336" s="234" t="s">
        <v>1882</v>
      </c>
      <c r="G336" s="226" t="s">
        <v>1917</v>
      </c>
      <c r="H336" s="232" t="s">
        <v>282</v>
      </c>
      <c r="I336" s="227">
        <v>45635.0</v>
      </c>
      <c r="J336" s="690">
        <v>45670.0</v>
      </c>
      <c r="K336" s="232" t="s">
        <v>1901</v>
      </c>
      <c r="L336" s="234"/>
      <c r="M336" s="691" t="s">
        <v>1921</v>
      </c>
      <c r="N336" s="232" t="s">
        <v>1887</v>
      </c>
      <c r="O336" s="692">
        <v>1.0</v>
      </c>
      <c r="P336" s="232" t="s">
        <v>1888</v>
      </c>
      <c r="Q336" s="49" t="str">
        <f t="array" ref="Q336"> if(iserror(MATCH(V336, 'File Links'!C:C, 0)), "N/A", HYPERLINK(INDEX('File Links'!B:B, MATCH(P336, 'File Links'!C:C, 0))))</f>
        <v>https://drive.google.com/file/d/1h26KXyOgQpabChNDwArC5YlDBW4_cfve/view?usp=drivesdk</v>
      </c>
      <c r="R336" s="232" t="s">
        <v>1889</v>
      </c>
      <c r="S336" s="692" t="s">
        <v>1890</v>
      </c>
      <c r="T336" s="689" t="s">
        <v>1891</v>
      </c>
      <c r="U336" s="144">
        <v>1.0</v>
      </c>
      <c r="V336" s="109" t="str">
        <f t="shared" si="10"/>
        <v>kontkanen_jaakko_thesis_2024.pdf</v>
      </c>
      <c r="W336" s="109" t="s">
        <v>202</v>
      </c>
      <c r="X336" s="51" t="str">
        <f t="array" ref="X336"> if(iserror(MATCH(V336, 'File Links'!C:C, 0)), "N/A", HYPERLINK(INDEX('File Links'!B:B, MATCH(V336, 'File Links'!C:C, 0))))</f>
        <v>https://drive.google.com/file/d/1AUxxuZsTugos0bfw5gX9jMDqt7bWDrfc/view?usp=drivesdk</v>
      </c>
      <c r="Y336" s="234"/>
      <c r="Z336" s="232" t="s">
        <v>288</v>
      </c>
      <c r="AA336" s="232" t="s">
        <v>1922</v>
      </c>
      <c r="AB336" s="232" t="s">
        <v>1905</v>
      </c>
      <c r="AC336" s="232" t="s">
        <v>1923</v>
      </c>
      <c r="AD336" s="231" t="s">
        <v>1924</v>
      </c>
      <c r="AE336" s="693">
        <v>100.0</v>
      </c>
      <c r="AF336" s="693">
        <v>40.0</v>
      </c>
      <c r="AG336" s="113" t="s">
        <v>1919</v>
      </c>
      <c r="AH336" s="118" t="s">
        <v>127</v>
      </c>
      <c r="AI336" s="226" t="s">
        <v>1916</v>
      </c>
      <c r="AJ336" s="229">
        <v>0.02</v>
      </c>
      <c r="AK336" s="232" t="s">
        <v>128</v>
      </c>
      <c r="AL336" s="226" t="s">
        <v>179</v>
      </c>
      <c r="AM336" s="234" t="s">
        <v>130</v>
      </c>
      <c r="AN336" s="216" t="s">
        <v>131</v>
      </c>
      <c r="AO336" s="693">
        <v>40.0</v>
      </c>
      <c r="AP336" s="144" t="s">
        <v>1920</v>
      </c>
      <c r="AQ336" s="109" t="s">
        <v>127</v>
      </c>
      <c r="AR336" s="232" t="s">
        <v>164</v>
      </c>
      <c r="AS336" s="693">
        <v>0.162</v>
      </c>
      <c r="AT336" s="232" t="s">
        <v>165</v>
      </c>
      <c r="AU336" s="232" t="s">
        <v>179</v>
      </c>
      <c r="AV336" s="234" t="s">
        <v>130</v>
      </c>
      <c r="AW336" s="692" t="s">
        <v>131</v>
      </c>
      <c r="AX336" s="234" t="s">
        <v>136</v>
      </c>
      <c r="AY336" s="65"/>
      <c r="AZ336" s="59" t="s">
        <v>137</v>
      </c>
      <c r="BC336" s="104"/>
      <c r="BD336" s="104"/>
      <c r="BE336" s="104"/>
      <c r="BF336" s="104"/>
      <c r="BG336" s="104"/>
      <c r="BH336" s="104"/>
      <c r="BI336" s="104"/>
      <c r="BJ336" s="104"/>
      <c r="BK336" s="104"/>
      <c r="BL336" s="104"/>
      <c r="BM336" s="104"/>
      <c r="BN336" s="104"/>
      <c r="BO336" s="104"/>
      <c r="BP336" s="104"/>
      <c r="BQ336" s="104"/>
      <c r="BR336" s="104"/>
      <c r="BS336" s="104"/>
      <c r="BT336" s="104"/>
      <c r="BU336" s="104"/>
      <c r="BV336" s="104"/>
      <c r="BW336" s="104"/>
      <c r="BX336" s="104"/>
      <c r="BY336" s="104"/>
      <c r="BZ336" s="104"/>
      <c r="CA336" s="104"/>
      <c r="CB336" s="104"/>
      <c r="CC336" s="104"/>
      <c r="CD336" s="104"/>
      <c r="CE336" s="104"/>
      <c r="CF336" s="104"/>
      <c r="CG336" s="104"/>
      <c r="CH336" s="104"/>
      <c r="CI336" s="104"/>
      <c r="CJ336" s="104"/>
      <c r="CK336" s="104"/>
      <c r="CL336" s="104"/>
      <c r="CM336" s="104"/>
      <c r="CN336" s="104"/>
      <c r="CO336" s="104"/>
      <c r="CP336" s="104"/>
      <c r="CQ336" s="104"/>
      <c r="CR336" s="104"/>
      <c r="CS336" s="104"/>
      <c r="CT336" s="104"/>
      <c r="CU336" s="104"/>
      <c r="CV336" s="104"/>
      <c r="CW336" s="104"/>
      <c r="CX336" s="104"/>
      <c r="CY336" s="104"/>
      <c r="CZ336" s="104"/>
      <c r="DA336" s="104"/>
      <c r="DB336" s="104"/>
      <c r="DC336" s="104"/>
      <c r="DD336" s="104"/>
      <c r="DE336" s="104"/>
      <c r="DF336" s="104"/>
      <c r="DG336" s="104"/>
      <c r="DH336" s="104"/>
    </row>
    <row r="337" ht="20.25" customHeight="1">
      <c r="A337" s="41">
        <v>337.0</v>
      </c>
      <c r="B337" s="365" t="s">
        <v>107</v>
      </c>
      <c r="C337" s="365" t="s">
        <v>108</v>
      </c>
      <c r="D337" s="365" t="s">
        <v>192</v>
      </c>
      <c r="E337" s="686"/>
      <c r="F337" s="234" t="s">
        <v>1882</v>
      </c>
      <c r="G337" s="109" t="s">
        <v>1925</v>
      </c>
      <c r="H337" s="109" t="s">
        <v>195</v>
      </c>
      <c r="I337" s="110">
        <v>45639.0</v>
      </c>
      <c r="J337" s="688">
        <v>45670.0</v>
      </c>
      <c r="K337" s="109" t="s">
        <v>1926</v>
      </c>
      <c r="L337" s="111"/>
      <c r="M337" s="109" t="s">
        <v>1886</v>
      </c>
      <c r="N337" s="109" t="s">
        <v>1887</v>
      </c>
      <c r="O337" s="111"/>
      <c r="P337" s="118" t="s">
        <v>1888</v>
      </c>
      <c r="Q337" s="49" t="str">
        <f t="array" ref="Q337"> if(iserror(MATCH(V337, 'File Links'!C:C, 0)), "N/A", HYPERLINK(INDEX('File Links'!B:B, MATCH(P337, 'File Links'!C:C, 0))))</f>
        <v>https://drive.google.com/file/d/1h26KXyOgQpabChNDwArC5YlDBW4_cfve/view?usp=drivesdk</v>
      </c>
      <c r="R337" s="109" t="s">
        <v>1889</v>
      </c>
      <c r="S337" s="144" t="s">
        <v>1890</v>
      </c>
      <c r="T337" s="689" t="s">
        <v>1891</v>
      </c>
      <c r="U337" s="117"/>
      <c r="V337" s="109" t="str">
        <f t="shared" si="10"/>
        <v>kontkanen_jaakko_thesis_2024.pdf</v>
      </c>
      <c r="W337" s="109" t="s">
        <v>202</v>
      </c>
      <c r="X337" s="51" t="str">
        <f t="array" ref="X337"> if(iserror(MATCH(V337, 'File Links'!C:C, 0)), "N/A", HYPERLINK(INDEX('File Links'!B:B, MATCH(V337, 'File Links'!C:C, 0))))</f>
        <v>https://drive.google.com/file/d/1AUxxuZsTugos0bfw5gX9jMDqt7bWDrfc/view?usp=drivesdk</v>
      </c>
      <c r="Y337" s="111"/>
      <c r="Z337" s="109" t="s">
        <v>288</v>
      </c>
      <c r="AA337" s="109" t="s">
        <v>1892</v>
      </c>
      <c r="AB337" s="109" t="s">
        <v>1893</v>
      </c>
      <c r="AC337" s="109" t="s">
        <v>1894</v>
      </c>
      <c r="AD337" s="109" t="s">
        <v>1895</v>
      </c>
      <c r="AE337" s="114">
        <v>2.0</v>
      </c>
      <c r="AF337" s="114">
        <v>40.0</v>
      </c>
      <c r="AG337" s="113" t="s">
        <v>1927</v>
      </c>
      <c r="AH337" s="118" t="s">
        <v>127</v>
      </c>
      <c r="AI337" s="109" t="s">
        <v>1897</v>
      </c>
      <c r="AJ337" s="114">
        <v>0.02</v>
      </c>
      <c r="AK337" s="119" t="s">
        <v>128</v>
      </c>
      <c r="AL337" s="109" t="s">
        <v>179</v>
      </c>
      <c r="AM337" s="111" t="s">
        <v>1898</v>
      </c>
      <c r="AN337" s="216" t="s">
        <v>131</v>
      </c>
      <c r="AO337" s="114">
        <v>127.0</v>
      </c>
      <c r="AP337" s="144" t="s">
        <v>1928</v>
      </c>
      <c r="AQ337" s="109" t="s">
        <v>127</v>
      </c>
      <c r="AR337" s="109" t="s">
        <v>1900</v>
      </c>
      <c r="AS337" s="114">
        <v>0.222</v>
      </c>
      <c r="AT337" s="119" t="s">
        <v>165</v>
      </c>
      <c r="AU337" s="119" t="s">
        <v>179</v>
      </c>
      <c r="AV337" s="108" t="s">
        <v>1898</v>
      </c>
      <c r="AW337" s="108"/>
      <c r="AX337" s="108" t="s">
        <v>136</v>
      </c>
      <c r="AY337" s="58"/>
      <c r="AZ337" s="59" t="s">
        <v>137</v>
      </c>
      <c r="BC337" s="104"/>
      <c r="BD337" s="104"/>
      <c r="BE337" s="104"/>
      <c r="BF337" s="104"/>
      <c r="BG337" s="104"/>
      <c r="BH337" s="104"/>
      <c r="BI337" s="104"/>
      <c r="BJ337" s="104"/>
      <c r="BK337" s="104"/>
      <c r="BL337" s="104"/>
      <c r="BM337" s="104"/>
      <c r="BN337" s="104"/>
      <c r="BO337" s="104"/>
      <c r="BP337" s="104"/>
      <c r="BQ337" s="104"/>
      <c r="BR337" s="104"/>
      <c r="BS337" s="104"/>
      <c r="BT337" s="104"/>
      <c r="BU337" s="104"/>
      <c r="BV337" s="104"/>
      <c r="BW337" s="104"/>
      <c r="BX337" s="104"/>
      <c r="BY337" s="104"/>
      <c r="BZ337" s="104"/>
      <c r="CA337" s="104"/>
      <c r="CB337" s="104"/>
      <c r="CC337" s="104"/>
      <c r="CD337" s="104"/>
      <c r="CE337" s="104"/>
      <c r="CF337" s="104"/>
      <c r="CG337" s="104"/>
      <c r="CH337" s="104"/>
      <c r="CI337" s="104"/>
      <c r="CJ337" s="104"/>
      <c r="CK337" s="104"/>
      <c r="CL337" s="104"/>
      <c r="CM337" s="104"/>
      <c r="CN337" s="104"/>
      <c r="CO337" s="104"/>
      <c r="CP337" s="104"/>
      <c r="CQ337" s="104"/>
      <c r="CR337" s="104"/>
      <c r="CS337" s="104"/>
      <c r="CT337" s="104"/>
      <c r="CU337" s="104"/>
      <c r="CV337" s="104"/>
      <c r="CW337" s="104"/>
      <c r="CX337" s="104"/>
      <c r="CY337" s="104"/>
      <c r="CZ337" s="104"/>
      <c r="DA337" s="104"/>
      <c r="DB337" s="104"/>
      <c r="DC337" s="104"/>
      <c r="DD337" s="104"/>
      <c r="DE337" s="104"/>
      <c r="DF337" s="104"/>
      <c r="DG337" s="104"/>
      <c r="DH337" s="104"/>
    </row>
    <row r="338" ht="20.25" customHeight="1">
      <c r="A338" s="41">
        <v>338.0</v>
      </c>
      <c r="B338" s="185" t="s">
        <v>145</v>
      </c>
      <c r="C338" s="185" t="s">
        <v>108</v>
      </c>
      <c r="D338" s="185" t="s">
        <v>279</v>
      </c>
      <c r="E338" s="186"/>
      <c r="F338" s="234" t="s">
        <v>1882</v>
      </c>
      <c r="G338" s="226" t="s">
        <v>1925</v>
      </c>
      <c r="H338" s="232" t="s">
        <v>282</v>
      </c>
      <c r="I338" s="227">
        <v>45636.0</v>
      </c>
      <c r="J338" s="690">
        <v>45670.0</v>
      </c>
      <c r="K338" s="232" t="s">
        <v>1901</v>
      </c>
      <c r="L338" s="234"/>
      <c r="M338" s="691" t="s">
        <v>1929</v>
      </c>
      <c r="N338" s="232" t="s">
        <v>1887</v>
      </c>
      <c r="O338" s="692">
        <v>1.0</v>
      </c>
      <c r="P338" s="232" t="s">
        <v>1888</v>
      </c>
      <c r="Q338" s="49" t="str">
        <f t="array" ref="Q338"> if(iserror(MATCH(V338, 'File Links'!C:C, 0)), "N/A", HYPERLINK(INDEX('File Links'!B:B, MATCH(P338, 'File Links'!C:C, 0))))</f>
        <v>https://drive.google.com/file/d/1h26KXyOgQpabChNDwArC5YlDBW4_cfve/view?usp=drivesdk</v>
      </c>
      <c r="R338" s="232" t="s">
        <v>1889</v>
      </c>
      <c r="S338" s="692" t="s">
        <v>1890</v>
      </c>
      <c r="T338" s="689" t="s">
        <v>1891</v>
      </c>
      <c r="U338" s="144">
        <v>1.0</v>
      </c>
      <c r="V338" s="109" t="str">
        <f t="shared" si="10"/>
        <v>kontkanen_jaakko_thesis_2024.pdf</v>
      </c>
      <c r="W338" s="109" t="s">
        <v>202</v>
      </c>
      <c r="X338" s="51" t="str">
        <f t="array" ref="X338"> if(iserror(MATCH(V338, 'File Links'!C:C, 0)), "N/A", HYPERLINK(INDEX('File Links'!B:B, MATCH(V338, 'File Links'!C:C, 0))))</f>
        <v>https://drive.google.com/file/d/1AUxxuZsTugos0bfw5gX9jMDqt7bWDrfc/view?usp=drivesdk</v>
      </c>
      <c r="Y338" s="234"/>
      <c r="Z338" s="232" t="s">
        <v>288</v>
      </c>
      <c r="AA338" s="232" t="s">
        <v>1930</v>
      </c>
      <c r="AB338" s="232" t="s">
        <v>1905</v>
      </c>
      <c r="AC338" s="232" t="s">
        <v>1931</v>
      </c>
      <c r="AD338" s="231" t="s">
        <v>1924</v>
      </c>
      <c r="AE338" s="693">
        <v>100.0</v>
      </c>
      <c r="AF338" s="693">
        <v>40.0</v>
      </c>
      <c r="AG338" s="113" t="s">
        <v>1927</v>
      </c>
      <c r="AH338" s="118" t="s">
        <v>127</v>
      </c>
      <c r="AI338" s="226" t="s">
        <v>1916</v>
      </c>
      <c r="AJ338" s="229">
        <v>0.02</v>
      </c>
      <c r="AK338" s="232" t="s">
        <v>128</v>
      </c>
      <c r="AL338" s="226" t="s">
        <v>179</v>
      </c>
      <c r="AM338" s="234" t="s">
        <v>130</v>
      </c>
      <c r="AN338" s="216" t="s">
        <v>131</v>
      </c>
      <c r="AO338" s="693">
        <v>40.0</v>
      </c>
      <c r="AP338" s="144" t="s">
        <v>1928</v>
      </c>
      <c r="AQ338" s="109" t="s">
        <v>127</v>
      </c>
      <c r="AR338" s="232" t="s">
        <v>164</v>
      </c>
      <c r="AS338" s="693">
        <v>0.22</v>
      </c>
      <c r="AT338" s="232" t="s">
        <v>165</v>
      </c>
      <c r="AU338" s="232" t="s">
        <v>179</v>
      </c>
      <c r="AV338" s="234" t="s">
        <v>130</v>
      </c>
      <c r="AW338" s="692" t="s">
        <v>131</v>
      </c>
      <c r="AX338" s="234" t="s">
        <v>136</v>
      </c>
      <c r="AY338" s="65"/>
      <c r="AZ338" s="59" t="s">
        <v>137</v>
      </c>
      <c r="BC338" s="104"/>
      <c r="BD338" s="104"/>
      <c r="BE338" s="104"/>
      <c r="BF338" s="104"/>
      <c r="BG338" s="104"/>
      <c r="BH338" s="104"/>
      <c r="BI338" s="104"/>
      <c r="BJ338" s="104"/>
      <c r="BK338" s="104"/>
      <c r="BL338" s="104"/>
      <c r="BM338" s="104"/>
      <c r="BN338" s="104"/>
      <c r="BO338" s="104"/>
      <c r="BP338" s="104"/>
      <c r="BQ338" s="104"/>
      <c r="BR338" s="104"/>
      <c r="BS338" s="104"/>
      <c r="BT338" s="104"/>
      <c r="BU338" s="104"/>
      <c r="BV338" s="104"/>
      <c r="BW338" s="104"/>
      <c r="BX338" s="104"/>
      <c r="BY338" s="104"/>
      <c r="BZ338" s="104"/>
      <c r="CA338" s="104"/>
      <c r="CB338" s="104"/>
      <c r="CC338" s="104"/>
      <c r="CD338" s="104"/>
      <c r="CE338" s="104"/>
      <c r="CF338" s="104"/>
      <c r="CG338" s="104"/>
      <c r="CH338" s="104"/>
      <c r="CI338" s="104"/>
      <c r="CJ338" s="104"/>
      <c r="CK338" s="104"/>
      <c r="CL338" s="104"/>
      <c r="CM338" s="104"/>
      <c r="CN338" s="104"/>
      <c r="CO338" s="104"/>
      <c r="CP338" s="104"/>
      <c r="CQ338" s="104"/>
      <c r="CR338" s="104"/>
      <c r="CS338" s="104"/>
      <c r="CT338" s="104"/>
      <c r="CU338" s="104"/>
      <c r="CV338" s="104"/>
      <c r="CW338" s="104"/>
      <c r="CX338" s="104"/>
      <c r="CY338" s="104"/>
      <c r="CZ338" s="104"/>
      <c r="DA338" s="104"/>
      <c r="DB338" s="104"/>
      <c r="DC338" s="104"/>
      <c r="DD338" s="104"/>
      <c r="DE338" s="104"/>
      <c r="DF338" s="104"/>
      <c r="DG338" s="104"/>
      <c r="DH338" s="104"/>
    </row>
    <row r="339" ht="20.25" customHeight="1">
      <c r="A339" s="41">
        <v>339.0</v>
      </c>
      <c r="B339" s="365" t="s">
        <v>107</v>
      </c>
      <c r="C339" s="365" t="s">
        <v>108</v>
      </c>
      <c r="D339" s="365" t="s">
        <v>192</v>
      </c>
      <c r="E339" s="686"/>
      <c r="F339" s="234" t="s">
        <v>1882</v>
      </c>
      <c r="G339" s="109" t="s">
        <v>1932</v>
      </c>
      <c r="H339" s="109" t="s">
        <v>195</v>
      </c>
      <c r="I339" s="110">
        <v>45639.0</v>
      </c>
      <c r="J339" s="688">
        <v>45670.0</v>
      </c>
      <c r="K339" s="109" t="s">
        <v>1933</v>
      </c>
      <c r="L339" s="111"/>
      <c r="M339" s="109" t="s">
        <v>1886</v>
      </c>
      <c r="N339" s="109" t="s">
        <v>1887</v>
      </c>
      <c r="O339" s="111"/>
      <c r="P339" s="118" t="s">
        <v>1888</v>
      </c>
      <c r="Q339" s="49" t="str">
        <f t="array" ref="Q339"> if(iserror(MATCH(V339, 'File Links'!C:C, 0)), "N/A", HYPERLINK(INDEX('File Links'!B:B, MATCH(P339, 'File Links'!C:C, 0))))</f>
        <v>https://drive.google.com/file/d/1h26KXyOgQpabChNDwArC5YlDBW4_cfve/view?usp=drivesdk</v>
      </c>
      <c r="R339" s="109" t="s">
        <v>1889</v>
      </c>
      <c r="S339" s="144" t="s">
        <v>1890</v>
      </c>
      <c r="T339" s="689" t="s">
        <v>1891</v>
      </c>
      <c r="U339" s="117"/>
      <c r="V339" s="109" t="str">
        <f t="shared" si="10"/>
        <v>kontkanen_jaakko_thesis_2024.pdf</v>
      </c>
      <c r="W339" s="109" t="s">
        <v>202</v>
      </c>
      <c r="X339" s="51" t="str">
        <f t="array" ref="X339"> if(iserror(MATCH(V339, 'File Links'!C:C, 0)), "N/A", HYPERLINK(INDEX('File Links'!B:B, MATCH(V339, 'File Links'!C:C, 0))))</f>
        <v>https://drive.google.com/file/d/1AUxxuZsTugos0bfw5gX9jMDqt7bWDrfc/view?usp=drivesdk</v>
      </c>
      <c r="Y339" s="111"/>
      <c r="Z339" s="109" t="s">
        <v>288</v>
      </c>
      <c r="AA339" s="109" t="s">
        <v>1892</v>
      </c>
      <c r="AB339" s="109" t="s">
        <v>1893</v>
      </c>
      <c r="AC339" s="109" t="s">
        <v>1894</v>
      </c>
      <c r="AD339" s="109" t="s">
        <v>1895</v>
      </c>
      <c r="AE339" s="114">
        <v>2.0</v>
      </c>
      <c r="AF339" s="114">
        <v>40.0</v>
      </c>
      <c r="AG339" s="113" t="s">
        <v>1934</v>
      </c>
      <c r="AH339" s="118" t="s">
        <v>127</v>
      </c>
      <c r="AI339" s="109" t="s">
        <v>1897</v>
      </c>
      <c r="AJ339" s="114">
        <v>0.02</v>
      </c>
      <c r="AK339" s="119" t="s">
        <v>128</v>
      </c>
      <c r="AL339" s="109" t="s">
        <v>179</v>
      </c>
      <c r="AM339" s="111" t="s">
        <v>1898</v>
      </c>
      <c r="AN339" s="216" t="s">
        <v>131</v>
      </c>
      <c r="AO339" s="114">
        <v>127.0</v>
      </c>
      <c r="AP339" s="144" t="s">
        <v>1935</v>
      </c>
      <c r="AQ339" s="109" t="s">
        <v>127</v>
      </c>
      <c r="AR339" s="109" t="s">
        <v>1900</v>
      </c>
      <c r="AS339" s="114">
        <v>1.0E-4</v>
      </c>
      <c r="AT339" s="119" t="s">
        <v>165</v>
      </c>
      <c r="AU339" s="119" t="s">
        <v>179</v>
      </c>
      <c r="AV339" s="108" t="s">
        <v>1898</v>
      </c>
      <c r="AW339" s="108"/>
      <c r="AX339" s="108" t="s">
        <v>136</v>
      </c>
      <c r="AY339" s="58"/>
      <c r="AZ339" s="59" t="s">
        <v>137</v>
      </c>
      <c r="BC339" s="104"/>
      <c r="BD339" s="104"/>
      <c r="BE339" s="104"/>
      <c r="BF339" s="104"/>
      <c r="BG339" s="104"/>
      <c r="BH339" s="104"/>
      <c r="BI339" s="104"/>
      <c r="BJ339" s="104"/>
      <c r="BK339" s="104"/>
      <c r="BL339" s="104"/>
      <c r="BM339" s="104"/>
      <c r="BN339" s="104"/>
      <c r="BO339" s="104"/>
      <c r="BP339" s="104"/>
      <c r="BQ339" s="104"/>
      <c r="BR339" s="104"/>
      <c r="BS339" s="104"/>
      <c r="BT339" s="104"/>
      <c r="BU339" s="104"/>
      <c r="BV339" s="104"/>
      <c r="BW339" s="104"/>
      <c r="BX339" s="104"/>
      <c r="BY339" s="104"/>
      <c r="BZ339" s="104"/>
      <c r="CA339" s="104"/>
      <c r="CB339" s="104"/>
      <c r="CC339" s="104"/>
      <c r="CD339" s="104"/>
      <c r="CE339" s="104"/>
      <c r="CF339" s="104"/>
      <c r="CG339" s="104"/>
      <c r="CH339" s="104"/>
      <c r="CI339" s="104"/>
      <c r="CJ339" s="104"/>
      <c r="CK339" s="104"/>
      <c r="CL339" s="104"/>
      <c r="CM339" s="104"/>
      <c r="CN339" s="104"/>
      <c r="CO339" s="104"/>
      <c r="CP339" s="104"/>
      <c r="CQ339" s="104"/>
      <c r="CR339" s="104"/>
      <c r="CS339" s="104"/>
      <c r="CT339" s="104"/>
      <c r="CU339" s="104"/>
      <c r="CV339" s="104"/>
      <c r="CW339" s="104"/>
      <c r="CX339" s="104"/>
      <c r="CY339" s="104"/>
      <c r="CZ339" s="104"/>
      <c r="DA339" s="104"/>
      <c r="DB339" s="104"/>
      <c r="DC339" s="104"/>
      <c r="DD339" s="104"/>
      <c r="DE339" s="104"/>
      <c r="DF339" s="104"/>
      <c r="DG339" s="104"/>
      <c r="DH339" s="104"/>
    </row>
    <row r="340" ht="20.25" customHeight="1">
      <c r="A340" s="41">
        <v>340.0</v>
      </c>
      <c r="B340" s="185" t="s">
        <v>145</v>
      </c>
      <c r="C340" s="185" t="s">
        <v>108</v>
      </c>
      <c r="D340" s="185" t="s">
        <v>279</v>
      </c>
      <c r="E340" s="186"/>
      <c r="F340" s="234" t="s">
        <v>1882</v>
      </c>
      <c r="G340" s="226" t="s">
        <v>1932</v>
      </c>
      <c r="H340" s="232" t="s">
        <v>282</v>
      </c>
      <c r="I340" s="227">
        <v>45637.0</v>
      </c>
      <c r="J340" s="690">
        <v>45670.0</v>
      </c>
      <c r="K340" s="232" t="s">
        <v>1901</v>
      </c>
      <c r="L340" s="234"/>
      <c r="M340" s="691" t="s">
        <v>1936</v>
      </c>
      <c r="N340" s="232" t="s">
        <v>1887</v>
      </c>
      <c r="O340" s="692">
        <v>1.0</v>
      </c>
      <c r="P340" s="232" t="s">
        <v>1888</v>
      </c>
      <c r="Q340" s="49" t="str">
        <f t="array" ref="Q340"> if(iserror(MATCH(V340, 'File Links'!C:C, 0)), "N/A", HYPERLINK(INDEX('File Links'!B:B, MATCH(P340, 'File Links'!C:C, 0))))</f>
        <v>https://drive.google.com/file/d/1h26KXyOgQpabChNDwArC5YlDBW4_cfve/view?usp=drivesdk</v>
      </c>
      <c r="R340" s="232" t="s">
        <v>1889</v>
      </c>
      <c r="S340" s="692" t="s">
        <v>1890</v>
      </c>
      <c r="T340" s="689" t="s">
        <v>1891</v>
      </c>
      <c r="U340" s="144">
        <v>1.0</v>
      </c>
      <c r="V340" s="109" t="str">
        <f t="shared" si="10"/>
        <v>kontkanen_jaakko_thesis_2024.pdf</v>
      </c>
      <c r="W340" s="109" t="s">
        <v>202</v>
      </c>
      <c r="X340" s="51" t="str">
        <f t="array" ref="X340"> if(iserror(MATCH(V340, 'File Links'!C:C, 0)), "N/A", HYPERLINK(INDEX('File Links'!B:B, MATCH(V340, 'File Links'!C:C, 0))))</f>
        <v>https://drive.google.com/file/d/1AUxxuZsTugos0bfw5gX9jMDqt7bWDrfc/view?usp=drivesdk</v>
      </c>
      <c r="Y340" s="234"/>
      <c r="Z340" s="232" t="s">
        <v>288</v>
      </c>
      <c r="AA340" s="232" t="s">
        <v>1937</v>
      </c>
      <c r="AB340" s="232" t="s">
        <v>1905</v>
      </c>
      <c r="AC340" s="232" t="s">
        <v>1938</v>
      </c>
      <c r="AD340" s="231" t="s">
        <v>1924</v>
      </c>
      <c r="AE340" s="693">
        <v>100.0</v>
      </c>
      <c r="AF340" s="693">
        <v>40.0</v>
      </c>
      <c r="AG340" s="113" t="s">
        <v>1934</v>
      </c>
      <c r="AH340" s="118" t="s">
        <v>127</v>
      </c>
      <c r="AI340" s="226" t="s">
        <v>1916</v>
      </c>
      <c r="AJ340" s="229">
        <v>0.02</v>
      </c>
      <c r="AK340" s="232" t="s">
        <v>128</v>
      </c>
      <c r="AL340" s="226" t="s">
        <v>179</v>
      </c>
      <c r="AM340" s="234" t="s">
        <v>130</v>
      </c>
      <c r="AN340" s="216" t="s">
        <v>131</v>
      </c>
      <c r="AO340" s="693">
        <v>40.0</v>
      </c>
      <c r="AP340" s="144" t="s">
        <v>1935</v>
      </c>
      <c r="AQ340" s="109" t="s">
        <v>127</v>
      </c>
      <c r="AR340" s="232" t="s">
        <v>164</v>
      </c>
      <c r="AS340" s="693">
        <v>1.0E-4</v>
      </c>
      <c r="AT340" s="232" t="s">
        <v>165</v>
      </c>
      <c r="AU340" s="232" t="s">
        <v>179</v>
      </c>
      <c r="AV340" s="234" t="s">
        <v>130</v>
      </c>
      <c r="AW340" s="692" t="s">
        <v>131</v>
      </c>
      <c r="AX340" s="234" t="s">
        <v>136</v>
      </c>
      <c r="AY340" s="65"/>
      <c r="AZ340" s="59" t="s">
        <v>137</v>
      </c>
      <c r="BC340" s="104"/>
      <c r="BD340" s="104"/>
      <c r="BE340" s="104"/>
      <c r="BF340" s="104"/>
      <c r="BG340" s="104"/>
      <c r="BH340" s="104"/>
      <c r="BI340" s="104"/>
      <c r="BJ340" s="104"/>
      <c r="BK340" s="104"/>
      <c r="BL340" s="104"/>
      <c r="BM340" s="104"/>
      <c r="BN340" s="104"/>
      <c r="BO340" s="104"/>
      <c r="BP340" s="104"/>
      <c r="BQ340" s="104"/>
      <c r="BR340" s="104"/>
      <c r="BS340" s="104"/>
      <c r="BT340" s="104"/>
      <c r="BU340" s="104"/>
      <c r="BV340" s="104"/>
      <c r="BW340" s="104"/>
      <c r="BX340" s="104"/>
      <c r="BY340" s="104"/>
      <c r="BZ340" s="104"/>
      <c r="CA340" s="104"/>
      <c r="CB340" s="104"/>
      <c r="CC340" s="104"/>
      <c r="CD340" s="104"/>
      <c r="CE340" s="104"/>
      <c r="CF340" s="104"/>
      <c r="CG340" s="104"/>
      <c r="CH340" s="104"/>
      <c r="CI340" s="104"/>
      <c r="CJ340" s="104"/>
      <c r="CK340" s="104"/>
      <c r="CL340" s="104"/>
      <c r="CM340" s="104"/>
      <c r="CN340" s="104"/>
      <c r="CO340" s="104"/>
      <c r="CP340" s="104"/>
      <c r="CQ340" s="104"/>
      <c r="CR340" s="104"/>
      <c r="CS340" s="104"/>
      <c r="CT340" s="104"/>
      <c r="CU340" s="104"/>
      <c r="CV340" s="104"/>
      <c r="CW340" s="104"/>
      <c r="CX340" s="104"/>
      <c r="CY340" s="104"/>
      <c r="CZ340" s="104"/>
      <c r="DA340" s="104"/>
      <c r="DB340" s="104"/>
      <c r="DC340" s="104"/>
      <c r="DD340" s="104"/>
      <c r="DE340" s="104"/>
      <c r="DF340" s="104"/>
      <c r="DG340" s="104"/>
      <c r="DH340" s="104"/>
    </row>
    <row r="341" ht="20.25" customHeight="1">
      <c r="A341" s="41">
        <v>341.0</v>
      </c>
      <c r="B341" s="365" t="s">
        <v>107</v>
      </c>
      <c r="C341" s="365" t="s">
        <v>108</v>
      </c>
      <c r="D341" s="365" t="s">
        <v>192</v>
      </c>
      <c r="E341" s="686"/>
      <c r="F341" s="234" t="s">
        <v>1882</v>
      </c>
      <c r="G341" s="109" t="s">
        <v>1939</v>
      </c>
      <c r="H341" s="109" t="s">
        <v>195</v>
      </c>
      <c r="I341" s="110">
        <v>45639.0</v>
      </c>
      <c r="J341" s="688">
        <v>45670.0</v>
      </c>
      <c r="K341" s="109" t="s">
        <v>1940</v>
      </c>
      <c r="L341" s="111"/>
      <c r="M341" s="109" t="s">
        <v>1886</v>
      </c>
      <c r="N341" s="109" t="s">
        <v>1887</v>
      </c>
      <c r="O341" s="111"/>
      <c r="P341" s="118" t="s">
        <v>1888</v>
      </c>
      <c r="Q341" s="49" t="str">
        <f t="array" ref="Q341"> if(iserror(MATCH(V341, 'File Links'!C:C, 0)), "N/A", HYPERLINK(INDEX('File Links'!B:B, MATCH(P341, 'File Links'!C:C, 0))))</f>
        <v>https://drive.google.com/file/d/1h26KXyOgQpabChNDwArC5YlDBW4_cfve/view?usp=drivesdk</v>
      </c>
      <c r="R341" s="109" t="s">
        <v>1889</v>
      </c>
      <c r="S341" s="144" t="s">
        <v>1890</v>
      </c>
      <c r="T341" s="689" t="s">
        <v>1891</v>
      </c>
      <c r="U341" s="117"/>
      <c r="V341" s="109" t="str">
        <f t="shared" si="10"/>
        <v>kontkanen_jaakko_thesis_2024.pdf</v>
      </c>
      <c r="W341" s="109" t="s">
        <v>202</v>
      </c>
      <c r="X341" s="51" t="str">
        <f t="array" ref="X341"> if(iserror(MATCH(V341, 'File Links'!C:C, 0)), "N/A", HYPERLINK(INDEX('File Links'!B:B, MATCH(V341, 'File Links'!C:C, 0))))</f>
        <v>https://drive.google.com/file/d/1AUxxuZsTugos0bfw5gX9jMDqt7bWDrfc/view?usp=drivesdk</v>
      </c>
      <c r="Y341" s="111"/>
      <c r="Z341" s="109" t="s">
        <v>288</v>
      </c>
      <c r="AA341" s="109" t="s">
        <v>1892</v>
      </c>
      <c r="AB341" s="109" t="s">
        <v>1893</v>
      </c>
      <c r="AC341" s="109" t="s">
        <v>1894</v>
      </c>
      <c r="AD341" s="109" t="s">
        <v>1895</v>
      </c>
      <c r="AE341" s="114">
        <v>2.0</v>
      </c>
      <c r="AF341" s="114">
        <v>40.0</v>
      </c>
      <c r="AG341" s="113" t="s">
        <v>1941</v>
      </c>
      <c r="AH341" s="118" t="s">
        <v>127</v>
      </c>
      <c r="AI341" s="109" t="s">
        <v>1897</v>
      </c>
      <c r="AJ341" s="114">
        <v>0.02</v>
      </c>
      <c r="AK341" s="119" t="s">
        <v>128</v>
      </c>
      <c r="AL341" s="109" t="s">
        <v>179</v>
      </c>
      <c r="AM341" s="111" t="s">
        <v>1898</v>
      </c>
      <c r="AN341" s="216" t="s">
        <v>131</v>
      </c>
      <c r="AO341" s="114">
        <v>127.0</v>
      </c>
      <c r="AP341" s="144" t="s">
        <v>1942</v>
      </c>
      <c r="AQ341" s="109" t="s">
        <v>127</v>
      </c>
      <c r="AR341" s="109" t="s">
        <v>1900</v>
      </c>
      <c r="AS341" s="114">
        <v>0.528</v>
      </c>
      <c r="AT341" s="119" t="s">
        <v>165</v>
      </c>
      <c r="AU341" s="119" t="s">
        <v>179</v>
      </c>
      <c r="AV341" s="108" t="s">
        <v>1898</v>
      </c>
      <c r="AW341" s="108"/>
      <c r="AX341" s="108" t="s">
        <v>136</v>
      </c>
      <c r="AY341" s="58"/>
      <c r="AZ341" s="59" t="s">
        <v>137</v>
      </c>
      <c r="BC341" s="694"/>
      <c r="BD341" s="694"/>
      <c r="BE341" s="694"/>
      <c r="BF341" s="694"/>
      <c r="BG341" s="694"/>
      <c r="BH341" s="694"/>
      <c r="BI341" s="694"/>
      <c r="BJ341" s="694"/>
      <c r="BK341" s="694"/>
      <c r="BL341" s="694"/>
      <c r="BM341" s="694"/>
      <c r="BN341" s="694"/>
      <c r="BO341" s="694"/>
      <c r="BP341" s="694"/>
      <c r="BQ341" s="694"/>
      <c r="BR341" s="694"/>
      <c r="BS341" s="694"/>
      <c r="BT341" s="694"/>
      <c r="BU341" s="694"/>
      <c r="BV341" s="694"/>
      <c r="BW341" s="694"/>
      <c r="BX341" s="694"/>
      <c r="BY341" s="694"/>
      <c r="BZ341" s="694"/>
      <c r="CA341" s="694"/>
      <c r="CB341" s="694"/>
      <c r="CC341" s="694"/>
      <c r="CD341" s="694"/>
      <c r="CE341" s="694"/>
      <c r="CF341" s="694"/>
      <c r="CG341" s="694"/>
      <c r="CH341" s="694"/>
      <c r="CI341" s="694"/>
      <c r="CJ341" s="694"/>
      <c r="CK341" s="694"/>
      <c r="CL341" s="694"/>
      <c r="CM341" s="694"/>
      <c r="CN341" s="694"/>
      <c r="CO341" s="694"/>
      <c r="CP341" s="694"/>
      <c r="CQ341" s="694"/>
      <c r="CR341" s="694"/>
      <c r="CS341" s="694"/>
      <c r="CT341" s="694"/>
      <c r="CU341" s="694"/>
      <c r="CV341" s="694"/>
      <c r="CW341" s="694"/>
      <c r="CX341" s="694"/>
      <c r="CY341" s="694"/>
      <c r="CZ341" s="694"/>
      <c r="DA341" s="694"/>
      <c r="DB341" s="694"/>
      <c r="DC341" s="694"/>
      <c r="DD341" s="694"/>
      <c r="DE341" s="694"/>
      <c r="DF341" s="694"/>
      <c r="DG341" s="694"/>
      <c r="DH341" s="694"/>
    </row>
    <row r="342" ht="20.25" customHeight="1">
      <c r="A342" s="41">
        <v>342.0</v>
      </c>
      <c r="B342" s="185" t="s">
        <v>145</v>
      </c>
      <c r="C342" s="185" t="s">
        <v>108</v>
      </c>
      <c r="D342" s="185" t="s">
        <v>279</v>
      </c>
      <c r="E342" s="186"/>
      <c r="F342" s="234" t="s">
        <v>1882</v>
      </c>
      <c r="G342" s="226" t="s">
        <v>1939</v>
      </c>
      <c r="H342" s="232" t="s">
        <v>282</v>
      </c>
      <c r="I342" s="227">
        <v>45638.0</v>
      </c>
      <c r="J342" s="690">
        <v>45670.0</v>
      </c>
      <c r="K342" s="232" t="s">
        <v>1901</v>
      </c>
      <c r="L342" s="234"/>
      <c r="M342" s="691" t="s">
        <v>1943</v>
      </c>
      <c r="N342" s="232" t="s">
        <v>1887</v>
      </c>
      <c r="O342" s="692">
        <v>1.0</v>
      </c>
      <c r="P342" s="232" t="s">
        <v>1888</v>
      </c>
      <c r="Q342" s="49" t="str">
        <f t="array" ref="Q342"> if(iserror(MATCH(V342, 'File Links'!C:C, 0)), "N/A", HYPERLINK(INDEX('File Links'!B:B, MATCH(P342, 'File Links'!C:C, 0))))</f>
        <v>https://drive.google.com/file/d/1h26KXyOgQpabChNDwArC5YlDBW4_cfve/view?usp=drivesdk</v>
      </c>
      <c r="R342" s="232" t="s">
        <v>1889</v>
      </c>
      <c r="S342" s="144" t="s">
        <v>1890</v>
      </c>
      <c r="T342" s="689" t="s">
        <v>1891</v>
      </c>
      <c r="U342" s="144">
        <v>1.0</v>
      </c>
      <c r="V342" s="109" t="str">
        <f t="shared" si="10"/>
        <v>kontkanen_jaakko_thesis_2024.pdf</v>
      </c>
      <c r="W342" s="109" t="s">
        <v>202</v>
      </c>
      <c r="X342" s="51" t="str">
        <f t="array" ref="X342"> if(iserror(MATCH(V342, 'File Links'!C:C, 0)), "N/A", HYPERLINK(INDEX('File Links'!B:B, MATCH(V342, 'File Links'!C:C, 0))))</f>
        <v>https://drive.google.com/file/d/1AUxxuZsTugos0bfw5gX9jMDqt7bWDrfc/view?usp=drivesdk</v>
      </c>
      <c r="Y342" s="234"/>
      <c r="Z342" s="232" t="s">
        <v>288</v>
      </c>
      <c r="AA342" s="232" t="s">
        <v>1944</v>
      </c>
      <c r="AB342" s="232" t="s">
        <v>1905</v>
      </c>
      <c r="AC342" s="232" t="s">
        <v>1945</v>
      </c>
      <c r="AD342" s="231" t="s">
        <v>1924</v>
      </c>
      <c r="AE342" s="693">
        <v>100.0</v>
      </c>
      <c r="AF342" s="693">
        <v>40.0</v>
      </c>
      <c r="AG342" s="113" t="s">
        <v>1941</v>
      </c>
      <c r="AH342" s="118" t="s">
        <v>127</v>
      </c>
      <c r="AI342" s="226" t="s">
        <v>1946</v>
      </c>
      <c r="AJ342" s="229">
        <v>0.02</v>
      </c>
      <c r="AK342" s="232" t="s">
        <v>128</v>
      </c>
      <c r="AL342" s="226" t="s">
        <v>179</v>
      </c>
      <c r="AM342" s="234" t="s">
        <v>130</v>
      </c>
      <c r="AN342" s="216" t="s">
        <v>131</v>
      </c>
      <c r="AO342" s="693">
        <v>40.0</v>
      </c>
      <c r="AP342" s="144" t="s">
        <v>1942</v>
      </c>
      <c r="AQ342" s="109" t="s">
        <v>127</v>
      </c>
      <c r="AR342" s="232" t="s">
        <v>164</v>
      </c>
      <c r="AS342" s="693">
        <v>0.528</v>
      </c>
      <c r="AT342" s="232" t="s">
        <v>165</v>
      </c>
      <c r="AU342" s="232" t="s">
        <v>179</v>
      </c>
      <c r="AV342" s="234" t="s">
        <v>130</v>
      </c>
      <c r="AW342" s="692" t="s">
        <v>131</v>
      </c>
      <c r="AX342" s="234" t="s">
        <v>136</v>
      </c>
      <c r="AY342" s="65"/>
      <c r="AZ342" s="59" t="s">
        <v>137</v>
      </c>
      <c r="BC342" s="694"/>
      <c r="BD342" s="694"/>
      <c r="BE342" s="694"/>
      <c r="BF342" s="694"/>
      <c r="BG342" s="694"/>
      <c r="BH342" s="694"/>
      <c r="BI342" s="694"/>
      <c r="BJ342" s="694"/>
      <c r="BK342" s="694"/>
      <c r="BL342" s="694"/>
      <c r="BM342" s="694"/>
      <c r="BN342" s="694"/>
      <c r="BO342" s="694"/>
      <c r="BP342" s="694"/>
      <c r="BQ342" s="694"/>
      <c r="BR342" s="694"/>
      <c r="BS342" s="694"/>
      <c r="BT342" s="694"/>
      <c r="BU342" s="694"/>
      <c r="BV342" s="694"/>
      <c r="BW342" s="694"/>
      <c r="BX342" s="694"/>
      <c r="BY342" s="694"/>
      <c r="BZ342" s="694"/>
      <c r="CA342" s="694"/>
      <c r="CB342" s="694"/>
      <c r="CC342" s="694"/>
      <c r="CD342" s="694"/>
      <c r="CE342" s="694"/>
      <c r="CF342" s="694"/>
      <c r="CG342" s="694"/>
      <c r="CH342" s="694"/>
      <c r="CI342" s="694"/>
      <c r="CJ342" s="694"/>
      <c r="CK342" s="694"/>
      <c r="CL342" s="694"/>
      <c r="CM342" s="694"/>
      <c r="CN342" s="694"/>
      <c r="CO342" s="694"/>
      <c r="CP342" s="694"/>
      <c r="CQ342" s="694"/>
      <c r="CR342" s="694"/>
      <c r="CS342" s="694"/>
      <c r="CT342" s="694"/>
      <c r="CU342" s="694"/>
      <c r="CV342" s="694"/>
      <c r="CW342" s="694"/>
      <c r="CX342" s="694"/>
      <c r="CY342" s="694"/>
      <c r="CZ342" s="694"/>
      <c r="DA342" s="694"/>
      <c r="DB342" s="694"/>
      <c r="DC342" s="694"/>
      <c r="DD342" s="694"/>
      <c r="DE342" s="694"/>
      <c r="DF342" s="694"/>
      <c r="DG342" s="694"/>
      <c r="DH342" s="694"/>
    </row>
    <row r="343" ht="20.25" customHeight="1">
      <c r="A343" s="41">
        <v>343.0</v>
      </c>
      <c r="B343" s="365" t="s">
        <v>107</v>
      </c>
      <c r="C343" s="365" t="s">
        <v>108</v>
      </c>
      <c r="D343" s="365" t="s">
        <v>192</v>
      </c>
      <c r="E343" s="686"/>
      <c r="F343" s="234" t="s">
        <v>1882</v>
      </c>
      <c r="G343" s="109" t="s">
        <v>1947</v>
      </c>
      <c r="H343" s="109" t="s">
        <v>195</v>
      </c>
      <c r="I343" s="110">
        <v>45639.0</v>
      </c>
      <c r="J343" s="688">
        <v>45670.0</v>
      </c>
      <c r="K343" s="109" t="s">
        <v>1948</v>
      </c>
      <c r="L343" s="111"/>
      <c r="M343" s="109" t="s">
        <v>1886</v>
      </c>
      <c r="N343" s="109" t="s">
        <v>1887</v>
      </c>
      <c r="O343" s="111"/>
      <c r="P343" s="118" t="s">
        <v>1888</v>
      </c>
      <c r="Q343" s="49" t="str">
        <f t="array" ref="Q343"> if(iserror(MATCH(V343, 'File Links'!C:C, 0)), "N/A", HYPERLINK(INDEX('File Links'!B:B, MATCH(P343, 'File Links'!C:C, 0))))</f>
        <v>https://drive.google.com/file/d/1h26KXyOgQpabChNDwArC5YlDBW4_cfve/view?usp=drivesdk</v>
      </c>
      <c r="R343" s="109" t="s">
        <v>1889</v>
      </c>
      <c r="S343" s="144" t="s">
        <v>1890</v>
      </c>
      <c r="T343" s="689" t="s">
        <v>1891</v>
      </c>
      <c r="U343" s="117"/>
      <c r="V343" s="109" t="str">
        <f t="shared" si="10"/>
        <v>kontkanen_jaakko_thesis_2024.pdf</v>
      </c>
      <c r="W343" s="109" t="s">
        <v>202</v>
      </c>
      <c r="X343" s="51" t="str">
        <f t="array" ref="X343"> if(iserror(MATCH(V343, 'File Links'!C:C, 0)), "N/A", HYPERLINK(INDEX('File Links'!B:B, MATCH(V343, 'File Links'!C:C, 0))))</f>
        <v>https://drive.google.com/file/d/1AUxxuZsTugos0bfw5gX9jMDqt7bWDrfc/view?usp=drivesdk</v>
      </c>
      <c r="Y343" s="111"/>
      <c r="Z343" s="109" t="s">
        <v>288</v>
      </c>
      <c r="AA343" s="109" t="s">
        <v>1892</v>
      </c>
      <c r="AB343" s="109" t="s">
        <v>1893</v>
      </c>
      <c r="AC343" s="109" t="s">
        <v>1894</v>
      </c>
      <c r="AD343" s="109" t="s">
        <v>1895</v>
      </c>
      <c r="AE343" s="114">
        <v>2.0</v>
      </c>
      <c r="AF343" s="114">
        <v>40.0</v>
      </c>
      <c r="AG343" s="113" t="s">
        <v>1949</v>
      </c>
      <c r="AH343" s="118" t="s">
        <v>127</v>
      </c>
      <c r="AI343" s="109" t="s">
        <v>1897</v>
      </c>
      <c r="AJ343" s="114">
        <v>0.02</v>
      </c>
      <c r="AK343" s="119" t="s">
        <v>128</v>
      </c>
      <c r="AL343" s="109" t="s">
        <v>179</v>
      </c>
      <c r="AM343" s="111" t="s">
        <v>1898</v>
      </c>
      <c r="AN343" s="216" t="s">
        <v>131</v>
      </c>
      <c r="AO343" s="114">
        <v>127.0</v>
      </c>
      <c r="AP343" s="144" t="s">
        <v>1950</v>
      </c>
      <c r="AQ343" s="109" t="s">
        <v>127</v>
      </c>
      <c r="AR343" s="109" t="s">
        <v>1900</v>
      </c>
      <c r="AS343" s="114">
        <v>0.311</v>
      </c>
      <c r="AT343" s="119" t="s">
        <v>165</v>
      </c>
      <c r="AU343" s="119" t="s">
        <v>179</v>
      </c>
      <c r="AV343" s="108" t="s">
        <v>1898</v>
      </c>
      <c r="AW343" s="108"/>
      <c r="AX343" s="108" t="s">
        <v>136</v>
      </c>
      <c r="AY343" s="58"/>
      <c r="AZ343" s="59" t="s">
        <v>137</v>
      </c>
      <c r="BC343" s="694"/>
      <c r="BD343" s="694"/>
      <c r="BE343" s="694"/>
      <c r="BF343" s="694"/>
      <c r="BG343" s="694"/>
      <c r="BH343" s="694"/>
      <c r="BI343" s="694"/>
      <c r="BJ343" s="694"/>
      <c r="BK343" s="694"/>
      <c r="BL343" s="694"/>
      <c r="BM343" s="694"/>
      <c r="BN343" s="694"/>
      <c r="BO343" s="694"/>
      <c r="BP343" s="694"/>
      <c r="BQ343" s="694"/>
      <c r="BR343" s="694"/>
      <c r="BS343" s="694"/>
      <c r="BT343" s="694"/>
      <c r="BU343" s="694"/>
      <c r="BV343" s="694"/>
      <c r="BW343" s="694"/>
      <c r="BX343" s="694"/>
      <c r="BY343" s="694"/>
      <c r="BZ343" s="694"/>
      <c r="CA343" s="694"/>
      <c r="CB343" s="694"/>
      <c r="CC343" s="694"/>
      <c r="CD343" s="694"/>
      <c r="CE343" s="694"/>
      <c r="CF343" s="694"/>
      <c r="CG343" s="694"/>
      <c r="CH343" s="694"/>
      <c r="CI343" s="694"/>
      <c r="CJ343" s="694"/>
      <c r="CK343" s="694"/>
      <c r="CL343" s="694"/>
      <c r="CM343" s="694"/>
      <c r="CN343" s="694"/>
      <c r="CO343" s="694"/>
      <c r="CP343" s="694"/>
      <c r="CQ343" s="694"/>
      <c r="CR343" s="694"/>
      <c r="CS343" s="694"/>
      <c r="CT343" s="694"/>
      <c r="CU343" s="694"/>
      <c r="CV343" s="694"/>
      <c r="CW343" s="694"/>
      <c r="CX343" s="694"/>
      <c r="CY343" s="694"/>
      <c r="CZ343" s="694"/>
      <c r="DA343" s="694"/>
      <c r="DB343" s="694"/>
      <c r="DC343" s="694"/>
      <c r="DD343" s="694"/>
      <c r="DE343" s="694"/>
      <c r="DF343" s="694"/>
      <c r="DG343" s="694"/>
      <c r="DH343" s="694"/>
    </row>
    <row r="344" ht="20.25" customHeight="1">
      <c r="A344" s="41">
        <v>344.0</v>
      </c>
      <c r="B344" s="185" t="s">
        <v>145</v>
      </c>
      <c r="C344" s="185" t="s">
        <v>108</v>
      </c>
      <c r="D344" s="185" t="s">
        <v>279</v>
      </c>
      <c r="E344" s="186"/>
      <c r="F344" s="234" t="s">
        <v>1882</v>
      </c>
      <c r="G344" s="226" t="s">
        <v>1947</v>
      </c>
      <c r="H344" s="232" t="s">
        <v>282</v>
      </c>
      <c r="I344" s="227">
        <v>45639.0</v>
      </c>
      <c r="J344" s="690">
        <v>45670.0</v>
      </c>
      <c r="K344" s="232" t="s">
        <v>1901</v>
      </c>
      <c r="L344" s="234"/>
      <c r="M344" s="691" t="s">
        <v>1951</v>
      </c>
      <c r="N344" s="232" t="s">
        <v>1887</v>
      </c>
      <c r="O344" s="692">
        <v>1.0</v>
      </c>
      <c r="P344" s="232" t="s">
        <v>1888</v>
      </c>
      <c r="Q344" s="49" t="str">
        <f t="array" ref="Q344"> if(iserror(MATCH(V344, 'File Links'!C:C, 0)), "N/A", HYPERLINK(INDEX('File Links'!B:B, MATCH(P344, 'File Links'!C:C, 0))))</f>
        <v>https://drive.google.com/file/d/1h26KXyOgQpabChNDwArC5YlDBW4_cfve/view?usp=drivesdk</v>
      </c>
      <c r="R344" s="232" t="s">
        <v>1889</v>
      </c>
      <c r="S344" s="144" t="s">
        <v>1890</v>
      </c>
      <c r="T344" s="689" t="s">
        <v>1891</v>
      </c>
      <c r="U344" s="144">
        <v>1.0</v>
      </c>
      <c r="V344" s="109" t="str">
        <f t="shared" si="10"/>
        <v>kontkanen_jaakko_thesis_2024.pdf</v>
      </c>
      <c r="W344" s="109" t="s">
        <v>202</v>
      </c>
      <c r="X344" s="51" t="str">
        <f t="array" ref="X344"> if(iserror(MATCH(V344, 'File Links'!C:C, 0)), "N/A", HYPERLINK(INDEX('File Links'!B:B, MATCH(V344, 'File Links'!C:C, 0))))</f>
        <v>https://drive.google.com/file/d/1AUxxuZsTugos0bfw5gX9jMDqt7bWDrfc/view?usp=drivesdk</v>
      </c>
      <c r="Y344" s="234"/>
      <c r="Z344" s="232" t="s">
        <v>288</v>
      </c>
      <c r="AA344" s="232" t="s">
        <v>1952</v>
      </c>
      <c r="AB344" s="232" t="s">
        <v>1905</v>
      </c>
      <c r="AC344" s="232" t="s">
        <v>1953</v>
      </c>
      <c r="AD344" s="231" t="s">
        <v>1924</v>
      </c>
      <c r="AE344" s="693">
        <v>100.0</v>
      </c>
      <c r="AF344" s="693">
        <v>40.0</v>
      </c>
      <c r="AG344" s="113" t="s">
        <v>1949</v>
      </c>
      <c r="AH344" s="118" t="s">
        <v>127</v>
      </c>
      <c r="AI344" s="226" t="s">
        <v>1946</v>
      </c>
      <c r="AJ344" s="229">
        <v>0.02</v>
      </c>
      <c r="AK344" s="232" t="s">
        <v>128</v>
      </c>
      <c r="AL344" s="226" t="s">
        <v>179</v>
      </c>
      <c r="AM344" s="234" t="s">
        <v>130</v>
      </c>
      <c r="AN344" s="216" t="s">
        <v>131</v>
      </c>
      <c r="AO344" s="693">
        <v>40.0</v>
      </c>
      <c r="AP344" s="144" t="s">
        <v>1950</v>
      </c>
      <c r="AQ344" s="109" t="s">
        <v>127</v>
      </c>
      <c r="AR344" s="232" t="s">
        <v>164</v>
      </c>
      <c r="AS344" s="693">
        <v>0.311</v>
      </c>
      <c r="AT344" s="232" t="s">
        <v>165</v>
      </c>
      <c r="AU344" s="232" t="s">
        <v>179</v>
      </c>
      <c r="AV344" s="234" t="s">
        <v>130</v>
      </c>
      <c r="AW344" s="692" t="s">
        <v>131</v>
      </c>
      <c r="AX344" s="234" t="s">
        <v>136</v>
      </c>
      <c r="AY344" s="65"/>
      <c r="AZ344" s="59" t="s">
        <v>137</v>
      </c>
      <c r="BC344" s="217"/>
      <c r="BD344" s="217"/>
      <c r="BE344" s="217"/>
      <c r="BF344" s="217"/>
      <c r="BG344" s="217"/>
      <c r="BH344" s="217"/>
      <c r="BI344" s="217"/>
      <c r="BJ344" s="217"/>
      <c r="BK344" s="217"/>
      <c r="BL344" s="217"/>
      <c r="BM344" s="217"/>
      <c r="BN344" s="217"/>
      <c r="BO344" s="217"/>
      <c r="BP344" s="217"/>
      <c r="BQ344" s="217"/>
      <c r="BR344" s="217"/>
      <c r="BS344" s="217"/>
      <c r="BT344" s="217"/>
      <c r="BU344" s="217"/>
      <c r="BV344" s="217"/>
      <c r="BW344" s="217"/>
      <c r="BX344" s="217"/>
      <c r="BY344" s="217"/>
      <c r="BZ344" s="217"/>
      <c r="CA344" s="217"/>
      <c r="CB344" s="217"/>
      <c r="CC344" s="217"/>
      <c r="CD344" s="217"/>
      <c r="CE344" s="217"/>
      <c r="CF344" s="217"/>
      <c r="CG344" s="217"/>
      <c r="CH344" s="217"/>
      <c r="CI344" s="217"/>
      <c r="CJ344" s="217"/>
      <c r="CK344" s="217"/>
      <c r="CL344" s="217"/>
      <c r="CM344" s="217"/>
      <c r="CN344" s="217"/>
      <c r="CO344" s="217"/>
      <c r="CP344" s="217"/>
      <c r="CQ344" s="217"/>
      <c r="CR344" s="217"/>
      <c r="CS344" s="217"/>
      <c r="CT344" s="217"/>
      <c r="CU344" s="217"/>
      <c r="CV344" s="217"/>
      <c r="CW344" s="217"/>
      <c r="CX344" s="217"/>
      <c r="CY344" s="217"/>
      <c r="CZ344" s="217"/>
      <c r="DA344" s="217"/>
      <c r="DB344" s="217"/>
      <c r="DC344" s="217"/>
      <c r="DD344" s="217"/>
      <c r="DE344" s="217"/>
      <c r="DF344" s="217"/>
      <c r="DG344" s="217"/>
      <c r="DH344" s="217"/>
    </row>
    <row r="345" ht="20.25" customHeight="1">
      <c r="A345" s="41">
        <v>345.0</v>
      </c>
      <c r="B345" s="365" t="s">
        <v>107</v>
      </c>
      <c r="C345" s="365" t="s">
        <v>108</v>
      </c>
      <c r="D345" s="365" t="s">
        <v>192</v>
      </c>
      <c r="E345" s="686"/>
      <c r="F345" s="234" t="s">
        <v>1882</v>
      </c>
      <c r="G345" s="109" t="s">
        <v>1954</v>
      </c>
      <c r="H345" s="109" t="s">
        <v>195</v>
      </c>
      <c r="I345" s="110">
        <v>45639.0</v>
      </c>
      <c r="J345" s="688">
        <v>45670.0</v>
      </c>
      <c r="K345" s="109" t="s">
        <v>1955</v>
      </c>
      <c r="L345" s="111"/>
      <c r="M345" s="109" t="s">
        <v>1886</v>
      </c>
      <c r="N345" s="109" t="s">
        <v>1887</v>
      </c>
      <c r="O345" s="111"/>
      <c r="P345" s="118" t="s">
        <v>1888</v>
      </c>
      <c r="Q345" s="49" t="str">
        <f t="array" ref="Q345"> if(iserror(MATCH(V345, 'File Links'!C:C, 0)), "N/A", HYPERLINK(INDEX('File Links'!B:B, MATCH(P345, 'File Links'!C:C, 0))))</f>
        <v>https://drive.google.com/file/d/1h26KXyOgQpabChNDwArC5YlDBW4_cfve/view?usp=drivesdk</v>
      </c>
      <c r="R345" s="109" t="s">
        <v>1889</v>
      </c>
      <c r="S345" s="144" t="s">
        <v>1890</v>
      </c>
      <c r="T345" s="689" t="s">
        <v>1891</v>
      </c>
      <c r="U345" s="117"/>
      <c r="V345" s="109" t="str">
        <f t="shared" si="10"/>
        <v>kontkanen_jaakko_thesis_2024.pdf</v>
      </c>
      <c r="W345" s="109" t="s">
        <v>202</v>
      </c>
      <c r="X345" s="51" t="str">
        <f t="array" ref="X345"> if(iserror(MATCH(V345, 'File Links'!C:C, 0)), "N/A", HYPERLINK(INDEX('File Links'!B:B, MATCH(V345, 'File Links'!C:C, 0))))</f>
        <v>https://drive.google.com/file/d/1AUxxuZsTugos0bfw5gX9jMDqt7bWDrfc/view?usp=drivesdk</v>
      </c>
      <c r="Y345" s="111"/>
      <c r="Z345" s="109" t="s">
        <v>288</v>
      </c>
      <c r="AA345" s="109" t="s">
        <v>1892</v>
      </c>
      <c r="AB345" s="109" t="s">
        <v>1893</v>
      </c>
      <c r="AC345" s="109" t="s">
        <v>1894</v>
      </c>
      <c r="AD345" s="109" t="s">
        <v>1895</v>
      </c>
      <c r="AE345" s="114">
        <v>2.0</v>
      </c>
      <c r="AF345" s="114">
        <v>40.0</v>
      </c>
      <c r="AG345" s="113" t="s">
        <v>1956</v>
      </c>
      <c r="AH345" s="118" t="s">
        <v>127</v>
      </c>
      <c r="AI345" s="109" t="s">
        <v>1897</v>
      </c>
      <c r="AJ345" s="114">
        <v>0.05</v>
      </c>
      <c r="AK345" s="119" t="s">
        <v>328</v>
      </c>
      <c r="AL345" s="109" t="s">
        <v>179</v>
      </c>
      <c r="AM345" s="111" t="s">
        <v>1898</v>
      </c>
      <c r="AN345" s="216" t="s">
        <v>131</v>
      </c>
      <c r="AO345" s="114">
        <v>127.0</v>
      </c>
      <c r="AP345" s="144" t="s">
        <v>1957</v>
      </c>
      <c r="AQ345" s="109" t="s">
        <v>127</v>
      </c>
      <c r="AR345" s="109" t="s">
        <v>1900</v>
      </c>
      <c r="AS345" s="114">
        <v>0.087</v>
      </c>
      <c r="AT345" s="119" t="s">
        <v>165</v>
      </c>
      <c r="AU345" s="119" t="s">
        <v>179</v>
      </c>
      <c r="AV345" s="108" t="s">
        <v>1898</v>
      </c>
      <c r="AW345" s="108"/>
      <c r="AX345" s="108" t="s">
        <v>136</v>
      </c>
      <c r="AY345" s="58"/>
      <c r="AZ345" s="59" t="s">
        <v>137</v>
      </c>
      <c r="BC345" s="217"/>
      <c r="BD345" s="217"/>
      <c r="BE345" s="217"/>
      <c r="BF345" s="217"/>
      <c r="BG345" s="217"/>
      <c r="BH345" s="217"/>
      <c r="BI345" s="217"/>
      <c r="BJ345" s="217"/>
      <c r="BK345" s="217"/>
      <c r="BL345" s="217"/>
      <c r="BM345" s="217"/>
      <c r="BN345" s="217"/>
      <c r="BO345" s="217"/>
      <c r="BP345" s="217"/>
      <c r="BQ345" s="217"/>
      <c r="BR345" s="217"/>
      <c r="BS345" s="217"/>
      <c r="BT345" s="217"/>
      <c r="BU345" s="217"/>
      <c r="BV345" s="217"/>
      <c r="BW345" s="217"/>
      <c r="BX345" s="217"/>
      <c r="BY345" s="217"/>
      <c r="BZ345" s="217"/>
      <c r="CA345" s="217"/>
      <c r="CB345" s="217"/>
      <c r="CC345" s="217"/>
      <c r="CD345" s="217"/>
      <c r="CE345" s="217"/>
      <c r="CF345" s="217"/>
      <c r="CG345" s="217"/>
      <c r="CH345" s="217"/>
      <c r="CI345" s="217"/>
      <c r="CJ345" s="217"/>
      <c r="CK345" s="217"/>
      <c r="CL345" s="217"/>
      <c r="CM345" s="217"/>
      <c r="CN345" s="217"/>
      <c r="CO345" s="217"/>
      <c r="CP345" s="217"/>
      <c r="CQ345" s="217"/>
      <c r="CR345" s="217"/>
      <c r="CS345" s="217"/>
      <c r="CT345" s="217"/>
      <c r="CU345" s="217"/>
      <c r="CV345" s="217"/>
      <c r="CW345" s="217"/>
      <c r="CX345" s="217"/>
      <c r="CY345" s="217"/>
      <c r="CZ345" s="217"/>
      <c r="DA345" s="217"/>
      <c r="DB345" s="217"/>
      <c r="DC345" s="217"/>
      <c r="DD345" s="217"/>
      <c r="DE345" s="217"/>
      <c r="DF345" s="217"/>
      <c r="DG345" s="217"/>
      <c r="DH345" s="217"/>
    </row>
    <row r="346" ht="20.25" customHeight="1">
      <c r="A346" s="41">
        <v>346.0</v>
      </c>
      <c r="B346" s="185" t="s">
        <v>145</v>
      </c>
      <c r="C346" s="185" t="s">
        <v>108</v>
      </c>
      <c r="D346" s="185" t="s">
        <v>279</v>
      </c>
      <c r="E346" s="186"/>
      <c r="F346" s="234" t="s">
        <v>1882</v>
      </c>
      <c r="G346" s="226" t="s">
        <v>1954</v>
      </c>
      <c r="H346" s="232" t="s">
        <v>282</v>
      </c>
      <c r="I346" s="227">
        <v>45640.0</v>
      </c>
      <c r="J346" s="690">
        <v>45670.0</v>
      </c>
      <c r="K346" s="232" t="s">
        <v>1901</v>
      </c>
      <c r="L346" s="234"/>
      <c r="M346" s="691" t="s">
        <v>1958</v>
      </c>
      <c r="N346" s="232" t="s">
        <v>1887</v>
      </c>
      <c r="O346" s="692">
        <v>1.0</v>
      </c>
      <c r="P346" s="232" t="s">
        <v>1888</v>
      </c>
      <c r="Q346" s="49" t="str">
        <f t="array" ref="Q346"> if(iserror(MATCH(V346, 'File Links'!C:C, 0)), "N/A", HYPERLINK(INDEX('File Links'!B:B, MATCH(P346, 'File Links'!C:C, 0))))</f>
        <v>https://drive.google.com/file/d/1h26KXyOgQpabChNDwArC5YlDBW4_cfve/view?usp=drivesdk</v>
      </c>
      <c r="R346" s="232" t="s">
        <v>1889</v>
      </c>
      <c r="S346" s="144" t="s">
        <v>1890</v>
      </c>
      <c r="T346" s="689" t="s">
        <v>1891</v>
      </c>
      <c r="U346" s="144">
        <v>1.0</v>
      </c>
      <c r="V346" s="109" t="str">
        <f t="shared" si="10"/>
        <v>kontkanen_jaakko_thesis_2024.pdf</v>
      </c>
      <c r="W346" s="109" t="s">
        <v>202</v>
      </c>
      <c r="X346" s="51" t="str">
        <f t="array" ref="X346"> if(iserror(MATCH(V346, 'File Links'!C:C, 0)), "N/A", HYPERLINK(INDEX('File Links'!B:B, MATCH(V346, 'File Links'!C:C, 0))))</f>
        <v>https://drive.google.com/file/d/1AUxxuZsTugos0bfw5gX9jMDqt7bWDrfc/view?usp=drivesdk</v>
      </c>
      <c r="Y346" s="234"/>
      <c r="Z346" s="232" t="s">
        <v>288</v>
      </c>
      <c r="AA346" s="232" t="s">
        <v>1959</v>
      </c>
      <c r="AB346" s="232" t="s">
        <v>1905</v>
      </c>
      <c r="AC346" s="232" t="s">
        <v>1960</v>
      </c>
      <c r="AD346" s="231" t="s">
        <v>1907</v>
      </c>
      <c r="AE346" s="693">
        <v>100.0</v>
      </c>
      <c r="AF346" s="693">
        <v>40.0</v>
      </c>
      <c r="AG346" s="695" t="s">
        <v>1961</v>
      </c>
      <c r="AH346" s="346" t="s">
        <v>127</v>
      </c>
      <c r="AI346" s="226" t="s">
        <v>1962</v>
      </c>
      <c r="AJ346" s="229">
        <v>0.05</v>
      </c>
      <c r="AK346" s="232" t="s">
        <v>128</v>
      </c>
      <c r="AL346" s="226" t="s">
        <v>179</v>
      </c>
      <c r="AM346" s="234" t="s">
        <v>130</v>
      </c>
      <c r="AN346" s="216" t="s">
        <v>131</v>
      </c>
      <c r="AO346" s="693">
        <v>40.0</v>
      </c>
      <c r="AP346" s="144" t="s">
        <v>1957</v>
      </c>
      <c r="AQ346" s="109" t="s">
        <v>127</v>
      </c>
      <c r="AR346" s="232" t="s">
        <v>164</v>
      </c>
      <c r="AS346" s="693">
        <v>0.087</v>
      </c>
      <c r="AT346" s="232" t="s">
        <v>165</v>
      </c>
      <c r="AU346" s="232" t="s">
        <v>179</v>
      </c>
      <c r="AV346" s="234" t="s">
        <v>130</v>
      </c>
      <c r="AW346" s="692" t="s">
        <v>131</v>
      </c>
      <c r="AX346" s="234" t="s">
        <v>136</v>
      </c>
      <c r="AY346" s="65"/>
      <c r="AZ346" s="59" t="s">
        <v>137</v>
      </c>
      <c r="BC346" s="217"/>
      <c r="BD346" s="217"/>
      <c r="BE346" s="217"/>
      <c r="BF346" s="217"/>
      <c r="BG346" s="217"/>
      <c r="BH346" s="217"/>
      <c r="BI346" s="217"/>
      <c r="BJ346" s="217"/>
      <c r="BK346" s="217"/>
      <c r="BL346" s="217"/>
      <c r="BM346" s="217"/>
      <c r="BN346" s="217"/>
      <c r="BO346" s="217"/>
      <c r="BP346" s="217"/>
      <c r="BQ346" s="217"/>
      <c r="BR346" s="217"/>
      <c r="BS346" s="217"/>
      <c r="BT346" s="217"/>
      <c r="BU346" s="217"/>
      <c r="BV346" s="217"/>
      <c r="BW346" s="217"/>
      <c r="BX346" s="217"/>
      <c r="BY346" s="217"/>
      <c r="BZ346" s="217"/>
      <c r="CA346" s="217"/>
      <c r="CB346" s="217"/>
      <c r="CC346" s="217"/>
      <c r="CD346" s="217"/>
      <c r="CE346" s="217"/>
      <c r="CF346" s="217"/>
      <c r="CG346" s="217"/>
      <c r="CH346" s="217"/>
      <c r="CI346" s="217"/>
      <c r="CJ346" s="217"/>
      <c r="CK346" s="217"/>
      <c r="CL346" s="217"/>
      <c r="CM346" s="217"/>
      <c r="CN346" s="217"/>
      <c r="CO346" s="217"/>
      <c r="CP346" s="217"/>
      <c r="CQ346" s="217"/>
      <c r="CR346" s="217"/>
      <c r="CS346" s="217"/>
      <c r="CT346" s="217"/>
      <c r="CU346" s="217"/>
      <c r="CV346" s="217"/>
      <c r="CW346" s="217"/>
      <c r="CX346" s="217"/>
      <c r="CY346" s="217"/>
      <c r="CZ346" s="217"/>
      <c r="DA346" s="217"/>
      <c r="DB346" s="217"/>
      <c r="DC346" s="217"/>
      <c r="DD346" s="217"/>
      <c r="DE346" s="217"/>
      <c r="DF346" s="217"/>
      <c r="DG346" s="217"/>
      <c r="DH346" s="217"/>
    </row>
    <row r="347" ht="20.25" customHeight="1">
      <c r="A347" s="41">
        <v>347.0</v>
      </c>
      <c r="B347" s="185" t="s">
        <v>107</v>
      </c>
      <c r="C347" s="185" t="s">
        <v>108</v>
      </c>
      <c r="D347" s="185" t="s">
        <v>279</v>
      </c>
      <c r="E347" s="186"/>
      <c r="F347" s="234" t="s">
        <v>1882</v>
      </c>
      <c r="G347" s="226" t="s">
        <v>1963</v>
      </c>
      <c r="H347" s="232" t="s">
        <v>282</v>
      </c>
      <c r="I347" s="227">
        <v>45641.0</v>
      </c>
      <c r="J347" s="690">
        <v>45670.0</v>
      </c>
      <c r="K347" s="232" t="s">
        <v>1901</v>
      </c>
      <c r="L347" s="692" t="s">
        <v>1964</v>
      </c>
      <c r="M347" s="691" t="s">
        <v>1965</v>
      </c>
      <c r="N347" s="232" t="s">
        <v>1887</v>
      </c>
      <c r="O347" s="692">
        <v>1.0</v>
      </c>
      <c r="P347" s="232" t="s">
        <v>1888</v>
      </c>
      <c r="Q347" s="49" t="str">
        <f t="array" ref="Q347"> if(iserror(MATCH(V347, 'File Links'!C:C, 0)), "N/A", HYPERLINK(INDEX('File Links'!B:B, MATCH(P347, 'File Links'!C:C, 0))))</f>
        <v>https://drive.google.com/file/d/1h26KXyOgQpabChNDwArC5YlDBW4_cfve/view?usp=drivesdk</v>
      </c>
      <c r="R347" s="232" t="s">
        <v>1889</v>
      </c>
      <c r="S347" s="144" t="s">
        <v>1890</v>
      </c>
      <c r="T347" s="689" t="s">
        <v>1891</v>
      </c>
      <c r="U347" s="144">
        <v>1.0</v>
      </c>
      <c r="V347" s="109" t="str">
        <f t="shared" si="10"/>
        <v>kontkanen_jaakko_thesis_2024.pdf</v>
      </c>
      <c r="W347" s="109" t="s">
        <v>202</v>
      </c>
      <c r="X347" s="51" t="str">
        <f t="array" ref="X347"> if(iserror(MATCH(V347, 'File Links'!C:C, 0)), "N/A", HYPERLINK(INDEX('File Links'!B:B, MATCH(V347, 'File Links'!C:C, 0))))</f>
        <v>https://drive.google.com/file/d/1AUxxuZsTugos0bfw5gX9jMDqt7bWDrfc/view?usp=drivesdk</v>
      </c>
      <c r="Y347" s="234"/>
      <c r="Z347" s="232" t="s">
        <v>288</v>
      </c>
      <c r="AA347" s="232" t="s">
        <v>1966</v>
      </c>
      <c r="AB347" s="232" t="s">
        <v>1905</v>
      </c>
      <c r="AC347" s="232" t="s">
        <v>1967</v>
      </c>
      <c r="AD347" s="234"/>
      <c r="AE347" s="234"/>
      <c r="AF347" s="234"/>
      <c r="AG347" s="232" t="s">
        <v>1528</v>
      </c>
      <c r="AH347" s="696"/>
      <c r="AI347" s="228"/>
      <c r="AJ347" s="228"/>
      <c r="AK347" s="234"/>
      <c r="AL347" s="228"/>
      <c r="AM347" s="234"/>
      <c r="AN347" s="216" t="s">
        <v>131</v>
      </c>
      <c r="AO347" s="693">
        <v>40.0</v>
      </c>
      <c r="AP347" s="695" t="s">
        <v>1968</v>
      </c>
      <c r="AQ347" s="231" t="s">
        <v>127</v>
      </c>
      <c r="AR347" s="232" t="s">
        <v>164</v>
      </c>
      <c r="AS347" s="693">
        <v>1.0E-4</v>
      </c>
      <c r="AT347" s="232" t="s">
        <v>165</v>
      </c>
      <c r="AU347" s="232" t="s">
        <v>179</v>
      </c>
      <c r="AV347" s="234" t="s">
        <v>130</v>
      </c>
      <c r="AW347" s="692" t="s">
        <v>131</v>
      </c>
      <c r="AX347" s="59" t="s">
        <v>144</v>
      </c>
      <c r="AY347" s="126" t="s">
        <v>1964</v>
      </c>
      <c r="AZ347" s="59" t="s">
        <v>137</v>
      </c>
      <c r="BC347" s="217"/>
      <c r="BD347" s="217"/>
      <c r="BE347" s="217"/>
      <c r="BF347" s="217"/>
      <c r="BG347" s="217"/>
      <c r="BH347" s="217"/>
      <c r="BI347" s="217"/>
      <c r="BJ347" s="217"/>
      <c r="BK347" s="217"/>
      <c r="BL347" s="217"/>
      <c r="BM347" s="217"/>
      <c r="BN347" s="217"/>
      <c r="BO347" s="217"/>
      <c r="BP347" s="217"/>
      <c r="BQ347" s="217"/>
      <c r="BR347" s="217"/>
      <c r="BS347" s="217"/>
      <c r="BT347" s="217"/>
      <c r="BU347" s="217"/>
      <c r="BV347" s="217"/>
      <c r="BW347" s="217"/>
      <c r="BX347" s="217"/>
      <c r="BY347" s="217"/>
      <c r="BZ347" s="217"/>
      <c r="CA347" s="217"/>
      <c r="CB347" s="217"/>
      <c r="CC347" s="217"/>
      <c r="CD347" s="217"/>
      <c r="CE347" s="217"/>
      <c r="CF347" s="217"/>
      <c r="CG347" s="217"/>
      <c r="CH347" s="217"/>
      <c r="CI347" s="217"/>
      <c r="CJ347" s="217"/>
      <c r="CK347" s="217"/>
      <c r="CL347" s="217"/>
      <c r="CM347" s="217"/>
      <c r="CN347" s="217"/>
      <c r="CO347" s="217"/>
      <c r="CP347" s="217"/>
      <c r="CQ347" s="217"/>
      <c r="CR347" s="217"/>
      <c r="CS347" s="217"/>
      <c r="CT347" s="217"/>
      <c r="CU347" s="217"/>
      <c r="CV347" s="217"/>
      <c r="CW347" s="217"/>
      <c r="CX347" s="217"/>
      <c r="CY347" s="217"/>
      <c r="CZ347" s="217"/>
      <c r="DA347" s="217"/>
      <c r="DB347" s="217"/>
      <c r="DC347" s="217"/>
      <c r="DD347" s="217"/>
      <c r="DE347" s="217"/>
      <c r="DF347" s="217"/>
      <c r="DG347" s="217"/>
      <c r="DH347" s="217"/>
    </row>
    <row r="348" ht="20.25" customHeight="1">
      <c r="A348" s="41">
        <v>348.0</v>
      </c>
      <c r="B348" s="697" t="s">
        <v>583</v>
      </c>
      <c r="C348" s="697" t="s">
        <v>108</v>
      </c>
      <c r="D348" s="697" t="s">
        <v>225</v>
      </c>
      <c r="E348" s="698"/>
      <c r="F348" s="528" t="s">
        <v>1969</v>
      </c>
      <c r="G348" s="42" t="s">
        <v>1970</v>
      </c>
      <c r="H348" s="42" t="s">
        <v>228</v>
      </c>
      <c r="I348" s="60">
        <v>45427.0</v>
      </c>
      <c r="J348" s="61">
        <v>45624.0</v>
      </c>
      <c r="K348" s="62"/>
      <c r="L348" s="697" t="s">
        <v>1971</v>
      </c>
      <c r="M348" s="42" t="s">
        <v>1972</v>
      </c>
      <c r="N348" s="42" t="s">
        <v>1973</v>
      </c>
      <c r="O348" s="42">
        <v>1.0</v>
      </c>
      <c r="P348" s="115" t="str">
        <f> hyperlink(vlookup(lower(N348),'File Links'!A:B, 2, FALSE), SUBSTITUTE(lower(N348), "/", "--") &amp;  ".pdf")</f>
        <v>10.1111--0023-8333.00112.pdf</v>
      </c>
      <c r="Q348" s="105" t="str">
        <f t="array" ref="Q348"> if(iserror(MATCH(V348, 'File Links'!C:C, 0)), "N/A", HYPERLINK(INDEX('File Links'!B:B, MATCH(P348, 'File Links'!C:C, 0))))</f>
        <v>N/A</v>
      </c>
      <c r="R348" s="42" t="s">
        <v>1974</v>
      </c>
      <c r="S348" s="42" t="s">
        <v>1975</v>
      </c>
      <c r="T348" s="62"/>
      <c r="U348" s="42">
        <v>1.0</v>
      </c>
      <c r="V348" s="109" t="str">
        <f t="shared" si="10"/>
        <v>10.1007--978-3-031-55844-3_4.pdf</v>
      </c>
      <c r="W348" s="42" t="s">
        <v>1976</v>
      </c>
      <c r="X348" s="46" t="str">
        <f t="array" ref="X348"> if(iserror(MATCH(V348, 'File Links'!C:C, 0)), "N/A", HYPERLINK(INDEX('File Links'!B:B, MATCH(V348, 'File Links'!C:C, 0))))</f>
        <v>N/A</v>
      </c>
      <c r="Y348" s="62"/>
      <c r="Z348" s="42" t="s">
        <v>141</v>
      </c>
      <c r="AA348" s="42" t="s">
        <v>1977</v>
      </c>
      <c r="AB348" s="42" t="s">
        <v>1978</v>
      </c>
      <c r="AC348" s="42" t="s">
        <v>1979</v>
      </c>
      <c r="AD348" s="62"/>
      <c r="AE348" s="62"/>
      <c r="AF348" s="42">
        <v>258.0</v>
      </c>
      <c r="AG348" s="62"/>
      <c r="AH348" s="62"/>
      <c r="AI348" s="62"/>
      <c r="AJ348" s="42"/>
      <c r="AK348" s="62"/>
      <c r="AL348" s="62"/>
      <c r="AM348" s="64"/>
      <c r="AN348" s="216" t="s">
        <v>131</v>
      </c>
      <c r="AO348" s="62"/>
      <c r="AP348" s="62"/>
      <c r="AQ348" s="62"/>
      <c r="AR348" s="62"/>
      <c r="AS348" s="62"/>
      <c r="AT348" s="62"/>
      <c r="AU348" s="62"/>
      <c r="AV348" s="64"/>
      <c r="AX348" s="65"/>
      <c r="AY348" s="42"/>
      <c r="BC348" s="104"/>
      <c r="BD348" s="104"/>
      <c r="BE348" s="104"/>
      <c r="BF348" s="104"/>
      <c r="BG348" s="104"/>
      <c r="BH348" s="104"/>
      <c r="BI348" s="104"/>
      <c r="BJ348" s="104"/>
      <c r="BK348" s="104"/>
      <c r="BL348" s="104"/>
      <c r="BM348" s="104"/>
      <c r="BN348" s="104"/>
      <c r="BO348" s="104"/>
      <c r="BP348" s="104"/>
      <c r="BQ348" s="104"/>
      <c r="BR348" s="104"/>
      <c r="BS348" s="104"/>
      <c r="BT348" s="104"/>
      <c r="BU348" s="104"/>
      <c r="BV348" s="104"/>
      <c r="BW348" s="104"/>
      <c r="BX348" s="104"/>
      <c r="BY348" s="104"/>
      <c r="BZ348" s="104"/>
      <c r="CA348" s="104"/>
      <c r="CB348" s="104"/>
      <c r="CC348" s="104"/>
      <c r="CD348" s="104"/>
      <c r="CE348" s="104"/>
      <c r="CF348" s="104"/>
      <c r="CG348" s="104"/>
      <c r="CH348" s="104"/>
      <c r="CI348" s="104"/>
      <c r="CJ348" s="104"/>
      <c r="CK348" s="104"/>
      <c r="CL348" s="104"/>
      <c r="CM348" s="104"/>
      <c r="CN348" s="104"/>
      <c r="CO348" s="104"/>
      <c r="CP348" s="104"/>
      <c r="CQ348" s="104"/>
      <c r="CR348" s="104"/>
      <c r="CS348" s="104"/>
      <c r="CT348" s="104"/>
      <c r="CU348" s="104"/>
      <c r="CV348" s="104"/>
      <c r="CW348" s="104"/>
      <c r="CX348" s="104"/>
      <c r="CY348" s="104"/>
      <c r="CZ348" s="104"/>
      <c r="DA348" s="104"/>
      <c r="DB348" s="104"/>
      <c r="DC348" s="104"/>
      <c r="DD348" s="104"/>
      <c r="DE348" s="104"/>
      <c r="DF348" s="104"/>
      <c r="DG348" s="104"/>
      <c r="DH348" s="104"/>
    </row>
    <row r="349" ht="20.25" customHeight="1">
      <c r="A349" s="41">
        <v>349.0</v>
      </c>
      <c r="B349" s="106" t="s">
        <v>278</v>
      </c>
      <c r="C349" s="106" t="s">
        <v>108</v>
      </c>
      <c r="D349" s="106" t="s">
        <v>241</v>
      </c>
      <c r="E349" s="107"/>
      <c r="F349" s="146" t="s">
        <v>1969</v>
      </c>
      <c r="G349" s="106" t="s">
        <v>1980</v>
      </c>
      <c r="H349" s="106" t="s">
        <v>242</v>
      </c>
      <c r="I349" s="141">
        <v>45427.0</v>
      </c>
      <c r="J349" s="142">
        <v>45625.0</v>
      </c>
      <c r="K349" s="106" t="s">
        <v>1981</v>
      </c>
      <c r="L349" s="107"/>
      <c r="M349" s="106" t="s">
        <v>1972</v>
      </c>
      <c r="N349" s="106" t="s">
        <v>1973</v>
      </c>
      <c r="O349" s="107"/>
      <c r="P349" s="143" t="str">
        <f> hyperlink(vlookup(lower(N349),'File Links'!A:B, 2, FALSE), SUBSTITUTE(lower(N349), "/", "--") &amp;  ".pdf")</f>
        <v>10.1111--0023-8333.00112.pdf</v>
      </c>
      <c r="Q349" s="105" t="str">
        <f t="array" ref="Q349"> if(iserror(MATCH(V349, 'File Links'!C:C, 0)), "N/A", HYPERLINK(INDEX('File Links'!B:B, MATCH(P349, 'File Links'!C:C, 0))))</f>
        <v>N/A</v>
      </c>
      <c r="R349" s="106" t="s">
        <v>1974</v>
      </c>
      <c r="S349" s="106" t="s">
        <v>1975</v>
      </c>
      <c r="T349" s="107"/>
      <c r="U349" s="107"/>
      <c r="V349" s="109" t="str">
        <f t="shared" si="10"/>
        <v>10.1007--978-3-031-55844-3_4.pdf</v>
      </c>
      <c r="W349" s="107"/>
      <c r="X349" s="46" t="str">
        <f t="array" ref="X349"> if(iserror(MATCH(V349, 'File Links'!C:C, 0)), "N/A", HYPERLINK(INDEX('File Links'!B:B, MATCH(V349, 'File Links'!C:C, 0))))</f>
        <v>N/A</v>
      </c>
      <c r="Y349" s="107"/>
      <c r="Z349" s="106" t="s">
        <v>940</v>
      </c>
      <c r="AA349" s="107"/>
      <c r="AB349" s="106" t="s">
        <v>1982</v>
      </c>
      <c r="AC349" s="106" t="s">
        <v>1983</v>
      </c>
      <c r="AD349" s="106" t="s">
        <v>1984</v>
      </c>
      <c r="AE349" s="106">
        <v>99.0</v>
      </c>
      <c r="AF349" s="106">
        <v>258.0</v>
      </c>
      <c r="AG349" s="106">
        <v>0.18</v>
      </c>
      <c r="AH349" s="106" t="s">
        <v>354</v>
      </c>
      <c r="AI349" s="107"/>
      <c r="AJ349" s="106">
        <v>0.001</v>
      </c>
      <c r="AK349" s="106" t="s">
        <v>128</v>
      </c>
      <c r="AL349" s="106" t="s">
        <v>179</v>
      </c>
      <c r="AM349" s="69"/>
      <c r="AN349" s="216" t="s">
        <v>131</v>
      </c>
      <c r="AO349" s="106">
        <v>134.0</v>
      </c>
      <c r="AP349" s="106">
        <v>0.18</v>
      </c>
      <c r="AQ349" s="106" t="s">
        <v>354</v>
      </c>
      <c r="AR349" s="107"/>
      <c r="AS349" s="106" t="s">
        <v>250</v>
      </c>
      <c r="AT349" s="106" t="s">
        <v>128</v>
      </c>
      <c r="AU349" s="106" t="s">
        <v>179</v>
      </c>
      <c r="AV349" s="69"/>
      <c r="AW349" s="69"/>
      <c r="AX349" s="108"/>
      <c r="AY349" s="62"/>
      <c r="BC349" s="104"/>
      <c r="BD349" s="104"/>
      <c r="BE349" s="104"/>
      <c r="BF349" s="104"/>
      <c r="BG349" s="104"/>
      <c r="BH349" s="104"/>
      <c r="BI349" s="104"/>
      <c r="BJ349" s="104"/>
      <c r="BK349" s="104"/>
      <c r="BL349" s="104"/>
      <c r="BM349" s="104"/>
      <c r="BN349" s="104"/>
      <c r="BO349" s="104"/>
      <c r="BP349" s="104"/>
      <c r="BQ349" s="104"/>
      <c r="BR349" s="104"/>
      <c r="BS349" s="104"/>
      <c r="BT349" s="104"/>
      <c r="BU349" s="104"/>
      <c r="BV349" s="104"/>
      <c r="BW349" s="104"/>
      <c r="BX349" s="104"/>
      <c r="BY349" s="104"/>
      <c r="BZ349" s="104"/>
      <c r="CA349" s="104"/>
      <c r="CB349" s="104"/>
      <c r="CC349" s="104"/>
      <c r="CD349" s="104"/>
      <c r="CE349" s="104"/>
      <c r="CF349" s="104"/>
      <c r="CG349" s="104"/>
      <c r="CH349" s="104"/>
      <c r="CI349" s="104"/>
      <c r="CJ349" s="104"/>
      <c r="CK349" s="104"/>
      <c r="CL349" s="104"/>
      <c r="CM349" s="104"/>
      <c r="CN349" s="104"/>
      <c r="CO349" s="104"/>
      <c r="CP349" s="104"/>
      <c r="CQ349" s="104"/>
      <c r="CR349" s="104"/>
      <c r="CS349" s="104"/>
      <c r="CT349" s="104"/>
      <c r="CU349" s="104"/>
      <c r="CV349" s="104"/>
      <c r="CW349" s="104"/>
      <c r="CX349" s="104"/>
      <c r="CY349" s="104"/>
      <c r="CZ349" s="104"/>
      <c r="DA349" s="104"/>
      <c r="DB349" s="104"/>
      <c r="DC349" s="104"/>
      <c r="DD349" s="104"/>
      <c r="DE349" s="104"/>
      <c r="DF349" s="104"/>
      <c r="DG349" s="104"/>
      <c r="DH349" s="104"/>
    </row>
    <row r="350" ht="20.25" customHeight="1">
      <c r="A350" s="41">
        <v>350.0</v>
      </c>
      <c r="B350" s="106" t="s">
        <v>278</v>
      </c>
      <c r="C350" s="106" t="s">
        <v>108</v>
      </c>
      <c r="D350" s="106" t="s">
        <v>241</v>
      </c>
      <c r="E350" s="107"/>
      <c r="F350" s="146" t="s">
        <v>1969</v>
      </c>
      <c r="G350" s="106" t="s">
        <v>1985</v>
      </c>
      <c r="H350" s="106" t="s">
        <v>242</v>
      </c>
      <c r="I350" s="141">
        <v>45427.0</v>
      </c>
      <c r="J350" s="142">
        <v>45625.0</v>
      </c>
      <c r="K350" s="106" t="s">
        <v>1986</v>
      </c>
      <c r="L350" s="107"/>
      <c r="M350" s="106" t="s">
        <v>1972</v>
      </c>
      <c r="N350" s="106" t="s">
        <v>1973</v>
      </c>
      <c r="O350" s="107"/>
      <c r="P350" s="143" t="str">
        <f> hyperlink(vlookup(lower(N350),'File Links'!A:B, 2, FALSE), SUBSTITUTE(lower(N350), "/", "--") &amp;  ".pdf")</f>
        <v>10.1111--0023-8333.00112.pdf</v>
      </c>
      <c r="Q350" s="105" t="str">
        <f t="array" ref="Q350"> if(iserror(MATCH(V350, 'File Links'!C:C, 0)), "N/A", HYPERLINK(INDEX('File Links'!B:B, MATCH(P350, 'File Links'!C:C, 0))))</f>
        <v>N/A</v>
      </c>
      <c r="R350" s="106" t="s">
        <v>1974</v>
      </c>
      <c r="S350" s="106" t="s">
        <v>1975</v>
      </c>
      <c r="T350" s="107"/>
      <c r="U350" s="107"/>
      <c r="V350" s="109" t="str">
        <f t="shared" si="10"/>
        <v>10.1007--978-3-031-55844-3_4.pdf</v>
      </c>
      <c r="W350" s="107"/>
      <c r="X350" s="46" t="str">
        <f t="array" ref="X350"> if(iserror(MATCH(V350, 'File Links'!C:C, 0)), "N/A", HYPERLINK(INDEX('File Links'!B:B, MATCH(V350, 'File Links'!C:C, 0))))</f>
        <v>N/A</v>
      </c>
      <c r="Y350" s="107"/>
      <c r="Z350" s="106" t="s">
        <v>940</v>
      </c>
      <c r="AA350" s="107"/>
      <c r="AB350" s="106" t="s">
        <v>1987</v>
      </c>
      <c r="AC350" s="106" t="s">
        <v>1988</v>
      </c>
      <c r="AD350" s="106" t="s">
        <v>1989</v>
      </c>
      <c r="AE350" s="106">
        <v>99.0</v>
      </c>
      <c r="AF350" s="106">
        <v>258.0</v>
      </c>
      <c r="AG350" s="106">
        <v>0.45</v>
      </c>
      <c r="AH350" s="106" t="s">
        <v>354</v>
      </c>
      <c r="AI350" s="107"/>
      <c r="AJ350" s="106">
        <v>0.001</v>
      </c>
      <c r="AK350" s="106" t="s">
        <v>128</v>
      </c>
      <c r="AL350" s="106" t="s">
        <v>179</v>
      </c>
      <c r="AM350" s="69"/>
      <c r="AN350" s="216" t="s">
        <v>131</v>
      </c>
      <c r="AO350" s="106">
        <v>134.0</v>
      </c>
      <c r="AP350" s="106">
        <v>0.43</v>
      </c>
      <c r="AQ350" s="106" t="s">
        <v>354</v>
      </c>
      <c r="AR350" s="107"/>
      <c r="AS350" s="106" t="s">
        <v>260</v>
      </c>
      <c r="AT350" s="106" t="s">
        <v>128</v>
      </c>
      <c r="AU350" s="106" t="s">
        <v>179</v>
      </c>
      <c r="AV350" s="69"/>
      <c r="AW350" s="69"/>
      <c r="AX350" s="108"/>
      <c r="AY350" s="62"/>
      <c r="BC350" s="104"/>
      <c r="BD350" s="104"/>
      <c r="BE350" s="104"/>
      <c r="BF350" s="104"/>
      <c r="BG350" s="104"/>
      <c r="BH350" s="104"/>
      <c r="BI350" s="104"/>
      <c r="BJ350" s="104"/>
      <c r="BK350" s="104"/>
      <c r="BL350" s="104"/>
      <c r="BM350" s="104"/>
      <c r="BN350" s="104"/>
      <c r="BO350" s="104"/>
      <c r="BP350" s="104"/>
      <c r="BQ350" s="104"/>
      <c r="BR350" s="104"/>
      <c r="BS350" s="104"/>
      <c r="BT350" s="104"/>
      <c r="BU350" s="104"/>
      <c r="BV350" s="104"/>
      <c r="BW350" s="104"/>
      <c r="BX350" s="104"/>
      <c r="BY350" s="104"/>
      <c r="BZ350" s="104"/>
      <c r="CA350" s="104"/>
      <c r="CB350" s="104"/>
      <c r="CC350" s="104"/>
      <c r="CD350" s="104"/>
      <c r="CE350" s="104"/>
      <c r="CF350" s="104"/>
      <c r="CG350" s="104"/>
      <c r="CH350" s="104"/>
      <c r="CI350" s="104"/>
      <c r="CJ350" s="104"/>
      <c r="CK350" s="104"/>
      <c r="CL350" s="104"/>
      <c r="CM350" s="104"/>
      <c r="CN350" s="104"/>
      <c r="CO350" s="104"/>
      <c r="CP350" s="104"/>
      <c r="CQ350" s="104"/>
      <c r="CR350" s="104"/>
      <c r="CS350" s="104"/>
      <c r="CT350" s="104"/>
      <c r="CU350" s="104"/>
      <c r="CV350" s="104"/>
      <c r="CW350" s="104"/>
      <c r="CX350" s="104"/>
      <c r="CY350" s="104"/>
      <c r="CZ350" s="104"/>
      <c r="DA350" s="104"/>
      <c r="DB350" s="104"/>
      <c r="DC350" s="104"/>
      <c r="DD350" s="104"/>
      <c r="DE350" s="104"/>
      <c r="DF350" s="104"/>
      <c r="DG350" s="104"/>
      <c r="DH350" s="104"/>
    </row>
    <row r="351" ht="20.25" customHeight="1">
      <c r="A351" s="41">
        <v>351.0</v>
      </c>
      <c r="B351" s="106" t="s">
        <v>278</v>
      </c>
      <c r="C351" s="106" t="s">
        <v>108</v>
      </c>
      <c r="D351" s="106" t="s">
        <v>241</v>
      </c>
      <c r="E351" s="107"/>
      <c r="F351" s="146" t="s">
        <v>1969</v>
      </c>
      <c r="G351" s="106" t="s">
        <v>1990</v>
      </c>
      <c r="H351" s="106" t="s">
        <v>242</v>
      </c>
      <c r="I351" s="141">
        <v>45427.0</v>
      </c>
      <c r="J351" s="142">
        <v>45625.0</v>
      </c>
      <c r="K351" s="106" t="s">
        <v>1991</v>
      </c>
      <c r="L351" s="107"/>
      <c r="M351" s="106" t="s">
        <v>1972</v>
      </c>
      <c r="N351" s="106" t="s">
        <v>1973</v>
      </c>
      <c r="O351" s="107"/>
      <c r="P351" s="143" t="str">
        <f> hyperlink(vlookup(lower(N351),'File Links'!A:B, 2, FALSE), SUBSTITUTE(lower(N351), "/", "--") &amp;  ".pdf")</f>
        <v>10.1111--0023-8333.00112.pdf</v>
      </c>
      <c r="Q351" s="105" t="str">
        <f t="array" ref="Q351"> if(iserror(MATCH(V351, 'File Links'!C:C, 0)), "N/A", HYPERLINK(INDEX('File Links'!B:B, MATCH(P351, 'File Links'!C:C, 0))))</f>
        <v>N/A</v>
      </c>
      <c r="R351" s="106" t="s">
        <v>1974</v>
      </c>
      <c r="S351" s="106" t="s">
        <v>1975</v>
      </c>
      <c r="T351" s="107"/>
      <c r="U351" s="107"/>
      <c r="V351" s="109" t="str">
        <f t="shared" si="10"/>
        <v>10.1007--978-3-031-55844-3_4.pdf</v>
      </c>
      <c r="W351" s="107"/>
      <c r="X351" s="46" t="str">
        <f t="array" ref="X351"> if(iserror(MATCH(V351, 'File Links'!C:C, 0)), "N/A", HYPERLINK(INDEX('File Links'!B:B, MATCH(V351, 'File Links'!C:C, 0))))</f>
        <v>N/A</v>
      </c>
      <c r="Y351" s="107"/>
      <c r="Z351" s="106" t="s">
        <v>940</v>
      </c>
      <c r="AA351" s="107"/>
      <c r="AB351" s="106" t="s">
        <v>1992</v>
      </c>
      <c r="AC351" s="106" t="s">
        <v>1993</v>
      </c>
      <c r="AD351" s="106" t="s">
        <v>1994</v>
      </c>
      <c r="AE351" s="106">
        <v>99.0</v>
      </c>
      <c r="AF351" s="106">
        <v>258.0</v>
      </c>
      <c r="AG351" s="106">
        <v>0.32</v>
      </c>
      <c r="AH351" s="106" t="s">
        <v>354</v>
      </c>
      <c r="AI351" s="107"/>
      <c r="AJ351" s="106">
        <v>0.001</v>
      </c>
      <c r="AK351" s="106" t="s">
        <v>128</v>
      </c>
      <c r="AL351" s="106" t="s">
        <v>179</v>
      </c>
      <c r="AM351" s="69"/>
      <c r="AN351" s="216" t="s">
        <v>131</v>
      </c>
      <c r="AO351" s="106">
        <v>134.0</v>
      </c>
      <c r="AP351" s="106">
        <v>0.31</v>
      </c>
      <c r="AQ351" s="106" t="s">
        <v>354</v>
      </c>
      <c r="AR351" s="107"/>
      <c r="AS351" s="106" t="s">
        <v>260</v>
      </c>
      <c r="AT351" s="106" t="s">
        <v>128</v>
      </c>
      <c r="AU351" s="106" t="s">
        <v>179</v>
      </c>
      <c r="AV351" s="69"/>
      <c r="AW351" s="69"/>
      <c r="AX351" s="108"/>
      <c r="AY351" s="62"/>
      <c r="BC351" s="104"/>
      <c r="BD351" s="104"/>
      <c r="BE351" s="104"/>
      <c r="BF351" s="104"/>
      <c r="BG351" s="104"/>
      <c r="BH351" s="104"/>
      <c r="BI351" s="104"/>
      <c r="BJ351" s="104"/>
      <c r="BK351" s="104"/>
      <c r="BL351" s="104"/>
      <c r="BM351" s="104"/>
      <c r="BN351" s="104"/>
      <c r="BO351" s="104"/>
      <c r="BP351" s="104"/>
      <c r="BQ351" s="104"/>
      <c r="BR351" s="104"/>
      <c r="BS351" s="104"/>
      <c r="BT351" s="104"/>
      <c r="BU351" s="104"/>
      <c r="BV351" s="104"/>
      <c r="BW351" s="104"/>
      <c r="BX351" s="104"/>
      <c r="BY351" s="104"/>
      <c r="BZ351" s="104"/>
      <c r="CA351" s="104"/>
      <c r="CB351" s="104"/>
      <c r="CC351" s="104"/>
      <c r="CD351" s="104"/>
      <c r="CE351" s="104"/>
      <c r="CF351" s="104"/>
      <c r="CG351" s="104"/>
      <c r="CH351" s="104"/>
      <c r="CI351" s="104"/>
      <c r="CJ351" s="104"/>
      <c r="CK351" s="104"/>
      <c r="CL351" s="104"/>
      <c r="CM351" s="104"/>
      <c r="CN351" s="104"/>
      <c r="CO351" s="104"/>
      <c r="CP351" s="104"/>
      <c r="CQ351" s="104"/>
      <c r="CR351" s="104"/>
      <c r="CS351" s="104"/>
      <c r="CT351" s="104"/>
      <c r="CU351" s="104"/>
      <c r="CV351" s="104"/>
      <c r="CW351" s="104"/>
      <c r="CX351" s="104"/>
      <c r="CY351" s="104"/>
      <c r="CZ351" s="104"/>
      <c r="DA351" s="104"/>
      <c r="DB351" s="104"/>
      <c r="DC351" s="104"/>
      <c r="DD351" s="104"/>
      <c r="DE351" s="104"/>
      <c r="DF351" s="104"/>
      <c r="DG351" s="104"/>
      <c r="DH351" s="104"/>
    </row>
    <row r="352" ht="20.25" customHeight="1">
      <c r="A352" s="41">
        <v>352.0</v>
      </c>
      <c r="B352" s="42" t="s">
        <v>107</v>
      </c>
      <c r="C352" s="42" t="s">
        <v>108</v>
      </c>
      <c r="D352" s="42" t="s">
        <v>192</v>
      </c>
      <c r="E352" s="62"/>
      <c r="F352" s="65" t="s">
        <v>1995</v>
      </c>
      <c r="G352" s="54" t="s">
        <v>1996</v>
      </c>
      <c r="H352" s="54" t="s">
        <v>195</v>
      </c>
      <c r="I352" s="431">
        <v>45639.0</v>
      </c>
      <c r="J352" s="537">
        <v>45670.0</v>
      </c>
      <c r="K352" s="54" t="s">
        <v>1997</v>
      </c>
      <c r="L352" s="58"/>
      <c r="M352" s="54" t="s">
        <v>1998</v>
      </c>
      <c r="N352" s="54" t="s">
        <v>1999</v>
      </c>
      <c r="O352" s="58"/>
      <c r="P352" s="374" t="s">
        <v>2000</v>
      </c>
      <c r="Q352" s="49" t="str">
        <f t="array" ref="Q352"> if(iserror(MATCH(V352, 'File Links'!C:C, 0)), "N/A", HYPERLINK(INDEX('File Links'!B:B, MATCH(P352, 'File Links'!C:C, 0))))</f>
        <v>https://drive.google.com/file/d/1TtkPI6YvV3JyoWKI8Z0FTVrehrNka7__/view?usp=drivesdk</v>
      </c>
      <c r="R352" s="54" t="s">
        <v>2001</v>
      </c>
      <c r="S352" s="54" t="s">
        <v>2002</v>
      </c>
      <c r="T352" s="58"/>
      <c r="U352" s="335"/>
      <c r="V352" s="109" t="str">
        <f t="shared" si="10"/>
        <v>10.31234--osf.io--kpcwv.pdf</v>
      </c>
      <c r="W352" s="54" t="s">
        <v>202</v>
      </c>
      <c r="X352" s="51" t="str">
        <f t="array" ref="X352"> if(iserror(MATCH(V352, 'File Links'!C:C, 0)), "N/A", HYPERLINK(INDEX('File Links'!B:B, MATCH(V352, 'File Links'!C:C, 0))))</f>
        <v>https://drive.google.com/file/d/1Eufb0NfIAz03c6rDvfbVDbjGjjReVYgi/view?usp=drivesdk</v>
      </c>
      <c r="Y352" s="58"/>
      <c r="Z352" s="54" t="s">
        <v>2003</v>
      </c>
      <c r="AA352" s="54" t="s">
        <v>2004</v>
      </c>
      <c r="AB352" s="54" t="s">
        <v>2005</v>
      </c>
      <c r="AC352" s="58"/>
      <c r="AD352" s="58"/>
      <c r="AE352" s="58"/>
      <c r="AF352" s="58"/>
      <c r="AG352" s="58"/>
      <c r="AH352" s="335"/>
      <c r="AI352" s="58"/>
      <c r="AJ352" s="58"/>
      <c r="AK352" s="65"/>
      <c r="AL352" s="58"/>
      <c r="AM352" s="58"/>
      <c r="AN352" s="216" t="s">
        <v>131</v>
      </c>
      <c r="AO352" s="58"/>
      <c r="AP352" s="58"/>
      <c r="AQ352" s="58"/>
      <c r="AR352" s="58"/>
      <c r="AS352" s="58"/>
      <c r="AT352" s="65"/>
      <c r="AU352" s="65"/>
      <c r="AV352" s="65"/>
      <c r="AW352" s="65"/>
      <c r="AX352" s="65"/>
      <c r="AY352" s="58"/>
      <c r="AZ352" s="59" t="s">
        <v>137</v>
      </c>
      <c r="BC352" s="69"/>
      <c r="BD352" s="69"/>
      <c r="BE352" s="69"/>
      <c r="BF352" s="69"/>
      <c r="BG352" s="69"/>
      <c r="BH352" s="69"/>
      <c r="BI352" s="69"/>
      <c r="BJ352" s="69"/>
      <c r="BK352" s="69"/>
      <c r="BL352" s="69"/>
      <c r="BM352" s="69"/>
      <c r="BN352" s="69"/>
      <c r="BO352" s="69"/>
      <c r="BP352" s="69"/>
      <c r="BQ352" s="69"/>
      <c r="BR352" s="69"/>
      <c r="BS352" s="69"/>
      <c r="BT352" s="69"/>
      <c r="BU352" s="69"/>
      <c r="BV352" s="69"/>
      <c r="BW352" s="69"/>
      <c r="BX352" s="69"/>
      <c r="BY352" s="69"/>
      <c r="BZ352" s="69"/>
      <c r="CA352" s="69"/>
      <c r="CB352" s="69"/>
      <c r="CC352" s="69"/>
      <c r="CD352" s="69"/>
      <c r="CE352" s="69"/>
      <c r="CF352" s="69"/>
      <c r="CG352" s="69"/>
      <c r="CH352" s="69"/>
      <c r="CI352" s="69"/>
      <c r="CJ352" s="69"/>
      <c r="CK352" s="69"/>
      <c r="CL352" s="69"/>
      <c r="CM352" s="69"/>
      <c r="CN352" s="69"/>
      <c r="CO352" s="69"/>
      <c r="CP352" s="69"/>
      <c r="CQ352" s="69"/>
      <c r="CR352" s="69"/>
      <c r="CS352" s="69"/>
      <c r="CT352" s="69"/>
      <c r="CU352" s="69"/>
      <c r="CV352" s="69"/>
      <c r="CW352" s="69"/>
      <c r="CX352" s="69"/>
      <c r="CY352" s="69"/>
      <c r="CZ352" s="69"/>
      <c r="DA352" s="69"/>
      <c r="DB352" s="69"/>
      <c r="DC352" s="69"/>
      <c r="DD352" s="69"/>
      <c r="DE352" s="69"/>
      <c r="DF352" s="69"/>
      <c r="DG352" s="69"/>
      <c r="DH352" s="69"/>
    </row>
    <row r="353" ht="20.25" customHeight="1">
      <c r="A353" s="41">
        <v>353.0</v>
      </c>
      <c r="B353" s="42" t="s">
        <v>2006</v>
      </c>
      <c r="C353" s="59" t="s">
        <v>108</v>
      </c>
      <c r="D353" s="59" t="s">
        <v>279</v>
      </c>
      <c r="F353" s="65" t="s">
        <v>1995</v>
      </c>
      <c r="G353" s="54" t="s">
        <v>1996</v>
      </c>
      <c r="H353" s="148" t="s">
        <v>279</v>
      </c>
      <c r="I353" s="149">
        <v>45634.0</v>
      </c>
      <c r="J353" s="537">
        <v>45670.0</v>
      </c>
      <c r="K353" s="156" t="s">
        <v>2007</v>
      </c>
      <c r="L353" s="65"/>
      <c r="M353" s="677" t="s">
        <v>2008</v>
      </c>
      <c r="N353" s="156" t="s">
        <v>1999</v>
      </c>
      <c r="O353" s="126">
        <v>1.0</v>
      </c>
      <c r="P353" s="306" t="s">
        <v>2000</v>
      </c>
      <c r="Q353" s="49" t="str">
        <f t="array" ref="Q353"> if(iserror(MATCH(V353, 'File Links'!C:C, 0)), "N/A", HYPERLINK(INDEX('File Links'!B:B, MATCH(P353, 'File Links'!C:C, 0))))</f>
        <v>https://drive.google.com/file/d/1TtkPI6YvV3JyoWKI8Z0FTVrehrNka7__/view?usp=drivesdk</v>
      </c>
      <c r="R353" s="156" t="s">
        <v>2001</v>
      </c>
      <c r="S353" s="156" t="s">
        <v>2002</v>
      </c>
      <c r="T353" s="65"/>
      <c r="U353" s="144">
        <v>1.0</v>
      </c>
      <c r="V353" s="109" t="str">
        <f t="shared" si="10"/>
        <v>10.31234--osf.io--kpcwv.pdf</v>
      </c>
      <c r="W353" s="156" t="s">
        <v>2009</v>
      </c>
      <c r="X353" s="51" t="str">
        <f t="array" ref="X353"> if(iserror(MATCH(V353, 'File Links'!C:C, 0)), "N/A", HYPERLINK(INDEX('File Links'!B:B, MATCH(V353, 'File Links'!C:C, 0))))</f>
        <v>https://drive.google.com/file/d/1Eufb0NfIAz03c6rDvfbVDbjGjjReVYgi/view?usp=drivesdk</v>
      </c>
      <c r="Y353" s="156"/>
      <c r="Z353" s="54" t="s">
        <v>2003</v>
      </c>
      <c r="AA353" s="156" t="s">
        <v>2010</v>
      </c>
      <c r="AB353" s="148" t="s">
        <v>2011</v>
      </c>
      <c r="AC353" s="156" t="s">
        <v>2012</v>
      </c>
      <c r="AD353" s="148" t="s">
        <v>2013</v>
      </c>
      <c r="AE353" s="153">
        <v>8.0</v>
      </c>
      <c r="AF353" s="153">
        <v>498.0</v>
      </c>
      <c r="AG353" s="153">
        <v>44.25</v>
      </c>
      <c r="AH353" s="336" t="s">
        <v>2014</v>
      </c>
      <c r="AI353" s="54" t="s">
        <v>1035</v>
      </c>
      <c r="AJ353" s="54" t="s">
        <v>1528</v>
      </c>
      <c r="AK353" s="54" t="s">
        <v>1528</v>
      </c>
      <c r="AL353" s="54" t="s">
        <v>179</v>
      </c>
      <c r="AM353" s="54" t="s">
        <v>1528</v>
      </c>
      <c r="AN353" s="216" t="s">
        <v>131</v>
      </c>
      <c r="AO353" s="153">
        <v>500.0</v>
      </c>
      <c r="AP353" s="153">
        <v>44.14</v>
      </c>
      <c r="AQ353" s="156" t="s">
        <v>2014</v>
      </c>
      <c r="AR353" s="156" t="s">
        <v>2015</v>
      </c>
      <c r="AS353" s="156" t="s">
        <v>1528</v>
      </c>
      <c r="AT353" s="65"/>
      <c r="AU353" s="65"/>
      <c r="AV353" s="65"/>
      <c r="AW353" s="438" t="s">
        <v>2016</v>
      </c>
      <c r="AX353" s="65" t="s">
        <v>431</v>
      </c>
      <c r="AY353" s="65"/>
      <c r="AZ353" s="59" t="s">
        <v>137</v>
      </c>
      <c r="BC353" s="69"/>
      <c r="BD353" s="69"/>
      <c r="BE353" s="69"/>
      <c r="BF353" s="69"/>
      <c r="BG353" s="69"/>
      <c r="BH353" s="69"/>
      <c r="BI353" s="69"/>
      <c r="BJ353" s="69"/>
      <c r="BK353" s="69"/>
      <c r="BL353" s="69"/>
      <c r="BM353" s="69"/>
      <c r="BN353" s="69"/>
      <c r="BO353" s="69"/>
      <c r="BP353" s="69"/>
      <c r="BQ353" s="69"/>
      <c r="BR353" s="69"/>
      <c r="BS353" s="69"/>
      <c r="BT353" s="69"/>
      <c r="BU353" s="69"/>
      <c r="BV353" s="69"/>
      <c r="BW353" s="69"/>
      <c r="BX353" s="69"/>
      <c r="BY353" s="69"/>
      <c r="BZ353" s="69"/>
      <c r="CA353" s="69"/>
      <c r="CB353" s="69"/>
      <c r="CC353" s="69"/>
      <c r="CD353" s="69"/>
      <c r="CE353" s="69"/>
      <c r="CF353" s="69"/>
      <c r="CG353" s="69"/>
      <c r="CH353" s="69"/>
      <c r="CI353" s="69"/>
      <c r="CJ353" s="69"/>
      <c r="CK353" s="69"/>
      <c r="CL353" s="69"/>
      <c r="CM353" s="69"/>
      <c r="CN353" s="69"/>
      <c r="CO353" s="69"/>
      <c r="CP353" s="69"/>
      <c r="CQ353" s="69"/>
      <c r="CR353" s="69"/>
      <c r="CS353" s="69"/>
      <c r="CT353" s="69"/>
      <c r="CU353" s="69"/>
      <c r="CV353" s="69"/>
      <c r="CW353" s="69"/>
      <c r="CX353" s="69"/>
      <c r="CY353" s="69"/>
      <c r="CZ353" s="69"/>
      <c r="DA353" s="69"/>
      <c r="DB353" s="69"/>
      <c r="DC353" s="69"/>
      <c r="DD353" s="69"/>
      <c r="DE353" s="69"/>
      <c r="DF353" s="69"/>
      <c r="DG353" s="69"/>
      <c r="DH353" s="69"/>
    </row>
    <row r="354" ht="20.25" customHeight="1">
      <c r="A354" s="41">
        <v>354.0</v>
      </c>
      <c r="B354" s="42" t="s">
        <v>2006</v>
      </c>
      <c r="C354" s="697" t="s">
        <v>108</v>
      </c>
      <c r="D354" s="42" t="s">
        <v>192</v>
      </c>
      <c r="E354" s="62"/>
      <c r="F354" s="65" t="s">
        <v>2017</v>
      </c>
      <c r="G354" s="54" t="s">
        <v>2018</v>
      </c>
      <c r="H354" s="54" t="s">
        <v>195</v>
      </c>
      <c r="I354" s="431">
        <v>45639.0</v>
      </c>
      <c r="J354" s="537">
        <v>45670.0</v>
      </c>
      <c r="K354" s="54" t="s">
        <v>2019</v>
      </c>
      <c r="L354" s="58"/>
      <c r="M354" s="54" t="s">
        <v>2020</v>
      </c>
      <c r="N354" s="590" t="s">
        <v>2021</v>
      </c>
      <c r="O354" s="58"/>
      <c r="P354" s="379" t="s">
        <v>2022</v>
      </c>
      <c r="Q354" s="49" t="str">
        <f t="array" ref="Q354"> if(iserror(MATCH(V354, 'File Links'!C:C, 0)), "N/A", HYPERLINK(INDEX('File Links'!B:B, MATCH(P354, 'File Links'!C:C, 0))))</f>
        <v>https://drive.google.com/file/d/1vzu_sqHQexZD23Pac-duPSmK-pGIptlf/view?usp=drivesdk</v>
      </c>
      <c r="R354" s="54" t="s">
        <v>2023</v>
      </c>
      <c r="S354" s="126" t="s">
        <v>2024</v>
      </c>
      <c r="T354" s="58"/>
      <c r="U354" s="335"/>
      <c r="V354" s="109" t="str">
        <f t="shared" si="10"/>
        <v>qt8p5673qn.pdf</v>
      </c>
      <c r="W354" s="58"/>
      <c r="X354" s="51" t="str">
        <f t="array" ref="X354"> if(iserror(MATCH(V354, 'File Links'!C:C, 0)), "N/A", HYPERLINK(INDEX('File Links'!B:B, MATCH(V354, 'File Links'!C:C, 0))))</f>
        <v>https://drive.google.com/file/d/1cCkHaNWOPS3ds7SCRQ2FwENlloP5Ay-l/view?usp=drivesdk</v>
      </c>
      <c r="Y354" s="58"/>
      <c r="Z354" s="58"/>
      <c r="AA354" s="58"/>
      <c r="AB354" s="58"/>
      <c r="AC354" s="58"/>
      <c r="AD354" s="58"/>
      <c r="AE354" s="58"/>
      <c r="AF354" s="58"/>
      <c r="AG354" s="58"/>
      <c r="AH354" s="335"/>
      <c r="AI354" s="58"/>
      <c r="AJ354" s="58"/>
      <c r="AK354" s="65"/>
      <c r="AL354" s="58"/>
      <c r="AM354" s="58"/>
      <c r="AN354" s="216" t="s">
        <v>131</v>
      </c>
      <c r="AO354" s="58"/>
      <c r="AP354" s="58"/>
      <c r="AQ354" s="58"/>
      <c r="AR354" s="58"/>
      <c r="AS354" s="58"/>
      <c r="AT354" s="65"/>
      <c r="AU354" s="65"/>
      <c r="AV354" s="65"/>
      <c r="AW354" s="65"/>
      <c r="AX354" s="65"/>
      <c r="AY354" s="58"/>
      <c r="AZ354" s="59" t="s">
        <v>137</v>
      </c>
      <c r="BC354" s="69"/>
      <c r="BD354" s="69"/>
      <c r="BE354" s="69"/>
      <c r="BF354" s="69"/>
      <c r="BG354" s="69"/>
      <c r="BH354" s="69"/>
      <c r="BI354" s="69"/>
      <c r="BJ354" s="69"/>
      <c r="BK354" s="69"/>
      <c r="BL354" s="69"/>
      <c r="BM354" s="69"/>
      <c r="BN354" s="69"/>
      <c r="BO354" s="69"/>
      <c r="BP354" s="69"/>
      <c r="BQ354" s="69"/>
      <c r="BR354" s="69"/>
      <c r="BS354" s="69"/>
      <c r="BT354" s="69"/>
      <c r="BU354" s="69"/>
      <c r="BV354" s="69"/>
      <c r="BW354" s="69"/>
      <c r="BX354" s="69"/>
      <c r="BY354" s="69"/>
      <c r="BZ354" s="69"/>
      <c r="CA354" s="69"/>
      <c r="CB354" s="69"/>
      <c r="CC354" s="69"/>
      <c r="CD354" s="69"/>
      <c r="CE354" s="69"/>
      <c r="CF354" s="69"/>
      <c r="CG354" s="69"/>
      <c r="CH354" s="69"/>
      <c r="CI354" s="69"/>
      <c r="CJ354" s="69"/>
      <c r="CK354" s="69"/>
      <c r="CL354" s="69"/>
      <c r="CM354" s="69"/>
      <c r="CN354" s="69"/>
      <c r="CO354" s="69"/>
      <c r="CP354" s="69"/>
      <c r="CQ354" s="69"/>
      <c r="CR354" s="69"/>
      <c r="CS354" s="69"/>
      <c r="CT354" s="69"/>
      <c r="CU354" s="69"/>
      <c r="CV354" s="69"/>
      <c r="CW354" s="69"/>
      <c r="CX354" s="69"/>
      <c r="CY354" s="69"/>
      <c r="CZ354" s="69"/>
      <c r="DA354" s="69"/>
      <c r="DB354" s="69"/>
      <c r="DC354" s="69"/>
      <c r="DD354" s="69"/>
      <c r="DE354" s="69"/>
      <c r="DF354" s="69"/>
      <c r="DG354" s="69"/>
      <c r="DH354" s="69"/>
    </row>
    <row r="355" ht="20.25" customHeight="1">
      <c r="A355" s="41">
        <v>355.0</v>
      </c>
      <c r="B355" s="42" t="s">
        <v>107</v>
      </c>
      <c r="C355" s="528" t="s">
        <v>108</v>
      </c>
      <c r="D355" s="59" t="s">
        <v>279</v>
      </c>
      <c r="F355" s="65" t="s">
        <v>2017</v>
      </c>
      <c r="G355" s="54" t="s">
        <v>2018</v>
      </c>
      <c r="H355" s="148" t="s">
        <v>279</v>
      </c>
      <c r="I355" s="149">
        <v>45634.0</v>
      </c>
      <c r="J355" s="537">
        <v>45670.0</v>
      </c>
      <c r="K355" s="156" t="s">
        <v>1821</v>
      </c>
      <c r="L355" s="65"/>
      <c r="M355" s="156" t="s">
        <v>2020</v>
      </c>
      <c r="N355" s="677" t="s">
        <v>2021</v>
      </c>
      <c r="O355" s="65"/>
      <c r="P355" s="379" t="s">
        <v>2022</v>
      </c>
      <c r="Q355" s="49" t="str">
        <f t="array" ref="Q355"> if(iserror(MATCH(V355, 'File Links'!C:C, 0)), "N/A", HYPERLINK(INDEX('File Links'!B:B, MATCH(P355, 'File Links'!C:C, 0))))</f>
        <v>https://drive.google.com/file/d/1vzu_sqHQexZD23Pac-duPSmK-pGIptlf/view?usp=drivesdk</v>
      </c>
      <c r="R355" s="156" t="s">
        <v>2023</v>
      </c>
      <c r="S355" s="65"/>
      <c r="T355" s="307" t="s">
        <v>2025</v>
      </c>
      <c r="U355" s="65"/>
      <c r="V355" s="379" t="s">
        <v>2026</v>
      </c>
      <c r="W355" s="148" t="s">
        <v>202</v>
      </c>
      <c r="X355" s="51" t="str">
        <f t="array" ref="X355"> if(iserror(MATCH(V355, 'File Links'!C:C, 0)), "N/A", HYPERLINK(INDEX('File Links'!B:B, MATCH(V355, 'File Links'!C:C, 0))))</f>
        <v>https://drive.google.com/file/d/1lAHnrSuQxWM2CdT06_FM1GDBh9d6nNTe/view?usp=drivesdk</v>
      </c>
      <c r="Y355" s="156" t="s">
        <v>2027</v>
      </c>
      <c r="Z355" s="156" t="s">
        <v>141</v>
      </c>
      <c r="AA355" s="65"/>
      <c r="AB355" s="65"/>
      <c r="AC355" s="65"/>
      <c r="AD355" s="65"/>
      <c r="AE355" s="65"/>
      <c r="AF355" s="65"/>
      <c r="AG355" s="65"/>
      <c r="AH355" s="335"/>
      <c r="AI355" s="58"/>
      <c r="AJ355" s="58"/>
      <c r="AK355" s="65"/>
      <c r="AL355" s="58"/>
      <c r="AM355" s="65"/>
      <c r="AN355" s="216" t="s">
        <v>131</v>
      </c>
      <c r="AO355" s="65"/>
      <c r="AP355" s="65"/>
      <c r="AQ355" s="65"/>
      <c r="AR355" s="65"/>
      <c r="AS355" s="65"/>
      <c r="AT355" s="65"/>
      <c r="AU355" s="65"/>
      <c r="AV355" s="65"/>
      <c r="AW355" s="65"/>
      <c r="AX355" s="65" t="s">
        <v>144</v>
      </c>
      <c r="AY355" s="65"/>
      <c r="AZ355" s="59" t="s">
        <v>137</v>
      </c>
      <c r="BC355" s="69"/>
      <c r="BD355" s="69"/>
      <c r="BE355" s="69"/>
      <c r="BF355" s="69"/>
      <c r="BG355" s="69"/>
      <c r="BH355" s="69"/>
      <c r="BI355" s="69"/>
      <c r="BJ355" s="69"/>
      <c r="BK355" s="69"/>
      <c r="BL355" s="69"/>
      <c r="BM355" s="69"/>
      <c r="BN355" s="69"/>
      <c r="BO355" s="69"/>
      <c r="BP355" s="69"/>
      <c r="BQ355" s="69"/>
      <c r="BR355" s="69"/>
      <c r="BS355" s="69"/>
      <c r="BT355" s="69"/>
      <c r="BU355" s="69"/>
      <c r="BV355" s="69"/>
      <c r="BW355" s="69"/>
      <c r="BX355" s="69"/>
      <c r="BY355" s="69"/>
      <c r="BZ355" s="69"/>
      <c r="CA355" s="69"/>
      <c r="CB355" s="69"/>
      <c r="CC355" s="69"/>
      <c r="CD355" s="69"/>
      <c r="CE355" s="69"/>
      <c r="CF355" s="69"/>
      <c r="CG355" s="69"/>
      <c r="CH355" s="69"/>
      <c r="CI355" s="69"/>
      <c r="CJ355" s="69"/>
      <c r="CK355" s="69"/>
      <c r="CL355" s="69"/>
      <c r="CM355" s="69"/>
      <c r="CN355" s="69"/>
      <c r="CO355" s="69"/>
      <c r="CP355" s="69"/>
      <c r="CQ355" s="69"/>
      <c r="CR355" s="69"/>
      <c r="CS355" s="69"/>
      <c r="CT355" s="69"/>
      <c r="CU355" s="69"/>
      <c r="CV355" s="69"/>
      <c r="CW355" s="69"/>
      <c r="CX355" s="69"/>
      <c r="CY355" s="69"/>
      <c r="CZ355" s="69"/>
      <c r="DA355" s="69"/>
      <c r="DB355" s="69"/>
      <c r="DC355" s="69"/>
      <c r="DD355" s="69"/>
      <c r="DE355" s="69"/>
      <c r="DF355" s="69"/>
      <c r="DG355" s="69"/>
      <c r="DH355" s="69"/>
    </row>
    <row r="356" ht="20.25" customHeight="1">
      <c r="A356" s="41">
        <v>356.0</v>
      </c>
      <c r="B356" s="42" t="s">
        <v>107</v>
      </c>
      <c r="C356" s="42" t="s">
        <v>108</v>
      </c>
      <c r="D356" s="42" t="s">
        <v>192</v>
      </c>
      <c r="E356" s="62"/>
      <c r="F356" s="65" t="s">
        <v>2028</v>
      </c>
      <c r="G356" s="54" t="s">
        <v>2029</v>
      </c>
      <c r="H356" s="54" t="s">
        <v>195</v>
      </c>
      <c r="I356" s="431">
        <v>45639.0</v>
      </c>
      <c r="J356" s="58"/>
      <c r="K356" s="54" t="s">
        <v>2030</v>
      </c>
      <c r="L356" s="58"/>
      <c r="M356" s="54" t="s">
        <v>2031</v>
      </c>
      <c r="N356" s="58"/>
      <c r="O356" s="58"/>
      <c r="P356" s="379" t="s">
        <v>2032</v>
      </c>
      <c r="Q356" s="49" t="str">
        <f t="array" ref="Q356"> if(iserror(MATCH(V356, 'File Links'!C:C, 0)), "N/A", HYPERLINK(INDEX('File Links'!B:B, MATCH(P356, 'File Links'!C:C, 0))))</f>
        <v>https://drive.google.com/file/d/1BfaybP8V5w-BiT0TlcUAV03BKBkfzWla/view?usp=drivesdk</v>
      </c>
      <c r="R356" s="54" t="s">
        <v>2033</v>
      </c>
      <c r="S356" s="54" t="s">
        <v>2034</v>
      </c>
      <c r="T356" s="58"/>
      <c r="U356" s="335"/>
      <c r="V356" s="109" t="str">
        <f>HYPERLINK(VLOOKUP(LOWER(S356),#REF!, 2, FALSE), SUBSTITUTE(LOWER(S356), "/", "--") &amp;  ".pdf")</f>
        <v>10.16995--zygon.11497.pdf</v>
      </c>
      <c r="W356" s="58"/>
      <c r="X356" s="51" t="str">
        <f t="array" ref="X356"> if(iserror(MATCH(V356, 'File Links'!C:C, 0)), "N/A", HYPERLINK(INDEX('File Links'!B:B, MATCH(V356, 'File Links'!C:C, 0))))</f>
        <v>https://drive.google.com/file/d/1xNa3snr_hhHjS7pnwFaA2tVxjB_0VvqW/view?usp=drivesdk</v>
      </c>
      <c r="Y356" s="58"/>
      <c r="Z356" s="58"/>
      <c r="AA356" s="58"/>
      <c r="AB356" s="58"/>
      <c r="AC356" s="58"/>
      <c r="AD356" s="58"/>
      <c r="AE356" s="58"/>
      <c r="AF356" s="58"/>
      <c r="AG356" s="58"/>
      <c r="AH356" s="335"/>
      <c r="AI356" s="58"/>
      <c r="AJ356" s="58"/>
      <c r="AK356" s="65"/>
      <c r="AL356" s="58"/>
      <c r="AM356" s="58"/>
      <c r="AN356" s="216" t="s">
        <v>131</v>
      </c>
      <c r="AO356" s="58"/>
      <c r="AP356" s="58"/>
      <c r="AQ356" s="58"/>
      <c r="AR356" s="58"/>
      <c r="AS356" s="58"/>
      <c r="AT356" s="65"/>
      <c r="AU356" s="65"/>
      <c r="AV356" s="65"/>
      <c r="AW356" s="65"/>
      <c r="AX356" s="65"/>
      <c r="AY356" s="58"/>
      <c r="AZ356" s="59" t="s">
        <v>137</v>
      </c>
      <c r="BC356" s="69"/>
      <c r="BD356" s="69"/>
      <c r="BE356" s="69"/>
      <c r="BF356" s="69"/>
      <c r="BG356" s="69"/>
      <c r="BH356" s="69"/>
      <c r="BI356" s="69"/>
      <c r="BJ356" s="69"/>
      <c r="BK356" s="69"/>
      <c r="BL356" s="69"/>
      <c r="BM356" s="69"/>
      <c r="BN356" s="69"/>
      <c r="BO356" s="69"/>
      <c r="BP356" s="69"/>
      <c r="BQ356" s="69"/>
      <c r="BR356" s="69"/>
      <c r="BS356" s="69"/>
      <c r="BT356" s="69"/>
      <c r="BU356" s="69"/>
      <c r="BV356" s="69"/>
      <c r="BW356" s="69"/>
      <c r="BX356" s="69"/>
      <c r="BY356" s="69"/>
      <c r="BZ356" s="69"/>
      <c r="CA356" s="69"/>
      <c r="CB356" s="69"/>
      <c r="CC356" s="69"/>
      <c r="CD356" s="69"/>
      <c r="CE356" s="69"/>
      <c r="CF356" s="69"/>
      <c r="CG356" s="69"/>
      <c r="CH356" s="69"/>
      <c r="CI356" s="69"/>
      <c r="CJ356" s="69"/>
      <c r="CK356" s="69"/>
      <c r="CL356" s="69"/>
      <c r="CM356" s="69"/>
      <c r="CN356" s="69"/>
      <c r="CO356" s="69"/>
      <c r="CP356" s="69"/>
      <c r="CQ356" s="69"/>
      <c r="CR356" s="69"/>
      <c r="CS356" s="69"/>
      <c r="CT356" s="69"/>
      <c r="CU356" s="69"/>
      <c r="CV356" s="69"/>
      <c r="CW356" s="69"/>
      <c r="CX356" s="69"/>
      <c r="CY356" s="69"/>
      <c r="CZ356" s="69"/>
      <c r="DA356" s="69"/>
      <c r="DB356" s="69"/>
      <c r="DC356" s="69"/>
      <c r="DD356" s="69"/>
      <c r="DE356" s="69"/>
      <c r="DF356" s="69"/>
      <c r="DG356" s="69"/>
      <c r="DH356" s="69"/>
    </row>
    <row r="357" ht="20.25" customHeight="1">
      <c r="A357" s="41">
        <v>357.0</v>
      </c>
      <c r="B357" s="42" t="s">
        <v>2006</v>
      </c>
      <c r="C357" s="59" t="s">
        <v>108</v>
      </c>
      <c r="D357" s="59" t="s">
        <v>279</v>
      </c>
      <c r="F357" s="65" t="s">
        <v>2028</v>
      </c>
      <c r="G357" s="54" t="s">
        <v>2029</v>
      </c>
      <c r="H357" s="156" t="s">
        <v>137</v>
      </c>
      <c r="I357" s="149">
        <v>45460.0</v>
      </c>
      <c r="J357" s="699">
        <v>45632.0</v>
      </c>
      <c r="K357" s="156" t="s">
        <v>1821</v>
      </c>
      <c r="L357" s="65"/>
      <c r="M357" s="156" t="s">
        <v>2031</v>
      </c>
      <c r="N357" s="65"/>
      <c r="O357" s="65"/>
      <c r="P357" s="379" t="s">
        <v>2032</v>
      </c>
      <c r="Q357" s="49" t="str">
        <f t="array" ref="Q357"> if(iserror(MATCH(V357, 'File Links'!C:C, 0)), "N/A", HYPERLINK(INDEX('File Links'!B:B, MATCH(P357, 'File Links'!C:C, 0))))</f>
        <v>https://drive.google.com/file/d/1BfaybP8V5w-BiT0TlcUAV03BKBkfzWla/view?usp=drivesdk</v>
      </c>
      <c r="R357" s="156" t="s">
        <v>2033</v>
      </c>
      <c r="S357" s="156" t="s">
        <v>2034</v>
      </c>
      <c r="T357" s="65"/>
      <c r="U357" s="65"/>
      <c r="V357" s="379" t="s">
        <v>2035</v>
      </c>
      <c r="W357" s="156" t="s">
        <v>2036</v>
      </c>
      <c r="X357" s="51" t="str">
        <f t="array" ref="X357"> if(iserror(MATCH(V357, 'File Links'!C:C, 0)), "N/A", HYPERLINK(INDEX('File Links'!B:B, MATCH(V357, 'File Links'!C:C, 0))))</f>
        <v>https://drive.google.com/file/d/1xNa3snr_hhHjS7pnwFaA2tVxjB_0VvqW/view?usp=drivesdk</v>
      </c>
      <c r="Y357" s="156" t="s">
        <v>2037</v>
      </c>
      <c r="Z357" s="156" t="s">
        <v>2038</v>
      </c>
      <c r="AA357" s="65"/>
      <c r="AB357" s="65"/>
      <c r="AC357" s="65"/>
      <c r="AD357" s="65"/>
      <c r="AE357" s="65"/>
      <c r="AF357" s="65"/>
      <c r="AG357" s="65"/>
      <c r="AH357" s="335"/>
      <c r="AI357" s="58"/>
      <c r="AJ357" s="58"/>
      <c r="AK357" s="65"/>
      <c r="AL357" s="58"/>
      <c r="AM357" s="65"/>
      <c r="AN357" s="216" t="s">
        <v>131</v>
      </c>
      <c r="AO357" s="65"/>
      <c r="AP357" s="65"/>
      <c r="AQ357" s="65"/>
      <c r="AR357" s="65"/>
      <c r="AS357" s="65"/>
      <c r="AT357" s="65"/>
      <c r="AU357" s="65"/>
      <c r="AV357" s="65"/>
      <c r="AW357" s="65"/>
      <c r="AX357" s="65"/>
      <c r="AY357" s="65"/>
      <c r="AZ357" s="59" t="s">
        <v>137</v>
      </c>
      <c r="BC357" s="69"/>
      <c r="BD357" s="69"/>
      <c r="BE357" s="69"/>
      <c r="BF357" s="69"/>
      <c r="BG357" s="69"/>
      <c r="BH357" s="69"/>
      <c r="BI357" s="69"/>
      <c r="BJ357" s="69"/>
      <c r="BK357" s="69"/>
      <c r="BL357" s="69"/>
      <c r="BM357" s="69"/>
      <c r="BN357" s="69"/>
      <c r="BO357" s="69"/>
      <c r="BP357" s="69"/>
      <c r="BQ357" s="69"/>
      <c r="BR357" s="69"/>
      <c r="BS357" s="69"/>
      <c r="BT357" s="69"/>
      <c r="BU357" s="69"/>
      <c r="BV357" s="69"/>
      <c r="BW357" s="69"/>
      <c r="BX357" s="69"/>
      <c r="BY357" s="69"/>
      <c r="BZ357" s="69"/>
      <c r="CA357" s="69"/>
      <c r="CB357" s="69"/>
      <c r="CC357" s="69"/>
      <c r="CD357" s="69"/>
      <c r="CE357" s="69"/>
      <c r="CF357" s="69"/>
      <c r="CG357" s="69"/>
      <c r="CH357" s="69"/>
      <c r="CI357" s="69"/>
      <c r="CJ357" s="69"/>
      <c r="CK357" s="69"/>
      <c r="CL357" s="69"/>
      <c r="CM357" s="69"/>
      <c r="CN357" s="69"/>
      <c r="CO357" s="69"/>
      <c r="CP357" s="69"/>
      <c r="CQ357" s="69"/>
      <c r="CR357" s="69"/>
      <c r="CS357" s="69"/>
      <c r="CT357" s="69"/>
      <c r="CU357" s="69"/>
      <c r="CV357" s="69"/>
      <c r="CW357" s="69"/>
      <c r="CX357" s="69"/>
      <c r="CY357" s="69"/>
      <c r="CZ357" s="69"/>
      <c r="DA357" s="69"/>
      <c r="DB357" s="69"/>
      <c r="DC357" s="69"/>
      <c r="DD357" s="69"/>
      <c r="DE357" s="69"/>
      <c r="DF357" s="69"/>
      <c r="DG357" s="69"/>
      <c r="DH357" s="69"/>
    </row>
    <row r="358" ht="20.25" customHeight="1">
      <c r="A358" s="41">
        <v>358.0</v>
      </c>
      <c r="B358" s="42" t="s">
        <v>107</v>
      </c>
      <c r="C358" s="42" t="s">
        <v>108</v>
      </c>
      <c r="D358" s="42" t="s">
        <v>192</v>
      </c>
      <c r="E358" s="62"/>
      <c r="F358" s="65" t="s">
        <v>2039</v>
      </c>
      <c r="G358" s="54" t="s">
        <v>2040</v>
      </c>
      <c r="H358" s="54" t="s">
        <v>195</v>
      </c>
      <c r="I358" s="431">
        <v>45639.0</v>
      </c>
      <c r="J358" s="58"/>
      <c r="K358" s="54" t="s">
        <v>2030</v>
      </c>
      <c r="L358" s="58"/>
      <c r="M358" s="54" t="s">
        <v>2031</v>
      </c>
      <c r="N358" s="58"/>
      <c r="O358" s="58"/>
      <c r="P358" s="379" t="s">
        <v>2032</v>
      </c>
      <c r="Q358" s="49" t="str">
        <f t="array" ref="Q358"> if(iserror(MATCH(V358, 'File Links'!C:C, 0)), "N/A", HYPERLINK(INDEX('File Links'!B:B, MATCH(P358, 'File Links'!C:C, 0))))</f>
        <v>https://drive.google.com/file/d/1BfaybP8V5w-BiT0TlcUAV03BKBkfzWla/view?usp=drivesdk</v>
      </c>
      <c r="R358" s="54" t="s">
        <v>2041</v>
      </c>
      <c r="S358" s="54" t="s">
        <v>2034</v>
      </c>
      <c r="T358" s="58"/>
      <c r="U358" s="335"/>
      <c r="V358" s="109" t="str">
        <f t="shared" ref="V358:V360" si="13">HYPERLINK(VLOOKUP(LOWER(S358),#REF!, 2, FALSE), SUBSTITUTE(LOWER(S358), "/", "--") &amp;  ".pdf")</f>
        <v>10.16995--zygon.11497.pdf</v>
      </c>
      <c r="W358" s="58"/>
      <c r="X358" s="51" t="str">
        <f t="array" ref="X358"> if(iserror(MATCH(V358, 'File Links'!C:C, 0)), "N/A", HYPERLINK(INDEX('File Links'!B:B, MATCH(V358, 'File Links'!C:C, 0))))</f>
        <v>https://drive.google.com/file/d/1xNa3snr_hhHjS7pnwFaA2tVxjB_0VvqW/view?usp=drivesdk</v>
      </c>
      <c r="Y358" s="58"/>
      <c r="Z358" s="58"/>
      <c r="AA358" s="58"/>
      <c r="AB358" s="58"/>
      <c r="AC358" s="58"/>
      <c r="AD358" s="58"/>
      <c r="AE358" s="58"/>
      <c r="AF358" s="58"/>
      <c r="AG358" s="58"/>
      <c r="AH358" s="335"/>
      <c r="AI358" s="58"/>
      <c r="AJ358" s="58"/>
      <c r="AK358" s="65"/>
      <c r="AL358" s="58"/>
      <c r="AM358" s="58"/>
      <c r="AN358" s="216" t="s">
        <v>131</v>
      </c>
      <c r="AO358" s="58"/>
      <c r="AP358" s="58"/>
      <c r="AQ358" s="58"/>
      <c r="AR358" s="58"/>
      <c r="AS358" s="58"/>
      <c r="AT358" s="65"/>
      <c r="AU358" s="65"/>
      <c r="AV358" s="65"/>
      <c r="AW358" s="65"/>
      <c r="AX358" s="65"/>
      <c r="AY358" s="58"/>
      <c r="AZ358" s="59" t="s">
        <v>137</v>
      </c>
    </row>
    <row r="359" ht="20.25" customHeight="1">
      <c r="A359" s="41">
        <v>359.0</v>
      </c>
      <c r="B359" s="59" t="s">
        <v>2006</v>
      </c>
      <c r="C359" s="59" t="s">
        <v>108</v>
      </c>
      <c r="D359" s="59" t="s">
        <v>214</v>
      </c>
      <c r="F359" s="357" t="s">
        <v>2039</v>
      </c>
      <c r="G359" s="44" t="s">
        <v>2040</v>
      </c>
      <c r="H359" s="44" t="s">
        <v>215</v>
      </c>
      <c r="I359" s="341">
        <v>45636.0</v>
      </c>
      <c r="J359" s="46"/>
      <c r="K359" s="44" t="s">
        <v>2042</v>
      </c>
      <c r="L359" s="46"/>
      <c r="M359" s="44" t="s">
        <v>2031</v>
      </c>
      <c r="N359" s="46"/>
      <c r="O359" s="46"/>
      <c r="P359" s="379" t="s">
        <v>2032</v>
      </c>
      <c r="Q359" s="49" t="str">
        <f t="array" ref="Q359"> if(iserror(MATCH(V359, 'File Links'!C:C, 0)), "N/A", HYPERLINK(INDEX('File Links'!B:B, MATCH(P359, 'File Links'!C:C, 0))))</f>
        <v>https://drive.google.com/file/d/1BfaybP8V5w-BiT0TlcUAV03BKBkfzWla/view?usp=drivesdk</v>
      </c>
      <c r="R359" s="44" t="s">
        <v>2041</v>
      </c>
      <c r="S359" s="54" t="s">
        <v>2034</v>
      </c>
      <c r="T359" s="46"/>
      <c r="U359" s="383">
        <v>1.0</v>
      </c>
      <c r="V359" s="109" t="str">
        <f t="shared" si="13"/>
        <v>10.16995--zygon.11497.pdf</v>
      </c>
      <c r="W359" s="44" t="s">
        <v>2043</v>
      </c>
      <c r="X359" s="51" t="str">
        <f t="array" ref="X359"> if(iserror(MATCH(V359, 'File Links'!C:C, 0)), "N/A", HYPERLINK(INDEX('File Links'!B:B, MATCH(V359, 'File Links'!C:C, 0))))</f>
        <v>https://drive.google.com/file/d/1xNa3snr_hhHjS7pnwFaA2tVxjB_0VvqW/view?usp=drivesdk</v>
      </c>
      <c r="Y359" s="46"/>
      <c r="Z359" s="44" t="s">
        <v>158</v>
      </c>
      <c r="AA359" s="46"/>
      <c r="AB359" s="44" t="s">
        <v>2044</v>
      </c>
      <c r="AC359" s="44" t="s">
        <v>2045</v>
      </c>
      <c r="AD359" s="44" t="s">
        <v>2046</v>
      </c>
      <c r="AE359" s="44" t="s">
        <v>2047</v>
      </c>
      <c r="AF359" s="46"/>
      <c r="AG359" s="46"/>
      <c r="AH359" s="102"/>
      <c r="AI359" s="46"/>
      <c r="AJ359" s="46"/>
      <c r="AK359" s="43"/>
      <c r="AL359" s="46"/>
      <c r="AM359" s="46"/>
      <c r="AN359" s="216" t="s">
        <v>131</v>
      </c>
      <c r="AO359" s="505">
        <v>5.0</v>
      </c>
      <c r="AP359" s="46"/>
      <c r="AQ359" s="46"/>
      <c r="AR359" s="46"/>
      <c r="AS359" s="46"/>
      <c r="AT359" s="43"/>
      <c r="AU359" s="43"/>
      <c r="AV359" s="43"/>
      <c r="AW359" s="56" t="s">
        <v>2048</v>
      </c>
      <c r="AX359" s="57" t="s">
        <v>144</v>
      </c>
      <c r="AY359" s="58"/>
      <c r="AZ359" s="59" t="s">
        <v>137</v>
      </c>
    </row>
    <row r="360" ht="20.25" customHeight="1">
      <c r="A360" s="41">
        <v>360.0</v>
      </c>
      <c r="B360" s="59" t="s">
        <v>107</v>
      </c>
      <c r="C360" s="59" t="s">
        <v>108</v>
      </c>
      <c r="D360" s="59" t="s">
        <v>2049</v>
      </c>
      <c r="F360" s="700" t="s">
        <v>2050</v>
      </c>
      <c r="G360" s="54" t="s">
        <v>2051</v>
      </c>
      <c r="H360" s="156" t="s">
        <v>2052</v>
      </c>
      <c r="I360" s="149">
        <v>45460.0</v>
      </c>
      <c r="J360" s="149">
        <v>45634.0</v>
      </c>
      <c r="K360" s="701" t="s">
        <v>2053</v>
      </c>
      <c r="L360" s="126" t="s">
        <v>2054</v>
      </c>
      <c r="M360" s="156" t="s">
        <v>2055</v>
      </c>
      <c r="N360" s="156" t="s">
        <v>2056</v>
      </c>
      <c r="O360" s="65"/>
      <c r="P360" s="379" t="str">
        <f> SUBSTITUTE(lower(N360), "/", "--") &amp;  ".pdf"</f>
        <v>10.1016--j.econedurev.2005.05.008.pdf</v>
      </c>
      <c r="Q360" s="49" t="str">
        <f t="array" ref="Q360"> if(iserror(MATCH(V360, 'File Links'!C:C, 0)), "N/A", HYPERLINK(INDEX('File Links'!B:B, MATCH(P360, 'File Links'!C:C, 0))))</f>
        <v>https://drive.google.com/file/d/1jEnrVGc2PxWYnqqR5b5QggE9HgY-tjOC/view?usp=drivesdk</v>
      </c>
      <c r="R360" s="156" t="s">
        <v>2057</v>
      </c>
      <c r="S360" s="702" t="s">
        <v>2058</v>
      </c>
      <c r="T360" s="438" t="s">
        <v>2059</v>
      </c>
      <c r="U360" s="65"/>
      <c r="V360" s="109" t="str">
        <f t="shared" si="13"/>
        <v>10.5281--zenodo.6426882.pdf</v>
      </c>
      <c r="W360" s="65"/>
      <c r="X360" s="51" t="str">
        <f t="array" ref="X360"> if(iserror(MATCH(V360, 'File Links'!C:C, 0)), "N/A", HYPERLINK(INDEX('File Links'!B:B, MATCH(V360, 'File Links'!C:C, 0))))</f>
        <v>https://drive.google.com/file/d/1jvhXrkXP500Hc10PhmlgwF_pIcWK0diq/view?usp=drivesdk</v>
      </c>
      <c r="Y360" s="65"/>
      <c r="Z360" s="65"/>
      <c r="AA360" s="65"/>
      <c r="AB360" s="65"/>
      <c r="AC360" s="65"/>
      <c r="AD360" s="65"/>
      <c r="AE360" s="65"/>
      <c r="AF360" s="65"/>
      <c r="AG360" s="65"/>
      <c r="AH360" s="335"/>
      <c r="AI360" s="58"/>
      <c r="AJ360" s="58"/>
      <c r="AK360" s="65"/>
      <c r="AL360" s="58"/>
      <c r="AM360" s="65"/>
      <c r="AN360" s="216" t="s">
        <v>131</v>
      </c>
      <c r="AO360" s="65"/>
      <c r="AP360" s="65"/>
      <c r="AQ360" s="65"/>
      <c r="AR360" s="65"/>
      <c r="AS360" s="65"/>
      <c r="AT360" s="65"/>
      <c r="AU360" s="65"/>
      <c r="AV360" s="65"/>
      <c r="AW360" s="65"/>
      <c r="AX360" s="65"/>
      <c r="AY360" s="126"/>
      <c r="AZ360" s="59" t="s">
        <v>137</v>
      </c>
    </row>
    <row r="361" ht="51.0" customHeight="1">
      <c r="A361" s="41">
        <v>361.0</v>
      </c>
      <c r="B361" s="126" t="s">
        <v>516</v>
      </c>
      <c r="C361" s="59" t="s">
        <v>108</v>
      </c>
      <c r="D361" s="59" t="s">
        <v>1263</v>
      </c>
      <c r="F361" s="156" t="s">
        <v>2050</v>
      </c>
      <c r="G361" s="156" t="s">
        <v>2051</v>
      </c>
      <c r="H361" s="156" t="s">
        <v>2060</v>
      </c>
      <c r="I361" s="149">
        <v>45460.0</v>
      </c>
      <c r="J361" s="65"/>
      <c r="K361" s="65"/>
      <c r="L361" s="65"/>
      <c r="M361" s="156" t="s">
        <v>2055</v>
      </c>
      <c r="N361" s="156" t="s">
        <v>2056</v>
      </c>
      <c r="O361" s="65"/>
      <c r="P361" s="156" t="str">
        <f t="shared" ref="P361:P362" si="14">SUBSTITUTE(LOWER(N361), "/", "--") &amp;  ".pdf"</f>
        <v>10.1016--j.econedurev.2005.05.008.pdf</v>
      </c>
      <c r="Q361" s="49" t="str">
        <f t="array" ref="Q361"> if(iserror(MATCH(V361, 'File Links'!C:C, 0)), "N/A", HYPERLINK(INDEX('File Links'!B:B, MATCH(P361, 'File Links'!C:C, 0))))</f>
        <v>https://drive.google.com/file/d/1jEnrVGc2PxWYnqqR5b5QggE9HgY-tjOC/view?usp=drivesdk</v>
      </c>
      <c r="R361" s="156" t="s">
        <v>2057</v>
      </c>
      <c r="S361" s="156" t="s">
        <v>2058</v>
      </c>
      <c r="T361" s="65"/>
      <c r="U361" s="65"/>
      <c r="V361" s="195" t="str">
        <f> hyperlink(vlookup(lower(S361),#REF!, 2, FALSE), SUBSTITUTE(lower(S361), "/", "--") &amp;  ".pdf")</f>
        <v>10.5281--zenodo.6426882.pdf</v>
      </c>
      <c r="W361" s="65"/>
      <c r="X361" s="51" t="str">
        <f t="array" ref="X361"> if(iserror(MATCH(V361, 'File Links'!C:C, 0)), "N/A", HYPERLINK(INDEX('File Links'!B:B, MATCH(V361, 'File Links'!C:C, 0))))</f>
        <v>https://drive.google.com/file/d/1jvhXrkXP500Hc10PhmlgwF_pIcWK0diq/view?usp=drivesdk</v>
      </c>
      <c r="Y361" s="156" t="s">
        <v>2061</v>
      </c>
      <c r="Z361" s="65"/>
      <c r="AA361" s="65"/>
      <c r="AB361" s="65"/>
      <c r="AC361" s="65"/>
      <c r="AD361" s="65"/>
      <c r="AE361" s="65"/>
      <c r="AF361" s="65"/>
      <c r="AG361" s="65"/>
      <c r="AH361" s="65"/>
      <c r="AI361" s="65"/>
      <c r="AJ361" s="65"/>
      <c r="AK361" s="65"/>
      <c r="AL361" s="65"/>
      <c r="AM361" s="65"/>
      <c r="AN361" s="216" t="s">
        <v>131</v>
      </c>
      <c r="AO361" s="65"/>
      <c r="AP361" s="65"/>
      <c r="AQ361" s="65"/>
      <c r="AR361" s="65"/>
      <c r="AS361" s="65"/>
      <c r="AT361" s="65"/>
      <c r="AU361" s="65"/>
      <c r="AV361" s="65"/>
      <c r="AW361" s="65"/>
      <c r="AX361" s="65"/>
      <c r="BA361" s="481"/>
      <c r="BB361" s="481"/>
      <c r="BC361" s="481"/>
      <c r="BD361" s="481"/>
      <c r="BE361" s="481"/>
      <c r="BF361" s="481"/>
      <c r="BG361" s="481"/>
      <c r="BH361" s="481"/>
      <c r="BI361" s="481"/>
      <c r="BJ361" s="481"/>
      <c r="BK361" s="481"/>
      <c r="BL361" s="481"/>
      <c r="BM361" s="481"/>
      <c r="BN361" s="481"/>
      <c r="BO361" s="481"/>
      <c r="BP361" s="481"/>
      <c r="BQ361" s="481"/>
      <c r="BR361" s="481"/>
      <c r="BS361" s="481"/>
      <c r="BT361" s="481"/>
      <c r="BU361" s="481"/>
      <c r="BV361" s="481"/>
      <c r="BW361" s="481"/>
      <c r="BX361" s="481"/>
      <c r="BY361" s="481"/>
      <c r="BZ361" s="481"/>
      <c r="CA361" s="481"/>
      <c r="CB361" s="481"/>
      <c r="CC361" s="481"/>
      <c r="CD361" s="481"/>
      <c r="CE361" s="481"/>
      <c r="CF361" s="481"/>
      <c r="CG361" s="481"/>
      <c r="CH361" s="481"/>
      <c r="CI361" s="481"/>
      <c r="CJ361" s="481"/>
      <c r="CK361" s="481"/>
      <c r="CL361" s="481"/>
      <c r="CM361" s="481"/>
      <c r="CN361" s="481"/>
      <c r="CO361" s="481"/>
      <c r="CP361" s="481"/>
      <c r="CQ361" s="481"/>
      <c r="CR361" s="481"/>
      <c r="CS361" s="481"/>
      <c r="CT361" s="481"/>
      <c r="CU361" s="481"/>
      <c r="CV361" s="481"/>
      <c r="CW361" s="481"/>
      <c r="CX361" s="481"/>
      <c r="CY361" s="481"/>
      <c r="CZ361" s="481"/>
      <c r="DA361" s="481"/>
      <c r="DB361" s="481"/>
      <c r="DC361" s="481"/>
      <c r="DD361" s="481"/>
      <c r="DE361" s="481"/>
      <c r="DF361" s="481"/>
      <c r="DG361" s="481"/>
      <c r="DH361" s="481"/>
    </row>
    <row r="362" ht="20.25" customHeight="1">
      <c r="A362" s="41">
        <v>362.0</v>
      </c>
      <c r="B362" s="145" t="s">
        <v>583</v>
      </c>
      <c r="C362" s="42" t="s">
        <v>108</v>
      </c>
      <c r="D362" s="59" t="s">
        <v>1434</v>
      </c>
      <c r="F362" s="490" t="s">
        <v>2062</v>
      </c>
      <c r="G362" s="380" t="s">
        <v>2063</v>
      </c>
      <c r="H362" s="380" t="s">
        <v>1533</v>
      </c>
      <c r="I362" s="587">
        <v>45460.0</v>
      </c>
      <c r="J362" s="587">
        <v>45638.0</v>
      </c>
      <c r="K362" s="380" t="s">
        <v>2064</v>
      </c>
      <c r="L362" s="703" t="s">
        <v>2065</v>
      </c>
      <c r="M362" s="380" t="s">
        <v>2066</v>
      </c>
      <c r="N362" s="380" t="s">
        <v>2067</v>
      </c>
      <c r="O362" s="459"/>
      <c r="P362" s="490" t="str">
        <f t="shared" si="14"/>
        <v>10.1111--j.1540-5885.2010.00778.x.pdf</v>
      </c>
      <c r="Q362" s="105" t="str">
        <f t="array" ref="Q362"> if(iserror(MATCH(V362, 'File Links'!C:C, 0)), "N/A", HYPERLINK(INDEX('File Links'!B:B, MATCH(P362, 'File Links'!C:C, 0))))</f>
        <v>N/A</v>
      </c>
      <c r="R362" s="704" t="s">
        <v>2068</v>
      </c>
      <c r="S362" s="380" t="s">
        <v>2069</v>
      </c>
      <c r="T362" s="459"/>
      <c r="U362" s="588"/>
      <c r="V362" s="380" t="str">
        <f t="shared" ref="V362:V397" si="15">HYPERLINK(VLOOKUP(LOWER(S362),#REF!, 2, FALSE), SUBSTITUTE(LOWER(S362), "/", "--") &amp;  ".pdf")</f>
        <v>10.1080--02650487.2024.2362015.pdf</v>
      </c>
      <c r="W362" s="589" t="s">
        <v>2070</v>
      </c>
      <c r="X362" s="46" t="str">
        <f t="array" ref="X362"> if(iserror(MATCH(V362, 'File Links'!C:C, 0)), "N/A", HYPERLINK(INDEX('File Links'!B:B, MATCH(V362, 'File Links'!C:C, 0))))</f>
        <v>N/A</v>
      </c>
      <c r="Y362" s="589" t="s">
        <v>2071</v>
      </c>
      <c r="Z362" s="380" t="s">
        <v>2072</v>
      </c>
      <c r="AA362" s="380" t="s">
        <v>2073</v>
      </c>
      <c r="AB362" s="380" t="s">
        <v>2074</v>
      </c>
      <c r="AC362" s="459"/>
      <c r="AD362" s="459"/>
      <c r="AE362" s="459"/>
      <c r="AF362" s="459"/>
      <c r="AG362" s="459"/>
      <c r="AH362" s="588"/>
      <c r="AI362" s="459"/>
      <c r="AJ362" s="459"/>
      <c r="AK362" s="539"/>
      <c r="AL362" s="459"/>
      <c r="AM362" s="459"/>
      <c r="AN362" s="216" t="s">
        <v>131</v>
      </c>
      <c r="AO362" s="459"/>
      <c r="AP362" s="459"/>
      <c r="AQ362" s="459"/>
      <c r="AR362" s="459"/>
      <c r="AS362" s="459"/>
      <c r="AT362" s="539"/>
      <c r="AU362" s="539"/>
      <c r="AV362" s="539"/>
      <c r="AW362" s="539"/>
      <c r="AX362" s="478" t="s">
        <v>144</v>
      </c>
      <c r="AY362" s="705" t="s">
        <v>2065</v>
      </c>
      <c r="BA362" s="465"/>
      <c r="BB362" s="465"/>
      <c r="BC362" s="465"/>
      <c r="BD362" s="465"/>
      <c r="BE362" s="465"/>
      <c r="BF362" s="465"/>
      <c r="BG362" s="465"/>
      <c r="BH362" s="465"/>
      <c r="BI362" s="465"/>
      <c r="BJ362" s="465"/>
      <c r="BK362" s="465"/>
      <c r="BL362" s="465"/>
      <c r="BM362" s="465"/>
      <c r="BN362" s="465"/>
      <c r="BO362" s="465"/>
      <c r="BP362" s="465"/>
      <c r="BQ362" s="465"/>
      <c r="BR362" s="465"/>
      <c r="BS362" s="465"/>
      <c r="BT362" s="465"/>
      <c r="BU362" s="465"/>
      <c r="BV362" s="465"/>
      <c r="BW362" s="465"/>
      <c r="BX362" s="465"/>
      <c r="BY362" s="465"/>
      <c r="BZ362" s="465"/>
      <c r="CA362" s="465"/>
      <c r="CB362" s="465"/>
      <c r="CC362" s="465"/>
      <c r="CD362" s="465"/>
      <c r="CE362" s="465"/>
      <c r="CF362" s="465"/>
      <c r="CG362" s="465"/>
      <c r="CH362" s="465"/>
      <c r="CI362" s="465"/>
      <c r="CJ362" s="465"/>
      <c r="CK362" s="465"/>
      <c r="CL362" s="465"/>
      <c r="CM362" s="465"/>
      <c r="CN362" s="465"/>
      <c r="CO362" s="465"/>
      <c r="CP362" s="465"/>
      <c r="CQ362" s="465"/>
      <c r="CR362" s="465"/>
      <c r="CS362" s="465"/>
      <c r="CT362" s="465"/>
      <c r="CU362" s="465"/>
      <c r="CV362" s="465"/>
      <c r="CW362" s="465"/>
      <c r="CX362" s="465"/>
      <c r="CY362" s="465"/>
      <c r="CZ362" s="465"/>
      <c r="DA362" s="465"/>
      <c r="DB362" s="465"/>
      <c r="DC362" s="465"/>
      <c r="DD362" s="465"/>
      <c r="DE362" s="465"/>
      <c r="DF362" s="465"/>
      <c r="DG362" s="465"/>
      <c r="DH362" s="465"/>
    </row>
    <row r="363" ht="44.25" customHeight="1">
      <c r="A363" s="41">
        <v>363.0</v>
      </c>
      <c r="B363" s="418" t="s">
        <v>278</v>
      </c>
      <c r="C363" s="59" t="s">
        <v>108</v>
      </c>
      <c r="D363" s="59" t="s">
        <v>1803</v>
      </c>
      <c r="F363" s="700" t="s">
        <v>2062</v>
      </c>
      <c r="G363" s="54" t="s">
        <v>2063</v>
      </c>
      <c r="H363" s="54" t="s">
        <v>1804</v>
      </c>
      <c r="I363" s="149">
        <v>45460.0</v>
      </c>
      <c r="J363" s="431">
        <v>45642.0</v>
      </c>
      <c r="K363" s="54" t="s">
        <v>2075</v>
      </c>
      <c r="L363" s="58"/>
      <c r="M363" s="54" t="s">
        <v>2066</v>
      </c>
      <c r="N363" s="54" t="s">
        <v>2067</v>
      </c>
      <c r="O363" s="376">
        <v>2.0</v>
      </c>
      <c r="P363" s="374" t="str">
        <f t="shared" ref="P363:P380" si="16"> SUBSTITUTE(lower(N363), "/", "--") &amp;  ".pdf"</f>
        <v>10.1111--j.1540-5885.2010.00778.x.pdf</v>
      </c>
      <c r="Q363" s="105" t="str">
        <f t="array" ref="Q363"> if(iserror(MATCH(V363, 'File Links'!C:C, 0)), "N/A", HYPERLINK(INDEX('File Links'!B:B, MATCH(P363, 'File Links'!C:C, 0))))</f>
        <v>N/A</v>
      </c>
      <c r="R363" s="54" t="s">
        <v>2076</v>
      </c>
      <c r="S363" s="54" t="s">
        <v>2069</v>
      </c>
      <c r="T363" s="58"/>
      <c r="U363" s="706">
        <v>1.0</v>
      </c>
      <c r="V363" s="109" t="str">
        <f t="shared" si="15"/>
        <v>10.1080--02650487.2024.2362015.pdf</v>
      </c>
      <c r="W363" s="54" t="s">
        <v>2077</v>
      </c>
      <c r="X363" s="46" t="str">
        <f t="array" ref="X363"> if(iserror(MATCH(V363, 'File Links'!C:C, 0)), "N/A", HYPERLINK(INDEX('File Links'!B:B, MATCH(V363, 'File Links'!C:C, 0))))</f>
        <v>N/A</v>
      </c>
      <c r="Y363" s="58"/>
      <c r="Z363" s="54" t="s">
        <v>2072</v>
      </c>
      <c r="AA363" s="54" t="s">
        <v>2078</v>
      </c>
      <c r="AB363" s="54" t="s">
        <v>2079</v>
      </c>
      <c r="AC363" s="54" t="s">
        <v>2080</v>
      </c>
      <c r="AD363" s="54" t="s">
        <v>2081</v>
      </c>
      <c r="AE363" s="126">
        <v>27.0</v>
      </c>
      <c r="AF363" s="376">
        <v>92.0</v>
      </c>
      <c r="AG363" s="376">
        <v>7.0</v>
      </c>
      <c r="AH363" s="336" t="s">
        <v>127</v>
      </c>
      <c r="AI363" s="54" t="s">
        <v>1881</v>
      </c>
      <c r="AJ363" s="58"/>
      <c r="AK363" s="65"/>
      <c r="AL363" s="674" t="s">
        <v>131</v>
      </c>
      <c r="AM363" s="674" t="s">
        <v>131</v>
      </c>
      <c r="AN363" s="216" t="s">
        <v>131</v>
      </c>
      <c r="AO363" s="376">
        <v>156.0</v>
      </c>
      <c r="AP363" s="376">
        <v>-0.047</v>
      </c>
      <c r="AQ363" s="54" t="s">
        <v>166</v>
      </c>
      <c r="AR363" s="376">
        <f t="shared" ref="AR363:AR365" si="17">(6-6.05)/SQRT(((79-1)*1.08^2+(77-1)*1.06^2)/(79+77-2))</f>
        <v>-0.04672126145</v>
      </c>
      <c r="AS363" s="58"/>
      <c r="AT363" s="65"/>
      <c r="AU363" s="675" t="s">
        <v>131</v>
      </c>
      <c r="AV363" s="675" t="s">
        <v>131</v>
      </c>
      <c r="AW363" s="156" t="s">
        <v>131</v>
      </c>
      <c r="AX363" s="156" t="s">
        <v>144</v>
      </c>
      <c r="AY363" s="58"/>
      <c r="BA363" s="481"/>
      <c r="BB363" s="481"/>
      <c r="BC363" s="481"/>
      <c r="BD363" s="481"/>
      <c r="BE363" s="481"/>
      <c r="BF363" s="481"/>
      <c r="BG363" s="481"/>
      <c r="BH363" s="481"/>
      <c r="BI363" s="481"/>
      <c r="BJ363" s="481"/>
      <c r="BK363" s="481"/>
      <c r="BL363" s="481"/>
      <c r="BM363" s="481"/>
      <c r="BN363" s="481"/>
      <c r="BO363" s="481"/>
      <c r="BP363" s="481"/>
      <c r="BQ363" s="481"/>
      <c r="BR363" s="481"/>
      <c r="BS363" s="481"/>
      <c r="BT363" s="481"/>
      <c r="BU363" s="481"/>
      <c r="BV363" s="481"/>
      <c r="BW363" s="481"/>
      <c r="BX363" s="481"/>
      <c r="BY363" s="481"/>
      <c r="BZ363" s="481"/>
      <c r="CA363" s="481"/>
      <c r="CB363" s="481"/>
      <c r="CC363" s="481"/>
      <c r="CD363" s="481"/>
      <c r="CE363" s="481"/>
      <c r="CF363" s="481"/>
      <c r="CG363" s="481"/>
      <c r="CH363" s="481"/>
      <c r="CI363" s="481"/>
      <c r="CJ363" s="481"/>
      <c r="CK363" s="481"/>
      <c r="CL363" s="481"/>
      <c r="CM363" s="481"/>
      <c r="CN363" s="481"/>
      <c r="CO363" s="481"/>
      <c r="CP363" s="481"/>
      <c r="CQ363" s="481"/>
      <c r="CR363" s="481"/>
      <c r="CS363" s="481"/>
      <c r="CT363" s="481"/>
      <c r="CU363" s="481"/>
      <c r="CV363" s="481"/>
      <c r="CW363" s="481"/>
      <c r="CX363" s="481"/>
      <c r="CY363" s="481"/>
      <c r="CZ363" s="481"/>
      <c r="DA363" s="481"/>
      <c r="DB363" s="481"/>
      <c r="DC363" s="481"/>
      <c r="DD363" s="481"/>
      <c r="DE363" s="481"/>
      <c r="DF363" s="481"/>
      <c r="DG363" s="481"/>
      <c r="DH363" s="481"/>
    </row>
    <row r="364" ht="20.25" customHeight="1">
      <c r="A364" s="41">
        <v>364.0</v>
      </c>
      <c r="B364" s="418" t="s">
        <v>583</v>
      </c>
      <c r="C364" s="59" t="s">
        <v>108</v>
      </c>
      <c r="D364" s="59" t="s">
        <v>1803</v>
      </c>
      <c r="F364" s="700" t="s">
        <v>2062</v>
      </c>
      <c r="G364" s="54" t="s">
        <v>2063</v>
      </c>
      <c r="H364" s="54" t="s">
        <v>1804</v>
      </c>
      <c r="I364" s="149">
        <v>45460.0</v>
      </c>
      <c r="J364" s="431">
        <v>45642.0</v>
      </c>
      <c r="K364" s="54" t="s">
        <v>2075</v>
      </c>
      <c r="L364" s="209" t="s">
        <v>2082</v>
      </c>
      <c r="M364" s="54" t="s">
        <v>2066</v>
      </c>
      <c r="N364" s="54" t="s">
        <v>2067</v>
      </c>
      <c r="O364" s="376">
        <v>2.0</v>
      </c>
      <c r="P364" s="374" t="str">
        <f t="shared" si="16"/>
        <v>10.1111--j.1540-5885.2010.00778.x.pdf</v>
      </c>
      <c r="Q364" s="105" t="str">
        <f t="array" ref="Q364"> if(iserror(MATCH(V364, 'File Links'!C:C, 0)), "N/A", HYPERLINK(INDEX('File Links'!B:B, MATCH(P364, 'File Links'!C:C, 0))))</f>
        <v>N/A</v>
      </c>
      <c r="R364" s="54" t="s">
        <v>2076</v>
      </c>
      <c r="S364" s="54" t="s">
        <v>2069</v>
      </c>
      <c r="T364" s="58"/>
      <c r="U364" s="706">
        <v>1.0</v>
      </c>
      <c r="V364" s="109" t="str">
        <f t="shared" si="15"/>
        <v>10.1080--02650487.2024.2362015.pdf</v>
      </c>
      <c r="W364" s="54" t="s">
        <v>2077</v>
      </c>
      <c r="X364" s="46" t="str">
        <f t="array" ref="X364"> if(iserror(MATCH(V364, 'File Links'!C:C, 0)), "N/A", HYPERLINK(INDEX('File Links'!B:B, MATCH(V364, 'File Links'!C:C, 0))))</f>
        <v>N/A</v>
      </c>
      <c r="Y364" s="58"/>
      <c r="Z364" s="54" t="s">
        <v>2072</v>
      </c>
      <c r="AA364" s="54" t="s">
        <v>2078</v>
      </c>
      <c r="AB364" s="54" t="s">
        <v>2079</v>
      </c>
      <c r="AC364" s="54" t="s">
        <v>2083</v>
      </c>
      <c r="AD364" s="54" t="s">
        <v>2081</v>
      </c>
      <c r="AE364" s="126">
        <v>27.0</v>
      </c>
      <c r="AF364" s="376">
        <v>158.0</v>
      </c>
      <c r="AG364" s="376">
        <v>7.5</v>
      </c>
      <c r="AH364" s="336" t="s">
        <v>127</v>
      </c>
      <c r="AI364" s="54" t="s">
        <v>1881</v>
      </c>
      <c r="AJ364" s="58"/>
      <c r="AK364" s="65"/>
      <c r="AL364" s="674" t="s">
        <v>131</v>
      </c>
      <c r="AM364" s="674" t="s">
        <v>131</v>
      </c>
      <c r="AN364" s="54" t="s">
        <v>131</v>
      </c>
      <c r="AO364" s="376">
        <v>156.0</v>
      </c>
      <c r="AP364" s="376">
        <v>-0.047</v>
      </c>
      <c r="AQ364" s="54" t="s">
        <v>166</v>
      </c>
      <c r="AR364" s="376">
        <f t="shared" si="17"/>
        <v>-0.04672126145</v>
      </c>
      <c r="AS364" s="58"/>
      <c r="AT364" s="65"/>
      <c r="AU364" s="675" t="s">
        <v>131</v>
      </c>
      <c r="AV364" s="675" t="s">
        <v>131</v>
      </c>
      <c r="AW364" s="156" t="s">
        <v>131</v>
      </c>
      <c r="AX364" s="156" t="s">
        <v>144</v>
      </c>
      <c r="AY364" s="126" t="s">
        <v>2082</v>
      </c>
      <c r="BA364" s="465"/>
      <c r="BB364" s="465"/>
      <c r="BC364" s="465"/>
      <c r="BD364" s="465"/>
      <c r="BE364" s="465"/>
      <c r="BF364" s="465"/>
      <c r="BG364" s="465"/>
      <c r="BH364" s="465"/>
      <c r="BI364" s="465"/>
      <c r="BJ364" s="465"/>
      <c r="BK364" s="465"/>
      <c r="BL364" s="465"/>
      <c r="BM364" s="465"/>
      <c r="BN364" s="465"/>
      <c r="BO364" s="465"/>
      <c r="BP364" s="465"/>
      <c r="BQ364" s="465"/>
      <c r="BR364" s="465"/>
      <c r="BS364" s="465"/>
      <c r="BT364" s="465"/>
      <c r="BU364" s="465"/>
      <c r="BV364" s="465"/>
      <c r="BW364" s="465"/>
      <c r="BX364" s="465"/>
      <c r="BY364" s="465"/>
      <c r="BZ364" s="465"/>
      <c r="CA364" s="465"/>
      <c r="CB364" s="465"/>
      <c r="CC364" s="465"/>
      <c r="CD364" s="465"/>
      <c r="CE364" s="465"/>
      <c r="CF364" s="465"/>
      <c r="CG364" s="465"/>
      <c r="CH364" s="465"/>
      <c r="CI364" s="465"/>
      <c r="CJ364" s="465"/>
      <c r="CK364" s="465"/>
      <c r="CL364" s="465"/>
      <c r="CM364" s="465"/>
      <c r="CN364" s="465"/>
      <c r="CO364" s="465"/>
      <c r="CP364" s="465"/>
      <c r="CQ364" s="465"/>
      <c r="CR364" s="465"/>
      <c r="CS364" s="465"/>
      <c r="CT364" s="465"/>
      <c r="CU364" s="465"/>
      <c r="CV364" s="465"/>
      <c r="CW364" s="465"/>
      <c r="CX364" s="465"/>
      <c r="CY364" s="465"/>
      <c r="CZ364" s="465"/>
      <c r="DA364" s="465"/>
      <c r="DB364" s="465"/>
      <c r="DC364" s="465"/>
      <c r="DD364" s="465"/>
      <c r="DE364" s="465"/>
      <c r="DF364" s="465"/>
      <c r="DG364" s="465"/>
      <c r="DH364" s="465"/>
    </row>
    <row r="365" ht="20.25" customHeight="1">
      <c r="A365" s="41">
        <v>365.0</v>
      </c>
      <c r="B365" s="418" t="s">
        <v>278</v>
      </c>
      <c r="C365" s="59" t="s">
        <v>108</v>
      </c>
      <c r="D365" s="59" t="s">
        <v>1803</v>
      </c>
      <c r="F365" s="700" t="s">
        <v>2062</v>
      </c>
      <c r="G365" s="54" t="s">
        <v>2063</v>
      </c>
      <c r="H365" s="54" t="s">
        <v>1804</v>
      </c>
      <c r="I365" s="149">
        <v>45460.0</v>
      </c>
      <c r="J365" s="431">
        <v>45642.0</v>
      </c>
      <c r="K365" s="54" t="s">
        <v>2075</v>
      </c>
      <c r="L365" s="58"/>
      <c r="M365" s="54" t="s">
        <v>2066</v>
      </c>
      <c r="N365" s="54" t="s">
        <v>2067</v>
      </c>
      <c r="O365" s="376">
        <v>2.0</v>
      </c>
      <c r="P365" s="374" t="str">
        <f t="shared" si="16"/>
        <v>10.1111--j.1540-5885.2010.00778.x.pdf</v>
      </c>
      <c r="Q365" s="105" t="str">
        <f t="array" ref="Q365"> if(iserror(MATCH(V365, 'File Links'!C:C, 0)), "N/A", HYPERLINK(INDEX('File Links'!B:B, MATCH(P365, 'File Links'!C:C, 0))))</f>
        <v>N/A</v>
      </c>
      <c r="R365" s="54" t="s">
        <v>2076</v>
      </c>
      <c r="S365" s="54" t="s">
        <v>2069</v>
      </c>
      <c r="T365" s="58"/>
      <c r="U365" s="706">
        <v>1.0</v>
      </c>
      <c r="V365" s="109" t="str">
        <f t="shared" si="15"/>
        <v>10.1080--02650487.2024.2362015.pdf</v>
      </c>
      <c r="W365" s="54" t="s">
        <v>2077</v>
      </c>
      <c r="X365" s="46" t="str">
        <f t="array" ref="X365"> if(iserror(MATCH(V365, 'File Links'!C:C, 0)), "N/A", HYPERLINK(INDEX('File Links'!B:B, MATCH(V365, 'File Links'!C:C, 0))))</f>
        <v>N/A</v>
      </c>
      <c r="Y365" s="58"/>
      <c r="Z365" s="54" t="s">
        <v>2072</v>
      </c>
      <c r="AA365" s="54" t="s">
        <v>2078</v>
      </c>
      <c r="AB365" s="54" t="s">
        <v>2079</v>
      </c>
      <c r="AC365" s="54" t="s">
        <v>2084</v>
      </c>
      <c r="AD365" s="54" t="s">
        <v>2081</v>
      </c>
      <c r="AE365" s="126">
        <v>27.0</v>
      </c>
      <c r="AF365" s="376">
        <v>153.0</v>
      </c>
      <c r="AG365" s="376">
        <v>4.5</v>
      </c>
      <c r="AH365" s="336" t="s">
        <v>127</v>
      </c>
      <c r="AI365" s="54" t="s">
        <v>1881</v>
      </c>
      <c r="AJ365" s="58"/>
      <c r="AK365" s="65"/>
      <c r="AL365" s="674" t="s">
        <v>131</v>
      </c>
      <c r="AM365" s="674" t="s">
        <v>131</v>
      </c>
      <c r="AN365" s="54" t="s">
        <v>131</v>
      </c>
      <c r="AO365" s="376">
        <v>156.0</v>
      </c>
      <c r="AP365" s="376">
        <v>-0.047</v>
      </c>
      <c r="AQ365" s="54" t="s">
        <v>166</v>
      </c>
      <c r="AR365" s="376">
        <f t="shared" si="17"/>
        <v>-0.04672126145</v>
      </c>
      <c r="AS365" s="58"/>
      <c r="AT365" s="65"/>
      <c r="AU365" s="675" t="s">
        <v>131</v>
      </c>
      <c r="AV365" s="675" t="s">
        <v>131</v>
      </c>
      <c r="AW365" s="156" t="s">
        <v>131</v>
      </c>
      <c r="AX365" s="156" t="s">
        <v>144</v>
      </c>
      <c r="AY365" s="58"/>
      <c r="BA365" s="481"/>
      <c r="BB365" s="481"/>
      <c r="BC365" s="481"/>
      <c r="BD365" s="481"/>
      <c r="BE365" s="481"/>
      <c r="BF365" s="481"/>
      <c r="BG365" s="481"/>
      <c r="BH365" s="481"/>
      <c r="BI365" s="481"/>
      <c r="BJ365" s="481"/>
      <c r="BK365" s="481"/>
      <c r="BL365" s="481"/>
      <c r="BM365" s="481"/>
      <c r="BN365" s="481"/>
      <c r="BO365" s="481"/>
      <c r="BP365" s="481"/>
      <c r="BQ365" s="481"/>
      <c r="BR365" s="481"/>
      <c r="BS365" s="481"/>
      <c r="BT365" s="481"/>
      <c r="BU365" s="481"/>
      <c r="BV365" s="481"/>
      <c r="BW365" s="481"/>
      <c r="BX365" s="481"/>
      <c r="BY365" s="481"/>
      <c r="BZ365" s="481"/>
      <c r="CA365" s="481"/>
      <c r="CB365" s="481"/>
      <c r="CC365" s="481"/>
      <c r="CD365" s="481"/>
      <c r="CE365" s="481"/>
      <c r="CF365" s="481"/>
      <c r="CG365" s="481"/>
      <c r="CH365" s="481"/>
      <c r="CI365" s="481"/>
      <c r="CJ365" s="481"/>
      <c r="CK365" s="481"/>
      <c r="CL365" s="481"/>
      <c r="CM365" s="481"/>
      <c r="CN365" s="481"/>
      <c r="CO365" s="481"/>
      <c r="CP365" s="481"/>
      <c r="CQ365" s="481"/>
      <c r="CR365" s="481"/>
      <c r="CS365" s="481"/>
      <c r="CT365" s="481"/>
      <c r="CU365" s="481"/>
      <c r="CV365" s="481"/>
      <c r="CW365" s="481"/>
      <c r="CX365" s="481"/>
      <c r="CY365" s="481"/>
      <c r="CZ365" s="481"/>
      <c r="DA365" s="481"/>
      <c r="DB365" s="481"/>
      <c r="DC365" s="481"/>
      <c r="DD365" s="481"/>
      <c r="DE365" s="481"/>
      <c r="DF365" s="481"/>
      <c r="DG365" s="481"/>
      <c r="DH365" s="481"/>
    </row>
    <row r="366" ht="20.25" customHeight="1">
      <c r="A366" s="41">
        <v>366.0</v>
      </c>
      <c r="B366" s="418" t="s">
        <v>278</v>
      </c>
      <c r="C366" s="59" t="s">
        <v>108</v>
      </c>
      <c r="D366" s="59" t="s">
        <v>1803</v>
      </c>
      <c r="F366" s="700" t="s">
        <v>2062</v>
      </c>
      <c r="G366" s="54" t="s">
        <v>2063</v>
      </c>
      <c r="H366" s="54" t="s">
        <v>1804</v>
      </c>
      <c r="I366" s="149">
        <v>45460.0</v>
      </c>
      <c r="J366" s="431">
        <v>45642.0</v>
      </c>
      <c r="K366" s="54" t="s">
        <v>2075</v>
      </c>
      <c r="L366" s="58"/>
      <c r="M366" s="54" t="s">
        <v>2066</v>
      </c>
      <c r="N366" s="54" t="s">
        <v>2067</v>
      </c>
      <c r="O366" s="376">
        <v>2.0</v>
      </c>
      <c r="P366" s="374" t="str">
        <f t="shared" si="16"/>
        <v>10.1111--j.1540-5885.2010.00778.x.pdf</v>
      </c>
      <c r="Q366" s="105" t="str">
        <f t="array" ref="Q366"> if(iserror(MATCH(V366, 'File Links'!C:C, 0)), "N/A", HYPERLINK(INDEX('File Links'!B:B, MATCH(P366, 'File Links'!C:C, 0))))</f>
        <v>N/A</v>
      </c>
      <c r="R366" s="54" t="s">
        <v>2076</v>
      </c>
      <c r="S366" s="54" t="s">
        <v>2069</v>
      </c>
      <c r="T366" s="58"/>
      <c r="U366" s="706">
        <v>1.0</v>
      </c>
      <c r="V366" s="109" t="str">
        <f t="shared" si="15"/>
        <v>10.1080--02650487.2024.2362015.pdf</v>
      </c>
      <c r="W366" s="54" t="s">
        <v>2077</v>
      </c>
      <c r="X366" s="46" t="str">
        <f t="array" ref="X366"> if(iserror(MATCH(V366, 'File Links'!C:C, 0)), "N/A", HYPERLINK(INDEX('File Links'!B:B, MATCH(V366, 'File Links'!C:C, 0))))</f>
        <v>N/A</v>
      </c>
      <c r="Y366" s="58"/>
      <c r="Z366" s="54" t="s">
        <v>2072</v>
      </c>
      <c r="AA366" s="54" t="s">
        <v>2078</v>
      </c>
      <c r="AB366" s="54" t="s">
        <v>2079</v>
      </c>
      <c r="AC366" s="54" t="s">
        <v>2085</v>
      </c>
      <c r="AD366" s="54" t="s">
        <v>2081</v>
      </c>
      <c r="AE366" s="126">
        <v>27.0</v>
      </c>
      <c r="AF366" s="376">
        <v>156.0</v>
      </c>
      <c r="AG366" s="376">
        <v>8.0</v>
      </c>
      <c r="AH366" s="336" t="s">
        <v>127</v>
      </c>
      <c r="AI366" s="54" t="s">
        <v>1881</v>
      </c>
      <c r="AJ366" s="58"/>
      <c r="AK366" s="65"/>
      <c r="AL366" s="674" t="s">
        <v>131</v>
      </c>
      <c r="AM366" s="674" t="s">
        <v>131</v>
      </c>
      <c r="AN366" s="54" t="s">
        <v>131</v>
      </c>
      <c r="AO366" s="376">
        <v>156.0</v>
      </c>
      <c r="AP366" s="376">
        <v>-0.312</v>
      </c>
      <c r="AQ366" s="54" t="s">
        <v>166</v>
      </c>
      <c r="AR366" s="376">
        <f t="shared" ref="AR366:AR368" si="18">(5.12-5.52)/SQRT(((79-1)*1.33^2+(77-1)*1.23^2)/(79+77-2))</f>
        <v>-0.3121038033</v>
      </c>
      <c r="AS366" s="58"/>
      <c r="AT366" s="65"/>
      <c r="AU366" s="675" t="s">
        <v>131</v>
      </c>
      <c r="AV366" s="675" t="s">
        <v>131</v>
      </c>
      <c r="AW366" s="156" t="s">
        <v>131</v>
      </c>
      <c r="AX366" s="156" t="s">
        <v>144</v>
      </c>
      <c r="AY366" s="58"/>
      <c r="BA366" s="465"/>
      <c r="BB366" s="465"/>
      <c r="BC366" s="465"/>
      <c r="BD366" s="465"/>
      <c r="BE366" s="465"/>
      <c r="BF366" s="465"/>
      <c r="BG366" s="465"/>
      <c r="BH366" s="465"/>
      <c r="BI366" s="465"/>
      <c r="BJ366" s="465"/>
      <c r="BK366" s="465"/>
      <c r="BL366" s="465"/>
      <c r="BM366" s="465"/>
      <c r="BN366" s="465"/>
      <c r="BO366" s="465"/>
      <c r="BP366" s="465"/>
      <c r="BQ366" s="465"/>
      <c r="BR366" s="465"/>
      <c r="BS366" s="465"/>
      <c r="BT366" s="465"/>
      <c r="BU366" s="465"/>
      <c r="BV366" s="465"/>
      <c r="BW366" s="465"/>
      <c r="BX366" s="465"/>
      <c r="BY366" s="465"/>
      <c r="BZ366" s="465"/>
      <c r="CA366" s="465"/>
      <c r="CB366" s="465"/>
      <c r="CC366" s="465"/>
      <c r="CD366" s="465"/>
      <c r="CE366" s="465"/>
      <c r="CF366" s="465"/>
      <c r="CG366" s="465"/>
      <c r="CH366" s="465"/>
      <c r="CI366" s="465"/>
      <c r="CJ366" s="465"/>
      <c r="CK366" s="465"/>
      <c r="CL366" s="465"/>
      <c r="CM366" s="465"/>
      <c r="CN366" s="465"/>
      <c r="CO366" s="465"/>
      <c r="CP366" s="465"/>
      <c r="CQ366" s="465"/>
      <c r="CR366" s="465"/>
      <c r="CS366" s="465"/>
      <c r="CT366" s="465"/>
      <c r="CU366" s="465"/>
      <c r="CV366" s="465"/>
      <c r="CW366" s="465"/>
      <c r="CX366" s="465"/>
      <c r="CY366" s="465"/>
      <c r="CZ366" s="465"/>
      <c r="DA366" s="465"/>
      <c r="DB366" s="465"/>
      <c r="DC366" s="465"/>
      <c r="DD366" s="465"/>
      <c r="DE366" s="465"/>
      <c r="DF366" s="465"/>
      <c r="DG366" s="465"/>
      <c r="DH366" s="465"/>
    </row>
    <row r="367" ht="20.25" customHeight="1">
      <c r="A367" s="41">
        <v>367.0</v>
      </c>
      <c r="B367" s="418" t="s">
        <v>278</v>
      </c>
      <c r="C367" s="59" t="s">
        <v>108</v>
      </c>
      <c r="D367" s="59" t="s">
        <v>1803</v>
      </c>
      <c r="F367" s="700" t="s">
        <v>2062</v>
      </c>
      <c r="G367" s="54" t="s">
        <v>2063</v>
      </c>
      <c r="H367" s="54" t="s">
        <v>1804</v>
      </c>
      <c r="I367" s="149">
        <v>45460.0</v>
      </c>
      <c r="J367" s="431">
        <v>45642.0</v>
      </c>
      <c r="K367" s="54" t="s">
        <v>2075</v>
      </c>
      <c r="L367" s="58"/>
      <c r="M367" s="54" t="s">
        <v>2066</v>
      </c>
      <c r="N367" s="54" t="s">
        <v>2067</v>
      </c>
      <c r="O367" s="376">
        <v>2.0</v>
      </c>
      <c r="P367" s="374" t="str">
        <f t="shared" si="16"/>
        <v>10.1111--j.1540-5885.2010.00778.x.pdf</v>
      </c>
      <c r="Q367" s="105" t="str">
        <f t="array" ref="Q367"> if(iserror(MATCH(V367, 'File Links'!C:C, 0)), "N/A", HYPERLINK(INDEX('File Links'!B:B, MATCH(P367, 'File Links'!C:C, 0))))</f>
        <v>N/A</v>
      </c>
      <c r="R367" s="54" t="s">
        <v>2076</v>
      </c>
      <c r="S367" s="54" t="s">
        <v>2069</v>
      </c>
      <c r="T367" s="58"/>
      <c r="U367" s="706">
        <v>1.0</v>
      </c>
      <c r="V367" s="109" t="str">
        <f t="shared" si="15"/>
        <v>10.1080--02650487.2024.2362015.pdf</v>
      </c>
      <c r="W367" s="54" t="s">
        <v>2077</v>
      </c>
      <c r="X367" s="46" t="str">
        <f t="array" ref="X367"> if(iserror(MATCH(V367, 'File Links'!C:C, 0)), "N/A", HYPERLINK(INDEX('File Links'!B:B, MATCH(V367, 'File Links'!C:C, 0))))</f>
        <v>N/A</v>
      </c>
      <c r="Y367" s="58"/>
      <c r="Z367" s="54" t="s">
        <v>2072</v>
      </c>
      <c r="AA367" s="54" t="s">
        <v>2078</v>
      </c>
      <c r="AB367" s="54" t="s">
        <v>2079</v>
      </c>
      <c r="AC367" s="54" t="s">
        <v>2086</v>
      </c>
      <c r="AD367" s="54" t="s">
        <v>2081</v>
      </c>
      <c r="AE367" s="126">
        <v>27.0</v>
      </c>
      <c r="AF367" s="376">
        <v>158.0</v>
      </c>
      <c r="AG367" s="376">
        <v>7.5</v>
      </c>
      <c r="AH367" s="336" t="s">
        <v>127</v>
      </c>
      <c r="AI367" s="54" t="s">
        <v>1881</v>
      </c>
      <c r="AJ367" s="58"/>
      <c r="AK367" s="65"/>
      <c r="AL367" s="674" t="s">
        <v>131</v>
      </c>
      <c r="AM367" s="674" t="s">
        <v>131</v>
      </c>
      <c r="AN367" s="54" t="s">
        <v>131</v>
      </c>
      <c r="AO367" s="376">
        <v>156.0</v>
      </c>
      <c r="AP367" s="376">
        <v>-0.312</v>
      </c>
      <c r="AQ367" s="54" t="s">
        <v>166</v>
      </c>
      <c r="AR367" s="376">
        <f t="shared" si="18"/>
        <v>-0.3121038033</v>
      </c>
      <c r="AS367" s="58"/>
      <c r="AT367" s="65"/>
      <c r="AU367" s="675" t="s">
        <v>131</v>
      </c>
      <c r="AV367" s="675" t="s">
        <v>131</v>
      </c>
      <c r="AW367" s="156" t="s">
        <v>131</v>
      </c>
      <c r="AX367" s="156" t="s">
        <v>144</v>
      </c>
      <c r="AY367" s="58"/>
      <c r="BA367" s="481"/>
      <c r="BB367" s="481"/>
      <c r="BC367" s="481"/>
      <c r="BD367" s="481"/>
      <c r="BE367" s="481"/>
      <c r="BF367" s="481"/>
      <c r="BG367" s="481"/>
      <c r="BH367" s="481"/>
      <c r="BI367" s="481"/>
      <c r="BJ367" s="481"/>
      <c r="BK367" s="481"/>
      <c r="BL367" s="481"/>
      <c r="BM367" s="481"/>
      <c r="BN367" s="481"/>
      <c r="BO367" s="481"/>
      <c r="BP367" s="481"/>
      <c r="BQ367" s="481"/>
      <c r="BR367" s="481"/>
      <c r="BS367" s="481"/>
      <c r="BT367" s="481"/>
      <c r="BU367" s="481"/>
      <c r="BV367" s="481"/>
      <c r="BW367" s="481"/>
      <c r="BX367" s="481"/>
      <c r="BY367" s="481"/>
      <c r="BZ367" s="481"/>
      <c r="CA367" s="481"/>
      <c r="CB367" s="481"/>
      <c r="CC367" s="481"/>
      <c r="CD367" s="481"/>
      <c r="CE367" s="481"/>
      <c r="CF367" s="481"/>
      <c r="CG367" s="481"/>
      <c r="CH367" s="481"/>
      <c r="CI367" s="481"/>
      <c r="CJ367" s="481"/>
      <c r="CK367" s="481"/>
      <c r="CL367" s="481"/>
      <c r="CM367" s="481"/>
      <c r="CN367" s="481"/>
      <c r="CO367" s="481"/>
      <c r="CP367" s="481"/>
      <c r="CQ367" s="481"/>
      <c r="CR367" s="481"/>
      <c r="CS367" s="481"/>
      <c r="CT367" s="481"/>
      <c r="CU367" s="481"/>
      <c r="CV367" s="481"/>
      <c r="CW367" s="481"/>
      <c r="CX367" s="481"/>
      <c r="CY367" s="481"/>
      <c r="CZ367" s="481"/>
      <c r="DA367" s="481"/>
      <c r="DB367" s="481"/>
      <c r="DC367" s="481"/>
      <c r="DD367" s="481"/>
      <c r="DE367" s="481"/>
      <c r="DF367" s="481"/>
      <c r="DG367" s="481"/>
      <c r="DH367" s="481"/>
    </row>
    <row r="368" ht="20.25" customHeight="1">
      <c r="A368" s="41">
        <v>368.0</v>
      </c>
      <c r="B368" s="418" t="s">
        <v>278</v>
      </c>
      <c r="C368" s="59" t="s">
        <v>108</v>
      </c>
      <c r="D368" s="59" t="s">
        <v>1803</v>
      </c>
      <c r="F368" s="700" t="s">
        <v>2062</v>
      </c>
      <c r="G368" s="54" t="s">
        <v>2063</v>
      </c>
      <c r="H368" s="54" t="s">
        <v>1804</v>
      </c>
      <c r="I368" s="149">
        <v>45460.0</v>
      </c>
      <c r="J368" s="431">
        <v>45642.0</v>
      </c>
      <c r="K368" s="54" t="s">
        <v>2075</v>
      </c>
      <c r="L368" s="58"/>
      <c r="M368" s="54" t="s">
        <v>2066</v>
      </c>
      <c r="N368" s="54" t="s">
        <v>2067</v>
      </c>
      <c r="O368" s="376">
        <v>2.0</v>
      </c>
      <c r="P368" s="374" t="str">
        <f t="shared" si="16"/>
        <v>10.1111--j.1540-5885.2010.00778.x.pdf</v>
      </c>
      <c r="Q368" s="105" t="str">
        <f t="array" ref="Q368"> if(iserror(MATCH(V368, 'File Links'!C:C, 0)), "N/A", HYPERLINK(INDEX('File Links'!B:B, MATCH(P368, 'File Links'!C:C, 0))))</f>
        <v>N/A</v>
      </c>
      <c r="R368" s="54" t="s">
        <v>2076</v>
      </c>
      <c r="S368" s="54" t="s">
        <v>2069</v>
      </c>
      <c r="T368" s="58"/>
      <c r="U368" s="706">
        <v>1.0</v>
      </c>
      <c r="V368" s="109" t="str">
        <f t="shared" si="15"/>
        <v>10.1080--02650487.2024.2362015.pdf</v>
      </c>
      <c r="W368" s="54" t="s">
        <v>2077</v>
      </c>
      <c r="X368" s="46" t="str">
        <f t="array" ref="X368"> if(iserror(MATCH(V368, 'File Links'!C:C, 0)), "N/A", HYPERLINK(INDEX('File Links'!B:B, MATCH(V368, 'File Links'!C:C, 0))))</f>
        <v>N/A</v>
      </c>
      <c r="Y368" s="58"/>
      <c r="Z368" s="54" t="s">
        <v>2072</v>
      </c>
      <c r="AA368" s="54" t="s">
        <v>2078</v>
      </c>
      <c r="AB368" s="54" t="s">
        <v>2079</v>
      </c>
      <c r="AC368" s="54" t="s">
        <v>2087</v>
      </c>
      <c r="AD368" s="54" t="s">
        <v>2081</v>
      </c>
      <c r="AE368" s="126">
        <v>27.0</v>
      </c>
      <c r="AF368" s="376">
        <v>153.0</v>
      </c>
      <c r="AG368" s="376">
        <v>4.5</v>
      </c>
      <c r="AH368" s="336" t="s">
        <v>127</v>
      </c>
      <c r="AI368" s="54" t="s">
        <v>1881</v>
      </c>
      <c r="AJ368" s="58"/>
      <c r="AK368" s="65"/>
      <c r="AL368" s="674" t="s">
        <v>131</v>
      </c>
      <c r="AM368" s="674" t="s">
        <v>131</v>
      </c>
      <c r="AN368" s="54" t="s">
        <v>131</v>
      </c>
      <c r="AO368" s="376">
        <v>156.0</v>
      </c>
      <c r="AP368" s="376">
        <v>-0.312</v>
      </c>
      <c r="AQ368" s="54" t="s">
        <v>166</v>
      </c>
      <c r="AR368" s="376">
        <f t="shared" si="18"/>
        <v>-0.3121038033</v>
      </c>
      <c r="AS368" s="58"/>
      <c r="AT368" s="65"/>
      <c r="AU368" s="675" t="s">
        <v>131</v>
      </c>
      <c r="AV368" s="675" t="s">
        <v>131</v>
      </c>
      <c r="AW368" s="156" t="s">
        <v>131</v>
      </c>
      <c r="AX368" s="156" t="s">
        <v>144</v>
      </c>
      <c r="AY368" s="58"/>
      <c r="BA368" s="465"/>
      <c r="BB368" s="465"/>
      <c r="BC368" s="465"/>
      <c r="BD368" s="465"/>
      <c r="BE368" s="465"/>
      <c r="BF368" s="465"/>
      <c r="BG368" s="465"/>
      <c r="BH368" s="465"/>
      <c r="BI368" s="465"/>
      <c r="BJ368" s="465"/>
      <c r="BK368" s="465"/>
      <c r="BL368" s="465"/>
      <c r="BM368" s="465"/>
      <c r="BN368" s="465"/>
      <c r="BO368" s="465"/>
      <c r="BP368" s="465"/>
      <c r="BQ368" s="465"/>
      <c r="BR368" s="465"/>
      <c r="BS368" s="465"/>
      <c r="BT368" s="465"/>
      <c r="BU368" s="465"/>
      <c r="BV368" s="465"/>
      <c r="BW368" s="465"/>
      <c r="BX368" s="465"/>
      <c r="BY368" s="465"/>
      <c r="BZ368" s="465"/>
      <c r="CA368" s="465"/>
      <c r="CB368" s="465"/>
      <c r="CC368" s="465"/>
      <c r="CD368" s="465"/>
      <c r="CE368" s="465"/>
      <c r="CF368" s="465"/>
      <c r="CG368" s="465"/>
      <c r="CH368" s="465"/>
      <c r="CI368" s="465"/>
      <c r="CJ368" s="465"/>
      <c r="CK368" s="465"/>
      <c r="CL368" s="465"/>
      <c r="CM368" s="465"/>
      <c r="CN368" s="465"/>
      <c r="CO368" s="465"/>
      <c r="CP368" s="465"/>
      <c r="CQ368" s="465"/>
      <c r="CR368" s="465"/>
      <c r="CS368" s="465"/>
      <c r="CT368" s="465"/>
      <c r="CU368" s="465"/>
      <c r="CV368" s="465"/>
      <c r="CW368" s="465"/>
      <c r="CX368" s="465"/>
      <c r="CY368" s="465"/>
      <c r="CZ368" s="465"/>
      <c r="DA368" s="465"/>
      <c r="DB368" s="465"/>
      <c r="DC368" s="465"/>
      <c r="DD368" s="465"/>
      <c r="DE368" s="465"/>
      <c r="DF368" s="465"/>
      <c r="DG368" s="465"/>
      <c r="DH368" s="465"/>
    </row>
    <row r="369" ht="20.25" customHeight="1">
      <c r="A369" s="41">
        <v>369.0</v>
      </c>
      <c r="B369" s="418" t="s">
        <v>278</v>
      </c>
      <c r="C369" s="59" t="s">
        <v>108</v>
      </c>
      <c r="D369" s="59" t="s">
        <v>1803</v>
      </c>
      <c r="F369" s="700" t="s">
        <v>2062</v>
      </c>
      <c r="G369" s="54" t="s">
        <v>2063</v>
      </c>
      <c r="H369" s="54" t="s">
        <v>1804</v>
      </c>
      <c r="I369" s="149">
        <v>45460.0</v>
      </c>
      <c r="J369" s="431">
        <v>45642.0</v>
      </c>
      <c r="K369" s="54" t="s">
        <v>2088</v>
      </c>
      <c r="L369" s="58"/>
      <c r="M369" s="54" t="s">
        <v>2066</v>
      </c>
      <c r="N369" s="54" t="s">
        <v>2067</v>
      </c>
      <c r="O369" s="376">
        <v>2.0</v>
      </c>
      <c r="P369" s="374" t="str">
        <f t="shared" si="16"/>
        <v>10.1111--j.1540-5885.2010.00778.x.pdf</v>
      </c>
      <c r="Q369" s="105" t="str">
        <f t="array" ref="Q369"> if(iserror(MATCH(V369, 'File Links'!C:C, 0)), "N/A", HYPERLINK(INDEX('File Links'!B:B, MATCH(P369, 'File Links'!C:C, 0))))</f>
        <v>N/A</v>
      </c>
      <c r="R369" s="54" t="s">
        <v>2076</v>
      </c>
      <c r="S369" s="54" t="s">
        <v>2069</v>
      </c>
      <c r="T369" s="58"/>
      <c r="U369" s="706">
        <v>1.0</v>
      </c>
      <c r="V369" s="109" t="str">
        <f t="shared" si="15"/>
        <v>10.1080--02650487.2024.2362015.pdf</v>
      </c>
      <c r="W369" s="54" t="s">
        <v>2077</v>
      </c>
      <c r="X369" s="46" t="str">
        <f t="array" ref="X369"> if(iserror(MATCH(V369, 'File Links'!C:C, 0)), "N/A", HYPERLINK(INDEX('File Links'!B:B, MATCH(V369, 'File Links'!C:C, 0))))</f>
        <v>N/A</v>
      </c>
      <c r="Y369" s="58"/>
      <c r="Z369" s="54" t="s">
        <v>2072</v>
      </c>
      <c r="AA369" s="54" t="s">
        <v>2078</v>
      </c>
      <c r="AB369" s="54" t="s">
        <v>2079</v>
      </c>
      <c r="AC369" s="54" t="s">
        <v>2089</v>
      </c>
      <c r="AD369" s="54" t="s">
        <v>2090</v>
      </c>
      <c r="AE369" s="126">
        <v>27.0</v>
      </c>
      <c r="AF369" s="376">
        <v>92.0</v>
      </c>
      <c r="AG369" s="58"/>
      <c r="AH369" s="335"/>
      <c r="AI369" s="58"/>
      <c r="AJ369" s="376">
        <v>0.05</v>
      </c>
      <c r="AK369" s="156" t="s">
        <v>128</v>
      </c>
      <c r="AL369" s="674" t="s">
        <v>131</v>
      </c>
      <c r="AM369" s="674" t="s">
        <v>131</v>
      </c>
      <c r="AN369" s="54" t="s">
        <v>131</v>
      </c>
      <c r="AO369" s="376">
        <v>156.0</v>
      </c>
      <c r="AP369" s="376">
        <v>-0.042</v>
      </c>
      <c r="AQ369" s="54" t="s">
        <v>166</v>
      </c>
      <c r="AR369" s="376">
        <f t="shared" ref="AR369:AR371" si="19">(6.18-6.22)/SQRT(((79-1)*0.84^2+(77-1)*1.05^2)/(79+77-2))</f>
        <v>-0.04212924684</v>
      </c>
      <c r="AS369" s="58"/>
      <c r="AT369" s="65"/>
      <c r="AU369" s="675" t="s">
        <v>131</v>
      </c>
      <c r="AV369" s="675" t="s">
        <v>131</v>
      </c>
      <c r="AW369" s="156" t="s">
        <v>131</v>
      </c>
      <c r="AX369" s="156" t="s">
        <v>144</v>
      </c>
      <c r="AY369" s="58"/>
      <c r="BA369" s="465"/>
      <c r="BB369" s="465"/>
      <c r="BC369" s="465"/>
      <c r="BD369" s="465"/>
      <c r="BE369" s="465"/>
      <c r="BF369" s="465"/>
      <c r="BG369" s="465"/>
      <c r="BH369" s="465"/>
      <c r="BI369" s="465"/>
      <c r="BJ369" s="465"/>
      <c r="BK369" s="465"/>
      <c r="BL369" s="465"/>
      <c r="BM369" s="465"/>
      <c r="BN369" s="465"/>
      <c r="BO369" s="465"/>
      <c r="BP369" s="465"/>
      <c r="BQ369" s="465"/>
      <c r="BR369" s="465"/>
      <c r="BS369" s="465"/>
      <c r="BT369" s="465"/>
      <c r="BU369" s="465"/>
      <c r="BV369" s="465"/>
      <c r="BW369" s="465"/>
      <c r="BX369" s="465"/>
      <c r="BY369" s="465"/>
      <c r="BZ369" s="465"/>
      <c r="CA369" s="465"/>
      <c r="CB369" s="465"/>
      <c r="CC369" s="465"/>
      <c r="CD369" s="465"/>
      <c r="CE369" s="465"/>
      <c r="CF369" s="465"/>
      <c r="CG369" s="465"/>
      <c r="CH369" s="465"/>
      <c r="CI369" s="465"/>
      <c r="CJ369" s="465"/>
      <c r="CK369" s="465"/>
      <c r="CL369" s="465"/>
      <c r="CM369" s="465"/>
      <c r="CN369" s="465"/>
      <c r="CO369" s="465"/>
      <c r="CP369" s="465"/>
      <c r="CQ369" s="465"/>
      <c r="CR369" s="465"/>
      <c r="CS369" s="465"/>
      <c r="CT369" s="465"/>
      <c r="CU369" s="465"/>
      <c r="CV369" s="465"/>
      <c r="CW369" s="465"/>
      <c r="CX369" s="465"/>
      <c r="CY369" s="465"/>
      <c r="CZ369" s="465"/>
      <c r="DA369" s="465"/>
      <c r="DB369" s="465"/>
      <c r="DC369" s="465"/>
      <c r="DD369" s="465"/>
      <c r="DE369" s="465"/>
      <c r="DF369" s="465"/>
      <c r="DG369" s="465"/>
      <c r="DH369" s="465"/>
    </row>
    <row r="370" ht="20.25" customHeight="1">
      <c r="A370" s="41">
        <v>370.0</v>
      </c>
      <c r="B370" s="418" t="s">
        <v>278</v>
      </c>
      <c r="C370" s="59" t="s">
        <v>108</v>
      </c>
      <c r="D370" s="59" t="s">
        <v>1803</v>
      </c>
      <c r="F370" s="700" t="s">
        <v>2062</v>
      </c>
      <c r="G370" s="54" t="s">
        <v>2063</v>
      </c>
      <c r="H370" s="54" t="s">
        <v>1804</v>
      </c>
      <c r="I370" s="149">
        <v>45460.0</v>
      </c>
      <c r="J370" s="431">
        <v>45642.0</v>
      </c>
      <c r="K370" s="54" t="s">
        <v>2088</v>
      </c>
      <c r="L370" s="58"/>
      <c r="M370" s="54" t="s">
        <v>2066</v>
      </c>
      <c r="N370" s="54" t="s">
        <v>2067</v>
      </c>
      <c r="O370" s="376">
        <v>2.0</v>
      </c>
      <c r="P370" s="374" t="str">
        <f t="shared" si="16"/>
        <v>10.1111--j.1540-5885.2010.00778.x.pdf</v>
      </c>
      <c r="Q370" s="105" t="str">
        <f t="array" ref="Q370"> if(iserror(MATCH(V370, 'File Links'!C:C, 0)), "N/A", HYPERLINK(INDEX('File Links'!B:B, MATCH(P370, 'File Links'!C:C, 0))))</f>
        <v>N/A</v>
      </c>
      <c r="R370" s="54" t="s">
        <v>2076</v>
      </c>
      <c r="S370" s="54" t="s">
        <v>2069</v>
      </c>
      <c r="T370" s="58"/>
      <c r="U370" s="706">
        <v>1.0</v>
      </c>
      <c r="V370" s="109" t="str">
        <f t="shared" si="15"/>
        <v>10.1080--02650487.2024.2362015.pdf</v>
      </c>
      <c r="W370" s="54" t="s">
        <v>2077</v>
      </c>
      <c r="X370" s="46" t="str">
        <f t="array" ref="X370"> if(iserror(MATCH(V370, 'File Links'!C:C, 0)), "N/A", HYPERLINK(INDEX('File Links'!B:B, MATCH(V370, 'File Links'!C:C, 0))))</f>
        <v>N/A</v>
      </c>
      <c r="Y370" s="58"/>
      <c r="Z370" s="54" t="s">
        <v>2072</v>
      </c>
      <c r="AA370" s="54" t="s">
        <v>2078</v>
      </c>
      <c r="AB370" s="54" t="s">
        <v>2079</v>
      </c>
      <c r="AC370" s="54" t="s">
        <v>2091</v>
      </c>
      <c r="AD370" s="54" t="s">
        <v>2092</v>
      </c>
      <c r="AE370" s="126">
        <v>27.0</v>
      </c>
      <c r="AF370" s="376">
        <v>158.0</v>
      </c>
      <c r="AG370" s="58"/>
      <c r="AH370" s="335"/>
      <c r="AI370" s="58"/>
      <c r="AJ370" s="376">
        <v>0.001</v>
      </c>
      <c r="AK370" s="156" t="s">
        <v>128</v>
      </c>
      <c r="AL370" s="674" t="s">
        <v>131</v>
      </c>
      <c r="AM370" s="674" t="s">
        <v>131</v>
      </c>
      <c r="AN370" s="54" t="s">
        <v>131</v>
      </c>
      <c r="AO370" s="376">
        <v>156.0</v>
      </c>
      <c r="AP370" s="376">
        <v>-0.042</v>
      </c>
      <c r="AQ370" s="54" t="s">
        <v>166</v>
      </c>
      <c r="AR370" s="376">
        <f t="shared" si="19"/>
        <v>-0.04212924684</v>
      </c>
      <c r="AS370" s="58"/>
      <c r="AT370" s="65"/>
      <c r="AU370" s="675" t="s">
        <v>131</v>
      </c>
      <c r="AV370" s="675" t="s">
        <v>131</v>
      </c>
      <c r="AW370" s="156" t="s">
        <v>131</v>
      </c>
      <c r="AX370" s="156" t="s">
        <v>144</v>
      </c>
      <c r="AY370" s="58"/>
      <c r="BA370" s="465"/>
      <c r="BB370" s="465"/>
      <c r="BC370" s="465"/>
      <c r="BD370" s="465"/>
      <c r="BE370" s="465"/>
      <c r="BF370" s="465"/>
      <c r="BG370" s="465"/>
      <c r="BH370" s="465"/>
      <c r="BI370" s="465"/>
      <c r="BJ370" s="465"/>
      <c r="BK370" s="465"/>
      <c r="BL370" s="465"/>
      <c r="BM370" s="465"/>
      <c r="BN370" s="465"/>
      <c r="BO370" s="465"/>
      <c r="BP370" s="465"/>
      <c r="BQ370" s="465"/>
      <c r="BR370" s="465"/>
      <c r="BS370" s="465"/>
      <c r="BT370" s="465"/>
      <c r="BU370" s="465"/>
      <c r="BV370" s="465"/>
      <c r="BW370" s="465"/>
      <c r="BX370" s="465"/>
      <c r="BY370" s="465"/>
      <c r="BZ370" s="465"/>
      <c r="CA370" s="465"/>
      <c r="CB370" s="465"/>
      <c r="CC370" s="465"/>
      <c r="CD370" s="465"/>
      <c r="CE370" s="465"/>
      <c r="CF370" s="465"/>
      <c r="CG370" s="465"/>
      <c r="CH370" s="465"/>
      <c r="CI370" s="465"/>
      <c r="CJ370" s="465"/>
      <c r="CK370" s="465"/>
      <c r="CL370" s="465"/>
      <c r="CM370" s="465"/>
      <c r="CN370" s="465"/>
      <c r="CO370" s="465"/>
      <c r="CP370" s="465"/>
      <c r="CQ370" s="465"/>
      <c r="CR370" s="465"/>
      <c r="CS370" s="465"/>
      <c r="CT370" s="465"/>
      <c r="CU370" s="465"/>
      <c r="CV370" s="465"/>
      <c r="CW370" s="465"/>
      <c r="CX370" s="465"/>
      <c r="CY370" s="465"/>
      <c r="CZ370" s="465"/>
      <c r="DA370" s="465"/>
      <c r="DB370" s="465"/>
      <c r="DC370" s="465"/>
      <c r="DD370" s="465"/>
      <c r="DE370" s="465"/>
      <c r="DF370" s="465"/>
      <c r="DG370" s="465"/>
      <c r="DH370" s="465"/>
    </row>
    <row r="371" ht="20.25" customHeight="1">
      <c r="A371" s="41">
        <v>371.0</v>
      </c>
      <c r="B371" s="418" t="s">
        <v>278</v>
      </c>
      <c r="C371" s="59" t="s">
        <v>108</v>
      </c>
      <c r="D371" s="59" t="s">
        <v>1803</v>
      </c>
      <c r="F371" s="700" t="s">
        <v>2062</v>
      </c>
      <c r="G371" s="54" t="s">
        <v>2063</v>
      </c>
      <c r="H371" s="54" t="s">
        <v>1804</v>
      </c>
      <c r="I371" s="149">
        <v>45460.0</v>
      </c>
      <c r="J371" s="431">
        <v>45642.0</v>
      </c>
      <c r="K371" s="54" t="s">
        <v>2088</v>
      </c>
      <c r="L371" s="58"/>
      <c r="M371" s="54" t="s">
        <v>2066</v>
      </c>
      <c r="N371" s="54" t="s">
        <v>2067</v>
      </c>
      <c r="O371" s="376">
        <v>2.0</v>
      </c>
      <c r="P371" s="374" t="str">
        <f t="shared" si="16"/>
        <v>10.1111--j.1540-5885.2010.00778.x.pdf</v>
      </c>
      <c r="Q371" s="105" t="str">
        <f t="array" ref="Q371"> if(iserror(MATCH(V371, 'File Links'!C:C, 0)), "N/A", HYPERLINK(INDEX('File Links'!B:B, MATCH(P371, 'File Links'!C:C, 0))))</f>
        <v>N/A</v>
      </c>
      <c r="R371" s="54" t="s">
        <v>2076</v>
      </c>
      <c r="S371" s="54" t="s">
        <v>2069</v>
      </c>
      <c r="T371" s="58"/>
      <c r="U371" s="706">
        <v>1.0</v>
      </c>
      <c r="V371" s="109" t="str">
        <f t="shared" si="15"/>
        <v>10.1080--02650487.2024.2362015.pdf</v>
      </c>
      <c r="W371" s="54" t="s">
        <v>2077</v>
      </c>
      <c r="X371" s="46" t="str">
        <f t="array" ref="X371"> if(iserror(MATCH(V371, 'File Links'!C:C, 0)), "N/A", HYPERLINK(INDEX('File Links'!B:B, MATCH(V371, 'File Links'!C:C, 0))))</f>
        <v>N/A</v>
      </c>
      <c r="Y371" s="58"/>
      <c r="Z371" s="54" t="s">
        <v>2072</v>
      </c>
      <c r="AA371" s="54" t="s">
        <v>2078</v>
      </c>
      <c r="AB371" s="54" t="s">
        <v>2079</v>
      </c>
      <c r="AC371" s="54" t="s">
        <v>2093</v>
      </c>
      <c r="AD371" s="54" t="s">
        <v>2094</v>
      </c>
      <c r="AE371" s="126">
        <v>27.0</v>
      </c>
      <c r="AF371" s="376">
        <v>153.0</v>
      </c>
      <c r="AG371" s="58"/>
      <c r="AH371" s="335"/>
      <c r="AI371" s="58"/>
      <c r="AJ371" s="376">
        <v>0.001</v>
      </c>
      <c r="AK371" s="156" t="s">
        <v>128</v>
      </c>
      <c r="AL371" s="674" t="s">
        <v>131</v>
      </c>
      <c r="AM371" s="674" t="s">
        <v>131</v>
      </c>
      <c r="AN371" s="54" t="s">
        <v>131</v>
      </c>
      <c r="AO371" s="376">
        <v>156.0</v>
      </c>
      <c r="AP371" s="376">
        <v>-0.042</v>
      </c>
      <c r="AQ371" s="54" t="s">
        <v>166</v>
      </c>
      <c r="AR371" s="376">
        <f t="shared" si="19"/>
        <v>-0.04212924684</v>
      </c>
      <c r="AS371" s="58"/>
      <c r="AT371" s="65"/>
      <c r="AU371" s="675" t="s">
        <v>131</v>
      </c>
      <c r="AV371" s="675" t="s">
        <v>131</v>
      </c>
      <c r="AW371" s="156" t="s">
        <v>131</v>
      </c>
      <c r="AX371" s="156" t="s">
        <v>144</v>
      </c>
      <c r="AY371" s="58"/>
      <c r="BC371" s="104"/>
      <c r="BD371" s="104"/>
      <c r="BE371" s="104"/>
      <c r="BF371" s="104"/>
      <c r="BG371" s="104"/>
      <c r="BH371" s="104"/>
      <c r="BI371" s="104"/>
      <c r="BJ371" s="104"/>
      <c r="BK371" s="104"/>
      <c r="BL371" s="104"/>
      <c r="BM371" s="104"/>
      <c r="BN371" s="104"/>
      <c r="BR371" s="104"/>
      <c r="BS371" s="104"/>
      <c r="BT371" s="104"/>
      <c r="BU371" s="104"/>
      <c r="BV371" s="104"/>
      <c r="BW371" s="104"/>
      <c r="BX371" s="104"/>
      <c r="BY371" s="104"/>
      <c r="BZ371" s="104"/>
      <c r="CA371" s="104"/>
      <c r="CB371" s="104"/>
      <c r="CC371" s="104"/>
      <c r="CD371" s="104"/>
      <c r="CE371" s="104"/>
      <c r="CF371" s="104"/>
      <c r="CG371" s="104"/>
      <c r="CH371" s="104"/>
      <c r="CI371" s="104"/>
      <c r="CJ371" s="104"/>
      <c r="CK371" s="104"/>
      <c r="CL371" s="104"/>
      <c r="CM371" s="104"/>
      <c r="CN371" s="104"/>
      <c r="CO371" s="104"/>
      <c r="CP371" s="104"/>
      <c r="CQ371" s="104"/>
      <c r="CR371" s="104"/>
      <c r="CS371" s="104"/>
      <c r="CT371" s="104"/>
      <c r="CU371" s="104"/>
      <c r="CV371" s="104"/>
      <c r="CW371" s="104"/>
      <c r="CX371" s="104"/>
      <c r="CY371" s="104"/>
      <c r="CZ371" s="104"/>
      <c r="DA371" s="104"/>
      <c r="DB371" s="104"/>
      <c r="DC371" s="104"/>
      <c r="DD371" s="104"/>
      <c r="DE371" s="104"/>
      <c r="DF371" s="104"/>
      <c r="DG371" s="104"/>
      <c r="DH371" s="104"/>
    </row>
    <row r="372" ht="20.25" customHeight="1">
      <c r="A372" s="41">
        <v>372.0</v>
      </c>
      <c r="B372" s="418" t="s">
        <v>278</v>
      </c>
      <c r="C372" s="59" t="s">
        <v>108</v>
      </c>
      <c r="D372" s="59" t="s">
        <v>1803</v>
      </c>
      <c r="F372" s="700" t="s">
        <v>2062</v>
      </c>
      <c r="G372" s="54" t="s">
        <v>2063</v>
      </c>
      <c r="H372" s="54" t="s">
        <v>1804</v>
      </c>
      <c r="I372" s="149">
        <v>45460.0</v>
      </c>
      <c r="J372" s="431">
        <v>45642.0</v>
      </c>
      <c r="K372" s="54" t="s">
        <v>2075</v>
      </c>
      <c r="L372" s="58"/>
      <c r="M372" s="54" t="s">
        <v>2066</v>
      </c>
      <c r="N372" s="54" t="s">
        <v>2067</v>
      </c>
      <c r="O372" s="376">
        <v>2.0</v>
      </c>
      <c r="P372" s="374" t="str">
        <f t="shared" si="16"/>
        <v>10.1111--j.1540-5885.2010.00778.x.pdf</v>
      </c>
      <c r="Q372" s="105" t="str">
        <f t="array" ref="Q372"> if(iserror(MATCH(V372, 'File Links'!C:C, 0)), "N/A", HYPERLINK(INDEX('File Links'!B:B, MATCH(P372, 'File Links'!C:C, 0))))</f>
        <v>N/A</v>
      </c>
      <c r="R372" s="54" t="s">
        <v>2076</v>
      </c>
      <c r="S372" s="54" t="s">
        <v>2069</v>
      </c>
      <c r="T372" s="58"/>
      <c r="U372" s="706">
        <v>2.0</v>
      </c>
      <c r="V372" s="109" t="str">
        <f t="shared" si="15"/>
        <v>10.1080--02650487.2024.2362015.pdf</v>
      </c>
      <c r="W372" s="54" t="s">
        <v>2077</v>
      </c>
      <c r="X372" s="46" t="str">
        <f t="array" ref="X372"> if(iserror(MATCH(V372, 'File Links'!C:C, 0)), "N/A", HYPERLINK(INDEX('File Links'!B:B, MATCH(V372, 'File Links'!C:C, 0))))</f>
        <v>N/A</v>
      </c>
      <c r="Y372" s="58"/>
      <c r="Z372" s="54" t="s">
        <v>2072</v>
      </c>
      <c r="AA372" s="54" t="s">
        <v>2078</v>
      </c>
      <c r="AB372" s="54" t="s">
        <v>2079</v>
      </c>
      <c r="AC372" s="54" t="s">
        <v>2095</v>
      </c>
      <c r="AD372" s="54" t="s">
        <v>2081</v>
      </c>
      <c r="AE372" s="126">
        <v>27.0</v>
      </c>
      <c r="AF372" s="376">
        <v>92.0</v>
      </c>
      <c r="AG372" s="376">
        <v>-3.0</v>
      </c>
      <c r="AH372" s="336" t="s">
        <v>127</v>
      </c>
      <c r="AI372" s="54" t="s">
        <v>1881</v>
      </c>
      <c r="AJ372" s="58"/>
      <c r="AK372" s="65"/>
      <c r="AL372" s="674" t="s">
        <v>131</v>
      </c>
      <c r="AM372" s="674" t="s">
        <v>131</v>
      </c>
      <c r="AN372" s="54" t="s">
        <v>131</v>
      </c>
      <c r="AO372" s="376">
        <v>151.0</v>
      </c>
      <c r="AP372" s="376">
        <v>-0.132</v>
      </c>
      <c r="AQ372" s="54" t="s">
        <v>166</v>
      </c>
      <c r="AR372" s="376">
        <f t="shared" ref="AR372:AR374" si="20">(6.12-6.24)/SQRT(((77-1)*0.92^2+(74-1)*0.9^2)/(77+74-2))</f>
        <v>-0.1318310089</v>
      </c>
      <c r="AS372" s="58"/>
      <c r="AT372" s="65"/>
      <c r="AU372" s="675" t="s">
        <v>131</v>
      </c>
      <c r="AV372" s="675" t="s">
        <v>131</v>
      </c>
      <c r="AW372" s="156" t="s">
        <v>131</v>
      </c>
      <c r="AX372" s="156" t="s">
        <v>144</v>
      </c>
      <c r="AY372" s="58"/>
      <c r="BC372" s="64"/>
      <c r="BD372" s="64"/>
      <c r="BH372" s="64"/>
      <c r="BI372" s="64"/>
      <c r="BM372" s="64"/>
      <c r="BP372" s="64"/>
      <c r="BQ372" s="64"/>
      <c r="BU372" s="64"/>
      <c r="BW372" s="64"/>
      <c r="CA372" s="64"/>
      <c r="CB372" s="64"/>
      <c r="CC372" s="64"/>
      <c r="CD372" s="64"/>
      <c r="CE372" s="64"/>
      <c r="CF372" s="64"/>
      <c r="CG372" s="64"/>
      <c r="CH372" s="64"/>
      <c r="CI372" s="64"/>
      <c r="CJ372" s="64"/>
      <c r="CK372" s="64"/>
      <c r="CL372" s="64"/>
      <c r="CM372" s="64"/>
      <c r="CN372" s="64"/>
      <c r="CO372" s="64"/>
      <c r="CP372" s="64"/>
      <c r="CQ372" s="64"/>
      <c r="CR372" s="64"/>
      <c r="CS372" s="64"/>
      <c r="CU372" s="64"/>
      <c r="DH372" s="104"/>
    </row>
    <row r="373" ht="20.25" customHeight="1">
      <c r="A373" s="41">
        <v>373.0</v>
      </c>
      <c r="B373" s="418" t="s">
        <v>278</v>
      </c>
      <c r="C373" s="59" t="s">
        <v>108</v>
      </c>
      <c r="D373" s="59" t="s">
        <v>1803</v>
      </c>
      <c r="F373" s="700" t="s">
        <v>2062</v>
      </c>
      <c r="G373" s="54" t="s">
        <v>2063</v>
      </c>
      <c r="H373" s="54" t="s">
        <v>1804</v>
      </c>
      <c r="I373" s="149">
        <v>45460.0</v>
      </c>
      <c r="J373" s="431">
        <v>45642.0</v>
      </c>
      <c r="K373" s="54" t="s">
        <v>2075</v>
      </c>
      <c r="L373" s="58"/>
      <c r="M373" s="54" t="s">
        <v>2066</v>
      </c>
      <c r="N373" s="54" t="s">
        <v>2067</v>
      </c>
      <c r="O373" s="376">
        <v>2.0</v>
      </c>
      <c r="P373" s="374" t="str">
        <f t="shared" si="16"/>
        <v>10.1111--j.1540-5885.2010.00778.x.pdf</v>
      </c>
      <c r="Q373" s="105" t="str">
        <f t="array" ref="Q373"> if(iserror(MATCH(V373, 'File Links'!C:C, 0)), "N/A", HYPERLINK(INDEX('File Links'!B:B, MATCH(P373, 'File Links'!C:C, 0))))</f>
        <v>N/A</v>
      </c>
      <c r="R373" s="54" t="s">
        <v>2076</v>
      </c>
      <c r="S373" s="54" t="s">
        <v>2069</v>
      </c>
      <c r="T373" s="58"/>
      <c r="U373" s="706">
        <v>2.0</v>
      </c>
      <c r="V373" s="109" t="str">
        <f t="shared" si="15"/>
        <v>10.1080--02650487.2024.2362015.pdf</v>
      </c>
      <c r="W373" s="54" t="s">
        <v>2077</v>
      </c>
      <c r="X373" s="46" t="str">
        <f t="array" ref="X373"> if(iserror(MATCH(V373, 'File Links'!C:C, 0)), "N/A", HYPERLINK(INDEX('File Links'!B:B, MATCH(V373, 'File Links'!C:C, 0))))</f>
        <v>N/A</v>
      </c>
      <c r="Y373" s="58"/>
      <c r="Z373" s="54" t="s">
        <v>2072</v>
      </c>
      <c r="AA373" s="54" t="s">
        <v>2078</v>
      </c>
      <c r="AB373" s="54" t="s">
        <v>2079</v>
      </c>
      <c r="AC373" s="54" t="s">
        <v>2096</v>
      </c>
      <c r="AD373" s="54" t="s">
        <v>2081</v>
      </c>
      <c r="AE373" s="126">
        <v>27.0</v>
      </c>
      <c r="AF373" s="376">
        <v>158.0</v>
      </c>
      <c r="AG373" s="376">
        <v>-4.5</v>
      </c>
      <c r="AH373" s="336" t="s">
        <v>127</v>
      </c>
      <c r="AI373" s="54" t="s">
        <v>1881</v>
      </c>
      <c r="AJ373" s="58"/>
      <c r="AK373" s="65"/>
      <c r="AL373" s="674" t="s">
        <v>131</v>
      </c>
      <c r="AM373" s="674" t="s">
        <v>131</v>
      </c>
      <c r="AN373" s="54" t="s">
        <v>131</v>
      </c>
      <c r="AO373" s="376">
        <v>151.0</v>
      </c>
      <c r="AP373" s="376">
        <v>-0.132</v>
      </c>
      <c r="AQ373" s="54" t="s">
        <v>166</v>
      </c>
      <c r="AR373" s="376">
        <f t="shared" si="20"/>
        <v>-0.1318310089</v>
      </c>
      <c r="AS373" s="58"/>
      <c r="AT373" s="65"/>
      <c r="AU373" s="675" t="s">
        <v>131</v>
      </c>
      <c r="AV373" s="675" t="s">
        <v>131</v>
      </c>
      <c r="AW373" s="156" t="s">
        <v>131</v>
      </c>
      <c r="AX373" s="156" t="s">
        <v>144</v>
      </c>
      <c r="AY373" s="58"/>
      <c r="BC373" s="69"/>
      <c r="BD373" s="69"/>
      <c r="BE373" s="69"/>
      <c r="BF373" s="69"/>
      <c r="BG373" s="69"/>
      <c r="BH373" s="69"/>
      <c r="BI373" s="69"/>
      <c r="BJ373" s="69"/>
      <c r="BK373" s="69"/>
      <c r="BL373" s="69"/>
      <c r="BM373" s="69"/>
      <c r="BN373" s="69"/>
      <c r="BR373" s="69"/>
      <c r="BS373" s="69"/>
      <c r="BT373" s="69"/>
      <c r="BU373" s="69"/>
      <c r="BV373" s="69"/>
      <c r="BW373" s="69"/>
      <c r="BX373" s="69"/>
      <c r="BY373" s="69"/>
      <c r="BZ373" s="69"/>
      <c r="CA373" s="69"/>
      <c r="CB373" s="69"/>
      <c r="CC373" s="69"/>
      <c r="CD373" s="69"/>
      <c r="CE373" s="69"/>
      <c r="CF373" s="69"/>
      <c r="CG373" s="69"/>
      <c r="CH373" s="69"/>
      <c r="CI373" s="69"/>
      <c r="CJ373" s="69"/>
      <c r="CK373" s="69"/>
      <c r="CL373" s="69"/>
      <c r="CM373" s="69"/>
      <c r="CN373" s="69"/>
      <c r="CO373" s="69"/>
      <c r="CP373" s="69"/>
      <c r="CQ373" s="69"/>
      <c r="CR373" s="69"/>
      <c r="CS373" s="69"/>
      <c r="CT373" s="69"/>
      <c r="CU373" s="69"/>
      <c r="CV373" s="69"/>
      <c r="CW373" s="69"/>
      <c r="CX373" s="69"/>
      <c r="CY373" s="69"/>
      <c r="CZ373" s="69"/>
      <c r="DA373" s="69"/>
      <c r="DB373" s="69"/>
      <c r="DC373" s="69"/>
      <c r="DD373" s="69"/>
      <c r="DE373" s="69"/>
      <c r="DF373" s="69"/>
      <c r="DG373" s="69"/>
      <c r="DH373" s="69"/>
    </row>
    <row r="374" ht="20.25" customHeight="1">
      <c r="A374" s="41">
        <v>374.0</v>
      </c>
      <c r="B374" s="418" t="s">
        <v>278</v>
      </c>
      <c r="C374" s="59" t="s">
        <v>108</v>
      </c>
      <c r="D374" s="59" t="s">
        <v>1803</v>
      </c>
      <c r="F374" s="700" t="s">
        <v>2062</v>
      </c>
      <c r="G374" s="54" t="s">
        <v>2063</v>
      </c>
      <c r="H374" s="54" t="s">
        <v>1804</v>
      </c>
      <c r="I374" s="149">
        <v>45460.0</v>
      </c>
      <c r="J374" s="431">
        <v>45642.0</v>
      </c>
      <c r="K374" s="54" t="s">
        <v>2075</v>
      </c>
      <c r="L374" s="58"/>
      <c r="M374" s="54" t="s">
        <v>2066</v>
      </c>
      <c r="N374" s="54" t="s">
        <v>2067</v>
      </c>
      <c r="O374" s="376">
        <v>2.0</v>
      </c>
      <c r="P374" s="374" t="str">
        <f t="shared" si="16"/>
        <v>10.1111--j.1540-5885.2010.00778.x.pdf</v>
      </c>
      <c r="Q374" s="105" t="str">
        <f t="array" ref="Q374"> if(iserror(MATCH(V374, 'File Links'!C:C, 0)), "N/A", HYPERLINK(INDEX('File Links'!B:B, MATCH(P374, 'File Links'!C:C, 0))))</f>
        <v>N/A</v>
      </c>
      <c r="R374" s="54" t="s">
        <v>2076</v>
      </c>
      <c r="S374" s="54" t="s">
        <v>2069</v>
      </c>
      <c r="T374" s="58"/>
      <c r="U374" s="706">
        <v>2.0</v>
      </c>
      <c r="V374" s="109" t="str">
        <f t="shared" si="15"/>
        <v>10.1080--02650487.2024.2362015.pdf</v>
      </c>
      <c r="W374" s="54" t="s">
        <v>2077</v>
      </c>
      <c r="X374" s="46" t="str">
        <f t="array" ref="X374"> if(iserror(MATCH(V374, 'File Links'!C:C, 0)), "N/A", HYPERLINK(INDEX('File Links'!B:B, MATCH(V374, 'File Links'!C:C, 0))))</f>
        <v>N/A</v>
      </c>
      <c r="Y374" s="58"/>
      <c r="Z374" s="54" t="s">
        <v>2072</v>
      </c>
      <c r="AA374" s="54" t="s">
        <v>2078</v>
      </c>
      <c r="AB374" s="54" t="s">
        <v>2079</v>
      </c>
      <c r="AC374" s="54" t="s">
        <v>2084</v>
      </c>
      <c r="AD374" s="54" t="s">
        <v>2081</v>
      </c>
      <c r="AE374" s="126">
        <v>27.0</v>
      </c>
      <c r="AF374" s="376">
        <v>153.0</v>
      </c>
      <c r="AG374" s="376">
        <v>-2.5</v>
      </c>
      <c r="AH374" s="336" t="s">
        <v>127</v>
      </c>
      <c r="AI374" s="54" t="s">
        <v>1881</v>
      </c>
      <c r="AJ374" s="58"/>
      <c r="AK374" s="65"/>
      <c r="AL374" s="674" t="s">
        <v>131</v>
      </c>
      <c r="AM374" s="674" t="s">
        <v>131</v>
      </c>
      <c r="AN374" s="54" t="s">
        <v>131</v>
      </c>
      <c r="AO374" s="376">
        <v>151.0</v>
      </c>
      <c r="AP374" s="376">
        <v>-0.132</v>
      </c>
      <c r="AQ374" s="54" t="s">
        <v>166</v>
      </c>
      <c r="AR374" s="376">
        <f t="shared" si="20"/>
        <v>-0.1318310089</v>
      </c>
      <c r="AS374" s="58"/>
      <c r="AT374" s="65"/>
      <c r="AU374" s="675" t="s">
        <v>131</v>
      </c>
      <c r="AV374" s="675" t="s">
        <v>131</v>
      </c>
      <c r="AW374" s="156" t="s">
        <v>131</v>
      </c>
      <c r="AX374" s="156" t="s">
        <v>144</v>
      </c>
      <c r="AY374" s="58"/>
      <c r="BC374" s="694"/>
      <c r="BD374" s="694"/>
      <c r="BE374" s="694"/>
      <c r="BF374" s="694"/>
      <c r="BG374" s="694"/>
      <c r="BH374" s="694"/>
      <c r="BI374" s="694"/>
      <c r="BJ374" s="694"/>
      <c r="BK374" s="694"/>
      <c r="BL374" s="694"/>
      <c r="BM374" s="694"/>
      <c r="BN374" s="694"/>
      <c r="BR374" s="694"/>
      <c r="BS374" s="694"/>
      <c r="BT374" s="694"/>
      <c r="BU374" s="694"/>
      <c r="BV374" s="694"/>
      <c r="BW374" s="694"/>
      <c r="BX374" s="694"/>
      <c r="BY374" s="694"/>
      <c r="BZ374" s="694"/>
      <c r="CA374" s="694"/>
      <c r="CB374" s="694"/>
      <c r="CC374" s="694"/>
      <c r="CD374" s="694"/>
      <c r="CE374" s="694"/>
      <c r="CF374" s="694"/>
      <c r="CG374" s="694"/>
      <c r="CH374" s="694"/>
      <c r="CI374" s="694"/>
      <c r="CJ374" s="694"/>
      <c r="CK374" s="694"/>
      <c r="CL374" s="694"/>
      <c r="CM374" s="694"/>
      <c r="CN374" s="694"/>
      <c r="CO374" s="694"/>
      <c r="CP374" s="694"/>
      <c r="CQ374" s="694"/>
      <c r="CR374" s="694"/>
      <c r="CS374" s="694"/>
      <c r="CT374" s="694"/>
      <c r="CU374" s="694"/>
      <c r="CV374" s="694"/>
      <c r="CW374" s="694"/>
      <c r="CX374" s="694"/>
      <c r="CY374" s="694"/>
      <c r="CZ374" s="694"/>
      <c r="DA374" s="694"/>
      <c r="DB374" s="694"/>
      <c r="DC374" s="694"/>
      <c r="DD374" s="694"/>
      <c r="DE374" s="694"/>
      <c r="DF374" s="694"/>
      <c r="DG374" s="694"/>
      <c r="DH374" s="694"/>
    </row>
    <row r="375" ht="20.25" customHeight="1">
      <c r="A375" s="41">
        <v>375.0</v>
      </c>
      <c r="B375" s="418" t="s">
        <v>278</v>
      </c>
      <c r="C375" s="59" t="s">
        <v>108</v>
      </c>
      <c r="D375" s="59" t="s">
        <v>1803</v>
      </c>
      <c r="F375" s="700" t="s">
        <v>2062</v>
      </c>
      <c r="G375" s="54" t="s">
        <v>2063</v>
      </c>
      <c r="H375" s="54" t="s">
        <v>1804</v>
      </c>
      <c r="I375" s="149">
        <v>45460.0</v>
      </c>
      <c r="J375" s="431">
        <v>45642.0</v>
      </c>
      <c r="K375" s="54" t="s">
        <v>2075</v>
      </c>
      <c r="L375" s="58"/>
      <c r="M375" s="54" t="s">
        <v>2066</v>
      </c>
      <c r="N375" s="54" t="s">
        <v>2067</v>
      </c>
      <c r="O375" s="376">
        <v>2.0</v>
      </c>
      <c r="P375" s="374" t="str">
        <f t="shared" si="16"/>
        <v>10.1111--j.1540-5885.2010.00778.x.pdf</v>
      </c>
      <c r="Q375" s="105" t="str">
        <f t="array" ref="Q375"> if(iserror(MATCH(V375, 'File Links'!C:C, 0)), "N/A", HYPERLINK(INDEX('File Links'!B:B, MATCH(P375, 'File Links'!C:C, 0))))</f>
        <v>N/A</v>
      </c>
      <c r="R375" s="54" t="s">
        <v>2076</v>
      </c>
      <c r="S375" s="54" t="s">
        <v>2069</v>
      </c>
      <c r="T375" s="58"/>
      <c r="U375" s="706">
        <v>2.0</v>
      </c>
      <c r="V375" s="109" t="str">
        <f t="shared" si="15"/>
        <v>10.1080--02650487.2024.2362015.pdf</v>
      </c>
      <c r="W375" s="54" t="s">
        <v>2077</v>
      </c>
      <c r="X375" s="46" t="str">
        <f t="array" ref="X375"> if(iserror(MATCH(V375, 'File Links'!C:C, 0)), "N/A", HYPERLINK(INDEX('File Links'!B:B, MATCH(V375, 'File Links'!C:C, 0))))</f>
        <v>N/A</v>
      </c>
      <c r="Y375" s="58"/>
      <c r="Z375" s="54" t="s">
        <v>2072</v>
      </c>
      <c r="AA375" s="54" t="s">
        <v>2078</v>
      </c>
      <c r="AB375" s="54" t="s">
        <v>2079</v>
      </c>
      <c r="AC375" s="54" t="s">
        <v>2097</v>
      </c>
      <c r="AD375" s="54" t="s">
        <v>2081</v>
      </c>
      <c r="AE375" s="126">
        <v>27.0</v>
      </c>
      <c r="AF375" s="376">
        <v>92.0</v>
      </c>
      <c r="AG375" s="376">
        <v>-3.0</v>
      </c>
      <c r="AH375" s="336" t="s">
        <v>127</v>
      </c>
      <c r="AI375" s="54" t="s">
        <v>1881</v>
      </c>
      <c r="AJ375" s="58"/>
      <c r="AK375" s="65"/>
      <c r="AL375" s="674" t="s">
        <v>131</v>
      </c>
      <c r="AM375" s="674" t="s">
        <v>131</v>
      </c>
      <c r="AN375" s="54" t="s">
        <v>131</v>
      </c>
      <c r="AO375" s="376">
        <v>151.0</v>
      </c>
      <c r="AP375" s="376">
        <v>-0.184</v>
      </c>
      <c r="AQ375" s="54" t="s">
        <v>166</v>
      </c>
      <c r="AR375" s="376">
        <f>(6.12-6.24)/SQRT(((77-1)*0.92^2+(AU5277-1)*0.9^2)/(77+74-2))</f>
        <v>-0.1837940479</v>
      </c>
      <c r="AS375" s="58"/>
      <c r="AT375" s="65"/>
      <c r="AU375" s="675" t="s">
        <v>131</v>
      </c>
      <c r="AV375" s="675" t="s">
        <v>131</v>
      </c>
      <c r="AW375" s="156" t="s">
        <v>131</v>
      </c>
      <c r="AX375" s="156" t="s">
        <v>144</v>
      </c>
      <c r="AY375" s="58"/>
      <c r="BC375" s="694"/>
      <c r="BD375" s="694"/>
      <c r="BE375" s="694"/>
      <c r="BF375" s="694"/>
      <c r="BG375" s="694"/>
      <c r="BH375" s="694"/>
      <c r="BI375" s="694"/>
      <c r="BJ375" s="694"/>
      <c r="BK375" s="694"/>
      <c r="BL375" s="694"/>
      <c r="BM375" s="694"/>
      <c r="BN375" s="694"/>
      <c r="BR375" s="694"/>
      <c r="BS375" s="694"/>
      <c r="BT375" s="694"/>
      <c r="BU375" s="694"/>
      <c r="BV375" s="694"/>
      <c r="BW375" s="694"/>
      <c r="BX375" s="694"/>
      <c r="BY375" s="694"/>
      <c r="BZ375" s="694"/>
      <c r="CA375" s="694"/>
      <c r="CB375" s="694"/>
      <c r="CC375" s="694"/>
      <c r="CD375" s="694"/>
      <c r="CE375" s="694"/>
      <c r="CF375" s="694"/>
      <c r="CG375" s="694"/>
      <c r="CH375" s="694"/>
      <c r="CI375" s="694"/>
      <c r="CJ375" s="694"/>
      <c r="CK375" s="694"/>
      <c r="CL375" s="694"/>
      <c r="CM375" s="694"/>
      <c r="CN375" s="694"/>
      <c r="CO375" s="694"/>
      <c r="CP375" s="694"/>
      <c r="CQ375" s="694"/>
      <c r="CR375" s="694"/>
      <c r="CS375" s="694"/>
      <c r="CT375" s="694"/>
      <c r="CU375" s="694"/>
      <c r="CV375" s="694"/>
      <c r="CW375" s="694"/>
      <c r="CX375" s="694"/>
      <c r="CY375" s="694"/>
      <c r="CZ375" s="694"/>
      <c r="DA375" s="694"/>
      <c r="DB375" s="694"/>
      <c r="DC375" s="694"/>
      <c r="DD375" s="694"/>
      <c r="DE375" s="694"/>
      <c r="DF375" s="694"/>
      <c r="DG375" s="694"/>
      <c r="DH375" s="694"/>
    </row>
    <row r="376" ht="20.25" customHeight="1">
      <c r="A376" s="41">
        <v>376.0</v>
      </c>
      <c r="B376" s="418" t="s">
        <v>278</v>
      </c>
      <c r="C376" s="59" t="s">
        <v>108</v>
      </c>
      <c r="D376" s="59" t="s">
        <v>1803</v>
      </c>
      <c r="F376" s="700" t="s">
        <v>2062</v>
      </c>
      <c r="G376" s="54" t="s">
        <v>2063</v>
      </c>
      <c r="H376" s="54" t="s">
        <v>1804</v>
      </c>
      <c r="I376" s="149">
        <v>45460.0</v>
      </c>
      <c r="J376" s="431">
        <v>45642.0</v>
      </c>
      <c r="K376" s="54" t="s">
        <v>2075</v>
      </c>
      <c r="L376" s="58"/>
      <c r="M376" s="54" t="s">
        <v>2066</v>
      </c>
      <c r="N376" s="54" t="s">
        <v>2067</v>
      </c>
      <c r="O376" s="376">
        <v>2.0</v>
      </c>
      <c r="P376" s="374" t="str">
        <f t="shared" si="16"/>
        <v>10.1111--j.1540-5885.2010.00778.x.pdf</v>
      </c>
      <c r="Q376" s="105" t="str">
        <f t="array" ref="Q376"> if(iserror(MATCH(V376, 'File Links'!C:C, 0)), "N/A", HYPERLINK(INDEX('File Links'!B:B, MATCH(P376, 'File Links'!C:C, 0))))</f>
        <v>N/A</v>
      </c>
      <c r="R376" s="54" t="s">
        <v>2076</v>
      </c>
      <c r="S376" s="54" t="s">
        <v>2069</v>
      </c>
      <c r="T376" s="58"/>
      <c r="U376" s="706">
        <v>2.0</v>
      </c>
      <c r="V376" s="109" t="str">
        <f t="shared" si="15"/>
        <v>10.1080--02650487.2024.2362015.pdf</v>
      </c>
      <c r="W376" s="54" t="s">
        <v>2077</v>
      </c>
      <c r="X376" s="46" t="str">
        <f t="array" ref="X376"> if(iserror(MATCH(V376, 'File Links'!C:C, 0)), "N/A", HYPERLINK(INDEX('File Links'!B:B, MATCH(V376, 'File Links'!C:C, 0))))</f>
        <v>N/A</v>
      </c>
      <c r="Y376" s="58"/>
      <c r="Z376" s="54" t="s">
        <v>2072</v>
      </c>
      <c r="AA376" s="54" t="s">
        <v>2078</v>
      </c>
      <c r="AB376" s="54" t="s">
        <v>2079</v>
      </c>
      <c r="AC376" s="54" t="s">
        <v>2098</v>
      </c>
      <c r="AD376" s="54" t="s">
        <v>2081</v>
      </c>
      <c r="AE376" s="126">
        <v>27.0</v>
      </c>
      <c r="AF376" s="376">
        <v>158.0</v>
      </c>
      <c r="AG376" s="376">
        <v>-13.5</v>
      </c>
      <c r="AH376" s="336" t="s">
        <v>127</v>
      </c>
      <c r="AI376" s="54" t="s">
        <v>1881</v>
      </c>
      <c r="AJ376" s="58"/>
      <c r="AK376" s="65"/>
      <c r="AL376" s="674" t="s">
        <v>131</v>
      </c>
      <c r="AM376" s="674" t="s">
        <v>131</v>
      </c>
      <c r="AN376" s="54" t="s">
        <v>131</v>
      </c>
      <c r="AO376" s="376">
        <v>151.0</v>
      </c>
      <c r="AP376" s="376">
        <v>-0.184</v>
      </c>
      <c r="AQ376" s="54" t="s">
        <v>166</v>
      </c>
      <c r="AR376" s="376">
        <f>(6.12-6.24)/SQRT(((77-1)*0.92^2+(AU5277-1)*0.9^2)/(77+74-2))</f>
        <v>-0.1837940479</v>
      </c>
      <c r="AS376" s="58"/>
      <c r="AT376" s="65"/>
      <c r="AU376" s="675" t="s">
        <v>131</v>
      </c>
      <c r="AV376" s="675" t="s">
        <v>131</v>
      </c>
      <c r="AW376" s="156" t="s">
        <v>131</v>
      </c>
      <c r="AX376" s="156" t="s">
        <v>144</v>
      </c>
      <c r="AY376" s="58"/>
      <c r="BC376" s="217"/>
      <c r="BD376" s="217"/>
      <c r="BE376" s="217"/>
      <c r="BF376" s="217"/>
      <c r="BG376" s="217"/>
      <c r="BH376" s="217"/>
      <c r="BI376" s="217"/>
      <c r="BJ376" s="217"/>
      <c r="BK376" s="217"/>
      <c r="BL376" s="217"/>
      <c r="BM376" s="217"/>
      <c r="BN376" s="217"/>
      <c r="BO376" s="217"/>
      <c r="BP376" s="217"/>
      <c r="BQ376" s="217"/>
      <c r="BR376" s="217"/>
      <c r="BS376" s="217"/>
      <c r="BT376" s="217"/>
      <c r="BU376" s="217"/>
      <c r="BV376" s="217"/>
      <c r="BW376" s="217"/>
      <c r="BX376" s="217"/>
      <c r="BY376" s="217"/>
      <c r="BZ376" s="217"/>
      <c r="CA376" s="217"/>
      <c r="CB376" s="217"/>
      <c r="CC376" s="217"/>
      <c r="CD376" s="217"/>
      <c r="CE376" s="217"/>
      <c r="CF376" s="217"/>
      <c r="CG376" s="217"/>
      <c r="CH376" s="217"/>
      <c r="CI376" s="217"/>
      <c r="CJ376" s="217"/>
      <c r="CK376" s="217"/>
      <c r="CL376" s="217"/>
      <c r="CM376" s="217"/>
      <c r="CN376" s="217"/>
      <c r="CO376" s="217"/>
      <c r="CP376" s="217"/>
      <c r="CQ376" s="217"/>
      <c r="CR376" s="217"/>
      <c r="CS376" s="217"/>
      <c r="CT376" s="217"/>
      <c r="CU376" s="217"/>
      <c r="CV376" s="217"/>
      <c r="CW376" s="217"/>
      <c r="CX376" s="217"/>
      <c r="CY376" s="217"/>
      <c r="CZ376" s="217"/>
      <c r="DA376" s="217"/>
      <c r="DB376" s="217"/>
      <c r="DC376" s="217"/>
      <c r="DD376" s="217"/>
      <c r="DE376" s="217"/>
      <c r="DF376" s="217"/>
      <c r="DG376" s="217"/>
      <c r="DH376" s="217"/>
    </row>
    <row r="377" ht="20.25" customHeight="1">
      <c r="A377" s="41">
        <v>377.0</v>
      </c>
      <c r="B377" s="418" t="s">
        <v>278</v>
      </c>
      <c r="C377" s="59" t="s">
        <v>108</v>
      </c>
      <c r="D377" s="59" t="s">
        <v>1803</v>
      </c>
      <c r="F377" s="700" t="s">
        <v>2062</v>
      </c>
      <c r="G377" s="54" t="s">
        <v>2063</v>
      </c>
      <c r="H377" s="54" t="s">
        <v>1804</v>
      </c>
      <c r="I377" s="149">
        <v>45460.0</v>
      </c>
      <c r="J377" s="431">
        <v>45642.0</v>
      </c>
      <c r="K377" s="54" t="s">
        <v>2075</v>
      </c>
      <c r="L377" s="58"/>
      <c r="M377" s="54" t="s">
        <v>2066</v>
      </c>
      <c r="N377" s="54" t="s">
        <v>2067</v>
      </c>
      <c r="O377" s="376">
        <v>2.0</v>
      </c>
      <c r="P377" s="374" t="str">
        <f t="shared" si="16"/>
        <v>10.1111--j.1540-5885.2010.00778.x.pdf</v>
      </c>
      <c r="Q377" s="105" t="str">
        <f t="array" ref="Q377"> if(iserror(MATCH(V377, 'File Links'!C:C, 0)), "N/A", HYPERLINK(INDEX('File Links'!B:B, MATCH(P377, 'File Links'!C:C, 0))))</f>
        <v>N/A</v>
      </c>
      <c r="R377" s="54" t="s">
        <v>2076</v>
      </c>
      <c r="S377" s="54" t="s">
        <v>2069</v>
      </c>
      <c r="T377" s="58"/>
      <c r="U377" s="706">
        <v>2.0</v>
      </c>
      <c r="V377" s="109" t="str">
        <f t="shared" si="15"/>
        <v>10.1080--02650487.2024.2362015.pdf</v>
      </c>
      <c r="W377" s="54" t="s">
        <v>2077</v>
      </c>
      <c r="X377" s="46" t="str">
        <f t="array" ref="X377"> if(iserror(MATCH(V377, 'File Links'!C:C, 0)), "N/A", HYPERLINK(INDEX('File Links'!B:B, MATCH(V377, 'File Links'!C:C, 0))))</f>
        <v>N/A</v>
      </c>
      <c r="Y377" s="58"/>
      <c r="Z377" s="54" t="s">
        <v>2072</v>
      </c>
      <c r="AA377" s="54" t="s">
        <v>2078</v>
      </c>
      <c r="AB377" s="54" t="s">
        <v>2079</v>
      </c>
      <c r="AC377" s="54" t="s">
        <v>2099</v>
      </c>
      <c r="AD377" s="54" t="s">
        <v>2081</v>
      </c>
      <c r="AE377" s="126">
        <v>27.0</v>
      </c>
      <c r="AF377" s="376">
        <v>153.0</v>
      </c>
      <c r="AG377" s="376">
        <v>-2.5</v>
      </c>
      <c r="AH377" s="336" t="s">
        <v>127</v>
      </c>
      <c r="AI377" s="54" t="s">
        <v>1881</v>
      </c>
      <c r="AJ377" s="58"/>
      <c r="AK377" s="65"/>
      <c r="AL377" s="674" t="s">
        <v>131</v>
      </c>
      <c r="AM377" s="674" t="s">
        <v>131</v>
      </c>
      <c r="AN377" s="54" t="s">
        <v>131</v>
      </c>
      <c r="AO377" s="376">
        <v>151.0</v>
      </c>
      <c r="AP377" s="376">
        <v>-0.184</v>
      </c>
      <c r="AQ377" s="54" t="s">
        <v>166</v>
      </c>
      <c r="AR377" s="376">
        <f>(6.12-6.24)/SQRT(((77-1)*0.92^2+(AU5277-1)*0.9^2)/(77+74-2))</f>
        <v>-0.1837940479</v>
      </c>
      <c r="AS377" s="58"/>
      <c r="AT377" s="65"/>
      <c r="AU377" s="675" t="s">
        <v>131</v>
      </c>
      <c r="AV377" s="675" t="s">
        <v>131</v>
      </c>
      <c r="AW377" s="156" t="s">
        <v>131</v>
      </c>
      <c r="AX377" s="156" t="s">
        <v>144</v>
      </c>
      <c r="AY377" s="58"/>
      <c r="BC377" s="217"/>
      <c r="BD377" s="217"/>
      <c r="BE377" s="217"/>
      <c r="BF377" s="217"/>
      <c r="BG377" s="217"/>
      <c r="BH377" s="217"/>
      <c r="BI377" s="217"/>
      <c r="BJ377" s="217"/>
      <c r="BK377" s="217"/>
      <c r="BL377" s="217"/>
      <c r="BM377" s="217"/>
      <c r="BN377" s="217"/>
      <c r="BO377" s="217"/>
      <c r="BP377" s="217"/>
      <c r="BQ377" s="217"/>
      <c r="BR377" s="217"/>
      <c r="BS377" s="217"/>
      <c r="BT377" s="217"/>
      <c r="BU377" s="217"/>
      <c r="BV377" s="217"/>
      <c r="BW377" s="217"/>
      <c r="BX377" s="217"/>
      <c r="BY377" s="217"/>
      <c r="BZ377" s="217"/>
      <c r="CA377" s="217"/>
      <c r="CB377" s="217"/>
      <c r="CC377" s="217"/>
      <c r="CD377" s="217"/>
      <c r="CE377" s="217"/>
      <c r="CF377" s="217"/>
      <c r="CG377" s="217"/>
      <c r="CH377" s="217"/>
      <c r="CI377" s="217"/>
      <c r="CJ377" s="217"/>
      <c r="CK377" s="217"/>
      <c r="CL377" s="217"/>
      <c r="CM377" s="217"/>
      <c r="CN377" s="217"/>
      <c r="CO377" s="217"/>
      <c r="CP377" s="217"/>
      <c r="CQ377" s="217"/>
      <c r="CR377" s="217"/>
      <c r="CS377" s="217"/>
      <c r="CT377" s="217"/>
      <c r="CU377" s="217"/>
      <c r="CV377" s="217"/>
      <c r="CW377" s="217"/>
      <c r="CX377" s="217"/>
      <c r="CY377" s="217"/>
      <c r="CZ377" s="217"/>
      <c r="DA377" s="217"/>
      <c r="DB377" s="217"/>
      <c r="DC377" s="217"/>
      <c r="DD377" s="217"/>
      <c r="DE377" s="217"/>
      <c r="DF377" s="217"/>
      <c r="DG377" s="217"/>
      <c r="DH377" s="217"/>
    </row>
    <row r="378" ht="20.25" customHeight="1">
      <c r="A378" s="41">
        <v>378.0</v>
      </c>
      <c r="B378" s="418" t="s">
        <v>278</v>
      </c>
      <c r="C378" s="59" t="s">
        <v>108</v>
      </c>
      <c r="D378" s="59" t="s">
        <v>1803</v>
      </c>
      <c r="F378" s="700" t="s">
        <v>2062</v>
      </c>
      <c r="G378" s="54" t="s">
        <v>2063</v>
      </c>
      <c r="H378" s="54" t="s">
        <v>1804</v>
      </c>
      <c r="I378" s="149">
        <v>45460.0</v>
      </c>
      <c r="J378" s="431">
        <v>45642.0</v>
      </c>
      <c r="K378" s="54" t="s">
        <v>2088</v>
      </c>
      <c r="L378" s="58"/>
      <c r="M378" s="54" t="s">
        <v>2066</v>
      </c>
      <c r="N378" s="54" t="s">
        <v>2067</v>
      </c>
      <c r="O378" s="376">
        <v>2.0</v>
      </c>
      <c r="P378" s="374" t="str">
        <f t="shared" si="16"/>
        <v>10.1111--j.1540-5885.2010.00778.x.pdf</v>
      </c>
      <c r="Q378" s="105" t="str">
        <f t="array" ref="Q378"> if(iserror(MATCH(V378, 'File Links'!C:C, 0)), "N/A", HYPERLINK(INDEX('File Links'!B:B, MATCH(P378, 'File Links'!C:C, 0))))</f>
        <v>N/A</v>
      </c>
      <c r="R378" s="54" t="s">
        <v>2076</v>
      </c>
      <c r="S378" s="54" t="s">
        <v>2069</v>
      </c>
      <c r="T378" s="58"/>
      <c r="U378" s="706">
        <v>2.0</v>
      </c>
      <c r="V378" s="109" t="str">
        <f t="shared" si="15"/>
        <v>10.1080--02650487.2024.2362015.pdf</v>
      </c>
      <c r="W378" s="54" t="s">
        <v>2077</v>
      </c>
      <c r="X378" s="46" t="str">
        <f t="array" ref="X378"> if(iserror(MATCH(V378, 'File Links'!C:C, 0)), "N/A", HYPERLINK(INDEX('File Links'!B:B, MATCH(V378, 'File Links'!C:C, 0))))</f>
        <v>N/A</v>
      </c>
      <c r="Y378" s="58"/>
      <c r="Z378" s="54" t="s">
        <v>2072</v>
      </c>
      <c r="AA378" s="54" t="s">
        <v>2078</v>
      </c>
      <c r="AB378" s="54" t="s">
        <v>2079</v>
      </c>
      <c r="AC378" s="54" t="s">
        <v>2100</v>
      </c>
      <c r="AD378" s="54" t="s">
        <v>2090</v>
      </c>
      <c r="AE378" s="126">
        <v>27.0</v>
      </c>
      <c r="AF378" s="376">
        <v>92.0</v>
      </c>
      <c r="AG378" s="58"/>
      <c r="AH378" s="335"/>
      <c r="AI378" s="58"/>
      <c r="AJ378" s="376">
        <v>0.1</v>
      </c>
      <c r="AK378" s="156" t="s">
        <v>128</v>
      </c>
      <c r="AL378" s="674" t="s">
        <v>131</v>
      </c>
      <c r="AM378" s="674" t="s">
        <v>131</v>
      </c>
      <c r="AN378" s="54" t="s">
        <v>131</v>
      </c>
      <c r="AO378" s="376">
        <v>151.0</v>
      </c>
      <c r="AP378" s="376">
        <v>-0.118</v>
      </c>
      <c r="AQ378" s="54" t="s">
        <v>166</v>
      </c>
      <c r="AR378" s="376">
        <f t="shared" ref="AR378:AR380" si="21">(6.13-6.23)/SQRT(((77-1)*0.82^2+(74-1)*0.87^2)/(77+74-2))</f>
        <v>-0.1183619012</v>
      </c>
      <c r="AS378" s="58"/>
      <c r="AT378" s="65"/>
      <c r="AU378" s="675" t="s">
        <v>131</v>
      </c>
      <c r="AV378" s="675" t="s">
        <v>131</v>
      </c>
      <c r="AW378" s="156" t="s">
        <v>131</v>
      </c>
      <c r="AX378" s="156" t="s">
        <v>144</v>
      </c>
      <c r="AY378" s="58"/>
      <c r="BC378" s="217"/>
      <c r="BD378" s="217"/>
      <c r="BE378" s="217"/>
      <c r="BF378" s="217"/>
      <c r="BG378" s="217"/>
      <c r="BH378" s="217"/>
      <c r="BI378" s="217"/>
      <c r="BJ378" s="217"/>
      <c r="BK378" s="217"/>
      <c r="BL378" s="217"/>
      <c r="BM378" s="217"/>
      <c r="BN378" s="217"/>
      <c r="BO378" s="217"/>
      <c r="BP378" s="217"/>
      <c r="BQ378" s="217"/>
      <c r="BR378" s="217"/>
      <c r="BS378" s="217"/>
      <c r="BT378" s="217"/>
      <c r="BU378" s="217"/>
      <c r="BV378" s="217"/>
      <c r="BW378" s="217"/>
      <c r="BX378" s="217"/>
      <c r="BY378" s="217"/>
      <c r="BZ378" s="217"/>
      <c r="CA378" s="217"/>
      <c r="CB378" s="217"/>
      <c r="CC378" s="217"/>
      <c r="CD378" s="217"/>
      <c r="CE378" s="217"/>
      <c r="CF378" s="217"/>
      <c r="CG378" s="217"/>
      <c r="CH378" s="217"/>
      <c r="CI378" s="217"/>
      <c r="CJ378" s="217"/>
      <c r="CK378" s="217"/>
      <c r="CL378" s="217"/>
      <c r="CM378" s="217"/>
      <c r="CN378" s="217"/>
      <c r="CO378" s="217"/>
      <c r="CP378" s="217"/>
      <c r="CQ378" s="217"/>
      <c r="CR378" s="217"/>
      <c r="CS378" s="217"/>
      <c r="CT378" s="217"/>
      <c r="CU378" s="217"/>
      <c r="CV378" s="217"/>
      <c r="CW378" s="217"/>
      <c r="CX378" s="217"/>
      <c r="CY378" s="217"/>
      <c r="CZ378" s="217"/>
      <c r="DA378" s="217"/>
      <c r="DB378" s="217"/>
      <c r="DC378" s="217"/>
      <c r="DD378" s="217"/>
      <c r="DE378" s="217"/>
      <c r="DF378" s="217"/>
      <c r="DG378" s="217"/>
      <c r="DH378" s="217"/>
    </row>
    <row r="379" ht="20.25" customHeight="1">
      <c r="A379" s="41">
        <v>379.0</v>
      </c>
      <c r="B379" s="418" t="s">
        <v>278</v>
      </c>
      <c r="C379" s="59" t="s">
        <v>108</v>
      </c>
      <c r="D379" s="59" t="s">
        <v>1803</v>
      </c>
      <c r="F379" s="700" t="s">
        <v>2062</v>
      </c>
      <c r="G379" s="54" t="s">
        <v>2063</v>
      </c>
      <c r="H379" s="54" t="s">
        <v>1804</v>
      </c>
      <c r="I379" s="149">
        <v>45460.0</v>
      </c>
      <c r="J379" s="431">
        <v>45642.0</v>
      </c>
      <c r="K379" s="54" t="s">
        <v>2088</v>
      </c>
      <c r="L379" s="58"/>
      <c r="M379" s="54" t="s">
        <v>2066</v>
      </c>
      <c r="N379" s="54" t="s">
        <v>2067</v>
      </c>
      <c r="O379" s="376">
        <v>2.0</v>
      </c>
      <c r="P379" s="374" t="str">
        <f t="shared" si="16"/>
        <v>10.1111--j.1540-5885.2010.00778.x.pdf</v>
      </c>
      <c r="Q379" s="105" t="str">
        <f t="array" ref="Q379"> if(iserror(MATCH(V379, 'File Links'!C:C, 0)), "N/A", HYPERLINK(INDEX('File Links'!B:B, MATCH(P379, 'File Links'!C:C, 0))))</f>
        <v>N/A</v>
      </c>
      <c r="R379" s="54" t="s">
        <v>2076</v>
      </c>
      <c r="S379" s="54" t="s">
        <v>2069</v>
      </c>
      <c r="T379" s="58"/>
      <c r="U379" s="706">
        <v>2.0</v>
      </c>
      <c r="V379" s="109" t="str">
        <f t="shared" si="15"/>
        <v>10.1080--02650487.2024.2362015.pdf</v>
      </c>
      <c r="W379" s="54" t="s">
        <v>2077</v>
      </c>
      <c r="X379" s="46" t="str">
        <f t="array" ref="X379"> if(iserror(MATCH(V379, 'File Links'!C:C, 0)), "N/A", HYPERLINK(INDEX('File Links'!B:B, MATCH(V379, 'File Links'!C:C, 0))))</f>
        <v>N/A</v>
      </c>
      <c r="Y379" s="58"/>
      <c r="Z379" s="54" t="s">
        <v>2072</v>
      </c>
      <c r="AA379" s="54" t="s">
        <v>2078</v>
      </c>
      <c r="AB379" s="54" t="s">
        <v>2079</v>
      </c>
      <c r="AC379" s="54" t="s">
        <v>2101</v>
      </c>
      <c r="AD379" s="54" t="s">
        <v>2092</v>
      </c>
      <c r="AE379" s="126">
        <v>27.0</v>
      </c>
      <c r="AF379" s="376">
        <v>158.0</v>
      </c>
      <c r="AG379" s="58"/>
      <c r="AH379" s="335"/>
      <c r="AI379" s="58"/>
      <c r="AJ379" s="376">
        <v>0.001</v>
      </c>
      <c r="AK379" s="156" t="s">
        <v>128</v>
      </c>
      <c r="AL379" s="674" t="s">
        <v>131</v>
      </c>
      <c r="AM379" s="674" t="s">
        <v>131</v>
      </c>
      <c r="AN379" s="54" t="s">
        <v>131</v>
      </c>
      <c r="AO379" s="376">
        <v>151.0</v>
      </c>
      <c r="AP379" s="376">
        <v>-0.118</v>
      </c>
      <c r="AQ379" s="54" t="s">
        <v>166</v>
      </c>
      <c r="AR379" s="376">
        <f t="shared" si="21"/>
        <v>-0.1183619012</v>
      </c>
      <c r="AS379" s="58"/>
      <c r="AT379" s="65"/>
      <c r="AU379" s="675" t="s">
        <v>131</v>
      </c>
      <c r="AV379" s="675" t="s">
        <v>131</v>
      </c>
      <c r="AW379" s="156" t="s">
        <v>131</v>
      </c>
      <c r="AX379" s="156" t="s">
        <v>144</v>
      </c>
      <c r="AY379" s="58"/>
      <c r="BC379" s="217"/>
      <c r="BD379" s="217"/>
      <c r="BE379" s="217"/>
      <c r="BF379" s="217"/>
      <c r="BG379" s="217"/>
      <c r="BH379" s="217"/>
      <c r="BI379" s="217"/>
      <c r="BJ379" s="217"/>
      <c r="BK379" s="217"/>
      <c r="BL379" s="217"/>
      <c r="BM379" s="217"/>
      <c r="BN379" s="217"/>
      <c r="BO379" s="217"/>
      <c r="BP379" s="217"/>
      <c r="BQ379" s="217"/>
      <c r="BR379" s="217"/>
      <c r="BS379" s="217"/>
      <c r="BT379" s="217"/>
      <c r="BU379" s="217"/>
      <c r="BV379" s="217"/>
      <c r="BW379" s="217"/>
      <c r="BX379" s="217"/>
      <c r="BY379" s="217"/>
      <c r="BZ379" s="217"/>
      <c r="CA379" s="217"/>
      <c r="CB379" s="217"/>
      <c r="CC379" s="217"/>
      <c r="CD379" s="217"/>
      <c r="CE379" s="217"/>
      <c r="CF379" s="217"/>
      <c r="CG379" s="217"/>
      <c r="CH379" s="217"/>
      <c r="CI379" s="217"/>
      <c r="CJ379" s="217"/>
      <c r="CK379" s="217"/>
      <c r="CL379" s="217"/>
      <c r="CM379" s="217"/>
      <c r="CN379" s="217"/>
      <c r="CO379" s="217"/>
      <c r="CP379" s="217"/>
      <c r="CQ379" s="217"/>
      <c r="CR379" s="217"/>
      <c r="CS379" s="217"/>
      <c r="CT379" s="217"/>
      <c r="CU379" s="217"/>
      <c r="CV379" s="217"/>
      <c r="CW379" s="217"/>
      <c r="CX379" s="217"/>
      <c r="CY379" s="217"/>
      <c r="CZ379" s="217"/>
      <c r="DA379" s="217"/>
      <c r="DB379" s="217"/>
      <c r="DC379" s="217"/>
      <c r="DD379" s="217"/>
      <c r="DE379" s="217"/>
      <c r="DF379" s="217"/>
      <c r="DG379" s="217"/>
      <c r="DH379" s="217"/>
    </row>
    <row r="380" ht="20.25" customHeight="1">
      <c r="A380" s="41">
        <v>380.0</v>
      </c>
      <c r="B380" s="418" t="s">
        <v>278</v>
      </c>
      <c r="C380" s="59" t="s">
        <v>108</v>
      </c>
      <c r="D380" s="59" t="s">
        <v>1803</v>
      </c>
      <c r="F380" s="700" t="s">
        <v>2062</v>
      </c>
      <c r="G380" s="54" t="s">
        <v>2063</v>
      </c>
      <c r="H380" s="54" t="s">
        <v>1804</v>
      </c>
      <c r="I380" s="149">
        <v>45460.0</v>
      </c>
      <c r="J380" s="431">
        <v>45642.0</v>
      </c>
      <c r="K380" s="54" t="s">
        <v>2088</v>
      </c>
      <c r="L380" s="58"/>
      <c r="M380" s="54" t="s">
        <v>2066</v>
      </c>
      <c r="N380" s="54" t="s">
        <v>2067</v>
      </c>
      <c r="O380" s="376">
        <v>2.0</v>
      </c>
      <c r="P380" s="374" t="str">
        <f t="shared" si="16"/>
        <v>10.1111--j.1540-5885.2010.00778.x.pdf</v>
      </c>
      <c r="Q380" s="105" t="str">
        <f t="array" ref="Q380"> if(iserror(MATCH(V380, 'File Links'!C:C, 0)), "N/A", HYPERLINK(INDEX('File Links'!B:B, MATCH(P380, 'File Links'!C:C, 0))))</f>
        <v>N/A</v>
      </c>
      <c r="R380" s="54" t="s">
        <v>2076</v>
      </c>
      <c r="S380" s="54" t="s">
        <v>2069</v>
      </c>
      <c r="T380" s="58"/>
      <c r="U380" s="706">
        <v>2.0</v>
      </c>
      <c r="V380" s="109" t="str">
        <f t="shared" si="15"/>
        <v>10.1080--02650487.2024.2362015.pdf</v>
      </c>
      <c r="W380" s="54" t="s">
        <v>2077</v>
      </c>
      <c r="X380" s="46" t="str">
        <f t="array" ref="X380"> if(iserror(MATCH(V380, 'File Links'!C:C, 0)), "N/A", HYPERLINK(INDEX('File Links'!B:B, MATCH(V380, 'File Links'!C:C, 0))))</f>
        <v>N/A</v>
      </c>
      <c r="Y380" s="58"/>
      <c r="Z380" s="54" t="s">
        <v>2072</v>
      </c>
      <c r="AA380" s="54" t="s">
        <v>2078</v>
      </c>
      <c r="AB380" s="54" t="s">
        <v>2079</v>
      </c>
      <c r="AC380" s="54" t="s">
        <v>2102</v>
      </c>
      <c r="AD380" s="54" t="s">
        <v>2094</v>
      </c>
      <c r="AE380" s="126">
        <v>27.0</v>
      </c>
      <c r="AF380" s="376">
        <v>153.0</v>
      </c>
      <c r="AG380" s="58"/>
      <c r="AH380" s="335"/>
      <c r="AI380" s="58"/>
      <c r="AJ380" s="376">
        <v>0.001</v>
      </c>
      <c r="AK380" s="156" t="s">
        <v>128</v>
      </c>
      <c r="AL380" s="674" t="s">
        <v>131</v>
      </c>
      <c r="AM380" s="674" t="s">
        <v>131</v>
      </c>
      <c r="AN380" s="54" t="s">
        <v>131</v>
      </c>
      <c r="AO380" s="376">
        <v>151.0</v>
      </c>
      <c r="AP380" s="376">
        <v>-0.118</v>
      </c>
      <c r="AQ380" s="54" t="s">
        <v>166</v>
      </c>
      <c r="AR380" s="376">
        <f t="shared" si="21"/>
        <v>-0.1183619012</v>
      </c>
      <c r="AS380" s="58"/>
      <c r="AT380" s="65"/>
      <c r="AU380" s="675" t="s">
        <v>131</v>
      </c>
      <c r="AV380" s="675" t="s">
        <v>131</v>
      </c>
      <c r="AW380" s="156" t="s">
        <v>131</v>
      </c>
      <c r="AX380" s="156" t="s">
        <v>144</v>
      </c>
      <c r="AY380" s="58"/>
      <c r="BC380" s="217"/>
      <c r="BD380" s="217"/>
      <c r="BE380" s="217"/>
      <c r="BF380" s="217"/>
      <c r="BG380" s="217"/>
      <c r="BH380" s="217"/>
      <c r="BI380" s="217"/>
      <c r="BJ380" s="217"/>
      <c r="BK380" s="217"/>
      <c r="BL380" s="217"/>
      <c r="BM380" s="217"/>
      <c r="BN380" s="217"/>
      <c r="BO380" s="217"/>
      <c r="BP380" s="217"/>
      <c r="BQ380" s="217"/>
      <c r="BR380" s="217"/>
      <c r="BS380" s="217"/>
      <c r="BT380" s="217"/>
      <c r="BU380" s="217"/>
      <c r="BV380" s="217"/>
      <c r="BW380" s="217"/>
      <c r="BX380" s="217"/>
      <c r="BY380" s="217"/>
      <c r="BZ380" s="217"/>
      <c r="CA380" s="217"/>
      <c r="CB380" s="217"/>
      <c r="CC380" s="217"/>
      <c r="CD380" s="217"/>
      <c r="CE380" s="217"/>
      <c r="CF380" s="217"/>
      <c r="CG380" s="217"/>
      <c r="CH380" s="217"/>
      <c r="CI380" s="217"/>
      <c r="CJ380" s="217"/>
      <c r="CK380" s="217"/>
      <c r="CL380" s="217"/>
      <c r="CM380" s="217"/>
      <c r="CN380" s="217"/>
      <c r="CO380" s="217"/>
      <c r="CP380" s="217"/>
      <c r="CQ380" s="217"/>
      <c r="CR380" s="217"/>
      <c r="CS380" s="217"/>
      <c r="CT380" s="217"/>
      <c r="CU380" s="217"/>
      <c r="CV380" s="217"/>
      <c r="CW380" s="217"/>
      <c r="CX380" s="217"/>
      <c r="CY380" s="217"/>
      <c r="CZ380" s="217"/>
      <c r="DA380" s="217"/>
      <c r="DB380" s="217"/>
      <c r="DC380" s="217"/>
      <c r="DD380" s="217"/>
      <c r="DE380" s="217"/>
      <c r="DF380" s="217"/>
      <c r="DG380" s="217"/>
      <c r="DH380" s="217"/>
    </row>
    <row r="381" ht="20.25" customHeight="1">
      <c r="A381" s="41">
        <v>381.0</v>
      </c>
      <c r="B381" s="665" t="s">
        <v>145</v>
      </c>
      <c r="C381" s="665" t="s">
        <v>108</v>
      </c>
      <c r="D381" s="121" t="s">
        <v>1434</v>
      </c>
      <c r="E381" s="104"/>
      <c r="F381" s="220" t="s">
        <v>2103</v>
      </c>
      <c r="G381" s="123" t="s">
        <v>2104</v>
      </c>
      <c r="H381" s="123" t="s">
        <v>1533</v>
      </c>
      <c r="I381" s="565">
        <v>45640.0</v>
      </c>
      <c r="J381" s="566">
        <v>45671.0</v>
      </c>
      <c r="K381" s="123" t="s">
        <v>2105</v>
      </c>
      <c r="L381" s="209" t="s">
        <v>2106</v>
      </c>
      <c r="M381" s="123" t="s">
        <v>2107</v>
      </c>
      <c r="N381" s="123" t="s">
        <v>2108</v>
      </c>
      <c r="O381" s="216">
        <v>1.0</v>
      </c>
      <c r="P381" s="220" t="str">
        <f>SUBSTITUTE(LOWER(N381), "/", "--") &amp;  ".pdf"</f>
        <v>10.1089--cyber.2015.0311.pdf</v>
      </c>
      <c r="Q381" s="49" t="str">
        <f t="array" ref="Q381"> if(iserror(MATCH(V381, 'File Links'!C:C, 0)), "N/A", HYPERLINK(INDEX('File Links'!B:B, MATCH(P381, 'File Links'!C:C, 0))))</f>
        <v>https://drive.google.com/file/d/1UOcUsx-QUxFrulQIBnkUuR_13YgQP2Vd/view?usp=drivesdk</v>
      </c>
      <c r="R381" s="123" t="s">
        <v>2109</v>
      </c>
      <c r="S381" s="123" t="s">
        <v>2110</v>
      </c>
      <c r="T381" s="129"/>
      <c r="U381" s="144">
        <v>1.0</v>
      </c>
      <c r="V381" s="109" t="str">
        <f t="shared" si="15"/>
        <v>10.1016--j.bbr.2024.115096.pdf</v>
      </c>
      <c r="W381" s="584" t="s">
        <v>1679</v>
      </c>
      <c r="X381" s="51" t="str">
        <f t="array" ref="X381"> if(iserror(MATCH(V381, 'File Links'!C:C, 0)), "N/A", HYPERLINK(INDEX('File Links'!B:B, MATCH(V381, 'File Links'!C:C, 0))))</f>
        <v>https://drive.google.com/file/d/1mK6ddl6CbjItWRFtU_KkouJP0UM3gV-6/view?usp=drivesdk</v>
      </c>
      <c r="Y381" s="129"/>
      <c r="Z381" s="123" t="s">
        <v>141</v>
      </c>
      <c r="AA381" s="123" t="s">
        <v>2111</v>
      </c>
      <c r="AB381" s="123" t="s">
        <v>2112</v>
      </c>
      <c r="AC381" s="123" t="s">
        <v>2113</v>
      </c>
      <c r="AD381" s="116" t="s">
        <v>2114</v>
      </c>
      <c r="AE381" s="127">
        <v>3.0</v>
      </c>
      <c r="AF381" s="127">
        <v>20.0</v>
      </c>
      <c r="AG381" s="127">
        <v>0.19</v>
      </c>
      <c r="AH381" s="315" t="s">
        <v>132</v>
      </c>
      <c r="AI381" s="216">
        <v>3.0</v>
      </c>
      <c r="AJ381" s="127">
        <v>0.05</v>
      </c>
      <c r="AK381" s="122" t="s">
        <v>165</v>
      </c>
      <c r="AL381" s="129" t="s">
        <v>179</v>
      </c>
      <c r="AM381" s="129" t="s">
        <v>134</v>
      </c>
      <c r="AN381" s="216" t="s">
        <v>131</v>
      </c>
      <c r="AO381" s="127">
        <v>27.0</v>
      </c>
      <c r="AP381" s="216" t="s">
        <v>2115</v>
      </c>
      <c r="AQ381" s="123" t="s">
        <v>127</v>
      </c>
      <c r="AR381" s="123" t="s">
        <v>875</v>
      </c>
      <c r="AS381" s="127">
        <v>0.999</v>
      </c>
      <c r="AT381" s="122" t="s">
        <v>328</v>
      </c>
      <c r="AU381" s="122" t="s">
        <v>179</v>
      </c>
      <c r="AV381" s="122" t="s">
        <v>134</v>
      </c>
      <c r="AW381" s="216" t="s">
        <v>131</v>
      </c>
      <c r="AX381" s="707" t="s">
        <v>431</v>
      </c>
      <c r="AY381" s="126" t="s">
        <v>2116</v>
      </c>
      <c r="AZ381" s="121" t="s">
        <v>137</v>
      </c>
      <c r="BA381" s="104"/>
      <c r="BB381" s="104"/>
      <c r="BC381" s="104"/>
      <c r="BD381" s="104"/>
      <c r="BE381" s="104"/>
      <c r="BF381" s="104"/>
      <c r="BG381" s="104"/>
      <c r="BH381" s="104"/>
      <c r="BI381" s="104"/>
      <c r="BJ381" s="104"/>
      <c r="BK381" s="104"/>
      <c r="BL381" s="104"/>
      <c r="BM381" s="104"/>
      <c r="BN381" s="104"/>
      <c r="BO381" s="104"/>
      <c r="BP381" s="104"/>
      <c r="BQ381" s="104"/>
      <c r="BR381" s="104"/>
      <c r="BS381" s="104"/>
      <c r="BT381" s="104"/>
      <c r="BU381" s="104"/>
      <c r="BV381" s="104"/>
      <c r="BW381" s="104"/>
      <c r="BX381" s="104"/>
      <c r="BY381" s="104"/>
      <c r="BZ381" s="104"/>
      <c r="CA381" s="104"/>
      <c r="CB381" s="104"/>
      <c r="CC381" s="104"/>
      <c r="CD381" s="104"/>
      <c r="CE381" s="104"/>
      <c r="CF381" s="104"/>
      <c r="CG381" s="104"/>
      <c r="CH381" s="104"/>
      <c r="CI381" s="104"/>
      <c r="CJ381" s="104"/>
      <c r="CK381" s="104"/>
      <c r="CL381" s="104"/>
      <c r="CM381" s="104"/>
      <c r="CN381" s="104"/>
      <c r="CO381" s="104"/>
      <c r="CP381" s="104"/>
      <c r="CQ381" s="104"/>
      <c r="CR381" s="104"/>
      <c r="CS381" s="104"/>
      <c r="CT381" s="104"/>
      <c r="CU381" s="104"/>
      <c r="CV381" s="104"/>
      <c r="CW381" s="104"/>
      <c r="CX381" s="104"/>
      <c r="CY381" s="104"/>
      <c r="CZ381" s="104"/>
      <c r="DA381" s="104"/>
      <c r="DB381" s="104"/>
      <c r="DC381" s="104"/>
      <c r="DD381" s="104"/>
      <c r="DE381" s="104"/>
      <c r="DF381" s="104"/>
      <c r="DG381" s="104"/>
      <c r="DH381" s="104"/>
    </row>
    <row r="382" ht="20.25" customHeight="1">
      <c r="A382" s="41">
        <v>382.0</v>
      </c>
      <c r="B382" s="146" t="s">
        <v>107</v>
      </c>
      <c r="C382" s="146" t="s">
        <v>108</v>
      </c>
      <c r="D382" s="146" t="s">
        <v>1803</v>
      </c>
      <c r="E382" s="69"/>
      <c r="F382" s="119" t="s">
        <v>2103</v>
      </c>
      <c r="G382" s="109" t="s">
        <v>2104</v>
      </c>
      <c r="H382" s="109" t="s">
        <v>1804</v>
      </c>
      <c r="I382" s="110">
        <v>45642.0</v>
      </c>
      <c r="J382" s="566">
        <v>45671.0</v>
      </c>
      <c r="K382" s="111"/>
      <c r="L382" s="209" t="s">
        <v>2117</v>
      </c>
      <c r="M382" s="109" t="s">
        <v>2107</v>
      </c>
      <c r="N382" s="109" t="s">
        <v>2108</v>
      </c>
      <c r="O382" s="111"/>
      <c r="P382" s="118" t="str">
        <f t="shared" ref="P382:P385" si="22"> SUBSTITUTE(lower(N382), "/", "--") &amp;  ".pdf"</f>
        <v>10.1089--cyber.2015.0311.pdf</v>
      </c>
      <c r="Q382" s="49" t="str">
        <f t="array" ref="Q382"> if(iserror(MATCH(V382, 'File Links'!C:C, 0)), "N/A", HYPERLINK(INDEX('File Links'!B:B, MATCH(P382, 'File Links'!C:C, 0))))</f>
        <v>https://drive.google.com/file/d/1UOcUsx-QUxFrulQIBnkUuR_13YgQP2Vd/view?usp=drivesdk</v>
      </c>
      <c r="R382" s="109" t="s">
        <v>2109</v>
      </c>
      <c r="S382" s="109" t="s">
        <v>2110</v>
      </c>
      <c r="T382" s="111"/>
      <c r="U382" s="117"/>
      <c r="V382" s="109" t="str">
        <f t="shared" si="15"/>
        <v>10.1016--j.bbr.2024.115096.pdf</v>
      </c>
      <c r="W382" s="109" t="s">
        <v>2118</v>
      </c>
      <c r="X382" s="51" t="str">
        <f t="array" ref="X382"> if(iserror(MATCH(V382, 'File Links'!C:C, 0)), "N/A", HYPERLINK(INDEX('File Links'!B:B, MATCH(V382, 'File Links'!C:C, 0))))</f>
        <v>https://drive.google.com/file/d/1mK6ddl6CbjItWRFtU_KkouJP0UM3gV-6/view?usp=drivesdk</v>
      </c>
      <c r="Y382" s="111"/>
      <c r="Z382" s="109" t="s">
        <v>831</v>
      </c>
      <c r="AA382" s="109" t="s">
        <v>1764</v>
      </c>
      <c r="AB382" s="109" t="s">
        <v>2119</v>
      </c>
      <c r="AC382" s="109" t="s">
        <v>2120</v>
      </c>
      <c r="AD382" s="111"/>
      <c r="AE382" s="111"/>
      <c r="AF382" s="114">
        <v>23.0</v>
      </c>
      <c r="AG382" s="114">
        <v>4.32</v>
      </c>
      <c r="AH382" s="118" t="s">
        <v>1024</v>
      </c>
      <c r="AI382" s="109" t="s">
        <v>500</v>
      </c>
      <c r="AJ382" s="114">
        <v>0.05</v>
      </c>
      <c r="AK382" s="119" t="s">
        <v>165</v>
      </c>
      <c r="AL382" s="708" t="s">
        <v>131</v>
      </c>
      <c r="AM382" s="708" t="s">
        <v>131</v>
      </c>
      <c r="AN382" s="109" t="s">
        <v>131</v>
      </c>
      <c r="AO382" s="114">
        <v>27.0</v>
      </c>
      <c r="AP382" s="709" t="s">
        <v>2121</v>
      </c>
      <c r="AQ382" s="109" t="s">
        <v>127</v>
      </c>
      <c r="AR382" s="109" t="s">
        <v>875</v>
      </c>
      <c r="AS382" s="114">
        <v>0.999</v>
      </c>
      <c r="AT382" s="119" t="s">
        <v>2122</v>
      </c>
      <c r="AU382" s="710" t="s">
        <v>131</v>
      </c>
      <c r="AV382" s="710" t="s">
        <v>131</v>
      </c>
      <c r="AW382" s="119" t="s">
        <v>131</v>
      </c>
      <c r="AX382" s="119" t="s">
        <v>431</v>
      </c>
      <c r="AY382" s="126" t="s">
        <v>2117</v>
      </c>
      <c r="AZ382" s="121" t="s">
        <v>137</v>
      </c>
      <c r="BA382" s="225"/>
      <c r="BB382" s="225"/>
      <c r="BC382" s="225"/>
      <c r="BD382" s="225"/>
      <c r="BE382" s="225"/>
      <c r="BF382" s="225"/>
      <c r="BG382" s="225"/>
      <c r="BH382" s="225"/>
      <c r="BI382" s="225"/>
      <c r="BJ382" s="225"/>
      <c r="BK382" s="225"/>
      <c r="BL382" s="225"/>
      <c r="BM382" s="225"/>
      <c r="BN382" s="225"/>
      <c r="BO382" s="225"/>
      <c r="BP382" s="225"/>
      <c r="BQ382" s="225"/>
      <c r="BR382" s="225"/>
      <c r="BS382" s="225"/>
      <c r="BT382" s="225"/>
      <c r="BU382" s="225"/>
      <c r="BV382" s="225"/>
      <c r="BW382" s="225"/>
      <c r="BX382" s="225"/>
      <c r="BY382" s="225"/>
      <c r="BZ382" s="225"/>
      <c r="CA382" s="225"/>
      <c r="CB382" s="225"/>
      <c r="CC382" s="225"/>
      <c r="CD382" s="225"/>
      <c r="CE382" s="225"/>
      <c r="CF382" s="225"/>
      <c r="CG382" s="225"/>
      <c r="CH382" s="225"/>
      <c r="CI382" s="225"/>
      <c r="CJ382" s="225"/>
      <c r="CK382" s="225"/>
      <c r="CL382" s="225"/>
      <c r="CM382" s="225"/>
      <c r="CN382" s="225"/>
      <c r="CO382" s="225"/>
      <c r="CP382" s="225"/>
      <c r="CQ382" s="225"/>
      <c r="CR382" s="225"/>
      <c r="CS382" s="225"/>
      <c r="CT382" s="225"/>
      <c r="CU382" s="225"/>
      <c r="CV382" s="225"/>
      <c r="CW382" s="225"/>
      <c r="CX382" s="225"/>
      <c r="CY382" s="225"/>
      <c r="CZ382" s="225"/>
      <c r="DA382" s="225"/>
      <c r="DB382" s="225"/>
      <c r="DC382" s="225"/>
      <c r="DD382" s="225"/>
      <c r="DE382" s="225"/>
      <c r="DF382" s="225"/>
      <c r="DG382" s="225"/>
      <c r="DH382" s="225"/>
    </row>
    <row r="383" ht="20.25" customHeight="1">
      <c r="A383" s="41">
        <v>383.0</v>
      </c>
      <c r="B383" s="146" t="s">
        <v>107</v>
      </c>
      <c r="C383" s="146" t="s">
        <v>108</v>
      </c>
      <c r="D383" s="146" t="s">
        <v>1803</v>
      </c>
      <c r="E383" s="69"/>
      <c r="F383" s="119" t="s">
        <v>2103</v>
      </c>
      <c r="G383" s="109" t="s">
        <v>2104</v>
      </c>
      <c r="H383" s="109" t="s">
        <v>1804</v>
      </c>
      <c r="I383" s="110">
        <v>45642.0</v>
      </c>
      <c r="J383" s="566">
        <v>45671.0</v>
      </c>
      <c r="K383" s="111"/>
      <c r="L383" s="111"/>
      <c r="M383" s="109" t="s">
        <v>2107</v>
      </c>
      <c r="N383" s="109" t="s">
        <v>2108</v>
      </c>
      <c r="O383" s="111"/>
      <c r="P383" s="118" t="str">
        <f t="shared" si="22"/>
        <v>10.1089--cyber.2015.0311.pdf</v>
      </c>
      <c r="Q383" s="49" t="str">
        <f t="array" ref="Q383"> if(iserror(MATCH(V383, 'File Links'!C:C, 0)), "N/A", HYPERLINK(INDEX('File Links'!B:B, MATCH(P383, 'File Links'!C:C, 0))))</f>
        <v>https://drive.google.com/file/d/1UOcUsx-QUxFrulQIBnkUuR_13YgQP2Vd/view?usp=drivesdk</v>
      </c>
      <c r="R383" s="109" t="s">
        <v>2109</v>
      </c>
      <c r="S383" s="109" t="s">
        <v>2110</v>
      </c>
      <c r="T383" s="111"/>
      <c r="U383" s="117"/>
      <c r="V383" s="109" t="str">
        <f t="shared" si="15"/>
        <v>10.1016--j.bbr.2024.115096.pdf</v>
      </c>
      <c r="W383" s="109" t="s">
        <v>2118</v>
      </c>
      <c r="X383" s="51" t="str">
        <f t="array" ref="X383"> if(iserror(MATCH(V383, 'File Links'!C:C, 0)), "N/A", HYPERLINK(INDEX('File Links'!B:B, MATCH(V383, 'File Links'!C:C, 0))))</f>
        <v>https://drive.google.com/file/d/1mK6ddl6CbjItWRFtU_KkouJP0UM3gV-6/view?usp=drivesdk</v>
      </c>
      <c r="Y383" s="111"/>
      <c r="Z383" s="109" t="s">
        <v>831</v>
      </c>
      <c r="AA383" s="109" t="s">
        <v>1764</v>
      </c>
      <c r="AB383" s="109" t="s">
        <v>2119</v>
      </c>
      <c r="AC383" s="109" t="s">
        <v>2120</v>
      </c>
      <c r="AD383" s="111"/>
      <c r="AE383" s="111"/>
      <c r="AF383" s="114">
        <v>23.0</v>
      </c>
      <c r="AG383" s="114">
        <v>12.9</v>
      </c>
      <c r="AH383" s="118" t="s">
        <v>1024</v>
      </c>
      <c r="AI383" s="109" t="s">
        <v>500</v>
      </c>
      <c r="AJ383" s="114">
        <v>0.002</v>
      </c>
      <c r="AK383" s="119" t="s">
        <v>165</v>
      </c>
      <c r="AL383" s="708" t="s">
        <v>131</v>
      </c>
      <c r="AM383" s="708" t="s">
        <v>131</v>
      </c>
      <c r="AN383" s="109" t="s">
        <v>131</v>
      </c>
      <c r="AO383" s="114">
        <v>27.0</v>
      </c>
      <c r="AP383" s="114">
        <v>0.58</v>
      </c>
      <c r="AQ383" s="109" t="s">
        <v>208</v>
      </c>
      <c r="AR383" s="109" t="s">
        <v>875</v>
      </c>
      <c r="AS383" s="114">
        <v>0.47</v>
      </c>
      <c r="AT383" s="119" t="s">
        <v>165</v>
      </c>
      <c r="AU383" s="710" t="s">
        <v>131</v>
      </c>
      <c r="AV383" s="710" t="s">
        <v>131</v>
      </c>
      <c r="AW383" s="119" t="s">
        <v>131</v>
      </c>
      <c r="AX383" s="119" t="s">
        <v>431</v>
      </c>
      <c r="AY383" s="58"/>
      <c r="AZ383" s="121" t="s">
        <v>137</v>
      </c>
      <c r="BA383" s="225"/>
      <c r="BB383" s="225"/>
      <c r="BC383" s="225"/>
      <c r="BD383" s="225"/>
      <c r="BE383" s="225"/>
      <c r="BF383" s="225"/>
      <c r="BG383" s="225"/>
      <c r="BH383" s="225"/>
      <c r="BI383" s="225"/>
      <c r="BJ383" s="225"/>
      <c r="BK383" s="225"/>
      <c r="BL383" s="225"/>
      <c r="BM383" s="225"/>
      <c r="BN383" s="225"/>
      <c r="BO383" s="225"/>
      <c r="BP383" s="225"/>
      <c r="BQ383" s="225"/>
      <c r="BR383" s="225"/>
      <c r="BS383" s="225"/>
      <c r="BT383" s="225"/>
      <c r="BU383" s="225"/>
      <c r="BV383" s="225"/>
      <c r="BW383" s="225"/>
      <c r="BX383" s="225"/>
      <c r="BY383" s="225"/>
      <c r="BZ383" s="225"/>
      <c r="CA383" s="225"/>
      <c r="CB383" s="225"/>
      <c r="CC383" s="225"/>
      <c r="CD383" s="225"/>
      <c r="CE383" s="225"/>
      <c r="CF383" s="225"/>
      <c r="CG383" s="225"/>
      <c r="CH383" s="225"/>
      <c r="CI383" s="225"/>
      <c r="CJ383" s="225"/>
      <c r="CK383" s="225"/>
      <c r="CL383" s="225"/>
      <c r="CM383" s="225"/>
      <c r="CN383" s="225"/>
      <c r="CO383" s="225"/>
      <c r="CP383" s="225"/>
      <c r="CQ383" s="225"/>
      <c r="CR383" s="225"/>
      <c r="CS383" s="225"/>
      <c r="CT383" s="225"/>
      <c r="CU383" s="225"/>
      <c r="CV383" s="225"/>
      <c r="CW383" s="225"/>
      <c r="CX383" s="225"/>
      <c r="CY383" s="225"/>
      <c r="CZ383" s="225"/>
      <c r="DA383" s="225"/>
      <c r="DB383" s="225"/>
      <c r="DC383" s="225"/>
      <c r="DD383" s="225"/>
      <c r="DE383" s="225"/>
      <c r="DF383" s="225"/>
      <c r="DG383" s="225"/>
      <c r="DH383" s="225"/>
    </row>
    <row r="384" ht="20.25" customHeight="1">
      <c r="A384" s="41">
        <v>384.0</v>
      </c>
      <c r="B384" s="146" t="s">
        <v>107</v>
      </c>
      <c r="C384" s="146" t="s">
        <v>108</v>
      </c>
      <c r="D384" s="146" t="s">
        <v>1803</v>
      </c>
      <c r="E384" s="69"/>
      <c r="F384" s="119" t="s">
        <v>2103</v>
      </c>
      <c r="G384" s="109" t="s">
        <v>2104</v>
      </c>
      <c r="H384" s="109" t="s">
        <v>1804</v>
      </c>
      <c r="I384" s="110">
        <v>45642.0</v>
      </c>
      <c r="J384" s="566">
        <v>45671.0</v>
      </c>
      <c r="K384" s="111"/>
      <c r="L384" s="111"/>
      <c r="M384" s="109" t="s">
        <v>2107</v>
      </c>
      <c r="N384" s="109" t="s">
        <v>2108</v>
      </c>
      <c r="O384" s="111"/>
      <c r="P384" s="118" t="str">
        <f t="shared" si="22"/>
        <v>10.1089--cyber.2015.0311.pdf</v>
      </c>
      <c r="Q384" s="49" t="str">
        <f t="array" ref="Q384"> if(iserror(MATCH(V384, 'File Links'!C:C, 0)), "N/A", HYPERLINK(INDEX('File Links'!B:B, MATCH(P384, 'File Links'!C:C, 0))))</f>
        <v>https://drive.google.com/file/d/1UOcUsx-QUxFrulQIBnkUuR_13YgQP2Vd/view?usp=drivesdk</v>
      </c>
      <c r="R384" s="109" t="s">
        <v>2109</v>
      </c>
      <c r="S384" s="109" t="s">
        <v>2110</v>
      </c>
      <c r="T384" s="111"/>
      <c r="U384" s="117"/>
      <c r="V384" s="109" t="str">
        <f t="shared" si="15"/>
        <v>10.1016--j.bbr.2024.115096.pdf</v>
      </c>
      <c r="W384" s="109" t="s">
        <v>2118</v>
      </c>
      <c r="X384" s="51" t="str">
        <f t="array" ref="X384"> if(iserror(MATCH(V384, 'File Links'!C:C, 0)), "N/A", HYPERLINK(INDEX('File Links'!B:B, MATCH(V384, 'File Links'!C:C, 0))))</f>
        <v>https://drive.google.com/file/d/1mK6ddl6CbjItWRFtU_KkouJP0UM3gV-6/view?usp=drivesdk</v>
      </c>
      <c r="Y384" s="111"/>
      <c r="Z384" s="109" t="s">
        <v>831</v>
      </c>
      <c r="AA384" s="109" t="s">
        <v>1764</v>
      </c>
      <c r="AB384" s="109" t="s">
        <v>2119</v>
      </c>
      <c r="AC384" s="109" t="s">
        <v>2120</v>
      </c>
      <c r="AD384" s="111"/>
      <c r="AE384" s="111"/>
      <c r="AF384" s="114">
        <v>23.0</v>
      </c>
      <c r="AG384" s="114">
        <v>3.692</v>
      </c>
      <c r="AH384" s="118" t="s">
        <v>1024</v>
      </c>
      <c r="AI384" s="109" t="s">
        <v>500</v>
      </c>
      <c r="AJ384" s="114">
        <v>0.002</v>
      </c>
      <c r="AK384" s="119" t="s">
        <v>165</v>
      </c>
      <c r="AL384" s="708" t="s">
        <v>131</v>
      </c>
      <c r="AM384" s="708" t="s">
        <v>131</v>
      </c>
      <c r="AN384" s="109" t="s">
        <v>131</v>
      </c>
      <c r="AO384" s="114">
        <v>27.0</v>
      </c>
      <c r="AP384" s="114">
        <v>7.05</v>
      </c>
      <c r="AQ384" s="109" t="s">
        <v>1024</v>
      </c>
      <c r="AR384" s="109" t="s">
        <v>875</v>
      </c>
      <c r="AS384" s="114">
        <v>0.001</v>
      </c>
      <c r="AT384" s="119" t="s">
        <v>2123</v>
      </c>
      <c r="AU384" s="710" t="s">
        <v>131</v>
      </c>
      <c r="AV384" s="710" t="s">
        <v>131</v>
      </c>
      <c r="AW384" s="119" t="s">
        <v>131</v>
      </c>
      <c r="AX384" s="119" t="s">
        <v>431</v>
      </c>
      <c r="AY384" s="58"/>
      <c r="AZ384" s="121" t="s">
        <v>137</v>
      </c>
      <c r="BA384" s="225"/>
      <c r="BB384" s="225"/>
      <c r="BC384" s="225"/>
      <c r="BD384" s="225"/>
      <c r="BE384" s="225"/>
      <c r="BF384" s="225"/>
      <c r="BG384" s="225"/>
      <c r="BH384" s="225"/>
      <c r="BI384" s="225"/>
      <c r="BJ384" s="225"/>
      <c r="BK384" s="225"/>
      <c r="BL384" s="225"/>
      <c r="BM384" s="225"/>
      <c r="BN384" s="225"/>
      <c r="BO384" s="225"/>
      <c r="BP384" s="225"/>
      <c r="BQ384" s="225"/>
      <c r="BR384" s="225"/>
      <c r="BS384" s="225"/>
      <c r="BT384" s="225"/>
      <c r="BU384" s="225"/>
      <c r="BV384" s="225"/>
      <c r="BW384" s="225"/>
      <c r="BX384" s="225"/>
      <c r="BY384" s="225"/>
      <c r="BZ384" s="225"/>
      <c r="CA384" s="225"/>
      <c r="CB384" s="225"/>
      <c r="CC384" s="225"/>
      <c r="CD384" s="225"/>
      <c r="CE384" s="225"/>
      <c r="CF384" s="225"/>
      <c r="CG384" s="225"/>
      <c r="CH384" s="225"/>
      <c r="CI384" s="225"/>
      <c r="CJ384" s="225"/>
      <c r="CK384" s="225"/>
      <c r="CL384" s="225"/>
      <c r="CM384" s="225"/>
      <c r="CN384" s="225"/>
      <c r="CO384" s="225"/>
      <c r="CP384" s="225"/>
      <c r="CQ384" s="225"/>
      <c r="CR384" s="225"/>
      <c r="CS384" s="225"/>
      <c r="CT384" s="225"/>
      <c r="CU384" s="225"/>
      <c r="CV384" s="225"/>
      <c r="CW384" s="225"/>
      <c r="CX384" s="225"/>
      <c r="CY384" s="225"/>
      <c r="CZ384" s="225"/>
      <c r="DA384" s="225"/>
      <c r="DB384" s="225"/>
      <c r="DC384" s="225"/>
      <c r="DD384" s="225"/>
      <c r="DE384" s="225"/>
      <c r="DF384" s="225"/>
      <c r="DG384" s="225"/>
      <c r="DH384" s="225"/>
    </row>
    <row r="385" ht="20.25" customHeight="1">
      <c r="A385" s="41">
        <v>385.0</v>
      </c>
      <c r="B385" s="146" t="s">
        <v>107</v>
      </c>
      <c r="C385" s="146" t="s">
        <v>108</v>
      </c>
      <c r="D385" s="146" t="s">
        <v>1803</v>
      </c>
      <c r="E385" s="69"/>
      <c r="F385" s="119" t="s">
        <v>2103</v>
      </c>
      <c r="G385" s="109" t="s">
        <v>2104</v>
      </c>
      <c r="H385" s="109" t="s">
        <v>1804</v>
      </c>
      <c r="I385" s="110">
        <v>45642.0</v>
      </c>
      <c r="J385" s="566">
        <v>45671.0</v>
      </c>
      <c r="K385" s="111"/>
      <c r="L385" s="111"/>
      <c r="M385" s="109" t="s">
        <v>2107</v>
      </c>
      <c r="N385" s="109" t="s">
        <v>2108</v>
      </c>
      <c r="O385" s="111"/>
      <c r="P385" s="118" t="str">
        <f t="shared" si="22"/>
        <v>10.1089--cyber.2015.0311.pdf</v>
      </c>
      <c r="Q385" s="49" t="str">
        <f t="array" ref="Q385"> if(iserror(MATCH(V385, 'File Links'!C:C, 0)), "N/A", HYPERLINK(INDEX('File Links'!B:B, MATCH(P385, 'File Links'!C:C, 0))))</f>
        <v>https://drive.google.com/file/d/1UOcUsx-QUxFrulQIBnkUuR_13YgQP2Vd/view?usp=drivesdk</v>
      </c>
      <c r="R385" s="109" t="s">
        <v>2109</v>
      </c>
      <c r="S385" s="109" t="s">
        <v>2110</v>
      </c>
      <c r="T385" s="111"/>
      <c r="U385" s="117"/>
      <c r="V385" s="109" t="str">
        <f t="shared" si="15"/>
        <v>10.1016--j.bbr.2024.115096.pdf</v>
      </c>
      <c r="W385" s="109" t="s">
        <v>2118</v>
      </c>
      <c r="X385" s="51" t="str">
        <f t="array" ref="X385"> if(iserror(MATCH(V385, 'File Links'!C:C, 0)), "N/A", HYPERLINK(INDEX('File Links'!B:B, MATCH(V385, 'File Links'!C:C, 0))))</f>
        <v>https://drive.google.com/file/d/1mK6ddl6CbjItWRFtU_KkouJP0UM3gV-6/view?usp=drivesdk</v>
      </c>
      <c r="Y385" s="111"/>
      <c r="Z385" s="109" t="s">
        <v>831</v>
      </c>
      <c r="AA385" s="109" t="s">
        <v>1764</v>
      </c>
      <c r="AB385" s="109" t="s">
        <v>2119</v>
      </c>
      <c r="AC385" s="109" t="s">
        <v>2120</v>
      </c>
      <c r="AD385" s="111"/>
      <c r="AE385" s="111"/>
      <c r="AF385" s="114">
        <v>23.0</v>
      </c>
      <c r="AG385" s="114">
        <v>0.428</v>
      </c>
      <c r="AH385" s="118" t="s">
        <v>208</v>
      </c>
      <c r="AI385" s="109" t="s">
        <v>489</v>
      </c>
      <c r="AJ385" s="114">
        <v>0.03</v>
      </c>
      <c r="AK385" s="119" t="s">
        <v>165</v>
      </c>
      <c r="AL385" s="708" t="s">
        <v>131</v>
      </c>
      <c r="AM385" s="708" t="s">
        <v>131</v>
      </c>
      <c r="AN385" s="109" t="s">
        <v>131</v>
      </c>
      <c r="AO385" s="114">
        <v>27.0</v>
      </c>
      <c r="AP385" s="114">
        <v>-0.19</v>
      </c>
      <c r="AQ385" s="109" t="s">
        <v>208</v>
      </c>
      <c r="AR385" s="109" t="s">
        <v>875</v>
      </c>
      <c r="AS385" s="109" t="s">
        <v>2124</v>
      </c>
      <c r="AT385" s="119" t="s">
        <v>131</v>
      </c>
      <c r="AU385" s="710" t="s">
        <v>131</v>
      </c>
      <c r="AV385" s="710" t="s">
        <v>131</v>
      </c>
      <c r="AW385" s="119" t="s">
        <v>131</v>
      </c>
      <c r="AX385" s="119" t="s">
        <v>431</v>
      </c>
      <c r="AY385" s="58"/>
      <c r="AZ385" s="121" t="s">
        <v>137</v>
      </c>
      <c r="BA385" s="225"/>
      <c r="BB385" s="225"/>
      <c r="BC385" s="225"/>
      <c r="BD385" s="225"/>
      <c r="BE385" s="225"/>
      <c r="BF385" s="225"/>
      <c r="BG385" s="225"/>
      <c r="BH385" s="225"/>
      <c r="BI385" s="225"/>
      <c r="BJ385" s="225"/>
      <c r="BK385" s="225"/>
      <c r="BL385" s="225"/>
      <c r="BM385" s="225"/>
      <c r="BN385" s="225"/>
      <c r="BO385" s="225"/>
      <c r="BP385" s="225"/>
      <c r="BQ385" s="225"/>
      <c r="BR385" s="225"/>
      <c r="BS385" s="225"/>
      <c r="BT385" s="225"/>
      <c r="BU385" s="225"/>
      <c r="BV385" s="225"/>
      <c r="BW385" s="225"/>
      <c r="BX385" s="225"/>
      <c r="BY385" s="225"/>
      <c r="BZ385" s="225"/>
      <c r="CA385" s="225"/>
      <c r="CB385" s="225"/>
      <c r="CC385" s="225"/>
      <c r="CD385" s="225"/>
      <c r="CE385" s="225"/>
      <c r="CF385" s="225"/>
      <c r="CG385" s="225"/>
      <c r="CH385" s="225"/>
      <c r="CI385" s="225"/>
      <c r="CJ385" s="225"/>
      <c r="CK385" s="225"/>
      <c r="CL385" s="225"/>
      <c r="CM385" s="225"/>
      <c r="CN385" s="225"/>
      <c r="CO385" s="225"/>
      <c r="CP385" s="225"/>
      <c r="CQ385" s="225"/>
      <c r="CR385" s="225"/>
      <c r="CS385" s="225"/>
      <c r="CT385" s="225"/>
      <c r="CU385" s="225"/>
      <c r="CV385" s="225"/>
      <c r="CW385" s="225"/>
      <c r="CX385" s="225"/>
      <c r="CY385" s="225"/>
      <c r="CZ385" s="225"/>
      <c r="DA385" s="225"/>
      <c r="DB385" s="225"/>
      <c r="DC385" s="225"/>
      <c r="DD385" s="225"/>
      <c r="DE385" s="225"/>
      <c r="DF385" s="225"/>
      <c r="DG385" s="225"/>
      <c r="DH385" s="225"/>
    </row>
    <row r="386" ht="20.25" customHeight="1">
      <c r="A386" s="41">
        <v>386.0</v>
      </c>
      <c r="B386" s="665" t="s">
        <v>145</v>
      </c>
      <c r="C386" s="665" t="s">
        <v>108</v>
      </c>
      <c r="D386" s="121" t="s">
        <v>1434</v>
      </c>
      <c r="E386" s="104"/>
      <c r="F386" s="119" t="s">
        <v>2103</v>
      </c>
      <c r="G386" s="123" t="s">
        <v>2125</v>
      </c>
      <c r="H386" s="123" t="s">
        <v>1533</v>
      </c>
      <c r="I386" s="565">
        <v>45640.0</v>
      </c>
      <c r="J386" s="566">
        <v>45671.0</v>
      </c>
      <c r="K386" s="123" t="s">
        <v>2105</v>
      </c>
      <c r="L386" s="129"/>
      <c r="M386" s="123" t="s">
        <v>2107</v>
      </c>
      <c r="N386" s="123" t="s">
        <v>2108</v>
      </c>
      <c r="O386" s="216">
        <v>1.0</v>
      </c>
      <c r="P386" s="220" t="str">
        <f t="shared" ref="P386:P397" si="23">SUBSTITUTE(LOWER(N386), "/", "--") &amp;  ".pdf"</f>
        <v>10.1089--cyber.2015.0311.pdf</v>
      </c>
      <c r="Q386" s="49" t="str">
        <f t="array" ref="Q386"> if(iserror(MATCH(V386, 'File Links'!C:C, 0)), "N/A", HYPERLINK(INDEX('File Links'!B:B, MATCH(P386, 'File Links'!C:C, 0))))</f>
        <v>https://drive.google.com/file/d/1UOcUsx-QUxFrulQIBnkUuR_13YgQP2Vd/view?usp=drivesdk</v>
      </c>
      <c r="R386" s="123" t="s">
        <v>2109</v>
      </c>
      <c r="S386" s="123" t="s">
        <v>2110</v>
      </c>
      <c r="T386" s="129"/>
      <c r="U386" s="144">
        <v>1.0</v>
      </c>
      <c r="V386" s="109" t="str">
        <f t="shared" si="15"/>
        <v>10.1016--j.bbr.2024.115096.pdf</v>
      </c>
      <c r="W386" s="584" t="s">
        <v>1679</v>
      </c>
      <c r="X386" s="51" t="str">
        <f t="array" ref="X386"> if(iserror(MATCH(V386, 'File Links'!C:C, 0)), "N/A", HYPERLINK(INDEX('File Links'!B:B, MATCH(V386, 'File Links'!C:C, 0))))</f>
        <v>https://drive.google.com/file/d/1mK6ddl6CbjItWRFtU_KkouJP0UM3gV-6/view?usp=drivesdk</v>
      </c>
      <c r="Y386" s="129"/>
      <c r="Z386" s="123" t="s">
        <v>141</v>
      </c>
      <c r="AA386" s="123" t="s">
        <v>2111</v>
      </c>
      <c r="AB386" s="123" t="s">
        <v>2112</v>
      </c>
      <c r="AC386" s="123" t="s">
        <v>2126</v>
      </c>
      <c r="AD386" s="116" t="s">
        <v>2114</v>
      </c>
      <c r="AE386" s="127">
        <v>3.0</v>
      </c>
      <c r="AF386" s="127">
        <v>20.0</v>
      </c>
      <c r="AG386" s="127">
        <v>0.19</v>
      </c>
      <c r="AH386" s="315" t="s">
        <v>132</v>
      </c>
      <c r="AI386" s="216">
        <v>3.0</v>
      </c>
      <c r="AJ386" s="127">
        <v>0.05</v>
      </c>
      <c r="AK386" s="122" t="s">
        <v>165</v>
      </c>
      <c r="AL386" s="129" t="s">
        <v>179</v>
      </c>
      <c r="AM386" s="129" t="s">
        <v>134</v>
      </c>
      <c r="AN386" s="216" t="s">
        <v>131</v>
      </c>
      <c r="AO386" s="127">
        <v>27.0</v>
      </c>
      <c r="AP386" s="216" t="s">
        <v>2127</v>
      </c>
      <c r="AQ386" s="123" t="s">
        <v>127</v>
      </c>
      <c r="AR386" s="123" t="s">
        <v>875</v>
      </c>
      <c r="AS386" s="127">
        <v>0.73</v>
      </c>
      <c r="AT386" s="122" t="s">
        <v>328</v>
      </c>
      <c r="AU386" s="122" t="s">
        <v>179</v>
      </c>
      <c r="AV386" s="122" t="s">
        <v>134</v>
      </c>
      <c r="AW386" s="216" t="s">
        <v>131</v>
      </c>
      <c r="AX386" s="707" t="s">
        <v>431</v>
      </c>
      <c r="AY386" s="58"/>
      <c r="AZ386" s="121" t="s">
        <v>137</v>
      </c>
    </row>
    <row r="387" ht="20.25" customHeight="1">
      <c r="A387" s="41">
        <v>387.0</v>
      </c>
      <c r="B387" s="665" t="s">
        <v>145</v>
      </c>
      <c r="C387" s="665" t="s">
        <v>108</v>
      </c>
      <c r="D387" s="121" t="s">
        <v>1434</v>
      </c>
      <c r="E387" s="104"/>
      <c r="F387" s="119" t="s">
        <v>2103</v>
      </c>
      <c r="G387" s="123" t="s">
        <v>2128</v>
      </c>
      <c r="H387" s="123" t="s">
        <v>1533</v>
      </c>
      <c r="I387" s="565">
        <v>45640.0</v>
      </c>
      <c r="J387" s="566">
        <v>45671.0</v>
      </c>
      <c r="K387" s="129"/>
      <c r="L387" s="129"/>
      <c r="M387" s="123" t="s">
        <v>2107</v>
      </c>
      <c r="N387" s="123" t="s">
        <v>2108</v>
      </c>
      <c r="O387" s="216">
        <v>1.0</v>
      </c>
      <c r="P387" s="220" t="str">
        <f t="shared" si="23"/>
        <v>10.1089--cyber.2015.0311.pdf</v>
      </c>
      <c r="Q387" s="49" t="str">
        <f t="array" ref="Q387"> if(iserror(MATCH(V387, 'File Links'!C:C, 0)), "N/A", HYPERLINK(INDEX('File Links'!B:B, MATCH(P387, 'File Links'!C:C, 0))))</f>
        <v>https://drive.google.com/file/d/1UOcUsx-QUxFrulQIBnkUuR_13YgQP2Vd/view?usp=drivesdk</v>
      </c>
      <c r="R387" s="123" t="s">
        <v>2109</v>
      </c>
      <c r="S387" s="123" t="s">
        <v>2110</v>
      </c>
      <c r="T387" s="129"/>
      <c r="U387" s="144">
        <v>1.0</v>
      </c>
      <c r="V387" s="109" t="str">
        <f t="shared" si="15"/>
        <v>10.1016--j.bbr.2024.115096.pdf</v>
      </c>
      <c r="W387" s="584" t="s">
        <v>1679</v>
      </c>
      <c r="X387" s="51" t="str">
        <f t="array" ref="X387"> if(iserror(MATCH(V387, 'File Links'!C:C, 0)), "N/A", HYPERLINK(INDEX('File Links'!B:B, MATCH(V387, 'File Links'!C:C, 0))))</f>
        <v>https://drive.google.com/file/d/1mK6ddl6CbjItWRFtU_KkouJP0UM3gV-6/view?usp=drivesdk</v>
      </c>
      <c r="Y387" s="129"/>
      <c r="Z387" s="123" t="s">
        <v>141</v>
      </c>
      <c r="AA387" s="123" t="s">
        <v>2111</v>
      </c>
      <c r="AB387" s="123" t="s">
        <v>2112</v>
      </c>
      <c r="AC387" s="123" t="s">
        <v>2129</v>
      </c>
      <c r="AD387" s="123" t="s">
        <v>2130</v>
      </c>
      <c r="AE387" s="127">
        <v>3.0</v>
      </c>
      <c r="AF387" s="127">
        <v>20.0</v>
      </c>
      <c r="AG387" s="123" t="s">
        <v>2131</v>
      </c>
      <c r="AH387" s="220" t="s">
        <v>127</v>
      </c>
      <c r="AI387" s="216">
        <v>3.0</v>
      </c>
      <c r="AJ387" s="127">
        <v>0.11</v>
      </c>
      <c r="AK387" s="122" t="s">
        <v>165</v>
      </c>
      <c r="AL387" s="129" t="s">
        <v>179</v>
      </c>
      <c r="AM387" s="129" t="s">
        <v>134</v>
      </c>
      <c r="AN387" s="216" t="s">
        <v>131</v>
      </c>
      <c r="AO387" s="127">
        <v>27.0</v>
      </c>
      <c r="AP387" s="216" t="s">
        <v>2127</v>
      </c>
      <c r="AQ387" s="123" t="s">
        <v>127</v>
      </c>
      <c r="AR387" s="123" t="s">
        <v>875</v>
      </c>
      <c r="AS387" s="127">
        <v>0.73</v>
      </c>
      <c r="AT387" s="122" t="s">
        <v>328</v>
      </c>
      <c r="AU387" s="122" t="s">
        <v>179</v>
      </c>
      <c r="AV387" s="122" t="s">
        <v>134</v>
      </c>
      <c r="AW387" s="216" t="s">
        <v>131</v>
      </c>
      <c r="AX387" s="707" t="s">
        <v>431</v>
      </c>
      <c r="AY387" s="58"/>
      <c r="AZ387" s="121" t="s">
        <v>137</v>
      </c>
    </row>
    <row r="388" ht="20.25" customHeight="1">
      <c r="A388" s="41">
        <v>388.0</v>
      </c>
      <c r="B388" s="665" t="s">
        <v>145</v>
      </c>
      <c r="C388" s="665" t="s">
        <v>108</v>
      </c>
      <c r="D388" s="121" t="s">
        <v>1434</v>
      </c>
      <c r="E388" s="104"/>
      <c r="F388" s="119" t="s">
        <v>2103</v>
      </c>
      <c r="G388" s="123" t="s">
        <v>2132</v>
      </c>
      <c r="H388" s="123" t="s">
        <v>1533</v>
      </c>
      <c r="I388" s="565">
        <v>45640.0</v>
      </c>
      <c r="J388" s="566">
        <v>45671.0</v>
      </c>
      <c r="K388" s="129"/>
      <c r="L388" s="209" t="s">
        <v>2133</v>
      </c>
      <c r="M388" s="123" t="s">
        <v>2107</v>
      </c>
      <c r="N388" s="123" t="s">
        <v>2108</v>
      </c>
      <c r="O388" s="216">
        <v>1.0</v>
      </c>
      <c r="P388" s="220" t="str">
        <f t="shared" si="23"/>
        <v>10.1089--cyber.2015.0311.pdf</v>
      </c>
      <c r="Q388" s="49" t="str">
        <f t="array" ref="Q388"> if(iserror(MATCH(V388, 'File Links'!C:C, 0)), "N/A", HYPERLINK(INDEX('File Links'!B:B, MATCH(P388, 'File Links'!C:C, 0))))</f>
        <v>https://drive.google.com/file/d/1UOcUsx-QUxFrulQIBnkUuR_13YgQP2Vd/view?usp=drivesdk</v>
      </c>
      <c r="R388" s="123" t="s">
        <v>2109</v>
      </c>
      <c r="S388" s="123" t="s">
        <v>2110</v>
      </c>
      <c r="T388" s="129"/>
      <c r="U388" s="144">
        <v>1.0</v>
      </c>
      <c r="V388" s="109" t="str">
        <f t="shared" si="15"/>
        <v>10.1016--j.bbr.2024.115096.pdf</v>
      </c>
      <c r="W388" s="584" t="s">
        <v>1679</v>
      </c>
      <c r="X388" s="51" t="str">
        <f t="array" ref="X388"> if(iserror(MATCH(V388, 'File Links'!C:C, 0)), "N/A", HYPERLINK(INDEX('File Links'!B:B, MATCH(V388, 'File Links'!C:C, 0))))</f>
        <v>https://drive.google.com/file/d/1mK6ddl6CbjItWRFtU_KkouJP0UM3gV-6/view?usp=drivesdk</v>
      </c>
      <c r="Y388" s="129"/>
      <c r="Z388" s="123" t="s">
        <v>141</v>
      </c>
      <c r="AA388" s="123" t="s">
        <v>2111</v>
      </c>
      <c r="AB388" s="123" t="s">
        <v>2112</v>
      </c>
      <c r="AC388" s="123" t="s">
        <v>2134</v>
      </c>
      <c r="AD388" s="123" t="s">
        <v>2135</v>
      </c>
      <c r="AE388" s="127">
        <v>3.0</v>
      </c>
      <c r="AF388" s="127">
        <v>20.0</v>
      </c>
      <c r="AG388" s="123" t="s">
        <v>2136</v>
      </c>
      <c r="AH388" s="220" t="s">
        <v>127</v>
      </c>
      <c r="AI388" s="216">
        <v>3.0</v>
      </c>
      <c r="AJ388" s="711">
        <v>0.72</v>
      </c>
      <c r="AK388" s="122" t="s">
        <v>165</v>
      </c>
      <c r="AL388" s="129" t="s">
        <v>179</v>
      </c>
      <c r="AM388" s="129" t="s">
        <v>134</v>
      </c>
      <c r="AN388" s="216" t="s">
        <v>131</v>
      </c>
      <c r="AO388" s="127">
        <v>27.0</v>
      </c>
      <c r="AP388" s="127">
        <v>0.012</v>
      </c>
      <c r="AQ388" s="129" t="s">
        <v>132</v>
      </c>
      <c r="AR388" s="123" t="s">
        <v>875</v>
      </c>
      <c r="AS388" s="127">
        <v>0.002</v>
      </c>
      <c r="AT388" s="122" t="s">
        <v>165</v>
      </c>
      <c r="AU388" s="122" t="s">
        <v>179</v>
      </c>
      <c r="AV388" s="122" t="s">
        <v>134</v>
      </c>
      <c r="AW388" s="216" t="s">
        <v>131</v>
      </c>
      <c r="AX388" s="707" t="s">
        <v>431</v>
      </c>
      <c r="AY388" s="126" t="s">
        <v>2133</v>
      </c>
      <c r="AZ388" s="121" t="s">
        <v>137</v>
      </c>
    </row>
    <row r="389" ht="20.25" customHeight="1">
      <c r="A389" s="41">
        <v>389.0</v>
      </c>
      <c r="B389" s="665" t="s">
        <v>145</v>
      </c>
      <c r="C389" s="665" t="s">
        <v>108</v>
      </c>
      <c r="D389" s="121" t="s">
        <v>1434</v>
      </c>
      <c r="E389" s="104"/>
      <c r="F389" s="119" t="s">
        <v>2103</v>
      </c>
      <c r="G389" s="123" t="s">
        <v>2137</v>
      </c>
      <c r="H389" s="123" t="s">
        <v>1533</v>
      </c>
      <c r="I389" s="565">
        <v>45640.0</v>
      </c>
      <c r="J389" s="566">
        <v>45671.0</v>
      </c>
      <c r="K389" s="129"/>
      <c r="L389" s="129"/>
      <c r="M389" s="123" t="s">
        <v>2107</v>
      </c>
      <c r="N389" s="123" t="s">
        <v>2108</v>
      </c>
      <c r="O389" s="216">
        <v>1.0</v>
      </c>
      <c r="P389" s="220" t="str">
        <f t="shared" si="23"/>
        <v>10.1089--cyber.2015.0311.pdf</v>
      </c>
      <c r="Q389" s="49" t="str">
        <f t="array" ref="Q389"> if(iserror(MATCH(V389, 'File Links'!C:C, 0)), "N/A", HYPERLINK(INDEX('File Links'!B:B, MATCH(P389, 'File Links'!C:C, 0))))</f>
        <v>https://drive.google.com/file/d/1UOcUsx-QUxFrulQIBnkUuR_13YgQP2Vd/view?usp=drivesdk</v>
      </c>
      <c r="R389" s="123" t="s">
        <v>2109</v>
      </c>
      <c r="S389" s="123" t="s">
        <v>2110</v>
      </c>
      <c r="T389" s="129"/>
      <c r="U389" s="144">
        <v>1.0</v>
      </c>
      <c r="V389" s="109" t="str">
        <f t="shared" si="15"/>
        <v>10.1016--j.bbr.2024.115096.pdf</v>
      </c>
      <c r="W389" s="584" t="s">
        <v>1679</v>
      </c>
      <c r="X389" s="51" t="str">
        <f t="array" ref="X389"> if(iserror(MATCH(V389, 'File Links'!C:C, 0)), "N/A", HYPERLINK(INDEX('File Links'!B:B, MATCH(V389, 'File Links'!C:C, 0))))</f>
        <v>https://drive.google.com/file/d/1mK6ddl6CbjItWRFtU_KkouJP0UM3gV-6/view?usp=drivesdk</v>
      </c>
      <c r="Y389" s="129"/>
      <c r="Z389" s="123" t="s">
        <v>141</v>
      </c>
      <c r="AA389" s="123" t="s">
        <v>2111</v>
      </c>
      <c r="AB389" s="123" t="s">
        <v>2112</v>
      </c>
      <c r="AC389" s="123" t="s">
        <v>2138</v>
      </c>
      <c r="AD389" s="123" t="s">
        <v>2139</v>
      </c>
      <c r="AE389" s="127">
        <v>3.0</v>
      </c>
      <c r="AF389" s="127">
        <v>20.0</v>
      </c>
      <c r="AG389" s="127">
        <v>0.41</v>
      </c>
      <c r="AH389" s="315" t="s">
        <v>132</v>
      </c>
      <c r="AI389" s="216">
        <v>3.0</v>
      </c>
      <c r="AJ389" s="127">
        <v>0.002</v>
      </c>
      <c r="AK389" s="122" t="s">
        <v>165</v>
      </c>
      <c r="AL389" s="129" t="s">
        <v>179</v>
      </c>
      <c r="AM389" s="129" t="s">
        <v>134</v>
      </c>
      <c r="AN389" s="216" t="s">
        <v>131</v>
      </c>
      <c r="AO389" s="127">
        <v>27.0</v>
      </c>
      <c r="AP389" s="216" t="s">
        <v>2140</v>
      </c>
      <c r="AQ389" s="123" t="s">
        <v>127</v>
      </c>
      <c r="AR389" s="123" t="s">
        <v>875</v>
      </c>
      <c r="AS389" s="127">
        <v>0.999</v>
      </c>
      <c r="AT389" s="122" t="s">
        <v>328</v>
      </c>
      <c r="AU389" s="122" t="s">
        <v>179</v>
      </c>
      <c r="AV389" s="122" t="s">
        <v>134</v>
      </c>
      <c r="AW389" s="216" t="s">
        <v>131</v>
      </c>
      <c r="AX389" s="707" t="s">
        <v>431</v>
      </c>
      <c r="AY389" s="58"/>
      <c r="AZ389" s="121" t="s">
        <v>137</v>
      </c>
    </row>
    <row r="390" ht="20.25" customHeight="1">
      <c r="A390" s="41">
        <v>390.0</v>
      </c>
      <c r="B390" s="665" t="s">
        <v>145</v>
      </c>
      <c r="C390" s="665" t="s">
        <v>108</v>
      </c>
      <c r="D390" s="121" t="s">
        <v>1434</v>
      </c>
      <c r="E390" s="104"/>
      <c r="F390" s="119" t="s">
        <v>2103</v>
      </c>
      <c r="G390" s="123" t="s">
        <v>2141</v>
      </c>
      <c r="H390" s="123" t="s">
        <v>1533</v>
      </c>
      <c r="I390" s="565">
        <v>45640.0</v>
      </c>
      <c r="J390" s="566">
        <v>45671.0</v>
      </c>
      <c r="K390" s="123" t="s">
        <v>2105</v>
      </c>
      <c r="L390" s="216" t="s">
        <v>2142</v>
      </c>
      <c r="M390" s="123" t="s">
        <v>2107</v>
      </c>
      <c r="N390" s="123" t="s">
        <v>2108</v>
      </c>
      <c r="O390" s="216">
        <v>1.0</v>
      </c>
      <c r="P390" s="220" t="str">
        <f t="shared" si="23"/>
        <v>10.1089--cyber.2015.0311.pdf</v>
      </c>
      <c r="Q390" s="49" t="str">
        <f t="array" ref="Q390"> if(iserror(MATCH(V390, 'File Links'!C:C, 0)), "N/A", HYPERLINK(INDEX('File Links'!B:B, MATCH(P390, 'File Links'!C:C, 0))))</f>
        <v>https://drive.google.com/file/d/1UOcUsx-QUxFrulQIBnkUuR_13YgQP2Vd/view?usp=drivesdk</v>
      </c>
      <c r="R390" s="123" t="s">
        <v>2109</v>
      </c>
      <c r="S390" s="123" t="s">
        <v>2110</v>
      </c>
      <c r="T390" s="129"/>
      <c r="U390" s="144">
        <v>1.0</v>
      </c>
      <c r="V390" s="109" t="str">
        <f t="shared" si="15"/>
        <v>10.1016--j.bbr.2024.115096.pdf</v>
      </c>
      <c r="W390" s="584" t="s">
        <v>1679</v>
      </c>
      <c r="X390" s="51" t="str">
        <f t="array" ref="X390"> if(iserror(MATCH(V390, 'File Links'!C:C, 0)), "N/A", HYPERLINK(INDEX('File Links'!B:B, MATCH(V390, 'File Links'!C:C, 0))))</f>
        <v>https://drive.google.com/file/d/1mK6ddl6CbjItWRFtU_KkouJP0UM3gV-6/view?usp=drivesdk</v>
      </c>
      <c r="Y390" s="129"/>
      <c r="Z390" s="123" t="s">
        <v>141</v>
      </c>
      <c r="AA390" s="123" t="s">
        <v>2111</v>
      </c>
      <c r="AB390" s="123" t="s">
        <v>2112</v>
      </c>
      <c r="AC390" s="123" t="s">
        <v>2143</v>
      </c>
      <c r="AD390" s="123" t="s">
        <v>2144</v>
      </c>
      <c r="AE390" s="127">
        <v>3.0</v>
      </c>
      <c r="AF390" s="127">
        <v>20.0</v>
      </c>
      <c r="AG390" s="127">
        <v>0.19</v>
      </c>
      <c r="AH390" s="315" t="s">
        <v>132</v>
      </c>
      <c r="AI390" s="216">
        <v>3.0</v>
      </c>
      <c r="AJ390" s="127">
        <v>0.05</v>
      </c>
      <c r="AK390" s="122" t="s">
        <v>165</v>
      </c>
      <c r="AL390" s="129" t="s">
        <v>179</v>
      </c>
      <c r="AM390" s="129" t="s">
        <v>134</v>
      </c>
      <c r="AN390" s="216" t="s">
        <v>131</v>
      </c>
      <c r="AO390" s="127">
        <v>27.0</v>
      </c>
      <c r="AP390" s="129" t="s">
        <v>2145</v>
      </c>
      <c r="AQ390" s="129" t="s">
        <v>208</v>
      </c>
      <c r="AR390" s="123" t="s">
        <v>875</v>
      </c>
      <c r="AS390" s="127">
        <v>0.001</v>
      </c>
      <c r="AT390" s="122" t="s">
        <v>128</v>
      </c>
      <c r="AU390" s="122" t="s">
        <v>179</v>
      </c>
      <c r="AV390" s="122" t="s">
        <v>134</v>
      </c>
      <c r="AW390" s="216" t="s">
        <v>131</v>
      </c>
      <c r="AX390" s="707" t="s">
        <v>431</v>
      </c>
      <c r="AY390" s="126" t="s">
        <v>2142</v>
      </c>
      <c r="AZ390" s="121" t="s">
        <v>137</v>
      </c>
    </row>
    <row r="391" ht="20.25" customHeight="1">
      <c r="A391" s="41">
        <v>391.0</v>
      </c>
      <c r="B391" s="665" t="s">
        <v>145</v>
      </c>
      <c r="C391" s="665" t="s">
        <v>108</v>
      </c>
      <c r="D391" s="121" t="s">
        <v>1434</v>
      </c>
      <c r="E391" s="104"/>
      <c r="F391" s="119" t="s">
        <v>2103</v>
      </c>
      <c r="G391" s="123" t="s">
        <v>2146</v>
      </c>
      <c r="H391" s="123" t="s">
        <v>1533</v>
      </c>
      <c r="I391" s="565">
        <v>45640.0</v>
      </c>
      <c r="J391" s="566">
        <v>45671.0</v>
      </c>
      <c r="K391" s="123" t="s">
        <v>2105</v>
      </c>
      <c r="L391" s="129"/>
      <c r="M391" s="123" t="s">
        <v>2107</v>
      </c>
      <c r="N391" s="123" t="s">
        <v>2108</v>
      </c>
      <c r="O391" s="216">
        <v>1.0</v>
      </c>
      <c r="P391" s="220" t="str">
        <f t="shared" si="23"/>
        <v>10.1089--cyber.2015.0311.pdf</v>
      </c>
      <c r="Q391" s="49" t="str">
        <f t="array" ref="Q391"> if(iserror(MATCH(V391, 'File Links'!C:C, 0)), "N/A", HYPERLINK(INDEX('File Links'!B:B, MATCH(P391, 'File Links'!C:C, 0))))</f>
        <v>https://drive.google.com/file/d/1UOcUsx-QUxFrulQIBnkUuR_13YgQP2Vd/view?usp=drivesdk</v>
      </c>
      <c r="R391" s="123" t="s">
        <v>2109</v>
      </c>
      <c r="S391" s="123" t="s">
        <v>2110</v>
      </c>
      <c r="T391" s="129"/>
      <c r="U391" s="144">
        <v>1.0</v>
      </c>
      <c r="V391" s="109" t="str">
        <f t="shared" si="15"/>
        <v>10.1016--j.bbr.2024.115096.pdf</v>
      </c>
      <c r="W391" s="584" t="s">
        <v>1679</v>
      </c>
      <c r="X391" s="51" t="str">
        <f t="array" ref="X391"> if(iserror(MATCH(V391, 'File Links'!C:C, 0)), "N/A", HYPERLINK(INDEX('File Links'!B:B, MATCH(V391, 'File Links'!C:C, 0))))</f>
        <v>https://drive.google.com/file/d/1mK6ddl6CbjItWRFtU_KkouJP0UM3gV-6/view?usp=drivesdk</v>
      </c>
      <c r="Y391" s="129"/>
      <c r="Z391" s="123" t="s">
        <v>141</v>
      </c>
      <c r="AA391" s="123" t="s">
        <v>2111</v>
      </c>
      <c r="AB391" s="123" t="s">
        <v>2112</v>
      </c>
      <c r="AC391" s="123" t="s">
        <v>2147</v>
      </c>
      <c r="AD391" s="123" t="s">
        <v>2144</v>
      </c>
      <c r="AE391" s="127">
        <v>3.0</v>
      </c>
      <c r="AF391" s="127">
        <v>20.0</v>
      </c>
      <c r="AG391" s="127">
        <v>0.19</v>
      </c>
      <c r="AH391" s="315" t="s">
        <v>132</v>
      </c>
      <c r="AI391" s="216">
        <v>3.0</v>
      </c>
      <c r="AJ391" s="127">
        <v>0.05</v>
      </c>
      <c r="AK391" s="122" t="s">
        <v>165</v>
      </c>
      <c r="AL391" s="129" t="s">
        <v>179</v>
      </c>
      <c r="AM391" s="129" t="s">
        <v>134</v>
      </c>
      <c r="AN391" s="216" t="s">
        <v>131</v>
      </c>
      <c r="AO391" s="127">
        <v>27.0</v>
      </c>
      <c r="AP391" s="129" t="s">
        <v>2148</v>
      </c>
      <c r="AQ391" s="123" t="s">
        <v>127</v>
      </c>
      <c r="AR391" s="123" t="s">
        <v>875</v>
      </c>
      <c r="AS391" s="127">
        <v>0.999</v>
      </c>
      <c r="AT391" s="122" t="s">
        <v>328</v>
      </c>
      <c r="AU391" s="122" t="s">
        <v>179</v>
      </c>
      <c r="AV391" s="122" t="s">
        <v>134</v>
      </c>
      <c r="AW391" s="216" t="s">
        <v>131</v>
      </c>
      <c r="AX391" s="707" t="s">
        <v>431</v>
      </c>
      <c r="AY391" s="58"/>
      <c r="AZ391" s="121" t="s">
        <v>137</v>
      </c>
    </row>
    <row r="392" ht="20.25" customHeight="1">
      <c r="A392" s="41">
        <v>392.0</v>
      </c>
      <c r="B392" s="665" t="s">
        <v>145</v>
      </c>
      <c r="C392" s="665" t="s">
        <v>108</v>
      </c>
      <c r="D392" s="121" t="s">
        <v>1434</v>
      </c>
      <c r="E392" s="104"/>
      <c r="F392" s="119" t="s">
        <v>2103</v>
      </c>
      <c r="G392" s="123" t="s">
        <v>2149</v>
      </c>
      <c r="H392" s="123" t="s">
        <v>1533</v>
      </c>
      <c r="I392" s="565">
        <v>45640.0</v>
      </c>
      <c r="J392" s="566">
        <v>45671.0</v>
      </c>
      <c r="K392" s="129"/>
      <c r="L392" s="129"/>
      <c r="M392" s="123" t="s">
        <v>2107</v>
      </c>
      <c r="N392" s="123" t="s">
        <v>2108</v>
      </c>
      <c r="O392" s="216">
        <v>1.0</v>
      </c>
      <c r="P392" s="220" t="str">
        <f t="shared" si="23"/>
        <v>10.1089--cyber.2015.0311.pdf</v>
      </c>
      <c r="Q392" s="49" t="str">
        <f t="array" ref="Q392"> if(iserror(MATCH(V392, 'File Links'!C:C, 0)), "N/A", HYPERLINK(INDEX('File Links'!B:B, MATCH(P392, 'File Links'!C:C, 0))))</f>
        <v>https://drive.google.com/file/d/1UOcUsx-QUxFrulQIBnkUuR_13YgQP2Vd/view?usp=drivesdk</v>
      </c>
      <c r="R392" s="123" t="s">
        <v>2109</v>
      </c>
      <c r="S392" s="123" t="s">
        <v>2110</v>
      </c>
      <c r="T392" s="129"/>
      <c r="U392" s="144">
        <v>1.0</v>
      </c>
      <c r="V392" s="109" t="str">
        <f t="shared" si="15"/>
        <v>10.1016--j.bbr.2024.115096.pdf</v>
      </c>
      <c r="W392" s="584" t="s">
        <v>1679</v>
      </c>
      <c r="X392" s="51" t="str">
        <f t="array" ref="X392"> if(iserror(MATCH(V392, 'File Links'!C:C, 0)), "N/A", HYPERLINK(INDEX('File Links'!B:B, MATCH(V392, 'File Links'!C:C, 0))))</f>
        <v>https://drive.google.com/file/d/1mK6ddl6CbjItWRFtU_KkouJP0UM3gV-6/view?usp=drivesdk</v>
      </c>
      <c r="Y392" s="129"/>
      <c r="Z392" s="123" t="s">
        <v>141</v>
      </c>
      <c r="AA392" s="123" t="s">
        <v>2111</v>
      </c>
      <c r="AB392" s="123" t="s">
        <v>2112</v>
      </c>
      <c r="AC392" s="123" t="s">
        <v>2150</v>
      </c>
      <c r="AD392" s="123" t="s">
        <v>2151</v>
      </c>
      <c r="AE392" s="127">
        <v>3.0</v>
      </c>
      <c r="AF392" s="127">
        <v>20.0</v>
      </c>
      <c r="AG392" s="123" t="s">
        <v>2152</v>
      </c>
      <c r="AH392" s="220" t="s">
        <v>127</v>
      </c>
      <c r="AI392" s="216">
        <v>3.0</v>
      </c>
      <c r="AJ392" s="127">
        <v>0.29</v>
      </c>
      <c r="AK392" s="122" t="s">
        <v>165</v>
      </c>
      <c r="AL392" s="129" t="s">
        <v>179</v>
      </c>
      <c r="AM392" s="129" t="s">
        <v>134</v>
      </c>
      <c r="AN392" s="216" t="s">
        <v>131</v>
      </c>
      <c r="AO392" s="127">
        <v>27.0</v>
      </c>
      <c r="AP392" s="127">
        <v>0.21</v>
      </c>
      <c r="AQ392" s="129" t="s">
        <v>132</v>
      </c>
      <c r="AR392" s="222" t="s">
        <v>806</v>
      </c>
      <c r="AS392" s="127">
        <v>0.001</v>
      </c>
      <c r="AT392" s="122" t="s">
        <v>128</v>
      </c>
      <c r="AU392" s="122" t="s">
        <v>179</v>
      </c>
      <c r="AV392" s="122" t="s">
        <v>134</v>
      </c>
      <c r="AW392" s="216" t="s">
        <v>131</v>
      </c>
      <c r="AX392" s="707" t="s">
        <v>431</v>
      </c>
      <c r="AY392" s="58"/>
      <c r="AZ392" s="121" t="s">
        <v>137</v>
      </c>
    </row>
    <row r="393" ht="20.25" customHeight="1">
      <c r="A393" s="41">
        <v>393.0</v>
      </c>
      <c r="B393" s="665" t="s">
        <v>145</v>
      </c>
      <c r="C393" s="665" t="s">
        <v>108</v>
      </c>
      <c r="D393" s="121" t="s">
        <v>1434</v>
      </c>
      <c r="E393" s="104"/>
      <c r="F393" s="119" t="s">
        <v>2103</v>
      </c>
      <c r="G393" s="123" t="s">
        <v>2153</v>
      </c>
      <c r="H393" s="123" t="s">
        <v>1533</v>
      </c>
      <c r="I393" s="565">
        <v>45640.0</v>
      </c>
      <c r="J393" s="566">
        <v>45671.0</v>
      </c>
      <c r="K393" s="129"/>
      <c r="L393" s="129"/>
      <c r="M393" s="123" t="s">
        <v>2107</v>
      </c>
      <c r="N393" s="123" t="s">
        <v>2108</v>
      </c>
      <c r="O393" s="216">
        <v>1.0</v>
      </c>
      <c r="P393" s="220" t="str">
        <f t="shared" si="23"/>
        <v>10.1089--cyber.2015.0311.pdf</v>
      </c>
      <c r="Q393" s="49" t="str">
        <f t="array" ref="Q393"> if(iserror(MATCH(V393, 'File Links'!C:C, 0)), "N/A", HYPERLINK(INDEX('File Links'!B:B, MATCH(P393, 'File Links'!C:C, 0))))</f>
        <v>https://drive.google.com/file/d/1UOcUsx-QUxFrulQIBnkUuR_13YgQP2Vd/view?usp=drivesdk</v>
      </c>
      <c r="R393" s="123" t="s">
        <v>2109</v>
      </c>
      <c r="S393" s="123" t="s">
        <v>2110</v>
      </c>
      <c r="T393" s="129"/>
      <c r="U393" s="144">
        <v>1.0</v>
      </c>
      <c r="V393" s="109" t="str">
        <f t="shared" si="15"/>
        <v>10.1016--j.bbr.2024.115096.pdf</v>
      </c>
      <c r="W393" s="584" t="s">
        <v>1679</v>
      </c>
      <c r="X393" s="51" t="str">
        <f t="array" ref="X393"> if(iserror(MATCH(V393, 'File Links'!C:C, 0)), "N/A", HYPERLINK(INDEX('File Links'!B:B, MATCH(V393, 'File Links'!C:C, 0))))</f>
        <v>https://drive.google.com/file/d/1mK6ddl6CbjItWRFtU_KkouJP0UM3gV-6/view?usp=drivesdk</v>
      </c>
      <c r="Y393" s="129"/>
      <c r="Z393" s="123" t="s">
        <v>141</v>
      </c>
      <c r="AA393" s="123" t="s">
        <v>2111</v>
      </c>
      <c r="AB393" s="123" t="s">
        <v>2112</v>
      </c>
      <c r="AC393" s="123" t="s">
        <v>2154</v>
      </c>
      <c r="AD393" s="123" t="s">
        <v>2155</v>
      </c>
      <c r="AE393" s="127">
        <v>3.0</v>
      </c>
      <c r="AF393" s="127">
        <v>20.0</v>
      </c>
      <c r="AG393" s="127">
        <v>0.16</v>
      </c>
      <c r="AH393" s="220" t="s">
        <v>166</v>
      </c>
      <c r="AI393" s="216">
        <v>3.0</v>
      </c>
      <c r="AJ393" s="127">
        <v>0.002</v>
      </c>
      <c r="AK393" s="122" t="s">
        <v>165</v>
      </c>
      <c r="AL393" s="129" t="s">
        <v>179</v>
      </c>
      <c r="AM393" s="129" t="s">
        <v>134</v>
      </c>
      <c r="AN393" s="216" t="s">
        <v>131</v>
      </c>
      <c r="AO393" s="127">
        <v>27.0</v>
      </c>
      <c r="AP393" s="127">
        <v>0.16</v>
      </c>
      <c r="AQ393" s="129" t="s">
        <v>132</v>
      </c>
      <c r="AR393" s="222" t="s">
        <v>133</v>
      </c>
      <c r="AS393" s="127">
        <v>0.003</v>
      </c>
      <c r="AT393" s="122" t="s">
        <v>165</v>
      </c>
      <c r="AU393" s="122" t="s">
        <v>179</v>
      </c>
      <c r="AV393" s="122" t="s">
        <v>134</v>
      </c>
      <c r="AW393" s="216" t="s">
        <v>131</v>
      </c>
      <c r="AX393" s="707" t="s">
        <v>431</v>
      </c>
      <c r="AY393" s="58"/>
      <c r="AZ393" s="121" t="s">
        <v>137</v>
      </c>
    </row>
    <row r="394" ht="20.25" customHeight="1">
      <c r="A394" s="41">
        <v>394.0</v>
      </c>
      <c r="B394" s="665" t="s">
        <v>145</v>
      </c>
      <c r="C394" s="665" t="s">
        <v>108</v>
      </c>
      <c r="D394" s="121" t="s">
        <v>1434</v>
      </c>
      <c r="E394" s="104"/>
      <c r="F394" s="119" t="s">
        <v>2103</v>
      </c>
      <c r="G394" s="123" t="s">
        <v>2156</v>
      </c>
      <c r="H394" s="123" t="s">
        <v>1533</v>
      </c>
      <c r="I394" s="565">
        <v>45640.0</v>
      </c>
      <c r="J394" s="566">
        <v>45671.0</v>
      </c>
      <c r="K394" s="129"/>
      <c r="L394" s="129"/>
      <c r="M394" s="123" t="s">
        <v>2107</v>
      </c>
      <c r="N394" s="123" t="s">
        <v>2108</v>
      </c>
      <c r="O394" s="216">
        <v>1.0</v>
      </c>
      <c r="P394" s="220" t="str">
        <f t="shared" si="23"/>
        <v>10.1089--cyber.2015.0311.pdf</v>
      </c>
      <c r="Q394" s="49" t="str">
        <f t="array" ref="Q394"> if(iserror(MATCH(V394, 'File Links'!C:C, 0)), "N/A", HYPERLINK(INDEX('File Links'!B:B, MATCH(P394, 'File Links'!C:C, 0))))</f>
        <v>https://drive.google.com/file/d/1UOcUsx-QUxFrulQIBnkUuR_13YgQP2Vd/view?usp=drivesdk</v>
      </c>
      <c r="R394" s="123" t="s">
        <v>2109</v>
      </c>
      <c r="S394" s="123" t="s">
        <v>2110</v>
      </c>
      <c r="T394" s="129"/>
      <c r="U394" s="144">
        <v>1.0</v>
      </c>
      <c r="V394" s="109" t="str">
        <f t="shared" si="15"/>
        <v>10.1016--j.bbr.2024.115096.pdf</v>
      </c>
      <c r="W394" s="584" t="s">
        <v>1679</v>
      </c>
      <c r="X394" s="51" t="str">
        <f t="array" ref="X394"> if(iserror(MATCH(V394, 'File Links'!C:C, 0)), "N/A", HYPERLINK(INDEX('File Links'!B:B, MATCH(V394, 'File Links'!C:C, 0))))</f>
        <v>https://drive.google.com/file/d/1mK6ddl6CbjItWRFtU_KkouJP0UM3gV-6/view?usp=drivesdk</v>
      </c>
      <c r="Y394" s="129"/>
      <c r="Z394" s="123" t="s">
        <v>141</v>
      </c>
      <c r="AA394" s="123" t="s">
        <v>2111</v>
      </c>
      <c r="AB394" s="123" t="s">
        <v>2112</v>
      </c>
      <c r="AC394" s="123" t="s">
        <v>2157</v>
      </c>
      <c r="AD394" s="123" t="s">
        <v>2158</v>
      </c>
      <c r="AE394" s="127">
        <v>4.0</v>
      </c>
      <c r="AF394" s="127">
        <v>20.0</v>
      </c>
      <c r="AG394" s="127">
        <v>0.28</v>
      </c>
      <c r="AH394" s="220" t="s">
        <v>166</v>
      </c>
      <c r="AI394" s="216">
        <v>4.0</v>
      </c>
      <c r="AJ394" s="127">
        <v>0.09</v>
      </c>
      <c r="AK394" s="122" t="s">
        <v>165</v>
      </c>
      <c r="AL394" s="129" t="s">
        <v>179</v>
      </c>
      <c r="AM394" s="129" t="s">
        <v>134</v>
      </c>
      <c r="AN394" s="216" t="s">
        <v>131</v>
      </c>
      <c r="AO394" s="127">
        <v>27.0</v>
      </c>
      <c r="AP394" s="129" t="s">
        <v>2159</v>
      </c>
      <c r="AQ394" s="123" t="s">
        <v>127</v>
      </c>
      <c r="AR394" s="222" t="s">
        <v>806</v>
      </c>
      <c r="AS394" s="127">
        <v>0.572</v>
      </c>
      <c r="AT394" s="122" t="s">
        <v>328</v>
      </c>
      <c r="AU394" s="122" t="s">
        <v>179</v>
      </c>
      <c r="AV394" s="122" t="s">
        <v>134</v>
      </c>
      <c r="AW394" s="216" t="s">
        <v>131</v>
      </c>
      <c r="AX394" s="707" t="s">
        <v>431</v>
      </c>
      <c r="AY394" s="58"/>
      <c r="AZ394" s="121" t="s">
        <v>137</v>
      </c>
      <c r="BA394" s="69"/>
      <c r="BB394" s="69"/>
      <c r="BC394" s="69"/>
      <c r="BD394" s="69"/>
      <c r="BE394" s="69"/>
      <c r="BF394" s="69"/>
      <c r="BG394" s="69"/>
      <c r="BH394" s="69"/>
      <c r="BI394" s="69"/>
      <c r="BJ394" s="69"/>
      <c r="BK394" s="69"/>
      <c r="BL394" s="69"/>
      <c r="BM394" s="69"/>
      <c r="BN394" s="69"/>
      <c r="BO394" s="69"/>
      <c r="BP394" s="69"/>
      <c r="BQ394" s="69"/>
      <c r="BR394" s="69"/>
      <c r="BS394" s="69"/>
      <c r="BT394" s="69"/>
      <c r="BU394" s="69"/>
      <c r="BV394" s="69"/>
      <c r="BW394" s="69"/>
      <c r="BX394" s="69"/>
      <c r="BY394" s="69"/>
      <c r="BZ394" s="69"/>
      <c r="CA394" s="69"/>
      <c r="CB394" s="69"/>
      <c r="CC394" s="69"/>
      <c r="CD394" s="69"/>
      <c r="CE394" s="69"/>
      <c r="CF394" s="69"/>
      <c r="CG394" s="69"/>
      <c r="CH394" s="69"/>
      <c r="CI394" s="69"/>
      <c r="CJ394" s="69"/>
      <c r="CK394" s="69"/>
      <c r="CL394" s="69"/>
      <c r="CM394" s="69"/>
      <c r="CN394" s="69"/>
      <c r="CO394" s="69"/>
      <c r="CP394" s="69"/>
      <c r="CQ394" s="69"/>
      <c r="CR394" s="69"/>
      <c r="CS394" s="69"/>
      <c r="CT394" s="69"/>
      <c r="CU394" s="69"/>
      <c r="CV394" s="69"/>
      <c r="CW394" s="69"/>
      <c r="CX394" s="69"/>
      <c r="CY394" s="69"/>
      <c r="CZ394" s="69"/>
      <c r="DA394" s="69"/>
      <c r="DB394" s="69"/>
      <c r="DC394" s="69"/>
      <c r="DD394" s="69"/>
      <c r="DE394" s="69"/>
      <c r="DF394" s="69"/>
      <c r="DG394" s="69"/>
      <c r="DH394" s="69"/>
    </row>
    <row r="395" ht="20.25" customHeight="1">
      <c r="A395" s="41">
        <v>395.0</v>
      </c>
      <c r="B395" s="665" t="s">
        <v>145</v>
      </c>
      <c r="C395" s="665" t="s">
        <v>108</v>
      </c>
      <c r="D395" s="121" t="s">
        <v>1434</v>
      </c>
      <c r="E395" s="104"/>
      <c r="F395" s="119" t="s">
        <v>2103</v>
      </c>
      <c r="G395" s="123" t="s">
        <v>2160</v>
      </c>
      <c r="H395" s="123" t="s">
        <v>1533</v>
      </c>
      <c r="I395" s="565">
        <v>45640.0</v>
      </c>
      <c r="J395" s="566">
        <v>45671.0</v>
      </c>
      <c r="K395" s="123" t="s">
        <v>2161</v>
      </c>
      <c r="L395" s="216" t="s">
        <v>2162</v>
      </c>
      <c r="M395" s="123" t="s">
        <v>2107</v>
      </c>
      <c r="N395" s="123" t="s">
        <v>2108</v>
      </c>
      <c r="O395" s="216">
        <v>1.0</v>
      </c>
      <c r="P395" s="220" t="str">
        <f t="shared" si="23"/>
        <v>10.1089--cyber.2015.0311.pdf</v>
      </c>
      <c r="Q395" s="49" t="str">
        <f t="array" ref="Q395"> if(iserror(MATCH(V395, 'File Links'!C:C, 0)), "N/A", HYPERLINK(INDEX('File Links'!B:B, MATCH(P395, 'File Links'!C:C, 0))))</f>
        <v>https://drive.google.com/file/d/1UOcUsx-QUxFrulQIBnkUuR_13YgQP2Vd/view?usp=drivesdk</v>
      </c>
      <c r="R395" s="123" t="s">
        <v>2109</v>
      </c>
      <c r="S395" s="123" t="s">
        <v>2110</v>
      </c>
      <c r="T395" s="129"/>
      <c r="U395" s="144">
        <v>1.0</v>
      </c>
      <c r="V395" s="109" t="str">
        <f t="shared" si="15"/>
        <v>10.1016--j.bbr.2024.115096.pdf</v>
      </c>
      <c r="W395" s="584" t="s">
        <v>1679</v>
      </c>
      <c r="X395" s="51" t="str">
        <f t="array" ref="X395"> if(iserror(MATCH(V395, 'File Links'!C:C, 0)), "N/A", HYPERLINK(INDEX('File Links'!B:B, MATCH(V395, 'File Links'!C:C, 0))))</f>
        <v>https://drive.google.com/file/d/1mK6ddl6CbjItWRFtU_KkouJP0UM3gV-6/view?usp=drivesdk</v>
      </c>
      <c r="Y395" s="129"/>
      <c r="Z395" s="123" t="s">
        <v>141</v>
      </c>
      <c r="AA395" s="123" t="s">
        <v>2111</v>
      </c>
      <c r="AB395" s="123" t="s">
        <v>2112</v>
      </c>
      <c r="AC395" s="123" t="s">
        <v>2163</v>
      </c>
      <c r="AD395" s="123" t="s">
        <v>2164</v>
      </c>
      <c r="AE395" s="127">
        <v>4.0</v>
      </c>
      <c r="AF395" s="127">
        <v>20.0</v>
      </c>
      <c r="AG395" s="127">
        <v>0.428</v>
      </c>
      <c r="AH395" s="220" t="s">
        <v>208</v>
      </c>
      <c r="AI395" s="216">
        <v>4.0</v>
      </c>
      <c r="AJ395" s="127">
        <v>0.03</v>
      </c>
      <c r="AK395" s="122" t="s">
        <v>165</v>
      </c>
      <c r="AL395" s="712" t="s">
        <v>179</v>
      </c>
      <c r="AM395" s="129" t="s">
        <v>130</v>
      </c>
      <c r="AN395" s="216" t="s">
        <v>131</v>
      </c>
      <c r="AO395" s="127">
        <v>27.0</v>
      </c>
      <c r="AP395" s="116" t="s">
        <v>131</v>
      </c>
      <c r="AQ395" s="123"/>
      <c r="AR395" s="222" t="s">
        <v>806</v>
      </c>
      <c r="AS395" s="116" t="s">
        <v>131</v>
      </c>
      <c r="AT395" s="116" t="s">
        <v>131</v>
      </c>
      <c r="AU395" s="122" t="s">
        <v>179</v>
      </c>
      <c r="AV395" s="122" t="s">
        <v>134</v>
      </c>
      <c r="AW395" s="216" t="s">
        <v>131</v>
      </c>
      <c r="AX395" s="707" t="s">
        <v>431</v>
      </c>
      <c r="AY395" s="126" t="s">
        <v>2162</v>
      </c>
      <c r="AZ395" s="121" t="s">
        <v>137</v>
      </c>
      <c r="BA395" s="69"/>
      <c r="BB395" s="69"/>
      <c r="BC395" s="69"/>
      <c r="BD395" s="69"/>
      <c r="BE395" s="69"/>
      <c r="BF395" s="69"/>
      <c r="BG395" s="69"/>
      <c r="BH395" s="69"/>
      <c r="BI395" s="69"/>
      <c r="BJ395" s="69"/>
      <c r="BK395" s="69"/>
      <c r="BL395" s="69"/>
      <c r="BM395" s="69"/>
      <c r="BN395" s="69"/>
      <c r="BO395" s="69"/>
      <c r="BP395" s="69"/>
      <c r="BQ395" s="69"/>
      <c r="BR395" s="69"/>
      <c r="BS395" s="69"/>
      <c r="BT395" s="69"/>
      <c r="BU395" s="69"/>
      <c r="BV395" s="69"/>
      <c r="BW395" s="69"/>
      <c r="BX395" s="69"/>
      <c r="BY395" s="69"/>
      <c r="BZ395" s="69"/>
      <c r="CA395" s="69"/>
      <c r="CB395" s="69"/>
      <c r="CC395" s="69"/>
      <c r="CD395" s="69"/>
      <c r="CE395" s="69"/>
      <c r="CF395" s="69"/>
      <c r="CG395" s="69"/>
      <c r="CH395" s="69"/>
      <c r="CI395" s="69"/>
      <c r="CJ395" s="69"/>
      <c r="CK395" s="69"/>
      <c r="CL395" s="69"/>
      <c r="CM395" s="69"/>
      <c r="CN395" s="69"/>
      <c r="CO395" s="69"/>
      <c r="CP395" s="69"/>
      <c r="CQ395" s="69"/>
      <c r="CR395" s="69"/>
      <c r="CS395" s="69"/>
      <c r="CT395" s="69"/>
      <c r="CU395" s="69"/>
      <c r="CV395" s="69"/>
      <c r="CW395" s="69"/>
      <c r="CX395" s="69"/>
      <c r="CY395" s="69"/>
      <c r="CZ395" s="69"/>
      <c r="DA395" s="69"/>
      <c r="DB395" s="69"/>
      <c r="DC395" s="69"/>
      <c r="DD395" s="69"/>
      <c r="DE395" s="69"/>
      <c r="DF395" s="69"/>
      <c r="DG395" s="69"/>
      <c r="DH395" s="69"/>
    </row>
    <row r="396" ht="20.25" customHeight="1">
      <c r="A396" s="41">
        <v>396.0</v>
      </c>
      <c r="B396" s="665" t="s">
        <v>145</v>
      </c>
      <c r="C396" s="665" t="s">
        <v>108</v>
      </c>
      <c r="D396" s="121" t="s">
        <v>1434</v>
      </c>
      <c r="E396" s="104"/>
      <c r="F396" s="119" t="s">
        <v>2103</v>
      </c>
      <c r="G396" s="123" t="s">
        <v>2165</v>
      </c>
      <c r="H396" s="123" t="s">
        <v>1533</v>
      </c>
      <c r="I396" s="565">
        <v>45640.0</v>
      </c>
      <c r="J396" s="566">
        <v>45671.0</v>
      </c>
      <c r="K396" s="129"/>
      <c r="L396" s="129"/>
      <c r="M396" s="123" t="s">
        <v>2107</v>
      </c>
      <c r="N396" s="123" t="s">
        <v>2108</v>
      </c>
      <c r="O396" s="216">
        <v>1.0</v>
      </c>
      <c r="P396" s="220" t="str">
        <f t="shared" si="23"/>
        <v>10.1089--cyber.2015.0311.pdf</v>
      </c>
      <c r="Q396" s="49" t="str">
        <f t="array" ref="Q396"> if(iserror(MATCH(V396, 'File Links'!C:C, 0)), "N/A", HYPERLINK(INDEX('File Links'!B:B, MATCH(P396, 'File Links'!C:C, 0))))</f>
        <v>https://drive.google.com/file/d/1UOcUsx-QUxFrulQIBnkUuR_13YgQP2Vd/view?usp=drivesdk</v>
      </c>
      <c r="R396" s="123" t="s">
        <v>2109</v>
      </c>
      <c r="S396" s="123" t="s">
        <v>2110</v>
      </c>
      <c r="T396" s="129"/>
      <c r="U396" s="144">
        <v>1.0</v>
      </c>
      <c r="V396" s="123" t="str">
        <f t="shared" si="15"/>
        <v>10.1016--j.bbr.2024.115096.pdf</v>
      </c>
      <c r="W396" s="584" t="s">
        <v>1679</v>
      </c>
      <c r="X396" s="51" t="str">
        <f t="array" ref="X396"> if(iserror(MATCH(V396, 'File Links'!C:C, 0)), "N/A", HYPERLINK(INDEX('File Links'!B:B, MATCH(V396, 'File Links'!C:C, 0))))</f>
        <v>https://drive.google.com/file/d/1mK6ddl6CbjItWRFtU_KkouJP0UM3gV-6/view?usp=drivesdk</v>
      </c>
      <c r="Y396" s="129"/>
      <c r="Z396" s="123" t="s">
        <v>141</v>
      </c>
      <c r="AA396" s="123" t="s">
        <v>2111</v>
      </c>
      <c r="AB396" s="123" t="s">
        <v>2112</v>
      </c>
      <c r="AC396" s="123" t="s">
        <v>2166</v>
      </c>
      <c r="AD396" s="123" t="s">
        <v>2167</v>
      </c>
      <c r="AE396" s="127">
        <v>4.0</v>
      </c>
      <c r="AF396" s="127">
        <v>20.0</v>
      </c>
      <c r="AG396" s="127">
        <v>0.15</v>
      </c>
      <c r="AH396" s="220" t="s">
        <v>208</v>
      </c>
      <c r="AI396" s="216">
        <v>4.0</v>
      </c>
      <c r="AJ396" s="127">
        <v>0.059</v>
      </c>
      <c r="AK396" s="122" t="s">
        <v>165</v>
      </c>
      <c r="AL396" s="129" t="s">
        <v>179</v>
      </c>
      <c r="AM396" s="129" t="s">
        <v>130</v>
      </c>
      <c r="AN396" s="216" t="s">
        <v>131</v>
      </c>
      <c r="AO396" s="127">
        <v>27.0</v>
      </c>
      <c r="AP396" s="127">
        <v>0.47</v>
      </c>
      <c r="AQ396" s="123" t="s">
        <v>166</v>
      </c>
      <c r="AR396" s="222" t="s">
        <v>806</v>
      </c>
      <c r="AS396" s="127">
        <v>0.125</v>
      </c>
      <c r="AT396" s="122" t="s">
        <v>165</v>
      </c>
      <c r="AU396" s="122" t="s">
        <v>179</v>
      </c>
      <c r="AV396" s="122" t="s">
        <v>134</v>
      </c>
      <c r="AW396" s="216" t="s">
        <v>131</v>
      </c>
      <c r="AX396" s="707" t="s">
        <v>431</v>
      </c>
      <c r="AY396" s="58"/>
      <c r="AZ396" s="121" t="s">
        <v>137</v>
      </c>
      <c r="BA396" s="69"/>
      <c r="BB396" s="69"/>
      <c r="BC396" s="69"/>
      <c r="BD396" s="69"/>
      <c r="BE396" s="69"/>
      <c r="BF396" s="69"/>
      <c r="BG396" s="69"/>
      <c r="BH396" s="69"/>
      <c r="BI396" s="69"/>
      <c r="BJ396" s="69"/>
      <c r="BK396" s="69"/>
      <c r="BL396" s="69"/>
      <c r="BM396" s="69"/>
      <c r="BN396" s="69"/>
      <c r="BO396" s="69"/>
      <c r="BP396" s="69"/>
      <c r="BQ396" s="69"/>
      <c r="BR396" s="69"/>
      <c r="BS396" s="69"/>
      <c r="BT396" s="69"/>
      <c r="BU396" s="69"/>
      <c r="BV396" s="69"/>
      <c r="BW396" s="69"/>
      <c r="BX396" s="69"/>
      <c r="BY396" s="69"/>
      <c r="BZ396" s="69"/>
      <c r="CA396" s="69"/>
      <c r="CB396" s="69"/>
      <c r="CC396" s="69"/>
      <c r="CD396" s="69"/>
      <c r="CE396" s="69"/>
      <c r="CF396" s="69"/>
      <c r="CG396" s="69"/>
      <c r="CH396" s="69"/>
      <c r="CI396" s="69"/>
      <c r="CJ396" s="69"/>
      <c r="CK396" s="69"/>
      <c r="CL396" s="69"/>
      <c r="CM396" s="69"/>
      <c r="CN396" s="69"/>
      <c r="CO396" s="69"/>
      <c r="CP396" s="69"/>
      <c r="CQ396" s="69"/>
      <c r="CR396" s="69"/>
      <c r="CS396" s="69"/>
      <c r="CT396" s="69"/>
      <c r="CU396" s="69"/>
      <c r="CV396" s="69"/>
      <c r="CW396" s="69"/>
      <c r="CX396" s="69"/>
      <c r="CY396" s="69"/>
      <c r="CZ396" s="69"/>
      <c r="DA396" s="69"/>
      <c r="DB396" s="69"/>
      <c r="DC396" s="69"/>
      <c r="DD396" s="69"/>
      <c r="DE396" s="69"/>
      <c r="DF396" s="69"/>
      <c r="DG396" s="69"/>
      <c r="DH396" s="69"/>
    </row>
    <row r="397" ht="20.25" customHeight="1">
      <c r="A397" s="41">
        <v>397.0</v>
      </c>
      <c r="B397" s="665" t="s">
        <v>145</v>
      </c>
      <c r="C397" s="665" t="s">
        <v>108</v>
      </c>
      <c r="D397" s="121" t="s">
        <v>1434</v>
      </c>
      <c r="E397" s="104"/>
      <c r="F397" s="119" t="s">
        <v>2103</v>
      </c>
      <c r="G397" s="123" t="s">
        <v>2168</v>
      </c>
      <c r="H397" s="123" t="s">
        <v>1533</v>
      </c>
      <c r="I397" s="565">
        <v>45640.0</v>
      </c>
      <c r="J397" s="566">
        <v>45671.0</v>
      </c>
      <c r="K397" s="129"/>
      <c r="L397" s="129"/>
      <c r="M397" s="123" t="s">
        <v>2107</v>
      </c>
      <c r="N397" s="123" t="s">
        <v>2108</v>
      </c>
      <c r="O397" s="216">
        <v>1.0</v>
      </c>
      <c r="P397" s="220" t="str">
        <f t="shared" si="23"/>
        <v>10.1089--cyber.2015.0311.pdf</v>
      </c>
      <c r="Q397" s="49" t="str">
        <f t="array" ref="Q397"> if(iserror(MATCH(V397, 'File Links'!C:C, 0)), "N/A", HYPERLINK(INDEX('File Links'!B:B, MATCH(P397, 'File Links'!C:C, 0))))</f>
        <v>https://drive.google.com/file/d/1UOcUsx-QUxFrulQIBnkUuR_13YgQP2Vd/view?usp=drivesdk</v>
      </c>
      <c r="R397" s="123" t="s">
        <v>2109</v>
      </c>
      <c r="S397" s="123" t="s">
        <v>2110</v>
      </c>
      <c r="T397" s="129"/>
      <c r="U397" s="144">
        <v>1.0</v>
      </c>
      <c r="V397" s="123" t="str">
        <f t="shared" si="15"/>
        <v>10.1016--j.bbr.2024.115096.pdf</v>
      </c>
      <c r="W397" s="584" t="s">
        <v>1679</v>
      </c>
      <c r="X397" s="51" t="str">
        <f t="array" ref="X397"> if(iserror(MATCH(V397, 'File Links'!C:C, 0)), "N/A", HYPERLINK(INDEX('File Links'!B:B, MATCH(V397, 'File Links'!C:C, 0))))</f>
        <v>https://drive.google.com/file/d/1mK6ddl6CbjItWRFtU_KkouJP0UM3gV-6/view?usp=drivesdk</v>
      </c>
      <c r="Y397" s="129"/>
      <c r="Z397" s="123" t="s">
        <v>141</v>
      </c>
      <c r="AA397" s="123" t="s">
        <v>2111</v>
      </c>
      <c r="AB397" s="123" t="s">
        <v>2112</v>
      </c>
      <c r="AC397" s="123" t="s">
        <v>2169</v>
      </c>
      <c r="AD397" s="123" t="s">
        <v>2167</v>
      </c>
      <c r="AE397" s="127">
        <v>4.0</v>
      </c>
      <c r="AF397" s="127">
        <v>20.0</v>
      </c>
      <c r="AG397" s="127">
        <v>0.15</v>
      </c>
      <c r="AH397" s="220" t="s">
        <v>208</v>
      </c>
      <c r="AI397" s="216">
        <v>4.0</v>
      </c>
      <c r="AJ397" s="127">
        <v>0.059</v>
      </c>
      <c r="AK397" s="122" t="s">
        <v>165</v>
      </c>
      <c r="AL397" s="129" t="s">
        <v>179</v>
      </c>
      <c r="AM397" s="129" t="s">
        <v>130</v>
      </c>
      <c r="AN397" s="216" t="s">
        <v>131</v>
      </c>
      <c r="AO397" s="127">
        <v>27.0</v>
      </c>
      <c r="AP397" s="127">
        <v>1.13</v>
      </c>
      <c r="AQ397" s="123" t="s">
        <v>166</v>
      </c>
      <c r="AR397" s="222" t="s">
        <v>806</v>
      </c>
      <c r="AS397" s="127">
        <v>0.001</v>
      </c>
      <c r="AT397" s="122" t="s">
        <v>128</v>
      </c>
      <c r="AU397" s="122" t="s">
        <v>179</v>
      </c>
      <c r="AV397" s="122" t="s">
        <v>134</v>
      </c>
      <c r="AW397" s="216" t="s">
        <v>131</v>
      </c>
      <c r="AX397" s="707" t="s">
        <v>431</v>
      </c>
      <c r="AY397" s="58"/>
      <c r="AZ397" s="121" t="s">
        <v>137</v>
      </c>
      <c r="BA397" s="69"/>
      <c r="BB397" s="69"/>
      <c r="BC397" s="69"/>
      <c r="BD397" s="69"/>
      <c r="BE397" s="69"/>
      <c r="BF397" s="69"/>
      <c r="BG397" s="69"/>
      <c r="BH397" s="69"/>
      <c r="BI397" s="69"/>
      <c r="BJ397" s="69"/>
      <c r="BK397" s="69"/>
      <c r="BL397" s="69"/>
      <c r="BM397" s="69"/>
      <c r="BN397" s="69"/>
      <c r="BO397" s="69"/>
      <c r="BP397" s="69"/>
      <c r="BQ397" s="69"/>
      <c r="BR397" s="69"/>
      <c r="BS397" s="69"/>
      <c r="BT397" s="69"/>
      <c r="BU397" s="69"/>
      <c r="BV397" s="69"/>
      <c r="BW397" s="69"/>
      <c r="BX397" s="69"/>
      <c r="BY397" s="69"/>
      <c r="BZ397" s="69"/>
      <c r="CA397" s="69"/>
      <c r="CB397" s="69"/>
      <c r="CC397" s="69"/>
      <c r="CD397" s="69"/>
      <c r="CE397" s="69"/>
      <c r="CF397" s="69"/>
      <c r="CG397" s="69"/>
      <c r="CH397" s="69"/>
      <c r="CI397" s="69"/>
      <c r="CJ397" s="69"/>
      <c r="CK397" s="69"/>
      <c r="CL397" s="69"/>
      <c r="CM397" s="69"/>
      <c r="CN397" s="69"/>
      <c r="CO397" s="69"/>
      <c r="CP397" s="69"/>
      <c r="CQ397" s="69"/>
      <c r="CR397" s="69"/>
      <c r="CS397" s="69"/>
      <c r="CT397" s="69"/>
      <c r="CU397" s="69"/>
      <c r="CV397" s="69"/>
      <c r="CW397" s="69"/>
      <c r="CX397" s="69"/>
      <c r="CY397" s="69"/>
      <c r="CZ397" s="69"/>
      <c r="DA397" s="69"/>
      <c r="DB397" s="69"/>
      <c r="DC397" s="69"/>
      <c r="DD397" s="69"/>
      <c r="DE397" s="69"/>
      <c r="DF397" s="69"/>
      <c r="DG397" s="69"/>
      <c r="DH397" s="69"/>
    </row>
    <row r="398" ht="20.25" customHeight="1">
      <c r="A398" s="41">
        <v>398.0</v>
      </c>
      <c r="B398" s="713" t="s">
        <v>145</v>
      </c>
      <c r="C398" s="713" t="s">
        <v>108</v>
      </c>
      <c r="D398" s="713" t="s">
        <v>1803</v>
      </c>
      <c r="E398" s="694"/>
      <c r="F398" s="714" t="s">
        <v>2170</v>
      </c>
      <c r="G398" s="715" t="s">
        <v>2171</v>
      </c>
      <c r="H398" s="715" t="s">
        <v>1804</v>
      </c>
      <c r="I398" s="716">
        <v>45642.0</v>
      </c>
      <c r="J398" s="566">
        <v>45671.0</v>
      </c>
      <c r="K398" s="715" t="s">
        <v>2172</v>
      </c>
      <c r="L398" s="368" t="s">
        <v>2173</v>
      </c>
      <c r="M398" s="715" t="s">
        <v>2174</v>
      </c>
      <c r="N398" s="715" t="s">
        <v>2175</v>
      </c>
      <c r="O398" s="717">
        <v>1.0</v>
      </c>
      <c r="P398" s="718" t="str">
        <f t="shared" ref="P398:P417" si="24"> SUBSTITUTE(lower(N398), "/", "--") &amp;  ".pdf"</f>
        <v>10.1037--0021-9010.77.4.419.pdf</v>
      </c>
      <c r="Q398" s="49" t="str">
        <f t="array" ref="Q398"> if(iserror(MATCH(V398, 'File Links'!C:C, 0)), "N/A", HYPERLINK(INDEX('File Links'!B:B, MATCH(P398, 'File Links'!C:C, 0))))</f>
        <v>https://drive.google.com/file/d/1XtfL3wumyr6mb9iCgCxuHmUHHvQhg4yN/view?usp=drivesdk</v>
      </c>
      <c r="R398" s="719" t="s">
        <v>2176</v>
      </c>
      <c r="S398" s="715" t="s">
        <v>2177</v>
      </c>
      <c r="T398" s="720"/>
      <c r="U398" s="718" t="s">
        <v>2178</v>
      </c>
      <c r="V398" s="715" t="str">
        <f t="shared" ref="V398:V550" si="25"> hyperlink(vlookup(lower(S398),#REF!, 2, FALSE), SUBSTITUTE(lower(S398), "/", "--") &amp;  ".pdf")</f>
        <v>10.1037--xap0000321.pdf</v>
      </c>
      <c r="W398" s="715" t="s">
        <v>2179</v>
      </c>
      <c r="X398" s="51" t="str">
        <f t="array" ref="X398"> if(iserror(MATCH(V398, 'File Links'!C:C, 0)), "N/A", HYPERLINK(INDEX('File Links'!B:B, MATCH(V398, 'File Links'!C:C, 0))))</f>
        <v>https://drive.google.com/file/d/13DjN87PTnd1gRVtF4FDN_PrjD6syLFtl/view?usp=drivesdk</v>
      </c>
      <c r="Y398" s="720"/>
      <c r="Z398" s="715" t="s">
        <v>203</v>
      </c>
      <c r="AA398" s="715" t="s">
        <v>2180</v>
      </c>
      <c r="AB398" s="715" t="s">
        <v>2181</v>
      </c>
      <c r="AC398" s="715" t="s">
        <v>2182</v>
      </c>
      <c r="AD398" s="715" t="s">
        <v>2183</v>
      </c>
      <c r="AE398" s="721">
        <v>5.0</v>
      </c>
      <c r="AF398" s="721">
        <v>60.0</v>
      </c>
      <c r="AG398" s="721">
        <v>0.598</v>
      </c>
      <c r="AH398" s="718" t="s">
        <v>166</v>
      </c>
      <c r="AI398" s="721">
        <f>(5.1-4)/SQRT(((30-1)*1.7^2+(30-1)*1.97^2)/(30+30-2))</f>
        <v>0.5978393308</v>
      </c>
      <c r="AJ398" s="721">
        <v>0.05</v>
      </c>
      <c r="AK398" s="714" t="s">
        <v>128</v>
      </c>
      <c r="AL398" s="396" t="s">
        <v>179</v>
      </c>
      <c r="AM398" s="722" t="s">
        <v>130</v>
      </c>
      <c r="AN398" s="715" t="s">
        <v>131</v>
      </c>
      <c r="AO398" s="721">
        <v>404.0</v>
      </c>
      <c r="AP398" s="721">
        <v>-0.04</v>
      </c>
      <c r="AQ398" s="715" t="s">
        <v>166</v>
      </c>
      <c r="AR398" s="715" t="s">
        <v>2184</v>
      </c>
      <c r="AS398" s="721">
        <v>0.77</v>
      </c>
      <c r="AT398" s="714" t="s">
        <v>165</v>
      </c>
      <c r="AU398" s="404" t="s">
        <v>179</v>
      </c>
      <c r="AV398" s="723" t="s">
        <v>131</v>
      </c>
      <c r="AW398" s="714" t="s">
        <v>131</v>
      </c>
      <c r="AX398" s="714" t="s">
        <v>136</v>
      </c>
      <c r="AY398" s="126"/>
      <c r="AZ398" s="121" t="s">
        <v>137</v>
      </c>
      <c r="BA398" s="69"/>
      <c r="BB398" s="69"/>
      <c r="BC398" s="69"/>
      <c r="BD398" s="69"/>
      <c r="BE398" s="69"/>
      <c r="BF398" s="69"/>
      <c r="BG398" s="69"/>
      <c r="BH398" s="69"/>
      <c r="BI398" s="69"/>
      <c r="BJ398" s="69"/>
      <c r="BK398" s="69"/>
      <c r="BL398" s="69"/>
      <c r="BM398" s="69"/>
      <c r="BN398" s="69"/>
      <c r="BO398" s="69"/>
      <c r="BP398" s="69"/>
      <c r="BQ398" s="69"/>
      <c r="BR398" s="69"/>
      <c r="BS398" s="69"/>
      <c r="BT398" s="69"/>
      <c r="BU398" s="69"/>
      <c r="BV398" s="69"/>
      <c r="BW398" s="69"/>
      <c r="BX398" s="69"/>
      <c r="BY398" s="69"/>
      <c r="BZ398" s="69"/>
      <c r="CA398" s="69"/>
      <c r="CB398" s="69"/>
      <c r="CC398" s="69"/>
      <c r="CD398" s="69"/>
      <c r="CE398" s="69"/>
      <c r="CF398" s="69"/>
      <c r="CG398" s="69"/>
      <c r="CH398" s="69"/>
      <c r="CI398" s="69"/>
      <c r="CJ398" s="69"/>
      <c r="CK398" s="69"/>
      <c r="CL398" s="69"/>
      <c r="CM398" s="69"/>
      <c r="CN398" s="69"/>
      <c r="CO398" s="69"/>
      <c r="CP398" s="69"/>
      <c r="CQ398" s="69"/>
      <c r="CR398" s="69"/>
      <c r="CS398" s="69"/>
      <c r="CT398" s="69"/>
      <c r="CU398" s="69"/>
      <c r="CV398" s="69"/>
      <c r="CW398" s="69"/>
      <c r="CX398" s="69"/>
      <c r="CY398" s="69"/>
      <c r="CZ398" s="69"/>
      <c r="DA398" s="69"/>
      <c r="DB398" s="69"/>
      <c r="DC398" s="69"/>
      <c r="DD398" s="69"/>
      <c r="DE398" s="69"/>
      <c r="DF398" s="69"/>
      <c r="DG398" s="69"/>
      <c r="DH398" s="69"/>
    </row>
    <row r="399" ht="20.25" customHeight="1">
      <c r="A399" s="41">
        <v>399.0</v>
      </c>
      <c r="B399" s="394" t="s">
        <v>107</v>
      </c>
      <c r="C399" s="394" t="s">
        <v>108</v>
      </c>
      <c r="D399" s="394" t="s">
        <v>2185</v>
      </c>
      <c r="E399" s="217"/>
      <c r="F399" s="404" t="s">
        <v>2170</v>
      </c>
      <c r="G399" s="396" t="s">
        <v>2171</v>
      </c>
      <c r="H399" s="404" t="s">
        <v>2186</v>
      </c>
      <c r="I399" s="724">
        <v>45640.0</v>
      </c>
      <c r="J399" s="566">
        <v>45671.0</v>
      </c>
      <c r="K399" s="395"/>
      <c r="L399" s="395"/>
      <c r="M399" s="404" t="s">
        <v>2174</v>
      </c>
      <c r="N399" s="404" t="s">
        <v>2175</v>
      </c>
      <c r="O399" s="395"/>
      <c r="P399" s="404" t="str">
        <f t="shared" si="24"/>
        <v>10.1037--0021-9010.77.4.419.pdf</v>
      </c>
      <c r="Q399" s="49" t="str">
        <f t="array" ref="Q399"> if(iserror(MATCH(V399, 'File Links'!C:C, 0)), "N/A", HYPERLINK(INDEX('File Links'!B:B, MATCH(P399, 'File Links'!C:C, 0))))</f>
        <v>https://drive.google.com/file/d/1XtfL3wumyr6mb9iCgCxuHmUHHvQhg4yN/view?usp=drivesdk</v>
      </c>
      <c r="R399" s="404" t="s">
        <v>2187</v>
      </c>
      <c r="S399" s="404" t="s">
        <v>2177</v>
      </c>
      <c r="T399" s="395"/>
      <c r="U399" s="725">
        <v>1.0</v>
      </c>
      <c r="V399" s="404" t="str">
        <f t="shared" si="25"/>
        <v>10.1037--xap0000321.pdf</v>
      </c>
      <c r="W399" s="404" t="s">
        <v>2188</v>
      </c>
      <c r="X399" s="51" t="str">
        <f t="array" ref="X399"> if(iserror(MATCH(V399, 'File Links'!C:C, 0)), "N/A", HYPERLINK(INDEX('File Links'!B:B, MATCH(V399, 'File Links'!C:C, 0))))</f>
        <v>https://drive.google.com/file/d/13DjN87PTnd1gRVtF4FDN_PrjD6syLFtl/view?usp=drivesdk</v>
      </c>
      <c r="Y399" s="395"/>
      <c r="Z399" s="404" t="s">
        <v>1802</v>
      </c>
      <c r="AA399" s="404" t="s">
        <v>2189</v>
      </c>
      <c r="AB399" s="404" t="s">
        <v>2190</v>
      </c>
      <c r="AC399" s="404" t="s">
        <v>2191</v>
      </c>
      <c r="AD399" s="404" t="s">
        <v>2192</v>
      </c>
      <c r="AE399" s="726">
        <v>45448.0</v>
      </c>
      <c r="AF399" s="725">
        <v>193.0</v>
      </c>
      <c r="AG399" s="404" t="s">
        <v>2193</v>
      </c>
      <c r="AH399" s="116" t="s">
        <v>127</v>
      </c>
      <c r="AI399" s="396" t="s">
        <v>133</v>
      </c>
      <c r="AJ399" s="403">
        <v>0.001</v>
      </c>
      <c r="AK399" s="404" t="s">
        <v>128</v>
      </c>
      <c r="AL399" s="396" t="s">
        <v>179</v>
      </c>
      <c r="AM399" s="404" t="s">
        <v>130</v>
      </c>
      <c r="AN399" s="715" t="s">
        <v>131</v>
      </c>
      <c r="AO399" s="725">
        <v>205.0</v>
      </c>
      <c r="AP399" s="725">
        <v>0.003</v>
      </c>
      <c r="AQ399" s="395" t="s">
        <v>132</v>
      </c>
      <c r="AR399" s="404" t="s">
        <v>133</v>
      </c>
      <c r="AS399" s="725">
        <v>0.81</v>
      </c>
      <c r="AT399" s="404" t="s">
        <v>165</v>
      </c>
      <c r="AU399" s="404" t="s">
        <v>179</v>
      </c>
      <c r="AV399" s="404" t="s">
        <v>130</v>
      </c>
      <c r="AW399" s="714" t="s">
        <v>131</v>
      </c>
      <c r="AX399" s="404" t="s">
        <v>136</v>
      </c>
      <c r="AY399" s="65"/>
      <c r="AZ399" s="121" t="s">
        <v>137</v>
      </c>
      <c r="BA399" s="69"/>
      <c r="BB399" s="69"/>
      <c r="BC399" s="69"/>
      <c r="BD399" s="69"/>
      <c r="BE399" s="69"/>
      <c r="BF399" s="69"/>
      <c r="BG399" s="69"/>
      <c r="BH399" s="69"/>
      <c r="BI399" s="69"/>
      <c r="BJ399" s="69"/>
      <c r="BK399" s="69"/>
      <c r="BL399" s="69"/>
      <c r="BM399" s="69"/>
      <c r="BN399" s="69"/>
      <c r="BO399" s="69"/>
      <c r="BP399" s="69"/>
      <c r="BQ399" s="69"/>
      <c r="BR399" s="69"/>
      <c r="BS399" s="69"/>
      <c r="BT399" s="69"/>
      <c r="BU399" s="69"/>
      <c r="BV399" s="69"/>
      <c r="BW399" s="69"/>
      <c r="BX399" s="69"/>
      <c r="BY399" s="69"/>
      <c r="BZ399" s="69"/>
      <c r="CA399" s="69"/>
      <c r="CB399" s="69"/>
      <c r="CC399" s="69"/>
      <c r="CD399" s="69"/>
      <c r="CE399" s="69"/>
      <c r="CF399" s="69"/>
      <c r="CG399" s="69"/>
      <c r="CH399" s="69"/>
      <c r="CI399" s="69"/>
      <c r="CJ399" s="69"/>
      <c r="CK399" s="69"/>
      <c r="CL399" s="69"/>
      <c r="CM399" s="69"/>
      <c r="CN399" s="69"/>
      <c r="CO399" s="69"/>
      <c r="CP399" s="69"/>
      <c r="CQ399" s="69"/>
      <c r="CR399" s="69"/>
      <c r="CS399" s="69"/>
      <c r="CT399" s="69"/>
      <c r="CU399" s="69"/>
      <c r="CV399" s="69"/>
      <c r="CW399" s="69"/>
      <c r="CX399" s="69"/>
      <c r="CY399" s="69"/>
      <c r="CZ399" s="69"/>
      <c r="DA399" s="69"/>
      <c r="DB399" s="69"/>
      <c r="DC399" s="69"/>
      <c r="DD399" s="69"/>
      <c r="DE399" s="69"/>
      <c r="DF399" s="69"/>
      <c r="DG399" s="69"/>
      <c r="DH399" s="69"/>
    </row>
    <row r="400" ht="20.25" customHeight="1">
      <c r="A400" s="41">
        <v>400.0</v>
      </c>
      <c r="B400" s="713" t="s">
        <v>145</v>
      </c>
      <c r="C400" s="713" t="s">
        <v>108</v>
      </c>
      <c r="D400" s="713" t="s">
        <v>1803</v>
      </c>
      <c r="E400" s="694"/>
      <c r="F400" s="714" t="s">
        <v>2170</v>
      </c>
      <c r="G400" s="727" t="s">
        <v>2194</v>
      </c>
      <c r="H400" s="715" t="s">
        <v>1804</v>
      </c>
      <c r="I400" s="716">
        <v>45642.0</v>
      </c>
      <c r="J400" s="566">
        <v>45671.0</v>
      </c>
      <c r="K400" s="715" t="s">
        <v>2172</v>
      </c>
      <c r="L400" s="368" t="s">
        <v>2173</v>
      </c>
      <c r="M400" s="715" t="s">
        <v>2174</v>
      </c>
      <c r="N400" s="715" t="s">
        <v>2175</v>
      </c>
      <c r="O400" s="717">
        <v>1.0</v>
      </c>
      <c r="P400" s="718" t="str">
        <f t="shared" si="24"/>
        <v>10.1037--0021-9010.77.4.419.pdf</v>
      </c>
      <c r="Q400" s="49" t="str">
        <f t="array" ref="Q400"> if(iserror(MATCH(V400, 'File Links'!C:C, 0)), "N/A", HYPERLINK(INDEX('File Links'!B:B, MATCH(P400, 'File Links'!C:C, 0))))</f>
        <v>https://drive.google.com/file/d/1XtfL3wumyr6mb9iCgCxuHmUHHvQhg4yN/view?usp=drivesdk</v>
      </c>
      <c r="R400" s="715" t="s">
        <v>2187</v>
      </c>
      <c r="S400" s="715" t="s">
        <v>2177</v>
      </c>
      <c r="T400" s="720"/>
      <c r="U400" s="718" t="s">
        <v>2178</v>
      </c>
      <c r="V400" s="715" t="str">
        <f t="shared" si="25"/>
        <v>10.1037--xap0000321.pdf</v>
      </c>
      <c r="W400" s="715" t="s">
        <v>2179</v>
      </c>
      <c r="X400" s="51" t="str">
        <f t="array" ref="X400"> if(iserror(MATCH(V400, 'File Links'!C:C, 0)), "N/A", HYPERLINK(INDEX('File Links'!B:B, MATCH(V400, 'File Links'!C:C, 0))))</f>
        <v>https://drive.google.com/file/d/13DjN87PTnd1gRVtF4FDN_PrjD6syLFtl/view?usp=drivesdk</v>
      </c>
      <c r="Y400" s="720"/>
      <c r="Z400" s="715" t="s">
        <v>203</v>
      </c>
      <c r="AA400" s="715" t="s">
        <v>2180</v>
      </c>
      <c r="AB400" s="715" t="s">
        <v>2181</v>
      </c>
      <c r="AC400" s="715" t="s">
        <v>2182</v>
      </c>
      <c r="AD400" s="715" t="s">
        <v>2195</v>
      </c>
      <c r="AE400" s="721">
        <v>5.0</v>
      </c>
      <c r="AF400" s="721">
        <v>60.0</v>
      </c>
      <c r="AG400" s="721">
        <v>-0.374</v>
      </c>
      <c r="AH400" s="718" t="s">
        <v>166</v>
      </c>
      <c r="AI400" s="721">
        <f>(5.1-5.8)/SQRT(((30-1)*1.7^2+(30-1)*2.03^2)/(30+30-2))</f>
        <v>-0.3738747637</v>
      </c>
      <c r="AJ400" s="721">
        <v>0.05</v>
      </c>
      <c r="AK400" s="714" t="s">
        <v>328</v>
      </c>
      <c r="AL400" s="396" t="s">
        <v>179</v>
      </c>
      <c r="AM400" s="722" t="s">
        <v>130</v>
      </c>
      <c r="AN400" s="715" t="s">
        <v>131</v>
      </c>
      <c r="AO400" s="721">
        <v>404.0</v>
      </c>
      <c r="AP400" s="721">
        <v>0.03</v>
      </c>
      <c r="AQ400" s="715" t="s">
        <v>166</v>
      </c>
      <c r="AR400" s="715" t="s">
        <v>2184</v>
      </c>
      <c r="AS400" s="721">
        <v>0.55</v>
      </c>
      <c r="AT400" s="714" t="s">
        <v>165</v>
      </c>
      <c r="AU400" s="404" t="s">
        <v>179</v>
      </c>
      <c r="AV400" s="723" t="s">
        <v>131</v>
      </c>
      <c r="AW400" s="714" t="s">
        <v>131</v>
      </c>
      <c r="AX400" s="714" t="s">
        <v>136</v>
      </c>
      <c r="AY400" s="126"/>
      <c r="AZ400" s="121" t="s">
        <v>137</v>
      </c>
      <c r="BA400" s="69"/>
      <c r="BB400" s="69"/>
      <c r="BC400" s="69"/>
      <c r="BD400" s="69"/>
      <c r="BE400" s="69"/>
      <c r="BF400" s="69"/>
      <c r="BG400" s="69"/>
      <c r="BH400" s="69"/>
      <c r="BI400" s="69"/>
      <c r="BJ400" s="69"/>
      <c r="BK400" s="69"/>
      <c r="BL400" s="69"/>
      <c r="BM400" s="69"/>
      <c r="BN400" s="69"/>
      <c r="BO400" s="69"/>
      <c r="BP400" s="69"/>
      <c r="BQ400" s="69"/>
      <c r="BR400" s="69"/>
      <c r="BS400" s="69"/>
      <c r="BT400" s="69"/>
      <c r="BU400" s="69"/>
      <c r="BV400" s="69"/>
      <c r="BW400" s="69"/>
      <c r="BX400" s="69"/>
      <c r="BY400" s="69"/>
      <c r="BZ400" s="69"/>
      <c r="CA400" s="69"/>
      <c r="CB400" s="69"/>
      <c r="CC400" s="69"/>
      <c r="CD400" s="69"/>
      <c r="CE400" s="69"/>
      <c r="CF400" s="69"/>
      <c r="CG400" s="69"/>
      <c r="CH400" s="69"/>
      <c r="CI400" s="69"/>
      <c r="CJ400" s="69"/>
      <c r="CK400" s="69"/>
      <c r="CL400" s="69"/>
      <c r="CM400" s="69"/>
      <c r="CN400" s="69"/>
      <c r="CO400" s="69"/>
      <c r="CP400" s="69"/>
      <c r="CQ400" s="69"/>
      <c r="CR400" s="69"/>
      <c r="CS400" s="69"/>
      <c r="CT400" s="69"/>
      <c r="CU400" s="69"/>
      <c r="CV400" s="69"/>
      <c r="CW400" s="69"/>
      <c r="CX400" s="69"/>
      <c r="CY400" s="69"/>
      <c r="CZ400" s="69"/>
      <c r="DA400" s="69"/>
      <c r="DB400" s="69"/>
      <c r="DC400" s="69"/>
      <c r="DD400" s="69"/>
      <c r="DE400" s="69"/>
      <c r="DF400" s="69"/>
      <c r="DG400" s="69"/>
      <c r="DH400" s="69"/>
    </row>
    <row r="401" ht="20.25" customHeight="1">
      <c r="A401" s="41">
        <v>401.0</v>
      </c>
      <c r="B401" s="394" t="s">
        <v>107</v>
      </c>
      <c r="C401" s="394" t="s">
        <v>108</v>
      </c>
      <c r="D401" s="394" t="s">
        <v>2185</v>
      </c>
      <c r="E401" s="217"/>
      <c r="F401" s="714" t="s">
        <v>2170</v>
      </c>
      <c r="G401" s="396" t="s">
        <v>2194</v>
      </c>
      <c r="H401" s="404" t="s">
        <v>2186</v>
      </c>
      <c r="I401" s="724">
        <v>45643.0</v>
      </c>
      <c r="J401" s="566">
        <v>45671.0</v>
      </c>
      <c r="K401" s="395"/>
      <c r="L401" s="395"/>
      <c r="M401" s="404" t="s">
        <v>2174</v>
      </c>
      <c r="N401" s="404" t="s">
        <v>2175</v>
      </c>
      <c r="O401" s="395"/>
      <c r="P401" s="404" t="str">
        <f t="shared" si="24"/>
        <v>10.1037--0021-9010.77.4.419.pdf</v>
      </c>
      <c r="Q401" s="49" t="str">
        <f t="array" ref="Q401"> if(iserror(MATCH(V401, 'File Links'!C:C, 0)), "N/A", HYPERLINK(INDEX('File Links'!B:B, MATCH(P401, 'File Links'!C:C, 0))))</f>
        <v>https://drive.google.com/file/d/1XtfL3wumyr6mb9iCgCxuHmUHHvQhg4yN/view?usp=drivesdk</v>
      </c>
      <c r="R401" s="643" t="s">
        <v>2196</v>
      </c>
      <c r="S401" s="643" t="s">
        <v>2177</v>
      </c>
      <c r="T401" s="395"/>
      <c r="U401" s="725">
        <v>1.0</v>
      </c>
      <c r="V401" s="404" t="str">
        <f t="shared" si="25"/>
        <v>10.1037--xap0000321.pdf</v>
      </c>
      <c r="W401" s="404" t="s">
        <v>2188</v>
      </c>
      <c r="X401" s="51" t="str">
        <f t="array" ref="X401"> if(iserror(MATCH(V401, 'File Links'!C:C, 0)), "N/A", HYPERLINK(INDEX('File Links'!B:B, MATCH(V401, 'File Links'!C:C, 0))))</f>
        <v>https://drive.google.com/file/d/13DjN87PTnd1gRVtF4FDN_PrjD6syLFtl/view?usp=drivesdk</v>
      </c>
      <c r="Y401" s="395"/>
      <c r="Z401" s="404" t="s">
        <v>1802</v>
      </c>
      <c r="AA401" s="404" t="s">
        <v>2189</v>
      </c>
      <c r="AB401" s="404" t="s">
        <v>2190</v>
      </c>
      <c r="AC401" s="404" t="s">
        <v>2197</v>
      </c>
      <c r="AD401" s="404" t="s">
        <v>2198</v>
      </c>
      <c r="AE401" s="725">
        <v>6.0</v>
      </c>
      <c r="AF401" s="725">
        <v>60.0</v>
      </c>
      <c r="AG401" s="404" t="s">
        <v>2199</v>
      </c>
      <c r="AH401" s="116" t="s">
        <v>127</v>
      </c>
      <c r="AI401" s="396" t="s">
        <v>133</v>
      </c>
      <c r="AJ401" s="403">
        <v>0.05</v>
      </c>
      <c r="AK401" s="404" t="s">
        <v>128</v>
      </c>
      <c r="AL401" s="396" t="s">
        <v>179</v>
      </c>
      <c r="AM401" s="404" t="s">
        <v>130</v>
      </c>
      <c r="AN401" s="715" t="s">
        <v>131</v>
      </c>
      <c r="AO401" s="725">
        <v>205.0</v>
      </c>
      <c r="AP401" s="725">
        <v>0.003</v>
      </c>
      <c r="AQ401" s="395" t="s">
        <v>132</v>
      </c>
      <c r="AR401" s="404" t="s">
        <v>133</v>
      </c>
      <c r="AS401" s="725">
        <v>0.54</v>
      </c>
      <c r="AT401" s="404" t="s">
        <v>2200</v>
      </c>
      <c r="AU401" s="404" t="s">
        <v>179</v>
      </c>
      <c r="AV401" s="404" t="s">
        <v>130</v>
      </c>
      <c r="AW401" s="714" t="s">
        <v>131</v>
      </c>
      <c r="AX401" s="404" t="s">
        <v>136</v>
      </c>
      <c r="AY401" s="65"/>
      <c r="AZ401" s="121" t="s">
        <v>137</v>
      </c>
      <c r="BA401" s="69"/>
      <c r="BB401" s="69"/>
      <c r="BC401" s="69"/>
      <c r="BD401" s="69"/>
      <c r="BE401" s="69"/>
      <c r="BF401" s="69"/>
      <c r="BG401" s="69"/>
      <c r="BH401" s="69"/>
      <c r="BI401" s="69"/>
      <c r="BJ401" s="69"/>
      <c r="BK401" s="69"/>
      <c r="BL401" s="69"/>
      <c r="BM401" s="69"/>
      <c r="BN401" s="69"/>
      <c r="BO401" s="69"/>
      <c r="BP401" s="69"/>
      <c r="BQ401" s="69"/>
      <c r="BR401" s="69"/>
      <c r="BS401" s="69"/>
      <c r="BT401" s="69"/>
      <c r="BU401" s="69"/>
      <c r="BV401" s="69"/>
      <c r="BW401" s="69"/>
      <c r="BX401" s="69"/>
      <c r="BY401" s="69"/>
      <c r="BZ401" s="69"/>
      <c r="CA401" s="69"/>
      <c r="CB401" s="69"/>
      <c r="CC401" s="69"/>
      <c r="CD401" s="69"/>
      <c r="CE401" s="69"/>
      <c r="CF401" s="69"/>
      <c r="CG401" s="69"/>
      <c r="CH401" s="69"/>
      <c r="CI401" s="69"/>
      <c r="CJ401" s="69"/>
      <c r="CK401" s="69"/>
      <c r="CL401" s="69"/>
      <c r="CM401" s="69"/>
      <c r="CN401" s="69"/>
      <c r="CO401" s="69"/>
      <c r="CP401" s="69"/>
      <c r="CQ401" s="69"/>
      <c r="CR401" s="69"/>
      <c r="CS401" s="69"/>
      <c r="CT401" s="69"/>
      <c r="CU401" s="69"/>
      <c r="CV401" s="69"/>
      <c r="CW401" s="69"/>
      <c r="CX401" s="69"/>
      <c r="CY401" s="69"/>
      <c r="CZ401" s="69"/>
      <c r="DA401" s="69"/>
      <c r="DB401" s="69"/>
      <c r="DC401" s="69"/>
      <c r="DD401" s="69"/>
      <c r="DE401" s="69"/>
      <c r="DF401" s="69"/>
      <c r="DG401" s="69"/>
      <c r="DH401" s="69"/>
    </row>
    <row r="402" ht="20.25" customHeight="1">
      <c r="A402" s="41">
        <v>402.0</v>
      </c>
      <c r="B402" s="713" t="s">
        <v>145</v>
      </c>
      <c r="C402" s="713" t="s">
        <v>108</v>
      </c>
      <c r="D402" s="713" t="s">
        <v>1803</v>
      </c>
      <c r="E402" s="694"/>
      <c r="F402" s="714" t="s">
        <v>2170</v>
      </c>
      <c r="G402" s="727" t="s">
        <v>2201</v>
      </c>
      <c r="H402" s="715" t="s">
        <v>1804</v>
      </c>
      <c r="I402" s="716">
        <v>45642.0</v>
      </c>
      <c r="J402" s="566">
        <v>45671.0</v>
      </c>
      <c r="K402" s="715" t="s">
        <v>2172</v>
      </c>
      <c r="L402" s="368" t="s">
        <v>2173</v>
      </c>
      <c r="M402" s="715" t="s">
        <v>2174</v>
      </c>
      <c r="N402" s="715" t="s">
        <v>2175</v>
      </c>
      <c r="O402" s="717">
        <v>1.0</v>
      </c>
      <c r="P402" s="718" t="str">
        <f t="shared" si="24"/>
        <v>10.1037--0021-9010.77.4.419.pdf</v>
      </c>
      <c r="Q402" s="49" t="str">
        <f t="array" ref="Q402"> if(iserror(MATCH(V402, 'File Links'!C:C, 0)), "N/A", HYPERLINK(INDEX('File Links'!B:B, MATCH(P402, 'File Links'!C:C, 0))))</f>
        <v>https://drive.google.com/file/d/1XtfL3wumyr6mb9iCgCxuHmUHHvQhg4yN/view?usp=drivesdk</v>
      </c>
      <c r="R402" s="715" t="s">
        <v>2187</v>
      </c>
      <c r="S402" s="715" t="s">
        <v>2177</v>
      </c>
      <c r="T402" s="720"/>
      <c r="U402" s="718" t="s">
        <v>2178</v>
      </c>
      <c r="V402" s="715" t="str">
        <f t="shared" si="25"/>
        <v>10.1037--xap0000321.pdf</v>
      </c>
      <c r="W402" s="715" t="s">
        <v>2179</v>
      </c>
      <c r="X402" s="51" t="str">
        <f t="array" ref="X402"> if(iserror(MATCH(V402, 'File Links'!C:C, 0)), "N/A", HYPERLINK(INDEX('File Links'!B:B, MATCH(V402, 'File Links'!C:C, 0))))</f>
        <v>https://drive.google.com/file/d/13DjN87PTnd1gRVtF4FDN_PrjD6syLFtl/view?usp=drivesdk</v>
      </c>
      <c r="Y402" s="720"/>
      <c r="Z402" s="715" t="s">
        <v>203</v>
      </c>
      <c r="AA402" s="715" t="s">
        <v>2180</v>
      </c>
      <c r="AB402" s="715" t="s">
        <v>2181</v>
      </c>
      <c r="AC402" s="715" t="s">
        <v>2182</v>
      </c>
      <c r="AD402" s="715" t="s">
        <v>2202</v>
      </c>
      <c r="AE402" s="721">
        <v>6.0</v>
      </c>
      <c r="AF402" s="721">
        <v>60.0</v>
      </c>
      <c r="AG402" s="721">
        <v>0.9</v>
      </c>
      <c r="AH402" s="718" t="s">
        <v>166</v>
      </c>
      <c r="AI402" s="721">
        <f>(5.8-4)/SQRT(((30-1)*2.03^2+(30-1)*1.97^2)/(30+30-2))</f>
        <v>0.8998987671</v>
      </c>
      <c r="AJ402" s="721">
        <v>0.01</v>
      </c>
      <c r="AK402" s="714" t="s">
        <v>128</v>
      </c>
      <c r="AL402" s="396" t="s">
        <v>179</v>
      </c>
      <c r="AM402" s="722" t="s">
        <v>130</v>
      </c>
      <c r="AN402" s="715" t="s">
        <v>131</v>
      </c>
      <c r="AO402" s="721">
        <v>404.0</v>
      </c>
      <c r="AP402" s="721">
        <v>-0.08</v>
      </c>
      <c r="AQ402" s="715" t="s">
        <v>166</v>
      </c>
      <c r="AR402" s="715" t="s">
        <v>2184</v>
      </c>
      <c r="AS402" s="721">
        <v>0.82</v>
      </c>
      <c r="AT402" s="714" t="s">
        <v>165</v>
      </c>
      <c r="AU402" s="404" t="s">
        <v>179</v>
      </c>
      <c r="AV402" s="723" t="s">
        <v>131</v>
      </c>
      <c r="AW402" s="714" t="s">
        <v>131</v>
      </c>
      <c r="AX402" s="714" t="s">
        <v>136</v>
      </c>
      <c r="AY402" s="126"/>
      <c r="AZ402" s="121" t="s">
        <v>137</v>
      </c>
      <c r="BA402" s="69"/>
      <c r="BB402" s="69"/>
      <c r="BC402" s="69"/>
      <c r="BD402" s="69"/>
      <c r="BE402" s="69"/>
      <c r="BF402" s="69"/>
      <c r="BG402" s="69"/>
      <c r="BH402" s="69"/>
      <c r="BI402" s="69"/>
      <c r="BJ402" s="69"/>
      <c r="BK402" s="69"/>
      <c r="BL402" s="69"/>
      <c r="BM402" s="69"/>
      <c r="BN402" s="69"/>
      <c r="BO402" s="69"/>
      <c r="BP402" s="69"/>
      <c r="BQ402" s="69"/>
      <c r="BR402" s="69"/>
      <c r="BS402" s="69"/>
      <c r="BT402" s="69"/>
      <c r="BU402" s="69"/>
      <c r="BV402" s="69"/>
      <c r="BW402" s="69"/>
      <c r="BX402" s="69"/>
      <c r="BY402" s="69"/>
      <c r="BZ402" s="69"/>
      <c r="CA402" s="69"/>
      <c r="CB402" s="69"/>
      <c r="CC402" s="69"/>
      <c r="CD402" s="69"/>
      <c r="CE402" s="69"/>
      <c r="CF402" s="69"/>
      <c r="CG402" s="69"/>
      <c r="CH402" s="69"/>
      <c r="CI402" s="69"/>
      <c r="CJ402" s="69"/>
      <c r="CK402" s="69"/>
      <c r="CL402" s="69"/>
      <c r="CM402" s="69"/>
      <c r="CN402" s="69"/>
      <c r="CO402" s="69"/>
      <c r="CP402" s="69"/>
      <c r="CQ402" s="69"/>
      <c r="CR402" s="69"/>
      <c r="CS402" s="69"/>
      <c r="CT402" s="69"/>
      <c r="CU402" s="69"/>
      <c r="CV402" s="69"/>
      <c r="CW402" s="69"/>
      <c r="CX402" s="69"/>
      <c r="CY402" s="69"/>
      <c r="CZ402" s="69"/>
      <c r="DA402" s="69"/>
      <c r="DB402" s="69"/>
      <c r="DC402" s="69"/>
      <c r="DD402" s="69"/>
      <c r="DE402" s="69"/>
      <c r="DF402" s="69"/>
      <c r="DG402" s="69"/>
      <c r="DH402" s="69"/>
    </row>
    <row r="403" ht="20.25" customHeight="1">
      <c r="A403" s="41">
        <v>403.0</v>
      </c>
      <c r="B403" s="394" t="s">
        <v>107</v>
      </c>
      <c r="C403" s="394" t="s">
        <v>108</v>
      </c>
      <c r="D403" s="394" t="s">
        <v>2185</v>
      </c>
      <c r="E403" s="217"/>
      <c r="F403" s="714" t="s">
        <v>2170</v>
      </c>
      <c r="G403" s="396" t="s">
        <v>2201</v>
      </c>
      <c r="H403" s="404" t="s">
        <v>2186</v>
      </c>
      <c r="I403" s="724">
        <v>45643.0</v>
      </c>
      <c r="J403" s="566">
        <v>45671.0</v>
      </c>
      <c r="K403" s="395"/>
      <c r="L403" s="395"/>
      <c r="M403" s="404" t="s">
        <v>2174</v>
      </c>
      <c r="N403" s="404" t="s">
        <v>2175</v>
      </c>
      <c r="O403" s="395"/>
      <c r="P403" s="404" t="str">
        <f t="shared" si="24"/>
        <v>10.1037--0021-9010.77.4.419.pdf</v>
      </c>
      <c r="Q403" s="49" t="str">
        <f t="array" ref="Q403"> if(iserror(MATCH(V403, 'File Links'!C:C, 0)), "N/A", HYPERLINK(INDEX('File Links'!B:B, MATCH(P403, 'File Links'!C:C, 0))))</f>
        <v>https://drive.google.com/file/d/1XtfL3wumyr6mb9iCgCxuHmUHHvQhg4yN/view?usp=drivesdk</v>
      </c>
      <c r="R403" s="643" t="s">
        <v>2203</v>
      </c>
      <c r="S403" s="643" t="s">
        <v>2177</v>
      </c>
      <c r="T403" s="395"/>
      <c r="U403" s="725">
        <v>1.0</v>
      </c>
      <c r="V403" s="404" t="str">
        <f t="shared" si="25"/>
        <v>10.1037--xap0000321.pdf</v>
      </c>
      <c r="W403" s="404" t="s">
        <v>2188</v>
      </c>
      <c r="X403" s="51" t="str">
        <f t="array" ref="X403"> if(iserror(MATCH(V403, 'File Links'!C:C, 0)), "N/A", HYPERLINK(INDEX('File Links'!B:B, MATCH(V403, 'File Links'!C:C, 0))))</f>
        <v>https://drive.google.com/file/d/13DjN87PTnd1gRVtF4FDN_PrjD6syLFtl/view?usp=drivesdk</v>
      </c>
      <c r="Y403" s="395"/>
      <c r="Z403" s="404" t="s">
        <v>1802</v>
      </c>
      <c r="AA403" s="404" t="s">
        <v>2189</v>
      </c>
      <c r="AB403" s="404" t="s">
        <v>2190</v>
      </c>
      <c r="AC403" s="404" t="s">
        <v>2204</v>
      </c>
      <c r="AD403" s="404" t="s">
        <v>2205</v>
      </c>
      <c r="AE403" s="725">
        <v>6.0</v>
      </c>
      <c r="AF403" s="725">
        <v>60.0</v>
      </c>
      <c r="AG403" s="404" t="s">
        <v>2206</v>
      </c>
      <c r="AH403" s="116" t="s">
        <v>127</v>
      </c>
      <c r="AI403" s="396" t="s">
        <v>133</v>
      </c>
      <c r="AJ403" s="403">
        <v>0.01</v>
      </c>
      <c r="AK403" s="404" t="s">
        <v>128</v>
      </c>
      <c r="AL403" s="396" t="s">
        <v>179</v>
      </c>
      <c r="AM403" s="404" t="s">
        <v>130</v>
      </c>
      <c r="AN403" s="715" t="s">
        <v>131</v>
      </c>
      <c r="AO403" s="725">
        <v>205.0</v>
      </c>
      <c r="AP403" s="725">
        <v>0.003</v>
      </c>
      <c r="AQ403" s="395" t="s">
        <v>132</v>
      </c>
      <c r="AR403" s="404" t="s">
        <v>133</v>
      </c>
      <c r="AS403" s="725">
        <v>0.54</v>
      </c>
      <c r="AT403" s="404" t="s">
        <v>2200</v>
      </c>
      <c r="AU403" s="404" t="s">
        <v>179</v>
      </c>
      <c r="AV403" s="404" t="s">
        <v>130</v>
      </c>
      <c r="AW403" s="714" t="s">
        <v>131</v>
      </c>
      <c r="AX403" s="404" t="s">
        <v>136</v>
      </c>
      <c r="AY403" s="65"/>
      <c r="AZ403" s="121" t="s">
        <v>137</v>
      </c>
      <c r="BA403" s="69"/>
      <c r="BB403" s="69"/>
      <c r="BC403" s="69"/>
      <c r="BD403" s="69"/>
      <c r="BE403" s="69"/>
      <c r="BF403" s="69"/>
      <c r="BG403" s="69"/>
      <c r="BH403" s="69"/>
      <c r="BI403" s="69"/>
      <c r="BJ403" s="69"/>
      <c r="BK403" s="69"/>
      <c r="BL403" s="69"/>
      <c r="BM403" s="69"/>
      <c r="BN403" s="69"/>
      <c r="BO403" s="69"/>
      <c r="BP403" s="69"/>
      <c r="BQ403" s="69"/>
      <c r="BR403" s="69"/>
      <c r="BS403" s="69"/>
      <c r="BT403" s="69"/>
      <c r="BU403" s="69"/>
      <c r="BV403" s="69"/>
      <c r="BW403" s="69"/>
      <c r="BX403" s="69"/>
      <c r="BY403" s="69"/>
      <c r="BZ403" s="69"/>
      <c r="CA403" s="69"/>
      <c r="CB403" s="69"/>
      <c r="CC403" s="69"/>
      <c r="CD403" s="69"/>
      <c r="CE403" s="69"/>
      <c r="CF403" s="69"/>
      <c r="CG403" s="69"/>
      <c r="CH403" s="69"/>
      <c r="CI403" s="69"/>
      <c r="CJ403" s="69"/>
      <c r="CK403" s="69"/>
      <c r="CL403" s="69"/>
      <c r="CM403" s="69"/>
      <c r="CN403" s="69"/>
      <c r="CO403" s="69"/>
      <c r="CP403" s="69"/>
      <c r="CQ403" s="69"/>
      <c r="CR403" s="69"/>
      <c r="CS403" s="69"/>
      <c r="CT403" s="69"/>
      <c r="CU403" s="69"/>
      <c r="CV403" s="69"/>
      <c r="CW403" s="69"/>
      <c r="CX403" s="69"/>
      <c r="CY403" s="69"/>
      <c r="CZ403" s="69"/>
      <c r="DA403" s="69"/>
      <c r="DB403" s="69"/>
      <c r="DC403" s="69"/>
      <c r="DD403" s="69"/>
      <c r="DE403" s="69"/>
      <c r="DF403" s="69"/>
      <c r="DG403" s="69"/>
      <c r="DH403" s="69"/>
    </row>
    <row r="404" ht="20.25" customHeight="1">
      <c r="A404" s="41">
        <v>404.0</v>
      </c>
      <c r="B404" s="394" t="s">
        <v>107</v>
      </c>
      <c r="C404" s="394" t="s">
        <v>108</v>
      </c>
      <c r="D404" s="394" t="s">
        <v>2185</v>
      </c>
      <c r="E404" s="217"/>
      <c r="F404" s="714" t="s">
        <v>2170</v>
      </c>
      <c r="G404" s="396" t="s">
        <v>2207</v>
      </c>
      <c r="H404" s="404" t="s">
        <v>2186</v>
      </c>
      <c r="I404" s="724">
        <v>45643.0</v>
      </c>
      <c r="J404" s="566">
        <v>45671.0</v>
      </c>
      <c r="K404" s="395"/>
      <c r="L404" s="395"/>
      <c r="M404" s="404" t="s">
        <v>2174</v>
      </c>
      <c r="N404" s="404" t="s">
        <v>2175</v>
      </c>
      <c r="O404" s="395"/>
      <c r="P404" s="404" t="str">
        <f t="shared" si="24"/>
        <v>10.1037--0021-9010.77.4.419.pdf</v>
      </c>
      <c r="Q404" s="49" t="str">
        <f t="array" ref="Q404"> if(iserror(MATCH(V404, 'File Links'!C:C, 0)), "N/A", HYPERLINK(INDEX('File Links'!B:B, MATCH(P404, 'File Links'!C:C, 0))))</f>
        <v>https://drive.google.com/file/d/1XtfL3wumyr6mb9iCgCxuHmUHHvQhg4yN/view?usp=drivesdk</v>
      </c>
      <c r="R404" s="643" t="s">
        <v>2208</v>
      </c>
      <c r="S404" s="643" t="s">
        <v>2177</v>
      </c>
      <c r="T404" s="395"/>
      <c r="U404" s="725">
        <v>2.0</v>
      </c>
      <c r="V404" s="404" t="str">
        <f t="shared" si="25"/>
        <v>10.1037--xap0000321.pdf</v>
      </c>
      <c r="W404" s="404" t="s">
        <v>2188</v>
      </c>
      <c r="X404" s="51" t="str">
        <f t="array" ref="X404"> if(iserror(MATCH(V404, 'File Links'!C:C, 0)), "N/A", HYPERLINK(INDEX('File Links'!B:B, MATCH(V404, 'File Links'!C:C, 0))))</f>
        <v>https://drive.google.com/file/d/13DjN87PTnd1gRVtF4FDN_PrjD6syLFtl/view?usp=drivesdk</v>
      </c>
      <c r="Y404" s="395"/>
      <c r="Z404" s="404" t="s">
        <v>1802</v>
      </c>
      <c r="AA404" s="404" t="s">
        <v>2189</v>
      </c>
      <c r="AB404" s="728" t="s">
        <v>2190</v>
      </c>
      <c r="AC404" s="404" t="s">
        <v>2191</v>
      </c>
      <c r="AD404" s="404" t="s">
        <v>2192</v>
      </c>
      <c r="AE404" s="725">
        <v>6.0</v>
      </c>
      <c r="AF404" s="725">
        <v>193.0</v>
      </c>
      <c r="AG404" s="404" t="s">
        <v>2193</v>
      </c>
      <c r="AH404" s="116" t="s">
        <v>127</v>
      </c>
      <c r="AI404" s="396" t="s">
        <v>133</v>
      </c>
      <c r="AJ404" s="403">
        <v>0.001</v>
      </c>
      <c r="AK404" s="404" t="s">
        <v>128</v>
      </c>
      <c r="AL404" s="396" t="s">
        <v>179</v>
      </c>
      <c r="AM404" s="404" t="s">
        <v>130</v>
      </c>
      <c r="AN404" s="715" t="s">
        <v>131</v>
      </c>
      <c r="AO404" s="725">
        <v>199.0</v>
      </c>
      <c r="AP404" s="725">
        <v>0.006</v>
      </c>
      <c r="AQ404" s="395" t="s">
        <v>132</v>
      </c>
      <c r="AR404" s="404" t="s">
        <v>621</v>
      </c>
      <c r="AS404" s="725">
        <v>0.53</v>
      </c>
      <c r="AT404" s="404" t="s">
        <v>2200</v>
      </c>
      <c r="AU404" s="404" t="s">
        <v>179</v>
      </c>
      <c r="AV404" s="404" t="s">
        <v>130</v>
      </c>
      <c r="AW404" s="714" t="s">
        <v>131</v>
      </c>
      <c r="AX404" s="404" t="s">
        <v>144</v>
      </c>
      <c r="AY404" s="65"/>
      <c r="AZ404" s="121" t="s">
        <v>137</v>
      </c>
      <c r="BA404" s="69"/>
      <c r="BB404" s="69"/>
      <c r="BC404" s="69"/>
      <c r="BD404" s="69"/>
      <c r="BE404" s="69"/>
      <c r="BF404" s="69"/>
      <c r="BG404" s="69"/>
      <c r="BH404" s="69"/>
      <c r="BI404" s="69"/>
      <c r="BJ404" s="69"/>
      <c r="BK404" s="69"/>
      <c r="BL404" s="69"/>
      <c r="BM404" s="69"/>
      <c r="BN404" s="69"/>
      <c r="BO404" s="69"/>
      <c r="BP404" s="69"/>
      <c r="BQ404" s="69"/>
      <c r="BR404" s="69"/>
      <c r="BS404" s="69"/>
      <c r="BT404" s="69"/>
      <c r="BU404" s="69"/>
      <c r="BV404" s="69"/>
      <c r="BW404" s="69"/>
      <c r="BX404" s="69"/>
      <c r="BY404" s="69"/>
      <c r="BZ404" s="69"/>
      <c r="CA404" s="69"/>
      <c r="CB404" s="69"/>
      <c r="CC404" s="69"/>
      <c r="CD404" s="69"/>
      <c r="CE404" s="69"/>
      <c r="CF404" s="69"/>
      <c r="CG404" s="69"/>
      <c r="CH404" s="69"/>
      <c r="CI404" s="69"/>
      <c r="CJ404" s="69"/>
      <c r="CK404" s="69"/>
      <c r="CL404" s="69"/>
      <c r="CM404" s="69"/>
      <c r="CN404" s="69"/>
      <c r="CO404" s="69"/>
      <c r="CP404" s="69"/>
      <c r="CQ404" s="69"/>
      <c r="CR404" s="69"/>
      <c r="CS404" s="69"/>
      <c r="CT404" s="69"/>
      <c r="CU404" s="69"/>
      <c r="CV404" s="69"/>
      <c r="CW404" s="69"/>
      <c r="CX404" s="69"/>
      <c r="CY404" s="69"/>
      <c r="CZ404" s="69"/>
      <c r="DA404" s="69"/>
      <c r="DB404" s="69"/>
      <c r="DC404" s="69"/>
      <c r="DD404" s="69"/>
      <c r="DE404" s="69"/>
      <c r="DF404" s="69"/>
      <c r="DG404" s="69"/>
      <c r="DH404" s="69"/>
    </row>
    <row r="405" ht="20.25" customHeight="1">
      <c r="A405" s="41">
        <v>405.0</v>
      </c>
      <c r="B405" s="165" t="s">
        <v>145</v>
      </c>
      <c r="C405" s="165" t="s">
        <v>108</v>
      </c>
      <c r="D405" s="165" t="s">
        <v>1451</v>
      </c>
      <c r="E405" s="161"/>
      <c r="F405" s="729" t="s">
        <v>2209</v>
      </c>
      <c r="G405" s="183" t="s">
        <v>2210</v>
      </c>
      <c r="H405" s="183" t="s">
        <v>1511</v>
      </c>
      <c r="I405" s="730">
        <v>45489.0</v>
      </c>
      <c r="J405" s="731">
        <v>45641.0</v>
      </c>
      <c r="K405" s="183" t="s">
        <v>2211</v>
      </c>
      <c r="L405" s="172" t="s">
        <v>2212</v>
      </c>
      <c r="M405" s="183" t="s">
        <v>2213</v>
      </c>
      <c r="N405" s="183" t="s">
        <v>2214</v>
      </c>
      <c r="O405" s="732">
        <v>2.0</v>
      </c>
      <c r="P405" s="733" t="str">
        <f t="shared" si="24"/>
        <v>10.1016--j.learninstruc.2014.08.004.pdf</v>
      </c>
      <c r="Q405" s="49" t="str">
        <f t="array" ref="Q405"> if(iserror(MATCH(V405, 'File Links'!C:C, 0)), "N/A", HYPERLINK(INDEX('File Links'!B:B, MATCH(P405, 'File Links'!C:C, 0))))</f>
        <v>https://drive.google.com/file/d/1dE7-AS0QPxKoPMyquy5WhD3ojjC80SWY/view?usp=drivesdk</v>
      </c>
      <c r="R405" s="183" t="s">
        <v>2215</v>
      </c>
      <c r="S405" s="183" t="s">
        <v>2216</v>
      </c>
      <c r="T405" s="734"/>
      <c r="U405" s="172">
        <v>1.0</v>
      </c>
      <c r="V405" s="183" t="str">
        <f t="shared" si="25"/>
        <v>10.1007--s11251-024-09670-y.pdf</v>
      </c>
      <c r="W405" s="183" t="s">
        <v>2217</v>
      </c>
      <c r="X405" s="51" t="str">
        <f t="array" ref="X405"> if(iserror(MATCH(V405, 'File Links'!C:C, 0)), "N/A", HYPERLINK(INDEX('File Links'!B:B, MATCH(V405, 'File Links'!C:C, 0))))</f>
        <v>https://drive.google.com/file/d/1pi6g99iJYyhyD_0jGvDca_hbleDdekCp/view?usp=drivesdk</v>
      </c>
      <c r="Y405" s="734"/>
      <c r="Z405" s="183" t="s">
        <v>234</v>
      </c>
      <c r="AA405" s="735" t="s">
        <v>2218</v>
      </c>
      <c r="AB405" s="736" t="s">
        <v>2219</v>
      </c>
      <c r="AC405" s="183" t="s">
        <v>2220</v>
      </c>
      <c r="AD405" s="164" t="s">
        <v>2221</v>
      </c>
      <c r="AE405" s="732">
        <v>9.0</v>
      </c>
      <c r="AF405" s="732">
        <v>202.0</v>
      </c>
      <c r="AG405" s="732">
        <v>0.15</v>
      </c>
      <c r="AH405" s="737" t="s">
        <v>867</v>
      </c>
      <c r="AI405" s="183" t="s">
        <v>617</v>
      </c>
      <c r="AJ405" s="732">
        <v>0.001</v>
      </c>
      <c r="AK405" s="177" t="s">
        <v>128</v>
      </c>
      <c r="AL405" s="734" t="s">
        <v>179</v>
      </c>
      <c r="AM405" s="183" t="s">
        <v>134</v>
      </c>
      <c r="AN405" s="172" t="s">
        <v>131</v>
      </c>
      <c r="AO405" s="732">
        <v>73.0</v>
      </c>
      <c r="AP405" s="194">
        <v>0.005</v>
      </c>
      <c r="AQ405" s="734" t="s">
        <v>867</v>
      </c>
      <c r="AR405" s="164" t="s">
        <v>2222</v>
      </c>
      <c r="AS405" s="732">
        <v>0.56</v>
      </c>
      <c r="AT405" s="177" t="s">
        <v>165</v>
      </c>
      <c r="AU405" s="738" t="s">
        <v>179</v>
      </c>
      <c r="AV405" s="735" t="s">
        <v>130</v>
      </c>
      <c r="AW405" s="172" t="s">
        <v>131</v>
      </c>
      <c r="AX405" s="177" t="s">
        <v>144</v>
      </c>
      <c r="AY405" s="126"/>
      <c r="AZ405" s="165" t="s">
        <v>137</v>
      </c>
      <c r="BA405" s="69"/>
      <c r="BB405" s="69"/>
      <c r="BC405" s="69"/>
      <c r="BD405" s="69"/>
      <c r="BE405" s="69"/>
      <c r="BF405" s="69"/>
      <c r="BG405" s="69"/>
      <c r="BH405" s="69"/>
      <c r="BI405" s="69"/>
      <c r="BJ405" s="69"/>
      <c r="BK405" s="69"/>
      <c r="BL405" s="69"/>
      <c r="BM405" s="69"/>
      <c r="BN405" s="69"/>
      <c r="BO405" s="69"/>
      <c r="BP405" s="69"/>
      <c r="BQ405" s="69"/>
      <c r="BR405" s="69"/>
      <c r="BS405" s="69"/>
      <c r="BT405" s="69"/>
      <c r="BU405" s="69"/>
      <c r="BV405" s="69"/>
      <c r="BW405" s="69"/>
      <c r="BX405" s="69"/>
      <c r="BY405" s="69"/>
      <c r="BZ405" s="69"/>
      <c r="CA405" s="69"/>
      <c r="CB405" s="69"/>
      <c r="CC405" s="69"/>
      <c r="CD405" s="69"/>
      <c r="CE405" s="69"/>
      <c r="CF405" s="69"/>
      <c r="CG405" s="69"/>
      <c r="CH405" s="69"/>
      <c r="CI405" s="69"/>
      <c r="CJ405" s="69"/>
      <c r="CK405" s="69"/>
      <c r="CL405" s="69"/>
      <c r="CM405" s="69"/>
      <c r="CN405" s="69"/>
      <c r="CO405" s="69"/>
      <c r="CP405" s="69"/>
      <c r="CQ405" s="69"/>
      <c r="CR405" s="69"/>
      <c r="CS405" s="69"/>
      <c r="CT405" s="69"/>
      <c r="CU405" s="69"/>
      <c r="CV405" s="69"/>
      <c r="CW405" s="69"/>
      <c r="CX405" s="69"/>
      <c r="CY405" s="69"/>
      <c r="CZ405" s="69"/>
      <c r="DA405" s="69"/>
      <c r="DB405" s="69"/>
      <c r="DC405" s="69"/>
      <c r="DD405" s="69"/>
      <c r="DE405" s="69"/>
      <c r="DF405" s="69"/>
      <c r="DG405" s="69"/>
      <c r="DH405" s="69"/>
    </row>
    <row r="406" ht="20.25" customHeight="1">
      <c r="A406" s="41">
        <v>406.0</v>
      </c>
      <c r="B406" s="165" t="s">
        <v>145</v>
      </c>
      <c r="C406" s="739" t="s">
        <v>108</v>
      </c>
      <c r="D406" s="739" t="s">
        <v>2185</v>
      </c>
      <c r="E406" s="740"/>
      <c r="F406" s="735" t="s">
        <v>2209</v>
      </c>
      <c r="G406" s="741" t="s">
        <v>2210</v>
      </c>
      <c r="H406" s="735" t="s">
        <v>2186</v>
      </c>
      <c r="I406" s="742">
        <v>45489.0</v>
      </c>
      <c r="J406" s="742">
        <v>45662.0</v>
      </c>
      <c r="K406" s="743"/>
      <c r="L406" s="209" t="s">
        <v>2223</v>
      </c>
      <c r="M406" s="735" t="s">
        <v>2213</v>
      </c>
      <c r="N406" s="735" t="s">
        <v>2214</v>
      </c>
      <c r="O406" s="744">
        <v>1.0</v>
      </c>
      <c r="P406" s="735" t="str">
        <f t="shared" si="24"/>
        <v>10.1016--j.learninstruc.2014.08.004.pdf</v>
      </c>
      <c r="Q406" s="49" t="str">
        <f t="array" ref="Q406"> if(iserror(MATCH(V406, 'File Links'!C:C, 0)), "N/A", HYPERLINK(INDEX('File Links'!B:B, MATCH(P406, 'File Links'!C:C, 0))))</f>
        <v>https://drive.google.com/file/d/1dE7-AS0QPxKoPMyquy5WhD3ojjC80SWY/view?usp=drivesdk</v>
      </c>
      <c r="R406" s="735" t="s">
        <v>2215</v>
      </c>
      <c r="S406" s="735" t="s">
        <v>2216</v>
      </c>
      <c r="T406" s="743"/>
      <c r="U406" s="172">
        <v>1.0</v>
      </c>
      <c r="V406" s="735" t="str">
        <f t="shared" si="25"/>
        <v>10.1007--s11251-024-09670-y.pdf</v>
      </c>
      <c r="W406" s="183" t="s">
        <v>2217</v>
      </c>
      <c r="X406" s="51" t="str">
        <f t="array" ref="X406"> if(iserror(MATCH(V406, 'File Links'!C:C, 0)), "N/A", HYPERLINK(INDEX('File Links'!B:B, MATCH(V406, 'File Links'!C:C, 0))))</f>
        <v>https://drive.google.com/file/d/1pi6g99iJYyhyD_0jGvDca_hbleDdekCp/view?usp=drivesdk</v>
      </c>
      <c r="Y406" s="743"/>
      <c r="Z406" s="735" t="s">
        <v>234</v>
      </c>
      <c r="AA406" s="735" t="s">
        <v>2218</v>
      </c>
      <c r="AB406" s="736" t="s">
        <v>2219</v>
      </c>
      <c r="AC406" s="735" t="s">
        <v>2224</v>
      </c>
      <c r="AD406" s="736" t="s">
        <v>2225</v>
      </c>
      <c r="AE406" s="744">
        <v>6.0</v>
      </c>
      <c r="AF406" s="744">
        <v>98.0</v>
      </c>
      <c r="AG406" s="744">
        <v>0.27</v>
      </c>
      <c r="AH406" s="745" t="s">
        <v>132</v>
      </c>
      <c r="AI406" s="741" t="s">
        <v>133</v>
      </c>
      <c r="AJ406" s="746">
        <v>0.001</v>
      </c>
      <c r="AK406" s="735" t="s">
        <v>128</v>
      </c>
      <c r="AL406" s="741" t="s">
        <v>179</v>
      </c>
      <c r="AM406" s="735" t="s">
        <v>130</v>
      </c>
      <c r="AN406" s="172" t="s">
        <v>131</v>
      </c>
      <c r="AO406" s="744">
        <v>75.0</v>
      </c>
      <c r="AP406" s="747">
        <v>0.005</v>
      </c>
      <c r="AQ406" s="743" t="s">
        <v>132</v>
      </c>
      <c r="AR406" s="735" t="s">
        <v>2222</v>
      </c>
      <c r="AS406" s="748">
        <v>0.56</v>
      </c>
      <c r="AT406" s="735" t="s">
        <v>165</v>
      </c>
      <c r="AU406" s="735" t="s">
        <v>179</v>
      </c>
      <c r="AV406" s="735" t="s">
        <v>130</v>
      </c>
      <c r="AW406" s="172" t="s">
        <v>131</v>
      </c>
      <c r="AX406" s="177" t="s">
        <v>144</v>
      </c>
      <c r="AY406" s="126" t="s">
        <v>2223</v>
      </c>
      <c r="AZ406" s="165" t="s">
        <v>137</v>
      </c>
      <c r="BA406" s="749"/>
      <c r="BB406" s="749"/>
      <c r="BC406" s="749"/>
      <c r="BD406" s="749"/>
      <c r="BE406" s="749"/>
      <c r="BF406" s="749"/>
      <c r="BG406" s="749"/>
      <c r="BH406" s="749"/>
      <c r="BI406" s="749"/>
      <c r="BJ406" s="749"/>
      <c r="BK406" s="749"/>
      <c r="BL406" s="749"/>
      <c r="BM406" s="749"/>
      <c r="BN406" s="749"/>
      <c r="BO406" s="749"/>
      <c r="BP406" s="749"/>
      <c r="BQ406" s="749"/>
      <c r="BR406" s="749"/>
      <c r="BS406" s="749"/>
      <c r="BT406" s="749"/>
      <c r="BU406" s="749"/>
      <c r="BV406" s="749"/>
      <c r="BW406" s="749"/>
      <c r="BX406" s="749"/>
      <c r="BY406" s="749"/>
      <c r="BZ406" s="749"/>
      <c r="CA406" s="749"/>
      <c r="CB406" s="749"/>
      <c r="CC406" s="749"/>
      <c r="CD406" s="749"/>
      <c r="CE406" s="749"/>
      <c r="CF406" s="749"/>
      <c r="CG406" s="749"/>
      <c r="CH406" s="749"/>
      <c r="CI406" s="749"/>
      <c r="CJ406" s="749"/>
      <c r="CK406" s="749"/>
      <c r="CL406" s="749"/>
      <c r="CM406" s="749"/>
      <c r="CN406" s="749"/>
      <c r="CO406" s="749"/>
      <c r="CP406" s="749"/>
      <c r="CQ406" s="749"/>
      <c r="CR406" s="749"/>
      <c r="CS406" s="749"/>
      <c r="CT406" s="749"/>
      <c r="CU406" s="749"/>
      <c r="CV406" s="749"/>
      <c r="CW406" s="749"/>
      <c r="CX406" s="749"/>
      <c r="CY406" s="749"/>
      <c r="CZ406" s="749"/>
      <c r="DA406" s="749"/>
      <c r="DB406" s="749"/>
      <c r="DC406" s="749"/>
      <c r="DD406" s="749"/>
      <c r="DE406" s="749"/>
      <c r="DF406" s="749"/>
      <c r="DG406" s="749"/>
      <c r="DH406" s="749"/>
    </row>
    <row r="407" ht="20.25" customHeight="1">
      <c r="A407" s="41">
        <v>407.0</v>
      </c>
      <c r="B407" s="165" t="s">
        <v>145</v>
      </c>
      <c r="C407" s="165" t="s">
        <v>108</v>
      </c>
      <c r="D407" s="165" t="s">
        <v>1451</v>
      </c>
      <c r="E407" s="161"/>
      <c r="F407" s="735" t="s">
        <v>2209</v>
      </c>
      <c r="G407" s="183" t="s">
        <v>2226</v>
      </c>
      <c r="H407" s="183" t="s">
        <v>1511</v>
      </c>
      <c r="I407" s="730">
        <v>45489.0</v>
      </c>
      <c r="J407" s="731">
        <v>45641.0</v>
      </c>
      <c r="K407" s="183" t="s">
        <v>2211</v>
      </c>
      <c r="L407" s="734"/>
      <c r="M407" s="750" t="s">
        <v>2213</v>
      </c>
      <c r="N407" s="750" t="s">
        <v>2214</v>
      </c>
      <c r="O407" s="732">
        <v>2.0</v>
      </c>
      <c r="P407" s="733" t="str">
        <f t="shared" si="24"/>
        <v>10.1016--j.learninstruc.2014.08.004.pdf</v>
      </c>
      <c r="Q407" s="49" t="str">
        <f t="array" ref="Q407"> if(iserror(MATCH(V407, 'File Links'!C:C, 0)), "N/A", HYPERLINK(INDEX('File Links'!B:B, MATCH(P407, 'File Links'!C:C, 0))))</f>
        <v>https://drive.google.com/file/d/1dE7-AS0QPxKoPMyquy5WhD3ojjC80SWY/view?usp=drivesdk</v>
      </c>
      <c r="R407" s="183" t="s">
        <v>2215</v>
      </c>
      <c r="S407" s="183" t="s">
        <v>2216</v>
      </c>
      <c r="T407" s="734"/>
      <c r="U407" s="172">
        <v>1.0</v>
      </c>
      <c r="V407" s="183" t="str">
        <f t="shared" si="25"/>
        <v>10.1007--s11251-024-09670-y.pdf</v>
      </c>
      <c r="W407" s="183" t="s">
        <v>2217</v>
      </c>
      <c r="X407" s="51" t="str">
        <f t="array" ref="X407"> if(iserror(MATCH(V407, 'File Links'!C:C, 0)), "N/A", HYPERLINK(INDEX('File Links'!B:B, MATCH(V407, 'File Links'!C:C, 0))))</f>
        <v>https://drive.google.com/file/d/1pi6g99iJYyhyD_0jGvDca_hbleDdekCp/view?usp=drivesdk</v>
      </c>
      <c r="Y407" s="734"/>
      <c r="Z407" s="183" t="s">
        <v>234</v>
      </c>
      <c r="AA407" s="735" t="s">
        <v>2218</v>
      </c>
      <c r="AB407" s="736" t="s">
        <v>2219</v>
      </c>
      <c r="AC407" s="183" t="s">
        <v>2220</v>
      </c>
      <c r="AD407" s="164" t="s">
        <v>2227</v>
      </c>
      <c r="AE407" s="732">
        <v>9.0</v>
      </c>
      <c r="AF407" s="732">
        <v>202.0</v>
      </c>
      <c r="AG407" s="164" t="s">
        <v>2228</v>
      </c>
      <c r="AH407" s="751" t="s">
        <v>127</v>
      </c>
      <c r="AI407" s="183" t="s">
        <v>617</v>
      </c>
      <c r="AJ407" s="732">
        <v>0.2</v>
      </c>
      <c r="AK407" s="177" t="s">
        <v>165</v>
      </c>
      <c r="AL407" s="734" t="s">
        <v>179</v>
      </c>
      <c r="AM407" s="734" t="s">
        <v>134</v>
      </c>
      <c r="AN407" s="172" t="s">
        <v>131</v>
      </c>
      <c r="AO407" s="732">
        <v>73.0</v>
      </c>
      <c r="AP407" s="574">
        <v>0.002</v>
      </c>
      <c r="AQ407" s="734" t="s">
        <v>867</v>
      </c>
      <c r="AR407" s="164" t="s">
        <v>2222</v>
      </c>
      <c r="AS407" s="732">
        <v>0.73</v>
      </c>
      <c r="AT407" s="177" t="s">
        <v>165</v>
      </c>
      <c r="AU407" s="738" t="s">
        <v>179</v>
      </c>
      <c r="AV407" s="735" t="s">
        <v>130</v>
      </c>
      <c r="AW407" s="172" t="s">
        <v>131</v>
      </c>
      <c r="AX407" s="177" t="s">
        <v>144</v>
      </c>
      <c r="AY407" s="58"/>
      <c r="AZ407" s="165" t="s">
        <v>137</v>
      </c>
      <c r="BA407" s="89"/>
      <c r="BB407" s="89"/>
      <c r="BC407" s="89"/>
      <c r="BD407" s="89"/>
      <c r="BE407" s="89"/>
      <c r="BF407" s="89"/>
      <c r="BG407" s="89"/>
      <c r="BH407" s="89"/>
      <c r="BI407" s="89"/>
      <c r="BJ407" s="89"/>
      <c r="BK407" s="89"/>
      <c r="BL407" s="89"/>
      <c r="BM407" s="89"/>
      <c r="BN407" s="89"/>
      <c r="BO407" s="89"/>
      <c r="BP407" s="89"/>
      <c r="BQ407" s="89"/>
      <c r="BR407" s="89"/>
      <c r="BS407" s="89"/>
      <c r="BT407" s="89"/>
      <c r="BU407" s="89"/>
      <c r="BV407" s="89"/>
      <c r="BW407" s="89"/>
      <c r="BX407" s="89"/>
      <c r="BY407" s="89"/>
      <c r="BZ407" s="89"/>
      <c r="CA407" s="89"/>
      <c r="CB407" s="89"/>
      <c r="CC407" s="89"/>
      <c r="CD407" s="89"/>
      <c r="CE407" s="89"/>
      <c r="CF407" s="89"/>
      <c r="CG407" s="89"/>
      <c r="CH407" s="89"/>
      <c r="CI407" s="89"/>
      <c r="CJ407" s="89"/>
      <c r="CK407" s="89"/>
      <c r="CL407" s="89"/>
      <c r="CM407" s="89"/>
      <c r="CN407" s="89"/>
      <c r="CO407" s="89"/>
      <c r="CP407" s="89"/>
      <c r="CQ407" s="89"/>
      <c r="CR407" s="89"/>
      <c r="CS407" s="89"/>
      <c r="CT407" s="89"/>
      <c r="CU407" s="89"/>
      <c r="CV407" s="89"/>
      <c r="CW407" s="89"/>
      <c r="CX407" s="89"/>
      <c r="CY407" s="89"/>
      <c r="CZ407" s="89"/>
      <c r="DA407" s="89"/>
      <c r="DB407" s="89"/>
      <c r="DC407" s="89"/>
      <c r="DD407" s="89"/>
      <c r="DE407" s="89"/>
      <c r="DF407" s="89"/>
      <c r="DG407" s="89"/>
      <c r="DH407" s="89"/>
    </row>
    <row r="408" ht="20.25" customHeight="1">
      <c r="A408" s="41">
        <v>408.0</v>
      </c>
      <c r="B408" s="165" t="s">
        <v>145</v>
      </c>
      <c r="C408" s="739" t="s">
        <v>108</v>
      </c>
      <c r="D408" s="739" t="s">
        <v>2185</v>
      </c>
      <c r="E408" s="740"/>
      <c r="F408" s="735" t="s">
        <v>2209</v>
      </c>
      <c r="G408" s="741" t="s">
        <v>2226</v>
      </c>
      <c r="H408" s="735" t="s">
        <v>2186</v>
      </c>
      <c r="I408" s="742">
        <v>45662.0</v>
      </c>
      <c r="J408" s="752"/>
      <c r="K408" s="743"/>
      <c r="L408" s="743"/>
      <c r="M408" s="735" t="s">
        <v>2213</v>
      </c>
      <c r="N408" s="735" t="s">
        <v>2214</v>
      </c>
      <c r="O408" s="744">
        <v>1.0</v>
      </c>
      <c r="P408" s="735" t="str">
        <f t="shared" si="24"/>
        <v>10.1016--j.learninstruc.2014.08.004.pdf</v>
      </c>
      <c r="Q408" s="49" t="str">
        <f t="array" ref="Q408"> if(iserror(MATCH(V408, 'File Links'!C:C, 0)), "N/A", HYPERLINK(INDEX('File Links'!B:B, MATCH(P408, 'File Links'!C:C, 0))))</f>
        <v>https://drive.google.com/file/d/1dE7-AS0QPxKoPMyquy5WhD3ojjC80SWY/view?usp=drivesdk</v>
      </c>
      <c r="R408" s="735" t="s">
        <v>2215</v>
      </c>
      <c r="S408" s="735" t="s">
        <v>2216</v>
      </c>
      <c r="T408" s="743"/>
      <c r="U408" s="172">
        <v>1.0</v>
      </c>
      <c r="V408" s="735" t="str">
        <f t="shared" si="25"/>
        <v>10.1007--s11251-024-09670-y.pdf</v>
      </c>
      <c r="W408" s="183" t="s">
        <v>2217</v>
      </c>
      <c r="X408" s="51" t="str">
        <f t="array" ref="X408"> if(iserror(MATCH(V408, 'File Links'!C:C, 0)), "N/A", HYPERLINK(INDEX('File Links'!B:B, MATCH(V408, 'File Links'!C:C, 0))))</f>
        <v>https://drive.google.com/file/d/1pi6g99iJYyhyD_0jGvDca_hbleDdekCp/view?usp=drivesdk</v>
      </c>
      <c r="Y408" s="743"/>
      <c r="Z408" s="735" t="s">
        <v>234</v>
      </c>
      <c r="AA408" s="735" t="s">
        <v>2218</v>
      </c>
      <c r="AB408" s="736" t="s">
        <v>2219</v>
      </c>
      <c r="AC408" s="735" t="s">
        <v>2229</v>
      </c>
      <c r="AD408" s="736" t="s">
        <v>2230</v>
      </c>
      <c r="AE408" s="744">
        <v>6.0</v>
      </c>
      <c r="AF408" s="744">
        <v>98.0</v>
      </c>
      <c r="AG408" s="735" t="s">
        <v>2231</v>
      </c>
      <c r="AH408" s="736" t="s">
        <v>127</v>
      </c>
      <c r="AI408" s="741" t="s">
        <v>133</v>
      </c>
      <c r="AJ408" s="746">
        <v>0.15</v>
      </c>
      <c r="AK408" s="735" t="s">
        <v>165</v>
      </c>
      <c r="AL408" s="741" t="s">
        <v>179</v>
      </c>
      <c r="AM408" s="735" t="s">
        <v>130</v>
      </c>
      <c r="AN408" s="172" t="s">
        <v>131</v>
      </c>
      <c r="AO408" s="744">
        <v>75.0</v>
      </c>
      <c r="AP408" s="205">
        <v>0.002</v>
      </c>
      <c r="AQ408" s="743" t="s">
        <v>132</v>
      </c>
      <c r="AR408" s="735" t="s">
        <v>2222</v>
      </c>
      <c r="AS408" s="744">
        <v>0.73</v>
      </c>
      <c r="AT408" s="735" t="s">
        <v>165</v>
      </c>
      <c r="AU408" s="735" t="s">
        <v>179</v>
      </c>
      <c r="AV408" s="735" t="s">
        <v>130</v>
      </c>
      <c r="AW408" s="172" t="s">
        <v>131</v>
      </c>
      <c r="AX408" s="177" t="s">
        <v>144</v>
      </c>
      <c r="AY408" s="65"/>
      <c r="AZ408" s="165" t="s">
        <v>137</v>
      </c>
      <c r="BA408" s="89"/>
      <c r="BB408" s="89"/>
      <c r="BC408" s="89"/>
      <c r="BD408" s="89"/>
      <c r="BE408" s="89"/>
      <c r="BF408" s="89"/>
      <c r="BG408" s="89"/>
      <c r="BH408" s="89"/>
      <c r="BI408" s="89"/>
      <c r="BJ408" s="89"/>
      <c r="BK408" s="89"/>
      <c r="BL408" s="89"/>
      <c r="BM408" s="89"/>
      <c r="BN408" s="89"/>
      <c r="BO408" s="89"/>
      <c r="BP408" s="89"/>
      <c r="BQ408" s="89"/>
      <c r="BR408" s="89"/>
      <c r="BS408" s="89"/>
      <c r="BT408" s="89"/>
      <c r="BU408" s="89"/>
      <c r="BV408" s="89"/>
      <c r="BW408" s="89"/>
      <c r="BX408" s="89"/>
      <c r="BY408" s="89"/>
      <c r="BZ408" s="89"/>
      <c r="CA408" s="89"/>
      <c r="CB408" s="89"/>
      <c r="CC408" s="89"/>
      <c r="CD408" s="89"/>
      <c r="CE408" s="89"/>
      <c r="CF408" s="89"/>
      <c r="CG408" s="89"/>
      <c r="CH408" s="89"/>
      <c r="CI408" s="89"/>
      <c r="CJ408" s="89"/>
      <c r="CK408" s="89"/>
      <c r="CL408" s="89"/>
      <c r="CM408" s="89"/>
      <c r="CN408" s="89"/>
      <c r="CO408" s="89"/>
      <c r="CP408" s="89"/>
      <c r="CQ408" s="89"/>
      <c r="CR408" s="89"/>
      <c r="CS408" s="89"/>
      <c r="CT408" s="89"/>
      <c r="CU408" s="89"/>
      <c r="CV408" s="89"/>
      <c r="CW408" s="89"/>
      <c r="CX408" s="89"/>
      <c r="CY408" s="89"/>
      <c r="CZ408" s="89"/>
      <c r="DA408" s="89"/>
      <c r="DB408" s="89"/>
      <c r="DC408" s="89"/>
      <c r="DD408" s="89"/>
      <c r="DE408" s="89"/>
      <c r="DF408" s="89"/>
      <c r="DG408" s="89"/>
      <c r="DH408" s="89"/>
    </row>
    <row r="409" ht="20.25" customHeight="1">
      <c r="A409" s="41">
        <v>409.0</v>
      </c>
      <c r="B409" s="165" t="s">
        <v>145</v>
      </c>
      <c r="C409" s="165" t="s">
        <v>108</v>
      </c>
      <c r="D409" s="165" t="s">
        <v>1451</v>
      </c>
      <c r="E409" s="161"/>
      <c r="F409" s="735" t="s">
        <v>2209</v>
      </c>
      <c r="G409" s="183" t="s">
        <v>2232</v>
      </c>
      <c r="H409" s="183" t="s">
        <v>1511</v>
      </c>
      <c r="I409" s="730">
        <v>45489.0</v>
      </c>
      <c r="J409" s="731">
        <v>45641.0</v>
      </c>
      <c r="K409" s="183" t="s">
        <v>2211</v>
      </c>
      <c r="L409" s="734"/>
      <c r="M409" s="750" t="s">
        <v>2213</v>
      </c>
      <c r="N409" s="750" t="s">
        <v>2214</v>
      </c>
      <c r="O409" s="732">
        <v>2.0</v>
      </c>
      <c r="P409" s="733" t="str">
        <f t="shared" si="24"/>
        <v>10.1016--j.learninstruc.2014.08.004.pdf</v>
      </c>
      <c r="Q409" s="49" t="str">
        <f t="array" ref="Q409"> if(iserror(MATCH(V409, 'File Links'!C:C, 0)), "N/A", HYPERLINK(INDEX('File Links'!B:B, MATCH(P409, 'File Links'!C:C, 0))))</f>
        <v>https://drive.google.com/file/d/1dE7-AS0QPxKoPMyquy5WhD3ojjC80SWY/view?usp=drivesdk</v>
      </c>
      <c r="R409" s="183" t="s">
        <v>2215</v>
      </c>
      <c r="S409" s="183" t="s">
        <v>2216</v>
      </c>
      <c r="T409" s="734"/>
      <c r="U409" s="172">
        <v>1.0</v>
      </c>
      <c r="V409" s="183" t="str">
        <f t="shared" si="25"/>
        <v>10.1007--s11251-024-09670-y.pdf</v>
      </c>
      <c r="W409" s="183" t="s">
        <v>2217</v>
      </c>
      <c r="X409" s="51" t="str">
        <f t="array" ref="X409"> if(iserror(MATCH(V409, 'File Links'!C:C, 0)), "N/A", HYPERLINK(INDEX('File Links'!B:B, MATCH(V409, 'File Links'!C:C, 0))))</f>
        <v>https://drive.google.com/file/d/1pi6g99iJYyhyD_0jGvDca_hbleDdekCp/view?usp=drivesdk</v>
      </c>
      <c r="Y409" s="734"/>
      <c r="Z409" s="183" t="s">
        <v>234</v>
      </c>
      <c r="AA409" s="735" t="s">
        <v>2218</v>
      </c>
      <c r="AB409" s="736" t="s">
        <v>2219</v>
      </c>
      <c r="AC409" s="183" t="s">
        <v>2220</v>
      </c>
      <c r="AD409" s="164" t="s">
        <v>2233</v>
      </c>
      <c r="AE409" s="732">
        <v>9.0</v>
      </c>
      <c r="AF409" s="732">
        <v>202.0</v>
      </c>
      <c r="AG409" s="164" t="s">
        <v>2234</v>
      </c>
      <c r="AH409" s="751" t="s">
        <v>127</v>
      </c>
      <c r="AI409" s="183" t="s">
        <v>617</v>
      </c>
      <c r="AJ409" s="732">
        <v>0.3</v>
      </c>
      <c r="AK409" s="177" t="s">
        <v>165</v>
      </c>
      <c r="AL409" s="734" t="s">
        <v>179</v>
      </c>
      <c r="AM409" s="734" t="s">
        <v>134</v>
      </c>
      <c r="AN409" s="172" t="s">
        <v>131</v>
      </c>
      <c r="AO409" s="732">
        <v>73.0</v>
      </c>
      <c r="AP409" s="732">
        <v>0.012</v>
      </c>
      <c r="AQ409" s="734" t="s">
        <v>867</v>
      </c>
      <c r="AR409" s="164" t="s">
        <v>2222</v>
      </c>
      <c r="AS409" s="732">
        <v>0.36</v>
      </c>
      <c r="AT409" s="177" t="s">
        <v>165</v>
      </c>
      <c r="AU409" s="738" t="s">
        <v>179</v>
      </c>
      <c r="AV409" s="735" t="s">
        <v>130</v>
      </c>
      <c r="AW409" s="172" t="s">
        <v>131</v>
      </c>
      <c r="AX409" s="177" t="s">
        <v>144</v>
      </c>
      <c r="AY409" s="58"/>
      <c r="AZ409" s="165" t="s">
        <v>137</v>
      </c>
      <c r="BA409" s="749"/>
      <c r="BB409" s="749"/>
      <c r="BC409" s="749"/>
      <c r="BD409" s="749"/>
      <c r="BE409" s="749"/>
      <c r="BF409" s="749"/>
      <c r="BG409" s="749"/>
      <c r="BH409" s="749"/>
      <c r="BI409" s="749"/>
      <c r="BJ409" s="749"/>
      <c r="BK409" s="749"/>
      <c r="BL409" s="749"/>
      <c r="BM409" s="749"/>
      <c r="BN409" s="749"/>
      <c r="BO409" s="749"/>
      <c r="BP409" s="749"/>
      <c r="BQ409" s="749"/>
      <c r="BR409" s="749"/>
      <c r="BS409" s="749"/>
      <c r="BT409" s="749"/>
      <c r="BU409" s="749"/>
      <c r="BV409" s="749"/>
      <c r="BW409" s="749"/>
      <c r="BX409" s="749"/>
      <c r="BY409" s="749"/>
      <c r="BZ409" s="749"/>
      <c r="CA409" s="749"/>
      <c r="CB409" s="749"/>
      <c r="CC409" s="749"/>
      <c r="CD409" s="749"/>
      <c r="CE409" s="749"/>
      <c r="CF409" s="749"/>
      <c r="CG409" s="749"/>
      <c r="CH409" s="749"/>
      <c r="CI409" s="749"/>
      <c r="CJ409" s="749"/>
      <c r="CK409" s="749"/>
      <c r="CL409" s="749"/>
      <c r="CM409" s="749"/>
      <c r="CN409" s="749"/>
      <c r="CO409" s="749"/>
      <c r="CP409" s="749"/>
      <c r="CQ409" s="749"/>
      <c r="CR409" s="749"/>
      <c r="CS409" s="749"/>
      <c r="CT409" s="749"/>
      <c r="CU409" s="749"/>
      <c r="CV409" s="749"/>
      <c r="CW409" s="749"/>
      <c r="CX409" s="749"/>
      <c r="CY409" s="749"/>
      <c r="CZ409" s="749"/>
      <c r="DA409" s="749"/>
      <c r="DB409" s="749"/>
      <c r="DC409" s="749"/>
      <c r="DD409" s="749"/>
      <c r="DE409" s="749"/>
      <c r="DF409" s="749"/>
      <c r="DG409" s="749"/>
      <c r="DH409" s="749"/>
    </row>
    <row r="410" ht="20.25" customHeight="1">
      <c r="A410" s="41">
        <v>410.0</v>
      </c>
      <c r="B410" s="165" t="s">
        <v>145</v>
      </c>
      <c r="C410" s="739" t="s">
        <v>108</v>
      </c>
      <c r="D410" s="739" t="s">
        <v>2185</v>
      </c>
      <c r="E410" s="740"/>
      <c r="F410" s="735" t="s">
        <v>2209</v>
      </c>
      <c r="G410" s="741" t="s">
        <v>2232</v>
      </c>
      <c r="H410" s="735" t="s">
        <v>2186</v>
      </c>
      <c r="I410" s="742">
        <v>45662.0</v>
      </c>
      <c r="J410" s="743"/>
      <c r="K410" s="743"/>
      <c r="L410" s="743"/>
      <c r="M410" s="735" t="s">
        <v>2213</v>
      </c>
      <c r="N410" s="735" t="s">
        <v>2214</v>
      </c>
      <c r="O410" s="744">
        <v>1.0</v>
      </c>
      <c r="P410" s="735" t="str">
        <f t="shared" si="24"/>
        <v>10.1016--j.learninstruc.2014.08.004.pdf</v>
      </c>
      <c r="Q410" s="49" t="str">
        <f t="array" ref="Q410"> if(iserror(MATCH(V410, 'File Links'!C:C, 0)), "N/A", HYPERLINK(INDEX('File Links'!B:B, MATCH(P410, 'File Links'!C:C, 0))))</f>
        <v>https://drive.google.com/file/d/1dE7-AS0QPxKoPMyquy5WhD3ojjC80SWY/view?usp=drivesdk</v>
      </c>
      <c r="R410" s="735" t="s">
        <v>2215</v>
      </c>
      <c r="S410" s="735" t="s">
        <v>2216</v>
      </c>
      <c r="T410" s="743"/>
      <c r="U410" s="172">
        <v>1.0</v>
      </c>
      <c r="V410" s="735" t="str">
        <f t="shared" si="25"/>
        <v>10.1007--s11251-024-09670-y.pdf</v>
      </c>
      <c r="W410" s="183" t="s">
        <v>2217</v>
      </c>
      <c r="X410" s="51" t="str">
        <f t="array" ref="X410"> if(iserror(MATCH(V410, 'File Links'!C:C, 0)), "N/A", HYPERLINK(INDEX('File Links'!B:B, MATCH(V410, 'File Links'!C:C, 0))))</f>
        <v>https://drive.google.com/file/d/1pi6g99iJYyhyD_0jGvDca_hbleDdekCp/view?usp=drivesdk</v>
      </c>
      <c r="Y410" s="743"/>
      <c r="Z410" s="735" t="s">
        <v>234</v>
      </c>
      <c r="AA410" s="735" t="s">
        <v>2218</v>
      </c>
      <c r="AB410" s="736" t="s">
        <v>2219</v>
      </c>
      <c r="AC410" s="735" t="s">
        <v>2235</v>
      </c>
      <c r="AD410" s="735" t="s">
        <v>2236</v>
      </c>
      <c r="AE410" s="744">
        <v>6.0</v>
      </c>
      <c r="AF410" s="744">
        <v>98.0</v>
      </c>
      <c r="AG410" s="744">
        <v>0.09</v>
      </c>
      <c r="AH410" s="745" t="s">
        <v>132</v>
      </c>
      <c r="AI410" s="741" t="s">
        <v>133</v>
      </c>
      <c r="AJ410" s="746">
        <v>0.01</v>
      </c>
      <c r="AK410" s="735" t="s">
        <v>165</v>
      </c>
      <c r="AL410" s="741" t="s">
        <v>179</v>
      </c>
      <c r="AM410" s="743" t="s">
        <v>130</v>
      </c>
      <c r="AN410" s="172" t="s">
        <v>131</v>
      </c>
      <c r="AO410" s="744">
        <v>75.0</v>
      </c>
      <c r="AP410" s="753">
        <v>0.005</v>
      </c>
      <c r="AQ410" s="743" t="s">
        <v>132</v>
      </c>
      <c r="AR410" s="735" t="s">
        <v>2222</v>
      </c>
      <c r="AS410" s="744">
        <v>0.55</v>
      </c>
      <c r="AT410" s="735" t="s">
        <v>165</v>
      </c>
      <c r="AU410" s="735" t="s">
        <v>179</v>
      </c>
      <c r="AV410" s="735" t="s">
        <v>130</v>
      </c>
      <c r="AW410" s="172" t="s">
        <v>131</v>
      </c>
      <c r="AX410" s="177" t="s">
        <v>144</v>
      </c>
      <c r="AY410" s="65"/>
      <c r="AZ410" s="165" t="s">
        <v>137</v>
      </c>
      <c r="BA410" s="89"/>
      <c r="BB410" s="89"/>
      <c r="BC410" s="89"/>
      <c r="BD410" s="89"/>
      <c r="BE410" s="89"/>
      <c r="BF410" s="89"/>
      <c r="BG410" s="89"/>
      <c r="BH410" s="89"/>
      <c r="BI410" s="89"/>
      <c r="BJ410" s="89"/>
      <c r="BK410" s="89"/>
      <c r="BL410" s="89"/>
      <c r="BM410" s="89"/>
      <c r="BN410" s="89"/>
      <c r="BO410" s="89"/>
      <c r="BP410" s="89"/>
      <c r="BQ410" s="89"/>
      <c r="BR410" s="89"/>
      <c r="BS410" s="89"/>
      <c r="BT410" s="89"/>
      <c r="BU410" s="89"/>
      <c r="BV410" s="89"/>
      <c r="BW410" s="89"/>
      <c r="BX410" s="89"/>
      <c r="BY410" s="89"/>
      <c r="BZ410" s="89"/>
      <c r="CA410" s="89"/>
      <c r="CB410" s="89"/>
      <c r="CC410" s="89"/>
      <c r="CD410" s="89"/>
      <c r="CE410" s="89"/>
      <c r="CF410" s="89"/>
      <c r="CG410" s="89"/>
      <c r="CH410" s="89"/>
      <c r="CI410" s="89"/>
      <c r="CJ410" s="89"/>
      <c r="CK410" s="89"/>
      <c r="CL410" s="89"/>
      <c r="CM410" s="89"/>
      <c r="CN410" s="89"/>
      <c r="CO410" s="89"/>
      <c r="CP410" s="89"/>
      <c r="CQ410" s="89"/>
      <c r="CR410" s="89"/>
      <c r="CS410" s="89"/>
      <c r="CT410" s="89"/>
      <c r="CU410" s="89"/>
      <c r="CV410" s="89"/>
      <c r="CW410" s="89"/>
      <c r="CX410" s="89"/>
      <c r="CY410" s="89"/>
      <c r="CZ410" s="89"/>
      <c r="DA410" s="89"/>
      <c r="DB410" s="89"/>
      <c r="DC410" s="89"/>
      <c r="DD410" s="89"/>
      <c r="DE410" s="89"/>
      <c r="DF410" s="89"/>
      <c r="DG410" s="89"/>
      <c r="DH410" s="89"/>
    </row>
    <row r="411" ht="20.25" customHeight="1">
      <c r="A411" s="41">
        <v>411.0</v>
      </c>
      <c r="B411" s="165" t="s">
        <v>145</v>
      </c>
      <c r="C411" s="165" t="s">
        <v>108</v>
      </c>
      <c r="D411" s="165" t="s">
        <v>1451</v>
      </c>
      <c r="E411" s="161"/>
      <c r="F411" s="735" t="s">
        <v>2209</v>
      </c>
      <c r="G411" s="183" t="s">
        <v>2237</v>
      </c>
      <c r="H411" s="183" t="s">
        <v>1511</v>
      </c>
      <c r="I411" s="730">
        <v>45489.0</v>
      </c>
      <c r="J411" s="731">
        <v>45641.0</v>
      </c>
      <c r="K411" s="183" t="s">
        <v>2211</v>
      </c>
      <c r="L411" s="734"/>
      <c r="M411" s="750" t="s">
        <v>2213</v>
      </c>
      <c r="N411" s="750" t="s">
        <v>2214</v>
      </c>
      <c r="O411" s="732">
        <v>2.0</v>
      </c>
      <c r="P411" s="733" t="str">
        <f t="shared" si="24"/>
        <v>10.1016--j.learninstruc.2014.08.004.pdf</v>
      </c>
      <c r="Q411" s="49" t="str">
        <f t="array" ref="Q411"> if(iserror(MATCH(V411, 'File Links'!C:C, 0)), "N/A", HYPERLINK(INDEX('File Links'!B:B, MATCH(P411, 'File Links'!C:C, 0))))</f>
        <v>https://drive.google.com/file/d/1dE7-AS0QPxKoPMyquy5WhD3ojjC80SWY/view?usp=drivesdk</v>
      </c>
      <c r="R411" s="183" t="s">
        <v>2215</v>
      </c>
      <c r="S411" s="183" t="s">
        <v>2216</v>
      </c>
      <c r="T411" s="734"/>
      <c r="U411" s="172">
        <v>1.0</v>
      </c>
      <c r="V411" s="183" t="str">
        <f t="shared" si="25"/>
        <v>10.1007--s11251-024-09670-y.pdf</v>
      </c>
      <c r="W411" s="183" t="s">
        <v>2217</v>
      </c>
      <c r="X411" s="51" t="str">
        <f t="array" ref="X411"> if(iserror(MATCH(V411, 'File Links'!C:C, 0)), "N/A", HYPERLINK(INDEX('File Links'!B:B, MATCH(V411, 'File Links'!C:C, 0))))</f>
        <v>https://drive.google.com/file/d/1pi6g99iJYyhyD_0jGvDca_hbleDdekCp/view?usp=drivesdk</v>
      </c>
      <c r="Y411" s="734"/>
      <c r="Z411" s="183" t="s">
        <v>234</v>
      </c>
      <c r="AA411" s="735" t="s">
        <v>2218</v>
      </c>
      <c r="AB411" s="736" t="s">
        <v>2219</v>
      </c>
      <c r="AC411" s="183" t="s">
        <v>2220</v>
      </c>
      <c r="AD411" s="734" t="s">
        <v>2238</v>
      </c>
      <c r="AE411" s="732">
        <v>9.0</v>
      </c>
      <c r="AF411" s="732">
        <v>202.0</v>
      </c>
      <c r="AG411" s="732">
        <v>0.02</v>
      </c>
      <c r="AH411" s="737" t="s">
        <v>867</v>
      </c>
      <c r="AI411" s="183" t="s">
        <v>617</v>
      </c>
      <c r="AJ411" s="732">
        <v>0.047</v>
      </c>
      <c r="AK411" s="177" t="s">
        <v>165</v>
      </c>
      <c r="AL411" s="734" t="s">
        <v>179</v>
      </c>
      <c r="AM411" s="734" t="s">
        <v>134</v>
      </c>
      <c r="AN411" s="172" t="s">
        <v>131</v>
      </c>
      <c r="AO411" s="732">
        <v>73.0</v>
      </c>
      <c r="AP411" s="194">
        <v>0.001</v>
      </c>
      <c r="AQ411" s="734" t="s">
        <v>867</v>
      </c>
      <c r="AR411" s="164" t="s">
        <v>2222</v>
      </c>
      <c r="AS411" s="732">
        <v>0.84</v>
      </c>
      <c r="AT411" s="177" t="s">
        <v>165</v>
      </c>
      <c r="AU411" s="738" t="s">
        <v>179</v>
      </c>
      <c r="AV411" s="735" t="s">
        <v>130</v>
      </c>
      <c r="AW411" s="172" t="s">
        <v>131</v>
      </c>
      <c r="AX411" s="177" t="s">
        <v>144</v>
      </c>
      <c r="AY411" s="58"/>
      <c r="AZ411" s="165" t="s">
        <v>137</v>
      </c>
      <c r="BA411" s="69"/>
      <c r="BB411" s="69"/>
      <c r="BC411" s="69"/>
      <c r="BD411" s="69"/>
      <c r="BE411" s="69"/>
      <c r="BF411" s="69"/>
      <c r="BG411" s="69"/>
      <c r="BH411" s="69"/>
      <c r="BI411" s="69"/>
      <c r="BJ411" s="69"/>
      <c r="BK411" s="69"/>
      <c r="BL411" s="69"/>
      <c r="BM411" s="69"/>
      <c r="BN411" s="69"/>
      <c r="BO411" s="69"/>
      <c r="BP411" s="69"/>
      <c r="BQ411" s="69"/>
      <c r="BR411" s="69"/>
      <c r="BS411" s="69"/>
      <c r="BT411" s="69"/>
      <c r="BU411" s="69"/>
      <c r="BV411" s="69"/>
      <c r="BW411" s="69"/>
      <c r="BX411" s="69"/>
      <c r="BY411" s="69"/>
      <c r="BZ411" s="69"/>
      <c r="CA411" s="69"/>
      <c r="CB411" s="69"/>
      <c r="CC411" s="69"/>
      <c r="CD411" s="69"/>
      <c r="CE411" s="69"/>
      <c r="CF411" s="69"/>
      <c r="CG411" s="69"/>
      <c r="CH411" s="69"/>
      <c r="CI411" s="69"/>
      <c r="CJ411" s="69"/>
      <c r="CK411" s="69"/>
      <c r="CL411" s="69"/>
      <c r="CM411" s="69"/>
      <c r="CN411" s="69"/>
      <c r="CO411" s="69"/>
      <c r="CP411" s="69"/>
      <c r="CQ411" s="69"/>
      <c r="CR411" s="69"/>
      <c r="CS411" s="69"/>
      <c r="CT411" s="69"/>
      <c r="CU411" s="69"/>
      <c r="CV411" s="69"/>
      <c r="CW411" s="69"/>
      <c r="CX411" s="69"/>
      <c r="CY411" s="69"/>
      <c r="CZ411" s="69"/>
      <c r="DA411" s="69"/>
      <c r="DB411" s="69"/>
      <c r="DC411" s="69"/>
      <c r="DD411" s="69"/>
      <c r="DE411" s="69"/>
      <c r="DF411" s="69"/>
      <c r="DG411" s="69"/>
      <c r="DH411" s="69"/>
    </row>
    <row r="412" ht="20.25" customHeight="1">
      <c r="A412" s="41">
        <v>412.0</v>
      </c>
      <c r="B412" s="165" t="s">
        <v>145</v>
      </c>
      <c r="C412" s="739" t="s">
        <v>108</v>
      </c>
      <c r="D412" s="739" t="s">
        <v>2185</v>
      </c>
      <c r="E412" s="740"/>
      <c r="F412" s="735" t="s">
        <v>2209</v>
      </c>
      <c r="G412" s="741" t="s">
        <v>2237</v>
      </c>
      <c r="H412" s="735" t="s">
        <v>2186</v>
      </c>
      <c r="I412" s="742">
        <v>45662.0</v>
      </c>
      <c r="J412" s="743"/>
      <c r="K412" s="743"/>
      <c r="L412" s="743"/>
      <c r="M412" s="735" t="s">
        <v>2213</v>
      </c>
      <c r="N412" s="735" t="s">
        <v>2214</v>
      </c>
      <c r="O412" s="744">
        <v>1.0</v>
      </c>
      <c r="P412" s="735" t="str">
        <f t="shared" si="24"/>
        <v>10.1016--j.learninstruc.2014.08.004.pdf</v>
      </c>
      <c r="Q412" s="49" t="str">
        <f t="array" ref="Q412"> if(iserror(MATCH(V412, 'File Links'!C:C, 0)), "N/A", HYPERLINK(INDEX('File Links'!B:B, MATCH(P412, 'File Links'!C:C, 0))))</f>
        <v>https://drive.google.com/file/d/1dE7-AS0QPxKoPMyquy5WhD3ojjC80SWY/view?usp=drivesdk</v>
      </c>
      <c r="R412" s="735" t="s">
        <v>2215</v>
      </c>
      <c r="S412" s="735" t="s">
        <v>2216</v>
      </c>
      <c r="T412" s="743"/>
      <c r="U412" s="172">
        <v>1.0</v>
      </c>
      <c r="V412" s="735" t="str">
        <f t="shared" si="25"/>
        <v>10.1007--s11251-024-09670-y.pdf</v>
      </c>
      <c r="W412" s="183" t="s">
        <v>2217</v>
      </c>
      <c r="X412" s="51" t="str">
        <f t="array" ref="X412"> if(iserror(MATCH(V412, 'File Links'!C:C, 0)), "N/A", HYPERLINK(INDEX('File Links'!B:B, MATCH(V412, 'File Links'!C:C, 0))))</f>
        <v>https://drive.google.com/file/d/1pi6g99iJYyhyD_0jGvDca_hbleDdekCp/view?usp=drivesdk</v>
      </c>
      <c r="Y412" s="743"/>
      <c r="Z412" s="735" t="s">
        <v>234</v>
      </c>
      <c r="AA412" s="735" t="s">
        <v>2218</v>
      </c>
      <c r="AB412" s="736" t="s">
        <v>2219</v>
      </c>
      <c r="AC412" s="735" t="s">
        <v>2239</v>
      </c>
      <c r="AD412" s="735" t="s">
        <v>2240</v>
      </c>
      <c r="AE412" s="744">
        <v>6.0</v>
      </c>
      <c r="AF412" s="744">
        <v>98.0</v>
      </c>
      <c r="AG412" s="735" t="s">
        <v>2241</v>
      </c>
      <c r="AH412" s="754" t="s">
        <v>127</v>
      </c>
      <c r="AI412" s="741" t="s">
        <v>133</v>
      </c>
      <c r="AJ412" s="746">
        <v>0.72</v>
      </c>
      <c r="AK412" s="735" t="s">
        <v>2242</v>
      </c>
      <c r="AL412" s="741" t="s">
        <v>179</v>
      </c>
      <c r="AM412" s="743" t="s">
        <v>130</v>
      </c>
      <c r="AN412" s="172" t="s">
        <v>131</v>
      </c>
      <c r="AO412" s="744">
        <v>75.0</v>
      </c>
      <c r="AP412" s="755">
        <v>0.001</v>
      </c>
      <c r="AQ412" s="743" t="s">
        <v>132</v>
      </c>
      <c r="AR412" s="735" t="s">
        <v>2222</v>
      </c>
      <c r="AS412" s="744">
        <v>0.84</v>
      </c>
      <c r="AT412" s="735" t="s">
        <v>165</v>
      </c>
      <c r="AU412" s="735" t="s">
        <v>179</v>
      </c>
      <c r="AV412" s="735" t="s">
        <v>130</v>
      </c>
      <c r="AW412" s="172" t="s">
        <v>131</v>
      </c>
      <c r="AX412" s="177" t="s">
        <v>144</v>
      </c>
      <c r="AY412" s="65"/>
      <c r="AZ412" s="165" t="s">
        <v>137</v>
      </c>
      <c r="BA412" s="104"/>
      <c r="BB412" s="104"/>
      <c r="BC412" s="104"/>
      <c r="BD412" s="104"/>
      <c r="BE412" s="104"/>
      <c r="BF412" s="104"/>
      <c r="BG412" s="104"/>
      <c r="BH412" s="104"/>
      <c r="BI412" s="104"/>
      <c r="BJ412" s="104"/>
      <c r="BK412" s="104"/>
      <c r="BL412" s="104"/>
      <c r="BM412" s="104"/>
      <c r="BN412" s="104"/>
      <c r="BO412" s="104"/>
      <c r="BP412" s="104"/>
      <c r="BQ412" s="104"/>
      <c r="BR412" s="104"/>
      <c r="BS412" s="104"/>
      <c r="BT412" s="104"/>
      <c r="BU412" s="104"/>
      <c r="BV412" s="104"/>
      <c r="BW412" s="104"/>
      <c r="BX412" s="104"/>
      <c r="BY412" s="104"/>
      <c r="BZ412" s="104"/>
      <c r="CA412" s="104"/>
      <c r="CB412" s="104"/>
      <c r="CC412" s="104"/>
      <c r="CD412" s="104"/>
      <c r="CE412" s="104"/>
      <c r="CF412" s="104"/>
      <c r="CG412" s="104"/>
      <c r="CH412" s="104"/>
      <c r="CI412" s="104"/>
      <c r="CJ412" s="104"/>
      <c r="CK412" s="104"/>
      <c r="CL412" s="104"/>
      <c r="CM412" s="104"/>
      <c r="CN412" s="104"/>
      <c r="CO412" s="104"/>
      <c r="CP412" s="104"/>
      <c r="CQ412" s="104"/>
      <c r="CR412" s="104"/>
      <c r="CS412" s="104"/>
      <c r="CT412" s="104"/>
      <c r="CU412" s="104"/>
      <c r="CV412" s="104"/>
      <c r="CW412" s="104"/>
      <c r="CX412" s="104"/>
      <c r="CY412" s="104"/>
      <c r="CZ412" s="104"/>
      <c r="DA412" s="104"/>
      <c r="DB412" s="104"/>
      <c r="DC412" s="104"/>
      <c r="DD412" s="104"/>
      <c r="DE412" s="104"/>
      <c r="DF412" s="104"/>
      <c r="DG412" s="104"/>
      <c r="DH412" s="104"/>
    </row>
    <row r="413" ht="20.25" customHeight="1">
      <c r="A413" s="41">
        <v>413.0</v>
      </c>
      <c r="B413" s="165" t="s">
        <v>145</v>
      </c>
      <c r="C413" s="165" t="s">
        <v>108</v>
      </c>
      <c r="D413" s="165" t="s">
        <v>1451</v>
      </c>
      <c r="E413" s="161"/>
      <c r="F413" s="735" t="s">
        <v>2209</v>
      </c>
      <c r="G413" s="183" t="s">
        <v>2243</v>
      </c>
      <c r="H413" s="183" t="s">
        <v>1511</v>
      </c>
      <c r="I413" s="730">
        <v>45489.0</v>
      </c>
      <c r="J413" s="731">
        <v>45641.0</v>
      </c>
      <c r="K413" s="183" t="s">
        <v>2211</v>
      </c>
      <c r="L413" s="734"/>
      <c r="M413" s="750" t="s">
        <v>2213</v>
      </c>
      <c r="N413" s="750" t="s">
        <v>2214</v>
      </c>
      <c r="O413" s="732">
        <v>2.0</v>
      </c>
      <c r="P413" s="733" t="str">
        <f t="shared" si="24"/>
        <v>10.1016--j.learninstruc.2014.08.004.pdf</v>
      </c>
      <c r="Q413" s="49" t="str">
        <f t="array" ref="Q413"> if(iserror(MATCH(V413, 'File Links'!C:C, 0)), "N/A", HYPERLINK(INDEX('File Links'!B:B, MATCH(P413, 'File Links'!C:C, 0))))</f>
        <v>https://drive.google.com/file/d/1dE7-AS0QPxKoPMyquy5WhD3ojjC80SWY/view?usp=drivesdk</v>
      </c>
      <c r="R413" s="183" t="s">
        <v>2215</v>
      </c>
      <c r="S413" s="183" t="s">
        <v>2216</v>
      </c>
      <c r="T413" s="734"/>
      <c r="U413" s="172">
        <v>1.0</v>
      </c>
      <c r="V413" s="183" t="str">
        <f t="shared" si="25"/>
        <v>10.1007--s11251-024-09670-y.pdf</v>
      </c>
      <c r="W413" s="183" t="s">
        <v>2217</v>
      </c>
      <c r="X413" s="51" t="str">
        <f t="array" ref="X413"> if(iserror(MATCH(V413, 'File Links'!C:C, 0)), "N/A", HYPERLINK(INDEX('File Links'!B:B, MATCH(V413, 'File Links'!C:C, 0))))</f>
        <v>https://drive.google.com/file/d/1pi6g99iJYyhyD_0jGvDca_hbleDdekCp/view?usp=drivesdk</v>
      </c>
      <c r="Y413" s="734"/>
      <c r="Z413" s="183" t="s">
        <v>234</v>
      </c>
      <c r="AA413" s="735" t="s">
        <v>2218</v>
      </c>
      <c r="AB413" s="736" t="s">
        <v>2219</v>
      </c>
      <c r="AC413" s="183" t="s">
        <v>2220</v>
      </c>
      <c r="AD413" s="734" t="s">
        <v>2244</v>
      </c>
      <c r="AE413" s="732">
        <v>9.0</v>
      </c>
      <c r="AF413" s="732">
        <v>202.0</v>
      </c>
      <c r="AG413" s="172" t="s">
        <v>2245</v>
      </c>
      <c r="AH413" s="751" t="s">
        <v>127</v>
      </c>
      <c r="AI413" s="183" t="s">
        <v>617</v>
      </c>
      <c r="AJ413" s="732">
        <v>0.53</v>
      </c>
      <c r="AK413" s="177" t="s">
        <v>165</v>
      </c>
      <c r="AL413" s="734" t="s">
        <v>179</v>
      </c>
      <c r="AM413" s="734" t="s">
        <v>134</v>
      </c>
      <c r="AN413" s="172" t="s">
        <v>131</v>
      </c>
      <c r="AO413" s="732">
        <v>73.0</v>
      </c>
      <c r="AP413" s="574">
        <v>0.005</v>
      </c>
      <c r="AQ413" s="734" t="s">
        <v>867</v>
      </c>
      <c r="AR413" s="164" t="s">
        <v>2222</v>
      </c>
      <c r="AS413" s="732">
        <v>0.55</v>
      </c>
      <c r="AT413" s="177" t="s">
        <v>165</v>
      </c>
      <c r="AU413" s="738" t="s">
        <v>179</v>
      </c>
      <c r="AV413" s="735" t="s">
        <v>130</v>
      </c>
      <c r="AW413" s="172" t="s">
        <v>131</v>
      </c>
      <c r="AX413" s="177" t="s">
        <v>144</v>
      </c>
      <c r="AY413" s="58"/>
      <c r="AZ413" s="165" t="s">
        <v>137</v>
      </c>
      <c r="BA413" s="104"/>
      <c r="BB413" s="104"/>
      <c r="BC413" s="104"/>
      <c r="BD413" s="104"/>
      <c r="BE413" s="104"/>
      <c r="BF413" s="104"/>
      <c r="BG413" s="104"/>
      <c r="BH413" s="104"/>
      <c r="BI413" s="104"/>
      <c r="BJ413" s="104"/>
      <c r="BK413" s="104"/>
      <c r="BL413" s="104"/>
      <c r="BM413" s="104"/>
      <c r="BN413" s="104"/>
      <c r="BO413" s="104"/>
      <c r="BP413" s="104"/>
      <c r="BQ413" s="104"/>
      <c r="BR413" s="104"/>
      <c r="BS413" s="104"/>
      <c r="BT413" s="104"/>
      <c r="BU413" s="104"/>
      <c r="BV413" s="104"/>
      <c r="BW413" s="104"/>
      <c r="BX413" s="104"/>
      <c r="BY413" s="104"/>
      <c r="BZ413" s="104"/>
      <c r="CA413" s="104"/>
      <c r="CB413" s="104"/>
      <c r="CC413" s="104"/>
      <c r="CD413" s="104"/>
      <c r="CE413" s="104"/>
      <c r="CF413" s="104"/>
      <c r="CG413" s="104"/>
      <c r="CH413" s="104"/>
      <c r="CI413" s="104"/>
      <c r="CJ413" s="104"/>
      <c r="CK413" s="104"/>
      <c r="CL413" s="104"/>
      <c r="CM413" s="104"/>
      <c r="CN413" s="104"/>
      <c r="CO413" s="104"/>
      <c r="CP413" s="104"/>
      <c r="CQ413" s="104"/>
      <c r="CR413" s="104"/>
      <c r="CS413" s="104"/>
      <c r="CT413" s="104"/>
      <c r="CU413" s="104"/>
      <c r="CV413" s="104"/>
      <c r="CW413" s="104"/>
      <c r="CX413" s="104"/>
      <c r="CY413" s="104"/>
      <c r="CZ413" s="104"/>
      <c r="DA413" s="104"/>
      <c r="DB413" s="104"/>
      <c r="DC413" s="104"/>
      <c r="DD413" s="104"/>
      <c r="DE413" s="104"/>
      <c r="DF413" s="104"/>
      <c r="DG413" s="104"/>
      <c r="DH413" s="104"/>
    </row>
    <row r="414" ht="20.25" customHeight="1">
      <c r="A414" s="41">
        <v>414.0</v>
      </c>
      <c r="B414" s="165" t="s">
        <v>145</v>
      </c>
      <c r="C414" s="739" t="s">
        <v>108</v>
      </c>
      <c r="D414" s="739" t="s">
        <v>2185</v>
      </c>
      <c r="E414" s="740"/>
      <c r="F414" s="735" t="s">
        <v>2209</v>
      </c>
      <c r="G414" s="741" t="s">
        <v>2243</v>
      </c>
      <c r="H414" s="735" t="s">
        <v>2186</v>
      </c>
      <c r="I414" s="742">
        <v>45662.0</v>
      </c>
      <c r="J414" s="743"/>
      <c r="K414" s="743"/>
      <c r="L414" s="743"/>
      <c r="M414" s="735" t="s">
        <v>2213</v>
      </c>
      <c r="N414" s="735" t="s">
        <v>2214</v>
      </c>
      <c r="O414" s="744">
        <v>2.0</v>
      </c>
      <c r="P414" s="735" t="str">
        <f t="shared" si="24"/>
        <v>10.1016--j.learninstruc.2014.08.004.pdf</v>
      </c>
      <c r="Q414" s="49" t="str">
        <f t="array" ref="Q414"> if(iserror(MATCH(V414, 'File Links'!C:C, 0)), "N/A", HYPERLINK(INDEX('File Links'!B:B, MATCH(P414, 'File Links'!C:C, 0))))</f>
        <v>https://drive.google.com/file/d/1dE7-AS0QPxKoPMyquy5WhD3ojjC80SWY/view?usp=drivesdk</v>
      </c>
      <c r="R414" s="735" t="s">
        <v>2215</v>
      </c>
      <c r="S414" s="735" t="s">
        <v>2216</v>
      </c>
      <c r="T414" s="743"/>
      <c r="U414" s="172">
        <v>1.0</v>
      </c>
      <c r="V414" s="735" t="str">
        <f t="shared" si="25"/>
        <v>10.1007--s11251-024-09670-y.pdf</v>
      </c>
      <c r="W414" s="183" t="s">
        <v>2217</v>
      </c>
      <c r="X414" s="51" t="str">
        <f t="array" ref="X414"> if(iserror(MATCH(V414, 'File Links'!C:C, 0)), "N/A", HYPERLINK(INDEX('File Links'!B:B, MATCH(V414, 'File Links'!C:C, 0))))</f>
        <v>https://drive.google.com/file/d/1pi6g99iJYyhyD_0jGvDca_hbleDdekCp/view?usp=drivesdk</v>
      </c>
      <c r="Y414" s="743"/>
      <c r="Z414" s="735" t="s">
        <v>234</v>
      </c>
      <c r="AA414" s="735" t="s">
        <v>2218</v>
      </c>
      <c r="AB414" s="736" t="s">
        <v>2219</v>
      </c>
      <c r="AC414" s="735" t="s">
        <v>2224</v>
      </c>
      <c r="AD414" s="736" t="s">
        <v>2246</v>
      </c>
      <c r="AE414" s="744">
        <v>8.0</v>
      </c>
      <c r="AF414" s="744">
        <v>240.0</v>
      </c>
      <c r="AG414" s="744">
        <v>0.16</v>
      </c>
      <c r="AH414" s="745" t="s">
        <v>132</v>
      </c>
      <c r="AI414" s="741" t="s">
        <v>2247</v>
      </c>
      <c r="AJ414" s="746">
        <v>0.001</v>
      </c>
      <c r="AK414" s="735" t="s">
        <v>128</v>
      </c>
      <c r="AL414" s="741" t="s">
        <v>179</v>
      </c>
      <c r="AM414" s="743" t="s">
        <v>130</v>
      </c>
      <c r="AN414" s="172" t="s">
        <v>131</v>
      </c>
      <c r="AO414" s="744">
        <v>75.0</v>
      </c>
      <c r="AP414" s="756">
        <v>0.005</v>
      </c>
      <c r="AQ414" s="743" t="s">
        <v>132</v>
      </c>
      <c r="AR414" s="735" t="s">
        <v>2222</v>
      </c>
      <c r="AS414" s="748">
        <v>0.56</v>
      </c>
      <c r="AT414" s="735" t="s">
        <v>165</v>
      </c>
      <c r="AU414" s="735" t="s">
        <v>179</v>
      </c>
      <c r="AV414" s="735" t="s">
        <v>130</v>
      </c>
      <c r="AW414" s="172" t="s">
        <v>131</v>
      </c>
      <c r="AX414" s="177" t="s">
        <v>144</v>
      </c>
      <c r="AY414" s="65"/>
      <c r="AZ414" s="165" t="s">
        <v>137</v>
      </c>
      <c r="BA414" s="104"/>
      <c r="BB414" s="104"/>
      <c r="BC414" s="104"/>
      <c r="BD414" s="104"/>
      <c r="BE414" s="104"/>
      <c r="BF414" s="104"/>
      <c r="BG414" s="104"/>
      <c r="BH414" s="104"/>
      <c r="BI414" s="104"/>
      <c r="BJ414" s="104"/>
      <c r="BK414" s="104"/>
      <c r="BL414" s="104"/>
      <c r="BM414" s="104"/>
      <c r="BN414" s="104"/>
      <c r="BO414" s="104"/>
      <c r="BP414" s="104"/>
      <c r="BQ414" s="104"/>
      <c r="BR414" s="104"/>
      <c r="BS414" s="104"/>
      <c r="BT414" s="104"/>
      <c r="BU414" s="104"/>
      <c r="BV414" s="104"/>
      <c r="BW414" s="104"/>
      <c r="BX414" s="104"/>
      <c r="BY414" s="104"/>
      <c r="BZ414" s="104"/>
      <c r="CA414" s="104"/>
      <c r="CB414" s="104"/>
      <c r="CC414" s="104"/>
      <c r="CD414" s="104"/>
      <c r="CE414" s="104"/>
      <c r="CF414" s="104"/>
      <c r="CG414" s="104"/>
      <c r="CH414" s="104"/>
      <c r="CI414" s="104"/>
      <c r="CJ414" s="104"/>
      <c r="CK414" s="104"/>
      <c r="CL414" s="104"/>
      <c r="CM414" s="104"/>
      <c r="CN414" s="104"/>
      <c r="CO414" s="104"/>
      <c r="CP414" s="104"/>
      <c r="CQ414" s="104"/>
      <c r="CR414" s="104"/>
      <c r="CS414" s="104"/>
      <c r="CT414" s="104"/>
      <c r="CU414" s="104"/>
      <c r="CV414" s="104"/>
      <c r="CW414" s="104"/>
      <c r="CX414" s="104"/>
      <c r="CY414" s="104"/>
      <c r="CZ414" s="104"/>
      <c r="DA414" s="104"/>
      <c r="DB414" s="104"/>
      <c r="DC414" s="104"/>
      <c r="DD414" s="104"/>
      <c r="DE414" s="104"/>
      <c r="DF414" s="104"/>
      <c r="DG414" s="104"/>
      <c r="DH414" s="104"/>
    </row>
    <row r="415" ht="20.25" customHeight="1">
      <c r="A415" s="41">
        <v>415.0</v>
      </c>
      <c r="B415" s="165" t="s">
        <v>145</v>
      </c>
      <c r="C415" s="165" t="s">
        <v>108</v>
      </c>
      <c r="D415" s="165" t="s">
        <v>1451</v>
      </c>
      <c r="E415" s="161"/>
      <c r="F415" s="735" t="s">
        <v>2209</v>
      </c>
      <c r="G415" s="183" t="s">
        <v>2248</v>
      </c>
      <c r="H415" s="183" t="s">
        <v>1511</v>
      </c>
      <c r="I415" s="730">
        <v>45489.0</v>
      </c>
      <c r="J415" s="731">
        <v>45641.0</v>
      </c>
      <c r="K415" s="183" t="s">
        <v>2211</v>
      </c>
      <c r="L415" s="734"/>
      <c r="M415" s="750" t="s">
        <v>2213</v>
      </c>
      <c r="N415" s="750" t="s">
        <v>2214</v>
      </c>
      <c r="O415" s="732">
        <v>2.0</v>
      </c>
      <c r="P415" s="733" t="str">
        <f t="shared" si="24"/>
        <v>10.1016--j.learninstruc.2014.08.004.pdf</v>
      </c>
      <c r="Q415" s="49" t="str">
        <f t="array" ref="Q415"> if(iserror(MATCH(V415, 'File Links'!C:C, 0)), "N/A", HYPERLINK(INDEX('File Links'!B:B, MATCH(P415, 'File Links'!C:C, 0))))</f>
        <v>https://drive.google.com/file/d/1dE7-AS0QPxKoPMyquy5WhD3ojjC80SWY/view?usp=drivesdk</v>
      </c>
      <c r="R415" s="183" t="s">
        <v>2215</v>
      </c>
      <c r="S415" s="183" t="s">
        <v>2216</v>
      </c>
      <c r="T415" s="734"/>
      <c r="U415" s="172">
        <v>1.0</v>
      </c>
      <c r="V415" s="183" t="str">
        <f t="shared" si="25"/>
        <v>10.1007--s11251-024-09670-y.pdf</v>
      </c>
      <c r="W415" s="183" t="s">
        <v>2217</v>
      </c>
      <c r="X415" s="51" t="str">
        <f t="array" ref="X415"> if(iserror(MATCH(V415, 'File Links'!C:C, 0)), "N/A", HYPERLINK(INDEX('File Links'!B:B, MATCH(V415, 'File Links'!C:C, 0))))</f>
        <v>https://drive.google.com/file/d/1pi6g99iJYyhyD_0jGvDca_hbleDdekCp/view?usp=drivesdk</v>
      </c>
      <c r="Y415" s="734"/>
      <c r="Z415" s="183" t="s">
        <v>234</v>
      </c>
      <c r="AA415" s="735" t="s">
        <v>2218</v>
      </c>
      <c r="AB415" s="736" t="s">
        <v>2219</v>
      </c>
      <c r="AC415" s="183" t="s">
        <v>2220</v>
      </c>
      <c r="AD415" s="183" t="s">
        <v>2249</v>
      </c>
      <c r="AE415" s="732">
        <v>9.0</v>
      </c>
      <c r="AF415" s="732">
        <v>202.0</v>
      </c>
      <c r="AG415" s="164" t="s">
        <v>2250</v>
      </c>
      <c r="AH415" s="751" t="s">
        <v>127</v>
      </c>
      <c r="AI415" s="183" t="s">
        <v>617</v>
      </c>
      <c r="AJ415" s="732">
        <v>0.25</v>
      </c>
      <c r="AK415" s="177" t="s">
        <v>165</v>
      </c>
      <c r="AL415" s="734" t="s">
        <v>179</v>
      </c>
      <c r="AM415" s="734" t="s">
        <v>134</v>
      </c>
      <c r="AN415" s="172" t="s">
        <v>131</v>
      </c>
      <c r="AO415" s="732">
        <v>73.0</v>
      </c>
      <c r="AP415" s="732">
        <v>0.001</v>
      </c>
      <c r="AQ415" s="734" t="s">
        <v>867</v>
      </c>
      <c r="AR415" s="164" t="s">
        <v>2222</v>
      </c>
      <c r="AS415" s="732">
        <v>0.94</v>
      </c>
      <c r="AT415" s="177" t="s">
        <v>165</v>
      </c>
      <c r="AU415" s="738" t="s">
        <v>179</v>
      </c>
      <c r="AV415" s="735" t="s">
        <v>130</v>
      </c>
      <c r="AW415" s="172" t="s">
        <v>131</v>
      </c>
      <c r="AX415" s="177" t="s">
        <v>144</v>
      </c>
      <c r="AY415" s="58"/>
      <c r="AZ415" s="165" t="s">
        <v>137</v>
      </c>
    </row>
    <row r="416" ht="20.25" customHeight="1">
      <c r="A416" s="41">
        <v>416.0</v>
      </c>
      <c r="B416" s="165" t="s">
        <v>145</v>
      </c>
      <c r="C416" s="739" t="s">
        <v>108</v>
      </c>
      <c r="D416" s="739" t="s">
        <v>2185</v>
      </c>
      <c r="E416" s="740"/>
      <c r="F416" s="735" t="s">
        <v>2209</v>
      </c>
      <c r="G416" s="741" t="s">
        <v>2248</v>
      </c>
      <c r="H416" s="735" t="s">
        <v>2186</v>
      </c>
      <c r="I416" s="742">
        <v>45662.0</v>
      </c>
      <c r="J416" s="743"/>
      <c r="K416" s="743"/>
      <c r="L416" s="743"/>
      <c r="M416" s="735" t="s">
        <v>2213</v>
      </c>
      <c r="N416" s="735" t="s">
        <v>2214</v>
      </c>
      <c r="O416" s="744">
        <v>2.0</v>
      </c>
      <c r="P416" s="735" t="str">
        <f t="shared" si="24"/>
        <v>10.1016--j.learninstruc.2014.08.004.pdf</v>
      </c>
      <c r="Q416" s="49" t="str">
        <f t="array" ref="Q416"> if(iserror(MATCH(V416, 'File Links'!C:C, 0)), "N/A", HYPERLINK(INDEX('File Links'!B:B, MATCH(P416, 'File Links'!C:C, 0))))</f>
        <v>https://drive.google.com/file/d/1dE7-AS0QPxKoPMyquy5WhD3ojjC80SWY/view?usp=drivesdk</v>
      </c>
      <c r="R416" s="735" t="s">
        <v>2215</v>
      </c>
      <c r="S416" s="735" t="s">
        <v>2216</v>
      </c>
      <c r="T416" s="743"/>
      <c r="U416" s="172">
        <v>1.0</v>
      </c>
      <c r="V416" s="735" t="str">
        <f t="shared" si="25"/>
        <v>10.1007--s11251-024-09670-y.pdf</v>
      </c>
      <c r="W416" s="183" t="s">
        <v>2217</v>
      </c>
      <c r="X416" s="51" t="str">
        <f t="array" ref="X416"> if(iserror(MATCH(V416, 'File Links'!C:C, 0)), "N/A", HYPERLINK(INDEX('File Links'!B:B, MATCH(V416, 'File Links'!C:C, 0))))</f>
        <v>https://drive.google.com/file/d/1pi6g99iJYyhyD_0jGvDca_hbleDdekCp/view?usp=drivesdk</v>
      </c>
      <c r="Y416" s="743"/>
      <c r="Z416" s="735" t="s">
        <v>234</v>
      </c>
      <c r="AA416" s="735" t="s">
        <v>2218</v>
      </c>
      <c r="AB416" s="736" t="s">
        <v>2219</v>
      </c>
      <c r="AC416" s="735" t="s">
        <v>2229</v>
      </c>
      <c r="AD416" s="736" t="s">
        <v>2251</v>
      </c>
      <c r="AE416" s="744">
        <v>8.0</v>
      </c>
      <c r="AF416" s="744">
        <v>240.0</v>
      </c>
      <c r="AG416" s="744">
        <v>0.08</v>
      </c>
      <c r="AH416" s="745" t="s">
        <v>132</v>
      </c>
      <c r="AI416" s="741" t="s">
        <v>2247</v>
      </c>
      <c r="AJ416" s="746">
        <v>0.001</v>
      </c>
      <c r="AK416" s="735" t="s">
        <v>128</v>
      </c>
      <c r="AL416" s="741" t="s">
        <v>179</v>
      </c>
      <c r="AM416" s="743" t="s">
        <v>134</v>
      </c>
      <c r="AN416" s="172" t="s">
        <v>131</v>
      </c>
      <c r="AO416" s="744">
        <v>75.0</v>
      </c>
      <c r="AP416" s="744">
        <v>0.002</v>
      </c>
      <c r="AQ416" s="743" t="s">
        <v>132</v>
      </c>
      <c r="AR416" s="735" t="s">
        <v>2222</v>
      </c>
      <c r="AS416" s="744">
        <v>0.73</v>
      </c>
      <c r="AT416" s="735" t="s">
        <v>165</v>
      </c>
      <c r="AU416" s="735" t="s">
        <v>179</v>
      </c>
      <c r="AV416" s="735" t="s">
        <v>130</v>
      </c>
      <c r="AW416" s="172" t="s">
        <v>131</v>
      </c>
      <c r="AX416" s="177" t="s">
        <v>144</v>
      </c>
      <c r="AY416" s="65"/>
      <c r="AZ416" s="165" t="s">
        <v>137</v>
      </c>
    </row>
    <row r="417" ht="20.25" customHeight="1">
      <c r="A417" s="41">
        <v>417.0</v>
      </c>
      <c r="B417" s="165" t="s">
        <v>145</v>
      </c>
      <c r="C417" s="739" t="s">
        <v>108</v>
      </c>
      <c r="D417" s="739" t="s">
        <v>2185</v>
      </c>
      <c r="E417" s="740"/>
      <c r="F417" s="735" t="s">
        <v>2209</v>
      </c>
      <c r="G417" s="741" t="s">
        <v>2252</v>
      </c>
      <c r="H417" s="735" t="s">
        <v>2186</v>
      </c>
      <c r="I417" s="742">
        <v>45662.0</v>
      </c>
      <c r="J417" s="743"/>
      <c r="K417" s="743"/>
      <c r="L417" s="743"/>
      <c r="M417" s="735" t="s">
        <v>2213</v>
      </c>
      <c r="N417" s="735" t="s">
        <v>2214</v>
      </c>
      <c r="O417" s="744">
        <v>2.0</v>
      </c>
      <c r="P417" s="735" t="str">
        <f t="shared" si="24"/>
        <v>10.1016--j.learninstruc.2014.08.004.pdf</v>
      </c>
      <c r="Q417" s="49" t="str">
        <f t="array" ref="Q417"> if(iserror(MATCH(V417, 'File Links'!C:C, 0)), "N/A", HYPERLINK(INDEX('File Links'!B:B, MATCH(P417, 'File Links'!C:C, 0))))</f>
        <v>https://drive.google.com/file/d/1dE7-AS0QPxKoPMyquy5WhD3ojjC80SWY/view?usp=drivesdk</v>
      </c>
      <c r="R417" s="735" t="s">
        <v>2215</v>
      </c>
      <c r="S417" s="735" t="s">
        <v>2216</v>
      </c>
      <c r="T417" s="743"/>
      <c r="U417" s="172">
        <v>1.0</v>
      </c>
      <c r="V417" s="735" t="str">
        <f t="shared" si="25"/>
        <v>10.1007--s11251-024-09670-y.pdf</v>
      </c>
      <c r="W417" s="183" t="s">
        <v>2217</v>
      </c>
      <c r="X417" s="51" t="str">
        <f t="array" ref="X417"> if(iserror(MATCH(V417, 'File Links'!C:C, 0)), "N/A", HYPERLINK(INDEX('File Links'!B:B, MATCH(V417, 'File Links'!C:C, 0))))</f>
        <v>https://drive.google.com/file/d/1pi6g99iJYyhyD_0jGvDca_hbleDdekCp/view?usp=drivesdk</v>
      </c>
      <c r="Y417" s="743"/>
      <c r="Z417" s="735" t="s">
        <v>234</v>
      </c>
      <c r="AA417" s="735" t="s">
        <v>2218</v>
      </c>
      <c r="AB417" s="736" t="s">
        <v>2219</v>
      </c>
      <c r="AC417" s="735" t="s">
        <v>2235</v>
      </c>
      <c r="AD417" s="735" t="s">
        <v>2253</v>
      </c>
      <c r="AE417" s="744">
        <v>9.0</v>
      </c>
      <c r="AF417" s="744">
        <v>240.0</v>
      </c>
      <c r="AG417" s="743" t="s">
        <v>2254</v>
      </c>
      <c r="AH417" s="736" t="s">
        <v>127</v>
      </c>
      <c r="AI417" s="741" t="s">
        <v>621</v>
      </c>
      <c r="AJ417" s="757">
        <v>0.97</v>
      </c>
      <c r="AK417" s="735" t="s">
        <v>165</v>
      </c>
      <c r="AL417" s="741" t="s">
        <v>179</v>
      </c>
      <c r="AM417" s="743" t="s">
        <v>134</v>
      </c>
      <c r="AN417" s="172" t="s">
        <v>131</v>
      </c>
      <c r="AO417" s="744">
        <v>75.0</v>
      </c>
      <c r="AP417" s="753">
        <v>0.005</v>
      </c>
      <c r="AQ417" s="743" t="s">
        <v>132</v>
      </c>
      <c r="AR417" s="735" t="s">
        <v>2222</v>
      </c>
      <c r="AS417" s="744">
        <v>0.55</v>
      </c>
      <c r="AT417" s="735" t="s">
        <v>165</v>
      </c>
      <c r="AU417" s="735" t="s">
        <v>179</v>
      </c>
      <c r="AV417" s="735" t="s">
        <v>130</v>
      </c>
      <c r="AW417" s="172" t="s">
        <v>131</v>
      </c>
      <c r="AX417" s="177" t="s">
        <v>144</v>
      </c>
      <c r="AY417" s="65"/>
      <c r="AZ417" s="165" t="s">
        <v>137</v>
      </c>
    </row>
    <row r="418" ht="20.25" customHeight="1">
      <c r="A418" s="41">
        <v>418.0</v>
      </c>
      <c r="B418" s="165" t="s">
        <v>145</v>
      </c>
      <c r="C418" s="739" t="s">
        <v>108</v>
      </c>
      <c r="D418" s="739" t="s">
        <v>2185</v>
      </c>
      <c r="E418" s="740"/>
      <c r="F418" s="735" t="s">
        <v>2209</v>
      </c>
      <c r="G418" s="741" t="s">
        <v>2252</v>
      </c>
      <c r="H418" s="735" t="s">
        <v>2186</v>
      </c>
      <c r="I418" s="742">
        <v>45662.0</v>
      </c>
      <c r="J418" s="743"/>
      <c r="K418" s="743"/>
      <c r="L418" s="743"/>
      <c r="M418" s="735" t="s">
        <v>2213</v>
      </c>
      <c r="N418" s="735" t="s">
        <v>2214</v>
      </c>
      <c r="O418" s="744">
        <v>2.0</v>
      </c>
      <c r="P418" s="735" t="s">
        <v>2255</v>
      </c>
      <c r="Q418" s="49" t="str">
        <f t="array" ref="Q418"> if(iserror(MATCH(V418, 'File Links'!C:C, 0)), "N/A", HYPERLINK(INDEX('File Links'!B:B, MATCH(P418, 'File Links'!C:C, 0))))</f>
        <v>https://drive.google.com/file/d/1dE7-AS0QPxKoPMyquy5WhD3ojjC80SWY/view?usp=drivesdk</v>
      </c>
      <c r="R418" s="735" t="s">
        <v>2215</v>
      </c>
      <c r="S418" s="735" t="s">
        <v>2216</v>
      </c>
      <c r="T418" s="743"/>
      <c r="U418" s="172">
        <v>1.0</v>
      </c>
      <c r="V418" s="735" t="str">
        <f t="shared" si="25"/>
        <v>10.1007--s11251-024-09670-y.pdf</v>
      </c>
      <c r="W418" s="183" t="s">
        <v>2217</v>
      </c>
      <c r="X418" s="51" t="str">
        <f t="array" ref="X418"> if(iserror(MATCH(V418, 'File Links'!C:C, 0)), "N/A", HYPERLINK(INDEX('File Links'!B:B, MATCH(V418, 'File Links'!C:C, 0))))</f>
        <v>https://drive.google.com/file/d/1pi6g99iJYyhyD_0jGvDca_hbleDdekCp/view?usp=drivesdk</v>
      </c>
      <c r="Y418" s="743"/>
      <c r="Z418" s="735" t="s">
        <v>234</v>
      </c>
      <c r="AA418" s="735" t="s">
        <v>2218</v>
      </c>
      <c r="AB418" s="736" t="s">
        <v>2219</v>
      </c>
      <c r="AC418" s="735" t="s">
        <v>2256</v>
      </c>
      <c r="AD418" s="735" t="s">
        <v>2257</v>
      </c>
      <c r="AE418" s="744">
        <v>9.0</v>
      </c>
      <c r="AF418" s="744">
        <v>240.0</v>
      </c>
      <c r="AG418" s="736" t="s">
        <v>2258</v>
      </c>
      <c r="AH418" s="116" t="s">
        <v>127</v>
      </c>
      <c r="AI418" s="741" t="s">
        <v>2259</v>
      </c>
      <c r="AJ418" s="746">
        <v>0.07</v>
      </c>
      <c r="AK418" s="735" t="s">
        <v>165</v>
      </c>
      <c r="AL418" s="741" t="s">
        <v>179</v>
      </c>
      <c r="AM418" s="743" t="s">
        <v>134</v>
      </c>
      <c r="AN418" s="172" t="s">
        <v>131</v>
      </c>
      <c r="AO418" s="744">
        <v>75.0</v>
      </c>
      <c r="AP418" s="735" t="s">
        <v>2260</v>
      </c>
      <c r="AQ418" s="736" t="s">
        <v>127</v>
      </c>
      <c r="AR418" s="735" t="s">
        <v>2222</v>
      </c>
      <c r="AS418" s="744">
        <v>0.94</v>
      </c>
      <c r="AT418" s="735" t="s">
        <v>165</v>
      </c>
      <c r="AU418" s="735" t="s">
        <v>179</v>
      </c>
      <c r="AV418" s="735" t="s">
        <v>130</v>
      </c>
      <c r="AW418" s="172" t="s">
        <v>131</v>
      </c>
      <c r="AX418" s="177" t="s">
        <v>144</v>
      </c>
      <c r="AY418" s="65"/>
      <c r="AZ418" s="165" t="s">
        <v>137</v>
      </c>
    </row>
    <row r="419" ht="20.25" customHeight="1">
      <c r="A419" s="41">
        <v>419.0</v>
      </c>
      <c r="B419" s="165" t="s">
        <v>145</v>
      </c>
      <c r="C419" s="739" t="s">
        <v>108</v>
      </c>
      <c r="D419" s="739" t="s">
        <v>2185</v>
      </c>
      <c r="E419" s="740"/>
      <c r="F419" s="735" t="s">
        <v>2209</v>
      </c>
      <c r="G419" s="741" t="s">
        <v>2261</v>
      </c>
      <c r="H419" s="735" t="s">
        <v>2186</v>
      </c>
      <c r="I419" s="742">
        <v>45662.0</v>
      </c>
      <c r="J419" s="743"/>
      <c r="K419" s="743"/>
      <c r="L419" s="743"/>
      <c r="M419" s="735" t="s">
        <v>2213</v>
      </c>
      <c r="N419" s="735" t="s">
        <v>2214</v>
      </c>
      <c r="O419" s="744">
        <v>2.0</v>
      </c>
      <c r="P419" s="735" t="str">
        <f t="shared" ref="P419:P464" si="26"> SUBSTITUTE(lower(N419), "/", "--") &amp;  ".pdf"</f>
        <v>10.1016--j.learninstruc.2014.08.004.pdf</v>
      </c>
      <c r="Q419" s="49" t="str">
        <f t="array" ref="Q419"> if(iserror(MATCH(V419, 'File Links'!C:C, 0)), "N/A", HYPERLINK(INDEX('File Links'!B:B, MATCH(P419, 'File Links'!C:C, 0))))</f>
        <v>https://drive.google.com/file/d/1dE7-AS0QPxKoPMyquy5WhD3ojjC80SWY/view?usp=drivesdk</v>
      </c>
      <c r="R419" s="735" t="s">
        <v>2215</v>
      </c>
      <c r="S419" s="735" t="s">
        <v>2216</v>
      </c>
      <c r="T419" s="743"/>
      <c r="U419" s="172">
        <v>1.0</v>
      </c>
      <c r="V419" s="735" t="str">
        <f t="shared" si="25"/>
        <v>10.1007--s11251-024-09670-y.pdf</v>
      </c>
      <c r="W419" s="183" t="s">
        <v>2217</v>
      </c>
      <c r="X419" s="51" t="str">
        <f t="array" ref="X419"> if(iserror(MATCH(V419, 'File Links'!C:C, 0)), "N/A", HYPERLINK(INDEX('File Links'!B:B, MATCH(V419, 'File Links'!C:C, 0))))</f>
        <v>https://drive.google.com/file/d/1pi6g99iJYyhyD_0jGvDca_hbleDdekCp/view?usp=drivesdk</v>
      </c>
      <c r="Y419" s="743"/>
      <c r="Z419" s="735" t="s">
        <v>234</v>
      </c>
      <c r="AA419" s="735" t="s">
        <v>2218</v>
      </c>
      <c r="AB419" s="736" t="s">
        <v>2219</v>
      </c>
      <c r="AC419" s="735" t="s">
        <v>2239</v>
      </c>
      <c r="AD419" s="735" t="s">
        <v>2262</v>
      </c>
      <c r="AE419" s="744">
        <v>9.0</v>
      </c>
      <c r="AF419" s="744">
        <v>240.0</v>
      </c>
      <c r="AG419" s="735" t="s">
        <v>2263</v>
      </c>
      <c r="AH419" s="736" t="s">
        <v>127</v>
      </c>
      <c r="AI419" s="741" t="s">
        <v>621</v>
      </c>
      <c r="AJ419" s="746">
        <v>0.25</v>
      </c>
      <c r="AK419" s="735" t="s">
        <v>2242</v>
      </c>
      <c r="AL419" s="741" t="s">
        <v>179</v>
      </c>
      <c r="AM419" s="743" t="s">
        <v>134</v>
      </c>
      <c r="AN419" s="172" t="s">
        <v>131</v>
      </c>
      <c r="AO419" s="744">
        <v>75.0</v>
      </c>
      <c r="AP419" s="744">
        <v>0.001</v>
      </c>
      <c r="AQ419" s="743" t="s">
        <v>132</v>
      </c>
      <c r="AR419" s="735" t="s">
        <v>2222</v>
      </c>
      <c r="AS419" s="744">
        <v>0.84</v>
      </c>
      <c r="AT419" s="735" t="s">
        <v>165</v>
      </c>
      <c r="AU419" s="735" t="s">
        <v>179</v>
      </c>
      <c r="AV419" s="735" t="s">
        <v>130</v>
      </c>
      <c r="AW419" s="172" t="s">
        <v>131</v>
      </c>
      <c r="AX419" s="177" t="s">
        <v>144</v>
      </c>
      <c r="AY419" s="65"/>
      <c r="AZ419" s="165" t="s">
        <v>137</v>
      </c>
    </row>
    <row r="420" ht="20.25" customHeight="1">
      <c r="A420" s="41">
        <v>420.0</v>
      </c>
      <c r="B420" s="165" t="s">
        <v>145</v>
      </c>
      <c r="C420" s="739" t="s">
        <v>108</v>
      </c>
      <c r="D420" s="739" t="s">
        <v>2185</v>
      </c>
      <c r="E420" s="740"/>
      <c r="F420" s="735" t="s">
        <v>2209</v>
      </c>
      <c r="G420" s="741" t="s">
        <v>2264</v>
      </c>
      <c r="H420" s="735" t="s">
        <v>2186</v>
      </c>
      <c r="I420" s="742">
        <v>45662.0</v>
      </c>
      <c r="J420" s="743"/>
      <c r="K420" s="743"/>
      <c r="L420" s="743"/>
      <c r="M420" s="735" t="s">
        <v>2213</v>
      </c>
      <c r="N420" s="735" t="s">
        <v>2214</v>
      </c>
      <c r="O420" s="744">
        <v>2.0</v>
      </c>
      <c r="P420" s="735" t="str">
        <f t="shared" si="26"/>
        <v>10.1016--j.learninstruc.2014.08.004.pdf</v>
      </c>
      <c r="Q420" s="49" t="str">
        <f t="array" ref="Q420"> if(iserror(MATCH(V420, 'File Links'!C:C, 0)), "N/A", HYPERLINK(INDEX('File Links'!B:B, MATCH(P420, 'File Links'!C:C, 0))))</f>
        <v>https://drive.google.com/file/d/1dE7-AS0QPxKoPMyquy5WhD3ojjC80SWY/view?usp=drivesdk</v>
      </c>
      <c r="R420" s="735" t="s">
        <v>2215</v>
      </c>
      <c r="S420" s="735" t="s">
        <v>2216</v>
      </c>
      <c r="T420" s="743"/>
      <c r="U420" s="172">
        <v>1.0</v>
      </c>
      <c r="V420" s="735" t="str">
        <f t="shared" si="25"/>
        <v>10.1007--s11251-024-09670-y.pdf</v>
      </c>
      <c r="W420" s="183" t="s">
        <v>2217</v>
      </c>
      <c r="X420" s="51" t="str">
        <f t="array" ref="X420"> if(iserror(MATCH(V420, 'File Links'!C:C, 0)), "N/A", HYPERLINK(INDEX('File Links'!B:B, MATCH(V420, 'File Links'!C:C, 0))))</f>
        <v>https://drive.google.com/file/d/1pi6g99iJYyhyD_0jGvDca_hbleDdekCp/view?usp=drivesdk</v>
      </c>
      <c r="Y420" s="743"/>
      <c r="Z420" s="735" t="s">
        <v>234</v>
      </c>
      <c r="AA420" s="735" t="s">
        <v>2218</v>
      </c>
      <c r="AB420" s="736" t="s">
        <v>2219</v>
      </c>
      <c r="AC420" s="735" t="s">
        <v>2265</v>
      </c>
      <c r="AD420" s="735" t="s">
        <v>2266</v>
      </c>
      <c r="AE420" s="744">
        <v>8.0</v>
      </c>
      <c r="AF420" s="744">
        <v>240.0</v>
      </c>
      <c r="AG420" s="744">
        <v>0.02</v>
      </c>
      <c r="AH420" s="745" t="s">
        <v>132</v>
      </c>
      <c r="AI420" s="741" t="s">
        <v>2247</v>
      </c>
      <c r="AJ420" s="746">
        <v>0.03</v>
      </c>
      <c r="AK420" s="735" t="s">
        <v>165</v>
      </c>
      <c r="AL420" s="741" t="s">
        <v>179</v>
      </c>
      <c r="AM420" s="743" t="s">
        <v>134</v>
      </c>
      <c r="AN420" s="172" t="s">
        <v>131</v>
      </c>
      <c r="AO420" s="744">
        <v>75.0</v>
      </c>
      <c r="AP420" s="735" t="s">
        <v>2267</v>
      </c>
      <c r="AQ420" s="736" t="s">
        <v>127</v>
      </c>
      <c r="AR420" s="735" t="s">
        <v>2222</v>
      </c>
      <c r="AS420" s="744">
        <v>0.36</v>
      </c>
      <c r="AT420" s="735" t="s">
        <v>165</v>
      </c>
      <c r="AU420" s="735" t="s">
        <v>179</v>
      </c>
      <c r="AV420" s="735" t="s">
        <v>130</v>
      </c>
      <c r="AW420" s="172" t="s">
        <v>131</v>
      </c>
      <c r="AX420" s="177" t="s">
        <v>144</v>
      </c>
      <c r="AY420" s="65"/>
      <c r="AZ420" s="165" t="s">
        <v>137</v>
      </c>
    </row>
    <row r="421" ht="20.25" customHeight="1">
      <c r="A421" s="41">
        <v>421.0</v>
      </c>
      <c r="B421" s="121" t="s">
        <v>583</v>
      </c>
      <c r="C421" s="121" t="s">
        <v>108</v>
      </c>
      <c r="D421" s="121" t="s">
        <v>1803</v>
      </c>
      <c r="E421" s="104"/>
      <c r="F421" s="758" t="s">
        <v>2268</v>
      </c>
      <c r="G421" s="123" t="s">
        <v>2269</v>
      </c>
      <c r="H421" s="123" t="s">
        <v>1804</v>
      </c>
      <c r="I421" s="314">
        <v>45461.0</v>
      </c>
      <c r="J421" s="124">
        <v>45642.0</v>
      </c>
      <c r="K421" s="129"/>
      <c r="L421" s="209"/>
      <c r="M421" s="123" t="s">
        <v>2270</v>
      </c>
      <c r="N421" s="123" t="s">
        <v>2271</v>
      </c>
      <c r="O421" s="129"/>
      <c r="P421" s="220" t="str">
        <f t="shared" si="26"/>
        <v>10.1016--0030-5073(76)90005-2.pdf</v>
      </c>
      <c r="Q421" s="49" t="str">
        <f t="array" ref="Q421"> if(iserror(MATCH(V421, 'File Links'!C:C, 0)), "N/A", HYPERLINK(INDEX('File Links'!B:B, MATCH(P421, 'File Links'!C:C, 0))))</f>
        <v>https://drive.google.com/file/d/1ks4sYhMyRxNwDVYxivPVczl4gI-dQ94P/view?usp=drivesdk</v>
      </c>
      <c r="R421" s="123" t="s">
        <v>2272</v>
      </c>
      <c r="S421" s="123" t="s">
        <v>2273</v>
      </c>
      <c r="T421" s="129"/>
      <c r="U421" s="130">
        <v>1.0</v>
      </c>
      <c r="V421" s="123" t="str">
        <f t="shared" si="25"/>
        <v>10.1037--xap0000366.pdf</v>
      </c>
      <c r="W421" s="123" t="s">
        <v>2179</v>
      </c>
      <c r="X421" s="51" t="str">
        <f t="array" ref="X421"> if(iserror(MATCH(V421, 'File Links'!C:C, 0)), "N/A", HYPERLINK(INDEX('File Links'!B:B, MATCH(V421, 'File Links'!C:C, 0))))</f>
        <v>https://drive.google.com/file/d/1SZWqK44IKYVvgeBO_YR6iREgVqKc9hl7/view?usp=drivesdk</v>
      </c>
      <c r="Y421" s="129"/>
      <c r="Z421" s="123" t="s">
        <v>1569</v>
      </c>
      <c r="AA421" s="123" t="s">
        <v>2180</v>
      </c>
      <c r="AB421" s="123" t="s">
        <v>2274</v>
      </c>
      <c r="AC421" s="123" t="s">
        <v>2275</v>
      </c>
      <c r="AD421" s="129"/>
      <c r="AE421" s="129"/>
      <c r="AF421" s="127">
        <v>240.0</v>
      </c>
      <c r="AG421" s="127">
        <v>14.4</v>
      </c>
      <c r="AH421" s="220" t="s">
        <v>1024</v>
      </c>
      <c r="AI421" s="123" t="s">
        <v>2276</v>
      </c>
      <c r="AJ421" s="127">
        <v>0.001</v>
      </c>
      <c r="AK421" s="137" t="s">
        <v>128</v>
      </c>
      <c r="AL421" s="684" t="s">
        <v>131</v>
      </c>
      <c r="AM421" s="684" t="s">
        <v>131</v>
      </c>
      <c r="AN421" s="123" t="s">
        <v>131</v>
      </c>
      <c r="AO421" s="127">
        <v>152.0</v>
      </c>
      <c r="AP421" s="127">
        <v>4.4</v>
      </c>
      <c r="AQ421" s="123" t="s">
        <v>1024</v>
      </c>
      <c r="AR421" s="123" t="s">
        <v>2277</v>
      </c>
      <c r="AS421" s="127">
        <v>0.038</v>
      </c>
      <c r="AT421" s="137" t="s">
        <v>165</v>
      </c>
      <c r="AU421" s="685" t="s">
        <v>131</v>
      </c>
      <c r="AV421" s="685" t="s">
        <v>131</v>
      </c>
      <c r="AW421" s="137" t="s">
        <v>131</v>
      </c>
      <c r="AX421" s="137" t="s">
        <v>136</v>
      </c>
      <c r="AY421" s="126" t="s">
        <v>2278</v>
      </c>
      <c r="AZ421" s="104"/>
    </row>
    <row r="422" ht="20.25" customHeight="1">
      <c r="A422" s="41">
        <v>422.0</v>
      </c>
      <c r="B422" s="121" t="s">
        <v>583</v>
      </c>
      <c r="C422" s="121" t="s">
        <v>108</v>
      </c>
      <c r="D422" s="121" t="s">
        <v>1803</v>
      </c>
      <c r="E422" s="104"/>
      <c r="F422" s="758" t="s">
        <v>2268</v>
      </c>
      <c r="G422" s="123" t="s">
        <v>2269</v>
      </c>
      <c r="H422" s="123" t="s">
        <v>1804</v>
      </c>
      <c r="I422" s="314">
        <v>45461.0</v>
      </c>
      <c r="J422" s="124">
        <v>45642.0</v>
      </c>
      <c r="K422" s="129"/>
      <c r="L422" s="129"/>
      <c r="M422" s="123" t="s">
        <v>2270</v>
      </c>
      <c r="N422" s="123" t="s">
        <v>2271</v>
      </c>
      <c r="O422" s="129"/>
      <c r="P422" s="220" t="str">
        <f t="shared" si="26"/>
        <v>10.1016--0030-5073(76)90005-2.pdf</v>
      </c>
      <c r="Q422" s="49" t="str">
        <f t="array" ref="Q422"> if(iserror(MATCH(V422, 'File Links'!C:C, 0)), "N/A", HYPERLINK(INDEX('File Links'!B:B, MATCH(P422, 'File Links'!C:C, 0))))</f>
        <v>https://drive.google.com/file/d/1ks4sYhMyRxNwDVYxivPVczl4gI-dQ94P/view?usp=drivesdk</v>
      </c>
      <c r="R422" s="123" t="s">
        <v>2272</v>
      </c>
      <c r="S422" s="123" t="s">
        <v>2273</v>
      </c>
      <c r="T422" s="129"/>
      <c r="U422" s="130">
        <v>2.0</v>
      </c>
      <c r="V422" s="123" t="str">
        <f t="shared" si="25"/>
        <v>10.1037--xap0000366.pdf</v>
      </c>
      <c r="W422" s="123" t="s">
        <v>2179</v>
      </c>
      <c r="X422" s="51" t="str">
        <f t="array" ref="X422"> if(iserror(MATCH(V422, 'File Links'!C:C, 0)), "N/A", HYPERLINK(INDEX('File Links'!B:B, MATCH(V422, 'File Links'!C:C, 0))))</f>
        <v>https://drive.google.com/file/d/1SZWqK44IKYVvgeBO_YR6iREgVqKc9hl7/view?usp=drivesdk</v>
      </c>
      <c r="Y422" s="129"/>
      <c r="Z422" s="123" t="s">
        <v>1569</v>
      </c>
      <c r="AA422" s="123" t="s">
        <v>2180</v>
      </c>
      <c r="AB422" s="123" t="s">
        <v>2274</v>
      </c>
      <c r="AC422" s="123" t="s">
        <v>2275</v>
      </c>
      <c r="AD422" s="129"/>
      <c r="AE422" s="129"/>
      <c r="AF422" s="127">
        <v>240.0</v>
      </c>
      <c r="AG422" s="127">
        <v>14.4</v>
      </c>
      <c r="AH422" s="220" t="s">
        <v>1024</v>
      </c>
      <c r="AI422" s="123" t="s">
        <v>2276</v>
      </c>
      <c r="AJ422" s="127">
        <v>0.001</v>
      </c>
      <c r="AK422" s="137" t="s">
        <v>128</v>
      </c>
      <c r="AL422" s="684" t="s">
        <v>131</v>
      </c>
      <c r="AM422" s="684" t="s">
        <v>131</v>
      </c>
      <c r="AN422" s="123" t="s">
        <v>131</v>
      </c>
      <c r="AO422" s="127">
        <v>161.0</v>
      </c>
      <c r="AP422" s="127">
        <v>6.75</v>
      </c>
      <c r="AQ422" s="123" t="s">
        <v>1024</v>
      </c>
      <c r="AR422" s="123" t="s">
        <v>2279</v>
      </c>
      <c r="AS422" s="127">
        <v>0.1</v>
      </c>
      <c r="AT422" s="137" t="s">
        <v>165</v>
      </c>
      <c r="AU422" s="685" t="s">
        <v>131</v>
      </c>
      <c r="AV422" s="685" t="s">
        <v>131</v>
      </c>
      <c r="AW422" s="137" t="s">
        <v>131</v>
      </c>
      <c r="AX422" s="137" t="s">
        <v>136</v>
      </c>
      <c r="AY422" s="58"/>
      <c r="AZ422" s="104"/>
    </row>
    <row r="423" ht="20.25" customHeight="1">
      <c r="A423" s="41">
        <v>423.0</v>
      </c>
      <c r="B423" s="121" t="s">
        <v>583</v>
      </c>
      <c r="C423" s="121" t="s">
        <v>108</v>
      </c>
      <c r="D423" s="121" t="s">
        <v>1803</v>
      </c>
      <c r="E423" s="104"/>
      <c r="F423" s="758" t="s">
        <v>2268</v>
      </c>
      <c r="G423" s="123" t="s">
        <v>2269</v>
      </c>
      <c r="H423" s="123" t="s">
        <v>1804</v>
      </c>
      <c r="I423" s="314">
        <v>45461.0</v>
      </c>
      <c r="J423" s="124">
        <v>45642.0</v>
      </c>
      <c r="K423" s="129"/>
      <c r="L423" s="129"/>
      <c r="M423" s="123" t="s">
        <v>2270</v>
      </c>
      <c r="N423" s="123" t="s">
        <v>2271</v>
      </c>
      <c r="O423" s="129"/>
      <c r="P423" s="220" t="str">
        <f t="shared" si="26"/>
        <v>10.1016--0030-5073(76)90005-2.pdf</v>
      </c>
      <c r="Q423" s="49" t="str">
        <f t="array" ref="Q423"> if(iserror(MATCH(V423, 'File Links'!C:C, 0)), "N/A", HYPERLINK(INDEX('File Links'!B:B, MATCH(P423, 'File Links'!C:C, 0))))</f>
        <v>https://drive.google.com/file/d/1ks4sYhMyRxNwDVYxivPVczl4gI-dQ94P/view?usp=drivesdk</v>
      </c>
      <c r="R423" s="123" t="s">
        <v>2272</v>
      </c>
      <c r="S423" s="123" t="s">
        <v>2273</v>
      </c>
      <c r="T423" s="129"/>
      <c r="U423" s="130">
        <v>1.0</v>
      </c>
      <c r="V423" s="123" t="str">
        <f t="shared" si="25"/>
        <v>10.1037--xap0000366.pdf</v>
      </c>
      <c r="W423" s="123" t="s">
        <v>2179</v>
      </c>
      <c r="X423" s="51" t="str">
        <f t="array" ref="X423"> if(iserror(MATCH(V423, 'File Links'!C:C, 0)), "N/A", HYPERLINK(INDEX('File Links'!B:B, MATCH(V423, 'File Links'!C:C, 0))))</f>
        <v>https://drive.google.com/file/d/1SZWqK44IKYVvgeBO_YR6iREgVqKc9hl7/view?usp=drivesdk</v>
      </c>
      <c r="Y423" s="129"/>
      <c r="Z423" s="123" t="s">
        <v>1569</v>
      </c>
      <c r="AA423" s="123" t="s">
        <v>2180</v>
      </c>
      <c r="AB423" s="123" t="s">
        <v>2274</v>
      </c>
      <c r="AC423" s="123" t="s">
        <v>2275</v>
      </c>
      <c r="AD423" s="129"/>
      <c r="AE423" s="129"/>
      <c r="AF423" s="127">
        <v>240.0</v>
      </c>
      <c r="AG423" s="127">
        <v>17.93</v>
      </c>
      <c r="AH423" s="220" t="s">
        <v>1024</v>
      </c>
      <c r="AI423" s="123" t="s">
        <v>2276</v>
      </c>
      <c r="AJ423" s="127">
        <v>0.001</v>
      </c>
      <c r="AK423" s="137" t="s">
        <v>128</v>
      </c>
      <c r="AL423" s="684" t="s">
        <v>131</v>
      </c>
      <c r="AM423" s="684" t="s">
        <v>131</v>
      </c>
      <c r="AN423" s="123" t="s">
        <v>131</v>
      </c>
      <c r="AO423" s="127">
        <v>152.0</v>
      </c>
      <c r="AP423" s="127">
        <v>174.49</v>
      </c>
      <c r="AQ423" s="123" t="s">
        <v>1024</v>
      </c>
      <c r="AR423" s="123" t="s">
        <v>2280</v>
      </c>
      <c r="AS423" s="127">
        <v>0.001</v>
      </c>
      <c r="AT423" s="137" t="s">
        <v>2123</v>
      </c>
      <c r="AU423" s="685" t="s">
        <v>131</v>
      </c>
      <c r="AV423" s="685" t="s">
        <v>131</v>
      </c>
      <c r="AW423" s="137" t="s">
        <v>131</v>
      </c>
      <c r="AX423" s="137" t="s">
        <v>136</v>
      </c>
      <c r="AY423" s="58"/>
      <c r="AZ423" s="104"/>
    </row>
    <row r="424" ht="20.25" customHeight="1">
      <c r="A424" s="41">
        <v>424.0</v>
      </c>
      <c r="B424" s="121" t="s">
        <v>583</v>
      </c>
      <c r="C424" s="121" t="s">
        <v>108</v>
      </c>
      <c r="D424" s="121" t="s">
        <v>1803</v>
      </c>
      <c r="E424" s="104"/>
      <c r="F424" s="758" t="s">
        <v>2268</v>
      </c>
      <c r="G424" s="123" t="s">
        <v>2269</v>
      </c>
      <c r="H424" s="123" t="s">
        <v>1804</v>
      </c>
      <c r="I424" s="314">
        <v>45461.0</v>
      </c>
      <c r="J424" s="124">
        <v>45642.0</v>
      </c>
      <c r="K424" s="129"/>
      <c r="L424" s="129"/>
      <c r="M424" s="123" t="s">
        <v>2270</v>
      </c>
      <c r="N424" s="123" t="s">
        <v>2271</v>
      </c>
      <c r="O424" s="129"/>
      <c r="P424" s="220" t="str">
        <f t="shared" si="26"/>
        <v>10.1016--0030-5073(76)90005-2.pdf</v>
      </c>
      <c r="Q424" s="49" t="str">
        <f t="array" ref="Q424"> if(iserror(MATCH(V424, 'File Links'!C:C, 0)), "N/A", HYPERLINK(INDEX('File Links'!B:B, MATCH(P424, 'File Links'!C:C, 0))))</f>
        <v>https://drive.google.com/file/d/1ks4sYhMyRxNwDVYxivPVczl4gI-dQ94P/view?usp=drivesdk</v>
      </c>
      <c r="R424" s="123" t="s">
        <v>2272</v>
      </c>
      <c r="S424" s="123" t="s">
        <v>2273</v>
      </c>
      <c r="T424" s="129"/>
      <c r="U424" s="130">
        <v>2.0</v>
      </c>
      <c r="V424" s="123" t="str">
        <f t="shared" si="25"/>
        <v>10.1037--xap0000366.pdf</v>
      </c>
      <c r="W424" s="123" t="s">
        <v>2179</v>
      </c>
      <c r="X424" s="51" t="str">
        <f t="array" ref="X424"> if(iserror(MATCH(V424, 'File Links'!C:C, 0)), "N/A", HYPERLINK(INDEX('File Links'!B:B, MATCH(V424, 'File Links'!C:C, 0))))</f>
        <v>https://drive.google.com/file/d/1SZWqK44IKYVvgeBO_YR6iREgVqKc9hl7/view?usp=drivesdk</v>
      </c>
      <c r="Y424" s="129"/>
      <c r="Z424" s="123" t="s">
        <v>1569</v>
      </c>
      <c r="AA424" s="123" t="s">
        <v>2180</v>
      </c>
      <c r="AB424" s="123" t="s">
        <v>2274</v>
      </c>
      <c r="AC424" s="123" t="s">
        <v>2275</v>
      </c>
      <c r="AD424" s="129"/>
      <c r="AE424" s="129"/>
      <c r="AF424" s="127">
        <v>240.0</v>
      </c>
      <c r="AG424" s="127">
        <v>17.93</v>
      </c>
      <c r="AH424" s="220" t="s">
        <v>1024</v>
      </c>
      <c r="AI424" s="123" t="s">
        <v>2276</v>
      </c>
      <c r="AJ424" s="127">
        <v>0.001</v>
      </c>
      <c r="AK424" s="137" t="s">
        <v>128</v>
      </c>
      <c r="AL424" s="684" t="s">
        <v>131</v>
      </c>
      <c r="AM424" s="684" t="s">
        <v>131</v>
      </c>
      <c r="AN424" s="123" t="s">
        <v>131</v>
      </c>
      <c r="AO424" s="127">
        <v>161.0</v>
      </c>
      <c r="AP424" s="127">
        <v>23.32</v>
      </c>
      <c r="AQ424" s="123" t="s">
        <v>1024</v>
      </c>
      <c r="AR424" s="123" t="s">
        <v>2279</v>
      </c>
      <c r="AS424" s="127">
        <v>0.001</v>
      </c>
      <c r="AT424" s="137" t="s">
        <v>2123</v>
      </c>
      <c r="AU424" s="685" t="s">
        <v>131</v>
      </c>
      <c r="AV424" s="685" t="s">
        <v>131</v>
      </c>
      <c r="AW424" s="137" t="s">
        <v>131</v>
      </c>
      <c r="AX424" s="137" t="s">
        <v>136</v>
      </c>
      <c r="AY424" s="58"/>
      <c r="AZ424" s="104"/>
    </row>
    <row r="425" ht="20.25" customHeight="1">
      <c r="A425" s="41">
        <v>425.0</v>
      </c>
      <c r="B425" s="121" t="s">
        <v>583</v>
      </c>
      <c r="C425" s="146" t="s">
        <v>108</v>
      </c>
      <c r="D425" s="146" t="s">
        <v>2185</v>
      </c>
      <c r="E425" s="69"/>
      <c r="F425" s="119" t="s">
        <v>2268</v>
      </c>
      <c r="G425" s="109" t="s">
        <v>2269</v>
      </c>
      <c r="H425" s="119" t="s">
        <v>2186</v>
      </c>
      <c r="I425" s="414">
        <v>45461.0</v>
      </c>
      <c r="J425" s="110">
        <v>45641.0</v>
      </c>
      <c r="K425" s="119" t="s">
        <v>2281</v>
      </c>
      <c r="L425" s="108"/>
      <c r="M425" s="119" t="s">
        <v>2270</v>
      </c>
      <c r="N425" s="119" t="s">
        <v>2271</v>
      </c>
      <c r="O425" s="108"/>
      <c r="P425" s="119" t="str">
        <f t="shared" si="26"/>
        <v>10.1016--0030-5073(76)90005-2.pdf</v>
      </c>
      <c r="Q425" s="49" t="str">
        <f t="array" ref="Q425"> if(iserror(MATCH(V425, 'File Links'!C:C, 0)), "N/A", HYPERLINK(INDEX('File Links'!B:B, MATCH(P425, 'File Links'!C:C, 0))))</f>
        <v>https://drive.google.com/file/d/1ks4sYhMyRxNwDVYxivPVczl4gI-dQ94P/view?usp=drivesdk</v>
      </c>
      <c r="R425" s="119" t="s">
        <v>2272</v>
      </c>
      <c r="S425" s="119" t="s">
        <v>2273</v>
      </c>
      <c r="T425" s="108"/>
      <c r="U425" s="534">
        <v>1.0</v>
      </c>
      <c r="V425" s="119" t="str">
        <f t="shared" si="25"/>
        <v>10.1037--xap0000366.pdf</v>
      </c>
      <c r="W425" s="119" t="s">
        <v>2282</v>
      </c>
      <c r="X425" s="51" t="str">
        <f t="array" ref="X425"> if(iserror(MATCH(V425, 'File Links'!C:C, 0)), "N/A", HYPERLINK(INDEX('File Links'!B:B, MATCH(V425, 'File Links'!C:C, 0))))</f>
        <v>https://drive.google.com/file/d/1SZWqK44IKYVvgeBO_YR6iREgVqKc9hl7/view?usp=drivesdk</v>
      </c>
      <c r="Y425" s="108"/>
      <c r="Z425" s="119" t="s">
        <v>1802</v>
      </c>
      <c r="AA425" s="119" t="s">
        <v>2283</v>
      </c>
      <c r="AB425" s="119" t="s">
        <v>2284</v>
      </c>
      <c r="AC425" s="119" t="s">
        <v>2285</v>
      </c>
      <c r="AD425" s="119" t="s">
        <v>2286</v>
      </c>
      <c r="AE425" s="534">
        <v>11.0</v>
      </c>
      <c r="AF425" s="534">
        <v>240.0</v>
      </c>
      <c r="AG425" s="759" t="s">
        <v>2287</v>
      </c>
      <c r="AH425" s="116" t="s">
        <v>127</v>
      </c>
      <c r="AI425" s="109" t="s">
        <v>300</v>
      </c>
      <c r="AJ425" s="114">
        <v>0.001</v>
      </c>
      <c r="AK425" s="119" t="s">
        <v>128</v>
      </c>
      <c r="AL425" s="109" t="s">
        <v>179</v>
      </c>
      <c r="AM425" s="119" t="s">
        <v>130</v>
      </c>
      <c r="AN425" s="123" t="s">
        <v>131</v>
      </c>
      <c r="AO425" s="534">
        <v>152.0</v>
      </c>
      <c r="AP425" s="534">
        <v>0.03</v>
      </c>
      <c r="AQ425" s="108" t="s">
        <v>132</v>
      </c>
      <c r="AR425" s="119" t="s">
        <v>2288</v>
      </c>
      <c r="AS425" s="534">
        <v>0.038</v>
      </c>
      <c r="AT425" s="108" t="s">
        <v>165</v>
      </c>
      <c r="AU425" s="119" t="s">
        <v>179</v>
      </c>
      <c r="AV425" s="119" t="s">
        <v>130</v>
      </c>
      <c r="AW425" s="669" t="s">
        <v>2289</v>
      </c>
      <c r="AX425" s="417" t="s">
        <v>144</v>
      </c>
      <c r="AY425" s="65"/>
      <c r="AZ425" s="69"/>
    </row>
    <row r="426" ht="20.25" customHeight="1">
      <c r="A426" s="41">
        <v>426.0</v>
      </c>
      <c r="B426" s="121" t="s">
        <v>583</v>
      </c>
      <c r="C426" s="146" t="s">
        <v>108</v>
      </c>
      <c r="D426" s="146" t="s">
        <v>2185</v>
      </c>
      <c r="E426" s="69"/>
      <c r="F426" s="119" t="s">
        <v>2268</v>
      </c>
      <c r="G426" s="109" t="s">
        <v>2290</v>
      </c>
      <c r="H426" s="119" t="s">
        <v>2186</v>
      </c>
      <c r="I426" s="110">
        <v>45641.0</v>
      </c>
      <c r="J426" s="110">
        <v>45643.0</v>
      </c>
      <c r="K426" s="119" t="s">
        <v>2281</v>
      </c>
      <c r="L426" s="108"/>
      <c r="M426" s="119" t="s">
        <v>2270</v>
      </c>
      <c r="N426" s="119" t="s">
        <v>2271</v>
      </c>
      <c r="O426" s="108"/>
      <c r="P426" s="119" t="str">
        <f t="shared" si="26"/>
        <v>10.1016--0030-5073(76)90005-2.pdf</v>
      </c>
      <c r="Q426" s="49" t="str">
        <f t="array" ref="Q426"> if(iserror(MATCH(V426, 'File Links'!C:C, 0)), "N/A", HYPERLINK(INDEX('File Links'!B:B, MATCH(P426, 'File Links'!C:C, 0))))</f>
        <v>https://drive.google.com/file/d/1ks4sYhMyRxNwDVYxivPVczl4gI-dQ94P/view?usp=drivesdk</v>
      </c>
      <c r="R426" s="119" t="s">
        <v>2272</v>
      </c>
      <c r="S426" s="119" t="s">
        <v>2273</v>
      </c>
      <c r="T426" s="108"/>
      <c r="U426" s="534">
        <v>1.0</v>
      </c>
      <c r="V426" s="119" t="str">
        <f t="shared" si="25"/>
        <v>10.1037--xap0000366.pdf</v>
      </c>
      <c r="W426" s="119" t="s">
        <v>2282</v>
      </c>
      <c r="X426" s="51" t="str">
        <f t="array" ref="X426"> if(iserror(MATCH(V426, 'File Links'!C:C, 0)), "N/A", HYPERLINK(INDEX('File Links'!B:B, MATCH(V426, 'File Links'!C:C, 0))))</f>
        <v>https://drive.google.com/file/d/1SZWqK44IKYVvgeBO_YR6iREgVqKc9hl7/view?usp=drivesdk</v>
      </c>
      <c r="Y426" s="108"/>
      <c r="Z426" s="119" t="s">
        <v>1802</v>
      </c>
      <c r="AA426" s="119" t="s">
        <v>2283</v>
      </c>
      <c r="AB426" s="119" t="s">
        <v>2284</v>
      </c>
      <c r="AC426" s="119" t="s">
        <v>2291</v>
      </c>
      <c r="AD426" s="119" t="s">
        <v>2292</v>
      </c>
      <c r="AE426" s="534">
        <v>11.0</v>
      </c>
      <c r="AF426" s="534">
        <v>240.0</v>
      </c>
      <c r="AG426" s="119" t="s">
        <v>2293</v>
      </c>
      <c r="AH426" s="116" t="s">
        <v>127</v>
      </c>
      <c r="AI426" s="109" t="s">
        <v>300</v>
      </c>
      <c r="AJ426" s="114">
        <v>0.001</v>
      </c>
      <c r="AK426" s="119" t="s">
        <v>128</v>
      </c>
      <c r="AL426" s="109" t="s">
        <v>179</v>
      </c>
      <c r="AM426" s="119" t="s">
        <v>130</v>
      </c>
      <c r="AN426" s="123" t="s">
        <v>131</v>
      </c>
      <c r="AO426" s="534">
        <v>152.0</v>
      </c>
      <c r="AP426" s="108"/>
      <c r="AQ426" s="108"/>
      <c r="AR426" s="119" t="s">
        <v>2294</v>
      </c>
      <c r="AS426" s="108"/>
      <c r="AT426" s="108"/>
      <c r="AU426" s="119" t="s">
        <v>179</v>
      </c>
      <c r="AV426" s="119" t="s">
        <v>130</v>
      </c>
      <c r="AW426" s="669" t="s">
        <v>2289</v>
      </c>
      <c r="AX426" s="417" t="s">
        <v>144</v>
      </c>
      <c r="AY426" s="65"/>
      <c r="AZ426" s="69"/>
    </row>
    <row r="427" ht="20.25" customHeight="1">
      <c r="A427" s="41">
        <v>427.0</v>
      </c>
      <c r="B427" s="121" t="s">
        <v>583</v>
      </c>
      <c r="C427" s="146" t="s">
        <v>108</v>
      </c>
      <c r="D427" s="146" t="s">
        <v>2185</v>
      </c>
      <c r="E427" s="69"/>
      <c r="F427" s="119" t="s">
        <v>2268</v>
      </c>
      <c r="G427" s="109" t="s">
        <v>2295</v>
      </c>
      <c r="H427" s="119" t="s">
        <v>2186</v>
      </c>
      <c r="I427" s="110">
        <v>45641.0</v>
      </c>
      <c r="J427" s="110">
        <v>45643.0</v>
      </c>
      <c r="K427" s="119" t="s">
        <v>2281</v>
      </c>
      <c r="L427" s="108"/>
      <c r="M427" s="119" t="s">
        <v>2270</v>
      </c>
      <c r="N427" s="119" t="s">
        <v>2271</v>
      </c>
      <c r="O427" s="108"/>
      <c r="P427" s="119" t="str">
        <f t="shared" si="26"/>
        <v>10.1016--0030-5073(76)90005-2.pdf</v>
      </c>
      <c r="Q427" s="49" t="str">
        <f t="array" ref="Q427"> if(iserror(MATCH(V427, 'File Links'!C:C, 0)), "N/A", HYPERLINK(INDEX('File Links'!B:B, MATCH(P427, 'File Links'!C:C, 0))))</f>
        <v>https://drive.google.com/file/d/1ks4sYhMyRxNwDVYxivPVczl4gI-dQ94P/view?usp=drivesdk</v>
      </c>
      <c r="R427" s="119" t="s">
        <v>2272</v>
      </c>
      <c r="S427" s="119" t="s">
        <v>2273</v>
      </c>
      <c r="T427" s="108"/>
      <c r="U427" s="534">
        <v>1.0</v>
      </c>
      <c r="V427" s="119" t="str">
        <f t="shared" si="25"/>
        <v>10.1037--xap0000366.pdf</v>
      </c>
      <c r="W427" s="119" t="s">
        <v>2282</v>
      </c>
      <c r="X427" s="51" t="str">
        <f t="array" ref="X427"> if(iserror(MATCH(V427, 'File Links'!C:C, 0)), "N/A", HYPERLINK(INDEX('File Links'!B:B, MATCH(V427, 'File Links'!C:C, 0))))</f>
        <v>https://drive.google.com/file/d/1SZWqK44IKYVvgeBO_YR6iREgVqKc9hl7/view?usp=drivesdk</v>
      </c>
      <c r="Y427" s="108"/>
      <c r="Z427" s="119" t="s">
        <v>1802</v>
      </c>
      <c r="AA427" s="119" t="s">
        <v>2283</v>
      </c>
      <c r="AB427" s="119" t="s">
        <v>2284</v>
      </c>
      <c r="AC427" s="119" t="s">
        <v>2296</v>
      </c>
      <c r="AD427" s="119" t="s">
        <v>2297</v>
      </c>
      <c r="AE427" s="534">
        <v>11.0</v>
      </c>
      <c r="AF427" s="534">
        <v>240.0</v>
      </c>
      <c r="AG427" s="119" t="s">
        <v>2298</v>
      </c>
      <c r="AH427" s="116" t="s">
        <v>127</v>
      </c>
      <c r="AI427" s="109" t="s">
        <v>300</v>
      </c>
      <c r="AJ427" s="114">
        <v>0.019</v>
      </c>
      <c r="AK427" s="119" t="s">
        <v>128</v>
      </c>
      <c r="AL427" s="109" t="s">
        <v>179</v>
      </c>
      <c r="AM427" s="119" t="s">
        <v>130</v>
      </c>
      <c r="AN427" s="123" t="s">
        <v>131</v>
      </c>
      <c r="AO427" s="534">
        <v>152.0</v>
      </c>
      <c r="AP427" s="108"/>
      <c r="AQ427" s="108"/>
      <c r="AR427" s="119" t="s">
        <v>2294</v>
      </c>
      <c r="AS427" s="108"/>
      <c r="AT427" s="108"/>
      <c r="AU427" s="119" t="s">
        <v>179</v>
      </c>
      <c r="AV427" s="119" t="s">
        <v>130</v>
      </c>
      <c r="AW427" s="669" t="s">
        <v>2289</v>
      </c>
      <c r="AX427" s="417" t="s">
        <v>144</v>
      </c>
      <c r="AY427" s="65"/>
      <c r="AZ427" s="69"/>
      <c r="BA427" s="223"/>
      <c r="BB427" s="223"/>
      <c r="BC427" s="223"/>
      <c r="BD427" s="223"/>
      <c r="BE427" s="223"/>
      <c r="BF427" s="223"/>
      <c r="BG427" s="223"/>
      <c r="BH427" s="223"/>
      <c r="BI427" s="223"/>
      <c r="BJ427" s="223"/>
      <c r="BK427" s="223"/>
      <c r="BL427" s="223"/>
      <c r="BM427" s="223"/>
      <c r="BN427" s="223"/>
      <c r="BO427" s="223"/>
      <c r="BP427" s="223"/>
      <c r="BQ427" s="223"/>
      <c r="BR427" s="223"/>
      <c r="BS427" s="223"/>
      <c r="BT427" s="223"/>
      <c r="BU427" s="223"/>
      <c r="BV427" s="223"/>
      <c r="BW427" s="223"/>
      <c r="BX427" s="223"/>
      <c r="BY427" s="223"/>
      <c r="BZ427" s="223"/>
      <c r="CA427" s="223"/>
      <c r="CB427" s="223"/>
      <c r="CC427" s="223"/>
      <c r="CD427" s="223"/>
      <c r="CE427" s="223"/>
      <c r="CF427" s="223"/>
      <c r="CG427" s="223"/>
      <c r="CH427" s="223"/>
      <c r="CI427" s="223"/>
      <c r="CJ427" s="223"/>
      <c r="CK427" s="223"/>
      <c r="CL427" s="223"/>
      <c r="CM427" s="223"/>
      <c r="CN427" s="223"/>
      <c r="CO427" s="223"/>
      <c r="CP427" s="223"/>
      <c r="CQ427" s="223"/>
      <c r="CR427" s="223"/>
      <c r="CS427" s="223"/>
      <c r="CT427" s="223"/>
      <c r="CU427" s="223"/>
      <c r="CV427" s="223"/>
      <c r="CW427" s="223"/>
      <c r="CX427" s="223"/>
      <c r="CY427" s="223"/>
      <c r="CZ427" s="223"/>
      <c r="DA427" s="223"/>
      <c r="DB427" s="223"/>
      <c r="DC427" s="223"/>
      <c r="DD427" s="223"/>
      <c r="DE427" s="223"/>
      <c r="DF427" s="223"/>
      <c r="DG427" s="223"/>
      <c r="DH427" s="223"/>
    </row>
    <row r="428" ht="20.25" customHeight="1">
      <c r="A428" s="41">
        <v>428.0</v>
      </c>
      <c r="B428" s="121" t="s">
        <v>583</v>
      </c>
      <c r="C428" s="146" t="s">
        <v>108</v>
      </c>
      <c r="D428" s="146" t="s">
        <v>2185</v>
      </c>
      <c r="E428" s="69"/>
      <c r="F428" s="119" t="s">
        <v>2268</v>
      </c>
      <c r="G428" s="109" t="s">
        <v>2299</v>
      </c>
      <c r="H428" s="119" t="s">
        <v>2186</v>
      </c>
      <c r="I428" s="110">
        <v>45641.0</v>
      </c>
      <c r="J428" s="110">
        <v>45643.0</v>
      </c>
      <c r="K428" s="108"/>
      <c r="L428" s="108"/>
      <c r="M428" s="119" t="s">
        <v>2270</v>
      </c>
      <c r="N428" s="119" t="s">
        <v>2271</v>
      </c>
      <c r="O428" s="108"/>
      <c r="P428" s="119" t="str">
        <f t="shared" si="26"/>
        <v>10.1016--0030-5073(76)90005-2.pdf</v>
      </c>
      <c r="Q428" s="49" t="str">
        <f t="array" ref="Q428"> if(iserror(MATCH(V428, 'File Links'!C:C, 0)), "N/A", HYPERLINK(INDEX('File Links'!B:B, MATCH(P428, 'File Links'!C:C, 0))))</f>
        <v>https://drive.google.com/file/d/1ks4sYhMyRxNwDVYxivPVczl4gI-dQ94P/view?usp=drivesdk</v>
      </c>
      <c r="R428" s="119" t="s">
        <v>2272</v>
      </c>
      <c r="S428" s="119" t="s">
        <v>2273</v>
      </c>
      <c r="T428" s="108"/>
      <c r="U428" s="534">
        <v>2.0</v>
      </c>
      <c r="V428" s="119" t="str">
        <f t="shared" si="25"/>
        <v>10.1037--xap0000366.pdf</v>
      </c>
      <c r="W428" s="119" t="s">
        <v>2282</v>
      </c>
      <c r="X428" s="51" t="str">
        <f t="array" ref="X428"> if(iserror(MATCH(V428, 'File Links'!C:C, 0)), "N/A", HYPERLINK(INDEX('File Links'!B:B, MATCH(V428, 'File Links'!C:C, 0))))</f>
        <v>https://drive.google.com/file/d/1SZWqK44IKYVvgeBO_YR6iREgVqKc9hl7/view?usp=drivesdk</v>
      </c>
      <c r="Y428" s="108"/>
      <c r="Z428" s="119" t="s">
        <v>1802</v>
      </c>
      <c r="AA428" s="119" t="s">
        <v>2283</v>
      </c>
      <c r="AB428" s="119" t="s">
        <v>2284</v>
      </c>
      <c r="AC428" s="119" t="s">
        <v>2285</v>
      </c>
      <c r="AD428" s="119" t="s">
        <v>2286</v>
      </c>
      <c r="AE428" s="534">
        <v>11.0</v>
      </c>
      <c r="AF428" s="534">
        <v>240.0</v>
      </c>
      <c r="AG428" s="759" t="s">
        <v>2287</v>
      </c>
      <c r="AH428" s="116" t="s">
        <v>127</v>
      </c>
      <c r="AI428" s="109" t="s">
        <v>300</v>
      </c>
      <c r="AJ428" s="114">
        <v>0.001</v>
      </c>
      <c r="AK428" s="119" t="s">
        <v>128</v>
      </c>
      <c r="AL428" s="109" t="s">
        <v>179</v>
      </c>
      <c r="AM428" s="119" t="s">
        <v>130</v>
      </c>
      <c r="AN428" s="123" t="s">
        <v>131</v>
      </c>
      <c r="AO428" s="534">
        <v>161.0</v>
      </c>
      <c r="AP428" s="534">
        <v>0.05</v>
      </c>
      <c r="AQ428" s="108" t="s">
        <v>132</v>
      </c>
      <c r="AR428" s="119" t="s">
        <v>2300</v>
      </c>
      <c r="AS428" s="534">
        <v>0.003</v>
      </c>
      <c r="AT428" s="119" t="s">
        <v>165</v>
      </c>
      <c r="AU428" s="119" t="s">
        <v>179</v>
      </c>
      <c r="AV428" s="119" t="s">
        <v>130</v>
      </c>
      <c r="AW428" s="669" t="s">
        <v>2289</v>
      </c>
      <c r="AX428" s="417" t="s">
        <v>144</v>
      </c>
      <c r="AY428" s="65"/>
      <c r="AZ428" s="69"/>
      <c r="BA428" s="223"/>
      <c r="BB428" s="223"/>
      <c r="BC428" s="223"/>
      <c r="BD428" s="223"/>
      <c r="BE428" s="223"/>
      <c r="BF428" s="223"/>
      <c r="BG428" s="223"/>
      <c r="BH428" s="223"/>
      <c r="BI428" s="223"/>
      <c r="BJ428" s="223"/>
      <c r="BK428" s="223"/>
      <c r="BL428" s="223"/>
      <c r="BM428" s="223"/>
      <c r="BN428" s="223"/>
      <c r="BO428" s="223"/>
      <c r="BP428" s="223"/>
      <c r="BQ428" s="223"/>
      <c r="BR428" s="223"/>
      <c r="BS428" s="223"/>
      <c r="BT428" s="223"/>
      <c r="BU428" s="223"/>
      <c r="BV428" s="223"/>
      <c r="BW428" s="223"/>
      <c r="BX428" s="223"/>
      <c r="BY428" s="223"/>
      <c r="BZ428" s="223"/>
      <c r="CA428" s="223"/>
      <c r="CB428" s="223"/>
      <c r="CC428" s="223"/>
      <c r="CD428" s="223"/>
      <c r="CE428" s="223"/>
      <c r="CF428" s="223"/>
      <c r="CG428" s="223"/>
      <c r="CH428" s="223"/>
      <c r="CI428" s="223"/>
      <c r="CJ428" s="223"/>
      <c r="CK428" s="223"/>
      <c r="CL428" s="223"/>
      <c r="CM428" s="223"/>
      <c r="CN428" s="223"/>
      <c r="CO428" s="223"/>
      <c r="CP428" s="223"/>
      <c r="CQ428" s="223"/>
      <c r="CR428" s="223"/>
      <c r="CS428" s="223"/>
      <c r="CT428" s="223"/>
      <c r="CU428" s="223"/>
      <c r="CV428" s="223"/>
      <c r="CW428" s="223"/>
      <c r="CX428" s="223"/>
      <c r="CY428" s="223"/>
      <c r="CZ428" s="223"/>
      <c r="DA428" s="223"/>
      <c r="DB428" s="223"/>
      <c r="DC428" s="223"/>
      <c r="DD428" s="223"/>
      <c r="DE428" s="223"/>
      <c r="DF428" s="223"/>
      <c r="DG428" s="223"/>
      <c r="DH428" s="223"/>
    </row>
    <row r="429" ht="20.25" customHeight="1">
      <c r="A429" s="41">
        <v>429.0</v>
      </c>
      <c r="B429" s="121" t="s">
        <v>583</v>
      </c>
      <c r="C429" s="146" t="s">
        <v>108</v>
      </c>
      <c r="D429" s="146" t="s">
        <v>2185</v>
      </c>
      <c r="E429" s="69"/>
      <c r="F429" s="119" t="s">
        <v>2268</v>
      </c>
      <c r="G429" s="109" t="s">
        <v>2301</v>
      </c>
      <c r="H429" s="119" t="s">
        <v>2186</v>
      </c>
      <c r="I429" s="110">
        <v>45641.0</v>
      </c>
      <c r="J429" s="110">
        <v>45643.0</v>
      </c>
      <c r="K429" s="108"/>
      <c r="L429" s="108"/>
      <c r="M429" s="119" t="s">
        <v>2270</v>
      </c>
      <c r="N429" s="119" t="s">
        <v>2271</v>
      </c>
      <c r="O429" s="108"/>
      <c r="P429" s="119" t="str">
        <f t="shared" si="26"/>
        <v>10.1016--0030-5073(76)90005-2.pdf</v>
      </c>
      <c r="Q429" s="49" t="str">
        <f t="array" ref="Q429"> if(iserror(MATCH(V429, 'File Links'!C:C, 0)), "N/A", HYPERLINK(INDEX('File Links'!B:B, MATCH(P429, 'File Links'!C:C, 0))))</f>
        <v>https://drive.google.com/file/d/1ks4sYhMyRxNwDVYxivPVczl4gI-dQ94P/view?usp=drivesdk</v>
      </c>
      <c r="R429" s="119" t="s">
        <v>2272</v>
      </c>
      <c r="S429" s="119" t="s">
        <v>2273</v>
      </c>
      <c r="T429" s="108"/>
      <c r="U429" s="534">
        <v>2.0</v>
      </c>
      <c r="V429" s="119" t="str">
        <f t="shared" si="25"/>
        <v>10.1037--xap0000366.pdf</v>
      </c>
      <c r="W429" s="119" t="s">
        <v>2282</v>
      </c>
      <c r="X429" s="51" t="str">
        <f t="array" ref="X429"> if(iserror(MATCH(V429, 'File Links'!C:C, 0)), "N/A", HYPERLINK(INDEX('File Links'!B:B, MATCH(V429, 'File Links'!C:C, 0))))</f>
        <v>https://drive.google.com/file/d/1SZWqK44IKYVvgeBO_YR6iREgVqKc9hl7/view?usp=drivesdk</v>
      </c>
      <c r="Y429" s="108"/>
      <c r="Z429" s="119" t="s">
        <v>1802</v>
      </c>
      <c r="AA429" s="119" t="s">
        <v>2283</v>
      </c>
      <c r="AB429" s="119" t="s">
        <v>2284</v>
      </c>
      <c r="AC429" s="119" t="s">
        <v>2285</v>
      </c>
      <c r="AD429" s="119" t="s">
        <v>2292</v>
      </c>
      <c r="AE429" s="534">
        <v>11.0</v>
      </c>
      <c r="AF429" s="534">
        <v>240.0</v>
      </c>
      <c r="AG429" s="119" t="s">
        <v>2293</v>
      </c>
      <c r="AH429" s="116" t="s">
        <v>127</v>
      </c>
      <c r="AI429" s="109" t="s">
        <v>300</v>
      </c>
      <c r="AJ429" s="114">
        <v>0.001</v>
      </c>
      <c r="AK429" s="119" t="s">
        <v>128</v>
      </c>
      <c r="AL429" s="109" t="s">
        <v>179</v>
      </c>
      <c r="AM429" s="119" t="s">
        <v>130</v>
      </c>
      <c r="AN429" s="123" t="s">
        <v>131</v>
      </c>
      <c r="AO429" s="534">
        <v>161.0</v>
      </c>
      <c r="AP429" s="534">
        <v>0.13</v>
      </c>
      <c r="AQ429" s="108" t="s">
        <v>132</v>
      </c>
      <c r="AR429" s="119" t="s">
        <v>2300</v>
      </c>
      <c r="AS429" s="534">
        <v>0.001</v>
      </c>
      <c r="AT429" s="119" t="s">
        <v>128</v>
      </c>
      <c r="AU429" s="119" t="s">
        <v>179</v>
      </c>
      <c r="AV429" s="119" t="s">
        <v>130</v>
      </c>
      <c r="AW429" s="669" t="s">
        <v>2289</v>
      </c>
      <c r="AX429" s="417" t="s">
        <v>144</v>
      </c>
      <c r="AY429" s="65"/>
      <c r="AZ429" s="69"/>
    </row>
    <row r="430" ht="20.25" customHeight="1">
      <c r="A430" s="41">
        <v>430.0</v>
      </c>
      <c r="B430" s="121" t="s">
        <v>583</v>
      </c>
      <c r="C430" s="146" t="s">
        <v>108</v>
      </c>
      <c r="D430" s="146" t="s">
        <v>2185</v>
      </c>
      <c r="E430" s="69"/>
      <c r="F430" s="119" t="s">
        <v>2268</v>
      </c>
      <c r="G430" s="109" t="s">
        <v>2302</v>
      </c>
      <c r="H430" s="119" t="s">
        <v>2186</v>
      </c>
      <c r="I430" s="110">
        <v>45641.0</v>
      </c>
      <c r="J430" s="110">
        <v>45643.0</v>
      </c>
      <c r="K430" s="108"/>
      <c r="L430" s="108"/>
      <c r="M430" s="119" t="s">
        <v>2270</v>
      </c>
      <c r="N430" s="119" t="s">
        <v>2271</v>
      </c>
      <c r="O430" s="108"/>
      <c r="P430" s="119" t="str">
        <f t="shared" si="26"/>
        <v>10.1016--0030-5073(76)90005-2.pdf</v>
      </c>
      <c r="Q430" s="49" t="str">
        <f t="array" ref="Q430"> if(iserror(MATCH(V430, 'File Links'!C:C, 0)), "N/A", HYPERLINK(INDEX('File Links'!B:B, MATCH(P430, 'File Links'!C:C, 0))))</f>
        <v>https://drive.google.com/file/d/1ks4sYhMyRxNwDVYxivPVczl4gI-dQ94P/view?usp=drivesdk</v>
      </c>
      <c r="R430" s="119" t="s">
        <v>2272</v>
      </c>
      <c r="S430" s="119" t="s">
        <v>2273</v>
      </c>
      <c r="T430" s="108"/>
      <c r="U430" s="534">
        <v>2.0</v>
      </c>
      <c r="V430" s="119" t="str">
        <f t="shared" si="25"/>
        <v>10.1037--xap0000366.pdf</v>
      </c>
      <c r="W430" s="119" t="s">
        <v>2282</v>
      </c>
      <c r="X430" s="51" t="str">
        <f t="array" ref="X430"> if(iserror(MATCH(V430, 'File Links'!C:C, 0)), "N/A", HYPERLINK(INDEX('File Links'!B:B, MATCH(V430, 'File Links'!C:C, 0))))</f>
        <v>https://drive.google.com/file/d/1SZWqK44IKYVvgeBO_YR6iREgVqKc9hl7/view?usp=drivesdk</v>
      </c>
      <c r="Y430" s="108"/>
      <c r="Z430" s="119" t="s">
        <v>1802</v>
      </c>
      <c r="AA430" s="119" t="s">
        <v>2283</v>
      </c>
      <c r="AB430" s="119" t="s">
        <v>2284</v>
      </c>
      <c r="AC430" s="119" t="s">
        <v>2296</v>
      </c>
      <c r="AD430" s="119" t="s">
        <v>2297</v>
      </c>
      <c r="AE430" s="534">
        <v>11.0</v>
      </c>
      <c r="AF430" s="534">
        <v>240.0</v>
      </c>
      <c r="AG430" s="119" t="s">
        <v>2298</v>
      </c>
      <c r="AH430" s="116" t="s">
        <v>127</v>
      </c>
      <c r="AI430" s="109" t="s">
        <v>300</v>
      </c>
      <c r="AJ430" s="114">
        <v>0.019</v>
      </c>
      <c r="AK430" s="119" t="s">
        <v>128</v>
      </c>
      <c r="AL430" s="109" t="s">
        <v>179</v>
      </c>
      <c r="AM430" s="119" t="s">
        <v>130</v>
      </c>
      <c r="AN430" s="123" t="s">
        <v>131</v>
      </c>
      <c r="AO430" s="534">
        <v>161.0</v>
      </c>
      <c r="AP430" s="534">
        <v>0.0</v>
      </c>
      <c r="AQ430" s="108" t="s">
        <v>132</v>
      </c>
      <c r="AR430" s="119" t="s">
        <v>2300</v>
      </c>
      <c r="AS430" s="534">
        <v>0.546</v>
      </c>
      <c r="AT430" s="119" t="s">
        <v>165</v>
      </c>
      <c r="AU430" s="119" t="s">
        <v>179</v>
      </c>
      <c r="AV430" s="119" t="s">
        <v>130</v>
      </c>
      <c r="AW430" s="669" t="s">
        <v>2289</v>
      </c>
      <c r="AX430" s="417" t="s">
        <v>144</v>
      </c>
      <c r="AY430" s="65"/>
      <c r="AZ430" s="69"/>
    </row>
    <row r="431" ht="20.25" customHeight="1">
      <c r="A431" s="41">
        <v>431.0</v>
      </c>
      <c r="B431" s="713" t="s">
        <v>107</v>
      </c>
      <c r="C431" s="713" t="s">
        <v>108</v>
      </c>
      <c r="D431" s="713" t="s">
        <v>1803</v>
      </c>
      <c r="E431" s="694"/>
      <c r="F431" s="714" t="s">
        <v>2303</v>
      </c>
      <c r="G431" s="715" t="s">
        <v>2304</v>
      </c>
      <c r="H431" s="715" t="s">
        <v>1804</v>
      </c>
      <c r="I431" s="760">
        <v>45672.0</v>
      </c>
      <c r="J431" s="167">
        <v>45685.0</v>
      </c>
      <c r="K431" s="761" t="s">
        <v>2305</v>
      </c>
      <c r="L431" s="717" t="s">
        <v>2306</v>
      </c>
      <c r="M431" s="715" t="s">
        <v>2307</v>
      </c>
      <c r="N431" s="715" t="s">
        <v>2308</v>
      </c>
      <c r="O431" s="720"/>
      <c r="P431" s="718" t="str">
        <f t="shared" si="26"/>
        <v>10.1037--a0019006.pdf</v>
      </c>
      <c r="Q431" s="49" t="str">
        <f t="array" ref="Q431"> if(iserror(MATCH(V431, 'File Links'!C:C, 0)), "N/A", HYPERLINK(INDEX('File Links'!B:B, MATCH(P431, 'File Links'!C:C, 0))))</f>
        <v>https://drive.google.com/file/d/1PYhLwP6tdLfH-XKRuD0puhoFxy-sMmFS/view?usp=drivesdk</v>
      </c>
      <c r="R431" s="762" t="s">
        <v>2309</v>
      </c>
      <c r="S431" s="715" t="s">
        <v>2310</v>
      </c>
      <c r="T431" s="720"/>
      <c r="U431" s="763"/>
      <c r="V431" s="715" t="str">
        <f t="shared" si="25"/>
        <v>10.1037--emo0001389.pdf</v>
      </c>
      <c r="W431" s="715" t="s">
        <v>2077</v>
      </c>
      <c r="X431" s="51" t="str">
        <f t="array" ref="X431"> if(iserror(MATCH(V431, 'File Links'!C:C, 0)), "N/A", HYPERLINK(INDEX('File Links'!B:B, MATCH(V431, 'File Links'!C:C, 0))))</f>
        <v>https://drive.google.com/file/d/1EK0iig6kRzrCroz49dDEP_mf3A-HoVQR/view?usp=drivesdk</v>
      </c>
      <c r="Y431" s="720"/>
      <c r="Z431" s="395" t="s">
        <v>1072</v>
      </c>
      <c r="AA431" s="715" t="s">
        <v>2311</v>
      </c>
      <c r="AB431" s="715" t="s">
        <v>2312</v>
      </c>
      <c r="AC431" s="715" t="s">
        <v>2313</v>
      </c>
      <c r="AD431" s="715" t="s">
        <v>2314</v>
      </c>
      <c r="AE431" s="720"/>
      <c r="AF431" s="721">
        <v>226.0</v>
      </c>
      <c r="AG431" s="721">
        <v>0.1082</v>
      </c>
      <c r="AH431" s="718" t="s">
        <v>354</v>
      </c>
      <c r="AI431" s="715" t="s">
        <v>2315</v>
      </c>
      <c r="AJ431" s="721">
        <v>0.01</v>
      </c>
      <c r="AK431" s="714" t="s">
        <v>128</v>
      </c>
      <c r="AL431" s="764" t="s">
        <v>131</v>
      </c>
      <c r="AM431" s="764" t="s">
        <v>131</v>
      </c>
      <c r="AN431" s="715" t="s">
        <v>131</v>
      </c>
      <c r="AO431" s="721">
        <v>582.0</v>
      </c>
      <c r="AP431" s="721">
        <v>0.02</v>
      </c>
      <c r="AQ431" s="715" t="s">
        <v>354</v>
      </c>
      <c r="AR431" s="715" t="s">
        <v>2316</v>
      </c>
      <c r="AS431" s="721">
        <v>0.01</v>
      </c>
      <c r="AT431" s="714" t="s">
        <v>2123</v>
      </c>
      <c r="AU431" s="723" t="s">
        <v>131</v>
      </c>
      <c r="AV431" s="723" t="s">
        <v>131</v>
      </c>
      <c r="AW431" s="714" t="s">
        <v>131</v>
      </c>
      <c r="AX431" s="714" t="s">
        <v>144</v>
      </c>
      <c r="AY431" s="126"/>
      <c r="AZ431" s="59" t="s">
        <v>137</v>
      </c>
    </row>
    <row r="432" ht="20.25" customHeight="1">
      <c r="A432" s="41">
        <v>432.0</v>
      </c>
      <c r="B432" s="713" t="s">
        <v>107</v>
      </c>
      <c r="C432" s="713" t="s">
        <v>108</v>
      </c>
      <c r="D432" s="713" t="s">
        <v>1803</v>
      </c>
      <c r="E432" s="694"/>
      <c r="F432" s="714" t="s">
        <v>2303</v>
      </c>
      <c r="G432" s="715" t="s">
        <v>2304</v>
      </c>
      <c r="H432" s="715" t="s">
        <v>1804</v>
      </c>
      <c r="I432" s="760">
        <v>45672.0</v>
      </c>
      <c r="J432" s="167">
        <v>45685.0</v>
      </c>
      <c r="K432" s="761" t="s">
        <v>2317</v>
      </c>
      <c r="L432" s="209" t="s">
        <v>2318</v>
      </c>
      <c r="M432" s="715" t="s">
        <v>2307</v>
      </c>
      <c r="N432" s="715" t="s">
        <v>2308</v>
      </c>
      <c r="O432" s="720"/>
      <c r="P432" s="718" t="str">
        <f t="shared" si="26"/>
        <v>10.1037--a0019006.pdf</v>
      </c>
      <c r="Q432" s="49" t="str">
        <f t="array" ref="Q432"> if(iserror(MATCH(V432, 'File Links'!C:C, 0)), "N/A", HYPERLINK(INDEX('File Links'!B:B, MATCH(P432, 'File Links'!C:C, 0))))</f>
        <v>https://drive.google.com/file/d/1PYhLwP6tdLfH-XKRuD0puhoFxy-sMmFS/view?usp=drivesdk</v>
      </c>
      <c r="R432" s="762" t="s">
        <v>2319</v>
      </c>
      <c r="S432" s="715" t="s">
        <v>2310</v>
      </c>
      <c r="T432" s="720"/>
      <c r="U432" s="763"/>
      <c r="V432" s="715" t="str">
        <f t="shared" si="25"/>
        <v>10.1037--emo0001389.pdf</v>
      </c>
      <c r="W432" s="715" t="s">
        <v>2077</v>
      </c>
      <c r="X432" s="51" t="str">
        <f t="array" ref="X432"> if(iserror(MATCH(V432, 'File Links'!C:C, 0)), "N/A", HYPERLINK(INDEX('File Links'!B:B, MATCH(V432, 'File Links'!C:C, 0))))</f>
        <v>https://drive.google.com/file/d/1EK0iig6kRzrCroz49dDEP_mf3A-HoVQR/view?usp=drivesdk</v>
      </c>
      <c r="Y432" s="720"/>
      <c r="Z432" s="395" t="s">
        <v>1072</v>
      </c>
      <c r="AA432" s="715" t="s">
        <v>2311</v>
      </c>
      <c r="AB432" s="715" t="s">
        <v>2312</v>
      </c>
      <c r="AC432" s="715" t="s">
        <v>2313</v>
      </c>
      <c r="AD432" s="715" t="s">
        <v>2314</v>
      </c>
      <c r="AE432" s="720"/>
      <c r="AF432" s="721">
        <v>217.0</v>
      </c>
      <c r="AG432" s="721">
        <v>0.1116</v>
      </c>
      <c r="AH432" s="718" t="s">
        <v>354</v>
      </c>
      <c r="AI432" s="715" t="s">
        <v>2315</v>
      </c>
      <c r="AJ432" s="721">
        <v>0.01</v>
      </c>
      <c r="AK432" s="714" t="s">
        <v>128</v>
      </c>
      <c r="AL432" s="764" t="s">
        <v>131</v>
      </c>
      <c r="AM432" s="764" t="s">
        <v>131</v>
      </c>
      <c r="AN432" s="715" t="s">
        <v>131</v>
      </c>
      <c r="AO432" s="721">
        <v>582.0</v>
      </c>
      <c r="AP432" s="721">
        <v>0.19</v>
      </c>
      <c r="AQ432" s="715" t="s">
        <v>354</v>
      </c>
      <c r="AR432" s="715" t="s">
        <v>2316</v>
      </c>
      <c r="AS432" s="721">
        <v>0.01</v>
      </c>
      <c r="AT432" s="714" t="s">
        <v>2123</v>
      </c>
      <c r="AU432" s="723" t="s">
        <v>131</v>
      </c>
      <c r="AV432" s="723" t="s">
        <v>131</v>
      </c>
      <c r="AW432" s="714" t="s">
        <v>131</v>
      </c>
      <c r="AX432" s="714" t="s">
        <v>144</v>
      </c>
      <c r="AY432" s="126" t="s">
        <v>2320</v>
      </c>
      <c r="AZ432" s="59" t="s">
        <v>137</v>
      </c>
    </row>
    <row r="433" ht="20.25" customHeight="1">
      <c r="A433" s="41">
        <v>433.0</v>
      </c>
      <c r="B433" s="713" t="s">
        <v>145</v>
      </c>
      <c r="C433" s="394" t="s">
        <v>108</v>
      </c>
      <c r="D433" s="394" t="s">
        <v>2185</v>
      </c>
      <c r="E433" s="217"/>
      <c r="F433" s="404" t="s">
        <v>2303</v>
      </c>
      <c r="G433" s="396" t="s">
        <v>2304</v>
      </c>
      <c r="H433" s="404" t="s">
        <v>2186</v>
      </c>
      <c r="I433" s="724">
        <v>45641.0</v>
      </c>
      <c r="J433" s="167">
        <v>45685.0</v>
      </c>
      <c r="K433" s="395"/>
      <c r="L433" s="717" t="s">
        <v>2306</v>
      </c>
      <c r="M433" s="404" t="s">
        <v>2307</v>
      </c>
      <c r="N433" s="404" t="s">
        <v>2308</v>
      </c>
      <c r="O433" s="628">
        <v>1.0</v>
      </c>
      <c r="P433" s="404" t="str">
        <f t="shared" si="26"/>
        <v>10.1037--a0019006.pdf</v>
      </c>
      <c r="Q433" s="49" t="str">
        <f t="array" ref="Q433"> if(iserror(MATCH(V433, 'File Links'!C:C, 0)), "N/A", HYPERLINK(INDEX('File Links'!B:B, MATCH(P433, 'File Links'!C:C, 0))))</f>
        <v>https://drive.google.com/file/d/1PYhLwP6tdLfH-XKRuD0puhoFxy-sMmFS/view?usp=drivesdk</v>
      </c>
      <c r="R433" s="762" t="s">
        <v>2321</v>
      </c>
      <c r="S433" s="404" t="s">
        <v>2310</v>
      </c>
      <c r="T433" s="395"/>
      <c r="U433" s="628">
        <v>1.0</v>
      </c>
      <c r="V433" s="404" t="str">
        <f t="shared" si="25"/>
        <v>10.1037--emo0001389.pdf</v>
      </c>
      <c r="W433" s="765" t="s">
        <v>2077</v>
      </c>
      <c r="X433" s="51" t="str">
        <f t="array" ref="X433"> if(iserror(MATCH(V433, 'File Links'!C:C, 0)), "N/A", HYPERLINK(INDEX('File Links'!B:B, MATCH(V433, 'File Links'!C:C, 0))))</f>
        <v>https://drive.google.com/file/d/1EK0iig6kRzrCroz49dDEP_mf3A-HoVQR/view?usp=drivesdk</v>
      </c>
      <c r="Y433" s="395"/>
      <c r="Z433" s="395" t="s">
        <v>1072</v>
      </c>
      <c r="AA433" s="766" t="s">
        <v>2322</v>
      </c>
      <c r="AB433" s="404" t="s">
        <v>2312</v>
      </c>
      <c r="AC433" s="404" t="s">
        <v>2323</v>
      </c>
      <c r="AD433" s="404" t="s">
        <v>2324</v>
      </c>
      <c r="AE433" s="725">
        <v>5.0</v>
      </c>
      <c r="AF433" s="725">
        <v>226.0</v>
      </c>
      <c r="AG433" s="725">
        <v>0.1697</v>
      </c>
      <c r="AH433" s="191" t="s">
        <v>353</v>
      </c>
      <c r="AI433" s="396" t="s">
        <v>806</v>
      </c>
      <c r="AJ433" s="403">
        <v>1.0E-4</v>
      </c>
      <c r="AK433" s="404" t="s">
        <v>128</v>
      </c>
      <c r="AL433" s="396" t="s">
        <v>179</v>
      </c>
      <c r="AM433" s="404" t="s">
        <v>134</v>
      </c>
      <c r="AN433" s="216" t="s">
        <v>131</v>
      </c>
      <c r="AO433" s="725">
        <v>754.0</v>
      </c>
      <c r="AP433" s="767">
        <v>3.89</v>
      </c>
      <c r="AQ433" s="156" t="s">
        <v>353</v>
      </c>
      <c r="AR433" s="404" t="s">
        <v>2325</v>
      </c>
      <c r="AS433" s="725">
        <v>0.001</v>
      </c>
      <c r="AT433" s="404" t="s">
        <v>128</v>
      </c>
      <c r="AU433" s="404" t="s">
        <v>179</v>
      </c>
      <c r="AV433" s="404" t="s">
        <v>134</v>
      </c>
      <c r="AW433" s="768" t="s">
        <v>2289</v>
      </c>
      <c r="AX433" s="643" t="s">
        <v>144</v>
      </c>
      <c r="AY433" s="126"/>
      <c r="AZ433" s="59" t="s">
        <v>137</v>
      </c>
      <c r="BA433" s="69"/>
      <c r="BB433" s="69"/>
      <c r="BC433" s="69"/>
      <c r="BD433" s="69"/>
      <c r="BE433" s="69"/>
      <c r="BF433" s="69"/>
      <c r="BG433" s="69"/>
      <c r="BH433" s="69"/>
      <c r="BI433" s="69"/>
      <c r="BJ433" s="69"/>
      <c r="BK433" s="69"/>
      <c r="BL433" s="69"/>
      <c r="BM433" s="69"/>
      <c r="BN433" s="69"/>
      <c r="BO433" s="69"/>
      <c r="BP433" s="69"/>
      <c r="BQ433" s="69"/>
      <c r="BR433" s="69"/>
      <c r="BS433" s="69"/>
      <c r="BT433" s="69"/>
      <c r="BU433" s="69"/>
      <c r="BV433" s="69"/>
      <c r="BW433" s="69"/>
      <c r="BX433" s="69"/>
      <c r="BY433" s="69"/>
      <c r="BZ433" s="69"/>
      <c r="CA433" s="69"/>
      <c r="CB433" s="69"/>
      <c r="CC433" s="69"/>
      <c r="CD433" s="69"/>
      <c r="CE433" s="69"/>
      <c r="CF433" s="69"/>
      <c r="CG433" s="69"/>
      <c r="CH433" s="69"/>
      <c r="CI433" s="69"/>
      <c r="CJ433" s="69"/>
      <c r="CK433" s="69"/>
      <c r="CL433" s="69"/>
      <c r="CM433" s="69"/>
      <c r="CN433" s="69"/>
      <c r="CO433" s="69"/>
      <c r="CP433" s="69"/>
      <c r="CQ433" s="69"/>
      <c r="CR433" s="69"/>
      <c r="CS433" s="69"/>
      <c r="CT433" s="69"/>
      <c r="CU433" s="69"/>
      <c r="CV433" s="69"/>
      <c r="CW433" s="69"/>
      <c r="CX433" s="69"/>
      <c r="CY433" s="69"/>
      <c r="CZ433" s="69"/>
      <c r="DA433" s="69"/>
      <c r="DB433" s="69"/>
      <c r="DC433" s="69"/>
      <c r="DD433" s="69"/>
      <c r="DE433" s="69"/>
      <c r="DF433" s="69"/>
      <c r="DG433" s="69"/>
      <c r="DH433" s="69"/>
    </row>
    <row r="434" ht="20.25" customHeight="1">
      <c r="A434" s="41">
        <v>434.0</v>
      </c>
      <c r="B434" s="713" t="s">
        <v>145</v>
      </c>
      <c r="C434" s="394" t="s">
        <v>108</v>
      </c>
      <c r="D434" s="394" t="s">
        <v>2185</v>
      </c>
      <c r="E434" s="217"/>
      <c r="F434" s="404" t="s">
        <v>2303</v>
      </c>
      <c r="G434" s="396" t="s">
        <v>2326</v>
      </c>
      <c r="H434" s="404" t="s">
        <v>2186</v>
      </c>
      <c r="I434" s="724">
        <v>45643.0</v>
      </c>
      <c r="J434" s="167">
        <v>45685.0</v>
      </c>
      <c r="K434" s="395"/>
      <c r="L434" s="717" t="s">
        <v>2306</v>
      </c>
      <c r="M434" s="404" t="s">
        <v>2307</v>
      </c>
      <c r="N434" s="404" t="s">
        <v>2308</v>
      </c>
      <c r="O434" s="628">
        <v>1.0</v>
      </c>
      <c r="P434" s="404" t="str">
        <f t="shared" si="26"/>
        <v>10.1037--a0019006.pdf</v>
      </c>
      <c r="Q434" s="49" t="str">
        <f t="array" ref="Q434"> if(iserror(MATCH(V434, 'File Links'!C:C, 0)), "N/A", HYPERLINK(INDEX('File Links'!B:B, MATCH(P434, 'File Links'!C:C, 0))))</f>
        <v>https://drive.google.com/file/d/1PYhLwP6tdLfH-XKRuD0puhoFxy-sMmFS/view?usp=drivesdk</v>
      </c>
      <c r="R434" s="762" t="s">
        <v>2327</v>
      </c>
      <c r="S434" s="404" t="s">
        <v>2310</v>
      </c>
      <c r="T434" s="395"/>
      <c r="U434" s="628">
        <v>1.0</v>
      </c>
      <c r="V434" s="404" t="str">
        <f t="shared" si="25"/>
        <v>10.1037--emo0001389.pdf</v>
      </c>
      <c r="W434" s="765" t="s">
        <v>2077</v>
      </c>
      <c r="X434" s="51" t="str">
        <f t="array" ref="X434"> if(iserror(MATCH(V434, 'File Links'!C:C, 0)), "N/A", HYPERLINK(INDEX('File Links'!B:B, MATCH(V434, 'File Links'!C:C, 0))))</f>
        <v>https://drive.google.com/file/d/1EK0iig6kRzrCroz49dDEP_mf3A-HoVQR/view?usp=drivesdk</v>
      </c>
      <c r="Y434" s="395"/>
      <c r="Z434" s="395" t="s">
        <v>1072</v>
      </c>
      <c r="AA434" s="766" t="s">
        <v>2322</v>
      </c>
      <c r="AB434" s="404" t="s">
        <v>2312</v>
      </c>
      <c r="AC434" s="404" t="s">
        <v>2328</v>
      </c>
      <c r="AD434" s="404" t="s">
        <v>2329</v>
      </c>
      <c r="AE434" s="725">
        <v>5.0</v>
      </c>
      <c r="AF434" s="725">
        <v>226.0</v>
      </c>
      <c r="AG434" s="725">
        <v>0.1348</v>
      </c>
      <c r="AH434" s="191" t="s">
        <v>353</v>
      </c>
      <c r="AI434" s="396" t="s">
        <v>806</v>
      </c>
      <c r="AJ434" s="403">
        <v>1.0E-4</v>
      </c>
      <c r="AK434" s="404" t="s">
        <v>128</v>
      </c>
      <c r="AL434" s="396" t="s">
        <v>179</v>
      </c>
      <c r="AM434" s="404" t="s">
        <v>134</v>
      </c>
      <c r="AN434" s="216" t="s">
        <v>131</v>
      </c>
      <c r="AO434" s="725">
        <v>754.0</v>
      </c>
      <c r="AP434" s="725">
        <v>3.94</v>
      </c>
      <c r="AQ434" s="156" t="s">
        <v>353</v>
      </c>
      <c r="AR434" s="404" t="s">
        <v>2325</v>
      </c>
      <c r="AS434" s="725">
        <v>0.001</v>
      </c>
      <c r="AT434" s="404" t="s">
        <v>128</v>
      </c>
      <c r="AU434" s="404" t="s">
        <v>179</v>
      </c>
      <c r="AV434" s="404" t="s">
        <v>134</v>
      </c>
      <c r="AW434" s="768" t="s">
        <v>2289</v>
      </c>
      <c r="AX434" s="643" t="s">
        <v>144</v>
      </c>
      <c r="AY434" s="126"/>
      <c r="AZ434" s="59" t="s">
        <v>137</v>
      </c>
      <c r="BA434" s="69"/>
      <c r="BB434" s="69"/>
      <c r="BC434" s="69"/>
      <c r="BD434" s="69"/>
      <c r="BE434" s="69"/>
      <c r="BF434" s="69"/>
      <c r="BG434" s="69"/>
      <c r="BH434" s="69"/>
      <c r="BI434" s="69"/>
      <c r="BJ434" s="69"/>
      <c r="BK434" s="69"/>
      <c r="BL434" s="69"/>
      <c r="BM434" s="69"/>
      <c r="BN434" s="69"/>
      <c r="BO434" s="69"/>
      <c r="BP434" s="69"/>
      <c r="BQ434" s="69"/>
      <c r="BR434" s="69"/>
      <c r="BS434" s="69"/>
      <c r="BT434" s="69"/>
      <c r="BU434" s="69"/>
      <c r="BV434" s="69"/>
      <c r="BW434" s="69"/>
      <c r="BX434" s="69"/>
      <c r="BY434" s="69"/>
      <c r="BZ434" s="69"/>
      <c r="CA434" s="69"/>
      <c r="CB434" s="69"/>
      <c r="CC434" s="69"/>
      <c r="CD434" s="69"/>
      <c r="CE434" s="69"/>
      <c r="CF434" s="69"/>
      <c r="CG434" s="69"/>
      <c r="CH434" s="69"/>
      <c r="CI434" s="69"/>
      <c r="CJ434" s="69"/>
      <c r="CK434" s="69"/>
      <c r="CL434" s="69"/>
      <c r="CM434" s="69"/>
      <c r="CN434" s="69"/>
      <c r="CO434" s="69"/>
      <c r="CP434" s="69"/>
      <c r="CQ434" s="69"/>
      <c r="CR434" s="69"/>
      <c r="CS434" s="69"/>
      <c r="CT434" s="69"/>
      <c r="CU434" s="69"/>
      <c r="CV434" s="69"/>
      <c r="CW434" s="69"/>
      <c r="CX434" s="69"/>
      <c r="CY434" s="69"/>
      <c r="CZ434" s="69"/>
      <c r="DA434" s="69"/>
      <c r="DB434" s="69"/>
      <c r="DC434" s="69"/>
      <c r="DD434" s="69"/>
      <c r="DE434" s="69"/>
      <c r="DF434" s="69"/>
      <c r="DG434" s="69"/>
      <c r="DH434" s="69"/>
    </row>
    <row r="435" ht="20.25" customHeight="1">
      <c r="A435" s="41">
        <v>435.0</v>
      </c>
      <c r="B435" s="713" t="s">
        <v>145</v>
      </c>
      <c r="C435" s="394" t="s">
        <v>108</v>
      </c>
      <c r="D435" s="394" t="s">
        <v>2185</v>
      </c>
      <c r="E435" s="217"/>
      <c r="F435" s="404" t="s">
        <v>2303</v>
      </c>
      <c r="G435" s="396" t="s">
        <v>2330</v>
      </c>
      <c r="H435" s="404" t="s">
        <v>2186</v>
      </c>
      <c r="I435" s="724">
        <v>45643.0</v>
      </c>
      <c r="J435" s="167">
        <v>45685.0</v>
      </c>
      <c r="K435" s="395"/>
      <c r="L435" s="717" t="s">
        <v>2306</v>
      </c>
      <c r="M435" s="404" t="s">
        <v>2307</v>
      </c>
      <c r="N435" s="404" t="s">
        <v>2308</v>
      </c>
      <c r="O435" s="628">
        <v>1.0</v>
      </c>
      <c r="P435" s="404" t="str">
        <f t="shared" si="26"/>
        <v>10.1037--a0019006.pdf</v>
      </c>
      <c r="Q435" s="49" t="str">
        <f t="array" ref="Q435"> if(iserror(MATCH(V435, 'File Links'!C:C, 0)), "N/A", HYPERLINK(INDEX('File Links'!B:B, MATCH(P435, 'File Links'!C:C, 0))))</f>
        <v>https://drive.google.com/file/d/1PYhLwP6tdLfH-XKRuD0puhoFxy-sMmFS/view?usp=drivesdk</v>
      </c>
      <c r="R435" s="762" t="s">
        <v>2331</v>
      </c>
      <c r="S435" s="404" t="s">
        <v>2310</v>
      </c>
      <c r="T435" s="395"/>
      <c r="U435" s="628">
        <v>1.0</v>
      </c>
      <c r="V435" s="404" t="str">
        <f t="shared" si="25"/>
        <v>10.1037--emo0001389.pdf</v>
      </c>
      <c r="W435" s="765" t="s">
        <v>2077</v>
      </c>
      <c r="X435" s="51" t="str">
        <f t="array" ref="X435"> if(iserror(MATCH(V435, 'File Links'!C:C, 0)), "N/A", HYPERLINK(INDEX('File Links'!B:B, MATCH(V435, 'File Links'!C:C, 0))))</f>
        <v>https://drive.google.com/file/d/1EK0iig6kRzrCroz49dDEP_mf3A-HoVQR/view?usp=drivesdk</v>
      </c>
      <c r="Y435" s="395"/>
      <c r="Z435" s="395" t="s">
        <v>1072</v>
      </c>
      <c r="AA435" s="766" t="s">
        <v>2322</v>
      </c>
      <c r="AB435" s="404" t="s">
        <v>2312</v>
      </c>
      <c r="AC435" s="404" t="s">
        <v>2332</v>
      </c>
      <c r="AD435" s="404" t="s">
        <v>2333</v>
      </c>
      <c r="AE435" s="725">
        <v>5.0</v>
      </c>
      <c r="AF435" s="725">
        <v>226.0</v>
      </c>
      <c r="AG435" s="725">
        <v>0.0353</v>
      </c>
      <c r="AH435" s="191" t="s">
        <v>353</v>
      </c>
      <c r="AI435" s="396" t="s">
        <v>806</v>
      </c>
      <c r="AJ435" s="403">
        <v>0.0364</v>
      </c>
      <c r="AK435" s="404" t="s">
        <v>165</v>
      </c>
      <c r="AL435" s="396" t="s">
        <v>179</v>
      </c>
      <c r="AM435" s="404" t="s">
        <v>134</v>
      </c>
      <c r="AN435" s="216" t="s">
        <v>131</v>
      </c>
      <c r="AO435" s="725">
        <v>754.0</v>
      </c>
      <c r="AP435" s="725">
        <v>0.26</v>
      </c>
      <c r="AQ435" s="156" t="s">
        <v>353</v>
      </c>
      <c r="AR435" s="404" t="s">
        <v>2325</v>
      </c>
      <c r="AS435" s="725">
        <v>0.001</v>
      </c>
      <c r="AT435" s="404" t="s">
        <v>128</v>
      </c>
      <c r="AU435" s="404" t="s">
        <v>179</v>
      </c>
      <c r="AV435" s="404" t="s">
        <v>134</v>
      </c>
      <c r="AW435" s="768" t="s">
        <v>2289</v>
      </c>
      <c r="AX435" s="643" t="s">
        <v>144</v>
      </c>
      <c r="AY435" s="126"/>
      <c r="AZ435" s="59" t="s">
        <v>137</v>
      </c>
      <c r="BA435" s="69"/>
      <c r="BB435" s="69"/>
      <c r="BC435" s="69"/>
      <c r="BD435" s="69"/>
      <c r="BE435" s="69"/>
      <c r="BF435" s="69"/>
      <c r="BG435" s="69"/>
      <c r="BH435" s="69"/>
      <c r="BI435" s="69"/>
      <c r="BJ435" s="69"/>
      <c r="BK435" s="69"/>
      <c r="BL435" s="69"/>
      <c r="BM435" s="69"/>
      <c r="BN435" s="69"/>
      <c r="BO435" s="69"/>
      <c r="BP435" s="69"/>
      <c r="BQ435" s="69"/>
      <c r="BR435" s="69"/>
      <c r="BS435" s="69"/>
      <c r="BT435" s="69"/>
      <c r="BU435" s="69"/>
      <c r="BV435" s="69"/>
      <c r="BW435" s="69"/>
      <c r="BX435" s="69"/>
      <c r="BY435" s="69"/>
      <c r="BZ435" s="69"/>
      <c r="CA435" s="69"/>
      <c r="CB435" s="69"/>
      <c r="CC435" s="69"/>
      <c r="CD435" s="69"/>
      <c r="CE435" s="69"/>
      <c r="CF435" s="69"/>
      <c r="CG435" s="69"/>
      <c r="CH435" s="69"/>
      <c r="CI435" s="69"/>
      <c r="CJ435" s="69"/>
      <c r="CK435" s="69"/>
      <c r="CL435" s="69"/>
      <c r="CM435" s="69"/>
      <c r="CN435" s="69"/>
      <c r="CO435" s="69"/>
      <c r="CP435" s="69"/>
      <c r="CQ435" s="69"/>
      <c r="CR435" s="69"/>
      <c r="CS435" s="69"/>
      <c r="CT435" s="69"/>
      <c r="CU435" s="69"/>
      <c r="CV435" s="69"/>
      <c r="CW435" s="69"/>
      <c r="CX435" s="69"/>
      <c r="CY435" s="69"/>
      <c r="CZ435" s="69"/>
      <c r="DA435" s="69"/>
      <c r="DB435" s="69"/>
      <c r="DC435" s="69"/>
      <c r="DD435" s="69"/>
      <c r="DE435" s="69"/>
      <c r="DF435" s="69"/>
      <c r="DG435" s="69"/>
      <c r="DH435" s="69"/>
    </row>
    <row r="436" ht="20.25" customHeight="1">
      <c r="A436" s="41">
        <v>436.0</v>
      </c>
      <c r="B436" s="713" t="s">
        <v>145</v>
      </c>
      <c r="C436" s="394" t="s">
        <v>108</v>
      </c>
      <c r="D436" s="394" t="s">
        <v>2185</v>
      </c>
      <c r="E436" s="217"/>
      <c r="F436" s="404" t="s">
        <v>2303</v>
      </c>
      <c r="G436" s="396" t="s">
        <v>2334</v>
      </c>
      <c r="H436" s="404" t="s">
        <v>2186</v>
      </c>
      <c r="I436" s="724">
        <v>45643.0</v>
      </c>
      <c r="J436" s="167">
        <v>45685.0</v>
      </c>
      <c r="K436" s="395"/>
      <c r="L436" s="717" t="s">
        <v>2306</v>
      </c>
      <c r="M436" s="404" t="s">
        <v>2307</v>
      </c>
      <c r="N436" s="404" t="s">
        <v>2308</v>
      </c>
      <c r="O436" s="628">
        <v>1.0</v>
      </c>
      <c r="P436" s="404" t="str">
        <f t="shared" si="26"/>
        <v>10.1037--a0019006.pdf</v>
      </c>
      <c r="Q436" s="49" t="str">
        <f t="array" ref="Q436"> if(iserror(MATCH(V436, 'File Links'!C:C, 0)), "N/A", HYPERLINK(INDEX('File Links'!B:B, MATCH(P436, 'File Links'!C:C, 0))))</f>
        <v>https://drive.google.com/file/d/1PYhLwP6tdLfH-XKRuD0puhoFxy-sMmFS/view?usp=drivesdk</v>
      </c>
      <c r="R436" s="762" t="s">
        <v>2335</v>
      </c>
      <c r="S436" s="404" t="s">
        <v>2310</v>
      </c>
      <c r="T436" s="395"/>
      <c r="U436" s="628">
        <v>1.0</v>
      </c>
      <c r="V436" s="404" t="str">
        <f t="shared" si="25"/>
        <v>10.1037--emo0001389.pdf</v>
      </c>
      <c r="W436" s="765" t="s">
        <v>2077</v>
      </c>
      <c r="X436" s="51" t="str">
        <f t="array" ref="X436"> if(iserror(MATCH(V436, 'File Links'!C:C, 0)), "N/A", HYPERLINK(INDEX('File Links'!B:B, MATCH(V436, 'File Links'!C:C, 0))))</f>
        <v>https://drive.google.com/file/d/1EK0iig6kRzrCroz49dDEP_mf3A-HoVQR/view?usp=drivesdk</v>
      </c>
      <c r="Y436" s="395"/>
      <c r="Z436" s="395" t="s">
        <v>1072</v>
      </c>
      <c r="AA436" s="404" t="s">
        <v>2322</v>
      </c>
      <c r="AB436" s="404" t="s">
        <v>2312</v>
      </c>
      <c r="AC436" s="404" t="s">
        <v>2336</v>
      </c>
      <c r="AD436" s="404" t="s">
        <v>2337</v>
      </c>
      <c r="AE436" s="725">
        <v>5.0</v>
      </c>
      <c r="AF436" s="725">
        <v>226.0</v>
      </c>
      <c r="AG436" s="725">
        <v>0.1116</v>
      </c>
      <c r="AH436" s="191" t="s">
        <v>353</v>
      </c>
      <c r="AI436" s="396" t="s">
        <v>806</v>
      </c>
      <c r="AJ436" s="403">
        <v>0.01</v>
      </c>
      <c r="AK436" s="404" t="s">
        <v>128</v>
      </c>
      <c r="AL436" s="396" t="s">
        <v>179</v>
      </c>
      <c r="AM436" s="404" t="s">
        <v>134</v>
      </c>
      <c r="AN436" s="216" t="s">
        <v>131</v>
      </c>
      <c r="AO436" s="725">
        <v>754.0</v>
      </c>
      <c r="AP436" s="725">
        <v>0.19</v>
      </c>
      <c r="AQ436" s="156" t="s">
        <v>353</v>
      </c>
      <c r="AR436" s="404" t="s">
        <v>806</v>
      </c>
      <c r="AS436" s="725">
        <v>0.01</v>
      </c>
      <c r="AT436" s="404" t="s">
        <v>128</v>
      </c>
      <c r="AU436" s="404" t="s">
        <v>179</v>
      </c>
      <c r="AV436" s="404" t="s">
        <v>134</v>
      </c>
      <c r="AW436" s="768" t="s">
        <v>2289</v>
      </c>
      <c r="AX436" s="643" t="s">
        <v>144</v>
      </c>
      <c r="AY436" s="126"/>
      <c r="AZ436" s="59" t="s">
        <v>137</v>
      </c>
    </row>
    <row r="437" ht="20.25" customHeight="1">
      <c r="A437" s="41">
        <v>437.0</v>
      </c>
      <c r="B437" s="713" t="s">
        <v>145</v>
      </c>
      <c r="C437" s="394" t="s">
        <v>108</v>
      </c>
      <c r="D437" s="394" t="s">
        <v>2185</v>
      </c>
      <c r="E437" s="217"/>
      <c r="F437" s="404" t="s">
        <v>2303</v>
      </c>
      <c r="G437" s="396" t="s">
        <v>2338</v>
      </c>
      <c r="H437" s="404" t="s">
        <v>2186</v>
      </c>
      <c r="I437" s="724">
        <v>45643.0</v>
      </c>
      <c r="J437" s="167">
        <v>45685.0</v>
      </c>
      <c r="K437" s="404" t="s">
        <v>2339</v>
      </c>
      <c r="L437" s="717" t="s">
        <v>2306</v>
      </c>
      <c r="M437" s="404" t="s">
        <v>2307</v>
      </c>
      <c r="N437" s="404" t="s">
        <v>2308</v>
      </c>
      <c r="O437" s="628">
        <v>1.0</v>
      </c>
      <c r="P437" s="404" t="str">
        <f t="shared" si="26"/>
        <v>10.1037--a0019006.pdf</v>
      </c>
      <c r="Q437" s="49" t="str">
        <f t="array" ref="Q437"> if(iserror(MATCH(V437, 'File Links'!C:C, 0)), "N/A", HYPERLINK(INDEX('File Links'!B:B, MATCH(P437, 'File Links'!C:C, 0))))</f>
        <v>https://drive.google.com/file/d/1PYhLwP6tdLfH-XKRuD0puhoFxy-sMmFS/view?usp=drivesdk</v>
      </c>
      <c r="R437" s="762" t="s">
        <v>2340</v>
      </c>
      <c r="S437" s="404" t="s">
        <v>2310</v>
      </c>
      <c r="T437" s="395"/>
      <c r="U437" s="628">
        <v>1.0</v>
      </c>
      <c r="V437" s="404" t="str">
        <f t="shared" si="25"/>
        <v>10.1037--emo0001389.pdf</v>
      </c>
      <c r="W437" s="765" t="s">
        <v>2077</v>
      </c>
      <c r="X437" s="51" t="str">
        <f t="array" ref="X437"> if(iserror(MATCH(V437, 'File Links'!C:C, 0)), "N/A", HYPERLINK(INDEX('File Links'!B:B, MATCH(V437, 'File Links'!C:C, 0))))</f>
        <v>https://drive.google.com/file/d/1EK0iig6kRzrCroz49dDEP_mf3A-HoVQR/view?usp=drivesdk</v>
      </c>
      <c r="Y437" s="395"/>
      <c r="Z437" s="395" t="s">
        <v>1072</v>
      </c>
      <c r="AA437" s="404" t="s">
        <v>2322</v>
      </c>
      <c r="AB437" s="404" t="s">
        <v>2312</v>
      </c>
      <c r="AC437" s="404" t="s">
        <v>2341</v>
      </c>
      <c r="AD437" s="637" t="s">
        <v>2342</v>
      </c>
      <c r="AE437" s="725">
        <v>6.0</v>
      </c>
      <c r="AF437" s="725">
        <v>226.0</v>
      </c>
      <c r="AG437" s="725">
        <v>0.0422</v>
      </c>
      <c r="AH437" s="191" t="s">
        <v>353</v>
      </c>
      <c r="AI437" s="396" t="s">
        <v>125</v>
      </c>
      <c r="AJ437" s="403">
        <v>0.0305</v>
      </c>
      <c r="AK437" s="404" t="s">
        <v>165</v>
      </c>
      <c r="AL437" s="396" t="s">
        <v>179</v>
      </c>
      <c r="AM437" s="404" t="s">
        <v>134</v>
      </c>
      <c r="AN437" s="216" t="s">
        <v>131</v>
      </c>
      <c r="AO437" s="725">
        <v>377.0</v>
      </c>
      <c r="AP437" s="725">
        <v>0.49</v>
      </c>
      <c r="AQ437" s="156" t="s">
        <v>353</v>
      </c>
      <c r="AR437" s="404" t="s">
        <v>606</v>
      </c>
      <c r="AS437" s="725">
        <v>0.01</v>
      </c>
      <c r="AT437" s="404" t="s">
        <v>128</v>
      </c>
      <c r="AU437" s="404" t="s">
        <v>179</v>
      </c>
      <c r="AV437" s="404" t="s">
        <v>134</v>
      </c>
      <c r="AW437" s="768" t="s">
        <v>2289</v>
      </c>
      <c r="AX437" s="643" t="s">
        <v>144</v>
      </c>
      <c r="AY437" s="126"/>
      <c r="AZ437" s="59" t="s">
        <v>137</v>
      </c>
    </row>
    <row r="438" ht="20.25" customHeight="1">
      <c r="A438" s="41">
        <v>438.0</v>
      </c>
      <c r="B438" s="59" t="s">
        <v>107</v>
      </c>
      <c r="C438" s="59" t="s">
        <v>108</v>
      </c>
      <c r="D438" s="59" t="s">
        <v>1803</v>
      </c>
      <c r="F438" s="700" t="s">
        <v>2343</v>
      </c>
      <c r="G438" s="54" t="s">
        <v>2344</v>
      </c>
      <c r="H438" s="54" t="s">
        <v>1804</v>
      </c>
      <c r="I438" s="149">
        <v>45472.0</v>
      </c>
      <c r="J438" s="431">
        <v>45642.0</v>
      </c>
      <c r="K438" s="54" t="s">
        <v>2345</v>
      </c>
      <c r="L438" s="58"/>
      <c r="M438" s="54" t="s">
        <v>2346</v>
      </c>
      <c r="N438" s="54" t="s">
        <v>2347</v>
      </c>
      <c r="O438" s="54" t="s">
        <v>2348</v>
      </c>
      <c r="P438" s="374" t="str">
        <f t="shared" si="26"/>
        <v>10.1006--obhd.1994.1063.pdf</v>
      </c>
      <c r="Q438" s="49" t="str">
        <f t="array" ref="Q438"> if(iserror(MATCH(V438, 'File Links'!C:C, 0)), "N/A", HYPERLINK(INDEX('File Links'!B:B, MATCH(P438, 'File Links'!C:C, 0))))</f>
        <v>https://drive.google.com/file/d/1S6Y_7EBTIU64tChcmNNePtGMO2jWzVGk/view?usp=drivesdk</v>
      </c>
      <c r="R438" s="54" t="s">
        <v>2349</v>
      </c>
      <c r="S438" s="54" t="s">
        <v>2350</v>
      </c>
      <c r="T438" s="58"/>
      <c r="U438" s="335"/>
      <c r="V438" s="567" t="str">
        <f t="shared" si="25"/>
        <v>10.17605--osf.io--b25tr.pdf</v>
      </c>
      <c r="W438" s="58"/>
      <c r="X438" s="51" t="str">
        <f t="array" ref="X438"> if(iserror(MATCH(V438, 'File Links'!C:C, 0)), "N/A", HYPERLINK(INDEX('File Links'!B:B, MATCH(V438, 'File Links'!C:C, 0))))</f>
        <v>https://drive.google.com/file/d/1Z88YOxFUdjB_N8RWvlHzVruajODQTnic/view?usp=drivesdk</v>
      </c>
      <c r="Y438" s="54" t="s">
        <v>2351</v>
      </c>
      <c r="Z438" s="58"/>
      <c r="AA438" s="58"/>
      <c r="AB438" s="58"/>
      <c r="AC438" s="58"/>
      <c r="AD438" s="58"/>
      <c r="AE438" s="58"/>
      <c r="AF438" s="58"/>
      <c r="AG438" s="58"/>
      <c r="AH438" s="335"/>
      <c r="AI438" s="58"/>
      <c r="AJ438" s="58"/>
      <c r="AK438" s="65"/>
      <c r="AL438" s="674" t="s">
        <v>131</v>
      </c>
      <c r="AM438" s="674" t="s">
        <v>131</v>
      </c>
      <c r="AN438" s="216" t="s">
        <v>131</v>
      </c>
      <c r="AO438" s="58"/>
      <c r="AP438" s="58"/>
      <c r="AQ438" s="58"/>
      <c r="AR438" s="58"/>
      <c r="AS438" s="58"/>
      <c r="AT438" s="65"/>
      <c r="AU438" s="675" t="s">
        <v>131</v>
      </c>
      <c r="AV438" s="675" t="s">
        <v>131</v>
      </c>
      <c r="AW438" s="65"/>
      <c r="AX438" s="65"/>
      <c r="AY438" s="58"/>
      <c r="BA438" s="69"/>
      <c r="BB438" s="69"/>
      <c r="BC438" s="69"/>
      <c r="BD438" s="69"/>
      <c r="BE438" s="69"/>
      <c r="BF438" s="69"/>
      <c r="BG438" s="69"/>
      <c r="BH438" s="69"/>
      <c r="BI438" s="69"/>
      <c r="BJ438" s="69"/>
      <c r="BK438" s="69"/>
      <c r="BL438" s="69"/>
      <c r="BM438" s="69"/>
      <c r="BN438" s="69"/>
      <c r="BO438" s="69"/>
      <c r="BP438" s="69"/>
      <c r="BQ438" s="69"/>
      <c r="BR438" s="69"/>
      <c r="BS438" s="69"/>
      <c r="BT438" s="69"/>
      <c r="BU438" s="69"/>
      <c r="BV438" s="69"/>
      <c r="BW438" s="69"/>
      <c r="BX438" s="69"/>
      <c r="BY438" s="69"/>
      <c r="BZ438" s="69"/>
      <c r="CA438" s="69"/>
      <c r="CB438" s="69"/>
      <c r="CC438" s="69"/>
      <c r="CD438" s="69"/>
      <c r="CE438" s="69"/>
      <c r="CF438" s="69"/>
      <c r="CG438" s="69"/>
      <c r="CH438" s="69"/>
      <c r="CI438" s="69"/>
      <c r="CJ438" s="69"/>
      <c r="CK438" s="69"/>
      <c r="CL438" s="69"/>
      <c r="CM438" s="69"/>
      <c r="CN438" s="69"/>
      <c r="CO438" s="69"/>
      <c r="CP438" s="69"/>
      <c r="CQ438" s="69"/>
      <c r="CR438" s="69"/>
      <c r="CS438" s="69"/>
      <c r="CT438" s="69"/>
      <c r="CU438" s="69"/>
      <c r="CV438" s="69"/>
      <c r="CW438" s="69"/>
      <c r="CX438" s="69"/>
      <c r="CY438" s="69"/>
      <c r="CZ438" s="69"/>
      <c r="DA438" s="69"/>
      <c r="DB438" s="69"/>
      <c r="DC438" s="69"/>
      <c r="DD438" s="69"/>
      <c r="DE438" s="69"/>
      <c r="DF438" s="69"/>
      <c r="DG438" s="69"/>
      <c r="DH438" s="69"/>
    </row>
    <row r="439" ht="20.25" customHeight="1">
      <c r="A439" s="41">
        <v>439.0</v>
      </c>
      <c r="B439" s="59" t="s">
        <v>107</v>
      </c>
      <c r="C439" s="59" t="s">
        <v>108</v>
      </c>
      <c r="D439" s="59" t="s">
        <v>2185</v>
      </c>
      <c r="F439" s="700" t="s">
        <v>2343</v>
      </c>
      <c r="G439" s="54" t="s">
        <v>2344</v>
      </c>
      <c r="H439" s="156" t="s">
        <v>2186</v>
      </c>
      <c r="I439" s="149">
        <v>45472.0</v>
      </c>
      <c r="J439" s="431">
        <v>45643.0</v>
      </c>
      <c r="K439" s="65"/>
      <c r="L439" s="209" t="s">
        <v>2352</v>
      </c>
      <c r="M439" s="156" t="s">
        <v>2346</v>
      </c>
      <c r="N439" s="156" t="s">
        <v>2347</v>
      </c>
      <c r="O439" s="153">
        <v>1.0</v>
      </c>
      <c r="P439" s="379" t="str">
        <f t="shared" si="26"/>
        <v>10.1006--obhd.1994.1063.pdf</v>
      </c>
      <c r="Q439" s="49" t="str">
        <f t="array" ref="Q439"> if(iserror(MATCH(V439, 'File Links'!C:C, 0)), "N/A", HYPERLINK(INDEX('File Links'!B:B, MATCH(P439, 'File Links'!C:C, 0))))</f>
        <v>https://drive.google.com/file/d/1S6Y_7EBTIU64tChcmNNePtGMO2jWzVGk/view?usp=drivesdk</v>
      </c>
      <c r="R439" s="156" t="s">
        <v>2349</v>
      </c>
      <c r="S439" s="156" t="s">
        <v>2350</v>
      </c>
      <c r="T439" s="65"/>
      <c r="U439" s="65"/>
      <c r="V439" s="379" t="str">
        <f t="shared" si="25"/>
        <v>10.17605--osf.io--b25tr.pdf</v>
      </c>
      <c r="W439" s="156" t="s">
        <v>2353</v>
      </c>
      <c r="X439" s="51" t="str">
        <f t="array" ref="X439"> if(iserror(MATCH(V439, 'File Links'!C:C, 0)), "N/A", HYPERLINK(INDEX('File Links'!B:B, MATCH(V439, 'File Links'!C:C, 0))))</f>
        <v>https://drive.google.com/file/d/1Z88YOxFUdjB_N8RWvlHzVruajODQTnic/view?usp=drivesdk</v>
      </c>
      <c r="Y439" s="65"/>
      <c r="Z439" s="156" t="s">
        <v>203</v>
      </c>
      <c r="AA439" s="156" t="s">
        <v>2354</v>
      </c>
      <c r="AB439" s="156" t="s">
        <v>2355</v>
      </c>
      <c r="AC439" s="156" t="s">
        <v>2356</v>
      </c>
      <c r="AD439" s="156" t="s">
        <v>2357</v>
      </c>
      <c r="AE439" s="153">
        <v>5.0</v>
      </c>
      <c r="AF439" s="153">
        <v>93.0</v>
      </c>
      <c r="AG439" s="156" t="s">
        <v>2358</v>
      </c>
      <c r="AH439" s="336" t="s">
        <v>127</v>
      </c>
      <c r="AI439" s="54" t="s">
        <v>806</v>
      </c>
      <c r="AJ439" s="376">
        <v>0.01</v>
      </c>
      <c r="AK439" s="156" t="s">
        <v>128</v>
      </c>
      <c r="AL439" s="54" t="s">
        <v>179</v>
      </c>
      <c r="AM439" s="156" t="s">
        <v>130</v>
      </c>
      <c r="AN439" s="216" t="s">
        <v>131</v>
      </c>
      <c r="AO439" s="493">
        <v>1000.0</v>
      </c>
      <c r="AP439" s="493">
        <v>-0.05</v>
      </c>
      <c r="AQ439" s="539" t="s">
        <v>595</v>
      </c>
      <c r="AR439" s="478" t="s">
        <v>2359</v>
      </c>
      <c r="AS439" s="493">
        <v>0.424</v>
      </c>
      <c r="AT439" s="478" t="s">
        <v>165</v>
      </c>
      <c r="AU439" s="478" t="s">
        <v>179</v>
      </c>
      <c r="AV439" s="156" t="s">
        <v>130</v>
      </c>
      <c r="AW439" s="307" t="s">
        <v>2360</v>
      </c>
      <c r="AX439" s="677" t="s">
        <v>136</v>
      </c>
      <c r="AY439" s="126" t="s">
        <v>2352</v>
      </c>
      <c r="BA439" s="104"/>
      <c r="BB439" s="104"/>
      <c r="BC439" s="104"/>
      <c r="BD439" s="104"/>
      <c r="BE439" s="104"/>
      <c r="BF439" s="104"/>
      <c r="BG439" s="104"/>
      <c r="BH439" s="104"/>
      <c r="BI439" s="104"/>
      <c r="BJ439" s="104"/>
      <c r="BK439" s="104"/>
      <c r="BL439" s="104"/>
      <c r="BM439" s="104"/>
      <c r="BN439" s="104"/>
      <c r="BO439" s="104"/>
      <c r="BP439" s="104"/>
      <c r="BQ439" s="104"/>
      <c r="BR439" s="104"/>
      <c r="BS439" s="104"/>
      <c r="BT439" s="104"/>
      <c r="BU439" s="104"/>
      <c r="BV439" s="104"/>
      <c r="BW439" s="104"/>
      <c r="BX439" s="104"/>
      <c r="BY439" s="104"/>
      <c r="BZ439" s="104"/>
      <c r="CA439" s="104"/>
      <c r="CB439" s="104"/>
      <c r="CC439" s="104"/>
      <c r="CD439" s="104"/>
      <c r="CE439" s="104"/>
      <c r="CF439" s="104"/>
      <c r="CG439" s="104"/>
      <c r="CH439" s="104"/>
      <c r="CI439" s="104"/>
      <c r="CJ439" s="104"/>
      <c r="CK439" s="104"/>
      <c r="CL439" s="104"/>
      <c r="CM439" s="104"/>
      <c r="CN439" s="104"/>
      <c r="CO439" s="104"/>
      <c r="CP439" s="104"/>
      <c r="CQ439" s="104"/>
      <c r="CR439" s="104"/>
      <c r="CS439" s="104"/>
      <c r="CT439" s="104"/>
      <c r="CU439" s="104"/>
      <c r="CV439" s="104"/>
      <c r="CW439" s="104"/>
      <c r="CX439" s="104"/>
      <c r="CY439" s="104"/>
      <c r="CZ439" s="104"/>
      <c r="DA439" s="104"/>
      <c r="DB439" s="104"/>
      <c r="DC439" s="104"/>
      <c r="DD439" s="104"/>
      <c r="DE439" s="104"/>
      <c r="DF439" s="104"/>
      <c r="DG439" s="104"/>
      <c r="DH439" s="104"/>
    </row>
    <row r="440" ht="20.25" customHeight="1">
      <c r="A440" s="41">
        <v>440.0</v>
      </c>
      <c r="B440" s="59" t="s">
        <v>107</v>
      </c>
      <c r="C440" s="59" t="s">
        <v>108</v>
      </c>
      <c r="D440" s="59" t="s">
        <v>2185</v>
      </c>
      <c r="F440" s="700" t="s">
        <v>2343</v>
      </c>
      <c r="G440" s="54" t="s">
        <v>2361</v>
      </c>
      <c r="H440" s="156" t="s">
        <v>2186</v>
      </c>
      <c r="I440" s="431">
        <v>45643.0</v>
      </c>
      <c r="J440" s="769"/>
      <c r="K440" s="156" t="s">
        <v>2362</v>
      </c>
      <c r="L440" s="65"/>
      <c r="M440" s="156" t="s">
        <v>2346</v>
      </c>
      <c r="N440" s="156" t="s">
        <v>2347</v>
      </c>
      <c r="O440" s="153">
        <v>1.0</v>
      </c>
      <c r="P440" s="379" t="str">
        <f t="shared" si="26"/>
        <v>10.1006--obhd.1994.1063.pdf</v>
      </c>
      <c r="Q440" s="49" t="str">
        <f t="array" ref="Q440"> if(iserror(MATCH(V440, 'File Links'!C:C, 0)), "N/A", HYPERLINK(INDEX('File Links'!B:B, MATCH(P440, 'File Links'!C:C, 0))))</f>
        <v>https://drive.google.com/file/d/1S6Y_7EBTIU64tChcmNNePtGMO2jWzVGk/view?usp=drivesdk</v>
      </c>
      <c r="R440" s="156" t="s">
        <v>2349</v>
      </c>
      <c r="S440" s="156" t="s">
        <v>2350</v>
      </c>
      <c r="T440" s="65"/>
      <c r="U440" s="65"/>
      <c r="V440" s="379" t="str">
        <f t="shared" si="25"/>
        <v>10.17605--osf.io--b25tr.pdf</v>
      </c>
      <c r="W440" s="156" t="s">
        <v>2353</v>
      </c>
      <c r="X440" s="51" t="str">
        <f t="array" ref="X440"> if(iserror(MATCH(V440, 'File Links'!C:C, 0)), "N/A", HYPERLINK(INDEX('File Links'!B:B, MATCH(V440, 'File Links'!C:C, 0))))</f>
        <v>https://drive.google.com/file/d/1Z88YOxFUdjB_N8RWvlHzVruajODQTnic/view?usp=drivesdk</v>
      </c>
      <c r="Y440" s="65"/>
      <c r="Z440" s="156" t="s">
        <v>203</v>
      </c>
      <c r="AA440" s="156" t="s">
        <v>2354</v>
      </c>
      <c r="AB440" s="156" t="s">
        <v>2355</v>
      </c>
      <c r="AC440" s="65"/>
      <c r="AD440" s="156" t="s">
        <v>2363</v>
      </c>
      <c r="AE440" s="153">
        <v>5.0</v>
      </c>
      <c r="AF440" s="153">
        <v>93.0</v>
      </c>
      <c r="AG440" s="156" t="s">
        <v>2358</v>
      </c>
      <c r="AH440" s="336" t="s">
        <v>127</v>
      </c>
      <c r="AI440" s="54" t="s">
        <v>806</v>
      </c>
      <c r="AJ440" s="376">
        <v>0.01</v>
      </c>
      <c r="AK440" s="156" t="s">
        <v>128</v>
      </c>
      <c r="AL440" s="54" t="s">
        <v>179</v>
      </c>
      <c r="AM440" s="156" t="s">
        <v>130</v>
      </c>
      <c r="AN440" s="216" t="s">
        <v>131</v>
      </c>
      <c r="AO440" s="493">
        <v>1000.0</v>
      </c>
      <c r="AP440" s="493">
        <v>0.06</v>
      </c>
      <c r="AQ440" s="539" t="s">
        <v>2364</v>
      </c>
      <c r="AR440" s="478" t="s">
        <v>2365</v>
      </c>
      <c r="AS440" s="493">
        <v>0.058</v>
      </c>
      <c r="AT440" s="478" t="s">
        <v>165</v>
      </c>
      <c r="AU440" s="478" t="s">
        <v>179</v>
      </c>
      <c r="AV440" s="156" t="s">
        <v>130</v>
      </c>
      <c r="AW440" s="307" t="s">
        <v>2360</v>
      </c>
      <c r="AX440" s="677" t="s">
        <v>144</v>
      </c>
      <c r="AY440" s="65"/>
      <c r="BA440" s="69"/>
      <c r="BB440" s="69"/>
      <c r="BC440" s="69"/>
      <c r="BD440" s="69"/>
      <c r="BE440" s="69"/>
      <c r="BF440" s="69"/>
      <c r="BG440" s="69"/>
      <c r="BH440" s="69"/>
      <c r="BI440" s="69"/>
      <c r="BJ440" s="69"/>
      <c r="BK440" s="69"/>
      <c r="BL440" s="69"/>
      <c r="BM440" s="69"/>
      <c r="BN440" s="69"/>
      <c r="BO440" s="69"/>
      <c r="BP440" s="69"/>
      <c r="BQ440" s="69"/>
      <c r="BR440" s="69"/>
      <c r="BS440" s="69"/>
      <c r="BT440" s="69"/>
      <c r="BU440" s="69"/>
      <c r="BV440" s="69"/>
      <c r="BW440" s="69"/>
      <c r="BX440" s="69"/>
      <c r="BY440" s="69"/>
      <c r="BZ440" s="69"/>
      <c r="CA440" s="69"/>
      <c r="CB440" s="69"/>
      <c r="CC440" s="69"/>
      <c r="CD440" s="69"/>
      <c r="CE440" s="69"/>
      <c r="CF440" s="69"/>
      <c r="CG440" s="69"/>
      <c r="CH440" s="69"/>
      <c r="CI440" s="69"/>
      <c r="CJ440" s="69"/>
      <c r="CK440" s="69"/>
      <c r="CL440" s="69"/>
      <c r="CM440" s="69"/>
      <c r="CN440" s="69"/>
      <c r="CO440" s="69"/>
      <c r="CP440" s="69"/>
      <c r="CQ440" s="69"/>
      <c r="CR440" s="69"/>
      <c r="CS440" s="69"/>
      <c r="CT440" s="69"/>
      <c r="CU440" s="69"/>
      <c r="CV440" s="69"/>
      <c r="CW440" s="69"/>
      <c r="CX440" s="69"/>
      <c r="CY440" s="69"/>
      <c r="CZ440" s="69"/>
      <c r="DA440" s="69"/>
      <c r="DB440" s="69"/>
      <c r="DC440" s="69"/>
      <c r="DD440" s="69"/>
      <c r="DE440" s="69"/>
      <c r="DF440" s="69"/>
      <c r="DG440" s="69"/>
      <c r="DH440" s="69"/>
    </row>
    <row r="441" ht="20.25" customHeight="1">
      <c r="A441" s="41">
        <v>441.0</v>
      </c>
      <c r="B441" s="59" t="s">
        <v>107</v>
      </c>
      <c r="C441" s="59" t="s">
        <v>108</v>
      </c>
      <c r="D441" s="59" t="s">
        <v>2185</v>
      </c>
      <c r="F441" s="700" t="s">
        <v>2343</v>
      </c>
      <c r="G441" s="54" t="s">
        <v>2366</v>
      </c>
      <c r="H441" s="156" t="s">
        <v>2186</v>
      </c>
      <c r="I441" s="431">
        <v>45643.0</v>
      </c>
      <c r="J441" s="769"/>
      <c r="K441" s="156" t="s">
        <v>2367</v>
      </c>
      <c r="L441" s="65"/>
      <c r="M441" s="156" t="s">
        <v>2346</v>
      </c>
      <c r="N441" s="156" t="s">
        <v>2347</v>
      </c>
      <c r="O441" s="153">
        <v>2.0</v>
      </c>
      <c r="P441" s="379" t="str">
        <f t="shared" si="26"/>
        <v>10.1006--obhd.1994.1063.pdf</v>
      </c>
      <c r="Q441" s="49" t="str">
        <f t="array" ref="Q441"> if(iserror(MATCH(V441, 'File Links'!C:C, 0)), "N/A", HYPERLINK(INDEX('File Links'!B:B, MATCH(P441, 'File Links'!C:C, 0))))</f>
        <v>https://drive.google.com/file/d/1S6Y_7EBTIU64tChcmNNePtGMO2jWzVGk/view?usp=drivesdk</v>
      </c>
      <c r="R441" s="156" t="s">
        <v>2349</v>
      </c>
      <c r="S441" s="156" t="s">
        <v>2350</v>
      </c>
      <c r="T441" s="65"/>
      <c r="U441" s="65"/>
      <c r="V441" s="379" t="str">
        <f t="shared" si="25"/>
        <v>10.17605--osf.io--b25tr.pdf</v>
      </c>
      <c r="W441" s="156" t="s">
        <v>2353</v>
      </c>
      <c r="X441" s="51" t="str">
        <f t="array" ref="X441"> if(iserror(MATCH(V441, 'File Links'!C:C, 0)), "N/A", HYPERLINK(INDEX('File Links'!B:B, MATCH(V441, 'File Links'!C:C, 0))))</f>
        <v>https://drive.google.com/file/d/1Z88YOxFUdjB_N8RWvlHzVruajODQTnic/view?usp=drivesdk</v>
      </c>
      <c r="Y441" s="65"/>
      <c r="Z441" s="156" t="s">
        <v>203</v>
      </c>
      <c r="AA441" s="156" t="s">
        <v>2354</v>
      </c>
      <c r="AB441" s="156" t="s">
        <v>2355</v>
      </c>
      <c r="AC441" s="156" t="s">
        <v>2356</v>
      </c>
      <c r="AD441" s="156" t="s">
        <v>2368</v>
      </c>
      <c r="AE441" s="153">
        <v>7.0</v>
      </c>
      <c r="AF441" s="153">
        <v>92.0</v>
      </c>
      <c r="AG441" s="153">
        <v>2.72</v>
      </c>
      <c r="AH441" s="336" t="s">
        <v>715</v>
      </c>
      <c r="AI441" s="46" t="str">
        <f t="shared" ref="AI441:AI442" si="27"> "=(" &amp; AI437 &amp; "/" &amp; AJ437 &amp; ")/(" &amp; AI438 &amp; "/" &amp; AJ438 &amp; ")"
</f>
        <v>=(p. 7/0.0305)/(/)</v>
      </c>
      <c r="AJ441" s="376">
        <v>0.025</v>
      </c>
      <c r="AK441" s="156" t="s">
        <v>128</v>
      </c>
      <c r="AL441" s="54" t="s">
        <v>179</v>
      </c>
      <c r="AM441" s="156" t="s">
        <v>130</v>
      </c>
      <c r="AN441" s="216" t="s">
        <v>131</v>
      </c>
      <c r="AO441" s="493">
        <v>1000.0</v>
      </c>
      <c r="AP441" s="493">
        <v>0.0</v>
      </c>
      <c r="AQ441" s="539" t="s">
        <v>2364</v>
      </c>
      <c r="AR441" s="478" t="s">
        <v>2359</v>
      </c>
      <c r="AS441" s="493">
        <v>1.0</v>
      </c>
      <c r="AT441" s="478" t="s">
        <v>165</v>
      </c>
      <c r="AU441" s="478" t="s">
        <v>179</v>
      </c>
      <c r="AV441" s="156" t="s">
        <v>130</v>
      </c>
      <c r="AW441" s="307" t="s">
        <v>2360</v>
      </c>
      <c r="AX441" s="677" t="s">
        <v>136</v>
      </c>
      <c r="AY441" s="65"/>
      <c r="BA441" s="104"/>
      <c r="BB441" s="104"/>
      <c r="BC441" s="104"/>
      <c r="BD441" s="104"/>
      <c r="BE441" s="104"/>
      <c r="BF441" s="104"/>
      <c r="BG441" s="104"/>
      <c r="BH441" s="104"/>
      <c r="BI441" s="104"/>
      <c r="BJ441" s="104"/>
      <c r="BK441" s="104"/>
      <c r="BL441" s="104"/>
      <c r="BM441" s="104"/>
      <c r="BN441" s="104"/>
      <c r="BO441" s="104"/>
      <c r="BP441" s="104"/>
      <c r="BQ441" s="104"/>
      <c r="BR441" s="104"/>
      <c r="BS441" s="104"/>
      <c r="BT441" s="104"/>
      <c r="BU441" s="104"/>
      <c r="BV441" s="104"/>
      <c r="BW441" s="104"/>
      <c r="BX441" s="104"/>
      <c r="BY441" s="104"/>
      <c r="BZ441" s="104"/>
      <c r="CA441" s="104"/>
      <c r="CB441" s="104"/>
      <c r="CC441" s="104"/>
      <c r="CD441" s="104"/>
      <c r="CE441" s="104"/>
      <c r="CF441" s="104"/>
      <c r="CG441" s="104"/>
      <c r="CH441" s="104"/>
      <c r="CI441" s="104"/>
      <c r="CJ441" s="104"/>
      <c r="CK441" s="104"/>
      <c r="CL441" s="104"/>
      <c r="CM441" s="104"/>
      <c r="CN441" s="104"/>
      <c r="CO441" s="104"/>
      <c r="CP441" s="104"/>
      <c r="CQ441" s="104"/>
      <c r="CR441" s="104"/>
      <c r="CS441" s="104"/>
      <c r="CT441" s="104"/>
      <c r="CU441" s="104"/>
      <c r="CV441" s="104"/>
      <c r="CW441" s="104"/>
      <c r="CX441" s="104"/>
      <c r="CY441" s="104"/>
      <c r="CZ441" s="104"/>
      <c r="DA441" s="104"/>
      <c r="DB441" s="104"/>
      <c r="DC441" s="104"/>
      <c r="DD441" s="104"/>
      <c r="DE441" s="104"/>
      <c r="DF441" s="104"/>
      <c r="DG441" s="104"/>
      <c r="DH441" s="104"/>
    </row>
    <row r="442" ht="20.25" customHeight="1">
      <c r="A442" s="41">
        <v>442.0</v>
      </c>
      <c r="B442" s="59" t="s">
        <v>107</v>
      </c>
      <c r="C442" s="59" t="s">
        <v>108</v>
      </c>
      <c r="D442" s="59" t="s">
        <v>2185</v>
      </c>
      <c r="F442" s="700" t="s">
        <v>2343</v>
      </c>
      <c r="G442" s="54" t="s">
        <v>2369</v>
      </c>
      <c r="H442" s="156" t="s">
        <v>2186</v>
      </c>
      <c r="I442" s="431">
        <v>45643.0</v>
      </c>
      <c r="J442" s="769"/>
      <c r="K442" s="156" t="s">
        <v>2370</v>
      </c>
      <c r="L442" s="65"/>
      <c r="M442" s="156" t="s">
        <v>2346</v>
      </c>
      <c r="N442" s="156" t="s">
        <v>2347</v>
      </c>
      <c r="O442" s="153">
        <v>2.0</v>
      </c>
      <c r="P442" s="379" t="str">
        <f t="shared" si="26"/>
        <v>10.1006--obhd.1994.1063.pdf</v>
      </c>
      <c r="Q442" s="49" t="str">
        <f t="array" ref="Q442"> if(iserror(MATCH(V442, 'File Links'!C:C, 0)), "N/A", HYPERLINK(INDEX('File Links'!B:B, MATCH(P442, 'File Links'!C:C, 0))))</f>
        <v>https://drive.google.com/file/d/1S6Y_7EBTIU64tChcmNNePtGMO2jWzVGk/view?usp=drivesdk</v>
      </c>
      <c r="R442" s="156" t="s">
        <v>2349</v>
      </c>
      <c r="S442" s="156" t="s">
        <v>2350</v>
      </c>
      <c r="T442" s="65"/>
      <c r="U442" s="65"/>
      <c r="V442" s="379" t="str">
        <f t="shared" si="25"/>
        <v>10.17605--osf.io--b25tr.pdf</v>
      </c>
      <c r="W442" s="156" t="s">
        <v>2353</v>
      </c>
      <c r="X442" s="51" t="str">
        <f t="array" ref="X442"> if(iserror(MATCH(V442, 'File Links'!C:C, 0)), "N/A", HYPERLINK(INDEX('File Links'!B:B, MATCH(V442, 'File Links'!C:C, 0))))</f>
        <v>https://drive.google.com/file/d/1Z88YOxFUdjB_N8RWvlHzVruajODQTnic/view?usp=drivesdk</v>
      </c>
      <c r="Y442" s="65"/>
      <c r="Z442" s="156" t="s">
        <v>203</v>
      </c>
      <c r="AA442" s="156" t="s">
        <v>2354</v>
      </c>
      <c r="AB442" s="156" t="s">
        <v>2355</v>
      </c>
      <c r="AC442" s="65"/>
      <c r="AD442" s="156" t="s">
        <v>2368</v>
      </c>
      <c r="AE442" s="153">
        <v>7.0</v>
      </c>
      <c r="AF442" s="153">
        <v>92.0</v>
      </c>
      <c r="AG442" s="153">
        <v>2.72</v>
      </c>
      <c r="AH442" s="336" t="s">
        <v>715</v>
      </c>
      <c r="AI442" s="46" t="str">
        <f t="shared" si="27"/>
        <v>=(/)/(p. 5/0.01)</v>
      </c>
      <c r="AJ442" s="376">
        <v>0.025</v>
      </c>
      <c r="AK442" s="156" t="s">
        <v>128</v>
      </c>
      <c r="AL442" s="54" t="s">
        <v>179</v>
      </c>
      <c r="AM442" s="156" t="s">
        <v>130</v>
      </c>
      <c r="AN442" s="216" t="s">
        <v>131</v>
      </c>
      <c r="AO442" s="493">
        <v>1000.0</v>
      </c>
      <c r="AP442" s="493">
        <v>-0.14</v>
      </c>
      <c r="AQ442" s="539" t="s">
        <v>2364</v>
      </c>
      <c r="AR442" s="478" t="s">
        <v>2365</v>
      </c>
      <c r="AS442" s="493">
        <v>0.027</v>
      </c>
      <c r="AT442" s="478" t="s">
        <v>165</v>
      </c>
      <c r="AU442" s="478" t="s">
        <v>179</v>
      </c>
      <c r="AV442" s="156" t="s">
        <v>130</v>
      </c>
      <c r="AW442" s="307" t="s">
        <v>2360</v>
      </c>
      <c r="AX442" s="677" t="s">
        <v>144</v>
      </c>
      <c r="AY442" s="65"/>
      <c r="BA442" s="69"/>
      <c r="BB442" s="69"/>
      <c r="BC442" s="69"/>
      <c r="BD442" s="69"/>
      <c r="BE442" s="69"/>
      <c r="BF442" s="69"/>
      <c r="BG442" s="69"/>
      <c r="BH442" s="69"/>
      <c r="BI442" s="69"/>
      <c r="BJ442" s="69"/>
      <c r="BK442" s="69"/>
      <c r="BL442" s="69"/>
      <c r="BM442" s="69"/>
      <c r="BN442" s="69"/>
      <c r="BO442" s="69"/>
      <c r="BP442" s="69"/>
      <c r="BQ442" s="69"/>
      <c r="BR442" s="69"/>
      <c r="BS442" s="69"/>
      <c r="BT442" s="69"/>
      <c r="BU442" s="69"/>
      <c r="BV442" s="69"/>
      <c r="BW442" s="69"/>
      <c r="BX442" s="69"/>
      <c r="BY442" s="69"/>
      <c r="BZ442" s="69"/>
      <c r="CA442" s="69"/>
      <c r="CB442" s="69"/>
      <c r="CC442" s="69"/>
      <c r="CD442" s="69"/>
      <c r="CE442" s="69"/>
      <c r="CF442" s="69"/>
      <c r="CG442" s="69"/>
      <c r="CH442" s="69"/>
      <c r="CI442" s="69"/>
      <c r="CJ442" s="69"/>
      <c r="CK442" s="69"/>
      <c r="CL442" s="69"/>
      <c r="CM442" s="69"/>
      <c r="CN442" s="69"/>
      <c r="CO442" s="69"/>
      <c r="CP442" s="69"/>
      <c r="CQ442" s="69"/>
      <c r="CR442" s="69"/>
      <c r="CS442" s="69"/>
      <c r="CT442" s="69"/>
      <c r="CU442" s="69"/>
      <c r="CV442" s="69"/>
      <c r="CW442" s="69"/>
      <c r="CX442" s="69"/>
      <c r="CY442" s="69"/>
      <c r="CZ442" s="69"/>
      <c r="DA442" s="69"/>
      <c r="DB442" s="69"/>
      <c r="DC442" s="69"/>
      <c r="DD442" s="69"/>
      <c r="DE442" s="69"/>
      <c r="DF442" s="69"/>
      <c r="DG442" s="69"/>
      <c r="DH442" s="69"/>
    </row>
    <row r="443" ht="20.25" customHeight="1">
      <c r="A443" s="41">
        <v>443.0</v>
      </c>
      <c r="B443" s="59" t="s">
        <v>107</v>
      </c>
      <c r="C443" s="59" t="s">
        <v>108</v>
      </c>
      <c r="D443" s="59" t="s">
        <v>2185</v>
      </c>
      <c r="F443" s="700" t="s">
        <v>2343</v>
      </c>
      <c r="G443" s="54" t="s">
        <v>2371</v>
      </c>
      <c r="H443" s="156" t="s">
        <v>2186</v>
      </c>
      <c r="I443" s="431">
        <v>45643.0</v>
      </c>
      <c r="J443" s="769"/>
      <c r="K443" s="156" t="s">
        <v>2372</v>
      </c>
      <c r="L443" s="65"/>
      <c r="M443" s="156" t="s">
        <v>2346</v>
      </c>
      <c r="N443" s="156" t="s">
        <v>2347</v>
      </c>
      <c r="O443" s="153">
        <v>3.0</v>
      </c>
      <c r="P443" s="379" t="str">
        <f t="shared" si="26"/>
        <v>10.1006--obhd.1994.1063.pdf</v>
      </c>
      <c r="Q443" s="49" t="str">
        <f t="array" ref="Q443"> if(iserror(MATCH(V443, 'File Links'!C:C, 0)), "N/A", HYPERLINK(INDEX('File Links'!B:B, MATCH(P443, 'File Links'!C:C, 0))))</f>
        <v>https://drive.google.com/file/d/1S6Y_7EBTIU64tChcmNNePtGMO2jWzVGk/view?usp=drivesdk</v>
      </c>
      <c r="R443" s="156" t="s">
        <v>2349</v>
      </c>
      <c r="S443" s="156" t="s">
        <v>2350</v>
      </c>
      <c r="T443" s="65"/>
      <c r="U443" s="65"/>
      <c r="V443" s="379" t="str">
        <f t="shared" si="25"/>
        <v>10.17605--osf.io--b25tr.pdf</v>
      </c>
      <c r="W443" s="156" t="s">
        <v>2353</v>
      </c>
      <c r="X443" s="51" t="str">
        <f t="array" ref="X443"> if(iserror(MATCH(V443, 'File Links'!C:C, 0)), "N/A", HYPERLINK(INDEX('File Links'!B:B, MATCH(V443, 'File Links'!C:C, 0))))</f>
        <v>https://drive.google.com/file/d/1Z88YOxFUdjB_N8RWvlHzVruajODQTnic/view?usp=drivesdk</v>
      </c>
      <c r="Y443" s="65"/>
      <c r="Z443" s="156" t="s">
        <v>203</v>
      </c>
      <c r="AA443" s="156" t="s">
        <v>2354</v>
      </c>
      <c r="AB443" s="156" t="s">
        <v>2355</v>
      </c>
      <c r="AC443" s="156" t="s">
        <v>2373</v>
      </c>
      <c r="AD443" s="156" t="s">
        <v>2374</v>
      </c>
      <c r="AE443" s="153">
        <v>8.0</v>
      </c>
      <c r="AF443" s="153">
        <v>67.0</v>
      </c>
      <c r="AG443" s="153">
        <v>1.195</v>
      </c>
      <c r="AH443" s="336" t="s">
        <v>715</v>
      </c>
      <c r="AI443" s="46" t="str">
        <f t="shared" ref="AI443:AI444" si="28"> "=(" &amp; AI438 &amp; "/" &amp; AJ438 &amp; ")/(" &amp; AI439 &amp; "/" &amp; AJ439 &amp; ")"
</f>
        <v>=(/)/(p. 5/0.01)</v>
      </c>
      <c r="AJ443" s="54" t="s">
        <v>2375</v>
      </c>
      <c r="AK443" s="65"/>
      <c r="AL443" s="54" t="s">
        <v>179</v>
      </c>
      <c r="AM443" s="156" t="s">
        <v>130</v>
      </c>
      <c r="AN443" s="216" t="s">
        <v>131</v>
      </c>
      <c r="AO443" s="493">
        <v>1000.0</v>
      </c>
      <c r="AP443" s="493">
        <v>0.05</v>
      </c>
      <c r="AQ443" s="539" t="s">
        <v>2364</v>
      </c>
      <c r="AR443" s="539" t="s">
        <v>2359</v>
      </c>
      <c r="AS443" s="493">
        <v>0.146</v>
      </c>
      <c r="AT443" s="478" t="s">
        <v>165</v>
      </c>
      <c r="AU443" s="478" t="s">
        <v>179</v>
      </c>
      <c r="AV443" s="156" t="s">
        <v>130</v>
      </c>
      <c r="AW443" s="307" t="s">
        <v>2360</v>
      </c>
      <c r="AX443" s="677" t="s">
        <v>136</v>
      </c>
      <c r="AY443" s="65"/>
    </row>
    <row r="444" ht="20.25" customHeight="1">
      <c r="A444" s="41">
        <v>444.0</v>
      </c>
      <c r="B444" s="59" t="s">
        <v>107</v>
      </c>
      <c r="C444" s="59" t="s">
        <v>108</v>
      </c>
      <c r="D444" s="59" t="s">
        <v>2185</v>
      </c>
      <c r="F444" s="700" t="s">
        <v>2343</v>
      </c>
      <c r="G444" s="54" t="s">
        <v>2376</v>
      </c>
      <c r="H444" s="156" t="s">
        <v>2186</v>
      </c>
      <c r="I444" s="431">
        <v>45643.0</v>
      </c>
      <c r="J444" s="769"/>
      <c r="K444" s="156" t="s">
        <v>2377</v>
      </c>
      <c r="L444" s="65"/>
      <c r="M444" s="156" t="s">
        <v>2346</v>
      </c>
      <c r="N444" s="156" t="s">
        <v>2347</v>
      </c>
      <c r="O444" s="153">
        <v>3.0</v>
      </c>
      <c r="P444" s="379" t="str">
        <f t="shared" si="26"/>
        <v>10.1006--obhd.1994.1063.pdf</v>
      </c>
      <c r="Q444" s="49" t="str">
        <f t="array" ref="Q444"> if(iserror(MATCH(V444, 'File Links'!C:C, 0)), "N/A", HYPERLINK(INDEX('File Links'!B:B, MATCH(P444, 'File Links'!C:C, 0))))</f>
        <v>https://drive.google.com/file/d/1S6Y_7EBTIU64tChcmNNePtGMO2jWzVGk/view?usp=drivesdk</v>
      </c>
      <c r="R444" s="156" t="s">
        <v>2349</v>
      </c>
      <c r="S444" s="156" t="s">
        <v>2350</v>
      </c>
      <c r="T444" s="65"/>
      <c r="U444" s="65"/>
      <c r="V444" s="379" t="str">
        <f t="shared" si="25"/>
        <v>10.17605--osf.io--b25tr.pdf</v>
      </c>
      <c r="W444" s="156" t="s">
        <v>2353</v>
      </c>
      <c r="X444" s="51" t="str">
        <f t="array" ref="X444"> if(iserror(MATCH(V444, 'File Links'!C:C, 0)), "N/A", HYPERLINK(INDEX('File Links'!B:B, MATCH(V444, 'File Links'!C:C, 0))))</f>
        <v>https://drive.google.com/file/d/1Z88YOxFUdjB_N8RWvlHzVruajODQTnic/view?usp=drivesdk</v>
      </c>
      <c r="Y444" s="65"/>
      <c r="Z444" s="156" t="s">
        <v>203</v>
      </c>
      <c r="AA444" s="156" t="s">
        <v>2354</v>
      </c>
      <c r="AB444" s="156" t="s">
        <v>2355</v>
      </c>
      <c r="AC444" s="156" t="s">
        <v>2373</v>
      </c>
      <c r="AD444" s="156" t="s">
        <v>2374</v>
      </c>
      <c r="AE444" s="153">
        <v>8.0</v>
      </c>
      <c r="AF444" s="153">
        <v>67.0</v>
      </c>
      <c r="AG444" s="153">
        <v>1.195</v>
      </c>
      <c r="AH444" s="336" t="s">
        <v>715</v>
      </c>
      <c r="AI444" s="46" t="str">
        <f t="shared" si="28"/>
        <v>=(p. 5/0.01)/(p. 5/0.01)</v>
      </c>
      <c r="AJ444" s="54" t="s">
        <v>2375</v>
      </c>
      <c r="AK444" s="65"/>
      <c r="AL444" s="54" t="s">
        <v>179</v>
      </c>
      <c r="AM444" s="156" t="s">
        <v>130</v>
      </c>
      <c r="AN444" s="216" t="s">
        <v>131</v>
      </c>
      <c r="AO444" s="493">
        <v>1000.0</v>
      </c>
      <c r="AP444" s="493">
        <v>0.06</v>
      </c>
      <c r="AQ444" s="539" t="s">
        <v>2364</v>
      </c>
      <c r="AR444" s="478" t="s">
        <v>2365</v>
      </c>
      <c r="AS444" s="493">
        <v>0.381</v>
      </c>
      <c r="AT444" s="478" t="s">
        <v>165</v>
      </c>
      <c r="AU444" s="478" t="s">
        <v>179</v>
      </c>
      <c r="AV444" s="156" t="s">
        <v>130</v>
      </c>
      <c r="AW444" s="307" t="s">
        <v>2360</v>
      </c>
      <c r="AX444" s="677" t="s">
        <v>144</v>
      </c>
      <c r="AY444" s="65"/>
    </row>
    <row r="445" ht="20.25" customHeight="1">
      <c r="A445" s="41">
        <v>445.0</v>
      </c>
      <c r="B445" s="322" t="s">
        <v>107</v>
      </c>
      <c r="C445" s="322" t="s">
        <v>108</v>
      </c>
      <c r="D445" s="322" t="s">
        <v>1803</v>
      </c>
      <c r="E445" s="223"/>
      <c r="F445" s="241" t="s">
        <v>2378</v>
      </c>
      <c r="G445" s="409" t="s">
        <v>2379</v>
      </c>
      <c r="H445" s="409" t="s">
        <v>1804</v>
      </c>
      <c r="I445" s="656">
        <v>45642.0</v>
      </c>
      <c r="J445" s="167">
        <v>45681.0</v>
      </c>
      <c r="K445" s="409" t="s">
        <v>2380</v>
      </c>
      <c r="L445" s="387"/>
      <c r="M445" s="409" t="s">
        <v>2381</v>
      </c>
      <c r="N445" s="409" t="s">
        <v>2382</v>
      </c>
      <c r="O445" s="387"/>
      <c r="P445" s="657" t="str">
        <f t="shared" si="26"/>
        <v>10.1007--s10857-015-9324-9.pdf</v>
      </c>
      <c r="Q445" s="49" t="str">
        <f t="array" ref="Q445"> if(iserror(MATCH(V445, 'File Links'!C:C, 0)), "N/A", HYPERLINK(INDEX('File Links'!B:B, MATCH(P445, 'File Links'!C:C, 0))))</f>
        <v>https://drive.google.com/file/d/1JnjkuBqFgDqAEzZj1VnXDDzpULzqwUY4/view?usp=drivesdk</v>
      </c>
      <c r="R445" s="409" t="s">
        <v>2383</v>
      </c>
      <c r="S445" s="409" t="s">
        <v>2384</v>
      </c>
      <c r="T445" s="387"/>
      <c r="U445" s="659"/>
      <c r="V445" s="409" t="str">
        <f t="shared" si="25"/>
        <v>10.1016--j.jmathb.2024.101174.pdf</v>
      </c>
      <c r="W445" s="387"/>
      <c r="X445" s="51" t="str">
        <f t="array" ref="X445"> if(iserror(MATCH(V445, 'File Links'!C:C, 0)), "N/A", HYPERLINK(INDEX('File Links'!B:B, MATCH(V445, 'File Links'!C:C, 0))))</f>
        <v>https://drive.google.com/file/d/1BxRopi0OntYhPQcXKMEC5xqZoDEptVYd/view?usp=drivesdk</v>
      </c>
      <c r="Z445" s="387"/>
      <c r="AA445" s="387"/>
      <c r="AB445" s="387"/>
      <c r="AC445" s="387"/>
      <c r="AD445" s="387"/>
      <c r="AE445" s="387"/>
      <c r="AF445" s="332">
        <v>13.0</v>
      </c>
      <c r="AG445" s="387"/>
      <c r="AH445" s="659"/>
      <c r="AI445" s="327"/>
      <c r="AJ445" s="387"/>
      <c r="AK445" s="328"/>
      <c r="AL445" s="770" t="s">
        <v>131</v>
      </c>
      <c r="AM445" s="770" t="s">
        <v>131</v>
      </c>
      <c r="AN445" s="216" t="s">
        <v>131</v>
      </c>
      <c r="AO445" s="387"/>
      <c r="AP445" s="387"/>
      <c r="AQ445" s="387"/>
      <c r="AR445" s="387"/>
      <c r="AS445" s="387"/>
      <c r="AT445" s="328"/>
      <c r="AU445" s="771" t="s">
        <v>131</v>
      </c>
      <c r="AV445" s="771" t="s">
        <v>131</v>
      </c>
      <c r="AW445" s="328"/>
      <c r="AX445" s="328"/>
      <c r="AY445" s="58"/>
      <c r="AZ445" s="322" t="s">
        <v>137</v>
      </c>
      <c r="BA445" s="465"/>
      <c r="BB445" s="465"/>
      <c r="BC445" s="465"/>
      <c r="BD445" s="465"/>
      <c r="BE445" s="465"/>
      <c r="BF445" s="465"/>
      <c r="BG445" s="465"/>
      <c r="BH445" s="465"/>
      <c r="BI445" s="465"/>
      <c r="BJ445" s="465"/>
      <c r="BK445" s="465"/>
      <c r="BL445" s="465"/>
      <c r="BM445" s="465"/>
      <c r="BN445" s="465"/>
      <c r="BO445" s="465"/>
      <c r="BP445" s="465"/>
      <c r="BQ445" s="465"/>
      <c r="BR445" s="465"/>
      <c r="BS445" s="465"/>
      <c r="BT445" s="465"/>
      <c r="BU445" s="465"/>
      <c r="BV445" s="465"/>
      <c r="BW445" s="465"/>
      <c r="BX445" s="465"/>
      <c r="BY445" s="465"/>
      <c r="BZ445" s="465"/>
      <c r="CA445" s="465"/>
      <c r="CB445" s="465"/>
      <c r="CC445" s="465"/>
      <c r="CD445" s="465"/>
      <c r="CE445" s="465"/>
      <c r="CF445" s="465"/>
      <c r="CG445" s="465"/>
      <c r="CH445" s="465"/>
      <c r="CI445" s="465"/>
      <c r="CJ445" s="465"/>
      <c r="CK445" s="465"/>
      <c r="CL445" s="465"/>
      <c r="CM445" s="465"/>
      <c r="CN445" s="465"/>
      <c r="CO445" s="465"/>
      <c r="CP445" s="465"/>
      <c r="CQ445" s="465"/>
      <c r="CR445" s="465"/>
      <c r="CS445" s="465"/>
      <c r="CT445" s="465"/>
      <c r="CU445" s="465"/>
      <c r="CV445" s="465"/>
      <c r="CW445" s="465"/>
      <c r="CX445" s="465"/>
      <c r="CY445" s="465"/>
      <c r="CZ445" s="465"/>
      <c r="DA445" s="465"/>
      <c r="DB445" s="465"/>
      <c r="DC445" s="465"/>
      <c r="DD445" s="465"/>
      <c r="DE445" s="465"/>
      <c r="DF445" s="465"/>
      <c r="DG445" s="465"/>
      <c r="DH445" s="465"/>
    </row>
    <row r="446" ht="20.25" customHeight="1">
      <c r="A446" s="41">
        <v>446.0</v>
      </c>
      <c r="B446" s="322" t="s">
        <v>2006</v>
      </c>
      <c r="C446" s="322" t="s">
        <v>108</v>
      </c>
      <c r="D446" s="322" t="s">
        <v>2185</v>
      </c>
      <c r="E446" s="223"/>
      <c r="F446" s="241" t="s">
        <v>2378</v>
      </c>
      <c r="G446" s="409" t="s">
        <v>2379</v>
      </c>
      <c r="H446" s="241" t="s">
        <v>2186</v>
      </c>
      <c r="I446" s="656">
        <v>45661.0</v>
      </c>
      <c r="J446" s="167">
        <v>45681.0</v>
      </c>
      <c r="K446" s="241" t="s">
        <v>2385</v>
      </c>
      <c r="L446" s="328"/>
      <c r="M446" s="408" t="s">
        <v>2386</v>
      </c>
      <c r="N446" s="241" t="s">
        <v>2382</v>
      </c>
      <c r="O446" s="328"/>
      <c r="P446" s="241" t="str">
        <f t="shared" si="26"/>
        <v>10.1007--s10857-015-9324-9.pdf</v>
      </c>
      <c r="Q446" s="49" t="str">
        <f t="array" ref="Q446"> if(iserror(MATCH(V446, 'File Links'!C:C, 0)), "N/A", HYPERLINK(INDEX('File Links'!B:B, MATCH(P446, 'File Links'!C:C, 0))))</f>
        <v>https://drive.google.com/file/d/1JnjkuBqFgDqAEzZj1VnXDDzpULzqwUY4/view?usp=drivesdk</v>
      </c>
      <c r="R446" s="241" t="s">
        <v>2383</v>
      </c>
      <c r="S446" s="241" t="s">
        <v>2384</v>
      </c>
      <c r="T446" s="328"/>
      <c r="U446" s="328"/>
      <c r="V446" s="241" t="str">
        <f t="shared" si="25"/>
        <v>10.1016--j.jmathb.2024.101174.pdf</v>
      </c>
      <c r="W446" s="241" t="s">
        <v>2387</v>
      </c>
      <c r="X446" s="51" t="str">
        <f t="array" ref="X446"> if(iserror(MATCH(V446, 'File Links'!C:C, 0)), "N/A", HYPERLINK(INDEX('File Links'!B:B, MATCH(V446, 'File Links'!C:C, 0))))</f>
        <v>https://drive.google.com/file/d/1BxRopi0OntYhPQcXKMEC5xqZoDEptVYd/view?usp=drivesdk</v>
      </c>
      <c r="Z446" s="241" t="s">
        <v>234</v>
      </c>
      <c r="AA446" s="241" t="s">
        <v>2388</v>
      </c>
      <c r="AB446" s="241" t="s">
        <v>2389</v>
      </c>
      <c r="AC446" s="328"/>
      <c r="AD446" s="327" t="s">
        <v>2390</v>
      </c>
      <c r="AE446" s="327" t="s">
        <v>2391</v>
      </c>
      <c r="AF446" s="331">
        <v>13.0</v>
      </c>
      <c r="AG446" s="332" t="s">
        <v>131</v>
      </c>
      <c r="AH446" s="164" t="s">
        <v>131</v>
      </c>
      <c r="AI446" s="332">
        <v>8.0</v>
      </c>
      <c r="AJ446" s="332" t="s">
        <v>131</v>
      </c>
      <c r="AK446" s="772" t="s">
        <v>131</v>
      </c>
      <c r="AL446" s="772" t="s">
        <v>131</v>
      </c>
      <c r="AM446" s="772" t="s">
        <v>131</v>
      </c>
      <c r="AN446" s="332" t="s">
        <v>131</v>
      </c>
      <c r="AO446" s="332">
        <v>15.0</v>
      </c>
      <c r="AP446" s="332" t="s">
        <v>131</v>
      </c>
      <c r="AQ446" s="332" t="s">
        <v>131</v>
      </c>
      <c r="AR446" s="332" t="s">
        <v>805</v>
      </c>
      <c r="AS446" s="332" t="s">
        <v>131</v>
      </c>
      <c r="AT446" s="773" t="s">
        <v>131</v>
      </c>
      <c r="AU446" s="773" t="s">
        <v>131</v>
      </c>
      <c r="AV446" s="773" t="s">
        <v>131</v>
      </c>
      <c r="AW446" s="332" t="s">
        <v>131</v>
      </c>
      <c r="AX446" s="774" t="s">
        <v>144</v>
      </c>
      <c r="AY446" s="65"/>
      <c r="AZ446" s="322" t="s">
        <v>137</v>
      </c>
      <c r="BA446" s="481"/>
      <c r="BB446" s="481"/>
      <c r="BC446" s="481"/>
      <c r="BD446" s="481"/>
      <c r="BE446" s="481"/>
      <c r="BF446" s="481"/>
      <c r="BG446" s="481"/>
      <c r="BH446" s="481"/>
      <c r="BI446" s="481"/>
      <c r="BJ446" s="481"/>
      <c r="BK446" s="481"/>
      <c r="BL446" s="481"/>
      <c r="BM446" s="481"/>
      <c r="BN446" s="481"/>
      <c r="BO446" s="481"/>
      <c r="BP446" s="481"/>
      <c r="BQ446" s="481"/>
      <c r="BR446" s="481"/>
      <c r="BS446" s="481"/>
      <c r="BT446" s="481"/>
      <c r="BU446" s="481"/>
      <c r="BV446" s="481"/>
      <c r="BW446" s="481"/>
      <c r="BX446" s="481"/>
      <c r="BY446" s="481"/>
      <c r="BZ446" s="481"/>
      <c r="CA446" s="481"/>
      <c r="CB446" s="481"/>
      <c r="CC446" s="481"/>
      <c r="CD446" s="481"/>
      <c r="CE446" s="481"/>
      <c r="CF446" s="481"/>
      <c r="CG446" s="481"/>
      <c r="CH446" s="481"/>
      <c r="CI446" s="481"/>
      <c r="CJ446" s="481"/>
      <c r="CK446" s="481"/>
      <c r="CL446" s="481"/>
      <c r="CM446" s="481"/>
      <c r="CN446" s="481"/>
      <c r="CO446" s="481"/>
      <c r="CP446" s="481"/>
      <c r="CQ446" s="481"/>
      <c r="CR446" s="481"/>
      <c r="CS446" s="481"/>
      <c r="CT446" s="481"/>
      <c r="CU446" s="481"/>
      <c r="CV446" s="481"/>
      <c r="CW446" s="481"/>
      <c r="CX446" s="481"/>
      <c r="CY446" s="481"/>
      <c r="CZ446" s="481"/>
      <c r="DA446" s="481"/>
      <c r="DB446" s="481"/>
      <c r="DC446" s="481"/>
      <c r="DD446" s="481"/>
      <c r="DE446" s="481"/>
      <c r="DF446" s="481"/>
      <c r="DG446" s="481"/>
      <c r="DH446" s="481"/>
    </row>
    <row r="447" ht="20.25" customHeight="1">
      <c r="A447" s="41">
        <v>447.0</v>
      </c>
      <c r="B447" s="418" t="s">
        <v>278</v>
      </c>
      <c r="C447" s="146" t="s">
        <v>108</v>
      </c>
      <c r="D447" s="146" t="s">
        <v>1451</v>
      </c>
      <c r="E447" s="69"/>
      <c r="F447" s="119" t="s">
        <v>2392</v>
      </c>
      <c r="G447" s="109" t="s">
        <v>2393</v>
      </c>
      <c r="H447" s="109" t="s">
        <v>137</v>
      </c>
      <c r="I447" s="414">
        <v>45478.0</v>
      </c>
      <c r="J447" s="110">
        <v>45641.0</v>
      </c>
      <c r="K447" s="377" t="s">
        <v>2394</v>
      </c>
      <c r="L447" s="111"/>
      <c r="M447" s="415" t="s">
        <v>2395</v>
      </c>
      <c r="N447" s="109" t="s">
        <v>2396</v>
      </c>
      <c r="O447" s="114">
        <v>3.0</v>
      </c>
      <c r="P447" s="118" t="str">
        <f t="shared" si="26"/>
        <v>10.1177--1948550611432938.pdf</v>
      </c>
      <c r="Q447" s="49" t="str">
        <f t="array" ref="Q447"> if(iserror(MATCH(V447, 'File Links'!C:C, 0)), "N/A", HYPERLINK(INDEX('File Links'!B:B, MATCH(P447, 'File Links'!C:C, 0))))</f>
        <v>https://drive.google.com/file/d/1H6qRZ24gIkLnBRWVbjI2jgKRf4KnrPQh/view?usp=drivesdk</v>
      </c>
      <c r="R447" s="109" t="s">
        <v>2397</v>
      </c>
      <c r="S447" s="109" t="s">
        <v>2398</v>
      </c>
      <c r="T447" s="111"/>
      <c r="U447" s="117"/>
      <c r="V447" s="109" t="str">
        <f t="shared" si="25"/>
        <v>10.31234--osf.io--esu9z.pdf</v>
      </c>
      <c r="W447" s="111"/>
      <c r="X447" s="51" t="str">
        <f t="array" ref="X447"> if(iserror(MATCH(V447, 'File Links'!C:C, 0)), "N/A", HYPERLINK(INDEX('File Links'!B:B, MATCH(V447, 'File Links'!C:C, 0))))</f>
        <v>https://drive.google.com/file/d/1dsS2Zz_SrKiR1Wr9BLFEXM-_iHqMxxPd/view?usp=drivesdk</v>
      </c>
      <c r="Y447" s="111"/>
      <c r="Z447" s="111"/>
      <c r="AA447" s="111"/>
      <c r="AB447" s="111"/>
      <c r="AC447" s="111"/>
      <c r="AD447" s="111"/>
      <c r="AE447" s="111"/>
      <c r="AF447" s="111"/>
      <c r="AG447" s="111"/>
      <c r="AH447" s="117"/>
      <c r="AI447" s="111"/>
      <c r="AJ447" s="111"/>
      <c r="AK447" s="108"/>
      <c r="AL447" s="111"/>
      <c r="AM447" s="111"/>
      <c r="AN447" s="216" t="s">
        <v>131</v>
      </c>
      <c r="AO447" s="111"/>
      <c r="AP447" s="111"/>
      <c r="AQ447" s="111"/>
      <c r="AR447" s="111"/>
      <c r="AS447" s="111"/>
      <c r="AT447" s="108"/>
      <c r="AU447" s="108"/>
      <c r="AV447" s="108"/>
      <c r="AW447" s="108"/>
      <c r="AX447" s="108"/>
      <c r="AY447" s="58"/>
      <c r="AZ447" s="69"/>
      <c r="BA447" s="481"/>
      <c r="BB447" s="481"/>
      <c r="BC447" s="481"/>
      <c r="BD447" s="481"/>
      <c r="BE447" s="481"/>
      <c r="BF447" s="481"/>
      <c r="BG447" s="481"/>
      <c r="BH447" s="481"/>
      <c r="BI447" s="481"/>
      <c r="BJ447" s="481"/>
      <c r="BK447" s="481"/>
      <c r="BL447" s="481"/>
      <c r="BM447" s="481"/>
      <c r="BN447" s="481"/>
      <c r="BO447" s="481"/>
      <c r="BP447" s="481"/>
      <c r="BQ447" s="481"/>
      <c r="BR447" s="481"/>
      <c r="BS447" s="481"/>
      <c r="BT447" s="481"/>
      <c r="BU447" s="481"/>
      <c r="BV447" s="481"/>
      <c r="BW447" s="481"/>
      <c r="BX447" s="481"/>
      <c r="BY447" s="481"/>
      <c r="BZ447" s="481"/>
      <c r="CA447" s="481"/>
      <c r="CB447" s="481"/>
      <c r="CC447" s="481"/>
      <c r="CD447" s="481"/>
      <c r="CE447" s="481"/>
      <c r="CF447" s="481"/>
      <c r="CG447" s="481"/>
      <c r="CH447" s="481"/>
      <c r="CI447" s="481"/>
      <c r="CJ447" s="481"/>
      <c r="CK447" s="481"/>
      <c r="CL447" s="481"/>
      <c r="CM447" s="481"/>
      <c r="CN447" s="481"/>
      <c r="CO447" s="481"/>
      <c r="CP447" s="481"/>
      <c r="CQ447" s="481"/>
      <c r="CR447" s="481"/>
      <c r="CS447" s="481"/>
      <c r="CT447" s="481"/>
      <c r="CU447" s="481"/>
      <c r="CV447" s="481"/>
      <c r="CW447" s="481"/>
      <c r="CX447" s="481"/>
      <c r="CY447" s="481"/>
      <c r="CZ447" s="481"/>
      <c r="DA447" s="481"/>
      <c r="DB447" s="481"/>
      <c r="DC447" s="481"/>
      <c r="DD447" s="481"/>
      <c r="DE447" s="481"/>
      <c r="DF447" s="481"/>
      <c r="DG447" s="481"/>
      <c r="DH447" s="481"/>
    </row>
    <row r="448" ht="20.25" customHeight="1">
      <c r="A448" s="41">
        <v>448.0</v>
      </c>
      <c r="B448" s="418" t="s">
        <v>278</v>
      </c>
      <c r="C448" s="146" t="s">
        <v>108</v>
      </c>
      <c r="D448" s="146" t="s">
        <v>2185</v>
      </c>
      <c r="E448" s="69"/>
      <c r="F448" s="119" t="s">
        <v>2392</v>
      </c>
      <c r="G448" s="109" t="s">
        <v>2393</v>
      </c>
      <c r="H448" s="119" t="s">
        <v>2186</v>
      </c>
      <c r="I448" s="414">
        <v>45478.0</v>
      </c>
      <c r="J448" s="110">
        <v>45661.0</v>
      </c>
      <c r="K448" s="478" t="s">
        <v>2399</v>
      </c>
      <c r="L448" s="108"/>
      <c r="M448" s="119" t="s">
        <v>2400</v>
      </c>
      <c r="N448" s="119" t="s">
        <v>2396</v>
      </c>
      <c r="O448" s="534">
        <v>3.0</v>
      </c>
      <c r="P448" s="119" t="str">
        <f t="shared" si="26"/>
        <v>10.1177--1948550611432938.pdf</v>
      </c>
      <c r="Q448" s="49" t="str">
        <f t="array" ref="Q448"> if(iserror(MATCH(V448, 'File Links'!C:C, 0)), "N/A", HYPERLINK(INDEX('File Links'!B:B, MATCH(P448, 'File Links'!C:C, 0))))</f>
        <v>https://drive.google.com/file/d/1H6qRZ24gIkLnBRWVbjI2jgKRf4KnrPQh/view?usp=drivesdk</v>
      </c>
      <c r="R448" s="119" t="s">
        <v>2397</v>
      </c>
      <c r="S448" s="119" t="s">
        <v>2398</v>
      </c>
      <c r="T448" s="108"/>
      <c r="U448" s="108"/>
      <c r="V448" s="119" t="str">
        <f t="shared" si="25"/>
        <v>10.31234--osf.io--esu9z.pdf</v>
      </c>
      <c r="W448" s="119" t="s">
        <v>2401</v>
      </c>
      <c r="X448" s="51" t="str">
        <f t="array" ref="X448"> if(iserror(MATCH(V448, 'File Links'!C:C, 0)), "N/A", HYPERLINK(INDEX('File Links'!B:B, MATCH(V448, 'File Links'!C:C, 0))))</f>
        <v>https://drive.google.com/file/d/1dsS2Zz_SrKiR1Wr9BLFEXM-_iHqMxxPd/view?usp=drivesdk</v>
      </c>
      <c r="Y448" s="108"/>
      <c r="Z448" s="119" t="s">
        <v>219</v>
      </c>
      <c r="AA448" s="119" t="s">
        <v>2402</v>
      </c>
      <c r="AB448" s="119" t="s">
        <v>2403</v>
      </c>
      <c r="AC448" s="119" t="s">
        <v>2404</v>
      </c>
      <c r="AD448" s="119" t="s">
        <v>2405</v>
      </c>
      <c r="AE448" s="534">
        <v>3.0</v>
      </c>
      <c r="AF448" s="534">
        <v>120.0</v>
      </c>
      <c r="AG448" s="534">
        <v>0.38</v>
      </c>
      <c r="AH448" s="117" t="s">
        <v>166</v>
      </c>
      <c r="AI448" s="109" t="s">
        <v>210</v>
      </c>
      <c r="AJ448" s="114">
        <v>0.045</v>
      </c>
      <c r="AK448" s="119" t="s">
        <v>165</v>
      </c>
      <c r="AL448" s="109" t="s">
        <v>179</v>
      </c>
      <c r="AM448" s="119" t="s">
        <v>130</v>
      </c>
      <c r="AN448" s="216" t="s">
        <v>131</v>
      </c>
      <c r="AO448" s="534">
        <v>3415.0</v>
      </c>
      <c r="AP448" s="534">
        <v>0.0</v>
      </c>
      <c r="AQ448" s="108"/>
      <c r="AR448" s="119" t="s">
        <v>2406</v>
      </c>
      <c r="AS448" s="108"/>
      <c r="AT448" s="108"/>
      <c r="AU448" s="119" t="s">
        <v>129</v>
      </c>
      <c r="AV448" s="119" t="s">
        <v>130</v>
      </c>
      <c r="AW448" s="669" t="s">
        <v>2407</v>
      </c>
      <c r="AX448" s="417" t="s">
        <v>136</v>
      </c>
      <c r="AY448" s="65"/>
      <c r="AZ448" s="69"/>
      <c r="BA448" s="481"/>
      <c r="BB448" s="481"/>
      <c r="BC448" s="481"/>
      <c r="BD448" s="481"/>
      <c r="BE448" s="481"/>
      <c r="BF448" s="481"/>
      <c r="BG448" s="481"/>
      <c r="BH448" s="481"/>
      <c r="BI448" s="481"/>
      <c r="BJ448" s="481"/>
      <c r="BK448" s="481"/>
      <c r="BL448" s="481"/>
      <c r="BM448" s="481"/>
      <c r="BN448" s="481"/>
      <c r="BO448" s="481"/>
      <c r="BP448" s="481"/>
      <c r="BQ448" s="481"/>
      <c r="BR448" s="481"/>
      <c r="BS448" s="481"/>
      <c r="BT448" s="481"/>
      <c r="BU448" s="481"/>
      <c r="BV448" s="481"/>
      <c r="BW448" s="481"/>
      <c r="BX448" s="481"/>
      <c r="BY448" s="481"/>
      <c r="BZ448" s="481"/>
      <c r="CA448" s="481"/>
      <c r="CB448" s="481"/>
      <c r="CC448" s="481"/>
      <c r="CD448" s="481"/>
      <c r="CE448" s="481"/>
      <c r="CF448" s="481"/>
      <c r="CG448" s="481"/>
      <c r="CH448" s="481"/>
      <c r="CI448" s="481"/>
      <c r="CJ448" s="481"/>
      <c r="CK448" s="481"/>
      <c r="CL448" s="481"/>
      <c r="CM448" s="481"/>
      <c r="CN448" s="481"/>
      <c r="CO448" s="481"/>
      <c r="CP448" s="481"/>
      <c r="CQ448" s="481"/>
      <c r="CR448" s="481"/>
      <c r="CS448" s="481"/>
      <c r="CT448" s="481"/>
      <c r="CU448" s="481"/>
      <c r="CV448" s="481"/>
      <c r="CW448" s="481"/>
      <c r="CX448" s="481"/>
      <c r="CY448" s="481"/>
      <c r="CZ448" s="481"/>
      <c r="DA448" s="481"/>
      <c r="DB448" s="481"/>
      <c r="DC448" s="481"/>
      <c r="DD448" s="481"/>
      <c r="DE448" s="481"/>
      <c r="DF448" s="481"/>
      <c r="DG448" s="481"/>
      <c r="DH448" s="481"/>
    </row>
    <row r="449" ht="20.25" customHeight="1">
      <c r="A449" s="41">
        <v>449.0</v>
      </c>
      <c r="B449" s="418" t="s">
        <v>278</v>
      </c>
      <c r="C449" s="146" t="s">
        <v>108</v>
      </c>
      <c r="D449" s="146" t="s">
        <v>2185</v>
      </c>
      <c r="E449" s="69"/>
      <c r="F449" s="119" t="s">
        <v>2392</v>
      </c>
      <c r="G449" s="109" t="s">
        <v>2408</v>
      </c>
      <c r="H449" s="119" t="s">
        <v>2186</v>
      </c>
      <c r="I449" s="414">
        <v>45662.0</v>
      </c>
      <c r="J449" s="775"/>
      <c r="K449" s="478" t="s">
        <v>2409</v>
      </c>
      <c r="L449" s="108"/>
      <c r="M449" s="119" t="s">
        <v>2400</v>
      </c>
      <c r="N449" s="119" t="s">
        <v>2396</v>
      </c>
      <c r="O449" s="534">
        <v>3.0</v>
      </c>
      <c r="P449" s="119" t="str">
        <f t="shared" si="26"/>
        <v>10.1177--1948550611432938.pdf</v>
      </c>
      <c r="Q449" s="49" t="str">
        <f t="array" ref="Q449"> if(iserror(MATCH(V449, 'File Links'!C:C, 0)), "N/A", HYPERLINK(INDEX('File Links'!B:B, MATCH(P449, 'File Links'!C:C, 0))))</f>
        <v>https://drive.google.com/file/d/1H6qRZ24gIkLnBRWVbjI2jgKRf4KnrPQh/view?usp=drivesdk</v>
      </c>
      <c r="R449" s="119" t="s">
        <v>2397</v>
      </c>
      <c r="S449" s="119" t="s">
        <v>2398</v>
      </c>
      <c r="T449" s="108"/>
      <c r="U449" s="108"/>
      <c r="V449" s="119" t="str">
        <f t="shared" si="25"/>
        <v>10.31234--osf.io--esu9z.pdf</v>
      </c>
      <c r="W449" s="119" t="s">
        <v>2401</v>
      </c>
      <c r="X449" s="51" t="str">
        <f t="array" ref="X449"> if(iserror(MATCH(V449, 'File Links'!C:C, 0)), "N/A", HYPERLINK(INDEX('File Links'!B:B, MATCH(V449, 'File Links'!C:C, 0))))</f>
        <v>https://drive.google.com/file/d/1dsS2Zz_SrKiR1Wr9BLFEXM-_iHqMxxPd/view?usp=drivesdk</v>
      </c>
      <c r="Y449" s="108"/>
      <c r="Z449" s="119" t="s">
        <v>219</v>
      </c>
      <c r="AA449" s="119" t="s">
        <v>2402</v>
      </c>
      <c r="AB449" s="119" t="s">
        <v>2403</v>
      </c>
      <c r="AC449" s="119" t="s">
        <v>2404</v>
      </c>
      <c r="AD449" s="119" t="s">
        <v>2405</v>
      </c>
      <c r="AE449" s="534">
        <v>3.0</v>
      </c>
      <c r="AF449" s="534">
        <v>120.0</v>
      </c>
      <c r="AG449" s="534">
        <v>0.38</v>
      </c>
      <c r="AH449" s="117" t="s">
        <v>166</v>
      </c>
      <c r="AI449" s="109" t="s">
        <v>210</v>
      </c>
      <c r="AJ449" s="114">
        <v>0.045</v>
      </c>
      <c r="AK449" s="119" t="s">
        <v>165</v>
      </c>
      <c r="AL449" s="109" t="s">
        <v>179</v>
      </c>
      <c r="AM449" s="119" t="s">
        <v>130</v>
      </c>
      <c r="AN449" s="216" t="s">
        <v>131</v>
      </c>
      <c r="AO449" s="534">
        <v>3415.0</v>
      </c>
      <c r="AP449" s="534">
        <v>-0.01</v>
      </c>
      <c r="AQ449" s="108"/>
      <c r="AR449" s="119" t="s">
        <v>2300</v>
      </c>
      <c r="AS449" s="108"/>
      <c r="AT449" s="108"/>
      <c r="AU449" s="119" t="s">
        <v>129</v>
      </c>
      <c r="AV449" s="119" t="s">
        <v>130</v>
      </c>
      <c r="AW449" s="669" t="s">
        <v>2407</v>
      </c>
      <c r="AX449" s="417" t="s">
        <v>136</v>
      </c>
      <c r="AY449" s="65"/>
      <c r="AZ449" s="69"/>
      <c r="BA449" s="481"/>
      <c r="BB449" s="481"/>
      <c r="BC449" s="481"/>
      <c r="BD449" s="481"/>
      <c r="BE449" s="481"/>
      <c r="BF449" s="481"/>
      <c r="BG449" s="481"/>
      <c r="BH449" s="481"/>
      <c r="BI449" s="481"/>
      <c r="BJ449" s="481"/>
      <c r="BK449" s="481"/>
      <c r="BL449" s="481"/>
      <c r="BM449" s="481"/>
      <c r="BN449" s="481"/>
      <c r="BO449" s="481"/>
      <c r="BP449" s="481"/>
      <c r="BQ449" s="481"/>
      <c r="BR449" s="481"/>
      <c r="BS449" s="481"/>
      <c r="BT449" s="481"/>
      <c r="BU449" s="481"/>
      <c r="BV449" s="481"/>
      <c r="BW449" s="481"/>
      <c r="BX449" s="481"/>
      <c r="BY449" s="481"/>
      <c r="BZ449" s="481"/>
      <c r="CA449" s="481"/>
      <c r="CB449" s="481"/>
      <c r="CC449" s="481"/>
      <c r="CD449" s="481"/>
      <c r="CE449" s="481"/>
      <c r="CF449" s="481"/>
      <c r="CG449" s="481"/>
      <c r="CH449" s="481"/>
      <c r="CI449" s="481"/>
      <c r="CJ449" s="481"/>
      <c r="CK449" s="481"/>
      <c r="CL449" s="481"/>
      <c r="CM449" s="481"/>
      <c r="CN449" s="481"/>
      <c r="CO449" s="481"/>
      <c r="CP449" s="481"/>
      <c r="CQ449" s="481"/>
      <c r="CR449" s="481"/>
      <c r="CS449" s="481"/>
      <c r="CT449" s="481"/>
      <c r="CU449" s="481"/>
      <c r="CV449" s="481"/>
      <c r="CW449" s="481"/>
      <c r="CX449" s="481"/>
      <c r="CY449" s="481"/>
      <c r="CZ449" s="481"/>
      <c r="DA449" s="481"/>
      <c r="DB449" s="481"/>
      <c r="DC449" s="481"/>
      <c r="DD449" s="481"/>
      <c r="DE449" s="481"/>
      <c r="DF449" s="481"/>
      <c r="DG449" s="481"/>
      <c r="DH449" s="481"/>
    </row>
    <row r="450" ht="20.25" customHeight="1">
      <c r="A450" s="41">
        <v>450.0</v>
      </c>
      <c r="B450" s="146" t="s">
        <v>145</v>
      </c>
      <c r="C450" s="146" t="s">
        <v>108</v>
      </c>
      <c r="D450" s="146" t="s">
        <v>1451</v>
      </c>
      <c r="E450" s="69"/>
      <c r="F450" s="776" t="s">
        <v>2410</v>
      </c>
      <c r="G450" s="109" t="s">
        <v>2411</v>
      </c>
      <c r="H450" s="109" t="s">
        <v>1511</v>
      </c>
      <c r="I450" s="414">
        <v>45489.0</v>
      </c>
      <c r="J450" s="110">
        <v>45641.0</v>
      </c>
      <c r="K450" s="109" t="s">
        <v>2412</v>
      </c>
      <c r="L450" s="111"/>
      <c r="M450" s="109" t="s">
        <v>2413</v>
      </c>
      <c r="N450" s="109" t="s">
        <v>2414</v>
      </c>
      <c r="O450" s="144">
        <v>1.0</v>
      </c>
      <c r="P450" s="118" t="str">
        <f t="shared" si="26"/>
        <v>10.1016--j.biopsycho.2018.08.007.pdf</v>
      </c>
      <c r="Q450" s="49" t="str">
        <f t="array" ref="Q450"> if(iserror(MATCH(V450, 'File Links'!C:C, 0)), "N/A", HYPERLINK(INDEX('File Links'!B:B, MATCH(P450, 'File Links'!C:C, 0))))</f>
        <v>https://drive.google.com/file/d/1V8lTfv6HJ8IMLiB5gYCuvj2XX1Nry6fh/view?usp=drivesdk</v>
      </c>
      <c r="R450" s="109" t="s">
        <v>2415</v>
      </c>
      <c r="S450" s="144" t="s">
        <v>2416</v>
      </c>
      <c r="T450" s="777" t="s">
        <v>2417</v>
      </c>
      <c r="U450" s="144">
        <v>1.0</v>
      </c>
      <c r="V450" s="109" t="str">
        <f t="shared" si="25"/>
        <v>bischoff_ma_bms.pdf</v>
      </c>
      <c r="W450" s="109" t="s">
        <v>2418</v>
      </c>
      <c r="X450" s="51" t="str">
        <f t="array" ref="X450"> if(iserror(MATCH(V450, 'File Links'!C:C, 0)), "N/A", HYPERLINK(INDEX('File Links'!B:B, MATCH(V450, 'File Links'!C:C, 0))))</f>
        <v>https://drive.google.com/file/d/11I9BYw-LgWPOfVM-roaK7IeDdor9cI5n/view?usp=drivesdk</v>
      </c>
      <c r="Y450" s="111"/>
      <c r="Z450" s="109" t="s">
        <v>2419</v>
      </c>
      <c r="AA450" s="111" t="s">
        <v>2420</v>
      </c>
      <c r="AB450" s="111" t="s">
        <v>2421</v>
      </c>
      <c r="AC450" s="113" t="s">
        <v>2422</v>
      </c>
      <c r="AD450" s="109" t="s">
        <v>2423</v>
      </c>
      <c r="AE450" s="114">
        <v>17.0</v>
      </c>
      <c r="AF450" s="114">
        <v>22.0</v>
      </c>
      <c r="AG450" s="113" t="s">
        <v>2424</v>
      </c>
      <c r="AH450" s="118" t="s">
        <v>127</v>
      </c>
      <c r="AI450" s="109" t="s">
        <v>1812</v>
      </c>
      <c r="AJ450" s="114">
        <v>0.073</v>
      </c>
      <c r="AK450" s="108" t="s">
        <v>165</v>
      </c>
      <c r="AL450" s="111" t="s">
        <v>179</v>
      </c>
      <c r="AM450" s="109" t="s">
        <v>134</v>
      </c>
      <c r="AN450" s="216" t="s">
        <v>131</v>
      </c>
      <c r="AO450" s="144">
        <v>32.0</v>
      </c>
      <c r="AP450" s="144" t="s">
        <v>131</v>
      </c>
      <c r="AQ450" s="144" t="s">
        <v>131</v>
      </c>
      <c r="AR450" s="144" t="s">
        <v>131</v>
      </c>
      <c r="AS450" s="144" t="s">
        <v>131</v>
      </c>
      <c r="AT450" s="144" t="s">
        <v>131</v>
      </c>
      <c r="AU450" s="759" t="s">
        <v>179</v>
      </c>
      <c r="AV450" s="119" t="s">
        <v>134</v>
      </c>
      <c r="AW450" s="65" t="s">
        <v>131</v>
      </c>
      <c r="AX450" s="759" t="s">
        <v>136</v>
      </c>
      <c r="AY450" s="58"/>
      <c r="AZ450" s="146" t="s">
        <v>137</v>
      </c>
      <c r="BA450" s="529"/>
    </row>
    <row r="451" ht="20.25" customHeight="1">
      <c r="A451" s="41">
        <v>451.0</v>
      </c>
      <c r="B451" s="121" t="s">
        <v>107</v>
      </c>
      <c r="C451" s="121" t="s">
        <v>108</v>
      </c>
      <c r="D451" s="121" t="s">
        <v>2185</v>
      </c>
      <c r="E451" s="104"/>
      <c r="F451" s="758" t="s">
        <v>2410</v>
      </c>
      <c r="G451" s="123" t="s">
        <v>2411</v>
      </c>
      <c r="H451" s="137" t="s">
        <v>2186</v>
      </c>
      <c r="I451" s="314">
        <v>45489.0</v>
      </c>
      <c r="J451" s="124">
        <v>45643.0</v>
      </c>
      <c r="K451" s="137" t="s">
        <v>2425</v>
      </c>
      <c r="L451" s="122"/>
      <c r="M451" s="137" t="s">
        <v>2413</v>
      </c>
      <c r="N451" s="137" t="s">
        <v>2414</v>
      </c>
      <c r="O451" s="122"/>
      <c r="P451" s="137" t="str">
        <f t="shared" si="26"/>
        <v>10.1016--j.biopsycho.2018.08.007.pdf</v>
      </c>
      <c r="Q451" s="49" t="str">
        <f t="array" ref="Q451"> if(iserror(MATCH(V451, 'File Links'!C:C, 0)), "N/A", HYPERLINK(INDEX('File Links'!B:B, MATCH(P451, 'File Links'!C:C, 0))))</f>
        <v>https://drive.google.com/file/d/1V8lTfv6HJ8IMLiB5gYCuvj2XX1Nry6fh/view?usp=drivesdk</v>
      </c>
      <c r="R451" s="667" t="s">
        <v>2426</v>
      </c>
      <c r="S451" s="216" t="s">
        <v>2416</v>
      </c>
      <c r="T451" s="778" t="s">
        <v>2417</v>
      </c>
      <c r="U451" s="122"/>
      <c r="V451" s="109" t="str">
        <f t="shared" si="25"/>
        <v>bischoff_ma_bms.pdf</v>
      </c>
      <c r="W451" s="137" t="s">
        <v>2418</v>
      </c>
      <c r="X451" s="51" t="str">
        <f t="array" ref="X451"> if(iserror(MATCH(V451, 'File Links'!C:C, 0)), "N/A", HYPERLINK(INDEX('File Links'!B:B, MATCH(V451, 'File Links'!C:C, 0))))</f>
        <v>https://drive.google.com/file/d/11I9BYw-LgWPOfVM-roaK7IeDdor9cI5n/view?usp=drivesdk</v>
      </c>
      <c r="Y451" s="122"/>
      <c r="Z451" s="137" t="s">
        <v>831</v>
      </c>
      <c r="AA451" s="137" t="s">
        <v>2427</v>
      </c>
      <c r="AB451" s="137" t="s">
        <v>2428</v>
      </c>
      <c r="AC451" s="137" t="s">
        <v>2429</v>
      </c>
      <c r="AD451" s="137" t="s">
        <v>2430</v>
      </c>
      <c r="AE451" s="779">
        <v>17.0</v>
      </c>
      <c r="AF451" s="779">
        <v>21.0</v>
      </c>
      <c r="AG451" s="779">
        <v>0.118</v>
      </c>
      <c r="AH451" s="315" t="s">
        <v>132</v>
      </c>
      <c r="AI451" s="123" t="s">
        <v>2406</v>
      </c>
      <c r="AJ451" s="127">
        <v>0.031</v>
      </c>
      <c r="AK451" s="137" t="s">
        <v>165</v>
      </c>
      <c r="AL451" s="123" t="s">
        <v>179</v>
      </c>
      <c r="AM451" s="137" t="s">
        <v>134</v>
      </c>
      <c r="AN451" s="216" t="s">
        <v>131</v>
      </c>
      <c r="AO451" s="779">
        <v>32.0</v>
      </c>
      <c r="AP451" s="122"/>
      <c r="AQ451" s="122"/>
      <c r="AR451" s="137" t="s">
        <v>298</v>
      </c>
      <c r="AS451" s="122"/>
      <c r="AT451" s="122"/>
      <c r="AU451" s="137" t="s">
        <v>179</v>
      </c>
      <c r="AV451" s="137" t="s">
        <v>134</v>
      </c>
      <c r="AW451" s="65" t="s">
        <v>131</v>
      </c>
      <c r="AX451" s="137" t="s">
        <v>136</v>
      </c>
      <c r="AY451" s="65"/>
      <c r="AZ451" s="146" t="s">
        <v>137</v>
      </c>
      <c r="BA451" s="529"/>
    </row>
    <row r="452" ht="20.25" customHeight="1">
      <c r="A452" s="41">
        <v>452.0</v>
      </c>
      <c r="B452" s="146" t="s">
        <v>145</v>
      </c>
      <c r="C452" s="146" t="s">
        <v>108</v>
      </c>
      <c r="D452" s="146" t="s">
        <v>1451</v>
      </c>
      <c r="E452" s="69"/>
      <c r="F452" s="758" t="s">
        <v>2410</v>
      </c>
      <c r="G452" s="109" t="s">
        <v>2431</v>
      </c>
      <c r="H452" s="109" t="s">
        <v>1511</v>
      </c>
      <c r="I452" s="414">
        <v>45489.0</v>
      </c>
      <c r="J452" s="110">
        <v>45641.0</v>
      </c>
      <c r="K452" s="111"/>
      <c r="L452" s="111"/>
      <c r="M452" s="109" t="s">
        <v>2413</v>
      </c>
      <c r="N452" s="673" t="s">
        <v>2414</v>
      </c>
      <c r="O452" s="144">
        <v>1.0</v>
      </c>
      <c r="P452" s="118" t="str">
        <f t="shared" si="26"/>
        <v>10.1016--j.biopsycho.2018.08.007.pdf</v>
      </c>
      <c r="Q452" s="49" t="str">
        <f t="array" ref="Q452"> if(iserror(MATCH(V452, 'File Links'!C:C, 0)), "N/A", HYPERLINK(INDEX('File Links'!B:B, MATCH(P452, 'File Links'!C:C, 0))))</f>
        <v>https://drive.google.com/file/d/1V8lTfv6HJ8IMLiB5gYCuvj2XX1Nry6fh/view?usp=drivesdk</v>
      </c>
      <c r="R452" s="113" t="s">
        <v>2415</v>
      </c>
      <c r="S452" s="144" t="s">
        <v>2416</v>
      </c>
      <c r="T452" s="777" t="s">
        <v>2417</v>
      </c>
      <c r="U452" s="144">
        <v>1.0</v>
      </c>
      <c r="V452" s="109" t="str">
        <f t="shared" si="25"/>
        <v>bischoff_ma_bms.pdf</v>
      </c>
      <c r="W452" s="109" t="s">
        <v>2418</v>
      </c>
      <c r="X452" s="51" t="str">
        <f t="array" ref="X452"> if(iserror(MATCH(V452, 'File Links'!C:C, 0)), "N/A", HYPERLINK(INDEX('File Links'!B:B, MATCH(V452, 'File Links'!C:C, 0))))</f>
        <v>https://drive.google.com/file/d/11I9BYw-LgWPOfVM-roaK7IeDdor9cI5n/view?usp=drivesdk</v>
      </c>
      <c r="Y452" s="111"/>
      <c r="Z452" s="109" t="s">
        <v>2419</v>
      </c>
      <c r="AA452" s="111" t="s">
        <v>2420</v>
      </c>
      <c r="AB452" s="111" t="s">
        <v>2421</v>
      </c>
      <c r="AC452" s="113" t="s">
        <v>2422</v>
      </c>
      <c r="AD452" s="109" t="s">
        <v>2432</v>
      </c>
      <c r="AE452" s="109" t="s">
        <v>2433</v>
      </c>
      <c r="AF452" s="114">
        <v>24.0</v>
      </c>
      <c r="AG452" s="114">
        <v>-0.204</v>
      </c>
      <c r="AH452" s="118" t="s">
        <v>208</v>
      </c>
      <c r="AI452" s="109" t="s">
        <v>2434</v>
      </c>
      <c r="AJ452" s="114">
        <v>0.375</v>
      </c>
      <c r="AK452" s="108" t="s">
        <v>165</v>
      </c>
      <c r="AL452" s="111" t="s">
        <v>179</v>
      </c>
      <c r="AM452" s="109" t="s">
        <v>134</v>
      </c>
      <c r="AN452" s="216" t="s">
        <v>131</v>
      </c>
      <c r="AO452" s="114">
        <v>32.0</v>
      </c>
      <c r="AP452" s="114">
        <v>0.382</v>
      </c>
      <c r="AQ452" s="109" t="s">
        <v>208</v>
      </c>
      <c r="AR452" s="109" t="s">
        <v>2435</v>
      </c>
      <c r="AS452" s="114">
        <v>0.031</v>
      </c>
      <c r="AT452" s="119" t="s">
        <v>165</v>
      </c>
      <c r="AU452" s="759" t="s">
        <v>179</v>
      </c>
      <c r="AV452" s="119" t="s">
        <v>134</v>
      </c>
      <c r="AW452" s="65" t="s">
        <v>131</v>
      </c>
      <c r="AX452" s="759" t="s">
        <v>136</v>
      </c>
      <c r="AY452" s="58"/>
      <c r="AZ452" s="146" t="s">
        <v>137</v>
      </c>
      <c r="BA452" s="529"/>
      <c r="BB452" s="186"/>
      <c r="BC452" s="186"/>
      <c r="BD452" s="186"/>
      <c r="BE452" s="186"/>
      <c r="BF452" s="186"/>
      <c r="BG452" s="186"/>
      <c r="BH452" s="186"/>
      <c r="BI452" s="186"/>
      <c r="BJ452" s="186"/>
      <c r="BK452" s="186"/>
      <c r="BL452" s="186"/>
      <c r="BM452" s="186"/>
      <c r="BN452" s="186"/>
      <c r="BO452" s="186"/>
      <c r="BP452" s="186"/>
      <c r="BQ452" s="186"/>
      <c r="BR452" s="186"/>
      <c r="BS452" s="186"/>
      <c r="BT452" s="186"/>
      <c r="BU452" s="186"/>
      <c r="BV452" s="186"/>
      <c r="BW452" s="186"/>
      <c r="BX452" s="186"/>
      <c r="BY452" s="186"/>
      <c r="BZ452" s="186"/>
      <c r="CA452" s="186"/>
      <c r="CB452" s="186"/>
      <c r="CC452" s="186"/>
      <c r="CD452" s="186"/>
      <c r="CE452" s="186"/>
      <c r="CF452" s="186"/>
      <c r="CG452" s="186"/>
      <c r="CH452" s="186"/>
      <c r="CI452" s="186"/>
      <c r="CJ452" s="186"/>
      <c r="CK452" s="186"/>
      <c r="CL452" s="186"/>
      <c r="CM452" s="186"/>
      <c r="CN452" s="186"/>
      <c r="CO452" s="186"/>
      <c r="CP452" s="186"/>
      <c r="CQ452" s="186"/>
      <c r="CR452" s="186"/>
      <c r="CS452" s="186"/>
      <c r="CT452" s="186"/>
      <c r="CU452" s="186"/>
      <c r="CV452" s="186"/>
      <c r="CW452" s="186"/>
      <c r="CX452" s="186"/>
      <c r="CY452" s="186"/>
      <c r="CZ452" s="186"/>
      <c r="DA452" s="186"/>
      <c r="DB452" s="186"/>
      <c r="DC452" s="186"/>
      <c r="DD452" s="186"/>
      <c r="DE452" s="186"/>
      <c r="DF452" s="186"/>
      <c r="DG452" s="186"/>
      <c r="DH452" s="186"/>
    </row>
    <row r="453" ht="20.25" customHeight="1">
      <c r="A453" s="41">
        <v>453.0</v>
      </c>
      <c r="B453" s="121" t="s">
        <v>107</v>
      </c>
      <c r="C453" s="121" t="s">
        <v>108</v>
      </c>
      <c r="D453" s="121" t="s">
        <v>2185</v>
      </c>
      <c r="E453" s="104"/>
      <c r="F453" s="758" t="s">
        <v>2410</v>
      </c>
      <c r="G453" s="123" t="s">
        <v>2431</v>
      </c>
      <c r="H453" s="137" t="s">
        <v>2186</v>
      </c>
      <c r="I453" s="314">
        <v>45644.0</v>
      </c>
      <c r="J453" s="780"/>
      <c r="K453" s="137" t="s">
        <v>2436</v>
      </c>
      <c r="L453" s="122"/>
      <c r="M453" s="137" t="s">
        <v>2413</v>
      </c>
      <c r="N453" s="137" t="s">
        <v>2414</v>
      </c>
      <c r="O453" s="122"/>
      <c r="P453" s="137" t="str">
        <f t="shared" si="26"/>
        <v>10.1016--j.biopsycho.2018.08.007.pdf</v>
      </c>
      <c r="Q453" s="49" t="str">
        <f t="array" ref="Q453"> if(iserror(MATCH(V453, 'File Links'!C:C, 0)), "N/A", HYPERLINK(INDEX('File Links'!B:B, MATCH(P453, 'File Links'!C:C, 0))))</f>
        <v>https://drive.google.com/file/d/1V8lTfv6HJ8IMLiB5gYCuvj2XX1Nry6fh/view?usp=drivesdk</v>
      </c>
      <c r="R453" s="667" t="s">
        <v>2437</v>
      </c>
      <c r="S453" s="216" t="s">
        <v>2416</v>
      </c>
      <c r="T453" s="778" t="s">
        <v>2417</v>
      </c>
      <c r="U453" s="122"/>
      <c r="V453" s="109" t="str">
        <f t="shared" si="25"/>
        <v>bischoff_ma_bms.pdf</v>
      </c>
      <c r="W453" s="137" t="s">
        <v>2418</v>
      </c>
      <c r="X453" s="51" t="str">
        <f t="array" ref="X453"> if(iserror(MATCH(V453, 'File Links'!C:C, 0)), "N/A", HYPERLINK(INDEX('File Links'!B:B, MATCH(V453, 'File Links'!C:C, 0))))</f>
        <v>https://drive.google.com/file/d/11I9BYw-LgWPOfVM-roaK7IeDdor9cI5n/view?usp=drivesdk</v>
      </c>
      <c r="Y453" s="122"/>
      <c r="Z453" s="137" t="s">
        <v>831</v>
      </c>
      <c r="AA453" s="137" t="s">
        <v>2427</v>
      </c>
      <c r="AB453" s="137" t="s">
        <v>2428</v>
      </c>
      <c r="AC453" s="137" t="s">
        <v>2429</v>
      </c>
      <c r="AD453" s="137" t="s">
        <v>2430</v>
      </c>
      <c r="AE453" s="779">
        <v>17.0</v>
      </c>
      <c r="AF453" s="779">
        <v>21.0</v>
      </c>
      <c r="AG453" s="779">
        <v>0.118</v>
      </c>
      <c r="AH453" s="315" t="s">
        <v>132</v>
      </c>
      <c r="AI453" s="123" t="s">
        <v>2406</v>
      </c>
      <c r="AJ453" s="127">
        <v>0.031</v>
      </c>
      <c r="AK453" s="137" t="s">
        <v>165</v>
      </c>
      <c r="AL453" s="123" t="s">
        <v>179</v>
      </c>
      <c r="AM453" s="137" t="s">
        <v>134</v>
      </c>
      <c r="AN453" s="216" t="s">
        <v>131</v>
      </c>
      <c r="AO453" s="779">
        <v>68.0</v>
      </c>
      <c r="AP453" s="122"/>
      <c r="AQ453" s="122"/>
      <c r="AR453" s="137" t="s">
        <v>2406</v>
      </c>
      <c r="AS453" s="122"/>
      <c r="AT453" s="122"/>
      <c r="AU453" s="137" t="s">
        <v>179</v>
      </c>
      <c r="AV453" s="137" t="s">
        <v>134</v>
      </c>
      <c r="AW453" s="65" t="s">
        <v>131</v>
      </c>
      <c r="AX453" s="137" t="s">
        <v>136</v>
      </c>
      <c r="AY453" s="65"/>
      <c r="AZ453" s="146" t="s">
        <v>137</v>
      </c>
      <c r="BA453" s="529"/>
      <c r="BB453" s="186"/>
      <c r="BC453" s="186"/>
      <c r="BD453" s="186"/>
      <c r="BE453" s="186"/>
      <c r="BF453" s="186"/>
      <c r="BG453" s="186"/>
      <c r="BH453" s="186"/>
      <c r="BI453" s="186"/>
      <c r="BJ453" s="186"/>
      <c r="BK453" s="186"/>
      <c r="BL453" s="186"/>
      <c r="BM453" s="186"/>
      <c r="BN453" s="186"/>
      <c r="BO453" s="186"/>
      <c r="BP453" s="186"/>
      <c r="BQ453" s="186"/>
      <c r="BR453" s="186"/>
      <c r="BS453" s="186"/>
      <c r="BT453" s="186"/>
      <c r="BU453" s="186"/>
      <c r="BV453" s="186"/>
      <c r="BW453" s="186"/>
      <c r="BX453" s="186"/>
      <c r="BY453" s="186"/>
      <c r="BZ453" s="186"/>
      <c r="CA453" s="186"/>
      <c r="CB453" s="186"/>
      <c r="CC453" s="186"/>
      <c r="CD453" s="186"/>
      <c r="CE453" s="186"/>
      <c r="CF453" s="186"/>
      <c r="CG453" s="186"/>
      <c r="CH453" s="186"/>
      <c r="CI453" s="186"/>
      <c r="CJ453" s="186"/>
      <c r="CK453" s="186"/>
      <c r="CL453" s="186"/>
      <c r="CM453" s="186"/>
      <c r="CN453" s="186"/>
      <c r="CO453" s="186"/>
      <c r="CP453" s="186"/>
      <c r="CQ453" s="186"/>
      <c r="CR453" s="186"/>
      <c r="CS453" s="186"/>
      <c r="CT453" s="186"/>
      <c r="CU453" s="186"/>
      <c r="CV453" s="186"/>
      <c r="CW453" s="186"/>
      <c r="CX453" s="186"/>
      <c r="CY453" s="186"/>
      <c r="CZ453" s="186"/>
      <c r="DA453" s="186"/>
      <c r="DB453" s="186"/>
      <c r="DC453" s="186"/>
      <c r="DD453" s="186"/>
      <c r="DE453" s="186"/>
      <c r="DF453" s="186"/>
      <c r="DG453" s="186"/>
      <c r="DH453" s="186"/>
    </row>
    <row r="454" ht="20.25" customHeight="1">
      <c r="A454" s="41">
        <v>454.0</v>
      </c>
      <c r="B454" s="146" t="s">
        <v>145</v>
      </c>
      <c r="C454" s="146" t="s">
        <v>108</v>
      </c>
      <c r="D454" s="146" t="s">
        <v>1451</v>
      </c>
      <c r="E454" s="69"/>
      <c r="F454" s="758" t="s">
        <v>2410</v>
      </c>
      <c r="G454" s="109" t="s">
        <v>2438</v>
      </c>
      <c r="H454" s="109" t="s">
        <v>1511</v>
      </c>
      <c r="I454" s="414">
        <v>45489.0</v>
      </c>
      <c r="J454" s="110">
        <v>45641.0</v>
      </c>
      <c r="K454" s="111"/>
      <c r="L454" s="111"/>
      <c r="M454" s="109" t="s">
        <v>2413</v>
      </c>
      <c r="N454" s="673" t="s">
        <v>2414</v>
      </c>
      <c r="O454" s="144">
        <v>1.0</v>
      </c>
      <c r="P454" s="118" t="str">
        <f t="shared" si="26"/>
        <v>10.1016--j.biopsycho.2018.08.007.pdf</v>
      </c>
      <c r="Q454" s="49" t="str">
        <f t="array" ref="Q454"> if(iserror(MATCH(V454, 'File Links'!C:C, 0)), "N/A", HYPERLINK(INDEX('File Links'!B:B, MATCH(P454, 'File Links'!C:C, 0))))</f>
        <v>https://drive.google.com/file/d/1V8lTfv6HJ8IMLiB5gYCuvj2XX1Nry6fh/view?usp=drivesdk</v>
      </c>
      <c r="R454" s="673" t="s">
        <v>2415</v>
      </c>
      <c r="S454" s="144" t="s">
        <v>2416</v>
      </c>
      <c r="T454" s="777" t="s">
        <v>2417</v>
      </c>
      <c r="U454" s="144">
        <v>1.0</v>
      </c>
      <c r="V454" s="109" t="str">
        <f t="shared" si="25"/>
        <v>bischoff_ma_bms.pdf</v>
      </c>
      <c r="W454" s="109" t="s">
        <v>2418</v>
      </c>
      <c r="X454" s="51" t="str">
        <f t="array" ref="X454"> if(iserror(MATCH(V454, 'File Links'!C:C, 0)), "N/A", HYPERLINK(INDEX('File Links'!B:B, MATCH(V454, 'File Links'!C:C, 0))))</f>
        <v>https://drive.google.com/file/d/11I9BYw-LgWPOfVM-roaK7IeDdor9cI5n/view?usp=drivesdk</v>
      </c>
      <c r="Y454" s="111"/>
      <c r="Z454" s="109" t="s">
        <v>2419</v>
      </c>
      <c r="AA454" s="111" t="s">
        <v>2420</v>
      </c>
      <c r="AB454" s="111" t="s">
        <v>2421</v>
      </c>
      <c r="AC454" s="113" t="s">
        <v>2422</v>
      </c>
      <c r="AD454" s="109" t="s">
        <v>2439</v>
      </c>
      <c r="AE454" s="109" t="s">
        <v>2440</v>
      </c>
      <c r="AF454" s="114">
        <v>24.0</v>
      </c>
      <c r="AG454" s="114">
        <v>-0.512</v>
      </c>
      <c r="AH454" s="118" t="s">
        <v>208</v>
      </c>
      <c r="AI454" s="109" t="s">
        <v>1812</v>
      </c>
      <c r="AJ454" s="114">
        <v>0.018</v>
      </c>
      <c r="AK454" s="108" t="s">
        <v>165</v>
      </c>
      <c r="AL454" s="111" t="s">
        <v>179</v>
      </c>
      <c r="AM454" s="109" t="s">
        <v>134</v>
      </c>
      <c r="AN454" s="216" t="s">
        <v>131</v>
      </c>
      <c r="AO454" s="114">
        <v>32.0</v>
      </c>
      <c r="AP454" s="114">
        <v>0.173</v>
      </c>
      <c r="AQ454" s="109" t="s">
        <v>208</v>
      </c>
      <c r="AR454" s="109" t="s">
        <v>2435</v>
      </c>
      <c r="AS454" s="114">
        <v>0.344</v>
      </c>
      <c r="AT454" s="108" t="s">
        <v>165</v>
      </c>
      <c r="AU454" s="119" t="s">
        <v>179</v>
      </c>
      <c r="AV454" s="119" t="s">
        <v>134</v>
      </c>
      <c r="AW454" s="65" t="s">
        <v>131</v>
      </c>
      <c r="AX454" s="759" t="s">
        <v>136</v>
      </c>
      <c r="AY454" s="58"/>
      <c r="AZ454" s="146" t="s">
        <v>137</v>
      </c>
      <c r="BA454" s="529"/>
      <c r="BB454" s="186"/>
      <c r="BC454" s="186"/>
      <c r="BD454" s="186"/>
      <c r="BE454" s="186"/>
      <c r="BF454" s="186"/>
      <c r="BG454" s="186"/>
      <c r="BH454" s="186"/>
      <c r="BI454" s="186"/>
      <c r="BJ454" s="186"/>
      <c r="BK454" s="186"/>
      <c r="BL454" s="186"/>
      <c r="BM454" s="186"/>
      <c r="BN454" s="186"/>
      <c r="BO454" s="186"/>
      <c r="BP454" s="186"/>
      <c r="BQ454" s="186"/>
      <c r="BR454" s="186"/>
      <c r="BS454" s="186"/>
      <c r="BT454" s="186"/>
      <c r="BU454" s="186"/>
      <c r="BV454" s="186"/>
      <c r="BW454" s="186"/>
      <c r="BX454" s="186"/>
      <c r="BY454" s="186"/>
      <c r="BZ454" s="186"/>
      <c r="CA454" s="186"/>
      <c r="CB454" s="186"/>
      <c r="CC454" s="186"/>
      <c r="CD454" s="186"/>
      <c r="CE454" s="186"/>
      <c r="CF454" s="186"/>
      <c r="CG454" s="186"/>
      <c r="CH454" s="186"/>
      <c r="CI454" s="186"/>
      <c r="CJ454" s="186"/>
      <c r="CK454" s="186"/>
      <c r="CL454" s="186"/>
      <c r="CM454" s="186"/>
      <c r="CN454" s="186"/>
      <c r="CO454" s="186"/>
      <c r="CP454" s="186"/>
      <c r="CQ454" s="186"/>
      <c r="CR454" s="186"/>
      <c r="CS454" s="186"/>
      <c r="CT454" s="186"/>
      <c r="CU454" s="186"/>
      <c r="CV454" s="186"/>
      <c r="CW454" s="186"/>
      <c r="CX454" s="186"/>
      <c r="CY454" s="186"/>
      <c r="CZ454" s="186"/>
      <c r="DA454" s="186"/>
      <c r="DB454" s="186"/>
      <c r="DC454" s="186"/>
      <c r="DD454" s="186"/>
      <c r="DE454" s="186"/>
      <c r="DF454" s="186"/>
      <c r="DG454" s="186"/>
      <c r="DH454" s="186"/>
    </row>
    <row r="455" ht="20.25" customHeight="1">
      <c r="A455" s="41">
        <v>455.0</v>
      </c>
      <c r="B455" s="464" t="s">
        <v>107</v>
      </c>
      <c r="C455" s="464" t="s">
        <v>108</v>
      </c>
      <c r="D455" s="464" t="s">
        <v>1451</v>
      </c>
      <c r="E455" s="465"/>
      <c r="F455" s="466" t="s">
        <v>2441</v>
      </c>
      <c r="G455" s="467" t="s">
        <v>2442</v>
      </c>
      <c r="H455" s="467" t="s">
        <v>1511</v>
      </c>
      <c r="I455" s="781">
        <v>45641.0</v>
      </c>
      <c r="J455" s="782">
        <v>45673.0</v>
      </c>
      <c r="K455" s="467" t="s">
        <v>2443</v>
      </c>
      <c r="L455" s="485" t="s">
        <v>2444</v>
      </c>
      <c r="M455" s="467" t="s">
        <v>2445</v>
      </c>
      <c r="N455" s="467" t="s">
        <v>2446</v>
      </c>
      <c r="O455" s="473"/>
      <c r="P455" s="472" t="str">
        <f t="shared" si="26"/>
        <v>10.1145--3105726.3106182.pdf</v>
      </c>
      <c r="Q455" s="49" t="str">
        <f t="array" ref="Q455"> if(iserror(MATCH(V455, 'File Links'!C:C, 0)), "N/A", HYPERLINK(INDEX('File Links'!B:B, MATCH(P455, 'File Links'!C:C, 0))))</f>
        <v>https://drive.google.com/file/d/1wq7-2vqDvzteuPzlUspBQRdnaX3rmhA1/view?usp=drivesdk</v>
      </c>
      <c r="R455" s="783" t="s">
        <v>2447</v>
      </c>
      <c r="S455" s="783" t="s">
        <v>2448</v>
      </c>
      <c r="T455" s="473"/>
      <c r="U455" s="784"/>
      <c r="V455" s="467" t="str">
        <f t="shared" si="25"/>
        <v>10.1145--3649217.3653545.pdf</v>
      </c>
      <c r="W455" s="467" t="s">
        <v>2449</v>
      </c>
      <c r="X455" s="51" t="str">
        <f t="array" ref="X455"> if(iserror(MATCH(V455, 'File Links'!C:C, 0)), "N/A", HYPERLINK(INDEX('File Links'!B:B, MATCH(V455, 'File Links'!C:C, 0))))</f>
        <v>https://drive.google.com/file/d/1AeJCeDtR27X7LIlQj69LZhU8lw_irjTZ/view?usp=drivesdk</v>
      </c>
      <c r="Y455" s="473"/>
      <c r="Z455" s="467" t="s">
        <v>2450</v>
      </c>
      <c r="AA455" s="467" t="s">
        <v>2451</v>
      </c>
      <c r="AB455" s="473" t="s">
        <v>2452</v>
      </c>
      <c r="AC455" s="473" t="s">
        <v>2453</v>
      </c>
      <c r="AD455" s="477" t="s">
        <v>2454</v>
      </c>
      <c r="AE455" s="476">
        <v>6.0</v>
      </c>
      <c r="AF455" s="473"/>
      <c r="AG455" s="476">
        <v>-0.27</v>
      </c>
      <c r="AH455" s="477" t="s">
        <v>208</v>
      </c>
      <c r="AI455" s="467" t="s">
        <v>1035</v>
      </c>
      <c r="AJ455" s="473"/>
      <c r="AK455" s="479"/>
      <c r="AL455" s="467" t="s">
        <v>179</v>
      </c>
      <c r="AM455" s="482" t="s">
        <v>130</v>
      </c>
      <c r="AN455" s="471" t="s">
        <v>131</v>
      </c>
      <c r="AO455" s="473"/>
      <c r="AP455" s="476">
        <v>-0.53</v>
      </c>
      <c r="AQ455" s="477" t="s">
        <v>208</v>
      </c>
      <c r="AR455" s="467" t="s">
        <v>489</v>
      </c>
      <c r="AS455" s="476">
        <v>0.001</v>
      </c>
      <c r="AT455" s="466" t="s">
        <v>128</v>
      </c>
      <c r="AU455" s="466" t="s">
        <v>179</v>
      </c>
      <c r="AV455" s="466" t="s">
        <v>1898</v>
      </c>
      <c r="AW455" s="471" t="s">
        <v>131</v>
      </c>
      <c r="AX455" s="466" t="s">
        <v>144</v>
      </c>
      <c r="AY455" s="126"/>
      <c r="AZ455" s="146" t="s">
        <v>137</v>
      </c>
      <c r="BA455" s="186"/>
      <c r="BB455" s="186"/>
      <c r="BC455" s="186"/>
      <c r="BD455" s="186"/>
      <c r="BE455" s="186"/>
      <c r="BF455" s="186"/>
      <c r="BG455" s="186"/>
      <c r="BH455" s="186"/>
      <c r="BI455" s="186"/>
      <c r="BJ455" s="186"/>
      <c r="BK455" s="186"/>
      <c r="BL455" s="186"/>
      <c r="BM455" s="186"/>
      <c r="BN455" s="186"/>
      <c r="BO455" s="186"/>
      <c r="BP455" s="186"/>
      <c r="BQ455" s="186"/>
      <c r="BR455" s="186"/>
      <c r="BS455" s="186"/>
      <c r="BT455" s="186"/>
      <c r="BU455" s="186"/>
      <c r="BV455" s="186"/>
      <c r="BW455" s="186"/>
      <c r="BX455" s="186"/>
      <c r="BY455" s="186"/>
      <c r="BZ455" s="186"/>
      <c r="CA455" s="186"/>
      <c r="CB455" s="186"/>
      <c r="CC455" s="186"/>
      <c r="CD455" s="186"/>
      <c r="CE455" s="186"/>
      <c r="CF455" s="186"/>
      <c r="CG455" s="186"/>
      <c r="CH455" s="186"/>
      <c r="CI455" s="186"/>
      <c r="CJ455" s="186"/>
      <c r="CK455" s="186"/>
      <c r="CL455" s="186"/>
      <c r="CM455" s="186"/>
      <c r="CN455" s="186"/>
      <c r="CO455" s="186"/>
      <c r="CP455" s="186"/>
      <c r="CQ455" s="186"/>
      <c r="CR455" s="186"/>
      <c r="CS455" s="186"/>
      <c r="CT455" s="186"/>
      <c r="CU455" s="186"/>
      <c r="CV455" s="186"/>
      <c r="CW455" s="186"/>
      <c r="CX455" s="186"/>
      <c r="CY455" s="186"/>
      <c r="CZ455" s="186"/>
      <c r="DA455" s="186"/>
      <c r="DB455" s="186"/>
      <c r="DC455" s="186"/>
      <c r="DD455" s="186"/>
      <c r="DE455" s="186"/>
      <c r="DF455" s="186"/>
      <c r="DG455" s="186"/>
      <c r="DH455" s="186"/>
    </row>
    <row r="456" ht="20.25" customHeight="1">
      <c r="A456" s="41">
        <v>456.0</v>
      </c>
      <c r="B456" s="378" t="s">
        <v>107</v>
      </c>
      <c r="C456" s="378" t="s">
        <v>108</v>
      </c>
      <c r="D456" s="378" t="s">
        <v>2185</v>
      </c>
      <c r="E456" s="481"/>
      <c r="F456" s="482" t="s">
        <v>2441</v>
      </c>
      <c r="G456" s="483" t="s">
        <v>2442</v>
      </c>
      <c r="H456" s="482" t="s">
        <v>2186</v>
      </c>
      <c r="I456" s="484">
        <v>45662.0</v>
      </c>
      <c r="J456" s="782">
        <v>45673.0</v>
      </c>
      <c r="K456" s="486"/>
      <c r="L456" s="485" t="s">
        <v>2444</v>
      </c>
      <c r="M456" s="482" t="s">
        <v>2445</v>
      </c>
      <c r="N456" s="482" t="s">
        <v>2446</v>
      </c>
      <c r="O456" s="486"/>
      <c r="P456" s="482" t="str">
        <f t="shared" si="26"/>
        <v>10.1145--3105726.3106182.pdf</v>
      </c>
      <c r="Q456" s="49" t="str">
        <f t="array" ref="Q456"> if(iserror(MATCH(V456, 'File Links'!C:C, 0)), "N/A", HYPERLINK(INDEX('File Links'!B:B, MATCH(P456, 'File Links'!C:C, 0))))</f>
        <v>https://drive.google.com/file/d/1wq7-2vqDvzteuPzlUspBQRdnaX3rmhA1/view?usp=drivesdk</v>
      </c>
      <c r="R456" s="482" t="s">
        <v>2455</v>
      </c>
      <c r="S456" s="482" t="s">
        <v>2448</v>
      </c>
      <c r="T456" s="486"/>
      <c r="U456" s="486"/>
      <c r="V456" s="482" t="str">
        <f t="shared" si="25"/>
        <v>10.1145--3649217.3653545.pdf</v>
      </c>
      <c r="W456" s="482" t="s">
        <v>2456</v>
      </c>
      <c r="X456" s="51" t="str">
        <f t="array" ref="X456"> if(iserror(MATCH(V456, 'File Links'!C:C, 0)), "N/A", HYPERLINK(INDEX('File Links'!B:B, MATCH(V456, 'File Links'!C:C, 0))))</f>
        <v>https://drive.google.com/file/d/1AeJCeDtR27X7LIlQj69LZhU8lw_irjTZ/view?usp=drivesdk</v>
      </c>
      <c r="Y456" s="486"/>
      <c r="Z456" s="482" t="s">
        <v>234</v>
      </c>
      <c r="AA456" s="482" t="s">
        <v>2457</v>
      </c>
      <c r="AB456" s="482" t="s">
        <v>2458</v>
      </c>
      <c r="AC456" s="482" t="s">
        <v>2459</v>
      </c>
      <c r="AD456" s="482" t="s">
        <v>2460</v>
      </c>
      <c r="AE456" s="492">
        <v>5.0</v>
      </c>
      <c r="AF456" s="753">
        <v>3691.0</v>
      </c>
      <c r="AG456" s="486"/>
      <c r="AH456" s="785"/>
      <c r="AI456" s="786"/>
      <c r="AJ456" s="786"/>
      <c r="AK456" s="486"/>
      <c r="AL456" s="786"/>
      <c r="AM456" s="486"/>
      <c r="AN456" s="485" t="s">
        <v>131</v>
      </c>
      <c r="AO456" s="492">
        <v>1270.0</v>
      </c>
      <c r="AP456" s="486"/>
      <c r="AQ456" s="486"/>
      <c r="AR456" s="486"/>
      <c r="AS456" s="486"/>
      <c r="AT456" s="486"/>
      <c r="AU456" s="486"/>
      <c r="AV456" s="486"/>
      <c r="AW456" s="485" t="s">
        <v>131</v>
      </c>
      <c r="AX456" s="482" t="s">
        <v>136</v>
      </c>
      <c r="AY456" s="126"/>
      <c r="AZ456" s="146" t="s">
        <v>137</v>
      </c>
      <c r="BA456" s="740"/>
      <c r="BB456" s="740"/>
      <c r="BC456" s="740"/>
      <c r="BD456" s="740"/>
      <c r="BE456" s="740"/>
      <c r="BF456" s="740"/>
      <c r="BG456" s="740"/>
      <c r="BH456" s="740"/>
      <c r="BI456" s="740"/>
      <c r="BJ456" s="740"/>
      <c r="BK456" s="740"/>
      <c r="BL456" s="740"/>
      <c r="BM456" s="740"/>
      <c r="BN456" s="740"/>
      <c r="BO456" s="740"/>
      <c r="BP456" s="740"/>
      <c r="BQ456" s="740"/>
      <c r="BR456" s="740"/>
      <c r="BS456" s="740"/>
      <c r="BT456" s="740"/>
      <c r="BU456" s="740"/>
      <c r="BV456" s="740"/>
      <c r="BW456" s="740"/>
      <c r="BX456" s="740"/>
      <c r="BY456" s="740"/>
      <c r="BZ456" s="740"/>
      <c r="CA456" s="740"/>
      <c r="CB456" s="740"/>
      <c r="CC456" s="740"/>
      <c r="CD456" s="740"/>
      <c r="CE456" s="740"/>
      <c r="CF456" s="740"/>
      <c r="CG456" s="740"/>
      <c r="CH456" s="740"/>
      <c r="CI456" s="740"/>
      <c r="CJ456" s="740"/>
      <c r="CK456" s="740"/>
      <c r="CL456" s="740"/>
      <c r="CM456" s="740"/>
      <c r="CN456" s="740"/>
      <c r="CO456" s="740"/>
      <c r="CP456" s="740"/>
      <c r="CQ456" s="740"/>
      <c r="CR456" s="740"/>
      <c r="CS456" s="740"/>
      <c r="CT456" s="740"/>
      <c r="CU456" s="740"/>
      <c r="CV456" s="740"/>
      <c r="CW456" s="740"/>
      <c r="CX456" s="740"/>
      <c r="CY456" s="740"/>
      <c r="CZ456" s="740"/>
      <c r="DA456" s="740"/>
      <c r="DB456" s="740"/>
      <c r="DC456" s="740"/>
      <c r="DD456" s="740"/>
      <c r="DE456" s="740"/>
      <c r="DF456" s="740"/>
      <c r="DG456" s="740"/>
      <c r="DH456" s="740"/>
    </row>
    <row r="457" ht="20.25" customHeight="1">
      <c r="A457" s="41">
        <v>457.0</v>
      </c>
      <c r="B457" s="59" t="s">
        <v>278</v>
      </c>
      <c r="C457" s="59" t="s">
        <v>108</v>
      </c>
      <c r="D457" s="59" t="s">
        <v>1451</v>
      </c>
      <c r="F457" s="126" t="s">
        <v>2441</v>
      </c>
      <c r="G457" s="126" t="s">
        <v>2442</v>
      </c>
      <c r="H457" s="58"/>
      <c r="I457" s="149">
        <v>45489.0</v>
      </c>
      <c r="J457" s="787">
        <v>45641.0</v>
      </c>
      <c r="K457" s="54" t="s">
        <v>2443</v>
      </c>
      <c r="L457" s="58"/>
      <c r="M457" s="54" t="s">
        <v>2461</v>
      </c>
      <c r="N457" s="54" t="s">
        <v>2446</v>
      </c>
      <c r="O457" s="58"/>
      <c r="P457" s="336" t="str">
        <f t="shared" si="26"/>
        <v>10.1145--3105726.3106182.pdf</v>
      </c>
      <c r="Q457" s="49" t="str">
        <f t="array" ref="Q457"> if(iserror(MATCH(V457, 'File Links'!C:C, 0)), "N/A", HYPERLINK(INDEX('File Links'!B:B, MATCH(P457, 'File Links'!C:C, 0))))</f>
        <v>https://drive.google.com/file/d/1wq7-2vqDvzteuPzlUspBQRdnaX3rmhA1/view?usp=drivesdk</v>
      </c>
      <c r="R457" s="54" t="s">
        <v>2462</v>
      </c>
      <c r="S457" s="54" t="s">
        <v>2448</v>
      </c>
      <c r="T457" s="58"/>
      <c r="U457" s="335"/>
      <c r="V457" s="54" t="str">
        <f t="shared" si="25"/>
        <v>10.1145--3649217.3653545.pdf</v>
      </c>
      <c r="W457" s="54" t="s">
        <v>2449</v>
      </c>
      <c r="X457" s="51" t="str">
        <f t="array" ref="X457"> if(iserror(MATCH(V457, 'File Links'!C:C, 0)), "N/A", HYPERLINK(INDEX('File Links'!B:B, MATCH(V457, 'File Links'!C:C, 0))))</f>
        <v>https://drive.google.com/file/d/1AeJCeDtR27X7LIlQj69LZhU8lw_irjTZ/view?usp=drivesdk</v>
      </c>
      <c r="Y457" s="58"/>
      <c r="Z457" s="54" t="s">
        <v>2450</v>
      </c>
      <c r="AA457" s="54" t="s">
        <v>2451</v>
      </c>
      <c r="AB457" s="58" t="s">
        <v>2452</v>
      </c>
      <c r="AC457" s="58" t="s">
        <v>2453</v>
      </c>
      <c r="AD457" s="58" t="s">
        <v>2463</v>
      </c>
      <c r="AE457" s="376">
        <v>6.0</v>
      </c>
      <c r="AF457" s="58"/>
      <c r="AG457" s="54" t="s">
        <v>2464</v>
      </c>
      <c r="AH457" s="336" t="s">
        <v>127</v>
      </c>
      <c r="AI457" s="54" t="s">
        <v>1035</v>
      </c>
      <c r="AJ457" s="376">
        <v>1.0E-4</v>
      </c>
      <c r="AK457" s="65" t="s">
        <v>128</v>
      </c>
      <c r="AL457" s="54" t="s">
        <v>179</v>
      </c>
      <c r="AM457" s="54" t="s">
        <v>1898</v>
      </c>
      <c r="AN457" s="58"/>
      <c r="AO457" s="58"/>
      <c r="AP457" s="58" t="s">
        <v>2465</v>
      </c>
      <c r="AQ457" s="54" t="s">
        <v>127</v>
      </c>
      <c r="AR457" s="54" t="s">
        <v>875</v>
      </c>
      <c r="AS457" s="376">
        <v>0.001</v>
      </c>
      <c r="AT457" s="156" t="s">
        <v>128</v>
      </c>
      <c r="AU457" s="156" t="s">
        <v>211</v>
      </c>
      <c r="AV457" s="156" t="s">
        <v>1898</v>
      </c>
      <c r="AW457" s="65"/>
      <c r="AX457" s="156" t="s">
        <v>2466</v>
      </c>
      <c r="BA457" s="161"/>
      <c r="BB457" s="161"/>
      <c r="BC457" s="161"/>
      <c r="BD457" s="161"/>
      <c r="BE457" s="161"/>
      <c r="BF457" s="161"/>
      <c r="BG457" s="161"/>
      <c r="BH457" s="161"/>
      <c r="BI457" s="161"/>
      <c r="BJ457" s="161"/>
      <c r="BK457" s="161"/>
      <c r="BL457" s="161"/>
      <c r="BM457" s="161"/>
      <c r="BN457" s="161"/>
      <c r="BO457" s="161"/>
      <c r="BP457" s="161"/>
      <c r="BQ457" s="161"/>
      <c r="BR457" s="161"/>
      <c r="BS457" s="161"/>
      <c r="BT457" s="161"/>
      <c r="BU457" s="161"/>
      <c r="BV457" s="161"/>
      <c r="BW457" s="161"/>
      <c r="BX457" s="161"/>
      <c r="BY457" s="161"/>
      <c r="BZ457" s="161"/>
      <c r="CA457" s="161"/>
      <c r="CB457" s="161"/>
      <c r="CC457" s="161"/>
      <c r="CD457" s="161"/>
      <c r="CE457" s="161"/>
      <c r="CF457" s="161"/>
      <c r="CG457" s="161"/>
      <c r="CH457" s="161"/>
      <c r="CI457" s="161"/>
      <c r="CJ457" s="161"/>
      <c r="CK457" s="161"/>
      <c r="CL457" s="161"/>
      <c r="CM457" s="161"/>
      <c r="CN457" s="161"/>
      <c r="CO457" s="161"/>
      <c r="CP457" s="161"/>
      <c r="CQ457" s="161"/>
      <c r="CR457" s="161"/>
      <c r="CS457" s="161"/>
      <c r="CT457" s="161"/>
      <c r="CU457" s="161"/>
      <c r="CV457" s="161"/>
      <c r="CW457" s="161"/>
      <c r="CX457" s="161"/>
      <c r="CY457" s="161"/>
      <c r="CZ457" s="161"/>
      <c r="DA457" s="161"/>
      <c r="DB457" s="161"/>
      <c r="DC457" s="161"/>
      <c r="DD457" s="161"/>
      <c r="DE457" s="161"/>
      <c r="DF457" s="161"/>
      <c r="DG457" s="161"/>
      <c r="DH457" s="161"/>
    </row>
    <row r="458" ht="20.25" customHeight="1">
      <c r="A458" s="41">
        <v>458.0</v>
      </c>
      <c r="B458" s="378" t="s">
        <v>107</v>
      </c>
      <c r="C458" s="378" t="s">
        <v>108</v>
      </c>
      <c r="D458" s="378" t="s">
        <v>2185</v>
      </c>
      <c r="E458" s="481"/>
      <c r="F458" s="126" t="s">
        <v>2441</v>
      </c>
      <c r="G458" s="483" t="s">
        <v>2467</v>
      </c>
      <c r="H458" s="482" t="s">
        <v>2186</v>
      </c>
      <c r="I458" s="484">
        <v>45662.0</v>
      </c>
      <c r="J458" s="782">
        <v>45673.0</v>
      </c>
      <c r="K458" s="482" t="s">
        <v>2468</v>
      </c>
      <c r="L458" s="485" t="s">
        <v>2444</v>
      </c>
      <c r="M458" s="482" t="s">
        <v>2445</v>
      </c>
      <c r="N458" s="482" t="s">
        <v>2446</v>
      </c>
      <c r="O458" s="486"/>
      <c r="P458" s="482" t="str">
        <f t="shared" si="26"/>
        <v>10.1145--3105726.3106182.pdf</v>
      </c>
      <c r="Q458" s="49" t="str">
        <f t="array" ref="Q458"> if(iserror(MATCH(V458, 'File Links'!C:C, 0)), "N/A", HYPERLINK(INDEX('File Links'!B:B, MATCH(P458, 'File Links'!C:C, 0))))</f>
        <v>https://drive.google.com/file/d/1wq7-2vqDvzteuPzlUspBQRdnaX3rmhA1/view?usp=drivesdk</v>
      </c>
      <c r="R458" s="482" t="s">
        <v>2455</v>
      </c>
      <c r="S458" s="482" t="s">
        <v>2448</v>
      </c>
      <c r="T458" s="486"/>
      <c r="U458" s="486"/>
      <c r="V458" s="482" t="str">
        <f t="shared" si="25"/>
        <v>10.1145--3649217.3653545.pdf</v>
      </c>
      <c r="W458" s="482" t="s">
        <v>2456</v>
      </c>
      <c r="X458" s="51" t="str">
        <f t="array" ref="X458"> if(iserror(MATCH(V458, 'File Links'!C:C, 0)), "N/A", HYPERLINK(INDEX('File Links'!B:B, MATCH(V458, 'File Links'!C:C, 0))))</f>
        <v>https://drive.google.com/file/d/1AeJCeDtR27X7LIlQj69LZhU8lw_irjTZ/view?usp=drivesdk</v>
      </c>
      <c r="Y458" s="486"/>
      <c r="Z458" s="482" t="s">
        <v>234</v>
      </c>
      <c r="AA458" s="482" t="s">
        <v>2457</v>
      </c>
      <c r="AB458" s="482" t="s">
        <v>2458</v>
      </c>
      <c r="AC458" s="482" t="s">
        <v>2469</v>
      </c>
      <c r="AD458" s="346" t="s">
        <v>2470</v>
      </c>
      <c r="AE458" s="492">
        <v>5.0</v>
      </c>
      <c r="AF458" s="753">
        <v>3691.0</v>
      </c>
      <c r="AG458" s="788" t="s">
        <v>2471</v>
      </c>
      <c r="AH458" s="346" t="s">
        <v>127</v>
      </c>
      <c r="AI458" s="483" t="s">
        <v>806</v>
      </c>
      <c r="AJ458" s="789">
        <v>1.0E-4</v>
      </c>
      <c r="AK458" s="482" t="s">
        <v>128</v>
      </c>
      <c r="AL458" s="483" t="s">
        <v>179</v>
      </c>
      <c r="AM458" s="482" t="s">
        <v>134</v>
      </c>
      <c r="AN458" s="485" t="s">
        <v>131</v>
      </c>
      <c r="AO458" s="492">
        <v>1270.0</v>
      </c>
      <c r="AP458" s="486"/>
      <c r="AQ458" s="486"/>
      <c r="AR458" s="482" t="s">
        <v>210</v>
      </c>
      <c r="AS458" s="486"/>
      <c r="AT458" s="486"/>
      <c r="AU458" s="486"/>
      <c r="AV458" s="486"/>
      <c r="AW458" s="485" t="s">
        <v>131</v>
      </c>
      <c r="AX458" s="482" t="s">
        <v>144</v>
      </c>
      <c r="AY458" s="126"/>
      <c r="AZ458" s="146" t="s">
        <v>137</v>
      </c>
      <c r="BA458" s="740"/>
      <c r="BB458" s="740"/>
      <c r="BC458" s="740"/>
      <c r="BD458" s="740"/>
      <c r="BE458" s="740"/>
      <c r="BF458" s="740"/>
      <c r="BG458" s="740"/>
      <c r="BH458" s="740"/>
      <c r="BI458" s="740"/>
      <c r="BJ458" s="740"/>
      <c r="BK458" s="740"/>
      <c r="BL458" s="740"/>
      <c r="BM458" s="740"/>
      <c r="BN458" s="740"/>
      <c r="BO458" s="740"/>
      <c r="BP458" s="740"/>
      <c r="BQ458" s="740"/>
      <c r="BR458" s="740"/>
      <c r="BS458" s="740"/>
      <c r="BT458" s="740"/>
      <c r="BU458" s="740"/>
      <c r="BV458" s="740"/>
      <c r="BW458" s="740"/>
      <c r="BX458" s="740"/>
      <c r="BY458" s="740"/>
      <c r="BZ458" s="740"/>
      <c r="CA458" s="740"/>
      <c r="CB458" s="740"/>
      <c r="CC458" s="740"/>
      <c r="CD458" s="740"/>
      <c r="CE458" s="740"/>
      <c r="CF458" s="740"/>
      <c r="CG458" s="740"/>
      <c r="CH458" s="740"/>
      <c r="CI458" s="740"/>
      <c r="CJ458" s="740"/>
      <c r="CK458" s="740"/>
      <c r="CL458" s="740"/>
      <c r="CM458" s="740"/>
      <c r="CN458" s="740"/>
      <c r="CO458" s="740"/>
      <c r="CP458" s="740"/>
      <c r="CQ458" s="740"/>
      <c r="CR458" s="740"/>
      <c r="CS458" s="740"/>
      <c r="CT458" s="740"/>
      <c r="CU458" s="740"/>
      <c r="CV458" s="740"/>
      <c r="CW458" s="740"/>
      <c r="CX458" s="740"/>
      <c r="CY458" s="740"/>
      <c r="CZ458" s="740"/>
      <c r="DA458" s="740"/>
      <c r="DB458" s="740"/>
      <c r="DC458" s="740"/>
      <c r="DD458" s="740"/>
      <c r="DE458" s="740"/>
      <c r="DF458" s="740"/>
      <c r="DG458" s="740"/>
      <c r="DH458" s="740"/>
    </row>
    <row r="459" ht="20.25" customHeight="1">
      <c r="A459" s="41">
        <v>459.0</v>
      </c>
      <c r="B459" s="378" t="s">
        <v>145</v>
      </c>
      <c r="C459" s="378" t="s">
        <v>108</v>
      </c>
      <c r="D459" s="378" t="s">
        <v>2185</v>
      </c>
      <c r="E459" s="481"/>
      <c r="F459" s="126" t="s">
        <v>2441</v>
      </c>
      <c r="G459" s="483" t="s">
        <v>2472</v>
      </c>
      <c r="H459" s="482" t="s">
        <v>2186</v>
      </c>
      <c r="I459" s="484">
        <v>45662.0</v>
      </c>
      <c r="J459" s="782">
        <v>45673.0</v>
      </c>
      <c r="K459" s="482" t="s">
        <v>2473</v>
      </c>
      <c r="L459" s="486"/>
      <c r="M459" s="482" t="s">
        <v>2445</v>
      </c>
      <c r="N459" s="482" t="s">
        <v>2446</v>
      </c>
      <c r="O459" s="485">
        <v>1.0</v>
      </c>
      <c r="P459" s="482" t="str">
        <f t="shared" si="26"/>
        <v>10.1145--3105726.3106182.pdf</v>
      </c>
      <c r="Q459" s="49" t="str">
        <f t="array" ref="Q459"> if(iserror(MATCH(V459, 'File Links'!C:C, 0)), "N/A", HYPERLINK(INDEX('File Links'!B:B, MATCH(P459, 'File Links'!C:C, 0))))</f>
        <v>https://drive.google.com/file/d/1wq7-2vqDvzteuPzlUspBQRdnaX3rmhA1/view?usp=drivesdk</v>
      </c>
      <c r="R459" s="482" t="s">
        <v>2455</v>
      </c>
      <c r="S459" s="482" t="s">
        <v>2448</v>
      </c>
      <c r="T459" s="486"/>
      <c r="U459" s="485">
        <v>1.0</v>
      </c>
      <c r="V459" s="482" t="str">
        <f t="shared" si="25"/>
        <v>10.1145--3649217.3653545.pdf</v>
      </c>
      <c r="W459" s="482" t="s">
        <v>2456</v>
      </c>
      <c r="X459" s="51" t="str">
        <f t="array" ref="X459"> if(iserror(MATCH(V459, 'File Links'!C:C, 0)), "N/A", HYPERLINK(INDEX('File Links'!B:B, MATCH(V459, 'File Links'!C:C, 0))))</f>
        <v>https://drive.google.com/file/d/1AeJCeDtR27X7LIlQj69LZhU8lw_irjTZ/view?usp=drivesdk</v>
      </c>
      <c r="Y459" s="486"/>
      <c r="Z459" s="482" t="s">
        <v>234</v>
      </c>
      <c r="AA459" s="482" t="s">
        <v>2457</v>
      </c>
      <c r="AB459" s="482" t="s">
        <v>2458</v>
      </c>
      <c r="AC459" s="482" t="s">
        <v>2474</v>
      </c>
      <c r="AD459" s="482" t="s">
        <v>2475</v>
      </c>
      <c r="AE459" s="492">
        <v>6.0</v>
      </c>
      <c r="AF459" s="753">
        <v>3691.0</v>
      </c>
      <c r="AG459" s="492">
        <v>-0.27</v>
      </c>
      <c r="AH459" s="785" t="s">
        <v>208</v>
      </c>
      <c r="AI459" s="483" t="s">
        <v>133</v>
      </c>
      <c r="AJ459" s="786"/>
      <c r="AK459" s="371" t="s">
        <v>131</v>
      </c>
      <c r="AL459" s="483" t="s">
        <v>179</v>
      </c>
      <c r="AM459" s="482" t="s">
        <v>130</v>
      </c>
      <c r="AN459" s="485" t="s">
        <v>131</v>
      </c>
      <c r="AO459" s="492">
        <v>1270.0</v>
      </c>
      <c r="AP459" s="492">
        <v>-0.53</v>
      </c>
      <c r="AQ459" s="482" t="s">
        <v>208</v>
      </c>
      <c r="AR459" s="482" t="s">
        <v>843</v>
      </c>
      <c r="AS459" s="492">
        <v>0.001</v>
      </c>
      <c r="AT459" s="482" t="s">
        <v>128</v>
      </c>
      <c r="AU459" s="482" t="s">
        <v>179</v>
      </c>
      <c r="AV459" s="482" t="s">
        <v>130</v>
      </c>
      <c r="AW459" s="485" t="s">
        <v>131</v>
      </c>
      <c r="AX459" s="482" t="s">
        <v>136</v>
      </c>
      <c r="AY459" s="65"/>
      <c r="AZ459" s="146" t="s">
        <v>137</v>
      </c>
      <c r="BA459" s="161"/>
      <c r="BB459" s="161"/>
      <c r="BC459" s="161"/>
      <c r="BD459" s="161"/>
      <c r="BE459" s="161"/>
      <c r="BF459" s="161"/>
      <c r="BG459" s="161"/>
      <c r="BH459" s="161"/>
      <c r="BI459" s="161"/>
      <c r="BJ459" s="161"/>
      <c r="BK459" s="161"/>
      <c r="BL459" s="161"/>
      <c r="BM459" s="161"/>
      <c r="BN459" s="161"/>
      <c r="BO459" s="161"/>
      <c r="BP459" s="161"/>
      <c r="BQ459" s="161"/>
      <c r="BR459" s="161"/>
      <c r="BS459" s="161"/>
      <c r="BT459" s="161"/>
      <c r="BU459" s="161"/>
      <c r="BV459" s="161"/>
      <c r="BW459" s="161"/>
      <c r="BX459" s="161"/>
      <c r="BY459" s="161"/>
      <c r="BZ459" s="161"/>
      <c r="CA459" s="161"/>
      <c r="CB459" s="161"/>
      <c r="CC459" s="161"/>
      <c r="CD459" s="161"/>
      <c r="CE459" s="161"/>
      <c r="CF459" s="161"/>
      <c r="CG459" s="161"/>
      <c r="CH459" s="161"/>
      <c r="CI459" s="161"/>
      <c r="CJ459" s="161"/>
      <c r="CK459" s="161"/>
      <c r="CL459" s="161"/>
      <c r="CM459" s="161"/>
      <c r="CN459" s="161"/>
      <c r="CO459" s="161"/>
      <c r="CP459" s="161"/>
      <c r="CQ459" s="161"/>
      <c r="CR459" s="161"/>
      <c r="CS459" s="161"/>
      <c r="CT459" s="161"/>
      <c r="CU459" s="161"/>
      <c r="CV459" s="161"/>
      <c r="CW459" s="161"/>
      <c r="CX459" s="161"/>
      <c r="CY459" s="161"/>
      <c r="CZ459" s="161"/>
      <c r="DA459" s="161"/>
      <c r="DB459" s="161"/>
      <c r="DC459" s="161"/>
      <c r="DD459" s="161"/>
      <c r="DE459" s="161"/>
      <c r="DF459" s="161"/>
      <c r="DG459" s="161"/>
      <c r="DH459" s="161"/>
    </row>
    <row r="460" ht="20.25" customHeight="1">
      <c r="A460" s="41">
        <v>460.0</v>
      </c>
      <c r="B460" s="378" t="s">
        <v>145</v>
      </c>
      <c r="C460" s="378" t="s">
        <v>108</v>
      </c>
      <c r="D460" s="378" t="s">
        <v>2185</v>
      </c>
      <c r="E460" s="481"/>
      <c r="F460" s="126" t="s">
        <v>2441</v>
      </c>
      <c r="G460" s="483" t="s">
        <v>2476</v>
      </c>
      <c r="H460" s="482" t="s">
        <v>2186</v>
      </c>
      <c r="I460" s="484">
        <v>45662.0</v>
      </c>
      <c r="J460" s="782">
        <v>45673.0</v>
      </c>
      <c r="K460" s="482" t="s">
        <v>2477</v>
      </c>
      <c r="L460" s="209" t="s">
        <v>2478</v>
      </c>
      <c r="M460" s="482" t="s">
        <v>2445</v>
      </c>
      <c r="N460" s="482" t="s">
        <v>2446</v>
      </c>
      <c r="O460" s="485">
        <v>1.0</v>
      </c>
      <c r="P460" s="482" t="str">
        <f t="shared" si="26"/>
        <v>10.1145--3105726.3106182.pdf</v>
      </c>
      <c r="Q460" s="49" t="str">
        <f t="array" ref="Q460"> if(iserror(MATCH(V460, 'File Links'!C:C, 0)), "N/A", HYPERLINK(INDEX('File Links'!B:B, MATCH(P460, 'File Links'!C:C, 0))))</f>
        <v>https://drive.google.com/file/d/1wq7-2vqDvzteuPzlUspBQRdnaX3rmhA1/view?usp=drivesdk</v>
      </c>
      <c r="R460" s="482" t="s">
        <v>2455</v>
      </c>
      <c r="S460" s="482" t="s">
        <v>2448</v>
      </c>
      <c r="T460" s="486"/>
      <c r="U460" s="485">
        <v>1.0</v>
      </c>
      <c r="V460" s="482" t="str">
        <f t="shared" si="25"/>
        <v>10.1145--3649217.3653545.pdf</v>
      </c>
      <c r="W460" s="482" t="s">
        <v>2456</v>
      </c>
      <c r="X460" s="51" t="str">
        <f t="array" ref="X460"> if(iserror(MATCH(V460, 'File Links'!C:C, 0)), "N/A", HYPERLINK(INDEX('File Links'!B:B, MATCH(V460, 'File Links'!C:C, 0))))</f>
        <v>https://drive.google.com/file/d/1AeJCeDtR27X7LIlQj69LZhU8lw_irjTZ/view?usp=drivesdk</v>
      </c>
      <c r="Y460" s="486"/>
      <c r="Z460" s="482" t="s">
        <v>234</v>
      </c>
      <c r="AA460" s="482" t="s">
        <v>2457</v>
      </c>
      <c r="AB460" s="482" t="s">
        <v>2458</v>
      </c>
      <c r="AC460" s="482" t="s">
        <v>2479</v>
      </c>
      <c r="AD460" s="482" t="s">
        <v>2480</v>
      </c>
      <c r="AE460" s="492">
        <v>6.0</v>
      </c>
      <c r="AF460" s="753">
        <v>3691.0</v>
      </c>
      <c r="AG460" s="788" t="s">
        <v>2481</v>
      </c>
      <c r="AH460" s="346" t="s">
        <v>127</v>
      </c>
      <c r="AI460" s="483" t="s">
        <v>133</v>
      </c>
      <c r="AJ460" s="789">
        <v>1.0E-4</v>
      </c>
      <c r="AK460" s="482" t="s">
        <v>128</v>
      </c>
      <c r="AL460" s="483" t="s">
        <v>179</v>
      </c>
      <c r="AM460" s="482" t="s">
        <v>130</v>
      </c>
      <c r="AN460" s="485" t="s">
        <v>131</v>
      </c>
      <c r="AO460" s="492">
        <v>1270.0</v>
      </c>
      <c r="AP460" s="492">
        <v>-0.54</v>
      </c>
      <c r="AQ460" s="482" t="s">
        <v>208</v>
      </c>
      <c r="AR460" s="482" t="s">
        <v>843</v>
      </c>
      <c r="AS460" s="492">
        <v>0.001</v>
      </c>
      <c r="AT460" s="482" t="s">
        <v>128</v>
      </c>
      <c r="AU460" s="482" t="s">
        <v>179</v>
      </c>
      <c r="AV460" s="482" t="s">
        <v>130</v>
      </c>
      <c r="AW460" s="485" t="s">
        <v>131</v>
      </c>
      <c r="AX460" s="482" t="s">
        <v>144</v>
      </c>
      <c r="AY460" s="126" t="s">
        <v>2478</v>
      </c>
      <c r="AZ460" s="146" t="s">
        <v>137</v>
      </c>
      <c r="BA460" s="740"/>
      <c r="BB460" s="740"/>
      <c r="BC460" s="740"/>
      <c r="BD460" s="740"/>
      <c r="BE460" s="740"/>
      <c r="BF460" s="740"/>
      <c r="BG460" s="740"/>
      <c r="BH460" s="740"/>
      <c r="BI460" s="740"/>
      <c r="BJ460" s="740"/>
      <c r="BK460" s="740"/>
      <c r="BL460" s="740"/>
      <c r="BM460" s="740"/>
      <c r="BN460" s="740"/>
      <c r="BO460" s="740"/>
      <c r="BP460" s="740"/>
      <c r="BQ460" s="740"/>
      <c r="BR460" s="740"/>
      <c r="BS460" s="740"/>
      <c r="BT460" s="740"/>
      <c r="BU460" s="740"/>
      <c r="BV460" s="740"/>
      <c r="BW460" s="740"/>
      <c r="BX460" s="740"/>
      <c r="BY460" s="740"/>
      <c r="BZ460" s="740"/>
      <c r="CA460" s="740"/>
      <c r="CB460" s="740"/>
      <c r="CC460" s="740"/>
      <c r="CD460" s="740"/>
      <c r="CE460" s="740"/>
      <c r="CF460" s="740"/>
      <c r="CG460" s="740"/>
      <c r="CH460" s="740"/>
      <c r="CI460" s="740"/>
      <c r="CJ460" s="740"/>
      <c r="CK460" s="740"/>
      <c r="CL460" s="740"/>
      <c r="CM460" s="740"/>
      <c r="CN460" s="740"/>
      <c r="CO460" s="740"/>
      <c r="CP460" s="740"/>
      <c r="CQ460" s="740"/>
      <c r="CR460" s="740"/>
      <c r="CS460" s="740"/>
      <c r="CT460" s="740"/>
      <c r="CU460" s="740"/>
      <c r="CV460" s="740"/>
      <c r="CW460" s="740"/>
      <c r="CX460" s="740"/>
      <c r="CY460" s="740"/>
      <c r="CZ460" s="740"/>
      <c r="DA460" s="740"/>
      <c r="DB460" s="740"/>
      <c r="DC460" s="740"/>
      <c r="DD460" s="740"/>
      <c r="DE460" s="740"/>
      <c r="DF460" s="740"/>
      <c r="DG460" s="740"/>
      <c r="DH460" s="740"/>
    </row>
    <row r="461" ht="20.25" customHeight="1">
      <c r="A461" s="41">
        <v>461.0</v>
      </c>
      <c r="B461" s="185" t="s">
        <v>107</v>
      </c>
      <c r="C461" s="185" t="s">
        <v>108</v>
      </c>
      <c r="D461" s="185" t="s">
        <v>1451</v>
      </c>
      <c r="E461" s="186"/>
      <c r="F461" s="195" t="s">
        <v>2482</v>
      </c>
      <c r="G461" s="55" t="s">
        <v>2483</v>
      </c>
      <c r="H461" s="55" t="s">
        <v>1511</v>
      </c>
      <c r="I461" s="188">
        <v>45489.0</v>
      </c>
      <c r="J461" s="790">
        <v>45641.0</v>
      </c>
      <c r="K461" s="380" t="s">
        <v>2484</v>
      </c>
      <c r="L461" s="190"/>
      <c r="M461" s="55" t="s">
        <v>2485</v>
      </c>
      <c r="N461" s="55" t="s">
        <v>2486</v>
      </c>
      <c r="O461" s="190"/>
      <c r="P461" s="191" t="str">
        <f t="shared" si="26"/>
        <v>10.1109--tse.2016.2527791.pdf</v>
      </c>
      <c r="Q461" s="49" t="str">
        <f t="array" ref="Q461"> if(iserror(MATCH(V461, 'File Links'!C:C, 0)), "N/A", HYPERLINK(INDEX('File Links'!B:B, MATCH(P461, 'File Links'!C:C, 0))))</f>
        <v>https://drive.google.com/file/d/1NP74FAQ4UheeZ68AMDXl3P1f72HLwpaT/view?usp=drivesdk</v>
      </c>
      <c r="R461" s="372" t="s">
        <v>2487</v>
      </c>
      <c r="S461" s="572" t="s">
        <v>2488</v>
      </c>
      <c r="T461" s="190"/>
      <c r="U461" s="192"/>
      <c r="V461" s="55" t="str">
        <f t="shared" si="25"/>
        <v>10.1109--iccq60895.2024.10576941.pdf</v>
      </c>
      <c r="W461" s="190"/>
      <c r="X461" s="51" t="str">
        <f t="array" ref="X461"> if(iserror(MATCH(V461, 'File Links'!C:C, 0)), "N/A", HYPERLINK(INDEX('File Links'!B:B, MATCH(V461, 'File Links'!C:C, 0))))</f>
        <v>https://drive.google.com/file/d/1ljVoDtYBz0iPIIVFLmoGyAGWDfVCncq9/view?usp=drivesdk</v>
      </c>
      <c r="Y461" s="190"/>
      <c r="Z461" s="190"/>
      <c r="AA461" s="190"/>
      <c r="AB461" s="190"/>
      <c r="AC461" s="190"/>
      <c r="AD461" s="190"/>
      <c r="AE461" s="190"/>
      <c r="AF461" s="190"/>
      <c r="AG461" s="190"/>
      <c r="AH461" s="192"/>
      <c r="AI461" s="190"/>
      <c r="AJ461" s="190"/>
      <c r="AK461" s="187"/>
      <c r="AL461" s="190"/>
      <c r="AM461" s="190"/>
      <c r="AN461" s="371" t="s">
        <v>131</v>
      </c>
      <c r="AO461" s="190"/>
      <c r="AP461" s="190"/>
      <c r="AQ461" s="190"/>
      <c r="AR461" s="190"/>
      <c r="AS461" s="190"/>
      <c r="AT461" s="187"/>
      <c r="AU461" s="187"/>
      <c r="AV461" s="187"/>
      <c r="AW461" s="187"/>
      <c r="AX461" s="187"/>
      <c r="AY461" s="190"/>
      <c r="AZ461" s="185" t="s">
        <v>137</v>
      </c>
      <c r="BA461" s="161"/>
      <c r="BB461" s="161"/>
      <c r="BC461" s="161"/>
      <c r="BD461" s="161"/>
      <c r="BE461" s="161"/>
      <c r="BF461" s="161"/>
      <c r="BG461" s="161"/>
      <c r="BH461" s="161"/>
      <c r="BI461" s="161"/>
      <c r="BJ461" s="161"/>
      <c r="BK461" s="161"/>
      <c r="BL461" s="161"/>
      <c r="BM461" s="161"/>
      <c r="BN461" s="161"/>
      <c r="BO461" s="161"/>
      <c r="BP461" s="161"/>
      <c r="BQ461" s="161"/>
      <c r="BR461" s="161"/>
      <c r="BS461" s="161"/>
      <c r="BT461" s="161"/>
      <c r="BU461" s="161"/>
      <c r="BV461" s="161"/>
      <c r="BW461" s="161"/>
      <c r="BX461" s="161"/>
      <c r="BY461" s="161"/>
      <c r="BZ461" s="161"/>
      <c r="CA461" s="161"/>
      <c r="CB461" s="161"/>
      <c r="CC461" s="161"/>
      <c r="CD461" s="161"/>
      <c r="CE461" s="161"/>
      <c r="CF461" s="161"/>
      <c r="CG461" s="161"/>
      <c r="CH461" s="161"/>
      <c r="CI461" s="161"/>
      <c r="CJ461" s="161"/>
      <c r="CK461" s="161"/>
      <c r="CL461" s="161"/>
      <c r="CM461" s="161"/>
      <c r="CN461" s="161"/>
      <c r="CO461" s="161"/>
      <c r="CP461" s="161"/>
      <c r="CQ461" s="161"/>
      <c r="CR461" s="161"/>
      <c r="CS461" s="161"/>
      <c r="CT461" s="161"/>
      <c r="CU461" s="161"/>
      <c r="CV461" s="161"/>
      <c r="CW461" s="161"/>
      <c r="CX461" s="161"/>
      <c r="CY461" s="161"/>
      <c r="CZ461" s="161"/>
      <c r="DA461" s="161"/>
      <c r="DB461" s="161"/>
      <c r="DC461" s="161"/>
      <c r="DD461" s="161"/>
      <c r="DE461" s="161"/>
      <c r="DF461" s="161"/>
      <c r="DG461" s="161"/>
      <c r="DH461" s="161"/>
    </row>
    <row r="462" ht="20.25" customHeight="1">
      <c r="A462" s="41">
        <v>462.0</v>
      </c>
      <c r="B462" s="185" t="s">
        <v>145</v>
      </c>
      <c r="C462" s="185" t="s">
        <v>108</v>
      </c>
      <c r="D462" s="185" t="s">
        <v>2185</v>
      </c>
      <c r="E462" s="186"/>
      <c r="F462" s="195" t="s">
        <v>2482</v>
      </c>
      <c r="G462" s="55" t="s">
        <v>2483</v>
      </c>
      <c r="H462" s="195" t="s">
        <v>2186</v>
      </c>
      <c r="I462" s="188">
        <v>45489.0</v>
      </c>
      <c r="J462" s="188">
        <v>45662.0</v>
      </c>
      <c r="K462" s="195" t="s">
        <v>2489</v>
      </c>
      <c r="L462" s="791" t="s">
        <v>2490</v>
      </c>
      <c r="M462" s="195" t="s">
        <v>2485</v>
      </c>
      <c r="N462" s="195" t="s">
        <v>2486</v>
      </c>
      <c r="O462" s="371">
        <v>1.0</v>
      </c>
      <c r="P462" s="195" t="str">
        <f t="shared" si="26"/>
        <v>10.1109--tse.2016.2527791.pdf</v>
      </c>
      <c r="Q462" s="49" t="str">
        <f t="array" ref="Q462"> if(iserror(MATCH(V462, 'File Links'!C:C, 0)), "N/A", HYPERLINK(INDEX('File Links'!B:B, MATCH(P462, 'File Links'!C:C, 0))))</f>
        <v>https://drive.google.com/file/d/1NP74FAQ4UheeZ68AMDXl3P1f72HLwpaT/view?usp=drivesdk</v>
      </c>
      <c r="R462" s="195" t="s">
        <v>2491</v>
      </c>
      <c r="S462" s="195" t="s">
        <v>2488</v>
      </c>
      <c r="T462" s="187"/>
      <c r="U462" s="371">
        <v>1.0</v>
      </c>
      <c r="V462" s="195" t="str">
        <f t="shared" si="25"/>
        <v>10.1109--iccq60895.2024.10576941.pdf</v>
      </c>
      <c r="W462" s="195" t="s">
        <v>2492</v>
      </c>
      <c r="X462" s="51" t="str">
        <f t="array" ref="X462"> if(iserror(MATCH(V462, 'File Links'!C:C, 0)), "N/A", HYPERLINK(INDEX('File Links'!B:B, MATCH(V462, 'File Links'!C:C, 0))))</f>
        <v>https://drive.google.com/file/d/1ljVoDtYBz0iPIIVFLmoGyAGWDfVCncq9/view?usp=drivesdk</v>
      </c>
      <c r="Y462" s="187"/>
      <c r="Z462" s="195" t="s">
        <v>234</v>
      </c>
      <c r="AA462" s="195" t="s">
        <v>2493</v>
      </c>
      <c r="AB462" s="195" t="s">
        <v>2494</v>
      </c>
      <c r="AC462" s="195" t="s">
        <v>2495</v>
      </c>
      <c r="AD462" s="572" t="s">
        <v>2496</v>
      </c>
      <c r="AE462" s="755">
        <v>7.0</v>
      </c>
      <c r="AF462" s="755">
        <v>104.0</v>
      </c>
      <c r="AG462" s="572" t="s">
        <v>2497</v>
      </c>
      <c r="AH462" s="191" t="s">
        <v>127</v>
      </c>
      <c r="AI462" s="55" t="s">
        <v>125</v>
      </c>
      <c r="AJ462" s="371" t="s">
        <v>131</v>
      </c>
      <c r="AK462" s="371" t="s">
        <v>131</v>
      </c>
      <c r="AL462" s="55" t="s">
        <v>179</v>
      </c>
      <c r="AM462" s="195" t="s">
        <v>130</v>
      </c>
      <c r="AN462" s="371" t="s">
        <v>131</v>
      </c>
      <c r="AO462" s="755">
        <v>106.0</v>
      </c>
      <c r="AP462" s="195" t="s">
        <v>2498</v>
      </c>
      <c r="AQ462" s="54" t="s">
        <v>127</v>
      </c>
      <c r="AR462" s="195" t="s">
        <v>605</v>
      </c>
      <c r="AS462" s="792">
        <v>0.53895</v>
      </c>
      <c r="AT462" s="195" t="s">
        <v>2242</v>
      </c>
      <c r="AU462" s="195" t="s">
        <v>179</v>
      </c>
      <c r="AV462" s="195" t="s">
        <v>130</v>
      </c>
      <c r="AW462" s="371" t="s">
        <v>131</v>
      </c>
      <c r="AX462" s="195" t="s">
        <v>144</v>
      </c>
      <c r="AY462" s="371" t="s">
        <v>2499</v>
      </c>
      <c r="AZ462" s="185" t="s">
        <v>137</v>
      </c>
      <c r="BA462" s="740"/>
      <c r="BB462" s="740"/>
      <c r="BC462" s="740"/>
      <c r="BD462" s="740"/>
      <c r="BE462" s="740"/>
      <c r="BF462" s="740"/>
      <c r="BG462" s="740"/>
      <c r="BH462" s="740"/>
      <c r="BI462" s="740"/>
      <c r="BJ462" s="740"/>
      <c r="BK462" s="740"/>
      <c r="BL462" s="740"/>
      <c r="BM462" s="740"/>
      <c r="BN462" s="740"/>
      <c r="BO462" s="740"/>
      <c r="BP462" s="740"/>
      <c r="BQ462" s="740"/>
      <c r="BR462" s="740"/>
      <c r="BS462" s="740"/>
      <c r="BT462" s="740"/>
      <c r="BU462" s="740"/>
      <c r="BV462" s="740"/>
      <c r="BW462" s="740"/>
      <c r="BX462" s="740"/>
      <c r="BY462" s="740"/>
      <c r="BZ462" s="740"/>
      <c r="CA462" s="740"/>
      <c r="CB462" s="740"/>
      <c r="CC462" s="740"/>
      <c r="CD462" s="740"/>
      <c r="CE462" s="740"/>
      <c r="CF462" s="740"/>
      <c r="CG462" s="740"/>
      <c r="CH462" s="740"/>
      <c r="CI462" s="740"/>
      <c r="CJ462" s="740"/>
      <c r="CK462" s="740"/>
      <c r="CL462" s="740"/>
      <c r="CM462" s="740"/>
      <c r="CN462" s="740"/>
      <c r="CO462" s="740"/>
      <c r="CP462" s="740"/>
      <c r="CQ462" s="740"/>
      <c r="CR462" s="740"/>
      <c r="CS462" s="740"/>
      <c r="CT462" s="740"/>
      <c r="CU462" s="740"/>
      <c r="CV462" s="740"/>
      <c r="CW462" s="740"/>
      <c r="CX462" s="740"/>
      <c r="CY462" s="740"/>
      <c r="CZ462" s="740"/>
      <c r="DA462" s="740"/>
      <c r="DB462" s="740"/>
      <c r="DC462" s="740"/>
      <c r="DD462" s="740"/>
      <c r="DE462" s="740"/>
      <c r="DF462" s="740"/>
      <c r="DG462" s="740"/>
      <c r="DH462" s="740"/>
    </row>
    <row r="463" ht="20.25" customHeight="1">
      <c r="A463" s="41">
        <v>463.0</v>
      </c>
      <c r="B463" s="185" t="s">
        <v>145</v>
      </c>
      <c r="C463" s="185" t="s">
        <v>108</v>
      </c>
      <c r="D463" s="185" t="s">
        <v>2185</v>
      </c>
      <c r="E463" s="186"/>
      <c r="F463" s="195" t="s">
        <v>2482</v>
      </c>
      <c r="G463" s="55" t="s">
        <v>2500</v>
      </c>
      <c r="H463" s="195" t="s">
        <v>2186</v>
      </c>
      <c r="I463" s="188">
        <v>45662.0</v>
      </c>
      <c r="J463" s="793"/>
      <c r="K463" s="195" t="s">
        <v>2501</v>
      </c>
      <c r="L463" s="187"/>
      <c r="M463" s="195" t="s">
        <v>2485</v>
      </c>
      <c r="N463" s="195" t="s">
        <v>2486</v>
      </c>
      <c r="O463" s="371">
        <v>1.0</v>
      </c>
      <c r="P463" s="195" t="str">
        <f t="shared" si="26"/>
        <v>10.1109--tse.2016.2527791.pdf</v>
      </c>
      <c r="Q463" s="49" t="str">
        <f t="array" ref="Q463"> if(iserror(MATCH(V463, 'File Links'!C:C, 0)), "N/A", HYPERLINK(INDEX('File Links'!B:B, MATCH(P463, 'File Links'!C:C, 0))))</f>
        <v>https://drive.google.com/file/d/1NP74FAQ4UheeZ68AMDXl3P1f72HLwpaT/view?usp=drivesdk</v>
      </c>
      <c r="R463" s="195" t="s">
        <v>2491</v>
      </c>
      <c r="S463" s="195" t="s">
        <v>2488</v>
      </c>
      <c r="T463" s="187"/>
      <c r="U463" s="371">
        <v>1.0</v>
      </c>
      <c r="V463" s="195" t="str">
        <f t="shared" si="25"/>
        <v>10.1109--iccq60895.2024.10576941.pdf</v>
      </c>
      <c r="W463" s="195" t="s">
        <v>2492</v>
      </c>
      <c r="X463" s="51" t="str">
        <f t="array" ref="X463"> if(iserror(MATCH(V463, 'File Links'!C:C, 0)), "N/A", HYPERLINK(INDEX('File Links'!B:B, MATCH(V463, 'File Links'!C:C, 0))))</f>
        <v>https://drive.google.com/file/d/1ljVoDtYBz0iPIIVFLmoGyAGWDfVCncq9/view?usp=drivesdk</v>
      </c>
      <c r="Y463" s="187"/>
      <c r="Z463" s="195" t="s">
        <v>234</v>
      </c>
      <c r="AA463" s="195" t="s">
        <v>2493</v>
      </c>
      <c r="AB463" s="195" t="s">
        <v>2494</v>
      </c>
      <c r="AC463" s="195" t="s">
        <v>2502</v>
      </c>
      <c r="AD463" s="195" t="s">
        <v>2503</v>
      </c>
      <c r="AE463" s="755">
        <v>8.0</v>
      </c>
      <c r="AF463" s="755">
        <v>104.0</v>
      </c>
      <c r="AG463" s="371" t="s">
        <v>131</v>
      </c>
      <c r="AH463" s="164" t="s">
        <v>131</v>
      </c>
      <c r="AI463" s="55" t="s">
        <v>2247</v>
      </c>
      <c r="AJ463" s="194">
        <v>0.0013</v>
      </c>
      <c r="AK463" s="195" t="s">
        <v>165</v>
      </c>
      <c r="AL463" s="55" t="s">
        <v>179</v>
      </c>
      <c r="AM463" s="195" t="s">
        <v>130</v>
      </c>
      <c r="AN463" s="371" t="s">
        <v>131</v>
      </c>
      <c r="AO463" s="755">
        <v>106.0</v>
      </c>
      <c r="AP463" s="195" t="s">
        <v>2504</v>
      </c>
      <c r="AQ463" s="54" t="s">
        <v>127</v>
      </c>
      <c r="AR463" s="195" t="s">
        <v>605</v>
      </c>
      <c r="AS463" s="755">
        <v>0.101498</v>
      </c>
      <c r="AT463" s="195" t="s">
        <v>165</v>
      </c>
      <c r="AU463" s="195" t="s">
        <v>179</v>
      </c>
      <c r="AV463" s="195" t="s">
        <v>130</v>
      </c>
      <c r="AW463" s="371" t="s">
        <v>131</v>
      </c>
      <c r="AX463" s="195" t="s">
        <v>144</v>
      </c>
      <c r="AY463" s="187"/>
      <c r="AZ463" s="185" t="s">
        <v>137</v>
      </c>
      <c r="BA463" s="161"/>
      <c r="BB463" s="161"/>
      <c r="BC463" s="161"/>
      <c r="BD463" s="161"/>
      <c r="BE463" s="161"/>
      <c r="BF463" s="161"/>
      <c r="BG463" s="161"/>
      <c r="BH463" s="161"/>
      <c r="BI463" s="161"/>
      <c r="BJ463" s="161"/>
      <c r="BK463" s="161"/>
      <c r="BL463" s="161"/>
      <c r="BM463" s="161"/>
      <c r="BN463" s="161"/>
      <c r="BO463" s="161"/>
      <c r="BP463" s="161"/>
      <c r="BQ463" s="161"/>
      <c r="BR463" s="161"/>
      <c r="BS463" s="161"/>
      <c r="BT463" s="161"/>
      <c r="BU463" s="161"/>
      <c r="BV463" s="161"/>
      <c r="BW463" s="161"/>
      <c r="BX463" s="161"/>
      <c r="BY463" s="161"/>
      <c r="BZ463" s="161"/>
      <c r="CA463" s="161"/>
      <c r="CB463" s="161"/>
      <c r="CC463" s="161"/>
      <c r="CD463" s="161"/>
      <c r="CE463" s="161"/>
      <c r="CF463" s="161"/>
      <c r="CG463" s="161"/>
      <c r="CH463" s="161"/>
      <c r="CI463" s="161"/>
      <c r="CJ463" s="161"/>
      <c r="CK463" s="161"/>
      <c r="CL463" s="161"/>
      <c r="CM463" s="161"/>
      <c r="CN463" s="161"/>
      <c r="CO463" s="161"/>
      <c r="CP463" s="161"/>
      <c r="CQ463" s="161"/>
      <c r="CR463" s="161"/>
      <c r="CS463" s="161"/>
      <c r="CT463" s="161"/>
      <c r="CU463" s="161"/>
      <c r="CV463" s="161"/>
      <c r="CW463" s="161"/>
      <c r="CX463" s="161"/>
      <c r="CY463" s="161"/>
      <c r="CZ463" s="161"/>
      <c r="DA463" s="161"/>
      <c r="DB463" s="161"/>
      <c r="DC463" s="161"/>
      <c r="DD463" s="161"/>
      <c r="DE463" s="161"/>
      <c r="DF463" s="161"/>
      <c r="DG463" s="161"/>
      <c r="DH463" s="161"/>
    </row>
    <row r="464" ht="20.25" customHeight="1">
      <c r="A464" s="41">
        <v>464.0</v>
      </c>
      <c r="B464" s="185" t="s">
        <v>145</v>
      </c>
      <c r="C464" s="185" t="s">
        <v>108</v>
      </c>
      <c r="D464" s="185" t="s">
        <v>2185</v>
      </c>
      <c r="E464" s="186"/>
      <c r="F464" s="195" t="s">
        <v>2482</v>
      </c>
      <c r="G464" s="55" t="s">
        <v>2505</v>
      </c>
      <c r="H464" s="195" t="s">
        <v>2186</v>
      </c>
      <c r="I464" s="188">
        <v>45662.0</v>
      </c>
      <c r="J464" s="793"/>
      <c r="K464" s="195" t="s">
        <v>2501</v>
      </c>
      <c r="L464" s="187"/>
      <c r="M464" s="195" t="s">
        <v>2485</v>
      </c>
      <c r="N464" s="195" t="s">
        <v>2486</v>
      </c>
      <c r="O464" s="371">
        <v>1.0</v>
      </c>
      <c r="P464" s="195" t="str">
        <f t="shared" si="26"/>
        <v>10.1109--tse.2016.2527791.pdf</v>
      </c>
      <c r="Q464" s="49" t="str">
        <f t="array" ref="Q464"> if(iserror(MATCH(V464, 'File Links'!C:C, 0)), "N/A", HYPERLINK(INDEX('File Links'!B:B, MATCH(P464, 'File Links'!C:C, 0))))</f>
        <v>https://drive.google.com/file/d/1NP74FAQ4UheeZ68AMDXl3P1f72HLwpaT/view?usp=drivesdk</v>
      </c>
      <c r="R464" s="195" t="s">
        <v>2491</v>
      </c>
      <c r="S464" s="195" t="s">
        <v>2488</v>
      </c>
      <c r="T464" s="187"/>
      <c r="U464" s="371">
        <v>1.0</v>
      </c>
      <c r="V464" s="195" t="str">
        <f t="shared" si="25"/>
        <v>10.1109--iccq60895.2024.10576941.pdf</v>
      </c>
      <c r="W464" s="195" t="s">
        <v>2492</v>
      </c>
      <c r="X464" s="51" t="str">
        <f t="array" ref="X464"> if(iserror(MATCH(V464, 'File Links'!C:C, 0)), "N/A", HYPERLINK(INDEX('File Links'!B:B, MATCH(V464, 'File Links'!C:C, 0))))</f>
        <v>https://drive.google.com/file/d/1ljVoDtYBz0iPIIVFLmoGyAGWDfVCncq9/view?usp=drivesdk</v>
      </c>
      <c r="Y464" s="187"/>
      <c r="Z464" s="195" t="s">
        <v>234</v>
      </c>
      <c r="AA464" s="195" t="s">
        <v>2493</v>
      </c>
      <c r="AB464" s="195" t="s">
        <v>2494</v>
      </c>
      <c r="AC464" s="195" t="s">
        <v>2506</v>
      </c>
      <c r="AD464" s="195" t="s">
        <v>2507</v>
      </c>
      <c r="AE464" s="755">
        <v>7.0</v>
      </c>
      <c r="AF464" s="755">
        <v>104.0</v>
      </c>
      <c r="AG464" s="371" t="s">
        <v>131</v>
      </c>
      <c r="AH464" s="164" t="s">
        <v>131</v>
      </c>
      <c r="AI464" s="55" t="s">
        <v>125</v>
      </c>
      <c r="AJ464" s="371">
        <v>0.05</v>
      </c>
      <c r="AK464" s="177" t="s">
        <v>128</v>
      </c>
      <c r="AL464" s="55" t="s">
        <v>179</v>
      </c>
      <c r="AM464" s="195" t="s">
        <v>130</v>
      </c>
      <c r="AN464" s="371" t="s">
        <v>131</v>
      </c>
      <c r="AO464" s="755">
        <v>106.0</v>
      </c>
      <c r="AP464" s="195" t="s">
        <v>2508</v>
      </c>
      <c r="AQ464" s="54" t="s">
        <v>127</v>
      </c>
      <c r="AR464" s="195" t="s">
        <v>625</v>
      </c>
      <c r="AS464" s="755">
        <v>0.8926</v>
      </c>
      <c r="AT464" s="195" t="s">
        <v>165</v>
      </c>
      <c r="AU464" s="195" t="s">
        <v>179</v>
      </c>
      <c r="AV464" s="195" t="s">
        <v>130</v>
      </c>
      <c r="AW464" s="371" t="s">
        <v>131</v>
      </c>
      <c r="AX464" s="195" t="s">
        <v>144</v>
      </c>
      <c r="AY464" s="187"/>
      <c r="AZ464" s="185" t="s">
        <v>137</v>
      </c>
      <c r="BA464" s="740"/>
      <c r="BB464" s="740"/>
      <c r="BC464" s="740"/>
      <c r="BD464" s="740"/>
      <c r="BE464" s="740"/>
      <c r="BF464" s="740"/>
      <c r="BG464" s="740"/>
      <c r="BH464" s="740"/>
      <c r="BI464" s="740"/>
      <c r="BJ464" s="740"/>
      <c r="BK464" s="740"/>
      <c r="BL464" s="740"/>
      <c r="BM464" s="740"/>
      <c r="BN464" s="740"/>
      <c r="BO464" s="740"/>
      <c r="BP464" s="740"/>
      <c r="BQ464" s="740"/>
      <c r="BR464" s="740"/>
      <c r="BS464" s="740"/>
      <c r="BT464" s="740"/>
      <c r="BU464" s="740"/>
      <c r="BV464" s="740"/>
      <c r="BW464" s="740"/>
      <c r="BX464" s="740"/>
      <c r="BY464" s="740"/>
      <c r="BZ464" s="740"/>
      <c r="CA464" s="740"/>
      <c r="CB464" s="740"/>
      <c r="CC464" s="740"/>
      <c r="CD464" s="740"/>
      <c r="CE464" s="740"/>
      <c r="CF464" s="740"/>
      <c r="CG464" s="740"/>
      <c r="CH464" s="740"/>
      <c r="CI464" s="740"/>
      <c r="CJ464" s="740"/>
      <c r="CK464" s="740"/>
      <c r="CL464" s="740"/>
      <c r="CM464" s="740"/>
      <c r="CN464" s="740"/>
      <c r="CO464" s="740"/>
      <c r="CP464" s="740"/>
      <c r="CQ464" s="740"/>
      <c r="CR464" s="740"/>
      <c r="CS464" s="740"/>
      <c r="CT464" s="740"/>
      <c r="CU464" s="740"/>
      <c r="CV464" s="740"/>
      <c r="CW464" s="740"/>
      <c r="CX464" s="740"/>
      <c r="CY464" s="740"/>
      <c r="CZ464" s="740"/>
      <c r="DA464" s="740"/>
      <c r="DB464" s="740"/>
      <c r="DC464" s="740"/>
      <c r="DD464" s="740"/>
      <c r="DE464" s="740"/>
      <c r="DF464" s="740"/>
      <c r="DG464" s="740"/>
      <c r="DH464" s="740"/>
    </row>
    <row r="465" ht="20.25" customHeight="1">
      <c r="A465" s="41">
        <v>465.0</v>
      </c>
      <c r="B465" s="42" t="s">
        <v>145</v>
      </c>
      <c r="C465" s="42" t="s">
        <v>108</v>
      </c>
      <c r="D465" s="42" t="s">
        <v>192</v>
      </c>
      <c r="E465" s="62"/>
      <c r="F465" s="65" t="s">
        <v>2509</v>
      </c>
      <c r="G465" s="54" t="s">
        <v>2510</v>
      </c>
      <c r="H465" s="54" t="s">
        <v>195</v>
      </c>
      <c r="I465" s="431">
        <v>45639.0</v>
      </c>
      <c r="J465" s="566">
        <v>45671.0</v>
      </c>
      <c r="K465" s="58"/>
      <c r="L465" s="58"/>
      <c r="M465" s="54" t="s">
        <v>2511</v>
      </c>
      <c r="N465" s="54" t="s">
        <v>2512</v>
      </c>
      <c r="O465" s="376">
        <v>1.0</v>
      </c>
      <c r="P465" s="374" t="s">
        <v>2513</v>
      </c>
      <c r="Q465" s="49" t="str">
        <f t="array" ref="Q465"> if(iserror(MATCH(V465, 'File Links'!C:C, 0)), "N/A", HYPERLINK(INDEX('File Links'!B:B, MATCH(P465, 'File Links'!C:C, 0))))</f>
        <v>https://drive.google.com/file/d/1-hACoGBMYzWfW-abiG6hh6iaoZvehEax/view?usp=drivesdk</v>
      </c>
      <c r="R465" s="54" t="s">
        <v>2514</v>
      </c>
      <c r="S465" s="54" t="s">
        <v>2515</v>
      </c>
      <c r="T465" s="58"/>
      <c r="U465" s="126">
        <v>1.0</v>
      </c>
      <c r="V465" s="195" t="str">
        <f t="shared" si="25"/>
        <v>10.1016--j.xjmad.2024.100075.pdf</v>
      </c>
      <c r="W465" s="54" t="s">
        <v>202</v>
      </c>
      <c r="X465" s="51" t="str">
        <f t="array" ref="X465"> if(iserror(MATCH(V465, 'File Links'!C:C, 0)), "N/A", HYPERLINK(INDEX('File Links'!B:B, MATCH(V465, 'File Links'!C:C, 0))))</f>
        <v>https://drive.google.com/file/d/1VUyjspRteJ5gkjs-fbYxT0CLPJf7x2H-/view?usp=drivesdk</v>
      </c>
      <c r="Y465" s="58"/>
      <c r="Z465" s="54" t="s">
        <v>2003</v>
      </c>
      <c r="AA465" s="54" t="s">
        <v>2516</v>
      </c>
      <c r="AB465" s="54" t="s">
        <v>2517</v>
      </c>
      <c r="AC465" s="54" t="s">
        <v>2518</v>
      </c>
      <c r="AD465" s="54" t="s">
        <v>2519</v>
      </c>
      <c r="AE465" s="376">
        <v>6.0</v>
      </c>
      <c r="AF465" s="376">
        <v>53.0</v>
      </c>
      <c r="AG465" s="376">
        <v>0.65</v>
      </c>
      <c r="AH465" s="336" t="s">
        <v>166</v>
      </c>
      <c r="AI465" s="54" t="s">
        <v>133</v>
      </c>
      <c r="AJ465" s="376">
        <v>0.041</v>
      </c>
      <c r="AK465" s="156" t="s">
        <v>165</v>
      </c>
      <c r="AL465" s="54" t="s">
        <v>179</v>
      </c>
      <c r="AM465" s="126" t="s">
        <v>130</v>
      </c>
      <c r="AN465" s="715" t="s">
        <v>131</v>
      </c>
      <c r="AO465" s="376">
        <v>109.0</v>
      </c>
      <c r="AP465" s="148" t="s">
        <v>2520</v>
      </c>
      <c r="AQ465" s="54" t="s">
        <v>127</v>
      </c>
      <c r="AR465" s="54" t="s">
        <v>843</v>
      </c>
      <c r="AS465" s="376">
        <v>0.47</v>
      </c>
      <c r="AT465" s="156" t="s">
        <v>165</v>
      </c>
      <c r="AU465" s="156" t="s">
        <v>179</v>
      </c>
      <c r="AV465" s="126" t="s">
        <v>130</v>
      </c>
      <c r="AW465" s="126" t="s">
        <v>131</v>
      </c>
      <c r="AX465" s="65" t="s">
        <v>136</v>
      </c>
      <c r="AY465" s="58"/>
      <c r="AZ465" s="59" t="s">
        <v>137</v>
      </c>
      <c r="BA465" s="161"/>
      <c r="BB465" s="161"/>
      <c r="BC465" s="161"/>
      <c r="BD465" s="161"/>
      <c r="BE465" s="161"/>
      <c r="BF465" s="161"/>
      <c r="BG465" s="161"/>
      <c r="BH465" s="161"/>
      <c r="BI465" s="161"/>
      <c r="BJ465" s="161"/>
      <c r="BK465" s="161"/>
      <c r="BL465" s="161"/>
      <c r="BM465" s="161"/>
      <c r="BN465" s="161"/>
      <c r="BO465" s="161"/>
      <c r="BP465" s="161"/>
      <c r="BQ465" s="161"/>
      <c r="BR465" s="161"/>
      <c r="BS465" s="161"/>
      <c r="BT465" s="161"/>
      <c r="BU465" s="161"/>
      <c r="BV465" s="161"/>
      <c r="BW465" s="161"/>
      <c r="BX465" s="161"/>
      <c r="BY465" s="161"/>
      <c r="BZ465" s="161"/>
      <c r="CA465" s="161"/>
      <c r="CB465" s="161"/>
      <c r="CC465" s="161"/>
      <c r="CD465" s="161"/>
      <c r="CE465" s="161"/>
      <c r="CF465" s="161"/>
      <c r="CG465" s="161"/>
      <c r="CH465" s="161"/>
      <c r="CI465" s="161"/>
      <c r="CJ465" s="161"/>
      <c r="CK465" s="161"/>
      <c r="CL465" s="161"/>
      <c r="CM465" s="161"/>
      <c r="CN465" s="161"/>
      <c r="CO465" s="161"/>
      <c r="CP465" s="161"/>
      <c r="CQ465" s="161"/>
      <c r="CR465" s="161"/>
      <c r="CS465" s="161"/>
      <c r="CT465" s="161"/>
      <c r="CU465" s="161"/>
      <c r="CV465" s="161"/>
      <c r="CW465" s="161"/>
      <c r="CX465" s="161"/>
      <c r="CY465" s="161"/>
      <c r="CZ465" s="161"/>
      <c r="DA465" s="161"/>
      <c r="DB465" s="161"/>
      <c r="DC465" s="161"/>
      <c r="DD465" s="161"/>
      <c r="DE465" s="161"/>
      <c r="DF465" s="161"/>
      <c r="DG465" s="161"/>
      <c r="DH465" s="161"/>
    </row>
    <row r="466" ht="20.25" customHeight="1">
      <c r="A466" s="41">
        <v>466.0</v>
      </c>
      <c r="B466" s="59" t="s">
        <v>107</v>
      </c>
      <c r="C466" s="59" t="s">
        <v>108</v>
      </c>
      <c r="D466" s="59" t="s">
        <v>214</v>
      </c>
      <c r="F466" s="357" t="s">
        <v>2509</v>
      </c>
      <c r="G466" s="44" t="s">
        <v>2510</v>
      </c>
      <c r="H466" s="46" t="s">
        <v>215</v>
      </c>
      <c r="I466" s="341">
        <v>45641.0</v>
      </c>
      <c r="J466" s="566">
        <v>45671.0</v>
      </c>
      <c r="K466" s="46"/>
      <c r="L466" s="209" t="s">
        <v>2521</v>
      </c>
      <c r="M466" s="794" t="s">
        <v>2522</v>
      </c>
      <c r="N466" s="44" t="s">
        <v>2512</v>
      </c>
      <c r="O466" s="46"/>
      <c r="P466" s="48" t="s">
        <v>2513</v>
      </c>
      <c r="Q466" s="49" t="str">
        <f t="array" ref="Q466"> if(iserror(MATCH(V466, 'File Links'!C:C, 0)), "N/A", HYPERLINK(INDEX('File Links'!B:B, MATCH(P466, 'File Links'!C:C, 0))))</f>
        <v>https://drive.google.com/file/d/1-hACoGBMYzWfW-abiG6hh6iaoZvehEax/view?usp=drivesdk</v>
      </c>
      <c r="R466" s="794" t="s">
        <v>2523</v>
      </c>
      <c r="S466" s="794" t="s">
        <v>2515</v>
      </c>
      <c r="T466" s="46"/>
      <c r="U466" s="383">
        <v>1.0</v>
      </c>
      <c r="V466" s="195" t="str">
        <f t="shared" si="25"/>
        <v>10.1016--j.xjmad.2024.100075.pdf</v>
      </c>
      <c r="W466" s="44" t="s">
        <v>2524</v>
      </c>
      <c r="X466" s="51" t="str">
        <f t="array" ref="X466"> if(iserror(MATCH(V466, 'File Links'!C:C, 0)), "N/A", HYPERLINK(INDEX('File Links'!B:B, MATCH(V466, 'File Links'!C:C, 0))))</f>
        <v>https://drive.google.com/file/d/1VUyjspRteJ5gkjs-fbYxT0CLPJf7x2H-/view?usp=drivesdk</v>
      </c>
      <c r="Y466" s="46"/>
      <c r="Z466" s="44" t="s">
        <v>141</v>
      </c>
      <c r="AA466" s="44" t="s">
        <v>2525</v>
      </c>
      <c r="AB466" s="44" t="s">
        <v>2526</v>
      </c>
      <c r="AC466" s="44" t="s">
        <v>2527</v>
      </c>
      <c r="AD466" s="44" t="s">
        <v>2528</v>
      </c>
      <c r="AE466" s="505">
        <v>8.0</v>
      </c>
      <c r="AF466" s="505">
        <v>185.0</v>
      </c>
      <c r="AG466" s="795">
        <v>0.68</v>
      </c>
      <c r="AH466" s="796" t="s">
        <v>166</v>
      </c>
      <c r="AI466" s="797" t="s">
        <v>597</v>
      </c>
      <c r="AJ466" s="795">
        <v>0.001</v>
      </c>
      <c r="AK466" s="798" t="s">
        <v>165</v>
      </c>
      <c r="AL466" s="797" t="s">
        <v>129</v>
      </c>
      <c r="AM466" s="799" t="s">
        <v>130</v>
      </c>
      <c r="AN466" s="799"/>
      <c r="AO466" s="795">
        <v>120.0</v>
      </c>
      <c r="AP466" s="795">
        <v>0.41</v>
      </c>
      <c r="AQ466" s="797" t="s">
        <v>166</v>
      </c>
      <c r="AR466" s="44" t="s">
        <v>133</v>
      </c>
      <c r="AS466" s="505">
        <v>0.02</v>
      </c>
      <c r="AT466" s="357" t="s">
        <v>165</v>
      </c>
      <c r="AU466" s="357" t="s">
        <v>129</v>
      </c>
      <c r="AV466" s="43" t="s">
        <v>134</v>
      </c>
      <c r="AW466" s="56" t="s">
        <v>2529</v>
      </c>
      <c r="AX466" s="57" t="s">
        <v>136</v>
      </c>
      <c r="AY466" s="126" t="s">
        <v>2521</v>
      </c>
      <c r="AZ466" s="59" t="s">
        <v>137</v>
      </c>
      <c r="BA466" s="740"/>
      <c r="BB466" s="740"/>
      <c r="BC466" s="740"/>
      <c r="BD466" s="740"/>
      <c r="BE466" s="740"/>
      <c r="BF466" s="740"/>
      <c r="BG466" s="740"/>
      <c r="BH466" s="740"/>
      <c r="BI466" s="740"/>
      <c r="BJ466" s="740"/>
      <c r="BK466" s="740"/>
      <c r="BL466" s="740"/>
      <c r="BM466" s="740"/>
      <c r="BN466" s="740"/>
      <c r="BO466" s="740"/>
      <c r="BP466" s="740"/>
      <c r="BQ466" s="740"/>
      <c r="BR466" s="740"/>
      <c r="BS466" s="740"/>
      <c r="BT466" s="740"/>
      <c r="BU466" s="740"/>
      <c r="BV466" s="740"/>
      <c r="BW466" s="740"/>
      <c r="BX466" s="740"/>
      <c r="BY466" s="740"/>
      <c r="BZ466" s="740"/>
      <c r="CA466" s="740"/>
      <c r="CB466" s="740"/>
      <c r="CC466" s="740"/>
      <c r="CD466" s="740"/>
      <c r="CE466" s="740"/>
      <c r="CF466" s="740"/>
      <c r="CG466" s="740"/>
      <c r="CH466" s="740"/>
      <c r="CI466" s="740"/>
      <c r="CJ466" s="740"/>
      <c r="CK466" s="740"/>
      <c r="CL466" s="740"/>
      <c r="CM466" s="740"/>
      <c r="CN466" s="740"/>
      <c r="CO466" s="740"/>
      <c r="CP466" s="740"/>
      <c r="CQ466" s="740"/>
      <c r="CR466" s="740"/>
      <c r="CS466" s="740"/>
      <c r="CT466" s="740"/>
      <c r="CU466" s="740"/>
      <c r="CV466" s="740"/>
      <c r="CW466" s="740"/>
      <c r="CX466" s="740"/>
      <c r="CY466" s="740"/>
      <c r="CZ466" s="740"/>
      <c r="DA466" s="740"/>
      <c r="DB466" s="740"/>
      <c r="DC466" s="740"/>
      <c r="DD466" s="740"/>
      <c r="DE466" s="740"/>
      <c r="DF466" s="740"/>
      <c r="DG466" s="740"/>
      <c r="DH466" s="740"/>
    </row>
    <row r="467" ht="20.25" customHeight="1">
      <c r="A467" s="41">
        <v>467.0</v>
      </c>
      <c r="B467" s="42" t="s">
        <v>145</v>
      </c>
      <c r="C467" s="42" t="s">
        <v>108</v>
      </c>
      <c r="D467" s="42" t="s">
        <v>192</v>
      </c>
      <c r="E467" s="62"/>
      <c r="F467" s="357" t="s">
        <v>2509</v>
      </c>
      <c r="G467" s="54" t="s">
        <v>2530</v>
      </c>
      <c r="H467" s="54" t="s">
        <v>195</v>
      </c>
      <c r="I467" s="431">
        <v>45639.0</v>
      </c>
      <c r="J467" s="566">
        <v>45671.0</v>
      </c>
      <c r="K467" s="54" t="s">
        <v>2531</v>
      </c>
      <c r="L467" s="126" t="s">
        <v>2532</v>
      </c>
      <c r="M467" s="54" t="s">
        <v>2511</v>
      </c>
      <c r="N467" s="54" t="s">
        <v>2512</v>
      </c>
      <c r="O467" s="376">
        <v>1.0</v>
      </c>
      <c r="P467" s="374" t="s">
        <v>2513</v>
      </c>
      <c r="Q467" s="49" t="str">
        <f t="array" ref="Q467"> if(iserror(MATCH(V467, 'File Links'!C:C, 0)), "N/A", HYPERLINK(INDEX('File Links'!B:B, MATCH(P467, 'File Links'!C:C, 0))))</f>
        <v>https://drive.google.com/file/d/1-hACoGBMYzWfW-abiG6hh6iaoZvehEax/view?usp=drivesdk</v>
      </c>
      <c r="R467" s="54" t="s">
        <v>2514</v>
      </c>
      <c r="S467" s="54" t="s">
        <v>2515</v>
      </c>
      <c r="T467" s="58"/>
      <c r="U467" s="126">
        <v>1.0</v>
      </c>
      <c r="V467" s="195" t="str">
        <f t="shared" si="25"/>
        <v>10.1016--j.xjmad.2024.100075.pdf</v>
      </c>
      <c r="W467" s="54" t="s">
        <v>202</v>
      </c>
      <c r="X467" s="51" t="str">
        <f t="array" ref="X467"> if(iserror(MATCH(V467, 'File Links'!C:C, 0)), "N/A", HYPERLINK(INDEX('File Links'!B:B, MATCH(V467, 'File Links'!C:C, 0))))</f>
        <v>https://drive.google.com/file/d/1VUyjspRteJ5gkjs-fbYxT0CLPJf7x2H-/view?usp=drivesdk</v>
      </c>
      <c r="Y467" s="58"/>
      <c r="Z467" s="54" t="s">
        <v>2003</v>
      </c>
      <c r="AA467" s="54" t="s">
        <v>2516</v>
      </c>
      <c r="AB467" s="54" t="s">
        <v>2517</v>
      </c>
      <c r="AC467" s="54" t="s">
        <v>2518</v>
      </c>
      <c r="AD467" s="54" t="s">
        <v>2533</v>
      </c>
      <c r="AE467" s="376">
        <v>7.0</v>
      </c>
      <c r="AF467" s="376">
        <v>50.0</v>
      </c>
      <c r="AG467" s="376">
        <v>0.29</v>
      </c>
      <c r="AH467" s="336" t="s">
        <v>208</v>
      </c>
      <c r="AI467" s="54" t="s">
        <v>125</v>
      </c>
      <c r="AJ467" s="376">
        <v>0.043</v>
      </c>
      <c r="AK467" s="156" t="s">
        <v>165</v>
      </c>
      <c r="AL467" s="54" t="s">
        <v>179</v>
      </c>
      <c r="AM467" s="126" t="s">
        <v>130</v>
      </c>
      <c r="AN467" s="715" t="s">
        <v>131</v>
      </c>
      <c r="AO467" s="158">
        <v>106.0</v>
      </c>
      <c r="AP467" s="376">
        <v>-0.03</v>
      </c>
      <c r="AQ467" s="54" t="s">
        <v>208</v>
      </c>
      <c r="AR467" s="54" t="s">
        <v>843</v>
      </c>
      <c r="AS467" s="376">
        <v>0.74</v>
      </c>
      <c r="AT467" s="156" t="s">
        <v>165</v>
      </c>
      <c r="AU467" s="156" t="s">
        <v>179</v>
      </c>
      <c r="AV467" s="126" t="s">
        <v>130</v>
      </c>
      <c r="AW467" s="126" t="s">
        <v>131</v>
      </c>
      <c r="AX467" s="65"/>
      <c r="AY467" s="126"/>
      <c r="AZ467" s="59" t="s">
        <v>137</v>
      </c>
      <c r="BA467" s="740"/>
      <c r="BB467" s="740"/>
      <c r="BC467" s="740"/>
      <c r="BD467" s="740"/>
      <c r="BE467" s="740"/>
      <c r="BF467" s="740"/>
      <c r="BG467" s="740"/>
      <c r="BH467" s="740"/>
      <c r="BI467" s="740"/>
      <c r="BJ467" s="740"/>
      <c r="BK467" s="740"/>
      <c r="BL467" s="740"/>
      <c r="BM467" s="740"/>
      <c r="BN467" s="740"/>
      <c r="BO467" s="740"/>
      <c r="BP467" s="740"/>
      <c r="BQ467" s="740"/>
      <c r="BR467" s="740"/>
      <c r="BS467" s="740"/>
      <c r="BT467" s="740"/>
      <c r="BU467" s="740"/>
      <c r="BV467" s="740"/>
      <c r="BW467" s="740"/>
      <c r="BX467" s="740"/>
      <c r="BY467" s="740"/>
      <c r="BZ467" s="740"/>
      <c r="CA467" s="740"/>
      <c r="CB467" s="740"/>
      <c r="CC467" s="740"/>
      <c r="CD467" s="740"/>
      <c r="CE467" s="740"/>
      <c r="CF467" s="740"/>
      <c r="CG467" s="740"/>
      <c r="CH467" s="740"/>
      <c r="CI467" s="740"/>
      <c r="CJ467" s="740"/>
      <c r="CK467" s="740"/>
      <c r="CL467" s="740"/>
      <c r="CM467" s="740"/>
      <c r="CN467" s="740"/>
      <c r="CO467" s="740"/>
      <c r="CP467" s="740"/>
      <c r="CQ467" s="740"/>
      <c r="CR467" s="740"/>
      <c r="CS467" s="740"/>
      <c r="CT467" s="740"/>
      <c r="CU467" s="740"/>
      <c r="CV467" s="740"/>
      <c r="CW467" s="740"/>
      <c r="CX467" s="740"/>
      <c r="CY467" s="740"/>
      <c r="CZ467" s="740"/>
      <c r="DA467" s="740"/>
      <c r="DB467" s="740"/>
      <c r="DC467" s="740"/>
      <c r="DD467" s="740"/>
      <c r="DE467" s="740"/>
      <c r="DF467" s="740"/>
      <c r="DG467" s="740"/>
      <c r="DH467" s="740"/>
    </row>
    <row r="468" ht="20.25" customHeight="1">
      <c r="A468" s="41">
        <v>468.0</v>
      </c>
      <c r="B468" s="487" t="s">
        <v>107</v>
      </c>
      <c r="C468" s="487" t="s">
        <v>108</v>
      </c>
      <c r="D468" s="487" t="s">
        <v>225</v>
      </c>
      <c r="E468" s="800"/>
      <c r="F468" s="378" t="s">
        <v>2534</v>
      </c>
      <c r="G468" s="487" t="s">
        <v>2535</v>
      </c>
      <c r="H468" s="487" t="s">
        <v>228</v>
      </c>
      <c r="I468" s="801">
        <v>45626.0</v>
      </c>
      <c r="J468" s="167">
        <v>45786.0</v>
      </c>
      <c r="K468" s="487" t="s">
        <v>2536</v>
      </c>
      <c r="L468" s="487" t="s">
        <v>2537</v>
      </c>
      <c r="M468" s="487" t="s">
        <v>2538</v>
      </c>
      <c r="N468" s="487" t="s">
        <v>2539</v>
      </c>
      <c r="O468" s="802">
        <v>2.0</v>
      </c>
      <c r="P468" s="803" t="str">
        <f> hyperlink(vlookup(lower(N468),'File Links'!A:B, 2, FALSE), SUBSTITUTE(lower(N468), "/", "--") &amp;  ".pdf")</f>
        <v>10.1086--648381.pdf</v>
      </c>
      <c r="Q468" s="49" t="str">
        <f t="array" ref="Q468"> if(iserror(MATCH(V468, 'File Links'!C:C, 0)), "N/A", HYPERLINK(INDEX('File Links'!B:B, MATCH(P468, 'File Links'!C:C, 0))))</f>
        <v>https://drive.google.com/file/d/14GutnAtB1f13xcVqwnhfc_-RMT6AP_5B/view?usp=drivesdk</v>
      </c>
      <c r="R468" s="487" t="s">
        <v>2540</v>
      </c>
      <c r="S468" s="487" t="s">
        <v>2541</v>
      </c>
      <c r="T468" s="800"/>
      <c r="U468" s="487">
        <v>1.0</v>
      </c>
      <c r="V468" s="195" t="str">
        <f t="shared" si="25"/>
        <v>10.1016--j.jesp.2024.104619.pdf</v>
      </c>
      <c r="W468" s="487" t="s">
        <v>2542</v>
      </c>
      <c r="X468" s="51" t="str">
        <f t="array" ref="X468"> if(iserror(MATCH(V468, 'File Links'!C:C, 0)), "N/A", HYPERLINK(INDEX('File Links'!B:B, MATCH(V468, 'File Links'!C:C, 0))))</f>
        <v>https://drive.google.com/file/d/1CclKKmhEg4wBmEAHmGyg_rBfw2qqAy8s/view?usp=drivesdk</v>
      </c>
      <c r="Y468" s="800"/>
      <c r="Z468" s="487" t="s">
        <v>2543</v>
      </c>
      <c r="AA468" s="487" t="s">
        <v>2544</v>
      </c>
      <c r="AB468" s="802" t="s">
        <v>2545</v>
      </c>
      <c r="AC468" s="487" t="s">
        <v>2546</v>
      </c>
      <c r="AD468" s="487" t="s">
        <v>2547</v>
      </c>
      <c r="AE468" s="697" t="s">
        <v>606</v>
      </c>
      <c r="AF468" s="487">
        <v>68.0</v>
      </c>
      <c r="AG468" s="487" t="s">
        <v>2548</v>
      </c>
      <c r="AH468" s="697" t="s">
        <v>127</v>
      </c>
      <c r="AI468" s="697" t="s">
        <v>606</v>
      </c>
      <c r="AJ468" s="487" t="s">
        <v>2549</v>
      </c>
      <c r="AK468" s="487" t="s">
        <v>128</v>
      </c>
      <c r="AL468" s="487" t="s">
        <v>179</v>
      </c>
      <c r="AM468" s="528" t="s">
        <v>130</v>
      </c>
      <c r="AN468" s="715" t="s">
        <v>131</v>
      </c>
      <c r="AO468" s="487">
        <v>1018.0</v>
      </c>
      <c r="AP468" s="487" t="s">
        <v>2550</v>
      </c>
      <c r="AQ468" s="487" t="s">
        <v>132</v>
      </c>
      <c r="AR468" s="487" t="s">
        <v>125</v>
      </c>
      <c r="AS468" s="487" t="s">
        <v>2551</v>
      </c>
      <c r="AT468" s="487" t="s">
        <v>165</v>
      </c>
      <c r="AU468" s="487" t="s">
        <v>179</v>
      </c>
      <c r="AV468" s="528" t="s">
        <v>130</v>
      </c>
      <c r="AW468" s="804" t="s">
        <v>2552</v>
      </c>
      <c r="AX468" s="368" t="s">
        <v>136</v>
      </c>
      <c r="AY468" s="800"/>
      <c r="AZ468" s="378" t="s">
        <v>807</v>
      </c>
      <c r="BA468" s="740"/>
      <c r="BB468" s="740"/>
      <c r="BC468" s="740"/>
      <c r="BD468" s="740"/>
      <c r="BE468" s="740"/>
      <c r="BF468" s="740"/>
      <c r="BG468" s="740"/>
      <c r="BH468" s="740"/>
      <c r="BI468" s="740"/>
      <c r="BJ468" s="740"/>
      <c r="BK468" s="740"/>
      <c r="BL468" s="740"/>
      <c r="BM468" s="740"/>
      <c r="BN468" s="740"/>
      <c r="BO468" s="740"/>
      <c r="BP468" s="740"/>
      <c r="BQ468" s="740"/>
      <c r="BR468" s="740"/>
      <c r="BS468" s="740"/>
      <c r="BT468" s="740"/>
      <c r="BU468" s="740"/>
      <c r="BV468" s="740"/>
      <c r="BW468" s="740"/>
      <c r="BX468" s="740"/>
      <c r="BY468" s="740"/>
      <c r="BZ468" s="740"/>
      <c r="CA468" s="740"/>
      <c r="CB468" s="740"/>
      <c r="CC468" s="740"/>
      <c r="CD468" s="740"/>
      <c r="CE468" s="740"/>
      <c r="CF468" s="740"/>
      <c r="CG468" s="740"/>
      <c r="CH468" s="740"/>
      <c r="CI468" s="740"/>
      <c r="CJ468" s="740"/>
      <c r="CK468" s="740"/>
      <c r="CL468" s="740"/>
      <c r="CM468" s="740"/>
      <c r="CN468" s="740"/>
      <c r="CO468" s="740"/>
      <c r="CP468" s="740"/>
      <c r="CQ468" s="740"/>
      <c r="CR468" s="740"/>
      <c r="CS468" s="740"/>
      <c r="CT468" s="740"/>
      <c r="CU468" s="740"/>
      <c r="CV468" s="740"/>
      <c r="CW468" s="740"/>
      <c r="CX468" s="740"/>
      <c r="CY468" s="740"/>
      <c r="CZ468" s="740"/>
      <c r="DA468" s="740"/>
      <c r="DB468" s="740"/>
      <c r="DC468" s="740"/>
      <c r="DD468" s="740"/>
      <c r="DE468" s="740"/>
      <c r="DF468" s="740"/>
      <c r="DG468" s="740"/>
      <c r="DH468" s="740"/>
    </row>
    <row r="469" ht="20.25" customHeight="1">
      <c r="A469" s="41">
        <v>469.0</v>
      </c>
      <c r="B469" s="487" t="s">
        <v>145</v>
      </c>
      <c r="C469" s="474" t="s">
        <v>108</v>
      </c>
      <c r="D469" s="474" t="s">
        <v>241</v>
      </c>
      <c r="E469" s="805"/>
      <c r="F469" s="464" t="s">
        <v>2534</v>
      </c>
      <c r="G469" s="474" t="s">
        <v>2553</v>
      </c>
      <c r="H469" s="474" t="s">
        <v>242</v>
      </c>
      <c r="I469" s="806">
        <v>45625.0</v>
      </c>
      <c r="J469" s="167">
        <v>45786.0</v>
      </c>
      <c r="K469" s="474" t="s">
        <v>2554</v>
      </c>
      <c r="L469" s="474" t="s">
        <v>2555</v>
      </c>
      <c r="M469" s="474" t="s">
        <v>2538</v>
      </c>
      <c r="N469" s="474" t="s">
        <v>2539</v>
      </c>
      <c r="O469" s="802">
        <v>2.0</v>
      </c>
      <c r="P469" s="807" t="str">
        <f> hyperlink(vlookup(lower(N469),'File Links'!A:B, 2, FALSE), SUBSTITUTE(lower(N469), "/", "--") &amp;  ".pdf")</f>
        <v>10.1086--648381.pdf</v>
      </c>
      <c r="Q469" s="49" t="str">
        <f t="array" ref="Q469"> if(iserror(MATCH(V469, 'File Links'!C:C, 0)), "N/A", HYPERLINK(INDEX('File Links'!B:B, MATCH(P469, 'File Links'!C:C, 0))))</f>
        <v>https://drive.google.com/file/d/14GutnAtB1f13xcVqwnhfc_-RMT6AP_5B/view?usp=drivesdk</v>
      </c>
      <c r="R469" s="474" t="s">
        <v>2540</v>
      </c>
      <c r="S469" s="474" t="s">
        <v>2541</v>
      </c>
      <c r="T469" s="805"/>
      <c r="U469" s="697">
        <v>1.0</v>
      </c>
      <c r="V469" s="195" t="str">
        <f t="shared" si="25"/>
        <v>10.1016--j.jesp.2024.104619.pdf</v>
      </c>
      <c r="W469" s="697" t="s">
        <v>2542</v>
      </c>
      <c r="X469" s="51" t="str">
        <f t="array" ref="X469"> if(iserror(MATCH(V469, 'File Links'!C:C, 0)), "N/A", HYPERLINK(INDEX('File Links'!B:B, MATCH(V469, 'File Links'!C:C, 0))))</f>
        <v>https://drive.google.com/file/d/1CclKKmhEg4wBmEAHmGyg_rBfw2qqAy8s/view?usp=drivesdk</v>
      </c>
      <c r="Y469" s="805"/>
      <c r="Z469" s="474" t="s">
        <v>2543</v>
      </c>
      <c r="AA469" s="697" t="s">
        <v>2544</v>
      </c>
      <c r="AB469" s="802" t="s">
        <v>2545</v>
      </c>
      <c r="AC469" s="697" t="s">
        <v>2546</v>
      </c>
      <c r="AD469" s="474" t="s">
        <v>2556</v>
      </c>
      <c r="AE469" s="697" t="s">
        <v>606</v>
      </c>
      <c r="AF469" s="474">
        <v>68.0</v>
      </c>
      <c r="AG469" s="808" t="s">
        <v>2557</v>
      </c>
      <c r="AH469" s="697" t="s">
        <v>127</v>
      </c>
      <c r="AI469" s="697" t="s">
        <v>606</v>
      </c>
      <c r="AJ469" s="474">
        <v>0.04</v>
      </c>
      <c r="AK469" s="474" t="s">
        <v>128</v>
      </c>
      <c r="AL469" s="474" t="s">
        <v>179</v>
      </c>
      <c r="AM469" s="528" t="s">
        <v>130</v>
      </c>
      <c r="AN469" s="715" t="s">
        <v>131</v>
      </c>
      <c r="AO469" s="474">
        <v>1018.0</v>
      </c>
      <c r="AP469" s="474">
        <v>0.25</v>
      </c>
      <c r="AQ469" s="697" t="s">
        <v>867</v>
      </c>
      <c r="AR469" s="697" t="s">
        <v>125</v>
      </c>
      <c r="AS469" s="474">
        <v>0.001</v>
      </c>
      <c r="AT469" s="474" t="s">
        <v>128</v>
      </c>
      <c r="AU469" s="474" t="s">
        <v>179</v>
      </c>
      <c r="AV469" s="528" t="s">
        <v>130</v>
      </c>
      <c r="AW469" s="804" t="s">
        <v>2552</v>
      </c>
      <c r="AX469" s="368" t="s">
        <v>136</v>
      </c>
      <c r="AY469" s="805"/>
      <c r="AZ469" s="378" t="s">
        <v>807</v>
      </c>
      <c r="BA469" s="740"/>
      <c r="BB469" s="740"/>
      <c r="BC469" s="740"/>
      <c r="BD469" s="740"/>
      <c r="BE469" s="740"/>
      <c r="BF469" s="740"/>
      <c r="BG469" s="740"/>
      <c r="BH469" s="740"/>
      <c r="BI469" s="740"/>
      <c r="BJ469" s="740"/>
      <c r="BK469" s="740"/>
      <c r="BL469" s="740"/>
      <c r="BM469" s="740"/>
      <c r="BN469" s="740"/>
      <c r="BO469" s="740"/>
      <c r="BP469" s="740"/>
      <c r="BQ469" s="740"/>
      <c r="BR469" s="740"/>
      <c r="BS469" s="740"/>
      <c r="BT469" s="740"/>
      <c r="BU469" s="740"/>
      <c r="BV469" s="740"/>
      <c r="BW469" s="740"/>
      <c r="BX469" s="740"/>
      <c r="BY469" s="740"/>
      <c r="BZ469" s="740"/>
      <c r="CA469" s="740"/>
      <c r="CB469" s="740"/>
      <c r="CC469" s="740"/>
      <c r="CD469" s="740"/>
      <c r="CE469" s="740"/>
      <c r="CF469" s="740"/>
      <c r="CG469" s="740"/>
      <c r="CH469" s="740"/>
      <c r="CI469" s="740"/>
      <c r="CJ469" s="740"/>
      <c r="CK469" s="740"/>
      <c r="CL469" s="740"/>
      <c r="CM469" s="740"/>
      <c r="CN469" s="740"/>
      <c r="CO469" s="740"/>
      <c r="CP469" s="740"/>
      <c r="CQ469" s="740"/>
      <c r="CR469" s="740"/>
      <c r="CS469" s="740"/>
      <c r="CT469" s="740"/>
      <c r="CU469" s="740"/>
      <c r="CV469" s="740"/>
      <c r="CW469" s="740"/>
      <c r="CX469" s="740"/>
      <c r="CY469" s="740"/>
      <c r="CZ469" s="740"/>
      <c r="DA469" s="740"/>
      <c r="DB469" s="740"/>
      <c r="DC469" s="740"/>
      <c r="DD469" s="740"/>
      <c r="DE469" s="740"/>
      <c r="DF469" s="740"/>
      <c r="DG469" s="740"/>
      <c r="DH469" s="740"/>
    </row>
    <row r="470" ht="20.25" customHeight="1">
      <c r="A470" s="41">
        <v>470.0</v>
      </c>
      <c r="B470" s="487" t="s">
        <v>107</v>
      </c>
      <c r="C470" s="487" t="s">
        <v>108</v>
      </c>
      <c r="D470" s="487" t="s">
        <v>225</v>
      </c>
      <c r="E470" s="800"/>
      <c r="F470" s="378" t="s">
        <v>2534</v>
      </c>
      <c r="G470" s="487" t="s">
        <v>2558</v>
      </c>
      <c r="H470" s="487" t="s">
        <v>228</v>
      </c>
      <c r="I470" s="801">
        <v>45626.0</v>
      </c>
      <c r="J470" s="167">
        <v>45786.0</v>
      </c>
      <c r="K470" s="800"/>
      <c r="L470" s="487" t="s">
        <v>2559</v>
      </c>
      <c r="M470" s="487" t="s">
        <v>2538</v>
      </c>
      <c r="N470" s="487" t="s">
        <v>2539</v>
      </c>
      <c r="O470" s="802">
        <v>2.0</v>
      </c>
      <c r="P470" s="803" t="str">
        <f> hyperlink(vlookup(lower(N470),'File Links'!A:B, 2, FALSE), SUBSTITUTE(lower(N470), "/", "--") &amp;  ".pdf")</f>
        <v>10.1086--648381.pdf</v>
      </c>
      <c r="Q470" s="49" t="str">
        <f t="array" ref="Q470"> if(iserror(MATCH(V470, 'File Links'!C:C, 0)), "N/A", HYPERLINK(INDEX('File Links'!B:B, MATCH(P470, 'File Links'!C:C, 0))))</f>
        <v>https://drive.google.com/file/d/14GutnAtB1f13xcVqwnhfc_-RMT6AP_5B/view?usp=drivesdk</v>
      </c>
      <c r="R470" s="487" t="s">
        <v>2540</v>
      </c>
      <c r="S470" s="487" t="s">
        <v>2541</v>
      </c>
      <c r="T470" s="800"/>
      <c r="U470" s="487">
        <v>1.0</v>
      </c>
      <c r="V470" s="195" t="str">
        <f t="shared" si="25"/>
        <v>10.1016--j.jesp.2024.104619.pdf</v>
      </c>
      <c r="W470" s="487" t="s">
        <v>2542</v>
      </c>
      <c r="X470" s="51" t="str">
        <f t="array" ref="X470"> if(iserror(MATCH(V470, 'File Links'!C:C, 0)), "N/A", HYPERLINK(INDEX('File Links'!B:B, MATCH(V470, 'File Links'!C:C, 0))))</f>
        <v>https://drive.google.com/file/d/1CclKKmhEg4wBmEAHmGyg_rBfw2qqAy8s/view?usp=drivesdk</v>
      </c>
      <c r="Y470" s="800"/>
      <c r="Z470" s="487" t="s">
        <v>2543</v>
      </c>
      <c r="AA470" s="487" t="s">
        <v>2544</v>
      </c>
      <c r="AB470" s="802" t="s">
        <v>2545</v>
      </c>
      <c r="AC470" s="487" t="s">
        <v>2546</v>
      </c>
      <c r="AD470" s="487" t="s">
        <v>2560</v>
      </c>
      <c r="AE470" s="697" t="s">
        <v>606</v>
      </c>
      <c r="AF470" s="487">
        <v>68.0</v>
      </c>
      <c r="AG470" s="487" t="s">
        <v>2561</v>
      </c>
      <c r="AH470" s="697" t="s">
        <v>127</v>
      </c>
      <c r="AI470" s="697" t="s">
        <v>606</v>
      </c>
      <c r="AJ470" s="487" t="s">
        <v>2562</v>
      </c>
      <c r="AK470" s="487" t="s">
        <v>128</v>
      </c>
      <c r="AL470" s="487" t="s">
        <v>179</v>
      </c>
      <c r="AM470" s="528" t="s">
        <v>130</v>
      </c>
      <c r="AN470" s="715" t="s">
        <v>131</v>
      </c>
      <c r="AO470" s="487">
        <v>1018.0</v>
      </c>
      <c r="AP470" s="487" t="s">
        <v>2563</v>
      </c>
      <c r="AQ470" s="487" t="s">
        <v>132</v>
      </c>
      <c r="AR470" s="487" t="s">
        <v>606</v>
      </c>
      <c r="AS470" s="487" t="s">
        <v>2564</v>
      </c>
      <c r="AT470" s="487" t="s">
        <v>165</v>
      </c>
      <c r="AU470" s="487" t="s">
        <v>179</v>
      </c>
      <c r="AV470" s="528" t="s">
        <v>130</v>
      </c>
      <c r="AW470" s="804" t="s">
        <v>2552</v>
      </c>
      <c r="AX470" s="368" t="s">
        <v>136</v>
      </c>
      <c r="AY470" s="800"/>
      <c r="AZ470" s="378" t="s">
        <v>807</v>
      </c>
      <c r="BA470" s="740"/>
      <c r="BB470" s="740"/>
      <c r="BC470" s="740"/>
      <c r="BD470" s="740"/>
      <c r="BE470" s="740"/>
      <c r="BF470" s="740"/>
      <c r="BG470" s="740"/>
      <c r="BH470" s="740"/>
      <c r="BI470" s="740"/>
      <c r="BJ470" s="740"/>
      <c r="BK470" s="740"/>
      <c r="BL470" s="740"/>
      <c r="BM470" s="740"/>
      <c r="BN470" s="740"/>
      <c r="BO470" s="740"/>
      <c r="BP470" s="740"/>
      <c r="BQ470" s="740"/>
      <c r="BR470" s="740"/>
      <c r="BS470" s="740"/>
      <c r="BT470" s="740"/>
      <c r="BU470" s="740"/>
      <c r="BV470" s="740"/>
      <c r="BW470" s="740"/>
      <c r="BX470" s="740"/>
      <c r="BY470" s="740"/>
      <c r="BZ470" s="740"/>
      <c r="CA470" s="740"/>
      <c r="CB470" s="740"/>
      <c r="CC470" s="740"/>
      <c r="CD470" s="740"/>
      <c r="CE470" s="740"/>
      <c r="CF470" s="740"/>
      <c r="CG470" s="740"/>
      <c r="CH470" s="740"/>
      <c r="CI470" s="740"/>
      <c r="CJ470" s="740"/>
      <c r="CK470" s="740"/>
      <c r="CL470" s="740"/>
      <c r="CM470" s="740"/>
      <c r="CN470" s="740"/>
      <c r="CO470" s="740"/>
      <c r="CP470" s="740"/>
      <c r="CQ470" s="740"/>
      <c r="CR470" s="740"/>
      <c r="CS470" s="740"/>
      <c r="CT470" s="740"/>
      <c r="CU470" s="740"/>
      <c r="CV470" s="740"/>
      <c r="CW470" s="740"/>
      <c r="CX470" s="740"/>
      <c r="CY470" s="740"/>
      <c r="CZ470" s="740"/>
      <c r="DA470" s="740"/>
      <c r="DB470" s="740"/>
      <c r="DC470" s="740"/>
      <c r="DD470" s="740"/>
      <c r="DE470" s="740"/>
      <c r="DF470" s="740"/>
      <c r="DG470" s="740"/>
      <c r="DH470" s="740"/>
    </row>
    <row r="471" ht="20.25" customHeight="1">
      <c r="A471" s="41">
        <v>471.0</v>
      </c>
      <c r="B471" s="487" t="s">
        <v>145</v>
      </c>
      <c r="C471" s="474" t="s">
        <v>108</v>
      </c>
      <c r="D471" s="474" t="s">
        <v>241</v>
      </c>
      <c r="E471" s="805"/>
      <c r="F471" s="464" t="s">
        <v>2534</v>
      </c>
      <c r="G471" s="474" t="s">
        <v>2558</v>
      </c>
      <c r="H471" s="474" t="s">
        <v>242</v>
      </c>
      <c r="I471" s="806">
        <v>45625.0</v>
      </c>
      <c r="J471" s="167">
        <v>45786.0</v>
      </c>
      <c r="K471" s="474" t="s">
        <v>2565</v>
      </c>
      <c r="L471" s="474" t="s">
        <v>2566</v>
      </c>
      <c r="M471" s="474" t="s">
        <v>2538</v>
      </c>
      <c r="N471" s="474" t="s">
        <v>2539</v>
      </c>
      <c r="O471" s="802">
        <v>2.0</v>
      </c>
      <c r="P471" s="807" t="str">
        <f> hyperlink(vlookup(lower(N471),'File Links'!A:B, 2, FALSE), SUBSTITUTE(lower(N471), "/", "--") &amp;  ".pdf")</f>
        <v>10.1086--648381.pdf</v>
      </c>
      <c r="Q471" s="49" t="str">
        <f t="array" ref="Q471"> if(iserror(MATCH(V471, 'File Links'!C:C, 0)), "N/A", HYPERLINK(INDEX('File Links'!B:B, MATCH(P471, 'File Links'!C:C, 0))))</f>
        <v>https://drive.google.com/file/d/14GutnAtB1f13xcVqwnhfc_-RMT6AP_5B/view?usp=drivesdk</v>
      </c>
      <c r="R471" s="474" t="s">
        <v>2540</v>
      </c>
      <c r="S471" s="474" t="s">
        <v>2541</v>
      </c>
      <c r="T471" s="805"/>
      <c r="U471" s="697">
        <v>1.0</v>
      </c>
      <c r="V471" s="195" t="str">
        <f t="shared" si="25"/>
        <v>10.1016--j.jesp.2024.104619.pdf</v>
      </c>
      <c r="W471" s="697" t="s">
        <v>2542</v>
      </c>
      <c r="X471" s="51" t="str">
        <f t="array" ref="X471"> if(iserror(MATCH(V471, 'File Links'!C:C, 0)), "N/A", HYPERLINK(INDEX('File Links'!B:B, MATCH(V471, 'File Links'!C:C, 0))))</f>
        <v>https://drive.google.com/file/d/1CclKKmhEg4wBmEAHmGyg_rBfw2qqAy8s/view?usp=drivesdk</v>
      </c>
      <c r="Y471" s="805"/>
      <c r="Z471" s="474" t="s">
        <v>2543</v>
      </c>
      <c r="AA471" s="487" t="s">
        <v>2544</v>
      </c>
      <c r="AB471" s="802" t="s">
        <v>2545</v>
      </c>
      <c r="AC471" s="808" t="s">
        <v>2567</v>
      </c>
      <c r="AD471" s="474" t="s">
        <v>2568</v>
      </c>
      <c r="AE471" s="697" t="s">
        <v>606</v>
      </c>
      <c r="AF471" s="474">
        <v>68.0</v>
      </c>
      <c r="AG471" s="697" t="s">
        <v>2569</v>
      </c>
      <c r="AH471" s="697" t="s">
        <v>127</v>
      </c>
      <c r="AI471" s="697" t="s">
        <v>606</v>
      </c>
      <c r="AJ471" s="474">
        <v>0.12</v>
      </c>
      <c r="AK471" s="474" t="s">
        <v>328</v>
      </c>
      <c r="AL471" s="474" t="s">
        <v>179</v>
      </c>
      <c r="AM471" s="528" t="s">
        <v>130</v>
      </c>
      <c r="AN471" s="715" t="s">
        <v>131</v>
      </c>
      <c r="AO471" s="474">
        <v>1018.0</v>
      </c>
      <c r="AP471" s="697">
        <v>0.01</v>
      </c>
      <c r="AQ471" s="697" t="s">
        <v>867</v>
      </c>
      <c r="AR471" s="697" t="s">
        <v>125</v>
      </c>
      <c r="AS471" s="697">
        <v>0.02</v>
      </c>
      <c r="AT471" s="474" t="s">
        <v>165</v>
      </c>
      <c r="AU471" s="474" t="s">
        <v>179</v>
      </c>
      <c r="AV471" s="528" t="s">
        <v>130</v>
      </c>
      <c r="AW471" s="804" t="s">
        <v>2552</v>
      </c>
      <c r="AX471" s="368" t="s">
        <v>136</v>
      </c>
      <c r="AY471" s="805"/>
      <c r="AZ471" s="378" t="s">
        <v>807</v>
      </c>
    </row>
    <row r="472" ht="20.25" customHeight="1">
      <c r="A472" s="41">
        <v>472.0</v>
      </c>
      <c r="B472" s="487" t="s">
        <v>107</v>
      </c>
      <c r="C472" s="487" t="s">
        <v>108</v>
      </c>
      <c r="D472" s="487" t="s">
        <v>225</v>
      </c>
      <c r="E472" s="800"/>
      <c r="F472" s="378" t="s">
        <v>2534</v>
      </c>
      <c r="G472" s="487" t="s">
        <v>2570</v>
      </c>
      <c r="H472" s="487" t="s">
        <v>228</v>
      </c>
      <c r="I472" s="801">
        <v>45626.0</v>
      </c>
      <c r="J472" s="167">
        <v>45786.0</v>
      </c>
      <c r="K472" s="487" t="s">
        <v>252</v>
      </c>
      <c r="L472" s="487" t="s">
        <v>2571</v>
      </c>
      <c r="M472" s="487" t="s">
        <v>2538</v>
      </c>
      <c r="N472" s="487" t="s">
        <v>2539</v>
      </c>
      <c r="O472" s="802">
        <v>2.0</v>
      </c>
      <c r="P472" s="803" t="str">
        <f> hyperlink(vlookup(lower(N472),'File Links'!A:B, 2, FALSE), SUBSTITUTE(lower(N472), "/", "--") &amp;  ".pdf")</f>
        <v>10.1086--648381.pdf</v>
      </c>
      <c r="Q472" s="49" t="str">
        <f t="array" ref="Q472"> if(iserror(MATCH(V472, 'File Links'!C:C, 0)), "N/A", HYPERLINK(INDEX('File Links'!B:B, MATCH(P472, 'File Links'!C:C, 0))))</f>
        <v>https://drive.google.com/file/d/14GutnAtB1f13xcVqwnhfc_-RMT6AP_5B/view?usp=drivesdk</v>
      </c>
      <c r="R472" s="487" t="s">
        <v>2540</v>
      </c>
      <c r="S472" s="487" t="s">
        <v>2541</v>
      </c>
      <c r="T472" s="800"/>
      <c r="U472" s="487">
        <v>1.0</v>
      </c>
      <c r="V472" s="195" t="str">
        <f t="shared" si="25"/>
        <v>10.1016--j.jesp.2024.104619.pdf</v>
      </c>
      <c r="W472" s="487" t="s">
        <v>2542</v>
      </c>
      <c r="X472" s="51" t="str">
        <f t="array" ref="X472"> if(iserror(MATCH(V472, 'File Links'!C:C, 0)), "N/A", HYPERLINK(INDEX('File Links'!B:B, MATCH(V472, 'File Links'!C:C, 0))))</f>
        <v>https://drive.google.com/file/d/1CclKKmhEg4wBmEAHmGyg_rBfw2qqAy8s/view?usp=drivesdk</v>
      </c>
      <c r="Y472" s="800"/>
      <c r="Z472" s="487" t="s">
        <v>2543</v>
      </c>
      <c r="AA472" s="487" t="s">
        <v>2544</v>
      </c>
      <c r="AB472" s="802" t="s">
        <v>2545</v>
      </c>
      <c r="AC472" s="487" t="s">
        <v>2546</v>
      </c>
      <c r="AD472" s="800"/>
      <c r="AE472" s="800"/>
      <c r="AF472" s="800"/>
      <c r="AG472" s="800"/>
      <c r="AH472" s="800"/>
      <c r="AI472" s="800"/>
      <c r="AJ472" s="487"/>
      <c r="AK472" s="800"/>
      <c r="AL472" s="800"/>
      <c r="AM472" s="481"/>
      <c r="AN472" s="715" t="s">
        <v>131</v>
      </c>
      <c r="AO472" s="487">
        <v>1018.0</v>
      </c>
      <c r="AP472" s="487" t="s">
        <v>2572</v>
      </c>
      <c r="AQ472" s="487" t="s">
        <v>132</v>
      </c>
      <c r="AR472" s="487" t="s">
        <v>621</v>
      </c>
      <c r="AS472" s="487" t="s">
        <v>2573</v>
      </c>
      <c r="AT472" s="487" t="s">
        <v>128</v>
      </c>
      <c r="AU472" s="487" t="s">
        <v>179</v>
      </c>
      <c r="AV472" s="528" t="s">
        <v>130</v>
      </c>
      <c r="AW472" s="804" t="s">
        <v>2552</v>
      </c>
      <c r="AX472" s="368" t="s">
        <v>136</v>
      </c>
      <c r="AY472" s="800"/>
      <c r="AZ472" s="378" t="s">
        <v>807</v>
      </c>
    </row>
    <row r="473" ht="20.25" customHeight="1">
      <c r="A473" s="41">
        <v>473.0</v>
      </c>
      <c r="B473" s="487" t="s">
        <v>145</v>
      </c>
      <c r="C473" s="474" t="s">
        <v>108</v>
      </c>
      <c r="D473" s="474" t="s">
        <v>241</v>
      </c>
      <c r="E473" s="805"/>
      <c r="F473" s="464" t="s">
        <v>2534</v>
      </c>
      <c r="G473" s="474" t="s">
        <v>2570</v>
      </c>
      <c r="H473" s="474" t="s">
        <v>242</v>
      </c>
      <c r="I473" s="806">
        <v>45625.0</v>
      </c>
      <c r="J473" s="167">
        <v>45786.0</v>
      </c>
      <c r="K473" s="474" t="s">
        <v>2574</v>
      </c>
      <c r="L473" s="474" t="s">
        <v>2575</v>
      </c>
      <c r="M473" s="474" t="s">
        <v>2538</v>
      </c>
      <c r="N473" s="474" t="s">
        <v>2539</v>
      </c>
      <c r="O473" s="802">
        <v>2.0</v>
      </c>
      <c r="P473" s="807" t="str">
        <f> hyperlink(vlookup(lower(N473),'File Links'!A:B, 2, FALSE), SUBSTITUTE(lower(N473), "/", "--") &amp;  ".pdf")</f>
        <v>10.1086--648381.pdf</v>
      </c>
      <c r="Q473" s="49" t="str">
        <f t="array" ref="Q473"> if(iserror(MATCH(V473, 'File Links'!C:C, 0)), "N/A", HYPERLINK(INDEX('File Links'!B:B, MATCH(P473, 'File Links'!C:C, 0))))</f>
        <v>https://drive.google.com/file/d/14GutnAtB1f13xcVqwnhfc_-RMT6AP_5B/view?usp=drivesdk</v>
      </c>
      <c r="R473" s="474" t="s">
        <v>2540</v>
      </c>
      <c r="S473" s="474" t="s">
        <v>2541</v>
      </c>
      <c r="T473" s="805"/>
      <c r="U473" s="697">
        <v>1.0</v>
      </c>
      <c r="V473" s="195" t="str">
        <f t="shared" si="25"/>
        <v>10.1016--j.jesp.2024.104619.pdf</v>
      </c>
      <c r="W473" s="697" t="s">
        <v>2542</v>
      </c>
      <c r="X473" s="51" t="str">
        <f t="array" ref="X473"> if(iserror(MATCH(V473, 'File Links'!C:C, 0)), "N/A", HYPERLINK(INDEX('File Links'!B:B, MATCH(V473, 'File Links'!C:C, 0))))</f>
        <v>https://drive.google.com/file/d/1CclKKmhEg4wBmEAHmGyg_rBfw2qqAy8s/view?usp=drivesdk</v>
      </c>
      <c r="Y473" s="805"/>
      <c r="Z473" s="474" t="s">
        <v>2543</v>
      </c>
      <c r="AA473" s="487" t="s">
        <v>2544</v>
      </c>
      <c r="AB473" s="802" t="s">
        <v>2545</v>
      </c>
      <c r="AC473" s="808" t="s">
        <v>2576</v>
      </c>
      <c r="AD473" s="474" t="s">
        <v>2577</v>
      </c>
      <c r="AE473" s="697" t="s">
        <v>606</v>
      </c>
      <c r="AF473" s="474">
        <v>68.0</v>
      </c>
      <c r="AG473" s="474" t="s">
        <v>1314</v>
      </c>
      <c r="AH473" s="116" t="s">
        <v>127</v>
      </c>
      <c r="AI473" s="805"/>
      <c r="AJ473" s="697">
        <v>0.05</v>
      </c>
      <c r="AK473" s="474" t="s">
        <v>328</v>
      </c>
      <c r="AL473" s="474" t="s">
        <v>179</v>
      </c>
      <c r="AM473" s="528" t="s">
        <v>130</v>
      </c>
      <c r="AN473" s="715" t="s">
        <v>131</v>
      </c>
      <c r="AO473" s="474">
        <v>1018.0</v>
      </c>
      <c r="AP473" s="697">
        <v>0.01</v>
      </c>
      <c r="AQ473" s="697" t="s">
        <v>867</v>
      </c>
      <c r="AR473" s="697" t="s">
        <v>125</v>
      </c>
      <c r="AS473" s="697">
        <v>0.39</v>
      </c>
      <c r="AT473" s="474" t="s">
        <v>165</v>
      </c>
      <c r="AU473" s="474" t="s">
        <v>179</v>
      </c>
      <c r="AV473" s="528" t="s">
        <v>130</v>
      </c>
      <c r="AW473" s="804" t="s">
        <v>2552</v>
      </c>
      <c r="AX473" s="368" t="s">
        <v>136</v>
      </c>
      <c r="AY473" s="805"/>
      <c r="AZ473" s="378" t="s">
        <v>807</v>
      </c>
      <c r="BA473" s="809"/>
      <c r="BB473" s="809"/>
      <c r="BC473" s="809"/>
      <c r="BD473" s="809"/>
      <c r="BE473" s="809"/>
      <c r="BF473" s="809"/>
      <c r="BG473" s="809"/>
      <c r="BH473" s="809"/>
      <c r="BI473" s="809"/>
      <c r="BJ473" s="809"/>
      <c r="BK473" s="809"/>
      <c r="BL473" s="809"/>
      <c r="BM473" s="809"/>
      <c r="BN473" s="809"/>
      <c r="BO473" s="809"/>
      <c r="BP473" s="809"/>
      <c r="BQ473" s="809"/>
      <c r="BR473" s="809"/>
      <c r="BS473" s="809"/>
      <c r="BT473" s="809"/>
      <c r="BU473" s="809"/>
      <c r="BV473" s="809"/>
      <c r="BW473" s="809"/>
      <c r="BX473" s="809"/>
      <c r="BY473" s="809"/>
      <c r="BZ473" s="809"/>
      <c r="CA473" s="809"/>
      <c r="CB473" s="809"/>
      <c r="CC473" s="809"/>
      <c r="CD473" s="809"/>
      <c r="CE473" s="809"/>
      <c r="CF473" s="809"/>
      <c r="CG473" s="809"/>
      <c r="CH473" s="809"/>
      <c r="CI473" s="809"/>
      <c r="CJ473" s="809"/>
      <c r="CK473" s="809"/>
      <c r="CL473" s="809"/>
      <c r="CM473" s="809"/>
      <c r="CN473" s="809"/>
      <c r="CO473" s="809"/>
      <c r="CP473" s="809"/>
      <c r="CQ473" s="809"/>
      <c r="CR473" s="809"/>
      <c r="CS473" s="809"/>
      <c r="CT473" s="809"/>
      <c r="CU473" s="809"/>
      <c r="CV473" s="809"/>
      <c r="CW473" s="809"/>
      <c r="CX473" s="809"/>
      <c r="CY473" s="809"/>
      <c r="CZ473" s="809"/>
      <c r="DA473" s="809"/>
      <c r="DB473" s="809"/>
      <c r="DC473" s="809"/>
      <c r="DD473" s="809"/>
      <c r="DE473" s="809"/>
      <c r="DF473" s="809"/>
      <c r="DG473" s="809"/>
      <c r="DH473" s="809"/>
    </row>
    <row r="474" ht="20.25" customHeight="1">
      <c r="A474" s="41">
        <v>474.0</v>
      </c>
      <c r="B474" s="487" t="s">
        <v>516</v>
      </c>
      <c r="C474" s="487" t="s">
        <v>108</v>
      </c>
      <c r="D474" s="487" t="s">
        <v>225</v>
      </c>
      <c r="E474" s="800"/>
      <c r="F474" s="378" t="s">
        <v>2534</v>
      </c>
      <c r="G474" s="487" t="s">
        <v>2578</v>
      </c>
      <c r="H474" s="487" t="s">
        <v>228</v>
      </c>
      <c r="I474" s="801">
        <v>45626.0</v>
      </c>
      <c r="J474" s="167">
        <v>45786.0</v>
      </c>
      <c r="K474" s="487" t="s">
        <v>252</v>
      </c>
      <c r="L474" s="800"/>
      <c r="M474" s="487" t="s">
        <v>2538</v>
      </c>
      <c r="N474" s="487" t="s">
        <v>2539</v>
      </c>
      <c r="O474" s="802">
        <v>2.0</v>
      </c>
      <c r="P474" s="803" t="str">
        <f> hyperlink(vlookup(lower(N474),'File Links'!A:B, 2, FALSE), SUBSTITUTE(lower(N474), "/", "--") &amp;  ".pdf")</f>
        <v>10.1086--648381.pdf</v>
      </c>
      <c r="Q474" s="49" t="str">
        <f t="array" ref="Q474"> if(iserror(MATCH(V474, 'File Links'!C:C, 0)), "N/A", HYPERLINK(INDEX('File Links'!B:B, MATCH(P474, 'File Links'!C:C, 0))))</f>
        <v>https://drive.google.com/file/d/14GutnAtB1f13xcVqwnhfc_-RMT6AP_5B/view?usp=drivesdk</v>
      </c>
      <c r="R474" s="487" t="s">
        <v>2540</v>
      </c>
      <c r="S474" s="487" t="s">
        <v>2541</v>
      </c>
      <c r="T474" s="800"/>
      <c r="U474" s="487">
        <v>1.0</v>
      </c>
      <c r="V474" s="195" t="str">
        <f t="shared" si="25"/>
        <v>10.1016--j.jesp.2024.104619.pdf</v>
      </c>
      <c r="W474" s="487" t="s">
        <v>2542</v>
      </c>
      <c r="X474" s="51" t="str">
        <f t="array" ref="X474"> if(iserror(MATCH(V474, 'File Links'!C:C, 0)), "N/A", HYPERLINK(INDEX('File Links'!B:B, MATCH(V474, 'File Links'!C:C, 0))))</f>
        <v>https://drive.google.com/file/d/1CclKKmhEg4wBmEAHmGyg_rBfw2qqAy8s/view?usp=drivesdk</v>
      </c>
      <c r="Y474" s="800"/>
      <c r="Z474" s="487" t="s">
        <v>2543</v>
      </c>
      <c r="AA474" s="487" t="s">
        <v>2544</v>
      </c>
      <c r="AB474" s="802" t="s">
        <v>2545</v>
      </c>
      <c r="AC474" s="487" t="s">
        <v>2546</v>
      </c>
      <c r="AD474" s="800"/>
      <c r="AE474" s="800"/>
      <c r="AF474" s="800"/>
      <c r="AG474" s="800"/>
      <c r="AH474" s="800"/>
      <c r="AI474" s="800"/>
      <c r="AJ474" s="487"/>
      <c r="AK474" s="800"/>
      <c r="AL474" s="800"/>
      <c r="AM474" s="481"/>
      <c r="AN474" s="715" t="s">
        <v>131</v>
      </c>
      <c r="AO474" s="487">
        <v>1018.0</v>
      </c>
      <c r="AP474" s="487" t="s">
        <v>2579</v>
      </c>
      <c r="AQ474" s="800"/>
      <c r="AR474" s="800"/>
      <c r="AS474" s="487" t="s">
        <v>2580</v>
      </c>
      <c r="AT474" s="487" t="s">
        <v>165</v>
      </c>
      <c r="AU474" s="487" t="s">
        <v>179</v>
      </c>
      <c r="AV474" s="528" t="s">
        <v>130</v>
      </c>
      <c r="AW474" s="804" t="s">
        <v>2552</v>
      </c>
      <c r="AX474" s="368" t="s">
        <v>136</v>
      </c>
      <c r="AY474" s="800"/>
      <c r="AZ474" s="378" t="s">
        <v>807</v>
      </c>
      <c r="BA474" s="809"/>
      <c r="BB474" s="809"/>
      <c r="BC474" s="809"/>
      <c r="BD474" s="809"/>
      <c r="BE474" s="809"/>
      <c r="BF474" s="809"/>
      <c r="BG474" s="809"/>
      <c r="BH474" s="809"/>
      <c r="BI474" s="809"/>
      <c r="BJ474" s="809"/>
      <c r="BK474" s="809"/>
      <c r="BL474" s="809"/>
      <c r="BM474" s="809"/>
      <c r="BN474" s="809"/>
      <c r="BO474" s="809"/>
      <c r="BP474" s="809"/>
      <c r="BQ474" s="809"/>
      <c r="BR474" s="809"/>
      <c r="BS474" s="809"/>
      <c r="BT474" s="809"/>
      <c r="BU474" s="809"/>
      <c r="BV474" s="809"/>
      <c r="BW474" s="809"/>
      <c r="BX474" s="809"/>
      <c r="BY474" s="809"/>
      <c r="BZ474" s="809"/>
      <c r="CA474" s="809"/>
      <c r="CB474" s="809"/>
      <c r="CC474" s="809"/>
      <c r="CD474" s="809"/>
      <c r="CE474" s="809"/>
      <c r="CF474" s="809"/>
      <c r="CG474" s="809"/>
      <c r="CH474" s="809"/>
      <c r="CI474" s="809"/>
      <c r="CJ474" s="809"/>
      <c r="CK474" s="809"/>
      <c r="CL474" s="809"/>
      <c r="CM474" s="809"/>
      <c r="CN474" s="809"/>
      <c r="CO474" s="809"/>
      <c r="CP474" s="809"/>
      <c r="CQ474" s="809"/>
      <c r="CR474" s="809"/>
      <c r="CS474" s="809"/>
      <c r="CT474" s="809"/>
      <c r="CU474" s="809"/>
      <c r="CV474" s="809"/>
      <c r="CW474" s="809"/>
      <c r="CX474" s="809"/>
      <c r="CY474" s="809"/>
      <c r="CZ474" s="809"/>
      <c r="DA474" s="809"/>
      <c r="DB474" s="809"/>
      <c r="DC474" s="809"/>
      <c r="DD474" s="809"/>
      <c r="DE474" s="809"/>
      <c r="DF474" s="809"/>
      <c r="DG474" s="809"/>
      <c r="DH474" s="809"/>
    </row>
    <row r="475" ht="20.25" customHeight="1">
      <c r="A475" s="41">
        <v>475.0</v>
      </c>
      <c r="B475" s="487" t="s">
        <v>145</v>
      </c>
      <c r="C475" s="474" t="s">
        <v>108</v>
      </c>
      <c r="D475" s="474" t="s">
        <v>241</v>
      </c>
      <c r="E475" s="805"/>
      <c r="F475" s="464" t="s">
        <v>2534</v>
      </c>
      <c r="G475" s="474" t="s">
        <v>2578</v>
      </c>
      <c r="H475" s="474" t="s">
        <v>242</v>
      </c>
      <c r="I475" s="806">
        <v>45625.0</v>
      </c>
      <c r="J475" s="167">
        <v>45786.0</v>
      </c>
      <c r="K475" s="474" t="s">
        <v>2581</v>
      </c>
      <c r="L475" s="474" t="s">
        <v>2582</v>
      </c>
      <c r="M475" s="474" t="s">
        <v>2538</v>
      </c>
      <c r="N475" s="474" t="s">
        <v>2539</v>
      </c>
      <c r="O475" s="802">
        <v>2.0</v>
      </c>
      <c r="P475" s="807" t="str">
        <f> hyperlink(vlookup(lower(N475),'File Links'!A:B, 2, FALSE), SUBSTITUTE(lower(N475), "/", "--") &amp;  ".pdf")</f>
        <v>10.1086--648381.pdf</v>
      </c>
      <c r="Q475" s="49" t="str">
        <f t="array" ref="Q475"> if(iserror(MATCH(V475, 'File Links'!C:C, 0)), "N/A", HYPERLINK(INDEX('File Links'!B:B, MATCH(P475, 'File Links'!C:C, 0))))</f>
        <v>https://drive.google.com/file/d/14GutnAtB1f13xcVqwnhfc_-RMT6AP_5B/view?usp=drivesdk</v>
      </c>
      <c r="R475" s="474" t="s">
        <v>2540</v>
      </c>
      <c r="S475" s="474" t="s">
        <v>2541</v>
      </c>
      <c r="T475" s="805"/>
      <c r="U475" s="697">
        <v>1.0</v>
      </c>
      <c r="V475" s="195" t="str">
        <f t="shared" si="25"/>
        <v>10.1016--j.jesp.2024.104619.pdf</v>
      </c>
      <c r="W475" s="697" t="s">
        <v>2542</v>
      </c>
      <c r="X475" s="51" t="str">
        <f t="array" ref="X475"> if(iserror(MATCH(V475, 'File Links'!C:C, 0)), "N/A", HYPERLINK(INDEX('File Links'!B:B, MATCH(V475, 'File Links'!C:C, 0))))</f>
        <v>https://drive.google.com/file/d/1CclKKmhEg4wBmEAHmGyg_rBfw2qqAy8s/view?usp=drivesdk</v>
      </c>
      <c r="Y475" s="805"/>
      <c r="Z475" s="474" t="s">
        <v>2543</v>
      </c>
      <c r="AA475" s="487" t="s">
        <v>2544</v>
      </c>
      <c r="AB475" s="802" t="s">
        <v>2545</v>
      </c>
      <c r="AC475" s="808" t="s">
        <v>2583</v>
      </c>
      <c r="AD475" s="474" t="s">
        <v>2584</v>
      </c>
      <c r="AE475" s="697" t="s">
        <v>606</v>
      </c>
      <c r="AF475" s="474">
        <v>68.0</v>
      </c>
      <c r="AG475" s="474" t="s">
        <v>2585</v>
      </c>
      <c r="AH475" s="697" t="s">
        <v>127</v>
      </c>
      <c r="AI475" s="697" t="s">
        <v>606</v>
      </c>
      <c r="AJ475" s="474">
        <v>0.04</v>
      </c>
      <c r="AK475" s="474" t="s">
        <v>128</v>
      </c>
      <c r="AL475" s="474" t="s">
        <v>179</v>
      </c>
      <c r="AM475" s="528" t="s">
        <v>130</v>
      </c>
      <c r="AN475" s="715" t="s">
        <v>131</v>
      </c>
      <c r="AO475" s="474">
        <v>1018.0</v>
      </c>
      <c r="AP475" s="474">
        <v>0.0</v>
      </c>
      <c r="AQ475" s="697" t="s">
        <v>867</v>
      </c>
      <c r="AR475" s="697" t="s">
        <v>125</v>
      </c>
      <c r="AS475" s="697">
        <v>0.247</v>
      </c>
      <c r="AT475" s="474" t="s">
        <v>165</v>
      </c>
      <c r="AU475" s="474" t="s">
        <v>179</v>
      </c>
      <c r="AV475" s="528" t="s">
        <v>130</v>
      </c>
      <c r="AW475" s="804" t="s">
        <v>2552</v>
      </c>
      <c r="AX475" s="368" t="s">
        <v>136</v>
      </c>
      <c r="AY475" s="805"/>
      <c r="AZ475" s="378" t="s">
        <v>807</v>
      </c>
      <c r="BA475" s="809"/>
      <c r="BB475" s="809"/>
      <c r="BC475" s="809"/>
      <c r="BD475" s="809"/>
      <c r="BE475" s="809"/>
      <c r="BF475" s="809"/>
      <c r="BG475" s="809"/>
      <c r="BH475" s="809"/>
      <c r="BI475" s="809"/>
      <c r="BJ475" s="809"/>
      <c r="BK475" s="809"/>
      <c r="BL475" s="809"/>
      <c r="BM475" s="809"/>
      <c r="BN475" s="809"/>
      <c r="BO475" s="809"/>
      <c r="BP475" s="809"/>
      <c r="BQ475" s="809"/>
      <c r="BR475" s="809"/>
      <c r="BS475" s="809"/>
      <c r="BT475" s="809"/>
      <c r="BU475" s="809"/>
      <c r="BV475" s="809"/>
      <c r="BW475" s="809"/>
      <c r="BX475" s="809"/>
      <c r="BY475" s="809"/>
      <c r="BZ475" s="809"/>
      <c r="CA475" s="809"/>
      <c r="CB475" s="809"/>
      <c r="CC475" s="809"/>
      <c r="CD475" s="809"/>
      <c r="CE475" s="809"/>
      <c r="CF475" s="809"/>
      <c r="CG475" s="809"/>
      <c r="CH475" s="809"/>
      <c r="CI475" s="809"/>
      <c r="CJ475" s="809"/>
      <c r="CK475" s="809"/>
      <c r="CL475" s="809"/>
      <c r="CM475" s="809"/>
      <c r="CN475" s="809"/>
      <c r="CO475" s="809"/>
      <c r="CP475" s="809"/>
      <c r="CQ475" s="809"/>
      <c r="CR475" s="809"/>
      <c r="CS475" s="809"/>
      <c r="CT475" s="809"/>
      <c r="CU475" s="809"/>
      <c r="CV475" s="809"/>
      <c r="CW475" s="809"/>
      <c r="CX475" s="809"/>
      <c r="CY475" s="809"/>
      <c r="CZ475" s="809"/>
      <c r="DA475" s="809"/>
      <c r="DB475" s="809"/>
      <c r="DC475" s="809"/>
      <c r="DD475" s="809"/>
      <c r="DE475" s="809"/>
      <c r="DF475" s="809"/>
      <c r="DG475" s="809"/>
      <c r="DH475" s="809"/>
    </row>
    <row r="476" ht="20.25" customHeight="1">
      <c r="A476" s="41">
        <v>476.0</v>
      </c>
      <c r="B476" s="487" t="s">
        <v>145</v>
      </c>
      <c r="C476" s="474" t="s">
        <v>108</v>
      </c>
      <c r="D476" s="474" t="s">
        <v>241</v>
      </c>
      <c r="E476" s="805"/>
      <c r="F476" s="464" t="s">
        <v>2534</v>
      </c>
      <c r="G476" s="474" t="s">
        <v>2586</v>
      </c>
      <c r="H476" s="474" t="s">
        <v>242</v>
      </c>
      <c r="I476" s="806">
        <v>45625.0</v>
      </c>
      <c r="J476" s="167">
        <v>45786.0</v>
      </c>
      <c r="K476" s="474" t="s">
        <v>2587</v>
      </c>
      <c r="L476" s="474" t="s">
        <v>2588</v>
      </c>
      <c r="M476" s="474" t="s">
        <v>2538</v>
      </c>
      <c r="N476" s="474" t="s">
        <v>2539</v>
      </c>
      <c r="O476" s="802">
        <v>2.0</v>
      </c>
      <c r="P476" s="807" t="str">
        <f> hyperlink(vlookup(lower(N476),'File Links'!A:B, 2, FALSE), SUBSTITUTE(lower(N476), "/", "--") &amp;  ".pdf")</f>
        <v>10.1086--648381.pdf</v>
      </c>
      <c r="Q476" s="49" t="str">
        <f t="array" ref="Q476"> if(iserror(MATCH(V476, 'File Links'!C:C, 0)), "N/A", HYPERLINK(INDEX('File Links'!B:B, MATCH(P476, 'File Links'!C:C, 0))))</f>
        <v>https://drive.google.com/file/d/14GutnAtB1f13xcVqwnhfc_-RMT6AP_5B/view?usp=drivesdk</v>
      </c>
      <c r="R476" s="474" t="s">
        <v>2540</v>
      </c>
      <c r="S476" s="474" t="s">
        <v>2541</v>
      </c>
      <c r="T476" s="805"/>
      <c r="U476" s="697">
        <v>1.0</v>
      </c>
      <c r="V476" s="195" t="str">
        <f t="shared" si="25"/>
        <v>10.1016--j.jesp.2024.104619.pdf</v>
      </c>
      <c r="W476" s="697" t="s">
        <v>2542</v>
      </c>
      <c r="X476" s="51" t="str">
        <f t="array" ref="X476"> if(iserror(MATCH(V476, 'File Links'!C:C, 0)), "N/A", HYPERLINK(INDEX('File Links'!B:B, MATCH(V476, 'File Links'!C:C, 0))))</f>
        <v>https://drive.google.com/file/d/1CclKKmhEg4wBmEAHmGyg_rBfw2qqAy8s/view?usp=drivesdk</v>
      </c>
      <c r="Y476" s="805"/>
      <c r="Z476" s="474" t="s">
        <v>2543</v>
      </c>
      <c r="AA476" s="487" t="s">
        <v>2544</v>
      </c>
      <c r="AB476" s="802" t="s">
        <v>2545</v>
      </c>
      <c r="AC476" s="808" t="s">
        <v>2589</v>
      </c>
      <c r="AD476" s="474" t="s">
        <v>2590</v>
      </c>
      <c r="AE476" s="697" t="s">
        <v>606</v>
      </c>
      <c r="AF476" s="474">
        <v>68.0</v>
      </c>
      <c r="AG476" s="474" t="s">
        <v>1314</v>
      </c>
      <c r="AH476" s="116" t="s">
        <v>127</v>
      </c>
      <c r="AI476" s="697" t="s">
        <v>606</v>
      </c>
      <c r="AJ476" s="474">
        <v>0.05</v>
      </c>
      <c r="AK476" s="474" t="s">
        <v>328</v>
      </c>
      <c r="AL476" s="474" t="s">
        <v>179</v>
      </c>
      <c r="AM476" s="528" t="s">
        <v>130</v>
      </c>
      <c r="AN476" s="715" t="s">
        <v>131</v>
      </c>
      <c r="AO476" s="474">
        <v>1018.0</v>
      </c>
      <c r="AP476" s="474" t="s">
        <v>2591</v>
      </c>
      <c r="AQ476" s="474" t="s">
        <v>127</v>
      </c>
      <c r="AR476" s="697" t="s">
        <v>2247</v>
      </c>
      <c r="AS476" s="697">
        <v>0.05</v>
      </c>
      <c r="AT476" s="474" t="s">
        <v>328</v>
      </c>
      <c r="AU476" s="474" t="s">
        <v>179</v>
      </c>
      <c r="AV476" s="528" t="s">
        <v>130</v>
      </c>
      <c r="AW476" s="804" t="s">
        <v>2552</v>
      </c>
      <c r="AX476" s="368" t="s">
        <v>136</v>
      </c>
      <c r="AY476" s="805"/>
      <c r="AZ476" s="378" t="s">
        <v>807</v>
      </c>
      <c r="BA476" s="223"/>
      <c r="BB476" s="223"/>
      <c r="BC476" s="223"/>
      <c r="BD476" s="223"/>
      <c r="BE476" s="223"/>
      <c r="BF476" s="223"/>
      <c r="BG476" s="223"/>
      <c r="BH476" s="223"/>
      <c r="BI476" s="223"/>
      <c r="BJ476" s="223"/>
      <c r="BK476" s="223"/>
      <c r="BL476" s="223"/>
      <c r="BM476" s="223"/>
      <c r="BN476" s="223"/>
      <c r="BO476" s="223"/>
      <c r="BP476" s="223"/>
      <c r="BQ476" s="223"/>
      <c r="BR476" s="223"/>
      <c r="BS476" s="223"/>
      <c r="BT476" s="223"/>
      <c r="BU476" s="223"/>
      <c r="BV476" s="223"/>
      <c r="BW476" s="223"/>
      <c r="BX476" s="223"/>
      <c r="BY476" s="223"/>
      <c r="BZ476" s="223"/>
      <c r="CA476" s="223"/>
      <c r="CB476" s="223"/>
      <c r="CC476" s="223"/>
      <c r="CD476" s="223"/>
      <c r="CE476" s="223"/>
      <c r="CF476" s="223"/>
      <c r="CG476" s="223"/>
      <c r="CH476" s="223"/>
      <c r="CI476" s="223"/>
      <c r="CJ476" s="223"/>
      <c r="CK476" s="223"/>
      <c r="CL476" s="223"/>
      <c r="CM476" s="223"/>
      <c r="CN476" s="223"/>
      <c r="CO476" s="223"/>
      <c r="CP476" s="223"/>
      <c r="CQ476" s="223"/>
      <c r="CR476" s="223"/>
      <c r="CS476" s="223"/>
      <c r="CT476" s="223"/>
      <c r="CU476" s="223"/>
      <c r="CV476" s="223"/>
      <c r="CW476" s="223"/>
      <c r="CX476" s="223"/>
      <c r="CY476" s="223"/>
      <c r="CZ476" s="223"/>
      <c r="DA476" s="223"/>
      <c r="DB476" s="223"/>
      <c r="DC476" s="223"/>
      <c r="DD476" s="223"/>
      <c r="DE476" s="223"/>
      <c r="DF476" s="223"/>
      <c r="DG476" s="223"/>
      <c r="DH476" s="223"/>
    </row>
    <row r="477" ht="20.25" customHeight="1">
      <c r="A477" s="41">
        <v>477.0</v>
      </c>
      <c r="B477" s="487" t="s">
        <v>145</v>
      </c>
      <c r="C477" s="474" t="s">
        <v>108</v>
      </c>
      <c r="D477" s="474" t="s">
        <v>241</v>
      </c>
      <c r="E477" s="805"/>
      <c r="F477" s="464" t="s">
        <v>2534</v>
      </c>
      <c r="G477" s="474" t="s">
        <v>2592</v>
      </c>
      <c r="H477" s="474" t="s">
        <v>242</v>
      </c>
      <c r="I477" s="806">
        <v>45625.0</v>
      </c>
      <c r="J477" s="167">
        <v>45786.0</v>
      </c>
      <c r="K477" s="474" t="s">
        <v>2593</v>
      </c>
      <c r="L477" s="474" t="s">
        <v>2594</v>
      </c>
      <c r="M477" s="474" t="s">
        <v>2538</v>
      </c>
      <c r="N477" s="474" t="s">
        <v>2539</v>
      </c>
      <c r="O477" s="802">
        <v>2.0</v>
      </c>
      <c r="P477" s="807" t="str">
        <f> hyperlink(vlookup(lower(N477),'File Links'!A:B, 2, FALSE), SUBSTITUTE(lower(N477), "/", "--") &amp;  ".pdf")</f>
        <v>10.1086--648381.pdf</v>
      </c>
      <c r="Q477" s="49" t="str">
        <f t="array" ref="Q477"> if(iserror(MATCH(V477, 'File Links'!C:C, 0)), "N/A", HYPERLINK(INDEX('File Links'!B:B, MATCH(P477, 'File Links'!C:C, 0))))</f>
        <v>https://drive.google.com/file/d/14GutnAtB1f13xcVqwnhfc_-RMT6AP_5B/view?usp=drivesdk</v>
      </c>
      <c r="R477" s="474" t="s">
        <v>2540</v>
      </c>
      <c r="S477" s="474" t="s">
        <v>2541</v>
      </c>
      <c r="T477" s="805"/>
      <c r="U477" s="697">
        <v>1.0</v>
      </c>
      <c r="V477" s="195" t="str">
        <f t="shared" si="25"/>
        <v>10.1016--j.jesp.2024.104619.pdf</v>
      </c>
      <c r="W477" s="697" t="s">
        <v>2542</v>
      </c>
      <c r="X477" s="51" t="str">
        <f t="array" ref="X477"> if(iserror(MATCH(V477, 'File Links'!C:C, 0)), "N/A", HYPERLINK(INDEX('File Links'!B:B, MATCH(V477, 'File Links'!C:C, 0))))</f>
        <v>https://drive.google.com/file/d/1CclKKmhEg4wBmEAHmGyg_rBfw2qqAy8s/view?usp=drivesdk</v>
      </c>
      <c r="Y477" s="805"/>
      <c r="Z477" s="474" t="s">
        <v>2543</v>
      </c>
      <c r="AA477" s="487" t="s">
        <v>2544</v>
      </c>
      <c r="AB477" s="802" t="s">
        <v>2545</v>
      </c>
      <c r="AC477" s="808" t="s">
        <v>2595</v>
      </c>
      <c r="AD477" s="697" t="s">
        <v>2596</v>
      </c>
      <c r="AE477" s="697" t="s">
        <v>606</v>
      </c>
      <c r="AF477" s="474">
        <v>68.0</v>
      </c>
      <c r="AG477" s="474" t="s">
        <v>2597</v>
      </c>
      <c r="AH477" s="116" t="s">
        <v>127</v>
      </c>
      <c r="AI477" s="697" t="s">
        <v>606</v>
      </c>
      <c r="AJ477" s="474">
        <v>0.02</v>
      </c>
      <c r="AK477" s="474" t="s">
        <v>128</v>
      </c>
      <c r="AL477" s="474" t="s">
        <v>179</v>
      </c>
      <c r="AM477" s="528" t="s">
        <v>130</v>
      </c>
      <c r="AN477" s="715" t="s">
        <v>131</v>
      </c>
      <c r="AO477" s="474">
        <v>1018.0</v>
      </c>
      <c r="AP477" s="697">
        <v>0.01</v>
      </c>
      <c r="AQ477" s="697" t="s">
        <v>867</v>
      </c>
      <c r="AR477" s="697" t="s">
        <v>2247</v>
      </c>
      <c r="AS477" s="697">
        <v>0.03</v>
      </c>
      <c r="AT477" s="474" t="s">
        <v>165</v>
      </c>
      <c r="AU477" s="474" t="s">
        <v>179</v>
      </c>
      <c r="AV477" s="528" t="s">
        <v>130</v>
      </c>
      <c r="AW477" s="804" t="s">
        <v>2552</v>
      </c>
      <c r="AX477" s="368" t="s">
        <v>136</v>
      </c>
      <c r="AY477" s="805"/>
      <c r="AZ477" s="378" t="s">
        <v>807</v>
      </c>
      <c r="BA477" s="223"/>
      <c r="BB477" s="223"/>
      <c r="BC477" s="223"/>
      <c r="BD477" s="223"/>
      <c r="BE477" s="223"/>
      <c r="BF477" s="223"/>
      <c r="BG477" s="223"/>
      <c r="BH477" s="223"/>
      <c r="BI477" s="223"/>
      <c r="BJ477" s="223"/>
      <c r="BK477" s="223"/>
      <c r="BL477" s="223"/>
      <c r="BM477" s="223"/>
      <c r="BN477" s="223"/>
      <c r="BO477" s="223"/>
      <c r="BP477" s="223"/>
      <c r="BQ477" s="223"/>
      <c r="BR477" s="223"/>
      <c r="BS477" s="223"/>
      <c r="BT477" s="223"/>
      <c r="BU477" s="223"/>
      <c r="BV477" s="223"/>
      <c r="BW477" s="223"/>
      <c r="BX477" s="223"/>
      <c r="BY477" s="223"/>
      <c r="BZ477" s="223"/>
      <c r="CA477" s="223"/>
      <c r="CB477" s="223"/>
      <c r="CC477" s="223"/>
      <c r="CD477" s="223"/>
      <c r="CE477" s="223"/>
      <c r="CF477" s="223"/>
      <c r="CG477" s="223"/>
      <c r="CH477" s="223"/>
      <c r="CI477" s="223"/>
      <c r="CJ477" s="223"/>
      <c r="CK477" s="223"/>
      <c r="CL477" s="223"/>
      <c r="CM477" s="223"/>
      <c r="CN477" s="223"/>
      <c r="CO477" s="223"/>
      <c r="CP477" s="223"/>
      <c r="CQ477" s="223"/>
      <c r="CR477" s="223"/>
      <c r="CS477" s="223"/>
      <c r="CT477" s="223"/>
      <c r="CU477" s="223"/>
      <c r="CV477" s="223"/>
      <c r="CW477" s="223"/>
      <c r="CX477" s="223"/>
      <c r="CY477" s="223"/>
      <c r="CZ477" s="223"/>
      <c r="DA477" s="223"/>
      <c r="DB477" s="223"/>
      <c r="DC477" s="223"/>
      <c r="DD477" s="223"/>
      <c r="DE477" s="223"/>
      <c r="DF477" s="223"/>
      <c r="DG477" s="223"/>
      <c r="DH477" s="223"/>
    </row>
    <row r="478" ht="20.25" customHeight="1">
      <c r="A478" s="41">
        <v>478.0</v>
      </c>
      <c r="B478" s="665" t="s">
        <v>145</v>
      </c>
      <c r="C478" s="665" t="s">
        <v>108</v>
      </c>
      <c r="D478" s="665" t="s">
        <v>192</v>
      </c>
      <c r="E478" s="810"/>
      <c r="F478" s="122" t="s">
        <v>2598</v>
      </c>
      <c r="G478" s="123" t="s">
        <v>2599</v>
      </c>
      <c r="H478" s="123" t="s">
        <v>195</v>
      </c>
      <c r="I478" s="124">
        <v>45639.0</v>
      </c>
      <c r="J478" s="125">
        <v>45672.0</v>
      </c>
      <c r="K478" s="123" t="s">
        <v>2600</v>
      </c>
      <c r="L478" s="209" t="s">
        <v>2601</v>
      </c>
      <c r="M478" s="811" t="s">
        <v>2602</v>
      </c>
      <c r="N478" s="812" t="s">
        <v>2603</v>
      </c>
      <c r="O478" s="216">
        <v>1.0</v>
      </c>
      <c r="P478" s="220" t="s">
        <v>2604</v>
      </c>
      <c r="Q478" s="49" t="str">
        <f t="array" ref="Q478"> if(iserror(MATCH(V478, 'File Links'!C:C, 0)), "N/A", HYPERLINK(INDEX('File Links'!B:B, MATCH(P478, 'File Links'!C:C, 0))))</f>
        <v>https://drive.google.com/file/d/1JkE16HX10SxkzianGctH-9nm-XFaoMsF/view?usp=drivesdk</v>
      </c>
      <c r="R478" s="123" t="s">
        <v>2605</v>
      </c>
      <c r="S478" s="123" t="s">
        <v>2606</v>
      </c>
      <c r="T478" s="129"/>
      <c r="U478" s="216">
        <v>1.0</v>
      </c>
      <c r="V478" s="195" t="str">
        <f t="shared" si="25"/>
        <v>10.1007--s40732-024-00601-4.pdf</v>
      </c>
      <c r="W478" s="109" t="s">
        <v>2607</v>
      </c>
      <c r="X478" s="51" t="str">
        <f t="array" ref="X478"> if(iserror(MATCH(V478, 'File Links'!C:C, 0)), "N/A", HYPERLINK(INDEX('File Links'!B:B, MATCH(V478, 'File Links'!C:C, 0))))</f>
        <v>https://drive.google.com/file/d/1AxhabG9V7_RjgC05iqRfwY_LBYsC-1Lv/view?usp=drivesdk</v>
      </c>
      <c r="Y478" s="129"/>
      <c r="Z478" s="109" t="s">
        <v>141</v>
      </c>
      <c r="AA478" s="109" t="s">
        <v>2608</v>
      </c>
      <c r="AB478" s="113" t="s">
        <v>2609</v>
      </c>
      <c r="AC478" s="144" t="s">
        <v>2610</v>
      </c>
      <c r="AD478" s="113" t="s">
        <v>2611</v>
      </c>
      <c r="AE478" s="216">
        <v>3.0</v>
      </c>
      <c r="AF478" s="216">
        <v>2.0</v>
      </c>
      <c r="AG478" s="216">
        <v>0.96</v>
      </c>
      <c r="AH478" s="216" t="s">
        <v>2612</v>
      </c>
      <c r="AI478" s="216" t="s">
        <v>2613</v>
      </c>
      <c r="AJ478" s="216">
        <v>0.001</v>
      </c>
      <c r="AK478" s="42" t="s">
        <v>128</v>
      </c>
      <c r="AL478" s="42" t="s">
        <v>179</v>
      </c>
      <c r="AM478" s="404" t="s">
        <v>134</v>
      </c>
      <c r="AN478" s="216" t="s">
        <v>131</v>
      </c>
      <c r="AO478" s="216">
        <v>1.0</v>
      </c>
      <c r="AP478" s="216">
        <v>0.85</v>
      </c>
      <c r="AQ478" s="216" t="s">
        <v>2612</v>
      </c>
      <c r="AR478" s="216" t="s">
        <v>2614</v>
      </c>
      <c r="AS478" s="216" t="s">
        <v>131</v>
      </c>
      <c r="AT478" s="216" t="s">
        <v>131</v>
      </c>
      <c r="AU478" s="216" t="s">
        <v>131</v>
      </c>
      <c r="AV478" s="216" t="s">
        <v>131</v>
      </c>
      <c r="AW478" s="216" t="s">
        <v>131</v>
      </c>
      <c r="AX478" s="714" t="s">
        <v>144</v>
      </c>
      <c r="AY478" s="126" t="s">
        <v>2601</v>
      </c>
      <c r="AZ478" s="121" t="s">
        <v>137</v>
      </c>
      <c r="BA478" s="223"/>
      <c r="BB478" s="223"/>
      <c r="BC478" s="223"/>
      <c r="BD478" s="223"/>
      <c r="BE478" s="223"/>
      <c r="BF478" s="223"/>
      <c r="BG478" s="223"/>
      <c r="BH478" s="223"/>
      <c r="BI478" s="223"/>
      <c r="BJ478" s="223"/>
      <c r="BK478" s="223"/>
      <c r="BL478" s="223"/>
      <c r="BM478" s="223"/>
      <c r="BN478" s="223"/>
      <c r="BO478" s="223"/>
      <c r="BP478" s="223"/>
      <c r="BQ478" s="223"/>
      <c r="BR478" s="223"/>
      <c r="BS478" s="223"/>
      <c r="BT478" s="223"/>
      <c r="BU478" s="223"/>
      <c r="BV478" s="223"/>
      <c r="BW478" s="223"/>
      <c r="BX478" s="223"/>
      <c r="BY478" s="223"/>
      <c r="BZ478" s="223"/>
      <c r="CA478" s="223"/>
      <c r="CB478" s="223"/>
      <c r="CC478" s="223"/>
      <c r="CD478" s="223"/>
      <c r="CE478" s="223"/>
      <c r="CF478" s="223"/>
      <c r="CG478" s="223"/>
      <c r="CH478" s="223"/>
      <c r="CI478" s="223"/>
      <c r="CJ478" s="223"/>
      <c r="CK478" s="223"/>
      <c r="CL478" s="223"/>
      <c r="CM478" s="223"/>
      <c r="CN478" s="223"/>
      <c r="CO478" s="223"/>
      <c r="CP478" s="223"/>
      <c r="CQ478" s="223"/>
      <c r="CR478" s="223"/>
      <c r="CS478" s="223"/>
      <c r="CT478" s="223"/>
      <c r="CU478" s="223"/>
      <c r="CV478" s="223"/>
      <c r="CW478" s="223"/>
      <c r="CX478" s="223"/>
      <c r="CY478" s="223"/>
      <c r="CZ478" s="223"/>
      <c r="DA478" s="223"/>
      <c r="DB478" s="223"/>
      <c r="DC478" s="223"/>
      <c r="DD478" s="223"/>
      <c r="DE478" s="223"/>
      <c r="DF478" s="223"/>
      <c r="DG478" s="223"/>
      <c r="DH478" s="223"/>
    </row>
    <row r="479" ht="20.25" customHeight="1">
      <c r="A479" s="41">
        <v>479.0</v>
      </c>
      <c r="B479" s="146" t="s">
        <v>107</v>
      </c>
      <c r="C479" s="146" t="s">
        <v>108</v>
      </c>
      <c r="D479" s="146" t="s">
        <v>214</v>
      </c>
      <c r="E479" s="69"/>
      <c r="F479" s="108" t="s">
        <v>2598</v>
      </c>
      <c r="G479" s="109" t="s">
        <v>2599</v>
      </c>
      <c r="H479" s="109" t="s">
        <v>215</v>
      </c>
      <c r="I479" s="414">
        <v>45641.0</v>
      </c>
      <c r="J479" s="125">
        <v>45672.0</v>
      </c>
      <c r="K479" s="109" t="s">
        <v>2615</v>
      </c>
      <c r="L479" s="111"/>
      <c r="M479" s="813" t="s">
        <v>2616</v>
      </c>
      <c r="N479" s="814" t="s">
        <v>2603</v>
      </c>
      <c r="O479" s="111"/>
      <c r="P479" s="118" t="s">
        <v>2604</v>
      </c>
      <c r="Q479" s="49" t="str">
        <f t="array" ref="Q479"> if(iserror(MATCH(V479, 'File Links'!C:C, 0)), "N/A", HYPERLINK(INDEX('File Links'!B:B, MATCH(P479, 'File Links'!C:C, 0))))</f>
        <v>https://drive.google.com/file/d/1JkE16HX10SxkzianGctH-9nm-XFaoMsF/view?usp=drivesdk</v>
      </c>
      <c r="R479" s="109" t="s">
        <v>2605</v>
      </c>
      <c r="S479" s="109" t="s">
        <v>2606</v>
      </c>
      <c r="T479" s="111"/>
      <c r="U479" s="117"/>
      <c r="V479" s="195" t="str">
        <f t="shared" si="25"/>
        <v>10.1007--s40732-024-00601-4.pdf</v>
      </c>
      <c r="W479" s="109" t="s">
        <v>2607</v>
      </c>
      <c r="X479" s="51" t="str">
        <f t="array" ref="X479"> if(iserror(MATCH(V479, 'File Links'!C:C, 0)), "N/A", HYPERLINK(INDEX('File Links'!B:B, MATCH(V479, 'File Links'!C:C, 0))))</f>
        <v>https://drive.google.com/file/d/1AxhabG9V7_RjgC05iqRfwY_LBYsC-1Lv/view?usp=drivesdk</v>
      </c>
      <c r="Y479" s="111"/>
      <c r="Z479" s="109" t="s">
        <v>141</v>
      </c>
      <c r="AA479" s="109" t="s">
        <v>2608</v>
      </c>
      <c r="AB479" s="109" t="s">
        <v>2617</v>
      </c>
      <c r="AC479" s="111"/>
      <c r="AD479" s="109" t="s">
        <v>2618</v>
      </c>
      <c r="AE479" s="111"/>
      <c r="AF479" s="111"/>
      <c r="AG479" s="111"/>
      <c r="AH479" s="117"/>
      <c r="AI479" s="111"/>
      <c r="AJ479" s="111"/>
      <c r="AK479" s="108"/>
      <c r="AL479" s="111"/>
      <c r="AM479" s="111"/>
      <c r="AN479" s="111"/>
      <c r="AO479" s="111"/>
      <c r="AP479" s="111"/>
      <c r="AQ479" s="111"/>
      <c r="AR479" s="111"/>
      <c r="AS479" s="111"/>
      <c r="AT479" s="108"/>
      <c r="AU479" s="108"/>
      <c r="AV479" s="108"/>
      <c r="AW479" s="108"/>
      <c r="AX479" s="108"/>
      <c r="AY479" s="58"/>
      <c r="AZ479" s="146" t="s">
        <v>137</v>
      </c>
      <c r="BA479" s="223"/>
      <c r="BB479" s="223"/>
      <c r="BC479" s="223"/>
      <c r="BD479" s="223"/>
      <c r="BE479" s="223"/>
      <c r="BF479" s="223"/>
      <c r="BG479" s="223"/>
      <c r="BH479" s="223"/>
      <c r="BI479" s="223"/>
      <c r="BJ479" s="223"/>
      <c r="BK479" s="223"/>
      <c r="BL479" s="223"/>
      <c r="BM479" s="223"/>
      <c r="BN479" s="223"/>
      <c r="BO479" s="223"/>
      <c r="BP479" s="223"/>
      <c r="BQ479" s="223"/>
      <c r="BR479" s="223"/>
      <c r="BS479" s="223"/>
      <c r="BT479" s="223"/>
      <c r="BU479" s="223"/>
      <c r="BV479" s="223"/>
      <c r="BW479" s="223"/>
      <c r="BX479" s="223"/>
      <c r="BY479" s="223"/>
      <c r="BZ479" s="223"/>
      <c r="CA479" s="223"/>
      <c r="CB479" s="223"/>
      <c r="CC479" s="223"/>
      <c r="CD479" s="223"/>
      <c r="CE479" s="223"/>
      <c r="CF479" s="223"/>
      <c r="CG479" s="223"/>
      <c r="CH479" s="223"/>
      <c r="CI479" s="223"/>
      <c r="CJ479" s="223"/>
      <c r="CK479" s="223"/>
      <c r="CL479" s="223"/>
      <c r="CM479" s="223"/>
      <c r="CN479" s="223"/>
      <c r="CO479" s="223"/>
      <c r="CP479" s="223"/>
      <c r="CQ479" s="223"/>
      <c r="CR479" s="223"/>
      <c r="CS479" s="223"/>
      <c r="CT479" s="223"/>
      <c r="CU479" s="223"/>
      <c r="CV479" s="223"/>
      <c r="CW479" s="223"/>
      <c r="CX479" s="223"/>
      <c r="CY479" s="223"/>
      <c r="CZ479" s="223"/>
      <c r="DA479" s="223"/>
      <c r="DB479" s="223"/>
      <c r="DC479" s="223"/>
      <c r="DD479" s="223"/>
      <c r="DE479" s="223"/>
      <c r="DF479" s="223"/>
      <c r="DG479" s="223"/>
      <c r="DH479" s="223"/>
    </row>
    <row r="480" ht="20.25" customHeight="1">
      <c r="A480" s="41">
        <v>480.0</v>
      </c>
      <c r="B480" s="665" t="s">
        <v>145</v>
      </c>
      <c r="C480" s="665" t="s">
        <v>108</v>
      </c>
      <c r="D480" s="665" t="s">
        <v>192</v>
      </c>
      <c r="E480" s="810"/>
      <c r="F480" s="122" t="s">
        <v>2598</v>
      </c>
      <c r="G480" s="116" t="s">
        <v>2619</v>
      </c>
      <c r="H480" s="123" t="s">
        <v>195</v>
      </c>
      <c r="I480" s="124">
        <v>45639.0</v>
      </c>
      <c r="J480" s="125">
        <v>45672.0</v>
      </c>
      <c r="K480" s="123" t="s">
        <v>2600</v>
      </c>
      <c r="L480" s="216" t="s">
        <v>2620</v>
      </c>
      <c r="M480" s="811" t="s">
        <v>2621</v>
      </c>
      <c r="N480" s="812" t="s">
        <v>2603</v>
      </c>
      <c r="O480" s="216">
        <v>1.0</v>
      </c>
      <c r="P480" s="220" t="s">
        <v>2604</v>
      </c>
      <c r="Q480" s="49" t="str">
        <f t="array" ref="Q480"> if(iserror(MATCH(V480, 'File Links'!C:C, 0)), "N/A", HYPERLINK(INDEX('File Links'!B:B, MATCH(P480, 'File Links'!C:C, 0))))</f>
        <v>https://drive.google.com/file/d/1JkE16HX10SxkzianGctH-9nm-XFaoMsF/view?usp=drivesdk</v>
      </c>
      <c r="R480" s="123" t="s">
        <v>2605</v>
      </c>
      <c r="S480" s="123" t="s">
        <v>2606</v>
      </c>
      <c r="T480" s="129"/>
      <c r="U480" s="216">
        <v>1.0</v>
      </c>
      <c r="V480" s="195" t="str">
        <f t="shared" si="25"/>
        <v>10.1007--s40732-024-00601-4.pdf</v>
      </c>
      <c r="W480" s="109" t="s">
        <v>2607</v>
      </c>
      <c r="X480" s="51" t="str">
        <f t="array" ref="X480"> if(iserror(MATCH(V480, 'File Links'!C:C, 0)), "N/A", HYPERLINK(INDEX('File Links'!B:B, MATCH(V480, 'File Links'!C:C, 0))))</f>
        <v>https://drive.google.com/file/d/1AxhabG9V7_RjgC05iqRfwY_LBYsC-1Lv/view?usp=drivesdk</v>
      </c>
      <c r="Y480" s="129"/>
      <c r="Z480" s="109" t="s">
        <v>141</v>
      </c>
      <c r="AA480" s="109" t="s">
        <v>2608</v>
      </c>
      <c r="AB480" s="113" t="s">
        <v>2609</v>
      </c>
      <c r="AC480" s="144" t="s">
        <v>2622</v>
      </c>
      <c r="AD480" s="113" t="s">
        <v>2611</v>
      </c>
      <c r="AE480" s="216">
        <v>3.0</v>
      </c>
      <c r="AF480" s="216">
        <v>2.0</v>
      </c>
      <c r="AG480" s="216">
        <v>0.8</v>
      </c>
      <c r="AH480" s="216" t="s">
        <v>2612</v>
      </c>
      <c r="AI480" s="216" t="s">
        <v>2613</v>
      </c>
      <c r="AJ480" s="216">
        <v>0.003</v>
      </c>
      <c r="AK480" s="404" t="s">
        <v>165</v>
      </c>
      <c r="AL480" s="42" t="s">
        <v>179</v>
      </c>
      <c r="AM480" s="404" t="s">
        <v>134</v>
      </c>
      <c r="AN480" s="216" t="s">
        <v>131</v>
      </c>
      <c r="AO480" s="216">
        <v>1.0</v>
      </c>
      <c r="AP480" s="216">
        <v>0.85</v>
      </c>
      <c r="AQ480" s="216" t="s">
        <v>2612</v>
      </c>
      <c r="AR480" s="216" t="s">
        <v>2614</v>
      </c>
      <c r="AS480" s="216" t="s">
        <v>131</v>
      </c>
      <c r="AT480" s="216" t="s">
        <v>131</v>
      </c>
      <c r="AU480" s="216" t="s">
        <v>131</v>
      </c>
      <c r="AV480" s="216" t="s">
        <v>131</v>
      </c>
      <c r="AW480" s="216" t="s">
        <v>131</v>
      </c>
      <c r="AX480" s="714" t="s">
        <v>144</v>
      </c>
      <c r="AY480" s="126"/>
      <c r="AZ480" s="59" t="s">
        <v>137</v>
      </c>
      <c r="BA480" s="223"/>
      <c r="BB480" s="223"/>
      <c r="BC480" s="223"/>
      <c r="BD480" s="223"/>
      <c r="BE480" s="223"/>
      <c r="BF480" s="223"/>
      <c r="BG480" s="223"/>
      <c r="BH480" s="223"/>
      <c r="BI480" s="223"/>
      <c r="BJ480" s="223"/>
      <c r="BK480" s="223"/>
      <c r="BL480" s="223"/>
      <c r="BM480" s="223"/>
      <c r="BN480" s="223"/>
      <c r="BO480" s="223"/>
      <c r="BP480" s="223"/>
      <c r="BQ480" s="223"/>
      <c r="BR480" s="223"/>
      <c r="BS480" s="223"/>
      <c r="BT480" s="223"/>
      <c r="BU480" s="223"/>
      <c r="BV480" s="223"/>
      <c r="BW480" s="223"/>
      <c r="BX480" s="223"/>
      <c r="BY480" s="223"/>
      <c r="BZ480" s="223"/>
      <c r="CA480" s="223"/>
      <c r="CB480" s="223"/>
      <c r="CC480" s="223"/>
      <c r="CD480" s="223"/>
      <c r="CE480" s="223"/>
      <c r="CF480" s="223"/>
      <c r="CG480" s="223"/>
      <c r="CH480" s="223"/>
      <c r="CI480" s="223"/>
      <c r="CJ480" s="223"/>
      <c r="CK480" s="223"/>
      <c r="CL480" s="223"/>
      <c r="CM480" s="223"/>
      <c r="CN480" s="223"/>
      <c r="CO480" s="223"/>
      <c r="CP480" s="223"/>
      <c r="CQ480" s="223"/>
      <c r="CR480" s="223"/>
      <c r="CS480" s="223"/>
      <c r="CT480" s="223"/>
      <c r="CU480" s="223"/>
      <c r="CV480" s="223"/>
      <c r="CW480" s="223"/>
      <c r="CX480" s="223"/>
      <c r="CY480" s="223"/>
      <c r="CZ480" s="223"/>
      <c r="DA480" s="223"/>
      <c r="DB480" s="223"/>
      <c r="DC480" s="223"/>
      <c r="DD480" s="223"/>
      <c r="DE480" s="223"/>
      <c r="DF480" s="223"/>
      <c r="DG480" s="223"/>
      <c r="DH480" s="223"/>
    </row>
    <row r="481" ht="20.25" customHeight="1">
      <c r="A481" s="41">
        <v>481.0</v>
      </c>
      <c r="B481" s="121" t="s">
        <v>583</v>
      </c>
      <c r="C481" s="121" t="s">
        <v>108</v>
      </c>
      <c r="D481" s="121" t="s">
        <v>2623</v>
      </c>
      <c r="E481" s="104"/>
      <c r="F481" s="137" t="s">
        <v>2624</v>
      </c>
      <c r="G481" s="123" t="s">
        <v>2625</v>
      </c>
      <c r="H481" s="137" t="s">
        <v>2626</v>
      </c>
      <c r="I481" s="124">
        <v>45654.0</v>
      </c>
      <c r="J481" s="815">
        <v>45673.0</v>
      </c>
      <c r="K481" s="122"/>
      <c r="L481" s="216" t="s">
        <v>2627</v>
      </c>
      <c r="M481" s="137" t="s">
        <v>2628</v>
      </c>
      <c r="N481" s="816" t="s">
        <v>2629</v>
      </c>
      <c r="O481" s="779"/>
      <c r="P481" s="137" t="s">
        <v>2630</v>
      </c>
      <c r="Q481" s="49" t="str">
        <f t="array" ref="Q481"> if(iserror(MATCH(V481, 'File Links'!C:C, 0)), "N/A", HYPERLINK(INDEX('File Links'!B:B, MATCH(P481, 'File Links'!C:C, 0))))</f>
        <v>https://drive.google.com/file/d/1qyGORRGdQy-kyOSM_2vtKP7-BEAhuKWX/view?usp=drivesdk</v>
      </c>
      <c r="R481" s="816" t="s">
        <v>2631</v>
      </c>
      <c r="S481" s="226" t="s">
        <v>2632</v>
      </c>
      <c r="T481" s="122"/>
      <c r="U481" s="116">
        <v>1.0</v>
      </c>
      <c r="V481" s="195" t="str">
        <f t="shared" si="25"/>
        <v>10.1016--j.appet.2023.106554.pdf</v>
      </c>
      <c r="W481" s="816" t="s">
        <v>157</v>
      </c>
      <c r="X481" s="51" t="str">
        <f t="array" ref="X481"> if(iserror(MATCH(V481, 'File Links'!C:C, 0)), "N/A", HYPERLINK(INDEX('File Links'!B:B, MATCH(V481, 'File Links'!C:C, 0))))</f>
        <v>https://drive.google.com/file/d/16j_GiBODVfACftG20Niq4aIRC_kU8qsZ/view?usp=drivesdk</v>
      </c>
      <c r="Y481" s="122"/>
      <c r="Z481" s="816" t="s">
        <v>219</v>
      </c>
      <c r="AA481" s="816" t="s">
        <v>2633</v>
      </c>
      <c r="AB481" s="816" t="s">
        <v>2634</v>
      </c>
      <c r="AC481" s="816" t="s">
        <v>2635</v>
      </c>
      <c r="AD481" s="816" t="s">
        <v>2636</v>
      </c>
      <c r="AE481" s="817">
        <v>4.0</v>
      </c>
      <c r="AF481" s="817">
        <v>1068.0</v>
      </c>
      <c r="AG481" s="817">
        <v>0.33</v>
      </c>
      <c r="AH481" s="818" t="s">
        <v>166</v>
      </c>
      <c r="AI481" s="819" t="s">
        <v>2637</v>
      </c>
      <c r="AJ481" s="820">
        <v>0.01</v>
      </c>
      <c r="AK481" s="816" t="s">
        <v>165</v>
      </c>
      <c r="AL481" s="219" t="s">
        <v>129</v>
      </c>
      <c r="AM481" s="821" t="s">
        <v>130</v>
      </c>
      <c r="AN481" s="216" t="s">
        <v>131</v>
      </c>
      <c r="AO481" s="817">
        <v>533.0</v>
      </c>
      <c r="AP481" s="817">
        <v>0.28</v>
      </c>
      <c r="AQ481" s="816" t="s">
        <v>166</v>
      </c>
      <c r="AR481" s="816" t="s">
        <v>2638</v>
      </c>
      <c r="AS481" s="817">
        <v>0.003</v>
      </c>
      <c r="AT481" s="816" t="s">
        <v>165</v>
      </c>
      <c r="AU481" s="816" t="s">
        <v>129</v>
      </c>
      <c r="AV481" s="821" t="s">
        <v>130</v>
      </c>
      <c r="AW481" s="122"/>
      <c r="AX481" s="821" t="s">
        <v>136</v>
      </c>
      <c r="AY481" s="126"/>
      <c r="AZ481" s="104"/>
      <c r="BA481" s="223"/>
      <c r="BB481" s="223"/>
      <c r="BC481" s="223"/>
      <c r="BD481" s="223"/>
      <c r="BE481" s="223"/>
      <c r="BF481" s="223"/>
      <c r="BG481" s="223"/>
      <c r="BH481" s="223"/>
      <c r="BI481" s="223"/>
      <c r="BJ481" s="223"/>
      <c r="BK481" s="223"/>
      <c r="BL481" s="223"/>
      <c r="BM481" s="223"/>
      <c r="BN481" s="223"/>
      <c r="BO481" s="223"/>
      <c r="BP481" s="223"/>
      <c r="BQ481" s="223"/>
      <c r="BR481" s="223"/>
      <c r="BS481" s="223"/>
      <c r="BT481" s="223"/>
      <c r="BU481" s="223"/>
      <c r="BV481" s="223"/>
      <c r="BW481" s="223"/>
      <c r="BX481" s="223"/>
      <c r="BY481" s="223"/>
      <c r="BZ481" s="223"/>
      <c r="CA481" s="223"/>
      <c r="CB481" s="223"/>
      <c r="CC481" s="223"/>
      <c r="CD481" s="223"/>
      <c r="CE481" s="223"/>
      <c r="CF481" s="223"/>
      <c r="CG481" s="223"/>
      <c r="CH481" s="223"/>
      <c r="CI481" s="223"/>
      <c r="CJ481" s="223"/>
      <c r="CK481" s="223"/>
      <c r="CL481" s="223"/>
      <c r="CM481" s="223"/>
      <c r="CN481" s="223"/>
      <c r="CO481" s="223"/>
      <c r="CP481" s="223"/>
      <c r="CQ481" s="223"/>
      <c r="CR481" s="223"/>
      <c r="CS481" s="223"/>
      <c r="CT481" s="223"/>
      <c r="CU481" s="223"/>
      <c r="CV481" s="223"/>
      <c r="CW481" s="223"/>
      <c r="CX481" s="223"/>
      <c r="CY481" s="223"/>
      <c r="CZ481" s="223"/>
      <c r="DA481" s="223"/>
      <c r="DB481" s="223"/>
      <c r="DC481" s="223"/>
      <c r="DD481" s="223"/>
      <c r="DE481" s="223"/>
      <c r="DF481" s="223"/>
      <c r="DG481" s="223"/>
      <c r="DH481" s="223"/>
    </row>
    <row r="482" ht="20.25" customHeight="1">
      <c r="A482" s="41">
        <v>482.0</v>
      </c>
      <c r="B482" s="121" t="s">
        <v>583</v>
      </c>
      <c r="C482" s="224" t="s">
        <v>108</v>
      </c>
      <c r="D482" s="224" t="s">
        <v>214</v>
      </c>
      <c r="E482" s="225"/>
      <c r="F482" s="234" t="s">
        <v>2624</v>
      </c>
      <c r="G482" s="226" t="s">
        <v>2639</v>
      </c>
      <c r="H482" s="228" t="s">
        <v>215</v>
      </c>
      <c r="I482" s="227">
        <v>45640.0</v>
      </c>
      <c r="J482" s="815">
        <v>45673.0</v>
      </c>
      <c r="K482" s="226" t="s">
        <v>2640</v>
      </c>
      <c r="L482" s="216" t="s">
        <v>2627</v>
      </c>
      <c r="M482" s="226" t="s">
        <v>2641</v>
      </c>
      <c r="N482" s="226" t="s">
        <v>2629</v>
      </c>
      <c r="O482" s="228"/>
      <c r="P482" s="230" t="s">
        <v>2630</v>
      </c>
      <c r="Q482" s="49" t="str">
        <f t="array" ref="Q482"> if(iserror(MATCH(V482, 'File Links'!C:C, 0)), "N/A", HYPERLINK(INDEX('File Links'!B:B, MATCH(P482, 'File Links'!C:C, 0))))</f>
        <v>https://drive.google.com/file/d/1qyGORRGdQy-kyOSM_2vtKP7-BEAhuKWX/view?usp=drivesdk</v>
      </c>
      <c r="R482" s="226" t="s">
        <v>2631</v>
      </c>
      <c r="S482" s="226" t="s">
        <v>2632</v>
      </c>
      <c r="T482" s="226"/>
      <c r="U482" s="692">
        <v>1.0</v>
      </c>
      <c r="V482" s="195" t="str">
        <f t="shared" si="25"/>
        <v>10.1016--j.appet.2023.106554.pdf</v>
      </c>
      <c r="W482" s="816" t="s">
        <v>157</v>
      </c>
      <c r="X482" s="51" t="str">
        <f t="array" ref="X482"> if(iserror(MATCH(V482, 'File Links'!C:C, 0)), "N/A", HYPERLINK(INDEX('File Links'!B:B, MATCH(V482, 'File Links'!C:C, 0))))</f>
        <v>https://drive.google.com/file/d/16j_GiBODVfACftG20Niq4aIRC_kU8qsZ/view?usp=drivesdk</v>
      </c>
      <c r="Y482" s="228"/>
      <c r="Z482" s="226" t="s">
        <v>219</v>
      </c>
      <c r="AA482" s="226" t="s">
        <v>2642</v>
      </c>
      <c r="AB482" s="226" t="s">
        <v>2643</v>
      </c>
      <c r="AC482" s="226" t="s">
        <v>2644</v>
      </c>
      <c r="AD482" s="226" t="s">
        <v>2645</v>
      </c>
      <c r="AE482" s="229">
        <v>4.0</v>
      </c>
      <c r="AF482" s="229">
        <v>395.0</v>
      </c>
      <c r="AG482" s="229">
        <v>0.0</v>
      </c>
      <c r="AH482" s="696"/>
      <c r="AI482" s="226" t="s">
        <v>489</v>
      </c>
      <c r="AJ482" s="229">
        <v>0.01</v>
      </c>
      <c r="AK482" s="232" t="s">
        <v>128</v>
      </c>
      <c r="AL482" s="226" t="s">
        <v>129</v>
      </c>
      <c r="AM482" s="228" t="s">
        <v>130</v>
      </c>
      <c r="AN482" s="216" t="s">
        <v>131</v>
      </c>
      <c r="AO482" s="229">
        <v>190.0</v>
      </c>
      <c r="AP482" s="229">
        <v>53.19</v>
      </c>
      <c r="AQ482" s="226" t="s">
        <v>127</v>
      </c>
      <c r="AR482" s="226" t="s">
        <v>125</v>
      </c>
      <c r="AS482" s="229">
        <v>0.01</v>
      </c>
      <c r="AT482" s="232" t="s">
        <v>128</v>
      </c>
      <c r="AU482" s="232" t="s">
        <v>129</v>
      </c>
      <c r="AV482" s="234" t="s">
        <v>130</v>
      </c>
      <c r="AW482" s="234"/>
      <c r="AX482" s="234" t="s">
        <v>136</v>
      </c>
      <c r="AY482" s="126"/>
      <c r="AZ482" s="225"/>
      <c r="BA482" s="223"/>
      <c r="BB482" s="223"/>
      <c r="BC482" s="223"/>
      <c r="BD482" s="223"/>
      <c r="BE482" s="223"/>
      <c r="BF482" s="223"/>
      <c r="BG482" s="223"/>
      <c r="BH482" s="223"/>
      <c r="BI482" s="223"/>
      <c r="BJ482" s="223"/>
      <c r="BK482" s="223"/>
      <c r="BL482" s="223"/>
      <c r="BM482" s="223"/>
      <c r="BN482" s="223"/>
      <c r="BO482" s="223"/>
      <c r="BP482" s="223"/>
      <c r="BQ482" s="223"/>
      <c r="BR482" s="223"/>
      <c r="BS482" s="223"/>
      <c r="BT482" s="223"/>
      <c r="BU482" s="223"/>
      <c r="BV482" s="223"/>
      <c r="BW482" s="223"/>
      <c r="BX482" s="223"/>
      <c r="BY482" s="223"/>
      <c r="BZ482" s="223"/>
      <c r="CA482" s="223"/>
      <c r="CB482" s="223"/>
      <c r="CC482" s="223"/>
      <c r="CD482" s="223"/>
      <c r="CE482" s="223"/>
      <c r="CF482" s="223"/>
      <c r="CG482" s="223"/>
      <c r="CH482" s="223"/>
      <c r="CI482" s="223"/>
      <c r="CJ482" s="223"/>
      <c r="CK482" s="223"/>
      <c r="CL482" s="223"/>
      <c r="CM482" s="223"/>
      <c r="CN482" s="223"/>
      <c r="CO482" s="223"/>
      <c r="CP482" s="223"/>
      <c r="CQ482" s="223"/>
      <c r="CR482" s="223"/>
      <c r="CS482" s="223"/>
      <c r="CT482" s="223"/>
      <c r="CU482" s="223"/>
      <c r="CV482" s="223"/>
      <c r="CW482" s="223"/>
      <c r="CX482" s="223"/>
      <c r="CY482" s="223"/>
      <c r="CZ482" s="223"/>
      <c r="DA482" s="223"/>
      <c r="DB482" s="223"/>
      <c r="DC482" s="223"/>
      <c r="DD482" s="223"/>
      <c r="DE482" s="223"/>
      <c r="DF482" s="223"/>
      <c r="DG482" s="223"/>
      <c r="DH482" s="223"/>
    </row>
    <row r="483" ht="20.25" customHeight="1">
      <c r="A483" s="41">
        <v>483.0</v>
      </c>
      <c r="B483" s="121" t="s">
        <v>583</v>
      </c>
      <c r="C483" s="224" t="s">
        <v>108</v>
      </c>
      <c r="D483" s="224" t="s">
        <v>214</v>
      </c>
      <c r="E483" s="225"/>
      <c r="F483" s="234" t="s">
        <v>2624</v>
      </c>
      <c r="G483" s="226" t="s">
        <v>2646</v>
      </c>
      <c r="H483" s="228" t="s">
        <v>215</v>
      </c>
      <c r="I483" s="227">
        <v>45639.0</v>
      </c>
      <c r="J483" s="815">
        <v>45673.0</v>
      </c>
      <c r="K483" s="226" t="s">
        <v>2640</v>
      </c>
      <c r="L483" s="216" t="s">
        <v>2627</v>
      </c>
      <c r="M483" s="226" t="s">
        <v>2641</v>
      </c>
      <c r="N483" s="226" t="s">
        <v>2629</v>
      </c>
      <c r="O483" s="228"/>
      <c r="P483" s="230" t="s">
        <v>2630</v>
      </c>
      <c r="Q483" s="49" t="str">
        <f t="array" ref="Q483"> if(iserror(MATCH(V483, 'File Links'!C:C, 0)), "N/A", HYPERLINK(INDEX('File Links'!B:B, MATCH(P483, 'File Links'!C:C, 0))))</f>
        <v>https://drive.google.com/file/d/1qyGORRGdQy-kyOSM_2vtKP7-BEAhuKWX/view?usp=drivesdk</v>
      </c>
      <c r="R483" s="226" t="s">
        <v>2631</v>
      </c>
      <c r="S483" s="226" t="s">
        <v>2632</v>
      </c>
      <c r="T483" s="226"/>
      <c r="U483" s="692">
        <v>1.0</v>
      </c>
      <c r="V483" s="195" t="str">
        <f t="shared" si="25"/>
        <v>10.1016--j.appet.2023.106554.pdf</v>
      </c>
      <c r="W483" s="816" t="s">
        <v>157</v>
      </c>
      <c r="X483" s="51" t="str">
        <f t="array" ref="X483"> if(iserror(MATCH(V483, 'File Links'!C:C, 0)), "N/A", HYPERLINK(INDEX('File Links'!B:B, MATCH(V483, 'File Links'!C:C, 0))))</f>
        <v>https://drive.google.com/file/d/16j_GiBODVfACftG20Niq4aIRC_kU8qsZ/view?usp=drivesdk</v>
      </c>
      <c r="Y483" s="228"/>
      <c r="Z483" s="226" t="s">
        <v>219</v>
      </c>
      <c r="AA483" s="226" t="s">
        <v>2642</v>
      </c>
      <c r="AB483" s="226" t="s">
        <v>2643</v>
      </c>
      <c r="AC483" s="226" t="s">
        <v>2647</v>
      </c>
      <c r="AD483" s="226" t="s">
        <v>2648</v>
      </c>
      <c r="AE483" s="229">
        <v>4.0</v>
      </c>
      <c r="AF483" s="229">
        <v>156.0</v>
      </c>
      <c r="AG483" s="229">
        <v>-0.49</v>
      </c>
      <c r="AH483" s="230" t="s">
        <v>166</v>
      </c>
      <c r="AI483" s="226" t="s">
        <v>489</v>
      </c>
      <c r="AJ483" s="229">
        <v>0.01</v>
      </c>
      <c r="AK483" s="232" t="s">
        <v>128</v>
      </c>
      <c r="AL483" s="226" t="s">
        <v>129</v>
      </c>
      <c r="AM483" s="228" t="s">
        <v>130</v>
      </c>
      <c r="AN483" s="216" t="s">
        <v>131</v>
      </c>
      <c r="AO483" s="229">
        <v>98.0</v>
      </c>
      <c r="AP483" s="229">
        <v>54.1</v>
      </c>
      <c r="AQ483" s="226" t="s">
        <v>127</v>
      </c>
      <c r="AR483" s="226" t="s">
        <v>125</v>
      </c>
      <c r="AS483" s="229">
        <v>0.01</v>
      </c>
      <c r="AT483" s="232" t="s">
        <v>128</v>
      </c>
      <c r="AU483" s="232" t="s">
        <v>129</v>
      </c>
      <c r="AV483" s="234" t="s">
        <v>130</v>
      </c>
      <c r="AW483" s="234"/>
      <c r="AX483" s="234" t="s">
        <v>136</v>
      </c>
      <c r="AY483" s="126"/>
      <c r="AZ483" s="225"/>
      <c r="BA483" s="223"/>
      <c r="BB483" s="223"/>
      <c r="BC483" s="223"/>
      <c r="BD483" s="223"/>
      <c r="BE483" s="223"/>
      <c r="BF483" s="223"/>
      <c r="BG483" s="223"/>
      <c r="BH483" s="223"/>
      <c r="BI483" s="223"/>
      <c r="BJ483" s="223"/>
      <c r="BK483" s="223"/>
      <c r="BL483" s="223"/>
      <c r="BM483" s="223"/>
      <c r="BN483" s="223"/>
      <c r="BO483" s="223"/>
      <c r="BP483" s="223"/>
      <c r="BQ483" s="223"/>
      <c r="BR483" s="223"/>
      <c r="BS483" s="223"/>
      <c r="BT483" s="223"/>
      <c r="BU483" s="223"/>
      <c r="BV483" s="223"/>
      <c r="BW483" s="223"/>
      <c r="BX483" s="223"/>
      <c r="BY483" s="223"/>
      <c r="BZ483" s="223"/>
      <c r="CA483" s="223"/>
      <c r="CB483" s="223"/>
      <c r="CC483" s="223"/>
      <c r="CD483" s="223"/>
      <c r="CE483" s="223"/>
      <c r="CF483" s="223"/>
      <c r="CG483" s="223"/>
      <c r="CH483" s="223"/>
      <c r="CI483" s="223"/>
      <c r="CJ483" s="223"/>
      <c r="CK483" s="223"/>
      <c r="CL483" s="223"/>
      <c r="CM483" s="223"/>
      <c r="CN483" s="223"/>
      <c r="CO483" s="223"/>
      <c r="CP483" s="223"/>
      <c r="CQ483" s="223"/>
      <c r="CR483" s="223"/>
      <c r="CS483" s="223"/>
      <c r="CT483" s="223"/>
      <c r="CU483" s="223"/>
      <c r="CV483" s="223"/>
      <c r="CW483" s="223"/>
      <c r="CX483" s="223"/>
      <c r="CY483" s="223"/>
      <c r="CZ483" s="223"/>
      <c r="DA483" s="223"/>
      <c r="DB483" s="223"/>
      <c r="DC483" s="223"/>
      <c r="DD483" s="223"/>
      <c r="DE483" s="223"/>
      <c r="DF483" s="223"/>
      <c r="DG483" s="223"/>
      <c r="DH483" s="223"/>
    </row>
    <row r="484" ht="20.25" customHeight="1">
      <c r="A484" s="41">
        <v>484.0</v>
      </c>
      <c r="B484" s="121" t="s">
        <v>583</v>
      </c>
      <c r="C484" s="224" t="s">
        <v>108</v>
      </c>
      <c r="D484" s="224" t="s">
        <v>214</v>
      </c>
      <c r="E484" s="225"/>
      <c r="F484" s="234" t="s">
        <v>2624</v>
      </c>
      <c r="G484" s="226" t="s">
        <v>2649</v>
      </c>
      <c r="H484" s="228" t="s">
        <v>215</v>
      </c>
      <c r="I484" s="227">
        <v>45639.0</v>
      </c>
      <c r="J484" s="815">
        <v>45673.0</v>
      </c>
      <c r="K484" s="226" t="s">
        <v>2640</v>
      </c>
      <c r="L484" s="216" t="s">
        <v>2627</v>
      </c>
      <c r="M484" s="226" t="s">
        <v>2641</v>
      </c>
      <c r="N484" s="226" t="s">
        <v>2629</v>
      </c>
      <c r="O484" s="228"/>
      <c r="P484" s="230" t="s">
        <v>2630</v>
      </c>
      <c r="Q484" s="49" t="str">
        <f t="array" ref="Q484"> if(iserror(MATCH(V484, 'File Links'!C:C, 0)), "N/A", HYPERLINK(INDEX('File Links'!B:B, MATCH(P484, 'File Links'!C:C, 0))))</f>
        <v>https://drive.google.com/file/d/1qyGORRGdQy-kyOSM_2vtKP7-BEAhuKWX/view?usp=drivesdk</v>
      </c>
      <c r="R484" s="226" t="s">
        <v>2631</v>
      </c>
      <c r="S484" s="226" t="s">
        <v>2632</v>
      </c>
      <c r="T484" s="226"/>
      <c r="U484" s="692">
        <v>1.0</v>
      </c>
      <c r="V484" s="195" t="str">
        <f t="shared" si="25"/>
        <v>10.1016--j.appet.2023.106554.pdf</v>
      </c>
      <c r="W484" s="816" t="s">
        <v>157</v>
      </c>
      <c r="X484" s="51" t="str">
        <f t="array" ref="X484"> if(iserror(MATCH(V484, 'File Links'!C:C, 0)), "N/A", HYPERLINK(INDEX('File Links'!B:B, MATCH(V484, 'File Links'!C:C, 0))))</f>
        <v>https://drive.google.com/file/d/16j_GiBODVfACftG20Niq4aIRC_kU8qsZ/view?usp=drivesdk</v>
      </c>
      <c r="Y484" s="228"/>
      <c r="Z484" s="226" t="s">
        <v>219</v>
      </c>
      <c r="AA484" s="226" t="s">
        <v>2642</v>
      </c>
      <c r="AB484" s="226" t="s">
        <v>2643</v>
      </c>
      <c r="AC484" s="226" t="s">
        <v>2650</v>
      </c>
      <c r="AD484" s="226" t="s">
        <v>2651</v>
      </c>
      <c r="AE484" s="229">
        <v>4.0</v>
      </c>
      <c r="AF484" s="229">
        <v>149.0</v>
      </c>
      <c r="AG484" s="229">
        <v>0.15</v>
      </c>
      <c r="AH484" s="230" t="s">
        <v>166</v>
      </c>
      <c r="AI484" s="226" t="s">
        <v>489</v>
      </c>
      <c r="AJ484" s="229">
        <v>0.01</v>
      </c>
      <c r="AK484" s="232" t="s">
        <v>128</v>
      </c>
      <c r="AL484" s="226" t="s">
        <v>129</v>
      </c>
      <c r="AM484" s="228" t="s">
        <v>130</v>
      </c>
      <c r="AN484" s="216" t="s">
        <v>131</v>
      </c>
      <c r="AO484" s="229">
        <v>97.0</v>
      </c>
      <c r="AP484" s="229">
        <v>32.76</v>
      </c>
      <c r="AQ484" s="226" t="s">
        <v>127</v>
      </c>
      <c r="AR484" s="226" t="s">
        <v>125</v>
      </c>
      <c r="AS484" s="229">
        <v>0.01</v>
      </c>
      <c r="AT484" s="232" t="s">
        <v>128</v>
      </c>
      <c r="AU484" s="232" t="s">
        <v>129</v>
      </c>
      <c r="AV484" s="234" t="s">
        <v>130</v>
      </c>
      <c r="AW484" s="234"/>
      <c r="AX484" s="234" t="s">
        <v>136</v>
      </c>
      <c r="AY484" s="126"/>
      <c r="AZ484" s="225"/>
      <c r="BA484" s="223"/>
      <c r="BB484" s="223"/>
      <c r="BC484" s="223"/>
      <c r="BD484" s="223"/>
      <c r="BE484" s="223"/>
      <c r="BF484" s="223"/>
      <c r="BG484" s="223"/>
      <c r="BH484" s="223"/>
      <c r="BI484" s="223"/>
      <c r="BJ484" s="223"/>
      <c r="BK484" s="223"/>
      <c r="BL484" s="223"/>
      <c r="BM484" s="223"/>
      <c r="BN484" s="223"/>
      <c r="BO484" s="223"/>
      <c r="BP484" s="223"/>
      <c r="BQ484" s="223"/>
      <c r="BR484" s="223"/>
      <c r="BS484" s="223"/>
      <c r="BT484" s="223"/>
      <c r="BU484" s="223"/>
      <c r="BV484" s="223"/>
      <c r="BW484" s="223"/>
      <c r="BX484" s="223"/>
      <c r="BY484" s="223"/>
      <c r="BZ484" s="223"/>
      <c r="CA484" s="223"/>
      <c r="CB484" s="223"/>
      <c r="CC484" s="223"/>
      <c r="CD484" s="223"/>
      <c r="CE484" s="223"/>
      <c r="CF484" s="223"/>
      <c r="CG484" s="223"/>
      <c r="CH484" s="223"/>
      <c r="CI484" s="223"/>
      <c r="CJ484" s="223"/>
      <c r="CK484" s="223"/>
      <c r="CL484" s="223"/>
      <c r="CM484" s="223"/>
      <c r="CN484" s="223"/>
      <c r="CO484" s="223"/>
      <c r="CP484" s="223"/>
      <c r="CQ484" s="223"/>
      <c r="CR484" s="223"/>
      <c r="CS484" s="223"/>
      <c r="CT484" s="223"/>
      <c r="CU484" s="223"/>
      <c r="CV484" s="223"/>
      <c r="CW484" s="223"/>
      <c r="CX484" s="223"/>
      <c r="CY484" s="223"/>
      <c r="CZ484" s="223"/>
      <c r="DA484" s="223"/>
      <c r="DB484" s="223"/>
      <c r="DC484" s="223"/>
      <c r="DD484" s="223"/>
      <c r="DE484" s="223"/>
      <c r="DF484" s="223"/>
      <c r="DG484" s="223"/>
      <c r="DH484" s="223"/>
    </row>
    <row r="485" ht="20.25" customHeight="1">
      <c r="A485" s="41">
        <v>485.0</v>
      </c>
      <c r="B485" s="121" t="s">
        <v>583</v>
      </c>
      <c r="C485" s="224" t="s">
        <v>108</v>
      </c>
      <c r="D485" s="224" t="s">
        <v>214</v>
      </c>
      <c r="E485" s="225"/>
      <c r="F485" s="234" t="s">
        <v>2624</v>
      </c>
      <c r="G485" s="226" t="s">
        <v>2652</v>
      </c>
      <c r="H485" s="228" t="s">
        <v>215</v>
      </c>
      <c r="I485" s="227">
        <v>45639.0</v>
      </c>
      <c r="J485" s="815">
        <v>45673.0</v>
      </c>
      <c r="K485" s="226" t="s">
        <v>2640</v>
      </c>
      <c r="L485" s="216" t="s">
        <v>2627</v>
      </c>
      <c r="M485" s="226" t="s">
        <v>2641</v>
      </c>
      <c r="N485" s="226" t="s">
        <v>2629</v>
      </c>
      <c r="O485" s="228"/>
      <c r="P485" s="230" t="s">
        <v>2630</v>
      </c>
      <c r="Q485" s="49" t="str">
        <f t="array" ref="Q485"> if(iserror(MATCH(V485, 'File Links'!C:C, 0)), "N/A", HYPERLINK(INDEX('File Links'!B:B, MATCH(P485, 'File Links'!C:C, 0))))</f>
        <v>https://drive.google.com/file/d/1qyGORRGdQy-kyOSM_2vtKP7-BEAhuKWX/view?usp=drivesdk</v>
      </c>
      <c r="R485" s="226" t="s">
        <v>2631</v>
      </c>
      <c r="S485" s="226" t="s">
        <v>2632</v>
      </c>
      <c r="T485" s="226"/>
      <c r="U485" s="692">
        <v>1.0</v>
      </c>
      <c r="V485" s="195" t="str">
        <f t="shared" si="25"/>
        <v>10.1016--j.appet.2023.106554.pdf</v>
      </c>
      <c r="W485" s="816" t="s">
        <v>157</v>
      </c>
      <c r="X485" s="51" t="str">
        <f t="array" ref="X485"> if(iserror(MATCH(V485, 'File Links'!C:C, 0)), "N/A", HYPERLINK(INDEX('File Links'!B:B, MATCH(V485, 'File Links'!C:C, 0))))</f>
        <v>https://drive.google.com/file/d/16j_GiBODVfACftG20Niq4aIRC_kU8qsZ/view?usp=drivesdk</v>
      </c>
      <c r="Y485" s="228"/>
      <c r="Z485" s="226" t="s">
        <v>219</v>
      </c>
      <c r="AA485" s="226" t="s">
        <v>2642</v>
      </c>
      <c r="AB485" s="226" t="s">
        <v>2643</v>
      </c>
      <c r="AC485" s="226" t="s">
        <v>2653</v>
      </c>
      <c r="AD485" s="226" t="s">
        <v>2654</v>
      </c>
      <c r="AE485" s="229">
        <v>4.0</v>
      </c>
      <c r="AF485" s="229">
        <v>316.0</v>
      </c>
      <c r="AG485" s="229">
        <v>-0.68</v>
      </c>
      <c r="AH485" s="230" t="s">
        <v>166</v>
      </c>
      <c r="AI485" s="226" t="s">
        <v>489</v>
      </c>
      <c r="AJ485" s="229">
        <v>0.01</v>
      </c>
      <c r="AK485" s="232" t="s">
        <v>128</v>
      </c>
      <c r="AL485" s="226" t="s">
        <v>129</v>
      </c>
      <c r="AM485" s="228" t="s">
        <v>130</v>
      </c>
      <c r="AN485" s="216" t="s">
        <v>131</v>
      </c>
      <c r="AO485" s="229">
        <v>148.0</v>
      </c>
      <c r="AP485" s="229">
        <v>2.35</v>
      </c>
      <c r="AQ485" s="226" t="s">
        <v>127</v>
      </c>
      <c r="AR485" s="226" t="s">
        <v>125</v>
      </c>
      <c r="AS485" s="229">
        <v>0.01</v>
      </c>
      <c r="AT485" s="232" t="s">
        <v>128</v>
      </c>
      <c r="AU485" s="232" t="s">
        <v>129</v>
      </c>
      <c r="AV485" s="234" t="s">
        <v>130</v>
      </c>
      <c r="AW485" s="234"/>
      <c r="AX485" s="234" t="s">
        <v>136</v>
      </c>
      <c r="AY485" s="126"/>
      <c r="AZ485" s="225"/>
      <c r="BA485" s="223"/>
      <c r="BB485" s="223"/>
      <c r="BC485" s="223"/>
      <c r="BD485" s="223"/>
      <c r="BE485" s="223"/>
      <c r="BF485" s="223"/>
      <c r="BG485" s="223"/>
      <c r="BH485" s="223"/>
      <c r="BI485" s="223"/>
      <c r="BJ485" s="223"/>
      <c r="BK485" s="223"/>
      <c r="BL485" s="223"/>
      <c r="BM485" s="223"/>
      <c r="BN485" s="223"/>
      <c r="BO485" s="223"/>
      <c r="BP485" s="223"/>
      <c r="BQ485" s="223"/>
      <c r="BR485" s="223"/>
      <c r="BS485" s="223"/>
      <c r="BT485" s="223"/>
      <c r="BU485" s="223"/>
      <c r="BV485" s="223"/>
      <c r="BW485" s="223"/>
      <c r="BX485" s="223"/>
      <c r="BY485" s="223"/>
      <c r="BZ485" s="223"/>
      <c r="CA485" s="223"/>
      <c r="CB485" s="223"/>
      <c r="CC485" s="223"/>
      <c r="CD485" s="223"/>
      <c r="CE485" s="223"/>
      <c r="CF485" s="223"/>
      <c r="CG485" s="223"/>
      <c r="CH485" s="223"/>
      <c r="CI485" s="223"/>
      <c r="CJ485" s="223"/>
      <c r="CK485" s="223"/>
      <c r="CL485" s="223"/>
      <c r="CM485" s="223"/>
      <c r="CN485" s="223"/>
      <c r="CO485" s="223"/>
      <c r="CP485" s="223"/>
      <c r="CQ485" s="223"/>
      <c r="CR485" s="223"/>
      <c r="CS485" s="223"/>
      <c r="CT485" s="223"/>
      <c r="CU485" s="223"/>
      <c r="CV485" s="223"/>
      <c r="CW485" s="223"/>
      <c r="CX485" s="223"/>
      <c r="CY485" s="223"/>
      <c r="CZ485" s="223"/>
      <c r="DA485" s="223"/>
      <c r="DB485" s="223"/>
      <c r="DC485" s="223"/>
      <c r="DD485" s="223"/>
      <c r="DE485" s="223"/>
      <c r="DF485" s="223"/>
      <c r="DG485" s="223"/>
      <c r="DH485" s="223"/>
    </row>
    <row r="486" ht="20.25" customHeight="1">
      <c r="A486" s="41">
        <v>486.0</v>
      </c>
      <c r="B486" s="59" t="s">
        <v>278</v>
      </c>
      <c r="C486" s="59" t="s">
        <v>108</v>
      </c>
      <c r="D486" s="59" t="s">
        <v>1451</v>
      </c>
      <c r="F486" s="482" t="s">
        <v>2624</v>
      </c>
      <c r="G486" s="483" t="s">
        <v>2625</v>
      </c>
      <c r="H486" s="482" t="s">
        <v>1511</v>
      </c>
      <c r="I486" s="484">
        <v>45472.0</v>
      </c>
      <c r="J486" s="484">
        <v>45685.0</v>
      </c>
      <c r="K486" s="482" t="s">
        <v>2655</v>
      </c>
      <c r="L486" s="486"/>
      <c r="M486" s="822" t="s">
        <v>2656</v>
      </c>
      <c r="N486" s="482" t="s">
        <v>2629</v>
      </c>
      <c r="O486" s="486"/>
      <c r="P486" s="482" t="s">
        <v>2630</v>
      </c>
      <c r="Q486" s="49" t="str">
        <f t="array" ref="Q486"> if(iserror(MATCH(V486, 'File Links'!C:C, 0)), "N/A", HYPERLINK(INDEX('File Links'!B:B, MATCH(P486, 'File Links'!C:C, 0))))</f>
        <v>https://drive.google.com/file/d/1qyGORRGdQy-kyOSM_2vtKP7-BEAhuKWX/view?usp=drivesdk</v>
      </c>
      <c r="R486" s="482" t="s">
        <v>2657</v>
      </c>
      <c r="S486" s="482" t="s">
        <v>2632</v>
      </c>
      <c r="T486" s="486"/>
      <c r="U486" s="486"/>
      <c r="V486" s="195" t="str">
        <f t="shared" si="25"/>
        <v>10.1016--j.appet.2023.106554.pdf</v>
      </c>
      <c r="W486" s="482" t="s">
        <v>202</v>
      </c>
      <c r="X486" s="51" t="str">
        <f t="array" ref="X486"> if(iserror(MATCH(V486, 'File Links'!C:C, 0)), "N/A", HYPERLINK(INDEX('File Links'!B:B, MATCH(V486, 'File Links'!C:C, 0))))</f>
        <v>https://drive.google.com/file/d/16j_GiBODVfACftG20Niq4aIRC_kU8qsZ/view?usp=drivesdk</v>
      </c>
      <c r="Y486" s="486"/>
      <c r="Z486" s="482" t="s">
        <v>219</v>
      </c>
      <c r="AA486" s="482" t="s">
        <v>2658</v>
      </c>
      <c r="AB486" s="482" t="s">
        <v>2634</v>
      </c>
      <c r="AC486" s="482" t="s">
        <v>2659</v>
      </c>
      <c r="AD486" s="346" t="s">
        <v>2660</v>
      </c>
      <c r="AE486" s="753">
        <v>4.0</v>
      </c>
      <c r="AF486" s="492">
        <v>1068.0</v>
      </c>
      <c r="AG486" s="346" t="s">
        <v>2661</v>
      </c>
      <c r="AH486" s="482" t="s">
        <v>127</v>
      </c>
      <c r="AI486" s="482" t="s">
        <v>489</v>
      </c>
      <c r="AJ486" s="491">
        <v>0.01</v>
      </c>
      <c r="AK486" s="483" t="s">
        <v>128</v>
      </c>
      <c r="AL486" s="483" t="s">
        <v>179</v>
      </c>
      <c r="AM486" s="486" t="s">
        <v>134</v>
      </c>
      <c r="AN486" s="216" t="s">
        <v>131</v>
      </c>
      <c r="AO486" s="492">
        <v>533.0</v>
      </c>
      <c r="AP486" s="485" t="s">
        <v>2662</v>
      </c>
      <c r="AQ486" s="482" t="s">
        <v>127</v>
      </c>
      <c r="AR486" s="482" t="s">
        <v>489</v>
      </c>
      <c r="AS486" s="492">
        <v>0.001</v>
      </c>
      <c r="AT486" s="482" t="s">
        <v>128</v>
      </c>
      <c r="AU486" s="482" t="s">
        <v>179</v>
      </c>
      <c r="AV486" s="486" t="s">
        <v>134</v>
      </c>
      <c r="AW486" s="486"/>
      <c r="AX486" s="486" t="s">
        <v>136</v>
      </c>
      <c r="BA486" s="223"/>
      <c r="BB486" s="223"/>
      <c r="BC486" s="223"/>
      <c r="BD486" s="223"/>
      <c r="BE486" s="223"/>
      <c r="BF486" s="223"/>
      <c r="BG486" s="223"/>
      <c r="BH486" s="223"/>
      <c r="BI486" s="223"/>
      <c r="BJ486" s="223"/>
      <c r="BK486" s="223"/>
      <c r="BL486" s="223"/>
      <c r="BM486" s="223"/>
      <c r="BN486" s="223"/>
      <c r="BO486" s="223"/>
      <c r="BP486" s="223"/>
      <c r="BQ486" s="223"/>
      <c r="BR486" s="223"/>
      <c r="BS486" s="223"/>
      <c r="BT486" s="223"/>
      <c r="BU486" s="223"/>
      <c r="BV486" s="223"/>
      <c r="BW486" s="223"/>
      <c r="BX486" s="223"/>
      <c r="BY486" s="223"/>
      <c r="BZ486" s="223"/>
      <c r="CA486" s="223"/>
      <c r="CB486" s="223"/>
      <c r="CC486" s="223"/>
      <c r="CD486" s="223"/>
      <c r="CE486" s="223"/>
      <c r="CF486" s="223"/>
      <c r="CG486" s="223"/>
      <c r="CH486" s="223"/>
      <c r="CI486" s="223"/>
      <c r="CJ486" s="223"/>
      <c r="CK486" s="223"/>
      <c r="CL486" s="223"/>
      <c r="CM486" s="223"/>
      <c r="CN486" s="223"/>
      <c r="CO486" s="223"/>
      <c r="CP486" s="223"/>
      <c r="CQ486" s="223"/>
      <c r="CR486" s="223"/>
      <c r="CS486" s="223"/>
      <c r="CT486" s="223"/>
      <c r="CU486" s="223"/>
      <c r="CV486" s="223"/>
      <c r="CW486" s="223"/>
      <c r="CX486" s="223"/>
      <c r="CY486" s="223"/>
      <c r="CZ486" s="223"/>
      <c r="DA486" s="223"/>
      <c r="DB486" s="223"/>
      <c r="DC486" s="223"/>
      <c r="DD486" s="223"/>
      <c r="DE486" s="223"/>
      <c r="DF486" s="223"/>
      <c r="DG486" s="223"/>
      <c r="DH486" s="223"/>
    </row>
    <row r="487" ht="20.25" customHeight="1">
      <c r="A487" s="41">
        <v>487.0</v>
      </c>
      <c r="B487" s="59" t="s">
        <v>278</v>
      </c>
      <c r="C487" s="59" t="s">
        <v>108</v>
      </c>
      <c r="D487" s="59" t="s">
        <v>1451</v>
      </c>
      <c r="F487" s="482" t="s">
        <v>2624</v>
      </c>
      <c r="G487" s="483" t="s">
        <v>2646</v>
      </c>
      <c r="H487" s="482" t="s">
        <v>1511</v>
      </c>
      <c r="I487" s="823"/>
      <c r="J487" s="484">
        <v>45685.0</v>
      </c>
      <c r="K487" s="486"/>
      <c r="L487" s="486"/>
      <c r="M487" s="482" t="s">
        <v>2641</v>
      </c>
      <c r="N487" s="482" t="s">
        <v>2629</v>
      </c>
      <c r="O487" s="486"/>
      <c r="P487" s="482" t="s">
        <v>2630</v>
      </c>
      <c r="Q487" s="49" t="str">
        <f t="array" ref="Q487"> if(iserror(MATCH(V487, 'File Links'!C:C, 0)), "N/A", HYPERLINK(INDEX('File Links'!B:B, MATCH(P487, 'File Links'!C:C, 0))))</f>
        <v>https://drive.google.com/file/d/1qyGORRGdQy-kyOSM_2vtKP7-BEAhuKWX/view?usp=drivesdk</v>
      </c>
      <c r="R487" s="482" t="s">
        <v>2657</v>
      </c>
      <c r="S487" s="482" t="s">
        <v>2632</v>
      </c>
      <c r="T487" s="486"/>
      <c r="U487" s="486"/>
      <c r="V487" s="195" t="str">
        <f t="shared" si="25"/>
        <v>10.1016--j.appet.2023.106554.pdf</v>
      </c>
      <c r="W487" s="482" t="s">
        <v>202</v>
      </c>
      <c r="X487" s="51" t="str">
        <f t="array" ref="X487"> if(iserror(MATCH(V487, 'File Links'!C:C, 0)), "N/A", HYPERLINK(INDEX('File Links'!B:B, MATCH(V487, 'File Links'!C:C, 0))))</f>
        <v>https://drive.google.com/file/d/16j_GiBODVfACftG20Niq4aIRC_kU8qsZ/view?usp=drivesdk</v>
      </c>
      <c r="Y487" s="486"/>
      <c r="Z487" s="482" t="s">
        <v>219</v>
      </c>
      <c r="AA487" s="482" t="s">
        <v>2658</v>
      </c>
      <c r="AB487" s="482" t="s">
        <v>2634</v>
      </c>
      <c r="AC487" s="482" t="s">
        <v>2659</v>
      </c>
      <c r="AD487" s="346" t="s">
        <v>2663</v>
      </c>
      <c r="AE487" s="492">
        <v>4.0</v>
      </c>
      <c r="AF487" s="492">
        <v>1068.0</v>
      </c>
      <c r="AG487" s="346" t="s">
        <v>2664</v>
      </c>
      <c r="AH487" s="482" t="s">
        <v>127</v>
      </c>
      <c r="AI487" s="482" t="s">
        <v>489</v>
      </c>
      <c r="AJ487" s="491">
        <v>0.01</v>
      </c>
      <c r="AK487" s="483" t="s">
        <v>128</v>
      </c>
      <c r="AL487" s="483" t="s">
        <v>179</v>
      </c>
      <c r="AM487" s="486" t="s">
        <v>134</v>
      </c>
      <c r="AN487" s="216" t="s">
        <v>131</v>
      </c>
      <c r="AO487" s="492">
        <v>533.0</v>
      </c>
      <c r="AP487" s="346" t="s">
        <v>2665</v>
      </c>
      <c r="AQ487" s="482" t="s">
        <v>127</v>
      </c>
      <c r="AR487" s="482" t="s">
        <v>489</v>
      </c>
      <c r="AS487" s="492">
        <v>0.001</v>
      </c>
      <c r="AT487" s="482" t="s">
        <v>128</v>
      </c>
      <c r="AU487" s="482" t="s">
        <v>179</v>
      </c>
      <c r="AV487" s="486" t="s">
        <v>134</v>
      </c>
      <c r="AW487" s="486"/>
      <c r="AX487" s="486" t="s">
        <v>136</v>
      </c>
      <c r="BA487" s="223"/>
      <c r="BB487" s="223"/>
      <c r="BC487" s="223"/>
      <c r="BD487" s="223"/>
      <c r="BE487" s="223"/>
      <c r="BF487" s="223"/>
      <c r="BG487" s="223"/>
      <c r="BH487" s="223"/>
      <c r="BI487" s="223"/>
      <c r="BJ487" s="223"/>
      <c r="BK487" s="223"/>
      <c r="BL487" s="223"/>
      <c r="BM487" s="223"/>
      <c r="BN487" s="223"/>
      <c r="BO487" s="223"/>
      <c r="BP487" s="223"/>
      <c r="BQ487" s="223"/>
      <c r="BR487" s="223"/>
      <c r="BS487" s="223"/>
      <c r="BT487" s="223"/>
      <c r="BU487" s="223"/>
      <c r="BV487" s="223"/>
      <c r="BW487" s="223"/>
      <c r="BX487" s="223"/>
      <c r="BY487" s="223"/>
      <c r="BZ487" s="223"/>
      <c r="CA487" s="223"/>
      <c r="CB487" s="223"/>
      <c r="CC487" s="223"/>
      <c r="CD487" s="223"/>
      <c r="CE487" s="223"/>
      <c r="CF487" s="223"/>
      <c r="CG487" s="223"/>
      <c r="CH487" s="223"/>
      <c r="CI487" s="223"/>
      <c r="CJ487" s="223"/>
      <c r="CK487" s="223"/>
      <c r="CL487" s="223"/>
      <c r="CM487" s="223"/>
      <c r="CN487" s="223"/>
      <c r="CO487" s="223"/>
      <c r="CP487" s="223"/>
      <c r="CQ487" s="223"/>
      <c r="CR487" s="223"/>
      <c r="CS487" s="223"/>
      <c r="CT487" s="223"/>
      <c r="CU487" s="223"/>
      <c r="CV487" s="223"/>
      <c r="CW487" s="223"/>
      <c r="CX487" s="223"/>
      <c r="CY487" s="223"/>
      <c r="CZ487" s="223"/>
      <c r="DA487" s="223"/>
      <c r="DB487" s="223"/>
      <c r="DC487" s="223"/>
      <c r="DD487" s="223"/>
      <c r="DE487" s="223"/>
      <c r="DF487" s="223"/>
      <c r="DG487" s="223"/>
      <c r="DH487" s="223"/>
    </row>
    <row r="488" ht="20.25" customHeight="1">
      <c r="A488" s="41">
        <v>488.0</v>
      </c>
      <c r="B488" s="59" t="s">
        <v>278</v>
      </c>
      <c r="C488" s="59" t="s">
        <v>108</v>
      </c>
      <c r="D488" s="59" t="s">
        <v>1451</v>
      </c>
      <c r="F488" s="482" t="s">
        <v>2624</v>
      </c>
      <c r="G488" s="483" t="s">
        <v>2649</v>
      </c>
      <c r="H488" s="482" t="s">
        <v>1511</v>
      </c>
      <c r="I488" s="823"/>
      <c r="J488" s="484">
        <v>45685.0</v>
      </c>
      <c r="K488" s="486"/>
      <c r="L488" s="486"/>
      <c r="M488" s="482" t="s">
        <v>2641</v>
      </c>
      <c r="N488" s="482" t="s">
        <v>2629</v>
      </c>
      <c r="O488" s="486"/>
      <c r="P488" s="482" t="s">
        <v>2630</v>
      </c>
      <c r="Q488" s="49" t="str">
        <f t="array" ref="Q488"> if(iserror(MATCH(V488, 'File Links'!C:C, 0)), "N/A", HYPERLINK(INDEX('File Links'!B:B, MATCH(P488, 'File Links'!C:C, 0))))</f>
        <v>https://drive.google.com/file/d/1qyGORRGdQy-kyOSM_2vtKP7-BEAhuKWX/view?usp=drivesdk</v>
      </c>
      <c r="R488" s="482" t="s">
        <v>2657</v>
      </c>
      <c r="S488" s="482" t="s">
        <v>2632</v>
      </c>
      <c r="T488" s="486"/>
      <c r="U488" s="486"/>
      <c r="V488" s="195" t="str">
        <f t="shared" si="25"/>
        <v>10.1016--j.appet.2023.106554.pdf</v>
      </c>
      <c r="W488" s="482" t="s">
        <v>202</v>
      </c>
      <c r="X488" s="51" t="str">
        <f t="array" ref="X488"> if(iserror(MATCH(V488, 'File Links'!C:C, 0)), "N/A", HYPERLINK(INDEX('File Links'!B:B, MATCH(V488, 'File Links'!C:C, 0))))</f>
        <v>https://drive.google.com/file/d/16j_GiBODVfACftG20Niq4aIRC_kU8qsZ/view?usp=drivesdk</v>
      </c>
      <c r="Y488" s="486"/>
      <c r="Z488" s="482" t="s">
        <v>219</v>
      </c>
      <c r="AA488" s="482" t="s">
        <v>2658</v>
      </c>
      <c r="AB488" s="482" t="s">
        <v>2634</v>
      </c>
      <c r="AC488" s="482" t="s">
        <v>2659</v>
      </c>
      <c r="AD488" s="346" t="s">
        <v>2666</v>
      </c>
      <c r="AE488" s="492">
        <v>4.0</v>
      </c>
      <c r="AF488" s="492">
        <v>1068.0</v>
      </c>
      <c r="AG488" s="346" t="s">
        <v>2667</v>
      </c>
      <c r="AH488" s="482" t="s">
        <v>127</v>
      </c>
      <c r="AI488" s="482" t="s">
        <v>489</v>
      </c>
      <c r="AJ488" s="491">
        <v>0.01</v>
      </c>
      <c r="AK488" s="483" t="s">
        <v>128</v>
      </c>
      <c r="AL488" s="483" t="s">
        <v>179</v>
      </c>
      <c r="AM488" s="486" t="s">
        <v>134</v>
      </c>
      <c r="AN488" s="216" t="s">
        <v>131</v>
      </c>
      <c r="AO488" s="492">
        <v>533.0</v>
      </c>
      <c r="AP488" s="485" t="s">
        <v>2668</v>
      </c>
      <c r="AQ488" s="482" t="s">
        <v>127</v>
      </c>
      <c r="AR488" s="482" t="s">
        <v>489</v>
      </c>
      <c r="AS488" s="492">
        <v>0.001</v>
      </c>
      <c r="AT488" s="482" t="s">
        <v>128</v>
      </c>
      <c r="AU488" s="482" t="s">
        <v>179</v>
      </c>
      <c r="AV488" s="486" t="s">
        <v>134</v>
      </c>
      <c r="AW488" s="486"/>
      <c r="AX488" s="486" t="s">
        <v>136</v>
      </c>
      <c r="BA488" s="223"/>
      <c r="BB488" s="223"/>
      <c r="BC488" s="223"/>
      <c r="BD488" s="223"/>
      <c r="BE488" s="223"/>
      <c r="BF488" s="223"/>
      <c r="BG488" s="223"/>
      <c r="BH488" s="223"/>
      <c r="BI488" s="223"/>
      <c r="BJ488" s="223"/>
      <c r="BK488" s="223"/>
      <c r="BL488" s="223"/>
      <c r="BM488" s="223"/>
      <c r="BN488" s="223"/>
      <c r="BO488" s="223"/>
      <c r="BP488" s="223"/>
      <c r="BQ488" s="223"/>
      <c r="BR488" s="223"/>
      <c r="BS488" s="223"/>
      <c r="BT488" s="223"/>
      <c r="BU488" s="223"/>
      <c r="BV488" s="223"/>
      <c r="BW488" s="223"/>
      <c r="BX488" s="223"/>
      <c r="BY488" s="223"/>
      <c r="BZ488" s="223"/>
      <c r="CA488" s="223"/>
      <c r="CB488" s="223"/>
      <c r="CC488" s="223"/>
      <c r="CD488" s="223"/>
      <c r="CE488" s="223"/>
      <c r="CF488" s="223"/>
      <c r="CG488" s="223"/>
      <c r="CH488" s="223"/>
      <c r="CI488" s="223"/>
      <c r="CJ488" s="223"/>
      <c r="CK488" s="223"/>
      <c r="CL488" s="223"/>
      <c r="CM488" s="223"/>
      <c r="CN488" s="223"/>
      <c r="CO488" s="223"/>
      <c r="CP488" s="223"/>
      <c r="CQ488" s="223"/>
      <c r="CR488" s="223"/>
      <c r="CS488" s="223"/>
      <c r="CT488" s="223"/>
      <c r="CU488" s="223"/>
      <c r="CV488" s="223"/>
      <c r="CW488" s="223"/>
      <c r="CX488" s="223"/>
      <c r="CY488" s="223"/>
      <c r="CZ488" s="223"/>
      <c r="DA488" s="223"/>
      <c r="DB488" s="223"/>
      <c r="DC488" s="223"/>
      <c r="DD488" s="223"/>
      <c r="DE488" s="223"/>
      <c r="DF488" s="223"/>
      <c r="DG488" s="223"/>
      <c r="DH488" s="223"/>
    </row>
    <row r="489" ht="20.25" customHeight="1">
      <c r="A489" s="41">
        <v>489.0</v>
      </c>
      <c r="B489" s="59" t="s">
        <v>278</v>
      </c>
      <c r="C489" s="59" t="s">
        <v>108</v>
      </c>
      <c r="D489" s="59" t="s">
        <v>1451</v>
      </c>
      <c r="F489" s="482" t="s">
        <v>2624</v>
      </c>
      <c r="G489" s="483" t="s">
        <v>2652</v>
      </c>
      <c r="H489" s="482" t="s">
        <v>1511</v>
      </c>
      <c r="I489" s="823"/>
      <c r="J489" s="484">
        <v>45685.0</v>
      </c>
      <c r="K489" s="482" t="s">
        <v>2669</v>
      </c>
      <c r="L489" s="486"/>
      <c r="M489" s="482" t="s">
        <v>2641</v>
      </c>
      <c r="N489" s="482" t="s">
        <v>2629</v>
      </c>
      <c r="O489" s="486"/>
      <c r="P489" s="482" t="s">
        <v>2630</v>
      </c>
      <c r="Q489" s="49" t="str">
        <f t="array" ref="Q489"> if(iserror(MATCH(V489, 'File Links'!C:C, 0)), "N/A", HYPERLINK(INDEX('File Links'!B:B, MATCH(P489, 'File Links'!C:C, 0))))</f>
        <v>https://drive.google.com/file/d/1qyGORRGdQy-kyOSM_2vtKP7-BEAhuKWX/view?usp=drivesdk</v>
      </c>
      <c r="R489" s="482" t="s">
        <v>2657</v>
      </c>
      <c r="S489" s="482" t="s">
        <v>2632</v>
      </c>
      <c r="T489" s="486"/>
      <c r="U489" s="486"/>
      <c r="V489" s="195" t="str">
        <f t="shared" si="25"/>
        <v>10.1016--j.appet.2023.106554.pdf</v>
      </c>
      <c r="W489" s="482" t="s">
        <v>202</v>
      </c>
      <c r="X489" s="51" t="str">
        <f t="array" ref="X489"> if(iserror(MATCH(V489, 'File Links'!C:C, 0)), "N/A", HYPERLINK(INDEX('File Links'!B:B, MATCH(V489, 'File Links'!C:C, 0))))</f>
        <v>https://drive.google.com/file/d/16j_GiBODVfACftG20Niq4aIRC_kU8qsZ/view?usp=drivesdk</v>
      </c>
      <c r="Y489" s="486"/>
      <c r="Z489" s="482" t="s">
        <v>219</v>
      </c>
      <c r="AA489" s="482" t="s">
        <v>2658</v>
      </c>
      <c r="AB489" s="482" t="s">
        <v>2634</v>
      </c>
      <c r="AC489" s="482" t="s">
        <v>2659</v>
      </c>
      <c r="AD489" s="486"/>
      <c r="AE489" s="486"/>
      <c r="AF489" s="486"/>
      <c r="AG489" s="486"/>
      <c r="AH489" s="486"/>
      <c r="AI489" s="486"/>
      <c r="AJ489" s="785"/>
      <c r="AK489" s="786"/>
      <c r="AL489" s="786"/>
      <c r="AM489" s="486"/>
      <c r="AN489" s="216" t="s">
        <v>131</v>
      </c>
      <c r="AO489" s="492">
        <v>533.0</v>
      </c>
      <c r="AP489" s="485" t="s">
        <v>2670</v>
      </c>
      <c r="AQ489" s="482" t="s">
        <v>127</v>
      </c>
      <c r="AR489" s="482" t="s">
        <v>875</v>
      </c>
      <c r="AS489" s="492">
        <v>0.001</v>
      </c>
      <c r="AT489" s="482" t="s">
        <v>128</v>
      </c>
      <c r="AU489" s="482" t="s">
        <v>179</v>
      </c>
      <c r="AV489" s="486" t="s">
        <v>134</v>
      </c>
      <c r="AW489" s="486"/>
      <c r="AX489" s="486" t="s">
        <v>144</v>
      </c>
      <c r="BA489" s="223"/>
      <c r="BB489" s="223"/>
      <c r="BC489" s="223"/>
      <c r="BD489" s="223"/>
      <c r="BE489" s="223"/>
      <c r="BF489" s="223"/>
      <c r="BG489" s="223"/>
      <c r="BH489" s="223"/>
      <c r="BI489" s="223"/>
      <c r="BJ489" s="223"/>
      <c r="BK489" s="223"/>
      <c r="BL489" s="223"/>
      <c r="BM489" s="223"/>
      <c r="BN489" s="223"/>
      <c r="BO489" s="223"/>
      <c r="BP489" s="223"/>
      <c r="BQ489" s="223"/>
      <c r="BR489" s="223"/>
      <c r="BS489" s="223"/>
      <c r="BT489" s="223"/>
      <c r="BU489" s="223"/>
      <c r="BV489" s="223"/>
      <c r="BW489" s="223"/>
      <c r="BX489" s="223"/>
      <c r="BY489" s="223"/>
      <c r="BZ489" s="223"/>
      <c r="CA489" s="223"/>
      <c r="CB489" s="223"/>
      <c r="CC489" s="223"/>
      <c r="CD489" s="223"/>
      <c r="CE489" s="223"/>
      <c r="CF489" s="223"/>
      <c r="CG489" s="223"/>
      <c r="CH489" s="223"/>
      <c r="CI489" s="223"/>
      <c r="CJ489" s="223"/>
      <c r="CK489" s="223"/>
      <c r="CL489" s="223"/>
      <c r="CM489" s="223"/>
      <c r="CN489" s="223"/>
      <c r="CO489" s="223"/>
      <c r="CP489" s="223"/>
      <c r="CQ489" s="223"/>
      <c r="CR489" s="223"/>
      <c r="CS489" s="223"/>
      <c r="CT489" s="223"/>
      <c r="CU489" s="223"/>
      <c r="CV489" s="223"/>
      <c r="CW489" s="223"/>
      <c r="CX489" s="223"/>
      <c r="CY489" s="223"/>
      <c r="CZ489" s="223"/>
      <c r="DA489" s="223"/>
      <c r="DB489" s="223"/>
      <c r="DC489" s="223"/>
      <c r="DD489" s="223"/>
      <c r="DE489" s="223"/>
      <c r="DF489" s="223"/>
      <c r="DG489" s="223"/>
      <c r="DH489" s="223"/>
    </row>
    <row r="490" ht="20.25" customHeight="1">
      <c r="A490" s="41">
        <v>490.0</v>
      </c>
      <c r="B490" s="59" t="s">
        <v>278</v>
      </c>
      <c r="C490" s="59" t="s">
        <v>108</v>
      </c>
      <c r="D490" s="59" t="s">
        <v>1451</v>
      </c>
      <c r="F490" s="482" t="s">
        <v>2624</v>
      </c>
      <c r="G490" s="483" t="s">
        <v>2671</v>
      </c>
      <c r="H490" s="482" t="s">
        <v>1511</v>
      </c>
      <c r="I490" s="823"/>
      <c r="J490" s="484">
        <v>45685.0</v>
      </c>
      <c r="K490" s="482" t="s">
        <v>2672</v>
      </c>
      <c r="L490" s="486"/>
      <c r="M490" s="482" t="s">
        <v>2641</v>
      </c>
      <c r="N490" s="482" t="s">
        <v>2629</v>
      </c>
      <c r="O490" s="486"/>
      <c r="P490" s="482" t="s">
        <v>2630</v>
      </c>
      <c r="Q490" s="49" t="str">
        <f t="array" ref="Q490"> if(iserror(MATCH(V490, 'File Links'!C:C, 0)), "N/A", HYPERLINK(INDEX('File Links'!B:B, MATCH(P490, 'File Links'!C:C, 0))))</f>
        <v>https://drive.google.com/file/d/1qyGORRGdQy-kyOSM_2vtKP7-BEAhuKWX/view?usp=drivesdk</v>
      </c>
      <c r="R490" s="482" t="s">
        <v>2657</v>
      </c>
      <c r="S490" s="482" t="s">
        <v>2632</v>
      </c>
      <c r="T490" s="486"/>
      <c r="U490" s="486"/>
      <c r="V490" s="195" t="str">
        <f t="shared" si="25"/>
        <v>10.1016--j.appet.2023.106554.pdf</v>
      </c>
      <c r="W490" s="482" t="s">
        <v>202</v>
      </c>
      <c r="X490" s="51" t="str">
        <f t="array" ref="X490"> if(iserror(MATCH(V490, 'File Links'!C:C, 0)), "N/A", HYPERLINK(INDEX('File Links'!B:B, MATCH(V490, 'File Links'!C:C, 0))))</f>
        <v>https://drive.google.com/file/d/16j_GiBODVfACftG20Niq4aIRC_kU8qsZ/view?usp=drivesdk</v>
      </c>
      <c r="Y490" s="486"/>
      <c r="Z490" s="482" t="s">
        <v>219</v>
      </c>
      <c r="AA490" s="482" t="s">
        <v>2658</v>
      </c>
      <c r="AB490" s="482" t="s">
        <v>2634</v>
      </c>
      <c r="AC490" s="482" t="s">
        <v>2659</v>
      </c>
      <c r="AD490" s="486"/>
      <c r="AE490" s="486"/>
      <c r="AF490" s="486"/>
      <c r="AG490" s="486"/>
      <c r="AH490" s="486"/>
      <c r="AI490" s="486"/>
      <c r="AJ490" s="785"/>
      <c r="AK490" s="786"/>
      <c r="AL490" s="786"/>
      <c r="AM490" s="486"/>
      <c r="AN490" s="216" t="s">
        <v>131</v>
      </c>
      <c r="AO490" s="492">
        <v>533.0</v>
      </c>
      <c r="AP490" s="485" t="s">
        <v>2673</v>
      </c>
      <c r="AQ490" s="482" t="s">
        <v>127</v>
      </c>
      <c r="AR490" s="482" t="s">
        <v>875</v>
      </c>
      <c r="AS490" s="492">
        <v>0.01</v>
      </c>
      <c r="AT490" s="482" t="s">
        <v>128</v>
      </c>
      <c r="AU490" s="482" t="s">
        <v>179</v>
      </c>
      <c r="AV490" s="486" t="s">
        <v>134</v>
      </c>
      <c r="AW490" s="486"/>
      <c r="AX490" s="486" t="s">
        <v>144</v>
      </c>
      <c r="BA490" s="223"/>
      <c r="BB490" s="223"/>
      <c r="BC490" s="223"/>
      <c r="BD490" s="223"/>
      <c r="BE490" s="223"/>
      <c r="BF490" s="223"/>
      <c r="BG490" s="223"/>
      <c r="BH490" s="223"/>
      <c r="BI490" s="223"/>
      <c r="BJ490" s="223"/>
      <c r="BK490" s="223"/>
      <c r="BL490" s="223"/>
      <c r="BM490" s="223"/>
      <c r="BN490" s="223"/>
      <c r="BO490" s="223"/>
      <c r="BP490" s="223"/>
      <c r="BQ490" s="223"/>
      <c r="BR490" s="223"/>
      <c r="BS490" s="223"/>
      <c r="BT490" s="223"/>
      <c r="BU490" s="223"/>
      <c r="BV490" s="223"/>
      <c r="BW490" s="223"/>
      <c r="BX490" s="223"/>
      <c r="BY490" s="223"/>
      <c r="BZ490" s="223"/>
      <c r="CA490" s="223"/>
      <c r="CB490" s="223"/>
      <c r="CC490" s="223"/>
      <c r="CD490" s="223"/>
      <c r="CE490" s="223"/>
      <c r="CF490" s="223"/>
      <c r="CG490" s="223"/>
      <c r="CH490" s="223"/>
      <c r="CI490" s="223"/>
      <c r="CJ490" s="223"/>
      <c r="CK490" s="223"/>
      <c r="CL490" s="223"/>
      <c r="CM490" s="223"/>
      <c r="CN490" s="223"/>
      <c r="CO490" s="223"/>
      <c r="CP490" s="223"/>
      <c r="CQ490" s="223"/>
      <c r="CR490" s="223"/>
      <c r="CS490" s="223"/>
      <c r="CT490" s="223"/>
      <c r="CU490" s="223"/>
      <c r="CV490" s="223"/>
      <c r="CW490" s="223"/>
      <c r="CX490" s="223"/>
      <c r="CY490" s="223"/>
      <c r="CZ490" s="223"/>
      <c r="DA490" s="223"/>
      <c r="DB490" s="223"/>
      <c r="DC490" s="223"/>
      <c r="DD490" s="223"/>
      <c r="DE490" s="223"/>
      <c r="DF490" s="223"/>
      <c r="DG490" s="223"/>
      <c r="DH490" s="223"/>
    </row>
    <row r="491" ht="20.25" customHeight="1">
      <c r="A491" s="41">
        <v>491.0</v>
      </c>
      <c r="B491" s="59" t="s">
        <v>278</v>
      </c>
      <c r="C491" s="59" t="s">
        <v>108</v>
      </c>
      <c r="D491" s="59" t="s">
        <v>1451</v>
      </c>
      <c r="F491" s="482" t="s">
        <v>2624</v>
      </c>
      <c r="G491" s="483" t="s">
        <v>2674</v>
      </c>
      <c r="H491" s="482" t="s">
        <v>1511</v>
      </c>
      <c r="I491" s="823"/>
      <c r="J491" s="484">
        <v>45685.0</v>
      </c>
      <c r="K491" s="482" t="s">
        <v>2675</v>
      </c>
      <c r="L491" s="486"/>
      <c r="M491" s="482" t="s">
        <v>2641</v>
      </c>
      <c r="N491" s="482" t="s">
        <v>2629</v>
      </c>
      <c r="O491" s="486"/>
      <c r="P491" s="482" t="s">
        <v>2630</v>
      </c>
      <c r="Q491" s="49" t="str">
        <f t="array" ref="Q491"> if(iserror(MATCH(V491, 'File Links'!C:C, 0)), "N/A", HYPERLINK(INDEX('File Links'!B:B, MATCH(P491, 'File Links'!C:C, 0))))</f>
        <v>https://drive.google.com/file/d/1qyGORRGdQy-kyOSM_2vtKP7-BEAhuKWX/view?usp=drivesdk</v>
      </c>
      <c r="R491" s="482" t="s">
        <v>2657</v>
      </c>
      <c r="S491" s="482" t="s">
        <v>2632</v>
      </c>
      <c r="T491" s="486"/>
      <c r="U491" s="486"/>
      <c r="V491" s="195" t="str">
        <f t="shared" si="25"/>
        <v>10.1016--j.appet.2023.106554.pdf</v>
      </c>
      <c r="W491" s="482" t="s">
        <v>202</v>
      </c>
      <c r="X491" s="51" t="str">
        <f t="array" ref="X491"> if(iserror(MATCH(V491, 'File Links'!C:C, 0)), "N/A", HYPERLINK(INDEX('File Links'!B:B, MATCH(V491, 'File Links'!C:C, 0))))</f>
        <v>https://drive.google.com/file/d/16j_GiBODVfACftG20Niq4aIRC_kU8qsZ/view?usp=drivesdk</v>
      </c>
      <c r="Y491" s="486"/>
      <c r="Z491" s="482" t="s">
        <v>219</v>
      </c>
      <c r="AA491" s="482" t="s">
        <v>2658</v>
      </c>
      <c r="AB491" s="482" t="s">
        <v>2634</v>
      </c>
      <c r="AC491" s="482" t="s">
        <v>2659</v>
      </c>
      <c r="AD491" s="486"/>
      <c r="AE491" s="486"/>
      <c r="AF491" s="486"/>
      <c r="AG491" s="486"/>
      <c r="AH491" s="486"/>
      <c r="AI491" s="486"/>
      <c r="AJ491" s="785"/>
      <c r="AK491" s="786"/>
      <c r="AL491" s="786"/>
      <c r="AM491" s="486"/>
      <c r="AN491" s="216" t="s">
        <v>131</v>
      </c>
      <c r="AO491" s="492">
        <v>533.0</v>
      </c>
      <c r="AP491" s="485" t="s">
        <v>2676</v>
      </c>
      <c r="AQ491" s="482" t="s">
        <v>127</v>
      </c>
      <c r="AR491" s="482" t="s">
        <v>875</v>
      </c>
      <c r="AS491" s="492">
        <v>0.001</v>
      </c>
      <c r="AT491" s="482" t="s">
        <v>128</v>
      </c>
      <c r="AU491" s="482" t="s">
        <v>179</v>
      </c>
      <c r="AV491" s="486" t="s">
        <v>134</v>
      </c>
      <c r="AW491" s="486"/>
      <c r="AX491" s="486" t="s">
        <v>144</v>
      </c>
      <c r="BA491" s="481"/>
      <c r="BB491" s="481"/>
      <c r="BC491" s="481"/>
      <c r="BD491" s="481"/>
      <c r="BE491" s="481"/>
      <c r="BF491" s="481"/>
      <c r="BG491" s="481"/>
      <c r="BH491" s="481"/>
      <c r="BI491" s="481"/>
      <c r="BJ491" s="481"/>
      <c r="BK491" s="481"/>
      <c r="BL491" s="481"/>
      <c r="BM491" s="481"/>
      <c r="BN491" s="481"/>
      <c r="BO491" s="481"/>
      <c r="BP491" s="481"/>
      <c r="BQ491" s="481"/>
      <c r="BR491" s="481"/>
      <c r="BS491" s="481"/>
      <c r="BT491" s="481"/>
      <c r="BU491" s="481"/>
      <c r="BV491" s="481"/>
      <c r="BW491" s="481"/>
      <c r="BX491" s="481"/>
      <c r="BY491" s="481"/>
      <c r="BZ491" s="481"/>
      <c r="CA491" s="481"/>
      <c r="CB491" s="481"/>
      <c r="CC491" s="481"/>
      <c r="CD491" s="481"/>
      <c r="CE491" s="481"/>
      <c r="CF491" s="481"/>
      <c r="CG491" s="481"/>
      <c r="CH491" s="481"/>
      <c r="CI491" s="481"/>
      <c r="CJ491" s="481"/>
      <c r="CK491" s="481"/>
      <c r="CL491" s="481"/>
      <c r="CM491" s="481"/>
      <c r="CN491" s="481"/>
      <c r="CO491" s="481"/>
      <c r="CP491" s="481"/>
      <c r="CQ491" s="481"/>
      <c r="CR491" s="481"/>
      <c r="CS491" s="481"/>
      <c r="CT491" s="481"/>
      <c r="CU491" s="481"/>
      <c r="CV491" s="481"/>
      <c r="CW491" s="481"/>
      <c r="CX491" s="481"/>
      <c r="CY491" s="481"/>
      <c r="CZ491" s="481"/>
      <c r="DA491" s="481"/>
      <c r="DB491" s="481"/>
      <c r="DC491" s="481"/>
      <c r="DD491" s="481"/>
      <c r="DE491" s="481"/>
      <c r="DF491" s="481"/>
      <c r="DG491" s="481"/>
      <c r="DH491" s="481"/>
    </row>
    <row r="492" ht="20.25" customHeight="1">
      <c r="A492" s="41">
        <v>492.0</v>
      </c>
      <c r="B492" s="121" t="s">
        <v>583</v>
      </c>
      <c r="C492" s="59" t="s">
        <v>108</v>
      </c>
      <c r="D492" s="59" t="s">
        <v>2623</v>
      </c>
      <c r="F492" s="156" t="s">
        <v>2677</v>
      </c>
      <c r="G492" s="54" t="s">
        <v>2678</v>
      </c>
      <c r="H492" s="156" t="s">
        <v>2626</v>
      </c>
      <c r="I492" s="149">
        <v>45472.0</v>
      </c>
      <c r="J492" s="431">
        <v>45654.0</v>
      </c>
      <c r="K492" s="65"/>
      <c r="L492" s="216" t="s">
        <v>2627</v>
      </c>
      <c r="M492" s="156" t="s">
        <v>2628</v>
      </c>
      <c r="N492" s="434" t="s">
        <v>2629</v>
      </c>
      <c r="O492" s="824">
        <v>1.0</v>
      </c>
      <c r="P492" s="379" t="s">
        <v>2630</v>
      </c>
      <c r="Q492" s="49" t="str">
        <f t="array" ref="Q492"> if(iserror(MATCH(V492, 'File Links'!C:C, 0)), "N/A", HYPERLINK(INDEX('File Links'!B:B, MATCH(P492, 'File Links'!C:C, 0))))</f>
        <v>https://drive.google.com/file/d/1qyGORRGdQy-kyOSM_2vtKP7-BEAhuKWX/view?usp=drivesdk</v>
      </c>
      <c r="R492" s="434" t="s">
        <v>2679</v>
      </c>
      <c r="S492" s="434" t="s">
        <v>2680</v>
      </c>
      <c r="T492" s="65"/>
      <c r="U492" s="156"/>
      <c r="V492" s="195" t="str">
        <f t="shared" si="25"/>
        <v>10.1016--j.eatbeh.2024.101899.pdf</v>
      </c>
      <c r="W492" s="434" t="s">
        <v>157</v>
      </c>
      <c r="X492" s="51" t="str">
        <f t="array" ref="X492"> if(iserror(MATCH(V492, 'File Links'!C:C, 0)), "N/A", HYPERLINK(INDEX('File Links'!B:B, MATCH(V492, 'File Links'!C:C, 0))))</f>
        <v>https://drive.google.com/file/d/1WGY3X69XpAQRsdLRgO8nrxWGp5CpwgZF/view?usp=drivesdk</v>
      </c>
      <c r="Y492" s="65"/>
      <c r="Z492" s="434" t="s">
        <v>219</v>
      </c>
      <c r="AA492" s="434" t="s">
        <v>2633</v>
      </c>
      <c r="AB492" s="434" t="s">
        <v>2634</v>
      </c>
      <c r="AC492" s="434" t="s">
        <v>2635</v>
      </c>
      <c r="AD492" s="434" t="s">
        <v>2636</v>
      </c>
      <c r="AE492" s="825">
        <v>4.0</v>
      </c>
      <c r="AF492" s="825">
        <v>1068.0</v>
      </c>
      <c r="AG492" s="825">
        <v>0.33</v>
      </c>
      <c r="AH492" s="826" t="s">
        <v>166</v>
      </c>
      <c r="AI492" s="827" t="s">
        <v>2637</v>
      </c>
      <c r="AJ492" s="828">
        <v>0.01</v>
      </c>
      <c r="AK492" s="434" t="s">
        <v>165</v>
      </c>
      <c r="AL492" s="373" t="s">
        <v>129</v>
      </c>
      <c r="AM492" s="829" t="s">
        <v>130</v>
      </c>
      <c r="AN492" s="216" t="s">
        <v>131</v>
      </c>
      <c r="AO492" s="825">
        <v>600.0</v>
      </c>
      <c r="AP492" s="825">
        <v>0.35</v>
      </c>
      <c r="AQ492" s="434" t="s">
        <v>166</v>
      </c>
      <c r="AR492" s="434" t="s">
        <v>2681</v>
      </c>
      <c r="AS492" s="825">
        <v>0.004</v>
      </c>
      <c r="AT492" s="434" t="s">
        <v>165</v>
      </c>
      <c r="AU492" s="434" t="s">
        <v>129</v>
      </c>
      <c r="AV492" s="829" t="s">
        <v>130</v>
      </c>
      <c r="AW492" s="65"/>
      <c r="AX492" s="829" t="s">
        <v>136</v>
      </c>
      <c r="AY492" s="126"/>
      <c r="BA492" s="481"/>
      <c r="BB492" s="481"/>
      <c r="BC492" s="481"/>
      <c r="BD492" s="481"/>
      <c r="BE492" s="481"/>
      <c r="BF492" s="481"/>
      <c r="BG492" s="481"/>
      <c r="BH492" s="481"/>
      <c r="BI492" s="481"/>
      <c r="BJ492" s="481"/>
      <c r="BK492" s="481"/>
      <c r="BL492" s="481"/>
      <c r="BM492" s="481"/>
      <c r="BN492" s="481"/>
      <c r="BO492" s="481"/>
      <c r="BP492" s="481"/>
      <c r="BQ492" s="481"/>
      <c r="BR492" s="481"/>
      <c r="BS492" s="481"/>
      <c r="BT492" s="481"/>
      <c r="BU492" s="481"/>
      <c r="BV492" s="481"/>
      <c r="BW492" s="481"/>
      <c r="BX492" s="481"/>
      <c r="BY492" s="481"/>
      <c r="BZ492" s="481"/>
      <c r="CA492" s="481"/>
      <c r="CB492" s="481"/>
      <c r="CC492" s="481"/>
      <c r="CD492" s="481"/>
      <c r="CE492" s="481"/>
      <c r="CF492" s="481"/>
      <c r="CG492" s="481"/>
      <c r="CH492" s="481"/>
      <c r="CI492" s="481"/>
      <c r="CJ492" s="481"/>
      <c r="CK492" s="481"/>
      <c r="CL492" s="481"/>
      <c r="CM492" s="481"/>
      <c r="CN492" s="481"/>
      <c r="CO492" s="481"/>
      <c r="CP492" s="481"/>
      <c r="CQ492" s="481"/>
      <c r="CR492" s="481"/>
      <c r="CS492" s="481"/>
      <c r="CT492" s="481"/>
      <c r="CU492" s="481"/>
      <c r="CV492" s="481"/>
      <c r="CW492" s="481"/>
      <c r="CX492" s="481"/>
      <c r="CY492" s="481"/>
      <c r="CZ492" s="481"/>
      <c r="DA492" s="481"/>
      <c r="DB492" s="481"/>
      <c r="DC492" s="481"/>
      <c r="DD492" s="481"/>
      <c r="DE492" s="481"/>
      <c r="DF492" s="481"/>
      <c r="DG492" s="481"/>
      <c r="DH492" s="481"/>
    </row>
    <row r="493" ht="20.25" customHeight="1">
      <c r="A493" s="41">
        <v>493.0</v>
      </c>
      <c r="B493" s="59" t="s">
        <v>278</v>
      </c>
      <c r="C493" s="59" t="s">
        <v>108</v>
      </c>
      <c r="D493" s="59" t="s">
        <v>1451</v>
      </c>
      <c r="F493" s="729" t="s">
        <v>2677</v>
      </c>
      <c r="G493" s="183" t="s">
        <v>2678</v>
      </c>
      <c r="H493" s="729" t="s">
        <v>1511</v>
      </c>
      <c r="I493" s="730">
        <v>45472.0</v>
      </c>
      <c r="J493" s="730">
        <v>45685.0</v>
      </c>
      <c r="K493" s="729" t="s">
        <v>2655</v>
      </c>
      <c r="L493" s="177"/>
      <c r="M493" s="729" t="s">
        <v>2641</v>
      </c>
      <c r="N493" s="729" t="s">
        <v>2629</v>
      </c>
      <c r="O493" s="177"/>
      <c r="P493" s="729" t="s">
        <v>2630</v>
      </c>
      <c r="Q493" s="49" t="str">
        <f t="array" ref="Q493"> if(iserror(MATCH(V493, 'File Links'!C:C, 0)), "N/A", HYPERLINK(INDEX('File Links'!B:B, MATCH(P493, 'File Links'!C:C, 0))))</f>
        <v>https://drive.google.com/file/d/1qyGORRGdQy-kyOSM_2vtKP7-BEAhuKWX/view?usp=drivesdk</v>
      </c>
      <c r="R493" s="729" t="s">
        <v>2682</v>
      </c>
      <c r="S493" s="729" t="s">
        <v>2680</v>
      </c>
      <c r="T493" s="177"/>
      <c r="U493" s="729" t="s">
        <v>2680</v>
      </c>
      <c r="V493" s="195" t="str">
        <f t="shared" si="25"/>
        <v>10.1016--j.eatbeh.2024.101899.pdf</v>
      </c>
      <c r="W493" s="177" t="s">
        <v>2683</v>
      </c>
      <c r="X493" s="51" t="str">
        <f t="array" ref="X493"> if(iserror(MATCH(V493, 'File Links'!C:C, 0)), "N/A", HYPERLINK(INDEX('File Links'!B:B, MATCH(V493, 'File Links'!C:C, 0))))</f>
        <v>https://drive.google.com/file/d/1WGY3X69XpAQRsdLRgO8nrxWGp5CpwgZF/view?usp=drivesdk</v>
      </c>
      <c r="Y493" s="177"/>
      <c r="Z493" s="729" t="s">
        <v>219</v>
      </c>
      <c r="AA493" s="729" t="s">
        <v>2658</v>
      </c>
      <c r="AB493" s="729" t="s">
        <v>2634</v>
      </c>
      <c r="AC493" s="729" t="s">
        <v>2659</v>
      </c>
      <c r="AD493" s="164" t="s">
        <v>2663</v>
      </c>
      <c r="AE493" s="180">
        <v>4.0</v>
      </c>
      <c r="AF493" s="180">
        <v>1068.0</v>
      </c>
      <c r="AG493" s="164" t="s">
        <v>2664</v>
      </c>
      <c r="AH493" s="729" t="s">
        <v>127</v>
      </c>
      <c r="AI493" s="729" t="s">
        <v>489</v>
      </c>
      <c r="AJ493" s="830">
        <v>0.01</v>
      </c>
      <c r="AK493" s="183" t="s">
        <v>128</v>
      </c>
      <c r="AL493" s="183" t="s">
        <v>179</v>
      </c>
      <c r="AM493" s="177" t="s">
        <v>134</v>
      </c>
      <c r="AN493" s="216" t="s">
        <v>131</v>
      </c>
      <c r="AO493" s="180">
        <v>600.0</v>
      </c>
      <c r="AP493" s="164" t="s">
        <v>2684</v>
      </c>
      <c r="AQ493" s="729" t="s">
        <v>127</v>
      </c>
      <c r="AR493" s="729" t="s">
        <v>489</v>
      </c>
      <c r="AS493" s="180">
        <v>0.001</v>
      </c>
      <c r="AT493" s="729" t="s">
        <v>128</v>
      </c>
      <c r="AU493" s="729" t="s">
        <v>179</v>
      </c>
      <c r="AV493" s="177" t="s">
        <v>134</v>
      </c>
      <c r="AW493" s="177"/>
      <c r="AX493" s="177" t="s">
        <v>136</v>
      </c>
      <c r="BA493" s="186"/>
      <c r="BB493" s="186"/>
      <c r="BC493" s="186"/>
      <c r="BD493" s="186"/>
      <c r="BE493" s="186"/>
      <c r="BF493" s="186"/>
      <c r="BG493" s="186"/>
      <c r="BH493" s="186"/>
      <c r="BI493" s="186"/>
      <c r="BJ493" s="186"/>
      <c r="BK493" s="186"/>
      <c r="BL493" s="186"/>
      <c r="BM493" s="186"/>
      <c r="BN493" s="186"/>
      <c r="BO493" s="186"/>
      <c r="BP493" s="186"/>
      <c r="BQ493" s="186"/>
      <c r="BR493" s="186"/>
      <c r="BS493" s="186"/>
      <c r="BT493" s="186"/>
      <c r="BU493" s="186"/>
      <c r="BV493" s="186"/>
      <c r="BW493" s="186"/>
      <c r="BX493" s="186"/>
      <c r="BY493" s="186"/>
      <c r="BZ493" s="186"/>
      <c r="CA493" s="186"/>
      <c r="CB493" s="186"/>
      <c r="CC493" s="186"/>
      <c r="CD493" s="186"/>
      <c r="CE493" s="186"/>
      <c r="CF493" s="186"/>
      <c r="CG493" s="186"/>
      <c r="CH493" s="186"/>
      <c r="CI493" s="186"/>
      <c r="CJ493" s="186"/>
      <c r="CK493" s="186"/>
      <c r="CL493" s="186"/>
      <c r="CM493" s="186"/>
      <c r="CN493" s="186"/>
      <c r="CO493" s="186"/>
      <c r="CP493" s="186"/>
      <c r="CQ493" s="186"/>
      <c r="CR493" s="186"/>
      <c r="CS493" s="186"/>
      <c r="CT493" s="186"/>
      <c r="CU493" s="186"/>
      <c r="CV493" s="186"/>
      <c r="CW493" s="186"/>
      <c r="CX493" s="186"/>
      <c r="CY493" s="186"/>
      <c r="CZ493" s="186"/>
      <c r="DA493" s="186"/>
      <c r="DB493" s="186"/>
      <c r="DC493" s="186"/>
      <c r="DD493" s="186"/>
      <c r="DE493" s="186"/>
      <c r="DF493" s="186"/>
      <c r="DG493" s="186"/>
      <c r="DH493" s="186"/>
    </row>
    <row r="494" ht="20.25" customHeight="1">
      <c r="A494" s="41">
        <v>494.0</v>
      </c>
      <c r="B494" s="59" t="s">
        <v>278</v>
      </c>
      <c r="C494" s="59" t="s">
        <v>108</v>
      </c>
      <c r="D494" s="59" t="s">
        <v>1451</v>
      </c>
      <c r="F494" s="729" t="s">
        <v>2677</v>
      </c>
      <c r="G494" s="183" t="s">
        <v>2685</v>
      </c>
      <c r="H494" s="729" t="s">
        <v>1511</v>
      </c>
      <c r="I494" s="831"/>
      <c r="J494" s="730">
        <v>45685.0</v>
      </c>
      <c r="K494" s="729" t="s">
        <v>2686</v>
      </c>
      <c r="L494" s="177"/>
      <c r="M494" s="729" t="s">
        <v>2641</v>
      </c>
      <c r="N494" s="729" t="s">
        <v>2629</v>
      </c>
      <c r="O494" s="177"/>
      <c r="P494" s="729" t="s">
        <v>2630</v>
      </c>
      <c r="Q494" s="49" t="str">
        <f t="array" ref="Q494"> if(iserror(MATCH(V494, 'File Links'!C:C, 0)), "N/A", HYPERLINK(INDEX('File Links'!B:B, MATCH(P494, 'File Links'!C:C, 0))))</f>
        <v>https://drive.google.com/file/d/1qyGORRGdQy-kyOSM_2vtKP7-BEAhuKWX/view?usp=drivesdk</v>
      </c>
      <c r="R494" s="729" t="s">
        <v>2682</v>
      </c>
      <c r="S494" s="729" t="s">
        <v>2680</v>
      </c>
      <c r="T494" s="177"/>
      <c r="U494" s="729" t="s">
        <v>2680</v>
      </c>
      <c r="V494" s="195" t="str">
        <f t="shared" si="25"/>
        <v>10.1016--j.eatbeh.2024.101899.pdf</v>
      </c>
      <c r="W494" s="177" t="s">
        <v>2683</v>
      </c>
      <c r="X494" s="51" t="str">
        <f t="array" ref="X494"> if(iserror(MATCH(V494, 'File Links'!C:C, 0)), "N/A", HYPERLINK(INDEX('File Links'!B:B, MATCH(V494, 'File Links'!C:C, 0))))</f>
        <v>https://drive.google.com/file/d/1WGY3X69XpAQRsdLRgO8nrxWGp5CpwgZF/view?usp=drivesdk</v>
      </c>
      <c r="Y494" s="177"/>
      <c r="Z494" s="729" t="s">
        <v>219</v>
      </c>
      <c r="AA494" s="729" t="s">
        <v>2658</v>
      </c>
      <c r="AB494" s="729" t="s">
        <v>2634</v>
      </c>
      <c r="AC494" s="729" t="s">
        <v>2659</v>
      </c>
      <c r="AD494" s="177"/>
      <c r="AE494" s="177"/>
      <c r="AF494" s="177"/>
      <c r="AG494" s="177"/>
      <c r="AH494" s="177"/>
      <c r="AI494" s="177"/>
      <c r="AJ494" s="737"/>
      <c r="AK494" s="734"/>
      <c r="AL494" s="734"/>
      <c r="AM494" s="177"/>
      <c r="AN494" s="216" t="s">
        <v>131</v>
      </c>
      <c r="AO494" s="180">
        <v>600.0</v>
      </c>
      <c r="AP494" s="164" t="s">
        <v>2687</v>
      </c>
      <c r="AQ494" s="729" t="s">
        <v>127</v>
      </c>
      <c r="AR494" s="729" t="s">
        <v>489</v>
      </c>
      <c r="AS494" s="180">
        <v>0.001</v>
      </c>
      <c r="AT494" s="729" t="s">
        <v>128</v>
      </c>
      <c r="AU494" s="729" t="s">
        <v>179</v>
      </c>
      <c r="AV494" s="177" t="s">
        <v>134</v>
      </c>
      <c r="AW494" s="177"/>
      <c r="AX494" s="177" t="s">
        <v>144</v>
      </c>
      <c r="BA494" s="186"/>
      <c r="BB494" s="186"/>
      <c r="BC494" s="186"/>
      <c r="BD494" s="186"/>
      <c r="BE494" s="186"/>
      <c r="BF494" s="186"/>
      <c r="BG494" s="186"/>
      <c r="BH494" s="186"/>
      <c r="BI494" s="186"/>
      <c r="BJ494" s="186"/>
      <c r="BK494" s="186"/>
      <c r="BL494" s="186"/>
      <c r="BM494" s="186"/>
      <c r="BN494" s="186"/>
      <c r="BO494" s="186"/>
      <c r="BP494" s="186"/>
      <c r="BQ494" s="186"/>
      <c r="BR494" s="186"/>
      <c r="BS494" s="186"/>
      <c r="BT494" s="186"/>
      <c r="BU494" s="186"/>
      <c r="BV494" s="186"/>
      <c r="BW494" s="186"/>
      <c r="BX494" s="186"/>
      <c r="BY494" s="186"/>
      <c r="BZ494" s="186"/>
      <c r="CA494" s="186"/>
      <c r="CB494" s="186"/>
      <c r="CC494" s="186"/>
      <c r="CD494" s="186"/>
      <c r="CE494" s="186"/>
      <c r="CF494" s="186"/>
      <c r="CG494" s="186"/>
      <c r="CH494" s="186"/>
      <c r="CI494" s="186"/>
      <c r="CJ494" s="186"/>
      <c r="CK494" s="186"/>
      <c r="CL494" s="186"/>
      <c r="CM494" s="186"/>
      <c r="CN494" s="186"/>
      <c r="CO494" s="186"/>
      <c r="CP494" s="186"/>
      <c r="CQ494" s="186"/>
      <c r="CR494" s="186"/>
      <c r="CS494" s="186"/>
      <c r="CT494" s="186"/>
      <c r="CU494" s="186"/>
      <c r="CV494" s="186"/>
      <c r="CW494" s="186"/>
      <c r="CX494" s="186"/>
      <c r="CY494" s="186"/>
      <c r="CZ494" s="186"/>
      <c r="DA494" s="186"/>
      <c r="DB494" s="186"/>
      <c r="DC494" s="186"/>
      <c r="DD494" s="186"/>
      <c r="DE494" s="186"/>
      <c r="DF494" s="186"/>
      <c r="DG494" s="186"/>
      <c r="DH494" s="186"/>
    </row>
    <row r="495" ht="20.25" customHeight="1">
      <c r="A495" s="41">
        <v>495.0</v>
      </c>
      <c r="B495" s="59" t="s">
        <v>278</v>
      </c>
      <c r="C495" s="59" t="s">
        <v>108</v>
      </c>
      <c r="D495" s="59" t="s">
        <v>1451</v>
      </c>
      <c r="F495" s="729" t="s">
        <v>2677</v>
      </c>
      <c r="G495" s="183" t="s">
        <v>2688</v>
      </c>
      <c r="H495" s="729" t="s">
        <v>1511</v>
      </c>
      <c r="I495" s="831"/>
      <c r="J495" s="730">
        <v>45685.0</v>
      </c>
      <c r="K495" s="729" t="s">
        <v>2689</v>
      </c>
      <c r="L495" s="177"/>
      <c r="M495" s="729" t="s">
        <v>2641</v>
      </c>
      <c r="N495" s="729" t="s">
        <v>2629</v>
      </c>
      <c r="O495" s="177"/>
      <c r="P495" s="729" t="s">
        <v>2630</v>
      </c>
      <c r="Q495" s="49" t="str">
        <f t="array" ref="Q495"> if(iserror(MATCH(V495, 'File Links'!C:C, 0)), "N/A", HYPERLINK(INDEX('File Links'!B:B, MATCH(P495, 'File Links'!C:C, 0))))</f>
        <v>https://drive.google.com/file/d/1qyGORRGdQy-kyOSM_2vtKP7-BEAhuKWX/view?usp=drivesdk</v>
      </c>
      <c r="R495" s="729" t="s">
        <v>2682</v>
      </c>
      <c r="S495" s="729" t="s">
        <v>2680</v>
      </c>
      <c r="T495" s="177"/>
      <c r="U495" s="729" t="s">
        <v>2680</v>
      </c>
      <c r="V495" s="195" t="str">
        <f t="shared" si="25"/>
        <v>10.1016--j.eatbeh.2024.101899.pdf</v>
      </c>
      <c r="W495" s="177" t="s">
        <v>2683</v>
      </c>
      <c r="X495" s="51" t="str">
        <f t="array" ref="X495"> if(iserror(MATCH(V495, 'File Links'!C:C, 0)), "N/A", HYPERLINK(INDEX('File Links'!B:B, MATCH(V495, 'File Links'!C:C, 0))))</f>
        <v>https://drive.google.com/file/d/1WGY3X69XpAQRsdLRgO8nrxWGp5CpwgZF/view?usp=drivesdk</v>
      </c>
      <c r="Y495" s="177"/>
      <c r="Z495" s="729" t="s">
        <v>219</v>
      </c>
      <c r="AA495" s="729" t="s">
        <v>2658</v>
      </c>
      <c r="AB495" s="729" t="s">
        <v>2634</v>
      </c>
      <c r="AC495" s="729" t="s">
        <v>2659</v>
      </c>
      <c r="AD495" s="177"/>
      <c r="AE495" s="177"/>
      <c r="AF495" s="177"/>
      <c r="AG495" s="177"/>
      <c r="AH495" s="177"/>
      <c r="AI495" s="177"/>
      <c r="AJ495" s="737"/>
      <c r="AK495" s="734"/>
      <c r="AL495" s="734"/>
      <c r="AM495" s="177"/>
      <c r="AN495" s="216" t="s">
        <v>131</v>
      </c>
      <c r="AO495" s="180">
        <v>600.0</v>
      </c>
      <c r="AP495" s="164" t="s">
        <v>2690</v>
      </c>
      <c r="AQ495" s="729" t="s">
        <v>127</v>
      </c>
      <c r="AR495" s="729" t="s">
        <v>489</v>
      </c>
      <c r="AS495" s="180">
        <v>0.001</v>
      </c>
      <c r="AT495" s="729" t="s">
        <v>128</v>
      </c>
      <c r="AU495" s="729" t="s">
        <v>179</v>
      </c>
      <c r="AV495" s="177" t="s">
        <v>134</v>
      </c>
      <c r="AW495" s="177"/>
      <c r="AX495" s="177" t="s">
        <v>144</v>
      </c>
      <c r="BA495" s="89"/>
      <c r="BB495" s="89"/>
      <c r="BC495" s="89"/>
      <c r="BD495" s="89"/>
      <c r="BE495" s="89"/>
      <c r="BF495" s="89"/>
      <c r="BG495" s="89"/>
      <c r="BH495" s="89"/>
      <c r="BI495" s="89"/>
      <c r="BJ495" s="89"/>
      <c r="BK495" s="89"/>
      <c r="BL495" s="89"/>
      <c r="BM495" s="89"/>
      <c r="BN495" s="89"/>
      <c r="BO495" s="89"/>
      <c r="BP495" s="89"/>
      <c r="BQ495" s="89"/>
      <c r="BR495" s="89"/>
      <c r="BS495" s="89"/>
      <c r="BT495" s="89"/>
      <c r="BU495" s="89"/>
      <c r="BV495" s="89"/>
      <c r="BW495" s="89"/>
      <c r="BX495" s="89"/>
      <c r="BY495" s="89"/>
      <c r="BZ495" s="89"/>
      <c r="CA495" s="89"/>
      <c r="CB495" s="89"/>
      <c r="CC495" s="89"/>
      <c r="CD495" s="89"/>
      <c r="CE495" s="89"/>
      <c r="CF495" s="89"/>
      <c r="CG495" s="89"/>
      <c r="CH495" s="89"/>
      <c r="CI495" s="89"/>
      <c r="CJ495" s="89"/>
      <c r="CK495" s="89"/>
      <c r="CL495" s="89"/>
      <c r="CM495" s="89"/>
      <c r="CN495" s="89"/>
      <c r="CO495" s="89"/>
      <c r="CP495" s="89"/>
      <c r="CQ495" s="89"/>
      <c r="CR495" s="89"/>
      <c r="CS495" s="89"/>
      <c r="CT495" s="89"/>
      <c r="CU495" s="89"/>
      <c r="CV495" s="89"/>
      <c r="CW495" s="89"/>
      <c r="CX495" s="89"/>
      <c r="CY495" s="89"/>
      <c r="CZ495" s="89"/>
      <c r="DA495" s="89"/>
      <c r="DB495" s="89"/>
      <c r="DC495" s="89"/>
      <c r="DD495" s="89"/>
      <c r="DE495" s="89"/>
      <c r="DF495" s="89"/>
      <c r="DG495" s="89"/>
      <c r="DH495" s="89"/>
    </row>
    <row r="496" ht="20.25" customHeight="1">
      <c r="A496" s="41">
        <v>496.0</v>
      </c>
      <c r="B496" s="59" t="s">
        <v>278</v>
      </c>
      <c r="C496" s="59" t="s">
        <v>108</v>
      </c>
      <c r="D496" s="59" t="s">
        <v>1451</v>
      </c>
      <c r="F496" s="729" t="s">
        <v>2677</v>
      </c>
      <c r="G496" s="183" t="s">
        <v>2691</v>
      </c>
      <c r="H496" s="729" t="s">
        <v>1511</v>
      </c>
      <c r="I496" s="831"/>
      <c r="J496" s="730">
        <v>45685.0</v>
      </c>
      <c r="K496" s="729" t="s">
        <v>2692</v>
      </c>
      <c r="L496" s="177"/>
      <c r="M496" s="729" t="s">
        <v>2641</v>
      </c>
      <c r="N496" s="729" t="s">
        <v>2629</v>
      </c>
      <c r="O496" s="177"/>
      <c r="P496" s="729" t="s">
        <v>2630</v>
      </c>
      <c r="Q496" s="49" t="str">
        <f t="array" ref="Q496"> if(iserror(MATCH(V496, 'File Links'!C:C, 0)), "N/A", HYPERLINK(INDEX('File Links'!B:B, MATCH(P496, 'File Links'!C:C, 0))))</f>
        <v>https://drive.google.com/file/d/1qyGORRGdQy-kyOSM_2vtKP7-BEAhuKWX/view?usp=drivesdk</v>
      </c>
      <c r="R496" s="729" t="s">
        <v>2682</v>
      </c>
      <c r="S496" s="729" t="s">
        <v>2680</v>
      </c>
      <c r="T496" s="177"/>
      <c r="U496" s="729" t="s">
        <v>2680</v>
      </c>
      <c r="V496" s="195" t="str">
        <f t="shared" si="25"/>
        <v>10.1016--j.eatbeh.2024.101899.pdf</v>
      </c>
      <c r="W496" s="177" t="s">
        <v>2683</v>
      </c>
      <c r="X496" s="51" t="str">
        <f t="array" ref="X496"> if(iserror(MATCH(V496, 'File Links'!C:C, 0)), "N/A", HYPERLINK(INDEX('File Links'!B:B, MATCH(V496, 'File Links'!C:C, 0))))</f>
        <v>https://drive.google.com/file/d/1WGY3X69XpAQRsdLRgO8nrxWGp5CpwgZF/view?usp=drivesdk</v>
      </c>
      <c r="Y496" s="177"/>
      <c r="Z496" s="729" t="s">
        <v>219</v>
      </c>
      <c r="AA496" s="729" t="s">
        <v>2658</v>
      </c>
      <c r="AB496" s="729" t="s">
        <v>2634</v>
      </c>
      <c r="AC496" s="729" t="s">
        <v>2659</v>
      </c>
      <c r="AD496" s="177"/>
      <c r="AE496" s="177"/>
      <c r="AF496" s="177"/>
      <c r="AG496" s="177"/>
      <c r="AH496" s="177"/>
      <c r="AI496" s="177"/>
      <c r="AJ496" s="737"/>
      <c r="AK496" s="734"/>
      <c r="AL496" s="734"/>
      <c r="AM496" s="177"/>
      <c r="AN496" s="216" t="s">
        <v>131</v>
      </c>
      <c r="AO496" s="180">
        <v>600.0</v>
      </c>
      <c r="AP496" s="164" t="s">
        <v>2693</v>
      </c>
      <c r="AQ496" s="729" t="s">
        <v>127</v>
      </c>
      <c r="AR496" s="729" t="s">
        <v>489</v>
      </c>
      <c r="AS496" s="180">
        <v>0.001</v>
      </c>
      <c r="AT496" s="729" t="s">
        <v>128</v>
      </c>
      <c r="AU496" s="729" t="s">
        <v>179</v>
      </c>
      <c r="AV496" s="177" t="s">
        <v>134</v>
      </c>
      <c r="AW496" s="177"/>
      <c r="AX496" s="177" t="s">
        <v>144</v>
      </c>
      <c r="BA496" s="89"/>
      <c r="BB496" s="89"/>
      <c r="BC496" s="89"/>
      <c r="BD496" s="89"/>
      <c r="BE496" s="89"/>
      <c r="BF496" s="89"/>
      <c r="BG496" s="89"/>
      <c r="BH496" s="89"/>
      <c r="BI496" s="89"/>
      <c r="BJ496" s="89"/>
      <c r="BK496" s="89"/>
      <c r="BL496" s="89"/>
      <c r="BM496" s="89"/>
      <c r="BN496" s="89"/>
      <c r="BO496" s="89"/>
      <c r="BP496" s="89"/>
      <c r="BQ496" s="89"/>
      <c r="BR496" s="89"/>
      <c r="BS496" s="89"/>
      <c r="BT496" s="89"/>
      <c r="BU496" s="89"/>
      <c r="BV496" s="89"/>
      <c r="BW496" s="89"/>
      <c r="BX496" s="89"/>
      <c r="BY496" s="89"/>
      <c r="BZ496" s="89"/>
      <c r="CA496" s="89"/>
      <c r="CB496" s="89"/>
      <c r="CC496" s="89"/>
      <c r="CD496" s="89"/>
      <c r="CE496" s="89"/>
      <c r="CF496" s="89"/>
      <c r="CG496" s="89"/>
      <c r="CH496" s="89"/>
      <c r="CI496" s="89"/>
      <c r="CJ496" s="89"/>
      <c r="CK496" s="89"/>
      <c r="CL496" s="89"/>
      <c r="CM496" s="89"/>
      <c r="CN496" s="89"/>
      <c r="CO496" s="89"/>
      <c r="CP496" s="89"/>
      <c r="CQ496" s="89"/>
      <c r="CR496" s="89"/>
      <c r="CS496" s="89"/>
      <c r="CT496" s="89"/>
      <c r="CU496" s="89"/>
      <c r="CV496" s="89"/>
      <c r="CW496" s="89"/>
      <c r="CX496" s="89"/>
      <c r="CY496" s="89"/>
      <c r="CZ496" s="89"/>
      <c r="DA496" s="89"/>
      <c r="DB496" s="89"/>
      <c r="DC496" s="89"/>
      <c r="DD496" s="89"/>
      <c r="DE496" s="89"/>
      <c r="DF496" s="89"/>
      <c r="DG496" s="89"/>
      <c r="DH496" s="89"/>
    </row>
    <row r="497" ht="20.25" customHeight="1">
      <c r="A497" s="41">
        <v>497.0</v>
      </c>
      <c r="B497" s="146" t="s">
        <v>278</v>
      </c>
      <c r="C497" s="146" t="s">
        <v>108</v>
      </c>
      <c r="D497" s="146" t="s">
        <v>1227</v>
      </c>
      <c r="E497" s="69"/>
      <c r="F497" s="119" t="s">
        <v>2694</v>
      </c>
      <c r="G497" s="109" t="s">
        <v>2695</v>
      </c>
      <c r="H497" s="109" t="s">
        <v>1230</v>
      </c>
      <c r="I497" s="414">
        <v>45472.0</v>
      </c>
      <c r="J497" s="110">
        <v>45641.0</v>
      </c>
      <c r="K497" s="111"/>
      <c r="L497" s="111"/>
      <c r="M497" s="109" t="s">
        <v>2696</v>
      </c>
      <c r="N497" s="109" t="s">
        <v>2697</v>
      </c>
      <c r="O497" s="114">
        <v>1.0</v>
      </c>
      <c r="P497" s="118" t="s">
        <v>2698</v>
      </c>
      <c r="Q497" s="49" t="str">
        <f t="array" ref="Q497"> if(iserror(MATCH(V497, 'File Links'!C:C, 0)), "N/A", HYPERLINK(INDEX('File Links'!B:B, MATCH(P497, 'File Links'!C:C, 0))))</f>
        <v>https://drive.google.com/file/d/1v5DJu4qjqzVUJEfoj2GHrhMbmyHZ-m6z/view?usp=drivesdk</v>
      </c>
      <c r="R497" s="109" t="s">
        <v>2699</v>
      </c>
      <c r="S497" s="109" t="s">
        <v>2700</v>
      </c>
      <c r="U497" s="363">
        <v>1.0</v>
      </c>
      <c r="V497" s="195" t="str">
        <f t="shared" si="25"/>
        <v>10.1016--j.jrp.2024.104511.pdf</v>
      </c>
      <c r="W497" s="109" t="s">
        <v>2701</v>
      </c>
      <c r="X497" s="51" t="str">
        <f t="array" ref="X497"> if(iserror(MATCH(V497, 'File Links'!C:C, 0)), "N/A", HYPERLINK(INDEX('File Links'!B:B, MATCH(V497, 'File Links'!C:C, 0))))</f>
        <v>https://drive.google.com/file/d/1_wLROYuywRItyX2cFnsLf0N4QfaR5Z8L/view?usp=drivesdk</v>
      </c>
      <c r="Y497" s="109"/>
      <c r="Z497" s="109" t="s">
        <v>1593</v>
      </c>
      <c r="AB497" s="109" t="s">
        <v>2702</v>
      </c>
      <c r="AD497" s="109" t="s">
        <v>2703</v>
      </c>
      <c r="AF497" s="114">
        <v>674.0</v>
      </c>
      <c r="AG497" s="111"/>
      <c r="AH497" s="117"/>
      <c r="AI497" s="111"/>
      <c r="AJ497" s="114">
        <v>0.05</v>
      </c>
      <c r="AK497" s="119" t="s">
        <v>128</v>
      </c>
      <c r="AL497" s="109" t="s">
        <v>179</v>
      </c>
      <c r="AM497" s="111" t="s">
        <v>134</v>
      </c>
      <c r="AN497" s="832" t="s">
        <v>2704</v>
      </c>
      <c r="AO497" s="833">
        <v>451.0</v>
      </c>
      <c r="AP497" s="111"/>
      <c r="AQ497" s="111"/>
      <c r="AR497" s="111"/>
      <c r="AS497" s="111"/>
      <c r="AT497" s="108"/>
      <c r="AU497" s="108"/>
      <c r="AV497" s="108"/>
      <c r="AW497" s="834" t="s">
        <v>2705</v>
      </c>
      <c r="AX497" s="108"/>
      <c r="AY497" s="58"/>
      <c r="AZ497" s="69"/>
      <c r="BA497" s="89"/>
      <c r="BB497" s="89"/>
      <c r="BC497" s="89"/>
      <c r="BD497" s="89"/>
      <c r="BE497" s="89"/>
      <c r="BF497" s="89"/>
      <c r="BG497" s="89"/>
      <c r="BH497" s="89"/>
      <c r="BI497" s="89"/>
      <c r="BJ497" s="89"/>
      <c r="BK497" s="89"/>
      <c r="BL497" s="89"/>
      <c r="BM497" s="89"/>
      <c r="BN497" s="89"/>
      <c r="BO497" s="89"/>
      <c r="BP497" s="89"/>
      <c r="BQ497" s="89"/>
      <c r="BR497" s="89"/>
      <c r="BS497" s="89"/>
      <c r="BT497" s="89"/>
      <c r="BU497" s="89"/>
      <c r="BV497" s="89"/>
      <c r="BW497" s="89"/>
      <c r="BX497" s="89"/>
      <c r="BY497" s="89"/>
      <c r="BZ497" s="89"/>
      <c r="CA497" s="89"/>
      <c r="CB497" s="89"/>
      <c r="CC497" s="89"/>
      <c r="CD497" s="89"/>
      <c r="CE497" s="89"/>
      <c r="CF497" s="89"/>
      <c r="CG497" s="89"/>
      <c r="CH497" s="89"/>
      <c r="CI497" s="89"/>
      <c r="CJ497" s="89"/>
      <c r="CK497" s="89"/>
      <c r="CL497" s="89"/>
      <c r="CM497" s="89"/>
      <c r="CN497" s="89"/>
      <c r="CO497" s="89"/>
      <c r="CP497" s="89"/>
      <c r="CQ497" s="89"/>
      <c r="CR497" s="89"/>
      <c r="CS497" s="89"/>
      <c r="CT497" s="89"/>
      <c r="CU497" s="89"/>
      <c r="CV497" s="89"/>
      <c r="CW497" s="89"/>
      <c r="CX497" s="89"/>
      <c r="CY497" s="89"/>
      <c r="CZ497" s="89"/>
      <c r="DA497" s="89"/>
      <c r="DB497" s="89"/>
      <c r="DC497" s="89"/>
      <c r="DD497" s="89"/>
      <c r="DE497" s="89"/>
      <c r="DF497" s="89"/>
      <c r="DG497" s="89"/>
      <c r="DH497" s="89"/>
    </row>
    <row r="498" ht="20.25" customHeight="1">
      <c r="A498" s="41">
        <v>498.0</v>
      </c>
      <c r="B498" s="146" t="s">
        <v>278</v>
      </c>
      <c r="C498" s="146" t="s">
        <v>108</v>
      </c>
      <c r="D498" s="146" t="s">
        <v>214</v>
      </c>
      <c r="E498" s="69"/>
      <c r="F498" s="108" t="s">
        <v>2694</v>
      </c>
      <c r="G498" s="109" t="s">
        <v>2706</v>
      </c>
      <c r="H498" s="111" t="s">
        <v>215</v>
      </c>
      <c r="I498" s="414">
        <v>45640.0</v>
      </c>
      <c r="J498" s="111"/>
      <c r="K498" s="109" t="s">
        <v>1094</v>
      </c>
      <c r="L498" s="111"/>
      <c r="M498" s="415" t="s">
        <v>2707</v>
      </c>
      <c r="N498" s="109" t="s">
        <v>2697</v>
      </c>
      <c r="O498" s="111"/>
      <c r="P498" s="118" t="s">
        <v>2698</v>
      </c>
      <c r="Q498" s="49" t="str">
        <f t="array" ref="Q498"> if(iserror(MATCH(V498, 'File Links'!C:C, 0)), "N/A", HYPERLINK(INDEX('File Links'!B:B, MATCH(P498, 'File Links'!C:C, 0))))</f>
        <v>https://drive.google.com/file/d/1v5DJu4qjqzVUJEfoj2GHrhMbmyHZ-m6z/view?usp=drivesdk</v>
      </c>
      <c r="R498" s="109" t="s">
        <v>2699</v>
      </c>
      <c r="S498" s="109" t="s">
        <v>2700</v>
      </c>
      <c r="T498" s="111"/>
      <c r="U498" s="117"/>
      <c r="V498" s="195" t="str">
        <f t="shared" si="25"/>
        <v>10.1016--j.jrp.2024.104511.pdf</v>
      </c>
      <c r="W498" s="109" t="s">
        <v>2708</v>
      </c>
      <c r="X498" s="51" t="str">
        <f t="array" ref="X498"> if(iserror(MATCH(V498, 'File Links'!C:C, 0)), "N/A", HYPERLINK(INDEX('File Links'!B:B, MATCH(V498, 'File Links'!C:C, 0))))</f>
        <v>https://drive.google.com/file/d/1_wLROYuywRItyX2cFnsLf0N4QfaR5Z8L/view?usp=drivesdk</v>
      </c>
      <c r="Y498" s="111"/>
      <c r="Z498" s="109" t="s">
        <v>1593</v>
      </c>
      <c r="AA498" s="109" t="s">
        <v>2709</v>
      </c>
      <c r="AB498" s="109" t="s">
        <v>2710</v>
      </c>
      <c r="AC498" s="109" t="s">
        <v>2711</v>
      </c>
      <c r="AD498" s="109" t="s">
        <v>2712</v>
      </c>
      <c r="AE498" s="114">
        <v>18.0</v>
      </c>
      <c r="AF498" s="114">
        <v>674.0</v>
      </c>
      <c r="AG498" s="114">
        <v>-0.65</v>
      </c>
      <c r="AH498" s="118" t="s">
        <v>166</v>
      </c>
      <c r="AI498" s="109" t="s">
        <v>2713</v>
      </c>
      <c r="AJ498" s="114">
        <v>0.05</v>
      </c>
      <c r="AK498" s="119" t="s">
        <v>128</v>
      </c>
      <c r="AL498" s="109" t="s">
        <v>129</v>
      </c>
      <c r="AM498" s="111" t="s">
        <v>134</v>
      </c>
      <c r="AN498" s="650" t="s">
        <v>2704</v>
      </c>
      <c r="AO498" s="416">
        <v>404.0</v>
      </c>
      <c r="AP498" s="416">
        <v>0.1</v>
      </c>
      <c r="AQ498" s="109" t="s">
        <v>208</v>
      </c>
      <c r="AR498" s="109" t="s">
        <v>2713</v>
      </c>
      <c r="AS498" s="114">
        <v>0.05</v>
      </c>
      <c r="AT498" s="119" t="s">
        <v>128</v>
      </c>
      <c r="AU498" s="119" t="s">
        <v>129</v>
      </c>
      <c r="AV498" s="108" t="s">
        <v>134</v>
      </c>
      <c r="AW498" s="653" t="s">
        <v>2714</v>
      </c>
      <c r="AX498" s="835" t="s">
        <v>136</v>
      </c>
      <c r="AY498" s="58"/>
      <c r="AZ498" s="69"/>
      <c r="BA498" s="89"/>
      <c r="BB498" s="89"/>
      <c r="BC498" s="89"/>
      <c r="BD498" s="89"/>
      <c r="BE498" s="89"/>
      <c r="BF498" s="89"/>
      <c r="BG498" s="89"/>
      <c r="BH498" s="89"/>
      <c r="BI498" s="89"/>
      <c r="BJ498" s="89"/>
      <c r="BK498" s="89"/>
      <c r="BL498" s="89"/>
      <c r="BM498" s="89"/>
      <c r="BN498" s="89"/>
      <c r="BO498" s="89"/>
      <c r="BP498" s="89"/>
      <c r="BQ498" s="89"/>
      <c r="BR498" s="89"/>
      <c r="BS498" s="89"/>
      <c r="BT498" s="89"/>
      <c r="BU498" s="89"/>
      <c r="BV498" s="89"/>
      <c r="BW498" s="89"/>
      <c r="BX498" s="89"/>
      <c r="BY498" s="89"/>
      <c r="BZ498" s="89"/>
      <c r="CA498" s="89"/>
      <c r="CB498" s="89"/>
      <c r="CC498" s="89"/>
      <c r="CD498" s="89"/>
      <c r="CE498" s="89"/>
      <c r="CF498" s="89"/>
      <c r="CG498" s="89"/>
      <c r="CH498" s="89"/>
      <c r="CI498" s="89"/>
      <c r="CJ498" s="89"/>
      <c r="CK498" s="89"/>
      <c r="CL498" s="89"/>
      <c r="CM498" s="89"/>
      <c r="CN498" s="89"/>
      <c r="CO498" s="89"/>
      <c r="CP498" s="89"/>
      <c r="CQ498" s="89"/>
      <c r="CR498" s="89"/>
      <c r="CS498" s="89"/>
      <c r="CT498" s="89"/>
      <c r="CU498" s="89"/>
      <c r="CV498" s="89"/>
      <c r="CW498" s="89"/>
      <c r="CX498" s="89"/>
      <c r="CY498" s="89"/>
      <c r="CZ498" s="89"/>
      <c r="DA498" s="89"/>
      <c r="DB498" s="89"/>
      <c r="DC498" s="89"/>
      <c r="DD498" s="89"/>
      <c r="DE498" s="89"/>
      <c r="DF498" s="89"/>
      <c r="DG498" s="89"/>
      <c r="DH498" s="89"/>
    </row>
    <row r="499" ht="20.25" customHeight="1">
      <c r="A499" s="41">
        <v>499.0</v>
      </c>
      <c r="B499" s="146" t="s">
        <v>278</v>
      </c>
      <c r="C499" s="146" t="s">
        <v>108</v>
      </c>
      <c r="D499" s="146" t="s">
        <v>214</v>
      </c>
      <c r="E499" s="69"/>
      <c r="F499" s="108" t="s">
        <v>2694</v>
      </c>
      <c r="G499" s="109" t="s">
        <v>2715</v>
      </c>
      <c r="H499" s="111" t="s">
        <v>215</v>
      </c>
      <c r="I499" s="414">
        <v>45640.0</v>
      </c>
      <c r="J499" s="111"/>
      <c r="K499" s="109" t="s">
        <v>1094</v>
      </c>
      <c r="L499" s="111"/>
      <c r="M499" s="415" t="s">
        <v>2716</v>
      </c>
      <c r="N499" s="109" t="s">
        <v>2697</v>
      </c>
      <c r="O499" s="111"/>
      <c r="P499" s="118" t="s">
        <v>2698</v>
      </c>
      <c r="Q499" s="49" t="str">
        <f t="array" ref="Q499"> if(iserror(MATCH(V499, 'File Links'!C:C, 0)), "N/A", HYPERLINK(INDEX('File Links'!B:B, MATCH(P499, 'File Links'!C:C, 0))))</f>
        <v>https://drive.google.com/file/d/1v5DJu4qjqzVUJEfoj2GHrhMbmyHZ-m6z/view?usp=drivesdk</v>
      </c>
      <c r="R499" s="109" t="s">
        <v>2699</v>
      </c>
      <c r="S499" s="109" t="s">
        <v>2700</v>
      </c>
      <c r="T499" s="111"/>
      <c r="U499" s="117"/>
      <c r="V499" s="195" t="str">
        <f t="shared" si="25"/>
        <v>10.1016--j.jrp.2024.104511.pdf</v>
      </c>
      <c r="W499" s="109" t="s">
        <v>2708</v>
      </c>
      <c r="X499" s="51" t="str">
        <f t="array" ref="X499"> if(iserror(MATCH(V499, 'File Links'!C:C, 0)), "N/A", HYPERLINK(INDEX('File Links'!B:B, MATCH(V499, 'File Links'!C:C, 0))))</f>
        <v>https://drive.google.com/file/d/1_wLROYuywRItyX2cFnsLf0N4QfaR5Z8L/view?usp=drivesdk</v>
      </c>
      <c r="Y499" s="111"/>
      <c r="Z499" s="109" t="s">
        <v>1593</v>
      </c>
      <c r="AA499" s="109" t="s">
        <v>2709</v>
      </c>
      <c r="AB499" s="109" t="s">
        <v>2710</v>
      </c>
      <c r="AC499" s="109" t="s">
        <v>2717</v>
      </c>
      <c r="AD499" s="111"/>
      <c r="AE499" s="114">
        <v>37.0</v>
      </c>
      <c r="AF499" s="114">
        <v>674.0</v>
      </c>
      <c r="AG499" s="114">
        <v>-0.16</v>
      </c>
      <c r="AH499" s="118" t="s">
        <v>166</v>
      </c>
      <c r="AI499" s="109" t="s">
        <v>2713</v>
      </c>
      <c r="AJ499" s="114">
        <v>0.05</v>
      </c>
      <c r="AK499" s="119" t="s">
        <v>128</v>
      </c>
      <c r="AL499" s="109" t="s">
        <v>129</v>
      </c>
      <c r="AM499" s="111" t="s">
        <v>134</v>
      </c>
      <c r="AN499" s="650" t="s">
        <v>2704</v>
      </c>
      <c r="AO499" s="416">
        <v>404.0</v>
      </c>
      <c r="AP499" s="416">
        <v>0.1</v>
      </c>
      <c r="AQ499" s="109" t="s">
        <v>208</v>
      </c>
      <c r="AR499" s="109" t="s">
        <v>2713</v>
      </c>
      <c r="AS499" s="114">
        <v>0.05</v>
      </c>
      <c r="AT499" s="119" t="s">
        <v>128</v>
      </c>
      <c r="AU499" s="119" t="s">
        <v>129</v>
      </c>
      <c r="AV499" s="108" t="s">
        <v>134</v>
      </c>
      <c r="AW499" s="653" t="s">
        <v>2714</v>
      </c>
      <c r="AX499" s="835" t="s">
        <v>136</v>
      </c>
      <c r="AY499" s="58"/>
      <c r="AZ499" s="69"/>
      <c r="BA499" s="89"/>
      <c r="BB499" s="89"/>
      <c r="BC499" s="89"/>
      <c r="BD499" s="89"/>
      <c r="BE499" s="89"/>
      <c r="BF499" s="89"/>
      <c r="BG499" s="89"/>
      <c r="BH499" s="89"/>
      <c r="BI499" s="89"/>
      <c r="BJ499" s="89"/>
      <c r="BK499" s="89"/>
      <c r="BL499" s="89"/>
      <c r="BM499" s="89"/>
      <c r="BN499" s="89"/>
      <c r="BO499" s="89"/>
      <c r="BP499" s="89"/>
      <c r="BQ499" s="89"/>
      <c r="BR499" s="89"/>
      <c r="BS499" s="89"/>
      <c r="BT499" s="89"/>
      <c r="BU499" s="89"/>
      <c r="BV499" s="89"/>
      <c r="BW499" s="89"/>
      <c r="BX499" s="89"/>
      <c r="BY499" s="89"/>
      <c r="BZ499" s="89"/>
      <c r="CA499" s="89"/>
      <c r="CB499" s="89"/>
      <c r="CC499" s="89"/>
      <c r="CD499" s="89"/>
      <c r="CE499" s="89"/>
      <c r="CF499" s="89"/>
      <c r="CG499" s="89"/>
      <c r="CH499" s="89"/>
      <c r="CI499" s="89"/>
      <c r="CJ499" s="89"/>
      <c r="CK499" s="89"/>
      <c r="CL499" s="89"/>
      <c r="CM499" s="89"/>
      <c r="CN499" s="89"/>
      <c r="CO499" s="89"/>
      <c r="CP499" s="89"/>
      <c r="CQ499" s="89"/>
      <c r="CR499" s="89"/>
      <c r="CS499" s="89"/>
      <c r="CT499" s="89"/>
      <c r="CU499" s="89"/>
      <c r="CV499" s="89"/>
      <c r="CW499" s="89"/>
      <c r="CX499" s="89"/>
      <c r="CY499" s="89"/>
      <c r="CZ499" s="89"/>
      <c r="DA499" s="89"/>
      <c r="DB499" s="89"/>
      <c r="DC499" s="89"/>
      <c r="DD499" s="89"/>
      <c r="DE499" s="89"/>
      <c r="DF499" s="89"/>
      <c r="DG499" s="89"/>
      <c r="DH499" s="89"/>
    </row>
    <row r="500" ht="20.25" customHeight="1">
      <c r="A500" s="41">
        <v>500.0</v>
      </c>
      <c r="B500" s="146" t="s">
        <v>278</v>
      </c>
      <c r="C500" s="146" t="s">
        <v>108</v>
      </c>
      <c r="D500" s="146" t="s">
        <v>214</v>
      </c>
      <c r="E500" s="69"/>
      <c r="F500" s="108" t="s">
        <v>2694</v>
      </c>
      <c r="G500" s="109" t="s">
        <v>2718</v>
      </c>
      <c r="H500" s="111" t="s">
        <v>215</v>
      </c>
      <c r="I500" s="414">
        <v>45640.0</v>
      </c>
      <c r="J500" s="111"/>
      <c r="K500" s="109" t="s">
        <v>1094</v>
      </c>
      <c r="L500" s="111"/>
      <c r="M500" s="415" t="s">
        <v>2719</v>
      </c>
      <c r="N500" s="109" t="s">
        <v>2697</v>
      </c>
      <c r="O500" s="111"/>
      <c r="P500" s="118" t="s">
        <v>2698</v>
      </c>
      <c r="Q500" s="49" t="str">
        <f t="array" ref="Q500"> if(iserror(MATCH(V500, 'File Links'!C:C, 0)), "N/A", HYPERLINK(INDEX('File Links'!B:B, MATCH(P500, 'File Links'!C:C, 0))))</f>
        <v>https://drive.google.com/file/d/1v5DJu4qjqzVUJEfoj2GHrhMbmyHZ-m6z/view?usp=drivesdk</v>
      </c>
      <c r="R500" s="109" t="s">
        <v>2699</v>
      </c>
      <c r="S500" s="109" t="s">
        <v>2700</v>
      </c>
      <c r="T500" s="111"/>
      <c r="U500" s="117"/>
      <c r="V500" s="195" t="str">
        <f t="shared" si="25"/>
        <v>10.1016--j.jrp.2024.104511.pdf</v>
      </c>
      <c r="W500" s="109" t="s">
        <v>2708</v>
      </c>
      <c r="X500" s="51" t="str">
        <f t="array" ref="X500"> if(iserror(MATCH(V500, 'File Links'!C:C, 0)), "N/A", HYPERLINK(INDEX('File Links'!B:B, MATCH(V500, 'File Links'!C:C, 0))))</f>
        <v>https://drive.google.com/file/d/1_wLROYuywRItyX2cFnsLf0N4QfaR5Z8L/view?usp=drivesdk</v>
      </c>
      <c r="Y500" s="111"/>
      <c r="Z500" s="109" t="s">
        <v>1593</v>
      </c>
      <c r="AA500" s="109" t="s">
        <v>2709</v>
      </c>
      <c r="AB500" s="109" t="s">
        <v>2710</v>
      </c>
      <c r="AC500" s="109" t="s">
        <v>2720</v>
      </c>
      <c r="AD500" s="111"/>
      <c r="AE500" s="114">
        <v>37.0</v>
      </c>
      <c r="AF500" s="114">
        <v>674.0</v>
      </c>
      <c r="AG500" s="114">
        <v>0.0</v>
      </c>
      <c r="AH500" s="117"/>
      <c r="AI500" s="109" t="s">
        <v>2713</v>
      </c>
      <c r="AJ500" s="114">
        <v>0.67</v>
      </c>
      <c r="AK500" s="119" t="s">
        <v>165</v>
      </c>
      <c r="AL500" s="109" t="s">
        <v>129</v>
      </c>
      <c r="AM500" s="111" t="s">
        <v>134</v>
      </c>
      <c r="AN500" s="415" t="s">
        <v>2704</v>
      </c>
      <c r="AO500" s="416">
        <v>404.0</v>
      </c>
      <c r="AP500" s="416">
        <v>-0.16</v>
      </c>
      <c r="AQ500" s="109" t="s">
        <v>208</v>
      </c>
      <c r="AR500" s="109" t="s">
        <v>2713</v>
      </c>
      <c r="AS500" s="114">
        <v>0.05</v>
      </c>
      <c r="AT500" s="119" t="s">
        <v>128</v>
      </c>
      <c r="AU500" s="119" t="s">
        <v>129</v>
      </c>
      <c r="AV500" s="108" t="s">
        <v>134</v>
      </c>
      <c r="AW500" s="653" t="s">
        <v>2714</v>
      </c>
      <c r="AX500" s="835" t="s">
        <v>136</v>
      </c>
      <c r="AY500" s="58"/>
      <c r="AZ500" s="69"/>
      <c r="BA500" s="89"/>
      <c r="BB500" s="89"/>
      <c r="BC500" s="89"/>
      <c r="BD500" s="89"/>
      <c r="BE500" s="89"/>
      <c r="BF500" s="89"/>
      <c r="BG500" s="89"/>
      <c r="BH500" s="89"/>
      <c r="BI500" s="89"/>
      <c r="BJ500" s="89"/>
      <c r="BK500" s="89"/>
      <c r="BL500" s="89"/>
      <c r="BM500" s="89"/>
      <c r="BN500" s="89"/>
      <c r="BO500" s="89"/>
      <c r="BP500" s="89"/>
      <c r="BQ500" s="89"/>
      <c r="BR500" s="89"/>
      <c r="BS500" s="89"/>
      <c r="BT500" s="89"/>
      <c r="BU500" s="89"/>
      <c r="BV500" s="89"/>
      <c r="BW500" s="89"/>
      <c r="BX500" s="89"/>
      <c r="BY500" s="89"/>
      <c r="BZ500" s="89"/>
      <c r="CA500" s="89"/>
      <c r="CB500" s="89"/>
      <c r="CC500" s="89"/>
      <c r="CD500" s="89"/>
      <c r="CE500" s="89"/>
      <c r="CF500" s="89"/>
      <c r="CG500" s="89"/>
      <c r="CH500" s="89"/>
      <c r="CI500" s="89"/>
      <c r="CJ500" s="89"/>
      <c r="CK500" s="89"/>
      <c r="CL500" s="89"/>
      <c r="CM500" s="89"/>
      <c r="CN500" s="89"/>
      <c r="CO500" s="89"/>
      <c r="CP500" s="89"/>
      <c r="CQ500" s="89"/>
      <c r="CR500" s="89"/>
      <c r="CS500" s="89"/>
      <c r="CT500" s="89"/>
      <c r="CU500" s="89"/>
      <c r="CV500" s="89"/>
      <c r="CW500" s="89"/>
      <c r="CX500" s="89"/>
      <c r="CY500" s="89"/>
      <c r="CZ500" s="89"/>
      <c r="DA500" s="89"/>
      <c r="DB500" s="89"/>
      <c r="DC500" s="89"/>
      <c r="DD500" s="89"/>
      <c r="DE500" s="89"/>
      <c r="DF500" s="89"/>
      <c r="DG500" s="89"/>
      <c r="DH500" s="89"/>
    </row>
    <row r="501" ht="20.25" customHeight="1">
      <c r="A501" s="41">
        <v>501.0</v>
      </c>
      <c r="B501" s="146" t="s">
        <v>278</v>
      </c>
      <c r="C501" s="146" t="s">
        <v>108</v>
      </c>
      <c r="D501" s="146" t="s">
        <v>214</v>
      </c>
      <c r="E501" s="69"/>
      <c r="F501" s="108" t="s">
        <v>2694</v>
      </c>
      <c r="G501" s="109" t="s">
        <v>2721</v>
      </c>
      <c r="H501" s="111" t="s">
        <v>215</v>
      </c>
      <c r="I501" s="414">
        <v>45640.0</v>
      </c>
      <c r="J501" s="111"/>
      <c r="K501" s="109" t="s">
        <v>1094</v>
      </c>
      <c r="L501" s="111"/>
      <c r="M501" s="415" t="s">
        <v>2722</v>
      </c>
      <c r="N501" s="109" t="s">
        <v>2697</v>
      </c>
      <c r="O501" s="111"/>
      <c r="P501" s="118" t="s">
        <v>2698</v>
      </c>
      <c r="Q501" s="49" t="str">
        <f t="array" ref="Q501"> if(iserror(MATCH(V501, 'File Links'!C:C, 0)), "N/A", HYPERLINK(INDEX('File Links'!B:B, MATCH(P501, 'File Links'!C:C, 0))))</f>
        <v>https://drive.google.com/file/d/1v5DJu4qjqzVUJEfoj2GHrhMbmyHZ-m6z/view?usp=drivesdk</v>
      </c>
      <c r="R501" s="109" t="s">
        <v>2699</v>
      </c>
      <c r="S501" s="109" t="s">
        <v>2700</v>
      </c>
      <c r="T501" s="111"/>
      <c r="U501" s="117"/>
      <c r="V501" s="195" t="str">
        <f t="shared" si="25"/>
        <v>10.1016--j.jrp.2024.104511.pdf</v>
      </c>
      <c r="W501" s="109" t="s">
        <v>2708</v>
      </c>
      <c r="X501" s="51" t="str">
        <f t="array" ref="X501"> if(iserror(MATCH(V501, 'File Links'!C:C, 0)), "N/A", HYPERLINK(INDEX('File Links'!B:B, MATCH(V501, 'File Links'!C:C, 0))))</f>
        <v>https://drive.google.com/file/d/1_wLROYuywRItyX2cFnsLf0N4QfaR5Z8L/view?usp=drivesdk</v>
      </c>
      <c r="Y501" s="111"/>
      <c r="Z501" s="109" t="s">
        <v>1593</v>
      </c>
      <c r="AA501" s="109" t="s">
        <v>2709</v>
      </c>
      <c r="AB501" s="109" t="s">
        <v>2710</v>
      </c>
      <c r="AC501" s="109" t="s">
        <v>2723</v>
      </c>
      <c r="AD501" s="111"/>
      <c r="AE501" s="114">
        <v>37.0</v>
      </c>
      <c r="AF501" s="114">
        <v>674.0</v>
      </c>
      <c r="AG501" s="114">
        <v>0.29</v>
      </c>
      <c r="AH501" s="118" t="s">
        <v>166</v>
      </c>
      <c r="AI501" s="109" t="s">
        <v>2713</v>
      </c>
      <c r="AJ501" s="114">
        <v>0.67</v>
      </c>
      <c r="AK501" s="119" t="s">
        <v>165</v>
      </c>
      <c r="AL501" s="109" t="s">
        <v>129</v>
      </c>
      <c r="AM501" s="111" t="s">
        <v>134</v>
      </c>
      <c r="AN501" s="650" t="s">
        <v>2704</v>
      </c>
      <c r="AO501" s="416">
        <v>404.0</v>
      </c>
      <c r="AP501" s="416">
        <v>-0.16</v>
      </c>
      <c r="AQ501" s="109" t="s">
        <v>208</v>
      </c>
      <c r="AR501" s="109" t="s">
        <v>2713</v>
      </c>
      <c r="AS501" s="114">
        <v>0.05</v>
      </c>
      <c r="AT501" s="119" t="s">
        <v>128</v>
      </c>
      <c r="AU501" s="119" t="s">
        <v>129</v>
      </c>
      <c r="AV501" s="108" t="s">
        <v>134</v>
      </c>
      <c r="AW501" s="653" t="s">
        <v>2714</v>
      </c>
      <c r="AX501" s="835" t="s">
        <v>136</v>
      </c>
      <c r="AY501" s="58"/>
      <c r="AZ501" s="69"/>
      <c r="BA501" s="89"/>
      <c r="BB501" s="89"/>
      <c r="BC501" s="89"/>
      <c r="BD501" s="89"/>
      <c r="BE501" s="89"/>
      <c r="BF501" s="89"/>
      <c r="BG501" s="89"/>
      <c r="BH501" s="89"/>
      <c r="BI501" s="89"/>
      <c r="BJ501" s="89"/>
      <c r="BK501" s="89"/>
      <c r="BL501" s="89"/>
      <c r="BM501" s="89"/>
      <c r="BN501" s="89"/>
      <c r="BO501" s="89"/>
      <c r="BP501" s="89"/>
      <c r="BQ501" s="89"/>
      <c r="BR501" s="89"/>
      <c r="BS501" s="89"/>
      <c r="BT501" s="89"/>
      <c r="BU501" s="89"/>
      <c r="BV501" s="89"/>
      <c r="BW501" s="89"/>
      <c r="BX501" s="89"/>
      <c r="BY501" s="89"/>
      <c r="BZ501" s="89"/>
      <c r="CA501" s="89"/>
      <c r="CB501" s="89"/>
      <c r="CC501" s="89"/>
      <c r="CD501" s="89"/>
      <c r="CE501" s="89"/>
      <c r="CF501" s="89"/>
      <c r="CG501" s="89"/>
      <c r="CH501" s="89"/>
      <c r="CI501" s="89"/>
      <c r="CJ501" s="89"/>
      <c r="CK501" s="89"/>
      <c r="CL501" s="89"/>
      <c r="CM501" s="89"/>
      <c r="CN501" s="89"/>
      <c r="CO501" s="89"/>
      <c r="CP501" s="89"/>
      <c r="CQ501" s="89"/>
      <c r="CR501" s="89"/>
      <c r="CS501" s="89"/>
      <c r="CT501" s="89"/>
      <c r="CU501" s="89"/>
      <c r="CV501" s="89"/>
      <c r="CW501" s="89"/>
      <c r="CX501" s="89"/>
      <c r="CY501" s="89"/>
      <c r="CZ501" s="89"/>
      <c r="DA501" s="89"/>
      <c r="DB501" s="89"/>
      <c r="DC501" s="89"/>
      <c r="DD501" s="89"/>
      <c r="DE501" s="89"/>
      <c r="DF501" s="89"/>
      <c r="DG501" s="89"/>
      <c r="DH501" s="89"/>
    </row>
    <row r="502" ht="20.25" customHeight="1">
      <c r="A502" s="41">
        <v>502.0</v>
      </c>
      <c r="B502" s="146" t="s">
        <v>278</v>
      </c>
      <c r="C502" s="146" t="s">
        <v>108</v>
      </c>
      <c r="D502" s="146" t="s">
        <v>214</v>
      </c>
      <c r="E502" s="69"/>
      <c r="F502" s="108" t="s">
        <v>2694</v>
      </c>
      <c r="G502" s="109" t="s">
        <v>2724</v>
      </c>
      <c r="H502" s="111" t="s">
        <v>215</v>
      </c>
      <c r="I502" s="414">
        <v>45640.0</v>
      </c>
      <c r="J502" s="111"/>
      <c r="K502" s="109" t="s">
        <v>1094</v>
      </c>
      <c r="L502" s="111"/>
      <c r="M502" s="415" t="s">
        <v>2725</v>
      </c>
      <c r="N502" s="109" t="s">
        <v>2697</v>
      </c>
      <c r="O502" s="111"/>
      <c r="P502" s="118" t="s">
        <v>2698</v>
      </c>
      <c r="Q502" s="49" t="str">
        <f t="array" ref="Q502"> if(iserror(MATCH(V502, 'File Links'!C:C, 0)), "N/A", HYPERLINK(INDEX('File Links'!B:B, MATCH(P502, 'File Links'!C:C, 0))))</f>
        <v>https://drive.google.com/file/d/1v5DJu4qjqzVUJEfoj2GHrhMbmyHZ-m6z/view?usp=drivesdk</v>
      </c>
      <c r="R502" s="109" t="s">
        <v>2699</v>
      </c>
      <c r="S502" s="109" t="s">
        <v>2700</v>
      </c>
      <c r="T502" s="111"/>
      <c r="U502" s="117"/>
      <c r="V502" s="195" t="str">
        <f t="shared" si="25"/>
        <v>10.1016--j.jrp.2024.104511.pdf</v>
      </c>
      <c r="W502" s="109" t="s">
        <v>2708</v>
      </c>
      <c r="X502" s="51" t="str">
        <f t="array" ref="X502"> if(iserror(MATCH(V502, 'File Links'!C:C, 0)), "N/A", HYPERLINK(INDEX('File Links'!B:B, MATCH(V502, 'File Links'!C:C, 0))))</f>
        <v>https://drive.google.com/file/d/1_wLROYuywRItyX2cFnsLf0N4QfaR5Z8L/view?usp=drivesdk</v>
      </c>
      <c r="Y502" s="111"/>
      <c r="Z502" s="109" t="s">
        <v>1593</v>
      </c>
      <c r="AA502" s="109" t="s">
        <v>2709</v>
      </c>
      <c r="AB502" s="109" t="s">
        <v>2710</v>
      </c>
      <c r="AC502" s="109" t="s">
        <v>2726</v>
      </c>
      <c r="AD502" s="111"/>
      <c r="AE502" s="114">
        <v>37.0</v>
      </c>
      <c r="AF502" s="114">
        <v>674.0</v>
      </c>
      <c r="AG502" s="114">
        <v>-0.41</v>
      </c>
      <c r="AH502" s="118" t="s">
        <v>166</v>
      </c>
      <c r="AI502" s="109" t="s">
        <v>2713</v>
      </c>
      <c r="AJ502" s="114">
        <v>0.05</v>
      </c>
      <c r="AK502" s="119" t="s">
        <v>128</v>
      </c>
      <c r="AL502" s="109" t="s">
        <v>129</v>
      </c>
      <c r="AM502" s="111" t="s">
        <v>134</v>
      </c>
      <c r="AN502" s="650" t="s">
        <v>2704</v>
      </c>
      <c r="AO502" s="416">
        <v>404.0</v>
      </c>
      <c r="AP502" s="416">
        <v>0.1</v>
      </c>
      <c r="AQ502" s="109" t="s">
        <v>208</v>
      </c>
      <c r="AR502" s="109" t="s">
        <v>2713</v>
      </c>
      <c r="AS502" s="114">
        <v>0.05</v>
      </c>
      <c r="AT502" s="119" t="s">
        <v>128</v>
      </c>
      <c r="AU502" s="119" t="s">
        <v>129</v>
      </c>
      <c r="AV502" s="108" t="s">
        <v>134</v>
      </c>
      <c r="AW502" s="653" t="s">
        <v>2714</v>
      </c>
      <c r="AX502" s="835" t="s">
        <v>136</v>
      </c>
      <c r="AY502" s="58"/>
      <c r="AZ502" s="69"/>
    </row>
    <row r="503" ht="20.25" customHeight="1">
      <c r="A503" s="41">
        <v>503.0</v>
      </c>
      <c r="B503" s="146" t="s">
        <v>278</v>
      </c>
      <c r="C503" s="146" t="s">
        <v>108</v>
      </c>
      <c r="D503" s="146" t="s">
        <v>214</v>
      </c>
      <c r="E503" s="69"/>
      <c r="F503" s="108" t="s">
        <v>2694</v>
      </c>
      <c r="G503" s="109" t="s">
        <v>2727</v>
      </c>
      <c r="H503" s="111" t="s">
        <v>215</v>
      </c>
      <c r="I503" s="414">
        <v>45640.0</v>
      </c>
      <c r="J503" s="111"/>
      <c r="K503" s="109" t="s">
        <v>1094</v>
      </c>
      <c r="L503" s="111"/>
      <c r="M503" s="415" t="s">
        <v>2728</v>
      </c>
      <c r="N503" s="109" t="s">
        <v>2697</v>
      </c>
      <c r="O503" s="111"/>
      <c r="P503" s="118" t="s">
        <v>2698</v>
      </c>
      <c r="Q503" s="49" t="str">
        <f t="array" ref="Q503"> if(iserror(MATCH(V503, 'File Links'!C:C, 0)), "N/A", HYPERLINK(INDEX('File Links'!B:B, MATCH(P503, 'File Links'!C:C, 0))))</f>
        <v>https://drive.google.com/file/d/1v5DJu4qjqzVUJEfoj2GHrhMbmyHZ-m6z/view?usp=drivesdk</v>
      </c>
      <c r="R503" s="109" t="s">
        <v>2699</v>
      </c>
      <c r="S503" s="109" t="s">
        <v>2700</v>
      </c>
      <c r="T503" s="111"/>
      <c r="U503" s="117"/>
      <c r="V503" s="195" t="str">
        <f t="shared" si="25"/>
        <v>10.1016--j.jrp.2024.104511.pdf</v>
      </c>
      <c r="W503" s="109" t="s">
        <v>2708</v>
      </c>
      <c r="X503" s="51" t="str">
        <f t="array" ref="X503"> if(iserror(MATCH(V503, 'File Links'!C:C, 0)), "N/A", HYPERLINK(INDEX('File Links'!B:B, MATCH(V503, 'File Links'!C:C, 0))))</f>
        <v>https://drive.google.com/file/d/1_wLROYuywRItyX2cFnsLf0N4QfaR5Z8L/view?usp=drivesdk</v>
      </c>
      <c r="Y503" s="111"/>
      <c r="Z503" s="109" t="s">
        <v>1593</v>
      </c>
      <c r="AA503" s="109" t="s">
        <v>2709</v>
      </c>
      <c r="AB503" s="109" t="s">
        <v>2710</v>
      </c>
      <c r="AC503" s="109" t="s">
        <v>2729</v>
      </c>
      <c r="AD503" s="111"/>
      <c r="AE503" s="114">
        <v>37.0</v>
      </c>
      <c r="AF503" s="114">
        <v>674.0</v>
      </c>
      <c r="AG503" s="114">
        <v>-0.65</v>
      </c>
      <c r="AH503" s="118" t="s">
        <v>166</v>
      </c>
      <c r="AI503" s="109" t="s">
        <v>2713</v>
      </c>
      <c r="AJ503" s="114">
        <v>0.05</v>
      </c>
      <c r="AK503" s="119" t="s">
        <v>128</v>
      </c>
      <c r="AL503" s="109" t="s">
        <v>129</v>
      </c>
      <c r="AM503" s="111" t="s">
        <v>134</v>
      </c>
      <c r="AN503" s="650" t="s">
        <v>2704</v>
      </c>
      <c r="AO503" s="416">
        <v>404.0</v>
      </c>
      <c r="AP503" s="416">
        <v>0.1</v>
      </c>
      <c r="AQ503" s="109" t="s">
        <v>208</v>
      </c>
      <c r="AR503" s="109" t="s">
        <v>2713</v>
      </c>
      <c r="AS503" s="114">
        <v>0.05</v>
      </c>
      <c r="AT503" s="119" t="s">
        <v>128</v>
      </c>
      <c r="AU503" s="119" t="s">
        <v>129</v>
      </c>
      <c r="AV503" s="108" t="s">
        <v>134</v>
      </c>
      <c r="AW503" s="653" t="s">
        <v>2714</v>
      </c>
      <c r="AX503" s="835" t="s">
        <v>136</v>
      </c>
      <c r="AY503" s="58"/>
      <c r="AZ503" s="69"/>
      <c r="BA503" s="161"/>
      <c r="BB503" s="161"/>
      <c r="BC503" s="161"/>
      <c r="BD503" s="161"/>
      <c r="BE503" s="161"/>
      <c r="BF503" s="161"/>
      <c r="BG503" s="161"/>
      <c r="BH503" s="161"/>
      <c r="BI503" s="161"/>
      <c r="BJ503" s="161"/>
      <c r="BK503" s="161"/>
      <c r="BL503" s="161"/>
      <c r="BM503" s="161"/>
      <c r="BN503" s="161"/>
      <c r="BO503" s="161"/>
      <c r="BP503" s="161"/>
      <c r="BQ503" s="161"/>
      <c r="BR503" s="161"/>
      <c r="BS503" s="161"/>
      <c r="BT503" s="161"/>
      <c r="BU503" s="161"/>
      <c r="BV503" s="161"/>
      <c r="BW503" s="161"/>
      <c r="BX503" s="161"/>
      <c r="BY503" s="161"/>
      <c r="BZ503" s="161"/>
      <c r="CA503" s="161"/>
      <c r="CB503" s="161"/>
      <c r="CC503" s="161"/>
      <c r="CD503" s="161"/>
      <c r="CE503" s="161"/>
      <c r="CF503" s="161"/>
      <c r="CG503" s="161"/>
      <c r="CH503" s="161"/>
      <c r="CI503" s="161"/>
      <c r="CJ503" s="161"/>
      <c r="CK503" s="161"/>
      <c r="CL503" s="161"/>
      <c r="CM503" s="161"/>
      <c r="CN503" s="161"/>
      <c r="CO503" s="161"/>
      <c r="CP503" s="161"/>
      <c r="CQ503" s="161"/>
      <c r="CR503" s="161"/>
      <c r="CS503" s="161"/>
      <c r="CT503" s="161"/>
      <c r="CU503" s="161"/>
      <c r="CV503" s="161"/>
      <c r="CW503" s="161"/>
      <c r="CX503" s="161"/>
      <c r="CY503" s="161"/>
      <c r="CZ503" s="161"/>
      <c r="DA503" s="161"/>
      <c r="DB503" s="161"/>
      <c r="DC503" s="161"/>
      <c r="DD503" s="161"/>
      <c r="DE503" s="161"/>
      <c r="DF503" s="161"/>
      <c r="DG503" s="161"/>
      <c r="DH503" s="161"/>
    </row>
    <row r="504" ht="20.25" customHeight="1">
      <c r="A504" s="41">
        <v>504.0</v>
      </c>
      <c r="B504" s="146" t="s">
        <v>278</v>
      </c>
      <c r="C504" s="146" t="s">
        <v>108</v>
      </c>
      <c r="D504" s="146" t="s">
        <v>214</v>
      </c>
      <c r="E504" s="69"/>
      <c r="F504" s="108" t="s">
        <v>2694</v>
      </c>
      <c r="G504" s="109" t="s">
        <v>2730</v>
      </c>
      <c r="H504" s="111" t="s">
        <v>215</v>
      </c>
      <c r="I504" s="414">
        <v>45640.0</v>
      </c>
      <c r="J504" s="111"/>
      <c r="K504" s="109" t="s">
        <v>1094</v>
      </c>
      <c r="L504" s="111"/>
      <c r="M504" s="415" t="s">
        <v>2731</v>
      </c>
      <c r="N504" s="109" t="s">
        <v>2697</v>
      </c>
      <c r="O504" s="111"/>
      <c r="P504" s="118" t="s">
        <v>2698</v>
      </c>
      <c r="Q504" s="49" t="str">
        <f t="array" ref="Q504"> if(iserror(MATCH(V504, 'File Links'!C:C, 0)), "N/A", HYPERLINK(INDEX('File Links'!B:B, MATCH(P504, 'File Links'!C:C, 0))))</f>
        <v>https://drive.google.com/file/d/1v5DJu4qjqzVUJEfoj2GHrhMbmyHZ-m6z/view?usp=drivesdk</v>
      </c>
      <c r="R504" s="109" t="s">
        <v>2699</v>
      </c>
      <c r="S504" s="109" t="s">
        <v>2700</v>
      </c>
      <c r="T504" s="111"/>
      <c r="U504" s="117"/>
      <c r="V504" s="195" t="str">
        <f t="shared" si="25"/>
        <v>10.1016--j.jrp.2024.104511.pdf</v>
      </c>
      <c r="W504" s="109" t="s">
        <v>2708</v>
      </c>
      <c r="X504" s="51" t="str">
        <f t="array" ref="X504"> if(iserror(MATCH(V504, 'File Links'!C:C, 0)), "N/A", HYPERLINK(INDEX('File Links'!B:B, MATCH(V504, 'File Links'!C:C, 0))))</f>
        <v>https://drive.google.com/file/d/1_wLROYuywRItyX2cFnsLf0N4QfaR5Z8L/view?usp=drivesdk</v>
      </c>
      <c r="Y504" s="111"/>
      <c r="Z504" s="109" t="s">
        <v>1593</v>
      </c>
      <c r="AA504" s="109" t="s">
        <v>2709</v>
      </c>
      <c r="AB504" s="109" t="s">
        <v>2710</v>
      </c>
      <c r="AC504" s="109" t="s">
        <v>2732</v>
      </c>
      <c r="AD504" s="111"/>
      <c r="AE504" s="114">
        <v>37.0</v>
      </c>
      <c r="AF504" s="114">
        <v>674.0</v>
      </c>
      <c r="AG504" s="114">
        <v>-1.45</v>
      </c>
      <c r="AH504" s="118" t="s">
        <v>166</v>
      </c>
      <c r="AI504" s="109" t="s">
        <v>2713</v>
      </c>
      <c r="AJ504" s="114">
        <v>0.05</v>
      </c>
      <c r="AK504" s="119" t="s">
        <v>128</v>
      </c>
      <c r="AL504" s="109" t="s">
        <v>129</v>
      </c>
      <c r="AM504" s="111" t="s">
        <v>134</v>
      </c>
      <c r="AN504" s="650" t="s">
        <v>2704</v>
      </c>
      <c r="AO504" s="416">
        <v>404.0</v>
      </c>
      <c r="AP504" s="416">
        <v>0.05</v>
      </c>
      <c r="AQ504" s="109" t="s">
        <v>208</v>
      </c>
      <c r="AR504" s="109" t="s">
        <v>2713</v>
      </c>
      <c r="AS504" s="114">
        <v>0.06</v>
      </c>
      <c r="AT504" s="119" t="s">
        <v>165</v>
      </c>
      <c r="AU504" s="119" t="s">
        <v>129</v>
      </c>
      <c r="AV504" s="108" t="s">
        <v>134</v>
      </c>
      <c r="AW504" s="653" t="s">
        <v>2714</v>
      </c>
      <c r="AX504" s="835" t="s">
        <v>136</v>
      </c>
      <c r="AY504" s="58"/>
      <c r="AZ504" s="69"/>
      <c r="BA504" s="161"/>
      <c r="BB504" s="161"/>
      <c r="BC504" s="161"/>
      <c r="BD504" s="161"/>
      <c r="BE504" s="161"/>
      <c r="BF504" s="161"/>
      <c r="BG504" s="161"/>
      <c r="BH504" s="161"/>
      <c r="BI504" s="161"/>
      <c r="BJ504" s="161"/>
      <c r="BK504" s="161"/>
      <c r="BL504" s="161"/>
      <c r="BM504" s="161"/>
      <c r="BN504" s="161"/>
      <c r="BO504" s="161"/>
      <c r="BP504" s="161"/>
      <c r="BQ504" s="161"/>
      <c r="BR504" s="161"/>
      <c r="BS504" s="161"/>
      <c r="BT504" s="161"/>
      <c r="BU504" s="161"/>
      <c r="BV504" s="161"/>
      <c r="BW504" s="161"/>
      <c r="BX504" s="161"/>
      <c r="BY504" s="161"/>
      <c r="BZ504" s="161"/>
      <c r="CA504" s="161"/>
      <c r="CB504" s="161"/>
      <c r="CC504" s="161"/>
      <c r="CD504" s="161"/>
      <c r="CE504" s="161"/>
      <c r="CF504" s="161"/>
      <c r="CG504" s="161"/>
      <c r="CH504" s="161"/>
      <c r="CI504" s="161"/>
      <c r="CJ504" s="161"/>
      <c r="CK504" s="161"/>
      <c r="CL504" s="161"/>
      <c r="CM504" s="161"/>
      <c r="CN504" s="161"/>
      <c r="CO504" s="161"/>
      <c r="CP504" s="161"/>
      <c r="CQ504" s="161"/>
      <c r="CR504" s="161"/>
      <c r="CS504" s="161"/>
      <c r="CT504" s="161"/>
      <c r="CU504" s="161"/>
      <c r="CV504" s="161"/>
      <c r="CW504" s="161"/>
      <c r="CX504" s="161"/>
      <c r="CY504" s="161"/>
      <c r="CZ504" s="161"/>
      <c r="DA504" s="161"/>
      <c r="DB504" s="161"/>
      <c r="DC504" s="161"/>
      <c r="DD504" s="161"/>
      <c r="DE504" s="161"/>
      <c r="DF504" s="161"/>
      <c r="DG504" s="161"/>
      <c r="DH504" s="161"/>
    </row>
    <row r="505" ht="20.25" customHeight="1">
      <c r="A505" s="41">
        <v>505.0</v>
      </c>
      <c r="B505" s="146" t="s">
        <v>278</v>
      </c>
      <c r="C505" s="146" t="s">
        <v>108</v>
      </c>
      <c r="D505" s="146" t="s">
        <v>214</v>
      </c>
      <c r="E505" s="69"/>
      <c r="F505" s="108" t="s">
        <v>2694</v>
      </c>
      <c r="G505" s="109" t="s">
        <v>2733</v>
      </c>
      <c r="H505" s="111" t="s">
        <v>215</v>
      </c>
      <c r="I505" s="414">
        <v>45640.0</v>
      </c>
      <c r="J505" s="111"/>
      <c r="K505" s="109" t="s">
        <v>1094</v>
      </c>
      <c r="L505" s="111"/>
      <c r="M505" s="415" t="s">
        <v>2734</v>
      </c>
      <c r="N505" s="109" t="s">
        <v>2697</v>
      </c>
      <c r="O505" s="111"/>
      <c r="P505" s="118" t="s">
        <v>2698</v>
      </c>
      <c r="Q505" s="49" t="str">
        <f t="array" ref="Q505"> if(iserror(MATCH(V505, 'File Links'!C:C, 0)), "N/A", HYPERLINK(INDEX('File Links'!B:B, MATCH(P505, 'File Links'!C:C, 0))))</f>
        <v>https://drive.google.com/file/d/1v5DJu4qjqzVUJEfoj2GHrhMbmyHZ-m6z/view?usp=drivesdk</v>
      </c>
      <c r="R505" s="109" t="s">
        <v>2699</v>
      </c>
      <c r="S505" s="109" t="s">
        <v>2700</v>
      </c>
      <c r="T505" s="111"/>
      <c r="U505" s="117"/>
      <c r="V505" s="195" t="str">
        <f t="shared" si="25"/>
        <v>10.1016--j.jrp.2024.104511.pdf</v>
      </c>
      <c r="W505" s="109" t="s">
        <v>2708</v>
      </c>
      <c r="X505" s="51" t="str">
        <f t="array" ref="X505"> if(iserror(MATCH(V505, 'File Links'!C:C, 0)), "N/A", HYPERLINK(INDEX('File Links'!B:B, MATCH(V505, 'File Links'!C:C, 0))))</f>
        <v>https://drive.google.com/file/d/1_wLROYuywRItyX2cFnsLf0N4QfaR5Z8L/view?usp=drivesdk</v>
      </c>
      <c r="Y505" s="111"/>
      <c r="Z505" s="109" t="s">
        <v>1593</v>
      </c>
      <c r="AA505" s="109" t="s">
        <v>2709</v>
      </c>
      <c r="AB505" s="109" t="s">
        <v>2710</v>
      </c>
      <c r="AC505" s="109" t="s">
        <v>2735</v>
      </c>
      <c r="AD505" s="111"/>
      <c r="AE505" s="114">
        <v>37.0</v>
      </c>
      <c r="AF505" s="114">
        <v>674.0</v>
      </c>
      <c r="AG505" s="114">
        <v>-0.21</v>
      </c>
      <c r="AH505" s="118" t="s">
        <v>166</v>
      </c>
      <c r="AI505" s="109" t="s">
        <v>2713</v>
      </c>
      <c r="AJ505" s="114">
        <v>0.1</v>
      </c>
      <c r="AK505" s="119" t="s">
        <v>165</v>
      </c>
      <c r="AL505" s="109" t="s">
        <v>129</v>
      </c>
      <c r="AM505" s="111" t="s">
        <v>134</v>
      </c>
      <c r="AN505" s="650" t="s">
        <v>2704</v>
      </c>
      <c r="AO505" s="416">
        <v>404.0</v>
      </c>
      <c r="AP505" s="416">
        <v>0.18</v>
      </c>
      <c r="AQ505" s="109" t="s">
        <v>208</v>
      </c>
      <c r="AR505" s="109" t="s">
        <v>2713</v>
      </c>
      <c r="AS505" s="114">
        <v>0.08</v>
      </c>
      <c r="AT505" s="119" t="s">
        <v>165</v>
      </c>
      <c r="AU505" s="119" t="s">
        <v>129</v>
      </c>
      <c r="AV505" s="108" t="s">
        <v>134</v>
      </c>
      <c r="AW505" s="653" t="s">
        <v>2714</v>
      </c>
      <c r="AX505" s="835" t="s">
        <v>136</v>
      </c>
      <c r="AY505" s="58"/>
      <c r="AZ505" s="69"/>
      <c r="BA505" s="481"/>
      <c r="BB505" s="481"/>
      <c r="BC505" s="481"/>
      <c r="BD505" s="481"/>
      <c r="BE505" s="481"/>
      <c r="BF505" s="481"/>
      <c r="BG505" s="481"/>
      <c r="BH505" s="481"/>
      <c r="BI505" s="481"/>
      <c r="BJ505" s="481"/>
      <c r="BK505" s="481"/>
      <c r="BL505" s="481"/>
      <c r="BM505" s="481"/>
      <c r="BN505" s="481"/>
      <c r="BO505" s="481"/>
      <c r="BP505" s="481"/>
      <c r="BQ505" s="481"/>
      <c r="BR505" s="481"/>
      <c r="BS505" s="481"/>
      <c r="BT505" s="481"/>
      <c r="BU505" s="481"/>
      <c r="BV505" s="481"/>
      <c r="BW505" s="481"/>
      <c r="BX505" s="481"/>
      <c r="BY505" s="481"/>
      <c r="BZ505" s="481"/>
      <c r="CA505" s="481"/>
      <c r="CB505" s="481"/>
      <c r="CC505" s="481"/>
      <c r="CD505" s="481"/>
      <c r="CE505" s="481"/>
      <c r="CF505" s="481"/>
      <c r="CG505" s="481"/>
      <c r="CH505" s="481"/>
      <c r="CI505" s="481"/>
      <c r="CJ505" s="481"/>
      <c r="CK505" s="481"/>
      <c r="CL505" s="481"/>
      <c r="CM505" s="481"/>
      <c r="CN505" s="481"/>
      <c r="CO505" s="481"/>
      <c r="CP505" s="481"/>
      <c r="CQ505" s="481"/>
      <c r="CR505" s="481"/>
      <c r="CS505" s="481"/>
      <c r="CT505" s="481"/>
      <c r="CU505" s="481"/>
      <c r="CV505" s="481"/>
      <c r="CW505" s="481"/>
      <c r="CX505" s="481"/>
      <c r="CY505" s="481"/>
      <c r="CZ505" s="481"/>
      <c r="DA505" s="481"/>
      <c r="DB505" s="481"/>
      <c r="DC505" s="481"/>
      <c r="DD505" s="481"/>
      <c r="DE505" s="481"/>
      <c r="DF505" s="481"/>
      <c r="DG505" s="481"/>
      <c r="DH505" s="481"/>
    </row>
    <row r="506" ht="20.25" customHeight="1">
      <c r="A506" s="41">
        <v>506.0</v>
      </c>
      <c r="B506" s="146" t="s">
        <v>278</v>
      </c>
      <c r="C506" s="146" t="s">
        <v>108</v>
      </c>
      <c r="D506" s="146" t="s">
        <v>214</v>
      </c>
      <c r="E506" s="69"/>
      <c r="F506" s="108" t="s">
        <v>2694</v>
      </c>
      <c r="G506" s="109" t="s">
        <v>2736</v>
      </c>
      <c r="H506" s="111" t="s">
        <v>215</v>
      </c>
      <c r="I506" s="414">
        <v>45640.0</v>
      </c>
      <c r="J506" s="111"/>
      <c r="K506" s="109" t="s">
        <v>1094</v>
      </c>
      <c r="L506" s="111"/>
      <c r="M506" s="415" t="s">
        <v>2737</v>
      </c>
      <c r="N506" s="109" t="s">
        <v>2697</v>
      </c>
      <c r="O506" s="111"/>
      <c r="P506" s="118" t="s">
        <v>2698</v>
      </c>
      <c r="Q506" s="49" t="str">
        <f t="array" ref="Q506"> if(iserror(MATCH(V506, 'File Links'!C:C, 0)), "N/A", HYPERLINK(INDEX('File Links'!B:B, MATCH(P506, 'File Links'!C:C, 0))))</f>
        <v>https://drive.google.com/file/d/1v5DJu4qjqzVUJEfoj2GHrhMbmyHZ-m6z/view?usp=drivesdk</v>
      </c>
      <c r="R506" s="109" t="s">
        <v>2699</v>
      </c>
      <c r="S506" s="109" t="s">
        <v>2700</v>
      </c>
      <c r="T506" s="111"/>
      <c r="U506" s="117"/>
      <c r="V506" s="195" t="str">
        <f t="shared" si="25"/>
        <v>10.1016--j.jrp.2024.104511.pdf</v>
      </c>
      <c r="W506" s="109" t="s">
        <v>2708</v>
      </c>
      <c r="X506" s="51" t="str">
        <f t="array" ref="X506"> if(iserror(MATCH(V506, 'File Links'!C:C, 0)), "N/A", HYPERLINK(INDEX('File Links'!B:B, MATCH(V506, 'File Links'!C:C, 0))))</f>
        <v>https://drive.google.com/file/d/1_wLROYuywRItyX2cFnsLf0N4QfaR5Z8L/view?usp=drivesdk</v>
      </c>
      <c r="Y506" s="111"/>
      <c r="Z506" s="109" t="s">
        <v>1593</v>
      </c>
      <c r="AA506" s="109" t="s">
        <v>2709</v>
      </c>
      <c r="AB506" s="109" t="s">
        <v>2710</v>
      </c>
      <c r="AC506" s="109" t="s">
        <v>2738</v>
      </c>
      <c r="AD506" s="111"/>
      <c r="AE506" s="114">
        <v>37.0</v>
      </c>
      <c r="AF506" s="114">
        <v>674.0</v>
      </c>
      <c r="AG506" s="114">
        <v>-0.21</v>
      </c>
      <c r="AH506" s="118" t="s">
        <v>166</v>
      </c>
      <c r="AI506" s="109" t="s">
        <v>2713</v>
      </c>
      <c r="AJ506" s="114">
        <v>0.01</v>
      </c>
      <c r="AK506" s="119" t="s">
        <v>128</v>
      </c>
      <c r="AL506" s="109" t="s">
        <v>129</v>
      </c>
      <c r="AM506" s="111" t="s">
        <v>134</v>
      </c>
      <c r="AN506" s="650" t="s">
        <v>2704</v>
      </c>
      <c r="AO506" s="416">
        <v>404.0</v>
      </c>
      <c r="AP506" s="416">
        <v>-0.14</v>
      </c>
      <c r="AQ506" s="109" t="s">
        <v>208</v>
      </c>
      <c r="AR506" s="109" t="s">
        <v>2713</v>
      </c>
      <c r="AS506" s="114">
        <v>0.05</v>
      </c>
      <c r="AT506" s="119" t="s">
        <v>128</v>
      </c>
      <c r="AU506" s="119" t="s">
        <v>129</v>
      </c>
      <c r="AV506" s="108" t="s">
        <v>134</v>
      </c>
      <c r="AW506" s="653" t="s">
        <v>2714</v>
      </c>
      <c r="AX506" s="835" t="s">
        <v>136</v>
      </c>
      <c r="AY506" s="58"/>
      <c r="AZ506" s="69"/>
      <c r="BA506" s="481"/>
      <c r="BB506" s="481"/>
      <c r="BC506" s="481"/>
      <c r="BD506" s="481"/>
      <c r="BE506" s="481"/>
      <c r="BF506" s="481"/>
      <c r="BG506" s="481"/>
      <c r="BH506" s="481"/>
      <c r="BI506" s="481"/>
      <c r="BJ506" s="481"/>
      <c r="BK506" s="481"/>
      <c r="BL506" s="481"/>
      <c r="BM506" s="481"/>
      <c r="BN506" s="481"/>
      <c r="BO506" s="481"/>
      <c r="BP506" s="481"/>
      <c r="BQ506" s="481"/>
      <c r="BR506" s="481"/>
      <c r="BS506" s="481"/>
      <c r="BT506" s="481"/>
      <c r="BU506" s="481"/>
      <c r="BV506" s="481"/>
      <c r="BW506" s="481"/>
      <c r="BX506" s="481"/>
      <c r="BY506" s="481"/>
      <c r="BZ506" s="481"/>
      <c r="CA506" s="481"/>
      <c r="CB506" s="481"/>
      <c r="CC506" s="481"/>
      <c r="CD506" s="481"/>
      <c r="CE506" s="481"/>
      <c r="CF506" s="481"/>
      <c r="CG506" s="481"/>
      <c r="CH506" s="481"/>
      <c r="CI506" s="481"/>
      <c r="CJ506" s="481"/>
      <c r="CK506" s="481"/>
      <c r="CL506" s="481"/>
      <c r="CM506" s="481"/>
      <c r="CN506" s="481"/>
      <c r="CO506" s="481"/>
      <c r="CP506" s="481"/>
      <c r="CQ506" s="481"/>
      <c r="CR506" s="481"/>
      <c r="CS506" s="481"/>
      <c r="CT506" s="481"/>
      <c r="CU506" s="481"/>
      <c r="CV506" s="481"/>
      <c r="CW506" s="481"/>
      <c r="CX506" s="481"/>
      <c r="CY506" s="481"/>
      <c r="CZ506" s="481"/>
      <c r="DA506" s="481"/>
      <c r="DB506" s="481"/>
      <c r="DC506" s="481"/>
      <c r="DD506" s="481"/>
      <c r="DE506" s="481"/>
      <c r="DF506" s="481"/>
      <c r="DG506" s="481"/>
      <c r="DH506" s="481"/>
    </row>
    <row r="507" ht="20.25" customHeight="1">
      <c r="A507" s="41">
        <v>507.0</v>
      </c>
      <c r="B507" s="146" t="s">
        <v>278</v>
      </c>
      <c r="C507" s="146" t="s">
        <v>108</v>
      </c>
      <c r="D507" s="146" t="s">
        <v>214</v>
      </c>
      <c r="E507" s="69"/>
      <c r="F507" s="108" t="s">
        <v>2694</v>
      </c>
      <c r="G507" s="109" t="s">
        <v>2739</v>
      </c>
      <c r="H507" s="111" t="s">
        <v>215</v>
      </c>
      <c r="I507" s="414">
        <v>45640.0</v>
      </c>
      <c r="J507" s="111"/>
      <c r="K507" s="109" t="s">
        <v>1094</v>
      </c>
      <c r="L507" s="111"/>
      <c r="M507" s="415" t="s">
        <v>2740</v>
      </c>
      <c r="N507" s="109" t="s">
        <v>2697</v>
      </c>
      <c r="O507" s="111"/>
      <c r="P507" s="118" t="s">
        <v>2698</v>
      </c>
      <c r="Q507" s="49" t="str">
        <f t="array" ref="Q507"> if(iserror(MATCH(V507, 'File Links'!C:C, 0)), "N/A", HYPERLINK(INDEX('File Links'!B:B, MATCH(P507, 'File Links'!C:C, 0))))</f>
        <v>https://drive.google.com/file/d/1v5DJu4qjqzVUJEfoj2GHrhMbmyHZ-m6z/view?usp=drivesdk</v>
      </c>
      <c r="R507" s="109" t="s">
        <v>2699</v>
      </c>
      <c r="S507" s="109" t="s">
        <v>2700</v>
      </c>
      <c r="T507" s="111"/>
      <c r="U507" s="117"/>
      <c r="V507" s="195" t="str">
        <f t="shared" si="25"/>
        <v>10.1016--j.jrp.2024.104511.pdf</v>
      </c>
      <c r="W507" s="109" t="s">
        <v>2708</v>
      </c>
      <c r="X507" s="51" t="str">
        <f t="array" ref="X507"> if(iserror(MATCH(V507, 'File Links'!C:C, 0)), "N/A", HYPERLINK(INDEX('File Links'!B:B, MATCH(V507, 'File Links'!C:C, 0))))</f>
        <v>https://drive.google.com/file/d/1_wLROYuywRItyX2cFnsLf0N4QfaR5Z8L/view?usp=drivesdk</v>
      </c>
      <c r="Y507" s="111"/>
      <c r="Z507" s="109" t="s">
        <v>1593</v>
      </c>
      <c r="AA507" s="109" t="s">
        <v>2709</v>
      </c>
      <c r="AB507" s="109" t="s">
        <v>2710</v>
      </c>
      <c r="AC507" s="109" t="s">
        <v>2741</v>
      </c>
      <c r="AD507" s="111"/>
      <c r="AE507" s="114">
        <v>37.0</v>
      </c>
      <c r="AF507" s="114">
        <v>674.0</v>
      </c>
      <c r="AG507" s="114">
        <v>-0.11</v>
      </c>
      <c r="AH507" s="118" t="s">
        <v>166</v>
      </c>
      <c r="AI507" s="109" t="s">
        <v>2713</v>
      </c>
      <c r="AJ507" s="114">
        <v>0.05</v>
      </c>
      <c r="AK507" s="119" t="s">
        <v>165</v>
      </c>
      <c r="AL507" s="109" t="s">
        <v>129</v>
      </c>
      <c r="AM507" s="111" t="s">
        <v>134</v>
      </c>
      <c r="AN507" s="650" t="s">
        <v>2704</v>
      </c>
      <c r="AO507" s="416">
        <v>404.0</v>
      </c>
      <c r="AP507" s="416">
        <v>-0.14</v>
      </c>
      <c r="AQ507" s="109" t="s">
        <v>208</v>
      </c>
      <c r="AR507" s="109" t="s">
        <v>2713</v>
      </c>
      <c r="AS507" s="114">
        <v>0.07</v>
      </c>
      <c r="AT507" s="119" t="s">
        <v>165</v>
      </c>
      <c r="AU507" s="119" t="s">
        <v>129</v>
      </c>
      <c r="AV507" s="108" t="s">
        <v>134</v>
      </c>
      <c r="AW507" s="653" t="s">
        <v>2714</v>
      </c>
      <c r="AX507" s="835" t="s">
        <v>136</v>
      </c>
      <c r="AY507" s="58"/>
      <c r="AZ507" s="69"/>
      <c r="BA507" s="481"/>
      <c r="BB507" s="481"/>
      <c r="BC507" s="481"/>
      <c r="BD507" s="481"/>
      <c r="BE507" s="481"/>
      <c r="BF507" s="481"/>
      <c r="BG507" s="481"/>
      <c r="BH507" s="481"/>
      <c r="BI507" s="481"/>
      <c r="BJ507" s="481"/>
      <c r="BK507" s="481"/>
      <c r="BL507" s="481"/>
      <c r="BM507" s="481"/>
      <c r="BN507" s="481"/>
      <c r="BO507" s="481"/>
      <c r="BP507" s="481"/>
      <c r="BQ507" s="481"/>
      <c r="BR507" s="481"/>
      <c r="BS507" s="481"/>
      <c r="BT507" s="481"/>
      <c r="BU507" s="481"/>
      <c r="BV507" s="481"/>
      <c r="BW507" s="481"/>
      <c r="BX507" s="481"/>
      <c r="BY507" s="481"/>
      <c r="BZ507" s="481"/>
      <c r="CA507" s="481"/>
      <c r="CB507" s="481"/>
      <c r="CC507" s="481"/>
      <c r="CD507" s="481"/>
      <c r="CE507" s="481"/>
      <c r="CF507" s="481"/>
      <c r="CG507" s="481"/>
      <c r="CH507" s="481"/>
      <c r="CI507" s="481"/>
      <c r="CJ507" s="481"/>
      <c r="CK507" s="481"/>
      <c r="CL507" s="481"/>
      <c r="CM507" s="481"/>
      <c r="CN507" s="481"/>
      <c r="CO507" s="481"/>
      <c r="CP507" s="481"/>
      <c r="CQ507" s="481"/>
      <c r="CR507" s="481"/>
      <c r="CS507" s="481"/>
      <c r="CT507" s="481"/>
      <c r="CU507" s="481"/>
      <c r="CV507" s="481"/>
      <c r="CW507" s="481"/>
      <c r="CX507" s="481"/>
      <c r="CY507" s="481"/>
      <c r="CZ507" s="481"/>
      <c r="DA507" s="481"/>
      <c r="DB507" s="481"/>
      <c r="DC507" s="481"/>
      <c r="DD507" s="481"/>
      <c r="DE507" s="481"/>
      <c r="DF507" s="481"/>
      <c r="DG507" s="481"/>
      <c r="DH507" s="481"/>
    </row>
    <row r="508" ht="20.25" customHeight="1">
      <c r="A508" s="41">
        <v>508.0</v>
      </c>
      <c r="B508" s="146" t="s">
        <v>278</v>
      </c>
      <c r="C508" s="146" t="s">
        <v>108</v>
      </c>
      <c r="D508" s="146" t="s">
        <v>214</v>
      </c>
      <c r="E508" s="69"/>
      <c r="F508" s="108" t="s">
        <v>2694</v>
      </c>
      <c r="G508" s="109" t="s">
        <v>2742</v>
      </c>
      <c r="H508" s="111" t="s">
        <v>215</v>
      </c>
      <c r="I508" s="414">
        <v>45640.0</v>
      </c>
      <c r="J508" s="111"/>
      <c r="K508" s="109" t="s">
        <v>1094</v>
      </c>
      <c r="L508" s="111"/>
      <c r="M508" s="415" t="s">
        <v>2743</v>
      </c>
      <c r="N508" s="109" t="s">
        <v>2697</v>
      </c>
      <c r="O508" s="111"/>
      <c r="P508" s="118" t="s">
        <v>2698</v>
      </c>
      <c r="Q508" s="49" t="str">
        <f t="array" ref="Q508"> if(iserror(MATCH(V508, 'File Links'!C:C, 0)), "N/A", HYPERLINK(INDEX('File Links'!B:B, MATCH(P508, 'File Links'!C:C, 0))))</f>
        <v>https://drive.google.com/file/d/1v5DJu4qjqzVUJEfoj2GHrhMbmyHZ-m6z/view?usp=drivesdk</v>
      </c>
      <c r="R508" s="109" t="s">
        <v>2699</v>
      </c>
      <c r="S508" s="109" t="s">
        <v>2700</v>
      </c>
      <c r="T508" s="111"/>
      <c r="U508" s="117"/>
      <c r="V508" s="195" t="str">
        <f t="shared" si="25"/>
        <v>10.1016--j.jrp.2024.104511.pdf</v>
      </c>
      <c r="W508" s="109" t="s">
        <v>2708</v>
      </c>
      <c r="X508" s="51" t="str">
        <f t="array" ref="X508"> if(iserror(MATCH(V508, 'File Links'!C:C, 0)), "N/A", HYPERLINK(INDEX('File Links'!B:B, MATCH(V508, 'File Links'!C:C, 0))))</f>
        <v>https://drive.google.com/file/d/1_wLROYuywRItyX2cFnsLf0N4QfaR5Z8L/view?usp=drivesdk</v>
      </c>
      <c r="Y508" s="111"/>
      <c r="Z508" s="109" t="s">
        <v>1593</v>
      </c>
      <c r="AA508" s="109" t="s">
        <v>2709</v>
      </c>
      <c r="AB508" s="109" t="s">
        <v>2710</v>
      </c>
      <c r="AC508" s="109" t="s">
        <v>2744</v>
      </c>
      <c r="AD508" s="111"/>
      <c r="AE508" s="114">
        <v>37.0</v>
      </c>
      <c r="AF508" s="114">
        <v>674.0</v>
      </c>
      <c r="AG508" s="114">
        <v>-0.11</v>
      </c>
      <c r="AH508" s="118" t="s">
        <v>166</v>
      </c>
      <c r="AI508" s="109" t="s">
        <v>2713</v>
      </c>
      <c r="AJ508" s="114">
        <v>0.05</v>
      </c>
      <c r="AK508" s="119" t="s">
        <v>128</v>
      </c>
      <c r="AL508" s="109" t="s">
        <v>129</v>
      </c>
      <c r="AM508" s="111" t="s">
        <v>134</v>
      </c>
      <c r="AN508" s="650" t="s">
        <v>2704</v>
      </c>
      <c r="AO508" s="416">
        <v>404.0</v>
      </c>
      <c r="AP508" s="416">
        <v>0.3</v>
      </c>
      <c r="AQ508" s="109" t="s">
        <v>208</v>
      </c>
      <c r="AR508" s="109" t="s">
        <v>2713</v>
      </c>
      <c r="AS508" s="114">
        <v>0.05</v>
      </c>
      <c r="AT508" s="119" t="s">
        <v>128</v>
      </c>
      <c r="AU508" s="119" t="s">
        <v>129</v>
      </c>
      <c r="AV508" s="108" t="s">
        <v>134</v>
      </c>
      <c r="AW508" s="653" t="s">
        <v>2714</v>
      </c>
      <c r="AX508" s="835" t="s">
        <v>136</v>
      </c>
      <c r="AY508" s="58"/>
      <c r="AZ508" s="69"/>
      <c r="BA508" s="481"/>
      <c r="BB508" s="481"/>
      <c r="BC508" s="481"/>
      <c r="BD508" s="481"/>
      <c r="BE508" s="481"/>
      <c r="BF508" s="481"/>
      <c r="BG508" s="481"/>
      <c r="BH508" s="481"/>
      <c r="BI508" s="481"/>
      <c r="BJ508" s="481"/>
      <c r="BK508" s="481"/>
      <c r="BL508" s="481"/>
      <c r="BM508" s="481"/>
      <c r="BN508" s="481"/>
      <c r="BO508" s="481"/>
      <c r="BP508" s="481"/>
      <c r="BQ508" s="481"/>
      <c r="BR508" s="481"/>
      <c r="BS508" s="481"/>
      <c r="BT508" s="481"/>
      <c r="BU508" s="481"/>
      <c r="BV508" s="481"/>
      <c r="BW508" s="481"/>
      <c r="BX508" s="481"/>
      <c r="BY508" s="481"/>
      <c r="BZ508" s="481"/>
      <c r="CA508" s="481"/>
      <c r="CB508" s="481"/>
      <c r="CC508" s="481"/>
      <c r="CD508" s="481"/>
      <c r="CE508" s="481"/>
      <c r="CF508" s="481"/>
      <c r="CG508" s="481"/>
      <c r="CH508" s="481"/>
      <c r="CI508" s="481"/>
      <c r="CJ508" s="481"/>
      <c r="CK508" s="481"/>
      <c r="CL508" s="481"/>
      <c r="CM508" s="481"/>
      <c r="CN508" s="481"/>
      <c r="CO508" s="481"/>
      <c r="CP508" s="481"/>
      <c r="CQ508" s="481"/>
      <c r="CR508" s="481"/>
      <c r="CS508" s="481"/>
      <c r="CT508" s="481"/>
      <c r="CU508" s="481"/>
      <c r="CV508" s="481"/>
      <c r="CW508" s="481"/>
      <c r="CX508" s="481"/>
      <c r="CY508" s="481"/>
      <c r="CZ508" s="481"/>
      <c r="DA508" s="481"/>
      <c r="DB508" s="481"/>
      <c r="DC508" s="481"/>
      <c r="DD508" s="481"/>
      <c r="DE508" s="481"/>
      <c r="DF508" s="481"/>
      <c r="DG508" s="481"/>
      <c r="DH508" s="481"/>
    </row>
    <row r="509" ht="20.25" customHeight="1">
      <c r="A509" s="41">
        <v>509.0</v>
      </c>
      <c r="B509" s="836" t="s">
        <v>107</v>
      </c>
      <c r="C509" s="836" t="s">
        <v>108</v>
      </c>
      <c r="D509" s="836" t="s">
        <v>1227</v>
      </c>
      <c r="E509" s="749"/>
      <c r="F509" s="837" t="s">
        <v>2745</v>
      </c>
      <c r="G509" s="838" t="s">
        <v>2746</v>
      </c>
      <c r="H509" s="838" t="s">
        <v>1230</v>
      </c>
      <c r="I509" s="839">
        <v>45641.0</v>
      </c>
      <c r="J509" s="167">
        <v>45691.0</v>
      </c>
      <c r="K509" s="840"/>
      <c r="L509" s="840"/>
      <c r="M509" s="838" t="s">
        <v>2747</v>
      </c>
      <c r="N509" s="838" t="s">
        <v>2748</v>
      </c>
      <c r="O509" s="841">
        <v>1.0</v>
      </c>
      <c r="P509" s="842" t="s">
        <v>2749</v>
      </c>
      <c r="Q509" s="49" t="str">
        <f t="array" ref="Q509"> if(iserror(MATCH(V509, 'File Links'!C:C, 0)), "N/A", HYPERLINK(INDEX('File Links'!B:B, MATCH(P509, 'File Links'!C:C, 0))))</f>
        <v>https://drive.google.com/file/d/1mJVZEGRuGEHvjJLpaIkoRcJuDNXnANgI/view?usp=drivesdk</v>
      </c>
      <c r="R509" s="838" t="s">
        <v>2750</v>
      </c>
      <c r="S509" s="838" t="s">
        <v>2751</v>
      </c>
      <c r="U509" s="843">
        <v>1.0</v>
      </c>
      <c r="V509" s="195" t="str">
        <f t="shared" si="25"/>
        <v>10.1177--19485506241257971.pdf</v>
      </c>
      <c r="W509" s="844" t="s">
        <v>202</v>
      </c>
      <c r="X509" s="51" t="str">
        <f t="array" ref="X509"> if(iserror(MATCH(V509, 'File Links'!C:C, 0)), "N/A", HYPERLINK(INDEX('File Links'!B:B, MATCH(V509, 'File Links'!C:C, 0))))</f>
        <v>https://drive.google.com/file/d/1xNvXepqsFVWYkeFXaOCdP5f6pkQO7e5j/view?usp=drivesdk</v>
      </c>
      <c r="Y509" s="838"/>
      <c r="Z509" s="838" t="s">
        <v>219</v>
      </c>
      <c r="AA509" s="74"/>
      <c r="AB509" s="845" t="s">
        <v>2752</v>
      </c>
      <c r="AC509" s="838" t="s">
        <v>2753</v>
      </c>
      <c r="AD509" s="838" t="s">
        <v>2754</v>
      </c>
      <c r="AE509" s="838" t="s">
        <v>2755</v>
      </c>
      <c r="AF509" s="846">
        <v>4963.0</v>
      </c>
      <c r="AG509" s="840"/>
      <c r="AH509" s="847"/>
      <c r="AI509" s="840"/>
      <c r="AJ509" s="841">
        <v>0.001</v>
      </c>
      <c r="AK509" s="837" t="s">
        <v>128</v>
      </c>
      <c r="AL509" s="838" t="s">
        <v>179</v>
      </c>
      <c r="AM509" s="840" t="s">
        <v>130</v>
      </c>
      <c r="AN509" s="216" t="s">
        <v>131</v>
      </c>
      <c r="AO509" s="846">
        <v>4963.0</v>
      </c>
      <c r="AP509" s="840"/>
      <c r="AQ509" s="840"/>
      <c r="AR509" s="840"/>
      <c r="AS509" s="841">
        <v>0.001</v>
      </c>
      <c r="AT509" s="837" t="s">
        <v>128</v>
      </c>
      <c r="AU509" s="837" t="s">
        <v>179</v>
      </c>
      <c r="AV509" s="848" t="s">
        <v>130</v>
      </c>
      <c r="AW509" s="849" t="s">
        <v>2756</v>
      </c>
      <c r="AX509" s="848"/>
      <c r="AY509" s="126" t="s">
        <v>2757</v>
      </c>
      <c r="AZ509" s="836" t="s">
        <v>137</v>
      </c>
    </row>
    <row r="510" ht="20.25" customHeight="1">
      <c r="A510" s="41">
        <v>510.0</v>
      </c>
      <c r="B510" s="836" t="s">
        <v>145</v>
      </c>
      <c r="C510" s="90" t="s">
        <v>108</v>
      </c>
      <c r="D510" s="90" t="s">
        <v>214</v>
      </c>
      <c r="E510" s="89"/>
      <c r="F510" s="91" t="s">
        <v>2745</v>
      </c>
      <c r="G510" s="74" t="s">
        <v>2758</v>
      </c>
      <c r="H510" s="74" t="s">
        <v>215</v>
      </c>
      <c r="I510" s="850">
        <v>45641.0</v>
      </c>
      <c r="J510" s="167">
        <v>45691.0</v>
      </c>
      <c r="K510" s="851" t="s">
        <v>2759</v>
      </c>
      <c r="L510" s="77" t="s">
        <v>2760</v>
      </c>
      <c r="M510" s="629" t="s">
        <v>2761</v>
      </c>
      <c r="N510" s="74" t="s">
        <v>2748</v>
      </c>
      <c r="O510" s="852">
        <v>1.0</v>
      </c>
      <c r="P510" s="96" t="s">
        <v>2749</v>
      </c>
      <c r="Q510" s="49" t="str">
        <f t="array" ref="Q510"> if(iserror(MATCH(V510, 'File Links'!C:C, 0)), "N/A", HYPERLINK(INDEX('File Links'!B:B, MATCH(P510, 'File Links'!C:C, 0))))</f>
        <v>https://drive.google.com/file/d/1mJVZEGRuGEHvjJLpaIkoRcJuDNXnANgI/view?usp=drivesdk</v>
      </c>
      <c r="R510" s="74" t="s">
        <v>2750</v>
      </c>
      <c r="S510" s="74" t="s">
        <v>2751</v>
      </c>
      <c r="T510" s="80"/>
      <c r="U510" s="853">
        <v>2.0</v>
      </c>
      <c r="V510" s="195" t="str">
        <f t="shared" si="25"/>
        <v>10.1177--19485506241257971.pdf</v>
      </c>
      <c r="W510" s="844" t="s">
        <v>202</v>
      </c>
      <c r="X510" s="51" t="str">
        <f t="array" ref="X510"> if(iserror(MATCH(V510, 'File Links'!C:C, 0)), "N/A", HYPERLINK(INDEX('File Links'!B:B, MATCH(V510, 'File Links'!C:C, 0))))</f>
        <v>https://drive.google.com/file/d/1xNvXepqsFVWYkeFXaOCdP5f6pkQO7e5j/view?usp=drivesdk</v>
      </c>
      <c r="Y510" s="80"/>
      <c r="Z510" s="74" t="s">
        <v>219</v>
      </c>
      <c r="AA510" s="74"/>
      <c r="AB510" s="74" t="s">
        <v>2752</v>
      </c>
      <c r="AC510" s="74" t="s">
        <v>2762</v>
      </c>
      <c r="AD510" s="74" t="s">
        <v>2763</v>
      </c>
      <c r="AE510" s="632">
        <v>2.0</v>
      </c>
      <c r="AF510" s="632">
        <v>3578.0</v>
      </c>
      <c r="AG510" s="632">
        <v>0.204</v>
      </c>
      <c r="AH510" s="96" t="s">
        <v>354</v>
      </c>
      <c r="AI510" s="74" t="s">
        <v>2764</v>
      </c>
      <c r="AJ510" s="632">
        <v>0.001</v>
      </c>
      <c r="AK510" s="92" t="s">
        <v>128</v>
      </c>
      <c r="AL510" s="74" t="s">
        <v>129</v>
      </c>
      <c r="AM510" s="80" t="s">
        <v>130</v>
      </c>
      <c r="AN510" s="854" t="s">
        <v>2765</v>
      </c>
      <c r="AO510" s="855">
        <v>1193.0</v>
      </c>
      <c r="AP510" s="855">
        <v>0.302</v>
      </c>
      <c r="AQ510" s="74" t="s">
        <v>354</v>
      </c>
      <c r="AR510" s="74" t="s">
        <v>617</v>
      </c>
      <c r="AS510" s="632">
        <v>0.01</v>
      </c>
      <c r="AT510" s="92" t="s">
        <v>128</v>
      </c>
      <c r="AU510" s="92" t="s">
        <v>129</v>
      </c>
      <c r="AV510" s="91" t="s">
        <v>130</v>
      </c>
      <c r="AW510" s="99" t="s">
        <v>2766</v>
      </c>
      <c r="AX510" s="100" t="s">
        <v>136</v>
      </c>
      <c r="AY510" s="120" t="s">
        <v>2767</v>
      </c>
      <c r="AZ510" s="836" t="s">
        <v>137</v>
      </c>
    </row>
    <row r="511" ht="20.25" customHeight="1">
      <c r="A511" s="41">
        <v>511.0</v>
      </c>
      <c r="B511" s="836" t="s">
        <v>145</v>
      </c>
      <c r="C511" s="90" t="s">
        <v>108</v>
      </c>
      <c r="D511" s="90" t="s">
        <v>214</v>
      </c>
      <c r="E511" s="89"/>
      <c r="F511" s="91" t="s">
        <v>2745</v>
      </c>
      <c r="G511" s="74" t="s">
        <v>2768</v>
      </c>
      <c r="H511" s="74" t="s">
        <v>215</v>
      </c>
      <c r="I511" s="850">
        <v>45641.0</v>
      </c>
      <c r="J511" s="167">
        <v>45691.0</v>
      </c>
      <c r="K511" s="851" t="s">
        <v>2769</v>
      </c>
      <c r="L511" s="77" t="s">
        <v>2760</v>
      </c>
      <c r="M511" s="629" t="s">
        <v>2770</v>
      </c>
      <c r="N511" s="74" t="s">
        <v>2748</v>
      </c>
      <c r="O511" s="852">
        <v>1.0</v>
      </c>
      <c r="P511" s="96" t="s">
        <v>2749</v>
      </c>
      <c r="Q511" s="49" t="str">
        <f t="array" ref="Q511"> if(iserror(MATCH(V511, 'File Links'!C:C, 0)), "N/A", HYPERLINK(INDEX('File Links'!B:B, MATCH(P511, 'File Links'!C:C, 0))))</f>
        <v>https://drive.google.com/file/d/1mJVZEGRuGEHvjJLpaIkoRcJuDNXnANgI/view?usp=drivesdk</v>
      </c>
      <c r="R511" s="74" t="s">
        <v>2750</v>
      </c>
      <c r="S511" s="74" t="s">
        <v>2751</v>
      </c>
      <c r="T511" s="80"/>
      <c r="U511" s="853">
        <v>2.0</v>
      </c>
      <c r="V511" s="195" t="str">
        <f t="shared" si="25"/>
        <v>10.1177--19485506241257971.pdf</v>
      </c>
      <c r="W511" s="844" t="s">
        <v>202</v>
      </c>
      <c r="X511" s="51" t="str">
        <f t="array" ref="X511"> if(iserror(MATCH(V511, 'File Links'!C:C, 0)), "N/A", HYPERLINK(INDEX('File Links'!B:B, MATCH(V511, 'File Links'!C:C, 0))))</f>
        <v>https://drive.google.com/file/d/1xNvXepqsFVWYkeFXaOCdP5f6pkQO7e5j/view?usp=drivesdk</v>
      </c>
      <c r="Y511" s="80"/>
      <c r="Z511" s="74" t="s">
        <v>219</v>
      </c>
      <c r="AA511" s="74"/>
      <c r="AB511" s="74" t="s">
        <v>2752</v>
      </c>
      <c r="AC511" s="74" t="s">
        <v>2771</v>
      </c>
      <c r="AD511" s="74" t="s">
        <v>2772</v>
      </c>
      <c r="AE511" s="632">
        <v>2.0</v>
      </c>
      <c r="AF511" s="632">
        <v>3578.0</v>
      </c>
      <c r="AG511" s="632">
        <v>0.163</v>
      </c>
      <c r="AH511" s="96" t="s">
        <v>354</v>
      </c>
      <c r="AI511" s="74" t="s">
        <v>2764</v>
      </c>
      <c r="AJ511" s="632">
        <v>0.001</v>
      </c>
      <c r="AK511" s="92" t="s">
        <v>128</v>
      </c>
      <c r="AL511" s="74" t="s">
        <v>129</v>
      </c>
      <c r="AM511" s="80" t="s">
        <v>130</v>
      </c>
      <c r="AN511" s="854" t="s">
        <v>2765</v>
      </c>
      <c r="AO511" s="855">
        <v>1193.0</v>
      </c>
      <c r="AP511" s="855">
        <v>0.302</v>
      </c>
      <c r="AQ511" s="74" t="s">
        <v>354</v>
      </c>
      <c r="AR511" s="74" t="s">
        <v>617</v>
      </c>
      <c r="AS511" s="632">
        <v>0.01</v>
      </c>
      <c r="AT511" s="92" t="s">
        <v>128</v>
      </c>
      <c r="AU511" s="92" t="s">
        <v>129</v>
      </c>
      <c r="AV511" s="91" t="s">
        <v>130</v>
      </c>
      <c r="AW511" s="99" t="s">
        <v>2766</v>
      </c>
      <c r="AX511" s="100" t="s">
        <v>136</v>
      </c>
      <c r="AY511" s="58"/>
      <c r="AZ511" s="836" t="s">
        <v>137</v>
      </c>
    </row>
    <row r="512" ht="20.25" customHeight="1">
      <c r="A512" s="41">
        <v>512.0</v>
      </c>
      <c r="B512" s="836" t="s">
        <v>107</v>
      </c>
      <c r="C512" s="836" t="s">
        <v>108</v>
      </c>
      <c r="D512" s="836" t="s">
        <v>1227</v>
      </c>
      <c r="E512" s="749"/>
      <c r="F512" s="91" t="s">
        <v>2745</v>
      </c>
      <c r="G512" s="838" t="s">
        <v>2768</v>
      </c>
      <c r="H512" s="840"/>
      <c r="I512" s="856"/>
      <c r="J512" s="167">
        <v>45691.0</v>
      </c>
      <c r="K512" s="840"/>
      <c r="L512" s="840"/>
      <c r="M512" s="838" t="s">
        <v>2747</v>
      </c>
      <c r="N512" s="838" t="s">
        <v>2748</v>
      </c>
      <c r="O512" s="841">
        <v>1.0</v>
      </c>
      <c r="P512" s="842" t="s">
        <v>2749</v>
      </c>
      <c r="Q512" s="49" t="str">
        <f t="array" ref="Q512"> if(iserror(MATCH(V512, 'File Links'!C:C, 0)), "N/A", HYPERLINK(INDEX('File Links'!B:B, MATCH(P512, 'File Links'!C:C, 0))))</f>
        <v>https://drive.google.com/file/d/1mJVZEGRuGEHvjJLpaIkoRcJuDNXnANgI/view?usp=drivesdk</v>
      </c>
      <c r="R512" s="838" t="s">
        <v>2750</v>
      </c>
      <c r="S512" s="838" t="s">
        <v>2751</v>
      </c>
      <c r="U512" s="857">
        <v>2.0</v>
      </c>
      <c r="V512" s="195" t="str">
        <f t="shared" si="25"/>
        <v>10.1177--19485506241257971.pdf</v>
      </c>
      <c r="W512" s="844" t="s">
        <v>202</v>
      </c>
      <c r="X512" s="51" t="str">
        <f t="array" ref="X512"> if(iserror(MATCH(V512, 'File Links'!C:C, 0)), "N/A", HYPERLINK(INDEX('File Links'!B:B, MATCH(V512, 'File Links'!C:C, 0))))</f>
        <v>https://drive.google.com/file/d/1xNvXepqsFVWYkeFXaOCdP5f6pkQO7e5j/view?usp=drivesdk</v>
      </c>
      <c r="Y512" s="838"/>
      <c r="Z512" s="838"/>
      <c r="AA512" s="838"/>
      <c r="AB512" s="845" t="s">
        <v>2752</v>
      </c>
      <c r="AC512" s="840"/>
      <c r="AD512" s="840"/>
      <c r="AE512" s="840"/>
      <c r="AF512" s="840"/>
      <c r="AG512" s="840"/>
      <c r="AH512" s="847"/>
      <c r="AI512" s="840"/>
      <c r="AJ512" s="840"/>
      <c r="AK512" s="848"/>
      <c r="AL512" s="840"/>
      <c r="AM512" s="840"/>
      <c r="AN512" s="216" t="s">
        <v>131</v>
      </c>
      <c r="AO512" s="841">
        <v>1250.0</v>
      </c>
      <c r="AP512" s="840"/>
      <c r="AQ512" s="840"/>
      <c r="AR512" s="840"/>
      <c r="AS512" s="841">
        <v>0.001</v>
      </c>
      <c r="AT512" s="837" t="s">
        <v>128</v>
      </c>
      <c r="AU512" s="837" t="s">
        <v>179</v>
      </c>
      <c r="AV512" s="837"/>
      <c r="AW512" s="849" t="s">
        <v>2773</v>
      </c>
      <c r="AX512" s="848"/>
      <c r="AY512" s="58"/>
      <c r="AZ512" s="836" t="s">
        <v>137</v>
      </c>
    </row>
    <row r="513" ht="20.25" customHeight="1">
      <c r="A513" s="41">
        <v>513.0</v>
      </c>
      <c r="B513" s="836" t="s">
        <v>107</v>
      </c>
      <c r="C513" s="90" t="s">
        <v>108</v>
      </c>
      <c r="D513" s="90" t="s">
        <v>214</v>
      </c>
      <c r="E513" s="89"/>
      <c r="F513" s="91" t="s">
        <v>2745</v>
      </c>
      <c r="G513" s="74" t="s">
        <v>2774</v>
      </c>
      <c r="H513" s="74" t="s">
        <v>215</v>
      </c>
      <c r="I513" s="850">
        <v>45641.0</v>
      </c>
      <c r="J513" s="167">
        <v>45691.0</v>
      </c>
      <c r="K513" s="851" t="s">
        <v>2775</v>
      </c>
      <c r="L513" s="77" t="s">
        <v>2760</v>
      </c>
      <c r="M513" s="629" t="s">
        <v>2776</v>
      </c>
      <c r="N513" s="74" t="s">
        <v>2748</v>
      </c>
      <c r="O513" s="852">
        <v>1.0</v>
      </c>
      <c r="P513" s="96" t="s">
        <v>2749</v>
      </c>
      <c r="Q513" s="49" t="str">
        <f t="array" ref="Q513"> if(iserror(MATCH(V513, 'File Links'!C:C, 0)), "N/A", HYPERLINK(INDEX('File Links'!B:B, MATCH(P513, 'File Links'!C:C, 0))))</f>
        <v>https://drive.google.com/file/d/1mJVZEGRuGEHvjJLpaIkoRcJuDNXnANgI/view?usp=drivesdk</v>
      </c>
      <c r="R513" s="74" t="s">
        <v>2750</v>
      </c>
      <c r="S513" s="74" t="s">
        <v>2751</v>
      </c>
      <c r="T513" s="80"/>
      <c r="U513" s="853">
        <v>2.0</v>
      </c>
      <c r="V513" s="195" t="str">
        <f t="shared" si="25"/>
        <v>10.1177--19485506241257971.pdf</v>
      </c>
      <c r="W513" s="844" t="s">
        <v>202</v>
      </c>
      <c r="X513" s="51" t="str">
        <f t="array" ref="X513"> if(iserror(MATCH(V513, 'File Links'!C:C, 0)), "N/A", HYPERLINK(INDEX('File Links'!B:B, MATCH(V513, 'File Links'!C:C, 0))))</f>
        <v>https://drive.google.com/file/d/1xNvXepqsFVWYkeFXaOCdP5f6pkQO7e5j/view?usp=drivesdk</v>
      </c>
      <c r="Y513" s="80"/>
      <c r="Z513" s="74" t="s">
        <v>219</v>
      </c>
      <c r="AA513" s="74"/>
      <c r="AB513" s="74" t="s">
        <v>2752</v>
      </c>
      <c r="AC513" s="74" t="s">
        <v>2777</v>
      </c>
      <c r="AD513" s="74" t="s">
        <v>2778</v>
      </c>
      <c r="AE513" s="632">
        <v>2.0</v>
      </c>
      <c r="AF513" s="632">
        <v>3578.0</v>
      </c>
      <c r="AG513" s="632">
        <v>0.066</v>
      </c>
      <c r="AH513" s="96" t="s">
        <v>354</v>
      </c>
      <c r="AI513" s="74" t="s">
        <v>2764</v>
      </c>
      <c r="AJ513" s="632">
        <v>0.001</v>
      </c>
      <c r="AK513" s="92" t="s">
        <v>128</v>
      </c>
      <c r="AL513" s="74" t="s">
        <v>129</v>
      </c>
      <c r="AM513" s="80" t="s">
        <v>130</v>
      </c>
      <c r="AN513" s="854" t="s">
        <v>2765</v>
      </c>
      <c r="AO513" s="855">
        <v>1193.0</v>
      </c>
      <c r="AP513" s="77" t="s">
        <v>131</v>
      </c>
      <c r="AQ513" s="77" t="s">
        <v>131</v>
      </c>
      <c r="AR513" s="77" t="s">
        <v>131</v>
      </c>
      <c r="AS513" s="77" t="s">
        <v>131</v>
      </c>
      <c r="AT513" s="77" t="s">
        <v>131</v>
      </c>
      <c r="AU513" s="77" t="s">
        <v>179</v>
      </c>
      <c r="AV513" s="91" t="s">
        <v>130</v>
      </c>
      <c r="AW513" s="99" t="s">
        <v>2766</v>
      </c>
      <c r="AX513" s="100" t="s">
        <v>136</v>
      </c>
      <c r="AY513" s="58"/>
      <c r="AZ513" s="836" t="s">
        <v>137</v>
      </c>
    </row>
    <row r="514" ht="20.25" customHeight="1">
      <c r="A514" s="41">
        <v>514.0</v>
      </c>
      <c r="B514" s="146" t="s">
        <v>583</v>
      </c>
      <c r="C514" s="146" t="s">
        <v>108</v>
      </c>
      <c r="D514" s="146" t="s">
        <v>1227</v>
      </c>
      <c r="E514" s="69"/>
      <c r="F514" s="108" t="s">
        <v>2779</v>
      </c>
      <c r="G514" s="109" t="s">
        <v>2780</v>
      </c>
      <c r="H514" s="109" t="s">
        <v>1230</v>
      </c>
      <c r="I514" s="414">
        <v>45472.0</v>
      </c>
      <c r="J514" s="110">
        <v>45641.0</v>
      </c>
      <c r="K514" s="111"/>
      <c r="L514" s="111"/>
      <c r="M514" s="109" t="s">
        <v>2781</v>
      </c>
      <c r="N514" s="109" t="s">
        <v>2782</v>
      </c>
      <c r="O514" s="114">
        <v>1.0</v>
      </c>
      <c r="P514" s="118" t="s">
        <v>2783</v>
      </c>
      <c r="Q514" s="49" t="str">
        <f t="array" ref="Q514"> if(iserror(MATCH(V514, 'File Links'!C:C, 0)), "N/A", HYPERLINK(INDEX('File Links'!B:B, MATCH(P514, 'File Links'!C:C, 0))))</f>
        <v>https://drive.google.com/file/d/1LJ0WrqBtVRCt68G-AduIa1fUKucFOQw4/view?usp=drivesdk</v>
      </c>
      <c r="R514" s="109" t="s">
        <v>2784</v>
      </c>
      <c r="S514" s="216" t="s">
        <v>2785</v>
      </c>
      <c r="T514" s="858" t="s">
        <v>2786</v>
      </c>
      <c r="U514" s="651">
        <v>1.0</v>
      </c>
      <c r="V514" s="195" t="str">
        <f t="shared" si="25"/>
        <v>patt_2024.pdf</v>
      </c>
      <c r="W514" s="109" t="s">
        <v>2787</v>
      </c>
      <c r="X514" s="51" t="str">
        <f t="array" ref="X514"> if(iserror(MATCH(V514, 'File Links'!C:C, 0)), "N/A", HYPERLINK(INDEX('File Links'!B:B, MATCH(V514, 'File Links'!C:C, 0))))</f>
        <v>https://drive.google.com/file/d/1ThlzA-VvGBDO4Se-yoayt4Mn-HEfjYUo/view?usp=drivesdk</v>
      </c>
      <c r="Y514" s="109"/>
      <c r="Z514" s="109" t="s">
        <v>2788</v>
      </c>
      <c r="AB514" s="109" t="s">
        <v>2789</v>
      </c>
      <c r="AC514" s="109" t="s">
        <v>2790</v>
      </c>
      <c r="AE514" s="114">
        <v>623.0</v>
      </c>
      <c r="AF514" s="114">
        <v>51.0</v>
      </c>
      <c r="AG514" s="111"/>
      <c r="AH514" s="117"/>
      <c r="AI514" s="111"/>
      <c r="AJ514" s="111"/>
      <c r="AK514" s="108"/>
      <c r="AL514" s="109" t="s">
        <v>179</v>
      </c>
      <c r="AM514" s="109"/>
      <c r="AN514" s="216" t="s">
        <v>131</v>
      </c>
      <c r="AO514" s="114">
        <v>303.0</v>
      </c>
      <c r="AP514" s="111"/>
      <c r="AQ514" s="111"/>
      <c r="AR514" s="109" t="s">
        <v>131</v>
      </c>
      <c r="AS514" s="111"/>
      <c r="AT514" s="108"/>
      <c r="AU514" s="119" t="s">
        <v>179</v>
      </c>
      <c r="AV514" s="119"/>
      <c r="AW514" s="108"/>
      <c r="AX514" s="108"/>
      <c r="AY514" s="58"/>
      <c r="AZ514" s="69"/>
    </row>
    <row r="515" ht="20.25" customHeight="1">
      <c r="A515" s="41">
        <v>515.0</v>
      </c>
      <c r="B515" s="121" t="s">
        <v>278</v>
      </c>
      <c r="C515" s="121" t="s">
        <v>108</v>
      </c>
      <c r="D515" s="121" t="s">
        <v>214</v>
      </c>
      <c r="E515" s="104"/>
      <c r="F515" s="122" t="s">
        <v>2779</v>
      </c>
      <c r="G515" s="123" t="s">
        <v>2791</v>
      </c>
      <c r="H515" s="123" t="s">
        <v>215</v>
      </c>
      <c r="I515" s="314">
        <v>45641.0</v>
      </c>
      <c r="J515" s="129"/>
      <c r="K515" s="123" t="s">
        <v>2640</v>
      </c>
      <c r="L515" s="129"/>
      <c r="M515" s="123" t="s">
        <v>2792</v>
      </c>
      <c r="N515" s="123" t="s">
        <v>2782</v>
      </c>
      <c r="O515" s="129"/>
      <c r="P515" s="220" t="s">
        <v>2783</v>
      </c>
      <c r="Q515" s="49" t="str">
        <f t="array" ref="Q515"> if(iserror(MATCH(V515, 'File Links'!C:C, 0)), "N/A", HYPERLINK(INDEX('File Links'!B:B, MATCH(P515, 'File Links'!C:C, 0))))</f>
        <v>https://drive.google.com/file/d/1LJ0WrqBtVRCt68G-AduIa1fUKucFOQw4/view?usp=drivesdk</v>
      </c>
      <c r="R515" s="123" t="s">
        <v>2784</v>
      </c>
      <c r="S515" s="216" t="s">
        <v>2785</v>
      </c>
      <c r="T515" s="858" t="s">
        <v>2786</v>
      </c>
      <c r="U515" s="315"/>
      <c r="V515" s="195" t="str">
        <f t="shared" si="25"/>
        <v>patt_2024.pdf</v>
      </c>
      <c r="W515" s="123" t="s">
        <v>2793</v>
      </c>
      <c r="X515" s="51" t="str">
        <f t="array" ref="X515"> if(iserror(MATCH(V515, 'File Links'!C:C, 0)), "N/A", HYPERLINK(INDEX('File Links'!B:B, MATCH(V515, 'File Links'!C:C, 0))))</f>
        <v>https://drive.google.com/file/d/1ThlzA-VvGBDO4Se-yoayt4Mn-HEfjYUo/view?usp=drivesdk</v>
      </c>
      <c r="Y515" s="129"/>
      <c r="Z515" s="123" t="s">
        <v>219</v>
      </c>
      <c r="AA515" s="123" t="s">
        <v>2794</v>
      </c>
      <c r="AB515" s="123" t="s">
        <v>2795</v>
      </c>
      <c r="AC515" s="123" t="s">
        <v>2796</v>
      </c>
      <c r="AD515" s="123" t="s">
        <v>2797</v>
      </c>
      <c r="AE515" s="127">
        <v>827.0</v>
      </c>
      <c r="AF515" s="127">
        <v>126.0</v>
      </c>
      <c r="AG515" s="127">
        <v>11.83</v>
      </c>
      <c r="AH515" s="220" t="s">
        <v>2798</v>
      </c>
      <c r="AI515" s="127">
        <v>827.0</v>
      </c>
      <c r="AJ515" s="129"/>
      <c r="AK515" s="122"/>
      <c r="AL515" s="129"/>
      <c r="AM515" s="129"/>
      <c r="AN515" s="216" t="s">
        <v>131</v>
      </c>
      <c r="AO515" s="127">
        <v>254.0</v>
      </c>
      <c r="AP515" s="127">
        <v>2.05</v>
      </c>
      <c r="AQ515" s="123" t="s">
        <v>2798</v>
      </c>
      <c r="AR515" s="123" t="s">
        <v>298</v>
      </c>
      <c r="AS515" s="129"/>
      <c r="AT515" s="122"/>
      <c r="AU515" s="122"/>
      <c r="AV515" s="122"/>
      <c r="AW515" s="122"/>
      <c r="AX515" s="122" t="s">
        <v>144</v>
      </c>
      <c r="AY515" s="58"/>
      <c r="AZ515" s="104"/>
    </row>
    <row r="516" ht="20.25" customHeight="1">
      <c r="A516" s="41">
        <v>516.0</v>
      </c>
      <c r="B516" s="121" t="s">
        <v>278</v>
      </c>
      <c r="C516" s="121" t="s">
        <v>108</v>
      </c>
      <c r="D516" s="121" t="s">
        <v>214</v>
      </c>
      <c r="E516" s="104"/>
      <c r="F516" s="122" t="s">
        <v>2779</v>
      </c>
      <c r="G516" s="123" t="s">
        <v>2799</v>
      </c>
      <c r="H516" s="123" t="s">
        <v>215</v>
      </c>
      <c r="I516" s="314">
        <v>45641.0</v>
      </c>
      <c r="J516" s="129"/>
      <c r="K516" s="123" t="s">
        <v>2640</v>
      </c>
      <c r="L516" s="129"/>
      <c r="M516" s="123" t="s">
        <v>2792</v>
      </c>
      <c r="N516" s="123" t="s">
        <v>2782</v>
      </c>
      <c r="O516" s="129"/>
      <c r="P516" s="220" t="s">
        <v>2783</v>
      </c>
      <c r="Q516" s="49" t="str">
        <f t="array" ref="Q516"> if(iserror(MATCH(V516, 'File Links'!C:C, 0)), "N/A", HYPERLINK(INDEX('File Links'!B:B, MATCH(P516, 'File Links'!C:C, 0))))</f>
        <v>https://drive.google.com/file/d/1LJ0WrqBtVRCt68G-AduIa1fUKucFOQw4/view?usp=drivesdk</v>
      </c>
      <c r="R516" s="123" t="s">
        <v>2784</v>
      </c>
      <c r="S516" s="216" t="s">
        <v>2785</v>
      </c>
      <c r="T516" s="858" t="s">
        <v>2786</v>
      </c>
      <c r="U516" s="315"/>
      <c r="V516" s="195" t="str">
        <f t="shared" si="25"/>
        <v>patt_2024.pdf</v>
      </c>
      <c r="W516" s="123" t="s">
        <v>2793</v>
      </c>
      <c r="X516" s="51" t="str">
        <f t="array" ref="X516"> if(iserror(MATCH(V516, 'File Links'!C:C, 0)), "N/A", HYPERLINK(INDEX('File Links'!B:B, MATCH(V516, 'File Links'!C:C, 0))))</f>
        <v>https://drive.google.com/file/d/1ThlzA-VvGBDO4Se-yoayt4Mn-HEfjYUo/view?usp=drivesdk</v>
      </c>
      <c r="Y516" s="129"/>
      <c r="Z516" s="123" t="s">
        <v>219</v>
      </c>
      <c r="AA516" s="123" t="s">
        <v>2794</v>
      </c>
      <c r="AB516" s="123" t="s">
        <v>2795</v>
      </c>
      <c r="AC516" s="123" t="s">
        <v>2800</v>
      </c>
      <c r="AD516" s="123" t="s">
        <v>2801</v>
      </c>
      <c r="AE516" s="127">
        <v>827.0</v>
      </c>
      <c r="AF516" s="127">
        <v>87.0</v>
      </c>
      <c r="AG516" s="127">
        <v>9.41</v>
      </c>
      <c r="AH516" s="220" t="s">
        <v>2798</v>
      </c>
      <c r="AI516" s="127">
        <v>827.0</v>
      </c>
      <c r="AJ516" s="129"/>
      <c r="AK516" s="122"/>
      <c r="AL516" s="129"/>
      <c r="AM516" s="129"/>
      <c r="AN516" s="216" t="s">
        <v>131</v>
      </c>
      <c r="AO516" s="127">
        <v>51.0</v>
      </c>
      <c r="AP516" s="127">
        <v>0.79</v>
      </c>
      <c r="AQ516" s="123" t="s">
        <v>2798</v>
      </c>
      <c r="AR516" s="123" t="s">
        <v>298</v>
      </c>
      <c r="AS516" s="129"/>
      <c r="AT516" s="122"/>
      <c r="AU516" s="122"/>
      <c r="AV516" s="122"/>
      <c r="AW516" s="122"/>
      <c r="AX516" s="122" t="s">
        <v>144</v>
      </c>
      <c r="AY516" s="58"/>
      <c r="AZ516" s="104"/>
    </row>
    <row r="517" ht="20.25" customHeight="1">
      <c r="A517" s="41">
        <v>517.0</v>
      </c>
      <c r="B517" s="121" t="s">
        <v>278</v>
      </c>
      <c r="C517" s="121" t="s">
        <v>108</v>
      </c>
      <c r="D517" s="121" t="s">
        <v>214</v>
      </c>
      <c r="E517" s="104"/>
      <c r="F517" s="122" t="s">
        <v>2779</v>
      </c>
      <c r="G517" s="123" t="s">
        <v>2802</v>
      </c>
      <c r="H517" s="123" t="s">
        <v>215</v>
      </c>
      <c r="I517" s="314">
        <v>45641.0</v>
      </c>
      <c r="J517" s="129"/>
      <c r="K517" s="123" t="s">
        <v>2640</v>
      </c>
      <c r="L517" s="129"/>
      <c r="M517" s="123" t="s">
        <v>2792</v>
      </c>
      <c r="N517" s="123" t="s">
        <v>2782</v>
      </c>
      <c r="O517" s="129"/>
      <c r="P517" s="220" t="s">
        <v>2783</v>
      </c>
      <c r="Q517" s="49" t="str">
        <f t="array" ref="Q517"> if(iserror(MATCH(V517, 'File Links'!C:C, 0)), "N/A", HYPERLINK(INDEX('File Links'!B:B, MATCH(P517, 'File Links'!C:C, 0))))</f>
        <v>https://drive.google.com/file/d/1LJ0WrqBtVRCt68G-AduIa1fUKucFOQw4/view?usp=drivesdk</v>
      </c>
      <c r="R517" s="123" t="s">
        <v>2784</v>
      </c>
      <c r="S517" s="216" t="s">
        <v>2785</v>
      </c>
      <c r="T517" s="858" t="s">
        <v>2786</v>
      </c>
      <c r="U517" s="315"/>
      <c r="V517" s="195" t="str">
        <f t="shared" si="25"/>
        <v>patt_2024.pdf</v>
      </c>
      <c r="W517" s="123" t="s">
        <v>2793</v>
      </c>
      <c r="X517" s="51" t="str">
        <f t="array" ref="X517"> if(iserror(MATCH(V517, 'File Links'!C:C, 0)), "N/A", HYPERLINK(INDEX('File Links'!B:B, MATCH(V517, 'File Links'!C:C, 0))))</f>
        <v>https://drive.google.com/file/d/1ThlzA-VvGBDO4Se-yoayt4Mn-HEfjYUo/view?usp=drivesdk</v>
      </c>
      <c r="Y517" s="129"/>
      <c r="Z517" s="123" t="s">
        <v>219</v>
      </c>
      <c r="AA517" s="123" t="s">
        <v>2794</v>
      </c>
      <c r="AB517" s="123" t="s">
        <v>2795</v>
      </c>
      <c r="AC517" s="123" t="s">
        <v>2803</v>
      </c>
      <c r="AD517" s="123" t="s">
        <v>2804</v>
      </c>
      <c r="AE517" s="127">
        <v>827.0</v>
      </c>
      <c r="AF517" s="127">
        <v>19.0</v>
      </c>
      <c r="AG517" s="127">
        <v>4.1</v>
      </c>
      <c r="AH517" s="220" t="s">
        <v>2798</v>
      </c>
      <c r="AI517" s="127">
        <v>827.0</v>
      </c>
      <c r="AJ517" s="129"/>
      <c r="AK517" s="122"/>
      <c r="AL517" s="129"/>
      <c r="AM517" s="129"/>
      <c r="AN517" s="216" t="s">
        <v>131</v>
      </c>
      <c r="AO517" s="127">
        <v>36.0</v>
      </c>
      <c r="AP517" s="127">
        <v>0.65</v>
      </c>
      <c r="AQ517" s="123" t="s">
        <v>2798</v>
      </c>
      <c r="AR517" s="123" t="s">
        <v>2805</v>
      </c>
      <c r="AS517" s="129"/>
      <c r="AT517" s="122"/>
      <c r="AU517" s="122"/>
      <c r="AV517" s="122"/>
      <c r="AW517" s="122"/>
      <c r="AX517" s="122" t="s">
        <v>144</v>
      </c>
      <c r="AY517" s="58"/>
      <c r="AZ517" s="104"/>
    </row>
    <row r="518" ht="20.25" customHeight="1">
      <c r="A518" s="41">
        <v>518.0</v>
      </c>
      <c r="B518" s="59" t="s">
        <v>278</v>
      </c>
      <c r="C518" s="59" t="s">
        <v>108</v>
      </c>
      <c r="D518" s="59" t="s">
        <v>1227</v>
      </c>
      <c r="F518" s="65" t="s">
        <v>2806</v>
      </c>
      <c r="G518" s="54" t="s">
        <v>2807</v>
      </c>
      <c r="H518" s="54" t="s">
        <v>1230</v>
      </c>
      <c r="I518" s="149">
        <v>45472.0</v>
      </c>
      <c r="J518" s="431">
        <v>45641.0</v>
      </c>
      <c r="K518" s="58"/>
      <c r="L518" s="58"/>
      <c r="M518" s="54" t="s">
        <v>2808</v>
      </c>
      <c r="N518" s="54" t="s">
        <v>2809</v>
      </c>
      <c r="O518" s="376">
        <v>2.0</v>
      </c>
      <c r="P518" s="374" t="s">
        <v>2810</v>
      </c>
      <c r="Q518" s="49" t="str">
        <f t="array" ref="Q518"> if(iserror(MATCH(V518, 'File Links'!C:C, 0)), "N/A", HYPERLINK(INDEX('File Links'!B:B, MATCH(P518, 'File Links'!C:C, 0))))</f>
        <v>https://drive.google.com/file/d/1U7jcEsjlgt0luv4Qd8Q7JmbBb7qRDTdD/view?usp=drivesdk</v>
      </c>
      <c r="R518" s="54" t="s">
        <v>2811</v>
      </c>
      <c r="S518" s="54" t="s">
        <v>2812</v>
      </c>
      <c r="U518" s="706">
        <v>1.0</v>
      </c>
      <c r="V518" s="195" t="str">
        <f t="shared" si="25"/>
        <v>10.1038--s41598-024-63724-2.pdf</v>
      </c>
      <c r="W518" s="54" t="s">
        <v>2813</v>
      </c>
      <c r="X518" s="51" t="str">
        <f t="array" ref="X518"> if(iserror(MATCH(V518, 'File Links'!C:C, 0)), "N/A", HYPERLINK(INDEX('File Links'!B:B, MATCH(V518, 'File Links'!C:C, 0))))</f>
        <v>https://drive.google.com/file/d/10CU4FiXsOc216jLudNBinSLadjKnYzKg/view?usp=drivesdk</v>
      </c>
      <c r="Y518" s="54"/>
      <c r="Z518" s="54" t="s">
        <v>219</v>
      </c>
      <c r="AB518" s="54" t="s">
        <v>2814</v>
      </c>
      <c r="AC518" s="54" t="s">
        <v>2815</v>
      </c>
      <c r="AD518" s="54" t="s">
        <v>2816</v>
      </c>
      <c r="AE518" s="499">
        <v>21693.0</v>
      </c>
      <c r="AF518" s="376">
        <v>37.0</v>
      </c>
      <c r="AG518" s="376">
        <v>0.853</v>
      </c>
      <c r="AH518" s="336" t="s">
        <v>132</v>
      </c>
      <c r="AI518" s="54" t="s">
        <v>2817</v>
      </c>
      <c r="AJ518" s="376">
        <v>0.001</v>
      </c>
      <c r="AK518" s="156" t="s">
        <v>128</v>
      </c>
      <c r="AL518" s="54" t="s">
        <v>179</v>
      </c>
      <c r="AM518" s="58" t="s">
        <v>130</v>
      </c>
      <c r="AN518" s="216" t="s">
        <v>131</v>
      </c>
      <c r="AO518" s="376">
        <v>37.0</v>
      </c>
      <c r="AP518" s="376">
        <v>0.739</v>
      </c>
      <c r="AQ518" s="54" t="s">
        <v>132</v>
      </c>
      <c r="AR518" s="54" t="s">
        <v>2817</v>
      </c>
      <c r="AS518" s="376">
        <v>0.001</v>
      </c>
      <c r="AT518" s="156" t="s">
        <v>128</v>
      </c>
      <c r="AU518" s="156" t="s">
        <v>179</v>
      </c>
      <c r="AW518" s="65"/>
      <c r="AX518" s="65"/>
      <c r="AY518" s="58"/>
    </row>
    <row r="519" ht="20.25" customHeight="1">
      <c r="A519" s="41">
        <v>519.0</v>
      </c>
      <c r="B519" s="59" t="s">
        <v>278</v>
      </c>
      <c r="C519" s="59" t="s">
        <v>108</v>
      </c>
      <c r="D519" s="59" t="s">
        <v>1227</v>
      </c>
      <c r="F519" s="65" t="s">
        <v>2806</v>
      </c>
      <c r="G519" s="54" t="s">
        <v>2818</v>
      </c>
      <c r="H519" s="58"/>
      <c r="I519" s="859"/>
      <c r="J519" s="769"/>
      <c r="K519" s="58"/>
      <c r="L519" s="58"/>
      <c r="M519" s="54" t="s">
        <v>2819</v>
      </c>
      <c r="N519" s="54" t="s">
        <v>2820</v>
      </c>
      <c r="O519" s="376">
        <v>2.0</v>
      </c>
      <c r="P519" s="374" t="s">
        <v>2810</v>
      </c>
      <c r="Q519" s="49" t="str">
        <f t="array" ref="Q519"> if(iserror(MATCH(V519, 'File Links'!C:C, 0)), "N/A", HYPERLINK(INDEX('File Links'!B:B, MATCH(P519, 'File Links'!C:C, 0))))</f>
        <v>https://drive.google.com/file/d/1U7jcEsjlgt0luv4Qd8Q7JmbBb7qRDTdD/view?usp=drivesdk</v>
      </c>
      <c r="R519" s="54" t="s">
        <v>2811</v>
      </c>
      <c r="S519" s="54" t="s">
        <v>2812</v>
      </c>
      <c r="U519" s="706">
        <v>1.0</v>
      </c>
      <c r="V519" s="195" t="str">
        <f t="shared" si="25"/>
        <v>10.1038--s41598-024-63724-2.pdf</v>
      </c>
      <c r="W519" s="54" t="s">
        <v>2813</v>
      </c>
      <c r="X519" s="51" t="str">
        <f t="array" ref="X519"> if(iserror(MATCH(V519, 'File Links'!C:C, 0)), "N/A", HYPERLINK(INDEX('File Links'!B:B, MATCH(V519, 'File Links'!C:C, 0))))</f>
        <v>https://drive.google.com/file/d/10CU4FiXsOc216jLudNBinSLadjKnYzKg/view?usp=drivesdk</v>
      </c>
      <c r="Y519" s="54"/>
      <c r="Z519" s="54" t="s">
        <v>219</v>
      </c>
      <c r="AB519" s="54" t="s">
        <v>2814</v>
      </c>
      <c r="AC519" s="54" t="s">
        <v>2815</v>
      </c>
      <c r="AE519" s="499">
        <v>21693.0</v>
      </c>
      <c r="AF519" s="376">
        <v>37.0</v>
      </c>
      <c r="AG519" s="376">
        <v>0.355</v>
      </c>
      <c r="AH519" s="336" t="s">
        <v>132</v>
      </c>
      <c r="AI519" s="54" t="s">
        <v>2817</v>
      </c>
      <c r="AJ519" s="376">
        <v>0.001</v>
      </c>
      <c r="AK519" s="156" t="s">
        <v>128</v>
      </c>
      <c r="AL519" s="54" t="s">
        <v>179</v>
      </c>
      <c r="AM519" s="58" t="s">
        <v>130</v>
      </c>
      <c r="AN519" s="216" t="s">
        <v>131</v>
      </c>
      <c r="AO519" s="376">
        <v>37.0</v>
      </c>
      <c r="AP519" s="376">
        <v>0.284</v>
      </c>
      <c r="AQ519" s="54" t="s">
        <v>132</v>
      </c>
      <c r="AR519" s="54" t="s">
        <v>2817</v>
      </c>
      <c r="AS519" s="376">
        <v>0.001</v>
      </c>
      <c r="AT519" s="156" t="s">
        <v>128</v>
      </c>
      <c r="AU519" s="156" t="s">
        <v>179</v>
      </c>
      <c r="AW519" s="65"/>
      <c r="AX519" s="65"/>
      <c r="AY519" s="58"/>
    </row>
    <row r="520" ht="20.25" customHeight="1">
      <c r="A520" s="41">
        <v>520.0</v>
      </c>
      <c r="B520" s="59" t="s">
        <v>278</v>
      </c>
      <c r="C520" s="59" t="s">
        <v>108</v>
      </c>
      <c r="D520" s="59" t="s">
        <v>1227</v>
      </c>
      <c r="F520" s="65" t="s">
        <v>2806</v>
      </c>
      <c r="G520" s="54" t="s">
        <v>2821</v>
      </c>
      <c r="H520" s="58"/>
      <c r="I520" s="859"/>
      <c r="J520" s="769"/>
      <c r="K520" s="58"/>
      <c r="L520" s="58"/>
      <c r="M520" s="54" t="s">
        <v>2822</v>
      </c>
      <c r="N520" s="54" t="s">
        <v>2823</v>
      </c>
      <c r="O520" s="376">
        <v>2.0</v>
      </c>
      <c r="P520" s="374" t="s">
        <v>2810</v>
      </c>
      <c r="Q520" s="49" t="str">
        <f t="array" ref="Q520"> if(iserror(MATCH(V520, 'File Links'!C:C, 0)), "N/A", HYPERLINK(INDEX('File Links'!B:B, MATCH(P520, 'File Links'!C:C, 0))))</f>
        <v>https://drive.google.com/file/d/1U7jcEsjlgt0luv4Qd8Q7JmbBb7qRDTdD/view?usp=drivesdk</v>
      </c>
      <c r="R520" s="54" t="s">
        <v>2811</v>
      </c>
      <c r="S520" s="54" t="s">
        <v>2812</v>
      </c>
      <c r="U520" s="706">
        <v>1.0</v>
      </c>
      <c r="V520" s="195" t="str">
        <f t="shared" si="25"/>
        <v>10.1038--s41598-024-63724-2.pdf</v>
      </c>
      <c r="W520" s="54" t="s">
        <v>2813</v>
      </c>
      <c r="X520" s="51" t="str">
        <f t="array" ref="X520"> if(iserror(MATCH(V520, 'File Links'!C:C, 0)), "N/A", HYPERLINK(INDEX('File Links'!B:B, MATCH(V520, 'File Links'!C:C, 0))))</f>
        <v>https://drive.google.com/file/d/10CU4FiXsOc216jLudNBinSLadjKnYzKg/view?usp=drivesdk</v>
      </c>
      <c r="Y520" s="54"/>
      <c r="Z520" s="54" t="s">
        <v>219</v>
      </c>
      <c r="AB520" s="54" t="s">
        <v>2814</v>
      </c>
      <c r="AC520" s="54" t="s">
        <v>2815</v>
      </c>
      <c r="AD520" s="54" t="s">
        <v>2824</v>
      </c>
      <c r="AE520" s="499">
        <v>21693.0</v>
      </c>
      <c r="AF520" s="376">
        <v>37.0</v>
      </c>
      <c r="AG520" s="376">
        <v>0.201</v>
      </c>
      <c r="AH520" s="336" t="s">
        <v>132</v>
      </c>
      <c r="AI520" s="54" t="s">
        <v>2817</v>
      </c>
      <c r="AJ520" s="376">
        <v>0.001</v>
      </c>
      <c r="AK520" s="156" t="s">
        <v>128</v>
      </c>
      <c r="AL520" s="54" t="s">
        <v>179</v>
      </c>
      <c r="AM520" s="58" t="s">
        <v>130</v>
      </c>
      <c r="AN520" s="216" t="s">
        <v>131</v>
      </c>
      <c r="AO520" s="376">
        <v>37.0</v>
      </c>
      <c r="AP520" s="376">
        <v>0.136</v>
      </c>
      <c r="AQ520" s="54" t="s">
        <v>132</v>
      </c>
      <c r="AR520" s="54" t="s">
        <v>2817</v>
      </c>
      <c r="AS520" s="376">
        <v>0.002</v>
      </c>
      <c r="AT520" s="156" t="s">
        <v>165</v>
      </c>
      <c r="AU520" s="156" t="s">
        <v>179</v>
      </c>
      <c r="AW520" s="65"/>
      <c r="AX520" s="65"/>
      <c r="AY520" s="58"/>
    </row>
    <row r="521" ht="20.25" customHeight="1">
      <c r="A521" s="41">
        <v>521.0</v>
      </c>
      <c r="B521" s="59" t="s">
        <v>278</v>
      </c>
      <c r="C521" s="59" t="s">
        <v>108</v>
      </c>
      <c r="D521" s="59" t="s">
        <v>1227</v>
      </c>
      <c r="F521" s="65" t="s">
        <v>2825</v>
      </c>
      <c r="G521" s="54" t="s">
        <v>2826</v>
      </c>
      <c r="H521" s="54" t="s">
        <v>1230</v>
      </c>
      <c r="I521" s="149">
        <v>45472.0</v>
      </c>
      <c r="J521" s="431">
        <v>45641.0</v>
      </c>
      <c r="K521" s="58"/>
      <c r="L521" s="58"/>
      <c r="M521" s="54" t="s">
        <v>2827</v>
      </c>
      <c r="N521" s="54" t="s">
        <v>2828</v>
      </c>
      <c r="O521" s="376">
        <v>3.0</v>
      </c>
      <c r="P521" s="374" t="s">
        <v>2829</v>
      </c>
      <c r="Q521" s="105" t="str">
        <f t="array" ref="Q521"> if(iserror(MATCH(V521, 'File Links'!C:C, 0)), "N/A", HYPERLINK(INDEX('File Links'!B:B, MATCH(P521, 'File Links'!C:C, 0))))</f>
        <v>N/A</v>
      </c>
      <c r="R521" s="54" t="s">
        <v>2830</v>
      </c>
      <c r="S521" s="54" t="s">
        <v>131</v>
      </c>
      <c r="T521" s="590" t="s">
        <v>2831</v>
      </c>
      <c r="U521" s="860">
        <v>3.0</v>
      </c>
      <c r="V521" s="195" t="str">
        <f t="shared" si="25"/>
        <v>na.pdf</v>
      </c>
      <c r="W521" s="54" t="s">
        <v>2832</v>
      </c>
      <c r="X521" s="46" t="str">
        <f t="array" ref="X521"> if(iserror(MATCH(V521, 'File Links'!C:C, 0)), "N/A", HYPERLINK(INDEX('File Links'!B:B, MATCH(V521, 'File Links'!C:C, 0))))</f>
        <v>N/A</v>
      </c>
      <c r="Y521" s="54"/>
      <c r="Z521" s="54" t="s">
        <v>219</v>
      </c>
      <c r="AB521" s="54" t="s">
        <v>2833</v>
      </c>
      <c r="AC521" s="54" t="s">
        <v>2834</v>
      </c>
      <c r="AE521" s="499">
        <v>403.0</v>
      </c>
      <c r="AF521" s="861">
        <v>1232.0</v>
      </c>
      <c r="AG521" s="58"/>
      <c r="AH521" s="335"/>
      <c r="AI521" s="58"/>
      <c r="AJ521" s="58"/>
      <c r="AK521" s="65"/>
      <c r="AL521" s="58"/>
      <c r="AM521" s="58"/>
      <c r="AN521" s="216" t="s">
        <v>131</v>
      </c>
      <c r="AO521" s="58"/>
      <c r="AP521" s="58"/>
      <c r="AQ521" s="58"/>
      <c r="AR521" s="58"/>
      <c r="AS521" s="58"/>
      <c r="AT521" s="65"/>
      <c r="AU521" s="65"/>
      <c r="AV521" s="65"/>
      <c r="AW521" s="65"/>
      <c r="AX521" s="65"/>
      <c r="AY521" s="58"/>
    </row>
    <row r="522" ht="20.25" customHeight="1">
      <c r="A522" s="41">
        <v>522.0</v>
      </c>
      <c r="B522" s="42" t="s">
        <v>278</v>
      </c>
      <c r="C522" s="42" t="s">
        <v>108</v>
      </c>
      <c r="D522" s="42" t="s">
        <v>241</v>
      </c>
      <c r="E522" s="62"/>
      <c r="F522" s="59" t="s">
        <v>2835</v>
      </c>
      <c r="G522" s="42" t="s">
        <v>2836</v>
      </c>
      <c r="H522" s="42" t="s">
        <v>242</v>
      </c>
      <c r="I522" s="60">
        <v>45427.0</v>
      </c>
      <c r="J522" s="61">
        <v>45625.0</v>
      </c>
      <c r="K522" s="42" t="s">
        <v>2837</v>
      </c>
      <c r="L522" s="62"/>
      <c r="M522" s="42" t="s">
        <v>2838</v>
      </c>
      <c r="N522" s="42" t="s">
        <v>2839</v>
      </c>
      <c r="O522" s="62"/>
      <c r="P522" s="115" t="str">
        <f> hyperlink(vlookup(lower(N522),'File Links'!A:B, 2, FALSE), SUBSTITUTE(lower(N522), "/", "--") &amp;  ".pdf")</f>
        <v>10.3233--jad-2009-1163.pdf</v>
      </c>
      <c r="Q522" s="49" t="str">
        <f t="array" ref="Q522"> if(iserror(MATCH(V522, 'File Links'!C:C, 0)), "N/A", HYPERLINK(INDEX('File Links'!B:B, MATCH(P522, 'File Links'!C:C, 0))))</f>
        <v>https://drive.google.com/file/d/10IpKBTm-TxBYPtbdDzTDyVDz6z5jT5CF/view?usp=drivesdk</v>
      </c>
      <c r="R522" s="42" t="s">
        <v>2840</v>
      </c>
      <c r="S522" s="42" t="s">
        <v>2841</v>
      </c>
      <c r="T522" s="62"/>
      <c r="U522" s="62"/>
      <c r="V522" s="195" t="str">
        <f t="shared" si="25"/>
        <v>10.1371--journal.pone.0292576.pdf</v>
      </c>
      <c r="W522" s="62"/>
      <c r="X522" s="51" t="str">
        <f t="array" ref="X522"> if(iserror(MATCH(V522, 'File Links'!C:C, 0)), "N/A", HYPERLINK(INDEX('File Links'!B:B, MATCH(V522, 'File Links'!C:C, 0))))</f>
        <v>https://drive.google.com/file/d/1ldrzAt88fRJBOsSbplqW2NG4M3-xxKlP/view?usp=drivesdk</v>
      </c>
      <c r="Y522" s="62"/>
      <c r="Z522" s="42" t="s">
        <v>496</v>
      </c>
      <c r="AA522" s="62"/>
      <c r="AB522" s="42" t="s">
        <v>2842</v>
      </c>
      <c r="AC522" s="42" t="s">
        <v>2843</v>
      </c>
      <c r="AD522" s="42" t="s">
        <v>2844</v>
      </c>
      <c r="AE522" s="42">
        <v>556.0</v>
      </c>
      <c r="AF522" s="42">
        <v>53.0</v>
      </c>
      <c r="AG522" s="411">
        <v>621.0</v>
      </c>
      <c r="AH522" s="42" t="s">
        <v>166</v>
      </c>
      <c r="AI522" s="42" t="s">
        <v>2845</v>
      </c>
      <c r="AJ522" s="42">
        <v>0.047</v>
      </c>
      <c r="AK522" s="42" t="s">
        <v>165</v>
      </c>
      <c r="AL522" s="42" t="s">
        <v>179</v>
      </c>
      <c r="AM522" s="64"/>
      <c r="AN522" s="216" t="s">
        <v>131</v>
      </c>
      <c r="AO522" s="42">
        <v>116.0</v>
      </c>
      <c r="AP522" s="42">
        <v>1.51</v>
      </c>
      <c r="AQ522" s="42" t="s">
        <v>1024</v>
      </c>
      <c r="AR522" s="62"/>
      <c r="AS522" s="42" t="s">
        <v>2846</v>
      </c>
      <c r="AT522" s="42" t="s">
        <v>165</v>
      </c>
      <c r="AU522" s="42" t="s">
        <v>179</v>
      </c>
      <c r="AV522" s="64"/>
      <c r="AX522" s="65"/>
      <c r="AY522" s="62"/>
    </row>
    <row r="523" ht="20.25" customHeight="1">
      <c r="A523" s="41">
        <v>523.0</v>
      </c>
      <c r="B523" s="42" t="s">
        <v>278</v>
      </c>
      <c r="C523" s="42" t="s">
        <v>108</v>
      </c>
      <c r="D523" s="42" t="s">
        <v>241</v>
      </c>
      <c r="E523" s="62"/>
      <c r="F523" s="59" t="s">
        <v>2835</v>
      </c>
      <c r="G523" s="42" t="s">
        <v>2847</v>
      </c>
      <c r="H523" s="42" t="s">
        <v>242</v>
      </c>
      <c r="I523" s="60">
        <v>45427.0</v>
      </c>
      <c r="J523" s="61">
        <v>45625.0</v>
      </c>
      <c r="K523" s="42" t="s">
        <v>2848</v>
      </c>
      <c r="L523" s="62"/>
      <c r="M523" s="42" t="s">
        <v>2838</v>
      </c>
      <c r="N523" s="42" t="s">
        <v>2839</v>
      </c>
      <c r="O523" s="62"/>
      <c r="P523" s="115" t="str">
        <f> hyperlink(vlookup(lower(N523),'File Links'!A:B, 2, FALSE), SUBSTITUTE(lower(N523), "/", "--") &amp;  ".pdf")</f>
        <v>10.3233--jad-2009-1163.pdf</v>
      </c>
      <c r="Q523" s="49" t="str">
        <f t="array" ref="Q523"> if(iserror(MATCH(V523, 'File Links'!C:C, 0)), "N/A", HYPERLINK(INDEX('File Links'!B:B, MATCH(P523, 'File Links'!C:C, 0))))</f>
        <v>https://drive.google.com/file/d/10IpKBTm-TxBYPtbdDzTDyVDz6z5jT5CF/view?usp=drivesdk</v>
      </c>
      <c r="R523" s="42" t="s">
        <v>2840</v>
      </c>
      <c r="S523" s="42" t="s">
        <v>2841</v>
      </c>
      <c r="T523" s="62"/>
      <c r="U523" s="62"/>
      <c r="V523" s="195" t="str">
        <f t="shared" si="25"/>
        <v>10.1371--journal.pone.0292576.pdf</v>
      </c>
      <c r="W523" s="62"/>
      <c r="X523" s="51" t="str">
        <f t="array" ref="X523"> if(iserror(MATCH(V523, 'File Links'!C:C, 0)), "N/A", HYPERLINK(INDEX('File Links'!B:B, MATCH(V523, 'File Links'!C:C, 0))))</f>
        <v>https://drive.google.com/file/d/1ldrzAt88fRJBOsSbplqW2NG4M3-xxKlP/view?usp=drivesdk</v>
      </c>
      <c r="Y523" s="62"/>
      <c r="Z523" s="42" t="s">
        <v>496</v>
      </c>
      <c r="AA523" s="62"/>
      <c r="AB523" s="42" t="s">
        <v>2849</v>
      </c>
      <c r="AC523" s="42" t="s">
        <v>2843</v>
      </c>
      <c r="AD523" s="42" t="s">
        <v>2850</v>
      </c>
      <c r="AE523" s="42">
        <v>556.0</v>
      </c>
      <c r="AF523" s="42">
        <v>53.0</v>
      </c>
      <c r="AG523" s="42">
        <v>3.23</v>
      </c>
      <c r="AH523" s="42" t="s">
        <v>166</v>
      </c>
      <c r="AI523" s="42" t="s">
        <v>2851</v>
      </c>
      <c r="AJ523" s="42">
        <v>0.001</v>
      </c>
      <c r="AK523" s="42" t="s">
        <v>128</v>
      </c>
      <c r="AL523" s="42" t="s">
        <v>179</v>
      </c>
      <c r="AM523" s="64"/>
      <c r="AN523" s="216" t="s">
        <v>131</v>
      </c>
      <c r="AO523" s="42">
        <v>116.0</v>
      </c>
      <c r="AP523" s="62"/>
      <c r="AQ523" s="62"/>
      <c r="AR523" s="62"/>
      <c r="AS523" s="42" t="s">
        <v>2852</v>
      </c>
      <c r="AT523" s="42" t="s">
        <v>328</v>
      </c>
      <c r="AU523" s="42" t="s">
        <v>179</v>
      </c>
      <c r="AV523" s="64"/>
      <c r="AX523" s="65"/>
      <c r="AY523" s="62"/>
      <c r="BA523" s="69"/>
      <c r="BB523" s="69"/>
      <c r="BC523" s="69"/>
      <c r="BD523" s="69"/>
      <c r="BE523" s="69"/>
      <c r="BF523" s="69"/>
      <c r="BG523" s="69"/>
      <c r="BH523" s="69"/>
      <c r="BI523" s="69"/>
      <c r="BJ523" s="69"/>
      <c r="BK523" s="69"/>
      <c r="BL523" s="69"/>
      <c r="BM523" s="69"/>
      <c r="BN523" s="69"/>
      <c r="BO523" s="69"/>
      <c r="BP523" s="69"/>
      <c r="BQ523" s="69"/>
      <c r="BR523" s="69"/>
      <c r="BS523" s="69"/>
      <c r="BT523" s="69"/>
      <c r="BU523" s="69"/>
      <c r="BV523" s="69"/>
      <c r="BW523" s="69"/>
      <c r="BX523" s="69"/>
      <c r="BY523" s="69"/>
      <c r="BZ523" s="69"/>
      <c r="CA523" s="69"/>
      <c r="CB523" s="69"/>
      <c r="CC523" s="69"/>
      <c r="CD523" s="69"/>
      <c r="CE523" s="69"/>
      <c r="CF523" s="69"/>
      <c r="CG523" s="69"/>
      <c r="CH523" s="69"/>
      <c r="CI523" s="69"/>
      <c r="CJ523" s="69"/>
      <c r="CK523" s="69"/>
      <c r="CL523" s="69"/>
      <c r="CM523" s="69"/>
      <c r="CN523" s="69"/>
      <c r="CO523" s="69"/>
      <c r="CP523" s="69"/>
      <c r="CQ523" s="69"/>
      <c r="CR523" s="69"/>
      <c r="CS523" s="69"/>
      <c r="CT523" s="69"/>
      <c r="CU523" s="69"/>
      <c r="CV523" s="69"/>
      <c r="CW523" s="69"/>
      <c r="CX523" s="69"/>
      <c r="CY523" s="69"/>
      <c r="CZ523" s="69"/>
      <c r="DA523" s="69"/>
      <c r="DB523" s="69"/>
      <c r="DC523" s="69"/>
      <c r="DD523" s="69"/>
      <c r="DE523" s="69"/>
      <c r="DF523" s="69"/>
      <c r="DG523" s="69"/>
      <c r="DH523" s="69"/>
    </row>
    <row r="524" ht="20.25" customHeight="1">
      <c r="A524" s="41">
        <v>524.0</v>
      </c>
      <c r="B524" s="42" t="s">
        <v>278</v>
      </c>
      <c r="C524" s="42" t="s">
        <v>108</v>
      </c>
      <c r="D524" s="42" t="s">
        <v>241</v>
      </c>
      <c r="E524" s="62"/>
      <c r="F524" s="59" t="s">
        <v>2835</v>
      </c>
      <c r="G524" s="42" t="s">
        <v>2853</v>
      </c>
      <c r="H524" s="42" t="s">
        <v>242</v>
      </c>
      <c r="I524" s="60">
        <v>45427.0</v>
      </c>
      <c r="J524" s="61">
        <v>45625.0</v>
      </c>
      <c r="K524" s="42" t="s">
        <v>2854</v>
      </c>
      <c r="L524" s="62"/>
      <c r="M524" s="42" t="s">
        <v>2838</v>
      </c>
      <c r="N524" s="42" t="s">
        <v>2839</v>
      </c>
      <c r="O524" s="62"/>
      <c r="P524" s="115" t="str">
        <f> hyperlink(vlookup(lower(N524),'File Links'!A:B, 2, FALSE), SUBSTITUTE(lower(N524), "/", "--") &amp;  ".pdf")</f>
        <v>10.3233--jad-2009-1163.pdf</v>
      </c>
      <c r="Q524" s="49" t="str">
        <f t="array" ref="Q524"> if(iserror(MATCH(V524, 'File Links'!C:C, 0)), "N/A", HYPERLINK(INDEX('File Links'!B:B, MATCH(P524, 'File Links'!C:C, 0))))</f>
        <v>https://drive.google.com/file/d/10IpKBTm-TxBYPtbdDzTDyVDz6z5jT5CF/view?usp=drivesdk</v>
      </c>
      <c r="R524" s="42" t="s">
        <v>2840</v>
      </c>
      <c r="S524" s="42" t="s">
        <v>2841</v>
      </c>
      <c r="T524" s="62"/>
      <c r="U524" s="62"/>
      <c r="V524" s="195" t="str">
        <f t="shared" si="25"/>
        <v>10.1371--journal.pone.0292576.pdf</v>
      </c>
      <c r="W524" s="62"/>
      <c r="X524" s="51" t="str">
        <f t="array" ref="X524"> if(iserror(MATCH(V524, 'File Links'!C:C, 0)), "N/A", HYPERLINK(INDEX('File Links'!B:B, MATCH(V524, 'File Links'!C:C, 0))))</f>
        <v>https://drive.google.com/file/d/1ldrzAt88fRJBOsSbplqW2NG4M3-xxKlP/view?usp=drivesdk</v>
      </c>
      <c r="Y524" s="62"/>
      <c r="Z524" s="42" t="s">
        <v>496</v>
      </c>
      <c r="AA524" s="62"/>
      <c r="AB524" s="42" t="s">
        <v>2855</v>
      </c>
      <c r="AC524" s="42" t="s">
        <v>2843</v>
      </c>
      <c r="AD524" s="42" t="s">
        <v>2856</v>
      </c>
      <c r="AE524" s="42">
        <v>557.0</v>
      </c>
      <c r="AF524" s="42">
        <v>53.0</v>
      </c>
      <c r="AG524" s="62"/>
      <c r="AH524" s="62"/>
      <c r="AI524" s="42" t="s">
        <v>2857</v>
      </c>
      <c r="AJ524" s="42">
        <v>0.05</v>
      </c>
      <c r="AK524" s="42" t="s">
        <v>328</v>
      </c>
      <c r="AL524" s="42" t="s">
        <v>179</v>
      </c>
      <c r="AM524" s="64"/>
      <c r="AN524" s="216" t="s">
        <v>131</v>
      </c>
      <c r="AO524" s="42">
        <v>116.0</v>
      </c>
      <c r="AP524" s="62"/>
      <c r="AQ524" s="62"/>
      <c r="AR524" s="62"/>
      <c r="AS524" s="42" t="s">
        <v>2852</v>
      </c>
      <c r="AT524" s="42" t="s">
        <v>328</v>
      </c>
      <c r="AU524" s="42" t="s">
        <v>179</v>
      </c>
      <c r="AV524" s="64"/>
      <c r="AX524" s="65"/>
      <c r="AY524" s="62"/>
      <c r="BA524" s="69"/>
      <c r="BB524" s="69"/>
      <c r="BC524" s="69"/>
      <c r="BD524" s="69"/>
      <c r="BE524" s="69"/>
      <c r="BF524" s="69"/>
      <c r="BG524" s="69"/>
      <c r="BH524" s="69"/>
      <c r="BI524" s="69"/>
      <c r="BJ524" s="69"/>
      <c r="BK524" s="69"/>
      <c r="BL524" s="69"/>
      <c r="BM524" s="69"/>
      <c r="BN524" s="69"/>
      <c r="BO524" s="69"/>
      <c r="BP524" s="69"/>
      <c r="BQ524" s="69"/>
      <c r="BR524" s="69"/>
      <c r="BS524" s="69"/>
      <c r="BT524" s="69"/>
      <c r="BU524" s="69"/>
      <c r="BV524" s="69"/>
      <c r="BW524" s="69"/>
      <c r="BX524" s="69"/>
      <c r="BY524" s="69"/>
      <c r="BZ524" s="69"/>
      <c r="CA524" s="69"/>
      <c r="CB524" s="69"/>
      <c r="CC524" s="69"/>
      <c r="CD524" s="69"/>
      <c r="CE524" s="69"/>
      <c r="CF524" s="69"/>
      <c r="CG524" s="69"/>
      <c r="CH524" s="69"/>
      <c r="CI524" s="69"/>
      <c r="CJ524" s="69"/>
      <c r="CK524" s="69"/>
      <c r="CL524" s="69"/>
      <c r="CM524" s="69"/>
      <c r="CN524" s="69"/>
      <c r="CO524" s="69"/>
      <c r="CP524" s="69"/>
      <c r="CQ524" s="69"/>
      <c r="CR524" s="69"/>
      <c r="CS524" s="69"/>
      <c r="CT524" s="69"/>
      <c r="CU524" s="69"/>
      <c r="CV524" s="69"/>
      <c r="CW524" s="69"/>
      <c r="CX524" s="69"/>
      <c r="CY524" s="69"/>
      <c r="CZ524" s="69"/>
      <c r="DA524" s="69"/>
      <c r="DB524" s="69"/>
      <c r="DC524" s="69"/>
      <c r="DD524" s="69"/>
      <c r="DE524" s="69"/>
      <c r="DF524" s="69"/>
      <c r="DG524" s="69"/>
      <c r="DH524" s="69"/>
    </row>
    <row r="525" ht="20.25" customHeight="1">
      <c r="A525" s="41">
        <v>525.0</v>
      </c>
      <c r="B525" s="59" t="s">
        <v>278</v>
      </c>
      <c r="C525" s="59" t="s">
        <v>108</v>
      </c>
      <c r="D525" s="59" t="s">
        <v>2049</v>
      </c>
      <c r="F525" s="156" t="s">
        <v>2858</v>
      </c>
      <c r="G525" s="54" t="s">
        <v>2859</v>
      </c>
      <c r="H525" s="156" t="s">
        <v>2052</v>
      </c>
      <c r="I525" s="149">
        <v>45473.0</v>
      </c>
      <c r="J525" s="149">
        <v>45633.0</v>
      </c>
      <c r="K525" s="156" t="s">
        <v>2860</v>
      </c>
      <c r="L525" s="65"/>
      <c r="M525" s="156" t="s">
        <v>2861</v>
      </c>
      <c r="N525" s="156" t="s">
        <v>2862</v>
      </c>
      <c r="O525" s="156" t="s">
        <v>2863</v>
      </c>
      <c r="P525" s="379" t="s">
        <v>2864</v>
      </c>
      <c r="Q525" s="49" t="str">
        <f t="array" ref="Q525"> if(iserror(MATCH(V525, 'File Links'!C:C, 0)), "N/A", HYPERLINK(INDEX('File Links'!B:B, MATCH(P525, 'File Links'!C:C, 0))))</f>
        <v>https://drive.google.com/file/d/1jpKVfN7bQV2qYmB0hMMFd61i7NfLKBWv/view?usp=drivesdk</v>
      </c>
      <c r="R525" s="156" t="s">
        <v>2865</v>
      </c>
      <c r="S525" s="156" t="s">
        <v>2866</v>
      </c>
      <c r="T525" s="65"/>
      <c r="U525" s="156" t="s">
        <v>2863</v>
      </c>
      <c r="V525" s="195" t="str">
        <f t="shared" si="25"/>
        <v>10.1080--15614263.2022.2102494.pdf</v>
      </c>
      <c r="W525" s="156" t="s">
        <v>2867</v>
      </c>
      <c r="X525" s="51" t="str">
        <f t="array" ref="X525"> if(iserror(MATCH(V525, 'File Links'!C:C, 0)), "N/A", HYPERLINK(INDEX('File Links'!B:B, MATCH(V525, 'File Links'!C:C, 0))))</f>
        <v>https://drive.google.com/file/d/1fq5OO2numDQgQa5kWKk3UimuJGG6cyLq/view?usp=drivesdk</v>
      </c>
      <c r="Y525" s="65"/>
      <c r="Z525" s="156" t="s">
        <v>121</v>
      </c>
      <c r="AA525" s="156" t="s">
        <v>2863</v>
      </c>
      <c r="AB525" s="156" t="s">
        <v>2868</v>
      </c>
      <c r="AC525" s="156" t="s">
        <v>2869</v>
      </c>
      <c r="AD525" s="156" t="s">
        <v>2870</v>
      </c>
      <c r="AE525" s="156" t="s">
        <v>2764</v>
      </c>
      <c r="AF525" s="861">
        <v>1065444.0</v>
      </c>
      <c r="AG525" s="336" t="s">
        <v>2863</v>
      </c>
      <c r="AH525" s="164" t="s">
        <v>131</v>
      </c>
      <c r="AI525" s="54" t="s">
        <v>2863</v>
      </c>
      <c r="AJ525" s="148" t="s">
        <v>131</v>
      </c>
      <c r="AK525" s="58"/>
      <c r="AL525" s="65"/>
      <c r="AM525" s="65"/>
      <c r="AN525" s="216" t="s">
        <v>131</v>
      </c>
      <c r="AO525" s="861">
        <v>258786.0</v>
      </c>
      <c r="AP525" s="156" t="s">
        <v>2863</v>
      </c>
      <c r="AQ525" s="65"/>
      <c r="AR525" s="156" t="s">
        <v>2863</v>
      </c>
      <c r="AS525" s="156" t="s">
        <v>2863</v>
      </c>
      <c r="AT525" s="65"/>
      <c r="AU525" s="65"/>
      <c r="AV525" s="65"/>
      <c r="AW525" s="65" t="s">
        <v>2863</v>
      </c>
      <c r="AX525" s="65" t="s">
        <v>144</v>
      </c>
      <c r="AY525" s="65"/>
      <c r="BA525" s="69"/>
      <c r="BB525" s="69"/>
      <c r="BC525" s="69"/>
      <c r="BD525" s="69"/>
      <c r="BE525" s="69"/>
      <c r="BF525" s="69"/>
      <c r="BG525" s="69"/>
      <c r="BH525" s="69"/>
      <c r="BI525" s="69"/>
      <c r="BJ525" s="69"/>
      <c r="BK525" s="69"/>
      <c r="BL525" s="69"/>
      <c r="BM525" s="69"/>
      <c r="BN525" s="69"/>
      <c r="BO525" s="69"/>
      <c r="BP525" s="69"/>
      <c r="BQ525" s="69"/>
      <c r="BR525" s="69"/>
      <c r="BS525" s="69"/>
      <c r="BT525" s="69"/>
      <c r="BU525" s="69"/>
      <c r="BV525" s="69"/>
      <c r="BW525" s="69"/>
      <c r="BX525" s="69"/>
      <c r="BY525" s="69"/>
      <c r="BZ525" s="69"/>
      <c r="CA525" s="69"/>
      <c r="CB525" s="69"/>
      <c r="CC525" s="69"/>
      <c r="CD525" s="69"/>
      <c r="CE525" s="69"/>
      <c r="CF525" s="69"/>
      <c r="CG525" s="69"/>
      <c r="CH525" s="69"/>
      <c r="CI525" s="69"/>
      <c r="CJ525" s="69"/>
      <c r="CK525" s="69"/>
      <c r="CL525" s="69"/>
      <c r="CM525" s="69"/>
      <c r="CN525" s="69"/>
      <c r="CO525" s="69"/>
      <c r="CP525" s="69"/>
      <c r="CQ525" s="69"/>
      <c r="CR525" s="69"/>
      <c r="CS525" s="69"/>
      <c r="CT525" s="69"/>
      <c r="CU525" s="69"/>
      <c r="CV525" s="69"/>
      <c r="CW525" s="69"/>
      <c r="CX525" s="69"/>
      <c r="CY525" s="69"/>
      <c r="CZ525" s="69"/>
      <c r="DA525" s="69"/>
      <c r="DB525" s="69"/>
      <c r="DC525" s="69"/>
      <c r="DD525" s="69"/>
      <c r="DE525" s="69"/>
      <c r="DF525" s="69"/>
      <c r="DG525" s="69"/>
      <c r="DH525" s="69"/>
    </row>
    <row r="526" ht="20.25" customHeight="1">
      <c r="A526" s="41">
        <v>526.0</v>
      </c>
      <c r="B526" s="126" t="s">
        <v>516</v>
      </c>
      <c r="C526" s="59" t="s">
        <v>108</v>
      </c>
      <c r="D526" s="59" t="s">
        <v>1263</v>
      </c>
      <c r="F526" s="156" t="s">
        <v>2858</v>
      </c>
      <c r="G526" s="156" t="s">
        <v>2859</v>
      </c>
      <c r="H526" s="156" t="s">
        <v>2871</v>
      </c>
      <c r="I526" s="149">
        <v>45473.0</v>
      </c>
      <c r="J526" s="149">
        <v>45681.0</v>
      </c>
      <c r="K526" s="156" t="s">
        <v>2872</v>
      </c>
      <c r="L526" s="65"/>
      <c r="M526" s="307" t="s">
        <v>2873</v>
      </c>
      <c r="N526" s="156" t="s">
        <v>2862</v>
      </c>
      <c r="O526" s="65"/>
      <c r="P526" s="156" t="str">
        <f>SUBSTITUTE(LOWER(N526), "/", "--") &amp;  ".pdf"</f>
        <v>10.1186--s40163-021-00141-0.pdf</v>
      </c>
      <c r="Q526" s="49" t="str">
        <f t="array" ref="Q526"> if(iserror(MATCH(V526, 'File Links'!C:C, 0)), "N/A", HYPERLINK(INDEX('File Links'!B:B, MATCH(P526, 'File Links'!C:C, 0))))</f>
        <v>https://drive.google.com/file/d/1jpKVfN7bQV2qYmB0hMMFd61i7NfLKBWv/view?usp=drivesdk</v>
      </c>
      <c r="R526" s="156" t="s">
        <v>2865</v>
      </c>
      <c r="S526" s="156" t="s">
        <v>2866</v>
      </c>
      <c r="T526" s="65"/>
      <c r="U526" s="65"/>
      <c r="V526" s="195" t="str">
        <f t="shared" si="25"/>
        <v>10.1080--15614263.2022.2102494.pdf</v>
      </c>
      <c r="W526" s="156" t="s">
        <v>1115</v>
      </c>
      <c r="X526" s="51" t="str">
        <f t="array" ref="X526"> if(iserror(MATCH(V526, 'File Links'!C:C, 0)), "N/A", HYPERLINK(INDEX('File Links'!B:B, MATCH(V526, 'File Links'!C:C, 0))))</f>
        <v>https://drive.google.com/file/d/1fq5OO2numDQgQa5kWKk3UimuJGG6cyLq/view?usp=drivesdk</v>
      </c>
      <c r="Y526" s="65"/>
      <c r="Z526" s="156" t="s">
        <v>121</v>
      </c>
      <c r="AA526" s="335"/>
      <c r="AB526" s="156" t="s">
        <v>2874</v>
      </c>
      <c r="AC526" s="65"/>
      <c r="AD526" s="156" t="s">
        <v>2875</v>
      </c>
      <c r="AE526" s="153">
        <v>2.0</v>
      </c>
      <c r="AF526" s="153">
        <v>1065444.0</v>
      </c>
      <c r="AG526" s="65"/>
      <c r="AH526" s="65"/>
      <c r="AI526" s="156" t="s">
        <v>868</v>
      </c>
      <c r="AJ526" s="156" t="s">
        <v>131</v>
      </c>
      <c r="AK526" s="65"/>
      <c r="AL526" s="65"/>
      <c r="AM526" s="65"/>
      <c r="AN526" s="216" t="s">
        <v>131</v>
      </c>
      <c r="AO526" s="153">
        <v>258786.0</v>
      </c>
      <c r="AP526" s="65"/>
      <c r="AQ526" s="65"/>
      <c r="AR526" s="65"/>
      <c r="AS526" s="65"/>
      <c r="AT526" s="65"/>
      <c r="AU526" s="65"/>
      <c r="AV526" s="65"/>
      <c r="AW526" s="65"/>
      <c r="AX526" s="65" t="s">
        <v>136</v>
      </c>
      <c r="BA526" s="69"/>
      <c r="BB526" s="69"/>
      <c r="BC526" s="69"/>
      <c r="BD526" s="69"/>
      <c r="BE526" s="69"/>
      <c r="BF526" s="69"/>
      <c r="BG526" s="69"/>
      <c r="BH526" s="69"/>
      <c r="BI526" s="69"/>
      <c r="BJ526" s="69"/>
      <c r="BK526" s="69"/>
      <c r="BL526" s="69"/>
      <c r="BM526" s="69"/>
      <c r="BN526" s="69"/>
      <c r="BO526" s="69"/>
      <c r="BP526" s="69"/>
      <c r="BQ526" s="69"/>
      <c r="BR526" s="69"/>
      <c r="BS526" s="69"/>
      <c r="BT526" s="69"/>
      <c r="BU526" s="69"/>
      <c r="BV526" s="69"/>
      <c r="BW526" s="69"/>
      <c r="BX526" s="69"/>
      <c r="BY526" s="69"/>
      <c r="BZ526" s="69"/>
      <c r="CA526" s="69"/>
      <c r="CB526" s="69"/>
      <c r="CC526" s="69"/>
      <c r="CD526" s="69"/>
      <c r="CE526" s="69"/>
      <c r="CF526" s="69"/>
      <c r="CG526" s="69"/>
      <c r="CH526" s="69"/>
      <c r="CI526" s="69"/>
      <c r="CJ526" s="69"/>
      <c r="CK526" s="69"/>
      <c r="CL526" s="69"/>
      <c r="CM526" s="69"/>
      <c r="CN526" s="69"/>
      <c r="CO526" s="69"/>
      <c r="CP526" s="69"/>
      <c r="CQ526" s="69"/>
      <c r="CR526" s="69"/>
      <c r="CS526" s="69"/>
      <c r="CT526" s="69"/>
      <c r="CU526" s="69"/>
      <c r="CV526" s="69"/>
      <c r="CW526" s="69"/>
      <c r="CX526" s="69"/>
      <c r="CY526" s="69"/>
      <c r="CZ526" s="69"/>
      <c r="DA526" s="69"/>
      <c r="DB526" s="69"/>
      <c r="DC526" s="69"/>
      <c r="DD526" s="69"/>
      <c r="DE526" s="69"/>
      <c r="DF526" s="69"/>
      <c r="DG526" s="69"/>
      <c r="DH526" s="69"/>
    </row>
    <row r="527" ht="20.25" customHeight="1">
      <c r="A527" s="41">
        <v>527.0</v>
      </c>
      <c r="B527" s="59" t="s">
        <v>278</v>
      </c>
      <c r="C527" s="59" t="s">
        <v>108</v>
      </c>
      <c r="D527" s="59" t="s">
        <v>2049</v>
      </c>
      <c r="F527" s="156" t="s">
        <v>2876</v>
      </c>
      <c r="G527" s="54" t="s">
        <v>2877</v>
      </c>
      <c r="H527" s="156" t="s">
        <v>2052</v>
      </c>
      <c r="I527" s="149">
        <v>45473.0</v>
      </c>
      <c r="J527" s="149">
        <v>45633.0</v>
      </c>
      <c r="K527" s="156" t="s">
        <v>2860</v>
      </c>
      <c r="L527" s="65"/>
      <c r="M527" s="156" t="s">
        <v>2878</v>
      </c>
      <c r="N527" s="156" t="s">
        <v>2879</v>
      </c>
      <c r="O527" s="156" t="s">
        <v>2863</v>
      </c>
      <c r="P527" s="379" t="s">
        <v>2880</v>
      </c>
      <c r="Q527" s="49" t="str">
        <f t="array" ref="Q527"> if(iserror(MATCH(V527, 'File Links'!C:C, 0)), "N/A", HYPERLINK(INDEX('File Links'!B:B, MATCH(P527, 'File Links'!C:C, 0))))</f>
        <v>https://drive.google.com/file/d/16pg9MWE7EmtXDgvjDW9mExWkGIxt2MYX/view?usp=drivesdk</v>
      </c>
      <c r="R527" s="156" t="s">
        <v>2865</v>
      </c>
      <c r="S527" s="156" t="s">
        <v>2866</v>
      </c>
      <c r="T527" s="65"/>
      <c r="U527" s="156" t="s">
        <v>2863</v>
      </c>
      <c r="V527" s="195" t="str">
        <f t="shared" si="25"/>
        <v>10.1080--15614263.2022.2102494.pdf</v>
      </c>
      <c r="W527" s="156" t="s">
        <v>2867</v>
      </c>
      <c r="X527" s="51" t="str">
        <f t="array" ref="X527"> if(iserror(MATCH(V527, 'File Links'!C:C, 0)), "N/A", HYPERLINK(INDEX('File Links'!B:B, MATCH(V527, 'File Links'!C:C, 0))))</f>
        <v>https://drive.google.com/file/d/1fq5OO2numDQgQa5kWKk3UimuJGG6cyLq/view?usp=drivesdk</v>
      </c>
      <c r="Y527" s="65"/>
      <c r="Z527" s="156" t="s">
        <v>121</v>
      </c>
      <c r="AA527" s="156" t="s">
        <v>2863</v>
      </c>
      <c r="AB527" s="156" t="s">
        <v>2868</v>
      </c>
      <c r="AC527" s="156" t="s">
        <v>2869</v>
      </c>
      <c r="AD527" s="156" t="s">
        <v>2881</v>
      </c>
      <c r="AE527" s="156" t="s">
        <v>2882</v>
      </c>
      <c r="AF527" s="861">
        <v>4300000.0</v>
      </c>
      <c r="AG527" s="156" t="s">
        <v>2863</v>
      </c>
      <c r="AH527" s="164" t="s">
        <v>131</v>
      </c>
      <c r="AI527" s="54" t="s">
        <v>2863</v>
      </c>
      <c r="AJ527" s="148" t="s">
        <v>131</v>
      </c>
      <c r="AK527" s="65"/>
      <c r="AL527" s="58"/>
      <c r="AM527" s="65"/>
      <c r="AN527" s="216" t="s">
        <v>131</v>
      </c>
      <c r="AO527" s="861">
        <v>258786.0</v>
      </c>
      <c r="AP527" s="156" t="s">
        <v>2863</v>
      </c>
      <c r="AQ527" s="65"/>
      <c r="AR527" s="156" t="s">
        <v>2863</v>
      </c>
      <c r="AS527" s="156" t="s">
        <v>2863</v>
      </c>
      <c r="AT527" s="65"/>
      <c r="AU527" s="65"/>
      <c r="AV527" s="65"/>
      <c r="AW527" s="65" t="s">
        <v>2863</v>
      </c>
      <c r="AX527" s="65" t="s">
        <v>144</v>
      </c>
      <c r="AY527" s="65"/>
      <c r="BA527" s="69"/>
      <c r="BB527" s="69"/>
      <c r="BC527" s="69"/>
      <c r="BD527" s="69"/>
      <c r="BE527" s="69"/>
      <c r="BF527" s="69"/>
      <c r="BG527" s="69"/>
      <c r="BH527" s="69"/>
      <c r="BI527" s="69"/>
      <c r="BJ527" s="69"/>
      <c r="BK527" s="69"/>
      <c r="BL527" s="69"/>
      <c r="BM527" s="69"/>
      <c r="BN527" s="69"/>
      <c r="BO527" s="69"/>
      <c r="BP527" s="69"/>
      <c r="BQ527" s="69"/>
      <c r="BR527" s="69"/>
      <c r="BS527" s="69"/>
      <c r="BT527" s="69"/>
      <c r="BU527" s="69"/>
      <c r="BV527" s="69"/>
      <c r="BW527" s="69"/>
      <c r="BX527" s="69"/>
      <c r="BY527" s="69"/>
      <c r="BZ527" s="69"/>
      <c r="CA527" s="69"/>
      <c r="CB527" s="69"/>
      <c r="CC527" s="69"/>
      <c r="CD527" s="69"/>
      <c r="CE527" s="69"/>
      <c r="CF527" s="69"/>
      <c r="CG527" s="69"/>
      <c r="CH527" s="69"/>
      <c r="CI527" s="69"/>
      <c r="CJ527" s="69"/>
      <c r="CK527" s="69"/>
      <c r="CL527" s="69"/>
      <c r="CM527" s="69"/>
      <c r="CN527" s="69"/>
      <c r="CO527" s="69"/>
      <c r="CP527" s="69"/>
      <c r="CQ527" s="69"/>
      <c r="CR527" s="69"/>
      <c r="CS527" s="69"/>
      <c r="CT527" s="69"/>
      <c r="CU527" s="69"/>
      <c r="CV527" s="69"/>
      <c r="CW527" s="69"/>
      <c r="CX527" s="69"/>
      <c r="CY527" s="69"/>
      <c r="CZ527" s="69"/>
      <c r="DA527" s="69"/>
      <c r="DB527" s="69"/>
      <c r="DC527" s="69"/>
      <c r="DD527" s="69"/>
      <c r="DE527" s="69"/>
      <c r="DF527" s="69"/>
      <c r="DG527" s="69"/>
      <c r="DH527" s="69"/>
    </row>
    <row r="528" ht="20.25" customHeight="1">
      <c r="A528" s="41">
        <v>528.0</v>
      </c>
      <c r="B528" s="126" t="s">
        <v>516</v>
      </c>
      <c r="C528" s="59" t="s">
        <v>108</v>
      </c>
      <c r="D528" s="59" t="s">
        <v>1263</v>
      </c>
      <c r="F528" s="156" t="s">
        <v>2876</v>
      </c>
      <c r="G528" s="156" t="s">
        <v>2877</v>
      </c>
      <c r="H528" s="156" t="s">
        <v>2060</v>
      </c>
      <c r="I528" s="149">
        <v>45473.0</v>
      </c>
      <c r="J528" s="149">
        <v>45681.0</v>
      </c>
      <c r="K528" s="65" t="s">
        <v>2872</v>
      </c>
      <c r="L528" s="65"/>
      <c r="M528" s="156" t="s">
        <v>2878</v>
      </c>
      <c r="N528" s="156" t="s">
        <v>2879</v>
      </c>
      <c r="O528" s="65"/>
      <c r="P528" s="156" t="str">
        <f>SUBSTITUTE(LOWER(N528), "/", "--") &amp;  ".pdf"</f>
        <v>10.1177--2f10986111211035002.pdf</v>
      </c>
      <c r="Q528" s="49" t="str">
        <f t="array" ref="Q528"> if(iserror(MATCH(V528, 'File Links'!C:C, 0)), "N/A", HYPERLINK(INDEX('File Links'!B:B, MATCH(P528, 'File Links'!C:C, 0))))</f>
        <v>https://drive.google.com/file/d/16pg9MWE7EmtXDgvjDW9mExWkGIxt2MYX/view?usp=drivesdk</v>
      </c>
      <c r="R528" s="156" t="s">
        <v>2865</v>
      </c>
      <c r="S528" s="156" t="s">
        <v>2866</v>
      </c>
      <c r="T528" s="65"/>
      <c r="U528" s="65"/>
      <c r="V528" s="195" t="str">
        <f t="shared" si="25"/>
        <v>10.1080--15614263.2022.2102494.pdf</v>
      </c>
      <c r="W528" s="156" t="s">
        <v>1115</v>
      </c>
      <c r="X528" s="51" t="str">
        <f t="array" ref="X528"> if(iserror(MATCH(V528, 'File Links'!C:C, 0)), "N/A", HYPERLINK(INDEX('File Links'!B:B, MATCH(V528, 'File Links'!C:C, 0))))</f>
        <v>https://drive.google.com/file/d/1fq5OO2numDQgQa5kWKk3UimuJGG6cyLq/view?usp=drivesdk</v>
      </c>
      <c r="Y528" s="65"/>
      <c r="Z528" s="156" t="s">
        <v>121</v>
      </c>
      <c r="AA528" s="65"/>
      <c r="AB528" s="156" t="s">
        <v>2883</v>
      </c>
      <c r="AC528" s="126"/>
      <c r="AD528" s="156" t="s">
        <v>2884</v>
      </c>
      <c r="AE528" s="156" t="s">
        <v>2885</v>
      </c>
      <c r="AF528" s="153">
        <v>4300000.0</v>
      </c>
      <c r="AG528" s="65"/>
      <c r="AH528" s="65"/>
      <c r="AI528" s="156" t="s">
        <v>2886</v>
      </c>
      <c r="AJ528" s="156" t="s">
        <v>131</v>
      </c>
      <c r="AK528" s="65"/>
      <c r="AL528" s="65"/>
      <c r="AM528" s="65"/>
      <c r="AN528" s="216" t="s">
        <v>131</v>
      </c>
      <c r="AO528" s="153">
        <v>258786.0</v>
      </c>
      <c r="AP528" s="65"/>
      <c r="AQ528" s="65"/>
      <c r="AR528" s="65"/>
      <c r="AS528" s="65"/>
      <c r="AT528" s="65"/>
      <c r="AU528" s="65"/>
      <c r="AV528" s="65"/>
      <c r="AW528" s="65"/>
      <c r="AX528" s="65" t="s">
        <v>136</v>
      </c>
      <c r="BA528" s="69"/>
      <c r="BB528" s="69"/>
      <c r="BC528" s="69"/>
      <c r="BD528" s="69"/>
      <c r="BE528" s="69"/>
      <c r="BF528" s="69"/>
      <c r="BG528" s="69"/>
      <c r="BH528" s="69"/>
      <c r="BI528" s="69"/>
      <c r="BJ528" s="69"/>
      <c r="BK528" s="69"/>
      <c r="BL528" s="69"/>
      <c r="BM528" s="69"/>
      <c r="BN528" s="69"/>
      <c r="BO528" s="69"/>
      <c r="BP528" s="69"/>
      <c r="BQ528" s="69"/>
      <c r="BR528" s="69"/>
      <c r="BS528" s="69"/>
      <c r="BT528" s="69"/>
      <c r="BU528" s="69"/>
      <c r="BV528" s="69"/>
      <c r="BW528" s="69"/>
      <c r="BX528" s="69"/>
      <c r="BY528" s="69"/>
      <c r="BZ528" s="69"/>
      <c r="CA528" s="69"/>
      <c r="CB528" s="69"/>
      <c r="CC528" s="69"/>
      <c r="CD528" s="69"/>
      <c r="CE528" s="69"/>
      <c r="CF528" s="69"/>
      <c r="CG528" s="69"/>
      <c r="CH528" s="69"/>
      <c r="CI528" s="69"/>
      <c r="CJ528" s="69"/>
      <c r="CK528" s="69"/>
      <c r="CL528" s="69"/>
      <c r="CM528" s="69"/>
      <c r="CN528" s="69"/>
      <c r="CO528" s="69"/>
      <c r="CP528" s="69"/>
      <c r="CQ528" s="69"/>
      <c r="CR528" s="69"/>
      <c r="CS528" s="69"/>
      <c r="CT528" s="69"/>
      <c r="CU528" s="69"/>
      <c r="CV528" s="69"/>
      <c r="CW528" s="69"/>
      <c r="CX528" s="69"/>
      <c r="CY528" s="69"/>
      <c r="CZ528" s="69"/>
      <c r="DA528" s="69"/>
      <c r="DB528" s="69"/>
      <c r="DC528" s="69"/>
      <c r="DD528" s="69"/>
      <c r="DE528" s="69"/>
      <c r="DF528" s="69"/>
      <c r="DG528" s="69"/>
      <c r="DH528" s="69"/>
    </row>
    <row r="529" ht="20.25" customHeight="1">
      <c r="A529" s="41">
        <v>529.0</v>
      </c>
      <c r="B529" s="59" t="s">
        <v>278</v>
      </c>
      <c r="C529" s="59" t="s">
        <v>108</v>
      </c>
      <c r="D529" s="59" t="s">
        <v>2049</v>
      </c>
      <c r="F529" s="65" t="s">
        <v>2887</v>
      </c>
      <c r="G529" s="54" t="s">
        <v>2888</v>
      </c>
      <c r="H529" s="156" t="s">
        <v>2052</v>
      </c>
      <c r="I529" s="149">
        <v>45473.0</v>
      </c>
      <c r="J529" s="149">
        <v>45633.0</v>
      </c>
      <c r="K529" s="156" t="s">
        <v>2889</v>
      </c>
      <c r="L529" s="65"/>
      <c r="M529" s="156" t="s">
        <v>2890</v>
      </c>
      <c r="N529" s="156" t="s">
        <v>2891</v>
      </c>
      <c r="O529" s="156" t="s">
        <v>2863</v>
      </c>
      <c r="P529" s="379" t="s">
        <v>2892</v>
      </c>
      <c r="Q529" s="49" t="str">
        <f t="array" ref="Q529"> if(iserror(MATCH(V529, 'File Links'!C:C, 0)), "N/A", HYPERLINK(INDEX('File Links'!B:B, MATCH(P529, 'File Links'!C:C, 0))))</f>
        <v>https://drive.google.com/file/d/1YQ1rwTK8fHHydlCOqvw62rr4BQnhJ7v4/view?usp=drivesdk</v>
      </c>
      <c r="R529" s="156" t="s">
        <v>2893</v>
      </c>
      <c r="S529" s="156" t="s">
        <v>2894</v>
      </c>
      <c r="T529" s="65"/>
      <c r="U529" s="156" t="s">
        <v>2863</v>
      </c>
      <c r="V529" s="195" t="str">
        <f t="shared" si="25"/>
        <v>10.1080--15614263.2023.2185241.pdf</v>
      </c>
      <c r="W529" s="156" t="s">
        <v>2895</v>
      </c>
      <c r="X529" s="51" t="str">
        <f t="array" ref="X529"> if(iserror(MATCH(V529, 'File Links'!C:C, 0)), "N/A", HYPERLINK(INDEX('File Links'!B:B, MATCH(V529, 'File Links'!C:C, 0))))</f>
        <v>https://drive.google.com/file/d/15ZlJQ8dYoTyaoh7HgVjWxbumKbhPC9XU/view?usp=drivesdk</v>
      </c>
      <c r="Y529" s="65"/>
      <c r="Z529" s="156" t="s">
        <v>219</v>
      </c>
      <c r="AA529" s="156" t="s">
        <v>2863</v>
      </c>
      <c r="AB529" s="156" t="s">
        <v>2896</v>
      </c>
      <c r="AC529" s="156" t="s">
        <v>2897</v>
      </c>
      <c r="AD529" s="156" t="s">
        <v>2898</v>
      </c>
      <c r="AE529" s="156" t="s">
        <v>2899</v>
      </c>
      <c r="AF529" s="153">
        <v>50.0</v>
      </c>
      <c r="AG529" s="156" t="s">
        <v>2900</v>
      </c>
      <c r="AH529" s="191" t="s">
        <v>353</v>
      </c>
      <c r="AI529" s="54" t="s">
        <v>2901</v>
      </c>
      <c r="AJ529" s="376">
        <v>0.01</v>
      </c>
      <c r="AK529" s="156" t="s">
        <v>165</v>
      </c>
      <c r="AL529" s="54" t="s">
        <v>179</v>
      </c>
      <c r="AM529" s="65" t="s">
        <v>134</v>
      </c>
      <c r="AN529" s="216" t="s">
        <v>131</v>
      </c>
      <c r="AO529" s="861">
        <v>152.0</v>
      </c>
      <c r="AP529" s="153">
        <v>-0.31</v>
      </c>
      <c r="AQ529" s="156" t="s">
        <v>353</v>
      </c>
      <c r="AR529" s="156" t="s">
        <v>2902</v>
      </c>
      <c r="AS529" s="153">
        <v>0.444</v>
      </c>
      <c r="AT529" s="156" t="s">
        <v>165</v>
      </c>
      <c r="AU529" s="156" t="s">
        <v>129</v>
      </c>
      <c r="AV529" s="65" t="s">
        <v>134</v>
      </c>
      <c r="AW529" s="432" t="s">
        <v>2903</v>
      </c>
      <c r="AX529" s="591" t="s">
        <v>136</v>
      </c>
      <c r="AY529" s="65"/>
      <c r="BA529" s="69"/>
      <c r="BB529" s="69"/>
      <c r="BC529" s="69"/>
      <c r="BD529" s="69"/>
      <c r="BE529" s="69"/>
      <c r="BF529" s="69"/>
      <c r="BG529" s="69"/>
      <c r="BH529" s="69"/>
      <c r="BI529" s="69"/>
      <c r="BJ529" s="69"/>
      <c r="BK529" s="69"/>
      <c r="BL529" s="69"/>
      <c r="BM529" s="69"/>
      <c r="BN529" s="69"/>
      <c r="BO529" s="69"/>
      <c r="BP529" s="69"/>
      <c r="BQ529" s="69"/>
      <c r="BR529" s="69"/>
      <c r="BS529" s="69"/>
      <c r="BT529" s="69"/>
      <c r="BU529" s="69"/>
      <c r="BV529" s="69"/>
      <c r="BW529" s="69"/>
      <c r="BX529" s="69"/>
      <c r="BY529" s="69"/>
      <c r="BZ529" s="69"/>
      <c r="CA529" s="69"/>
      <c r="CB529" s="69"/>
      <c r="CC529" s="69"/>
      <c r="CD529" s="69"/>
      <c r="CE529" s="69"/>
      <c r="CF529" s="69"/>
      <c r="CG529" s="69"/>
      <c r="CH529" s="69"/>
      <c r="CI529" s="69"/>
      <c r="CJ529" s="69"/>
      <c r="CK529" s="69"/>
      <c r="CL529" s="69"/>
      <c r="CM529" s="69"/>
      <c r="CN529" s="69"/>
      <c r="CO529" s="69"/>
      <c r="CP529" s="69"/>
      <c r="CQ529" s="69"/>
      <c r="CR529" s="69"/>
      <c r="CS529" s="69"/>
      <c r="CT529" s="69"/>
      <c r="CU529" s="69"/>
      <c r="CV529" s="69"/>
      <c r="CW529" s="69"/>
      <c r="CX529" s="69"/>
      <c r="CY529" s="69"/>
      <c r="CZ529" s="69"/>
      <c r="DA529" s="69"/>
      <c r="DB529" s="69"/>
      <c r="DC529" s="69"/>
      <c r="DD529" s="69"/>
      <c r="DE529" s="69"/>
      <c r="DF529" s="69"/>
      <c r="DG529" s="69"/>
      <c r="DH529" s="69"/>
    </row>
    <row r="530" ht="20.25" customHeight="1">
      <c r="A530" s="41">
        <v>530.0</v>
      </c>
      <c r="B530" s="59" t="s">
        <v>278</v>
      </c>
      <c r="C530" s="59" t="s">
        <v>108</v>
      </c>
      <c r="D530" s="59" t="s">
        <v>2049</v>
      </c>
      <c r="F530" s="65" t="s">
        <v>2887</v>
      </c>
      <c r="G530" s="54" t="s">
        <v>2888</v>
      </c>
      <c r="H530" s="156" t="s">
        <v>2904</v>
      </c>
      <c r="I530" s="149">
        <v>45633.0</v>
      </c>
      <c r="J530" s="859"/>
      <c r="K530" s="156" t="s">
        <v>2905</v>
      </c>
      <c r="L530" s="65"/>
      <c r="M530" s="156" t="s">
        <v>2890</v>
      </c>
      <c r="N530" s="156" t="s">
        <v>2891</v>
      </c>
      <c r="O530" s="156" t="s">
        <v>2863</v>
      </c>
      <c r="P530" s="379" t="s">
        <v>2892</v>
      </c>
      <c r="Q530" s="49" t="str">
        <f t="array" ref="Q530"> if(iserror(MATCH(V530, 'File Links'!C:C, 0)), "N/A", HYPERLINK(INDEX('File Links'!B:B, MATCH(P530, 'File Links'!C:C, 0))))</f>
        <v>https://drive.google.com/file/d/1YQ1rwTK8fHHydlCOqvw62rr4BQnhJ7v4/view?usp=drivesdk</v>
      </c>
      <c r="R530" s="156" t="s">
        <v>2893</v>
      </c>
      <c r="S530" s="156" t="s">
        <v>2894</v>
      </c>
      <c r="T530" s="65"/>
      <c r="U530" s="156" t="s">
        <v>2863</v>
      </c>
      <c r="V530" s="195" t="str">
        <f t="shared" si="25"/>
        <v>10.1080--15614263.2023.2185241.pdf</v>
      </c>
      <c r="W530" s="156" t="s">
        <v>2895</v>
      </c>
      <c r="X530" s="51" t="str">
        <f t="array" ref="X530"> if(iserror(MATCH(V530, 'File Links'!C:C, 0)), "N/A", HYPERLINK(INDEX('File Links'!B:B, MATCH(V530, 'File Links'!C:C, 0))))</f>
        <v>https://drive.google.com/file/d/15ZlJQ8dYoTyaoh7HgVjWxbumKbhPC9XU/view?usp=drivesdk</v>
      </c>
      <c r="Y530" s="65"/>
      <c r="Z530" s="156" t="s">
        <v>219</v>
      </c>
      <c r="AA530" s="156" t="s">
        <v>2863</v>
      </c>
      <c r="AB530" s="156" t="s">
        <v>2896</v>
      </c>
      <c r="AC530" s="156" t="s">
        <v>2906</v>
      </c>
      <c r="AD530" s="156" t="s">
        <v>2907</v>
      </c>
      <c r="AE530" s="156" t="s">
        <v>2899</v>
      </c>
      <c r="AF530" s="153">
        <v>47.0</v>
      </c>
      <c r="AG530" s="156" t="s">
        <v>2908</v>
      </c>
      <c r="AH530" s="191" t="s">
        <v>353</v>
      </c>
      <c r="AI530" s="54" t="s">
        <v>2901</v>
      </c>
      <c r="AJ530" s="376">
        <v>0.05</v>
      </c>
      <c r="AK530" s="156" t="s">
        <v>165</v>
      </c>
      <c r="AL530" s="54" t="s">
        <v>179</v>
      </c>
      <c r="AM530" s="65" t="s">
        <v>134</v>
      </c>
      <c r="AN530" s="216" t="s">
        <v>131</v>
      </c>
      <c r="AO530" s="861">
        <v>132.0</v>
      </c>
      <c r="AP530" s="153">
        <v>0.45</v>
      </c>
      <c r="AQ530" s="156" t="s">
        <v>353</v>
      </c>
      <c r="AR530" s="156" t="s">
        <v>2902</v>
      </c>
      <c r="AS530" s="153">
        <v>0.422</v>
      </c>
      <c r="AT530" s="156" t="s">
        <v>165</v>
      </c>
      <c r="AU530" s="156" t="s">
        <v>129</v>
      </c>
      <c r="AV530" s="65" t="s">
        <v>134</v>
      </c>
      <c r="AW530" s="432" t="s">
        <v>2903</v>
      </c>
      <c r="AX530" s="591" t="s">
        <v>136</v>
      </c>
      <c r="AY530" s="65"/>
      <c r="BA530" s="69"/>
      <c r="BB530" s="69"/>
      <c r="BC530" s="69"/>
      <c r="BD530" s="69"/>
      <c r="BE530" s="69"/>
      <c r="BF530" s="69"/>
      <c r="BG530" s="69"/>
      <c r="BH530" s="69"/>
      <c r="BI530" s="69"/>
      <c r="BJ530" s="69"/>
      <c r="BK530" s="69"/>
      <c r="BL530" s="69"/>
      <c r="BM530" s="69"/>
      <c r="BN530" s="69"/>
      <c r="BO530" s="69"/>
      <c r="BP530" s="69"/>
      <c r="BQ530" s="69"/>
      <c r="BR530" s="69"/>
      <c r="BS530" s="69"/>
      <c r="BT530" s="69"/>
      <c r="BU530" s="69"/>
      <c r="BV530" s="69"/>
      <c r="BW530" s="69"/>
      <c r="BX530" s="69"/>
      <c r="BY530" s="69"/>
      <c r="BZ530" s="69"/>
      <c r="CA530" s="69"/>
      <c r="CB530" s="69"/>
      <c r="CC530" s="69"/>
      <c r="CD530" s="69"/>
      <c r="CE530" s="69"/>
      <c r="CF530" s="69"/>
      <c r="CG530" s="69"/>
      <c r="CH530" s="69"/>
      <c r="CI530" s="69"/>
      <c r="CJ530" s="69"/>
      <c r="CK530" s="69"/>
      <c r="CL530" s="69"/>
      <c r="CM530" s="69"/>
      <c r="CN530" s="69"/>
      <c r="CO530" s="69"/>
      <c r="CP530" s="69"/>
      <c r="CQ530" s="69"/>
      <c r="CR530" s="69"/>
      <c r="CS530" s="69"/>
      <c r="CT530" s="69"/>
      <c r="CU530" s="69"/>
      <c r="CV530" s="69"/>
      <c r="CW530" s="69"/>
      <c r="CX530" s="69"/>
      <c r="CY530" s="69"/>
      <c r="CZ530" s="69"/>
      <c r="DA530" s="69"/>
      <c r="DB530" s="69"/>
      <c r="DC530" s="69"/>
      <c r="DD530" s="69"/>
      <c r="DE530" s="69"/>
      <c r="DF530" s="69"/>
      <c r="DG530" s="69"/>
      <c r="DH530" s="69"/>
    </row>
    <row r="531" ht="20.25" customHeight="1">
      <c r="A531" s="41">
        <v>531.0</v>
      </c>
      <c r="B531" s="59" t="s">
        <v>278</v>
      </c>
      <c r="C531" s="59" t="s">
        <v>108</v>
      </c>
      <c r="D531" s="59" t="s">
        <v>2049</v>
      </c>
      <c r="F531" s="65" t="s">
        <v>2887</v>
      </c>
      <c r="G531" s="54" t="s">
        <v>2888</v>
      </c>
      <c r="H531" s="156" t="s">
        <v>2904</v>
      </c>
      <c r="I531" s="149">
        <v>45633.0</v>
      </c>
      <c r="J531" s="859"/>
      <c r="K531" s="156" t="s">
        <v>2909</v>
      </c>
      <c r="L531" s="65"/>
      <c r="M531" s="156" t="s">
        <v>2890</v>
      </c>
      <c r="N531" s="156" t="s">
        <v>2891</v>
      </c>
      <c r="O531" s="156" t="s">
        <v>2863</v>
      </c>
      <c r="P531" s="379" t="s">
        <v>2892</v>
      </c>
      <c r="Q531" s="49" t="str">
        <f t="array" ref="Q531"> if(iserror(MATCH(V531, 'File Links'!C:C, 0)), "N/A", HYPERLINK(INDEX('File Links'!B:B, MATCH(P531, 'File Links'!C:C, 0))))</f>
        <v>https://drive.google.com/file/d/1YQ1rwTK8fHHydlCOqvw62rr4BQnhJ7v4/view?usp=drivesdk</v>
      </c>
      <c r="R531" s="156" t="s">
        <v>2893</v>
      </c>
      <c r="S531" s="156" t="s">
        <v>2894</v>
      </c>
      <c r="T531" s="65"/>
      <c r="U531" s="156" t="s">
        <v>2863</v>
      </c>
      <c r="V531" s="195" t="str">
        <f t="shared" si="25"/>
        <v>10.1080--15614263.2023.2185241.pdf</v>
      </c>
      <c r="W531" s="156" t="s">
        <v>2895</v>
      </c>
      <c r="X531" s="51" t="str">
        <f t="array" ref="X531"> if(iserror(MATCH(V531, 'File Links'!C:C, 0)), "N/A", HYPERLINK(INDEX('File Links'!B:B, MATCH(V531, 'File Links'!C:C, 0))))</f>
        <v>https://drive.google.com/file/d/15ZlJQ8dYoTyaoh7HgVjWxbumKbhPC9XU/view?usp=drivesdk</v>
      </c>
      <c r="Y531" s="65"/>
      <c r="Z531" s="156" t="s">
        <v>219</v>
      </c>
      <c r="AA531" s="156" t="s">
        <v>2863</v>
      </c>
      <c r="AB531" s="156" t="s">
        <v>2896</v>
      </c>
      <c r="AC531" s="156" t="s">
        <v>2910</v>
      </c>
      <c r="AD531" s="156" t="s">
        <v>2911</v>
      </c>
      <c r="AE531" s="156" t="s">
        <v>2899</v>
      </c>
      <c r="AF531" s="153">
        <v>47.0</v>
      </c>
      <c r="AG531" s="156" t="s">
        <v>2912</v>
      </c>
      <c r="AH531" s="191" t="s">
        <v>353</v>
      </c>
      <c r="AI531" s="54" t="s">
        <v>2901</v>
      </c>
      <c r="AJ531" s="376">
        <v>0.004</v>
      </c>
      <c r="AK531" s="156" t="s">
        <v>165</v>
      </c>
      <c r="AL531" s="54" t="s">
        <v>179</v>
      </c>
      <c r="AM531" s="65" t="s">
        <v>134</v>
      </c>
      <c r="AN531" s="216" t="s">
        <v>131</v>
      </c>
      <c r="AO531" s="861">
        <v>143.0</v>
      </c>
      <c r="AP531" s="153">
        <v>0.05</v>
      </c>
      <c r="AQ531" s="156" t="s">
        <v>353</v>
      </c>
      <c r="AR531" s="156" t="s">
        <v>2902</v>
      </c>
      <c r="AS531" s="153">
        <v>0.908</v>
      </c>
      <c r="AT531" s="156" t="s">
        <v>165</v>
      </c>
      <c r="AU531" s="156" t="s">
        <v>129</v>
      </c>
      <c r="AV531" s="65" t="s">
        <v>134</v>
      </c>
      <c r="AW531" s="432" t="s">
        <v>2903</v>
      </c>
      <c r="AX531" s="591" t="s">
        <v>136</v>
      </c>
      <c r="AY531" s="65"/>
      <c r="BA531" s="69"/>
      <c r="BB531" s="69"/>
      <c r="BC531" s="69"/>
      <c r="BD531" s="69"/>
      <c r="BE531" s="69"/>
      <c r="BF531" s="69"/>
      <c r="BG531" s="69"/>
      <c r="BH531" s="69"/>
      <c r="BI531" s="69"/>
      <c r="BJ531" s="69"/>
      <c r="BK531" s="69"/>
      <c r="BL531" s="69"/>
      <c r="BM531" s="69"/>
      <c r="BN531" s="69"/>
      <c r="BO531" s="69"/>
      <c r="BP531" s="69"/>
      <c r="BQ531" s="69"/>
      <c r="BR531" s="69"/>
      <c r="BS531" s="69"/>
      <c r="BT531" s="69"/>
      <c r="BU531" s="69"/>
      <c r="BV531" s="69"/>
      <c r="BW531" s="69"/>
      <c r="BX531" s="69"/>
      <c r="BY531" s="69"/>
      <c r="BZ531" s="69"/>
      <c r="CA531" s="69"/>
      <c r="CB531" s="69"/>
      <c r="CC531" s="69"/>
      <c r="CD531" s="69"/>
      <c r="CE531" s="69"/>
      <c r="CF531" s="69"/>
      <c r="CG531" s="69"/>
      <c r="CH531" s="69"/>
      <c r="CI531" s="69"/>
      <c r="CJ531" s="69"/>
      <c r="CK531" s="69"/>
      <c r="CL531" s="69"/>
      <c r="CM531" s="69"/>
      <c r="CN531" s="69"/>
      <c r="CO531" s="69"/>
      <c r="CP531" s="69"/>
      <c r="CQ531" s="69"/>
      <c r="CR531" s="69"/>
      <c r="CS531" s="69"/>
      <c r="CT531" s="69"/>
      <c r="CU531" s="69"/>
      <c r="CV531" s="69"/>
      <c r="CW531" s="69"/>
      <c r="CX531" s="69"/>
      <c r="CY531" s="69"/>
      <c r="CZ531" s="69"/>
      <c r="DA531" s="69"/>
      <c r="DB531" s="69"/>
      <c r="DC531" s="69"/>
      <c r="DD531" s="69"/>
      <c r="DE531" s="69"/>
      <c r="DF531" s="69"/>
      <c r="DG531" s="69"/>
      <c r="DH531" s="69"/>
    </row>
    <row r="532" ht="20.25" customHeight="1">
      <c r="A532" s="41">
        <v>532.0</v>
      </c>
      <c r="B532" s="126" t="s">
        <v>516</v>
      </c>
      <c r="C532" s="59" t="s">
        <v>108</v>
      </c>
      <c r="D532" s="59" t="s">
        <v>1263</v>
      </c>
      <c r="F532" s="43" t="s">
        <v>2887</v>
      </c>
      <c r="G532" s="357" t="s">
        <v>2888</v>
      </c>
      <c r="H532" s="357" t="s">
        <v>2060</v>
      </c>
      <c r="I532" s="341">
        <v>45473.0</v>
      </c>
      <c r="J532" s="341">
        <v>45695.0</v>
      </c>
      <c r="K532" s="357" t="s">
        <v>2913</v>
      </c>
      <c r="L532" s="43"/>
      <c r="M532" s="357" t="s">
        <v>2890</v>
      </c>
      <c r="N532" s="357" t="s">
        <v>2891</v>
      </c>
      <c r="O532" s="43"/>
      <c r="P532" s="156" t="str">
        <f>SUBSTITUTE(LOWER(N532), "/", "--") &amp;  ".pdf"</f>
        <v>10.1017--s0007123421000557.pdf</v>
      </c>
      <c r="Q532" s="49" t="str">
        <f t="array" ref="Q532"> if(iserror(MATCH(V532, 'File Links'!C:C, 0)), "N/A", HYPERLINK(INDEX('File Links'!B:B, MATCH(P532, 'File Links'!C:C, 0))))</f>
        <v>https://drive.google.com/file/d/1YQ1rwTK8fHHydlCOqvw62rr4BQnhJ7v4/view?usp=drivesdk</v>
      </c>
      <c r="R532" s="357" t="s">
        <v>2893</v>
      </c>
      <c r="S532" s="357" t="s">
        <v>2894</v>
      </c>
      <c r="T532" s="43"/>
      <c r="U532" s="43"/>
      <c r="V532" s="195" t="str">
        <f t="shared" si="25"/>
        <v>10.1080--15614263.2023.2185241.pdf</v>
      </c>
      <c r="W532" s="357" t="s">
        <v>202</v>
      </c>
      <c r="X532" s="51" t="str">
        <f t="array" ref="X532"> if(iserror(MATCH(V532, 'File Links'!C:C, 0)), "N/A", HYPERLINK(INDEX('File Links'!B:B, MATCH(V532, 'File Links'!C:C, 0))))</f>
        <v>https://drive.google.com/file/d/15ZlJQ8dYoTyaoh7HgVjWxbumKbhPC9XU/view?usp=drivesdk</v>
      </c>
      <c r="Y532" s="43"/>
      <c r="Z532" s="357" t="s">
        <v>121</v>
      </c>
      <c r="AA532" s="357" t="s">
        <v>2914</v>
      </c>
      <c r="AB532" s="357" t="s">
        <v>2915</v>
      </c>
      <c r="AC532" s="357" t="s">
        <v>2916</v>
      </c>
      <c r="AD532" s="357" t="s">
        <v>2917</v>
      </c>
      <c r="AE532" s="357" t="s">
        <v>2918</v>
      </c>
      <c r="AF532" s="354">
        <v>50.0</v>
      </c>
      <c r="AG532" s="357" t="s">
        <v>2919</v>
      </c>
      <c r="AH532" s="43"/>
      <c r="AI532" s="357" t="s">
        <v>429</v>
      </c>
      <c r="AJ532" s="354">
        <v>0.01</v>
      </c>
      <c r="AK532" s="357" t="s">
        <v>165</v>
      </c>
      <c r="AL532" s="357" t="s">
        <v>179</v>
      </c>
      <c r="AM532" s="43" t="s">
        <v>134</v>
      </c>
      <c r="AN532" s="216" t="s">
        <v>131</v>
      </c>
      <c r="AO532" s="354">
        <v>152.0</v>
      </c>
      <c r="AP532" s="357" t="s">
        <v>2920</v>
      </c>
      <c r="AQ532" s="357" t="s">
        <v>127</v>
      </c>
      <c r="AR532" s="357" t="s">
        <v>2921</v>
      </c>
      <c r="AS532" s="354">
        <v>0.444</v>
      </c>
      <c r="AT532" s="357" t="s">
        <v>165</v>
      </c>
      <c r="AU532" s="357" t="s">
        <v>179</v>
      </c>
      <c r="AV532" s="43" t="s">
        <v>134</v>
      </c>
      <c r="AW532" s="56" t="s">
        <v>2922</v>
      </c>
      <c r="AX532" s="43" t="s">
        <v>144</v>
      </c>
      <c r="BA532" s="69"/>
      <c r="BB532" s="69"/>
      <c r="BC532" s="69"/>
      <c r="BD532" s="69"/>
      <c r="BE532" s="69"/>
      <c r="BF532" s="69"/>
      <c r="BG532" s="69"/>
      <c r="BH532" s="69"/>
      <c r="BI532" s="69"/>
      <c r="BJ532" s="69"/>
      <c r="BK532" s="69"/>
      <c r="BL532" s="69"/>
      <c r="BM532" s="69"/>
      <c r="BN532" s="69"/>
      <c r="BO532" s="69"/>
      <c r="BP532" s="69"/>
      <c r="BQ532" s="69"/>
      <c r="BR532" s="69"/>
      <c r="BS532" s="69"/>
      <c r="BT532" s="69"/>
      <c r="BU532" s="69"/>
      <c r="BV532" s="69"/>
      <c r="BW532" s="69"/>
      <c r="BX532" s="69"/>
      <c r="BY532" s="69"/>
      <c r="BZ532" s="69"/>
      <c r="CA532" s="69"/>
      <c r="CB532" s="69"/>
      <c r="CC532" s="69"/>
      <c r="CD532" s="69"/>
      <c r="CE532" s="69"/>
      <c r="CF532" s="69"/>
      <c r="CG532" s="69"/>
      <c r="CH532" s="69"/>
      <c r="CI532" s="69"/>
      <c r="CJ532" s="69"/>
      <c r="CK532" s="69"/>
      <c r="CL532" s="69"/>
      <c r="CM532" s="69"/>
      <c r="CN532" s="69"/>
      <c r="CO532" s="69"/>
      <c r="CP532" s="69"/>
      <c r="CQ532" s="69"/>
      <c r="CR532" s="69"/>
      <c r="CS532" s="69"/>
      <c r="CT532" s="69"/>
      <c r="CU532" s="69"/>
      <c r="CV532" s="69"/>
      <c r="CW532" s="69"/>
      <c r="CX532" s="69"/>
      <c r="CY532" s="69"/>
      <c r="CZ532" s="69"/>
      <c r="DA532" s="69"/>
      <c r="DB532" s="69"/>
      <c r="DC532" s="69"/>
      <c r="DD532" s="69"/>
      <c r="DE532" s="69"/>
      <c r="DF532" s="69"/>
      <c r="DG532" s="69"/>
      <c r="DH532" s="69"/>
    </row>
    <row r="533" ht="20.25" customHeight="1">
      <c r="A533" s="351">
        <v>533.0</v>
      </c>
      <c r="B533" s="337" t="s">
        <v>145</v>
      </c>
      <c r="C533" s="337" t="s">
        <v>108</v>
      </c>
      <c r="D533" s="337" t="s">
        <v>2923</v>
      </c>
      <c r="E533" s="351"/>
      <c r="F533" s="338" t="s">
        <v>2924</v>
      </c>
      <c r="G533" s="337" t="s">
        <v>2925</v>
      </c>
      <c r="H533" s="337" t="s">
        <v>2926</v>
      </c>
      <c r="I533" s="349">
        <v>45478.0</v>
      </c>
      <c r="J533" s="350">
        <v>45636.0</v>
      </c>
      <c r="K533" s="337" t="s">
        <v>2927</v>
      </c>
      <c r="L533" s="351"/>
      <c r="M533" s="337" t="s">
        <v>2928</v>
      </c>
      <c r="N533" s="337" t="s">
        <v>2929</v>
      </c>
      <c r="O533" s="337">
        <v>1.0</v>
      </c>
      <c r="P533" s="337" t="s">
        <v>2930</v>
      </c>
      <c r="Q533" s="101" t="str">
        <f t="array" ref="Q533"> if(iserror(MATCH(V533, 'File Links'!C:C, 0)), "N/A", HYPERLINK(INDEX('File Links'!B:B, MATCH(P533, 'File Links'!C:C, 0))))</f>
        <v>https://drive.google.com/file/d/1IfVJze_D0VNVGP0qGB9jOH8T88AinA4X/view?usp=drivesdk</v>
      </c>
      <c r="R533" s="337" t="s">
        <v>2931</v>
      </c>
      <c r="S533" s="337" t="s">
        <v>2932</v>
      </c>
      <c r="T533" s="351"/>
      <c r="U533" s="337">
        <v>1.0</v>
      </c>
      <c r="V533" s="357" t="str">
        <f t="shared" si="25"/>
        <v>10.1007--s10834-024-09975-7.pdf</v>
      </c>
      <c r="W533" s="337" t="s">
        <v>202</v>
      </c>
      <c r="X533" s="51" t="str">
        <f t="array" ref="X533"> if(iserror(MATCH(V533, 'File Links'!C:C, 0)), "N/A", HYPERLINK(INDEX('File Links'!B:B, MATCH(V533, 'File Links'!C:C, 0))))</f>
        <v>https://drive.google.com/file/d/1kvzfXjBDZmFTCeJVlsPrywrDLzw17fXw/view?usp=drivesdk</v>
      </c>
      <c r="Y533" s="351"/>
      <c r="Z533" s="337" t="s">
        <v>2933</v>
      </c>
      <c r="AA533" s="862" t="s">
        <v>2934</v>
      </c>
      <c r="AB533" s="337" t="s">
        <v>2935</v>
      </c>
      <c r="AC533" s="337" t="s">
        <v>2936</v>
      </c>
      <c r="AD533" s="337" t="s">
        <v>2937</v>
      </c>
      <c r="AE533" s="337">
        <v>23.0</v>
      </c>
      <c r="AF533" s="337">
        <v>338.0</v>
      </c>
      <c r="AG533" s="337">
        <v>0.273</v>
      </c>
      <c r="AH533" s="337" t="s">
        <v>354</v>
      </c>
      <c r="AI533" s="337" t="s">
        <v>1250</v>
      </c>
      <c r="AJ533" s="337">
        <v>0.02</v>
      </c>
      <c r="AK533" s="338" t="s">
        <v>165</v>
      </c>
      <c r="AL533" s="337" t="s">
        <v>179</v>
      </c>
      <c r="AM533" s="337" t="s">
        <v>134</v>
      </c>
      <c r="AN533" s="352" t="s">
        <v>2938</v>
      </c>
      <c r="AO533" s="337">
        <v>590.0</v>
      </c>
      <c r="AP533" s="337">
        <v>0.014</v>
      </c>
      <c r="AQ533" s="337" t="s">
        <v>354</v>
      </c>
      <c r="AR533" s="337" t="s">
        <v>606</v>
      </c>
      <c r="AS533" s="337" t="s">
        <v>2939</v>
      </c>
      <c r="AT533" s="339"/>
      <c r="AU533" s="338" t="s">
        <v>179</v>
      </c>
      <c r="AV533" s="53" t="s">
        <v>134</v>
      </c>
      <c r="AW533" s="863" t="s">
        <v>131</v>
      </c>
      <c r="AX533" s="338" t="s">
        <v>144</v>
      </c>
      <c r="AY533" s="337" t="s">
        <v>2940</v>
      </c>
      <c r="AZ533" s="338" t="s">
        <v>685</v>
      </c>
      <c r="BA533" s="339"/>
      <c r="BB533" s="339"/>
      <c r="BC533" s="339"/>
      <c r="BD533" s="339"/>
      <c r="BE533" s="339"/>
      <c r="BF533" s="339"/>
      <c r="BG533" s="339"/>
      <c r="BH533" s="339"/>
      <c r="BI533" s="339"/>
      <c r="BJ533" s="339"/>
      <c r="BK533" s="339"/>
      <c r="BL533" s="339"/>
      <c r="BM533" s="339"/>
      <c r="BN533" s="339"/>
      <c r="BO533" s="339"/>
      <c r="BP533" s="339"/>
      <c r="BQ533" s="339"/>
      <c r="BR533" s="339"/>
      <c r="BS533" s="339"/>
      <c r="BT533" s="339"/>
      <c r="BU533" s="339"/>
      <c r="BV533" s="339"/>
      <c r="BW533" s="339"/>
      <c r="BX533" s="339"/>
      <c r="BY533" s="339"/>
      <c r="BZ533" s="339"/>
      <c r="CA533" s="339"/>
      <c r="CB533" s="339"/>
      <c r="CC533" s="339"/>
      <c r="CD533" s="339"/>
      <c r="CE533" s="339"/>
      <c r="CF533" s="339"/>
      <c r="CG533" s="339"/>
      <c r="CH533" s="339"/>
      <c r="CI533" s="339"/>
      <c r="CJ533" s="339"/>
      <c r="CK533" s="339"/>
      <c r="CL533" s="339"/>
      <c r="CM533" s="339"/>
      <c r="CN533" s="339"/>
      <c r="CO533" s="339"/>
      <c r="CP533" s="339"/>
      <c r="CQ533" s="339"/>
      <c r="CR533" s="339"/>
      <c r="CS533" s="339"/>
      <c r="CT533" s="339"/>
      <c r="CU533" s="339"/>
      <c r="CV533" s="339"/>
      <c r="CW533" s="339"/>
      <c r="CX533" s="339"/>
      <c r="CY533" s="339"/>
      <c r="CZ533" s="339"/>
      <c r="DA533" s="339"/>
      <c r="DB533" s="339"/>
      <c r="DC533" s="339"/>
      <c r="DD533" s="339"/>
      <c r="DE533" s="339"/>
      <c r="DF533" s="339"/>
      <c r="DG533" s="339"/>
      <c r="DH533" s="339"/>
    </row>
    <row r="534" ht="20.25" customHeight="1">
      <c r="A534" s="351">
        <v>534.0</v>
      </c>
      <c r="B534" s="337" t="s">
        <v>145</v>
      </c>
      <c r="C534" s="337" t="s">
        <v>108</v>
      </c>
      <c r="D534" s="337" t="s">
        <v>2923</v>
      </c>
      <c r="E534" s="351"/>
      <c r="F534" s="338" t="s">
        <v>2924</v>
      </c>
      <c r="G534" s="337" t="s">
        <v>2941</v>
      </c>
      <c r="H534" s="337" t="s">
        <v>2926</v>
      </c>
      <c r="I534" s="349">
        <v>45478.0</v>
      </c>
      <c r="J534" s="350">
        <v>45636.0</v>
      </c>
      <c r="K534" s="337" t="s">
        <v>2942</v>
      </c>
      <c r="L534" s="351"/>
      <c r="M534" s="337" t="s">
        <v>2928</v>
      </c>
      <c r="N534" s="337" t="s">
        <v>2929</v>
      </c>
      <c r="O534" s="337">
        <v>1.0</v>
      </c>
      <c r="P534" s="337" t="s">
        <v>2930</v>
      </c>
      <c r="Q534" s="101" t="str">
        <f t="array" ref="Q534"> if(iserror(MATCH(V534, 'File Links'!C:C, 0)), "N/A", HYPERLINK(INDEX('File Links'!B:B, MATCH(P534, 'File Links'!C:C, 0))))</f>
        <v>https://drive.google.com/file/d/1IfVJze_D0VNVGP0qGB9jOH8T88AinA4X/view?usp=drivesdk</v>
      </c>
      <c r="R534" s="337" t="s">
        <v>2931</v>
      </c>
      <c r="S534" s="337" t="s">
        <v>2932</v>
      </c>
      <c r="T534" s="351"/>
      <c r="U534" s="337">
        <v>1.0</v>
      </c>
      <c r="V534" s="357" t="str">
        <f t="shared" si="25"/>
        <v>10.1007--s10834-024-09975-7.pdf</v>
      </c>
      <c r="W534" s="337" t="s">
        <v>202</v>
      </c>
      <c r="X534" s="51" t="str">
        <f t="array" ref="X534"> if(iserror(MATCH(V534, 'File Links'!C:C, 0)), "N/A", HYPERLINK(INDEX('File Links'!B:B, MATCH(V534, 'File Links'!C:C, 0))))</f>
        <v>https://drive.google.com/file/d/1kvzfXjBDZmFTCeJVlsPrywrDLzw17fXw/view?usp=drivesdk</v>
      </c>
      <c r="Y534" s="351"/>
      <c r="Z534" s="337" t="s">
        <v>2933</v>
      </c>
      <c r="AA534" s="862" t="s">
        <v>2943</v>
      </c>
      <c r="AB534" s="337" t="s">
        <v>2935</v>
      </c>
      <c r="AC534" s="337" t="s">
        <v>2944</v>
      </c>
      <c r="AD534" s="337" t="s">
        <v>2945</v>
      </c>
      <c r="AE534" s="337">
        <v>23.0</v>
      </c>
      <c r="AF534" s="337">
        <v>358.0</v>
      </c>
      <c r="AG534" s="337">
        <v>0.292</v>
      </c>
      <c r="AH534" s="337" t="s">
        <v>354</v>
      </c>
      <c r="AI534" s="337" t="s">
        <v>1250</v>
      </c>
      <c r="AJ534" s="337">
        <v>0.02</v>
      </c>
      <c r="AK534" s="338" t="s">
        <v>165</v>
      </c>
      <c r="AL534" s="337" t="s">
        <v>179</v>
      </c>
      <c r="AM534" s="337" t="s">
        <v>134</v>
      </c>
      <c r="AN534" s="352" t="s">
        <v>2938</v>
      </c>
      <c r="AO534" s="337">
        <v>590.0</v>
      </c>
      <c r="AP534" s="337">
        <v>0.076</v>
      </c>
      <c r="AQ534" s="337" t="s">
        <v>354</v>
      </c>
      <c r="AR534" s="337" t="s">
        <v>606</v>
      </c>
      <c r="AS534" s="337" t="s">
        <v>2939</v>
      </c>
      <c r="AT534" s="339"/>
      <c r="AU534" s="338" t="s">
        <v>179</v>
      </c>
      <c r="AV534" s="53" t="s">
        <v>134</v>
      </c>
      <c r="AW534" s="863" t="s">
        <v>131</v>
      </c>
      <c r="AX534" s="338" t="s">
        <v>144</v>
      </c>
      <c r="AY534" s="337" t="s">
        <v>2940</v>
      </c>
      <c r="AZ534" s="338" t="s">
        <v>685</v>
      </c>
      <c r="BA534" s="339"/>
      <c r="BB534" s="339"/>
      <c r="BC534" s="339"/>
      <c r="BD534" s="339"/>
      <c r="BE534" s="339"/>
      <c r="BF534" s="339"/>
      <c r="BG534" s="339"/>
      <c r="BH534" s="339"/>
      <c r="BI534" s="339"/>
      <c r="BJ534" s="339"/>
      <c r="BK534" s="339"/>
      <c r="BL534" s="339"/>
      <c r="BM534" s="339"/>
      <c r="BN534" s="339"/>
      <c r="BO534" s="339"/>
      <c r="BP534" s="339"/>
      <c r="BQ534" s="339"/>
      <c r="BR534" s="339"/>
      <c r="BS534" s="339"/>
      <c r="BT534" s="339"/>
      <c r="BU534" s="339"/>
      <c r="BV534" s="339"/>
      <c r="BW534" s="339"/>
      <c r="BX534" s="339"/>
      <c r="BY534" s="339"/>
      <c r="BZ534" s="339"/>
      <c r="CA534" s="339"/>
      <c r="CB534" s="339"/>
      <c r="CC534" s="339"/>
      <c r="CD534" s="339"/>
      <c r="CE534" s="339"/>
      <c r="CF534" s="339"/>
      <c r="CG534" s="339"/>
      <c r="CH534" s="339"/>
      <c r="CI534" s="339"/>
      <c r="CJ534" s="339"/>
      <c r="CK534" s="339"/>
      <c r="CL534" s="339"/>
      <c r="CM534" s="339"/>
      <c r="CN534" s="339"/>
      <c r="CO534" s="339"/>
      <c r="CP534" s="339"/>
      <c r="CQ534" s="339"/>
      <c r="CR534" s="339"/>
      <c r="CS534" s="339"/>
      <c r="CT534" s="339"/>
      <c r="CU534" s="339"/>
      <c r="CV534" s="339"/>
      <c r="CW534" s="339"/>
      <c r="CX534" s="339"/>
      <c r="CY534" s="339"/>
      <c r="CZ534" s="339"/>
      <c r="DA534" s="339"/>
      <c r="DB534" s="339"/>
      <c r="DC534" s="339"/>
      <c r="DD534" s="339"/>
      <c r="DE534" s="339"/>
      <c r="DF534" s="339"/>
      <c r="DG534" s="339"/>
      <c r="DH534" s="339"/>
    </row>
    <row r="535" ht="20.25" customHeight="1">
      <c r="A535" s="351">
        <v>535.0</v>
      </c>
      <c r="B535" s="337" t="s">
        <v>145</v>
      </c>
      <c r="C535" s="337" t="s">
        <v>108</v>
      </c>
      <c r="D535" s="337" t="s">
        <v>2923</v>
      </c>
      <c r="E535" s="351"/>
      <c r="F535" s="338" t="s">
        <v>2924</v>
      </c>
      <c r="G535" s="337" t="s">
        <v>2946</v>
      </c>
      <c r="H535" s="337" t="s">
        <v>2926</v>
      </c>
      <c r="I535" s="349">
        <v>45478.0</v>
      </c>
      <c r="J535" s="350">
        <v>45636.0</v>
      </c>
      <c r="K535" s="337" t="s">
        <v>2947</v>
      </c>
      <c r="L535" s="351"/>
      <c r="M535" s="337" t="s">
        <v>2928</v>
      </c>
      <c r="N535" s="337" t="s">
        <v>2929</v>
      </c>
      <c r="O535" s="337">
        <v>1.0</v>
      </c>
      <c r="P535" s="337" t="s">
        <v>2930</v>
      </c>
      <c r="Q535" s="101" t="str">
        <f t="array" ref="Q535"> if(iserror(MATCH(V535, 'File Links'!C:C, 0)), "N/A", HYPERLINK(INDEX('File Links'!B:B, MATCH(P535, 'File Links'!C:C, 0))))</f>
        <v>https://drive.google.com/file/d/1IfVJze_D0VNVGP0qGB9jOH8T88AinA4X/view?usp=drivesdk</v>
      </c>
      <c r="R535" s="337" t="s">
        <v>2931</v>
      </c>
      <c r="S535" s="337" t="s">
        <v>2932</v>
      </c>
      <c r="T535" s="351"/>
      <c r="U535" s="337">
        <v>1.0</v>
      </c>
      <c r="V535" s="357" t="str">
        <f t="shared" si="25"/>
        <v>10.1007--s10834-024-09975-7.pdf</v>
      </c>
      <c r="W535" s="337" t="s">
        <v>202</v>
      </c>
      <c r="X535" s="51" t="str">
        <f t="array" ref="X535"> if(iserror(MATCH(V535, 'File Links'!C:C, 0)), "N/A", HYPERLINK(INDEX('File Links'!B:B, MATCH(V535, 'File Links'!C:C, 0))))</f>
        <v>https://drive.google.com/file/d/1kvzfXjBDZmFTCeJVlsPrywrDLzw17fXw/view?usp=drivesdk</v>
      </c>
      <c r="Y535" s="351"/>
      <c r="Z535" s="337" t="s">
        <v>2933</v>
      </c>
      <c r="AA535" s="862" t="s">
        <v>2943</v>
      </c>
      <c r="AB535" s="337" t="s">
        <v>2935</v>
      </c>
      <c r="AC535" s="337" t="s">
        <v>2948</v>
      </c>
      <c r="AD535" s="337" t="s">
        <v>2949</v>
      </c>
      <c r="AE535" s="337">
        <v>23.0</v>
      </c>
      <c r="AF535" s="337">
        <v>318.0</v>
      </c>
      <c r="AG535" s="337">
        <v>0.269</v>
      </c>
      <c r="AH535" s="337" t="s">
        <v>354</v>
      </c>
      <c r="AI535" s="337" t="s">
        <v>1250</v>
      </c>
      <c r="AJ535" s="337">
        <v>0.026</v>
      </c>
      <c r="AK535" s="338" t="s">
        <v>165</v>
      </c>
      <c r="AL535" s="337" t="s">
        <v>179</v>
      </c>
      <c r="AM535" s="337" t="s">
        <v>134</v>
      </c>
      <c r="AN535" s="352" t="s">
        <v>2938</v>
      </c>
      <c r="AO535" s="337">
        <v>590.0</v>
      </c>
      <c r="AP535" s="337">
        <v>-0.254</v>
      </c>
      <c r="AQ535" s="337" t="s">
        <v>354</v>
      </c>
      <c r="AR535" s="337" t="s">
        <v>606</v>
      </c>
      <c r="AS535" s="337">
        <v>0.1</v>
      </c>
      <c r="AT535" s="338" t="s">
        <v>128</v>
      </c>
      <c r="AU535" s="338" t="s">
        <v>179</v>
      </c>
      <c r="AV535" s="53" t="s">
        <v>134</v>
      </c>
      <c r="AW535" s="863" t="s">
        <v>131</v>
      </c>
      <c r="AX535" s="338" t="s">
        <v>144</v>
      </c>
      <c r="AY535" s="337" t="s">
        <v>2940</v>
      </c>
      <c r="AZ535" s="338" t="s">
        <v>685</v>
      </c>
      <c r="BA535" s="339"/>
      <c r="BB535" s="339"/>
      <c r="BC535" s="339"/>
      <c r="BD535" s="339"/>
      <c r="BE535" s="339"/>
      <c r="BF535" s="339"/>
      <c r="BG535" s="339"/>
      <c r="BH535" s="339"/>
      <c r="BI535" s="339"/>
      <c r="BJ535" s="339"/>
      <c r="BK535" s="339"/>
      <c r="BL535" s="339"/>
      <c r="BM535" s="339"/>
      <c r="BN535" s="339"/>
      <c r="BO535" s="339"/>
      <c r="BP535" s="339"/>
      <c r="BQ535" s="339"/>
      <c r="BR535" s="339"/>
      <c r="BS535" s="339"/>
      <c r="BT535" s="339"/>
      <c r="BU535" s="339"/>
      <c r="BV535" s="339"/>
      <c r="BW535" s="339"/>
      <c r="BX535" s="339"/>
      <c r="BY535" s="339"/>
      <c r="BZ535" s="339"/>
      <c r="CA535" s="339"/>
      <c r="CB535" s="339"/>
      <c r="CC535" s="339"/>
      <c r="CD535" s="339"/>
      <c r="CE535" s="339"/>
      <c r="CF535" s="339"/>
      <c r="CG535" s="339"/>
      <c r="CH535" s="339"/>
      <c r="CI535" s="339"/>
      <c r="CJ535" s="339"/>
      <c r="CK535" s="339"/>
      <c r="CL535" s="339"/>
      <c r="CM535" s="339"/>
      <c r="CN535" s="339"/>
      <c r="CO535" s="339"/>
      <c r="CP535" s="339"/>
      <c r="CQ535" s="339"/>
      <c r="CR535" s="339"/>
      <c r="CS535" s="339"/>
      <c r="CT535" s="339"/>
      <c r="CU535" s="339"/>
      <c r="CV535" s="339"/>
      <c r="CW535" s="339"/>
      <c r="CX535" s="339"/>
      <c r="CY535" s="339"/>
      <c r="CZ535" s="339"/>
      <c r="DA535" s="339"/>
      <c r="DB535" s="339"/>
      <c r="DC535" s="339"/>
      <c r="DD535" s="339"/>
      <c r="DE535" s="339"/>
      <c r="DF535" s="339"/>
      <c r="DG535" s="339"/>
      <c r="DH535" s="339"/>
    </row>
    <row r="536" ht="20.25" customHeight="1">
      <c r="A536" s="351">
        <v>536.0</v>
      </c>
      <c r="B536" s="337" t="s">
        <v>107</v>
      </c>
      <c r="C536" s="338" t="s">
        <v>108</v>
      </c>
      <c r="D536" s="338" t="s">
        <v>2950</v>
      </c>
      <c r="E536" s="339"/>
      <c r="F536" s="357" t="s">
        <v>2951</v>
      </c>
      <c r="G536" s="44" t="s">
        <v>2952</v>
      </c>
      <c r="H536" s="357" t="s">
        <v>2953</v>
      </c>
      <c r="I536" s="341">
        <v>45478.0</v>
      </c>
      <c r="J536" s="341">
        <v>45663.0</v>
      </c>
      <c r="K536" s="357" t="s">
        <v>2954</v>
      </c>
      <c r="L536" s="43"/>
      <c r="M536" s="357" t="s">
        <v>2928</v>
      </c>
      <c r="N536" s="357" t="s">
        <v>2929</v>
      </c>
      <c r="O536" s="43"/>
      <c r="P536" s="357" t="s">
        <v>2930</v>
      </c>
      <c r="Q536" s="101" t="str">
        <f t="array" ref="Q536"> if(iserror(MATCH(V536, 'File Links'!C:C, 0)), "N/A", HYPERLINK(INDEX('File Links'!B:B, MATCH(P536, 'File Links'!C:C, 0))))</f>
        <v>https://drive.google.com/file/d/1IfVJze_D0VNVGP0qGB9jOH8T88AinA4X/view?usp=drivesdk</v>
      </c>
      <c r="R536" s="357" t="s">
        <v>2931</v>
      </c>
      <c r="S536" s="357" t="s">
        <v>2932</v>
      </c>
      <c r="T536" s="43"/>
      <c r="U536" s="497">
        <v>1.0</v>
      </c>
      <c r="V536" s="357" t="str">
        <f t="shared" si="25"/>
        <v>10.1007--s10834-024-09975-7.pdf</v>
      </c>
      <c r="W536" s="357" t="s">
        <v>2955</v>
      </c>
      <c r="X536" s="51" t="str">
        <f t="array" ref="X536"> if(iserror(MATCH(V536, 'File Links'!C:C, 0)), "N/A", HYPERLINK(INDEX('File Links'!B:B, MATCH(V536, 'File Links'!C:C, 0))))</f>
        <v>https://drive.google.com/file/d/1kvzfXjBDZmFTCeJVlsPrywrDLzw17fXw/view?usp=drivesdk</v>
      </c>
      <c r="Y536" s="339"/>
      <c r="Z536" s="357" t="s">
        <v>219</v>
      </c>
      <c r="AA536" s="864" t="s">
        <v>2956</v>
      </c>
      <c r="AB536" s="43" t="s">
        <v>2957</v>
      </c>
      <c r="AC536" s="357" t="s">
        <v>2958</v>
      </c>
      <c r="AD536" s="357" t="s">
        <v>2959</v>
      </c>
      <c r="AE536" s="354">
        <v>23.0</v>
      </c>
      <c r="AF536" s="354">
        <v>272.0</v>
      </c>
      <c r="AG536" s="382">
        <v>0.273</v>
      </c>
      <c r="AH536" s="357" t="s">
        <v>980</v>
      </c>
      <c r="AI536" s="357" t="s">
        <v>2960</v>
      </c>
      <c r="AJ536" s="383">
        <v>0.053</v>
      </c>
      <c r="AK536" s="44" t="s">
        <v>165</v>
      </c>
      <c r="AL536" s="44" t="s">
        <v>179</v>
      </c>
      <c r="AM536" s="43" t="s">
        <v>134</v>
      </c>
      <c r="AN536" s="53" t="s">
        <v>131</v>
      </c>
      <c r="AO536" s="354">
        <v>590.0</v>
      </c>
      <c r="AP536" s="354">
        <v>0.012</v>
      </c>
      <c r="AQ536" s="357" t="s">
        <v>980</v>
      </c>
      <c r="AR536" s="357" t="s">
        <v>2961</v>
      </c>
      <c r="AS536" s="357" t="s">
        <v>2375</v>
      </c>
      <c r="AT536" s="43"/>
      <c r="AU536" s="357" t="s">
        <v>179</v>
      </c>
      <c r="AV536" s="43" t="s">
        <v>134</v>
      </c>
      <c r="AW536" s="863" t="s">
        <v>131</v>
      </c>
      <c r="AX536" s="43" t="s">
        <v>431</v>
      </c>
      <c r="AY536" s="337" t="s">
        <v>2940</v>
      </c>
      <c r="AZ536" s="338" t="s">
        <v>685</v>
      </c>
      <c r="BA536" s="339"/>
      <c r="BB536" s="339"/>
      <c r="BC536" s="339"/>
      <c r="BD536" s="339"/>
      <c r="BE536" s="339"/>
      <c r="BF536" s="339"/>
      <c r="BG536" s="339"/>
      <c r="BH536" s="339"/>
      <c r="BI536" s="339"/>
      <c r="BJ536" s="339"/>
      <c r="BK536" s="339"/>
      <c r="BL536" s="339"/>
      <c r="BM536" s="339"/>
      <c r="BN536" s="339"/>
      <c r="BO536" s="339"/>
      <c r="BP536" s="339"/>
      <c r="BQ536" s="339"/>
      <c r="BR536" s="339"/>
      <c r="BS536" s="339"/>
      <c r="BT536" s="339"/>
      <c r="BU536" s="339"/>
      <c r="BV536" s="339"/>
      <c r="BW536" s="339"/>
      <c r="BX536" s="339"/>
      <c r="BY536" s="339"/>
      <c r="BZ536" s="339"/>
      <c r="CA536" s="339"/>
      <c r="CB536" s="339"/>
      <c r="CC536" s="339"/>
      <c r="CD536" s="339"/>
      <c r="CE536" s="339"/>
      <c r="CF536" s="339"/>
      <c r="CG536" s="339"/>
      <c r="CH536" s="339"/>
      <c r="CI536" s="339"/>
      <c r="CJ536" s="339"/>
      <c r="CK536" s="339"/>
      <c r="CL536" s="339"/>
      <c r="CM536" s="339"/>
      <c r="CN536" s="339"/>
      <c r="CO536" s="339"/>
      <c r="CP536" s="339"/>
      <c r="CQ536" s="339"/>
      <c r="CR536" s="339"/>
      <c r="CS536" s="339"/>
      <c r="CT536" s="339"/>
      <c r="CU536" s="339"/>
      <c r="CV536" s="339"/>
      <c r="CW536" s="339"/>
      <c r="CX536" s="339"/>
      <c r="CY536" s="339"/>
      <c r="CZ536" s="339"/>
      <c r="DA536" s="339"/>
      <c r="DB536" s="339"/>
      <c r="DC536" s="339"/>
      <c r="DD536" s="339"/>
      <c r="DE536" s="339"/>
      <c r="DF536" s="339"/>
      <c r="DG536" s="339"/>
      <c r="DH536" s="339"/>
    </row>
    <row r="537" ht="20.25" customHeight="1">
      <c r="A537" s="351">
        <v>537.0</v>
      </c>
      <c r="B537" s="337" t="s">
        <v>107</v>
      </c>
      <c r="C537" s="338" t="s">
        <v>108</v>
      </c>
      <c r="D537" s="338" t="s">
        <v>2950</v>
      </c>
      <c r="E537" s="339"/>
      <c r="F537" s="357" t="s">
        <v>2962</v>
      </c>
      <c r="G537" s="44" t="s">
        <v>2952</v>
      </c>
      <c r="H537" s="357" t="s">
        <v>2953</v>
      </c>
      <c r="I537" s="341">
        <v>45478.0</v>
      </c>
      <c r="J537" s="341">
        <v>45663.0</v>
      </c>
      <c r="K537" s="43"/>
      <c r="L537" s="43"/>
      <c r="M537" s="357" t="s">
        <v>2963</v>
      </c>
      <c r="N537" s="357" t="s">
        <v>2964</v>
      </c>
      <c r="O537" s="43"/>
      <c r="P537" s="357" t="s">
        <v>2930</v>
      </c>
      <c r="Q537" s="101" t="str">
        <f t="array" ref="Q537"> if(iserror(MATCH(V537, 'File Links'!C:C, 0)), "N/A", HYPERLINK(INDEX('File Links'!B:B, MATCH(P537, 'File Links'!C:C, 0))))</f>
        <v>https://drive.google.com/file/d/1IfVJze_D0VNVGP0qGB9jOH8T88AinA4X/view?usp=drivesdk</v>
      </c>
      <c r="R537" s="357" t="s">
        <v>2965</v>
      </c>
      <c r="S537" s="357" t="s">
        <v>2932</v>
      </c>
      <c r="T537" s="43"/>
      <c r="U537" s="497">
        <v>1.0</v>
      </c>
      <c r="V537" s="357" t="str">
        <f t="shared" si="25"/>
        <v>10.1007--s10834-024-09975-7.pdf</v>
      </c>
      <c r="W537" s="357" t="s">
        <v>2955</v>
      </c>
      <c r="X537" s="51" t="str">
        <f t="array" ref="X537"> if(iserror(MATCH(V537, 'File Links'!C:C, 0)), "N/A", HYPERLINK(INDEX('File Links'!B:B, MATCH(V537, 'File Links'!C:C, 0))))</f>
        <v>https://drive.google.com/file/d/1kvzfXjBDZmFTCeJVlsPrywrDLzw17fXw/view?usp=drivesdk</v>
      </c>
      <c r="Y537" s="339"/>
      <c r="Z537" s="357" t="s">
        <v>219</v>
      </c>
      <c r="AA537" s="864" t="s">
        <v>2956</v>
      </c>
      <c r="AB537" s="43" t="s">
        <v>2957</v>
      </c>
      <c r="AC537" s="357" t="s">
        <v>2966</v>
      </c>
      <c r="AD537" s="357" t="s">
        <v>2967</v>
      </c>
      <c r="AE537" s="354">
        <v>23.0</v>
      </c>
      <c r="AF537" s="354">
        <v>358.0</v>
      </c>
      <c r="AG537" s="382">
        <v>0.292</v>
      </c>
      <c r="AH537" s="357" t="s">
        <v>980</v>
      </c>
      <c r="AI537" s="357" t="s">
        <v>2968</v>
      </c>
      <c r="AJ537" s="383">
        <v>0.012</v>
      </c>
      <c r="AK537" s="44" t="s">
        <v>165</v>
      </c>
      <c r="AL537" s="44" t="s">
        <v>179</v>
      </c>
      <c r="AM537" s="43" t="s">
        <v>134</v>
      </c>
      <c r="AN537" s="53" t="s">
        <v>131</v>
      </c>
      <c r="AO537" s="354">
        <v>590.0</v>
      </c>
      <c r="AP537" s="354">
        <v>0.062</v>
      </c>
      <c r="AQ537" s="357" t="s">
        <v>980</v>
      </c>
      <c r="AR537" s="357" t="s">
        <v>2961</v>
      </c>
      <c r="AS537" s="357" t="s">
        <v>2375</v>
      </c>
      <c r="AT537" s="43"/>
      <c r="AU537" s="357" t="s">
        <v>179</v>
      </c>
      <c r="AV537" s="43" t="s">
        <v>134</v>
      </c>
      <c r="AW537" s="863" t="s">
        <v>131</v>
      </c>
      <c r="AX537" s="43" t="s">
        <v>431</v>
      </c>
      <c r="AY537" s="337" t="s">
        <v>2940</v>
      </c>
      <c r="AZ537" s="338" t="s">
        <v>685</v>
      </c>
      <c r="BA537" s="339"/>
      <c r="BB537" s="339"/>
      <c r="BC537" s="339"/>
      <c r="BD537" s="339"/>
      <c r="BE537" s="339"/>
      <c r="BF537" s="339"/>
      <c r="BG537" s="339"/>
      <c r="BH537" s="339"/>
      <c r="BI537" s="339"/>
      <c r="BJ537" s="339"/>
      <c r="BK537" s="339"/>
      <c r="BL537" s="339"/>
      <c r="BM537" s="339"/>
      <c r="BN537" s="339"/>
      <c r="BO537" s="339"/>
      <c r="BP537" s="339"/>
      <c r="BQ537" s="339"/>
      <c r="BR537" s="339"/>
      <c r="BS537" s="339"/>
      <c r="BT537" s="339"/>
      <c r="BU537" s="339"/>
      <c r="BV537" s="339"/>
      <c r="BW537" s="339"/>
      <c r="BX537" s="339"/>
      <c r="BY537" s="339"/>
      <c r="BZ537" s="339"/>
      <c r="CA537" s="339"/>
      <c r="CB537" s="339"/>
      <c r="CC537" s="339"/>
      <c r="CD537" s="339"/>
      <c r="CE537" s="339"/>
      <c r="CF537" s="339"/>
      <c r="CG537" s="339"/>
      <c r="CH537" s="339"/>
      <c r="CI537" s="339"/>
      <c r="CJ537" s="339"/>
      <c r="CK537" s="339"/>
      <c r="CL537" s="339"/>
      <c r="CM537" s="339"/>
      <c r="CN537" s="339"/>
      <c r="CO537" s="339"/>
      <c r="CP537" s="339"/>
      <c r="CQ537" s="339"/>
      <c r="CR537" s="339"/>
      <c r="CS537" s="339"/>
      <c r="CT537" s="339"/>
      <c r="CU537" s="339"/>
      <c r="CV537" s="339"/>
      <c r="CW537" s="339"/>
      <c r="CX537" s="339"/>
      <c r="CY537" s="339"/>
      <c r="CZ537" s="339"/>
      <c r="DA537" s="339"/>
      <c r="DB537" s="339"/>
      <c r="DC537" s="339"/>
      <c r="DD537" s="339"/>
      <c r="DE537" s="339"/>
      <c r="DF537" s="339"/>
      <c r="DG537" s="339"/>
      <c r="DH537" s="339"/>
    </row>
    <row r="538" ht="20.25" customHeight="1">
      <c r="A538" s="351">
        <v>538.0</v>
      </c>
      <c r="B538" s="337" t="s">
        <v>107</v>
      </c>
      <c r="C538" s="338" t="s">
        <v>108</v>
      </c>
      <c r="D538" s="338" t="s">
        <v>2950</v>
      </c>
      <c r="E538" s="339"/>
      <c r="F538" s="357" t="s">
        <v>2969</v>
      </c>
      <c r="G538" s="44" t="s">
        <v>2952</v>
      </c>
      <c r="H538" s="357" t="s">
        <v>2953</v>
      </c>
      <c r="I538" s="341">
        <v>45478.0</v>
      </c>
      <c r="J538" s="341">
        <v>45663.0</v>
      </c>
      <c r="K538" s="43"/>
      <c r="L538" s="43"/>
      <c r="M538" s="865" t="s">
        <v>2970</v>
      </c>
      <c r="N538" s="357" t="s">
        <v>2971</v>
      </c>
      <c r="O538" s="43"/>
      <c r="P538" s="357" t="s">
        <v>2930</v>
      </c>
      <c r="Q538" s="101" t="str">
        <f t="array" ref="Q538"> if(iserror(MATCH(V538, 'File Links'!C:C, 0)), "N/A", HYPERLINK(INDEX('File Links'!B:B, MATCH(P538, 'File Links'!C:C, 0))))</f>
        <v>https://drive.google.com/file/d/1IfVJze_D0VNVGP0qGB9jOH8T88AinA4X/view?usp=drivesdk</v>
      </c>
      <c r="R538" s="865" t="s">
        <v>2972</v>
      </c>
      <c r="S538" s="357" t="s">
        <v>2932</v>
      </c>
      <c r="T538" s="43"/>
      <c r="U538" s="497">
        <v>1.0</v>
      </c>
      <c r="V538" s="357" t="str">
        <f t="shared" si="25"/>
        <v>10.1007--s10834-024-09975-7.pdf</v>
      </c>
      <c r="W538" s="357" t="s">
        <v>2955</v>
      </c>
      <c r="X538" s="51" t="str">
        <f t="array" ref="X538"> if(iserror(MATCH(V538, 'File Links'!C:C, 0)), "N/A", HYPERLINK(INDEX('File Links'!B:B, MATCH(V538, 'File Links'!C:C, 0))))</f>
        <v>https://drive.google.com/file/d/1kvzfXjBDZmFTCeJVlsPrywrDLzw17fXw/view?usp=drivesdk</v>
      </c>
      <c r="Y538" s="339"/>
      <c r="Z538" s="357" t="s">
        <v>219</v>
      </c>
      <c r="AA538" s="864" t="s">
        <v>2956</v>
      </c>
      <c r="AB538" s="43" t="s">
        <v>2957</v>
      </c>
      <c r="AC538" s="357" t="s">
        <v>2973</v>
      </c>
      <c r="AD538" s="357" t="s">
        <v>2974</v>
      </c>
      <c r="AE538" s="354">
        <v>23.0</v>
      </c>
      <c r="AF538" s="354">
        <v>318.0</v>
      </c>
      <c r="AG538" s="354">
        <v>0.269</v>
      </c>
      <c r="AH538" s="357" t="s">
        <v>980</v>
      </c>
      <c r="AI538" s="357" t="s">
        <v>2975</v>
      </c>
      <c r="AJ538" s="50">
        <v>0.037</v>
      </c>
      <c r="AK538" s="44" t="s">
        <v>165</v>
      </c>
      <c r="AL538" s="44" t="s">
        <v>179</v>
      </c>
      <c r="AM538" s="43" t="s">
        <v>134</v>
      </c>
      <c r="AN538" s="53" t="s">
        <v>131</v>
      </c>
      <c r="AO538" s="354">
        <v>590.0</v>
      </c>
      <c r="AP538" s="354">
        <v>0.124</v>
      </c>
      <c r="AQ538" s="357" t="s">
        <v>980</v>
      </c>
      <c r="AR538" s="357" t="s">
        <v>2961</v>
      </c>
      <c r="AS538" s="354">
        <v>0.1</v>
      </c>
      <c r="AT538" s="357" t="s">
        <v>128</v>
      </c>
      <c r="AU538" s="357" t="s">
        <v>179</v>
      </c>
      <c r="AV538" s="43" t="s">
        <v>134</v>
      </c>
      <c r="AW538" s="863" t="s">
        <v>131</v>
      </c>
      <c r="AX538" s="43" t="s">
        <v>431</v>
      </c>
      <c r="AY538" s="337" t="s">
        <v>2940</v>
      </c>
      <c r="AZ538" s="338" t="s">
        <v>685</v>
      </c>
      <c r="BA538" s="339"/>
      <c r="BB538" s="339"/>
      <c r="BC538" s="339"/>
      <c r="BD538" s="339"/>
      <c r="BE538" s="339"/>
      <c r="BF538" s="339"/>
      <c r="BG538" s="339"/>
      <c r="BH538" s="339"/>
      <c r="BI538" s="339"/>
      <c r="BJ538" s="339"/>
      <c r="BK538" s="339"/>
      <c r="BL538" s="339"/>
      <c r="BM538" s="339"/>
      <c r="BN538" s="339"/>
      <c r="BO538" s="339"/>
      <c r="BP538" s="339"/>
      <c r="BQ538" s="339"/>
      <c r="BR538" s="339"/>
      <c r="BS538" s="339"/>
      <c r="BT538" s="339"/>
      <c r="BU538" s="339"/>
      <c r="BV538" s="339"/>
      <c r="BW538" s="339"/>
      <c r="BX538" s="339"/>
      <c r="BY538" s="339"/>
      <c r="BZ538" s="339"/>
      <c r="CA538" s="339"/>
      <c r="CB538" s="339"/>
      <c r="CC538" s="339"/>
      <c r="CD538" s="339"/>
      <c r="CE538" s="339"/>
      <c r="CF538" s="339"/>
      <c r="CG538" s="339"/>
      <c r="CH538" s="339"/>
      <c r="CI538" s="339"/>
      <c r="CJ538" s="339"/>
      <c r="CK538" s="339"/>
      <c r="CL538" s="339"/>
      <c r="CM538" s="339"/>
      <c r="CN538" s="339"/>
      <c r="CO538" s="339"/>
      <c r="CP538" s="339"/>
      <c r="CQ538" s="339"/>
      <c r="CR538" s="339"/>
      <c r="CS538" s="339"/>
      <c r="CT538" s="339"/>
      <c r="CU538" s="339"/>
      <c r="CV538" s="339"/>
      <c r="CW538" s="339"/>
      <c r="CX538" s="339"/>
      <c r="CY538" s="339"/>
      <c r="CZ538" s="339"/>
      <c r="DA538" s="339"/>
      <c r="DB538" s="339"/>
      <c r="DC538" s="339"/>
      <c r="DD538" s="339"/>
      <c r="DE538" s="339"/>
      <c r="DF538" s="339"/>
      <c r="DG538" s="339"/>
      <c r="DH538" s="339"/>
    </row>
    <row r="539" ht="20.25" customHeight="1">
      <c r="A539" s="351">
        <v>539.0</v>
      </c>
      <c r="B539" s="337" t="s">
        <v>107</v>
      </c>
      <c r="C539" s="338" t="s">
        <v>108</v>
      </c>
      <c r="D539" s="338" t="s">
        <v>2950</v>
      </c>
      <c r="E539" s="339"/>
      <c r="F539" s="357" t="s">
        <v>2976</v>
      </c>
      <c r="G539" s="44" t="s">
        <v>2952</v>
      </c>
      <c r="H539" s="357" t="s">
        <v>2953</v>
      </c>
      <c r="I539" s="341">
        <v>45478.0</v>
      </c>
      <c r="J539" s="341">
        <v>45663.0</v>
      </c>
      <c r="K539" s="43"/>
      <c r="L539" s="43"/>
      <c r="M539" s="357" t="s">
        <v>2977</v>
      </c>
      <c r="N539" s="357" t="s">
        <v>2978</v>
      </c>
      <c r="O539" s="43"/>
      <c r="P539" s="357" t="s">
        <v>2930</v>
      </c>
      <c r="Q539" s="101" t="str">
        <f t="array" ref="Q539"> if(iserror(MATCH(V539, 'File Links'!C:C, 0)), "N/A", HYPERLINK(INDEX('File Links'!B:B, MATCH(P539, 'File Links'!C:C, 0))))</f>
        <v>https://drive.google.com/file/d/1IfVJze_D0VNVGP0qGB9jOH8T88AinA4X/view?usp=drivesdk</v>
      </c>
      <c r="R539" s="357" t="s">
        <v>2979</v>
      </c>
      <c r="S539" s="357" t="s">
        <v>2932</v>
      </c>
      <c r="T539" s="43"/>
      <c r="U539" s="43"/>
      <c r="V539" s="357" t="str">
        <f t="shared" si="25"/>
        <v>10.1007--s10834-024-09975-7.pdf</v>
      </c>
      <c r="W539" s="357" t="s">
        <v>2955</v>
      </c>
      <c r="X539" s="51" t="str">
        <f t="array" ref="X539"> if(iserror(MATCH(V539, 'File Links'!C:C, 0)), "N/A", HYPERLINK(INDEX('File Links'!B:B, MATCH(V539, 'File Links'!C:C, 0))))</f>
        <v>https://drive.google.com/file/d/1kvzfXjBDZmFTCeJVlsPrywrDLzw17fXw/view?usp=drivesdk</v>
      </c>
      <c r="Y539" s="339"/>
      <c r="Z539" s="357" t="s">
        <v>219</v>
      </c>
      <c r="AA539" s="864" t="s">
        <v>2956</v>
      </c>
      <c r="AB539" s="43" t="s">
        <v>2957</v>
      </c>
      <c r="AC539" s="357" t="s">
        <v>2980</v>
      </c>
      <c r="AD539" s="357" t="s">
        <v>2981</v>
      </c>
      <c r="AE539" s="354">
        <v>24.0</v>
      </c>
      <c r="AF539" s="354">
        <v>346.0</v>
      </c>
      <c r="AG539" s="382">
        <v>0.309</v>
      </c>
      <c r="AH539" s="357" t="s">
        <v>980</v>
      </c>
      <c r="AI539" s="357" t="s">
        <v>2982</v>
      </c>
      <c r="AJ539" s="383">
        <v>0.003</v>
      </c>
      <c r="AK539" s="44" t="s">
        <v>165</v>
      </c>
      <c r="AL539" s="44" t="s">
        <v>179</v>
      </c>
      <c r="AM539" s="43" t="s">
        <v>134</v>
      </c>
      <c r="AN539" s="53" t="s">
        <v>131</v>
      </c>
      <c r="AO539" s="354">
        <v>571.0</v>
      </c>
      <c r="AP539" s="354">
        <v>0.034</v>
      </c>
      <c r="AQ539" s="357" t="s">
        <v>980</v>
      </c>
      <c r="AR539" s="357" t="s">
        <v>2961</v>
      </c>
      <c r="AS539" s="357" t="s">
        <v>2375</v>
      </c>
      <c r="AT539" s="43"/>
      <c r="AU539" s="357" t="s">
        <v>179</v>
      </c>
      <c r="AV539" s="43" t="s">
        <v>134</v>
      </c>
      <c r="AW539" s="863" t="s">
        <v>131</v>
      </c>
      <c r="AX539" s="43" t="s">
        <v>431</v>
      </c>
      <c r="AY539" s="337" t="s">
        <v>2940</v>
      </c>
      <c r="AZ539" s="338" t="s">
        <v>685</v>
      </c>
      <c r="BA539" s="339"/>
      <c r="BB539" s="339"/>
      <c r="BC539" s="339"/>
      <c r="BD539" s="339"/>
      <c r="BE539" s="339"/>
      <c r="BF539" s="339"/>
      <c r="BG539" s="339"/>
      <c r="BH539" s="339"/>
      <c r="BI539" s="339"/>
      <c r="BJ539" s="339"/>
      <c r="BK539" s="339"/>
      <c r="BL539" s="339"/>
      <c r="BM539" s="339"/>
      <c r="BN539" s="339"/>
      <c r="BO539" s="339"/>
      <c r="BP539" s="339"/>
      <c r="BQ539" s="339"/>
      <c r="BR539" s="339"/>
      <c r="BS539" s="339"/>
      <c r="BT539" s="339"/>
      <c r="BU539" s="339"/>
      <c r="BV539" s="339"/>
      <c r="BW539" s="339"/>
      <c r="BX539" s="339"/>
      <c r="BY539" s="339"/>
      <c r="BZ539" s="339"/>
      <c r="CA539" s="339"/>
      <c r="CB539" s="339"/>
      <c r="CC539" s="339"/>
      <c r="CD539" s="339"/>
      <c r="CE539" s="339"/>
      <c r="CF539" s="339"/>
      <c r="CG539" s="339"/>
      <c r="CH539" s="339"/>
      <c r="CI539" s="339"/>
      <c r="CJ539" s="339"/>
      <c r="CK539" s="339"/>
      <c r="CL539" s="339"/>
      <c r="CM539" s="339"/>
      <c r="CN539" s="339"/>
      <c r="CO539" s="339"/>
      <c r="CP539" s="339"/>
      <c r="CQ539" s="339"/>
      <c r="CR539" s="339"/>
      <c r="CS539" s="339"/>
      <c r="CT539" s="339"/>
      <c r="CU539" s="339"/>
      <c r="CV539" s="339"/>
      <c r="CW539" s="339"/>
      <c r="CX539" s="339"/>
      <c r="CY539" s="339"/>
      <c r="CZ539" s="339"/>
      <c r="DA539" s="339"/>
      <c r="DB539" s="339"/>
      <c r="DC539" s="339"/>
      <c r="DD539" s="339"/>
      <c r="DE539" s="339"/>
      <c r="DF539" s="339"/>
      <c r="DG539" s="339"/>
      <c r="DH539" s="339"/>
    </row>
    <row r="540" ht="20.25" customHeight="1">
      <c r="A540" s="351">
        <v>540.0</v>
      </c>
      <c r="B540" s="337" t="s">
        <v>107</v>
      </c>
      <c r="C540" s="338" t="s">
        <v>108</v>
      </c>
      <c r="D540" s="338" t="s">
        <v>2950</v>
      </c>
      <c r="E540" s="339"/>
      <c r="F540" s="357" t="s">
        <v>2983</v>
      </c>
      <c r="G540" s="44" t="s">
        <v>2952</v>
      </c>
      <c r="H540" s="357" t="s">
        <v>2953</v>
      </c>
      <c r="I540" s="341">
        <v>45478.0</v>
      </c>
      <c r="J540" s="341">
        <v>45663.0</v>
      </c>
      <c r="K540" s="43"/>
      <c r="L540" s="43"/>
      <c r="M540" s="357" t="s">
        <v>2984</v>
      </c>
      <c r="N540" s="357" t="s">
        <v>2985</v>
      </c>
      <c r="O540" s="43"/>
      <c r="P540" s="357" t="s">
        <v>2930</v>
      </c>
      <c r="Q540" s="101" t="str">
        <f t="array" ref="Q540"> if(iserror(MATCH(V540, 'File Links'!C:C, 0)), "N/A", HYPERLINK(INDEX('File Links'!B:B, MATCH(P540, 'File Links'!C:C, 0))))</f>
        <v>https://drive.google.com/file/d/1IfVJze_D0VNVGP0qGB9jOH8T88AinA4X/view?usp=drivesdk</v>
      </c>
      <c r="R540" s="357" t="s">
        <v>2986</v>
      </c>
      <c r="S540" s="357" t="s">
        <v>2932</v>
      </c>
      <c r="T540" s="43"/>
      <c r="U540" s="43"/>
      <c r="V540" s="357" t="str">
        <f t="shared" si="25"/>
        <v>10.1007--s10834-024-09975-7.pdf</v>
      </c>
      <c r="W540" s="357" t="s">
        <v>2955</v>
      </c>
      <c r="X540" s="51" t="str">
        <f t="array" ref="X540"> if(iserror(MATCH(V540, 'File Links'!C:C, 0)), "N/A", HYPERLINK(INDEX('File Links'!B:B, MATCH(V540, 'File Links'!C:C, 0))))</f>
        <v>https://drive.google.com/file/d/1kvzfXjBDZmFTCeJVlsPrywrDLzw17fXw/view?usp=drivesdk</v>
      </c>
      <c r="Y540" s="339"/>
      <c r="Z540" s="357" t="s">
        <v>219</v>
      </c>
      <c r="AA540" s="864" t="s">
        <v>2956</v>
      </c>
      <c r="AB540" s="43" t="s">
        <v>2957</v>
      </c>
      <c r="AC540" s="357" t="s">
        <v>2987</v>
      </c>
      <c r="AD540" s="357" t="s">
        <v>2988</v>
      </c>
      <c r="AE540" s="354">
        <v>24.0</v>
      </c>
      <c r="AF540" s="354">
        <v>260.0</v>
      </c>
      <c r="AG540" s="382">
        <v>0.06</v>
      </c>
      <c r="AH540" s="357" t="s">
        <v>980</v>
      </c>
      <c r="AI540" s="357" t="s">
        <v>2989</v>
      </c>
      <c r="AJ540" s="383">
        <v>0.702</v>
      </c>
      <c r="AK540" s="44" t="s">
        <v>165</v>
      </c>
      <c r="AL540" s="44" t="s">
        <v>179</v>
      </c>
      <c r="AM540" s="43" t="s">
        <v>134</v>
      </c>
      <c r="AN540" s="53" t="s">
        <v>131</v>
      </c>
      <c r="AO540" s="354">
        <v>588.0</v>
      </c>
      <c r="AP540" s="354">
        <v>-0.075</v>
      </c>
      <c r="AQ540" s="357" t="s">
        <v>980</v>
      </c>
      <c r="AR540" s="357" t="s">
        <v>2961</v>
      </c>
      <c r="AS540" s="357" t="s">
        <v>2375</v>
      </c>
      <c r="AT540" s="43"/>
      <c r="AU540" s="357" t="s">
        <v>179</v>
      </c>
      <c r="AV540" s="43" t="s">
        <v>134</v>
      </c>
      <c r="AW540" s="863" t="s">
        <v>131</v>
      </c>
      <c r="AX540" s="43" t="s">
        <v>431</v>
      </c>
      <c r="AY540" s="337" t="s">
        <v>2940</v>
      </c>
      <c r="AZ540" s="338" t="s">
        <v>685</v>
      </c>
      <c r="BA540" s="339"/>
      <c r="BB540" s="339"/>
      <c r="BC540" s="339"/>
      <c r="BD540" s="339"/>
      <c r="BE540" s="339"/>
      <c r="BF540" s="339"/>
      <c r="BG540" s="339"/>
      <c r="BH540" s="339"/>
      <c r="BI540" s="339"/>
      <c r="BJ540" s="339"/>
      <c r="BK540" s="339"/>
      <c r="BL540" s="339"/>
      <c r="BM540" s="339"/>
      <c r="BN540" s="339"/>
      <c r="BO540" s="339"/>
      <c r="BP540" s="339"/>
      <c r="BQ540" s="339"/>
      <c r="BR540" s="339"/>
      <c r="BS540" s="339"/>
      <c r="BT540" s="339"/>
      <c r="BU540" s="339"/>
      <c r="BV540" s="339"/>
      <c r="BW540" s="339"/>
      <c r="BX540" s="339"/>
      <c r="BY540" s="339"/>
      <c r="BZ540" s="339"/>
      <c r="CA540" s="339"/>
      <c r="CB540" s="339"/>
      <c r="CC540" s="339"/>
      <c r="CD540" s="339"/>
      <c r="CE540" s="339"/>
      <c r="CF540" s="339"/>
      <c r="CG540" s="339"/>
      <c r="CH540" s="339"/>
      <c r="CI540" s="339"/>
      <c r="CJ540" s="339"/>
      <c r="CK540" s="339"/>
      <c r="CL540" s="339"/>
      <c r="CM540" s="339"/>
      <c r="CN540" s="339"/>
      <c r="CO540" s="339"/>
      <c r="CP540" s="339"/>
      <c r="CQ540" s="339"/>
      <c r="CR540" s="339"/>
      <c r="CS540" s="339"/>
      <c r="CT540" s="339"/>
      <c r="CU540" s="339"/>
      <c r="CV540" s="339"/>
      <c r="CW540" s="339"/>
      <c r="CX540" s="339"/>
      <c r="CY540" s="339"/>
      <c r="CZ540" s="339"/>
      <c r="DA540" s="339"/>
      <c r="DB540" s="339"/>
      <c r="DC540" s="339"/>
      <c r="DD540" s="339"/>
      <c r="DE540" s="339"/>
      <c r="DF540" s="339"/>
      <c r="DG540" s="339"/>
      <c r="DH540" s="339"/>
    </row>
    <row r="541" ht="20.25" customHeight="1">
      <c r="A541" s="351">
        <v>541.0</v>
      </c>
      <c r="B541" s="337" t="s">
        <v>107</v>
      </c>
      <c r="C541" s="338" t="s">
        <v>108</v>
      </c>
      <c r="D541" s="338" t="s">
        <v>2950</v>
      </c>
      <c r="E541" s="339"/>
      <c r="F541" s="357" t="s">
        <v>2990</v>
      </c>
      <c r="G541" s="44" t="s">
        <v>2952</v>
      </c>
      <c r="H541" s="357" t="s">
        <v>2953</v>
      </c>
      <c r="I541" s="341">
        <v>45478.0</v>
      </c>
      <c r="J541" s="341">
        <v>45663.0</v>
      </c>
      <c r="K541" s="357" t="s">
        <v>2991</v>
      </c>
      <c r="L541" s="43"/>
      <c r="M541" s="357" t="s">
        <v>2992</v>
      </c>
      <c r="N541" s="357" t="s">
        <v>2993</v>
      </c>
      <c r="O541" s="43"/>
      <c r="P541" s="357" t="s">
        <v>2930</v>
      </c>
      <c r="Q541" s="101" t="str">
        <f t="array" ref="Q541"> if(iserror(MATCH(V541, 'File Links'!C:C, 0)), "N/A", HYPERLINK(INDEX('File Links'!B:B, MATCH(P541, 'File Links'!C:C, 0))))</f>
        <v>https://drive.google.com/file/d/1IfVJze_D0VNVGP0qGB9jOH8T88AinA4X/view?usp=drivesdk</v>
      </c>
      <c r="R541" s="357" t="s">
        <v>2994</v>
      </c>
      <c r="S541" s="357" t="s">
        <v>2932</v>
      </c>
      <c r="T541" s="43"/>
      <c r="U541" s="43"/>
      <c r="V541" s="357" t="str">
        <f t="shared" si="25"/>
        <v>10.1007--s10834-024-09975-7.pdf</v>
      </c>
      <c r="W541" s="357" t="s">
        <v>2955</v>
      </c>
      <c r="X541" s="51" t="str">
        <f t="array" ref="X541"> if(iserror(MATCH(V541, 'File Links'!C:C, 0)), "N/A", HYPERLINK(INDEX('File Links'!B:B, MATCH(V541, 'File Links'!C:C, 0))))</f>
        <v>https://drive.google.com/file/d/1kvzfXjBDZmFTCeJVlsPrywrDLzw17fXw/view?usp=drivesdk</v>
      </c>
      <c r="Y541" s="339"/>
      <c r="Z541" s="357" t="s">
        <v>219</v>
      </c>
      <c r="AA541" s="864" t="s">
        <v>2956</v>
      </c>
      <c r="AB541" s="43" t="s">
        <v>2957</v>
      </c>
      <c r="AC541" s="357" t="s">
        <v>2995</v>
      </c>
      <c r="AD541" s="357" t="s">
        <v>2996</v>
      </c>
      <c r="AE541" s="354">
        <v>25.0</v>
      </c>
      <c r="AF541" s="354">
        <v>332.0</v>
      </c>
      <c r="AG541" s="382">
        <v>0.324</v>
      </c>
      <c r="AH541" s="357" t="s">
        <v>980</v>
      </c>
      <c r="AI541" s="357" t="s">
        <v>2997</v>
      </c>
      <c r="AJ541" s="383">
        <v>0.05</v>
      </c>
      <c r="AK541" s="44" t="s">
        <v>128</v>
      </c>
      <c r="AL541" s="44" t="s">
        <v>179</v>
      </c>
      <c r="AM541" s="43" t="s">
        <v>130</v>
      </c>
      <c r="AN541" s="53" t="s">
        <v>131</v>
      </c>
      <c r="AO541" s="43"/>
      <c r="AP541" s="354">
        <v>0.029</v>
      </c>
      <c r="AQ541" s="357" t="s">
        <v>980</v>
      </c>
      <c r="AR541" s="357" t="s">
        <v>2961</v>
      </c>
      <c r="AS541" s="357" t="s">
        <v>2375</v>
      </c>
      <c r="AT541" s="43"/>
      <c r="AU541" s="357" t="s">
        <v>179</v>
      </c>
      <c r="AV541" s="43" t="s">
        <v>130</v>
      </c>
      <c r="AW541" s="863" t="s">
        <v>131</v>
      </c>
      <c r="AX541" s="43" t="s">
        <v>431</v>
      </c>
      <c r="AY541" s="337" t="s">
        <v>2940</v>
      </c>
      <c r="AZ541" s="338" t="s">
        <v>685</v>
      </c>
      <c r="BA541" s="339"/>
      <c r="BB541" s="339"/>
      <c r="BC541" s="339"/>
      <c r="BD541" s="339"/>
      <c r="BE541" s="339"/>
      <c r="BF541" s="339"/>
      <c r="BG541" s="339"/>
      <c r="BH541" s="339"/>
      <c r="BI541" s="339"/>
      <c r="BJ541" s="339"/>
      <c r="BK541" s="339"/>
      <c r="BL541" s="339"/>
      <c r="BM541" s="339"/>
      <c r="BN541" s="339"/>
      <c r="BO541" s="339"/>
      <c r="BP541" s="339"/>
      <c r="BQ541" s="339"/>
      <c r="BR541" s="339"/>
      <c r="BS541" s="339"/>
      <c r="BT541" s="339"/>
      <c r="BU541" s="339"/>
      <c r="BV541" s="339"/>
      <c r="BW541" s="339"/>
      <c r="BX541" s="339"/>
      <c r="BY541" s="339"/>
      <c r="BZ541" s="339"/>
      <c r="CA541" s="339"/>
      <c r="CB541" s="339"/>
      <c r="CC541" s="339"/>
      <c r="CD541" s="339"/>
      <c r="CE541" s="339"/>
      <c r="CF541" s="339"/>
      <c r="CG541" s="339"/>
      <c r="CH541" s="339"/>
      <c r="CI541" s="339"/>
      <c r="CJ541" s="339"/>
      <c r="CK541" s="339"/>
      <c r="CL541" s="339"/>
      <c r="CM541" s="339"/>
      <c r="CN541" s="339"/>
      <c r="CO541" s="339"/>
      <c r="CP541" s="339"/>
      <c r="CQ541" s="339"/>
      <c r="CR541" s="339"/>
      <c r="CS541" s="339"/>
      <c r="CT541" s="339"/>
      <c r="CU541" s="339"/>
      <c r="CV541" s="339"/>
      <c r="CW541" s="339"/>
      <c r="CX541" s="339"/>
      <c r="CY541" s="339"/>
      <c r="CZ541" s="339"/>
      <c r="DA541" s="339"/>
      <c r="DB541" s="339"/>
      <c r="DC541" s="339"/>
      <c r="DD541" s="339"/>
      <c r="DE541" s="339"/>
      <c r="DF541" s="339"/>
      <c r="DG541" s="339"/>
      <c r="DH541" s="339"/>
    </row>
    <row r="542" ht="20.25" customHeight="1">
      <c r="A542" s="351">
        <v>542.0</v>
      </c>
      <c r="B542" s="337" t="s">
        <v>107</v>
      </c>
      <c r="C542" s="338" t="s">
        <v>108</v>
      </c>
      <c r="D542" s="338" t="s">
        <v>2950</v>
      </c>
      <c r="E542" s="339"/>
      <c r="F542" s="357" t="s">
        <v>2998</v>
      </c>
      <c r="G542" s="44" t="s">
        <v>2952</v>
      </c>
      <c r="H542" s="357" t="s">
        <v>2953</v>
      </c>
      <c r="I542" s="341">
        <v>45478.0</v>
      </c>
      <c r="J542" s="341">
        <v>45663.0</v>
      </c>
      <c r="K542" s="357" t="s">
        <v>2991</v>
      </c>
      <c r="L542" s="43"/>
      <c r="M542" s="357" t="s">
        <v>2999</v>
      </c>
      <c r="N542" s="357" t="s">
        <v>3000</v>
      </c>
      <c r="O542" s="43"/>
      <c r="P542" s="357" t="s">
        <v>2930</v>
      </c>
      <c r="Q542" s="101" t="str">
        <f t="array" ref="Q542"> if(iserror(MATCH(V542, 'File Links'!C:C, 0)), "N/A", HYPERLINK(INDEX('File Links'!B:B, MATCH(P542, 'File Links'!C:C, 0))))</f>
        <v>https://drive.google.com/file/d/1IfVJze_D0VNVGP0qGB9jOH8T88AinA4X/view?usp=drivesdk</v>
      </c>
      <c r="R542" s="357" t="s">
        <v>3001</v>
      </c>
      <c r="S542" s="357" t="s">
        <v>2932</v>
      </c>
      <c r="T542" s="43"/>
      <c r="U542" s="43"/>
      <c r="V542" s="357" t="str">
        <f t="shared" si="25"/>
        <v>10.1007--s10834-024-09975-7.pdf</v>
      </c>
      <c r="W542" s="357" t="s">
        <v>2955</v>
      </c>
      <c r="X542" s="51" t="str">
        <f t="array" ref="X542"> if(iserror(MATCH(V542, 'File Links'!C:C, 0)), "N/A", HYPERLINK(INDEX('File Links'!B:B, MATCH(V542, 'File Links'!C:C, 0))))</f>
        <v>https://drive.google.com/file/d/1kvzfXjBDZmFTCeJVlsPrywrDLzw17fXw/view?usp=drivesdk</v>
      </c>
      <c r="Y542" s="339"/>
      <c r="Z542" s="357" t="s">
        <v>219</v>
      </c>
      <c r="AA542" s="864" t="s">
        <v>2956</v>
      </c>
      <c r="AB542" s="43" t="s">
        <v>2957</v>
      </c>
      <c r="AC542" s="357" t="s">
        <v>3002</v>
      </c>
      <c r="AD542" s="357" t="s">
        <v>2996</v>
      </c>
      <c r="AE542" s="354">
        <v>25.0</v>
      </c>
      <c r="AF542" s="382">
        <v>332.0</v>
      </c>
      <c r="AG542" s="354">
        <v>-0.058</v>
      </c>
      <c r="AH542" s="357" t="s">
        <v>980</v>
      </c>
      <c r="AI542" s="357" t="s">
        <v>3003</v>
      </c>
      <c r="AJ542" s="48" t="s">
        <v>2375</v>
      </c>
      <c r="AK542" s="46"/>
      <c r="AL542" s="44" t="s">
        <v>179</v>
      </c>
      <c r="AM542" s="43" t="s">
        <v>130</v>
      </c>
      <c r="AN542" s="53" t="s">
        <v>131</v>
      </c>
      <c r="AO542" s="43"/>
      <c r="AP542" s="354">
        <v>-0.032</v>
      </c>
      <c r="AQ542" s="357" t="s">
        <v>980</v>
      </c>
      <c r="AR542" s="357" t="s">
        <v>2961</v>
      </c>
      <c r="AS542" s="357" t="s">
        <v>2375</v>
      </c>
      <c r="AT542" s="43"/>
      <c r="AU542" s="357" t="s">
        <v>179</v>
      </c>
      <c r="AV542" s="43" t="s">
        <v>130</v>
      </c>
      <c r="AW542" s="863" t="s">
        <v>131</v>
      </c>
      <c r="AX542" s="43" t="s">
        <v>431</v>
      </c>
      <c r="AY542" s="337" t="s">
        <v>2940</v>
      </c>
      <c r="AZ542" s="338" t="s">
        <v>685</v>
      </c>
      <c r="BA542" s="339"/>
      <c r="BB542" s="339"/>
      <c r="BC542" s="339"/>
      <c r="BD542" s="339"/>
      <c r="BE542" s="339"/>
      <c r="BF542" s="339"/>
      <c r="BG542" s="339"/>
      <c r="BH542" s="339"/>
      <c r="BI542" s="339"/>
      <c r="BJ542" s="339"/>
      <c r="BK542" s="339"/>
      <c r="BL542" s="339"/>
      <c r="BM542" s="339"/>
      <c r="BN542" s="339"/>
      <c r="BO542" s="339"/>
      <c r="BP542" s="339"/>
      <c r="BQ542" s="339"/>
      <c r="BR542" s="339"/>
      <c r="BS542" s="339"/>
      <c r="BT542" s="339"/>
      <c r="BU542" s="339"/>
      <c r="BV542" s="339"/>
      <c r="BW542" s="339"/>
      <c r="BX542" s="339"/>
      <c r="BY542" s="339"/>
      <c r="BZ542" s="339"/>
      <c r="CA542" s="339"/>
      <c r="CB542" s="339"/>
      <c r="CC542" s="339"/>
      <c r="CD542" s="339"/>
      <c r="CE542" s="339"/>
      <c r="CF542" s="339"/>
      <c r="CG542" s="339"/>
      <c r="CH542" s="339"/>
      <c r="CI542" s="339"/>
      <c r="CJ542" s="339"/>
      <c r="CK542" s="339"/>
      <c r="CL542" s="339"/>
      <c r="CM542" s="339"/>
      <c r="CN542" s="339"/>
      <c r="CO542" s="339"/>
      <c r="CP542" s="339"/>
      <c r="CQ542" s="339"/>
      <c r="CR542" s="339"/>
      <c r="CS542" s="339"/>
      <c r="CT542" s="339"/>
      <c r="CU542" s="339"/>
      <c r="CV542" s="339"/>
      <c r="CW542" s="339"/>
      <c r="CX542" s="339"/>
      <c r="CY542" s="339"/>
      <c r="CZ542" s="339"/>
      <c r="DA542" s="339"/>
      <c r="DB542" s="339"/>
      <c r="DC542" s="339"/>
      <c r="DD542" s="339"/>
      <c r="DE542" s="339"/>
      <c r="DF542" s="339"/>
      <c r="DG542" s="339"/>
      <c r="DH542" s="339"/>
    </row>
    <row r="543" ht="20.25" customHeight="1">
      <c r="A543" s="351">
        <v>543.0</v>
      </c>
      <c r="B543" s="337" t="s">
        <v>107</v>
      </c>
      <c r="C543" s="338" t="s">
        <v>108</v>
      </c>
      <c r="D543" s="338" t="s">
        <v>2950</v>
      </c>
      <c r="E543" s="339"/>
      <c r="F543" s="357" t="s">
        <v>3004</v>
      </c>
      <c r="G543" s="44" t="s">
        <v>2952</v>
      </c>
      <c r="H543" s="357" t="s">
        <v>2953</v>
      </c>
      <c r="I543" s="341">
        <v>45478.0</v>
      </c>
      <c r="J543" s="341">
        <v>45663.0</v>
      </c>
      <c r="K543" s="357" t="s">
        <v>2991</v>
      </c>
      <c r="L543" s="43"/>
      <c r="M543" s="357" t="s">
        <v>3005</v>
      </c>
      <c r="N543" s="357" t="s">
        <v>3006</v>
      </c>
      <c r="O543" s="43"/>
      <c r="P543" s="357" t="s">
        <v>2930</v>
      </c>
      <c r="Q543" s="101" t="str">
        <f t="array" ref="Q543"> if(iserror(MATCH(V543, 'File Links'!C:C, 0)), "N/A", HYPERLINK(INDEX('File Links'!B:B, MATCH(P543, 'File Links'!C:C, 0))))</f>
        <v>https://drive.google.com/file/d/1IfVJze_D0VNVGP0qGB9jOH8T88AinA4X/view?usp=drivesdk</v>
      </c>
      <c r="R543" s="357" t="s">
        <v>3007</v>
      </c>
      <c r="S543" s="357" t="s">
        <v>2932</v>
      </c>
      <c r="T543" s="43"/>
      <c r="U543" s="43"/>
      <c r="V543" s="357" t="str">
        <f t="shared" si="25"/>
        <v>10.1007--s10834-024-09975-7.pdf</v>
      </c>
      <c r="W543" s="357" t="s">
        <v>2955</v>
      </c>
      <c r="X543" s="51" t="str">
        <f t="array" ref="X543"> if(iserror(MATCH(V543, 'File Links'!C:C, 0)), "N/A", HYPERLINK(INDEX('File Links'!B:B, MATCH(V543, 'File Links'!C:C, 0))))</f>
        <v>https://drive.google.com/file/d/1kvzfXjBDZmFTCeJVlsPrywrDLzw17fXw/view?usp=drivesdk</v>
      </c>
      <c r="Y543" s="339"/>
      <c r="Z543" s="357" t="s">
        <v>219</v>
      </c>
      <c r="AA543" s="864" t="s">
        <v>2956</v>
      </c>
      <c r="AB543" s="43" t="s">
        <v>2957</v>
      </c>
      <c r="AC543" s="357" t="s">
        <v>3008</v>
      </c>
      <c r="AD543" s="357" t="s">
        <v>2996</v>
      </c>
      <c r="AE543" s="354">
        <v>25.0</v>
      </c>
      <c r="AF543" s="354">
        <v>344.0</v>
      </c>
      <c r="AG543" s="382">
        <v>0.26</v>
      </c>
      <c r="AH543" s="357" t="s">
        <v>980</v>
      </c>
      <c r="AI543" s="357" t="s">
        <v>3009</v>
      </c>
      <c r="AJ543" s="383">
        <v>0.05</v>
      </c>
      <c r="AK543" s="44" t="s">
        <v>128</v>
      </c>
      <c r="AL543" s="44" t="s">
        <v>179</v>
      </c>
      <c r="AM543" s="43" t="s">
        <v>130</v>
      </c>
      <c r="AN543" s="53" t="s">
        <v>131</v>
      </c>
      <c r="AO543" s="43"/>
      <c r="AP543" s="354">
        <v>0.136</v>
      </c>
      <c r="AQ543" s="357" t="s">
        <v>980</v>
      </c>
      <c r="AR543" s="357" t="s">
        <v>2961</v>
      </c>
      <c r="AS543" s="357" t="s">
        <v>2375</v>
      </c>
      <c r="AT543" s="43"/>
      <c r="AU543" s="357" t="s">
        <v>179</v>
      </c>
      <c r="AV543" s="43" t="s">
        <v>130</v>
      </c>
      <c r="AW543" s="863" t="s">
        <v>131</v>
      </c>
      <c r="AX543" s="43" t="s">
        <v>431</v>
      </c>
      <c r="AY543" s="337" t="s">
        <v>2940</v>
      </c>
      <c r="AZ543" s="338" t="s">
        <v>685</v>
      </c>
      <c r="BA543" s="339"/>
      <c r="BB543" s="339"/>
      <c r="BC543" s="339"/>
      <c r="BD543" s="339"/>
      <c r="BE543" s="339"/>
      <c r="BF543" s="339"/>
      <c r="BG543" s="339"/>
      <c r="BH543" s="339"/>
      <c r="BI543" s="339"/>
      <c r="BJ543" s="339"/>
      <c r="BK543" s="339"/>
      <c r="BL543" s="339"/>
      <c r="BM543" s="339"/>
      <c r="BN543" s="339"/>
      <c r="BO543" s="339"/>
      <c r="BP543" s="339"/>
      <c r="BQ543" s="339"/>
      <c r="BR543" s="339"/>
      <c r="BS543" s="339"/>
      <c r="BT543" s="339"/>
      <c r="BU543" s="339"/>
      <c r="BV543" s="339"/>
      <c r="BW543" s="339"/>
      <c r="BX543" s="339"/>
      <c r="BY543" s="339"/>
      <c r="BZ543" s="339"/>
      <c r="CA543" s="339"/>
      <c r="CB543" s="339"/>
      <c r="CC543" s="339"/>
      <c r="CD543" s="339"/>
      <c r="CE543" s="339"/>
      <c r="CF543" s="339"/>
      <c r="CG543" s="339"/>
      <c r="CH543" s="339"/>
      <c r="CI543" s="339"/>
      <c r="CJ543" s="339"/>
      <c r="CK543" s="339"/>
      <c r="CL543" s="339"/>
      <c r="CM543" s="339"/>
      <c r="CN543" s="339"/>
      <c r="CO543" s="339"/>
      <c r="CP543" s="339"/>
      <c r="CQ543" s="339"/>
      <c r="CR543" s="339"/>
      <c r="CS543" s="339"/>
      <c r="CT543" s="339"/>
      <c r="CU543" s="339"/>
      <c r="CV543" s="339"/>
      <c r="CW543" s="339"/>
      <c r="CX543" s="339"/>
      <c r="CY543" s="339"/>
      <c r="CZ543" s="339"/>
      <c r="DA543" s="339"/>
      <c r="DB543" s="339"/>
      <c r="DC543" s="339"/>
      <c r="DD543" s="339"/>
      <c r="DE543" s="339"/>
      <c r="DF543" s="339"/>
      <c r="DG543" s="339"/>
      <c r="DH543" s="339"/>
    </row>
    <row r="544" ht="20.25" customHeight="1">
      <c r="A544" s="351">
        <v>544.0</v>
      </c>
      <c r="B544" s="337" t="s">
        <v>107</v>
      </c>
      <c r="C544" s="338" t="s">
        <v>108</v>
      </c>
      <c r="D544" s="338" t="s">
        <v>2950</v>
      </c>
      <c r="E544" s="339"/>
      <c r="F544" s="357" t="s">
        <v>3010</v>
      </c>
      <c r="G544" s="44" t="s">
        <v>2952</v>
      </c>
      <c r="H544" s="357" t="s">
        <v>2953</v>
      </c>
      <c r="I544" s="341">
        <v>45478.0</v>
      </c>
      <c r="J544" s="341">
        <v>45663.0</v>
      </c>
      <c r="K544" s="357" t="s">
        <v>2991</v>
      </c>
      <c r="L544" s="43"/>
      <c r="M544" s="357" t="s">
        <v>3011</v>
      </c>
      <c r="N544" s="357" t="s">
        <v>3012</v>
      </c>
      <c r="O544" s="43"/>
      <c r="P544" s="357" t="s">
        <v>2930</v>
      </c>
      <c r="Q544" s="101" t="str">
        <f t="array" ref="Q544"> if(iserror(MATCH(V544, 'File Links'!C:C, 0)), "N/A", HYPERLINK(INDEX('File Links'!B:B, MATCH(P544, 'File Links'!C:C, 0))))</f>
        <v>https://drive.google.com/file/d/1IfVJze_D0VNVGP0qGB9jOH8T88AinA4X/view?usp=drivesdk</v>
      </c>
      <c r="R544" s="357" t="s">
        <v>3013</v>
      </c>
      <c r="S544" s="357" t="s">
        <v>2932</v>
      </c>
      <c r="T544" s="43"/>
      <c r="U544" s="43"/>
      <c r="V544" s="357" t="str">
        <f t="shared" si="25"/>
        <v>10.1007--s10834-024-09975-7.pdf</v>
      </c>
      <c r="W544" s="357" t="s">
        <v>2955</v>
      </c>
      <c r="X544" s="51" t="str">
        <f t="array" ref="X544"> if(iserror(MATCH(V544, 'File Links'!C:C, 0)), "N/A", HYPERLINK(INDEX('File Links'!B:B, MATCH(V544, 'File Links'!C:C, 0))))</f>
        <v>https://drive.google.com/file/d/1kvzfXjBDZmFTCeJVlsPrywrDLzw17fXw/view?usp=drivesdk</v>
      </c>
      <c r="Y544" s="339"/>
      <c r="Z544" s="357" t="s">
        <v>219</v>
      </c>
      <c r="AA544" s="864" t="s">
        <v>2956</v>
      </c>
      <c r="AB544" s="43" t="s">
        <v>2957</v>
      </c>
      <c r="AC544" s="357" t="s">
        <v>3014</v>
      </c>
      <c r="AD544" s="357" t="s">
        <v>2996</v>
      </c>
      <c r="AE544" s="354">
        <v>25.0</v>
      </c>
      <c r="AF544" s="354">
        <v>344.0</v>
      </c>
      <c r="AG544" s="382">
        <v>-0.005</v>
      </c>
      <c r="AH544" s="357" t="s">
        <v>980</v>
      </c>
      <c r="AI544" s="357" t="s">
        <v>3015</v>
      </c>
      <c r="AJ544" s="48" t="s">
        <v>2375</v>
      </c>
      <c r="AK544" s="46"/>
      <c r="AL544" s="44" t="s">
        <v>179</v>
      </c>
      <c r="AM544" s="43" t="s">
        <v>130</v>
      </c>
      <c r="AN544" s="53" t="s">
        <v>131</v>
      </c>
      <c r="AO544" s="43"/>
      <c r="AP544" s="354">
        <v>-0.131</v>
      </c>
      <c r="AQ544" s="357" t="s">
        <v>980</v>
      </c>
      <c r="AR544" s="357" t="s">
        <v>2961</v>
      </c>
      <c r="AS544" s="357" t="s">
        <v>2375</v>
      </c>
      <c r="AT544" s="43"/>
      <c r="AU544" s="357" t="s">
        <v>179</v>
      </c>
      <c r="AV544" s="43" t="s">
        <v>130</v>
      </c>
      <c r="AW544" s="863" t="s">
        <v>131</v>
      </c>
      <c r="AX544" s="43" t="s">
        <v>431</v>
      </c>
      <c r="AY544" s="337" t="s">
        <v>2940</v>
      </c>
      <c r="AZ544" s="338" t="s">
        <v>685</v>
      </c>
      <c r="BA544" s="339"/>
      <c r="BB544" s="339"/>
      <c r="BC544" s="339"/>
      <c r="BD544" s="339"/>
      <c r="BE544" s="339"/>
      <c r="BF544" s="339"/>
      <c r="BG544" s="339"/>
      <c r="BH544" s="339"/>
      <c r="BI544" s="339"/>
      <c r="BJ544" s="339"/>
      <c r="BK544" s="339"/>
      <c r="BL544" s="339"/>
      <c r="BM544" s="339"/>
      <c r="BN544" s="339"/>
      <c r="BO544" s="339"/>
      <c r="BP544" s="339"/>
      <c r="BQ544" s="339"/>
      <c r="BR544" s="339"/>
      <c r="BS544" s="339"/>
      <c r="BT544" s="339"/>
      <c r="BU544" s="339"/>
      <c r="BV544" s="339"/>
      <c r="BW544" s="339"/>
      <c r="BX544" s="339"/>
      <c r="BY544" s="339"/>
      <c r="BZ544" s="339"/>
      <c r="CA544" s="339"/>
      <c r="CB544" s="339"/>
      <c r="CC544" s="339"/>
      <c r="CD544" s="339"/>
      <c r="CE544" s="339"/>
      <c r="CF544" s="339"/>
      <c r="CG544" s="339"/>
      <c r="CH544" s="339"/>
      <c r="CI544" s="339"/>
      <c r="CJ544" s="339"/>
      <c r="CK544" s="339"/>
      <c r="CL544" s="339"/>
      <c r="CM544" s="339"/>
      <c r="CN544" s="339"/>
      <c r="CO544" s="339"/>
      <c r="CP544" s="339"/>
      <c r="CQ544" s="339"/>
      <c r="CR544" s="339"/>
      <c r="CS544" s="339"/>
      <c r="CT544" s="339"/>
      <c r="CU544" s="339"/>
      <c r="CV544" s="339"/>
      <c r="CW544" s="339"/>
      <c r="CX544" s="339"/>
      <c r="CY544" s="339"/>
      <c r="CZ544" s="339"/>
      <c r="DA544" s="339"/>
      <c r="DB544" s="339"/>
      <c r="DC544" s="339"/>
      <c r="DD544" s="339"/>
      <c r="DE544" s="339"/>
      <c r="DF544" s="339"/>
      <c r="DG544" s="339"/>
      <c r="DH544" s="339"/>
    </row>
    <row r="545" ht="20.25" customHeight="1">
      <c r="A545" s="351">
        <v>545.0</v>
      </c>
      <c r="B545" s="337" t="s">
        <v>107</v>
      </c>
      <c r="C545" s="338" t="s">
        <v>108</v>
      </c>
      <c r="D545" s="338" t="s">
        <v>2950</v>
      </c>
      <c r="E545" s="339"/>
      <c r="F545" s="357" t="s">
        <v>3016</v>
      </c>
      <c r="G545" s="44" t="s">
        <v>2952</v>
      </c>
      <c r="H545" s="357" t="s">
        <v>2953</v>
      </c>
      <c r="I545" s="341">
        <v>45478.0</v>
      </c>
      <c r="J545" s="341">
        <v>45663.0</v>
      </c>
      <c r="K545" s="357" t="s">
        <v>2991</v>
      </c>
      <c r="L545" s="43"/>
      <c r="M545" s="357" t="s">
        <v>3017</v>
      </c>
      <c r="N545" s="357" t="s">
        <v>3018</v>
      </c>
      <c r="O545" s="43"/>
      <c r="P545" s="357" t="s">
        <v>2930</v>
      </c>
      <c r="Q545" s="101" t="str">
        <f t="array" ref="Q545"> if(iserror(MATCH(V545, 'File Links'!C:C, 0)), "N/A", HYPERLINK(INDEX('File Links'!B:B, MATCH(P545, 'File Links'!C:C, 0))))</f>
        <v>https://drive.google.com/file/d/1IfVJze_D0VNVGP0qGB9jOH8T88AinA4X/view?usp=drivesdk</v>
      </c>
      <c r="R545" s="357" t="s">
        <v>3019</v>
      </c>
      <c r="S545" s="357" t="s">
        <v>2932</v>
      </c>
      <c r="T545" s="43"/>
      <c r="U545" s="43"/>
      <c r="V545" s="357" t="str">
        <f t="shared" si="25"/>
        <v>10.1007--s10834-024-09975-7.pdf</v>
      </c>
      <c r="W545" s="357" t="s">
        <v>2955</v>
      </c>
      <c r="X545" s="51" t="str">
        <f t="array" ref="X545"> if(iserror(MATCH(V545, 'File Links'!C:C, 0)), "N/A", HYPERLINK(INDEX('File Links'!B:B, MATCH(V545, 'File Links'!C:C, 0))))</f>
        <v>https://drive.google.com/file/d/1kvzfXjBDZmFTCeJVlsPrywrDLzw17fXw/view?usp=drivesdk</v>
      </c>
      <c r="Y545" s="339"/>
      <c r="Z545" s="357" t="s">
        <v>219</v>
      </c>
      <c r="AA545" s="864" t="s">
        <v>2956</v>
      </c>
      <c r="AB545" s="43" t="s">
        <v>2957</v>
      </c>
      <c r="AC545" s="357" t="s">
        <v>3020</v>
      </c>
      <c r="AD545" s="357" t="s">
        <v>2996</v>
      </c>
      <c r="AE545" s="354">
        <v>25.0</v>
      </c>
      <c r="AF545" s="354">
        <v>314.0</v>
      </c>
      <c r="AG545" s="382">
        <v>0.215</v>
      </c>
      <c r="AH545" s="357" t="s">
        <v>980</v>
      </c>
      <c r="AI545" s="357" t="s">
        <v>3021</v>
      </c>
      <c r="AJ545" s="48" t="s">
        <v>2375</v>
      </c>
      <c r="AK545" s="46"/>
      <c r="AL545" s="44" t="s">
        <v>179</v>
      </c>
      <c r="AM545" s="43" t="s">
        <v>130</v>
      </c>
      <c r="AN545" s="53" t="s">
        <v>131</v>
      </c>
      <c r="AO545" s="43"/>
      <c r="AP545" s="354">
        <v>-0.191</v>
      </c>
      <c r="AQ545" s="357" t="s">
        <v>980</v>
      </c>
      <c r="AR545" s="357" t="s">
        <v>2961</v>
      </c>
      <c r="AS545" s="357" t="s">
        <v>2375</v>
      </c>
      <c r="AT545" s="43"/>
      <c r="AU545" s="357" t="s">
        <v>179</v>
      </c>
      <c r="AV545" s="43" t="s">
        <v>130</v>
      </c>
      <c r="AW545" s="863" t="s">
        <v>131</v>
      </c>
      <c r="AX545" s="43" t="s">
        <v>431</v>
      </c>
      <c r="AY545" s="337" t="s">
        <v>2940</v>
      </c>
      <c r="AZ545" s="338" t="s">
        <v>685</v>
      </c>
      <c r="BA545" s="339"/>
      <c r="BB545" s="339"/>
      <c r="BC545" s="339"/>
      <c r="BD545" s="339"/>
      <c r="BE545" s="339"/>
      <c r="BF545" s="339"/>
      <c r="BG545" s="339"/>
      <c r="BH545" s="339"/>
      <c r="BI545" s="339"/>
      <c r="BJ545" s="339"/>
      <c r="BK545" s="339"/>
      <c r="BL545" s="339"/>
      <c r="BM545" s="339"/>
      <c r="BN545" s="339"/>
      <c r="BO545" s="339"/>
      <c r="BP545" s="339"/>
      <c r="BQ545" s="339"/>
      <c r="BR545" s="339"/>
      <c r="BS545" s="339"/>
      <c r="BT545" s="339"/>
      <c r="BU545" s="339"/>
      <c r="BV545" s="339"/>
      <c r="BW545" s="339"/>
      <c r="BX545" s="339"/>
      <c r="BY545" s="339"/>
      <c r="BZ545" s="339"/>
      <c r="CA545" s="339"/>
      <c r="CB545" s="339"/>
      <c r="CC545" s="339"/>
      <c r="CD545" s="339"/>
      <c r="CE545" s="339"/>
      <c r="CF545" s="339"/>
      <c r="CG545" s="339"/>
      <c r="CH545" s="339"/>
      <c r="CI545" s="339"/>
      <c r="CJ545" s="339"/>
      <c r="CK545" s="339"/>
      <c r="CL545" s="339"/>
      <c r="CM545" s="339"/>
      <c r="CN545" s="339"/>
      <c r="CO545" s="339"/>
      <c r="CP545" s="339"/>
      <c r="CQ545" s="339"/>
      <c r="CR545" s="339"/>
      <c r="CS545" s="339"/>
      <c r="CT545" s="339"/>
      <c r="CU545" s="339"/>
      <c r="CV545" s="339"/>
      <c r="CW545" s="339"/>
      <c r="CX545" s="339"/>
      <c r="CY545" s="339"/>
      <c r="CZ545" s="339"/>
      <c r="DA545" s="339"/>
      <c r="DB545" s="339"/>
      <c r="DC545" s="339"/>
      <c r="DD545" s="339"/>
      <c r="DE545" s="339"/>
      <c r="DF545" s="339"/>
      <c r="DG545" s="339"/>
      <c r="DH545" s="339"/>
    </row>
    <row r="546" ht="20.25" customHeight="1">
      <c r="A546" s="351">
        <v>546.0</v>
      </c>
      <c r="B546" s="337" t="s">
        <v>107</v>
      </c>
      <c r="C546" s="338" t="s">
        <v>108</v>
      </c>
      <c r="D546" s="338" t="s">
        <v>2950</v>
      </c>
      <c r="E546" s="339"/>
      <c r="F546" s="357" t="s">
        <v>3022</v>
      </c>
      <c r="G546" s="44" t="s">
        <v>2952</v>
      </c>
      <c r="H546" s="357" t="s">
        <v>2953</v>
      </c>
      <c r="I546" s="341">
        <v>45478.0</v>
      </c>
      <c r="J546" s="341">
        <v>45663.0</v>
      </c>
      <c r="K546" s="357" t="s">
        <v>2991</v>
      </c>
      <c r="L546" s="43"/>
      <c r="M546" s="357" t="s">
        <v>3017</v>
      </c>
      <c r="N546" s="357" t="s">
        <v>3018</v>
      </c>
      <c r="O546" s="43"/>
      <c r="P546" s="357" t="s">
        <v>2930</v>
      </c>
      <c r="Q546" s="101" t="str">
        <f t="array" ref="Q546"> if(iserror(MATCH(V546, 'File Links'!C:C, 0)), "N/A", HYPERLINK(INDEX('File Links'!B:B, MATCH(P546, 'File Links'!C:C, 0))))</f>
        <v>https://drive.google.com/file/d/1IfVJze_D0VNVGP0qGB9jOH8T88AinA4X/view?usp=drivesdk</v>
      </c>
      <c r="R546" s="357" t="s">
        <v>3019</v>
      </c>
      <c r="S546" s="357" t="s">
        <v>2932</v>
      </c>
      <c r="T546" s="43"/>
      <c r="U546" s="43"/>
      <c r="V546" s="357" t="str">
        <f t="shared" si="25"/>
        <v>10.1007--s10834-024-09975-7.pdf</v>
      </c>
      <c r="W546" s="357" t="s">
        <v>2955</v>
      </c>
      <c r="X546" s="51" t="str">
        <f t="array" ref="X546"> if(iserror(MATCH(V546, 'File Links'!C:C, 0)), "N/A", HYPERLINK(INDEX('File Links'!B:B, MATCH(V546, 'File Links'!C:C, 0))))</f>
        <v>https://drive.google.com/file/d/1kvzfXjBDZmFTCeJVlsPrywrDLzw17fXw/view?usp=drivesdk</v>
      </c>
      <c r="Y546" s="339"/>
      <c r="Z546" s="357" t="s">
        <v>219</v>
      </c>
      <c r="AA546" s="864" t="s">
        <v>2956</v>
      </c>
      <c r="AB546" s="43" t="s">
        <v>2957</v>
      </c>
      <c r="AC546" s="43" t="s">
        <v>3023</v>
      </c>
      <c r="AD546" s="357" t="s">
        <v>2996</v>
      </c>
      <c r="AE546" s="354">
        <v>25.0</v>
      </c>
      <c r="AF546" s="354">
        <v>314.0</v>
      </c>
      <c r="AG546" s="382">
        <v>-0.005</v>
      </c>
      <c r="AH546" s="357" t="s">
        <v>980</v>
      </c>
      <c r="AI546" s="357" t="s">
        <v>3021</v>
      </c>
      <c r="AJ546" s="48" t="s">
        <v>2375</v>
      </c>
      <c r="AK546" s="46"/>
      <c r="AL546" s="44" t="s">
        <v>179</v>
      </c>
      <c r="AM546" s="43" t="s">
        <v>130</v>
      </c>
      <c r="AN546" s="53" t="s">
        <v>131</v>
      </c>
      <c r="AO546" s="43"/>
      <c r="AP546" s="354">
        <v>-0.131</v>
      </c>
      <c r="AQ546" s="357" t="s">
        <v>980</v>
      </c>
      <c r="AR546" s="357" t="s">
        <v>2961</v>
      </c>
      <c r="AS546" s="357" t="s">
        <v>2375</v>
      </c>
      <c r="AT546" s="43"/>
      <c r="AU546" s="357" t="s">
        <v>179</v>
      </c>
      <c r="AV546" s="43" t="s">
        <v>130</v>
      </c>
      <c r="AW546" s="863" t="s">
        <v>131</v>
      </c>
      <c r="AX546" s="43" t="s">
        <v>431</v>
      </c>
      <c r="AY546" s="337" t="s">
        <v>2940</v>
      </c>
      <c r="AZ546" s="338" t="s">
        <v>685</v>
      </c>
      <c r="BA546" s="339"/>
      <c r="BB546" s="339"/>
      <c r="BC546" s="339"/>
      <c r="BD546" s="339"/>
      <c r="BE546" s="339"/>
      <c r="BF546" s="339"/>
      <c r="BG546" s="339"/>
      <c r="BH546" s="339"/>
      <c r="BI546" s="339"/>
      <c r="BJ546" s="339"/>
      <c r="BK546" s="339"/>
      <c r="BL546" s="339"/>
      <c r="BM546" s="339"/>
      <c r="BN546" s="339"/>
      <c r="BO546" s="339"/>
      <c r="BP546" s="339"/>
      <c r="BQ546" s="339"/>
      <c r="BR546" s="339"/>
      <c r="BS546" s="339"/>
      <c r="BT546" s="339"/>
      <c r="BU546" s="339"/>
      <c r="BV546" s="339"/>
      <c r="BW546" s="339"/>
      <c r="BX546" s="339"/>
      <c r="BY546" s="339"/>
      <c r="BZ546" s="339"/>
      <c r="CA546" s="339"/>
      <c r="CB546" s="339"/>
      <c r="CC546" s="339"/>
      <c r="CD546" s="339"/>
      <c r="CE546" s="339"/>
      <c r="CF546" s="339"/>
      <c r="CG546" s="339"/>
      <c r="CH546" s="339"/>
      <c r="CI546" s="339"/>
      <c r="CJ546" s="339"/>
      <c r="CK546" s="339"/>
      <c r="CL546" s="339"/>
      <c r="CM546" s="339"/>
      <c r="CN546" s="339"/>
      <c r="CO546" s="339"/>
      <c r="CP546" s="339"/>
      <c r="CQ546" s="339"/>
      <c r="CR546" s="339"/>
      <c r="CS546" s="339"/>
      <c r="CT546" s="339"/>
      <c r="CU546" s="339"/>
      <c r="CV546" s="339"/>
      <c r="CW546" s="339"/>
      <c r="CX546" s="339"/>
      <c r="CY546" s="339"/>
      <c r="CZ546" s="339"/>
      <c r="DA546" s="339"/>
      <c r="DB546" s="339"/>
      <c r="DC546" s="339"/>
      <c r="DD546" s="339"/>
      <c r="DE546" s="339"/>
      <c r="DF546" s="339"/>
      <c r="DG546" s="339"/>
      <c r="DH546" s="339"/>
    </row>
    <row r="547" ht="20.25" customHeight="1">
      <c r="A547" s="351">
        <v>547.0</v>
      </c>
      <c r="B547" s="337" t="s">
        <v>107</v>
      </c>
      <c r="C547" s="338" t="s">
        <v>108</v>
      </c>
      <c r="D547" s="338" t="s">
        <v>2950</v>
      </c>
      <c r="E547" s="339"/>
      <c r="F547" s="357" t="s">
        <v>3024</v>
      </c>
      <c r="G547" s="44" t="s">
        <v>2952</v>
      </c>
      <c r="H547" s="357" t="s">
        <v>2953</v>
      </c>
      <c r="I547" s="341">
        <v>45478.0</v>
      </c>
      <c r="J547" s="341">
        <v>45663.0</v>
      </c>
      <c r="K547" s="357" t="s">
        <v>2991</v>
      </c>
      <c r="L547" s="43"/>
      <c r="M547" s="357" t="s">
        <v>3017</v>
      </c>
      <c r="N547" s="357" t="s">
        <v>3018</v>
      </c>
      <c r="O547" s="43"/>
      <c r="P547" s="357" t="s">
        <v>2930</v>
      </c>
      <c r="Q547" s="101" t="str">
        <f t="array" ref="Q547"> if(iserror(MATCH(V547, 'File Links'!C:C, 0)), "N/A", HYPERLINK(INDEX('File Links'!B:B, MATCH(P547, 'File Links'!C:C, 0))))</f>
        <v>https://drive.google.com/file/d/1IfVJze_D0VNVGP0qGB9jOH8T88AinA4X/view?usp=drivesdk</v>
      </c>
      <c r="R547" s="357" t="s">
        <v>3019</v>
      </c>
      <c r="S547" s="357" t="s">
        <v>2932</v>
      </c>
      <c r="T547" s="43"/>
      <c r="U547" s="43"/>
      <c r="V547" s="357" t="str">
        <f t="shared" si="25"/>
        <v>10.1007--s10834-024-09975-7.pdf</v>
      </c>
      <c r="W547" s="357" t="s">
        <v>2955</v>
      </c>
      <c r="X547" s="51" t="str">
        <f t="array" ref="X547"> if(iserror(MATCH(V547, 'File Links'!C:C, 0)), "N/A", HYPERLINK(INDEX('File Links'!B:B, MATCH(V547, 'File Links'!C:C, 0))))</f>
        <v>https://drive.google.com/file/d/1kvzfXjBDZmFTCeJVlsPrywrDLzw17fXw/view?usp=drivesdk</v>
      </c>
      <c r="Y547" s="339"/>
      <c r="Z547" s="357" t="s">
        <v>219</v>
      </c>
      <c r="AA547" s="864" t="s">
        <v>2956</v>
      </c>
      <c r="AB547" s="43" t="s">
        <v>2957</v>
      </c>
      <c r="AC547" s="357" t="s">
        <v>3025</v>
      </c>
      <c r="AD547" s="357" t="s">
        <v>2996</v>
      </c>
      <c r="AE547" s="354">
        <v>25.0</v>
      </c>
      <c r="AF547" s="382">
        <v>380.0</v>
      </c>
      <c r="AG547" s="354">
        <v>-0.043</v>
      </c>
      <c r="AH547" s="357" t="s">
        <v>980</v>
      </c>
      <c r="AI547" s="357" t="s">
        <v>3021</v>
      </c>
      <c r="AJ547" s="48" t="s">
        <v>2375</v>
      </c>
      <c r="AK547" s="46"/>
      <c r="AL547" s="44" t="s">
        <v>179</v>
      </c>
      <c r="AM547" s="43" t="s">
        <v>130</v>
      </c>
      <c r="AN547" s="53" t="s">
        <v>131</v>
      </c>
      <c r="AO547" s="43"/>
      <c r="AP547" s="354">
        <v>-0.154</v>
      </c>
      <c r="AQ547" s="357" t="s">
        <v>980</v>
      </c>
      <c r="AR547" s="357" t="s">
        <v>2961</v>
      </c>
      <c r="AS547" s="357" t="s">
        <v>2375</v>
      </c>
      <c r="AT547" s="43"/>
      <c r="AU547" s="357" t="s">
        <v>179</v>
      </c>
      <c r="AV547" s="43" t="s">
        <v>130</v>
      </c>
      <c r="AW547" s="863" t="s">
        <v>131</v>
      </c>
      <c r="AX547" s="43" t="s">
        <v>431</v>
      </c>
      <c r="AY547" s="337" t="s">
        <v>2940</v>
      </c>
      <c r="AZ547" s="338" t="s">
        <v>685</v>
      </c>
      <c r="BA547" s="339"/>
      <c r="BB547" s="339"/>
      <c r="BC547" s="339"/>
      <c r="BD547" s="339"/>
      <c r="BE547" s="339"/>
      <c r="BF547" s="339"/>
      <c r="BG547" s="339"/>
      <c r="BH547" s="339"/>
      <c r="BI547" s="339"/>
      <c r="BJ547" s="339"/>
      <c r="BK547" s="339"/>
      <c r="BL547" s="339"/>
      <c r="BM547" s="339"/>
      <c r="BN547" s="339"/>
      <c r="BO547" s="339"/>
      <c r="BP547" s="339"/>
      <c r="BQ547" s="339"/>
      <c r="BR547" s="339"/>
      <c r="BS547" s="339"/>
      <c r="BT547" s="339"/>
      <c r="BU547" s="339"/>
      <c r="BV547" s="339"/>
      <c r="BW547" s="339"/>
      <c r="BX547" s="339"/>
      <c r="BY547" s="339"/>
      <c r="BZ547" s="339"/>
      <c r="CA547" s="339"/>
      <c r="CB547" s="339"/>
      <c r="CC547" s="339"/>
      <c r="CD547" s="339"/>
      <c r="CE547" s="339"/>
      <c r="CF547" s="339"/>
      <c r="CG547" s="339"/>
      <c r="CH547" s="339"/>
      <c r="CI547" s="339"/>
      <c r="CJ547" s="339"/>
      <c r="CK547" s="339"/>
      <c r="CL547" s="339"/>
      <c r="CM547" s="339"/>
      <c r="CN547" s="339"/>
      <c r="CO547" s="339"/>
      <c r="CP547" s="339"/>
      <c r="CQ547" s="339"/>
      <c r="CR547" s="339"/>
      <c r="CS547" s="339"/>
      <c r="CT547" s="339"/>
      <c r="CU547" s="339"/>
      <c r="CV547" s="339"/>
      <c r="CW547" s="339"/>
      <c r="CX547" s="339"/>
      <c r="CY547" s="339"/>
      <c r="CZ547" s="339"/>
      <c r="DA547" s="339"/>
      <c r="DB547" s="339"/>
      <c r="DC547" s="339"/>
      <c r="DD547" s="339"/>
      <c r="DE547" s="339"/>
      <c r="DF547" s="339"/>
      <c r="DG547" s="339"/>
      <c r="DH547" s="339"/>
    </row>
    <row r="548" ht="20.25" customHeight="1">
      <c r="A548" s="351">
        <v>548.0</v>
      </c>
      <c r="B548" s="337" t="s">
        <v>107</v>
      </c>
      <c r="C548" s="338" t="s">
        <v>108</v>
      </c>
      <c r="D548" s="338" t="s">
        <v>2950</v>
      </c>
      <c r="E548" s="339"/>
      <c r="F548" s="357" t="s">
        <v>3026</v>
      </c>
      <c r="G548" s="44" t="s">
        <v>2952</v>
      </c>
      <c r="H548" s="357" t="s">
        <v>2953</v>
      </c>
      <c r="I548" s="341">
        <v>45478.0</v>
      </c>
      <c r="J548" s="341">
        <v>45663.0</v>
      </c>
      <c r="K548" s="357" t="s">
        <v>2991</v>
      </c>
      <c r="L548" s="43"/>
      <c r="M548" s="357" t="s">
        <v>3017</v>
      </c>
      <c r="N548" s="357" t="s">
        <v>3018</v>
      </c>
      <c r="O548" s="43"/>
      <c r="P548" s="357" t="s">
        <v>2930</v>
      </c>
      <c r="Q548" s="101" t="str">
        <f t="array" ref="Q548"> if(iserror(MATCH(V548, 'File Links'!C:C, 0)), "N/A", HYPERLINK(INDEX('File Links'!B:B, MATCH(P548, 'File Links'!C:C, 0))))</f>
        <v>https://drive.google.com/file/d/1IfVJze_D0VNVGP0qGB9jOH8T88AinA4X/view?usp=drivesdk</v>
      </c>
      <c r="R548" s="357" t="s">
        <v>3019</v>
      </c>
      <c r="S548" s="357" t="s">
        <v>2932</v>
      </c>
      <c r="T548" s="43"/>
      <c r="U548" s="43"/>
      <c r="V548" s="357" t="str">
        <f t="shared" si="25"/>
        <v>10.1007--s10834-024-09975-7.pdf</v>
      </c>
      <c r="W548" s="357" t="s">
        <v>2955</v>
      </c>
      <c r="X548" s="51" t="str">
        <f t="array" ref="X548"> if(iserror(MATCH(V548, 'File Links'!C:C, 0)), "N/A", HYPERLINK(INDEX('File Links'!B:B, MATCH(V548, 'File Links'!C:C, 0))))</f>
        <v>https://drive.google.com/file/d/1kvzfXjBDZmFTCeJVlsPrywrDLzw17fXw/view?usp=drivesdk</v>
      </c>
      <c r="Y548" s="339"/>
      <c r="Z548" s="357" t="s">
        <v>219</v>
      </c>
      <c r="AA548" s="864" t="s">
        <v>2956</v>
      </c>
      <c r="AB548" s="43" t="s">
        <v>2957</v>
      </c>
      <c r="AC548" s="357" t="s">
        <v>3027</v>
      </c>
      <c r="AD548" s="357" t="s">
        <v>2996</v>
      </c>
      <c r="AE548" s="354">
        <v>25.0</v>
      </c>
      <c r="AF548" s="354">
        <v>380.0</v>
      </c>
      <c r="AG548" s="382">
        <v>-0.15</v>
      </c>
      <c r="AH548" s="357" t="s">
        <v>980</v>
      </c>
      <c r="AI548" s="357" t="s">
        <v>3021</v>
      </c>
      <c r="AJ548" s="48" t="s">
        <v>2375</v>
      </c>
      <c r="AK548" s="46"/>
      <c r="AL548" s="44" t="s">
        <v>179</v>
      </c>
      <c r="AM548" s="43" t="s">
        <v>130</v>
      </c>
      <c r="AN548" s="53" t="s">
        <v>131</v>
      </c>
      <c r="AO548" s="43"/>
      <c r="AP548" s="354">
        <v>0.334</v>
      </c>
      <c r="AQ548" s="357" t="s">
        <v>980</v>
      </c>
      <c r="AR548" s="357" t="s">
        <v>2961</v>
      </c>
      <c r="AS548" s="357" t="s">
        <v>2375</v>
      </c>
      <c r="AT548" s="43"/>
      <c r="AU548" s="357" t="s">
        <v>179</v>
      </c>
      <c r="AV548" s="43" t="s">
        <v>130</v>
      </c>
      <c r="AW548" s="863" t="s">
        <v>131</v>
      </c>
      <c r="AX548" s="43" t="s">
        <v>431</v>
      </c>
      <c r="AY548" s="337" t="s">
        <v>2940</v>
      </c>
      <c r="AZ548" s="338" t="s">
        <v>685</v>
      </c>
      <c r="BA548" s="339"/>
      <c r="BB548" s="339"/>
      <c r="BC548" s="339"/>
      <c r="BD548" s="339"/>
      <c r="BE548" s="339"/>
      <c r="BF548" s="339"/>
      <c r="BG548" s="339"/>
      <c r="BH548" s="339"/>
      <c r="BI548" s="339"/>
      <c r="BJ548" s="339"/>
      <c r="BK548" s="339"/>
      <c r="BL548" s="339"/>
      <c r="BM548" s="339"/>
      <c r="BN548" s="339"/>
      <c r="BO548" s="339"/>
      <c r="BP548" s="339"/>
      <c r="BQ548" s="339"/>
      <c r="BR548" s="339"/>
      <c r="BS548" s="339"/>
      <c r="BT548" s="339"/>
      <c r="BU548" s="339"/>
      <c r="BV548" s="339"/>
      <c r="BW548" s="339"/>
      <c r="BX548" s="339"/>
      <c r="BY548" s="339"/>
      <c r="BZ548" s="339"/>
      <c r="CA548" s="339"/>
      <c r="CB548" s="339"/>
      <c r="CC548" s="339"/>
      <c r="CD548" s="339"/>
      <c r="CE548" s="339"/>
      <c r="CF548" s="339"/>
      <c r="CG548" s="339"/>
      <c r="CH548" s="339"/>
      <c r="CI548" s="339"/>
      <c r="CJ548" s="339"/>
      <c r="CK548" s="339"/>
      <c r="CL548" s="339"/>
      <c r="CM548" s="339"/>
      <c r="CN548" s="339"/>
      <c r="CO548" s="339"/>
      <c r="CP548" s="339"/>
      <c r="CQ548" s="339"/>
      <c r="CR548" s="339"/>
      <c r="CS548" s="339"/>
      <c r="CT548" s="339"/>
      <c r="CU548" s="339"/>
      <c r="CV548" s="339"/>
      <c r="CW548" s="339"/>
      <c r="CX548" s="339"/>
      <c r="CY548" s="339"/>
      <c r="CZ548" s="339"/>
      <c r="DA548" s="339"/>
      <c r="DB548" s="339"/>
      <c r="DC548" s="339"/>
      <c r="DD548" s="339"/>
      <c r="DE548" s="339"/>
      <c r="DF548" s="339"/>
      <c r="DG548" s="339"/>
      <c r="DH548" s="339"/>
    </row>
    <row r="549" ht="20.25" customHeight="1">
      <c r="A549" s="351">
        <v>549.0</v>
      </c>
      <c r="B549" s="337" t="s">
        <v>107</v>
      </c>
      <c r="C549" s="338" t="s">
        <v>108</v>
      </c>
      <c r="D549" s="338" t="s">
        <v>2950</v>
      </c>
      <c r="E549" s="339"/>
      <c r="F549" s="357" t="s">
        <v>3028</v>
      </c>
      <c r="G549" s="44" t="s">
        <v>2952</v>
      </c>
      <c r="H549" s="357" t="s">
        <v>2953</v>
      </c>
      <c r="I549" s="341">
        <v>45478.0</v>
      </c>
      <c r="J549" s="341">
        <v>45663.0</v>
      </c>
      <c r="K549" s="357" t="s">
        <v>2991</v>
      </c>
      <c r="L549" s="43"/>
      <c r="M549" s="357" t="s">
        <v>3017</v>
      </c>
      <c r="N549" s="357" t="s">
        <v>3018</v>
      </c>
      <c r="O549" s="43"/>
      <c r="P549" s="357" t="s">
        <v>2930</v>
      </c>
      <c r="Q549" s="101" t="str">
        <f t="array" ref="Q549"> if(iserror(MATCH(V549, 'File Links'!C:C, 0)), "N/A", HYPERLINK(INDEX('File Links'!B:B, MATCH(P549, 'File Links'!C:C, 0))))</f>
        <v>https://drive.google.com/file/d/1IfVJze_D0VNVGP0qGB9jOH8T88AinA4X/view?usp=drivesdk</v>
      </c>
      <c r="R549" s="357" t="s">
        <v>3019</v>
      </c>
      <c r="S549" s="357" t="s">
        <v>2932</v>
      </c>
      <c r="T549" s="43"/>
      <c r="U549" s="43"/>
      <c r="V549" s="357" t="str">
        <f t="shared" si="25"/>
        <v>10.1007--s10834-024-09975-7.pdf</v>
      </c>
      <c r="W549" s="357" t="s">
        <v>2955</v>
      </c>
      <c r="X549" s="51" t="str">
        <f t="array" ref="X549"> if(iserror(MATCH(V549, 'File Links'!C:C, 0)), "N/A", HYPERLINK(INDEX('File Links'!B:B, MATCH(V549, 'File Links'!C:C, 0))))</f>
        <v>https://drive.google.com/file/d/1kvzfXjBDZmFTCeJVlsPrywrDLzw17fXw/view?usp=drivesdk</v>
      </c>
      <c r="Y549" s="339"/>
      <c r="Z549" s="357" t="s">
        <v>219</v>
      </c>
      <c r="AA549" s="864" t="s">
        <v>2956</v>
      </c>
      <c r="AB549" s="43" t="s">
        <v>2957</v>
      </c>
      <c r="AC549" s="357" t="s">
        <v>3029</v>
      </c>
      <c r="AD549" s="357" t="s">
        <v>2996</v>
      </c>
      <c r="AE549" s="354">
        <v>25.0</v>
      </c>
      <c r="AF549" s="354">
        <v>259.0</v>
      </c>
      <c r="AG549" s="382">
        <v>0.029</v>
      </c>
      <c r="AH549" s="357" t="s">
        <v>980</v>
      </c>
      <c r="AI549" s="357" t="s">
        <v>3021</v>
      </c>
      <c r="AJ549" s="48" t="s">
        <v>2375</v>
      </c>
      <c r="AK549" s="46"/>
      <c r="AL549" s="44" t="s">
        <v>179</v>
      </c>
      <c r="AM549" s="43" t="s">
        <v>130</v>
      </c>
      <c r="AN549" s="53" t="s">
        <v>131</v>
      </c>
      <c r="AO549" s="43"/>
      <c r="AP549" s="354">
        <v>-0.003</v>
      </c>
      <c r="AQ549" s="357" t="s">
        <v>980</v>
      </c>
      <c r="AR549" s="357" t="s">
        <v>2961</v>
      </c>
      <c r="AS549" s="357" t="s">
        <v>2375</v>
      </c>
      <c r="AT549" s="43"/>
      <c r="AU549" s="357" t="s">
        <v>179</v>
      </c>
      <c r="AV549" s="43" t="s">
        <v>130</v>
      </c>
      <c r="AW549" s="863" t="s">
        <v>131</v>
      </c>
      <c r="AX549" s="43" t="s">
        <v>431</v>
      </c>
      <c r="AY549" s="337" t="s">
        <v>2940</v>
      </c>
      <c r="AZ549" s="338" t="s">
        <v>685</v>
      </c>
      <c r="BA549" s="339"/>
      <c r="BB549" s="339"/>
      <c r="BC549" s="339"/>
      <c r="BD549" s="339"/>
      <c r="BE549" s="339"/>
      <c r="BF549" s="339"/>
      <c r="BG549" s="339"/>
      <c r="BH549" s="339"/>
      <c r="BI549" s="339"/>
      <c r="BJ549" s="339"/>
      <c r="BK549" s="339"/>
      <c r="BL549" s="339"/>
      <c r="BM549" s="339"/>
      <c r="BN549" s="339"/>
      <c r="BO549" s="339"/>
      <c r="BP549" s="339"/>
      <c r="BQ549" s="339"/>
      <c r="BR549" s="339"/>
      <c r="BS549" s="339"/>
      <c r="BT549" s="339"/>
      <c r="BU549" s="339"/>
      <c r="BV549" s="339"/>
      <c r="BW549" s="339"/>
      <c r="BX549" s="339"/>
      <c r="BY549" s="339"/>
      <c r="BZ549" s="339"/>
      <c r="CA549" s="339"/>
      <c r="CB549" s="339"/>
      <c r="CC549" s="339"/>
      <c r="CD549" s="339"/>
      <c r="CE549" s="339"/>
      <c r="CF549" s="339"/>
      <c r="CG549" s="339"/>
      <c r="CH549" s="339"/>
      <c r="CI549" s="339"/>
      <c r="CJ549" s="339"/>
      <c r="CK549" s="339"/>
      <c r="CL549" s="339"/>
      <c r="CM549" s="339"/>
      <c r="CN549" s="339"/>
      <c r="CO549" s="339"/>
      <c r="CP549" s="339"/>
      <c r="CQ549" s="339"/>
      <c r="CR549" s="339"/>
      <c r="CS549" s="339"/>
      <c r="CT549" s="339"/>
      <c r="CU549" s="339"/>
      <c r="CV549" s="339"/>
      <c r="CW549" s="339"/>
      <c r="CX549" s="339"/>
      <c r="CY549" s="339"/>
      <c r="CZ549" s="339"/>
      <c r="DA549" s="339"/>
      <c r="DB549" s="339"/>
      <c r="DC549" s="339"/>
      <c r="DD549" s="339"/>
      <c r="DE549" s="339"/>
      <c r="DF549" s="339"/>
      <c r="DG549" s="339"/>
      <c r="DH549" s="339"/>
    </row>
    <row r="550" ht="20.25" customHeight="1">
      <c r="A550" s="351">
        <v>550.0</v>
      </c>
      <c r="B550" s="337" t="s">
        <v>107</v>
      </c>
      <c r="C550" s="338" t="s">
        <v>108</v>
      </c>
      <c r="D550" s="338" t="s">
        <v>2950</v>
      </c>
      <c r="E550" s="339"/>
      <c r="F550" s="357" t="s">
        <v>3030</v>
      </c>
      <c r="G550" s="44" t="s">
        <v>2952</v>
      </c>
      <c r="H550" s="357" t="s">
        <v>2953</v>
      </c>
      <c r="I550" s="341">
        <v>45478.0</v>
      </c>
      <c r="J550" s="341">
        <v>45663.0</v>
      </c>
      <c r="K550" s="357" t="s">
        <v>2991</v>
      </c>
      <c r="L550" s="43"/>
      <c r="M550" s="357" t="s">
        <v>3017</v>
      </c>
      <c r="N550" s="357" t="s">
        <v>3018</v>
      </c>
      <c r="O550" s="43"/>
      <c r="P550" s="357" t="s">
        <v>2930</v>
      </c>
      <c r="Q550" s="101" t="str">
        <f t="array" ref="Q550"> if(iserror(MATCH(V550, 'File Links'!C:C, 0)), "N/A", HYPERLINK(INDEX('File Links'!B:B, MATCH(P550, 'File Links'!C:C, 0))))</f>
        <v>https://drive.google.com/file/d/1IfVJze_D0VNVGP0qGB9jOH8T88AinA4X/view?usp=drivesdk</v>
      </c>
      <c r="R550" s="357" t="s">
        <v>3019</v>
      </c>
      <c r="S550" s="357" t="s">
        <v>2932</v>
      </c>
      <c r="T550" s="43"/>
      <c r="U550" s="43"/>
      <c r="V550" s="357" t="str">
        <f t="shared" si="25"/>
        <v>10.1007--s10834-024-09975-7.pdf</v>
      </c>
      <c r="W550" s="357" t="s">
        <v>2955</v>
      </c>
      <c r="X550" s="51" t="str">
        <f t="array" ref="X550"> if(iserror(MATCH(V550, 'File Links'!C:C, 0)), "N/A", HYPERLINK(INDEX('File Links'!B:B, MATCH(V550, 'File Links'!C:C, 0))))</f>
        <v>https://drive.google.com/file/d/1kvzfXjBDZmFTCeJVlsPrywrDLzw17fXw/view?usp=drivesdk</v>
      </c>
      <c r="Y550" s="339"/>
      <c r="Z550" s="357" t="s">
        <v>219</v>
      </c>
      <c r="AA550" s="864" t="s">
        <v>2956</v>
      </c>
      <c r="AB550" s="43" t="s">
        <v>2957</v>
      </c>
      <c r="AC550" s="43" t="s">
        <v>3031</v>
      </c>
      <c r="AD550" s="357" t="s">
        <v>2996</v>
      </c>
      <c r="AE550" s="354">
        <v>25.0</v>
      </c>
      <c r="AF550" s="354">
        <v>259.0</v>
      </c>
      <c r="AG550" s="382">
        <v>0.062</v>
      </c>
      <c r="AH550" s="357" t="s">
        <v>980</v>
      </c>
      <c r="AI550" s="357" t="s">
        <v>3021</v>
      </c>
      <c r="AJ550" s="48" t="s">
        <v>2375</v>
      </c>
      <c r="AK550" s="46"/>
      <c r="AL550" s="44" t="s">
        <v>179</v>
      </c>
      <c r="AM550" s="43" t="s">
        <v>130</v>
      </c>
      <c r="AN550" s="53" t="s">
        <v>131</v>
      </c>
      <c r="AO550" s="43"/>
      <c r="AP550" s="354">
        <v>0.045</v>
      </c>
      <c r="AQ550" s="357" t="s">
        <v>980</v>
      </c>
      <c r="AR550" s="357" t="s">
        <v>2961</v>
      </c>
      <c r="AS550" s="357" t="s">
        <v>2375</v>
      </c>
      <c r="AT550" s="43"/>
      <c r="AU550" s="357" t="s">
        <v>179</v>
      </c>
      <c r="AV550" s="43" t="s">
        <v>130</v>
      </c>
      <c r="AW550" s="863" t="s">
        <v>131</v>
      </c>
      <c r="AX550" s="43" t="s">
        <v>431</v>
      </c>
      <c r="AY550" s="337" t="s">
        <v>2940</v>
      </c>
      <c r="AZ550" s="338" t="s">
        <v>685</v>
      </c>
      <c r="BA550" s="339"/>
      <c r="BB550" s="339"/>
      <c r="BC550" s="339"/>
      <c r="BD550" s="339"/>
      <c r="BE550" s="339"/>
      <c r="BF550" s="339"/>
      <c r="BG550" s="339"/>
      <c r="BH550" s="339"/>
      <c r="BI550" s="339"/>
      <c r="BJ550" s="339"/>
      <c r="BK550" s="339"/>
      <c r="BL550" s="339"/>
      <c r="BM550" s="339"/>
      <c r="BN550" s="339"/>
      <c r="BO550" s="339"/>
      <c r="BP550" s="339"/>
      <c r="BQ550" s="339"/>
      <c r="BR550" s="339"/>
      <c r="BS550" s="339"/>
      <c r="BT550" s="339"/>
      <c r="BU550" s="339"/>
      <c r="BV550" s="339"/>
      <c r="BW550" s="339"/>
      <c r="BX550" s="339"/>
      <c r="BY550" s="339"/>
      <c r="BZ550" s="339"/>
      <c r="CA550" s="339"/>
      <c r="CB550" s="339"/>
      <c r="CC550" s="339"/>
      <c r="CD550" s="339"/>
      <c r="CE550" s="339"/>
      <c r="CF550" s="339"/>
      <c r="CG550" s="339"/>
      <c r="CH550" s="339"/>
      <c r="CI550" s="339"/>
      <c r="CJ550" s="339"/>
      <c r="CK550" s="339"/>
      <c r="CL550" s="339"/>
      <c r="CM550" s="339"/>
      <c r="CN550" s="339"/>
      <c r="CO550" s="339"/>
      <c r="CP550" s="339"/>
      <c r="CQ550" s="339"/>
      <c r="CR550" s="339"/>
      <c r="CS550" s="339"/>
      <c r="CT550" s="339"/>
      <c r="CU550" s="339"/>
      <c r="CV550" s="339"/>
      <c r="CW550" s="339"/>
      <c r="CX550" s="339"/>
      <c r="CY550" s="339"/>
      <c r="CZ550" s="339"/>
      <c r="DA550" s="339"/>
      <c r="DB550" s="339"/>
      <c r="DC550" s="339"/>
      <c r="DD550" s="339"/>
      <c r="DE550" s="339"/>
      <c r="DF550" s="339"/>
      <c r="DG550" s="339"/>
      <c r="DH550" s="339"/>
    </row>
    <row r="551" ht="20.25" customHeight="1">
      <c r="A551" s="41">
        <v>551.0</v>
      </c>
      <c r="B551" s="337" t="s">
        <v>145</v>
      </c>
      <c r="C551" s="337" t="s">
        <v>108</v>
      </c>
      <c r="D551" s="337" t="s">
        <v>2923</v>
      </c>
      <c r="E551" s="351"/>
      <c r="F551" s="338" t="s">
        <v>3032</v>
      </c>
      <c r="G551" s="337" t="s">
        <v>3033</v>
      </c>
      <c r="H551" s="337" t="s">
        <v>2926</v>
      </c>
      <c r="I551" s="349">
        <v>45478.0</v>
      </c>
      <c r="J551" s="349">
        <v>45633.0</v>
      </c>
      <c r="K551" s="337" t="s">
        <v>3034</v>
      </c>
      <c r="L551" s="351"/>
      <c r="M551" s="337" t="s">
        <v>3035</v>
      </c>
      <c r="N551" s="337" t="s">
        <v>3036</v>
      </c>
      <c r="O551" s="337">
        <v>1.0</v>
      </c>
      <c r="P551" s="337" t="s">
        <v>3037</v>
      </c>
      <c r="Q551" s="101" t="str">
        <f t="array" ref="Q551"> if(iserror(MATCH(V551, 'File Links'!C:C, 0)), "N/A", HYPERLINK(INDEX('File Links'!B:B, MATCH(P551, 'File Links'!C:C, 0))))</f>
        <v>https://drive.google.com/file/d/1bQdPG6N4D0o1pKlwFaURIS3ouXnJPLk2/view?usp=drivesdk</v>
      </c>
      <c r="R551" s="337" t="s">
        <v>3038</v>
      </c>
      <c r="S551" s="337" t="s">
        <v>3039</v>
      </c>
      <c r="T551" s="351"/>
      <c r="U551" s="337">
        <v>1.0</v>
      </c>
      <c r="V551" s="337" t="s">
        <v>3040</v>
      </c>
      <c r="W551" s="337" t="s">
        <v>202</v>
      </c>
      <c r="X551" s="51" t="str">
        <f t="array" ref="X551"> if(iserror(MATCH(V551, 'File Links'!C:C, 0)), "N/A", HYPERLINK(INDEX('File Links'!B:B, MATCH(V551, 'File Links'!C:C, 0))))</f>
        <v>https://drive.google.com/file/d/1mAgtvtRNwI_LQ2ccnmAWuBfkaX8itu_d/view?usp=drivesdk</v>
      </c>
      <c r="Y551" s="337" t="s">
        <v>3041</v>
      </c>
      <c r="Z551" s="337" t="s">
        <v>234</v>
      </c>
      <c r="AA551" s="351"/>
      <c r="AB551" s="351"/>
      <c r="AC551" s="351"/>
      <c r="AD551" s="351"/>
      <c r="AE551" s="351"/>
      <c r="AF551" s="351"/>
      <c r="AG551" s="351"/>
      <c r="AH551" s="337"/>
      <c r="AI551" s="351"/>
      <c r="AJ551" s="351"/>
      <c r="AK551" s="339"/>
      <c r="AL551" s="351"/>
      <c r="AM551" s="351"/>
      <c r="AN551" s="53" t="s">
        <v>131</v>
      </c>
      <c r="AO551" s="351"/>
      <c r="AP551" s="351"/>
      <c r="AQ551" s="351"/>
      <c r="AR551" s="351"/>
      <c r="AS551" s="351"/>
      <c r="AT551" s="339"/>
      <c r="AU551" s="339"/>
      <c r="AV551" s="43"/>
      <c r="AW551" s="339"/>
      <c r="AX551" s="339"/>
      <c r="AY551" s="337" t="s">
        <v>2940</v>
      </c>
      <c r="AZ551" s="338" t="s">
        <v>685</v>
      </c>
      <c r="BA551" s="339"/>
      <c r="BB551" s="339"/>
      <c r="BC551" s="339"/>
      <c r="BD551" s="339"/>
      <c r="BE551" s="339"/>
      <c r="BF551" s="339"/>
      <c r="BG551" s="339"/>
      <c r="BH551" s="339"/>
      <c r="BI551" s="339"/>
      <c r="BJ551" s="339"/>
      <c r="BK551" s="339"/>
      <c r="BL551" s="339"/>
      <c r="BM551" s="339"/>
      <c r="BN551" s="339"/>
      <c r="BO551" s="339"/>
      <c r="BP551" s="339"/>
      <c r="BQ551" s="339"/>
      <c r="BR551" s="339"/>
      <c r="BS551" s="339"/>
      <c r="BT551" s="339"/>
      <c r="BU551" s="339"/>
      <c r="BV551" s="339"/>
      <c r="BW551" s="339"/>
      <c r="BX551" s="339"/>
      <c r="BY551" s="339"/>
      <c r="BZ551" s="339"/>
      <c r="CA551" s="339"/>
      <c r="CB551" s="339"/>
      <c r="CC551" s="339"/>
      <c r="CD551" s="339"/>
      <c r="CE551" s="339"/>
      <c r="CF551" s="339"/>
      <c r="CG551" s="339"/>
      <c r="CH551" s="339"/>
      <c r="CI551" s="339"/>
      <c r="CJ551" s="339"/>
      <c r="CK551" s="339"/>
      <c r="CL551" s="339"/>
      <c r="CM551" s="339"/>
      <c r="CN551" s="339"/>
      <c r="CO551" s="339"/>
      <c r="CP551" s="339"/>
      <c r="CQ551" s="339"/>
      <c r="CR551" s="339"/>
      <c r="CS551" s="339"/>
      <c r="CT551" s="339"/>
      <c r="CU551" s="339"/>
      <c r="CV551" s="339"/>
      <c r="CW551" s="339"/>
      <c r="CX551" s="339"/>
      <c r="CY551" s="339"/>
      <c r="CZ551" s="339"/>
      <c r="DA551" s="339"/>
      <c r="DB551" s="339"/>
      <c r="DC551" s="339"/>
      <c r="DD551" s="339"/>
      <c r="DE551" s="339"/>
      <c r="DF551" s="339"/>
      <c r="DG551" s="339"/>
      <c r="DH551" s="339"/>
    </row>
    <row r="552" ht="20.25" customHeight="1">
      <c r="A552" s="41">
        <v>552.0</v>
      </c>
      <c r="B552" s="338" t="s">
        <v>107</v>
      </c>
      <c r="C552" s="338" t="s">
        <v>108</v>
      </c>
      <c r="D552" s="338" t="s">
        <v>2950</v>
      </c>
      <c r="E552" s="339"/>
      <c r="F552" s="357" t="s">
        <v>3032</v>
      </c>
      <c r="G552" s="44" t="s">
        <v>3033</v>
      </c>
      <c r="H552" s="357" t="s">
        <v>2953</v>
      </c>
      <c r="I552" s="341">
        <v>45478.0</v>
      </c>
      <c r="J552" s="341">
        <v>45660.0</v>
      </c>
      <c r="K552" s="357" t="s">
        <v>3042</v>
      </c>
      <c r="L552" s="43"/>
      <c r="M552" s="357" t="s">
        <v>3035</v>
      </c>
      <c r="N552" s="357" t="s">
        <v>3036</v>
      </c>
      <c r="O552" s="43"/>
      <c r="P552" s="357" t="s">
        <v>3037</v>
      </c>
      <c r="Q552" s="101" t="str">
        <f t="array" ref="Q552"> if(iserror(MATCH(V552, 'File Links'!C:C, 0)), "N/A", HYPERLINK(INDEX('File Links'!B:B, MATCH(P552, 'File Links'!C:C, 0))))</f>
        <v>https://drive.google.com/file/d/1bQdPG6N4D0o1pKlwFaURIS3ouXnJPLk2/view?usp=drivesdk</v>
      </c>
      <c r="R552" s="357" t="s">
        <v>3043</v>
      </c>
      <c r="S552" s="357" t="s">
        <v>3039</v>
      </c>
      <c r="T552" s="43"/>
      <c r="U552" s="43"/>
      <c r="V552" s="357" t="str">
        <f t="shared" ref="V552:V561" si="29"> hyperlink(vlookup(lower(S552),#REF!, 2, FALSE), SUBSTITUTE(lower(S552), "/", "--") &amp;  ".pdf")</f>
        <v>10.37237--150205.pdf</v>
      </c>
      <c r="W552" s="357" t="s">
        <v>3044</v>
      </c>
      <c r="X552" s="51" t="str">
        <f t="array" ref="X552"> if(iserror(MATCH(V552, 'File Links'!C:C, 0)), "N/A", HYPERLINK(INDEX('File Links'!B:B, MATCH(V552, 'File Links'!C:C, 0))))</f>
        <v>https://drive.google.com/file/d/1mAgtvtRNwI_LQ2ccnmAWuBfkaX8itu_d/view?usp=drivesdk</v>
      </c>
      <c r="Y552" s="339"/>
      <c r="Z552" s="357" t="s">
        <v>234</v>
      </c>
      <c r="AA552" s="43" t="s">
        <v>3045</v>
      </c>
      <c r="AB552" s="357" t="s">
        <v>3046</v>
      </c>
      <c r="AC552" s="357" t="s">
        <v>3047</v>
      </c>
      <c r="AD552" s="500" t="s">
        <v>3048</v>
      </c>
      <c r="AE552" s="357" t="s">
        <v>3049</v>
      </c>
      <c r="AF552" s="354">
        <v>39.0</v>
      </c>
      <c r="AG552" s="43"/>
      <c r="AH552" s="43"/>
      <c r="AI552" s="357" t="s">
        <v>3050</v>
      </c>
      <c r="AJ552" s="102"/>
      <c r="AK552" s="46"/>
      <c r="AL552" s="46"/>
      <c r="AM552" s="43"/>
      <c r="AN552" s="53" t="s">
        <v>131</v>
      </c>
      <c r="AO552" s="354">
        <v>42.0</v>
      </c>
      <c r="AP552" s="43"/>
      <c r="AQ552" s="43"/>
      <c r="AR552" s="357" t="s">
        <v>3051</v>
      </c>
      <c r="AS552" s="43"/>
      <c r="AT552" s="43"/>
      <c r="AU552" s="43"/>
      <c r="AV552" s="43"/>
      <c r="AW552" s="43"/>
      <c r="AX552" s="43" t="s">
        <v>136</v>
      </c>
      <c r="AY552" s="337" t="s">
        <v>2940</v>
      </c>
      <c r="AZ552" s="338" t="s">
        <v>685</v>
      </c>
      <c r="BA552" s="339"/>
      <c r="BB552" s="339"/>
      <c r="BC552" s="339"/>
      <c r="BD552" s="339"/>
      <c r="BE552" s="339"/>
      <c r="BF552" s="339"/>
      <c r="BG552" s="339"/>
      <c r="BH552" s="339"/>
      <c r="BI552" s="339"/>
      <c r="BJ552" s="339"/>
      <c r="BK552" s="339"/>
      <c r="BL552" s="339"/>
      <c r="BM552" s="339"/>
      <c r="BN552" s="339"/>
      <c r="BO552" s="339"/>
      <c r="BP552" s="339"/>
      <c r="BQ552" s="339"/>
      <c r="BR552" s="339"/>
      <c r="BS552" s="339"/>
      <c r="BT552" s="339"/>
      <c r="BU552" s="339"/>
      <c r="BV552" s="339"/>
      <c r="BW552" s="339"/>
      <c r="BX552" s="339"/>
      <c r="BY552" s="339"/>
      <c r="BZ552" s="339"/>
      <c r="CA552" s="339"/>
      <c r="CB552" s="339"/>
      <c r="CC552" s="339"/>
      <c r="CD552" s="339"/>
      <c r="CE552" s="339"/>
      <c r="CF552" s="339"/>
      <c r="CG552" s="339"/>
      <c r="CH552" s="339"/>
      <c r="CI552" s="339"/>
      <c r="CJ552" s="339"/>
      <c r="CK552" s="339"/>
      <c r="CL552" s="339"/>
      <c r="CM552" s="339"/>
      <c r="CN552" s="339"/>
      <c r="CO552" s="339"/>
      <c r="CP552" s="339"/>
      <c r="CQ552" s="339"/>
      <c r="CR552" s="339"/>
      <c r="CS552" s="339"/>
      <c r="CT552" s="339"/>
      <c r="CU552" s="339"/>
      <c r="CV552" s="339"/>
      <c r="CW552" s="339"/>
      <c r="CX552" s="339"/>
      <c r="CY552" s="339"/>
      <c r="CZ552" s="339"/>
      <c r="DA552" s="339"/>
      <c r="DB552" s="339"/>
      <c r="DC552" s="339"/>
      <c r="DD552" s="339"/>
      <c r="DE552" s="339"/>
      <c r="DF552" s="339"/>
      <c r="DG552" s="339"/>
      <c r="DH552" s="339"/>
    </row>
    <row r="553" ht="20.25" customHeight="1">
      <c r="A553" s="41">
        <v>553.0</v>
      </c>
      <c r="B553" s="365" t="s">
        <v>107</v>
      </c>
      <c r="C553" s="365" t="s">
        <v>108</v>
      </c>
      <c r="D553" s="365" t="s">
        <v>2923</v>
      </c>
      <c r="E553" s="686"/>
      <c r="F553" s="185" t="s">
        <v>3052</v>
      </c>
      <c r="G553" s="365" t="s">
        <v>3053</v>
      </c>
      <c r="H553" s="365" t="s">
        <v>2926</v>
      </c>
      <c r="I553" s="866">
        <v>45633.0</v>
      </c>
      <c r="J553" s="167">
        <v>45688.0</v>
      </c>
      <c r="K553" s="686"/>
      <c r="L553" s="686"/>
      <c r="M553" s="867" t="s">
        <v>3054</v>
      </c>
      <c r="N553" s="365" t="s">
        <v>3055</v>
      </c>
      <c r="O553" s="365">
        <v>1.0</v>
      </c>
      <c r="P553" s="365" t="s">
        <v>3056</v>
      </c>
      <c r="Q553" s="49" t="str">
        <f t="array" ref="Q553"> if(iserror(MATCH(V553, 'File Links'!C:C, 0)), "N/A", HYPERLINK(INDEX('File Links'!B:B, MATCH(P553, 'File Links'!C:C, 0))))</f>
        <v>https://drive.google.com/file/d/1EOobtRYPjKeO9_gYW4bu-_TIpK_PjuLA/view?usp=drivesdk</v>
      </c>
      <c r="R553" s="365" t="s">
        <v>3057</v>
      </c>
      <c r="S553" s="365" t="s">
        <v>3058</v>
      </c>
      <c r="T553" s="686"/>
      <c r="U553" s="365">
        <v>1.0</v>
      </c>
      <c r="V553" s="195" t="str">
        <f t="shared" si="29"/>
        <v>10.31234--osf.io--jfmsz.pdf</v>
      </c>
      <c r="W553" s="365" t="s">
        <v>202</v>
      </c>
      <c r="X553" s="51" t="str">
        <f t="array" ref="X553"> if(iserror(MATCH(V553, 'File Links'!C:C, 0)), "N/A", HYPERLINK(INDEX('File Links'!B:B, MATCH(V553, 'File Links'!C:C, 0))))</f>
        <v>https://drive.google.com/file/d/1VVeqTkEjSzuu9KSkYUb2Q1_BeFG8ZFes/view?usp=drivesdk</v>
      </c>
      <c r="Y553" s="686"/>
      <c r="Z553" s="365" t="s">
        <v>219</v>
      </c>
      <c r="AA553" s="868" t="s">
        <v>3059</v>
      </c>
      <c r="AB553" s="365" t="s">
        <v>3060</v>
      </c>
      <c r="AC553" s="868" t="s">
        <v>3061</v>
      </c>
      <c r="AD553" s="365" t="s">
        <v>3062</v>
      </c>
      <c r="AE553" s="365">
        <v>2.0</v>
      </c>
      <c r="AF553" s="365">
        <v>576.0</v>
      </c>
      <c r="AG553" s="365">
        <v>0.13</v>
      </c>
      <c r="AH553" s="365" t="s">
        <v>354</v>
      </c>
      <c r="AI553" s="365" t="s">
        <v>868</v>
      </c>
      <c r="AJ553" s="365">
        <v>0.007</v>
      </c>
      <c r="AK553" s="185" t="s">
        <v>165</v>
      </c>
      <c r="AL553" s="365" t="s">
        <v>179</v>
      </c>
      <c r="AM553" s="365" t="s">
        <v>130</v>
      </c>
      <c r="AN553" s="869" t="s">
        <v>3063</v>
      </c>
      <c r="AO553" s="365">
        <v>961.0</v>
      </c>
      <c r="AP553" s="365">
        <v>0.095</v>
      </c>
      <c r="AQ553" s="365" t="s">
        <v>354</v>
      </c>
      <c r="AR553" s="365" t="s">
        <v>843</v>
      </c>
      <c r="AS553" s="365">
        <v>0.014</v>
      </c>
      <c r="AT553" s="185" t="s">
        <v>165</v>
      </c>
      <c r="AU553" s="185" t="s">
        <v>179</v>
      </c>
      <c r="AV553" s="371" t="s">
        <v>130</v>
      </c>
      <c r="AW553" s="870" t="s">
        <v>3064</v>
      </c>
      <c r="AX553" s="185" t="s">
        <v>136</v>
      </c>
      <c r="AY553" s="365" t="s">
        <v>3065</v>
      </c>
      <c r="AZ553" s="185" t="s">
        <v>137</v>
      </c>
      <c r="BA553" s="89"/>
      <c r="BB553" s="89"/>
      <c r="BC553" s="89"/>
      <c r="BD553" s="89"/>
      <c r="BE553" s="89"/>
      <c r="BF553" s="89"/>
      <c r="BG553" s="89"/>
      <c r="BH553" s="89"/>
      <c r="BI553" s="89"/>
      <c r="BJ553" s="89"/>
      <c r="BK553" s="89"/>
      <c r="BL553" s="89"/>
      <c r="BM553" s="89"/>
      <c r="BN553" s="89"/>
      <c r="BO553" s="89"/>
      <c r="BP553" s="89"/>
      <c r="BQ553" s="89"/>
      <c r="BR553" s="89"/>
      <c r="BS553" s="89"/>
      <c r="BT553" s="89"/>
      <c r="BU553" s="89"/>
      <c r="BV553" s="89"/>
      <c r="BW553" s="89"/>
      <c r="BX553" s="89"/>
      <c r="BY553" s="89"/>
      <c r="BZ553" s="89"/>
      <c r="CA553" s="89"/>
      <c r="CB553" s="89"/>
      <c r="CC553" s="89"/>
      <c r="CD553" s="89"/>
      <c r="CE553" s="89"/>
      <c r="CF553" s="89"/>
      <c r="CG553" s="89"/>
      <c r="CH553" s="89"/>
      <c r="CI553" s="89"/>
      <c r="CJ553" s="89"/>
      <c r="CK553" s="89"/>
      <c r="CL553" s="89"/>
      <c r="CM553" s="89"/>
      <c r="CN553" s="89"/>
      <c r="CO553" s="89"/>
      <c r="CP553" s="89"/>
      <c r="CQ553" s="89"/>
      <c r="CR553" s="89"/>
      <c r="CS553" s="89"/>
      <c r="CT553" s="89"/>
      <c r="CU553" s="89"/>
      <c r="CV553" s="89"/>
      <c r="CW553" s="89"/>
      <c r="CX553" s="89"/>
      <c r="CY553" s="89"/>
      <c r="CZ553" s="89"/>
      <c r="DA553" s="89"/>
      <c r="DB553" s="89"/>
      <c r="DC553" s="89"/>
      <c r="DD553" s="89"/>
      <c r="DE553" s="89"/>
      <c r="DF553" s="89"/>
      <c r="DG553" s="89"/>
      <c r="DH553" s="89"/>
    </row>
    <row r="554" ht="20.25" customHeight="1">
      <c r="A554" s="41">
        <v>554.0</v>
      </c>
      <c r="B554" s="365" t="s">
        <v>145</v>
      </c>
      <c r="C554" s="185" t="s">
        <v>108</v>
      </c>
      <c r="D554" s="185" t="s">
        <v>2950</v>
      </c>
      <c r="E554" s="186"/>
      <c r="F554" s="187" t="s">
        <v>3052</v>
      </c>
      <c r="G554" s="55" t="s">
        <v>3053</v>
      </c>
      <c r="H554" s="195" t="s">
        <v>2953</v>
      </c>
      <c r="I554" s="188">
        <v>45635.0</v>
      </c>
      <c r="J554" s="167">
        <v>45688.0</v>
      </c>
      <c r="K554" s="195" t="s">
        <v>3066</v>
      </c>
      <c r="L554" s="187"/>
      <c r="M554" s="867" t="s">
        <v>3067</v>
      </c>
      <c r="N554" s="365" t="s">
        <v>3055</v>
      </c>
      <c r="O554" s="755">
        <v>1.0</v>
      </c>
      <c r="P554" s="195" t="s">
        <v>3056</v>
      </c>
      <c r="Q554" s="49" t="str">
        <f t="array" ref="Q554"> if(iserror(MATCH(V554, 'File Links'!C:C, 0)), "N/A", HYPERLINK(INDEX('File Links'!B:B, MATCH(P554, 'File Links'!C:C, 0))))</f>
        <v>https://drive.google.com/file/d/1EOobtRYPjKeO9_gYW4bu-_TIpK_PjuLA/view?usp=drivesdk</v>
      </c>
      <c r="R554" s="365" t="s">
        <v>3057</v>
      </c>
      <c r="S554" s="195" t="s">
        <v>3058</v>
      </c>
      <c r="T554" s="187"/>
      <c r="U554" s="365">
        <v>1.0</v>
      </c>
      <c r="V554" s="195" t="str">
        <f t="shared" si="29"/>
        <v>10.31234--osf.io--jfmsz.pdf</v>
      </c>
      <c r="W554" s="365" t="s">
        <v>202</v>
      </c>
      <c r="X554" s="51" t="str">
        <f t="array" ref="X554"> if(iserror(MATCH(V554, 'File Links'!C:C, 0)), "N/A", HYPERLINK(INDEX('File Links'!B:B, MATCH(V554, 'File Links'!C:C, 0))))</f>
        <v>https://drive.google.com/file/d/1VVeqTkEjSzuu9KSkYUb2Q1_BeFG8ZFes/view?usp=drivesdk</v>
      </c>
      <c r="Y554" s="186"/>
      <c r="Z554" s="365" t="s">
        <v>219</v>
      </c>
      <c r="AA554" s="195" t="s">
        <v>3059</v>
      </c>
      <c r="AB554" s="871" t="s">
        <v>3060</v>
      </c>
      <c r="AC554" s="195" t="s">
        <v>3061</v>
      </c>
      <c r="AD554" s="365" t="s">
        <v>3062</v>
      </c>
      <c r="AE554" s="755">
        <v>2.0</v>
      </c>
      <c r="AF554" s="871">
        <v>576.0</v>
      </c>
      <c r="AG554" s="755">
        <v>0.13</v>
      </c>
      <c r="AH554" s="195" t="s">
        <v>354</v>
      </c>
      <c r="AI554" s="365" t="s">
        <v>868</v>
      </c>
      <c r="AJ554" s="872">
        <v>0.007</v>
      </c>
      <c r="AK554" s="55" t="s">
        <v>165</v>
      </c>
      <c r="AL554" s="55" t="s">
        <v>179</v>
      </c>
      <c r="AM554" s="187" t="s">
        <v>130</v>
      </c>
      <c r="AN554" s="873" t="s">
        <v>3063</v>
      </c>
      <c r="AO554" s="755">
        <v>961.0</v>
      </c>
      <c r="AP554" s="755">
        <v>0.095</v>
      </c>
      <c r="AQ554" s="195" t="s">
        <v>354</v>
      </c>
      <c r="AR554" s="365" t="s">
        <v>843</v>
      </c>
      <c r="AS554" s="871">
        <v>0.014</v>
      </c>
      <c r="AT554" s="195" t="s">
        <v>165</v>
      </c>
      <c r="AU554" s="195" t="s">
        <v>179</v>
      </c>
      <c r="AV554" s="187" t="s">
        <v>130</v>
      </c>
      <c r="AW554" s="874" t="s">
        <v>3064</v>
      </c>
      <c r="AX554" s="187" t="s">
        <v>136</v>
      </c>
      <c r="AY554" s="365" t="s">
        <v>3065</v>
      </c>
      <c r="AZ554" s="185" t="s">
        <v>137</v>
      </c>
      <c r="BA554" s="89"/>
      <c r="BB554" s="89"/>
      <c r="BC554" s="89"/>
      <c r="BD554" s="89"/>
      <c r="BE554" s="89"/>
      <c r="BF554" s="89"/>
      <c r="BG554" s="89"/>
      <c r="BH554" s="89"/>
      <c r="BI554" s="89"/>
      <c r="BJ554" s="89"/>
      <c r="BK554" s="89"/>
      <c r="BL554" s="89"/>
      <c r="BM554" s="89"/>
      <c r="BN554" s="89"/>
      <c r="BO554" s="89"/>
      <c r="BP554" s="89"/>
      <c r="BQ554" s="89"/>
      <c r="BR554" s="89"/>
      <c r="BS554" s="89"/>
      <c r="BT554" s="89"/>
      <c r="BU554" s="89"/>
      <c r="BV554" s="89"/>
      <c r="BW554" s="89"/>
      <c r="BX554" s="89"/>
      <c r="BY554" s="89"/>
      <c r="BZ554" s="89"/>
      <c r="CA554" s="89"/>
      <c r="CB554" s="89"/>
      <c r="CC554" s="89"/>
      <c r="CD554" s="89"/>
      <c r="CE554" s="89"/>
      <c r="CF554" s="89"/>
      <c r="CG554" s="89"/>
      <c r="CH554" s="89"/>
      <c r="CI554" s="89"/>
      <c r="CJ554" s="89"/>
      <c r="CK554" s="89"/>
      <c r="CL554" s="89"/>
      <c r="CM554" s="89"/>
      <c r="CN554" s="89"/>
      <c r="CO554" s="89"/>
      <c r="CP554" s="89"/>
      <c r="CQ554" s="89"/>
      <c r="CR554" s="89"/>
      <c r="CS554" s="89"/>
      <c r="CT554" s="89"/>
      <c r="CU554" s="89"/>
      <c r="CV554" s="89"/>
      <c r="CW554" s="89"/>
      <c r="CX554" s="89"/>
      <c r="CY554" s="89"/>
      <c r="CZ554" s="89"/>
      <c r="DA554" s="89"/>
      <c r="DB554" s="89"/>
      <c r="DC554" s="89"/>
      <c r="DD554" s="89"/>
      <c r="DE554" s="89"/>
      <c r="DF554" s="89"/>
      <c r="DG554" s="89"/>
      <c r="DH554" s="89"/>
    </row>
    <row r="555" ht="20.25" customHeight="1">
      <c r="A555" s="41">
        <v>555.0</v>
      </c>
      <c r="B555" s="337" t="s">
        <v>145</v>
      </c>
      <c r="C555" s="337" t="s">
        <v>108</v>
      </c>
      <c r="D555" s="337" t="s">
        <v>2923</v>
      </c>
      <c r="E555" s="351"/>
      <c r="F555" s="338" t="s">
        <v>3068</v>
      </c>
      <c r="G555" s="337" t="s">
        <v>3069</v>
      </c>
      <c r="H555" s="337" t="s">
        <v>2926</v>
      </c>
      <c r="I555" s="349">
        <v>45489.0</v>
      </c>
      <c r="J555" s="349">
        <v>45634.0</v>
      </c>
      <c r="K555" s="351"/>
      <c r="L555" s="351"/>
      <c r="M555" s="337" t="s">
        <v>3070</v>
      </c>
      <c r="N555" s="337" t="s">
        <v>3071</v>
      </c>
      <c r="O555" s="337" t="s">
        <v>3072</v>
      </c>
      <c r="P555" s="337" t="s">
        <v>3073</v>
      </c>
      <c r="Q555" s="101" t="str">
        <f t="array" ref="Q555"> if(iserror(MATCH(V555, 'File Links'!C:C, 0)), "N/A", HYPERLINK(INDEX('File Links'!B:B, MATCH(P555, 'File Links'!C:C, 0))))</f>
        <v>https://drive.google.com/file/d/1Dle9tBaQJnicGTbi-WNIWZLHBhpRMBFu/view?usp=drivesdk</v>
      </c>
      <c r="R555" s="337" t="s">
        <v>3074</v>
      </c>
      <c r="S555" s="337" t="s">
        <v>3075</v>
      </c>
      <c r="T555" s="351"/>
      <c r="U555" s="337"/>
      <c r="V555" s="357" t="str">
        <f t="shared" si="29"/>
        <v>10.31234--osf.io--xjaty.pdf</v>
      </c>
      <c r="W555" s="337" t="s">
        <v>202</v>
      </c>
      <c r="X555" s="51" t="str">
        <f t="array" ref="X555"> if(iserror(MATCH(V555, 'File Links'!C:C, 0)), "N/A", HYPERLINK(INDEX('File Links'!B:B, MATCH(V555, 'File Links'!C:C, 0))))</f>
        <v>https://drive.google.com/file/d/1DMMXxQwzUbOxshIWiT8AwdGZ588_WZ8b/view?usp=drivesdk</v>
      </c>
      <c r="Y555" s="351"/>
      <c r="Z555" s="337" t="s">
        <v>141</v>
      </c>
      <c r="AA555" s="875" t="s">
        <v>3076</v>
      </c>
      <c r="AB555" s="337" t="s">
        <v>3077</v>
      </c>
      <c r="AC555" s="337" t="s">
        <v>3078</v>
      </c>
      <c r="AD555" s="337" t="s">
        <v>3079</v>
      </c>
      <c r="AE555" s="337">
        <v>3.0</v>
      </c>
      <c r="AF555" s="337">
        <v>462.0</v>
      </c>
      <c r="AG555" s="337">
        <v>0.32</v>
      </c>
      <c r="AH555" s="337" t="s">
        <v>166</v>
      </c>
      <c r="AI555" s="337" t="s">
        <v>868</v>
      </c>
      <c r="AJ555" s="337">
        <v>0.001</v>
      </c>
      <c r="AK555" s="338" t="s">
        <v>128</v>
      </c>
      <c r="AL555" s="337" t="s">
        <v>129</v>
      </c>
      <c r="AM555" s="337" t="s">
        <v>130</v>
      </c>
      <c r="AN555" s="53" t="s">
        <v>131</v>
      </c>
      <c r="AO555" s="337">
        <v>475.0</v>
      </c>
      <c r="AP555" s="337">
        <v>0.009</v>
      </c>
      <c r="AQ555" s="337" t="s">
        <v>166</v>
      </c>
      <c r="AR555" s="337" t="s">
        <v>843</v>
      </c>
      <c r="AS555" s="337">
        <v>0.924</v>
      </c>
      <c r="AT555" s="338" t="s">
        <v>165</v>
      </c>
      <c r="AU555" s="338" t="s">
        <v>129</v>
      </c>
      <c r="AV555" s="53" t="s">
        <v>130</v>
      </c>
      <c r="AW555" s="876" t="s">
        <v>3080</v>
      </c>
      <c r="AX555" s="338" t="s">
        <v>136</v>
      </c>
      <c r="AY555" s="351"/>
      <c r="AZ555" s="338" t="s">
        <v>685</v>
      </c>
      <c r="BA555" s="339"/>
      <c r="BB555" s="339"/>
      <c r="BC555" s="339"/>
      <c r="BD555" s="339"/>
      <c r="BE555" s="339"/>
      <c r="BF555" s="339"/>
      <c r="BG555" s="339"/>
      <c r="BH555" s="339"/>
      <c r="BI555" s="339"/>
      <c r="BJ555" s="339"/>
      <c r="BK555" s="339"/>
      <c r="BL555" s="339"/>
      <c r="BM555" s="339"/>
      <c r="BN555" s="339"/>
      <c r="BO555" s="339"/>
      <c r="BP555" s="339"/>
      <c r="BQ555" s="339"/>
      <c r="BR555" s="339"/>
      <c r="BS555" s="339"/>
      <c r="BT555" s="339"/>
      <c r="BU555" s="339"/>
      <c r="BV555" s="339"/>
      <c r="BW555" s="339"/>
      <c r="BX555" s="339"/>
      <c r="BY555" s="339"/>
      <c r="BZ555" s="339"/>
      <c r="CA555" s="339"/>
      <c r="CB555" s="339"/>
      <c r="CC555" s="339"/>
      <c r="CD555" s="339"/>
      <c r="CE555" s="339"/>
      <c r="CF555" s="339"/>
      <c r="CG555" s="339"/>
      <c r="CH555" s="339"/>
      <c r="CI555" s="339"/>
      <c r="CJ555" s="339"/>
      <c r="CK555" s="339"/>
      <c r="CL555" s="339"/>
      <c r="CM555" s="339"/>
      <c r="CN555" s="339"/>
      <c r="CO555" s="339"/>
      <c r="CP555" s="339"/>
      <c r="CQ555" s="339"/>
      <c r="CR555" s="339"/>
      <c r="CS555" s="339"/>
      <c r="CT555" s="339"/>
      <c r="CU555" s="339"/>
      <c r="CV555" s="339"/>
      <c r="CW555" s="339"/>
      <c r="CX555" s="339"/>
      <c r="CY555" s="339"/>
      <c r="CZ555" s="339"/>
      <c r="DA555" s="339"/>
      <c r="DB555" s="339"/>
      <c r="DC555" s="339"/>
      <c r="DD555" s="339"/>
      <c r="DE555" s="339"/>
      <c r="DF555" s="339"/>
      <c r="DG555" s="339"/>
      <c r="DH555" s="339"/>
    </row>
    <row r="556" ht="20.25" customHeight="1">
      <c r="A556" s="41">
        <v>556.0</v>
      </c>
      <c r="B556" s="337" t="s">
        <v>107</v>
      </c>
      <c r="C556" s="338" t="s">
        <v>108</v>
      </c>
      <c r="D556" s="338" t="s">
        <v>2950</v>
      </c>
      <c r="E556" s="339"/>
      <c r="F556" s="43" t="s">
        <v>3081</v>
      </c>
      <c r="G556" s="44" t="s">
        <v>3069</v>
      </c>
      <c r="H556" s="357" t="s">
        <v>2953</v>
      </c>
      <c r="I556" s="341">
        <v>45489.0</v>
      </c>
      <c r="J556" s="341">
        <v>45663.0</v>
      </c>
      <c r="K556" s="357" t="s">
        <v>3082</v>
      </c>
      <c r="L556" s="43"/>
      <c r="M556" s="357" t="s">
        <v>3070</v>
      </c>
      <c r="N556" s="357" t="s">
        <v>3071</v>
      </c>
      <c r="O556" s="357" t="s">
        <v>3072</v>
      </c>
      <c r="P556" s="357" t="s">
        <v>3073</v>
      </c>
      <c r="Q556" s="101" t="str">
        <f t="array" ref="Q556"> if(iserror(MATCH(V556, 'File Links'!C:C, 0)), "N/A", HYPERLINK(INDEX('File Links'!B:B, MATCH(P556, 'File Links'!C:C, 0))))</f>
        <v>https://drive.google.com/file/d/1Dle9tBaQJnicGTbi-WNIWZLHBhpRMBFu/view?usp=drivesdk</v>
      </c>
      <c r="R556" s="357" t="s">
        <v>3074</v>
      </c>
      <c r="S556" s="357" t="s">
        <v>3075</v>
      </c>
      <c r="T556" s="43"/>
      <c r="U556" s="43"/>
      <c r="V556" s="357" t="str">
        <f t="shared" si="29"/>
        <v>10.31234--osf.io--xjaty.pdf</v>
      </c>
      <c r="W556" s="357" t="s">
        <v>3044</v>
      </c>
      <c r="X556" s="51" t="str">
        <f t="array" ref="X556"> if(iserror(MATCH(V556, 'File Links'!C:C, 0)), "N/A", HYPERLINK(INDEX('File Links'!B:B, MATCH(V556, 'File Links'!C:C, 0))))</f>
        <v>https://drive.google.com/file/d/1DMMXxQwzUbOxshIWiT8AwdGZ588_WZ8b/view?usp=drivesdk</v>
      </c>
      <c r="Y556" s="339"/>
      <c r="Z556" s="357" t="s">
        <v>219</v>
      </c>
      <c r="AA556" s="357" t="s">
        <v>3076</v>
      </c>
      <c r="AB556" s="357" t="s">
        <v>3083</v>
      </c>
      <c r="AC556" s="877" t="s">
        <v>3084</v>
      </c>
      <c r="AD556" s="340" t="s">
        <v>3085</v>
      </c>
      <c r="AE556" s="354">
        <v>3.0</v>
      </c>
      <c r="AF556" s="354">
        <f t="shared" ref="AF556:AF557" si="30">228+234</f>
        <v>462</v>
      </c>
      <c r="AG556" s="382">
        <v>0.32</v>
      </c>
      <c r="AH556" s="357" t="s">
        <v>166</v>
      </c>
      <c r="AI556" s="357" t="s">
        <v>3086</v>
      </c>
      <c r="AJ556" s="383">
        <v>0.001</v>
      </c>
      <c r="AK556" s="44" t="s">
        <v>128</v>
      </c>
      <c r="AL556" s="44" t="s">
        <v>179</v>
      </c>
      <c r="AM556" s="43" t="s">
        <v>130</v>
      </c>
      <c r="AN556" s="53" t="s">
        <v>131</v>
      </c>
      <c r="AO556" s="354">
        <f t="shared" ref="AO556:AO557" si="31">236+239</f>
        <v>475</v>
      </c>
      <c r="AP556" s="354">
        <v>0.009</v>
      </c>
      <c r="AQ556" s="357" t="s">
        <v>166</v>
      </c>
      <c r="AR556" s="357" t="s">
        <v>3087</v>
      </c>
      <c r="AS556" s="354">
        <v>0.924</v>
      </c>
      <c r="AT556" s="357" t="s">
        <v>165</v>
      </c>
      <c r="AU556" s="357" t="s">
        <v>129</v>
      </c>
      <c r="AV556" s="43" t="s">
        <v>130</v>
      </c>
      <c r="AW556" s="56" t="s">
        <v>3080</v>
      </c>
      <c r="AX556" s="43" t="s">
        <v>136</v>
      </c>
      <c r="AY556" s="338" t="s">
        <v>3088</v>
      </c>
      <c r="AZ556" s="338" t="s">
        <v>685</v>
      </c>
      <c r="BA556" s="339"/>
      <c r="BB556" s="339"/>
      <c r="BC556" s="339"/>
      <c r="BD556" s="339"/>
      <c r="BE556" s="339"/>
      <c r="BF556" s="339"/>
      <c r="BG556" s="339"/>
      <c r="BH556" s="339"/>
      <c r="BI556" s="339"/>
      <c r="BJ556" s="339"/>
      <c r="BK556" s="339"/>
      <c r="BL556" s="339"/>
      <c r="BM556" s="339"/>
      <c r="BN556" s="339"/>
      <c r="BO556" s="339"/>
      <c r="BP556" s="339"/>
      <c r="BQ556" s="339"/>
      <c r="BR556" s="339"/>
      <c r="BS556" s="339"/>
      <c r="BT556" s="339"/>
      <c r="BU556" s="339"/>
      <c r="BV556" s="339"/>
      <c r="BW556" s="339"/>
      <c r="BX556" s="339"/>
      <c r="BY556" s="339"/>
      <c r="BZ556" s="339"/>
      <c r="CA556" s="339"/>
      <c r="CB556" s="339"/>
      <c r="CC556" s="339"/>
      <c r="CD556" s="339"/>
      <c r="CE556" s="339"/>
      <c r="CF556" s="339"/>
      <c r="CG556" s="339"/>
      <c r="CH556" s="339"/>
      <c r="CI556" s="339"/>
      <c r="CJ556" s="339"/>
      <c r="CK556" s="339"/>
      <c r="CL556" s="339"/>
      <c r="CM556" s="339"/>
      <c r="CN556" s="339"/>
      <c r="CO556" s="339"/>
      <c r="CP556" s="339"/>
      <c r="CQ556" s="339"/>
      <c r="CR556" s="339"/>
      <c r="CS556" s="339"/>
      <c r="CT556" s="339"/>
      <c r="CU556" s="339"/>
      <c r="CV556" s="339"/>
      <c r="CW556" s="339"/>
      <c r="CX556" s="339"/>
      <c r="CY556" s="339"/>
      <c r="CZ556" s="339"/>
      <c r="DA556" s="339"/>
      <c r="DB556" s="339"/>
      <c r="DC556" s="339"/>
      <c r="DD556" s="339"/>
      <c r="DE556" s="339"/>
      <c r="DF556" s="339"/>
      <c r="DG556" s="339"/>
      <c r="DH556" s="339"/>
    </row>
    <row r="557" ht="20.25" customHeight="1">
      <c r="A557" s="41">
        <v>557.0</v>
      </c>
      <c r="B557" s="337" t="s">
        <v>145</v>
      </c>
      <c r="C557" s="338" t="s">
        <v>108</v>
      </c>
      <c r="D557" s="338" t="s">
        <v>2950</v>
      </c>
      <c r="E557" s="339"/>
      <c r="F557" s="43" t="s">
        <v>3089</v>
      </c>
      <c r="G557" s="44" t="s">
        <v>3069</v>
      </c>
      <c r="H557" s="357" t="s">
        <v>2953</v>
      </c>
      <c r="I557" s="341">
        <v>45489.0</v>
      </c>
      <c r="J557" s="341">
        <v>45663.0</v>
      </c>
      <c r="K557" s="357" t="s">
        <v>3082</v>
      </c>
      <c r="L557" s="43"/>
      <c r="M557" s="357" t="s">
        <v>3070</v>
      </c>
      <c r="N557" s="357" t="s">
        <v>3071</v>
      </c>
      <c r="O557" s="357" t="s">
        <v>3072</v>
      </c>
      <c r="P557" s="357" t="s">
        <v>3073</v>
      </c>
      <c r="Q557" s="101" t="str">
        <f t="array" ref="Q557"> if(iserror(MATCH(V557, 'File Links'!C:C, 0)), "N/A", HYPERLINK(INDEX('File Links'!B:B, MATCH(P557, 'File Links'!C:C, 0))))</f>
        <v>https://drive.google.com/file/d/1Dle9tBaQJnicGTbi-WNIWZLHBhpRMBFu/view?usp=drivesdk</v>
      </c>
      <c r="R557" s="357" t="s">
        <v>3074</v>
      </c>
      <c r="S557" s="357" t="s">
        <v>3075</v>
      </c>
      <c r="T557" s="43"/>
      <c r="U557" s="43"/>
      <c r="V557" s="357" t="str">
        <f t="shared" si="29"/>
        <v>10.31234--osf.io--xjaty.pdf</v>
      </c>
      <c r="W557" s="357" t="s">
        <v>3044</v>
      </c>
      <c r="X557" s="51" t="str">
        <f t="array" ref="X557"> if(iserror(MATCH(V557, 'File Links'!C:C, 0)), "N/A", HYPERLINK(INDEX('File Links'!B:B, MATCH(V557, 'File Links'!C:C, 0))))</f>
        <v>https://drive.google.com/file/d/1DMMXxQwzUbOxshIWiT8AwdGZ588_WZ8b/view?usp=drivesdk</v>
      </c>
      <c r="Y557" s="339"/>
      <c r="Z557" s="357" t="s">
        <v>219</v>
      </c>
      <c r="AA557" s="357" t="s">
        <v>3076</v>
      </c>
      <c r="AB557" s="357" t="s">
        <v>3083</v>
      </c>
      <c r="AC557" s="877" t="s">
        <v>3090</v>
      </c>
      <c r="AD557" s="357" t="s">
        <v>3091</v>
      </c>
      <c r="AE557" s="354">
        <v>3.0</v>
      </c>
      <c r="AF557" s="354">
        <f t="shared" si="30"/>
        <v>462</v>
      </c>
      <c r="AG557" s="382">
        <v>0.72</v>
      </c>
      <c r="AH557" s="357" t="s">
        <v>166</v>
      </c>
      <c r="AI557" s="357" t="s">
        <v>3092</v>
      </c>
      <c r="AJ557" s="383">
        <v>0.001</v>
      </c>
      <c r="AK557" s="44" t="s">
        <v>128</v>
      </c>
      <c r="AL557" s="44" t="s">
        <v>179</v>
      </c>
      <c r="AM557" s="43" t="s">
        <v>130</v>
      </c>
      <c r="AN557" s="53" t="s">
        <v>131</v>
      </c>
      <c r="AO557" s="354">
        <f t="shared" si="31"/>
        <v>475</v>
      </c>
      <c r="AP557" s="354">
        <v>0.77</v>
      </c>
      <c r="AQ557" s="357" t="s">
        <v>166</v>
      </c>
      <c r="AR557" s="357" t="s">
        <v>3093</v>
      </c>
      <c r="AS557" s="354">
        <v>0.001</v>
      </c>
      <c r="AT557" s="357" t="s">
        <v>128</v>
      </c>
      <c r="AU557" s="357" t="s">
        <v>179</v>
      </c>
      <c r="AV557" s="43" t="s">
        <v>130</v>
      </c>
      <c r="AW557" s="43"/>
      <c r="AX557" s="43" t="s">
        <v>136</v>
      </c>
      <c r="AY557" s="339"/>
      <c r="AZ557" s="338" t="s">
        <v>685</v>
      </c>
      <c r="BA557" s="339"/>
      <c r="BB557" s="339"/>
      <c r="BC557" s="339"/>
      <c r="BD557" s="339"/>
      <c r="BE557" s="339"/>
      <c r="BF557" s="339"/>
      <c r="BG557" s="339"/>
      <c r="BH557" s="339"/>
      <c r="BI557" s="339"/>
      <c r="BJ557" s="339"/>
      <c r="BK557" s="339"/>
      <c r="BL557" s="339"/>
      <c r="BM557" s="339"/>
      <c r="BN557" s="339"/>
      <c r="BO557" s="339"/>
      <c r="BP557" s="339"/>
      <c r="BQ557" s="339"/>
      <c r="BR557" s="339"/>
      <c r="BS557" s="339"/>
      <c r="BT557" s="339"/>
      <c r="BU557" s="339"/>
      <c r="BV557" s="339"/>
      <c r="BW557" s="339"/>
      <c r="BX557" s="339"/>
      <c r="BY557" s="339"/>
      <c r="BZ557" s="339"/>
      <c r="CA557" s="339"/>
      <c r="CB557" s="339"/>
      <c r="CC557" s="339"/>
      <c r="CD557" s="339"/>
      <c r="CE557" s="339"/>
      <c r="CF557" s="339"/>
      <c r="CG557" s="339"/>
      <c r="CH557" s="339"/>
      <c r="CI557" s="339"/>
      <c r="CJ557" s="339"/>
      <c r="CK557" s="339"/>
      <c r="CL557" s="339"/>
      <c r="CM557" s="339"/>
      <c r="CN557" s="339"/>
      <c r="CO557" s="339"/>
      <c r="CP557" s="339"/>
      <c r="CQ557" s="339"/>
      <c r="CR557" s="339"/>
      <c r="CS557" s="339"/>
      <c r="CT557" s="339"/>
      <c r="CU557" s="339"/>
      <c r="CV557" s="339"/>
      <c r="CW557" s="339"/>
      <c r="CX557" s="339"/>
      <c r="CY557" s="339"/>
      <c r="CZ557" s="339"/>
      <c r="DA557" s="339"/>
      <c r="DB557" s="339"/>
      <c r="DC557" s="339"/>
      <c r="DD557" s="339"/>
      <c r="DE557" s="339"/>
      <c r="DF557" s="339"/>
      <c r="DG557" s="339"/>
      <c r="DH557" s="339"/>
    </row>
    <row r="558" ht="20.25" customHeight="1">
      <c r="A558" s="41">
        <v>558.0</v>
      </c>
      <c r="B558" s="337" t="s">
        <v>107</v>
      </c>
      <c r="C558" s="338" t="s">
        <v>108</v>
      </c>
      <c r="D558" s="338" t="s">
        <v>2950</v>
      </c>
      <c r="E558" s="339"/>
      <c r="F558" s="43" t="s">
        <v>3094</v>
      </c>
      <c r="G558" s="44" t="s">
        <v>3069</v>
      </c>
      <c r="H558" s="357" t="s">
        <v>2953</v>
      </c>
      <c r="I558" s="341">
        <v>45489.0</v>
      </c>
      <c r="J558" s="341">
        <v>45663.0</v>
      </c>
      <c r="K558" s="357" t="s">
        <v>3095</v>
      </c>
      <c r="L558" s="43"/>
      <c r="M558" s="357" t="s">
        <v>3070</v>
      </c>
      <c r="N558" s="357" t="s">
        <v>3071</v>
      </c>
      <c r="O558" s="357" t="s">
        <v>3072</v>
      </c>
      <c r="P558" s="357" t="s">
        <v>3073</v>
      </c>
      <c r="Q558" s="101" t="str">
        <f t="array" ref="Q558"> if(iserror(MATCH(V558, 'File Links'!C:C, 0)), "N/A", HYPERLINK(INDEX('File Links'!B:B, MATCH(P558, 'File Links'!C:C, 0))))</f>
        <v>https://drive.google.com/file/d/1Dle9tBaQJnicGTbi-WNIWZLHBhpRMBFu/view?usp=drivesdk</v>
      </c>
      <c r="R558" s="357" t="s">
        <v>3074</v>
      </c>
      <c r="S558" s="357" t="s">
        <v>3075</v>
      </c>
      <c r="T558" s="43"/>
      <c r="U558" s="43"/>
      <c r="V558" s="357" t="str">
        <f t="shared" si="29"/>
        <v>10.31234--osf.io--xjaty.pdf</v>
      </c>
      <c r="W558" s="357" t="s">
        <v>3044</v>
      </c>
      <c r="X558" s="51" t="str">
        <f t="array" ref="X558"> if(iserror(MATCH(V558, 'File Links'!C:C, 0)), "N/A", HYPERLINK(INDEX('File Links'!B:B, MATCH(V558, 'File Links'!C:C, 0))))</f>
        <v>https://drive.google.com/file/d/1DMMXxQwzUbOxshIWiT8AwdGZ588_WZ8b/view?usp=drivesdk</v>
      </c>
      <c r="Y558" s="339"/>
      <c r="Z558" s="357" t="s">
        <v>219</v>
      </c>
      <c r="AA558" s="357" t="s">
        <v>3076</v>
      </c>
      <c r="AB558" s="357" t="s">
        <v>3083</v>
      </c>
      <c r="AC558" s="877" t="s">
        <v>3096</v>
      </c>
      <c r="AD558" s="357" t="s">
        <v>3091</v>
      </c>
      <c r="AE558" s="354">
        <v>3.0</v>
      </c>
      <c r="AF558" s="354">
        <v>462.0</v>
      </c>
      <c r="AG558" s="382">
        <v>3.83</v>
      </c>
      <c r="AH558" s="357" t="s">
        <v>127</v>
      </c>
      <c r="AI558" s="357" t="s">
        <v>3097</v>
      </c>
      <c r="AJ558" s="340" t="s">
        <v>131</v>
      </c>
      <c r="AK558" s="46"/>
      <c r="AL558" s="46"/>
      <c r="AM558" s="43"/>
      <c r="AN558" s="53" t="s">
        <v>131</v>
      </c>
      <c r="AO558" s="354">
        <v>475.0</v>
      </c>
      <c r="AP558" s="354">
        <v>2.83</v>
      </c>
      <c r="AQ558" s="43" t="s">
        <v>127</v>
      </c>
      <c r="AR558" s="357" t="s">
        <v>3098</v>
      </c>
      <c r="AS558" s="357" t="s">
        <v>3099</v>
      </c>
      <c r="AT558" s="43"/>
      <c r="AU558" s="43"/>
      <c r="AV558" s="43"/>
      <c r="AW558" s="43"/>
      <c r="AX558" s="43" t="s">
        <v>136</v>
      </c>
      <c r="AY558" s="339"/>
      <c r="AZ558" s="338" t="s">
        <v>685</v>
      </c>
      <c r="BA558" s="339"/>
      <c r="BB558" s="339"/>
      <c r="BC558" s="339"/>
      <c r="BD558" s="339"/>
      <c r="BE558" s="339"/>
      <c r="BF558" s="339"/>
      <c r="BG558" s="339"/>
      <c r="BH558" s="339"/>
      <c r="BI558" s="339"/>
      <c r="BJ558" s="339"/>
      <c r="BK558" s="339"/>
      <c r="BL558" s="339"/>
      <c r="BM558" s="339"/>
      <c r="BN558" s="339"/>
      <c r="BO558" s="339"/>
      <c r="BP558" s="339"/>
      <c r="BQ558" s="339"/>
      <c r="BR558" s="339"/>
      <c r="BS558" s="339"/>
      <c r="BT558" s="339"/>
      <c r="BU558" s="339"/>
      <c r="BV558" s="339"/>
      <c r="BW558" s="339"/>
      <c r="BX558" s="339"/>
      <c r="BY558" s="339"/>
      <c r="BZ558" s="339"/>
      <c r="CA558" s="339"/>
      <c r="CB558" s="339"/>
      <c r="CC558" s="339"/>
      <c r="CD558" s="339"/>
      <c r="CE558" s="339"/>
      <c r="CF558" s="339"/>
      <c r="CG558" s="339"/>
      <c r="CH558" s="339"/>
      <c r="CI558" s="339"/>
      <c r="CJ558" s="339"/>
      <c r="CK558" s="339"/>
      <c r="CL558" s="339"/>
      <c r="CM558" s="339"/>
      <c r="CN558" s="339"/>
      <c r="CO558" s="339"/>
      <c r="CP558" s="339"/>
      <c r="CQ558" s="339"/>
      <c r="CR558" s="339"/>
      <c r="CS558" s="339"/>
      <c r="CT558" s="339"/>
      <c r="CU558" s="339"/>
      <c r="CV558" s="339"/>
      <c r="CW558" s="339"/>
      <c r="CX558" s="339"/>
      <c r="CY558" s="339"/>
      <c r="CZ558" s="339"/>
      <c r="DA558" s="339"/>
      <c r="DB558" s="339"/>
      <c r="DC558" s="339"/>
      <c r="DD558" s="339"/>
      <c r="DE558" s="339"/>
      <c r="DF558" s="339"/>
      <c r="DG558" s="339"/>
      <c r="DH558" s="339"/>
    </row>
    <row r="559" ht="20.25" customHeight="1">
      <c r="A559" s="41">
        <v>559.0</v>
      </c>
      <c r="B559" s="337" t="s">
        <v>145</v>
      </c>
      <c r="C559" s="338" t="s">
        <v>108</v>
      </c>
      <c r="D559" s="338" t="s">
        <v>2950</v>
      </c>
      <c r="E559" s="339"/>
      <c r="F559" s="43" t="s">
        <v>3100</v>
      </c>
      <c r="G559" s="44" t="s">
        <v>3069</v>
      </c>
      <c r="H559" s="357" t="s">
        <v>2953</v>
      </c>
      <c r="I559" s="341">
        <v>45489.0</v>
      </c>
      <c r="J559" s="341">
        <v>45663.0</v>
      </c>
      <c r="K559" s="357" t="s">
        <v>3101</v>
      </c>
      <c r="L559" s="43"/>
      <c r="M559" s="357" t="s">
        <v>3070</v>
      </c>
      <c r="N559" s="357" t="s">
        <v>3071</v>
      </c>
      <c r="O559" s="357" t="s">
        <v>3072</v>
      </c>
      <c r="P559" s="357" t="s">
        <v>3073</v>
      </c>
      <c r="Q559" s="101" t="str">
        <f t="array" ref="Q559"> if(iserror(MATCH(V559, 'File Links'!C:C, 0)), "N/A", HYPERLINK(INDEX('File Links'!B:B, MATCH(P559, 'File Links'!C:C, 0))))</f>
        <v>https://drive.google.com/file/d/1Dle9tBaQJnicGTbi-WNIWZLHBhpRMBFu/view?usp=drivesdk</v>
      </c>
      <c r="R559" s="357" t="s">
        <v>3074</v>
      </c>
      <c r="S559" s="357" t="s">
        <v>3075</v>
      </c>
      <c r="T559" s="43"/>
      <c r="U559" s="43"/>
      <c r="V559" s="357" t="str">
        <f t="shared" si="29"/>
        <v>10.31234--osf.io--xjaty.pdf</v>
      </c>
      <c r="W559" s="357" t="s">
        <v>3044</v>
      </c>
      <c r="X559" s="51" t="str">
        <f t="array" ref="X559"> if(iserror(MATCH(V559, 'File Links'!C:C, 0)), "N/A", HYPERLINK(INDEX('File Links'!B:B, MATCH(V559, 'File Links'!C:C, 0))))</f>
        <v>https://drive.google.com/file/d/1DMMXxQwzUbOxshIWiT8AwdGZ588_WZ8b/view?usp=drivesdk</v>
      </c>
      <c r="Y559" s="339"/>
      <c r="Z559" s="357" t="s">
        <v>219</v>
      </c>
      <c r="AA559" s="357" t="s">
        <v>3076</v>
      </c>
      <c r="AB559" s="357" t="s">
        <v>3083</v>
      </c>
      <c r="AC559" s="877" t="s">
        <v>3102</v>
      </c>
      <c r="AD559" s="43" t="s">
        <v>3103</v>
      </c>
      <c r="AE559" s="354">
        <v>3.0</v>
      </c>
      <c r="AF559" s="354">
        <f t="shared" ref="AF559:AF561" si="32">133+95</f>
        <v>228</v>
      </c>
      <c r="AG559" s="382">
        <v>0.36</v>
      </c>
      <c r="AH559" s="357" t="s">
        <v>166</v>
      </c>
      <c r="AI559" s="357" t="s">
        <v>3092</v>
      </c>
      <c r="AJ559" s="383">
        <v>0.008</v>
      </c>
      <c r="AK559" s="44" t="s">
        <v>165</v>
      </c>
      <c r="AL559" s="44" t="s">
        <v>179</v>
      </c>
      <c r="AM559" s="43" t="s">
        <v>130</v>
      </c>
      <c r="AN559" s="53" t="s">
        <v>131</v>
      </c>
      <c r="AO559" s="354">
        <f t="shared" ref="AO559:AO561" si="33">140+130</f>
        <v>270</v>
      </c>
      <c r="AP559" s="354">
        <v>-0.008</v>
      </c>
      <c r="AQ559" s="43" t="s">
        <v>166</v>
      </c>
      <c r="AR559" s="357" t="s">
        <v>3093</v>
      </c>
      <c r="AS559" s="354">
        <v>0.95</v>
      </c>
      <c r="AT559" s="357" t="s">
        <v>165</v>
      </c>
      <c r="AU559" s="357" t="s">
        <v>179</v>
      </c>
      <c r="AV559" s="43" t="s">
        <v>130</v>
      </c>
      <c r="AW559" s="43"/>
      <c r="AX559" s="43" t="s">
        <v>136</v>
      </c>
      <c r="AY559" s="339"/>
      <c r="AZ559" s="338" t="s">
        <v>685</v>
      </c>
      <c r="BA559" s="339"/>
      <c r="BB559" s="339"/>
      <c r="BC559" s="339"/>
      <c r="BD559" s="339"/>
      <c r="BE559" s="339"/>
      <c r="BF559" s="339"/>
      <c r="BG559" s="339"/>
      <c r="BH559" s="339"/>
      <c r="BI559" s="339"/>
      <c r="BJ559" s="339"/>
      <c r="BK559" s="339"/>
      <c r="BL559" s="339"/>
      <c r="BM559" s="339"/>
      <c r="BN559" s="339"/>
      <c r="BO559" s="339"/>
      <c r="BP559" s="339"/>
      <c r="BQ559" s="339"/>
      <c r="BR559" s="339"/>
      <c r="BS559" s="339"/>
      <c r="BT559" s="339"/>
      <c r="BU559" s="339"/>
      <c r="BV559" s="339"/>
      <c r="BW559" s="339"/>
      <c r="BX559" s="339"/>
      <c r="BY559" s="339"/>
      <c r="BZ559" s="339"/>
      <c r="CA559" s="339"/>
      <c r="CB559" s="339"/>
      <c r="CC559" s="339"/>
      <c r="CD559" s="339"/>
      <c r="CE559" s="339"/>
      <c r="CF559" s="339"/>
      <c r="CG559" s="339"/>
      <c r="CH559" s="339"/>
      <c r="CI559" s="339"/>
      <c r="CJ559" s="339"/>
      <c r="CK559" s="339"/>
      <c r="CL559" s="339"/>
      <c r="CM559" s="339"/>
      <c r="CN559" s="339"/>
      <c r="CO559" s="339"/>
      <c r="CP559" s="339"/>
      <c r="CQ559" s="339"/>
      <c r="CR559" s="339"/>
      <c r="CS559" s="339"/>
      <c r="CT559" s="339"/>
      <c r="CU559" s="339"/>
      <c r="CV559" s="339"/>
      <c r="CW559" s="339"/>
      <c r="CX559" s="339"/>
      <c r="CY559" s="339"/>
      <c r="CZ559" s="339"/>
      <c r="DA559" s="339"/>
      <c r="DB559" s="339"/>
      <c r="DC559" s="339"/>
      <c r="DD559" s="339"/>
      <c r="DE559" s="339"/>
      <c r="DF559" s="339"/>
      <c r="DG559" s="339"/>
      <c r="DH559" s="339"/>
    </row>
    <row r="560" ht="20.25" customHeight="1">
      <c r="A560" s="41">
        <v>560.0</v>
      </c>
      <c r="B560" s="337" t="s">
        <v>107</v>
      </c>
      <c r="C560" s="338" t="s">
        <v>108</v>
      </c>
      <c r="D560" s="338" t="s">
        <v>2950</v>
      </c>
      <c r="E560" s="339"/>
      <c r="F560" s="43" t="s">
        <v>3104</v>
      </c>
      <c r="G560" s="44" t="s">
        <v>3069</v>
      </c>
      <c r="H560" s="357" t="s">
        <v>2953</v>
      </c>
      <c r="I560" s="341">
        <v>45489.0</v>
      </c>
      <c r="J560" s="341">
        <v>45663.0</v>
      </c>
      <c r="K560" s="357" t="s">
        <v>3101</v>
      </c>
      <c r="L560" s="43"/>
      <c r="M560" s="357" t="s">
        <v>3070</v>
      </c>
      <c r="N560" s="357" t="s">
        <v>3071</v>
      </c>
      <c r="O560" s="357" t="s">
        <v>3072</v>
      </c>
      <c r="P560" s="357" t="s">
        <v>3073</v>
      </c>
      <c r="Q560" s="101" t="str">
        <f t="array" ref="Q560"> if(iserror(MATCH(V560, 'File Links'!C:C, 0)), "N/A", HYPERLINK(INDEX('File Links'!B:B, MATCH(P560, 'File Links'!C:C, 0))))</f>
        <v>https://drive.google.com/file/d/1Dle9tBaQJnicGTbi-WNIWZLHBhpRMBFu/view?usp=drivesdk</v>
      </c>
      <c r="R560" s="357" t="s">
        <v>3074</v>
      </c>
      <c r="S560" s="357" t="s">
        <v>3075</v>
      </c>
      <c r="T560" s="43"/>
      <c r="U560" s="43"/>
      <c r="V560" s="357" t="str">
        <f t="shared" si="29"/>
        <v>10.31234--osf.io--xjaty.pdf</v>
      </c>
      <c r="W560" s="357" t="s">
        <v>3044</v>
      </c>
      <c r="X560" s="51" t="str">
        <f t="array" ref="X560"> if(iserror(MATCH(V560, 'File Links'!C:C, 0)), "N/A", HYPERLINK(INDEX('File Links'!B:B, MATCH(V560, 'File Links'!C:C, 0))))</f>
        <v>https://drive.google.com/file/d/1DMMXxQwzUbOxshIWiT8AwdGZ588_WZ8b/view?usp=drivesdk</v>
      </c>
      <c r="Y560" s="339"/>
      <c r="Z560" s="357" t="s">
        <v>219</v>
      </c>
      <c r="AA560" s="357" t="s">
        <v>3076</v>
      </c>
      <c r="AB560" s="357" t="s">
        <v>3083</v>
      </c>
      <c r="AC560" s="877" t="s">
        <v>3105</v>
      </c>
      <c r="AD560" s="357" t="s">
        <v>3106</v>
      </c>
      <c r="AE560" s="354">
        <v>3.0</v>
      </c>
      <c r="AF560" s="354">
        <f t="shared" si="32"/>
        <v>228</v>
      </c>
      <c r="AG560" s="382">
        <v>0.5</v>
      </c>
      <c r="AH560" s="357" t="s">
        <v>166</v>
      </c>
      <c r="AI560" s="357" t="s">
        <v>3107</v>
      </c>
      <c r="AJ560" s="383">
        <v>0.001</v>
      </c>
      <c r="AK560" s="44" t="s">
        <v>128</v>
      </c>
      <c r="AL560" s="44" t="s">
        <v>179</v>
      </c>
      <c r="AM560" s="43" t="s">
        <v>130</v>
      </c>
      <c r="AN560" s="53" t="s">
        <v>131</v>
      </c>
      <c r="AO560" s="354">
        <f t="shared" si="33"/>
        <v>270</v>
      </c>
      <c r="AP560" s="354">
        <v>0.689</v>
      </c>
      <c r="AQ560" s="43" t="s">
        <v>166</v>
      </c>
      <c r="AR560" s="357" t="s">
        <v>3087</v>
      </c>
      <c r="AS560" s="354">
        <v>0.001</v>
      </c>
      <c r="AT560" s="357" t="s">
        <v>128</v>
      </c>
      <c r="AU560" s="357" t="s">
        <v>179</v>
      </c>
      <c r="AV560" s="43" t="s">
        <v>130</v>
      </c>
      <c r="AW560" s="43"/>
      <c r="AX560" s="43" t="s">
        <v>136</v>
      </c>
      <c r="AY560" s="339"/>
      <c r="AZ560" s="338" t="s">
        <v>685</v>
      </c>
      <c r="BA560" s="339"/>
      <c r="BB560" s="339"/>
      <c r="BC560" s="339"/>
      <c r="BD560" s="339"/>
      <c r="BE560" s="339"/>
      <c r="BF560" s="339"/>
      <c r="BG560" s="339"/>
      <c r="BH560" s="339"/>
      <c r="BI560" s="339"/>
      <c r="BJ560" s="339"/>
      <c r="BK560" s="339"/>
      <c r="BL560" s="339"/>
      <c r="BM560" s="339"/>
      <c r="BN560" s="339"/>
      <c r="BO560" s="339"/>
      <c r="BP560" s="339"/>
      <c r="BQ560" s="339"/>
      <c r="BR560" s="339"/>
      <c r="BS560" s="339"/>
      <c r="BT560" s="339"/>
      <c r="BU560" s="339"/>
      <c r="BV560" s="339"/>
      <c r="BW560" s="339"/>
      <c r="BX560" s="339"/>
      <c r="BY560" s="339"/>
      <c r="BZ560" s="339"/>
      <c r="CA560" s="339"/>
      <c r="CB560" s="339"/>
      <c r="CC560" s="339"/>
      <c r="CD560" s="339"/>
      <c r="CE560" s="339"/>
      <c r="CF560" s="339"/>
      <c r="CG560" s="339"/>
      <c r="CH560" s="339"/>
      <c r="CI560" s="339"/>
      <c r="CJ560" s="339"/>
      <c r="CK560" s="339"/>
      <c r="CL560" s="339"/>
      <c r="CM560" s="339"/>
      <c r="CN560" s="339"/>
      <c r="CO560" s="339"/>
      <c r="CP560" s="339"/>
      <c r="CQ560" s="339"/>
      <c r="CR560" s="339"/>
      <c r="CS560" s="339"/>
      <c r="CT560" s="339"/>
      <c r="CU560" s="339"/>
      <c r="CV560" s="339"/>
      <c r="CW560" s="339"/>
      <c r="CX560" s="339"/>
      <c r="CY560" s="339"/>
      <c r="CZ560" s="339"/>
      <c r="DA560" s="339"/>
      <c r="DB560" s="339"/>
      <c r="DC560" s="339"/>
      <c r="DD560" s="339"/>
      <c r="DE560" s="339"/>
      <c r="DF560" s="339"/>
      <c r="DG560" s="339"/>
      <c r="DH560" s="339"/>
    </row>
    <row r="561" ht="20.25" customHeight="1">
      <c r="A561" s="41">
        <v>561.0</v>
      </c>
      <c r="B561" s="337" t="s">
        <v>145</v>
      </c>
      <c r="C561" s="338" t="s">
        <v>108</v>
      </c>
      <c r="D561" s="338" t="s">
        <v>2950</v>
      </c>
      <c r="E561" s="339"/>
      <c r="F561" s="43" t="s">
        <v>3108</v>
      </c>
      <c r="G561" s="44" t="s">
        <v>3069</v>
      </c>
      <c r="H561" s="357" t="s">
        <v>2953</v>
      </c>
      <c r="I561" s="341">
        <v>45489.0</v>
      </c>
      <c r="J561" s="341">
        <v>45663.0</v>
      </c>
      <c r="K561" s="357" t="s">
        <v>3109</v>
      </c>
      <c r="L561" s="43"/>
      <c r="M561" s="357" t="s">
        <v>3070</v>
      </c>
      <c r="N561" s="357" t="s">
        <v>3071</v>
      </c>
      <c r="O561" s="357" t="s">
        <v>3072</v>
      </c>
      <c r="P561" s="357" t="s">
        <v>3073</v>
      </c>
      <c r="Q561" s="101" t="str">
        <f t="array" ref="Q561"> if(iserror(MATCH(V561, 'File Links'!C:C, 0)), "N/A", HYPERLINK(INDEX('File Links'!B:B, MATCH(P561, 'File Links'!C:C, 0))))</f>
        <v>https://drive.google.com/file/d/1Dle9tBaQJnicGTbi-WNIWZLHBhpRMBFu/view?usp=drivesdk</v>
      </c>
      <c r="R561" s="357" t="s">
        <v>3074</v>
      </c>
      <c r="S561" s="357" t="s">
        <v>3075</v>
      </c>
      <c r="T561" s="43"/>
      <c r="U561" s="43"/>
      <c r="V561" s="357" t="str">
        <f t="shared" si="29"/>
        <v>10.31234--osf.io--xjaty.pdf</v>
      </c>
      <c r="W561" s="357" t="s">
        <v>3044</v>
      </c>
      <c r="X561" s="51" t="str">
        <f t="array" ref="X561"> if(iserror(MATCH(V561, 'File Links'!C:C, 0)), "N/A", HYPERLINK(INDEX('File Links'!B:B, MATCH(V561, 'File Links'!C:C, 0))))</f>
        <v>https://drive.google.com/file/d/1DMMXxQwzUbOxshIWiT8AwdGZ588_WZ8b/view?usp=drivesdk</v>
      </c>
      <c r="Y561" s="339"/>
      <c r="Z561" s="357" t="s">
        <v>219</v>
      </c>
      <c r="AA561" s="357" t="s">
        <v>3076</v>
      </c>
      <c r="AB561" s="357" t="s">
        <v>3083</v>
      </c>
      <c r="AC561" s="877" t="s">
        <v>3110</v>
      </c>
      <c r="AD561" s="357" t="s">
        <v>3111</v>
      </c>
      <c r="AE561" s="354">
        <v>3.0</v>
      </c>
      <c r="AF561" s="354">
        <f t="shared" si="32"/>
        <v>228</v>
      </c>
      <c r="AG561" s="382">
        <v>4.18</v>
      </c>
      <c r="AH561" s="357" t="s">
        <v>127</v>
      </c>
      <c r="AI561" s="357" t="s">
        <v>3097</v>
      </c>
      <c r="AJ561" s="340" t="s">
        <v>131</v>
      </c>
      <c r="AK561" s="46"/>
      <c r="AL561" s="46"/>
      <c r="AM561" s="43"/>
      <c r="AN561" s="53" t="s">
        <v>131</v>
      </c>
      <c r="AO561" s="354">
        <f t="shared" si="33"/>
        <v>270</v>
      </c>
      <c r="AP561" s="354">
        <v>3.25</v>
      </c>
      <c r="AQ561" s="43" t="s">
        <v>127</v>
      </c>
      <c r="AR561" s="357" t="s">
        <v>3098</v>
      </c>
      <c r="AS561" s="357" t="s">
        <v>3112</v>
      </c>
      <c r="AT561" s="43"/>
      <c r="AU561" s="43"/>
      <c r="AV561" s="43"/>
      <c r="AW561" s="43"/>
      <c r="AX561" s="43" t="s">
        <v>136</v>
      </c>
      <c r="AY561" s="339"/>
      <c r="AZ561" s="338" t="s">
        <v>685</v>
      </c>
      <c r="BA561" s="339"/>
      <c r="BB561" s="339"/>
      <c r="BC561" s="339"/>
      <c r="BD561" s="339"/>
      <c r="BE561" s="339"/>
      <c r="BF561" s="339"/>
      <c r="BG561" s="339"/>
      <c r="BH561" s="339"/>
      <c r="BI561" s="339"/>
      <c r="BJ561" s="339"/>
      <c r="BK561" s="339"/>
      <c r="BL561" s="339"/>
      <c r="BM561" s="339"/>
      <c r="BN561" s="339"/>
      <c r="BO561" s="339"/>
      <c r="BP561" s="339"/>
      <c r="BQ561" s="339"/>
      <c r="BR561" s="339"/>
      <c r="BS561" s="339"/>
      <c r="BT561" s="339"/>
      <c r="BU561" s="339"/>
      <c r="BV561" s="339"/>
      <c r="BW561" s="339"/>
      <c r="BX561" s="339"/>
      <c r="BY561" s="339"/>
      <c r="BZ561" s="339"/>
      <c r="CA561" s="339"/>
      <c r="CB561" s="339"/>
      <c r="CC561" s="339"/>
      <c r="CD561" s="339"/>
      <c r="CE561" s="339"/>
      <c r="CF561" s="339"/>
      <c r="CG561" s="339"/>
      <c r="CH561" s="339"/>
      <c r="CI561" s="339"/>
      <c r="CJ561" s="339"/>
      <c r="CK561" s="339"/>
      <c r="CL561" s="339"/>
      <c r="CM561" s="339"/>
      <c r="CN561" s="339"/>
      <c r="CO561" s="339"/>
      <c r="CP561" s="339"/>
      <c r="CQ561" s="339"/>
      <c r="CR561" s="339"/>
      <c r="CS561" s="339"/>
      <c r="CT561" s="339"/>
      <c r="CU561" s="339"/>
      <c r="CV561" s="339"/>
      <c r="CW561" s="339"/>
      <c r="CX561" s="339"/>
      <c r="CY561" s="339"/>
      <c r="CZ561" s="339"/>
      <c r="DA561" s="339"/>
      <c r="DB561" s="339"/>
      <c r="DC561" s="339"/>
      <c r="DD561" s="339"/>
      <c r="DE561" s="339"/>
      <c r="DF561" s="339"/>
      <c r="DG561" s="339"/>
      <c r="DH561" s="339"/>
    </row>
    <row r="562" ht="20.25" customHeight="1">
      <c r="A562" s="41">
        <v>562.0</v>
      </c>
      <c r="B562" s="394" t="s">
        <v>145</v>
      </c>
      <c r="C562" s="394" t="s">
        <v>108</v>
      </c>
      <c r="D562" s="394" t="s">
        <v>339</v>
      </c>
      <c r="E562" s="217"/>
      <c r="F562" s="395" t="s">
        <v>3113</v>
      </c>
      <c r="G562" s="396" t="s">
        <v>3114</v>
      </c>
      <c r="H562" s="396" t="s">
        <v>342</v>
      </c>
      <c r="I562" s="397">
        <v>45427.0</v>
      </c>
      <c r="J562" s="397">
        <v>45636.0</v>
      </c>
      <c r="K562" s="398" t="s">
        <v>3115</v>
      </c>
      <c r="L562" s="399"/>
      <c r="M562" s="396" t="s">
        <v>3116</v>
      </c>
      <c r="N562" s="398" t="s">
        <v>3117</v>
      </c>
      <c r="O562" s="399"/>
      <c r="P562" s="400" t="s">
        <v>3118</v>
      </c>
      <c r="Q562" s="878" t="str">
        <f t="array" ref="Q562"> if(iserror(MATCH(V562, 'File Links'!C:C, 0)), "N/A", HYPERLINK(INDEX('File Links'!B:B, MATCH(P562, 'File Links'!C:C, 0))))</f>
        <v>N/A</v>
      </c>
      <c r="R562" s="396" t="s">
        <v>3119</v>
      </c>
      <c r="S562" s="396" t="s">
        <v>3120</v>
      </c>
      <c r="T562" s="399"/>
      <c r="U562" s="402"/>
      <c r="V562" s="396" t="s">
        <v>570</v>
      </c>
      <c r="W562" s="396" t="s">
        <v>600</v>
      </c>
      <c r="X562" s="399" t="str">
        <f t="array" ref="X562"> if(iserror(MATCH(V562, 'File Links'!C:C, 0)), "N/A", HYPERLINK(INDEX('File Links'!B:B, MATCH(V562, 'File Links'!C:C, 0))))</f>
        <v>N/A</v>
      </c>
      <c r="Y562" s="396" t="s">
        <v>3121</v>
      </c>
      <c r="Z562" s="396" t="s">
        <v>219</v>
      </c>
      <c r="AA562" s="399"/>
      <c r="AB562" s="398" t="s">
        <v>3122</v>
      </c>
      <c r="AC562" s="399"/>
      <c r="AD562" s="399"/>
      <c r="AE562" s="399"/>
      <c r="AF562" s="399"/>
      <c r="AG562" s="399"/>
      <c r="AH562" s="402"/>
      <c r="AI562" s="399"/>
      <c r="AJ562" s="399"/>
      <c r="AK562" s="395"/>
      <c r="AL562" s="399"/>
      <c r="AM562" s="399"/>
      <c r="AN562" s="628" t="s">
        <v>131</v>
      </c>
      <c r="AO562" s="399"/>
      <c r="AP562" s="399"/>
      <c r="AQ562" s="399"/>
      <c r="AR562" s="399"/>
      <c r="AS562" s="399"/>
      <c r="AT562" s="395"/>
      <c r="AU562" s="395"/>
      <c r="AV562" s="395"/>
      <c r="AW562" s="395" t="s">
        <v>131</v>
      </c>
      <c r="AX562" s="395"/>
      <c r="AY562" s="399"/>
      <c r="AZ562" s="394" t="s">
        <v>3123</v>
      </c>
      <c r="BA562" s="217"/>
      <c r="BB562" s="217"/>
      <c r="BC562" s="217"/>
      <c r="BD562" s="217"/>
      <c r="BE562" s="217"/>
      <c r="BF562" s="217"/>
      <c r="BG562" s="217"/>
      <c r="BH562" s="217"/>
      <c r="BI562" s="217"/>
      <c r="BJ562" s="217"/>
      <c r="BK562" s="217"/>
      <c r="BL562" s="217"/>
      <c r="BM562" s="217"/>
      <c r="BN562" s="217"/>
      <c r="BO562" s="217"/>
      <c r="BP562" s="217"/>
      <c r="BQ562" s="217"/>
      <c r="BR562" s="217"/>
      <c r="BS562" s="217"/>
      <c r="BT562" s="217"/>
      <c r="BU562" s="217"/>
      <c r="BV562" s="217"/>
      <c r="BW562" s="217"/>
      <c r="BX562" s="217"/>
      <c r="BY562" s="217"/>
      <c r="BZ562" s="217"/>
      <c r="CA562" s="217"/>
      <c r="CB562" s="217"/>
      <c r="CC562" s="217"/>
      <c r="CD562" s="217"/>
      <c r="CE562" s="217"/>
      <c r="CF562" s="217"/>
      <c r="CG562" s="217"/>
      <c r="CH562" s="217"/>
      <c r="CI562" s="217"/>
      <c r="CJ562" s="217"/>
      <c r="CK562" s="217"/>
      <c r="CL562" s="217"/>
      <c r="CM562" s="217"/>
      <c r="CN562" s="217"/>
      <c r="CO562" s="217"/>
      <c r="CP562" s="217"/>
      <c r="CQ562" s="217"/>
      <c r="CR562" s="217"/>
      <c r="CS562" s="217"/>
      <c r="CT562" s="217"/>
      <c r="CU562" s="217"/>
      <c r="CV562" s="217"/>
      <c r="CW562" s="217"/>
      <c r="CX562" s="217"/>
      <c r="CY562" s="217"/>
      <c r="CZ562" s="217"/>
      <c r="DA562" s="217"/>
      <c r="DB562" s="217"/>
      <c r="DC562" s="217"/>
      <c r="DD562" s="217"/>
      <c r="DE562" s="217"/>
      <c r="DF562" s="217"/>
      <c r="DG562" s="217"/>
      <c r="DH562" s="217"/>
    </row>
    <row r="563" ht="20.25" customHeight="1">
      <c r="A563" s="41">
        <v>563.0</v>
      </c>
      <c r="B563" s="394" t="s">
        <v>516</v>
      </c>
      <c r="C563" s="394" t="s">
        <v>108</v>
      </c>
      <c r="D563" s="394" t="s">
        <v>214</v>
      </c>
      <c r="E563" s="217"/>
      <c r="F563" s="404" t="s">
        <v>3113</v>
      </c>
      <c r="G563" s="396" t="s">
        <v>3114</v>
      </c>
      <c r="H563" s="404" t="s">
        <v>214</v>
      </c>
      <c r="I563" s="397">
        <v>45686.0</v>
      </c>
      <c r="J563" s="397">
        <v>45687.0</v>
      </c>
      <c r="K563" s="404" t="s">
        <v>3124</v>
      </c>
      <c r="L563" s="395"/>
      <c r="M563" s="404" t="s">
        <v>3116</v>
      </c>
      <c r="N563" s="404" t="s">
        <v>3117</v>
      </c>
      <c r="O563" s="395"/>
      <c r="P563" s="404" t="s">
        <v>3118</v>
      </c>
      <c r="Q563" s="879" t="str">
        <f t="array" ref="Q563"> if(iserror(MATCH(V563, 'File Links'!C:C, 0)), "N/A", HYPERLINK(INDEX('File Links'!B:B, MATCH(P563, 'File Links'!C:C, 0))))</f>
        <v>https://drive.google.com/file/d/1NONRrVPLj3_SNxu7Ptx53k4VBPMr7tIo/view?usp=drivesdk</v>
      </c>
      <c r="R563" s="404" t="s">
        <v>3119</v>
      </c>
      <c r="S563" s="628" t="s">
        <v>3120</v>
      </c>
      <c r="T563" s="395"/>
      <c r="U563" s="395"/>
      <c r="V563" s="404" t="str">
        <f t="shared" ref="V563:V565" si="34"> hyperlink(vlookup(lower(S563),#REF!, 2, FALSE), SUBSTITUTE(lower(S563), "/", "--") &amp;  ".pdf")</f>
        <v>10.1111--famp.12997.pdf</v>
      </c>
      <c r="W563" s="404" t="s">
        <v>157</v>
      </c>
      <c r="X563" s="880" t="str">
        <f t="array" ref="X563"> if(iserror(MATCH(V563, 'File Links'!C:C, 0)), "N/A", HYPERLINK(INDEX('File Links'!B:B, MATCH(V563, 'File Links'!C:C, 0))))</f>
        <v>https://drive.google.com/file/d/1ULfnDtv84kgeFXRyMCCLbY1RRcrTQDB8/view?usp=drivesdk</v>
      </c>
      <c r="Y563" s="395"/>
      <c r="Z563" s="404" t="s">
        <v>219</v>
      </c>
      <c r="AA563" s="404" t="s">
        <v>3125</v>
      </c>
      <c r="AB563" s="404" t="s">
        <v>3126</v>
      </c>
      <c r="AC563" s="395" t="s">
        <v>3127</v>
      </c>
      <c r="AD563" s="395"/>
      <c r="AE563" s="725">
        <v>8.0</v>
      </c>
      <c r="AF563" s="725">
        <v>252.0</v>
      </c>
      <c r="AG563" s="725">
        <v>-0.5</v>
      </c>
      <c r="AH563" s="404" t="s">
        <v>166</v>
      </c>
      <c r="AI563" s="404" t="s">
        <v>606</v>
      </c>
      <c r="AJ563" s="402"/>
      <c r="AK563" s="396" t="s">
        <v>128</v>
      </c>
      <c r="AL563" s="399"/>
      <c r="AM563" s="395"/>
      <c r="AN563" s="396" t="s">
        <v>131</v>
      </c>
      <c r="AO563" s="725">
        <v>729.0</v>
      </c>
      <c r="AP563" s="725">
        <v>-0.32</v>
      </c>
      <c r="AQ563" s="404" t="s">
        <v>166</v>
      </c>
      <c r="AR563" s="404" t="s">
        <v>133</v>
      </c>
      <c r="AS563" s="395"/>
      <c r="AT563" s="404" t="s">
        <v>128</v>
      </c>
      <c r="AU563" s="395"/>
      <c r="AV563" s="395"/>
      <c r="AW563" s="404" t="s">
        <v>131</v>
      </c>
      <c r="AX563" s="404" t="s">
        <v>431</v>
      </c>
      <c r="AY563" s="217"/>
      <c r="AZ563" s="394" t="s">
        <v>3123</v>
      </c>
      <c r="BA563" s="217"/>
      <c r="BB563" s="217"/>
      <c r="BC563" s="217"/>
      <c r="BD563" s="217"/>
      <c r="BE563" s="217"/>
      <c r="BF563" s="217"/>
      <c r="BG563" s="217"/>
      <c r="BH563" s="217"/>
      <c r="BI563" s="217"/>
      <c r="BJ563" s="217"/>
      <c r="BK563" s="217"/>
      <c r="BL563" s="217"/>
      <c r="BM563" s="217"/>
      <c r="BN563" s="217"/>
      <c r="BO563" s="217"/>
      <c r="BP563" s="217"/>
      <c r="BQ563" s="217"/>
      <c r="BR563" s="217"/>
      <c r="BS563" s="217"/>
      <c r="BT563" s="217"/>
      <c r="BU563" s="217"/>
      <c r="BV563" s="217"/>
      <c r="BW563" s="217"/>
      <c r="BX563" s="217"/>
      <c r="BY563" s="217"/>
      <c r="BZ563" s="217"/>
      <c r="CA563" s="217"/>
      <c r="CB563" s="217"/>
      <c r="CC563" s="217"/>
      <c r="CD563" s="217"/>
      <c r="CE563" s="217"/>
      <c r="CF563" s="217"/>
      <c r="CG563" s="217"/>
      <c r="CH563" s="217"/>
      <c r="CI563" s="217"/>
      <c r="CJ563" s="217"/>
      <c r="CK563" s="217"/>
      <c r="CL563" s="217"/>
      <c r="CM563" s="217"/>
      <c r="CN563" s="217"/>
      <c r="CO563" s="217"/>
      <c r="CP563" s="217"/>
      <c r="CQ563" s="217"/>
      <c r="CR563" s="217"/>
      <c r="CS563" s="217"/>
      <c r="CT563" s="217"/>
      <c r="CU563" s="217"/>
      <c r="CV563" s="217"/>
      <c r="CW563" s="217"/>
      <c r="CX563" s="217"/>
      <c r="CY563" s="217"/>
      <c r="CZ563" s="217"/>
      <c r="DA563" s="217"/>
      <c r="DB563" s="217"/>
      <c r="DC563" s="217"/>
      <c r="DD563" s="217"/>
      <c r="DE563" s="217"/>
      <c r="DF563" s="217"/>
      <c r="DG563" s="217"/>
      <c r="DH563" s="217"/>
    </row>
    <row r="564" ht="20.25" customHeight="1">
      <c r="A564" s="41">
        <v>564.0</v>
      </c>
      <c r="B564" s="154" t="s">
        <v>2006</v>
      </c>
      <c r="C564" s="154" t="s">
        <v>108</v>
      </c>
      <c r="D564" s="154" t="s">
        <v>2923</v>
      </c>
      <c r="E564" s="168"/>
      <c r="F564" s="165" t="s">
        <v>3128</v>
      </c>
      <c r="G564" s="154" t="s">
        <v>3129</v>
      </c>
      <c r="H564" s="154" t="s">
        <v>2926</v>
      </c>
      <c r="I564" s="881">
        <v>45634.0</v>
      </c>
      <c r="J564" s="167">
        <v>45691.0</v>
      </c>
      <c r="K564" s="154" t="s">
        <v>3130</v>
      </c>
      <c r="L564" s="168"/>
      <c r="M564" s="154" t="s">
        <v>3131</v>
      </c>
      <c r="N564" s="154" t="s">
        <v>3132</v>
      </c>
      <c r="O564" s="154">
        <v>1.0</v>
      </c>
      <c r="P564" s="154" t="s">
        <v>3133</v>
      </c>
      <c r="Q564" s="49" t="str">
        <f t="array" ref="Q564"> if(iserror(MATCH(V564, 'File Links'!C:C, 0)), "N/A", HYPERLINK(INDEX('File Links'!B:B, MATCH(P564, 'File Links'!C:C, 0))))</f>
        <v>https://drive.google.com/file/d/1_lgC5OmIfmdyPUatcoMBb50JoLNHFpBH/view?usp=drivesdk</v>
      </c>
      <c r="R564" s="154" t="s">
        <v>3134</v>
      </c>
      <c r="S564" s="154" t="s">
        <v>3135</v>
      </c>
      <c r="T564" s="168"/>
      <c r="U564" s="154">
        <v>1.0</v>
      </c>
      <c r="V564" s="195" t="str">
        <f t="shared" si="34"/>
        <v>10.1002--jaba.1098.pdf</v>
      </c>
      <c r="W564" s="154" t="s">
        <v>202</v>
      </c>
      <c r="X564" s="51" t="str">
        <f t="array" ref="X564"> if(iserror(MATCH(V564, 'File Links'!C:C, 0)), "N/A", HYPERLINK(INDEX('File Links'!B:B, MATCH(V564, 'File Links'!C:C, 0))))</f>
        <v>https://drive.google.com/file/d/14qlQgDUVz3KRZQVXwZQMkCR0K1msJHmK/view?usp=drivesdk</v>
      </c>
      <c r="Y564" s="154"/>
      <c r="Z564" s="154" t="s">
        <v>219</v>
      </c>
      <c r="AA564" s="154" t="s">
        <v>131</v>
      </c>
      <c r="AB564" s="154" t="s">
        <v>3136</v>
      </c>
      <c r="AC564" s="154" t="s">
        <v>3137</v>
      </c>
      <c r="AD564" s="154" t="s">
        <v>3138</v>
      </c>
      <c r="AE564" s="154">
        <v>1.0</v>
      </c>
      <c r="AF564" s="154">
        <v>10.0</v>
      </c>
      <c r="AG564" s="154" t="s">
        <v>131</v>
      </c>
      <c r="AH564" s="164" t="s">
        <v>131</v>
      </c>
      <c r="AI564" s="154" t="s">
        <v>131</v>
      </c>
      <c r="AJ564" s="154" t="s">
        <v>131</v>
      </c>
      <c r="AK564" s="165" t="s">
        <v>131</v>
      </c>
      <c r="AL564" s="154" t="s">
        <v>179</v>
      </c>
      <c r="AM564" s="154" t="s">
        <v>130</v>
      </c>
      <c r="AN564" s="216" t="s">
        <v>131</v>
      </c>
      <c r="AO564" s="154">
        <v>9.0</v>
      </c>
      <c r="AP564" s="154" t="s">
        <v>131</v>
      </c>
      <c r="AQ564" s="154" t="s">
        <v>131</v>
      </c>
      <c r="AR564" s="154" t="s">
        <v>131</v>
      </c>
      <c r="AS564" s="154" t="s">
        <v>131</v>
      </c>
      <c r="AT564" s="165" t="s">
        <v>131</v>
      </c>
      <c r="AU564" s="165" t="s">
        <v>179</v>
      </c>
      <c r="AV564" s="172" t="s">
        <v>130</v>
      </c>
      <c r="AW564" s="165" t="s">
        <v>131</v>
      </c>
      <c r="AX564" s="165" t="s">
        <v>431</v>
      </c>
      <c r="AY564" s="168"/>
      <c r="AZ564" s="165" t="s">
        <v>137</v>
      </c>
    </row>
    <row r="565" ht="20.25" customHeight="1">
      <c r="A565" s="41">
        <v>565.0</v>
      </c>
      <c r="B565" s="154" t="s">
        <v>107</v>
      </c>
      <c r="C565" s="165" t="s">
        <v>108</v>
      </c>
      <c r="D565" s="165" t="s">
        <v>2950</v>
      </c>
      <c r="E565" s="161"/>
      <c r="F565" s="177" t="s">
        <v>3128</v>
      </c>
      <c r="G565" s="183" t="s">
        <v>3129</v>
      </c>
      <c r="H565" s="729" t="s">
        <v>2953</v>
      </c>
      <c r="I565" s="730">
        <v>45660.0</v>
      </c>
      <c r="J565" s="167">
        <v>45691.0</v>
      </c>
      <c r="K565" s="729" t="s">
        <v>3139</v>
      </c>
      <c r="L565" s="177"/>
      <c r="M565" s="729" t="s">
        <v>3131</v>
      </c>
      <c r="N565" s="729" t="s">
        <v>3132</v>
      </c>
      <c r="O565" s="177"/>
      <c r="P565" s="729" t="s">
        <v>3133</v>
      </c>
      <c r="Q565" s="49" t="str">
        <f t="array" ref="Q565"> if(iserror(MATCH(V565, 'File Links'!C:C, 0)), "N/A", HYPERLINK(INDEX('File Links'!B:B, MATCH(P565, 'File Links'!C:C, 0))))</f>
        <v>https://drive.google.com/file/d/1_lgC5OmIfmdyPUatcoMBb50JoLNHFpBH/view?usp=drivesdk</v>
      </c>
      <c r="R565" s="729" t="s">
        <v>3134</v>
      </c>
      <c r="S565" s="729" t="s">
        <v>3135</v>
      </c>
      <c r="T565" s="177"/>
      <c r="U565" s="180">
        <v>1.0</v>
      </c>
      <c r="V565" s="195" t="str">
        <f t="shared" si="34"/>
        <v>10.1002--jaba.1098.pdf</v>
      </c>
      <c r="W565" s="729" t="s">
        <v>3044</v>
      </c>
      <c r="X565" s="51" t="str">
        <f t="array" ref="X565"> if(iserror(MATCH(V565, 'File Links'!C:C, 0)), "N/A", HYPERLINK(INDEX('File Links'!B:B, MATCH(V565, 'File Links'!C:C, 0))))</f>
        <v>https://drive.google.com/file/d/14qlQgDUVz3KRZQVXwZQMkCR0K1msJHmK/view?usp=drivesdk</v>
      </c>
      <c r="Y565" s="161"/>
      <c r="Z565" s="729" t="s">
        <v>219</v>
      </c>
      <c r="AA565" s="729" t="s">
        <v>3140</v>
      </c>
      <c r="AB565" s="729" t="s">
        <v>3141</v>
      </c>
      <c r="AC565" s="177"/>
      <c r="AD565" s="729" t="s">
        <v>3142</v>
      </c>
      <c r="AE565" s="180">
        <v>238.0</v>
      </c>
      <c r="AF565" s="180">
        <v>10.0</v>
      </c>
      <c r="AG565" s="180">
        <v>30.41</v>
      </c>
      <c r="AH565" s="729" t="s">
        <v>127</v>
      </c>
      <c r="AI565" s="729" t="s">
        <v>3143</v>
      </c>
      <c r="AJ565" s="737"/>
      <c r="AK565" s="734"/>
      <c r="AL565" s="734"/>
      <c r="AM565" s="177"/>
      <c r="AN565" s="216" t="s">
        <v>131</v>
      </c>
      <c r="AO565" s="180">
        <v>9.0</v>
      </c>
      <c r="AP565" s="882">
        <v>35.08</v>
      </c>
      <c r="AQ565" s="177" t="s">
        <v>127</v>
      </c>
      <c r="AR565" s="177" t="s">
        <v>3144</v>
      </c>
      <c r="AS565" s="177"/>
      <c r="AT565" s="177"/>
      <c r="AU565" s="177"/>
      <c r="AV565" s="177"/>
      <c r="AW565" s="177"/>
      <c r="AX565" s="165" t="s">
        <v>431</v>
      </c>
      <c r="AY565" s="165" t="s">
        <v>3145</v>
      </c>
      <c r="AZ565" s="165" t="s">
        <v>137</v>
      </c>
    </row>
    <row r="566" ht="20.25" customHeight="1">
      <c r="A566" s="41">
        <v>566.0</v>
      </c>
      <c r="B566" s="487" t="s">
        <v>107</v>
      </c>
      <c r="C566" s="487" t="s">
        <v>108</v>
      </c>
      <c r="D566" s="487" t="s">
        <v>2923</v>
      </c>
      <c r="E566" s="800"/>
      <c r="F566" s="378" t="s">
        <v>3146</v>
      </c>
      <c r="G566" s="487" t="s">
        <v>3147</v>
      </c>
      <c r="H566" s="487" t="s">
        <v>2926</v>
      </c>
      <c r="I566" s="883">
        <v>45634.0</v>
      </c>
      <c r="J566" s="167">
        <v>45691.0</v>
      </c>
      <c r="K566" s="487" t="s">
        <v>3148</v>
      </c>
      <c r="L566" s="800"/>
      <c r="M566" s="487" t="s">
        <v>3149</v>
      </c>
      <c r="N566" s="487" t="s">
        <v>3150</v>
      </c>
      <c r="O566" s="487">
        <v>1.0</v>
      </c>
      <c r="P566" s="487" t="s">
        <v>3151</v>
      </c>
      <c r="Q566" s="105" t="str">
        <f t="array" ref="Q566"> if(iserror(MATCH(V566, 'File Links'!C:C, 0)), "N/A", HYPERLINK(INDEX('File Links'!B:B, MATCH(P566, 'File Links'!C:C, 0))))</f>
        <v>N/A</v>
      </c>
      <c r="R566" s="487" t="s">
        <v>3152</v>
      </c>
      <c r="S566" s="487" t="s">
        <v>3153</v>
      </c>
      <c r="T566" s="800"/>
      <c r="U566" s="487">
        <v>1.0</v>
      </c>
      <c r="V566" s="487" t="s">
        <v>3154</v>
      </c>
      <c r="W566" s="487" t="s">
        <v>202</v>
      </c>
      <c r="X566" s="46" t="str">
        <f t="array" ref="X566"> if(iserror(MATCH(V566, 'File Links'!C:C, 0)), "N/A", HYPERLINK(INDEX('File Links'!B:B, MATCH(V566, 'File Links'!C:C, 0))))</f>
        <v>N/A</v>
      </c>
      <c r="Y566" s="487" t="s">
        <v>3155</v>
      </c>
      <c r="Z566" s="482" t="s">
        <v>121</v>
      </c>
      <c r="AA566" s="802" t="s">
        <v>3156</v>
      </c>
      <c r="AB566" s="482" t="s">
        <v>3157</v>
      </c>
      <c r="AC566" s="487" t="s">
        <v>3158</v>
      </c>
      <c r="AD566" s="487" t="s">
        <v>3159</v>
      </c>
      <c r="AE566" s="487">
        <v>11.0</v>
      </c>
      <c r="AF566" s="487">
        <v>862.0</v>
      </c>
      <c r="AG566" s="487">
        <v>0.23</v>
      </c>
      <c r="AH566" s="487" t="s">
        <v>354</v>
      </c>
      <c r="AI566" s="487" t="s">
        <v>125</v>
      </c>
      <c r="AJ566" s="487">
        <v>0.05</v>
      </c>
      <c r="AK566" s="378" t="s">
        <v>128</v>
      </c>
      <c r="AL566" s="487" t="s">
        <v>179</v>
      </c>
      <c r="AM566" s="487" t="s">
        <v>134</v>
      </c>
      <c r="AN566" s="487" t="s">
        <v>131</v>
      </c>
      <c r="AO566" s="487">
        <v>862.0</v>
      </c>
      <c r="AP566" s="487">
        <v>0.23</v>
      </c>
      <c r="AQ566" s="487" t="s">
        <v>354</v>
      </c>
      <c r="AR566" s="487" t="s">
        <v>133</v>
      </c>
      <c r="AS566" s="487">
        <v>0.05</v>
      </c>
      <c r="AT566" s="378" t="s">
        <v>128</v>
      </c>
      <c r="AU566" s="378" t="s">
        <v>179</v>
      </c>
      <c r="AV566" s="485" t="s">
        <v>134</v>
      </c>
      <c r="AW566" s="481"/>
      <c r="AX566" s="378" t="s">
        <v>136</v>
      </c>
      <c r="AY566" s="884" t="s">
        <v>3160</v>
      </c>
      <c r="AZ566" s="378" t="s">
        <v>137</v>
      </c>
    </row>
    <row r="567" ht="20.25" customHeight="1">
      <c r="A567" s="41">
        <v>567.0</v>
      </c>
      <c r="B567" s="487" t="s">
        <v>107</v>
      </c>
      <c r="C567" s="378" t="s">
        <v>108</v>
      </c>
      <c r="D567" s="378" t="s">
        <v>2950</v>
      </c>
      <c r="E567" s="481"/>
      <c r="F567" s="486" t="s">
        <v>3161</v>
      </c>
      <c r="G567" s="483" t="s">
        <v>3147</v>
      </c>
      <c r="H567" s="482" t="s">
        <v>2953</v>
      </c>
      <c r="I567" s="484">
        <v>45663.0</v>
      </c>
      <c r="J567" s="167">
        <v>45691.0</v>
      </c>
      <c r="K567" s="482" t="s">
        <v>3162</v>
      </c>
      <c r="L567" s="486"/>
      <c r="M567" s="482" t="s">
        <v>3163</v>
      </c>
      <c r="N567" s="482" t="s">
        <v>3150</v>
      </c>
      <c r="O567" s="487">
        <v>1.0</v>
      </c>
      <c r="P567" s="482" t="s">
        <v>3151</v>
      </c>
      <c r="Q567" s="105" t="str">
        <f t="array" ref="Q567"> if(iserror(MATCH(V567, 'File Links'!C:C, 0)), "N/A", HYPERLINK(INDEX('File Links'!B:B, MATCH(P567, 'File Links'!C:C, 0))))</f>
        <v>N/A</v>
      </c>
      <c r="R567" s="482" t="s">
        <v>3152</v>
      </c>
      <c r="S567" s="482" t="s">
        <v>3153</v>
      </c>
      <c r="T567" s="486"/>
      <c r="U567" s="487">
        <v>1.0</v>
      </c>
      <c r="V567" s="482" t="s">
        <v>3154</v>
      </c>
      <c r="W567" s="487" t="s">
        <v>202</v>
      </c>
      <c r="X567" s="46" t="str">
        <f t="array" ref="X567"> if(iserror(MATCH(V567, 'File Links'!C:C, 0)), "N/A", HYPERLINK(INDEX('File Links'!B:B, MATCH(V567, 'File Links'!C:C, 0))))</f>
        <v>N/A</v>
      </c>
      <c r="Y567" s="487" t="s">
        <v>3155</v>
      </c>
      <c r="Z567" s="482" t="s">
        <v>121</v>
      </c>
      <c r="AA567" s="802" t="s">
        <v>3156</v>
      </c>
      <c r="AB567" s="482" t="s">
        <v>3157</v>
      </c>
      <c r="AC567" s="482" t="s">
        <v>3164</v>
      </c>
      <c r="AD567" s="802" t="s">
        <v>3159</v>
      </c>
      <c r="AE567" s="487">
        <v>11.0</v>
      </c>
      <c r="AF567" s="885">
        <v>1000.0</v>
      </c>
      <c r="AG567" s="492">
        <v>2.84</v>
      </c>
      <c r="AH567" s="482" t="s">
        <v>1024</v>
      </c>
      <c r="AI567" s="482" t="s">
        <v>3165</v>
      </c>
      <c r="AJ567" s="491">
        <v>0.1</v>
      </c>
      <c r="AK567" s="483" t="s">
        <v>128</v>
      </c>
      <c r="AL567" s="483" t="s">
        <v>179</v>
      </c>
      <c r="AM567" s="486" t="s">
        <v>130</v>
      </c>
      <c r="AN567" s="487" t="s">
        <v>131</v>
      </c>
      <c r="AO567" s="492">
        <v>1000.0</v>
      </c>
      <c r="AP567" s="492">
        <v>-0.04</v>
      </c>
      <c r="AQ567" s="482" t="s">
        <v>1024</v>
      </c>
      <c r="AR567" s="482" t="s">
        <v>3166</v>
      </c>
      <c r="AS567" s="482" t="s">
        <v>2375</v>
      </c>
      <c r="AT567" s="486"/>
      <c r="AU567" s="486"/>
      <c r="AV567" s="486"/>
      <c r="AW567" s="486"/>
      <c r="AX567" s="486" t="s">
        <v>136</v>
      </c>
      <c r="AY567" s="886" t="s">
        <v>3167</v>
      </c>
      <c r="AZ567" s="378" t="s">
        <v>137</v>
      </c>
    </row>
    <row r="568" ht="20.25" customHeight="1">
      <c r="A568" s="41">
        <v>568.0</v>
      </c>
      <c r="B568" s="487" t="s">
        <v>107</v>
      </c>
      <c r="C568" s="378" t="s">
        <v>108</v>
      </c>
      <c r="D568" s="378" t="s">
        <v>2950</v>
      </c>
      <c r="E568" s="481"/>
      <c r="F568" s="486" t="s">
        <v>3168</v>
      </c>
      <c r="G568" s="483" t="s">
        <v>3147</v>
      </c>
      <c r="H568" s="482" t="s">
        <v>2953</v>
      </c>
      <c r="I568" s="484">
        <v>45663.0</v>
      </c>
      <c r="J568" s="167">
        <v>45691.0</v>
      </c>
      <c r="K568" s="482" t="s">
        <v>3169</v>
      </c>
      <c r="L568" s="486"/>
      <c r="M568" s="482" t="s">
        <v>3163</v>
      </c>
      <c r="N568" s="482" t="s">
        <v>3150</v>
      </c>
      <c r="O568" s="487">
        <v>1.0</v>
      </c>
      <c r="P568" s="482" t="s">
        <v>3151</v>
      </c>
      <c r="Q568" s="105" t="str">
        <f t="array" ref="Q568"> if(iserror(MATCH(V568, 'File Links'!C:C, 0)), "N/A", HYPERLINK(INDEX('File Links'!B:B, MATCH(P568, 'File Links'!C:C, 0))))</f>
        <v>N/A</v>
      </c>
      <c r="R568" s="482" t="s">
        <v>3152</v>
      </c>
      <c r="S568" s="482" t="s">
        <v>3153</v>
      </c>
      <c r="T568" s="486"/>
      <c r="U568" s="487">
        <v>1.0</v>
      </c>
      <c r="V568" s="482" t="s">
        <v>3154</v>
      </c>
      <c r="W568" s="487" t="s">
        <v>202</v>
      </c>
      <c r="X568" s="46" t="str">
        <f t="array" ref="X568"> if(iserror(MATCH(V568, 'File Links'!C:C, 0)), "N/A", HYPERLINK(INDEX('File Links'!B:B, MATCH(V568, 'File Links'!C:C, 0))))</f>
        <v>N/A</v>
      </c>
      <c r="Y568" s="487" t="s">
        <v>3155</v>
      </c>
      <c r="Z568" s="482" t="s">
        <v>121</v>
      </c>
      <c r="AA568" s="802" t="s">
        <v>3156</v>
      </c>
      <c r="AB568" s="482" t="s">
        <v>3157</v>
      </c>
      <c r="AC568" s="482" t="s">
        <v>3164</v>
      </c>
      <c r="AD568" s="802" t="s">
        <v>3159</v>
      </c>
      <c r="AE568" s="487">
        <v>11.0</v>
      </c>
      <c r="AF568" s="885">
        <v>1000.0</v>
      </c>
      <c r="AG568" s="492">
        <v>24.6</v>
      </c>
      <c r="AH568" s="482" t="s">
        <v>1024</v>
      </c>
      <c r="AI568" s="482" t="s">
        <v>3165</v>
      </c>
      <c r="AJ568" s="491">
        <v>0.05</v>
      </c>
      <c r="AK568" s="483" t="s">
        <v>128</v>
      </c>
      <c r="AL568" s="483" t="s">
        <v>179</v>
      </c>
      <c r="AM568" s="486" t="s">
        <v>130</v>
      </c>
      <c r="AN568" s="487" t="s">
        <v>131</v>
      </c>
      <c r="AO568" s="492">
        <v>1000.0</v>
      </c>
      <c r="AP568" s="492">
        <v>-0.11</v>
      </c>
      <c r="AQ568" s="482" t="s">
        <v>1024</v>
      </c>
      <c r="AR568" s="486"/>
      <c r="AS568" s="482" t="s">
        <v>2375</v>
      </c>
      <c r="AT568" s="486"/>
      <c r="AU568" s="486"/>
      <c r="AV568" s="486"/>
      <c r="AW568" s="486"/>
      <c r="AX568" s="486" t="s">
        <v>136</v>
      </c>
      <c r="AY568" s="481"/>
      <c r="AZ568" s="378" t="s">
        <v>137</v>
      </c>
    </row>
    <row r="569" ht="20.25" customHeight="1">
      <c r="A569" s="41">
        <v>569.0</v>
      </c>
      <c r="B569" s="487" t="s">
        <v>107</v>
      </c>
      <c r="C569" s="378" t="s">
        <v>108</v>
      </c>
      <c r="D569" s="378" t="s">
        <v>2950</v>
      </c>
      <c r="E569" s="481"/>
      <c r="F569" s="486" t="s">
        <v>3170</v>
      </c>
      <c r="G569" s="483" t="s">
        <v>3147</v>
      </c>
      <c r="H569" s="482" t="s">
        <v>2953</v>
      </c>
      <c r="I569" s="484">
        <v>45663.0</v>
      </c>
      <c r="J569" s="167">
        <v>45691.0</v>
      </c>
      <c r="K569" s="482" t="s">
        <v>3171</v>
      </c>
      <c r="L569" s="486"/>
      <c r="M569" s="482" t="s">
        <v>3163</v>
      </c>
      <c r="N569" s="482" t="s">
        <v>3150</v>
      </c>
      <c r="O569" s="487">
        <v>1.0</v>
      </c>
      <c r="P569" s="482" t="s">
        <v>3151</v>
      </c>
      <c r="Q569" s="105" t="str">
        <f t="array" ref="Q569"> if(iserror(MATCH(V569, 'File Links'!C:C, 0)), "N/A", HYPERLINK(INDEX('File Links'!B:B, MATCH(P569, 'File Links'!C:C, 0))))</f>
        <v>N/A</v>
      </c>
      <c r="R569" s="482" t="s">
        <v>3152</v>
      </c>
      <c r="S569" s="482" t="s">
        <v>3153</v>
      </c>
      <c r="T569" s="486"/>
      <c r="U569" s="487">
        <v>1.0</v>
      </c>
      <c r="V569" s="482" t="s">
        <v>3154</v>
      </c>
      <c r="W569" s="487" t="s">
        <v>202</v>
      </c>
      <c r="X569" s="46" t="str">
        <f t="array" ref="X569"> if(iserror(MATCH(V569, 'File Links'!C:C, 0)), "N/A", HYPERLINK(INDEX('File Links'!B:B, MATCH(V569, 'File Links'!C:C, 0))))</f>
        <v>N/A</v>
      </c>
      <c r="Y569" s="487" t="s">
        <v>3155</v>
      </c>
      <c r="Z569" s="482" t="s">
        <v>121</v>
      </c>
      <c r="AA569" s="802" t="s">
        <v>3156</v>
      </c>
      <c r="AB569" s="482" t="s">
        <v>3157</v>
      </c>
      <c r="AC569" s="482" t="s">
        <v>3164</v>
      </c>
      <c r="AD569" s="802" t="s">
        <v>3159</v>
      </c>
      <c r="AE569" s="487">
        <v>11.0</v>
      </c>
      <c r="AF569" s="885">
        <v>1000.0</v>
      </c>
      <c r="AG569" s="492">
        <v>683.5</v>
      </c>
      <c r="AH569" s="482" t="s">
        <v>1024</v>
      </c>
      <c r="AI569" s="482" t="s">
        <v>3165</v>
      </c>
      <c r="AJ569" s="491">
        <v>0.05</v>
      </c>
      <c r="AK569" s="483" t="s">
        <v>128</v>
      </c>
      <c r="AL569" s="483" t="s">
        <v>179</v>
      </c>
      <c r="AM569" s="486" t="s">
        <v>130</v>
      </c>
      <c r="AN569" s="487" t="s">
        <v>131</v>
      </c>
      <c r="AO569" s="492">
        <v>1000.0</v>
      </c>
      <c r="AP569" s="492">
        <v>0.08</v>
      </c>
      <c r="AQ569" s="482" t="s">
        <v>1024</v>
      </c>
      <c r="AR569" s="486"/>
      <c r="AS569" s="482" t="s">
        <v>2375</v>
      </c>
      <c r="AT569" s="486"/>
      <c r="AU569" s="486"/>
      <c r="AV569" s="486"/>
      <c r="AW569" s="486"/>
      <c r="AX569" s="486" t="s">
        <v>136</v>
      </c>
      <c r="AY569" s="481"/>
      <c r="AZ569" s="378" t="s">
        <v>137</v>
      </c>
    </row>
    <row r="570" ht="20.25" customHeight="1">
      <c r="A570" s="351">
        <v>570.0</v>
      </c>
      <c r="B570" s="338" t="s">
        <v>107</v>
      </c>
      <c r="C570" s="338" t="s">
        <v>108</v>
      </c>
      <c r="D570" s="338" t="s">
        <v>214</v>
      </c>
      <c r="E570" s="339"/>
      <c r="F570" s="340" t="s">
        <v>3172</v>
      </c>
      <c r="G570" s="44" t="s">
        <v>3173</v>
      </c>
      <c r="H570" s="357" t="s">
        <v>214</v>
      </c>
      <c r="I570" s="341">
        <v>45684.0</v>
      </c>
      <c r="J570" s="341">
        <v>45684.0</v>
      </c>
      <c r="K570" s="43"/>
      <c r="L570" s="43"/>
      <c r="M570" s="357" t="s">
        <v>3174</v>
      </c>
      <c r="N570" s="357" t="s">
        <v>3175</v>
      </c>
      <c r="O570" s="43"/>
      <c r="P570" s="357" t="s">
        <v>3176</v>
      </c>
      <c r="Q570" s="101" t="str">
        <f t="array" ref="Q570"> if(iserror(MATCH(V570, 'File Links'!C:C, 0)), "N/A", HYPERLINK(INDEX('File Links'!B:B, MATCH(P570, 'File Links'!C:C, 0))))</f>
        <v>https://drive.google.com/file/d/1BtYypYyY-PzT4y8FLAgHXAyFQwMz4y2O/view?usp=drivesdk</v>
      </c>
      <c r="R570" s="357" t="s">
        <v>3177</v>
      </c>
      <c r="S570" s="357" t="s">
        <v>3178</v>
      </c>
      <c r="T570" s="43"/>
      <c r="U570" s="497">
        <v>1.0</v>
      </c>
      <c r="V570" s="357" t="str">
        <f t="shared" ref="V570:V608" si="35"> hyperlink(vlookup(lower(S570),#REF!, 2, FALSE), SUBSTITUTE(lower(S570), "/", "--") &amp;  ".pdf")</f>
        <v>10.20982--tqmp.20.1.r001.pdf</v>
      </c>
      <c r="W570" s="357" t="s">
        <v>202</v>
      </c>
      <c r="X570" s="51" t="str">
        <f t="array" ref="X570"> if(iserror(MATCH(V570, 'File Links'!C:C, 0)), "N/A", HYPERLINK(INDEX('File Links'!B:B, MATCH(V570, 'File Links'!C:C, 0))))</f>
        <v>https://drive.google.com/file/d/1vDgLj9eoT-VnSILsFHRQ12VvtSFTsWUV/view?usp=drivesdk</v>
      </c>
      <c r="Y570" s="43"/>
      <c r="Z570" s="357" t="s">
        <v>141</v>
      </c>
      <c r="AA570" s="357" t="s">
        <v>3179</v>
      </c>
      <c r="AB570" s="357" t="s">
        <v>3180</v>
      </c>
      <c r="AC570" s="357" t="s">
        <v>3181</v>
      </c>
      <c r="AD570" s="357" t="s">
        <v>3182</v>
      </c>
      <c r="AE570" s="354">
        <v>13.0</v>
      </c>
      <c r="AF570" s="354">
        <v>24.0</v>
      </c>
      <c r="AG570" s="354">
        <v>0.62</v>
      </c>
      <c r="AH570" s="357" t="s">
        <v>132</v>
      </c>
      <c r="AI570" s="357" t="s">
        <v>2015</v>
      </c>
      <c r="AJ570" s="383">
        <v>0.001</v>
      </c>
      <c r="AK570" s="44" t="s">
        <v>128</v>
      </c>
      <c r="AL570" s="44" t="s">
        <v>129</v>
      </c>
      <c r="AM570" s="357" t="s">
        <v>130</v>
      </c>
      <c r="AN570" s="44" t="s">
        <v>131</v>
      </c>
      <c r="AO570" s="354">
        <v>30.0</v>
      </c>
      <c r="AP570" s="354">
        <v>0.12</v>
      </c>
      <c r="AQ570" s="357" t="s">
        <v>132</v>
      </c>
      <c r="AR570" s="357" t="s">
        <v>3183</v>
      </c>
      <c r="AS570" s="354">
        <v>0.001</v>
      </c>
      <c r="AT570" s="357" t="s">
        <v>128</v>
      </c>
      <c r="AU570" s="357" t="s">
        <v>129</v>
      </c>
      <c r="AV570" s="357" t="s">
        <v>130</v>
      </c>
      <c r="AW570" s="357" t="s">
        <v>131</v>
      </c>
      <c r="AX570" s="357" t="s">
        <v>136</v>
      </c>
      <c r="AY570" s="339"/>
      <c r="AZ570" s="338" t="s">
        <v>685</v>
      </c>
      <c r="BA570" s="339"/>
      <c r="BB570" s="339"/>
      <c r="BC570" s="339"/>
      <c r="BD570" s="339"/>
      <c r="BE570" s="339"/>
      <c r="BF570" s="339"/>
      <c r="BG570" s="339"/>
      <c r="BH570" s="339"/>
      <c r="BI570" s="339"/>
      <c r="BJ570" s="339"/>
      <c r="BK570" s="339"/>
      <c r="BL570" s="339"/>
      <c r="BM570" s="339"/>
      <c r="BN570" s="339"/>
      <c r="BO570" s="339"/>
      <c r="BP570" s="339"/>
      <c r="BQ570" s="339"/>
      <c r="BR570" s="339"/>
      <c r="BS570" s="339"/>
      <c r="BT570" s="339"/>
      <c r="BU570" s="339"/>
      <c r="BV570" s="339"/>
      <c r="BW570" s="339"/>
      <c r="BX570" s="339"/>
      <c r="BY570" s="339"/>
      <c r="BZ570" s="339"/>
      <c r="CA570" s="339"/>
      <c r="CB570" s="339"/>
      <c r="CC570" s="339"/>
      <c r="CD570" s="339"/>
      <c r="CE570" s="339"/>
      <c r="CF570" s="339"/>
      <c r="CG570" s="339"/>
      <c r="CH570" s="339"/>
      <c r="CI570" s="339"/>
      <c r="CJ570" s="339"/>
      <c r="CK570" s="339"/>
      <c r="CL570" s="339"/>
      <c r="CM570" s="339"/>
      <c r="CN570" s="339"/>
      <c r="CO570" s="339"/>
      <c r="CP570" s="339"/>
      <c r="CQ570" s="339"/>
      <c r="CR570" s="339"/>
      <c r="CS570" s="339"/>
      <c r="CT570" s="339"/>
      <c r="CU570" s="339"/>
      <c r="CV570" s="339"/>
      <c r="CW570" s="339"/>
      <c r="CX570" s="339"/>
      <c r="CY570" s="339"/>
      <c r="CZ570" s="339"/>
      <c r="DA570" s="339"/>
      <c r="DB570" s="339"/>
      <c r="DC570" s="339"/>
      <c r="DD570" s="339"/>
      <c r="DE570" s="339"/>
      <c r="DF570" s="339"/>
      <c r="DG570" s="339"/>
      <c r="DH570" s="339"/>
    </row>
    <row r="571" ht="20.25" customHeight="1">
      <c r="A571" s="351">
        <v>571.0</v>
      </c>
      <c r="B571" s="338" t="s">
        <v>107</v>
      </c>
      <c r="C571" s="338" t="s">
        <v>108</v>
      </c>
      <c r="D571" s="338" t="s">
        <v>214</v>
      </c>
      <c r="E571" s="339"/>
      <c r="F571" s="340" t="s">
        <v>3172</v>
      </c>
      <c r="G571" s="44" t="s">
        <v>3184</v>
      </c>
      <c r="H571" s="357" t="s">
        <v>214</v>
      </c>
      <c r="I571" s="341">
        <v>45684.0</v>
      </c>
      <c r="J571" s="341">
        <v>45684.0</v>
      </c>
      <c r="K571" s="43"/>
      <c r="L571" s="43"/>
      <c r="M571" s="357" t="s">
        <v>3174</v>
      </c>
      <c r="N571" s="357" t="s">
        <v>3175</v>
      </c>
      <c r="O571" s="43"/>
      <c r="P571" s="357" t="s">
        <v>3176</v>
      </c>
      <c r="Q571" s="101" t="str">
        <f t="array" ref="Q571"> if(iserror(MATCH(V571, 'File Links'!C:C, 0)), "N/A", HYPERLINK(INDEX('File Links'!B:B, MATCH(P571, 'File Links'!C:C, 0))))</f>
        <v>https://drive.google.com/file/d/1BtYypYyY-PzT4y8FLAgHXAyFQwMz4y2O/view?usp=drivesdk</v>
      </c>
      <c r="R571" s="357" t="s">
        <v>3177</v>
      </c>
      <c r="S571" s="357" t="s">
        <v>3178</v>
      </c>
      <c r="T571" s="43"/>
      <c r="U571" s="497">
        <v>1.0</v>
      </c>
      <c r="V571" s="357" t="str">
        <f t="shared" si="35"/>
        <v>10.20982--tqmp.20.1.r001.pdf</v>
      </c>
      <c r="W571" s="357" t="s">
        <v>202</v>
      </c>
      <c r="X571" s="51" t="str">
        <f t="array" ref="X571"> if(iserror(MATCH(V571, 'File Links'!C:C, 0)), "N/A", HYPERLINK(INDEX('File Links'!B:B, MATCH(V571, 'File Links'!C:C, 0))))</f>
        <v>https://drive.google.com/file/d/1vDgLj9eoT-VnSILsFHRQ12VvtSFTsWUV/view?usp=drivesdk</v>
      </c>
      <c r="Y571" s="43"/>
      <c r="Z571" s="357" t="s">
        <v>3185</v>
      </c>
      <c r="AA571" s="357" t="s">
        <v>3179</v>
      </c>
      <c r="AB571" s="357" t="s">
        <v>3180</v>
      </c>
      <c r="AC571" s="43" t="s">
        <v>3186</v>
      </c>
      <c r="AD571" s="357" t="s">
        <v>3187</v>
      </c>
      <c r="AE571" s="354">
        <v>13.0</v>
      </c>
      <c r="AF571" s="354">
        <v>24.0</v>
      </c>
      <c r="AG571" s="354">
        <v>0.85</v>
      </c>
      <c r="AH571" s="357" t="s">
        <v>132</v>
      </c>
      <c r="AI571" s="357" t="s">
        <v>2015</v>
      </c>
      <c r="AJ571" s="383">
        <v>0.001</v>
      </c>
      <c r="AK571" s="44" t="s">
        <v>128</v>
      </c>
      <c r="AL571" s="44" t="s">
        <v>129</v>
      </c>
      <c r="AM571" s="357" t="s">
        <v>130</v>
      </c>
      <c r="AN571" s="44" t="s">
        <v>131</v>
      </c>
      <c r="AO571" s="354">
        <v>30.0</v>
      </c>
      <c r="AP571" s="354">
        <v>0.67</v>
      </c>
      <c r="AQ571" s="357" t="s">
        <v>132</v>
      </c>
      <c r="AR571" s="357" t="s">
        <v>3183</v>
      </c>
      <c r="AS571" s="354">
        <v>0.001</v>
      </c>
      <c r="AT571" s="357" t="s">
        <v>128</v>
      </c>
      <c r="AU571" s="357" t="s">
        <v>129</v>
      </c>
      <c r="AV571" s="357" t="s">
        <v>130</v>
      </c>
      <c r="AW571" s="357" t="s">
        <v>131</v>
      </c>
      <c r="AX571" s="357" t="s">
        <v>136</v>
      </c>
      <c r="AY571" s="339"/>
      <c r="AZ571" s="338" t="s">
        <v>685</v>
      </c>
      <c r="BA571" s="339"/>
      <c r="BB571" s="339"/>
      <c r="BC571" s="339"/>
      <c r="BD571" s="339"/>
      <c r="BE571" s="339"/>
      <c r="BF571" s="339"/>
      <c r="BG571" s="339"/>
      <c r="BH571" s="339"/>
      <c r="BI571" s="339"/>
      <c r="BJ571" s="339"/>
      <c r="BK571" s="339"/>
      <c r="BL571" s="339"/>
      <c r="BM571" s="339"/>
      <c r="BN571" s="339"/>
      <c r="BO571" s="339"/>
      <c r="BP571" s="339"/>
      <c r="BQ571" s="339"/>
      <c r="BR571" s="339"/>
      <c r="BS571" s="339"/>
      <c r="BT571" s="339"/>
      <c r="BU571" s="339"/>
      <c r="BV571" s="339"/>
      <c r="BW571" s="339"/>
      <c r="BX571" s="339"/>
      <c r="BY571" s="339"/>
      <c r="BZ571" s="339"/>
      <c r="CA571" s="339"/>
      <c r="CB571" s="339"/>
      <c r="CC571" s="339"/>
      <c r="CD571" s="339"/>
      <c r="CE571" s="339"/>
      <c r="CF571" s="339"/>
      <c r="CG571" s="339"/>
      <c r="CH571" s="339"/>
      <c r="CI571" s="339"/>
      <c r="CJ571" s="339"/>
      <c r="CK571" s="339"/>
      <c r="CL571" s="339"/>
      <c r="CM571" s="339"/>
      <c r="CN571" s="339"/>
      <c r="CO571" s="339"/>
      <c r="CP571" s="339"/>
      <c r="CQ571" s="339"/>
      <c r="CR571" s="339"/>
      <c r="CS571" s="339"/>
      <c r="CT571" s="339"/>
      <c r="CU571" s="339"/>
      <c r="CV571" s="339"/>
      <c r="CW571" s="339"/>
      <c r="CX571" s="339"/>
      <c r="CY571" s="339"/>
      <c r="CZ571" s="339"/>
      <c r="DA571" s="339"/>
      <c r="DB571" s="339"/>
      <c r="DC571" s="339"/>
      <c r="DD571" s="339"/>
      <c r="DE571" s="339"/>
      <c r="DF571" s="339"/>
      <c r="DG571" s="339"/>
      <c r="DH571" s="339"/>
    </row>
    <row r="572" ht="20.25" customHeight="1">
      <c r="A572" s="351">
        <v>572.0</v>
      </c>
      <c r="B572" s="338" t="s">
        <v>107</v>
      </c>
      <c r="C572" s="338" t="s">
        <v>108</v>
      </c>
      <c r="D572" s="338" t="s">
        <v>214</v>
      </c>
      <c r="E572" s="339"/>
      <c r="F572" s="340" t="s">
        <v>3172</v>
      </c>
      <c r="G572" s="44" t="s">
        <v>3188</v>
      </c>
      <c r="H572" s="357" t="s">
        <v>214</v>
      </c>
      <c r="I572" s="341">
        <v>45684.0</v>
      </c>
      <c r="J572" s="341">
        <v>45684.0</v>
      </c>
      <c r="K572" s="43"/>
      <c r="L572" s="43"/>
      <c r="M572" s="357" t="s">
        <v>3174</v>
      </c>
      <c r="N572" s="357" t="s">
        <v>3175</v>
      </c>
      <c r="O572" s="43"/>
      <c r="P572" s="357" t="s">
        <v>3176</v>
      </c>
      <c r="Q572" s="101" t="str">
        <f t="array" ref="Q572"> if(iserror(MATCH(V572, 'File Links'!C:C, 0)), "N/A", HYPERLINK(INDEX('File Links'!B:B, MATCH(P572, 'File Links'!C:C, 0))))</f>
        <v>https://drive.google.com/file/d/1BtYypYyY-PzT4y8FLAgHXAyFQwMz4y2O/view?usp=drivesdk</v>
      </c>
      <c r="R572" s="357" t="s">
        <v>3177</v>
      </c>
      <c r="S572" s="357" t="s">
        <v>3178</v>
      </c>
      <c r="T572" s="43"/>
      <c r="U572" s="497">
        <v>1.0</v>
      </c>
      <c r="V572" s="357" t="str">
        <f t="shared" si="35"/>
        <v>10.20982--tqmp.20.1.r001.pdf</v>
      </c>
      <c r="W572" s="357" t="s">
        <v>202</v>
      </c>
      <c r="X572" s="51" t="str">
        <f t="array" ref="X572"> if(iserror(MATCH(V572, 'File Links'!C:C, 0)), "N/A", HYPERLINK(INDEX('File Links'!B:B, MATCH(V572, 'File Links'!C:C, 0))))</f>
        <v>https://drive.google.com/file/d/1vDgLj9eoT-VnSILsFHRQ12VvtSFTsWUV/view?usp=drivesdk</v>
      </c>
      <c r="Y572" s="43"/>
      <c r="Z572" s="357" t="s">
        <v>3185</v>
      </c>
      <c r="AA572" s="357" t="s">
        <v>3179</v>
      </c>
      <c r="AB572" s="357" t="s">
        <v>3180</v>
      </c>
      <c r="AC572" s="43" t="s">
        <v>3189</v>
      </c>
      <c r="AD572" s="357" t="s">
        <v>3190</v>
      </c>
      <c r="AE572" s="354">
        <v>13.0</v>
      </c>
      <c r="AF572" s="354">
        <v>24.0</v>
      </c>
      <c r="AG572" s="354">
        <v>0.44</v>
      </c>
      <c r="AH572" s="357" t="s">
        <v>132</v>
      </c>
      <c r="AI572" s="357" t="s">
        <v>2015</v>
      </c>
      <c r="AJ572" s="383">
        <v>0.001</v>
      </c>
      <c r="AK572" s="44" t="s">
        <v>128</v>
      </c>
      <c r="AL572" s="44" t="s">
        <v>129</v>
      </c>
      <c r="AM572" s="357" t="s">
        <v>130</v>
      </c>
      <c r="AN572" s="44" t="s">
        <v>131</v>
      </c>
      <c r="AO572" s="354">
        <v>30.0</v>
      </c>
      <c r="AP572" s="354">
        <v>0.1</v>
      </c>
      <c r="AQ572" s="357" t="s">
        <v>132</v>
      </c>
      <c r="AR572" s="357" t="s">
        <v>3183</v>
      </c>
      <c r="AS572" s="354">
        <v>0.08</v>
      </c>
      <c r="AT572" s="357" t="s">
        <v>165</v>
      </c>
      <c r="AU572" s="357" t="s">
        <v>129</v>
      </c>
      <c r="AV572" s="357" t="s">
        <v>130</v>
      </c>
      <c r="AW572" s="357" t="s">
        <v>131</v>
      </c>
      <c r="AX572" s="357" t="s">
        <v>136</v>
      </c>
      <c r="AY572" s="339"/>
      <c r="AZ572" s="338" t="s">
        <v>685</v>
      </c>
      <c r="BA572" s="339"/>
      <c r="BB572" s="339"/>
      <c r="BC572" s="339"/>
      <c r="BD572" s="339"/>
      <c r="BE572" s="339"/>
      <c r="BF572" s="339"/>
      <c r="BG572" s="339"/>
      <c r="BH572" s="339"/>
      <c r="BI572" s="339"/>
      <c r="BJ572" s="339"/>
      <c r="BK572" s="339"/>
      <c r="BL572" s="339"/>
      <c r="BM572" s="339"/>
      <c r="BN572" s="339"/>
      <c r="BO572" s="339"/>
      <c r="BP572" s="339"/>
      <c r="BQ572" s="339"/>
      <c r="BR572" s="339"/>
      <c r="BS572" s="339"/>
      <c r="BT572" s="339"/>
      <c r="BU572" s="339"/>
      <c r="BV572" s="339"/>
      <c r="BW572" s="339"/>
      <c r="BX572" s="339"/>
      <c r="BY572" s="339"/>
      <c r="BZ572" s="339"/>
      <c r="CA572" s="339"/>
      <c r="CB572" s="339"/>
      <c r="CC572" s="339"/>
      <c r="CD572" s="339"/>
      <c r="CE572" s="339"/>
      <c r="CF572" s="339"/>
      <c r="CG572" s="339"/>
      <c r="CH572" s="339"/>
      <c r="CI572" s="339"/>
      <c r="CJ572" s="339"/>
      <c r="CK572" s="339"/>
      <c r="CL572" s="339"/>
      <c r="CM572" s="339"/>
      <c r="CN572" s="339"/>
      <c r="CO572" s="339"/>
      <c r="CP572" s="339"/>
      <c r="CQ572" s="339"/>
      <c r="CR572" s="339"/>
      <c r="CS572" s="339"/>
      <c r="CT572" s="339"/>
      <c r="CU572" s="339"/>
      <c r="CV572" s="339"/>
      <c r="CW572" s="339"/>
      <c r="CX572" s="339"/>
      <c r="CY572" s="339"/>
      <c r="CZ572" s="339"/>
      <c r="DA572" s="339"/>
      <c r="DB572" s="339"/>
      <c r="DC572" s="339"/>
      <c r="DD572" s="339"/>
      <c r="DE572" s="339"/>
      <c r="DF572" s="339"/>
      <c r="DG572" s="339"/>
      <c r="DH572" s="339"/>
    </row>
    <row r="573" ht="20.25" customHeight="1">
      <c r="A573" s="351">
        <v>573.0</v>
      </c>
      <c r="B573" s="338" t="s">
        <v>145</v>
      </c>
      <c r="C573" s="338" t="s">
        <v>108</v>
      </c>
      <c r="D573" s="338" t="s">
        <v>983</v>
      </c>
      <c r="E573" s="339"/>
      <c r="F573" s="357" t="s">
        <v>3191</v>
      </c>
      <c r="G573" s="44" t="s">
        <v>3173</v>
      </c>
      <c r="H573" s="44" t="s">
        <v>137</v>
      </c>
      <c r="I573" s="341">
        <v>45489.0</v>
      </c>
      <c r="J573" s="508">
        <v>45636.0</v>
      </c>
      <c r="K573" s="46"/>
      <c r="L573" s="53" t="s">
        <v>3192</v>
      </c>
      <c r="M573" s="44" t="s">
        <v>3174</v>
      </c>
      <c r="N573" s="44" t="s">
        <v>3175</v>
      </c>
      <c r="O573" s="505">
        <v>1.0</v>
      </c>
      <c r="P573" s="48" t="s">
        <v>3176</v>
      </c>
      <c r="Q573" s="101" t="str">
        <f t="array" ref="Q573"> if(iserror(MATCH(V573, 'File Links'!C:C, 0)), "N/A", HYPERLINK(INDEX('File Links'!B:B, MATCH(P573, 'File Links'!C:C, 0))))</f>
        <v>https://drive.google.com/file/d/1BtYypYyY-PzT4y8FLAgHXAyFQwMz4y2O/view?usp=drivesdk</v>
      </c>
      <c r="R573" s="44" t="s">
        <v>3177</v>
      </c>
      <c r="S573" s="44" t="s">
        <v>3178</v>
      </c>
      <c r="T573" s="46"/>
      <c r="U573" s="383">
        <v>1.0</v>
      </c>
      <c r="V573" s="357" t="str">
        <f t="shared" si="35"/>
        <v>10.20982--tqmp.20.1.r001.pdf</v>
      </c>
      <c r="W573" s="44" t="s">
        <v>202</v>
      </c>
      <c r="X573" s="51" t="str">
        <f t="array" ref="X573"> if(iserror(MATCH(V573, 'File Links'!C:C, 0)), "N/A", HYPERLINK(INDEX('File Links'!B:B, MATCH(V573, 'File Links'!C:C, 0))))</f>
        <v>https://drive.google.com/file/d/1vDgLj9eoT-VnSILsFHRQ12VvtSFTsWUV/view?usp=drivesdk</v>
      </c>
      <c r="Y573" s="46"/>
      <c r="Z573" s="44" t="s">
        <v>141</v>
      </c>
      <c r="AA573" s="46" t="s">
        <v>3193</v>
      </c>
      <c r="AB573" s="46" t="s">
        <v>3180</v>
      </c>
      <c r="AC573" s="44" t="s">
        <v>3194</v>
      </c>
      <c r="AD573" s="44" t="s">
        <v>3195</v>
      </c>
      <c r="AE573" s="505">
        <v>3.0</v>
      </c>
      <c r="AF573" s="505">
        <v>24.0</v>
      </c>
      <c r="AG573" s="52" t="s">
        <v>3196</v>
      </c>
      <c r="AH573" s="340" t="s">
        <v>127</v>
      </c>
      <c r="AI573" s="497" t="s">
        <v>429</v>
      </c>
      <c r="AJ573" s="505">
        <v>0.001</v>
      </c>
      <c r="AK573" s="357" t="s">
        <v>128</v>
      </c>
      <c r="AL573" s="44" t="s">
        <v>179</v>
      </c>
      <c r="AM573" s="46" t="s">
        <v>130</v>
      </c>
      <c r="AN573" s="497" t="s">
        <v>131</v>
      </c>
      <c r="AO573" s="505">
        <v>30.0</v>
      </c>
      <c r="AP573" s="505">
        <v>0.1</v>
      </c>
      <c r="AQ573" s="44" t="s">
        <v>132</v>
      </c>
      <c r="AR573" s="47">
        <v>3.0</v>
      </c>
      <c r="AS573" s="505">
        <v>0.08</v>
      </c>
      <c r="AT573" s="357" t="s">
        <v>165</v>
      </c>
      <c r="AU573" s="53" t="s">
        <v>179</v>
      </c>
      <c r="AV573" s="43" t="s">
        <v>130</v>
      </c>
      <c r="AW573" s="53" t="s">
        <v>131</v>
      </c>
      <c r="AX573" s="43" t="s">
        <v>136</v>
      </c>
      <c r="AY573" s="53" t="s">
        <v>3197</v>
      </c>
      <c r="AZ573" s="338" t="s">
        <v>685</v>
      </c>
      <c r="BA573" s="339"/>
      <c r="BB573" s="339"/>
      <c r="BC573" s="339"/>
      <c r="BD573" s="339"/>
      <c r="BE573" s="339"/>
      <c r="BF573" s="339"/>
      <c r="BG573" s="339"/>
      <c r="BH573" s="339"/>
      <c r="BI573" s="339"/>
      <c r="BJ573" s="339"/>
      <c r="BK573" s="339"/>
      <c r="BL573" s="339"/>
      <c r="BM573" s="339"/>
      <c r="BN573" s="339"/>
      <c r="BO573" s="339"/>
      <c r="BP573" s="339"/>
      <c r="BQ573" s="339"/>
      <c r="BR573" s="339"/>
      <c r="BS573" s="339"/>
      <c r="BT573" s="339"/>
      <c r="BU573" s="339"/>
      <c r="BV573" s="339"/>
      <c r="BW573" s="339"/>
      <c r="BX573" s="339"/>
      <c r="BY573" s="339"/>
      <c r="BZ573" s="339"/>
      <c r="CA573" s="339"/>
      <c r="CB573" s="339"/>
      <c r="CC573" s="339"/>
      <c r="CD573" s="339"/>
      <c r="CE573" s="339"/>
      <c r="CF573" s="339"/>
      <c r="CG573" s="339"/>
      <c r="CH573" s="339"/>
      <c r="CI573" s="339"/>
      <c r="CJ573" s="339"/>
      <c r="CK573" s="339"/>
      <c r="CL573" s="339"/>
      <c r="CM573" s="339"/>
      <c r="CN573" s="339"/>
      <c r="CO573" s="339"/>
      <c r="CP573" s="339"/>
      <c r="CQ573" s="339"/>
      <c r="CR573" s="339"/>
      <c r="CS573" s="339"/>
      <c r="CT573" s="339"/>
      <c r="CU573" s="339"/>
      <c r="CV573" s="339"/>
      <c r="CW573" s="339"/>
      <c r="CX573" s="339"/>
      <c r="CY573" s="339"/>
      <c r="CZ573" s="339"/>
      <c r="DA573" s="339"/>
      <c r="DB573" s="339"/>
      <c r="DC573" s="339"/>
      <c r="DD573" s="339"/>
      <c r="DE573" s="339"/>
      <c r="DF573" s="339"/>
      <c r="DG573" s="339"/>
      <c r="DH573" s="339"/>
    </row>
    <row r="574" ht="20.25" customHeight="1">
      <c r="A574" s="351">
        <v>574.0</v>
      </c>
      <c r="B574" s="338" t="s">
        <v>145</v>
      </c>
      <c r="C574" s="338" t="s">
        <v>108</v>
      </c>
      <c r="D574" s="338" t="s">
        <v>983</v>
      </c>
      <c r="E574" s="339"/>
      <c r="F574" s="357" t="s">
        <v>3191</v>
      </c>
      <c r="G574" s="44" t="s">
        <v>3184</v>
      </c>
      <c r="H574" s="44" t="s">
        <v>137</v>
      </c>
      <c r="I574" s="341">
        <v>45489.0</v>
      </c>
      <c r="J574" s="508">
        <v>45636.0</v>
      </c>
      <c r="K574" s="46"/>
      <c r="L574" s="53" t="s">
        <v>3192</v>
      </c>
      <c r="M574" s="44" t="s">
        <v>3174</v>
      </c>
      <c r="N574" s="44" t="s">
        <v>3175</v>
      </c>
      <c r="O574" s="505">
        <v>1.0</v>
      </c>
      <c r="P574" s="48" t="s">
        <v>3176</v>
      </c>
      <c r="Q574" s="101" t="str">
        <f t="array" ref="Q574"> if(iserror(MATCH(V574, 'File Links'!C:C, 0)), "N/A", HYPERLINK(INDEX('File Links'!B:B, MATCH(P574, 'File Links'!C:C, 0))))</f>
        <v>https://drive.google.com/file/d/1BtYypYyY-PzT4y8FLAgHXAyFQwMz4y2O/view?usp=drivesdk</v>
      </c>
      <c r="R574" s="44" t="s">
        <v>3177</v>
      </c>
      <c r="S574" s="44" t="s">
        <v>3178</v>
      </c>
      <c r="T574" s="46"/>
      <c r="U574" s="383">
        <v>1.0</v>
      </c>
      <c r="V574" s="357" t="str">
        <f t="shared" si="35"/>
        <v>10.20982--tqmp.20.1.r001.pdf</v>
      </c>
      <c r="W574" s="44" t="s">
        <v>202</v>
      </c>
      <c r="X574" s="51" t="str">
        <f t="array" ref="X574"> if(iserror(MATCH(V574, 'File Links'!C:C, 0)), "N/A", HYPERLINK(INDEX('File Links'!B:B, MATCH(V574, 'File Links'!C:C, 0))))</f>
        <v>https://drive.google.com/file/d/1vDgLj9eoT-VnSILsFHRQ12VvtSFTsWUV/view?usp=drivesdk</v>
      </c>
      <c r="Y574" s="46"/>
      <c r="Z574" s="44" t="s">
        <v>141</v>
      </c>
      <c r="AA574" s="46" t="s">
        <v>3193</v>
      </c>
      <c r="AB574" s="46" t="s">
        <v>3180</v>
      </c>
      <c r="AC574" s="44" t="s">
        <v>3198</v>
      </c>
      <c r="AD574" s="44" t="s">
        <v>3199</v>
      </c>
      <c r="AE574" s="505">
        <v>3.0</v>
      </c>
      <c r="AF574" s="505">
        <v>24.0</v>
      </c>
      <c r="AG574" s="887" t="s">
        <v>3200</v>
      </c>
      <c r="AH574" s="340" t="s">
        <v>127</v>
      </c>
      <c r="AI574" s="497" t="s">
        <v>429</v>
      </c>
      <c r="AJ574" s="505">
        <v>0.001</v>
      </c>
      <c r="AK574" s="357" t="s">
        <v>128</v>
      </c>
      <c r="AL574" s="44" t="s">
        <v>179</v>
      </c>
      <c r="AM574" s="46" t="s">
        <v>130</v>
      </c>
      <c r="AN574" s="497" t="s">
        <v>131</v>
      </c>
      <c r="AO574" s="505">
        <v>30.0</v>
      </c>
      <c r="AP574" s="505">
        <v>0.67</v>
      </c>
      <c r="AQ574" s="44" t="s">
        <v>132</v>
      </c>
      <c r="AR574" s="505">
        <v>3.0</v>
      </c>
      <c r="AS574" s="505">
        <v>0.001</v>
      </c>
      <c r="AT574" s="357" t="s">
        <v>128</v>
      </c>
      <c r="AU574" s="357" t="s">
        <v>179</v>
      </c>
      <c r="AV574" s="43" t="s">
        <v>130</v>
      </c>
      <c r="AW574" s="53" t="s">
        <v>131</v>
      </c>
      <c r="AX574" s="43" t="s">
        <v>136</v>
      </c>
      <c r="AY574" s="46"/>
      <c r="AZ574" s="338" t="s">
        <v>685</v>
      </c>
      <c r="BA574" s="339"/>
      <c r="BB574" s="339"/>
      <c r="BC574" s="339"/>
      <c r="BD574" s="339"/>
      <c r="BE574" s="339"/>
      <c r="BF574" s="339"/>
      <c r="BG574" s="339"/>
      <c r="BH574" s="339"/>
      <c r="BI574" s="339"/>
      <c r="BJ574" s="339"/>
      <c r="BK574" s="339"/>
      <c r="BL574" s="339"/>
      <c r="BM574" s="339"/>
      <c r="BN574" s="339"/>
      <c r="BO574" s="339"/>
      <c r="BP574" s="339"/>
      <c r="BQ574" s="339"/>
      <c r="BR574" s="339"/>
      <c r="BS574" s="339"/>
      <c r="BT574" s="339"/>
      <c r="BU574" s="339"/>
      <c r="BV574" s="339"/>
      <c r="BW574" s="339"/>
      <c r="BX574" s="339"/>
      <c r="BY574" s="339"/>
      <c r="BZ574" s="339"/>
      <c r="CA574" s="339"/>
      <c r="CB574" s="339"/>
      <c r="CC574" s="339"/>
      <c r="CD574" s="339"/>
      <c r="CE574" s="339"/>
      <c r="CF574" s="339"/>
      <c r="CG574" s="339"/>
      <c r="CH574" s="339"/>
      <c r="CI574" s="339"/>
      <c r="CJ574" s="339"/>
      <c r="CK574" s="339"/>
      <c r="CL574" s="339"/>
      <c r="CM574" s="339"/>
      <c r="CN574" s="339"/>
      <c r="CO574" s="339"/>
      <c r="CP574" s="339"/>
      <c r="CQ574" s="339"/>
      <c r="CR574" s="339"/>
      <c r="CS574" s="339"/>
      <c r="CT574" s="339"/>
      <c r="CU574" s="339"/>
      <c r="CV574" s="339"/>
      <c r="CW574" s="339"/>
      <c r="CX574" s="339"/>
      <c r="CY574" s="339"/>
      <c r="CZ574" s="339"/>
      <c r="DA574" s="339"/>
      <c r="DB574" s="339"/>
      <c r="DC574" s="339"/>
      <c r="DD574" s="339"/>
      <c r="DE574" s="339"/>
      <c r="DF574" s="339"/>
      <c r="DG574" s="339"/>
      <c r="DH574" s="339"/>
    </row>
    <row r="575" ht="20.25" customHeight="1">
      <c r="A575" s="351">
        <v>575.0</v>
      </c>
      <c r="B575" s="338" t="s">
        <v>145</v>
      </c>
      <c r="C575" s="338" t="s">
        <v>108</v>
      </c>
      <c r="D575" s="338" t="s">
        <v>983</v>
      </c>
      <c r="E575" s="339"/>
      <c r="F575" s="357" t="s">
        <v>3191</v>
      </c>
      <c r="G575" s="44" t="s">
        <v>3188</v>
      </c>
      <c r="H575" s="44" t="s">
        <v>137</v>
      </c>
      <c r="I575" s="341">
        <v>45489.0</v>
      </c>
      <c r="J575" s="508">
        <v>45636.0</v>
      </c>
      <c r="K575" s="46"/>
      <c r="L575" s="53" t="s">
        <v>3201</v>
      </c>
      <c r="M575" s="44" t="s">
        <v>3174</v>
      </c>
      <c r="N575" s="44" t="s">
        <v>3175</v>
      </c>
      <c r="O575" s="505">
        <v>1.0</v>
      </c>
      <c r="P575" s="48" t="s">
        <v>3176</v>
      </c>
      <c r="Q575" s="101" t="str">
        <f t="array" ref="Q575"> if(iserror(MATCH(V575, 'File Links'!C:C, 0)), "N/A", HYPERLINK(INDEX('File Links'!B:B, MATCH(P575, 'File Links'!C:C, 0))))</f>
        <v>https://drive.google.com/file/d/1BtYypYyY-PzT4y8FLAgHXAyFQwMz4y2O/view?usp=drivesdk</v>
      </c>
      <c r="R575" s="44" t="s">
        <v>3177</v>
      </c>
      <c r="S575" s="44" t="s">
        <v>3178</v>
      </c>
      <c r="T575" s="46"/>
      <c r="U575" s="383">
        <v>1.0</v>
      </c>
      <c r="V575" s="357" t="str">
        <f t="shared" si="35"/>
        <v>10.20982--tqmp.20.1.r001.pdf</v>
      </c>
      <c r="W575" s="44" t="s">
        <v>202</v>
      </c>
      <c r="X575" s="51" t="str">
        <f t="array" ref="X575"> if(iserror(MATCH(V575, 'File Links'!C:C, 0)), "N/A", HYPERLINK(INDEX('File Links'!B:B, MATCH(V575, 'File Links'!C:C, 0))))</f>
        <v>https://drive.google.com/file/d/1vDgLj9eoT-VnSILsFHRQ12VvtSFTsWUV/view?usp=drivesdk</v>
      </c>
      <c r="Y575" s="46"/>
      <c r="Z575" s="44" t="s">
        <v>141</v>
      </c>
      <c r="AA575" s="46" t="s">
        <v>3193</v>
      </c>
      <c r="AB575" s="46" t="s">
        <v>3180</v>
      </c>
      <c r="AC575" s="44" t="s">
        <v>3202</v>
      </c>
      <c r="AD575" s="44" t="s">
        <v>3203</v>
      </c>
      <c r="AE575" s="505">
        <v>3.0</v>
      </c>
      <c r="AF575" s="505">
        <v>24.0</v>
      </c>
      <c r="AG575" s="887" t="s">
        <v>3204</v>
      </c>
      <c r="AH575" s="340" t="s">
        <v>127</v>
      </c>
      <c r="AI575" s="497" t="s">
        <v>429</v>
      </c>
      <c r="AJ575" s="505">
        <v>0.001</v>
      </c>
      <c r="AK575" s="357" t="s">
        <v>128</v>
      </c>
      <c r="AL575" s="44" t="s">
        <v>179</v>
      </c>
      <c r="AM575" s="46" t="s">
        <v>130</v>
      </c>
      <c r="AN575" s="497" t="s">
        <v>131</v>
      </c>
      <c r="AO575" s="505">
        <v>30.0</v>
      </c>
      <c r="AP575" s="505">
        <v>0.12</v>
      </c>
      <c r="AQ575" s="44" t="s">
        <v>132</v>
      </c>
      <c r="AR575" s="505">
        <v>3.0</v>
      </c>
      <c r="AS575" s="505">
        <v>0.001</v>
      </c>
      <c r="AT575" s="357" t="s">
        <v>128</v>
      </c>
      <c r="AU575" s="357" t="s">
        <v>179</v>
      </c>
      <c r="AV575" s="43" t="s">
        <v>130</v>
      </c>
      <c r="AW575" s="53" t="s">
        <v>131</v>
      </c>
      <c r="AX575" s="43" t="s">
        <v>136</v>
      </c>
      <c r="AY575" s="46"/>
      <c r="AZ575" s="338" t="s">
        <v>685</v>
      </c>
      <c r="BA575" s="339"/>
      <c r="BB575" s="339"/>
      <c r="BC575" s="339"/>
      <c r="BD575" s="339"/>
      <c r="BE575" s="339"/>
      <c r="BF575" s="339"/>
      <c r="BG575" s="339"/>
      <c r="BH575" s="339"/>
      <c r="BI575" s="339"/>
      <c r="BJ575" s="339"/>
      <c r="BK575" s="339"/>
      <c r="BL575" s="339"/>
      <c r="BM575" s="339"/>
      <c r="BN575" s="339"/>
      <c r="BO575" s="339"/>
      <c r="BP575" s="339"/>
      <c r="BQ575" s="339"/>
      <c r="BR575" s="339"/>
      <c r="BS575" s="339"/>
      <c r="BT575" s="339"/>
      <c r="BU575" s="339"/>
      <c r="BV575" s="339"/>
      <c r="BW575" s="339"/>
      <c r="BX575" s="339"/>
      <c r="BY575" s="339"/>
      <c r="BZ575" s="339"/>
      <c r="CA575" s="339"/>
      <c r="CB575" s="339"/>
      <c r="CC575" s="339"/>
      <c r="CD575" s="339"/>
      <c r="CE575" s="339"/>
      <c r="CF575" s="339"/>
      <c r="CG575" s="339"/>
      <c r="CH575" s="339"/>
      <c r="CI575" s="339"/>
      <c r="CJ575" s="339"/>
      <c r="CK575" s="339"/>
      <c r="CL575" s="339"/>
      <c r="CM575" s="339"/>
      <c r="CN575" s="339"/>
      <c r="CO575" s="339"/>
      <c r="CP575" s="339"/>
      <c r="CQ575" s="339"/>
      <c r="CR575" s="339"/>
      <c r="CS575" s="339"/>
      <c r="CT575" s="339"/>
      <c r="CU575" s="339"/>
      <c r="CV575" s="339"/>
      <c r="CW575" s="339"/>
      <c r="CX575" s="339"/>
      <c r="CY575" s="339"/>
      <c r="CZ575" s="339"/>
      <c r="DA575" s="339"/>
      <c r="DB575" s="339"/>
      <c r="DC575" s="339"/>
      <c r="DD575" s="339"/>
      <c r="DE575" s="339"/>
      <c r="DF575" s="339"/>
      <c r="DG575" s="339"/>
      <c r="DH575" s="339"/>
    </row>
    <row r="576" ht="20.25" customHeight="1">
      <c r="A576" s="351">
        <v>576.0</v>
      </c>
      <c r="B576" s="338" t="s">
        <v>145</v>
      </c>
      <c r="C576" s="338" t="s">
        <v>108</v>
      </c>
      <c r="D576" s="338" t="s">
        <v>983</v>
      </c>
      <c r="E576" s="339"/>
      <c r="F576" s="357" t="s">
        <v>3191</v>
      </c>
      <c r="G576" s="44" t="s">
        <v>3205</v>
      </c>
      <c r="H576" s="44" t="s">
        <v>137</v>
      </c>
      <c r="I576" s="341">
        <v>45489.0</v>
      </c>
      <c r="J576" s="508">
        <v>45636.0</v>
      </c>
      <c r="K576" s="46"/>
      <c r="L576" s="53" t="s">
        <v>3206</v>
      </c>
      <c r="M576" s="44" t="s">
        <v>3174</v>
      </c>
      <c r="N576" s="44" t="s">
        <v>3175</v>
      </c>
      <c r="O576" s="505">
        <v>2.0</v>
      </c>
      <c r="P576" s="48" t="s">
        <v>3176</v>
      </c>
      <c r="Q576" s="101" t="str">
        <f t="array" ref="Q576"> if(iserror(MATCH(V576, 'File Links'!C:C, 0)), "N/A", HYPERLINK(INDEX('File Links'!B:B, MATCH(P576, 'File Links'!C:C, 0))))</f>
        <v>https://drive.google.com/file/d/1BtYypYyY-PzT4y8FLAgHXAyFQwMz4y2O/view?usp=drivesdk</v>
      </c>
      <c r="R576" s="44" t="s">
        <v>3177</v>
      </c>
      <c r="S576" s="44" t="s">
        <v>3178</v>
      </c>
      <c r="T576" s="46"/>
      <c r="U576" s="383">
        <v>2.0</v>
      </c>
      <c r="V576" s="357" t="str">
        <f t="shared" si="35"/>
        <v>10.20982--tqmp.20.1.r001.pdf</v>
      </c>
      <c r="W576" s="44" t="s">
        <v>202</v>
      </c>
      <c r="X576" s="51" t="str">
        <f t="array" ref="X576"> if(iserror(MATCH(V576, 'File Links'!C:C, 0)), "N/A", HYPERLINK(INDEX('File Links'!B:B, MATCH(V576, 'File Links'!C:C, 0))))</f>
        <v>https://drive.google.com/file/d/1vDgLj9eoT-VnSILsFHRQ12VvtSFTsWUV/view?usp=drivesdk</v>
      </c>
      <c r="Y576" s="46"/>
      <c r="Z576" s="44" t="s">
        <v>141</v>
      </c>
      <c r="AA576" s="46" t="s">
        <v>3193</v>
      </c>
      <c r="AB576" s="46" t="s">
        <v>3180</v>
      </c>
      <c r="AC576" s="44" t="s">
        <v>3207</v>
      </c>
      <c r="AD576" s="44" t="s">
        <v>3208</v>
      </c>
      <c r="AE576" s="505">
        <v>4.0</v>
      </c>
      <c r="AF576" s="505">
        <v>16.0</v>
      </c>
      <c r="AG576" s="344" t="s">
        <v>3209</v>
      </c>
      <c r="AH576" s="340" t="s">
        <v>127</v>
      </c>
      <c r="AI576" s="497" t="s">
        <v>2222</v>
      </c>
      <c r="AJ576" s="505">
        <v>0.001</v>
      </c>
      <c r="AK576" s="357" t="s">
        <v>128</v>
      </c>
      <c r="AL576" s="44" t="s">
        <v>179</v>
      </c>
      <c r="AM576" s="46" t="s">
        <v>130</v>
      </c>
      <c r="AN576" s="497" t="s">
        <v>131</v>
      </c>
      <c r="AO576" s="505">
        <v>18.0</v>
      </c>
      <c r="AP576" s="505">
        <v>0.98</v>
      </c>
      <c r="AQ576" s="44" t="s">
        <v>132</v>
      </c>
      <c r="AR576" s="505">
        <v>4.0</v>
      </c>
      <c r="AS576" s="505">
        <v>0.001</v>
      </c>
      <c r="AT576" s="357" t="s">
        <v>128</v>
      </c>
      <c r="AU576" s="357" t="s">
        <v>179</v>
      </c>
      <c r="AV576" s="43" t="s">
        <v>130</v>
      </c>
      <c r="AW576" s="53" t="s">
        <v>131</v>
      </c>
      <c r="AX576" s="43" t="s">
        <v>136</v>
      </c>
      <c r="AY576" s="46"/>
      <c r="AZ576" s="338" t="s">
        <v>685</v>
      </c>
      <c r="BA576" s="339"/>
      <c r="BB576" s="339"/>
      <c r="BC576" s="339"/>
      <c r="BD576" s="339"/>
      <c r="BE576" s="339"/>
      <c r="BF576" s="339"/>
      <c r="BG576" s="339"/>
      <c r="BH576" s="339"/>
      <c r="BI576" s="339"/>
      <c r="BJ576" s="339"/>
      <c r="BK576" s="339"/>
      <c r="BL576" s="339"/>
      <c r="BM576" s="339"/>
      <c r="BN576" s="339"/>
      <c r="BO576" s="339"/>
      <c r="BP576" s="339"/>
      <c r="BQ576" s="339"/>
      <c r="BR576" s="339"/>
      <c r="BS576" s="339"/>
      <c r="BT576" s="339"/>
      <c r="BU576" s="339"/>
      <c r="BV576" s="339"/>
      <c r="BW576" s="339"/>
      <c r="BX576" s="339"/>
      <c r="BY576" s="339"/>
      <c r="BZ576" s="339"/>
      <c r="CA576" s="339"/>
      <c r="CB576" s="339"/>
      <c r="CC576" s="339"/>
      <c r="CD576" s="339"/>
      <c r="CE576" s="339"/>
      <c r="CF576" s="339"/>
      <c r="CG576" s="339"/>
      <c r="CH576" s="339"/>
      <c r="CI576" s="339"/>
      <c r="CJ576" s="339"/>
      <c r="CK576" s="339"/>
      <c r="CL576" s="339"/>
      <c r="CM576" s="339"/>
      <c r="CN576" s="339"/>
      <c r="CO576" s="339"/>
      <c r="CP576" s="339"/>
      <c r="CQ576" s="339"/>
      <c r="CR576" s="339"/>
      <c r="CS576" s="339"/>
      <c r="CT576" s="339"/>
      <c r="CU576" s="339"/>
      <c r="CV576" s="339"/>
      <c r="CW576" s="339"/>
      <c r="CX576" s="339"/>
      <c r="CY576" s="339"/>
      <c r="CZ576" s="339"/>
      <c r="DA576" s="339"/>
      <c r="DB576" s="339"/>
      <c r="DC576" s="339"/>
      <c r="DD576" s="339"/>
      <c r="DE576" s="339"/>
      <c r="DF576" s="339"/>
      <c r="DG576" s="339"/>
      <c r="DH576" s="339"/>
    </row>
    <row r="577" ht="20.25" customHeight="1">
      <c r="A577" s="351">
        <v>577.0</v>
      </c>
      <c r="B577" s="338" t="s">
        <v>145</v>
      </c>
      <c r="C577" s="338" t="s">
        <v>108</v>
      </c>
      <c r="D577" s="338" t="s">
        <v>983</v>
      </c>
      <c r="E577" s="339"/>
      <c r="F577" s="357" t="s">
        <v>3191</v>
      </c>
      <c r="G577" s="44" t="s">
        <v>3210</v>
      </c>
      <c r="H577" s="44" t="s">
        <v>137</v>
      </c>
      <c r="I577" s="341">
        <v>45489.0</v>
      </c>
      <c r="J577" s="508">
        <v>45636.0</v>
      </c>
      <c r="K577" s="46"/>
      <c r="L577" s="53" t="s">
        <v>3206</v>
      </c>
      <c r="M577" s="44" t="s">
        <v>3174</v>
      </c>
      <c r="N577" s="44" t="s">
        <v>3175</v>
      </c>
      <c r="O577" s="505">
        <v>2.0</v>
      </c>
      <c r="P577" s="48" t="s">
        <v>3176</v>
      </c>
      <c r="Q577" s="101" t="str">
        <f t="array" ref="Q577"> if(iserror(MATCH(V577, 'File Links'!C:C, 0)), "N/A", HYPERLINK(INDEX('File Links'!B:B, MATCH(P577, 'File Links'!C:C, 0))))</f>
        <v>https://drive.google.com/file/d/1BtYypYyY-PzT4y8FLAgHXAyFQwMz4y2O/view?usp=drivesdk</v>
      </c>
      <c r="R577" s="44" t="s">
        <v>3177</v>
      </c>
      <c r="S577" s="44" t="s">
        <v>3178</v>
      </c>
      <c r="T577" s="46"/>
      <c r="U577" s="383">
        <v>2.0</v>
      </c>
      <c r="V577" s="357" t="str">
        <f t="shared" si="35"/>
        <v>10.20982--tqmp.20.1.r001.pdf</v>
      </c>
      <c r="W577" s="44" t="s">
        <v>202</v>
      </c>
      <c r="X577" s="51" t="str">
        <f t="array" ref="X577"> if(iserror(MATCH(V577, 'File Links'!C:C, 0)), "N/A", HYPERLINK(INDEX('File Links'!B:B, MATCH(V577, 'File Links'!C:C, 0))))</f>
        <v>https://drive.google.com/file/d/1vDgLj9eoT-VnSILsFHRQ12VvtSFTsWUV/view?usp=drivesdk</v>
      </c>
      <c r="Y577" s="46"/>
      <c r="Z577" s="44" t="s">
        <v>141</v>
      </c>
      <c r="AA577" s="46" t="s">
        <v>3193</v>
      </c>
      <c r="AB577" s="46" t="s">
        <v>3180</v>
      </c>
      <c r="AC577" s="44" t="s">
        <v>3211</v>
      </c>
      <c r="AD577" s="44" t="s">
        <v>3212</v>
      </c>
      <c r="AE577" s="505">
        <v>4.0</v>
      </c>
      <c r="AF577" s="505">
        <v>16.0</v>
      </c>
      <c r="AG577" s="344" t="s">
        <v>3213</v>
      </c>
      <c r="AH577" s="340" t="s">
        <v>127</v>
      </c>
      <c r="AI577" s="497" t="s">
        <v>2222</v>
      </c>
      <c r="AJ577" s="505">
        <v>0.001</v>
      </c>
      <c r="AK577" s="357" t="s">
        <v>128</v>
      </c>
      <c r="AL577" s="44" t="s">
        <v>179</v>
      </c>
      <c r="AM577" s="46" t="s">
        <v>130</v>
      </c>
      <c r="AN577" s="497" t="s">
        <v>131</v>
      </c>
      <c r="AO577" s="505">
        <v>18.0</v>
      </c>
      <c r="AP577" s="505">
        <v>0.36</v>
      </c>
      <c r="AQ577" s="44" t="s">
        <v>132</v>
      </c>
      <c r="AR577" s="46"/>
      <c r="AS577" s="505">
        <v>0.007</v>
      </c>
      <c r="AT577" s="357" t="s">
        <v>165</v>
      </c>
      <c r="AU577" s="357" t="s">
        <v>179</v>
      </c>
      <c r="AV577" s="43" t="s">
        <v>130</v>
      </c>
      <c r="AW577" s="53" t="s">
        <v>131</v>
      </c>
      <c r="AX577" s="43" t="s">
        <v>136</v>
      </c>
      <c r="AY577" s="46"/>
      <c r="AZ577" s="338" t="s">
        <v>685</v>
      </c>
      <c r="BA577" s="339"/>
      <c r="BB577" s="339"/>
      <c r="BC577" s="339"/>
      <c r="BD577" s="339"/>
      <c r="BE577" s="339"/>
      <c r="BF577" s="339"/>
      <c r="BG577" s="339"/>
      <c r="BH577" s="339"/>
      <c r="BI577" s="339"/>
      <c r="BJ577" s="339"/>
      <c r="BK577" s="339"/>
      <c r="BL577" s="339"/>
      <c r="BM577" s="339"/>
      <c r="BN577" s="339"/>
      <c r="BO577" s="339"/>
      <c r="BP577" s="339"/>
      <c r="BQ577" s="339"/>
      <c r="BR577" s="339"/>
      <c r="BS577" s="339"/>
      <c r="BT577" s="339"/>
      <c r="BU577" s="339"/>
      <c r="BV577" s="339"/>
      <c r="BW577" s="339"/>
      <c r="BX577" s="339"/>
      <c r="BY577" s="339"/>
      <c r="BZ577" s="339"/>
      <c r="CA577" s="339"/>
      <c r="CB577" s="339"/>
      <c r="CC577" s="339"/>
      <c r="CD577" s="339"/>
      <c r="CE577" s="339"/>
      <c r="CF577" s="339"/>
      <c r="CG577" s="339"/>
      <c r="CH577" s="339"/>
      <c r="CI577" s="339"/>
      <c r="CJ577" s="339"/>
      <c r="CK577" s="339"/>
      <c r="CL577" s="339"/>
      <c r="CM577" s="339"/>
      <c r="CN577" s="339"/>
      <c r="CO577" s="339"/>
      <c r="CP577" s="339"/>
      <c r="CQ577" s="339"/>
      <c r="CR577" s="339"/>
      <c r="CS577" s="339"/>
      <c r="CT577" s="339"/>
      <c r="CU577" s="339"/>
      <c r="CV577" s="339"/>
      <c r="CW577" s="339"/>
      <c r="CX577" s="339"/>
      <c r="CY577" s="339"/>
      <c r="CZ577" s="339"/>
      <c r="DA577" s="339"/>
      <c r="DB577" s="339"/>
      <c r="DC577" s="339"/>
      <c r="DD577" s="339"/>
      <c r="DE577" s="339"/>
      <c r="DF577" s="339"/>
      <c r="DG577" s="339"/>
      <c r="DH577" s="339"/>
    </row>
    <row r="578" ht="20.25" customHeight="1">
      <c r="A578" s="351">
        <v>578.0</v>
      </c>
      <c r="B578" s="338" t="s">
        <v>107</v>
      </c>
      <c r="C578" s="338" t="s">
        <v>108</v>
      </c>
      <c r="D578" s="338" t="s">
        <v>983</v>
      </c>
      <c r="E578" s="339"/>
      <c r="F578" s="357" t="s">
        <v>3191</v>
      </c>
      <c r="G578" s="44" t="s">
        <v>3214</v>
      </c>
      <c r="H578" s="44" t="s">
        <v>137</v>
      </c>
      <c r="I578" s="341">
        <v>45489.0</v>
      </c>
      <c r="J578" s="508">
        <v>45636.0</v>
      </c>
      <c r="K578" s="46"/>
      <c r="L578" s="53" t="s">
        <v>3215</v>
      </c>
      <c r="M578" s="44" t="s">
        <v>3174</v>
      </c>
      <c r="N578" s="44" t="s">
        <v>3175</v>
      </c>
      <c r="O578" s="505">
        <v>3.0</v>
      </c>
      <c r="P578" s="48" t="s">
        <v>3176</v>
      </c>
      <c r="Q578" s="101" t="str">
        <f t="array" ref="Q578"> if(iserror(MATCH(V578, 'File Links'!C:C, 0)), "N/A", HYPERLINK(INDEX('File Links'!B:B, MATCH(P578, 'File Links'!C:C, 0))))</f>
        <v>https://drive.google.com/file/d/1BtYypYyY-PzT4y8FLAgHXAyFQwMz4y2O/view?usp=drivesdk</v>
      </c>
      <c r="R578" s="44" t="s">
        <v>3177</v>
      </c>
      <c r="S578" s="44" t="s">
        <v>3178</v>
      </c>
      <c r="T578" s="46"/>
      <c r="U578" s="383">
        <v>3.0</v>
      </c>
      <c r="V578" s="357" t="str">
        <f t="shared" si="35"/>
        <v>10.20982--tqmp.20.1.r001.pdf</v>
      </c>
      <c r="W578" s="44" t="s">
        <v>202</v>
      </c>
      <c r="X578" s="51" t="str">
        <f t="array" ref="X578"> if(iserror(MATCH(V578, 'File Links'!C:C, 0)), "N/A", HYPERLINK(INDEX('File Links'!B:B, MATCH(V578, 'File Links'!C:C, 0))))</f>
        <v>https://drive.google.com/file/d/1vDgLj9eoT-VnSILsFHRQ12VvtSFTsWUV/view?usp=drivesdk</v>
      </c>
      <c r="Y578" s="46"/>
      <c r="Z578" s="44" t="s">
        <v>141</v>
      </c>
      <c r="AA578" s="46" t="s">
        <v>3193</v>
      </c>
      <c r="AB578" s="46" t="s">
        <v>3180</v>
      </c>
      <c r="AC578" s="44" t="s">
        <v>3216</v>
      </c>
      <c r="AD578" s="44" t="s">
        <v>3217</v>
      </c>
      <c r="AE578" s="505">
        <v>6.0</v>
      </c>
      <c r="AF578" s="505">
        <v>24.0</v>
      </c>
      <c r="AG578" s="344" t="s">
        <v>3218</v>
      </c>
      <c r="AH578" s="340" t="s">
        <v>127</v>
      </c>
      <c r="AI578" s="497" t="s">
        <v>175</v>
      </c>
      <c r="AJ578" s="505">
        <v>0.005</v>
      </c>
      <c r="AK578" s="357" t="s">
        <v>128</v>
      </c>
      <c r="AL578" s="44" t="s">
        <v>179</v>
      </c>
      <c r="AM578" s="46" t="s">
        <v>130</v>
      </c>
      <c r="AN578" s="497" t="s">
        <v>131</v>
      </c>
      <c r="AO578" s="505">
        <v>28.0</v>
      </c>
      <c r="AP578" s="46"/>
      <c r="AQ578" s="46"/>
      <c r="AR578" s="46"/>
      <c r="AS578" s="46"/>
      <c r="AT578" s="43"/>
      <c r="AU578" s="43"/>
      <c r="AV578" s="43"/>
      <c r="AW578" s="53" t="s">
        <v>131</v>
      </c>
      <c r="AX578" s="43"/>
      <c r="AY578" s="46"/>
      <c r="AZ578" s="338" t="s">
        <v>685</v>
      </c>
      <c r="BA578" s="339"/>
      <c r="BB578" s="339"/>
      <c r="BC578" s="339"/>
      <c r="BD578" s="339"/>
      <c r="BE578" s="339"/>
      <c r="BF578" s="339"/>
      <c r="BG578" s="339"/>
      <c r="BH578" s="339"/>
      <c r="BI578" s="339"/>
      <c r="BJ578" s="339"/>
      <c r="BK578" s="339"/>
      <c r="BL578" s="339"/>
      <c r="BM578" s="339"/>
      <c r="BN578" s="339"/>
      <c r="BO578" s="339"/>
      <c r="BP578" s="339"/>
      <c r="BQ578" s="339"/>
      <c r="BR578" s="339"/>
      <c r="BS578" s="339"/>
      <c r="BT578" s="339"/>
      <c r="BU578" s="339"/>
      <c r="BV578" s="339"/>
      <c r="BW578" s="339"/>
      <c r="BX578" s="339"/>
      <c r="BY578" s="339"/>
      <c r="BZ578" s="339"/>
      <c r="CA578" s="339"/>
      <c r="CB578" s="339"/>
      <c r="CC578" s="339"/>
      <c r="CD578" s="339"/>
      <c r="CE578" s="339"/>
      <c r="CF578" s="339"/>
      <c r="CG578" s="339"/>
      <c r="CH578" s="339"/>
      <c r="CI578" s="339"/>
      <c r="CJ578" s="339"/>
      <c r="CK578" s="339"/>
      <c r="CL578" s="339"/>
      <c r="CM578" s="339"/>
      <c r="CN578" s="339"/>
      <c r="CO578" s="339"/>
      <c r="CP578" s="339"/>
      <c r="CQ578" s="339"/>
      <c r="CR578" s="339"/>
      <c r="CS578" s="339"/>
      <c r="CT578" s="339"/>
      <c r="CU578" s="339"/>
      <c r="CV578" s="339"/>
      <c r="CW578" s="339"/>
      <c r="CX578" s="339"/>
      <c r="CY578" s="339"/>
      <c r="CZ578" s="339"/>
      <c r="DA578" s="339"/>
      <c r="DB578" s="339"/>
      <c r="DC578" s="339"/>
      <c r="DD578" s="339"/>
      <c r="DE578" s="339"/>
      <c r="DF578" s="339"/>
      <c r="DG578" s="339"/>
      <c r="DH578" s="339"/>
    </row>
    <row r="579" ht="20.25" customHeight="1">
      <c r="A579" s="351">
        <v>579.0</v>
      </c>
      <c r="B579" s="338" t="s">
        <v>145</v>
      </c>
      <c r="C579" s="338" t="s">
        <v>108</v>
      </c>
      <c r="D579" s="338" t="s">
        <v>983</v>
      </c>
      <c r="E579" s="339"/>
      <c r="F579" s="357" t="s">
        <v>3191</v>
      </c>
      <c r="G579" s="44" t="s">
        <v>3219</v>
      </c>
      <c r="H579" s="44" t="s">
        <v>137</v>
      </c>
      <c r="I579" s="341">
        <v>45489.0</v>
      </c>
      <c r="J579" s="508">
        <v>45636.0</v>
      </c>
      <c r="K579" s="46"/>
      <c r="L579" s="53" t="s">
        <v>3206</v>
      </c>
      <c r="M579" s="44" t="s">
        <v>3174</v>
      </c>
      <c r="N579" s="44" t="s">
        <v>3175</v>
      </c>
      <c r="O579" s="505">
        <v>3.0</v>
      </c>
      <c r="P579" s="48" t="s">
        <v>3176</v>
      </c>
      <c r="Q579" s="101" t="str">
        <f t="array" ref="Q579"> if(iserror(MATCH(V579, 'File Links'!C:C, 0)), "N/A", HYPERLINK(INDEX('File Links'!B:B, MATCH(P579, 'File Links'!C:C, 0))))</f>
        <v>https://drive.google.com/file/d/1BtYypYyY-PzT4y8FLAgHXAyFQwMz4y2O/view?usp=drivesdk</v>
      </c>
      <c r="R579" s="44" t="s">
        <v>3177</v>
      </c>
      <c r="S579" s="44" t="s">
        <v>3178</v>
      </c>
      <c r="T579" s="46"/>
      <c r="U579" s="383">
        <v>3.0</v>
      </c>
      <c r="V579" s="357" t="str">
        <f t="shared" si="35"/>
        <v>10.20982--tqmp.20.1.r001.pdf</v>
      </c>
      <c r="W579" s="44" t="s">
        <v>202</v>
      </c>
      <c r="X579" s="51" t="str">
        <f t="array" ref="X579"> if(iserror(MATCH(V579, 'File Links'!C:C, 0)), "N/A", HYPERLINK(INDEX('File Links'!B:B, MATCH(V579, 'File Links'!C:C, 0))))</f>
        <v>https://drive.google.com/file/d/1vDgLj9eoT-VnSILsFHRQ12VvtSFTsWUV/view?usp=drivesdk</v>
      </c>
      <c r="Y579" s="46"/>
      <c r="Z579" s="44" t="s">
        <v>141</v>
      </c>
      <c r="AA579" s="46" t="s">
        <v>3193</v>
      </c>
      <c r="AB579" s="46" t="s">
        <v>3180</v>
      </c>
      <c r="AC579" s="44" t="s">
        <v>3220</v>
      </c>
      <c r="AD579" s="44" t="s">
        <v>3221</v>
      </c>
      <c r="AE579" s="505">
        <v>6.0</v>
      </c>
      <c r="AF579" s="505">
        <v>24.0</v>
      </c>
      <c r="AG579" s="344" t="s">
        <v>3222</v>
      </c>
      <c r="AH579" s="340" t="s">
        <v>127</v>
      </c>
      <c r="AI579" s="497" t="s">
        <v>175</v>
      </c>
      <c r="AJ579" s="505">
        <v>0.001</v>
      </c>
      <c r="AK579" s="357" t="s">
        <v>128</v>
      </c>
      <c r="AL579" s="44" t="s">
        <v>179</v>
      </c>
      <c r="AM579" s="46" t="s">
        <v>130</v>
      </c>
      <c r="AN579" s="497" t="s">
        <v>131</v>
      </c>
      <c r="AO579" s="505">
        <v>28.0</v>
      </c>
      <c r="AP579" s="505">
        <v>0.02</v>
      </c>
      <c r="AQ579" s="44" t="s">
        <v>132</v>
      </c>
      <c r="AR579" s="505">
        <v>5.0</v>
      </c>
      <c r="AS579" s="505">
        <v>0.46</v>
      </c>
      <c r="AT579" s="357" t="s">
        <v>165</v>
      </c>
      <c r="AU579" s="357" t="s">
        <v>179</v>
      </c>
      <c r="AV579" s="43" t="s">
        <v>130</v>
      </c>
      <c r="AW579" s="53" t="s">
        <v>131</v>
      </c>
      <c r="AX579" s="43" t="s">
        <v>136</v>
      </c>
      <c r="AY579" s="46"/>
      <c r="AZ579" s="338" t="s">
        <v>685</v>
      </c>
      <c r="BA579" s="339"/>
      <c r="BB579" s="339"/>
      <c r="BC579" s="339"/>
      <c r="BD579" s="339"/>
      <c r="BE579" s="339"/>
      <c r="BF579" s="339"/>
      <c r="BG579" s="339"/>
      <c r="BH579" s="339"/>
      <c r="BI579" s="339"/>
      <c r="BJ579" s="339"/>
      <c r="BK579" s="339"/>
      <c r="BL579" s="339"/>
      <c r="BM579" s="339"/>
      <c r="BN579" s="339"/>
      <c r="BO579" s="339"/>
      <c r="BP579" s="339"/>
      <c r="BQ579" s="339"/>
      <c r="BR579" s="339"/>
      <c r="BS579" s="339"/>
      <c r="BT579" s="339"/>
      <c r="BU579" s="339"/>
      <c r="BV579" s="339"/>
      <c r="BW579" s="339"/>
      <c r="BX579" s="339"/>
      <c r="BY579" s="339"/>
      <c r="BZ579" s="339"/>
      <c r="CA579" s="339"/>
      <c r="CB579" s="339"/>
      <c r="CC579" s="339"/>
      <c r="CD579" s="339"/>
      <c r="CE579" s="339"/>
      <c r="CF579" s="339"/>
      <c r="CG579" s="339"/>
      <c r="CH579" s="339"/>
      <c r="CI579" s="339"/>
      <c r="CJ579" s="339"/>
      <c r="CK579" s="339"/>
      <c r="CL579" s="339"/>
      <c r="CM579" s="339"/>
      <c r="CN579" s="339"/>
      <c r="CO579" s="339"/>
      <c r="CP579" s="339"/>
      <c r="CQ579" s="339"/>
      <c r="CR579" s="339"/>
      <c r="CS579" s="339"/>
      <c r="CT579" s="339"/>
      <c r="CU579" s="339"/>
      <c r="CV579" s="339"/>
      <c r="CW579" s="339"/>
      <c r="CX579" s="339"/>
      <c r="CY579" s="339"/>
      <c r="CZ579" s="339"/>
      <c r="DA579" s="339"/>
      <c r="DB579" s="339"/>
      <c r="DC579" s="339"/>
      <c r="DD579" s="339"/>
      <c r="DE579" s="339"/>
      <c r="DF579" s="339"/>
      <c r="DG579" s="339"/>
      <c r="DH579" s="339"/>
    </row>
    <row r="580" ht="20.25" customHeight="1">
      <c r="A580" s="351">
        <v>580.0</v>
      </c>
      <c r="B580" s="338" t="s">
        <v>145</v>
      </c>
      <c r="C580" s="338" t="s">
        <v>108</v>
      </c>
      <c r="D580" s="338" t="s">
        <v>983</v>
      </c>
      <c r="E580" s="339"/>
      <c r="F580" s="357" t="s">
        <v>3191</v>
      </c>
      <c r="G580" s="44" t="s">
        <v>3223</v>
      </c>
      <c r="H580" s="44" t="s">
        <v>137</v>
      </c>
      <c r="I580" s="341">
        <v>45489.0</v>
      </c>
      <c r="J580" s="508">
        <v>45636.0</v>
      </c>
      <c r="K580" s="46"/>
      <c r="L580" s="53" t="s">
        <v>3206</v>
      </c>
      <c r="M580" s="44" t="s">
        <v>3174</v>
      </c>
      <c r="N580" s="44" t="s">
        <v>3175</v>
      </c>
      <c r="O580" s="505">
        <v>3.0</v>
      </c>
      <c r="P580" s="48" t="s">
        <v>3176</v>
      </c>
      <c r="Q580" s="101" t="str">
        <f t="array" ref="Q580"> if(iserror(MATCH(V580, 'File Links'!C:C, 0)), "N/A", HYPERLINK(INDEX('File Links'!B:B, MATCH(P580, 'File Links'!C:C, 0))))</f>
        <v>https://drive.google.com/file/d/1BtYypYyY-PzT4y8FLAgHXAyFQwMz4y2O/view?usp=drivesdk</v>
      </c>
      <c r="R580" s="44" t="s">
        <v>3177</v>
      </c>
      <c r="S580" s="44" t="s">
        <v>3178</v>
      </c>
      <c r="T580" s="46"/>
      <c r="U580" s="383">
        <v>3.0</v>
      </c>
      <c r="V580" s="357" t="str">
        <f t="shared" si="35"/>
        <v>10.20982--tqmp.20.1.r001.pdf</v>
      </c>
      <c r="W580" s="44" t="s">
        <v>202</v>
      </c>
      <c r="X580" s="51" t="str">
        <f t="array" ref="X580"> if(iserror(MATCH(V580, 'File Links'!C:C, 0)), "N/A", HYPERLINK(INDEX('File Links'!B:B, MATCH(V580, 'File Links'!C:C, 0))))</f>
        <v>https://drive.google.com/file/d/1vDgLj9eoT-VnSILsFHRQ12VvtSFTsWUV/view?usp=drivesdk</v>
      </c>
      <c r="Y580" s="46"/>
      <c r="Z580" s="44" t="s">
        <v>141</v>
      </c>
      <c r="AA580" s="46" t="s">
        <v>3193</v>
      </c>
      <c r="AB580" s="46" t="s">
        <v>3180</v>
      </c>
      <c r="AC580" s="44" t="s">
        <v>3224</v>
      </c>
      <c r="AD580" s="44" t="s">
        <v>3225</v>
      </c>
      <c r="AE580" s="505">
        <v>6.0</v>
      </c>
      <c r="AF580" s="505">
        <v>24.0</v>
      </c>
      <c r="AG580" s="344" t="s">
        <v>3226</v>
      </c>
      <c r="AH580" s="340" t="s">
        <v>127</v>
      </c>
      <c r="AI580" s="497" t="s">
        <v>175</v>
      </c>
      <c r="AJ580" s="505">
        <v>0.001</v>
      </c>
      <c r="AK580" s="357" t="s">
        <v>128</v>
      </c>
      <c r="AL580" s="44" t="s">
        <v>179</v>
      </c>
      <c r="AM580" s="46" t="s">
        <v>130</v>
      </c>
      <c r="AN580" s="497" t="s">
        <v>131</v>
      </c>
      <c r="AO580" s="505">
        <v>28.0</v>
      </c>
      <c r="AP580" s="505">
        <v>0.28</v>
      </c>
      <c r="AQ580" s="44" t="s">
        <v>132</v>
      </c>
      <c r="AR580" s="505">
        <v>5.0</v>
      </c>
      <c r="AS580" s="505">
        <v>0.004</v>
      </c>
      <c r="AT580" s="357" t="s">
        <v>165</v>
      </c>
      <c r="AU580" s="357" t="s">
        <v>179</v>
      </c>
      <c r="AV580" s="43" t="s">
        <v>130</v>
      </c>
      <c r="AW580" s="53" t="s">
        <v>131</v>
      </c>
      <c r="AX580" s="43" t="s">
        <v>136</v>
      </c>
      <c r="AY580" s="46"/>
      <c r="AZ580" s="338" t="s">
        <v>685</v>
      </c>
      <c r="BA580" s="339"/>
      <c r="BB580" s="339"/>
      <c r="BC580" s="339"/>
      <c r="BD580" s="339"/>
      <c r="BE580" s="339"/>
      <c r="BF580" s="339"/>
      <c r="BG580" s="339"/>
      <c r="BH580" s="339"/>
      <c r="BI580" s="339"/>
      <c r="BJ580" s="339"/>
      <c r="BK580" s="339"/>
      <c r="BL580" s="339"/>
      <c r="BM580" s="339"/>
      <c r="BN580" s="339"/>
      <c r="BO580" s="339"/>
      <c r="BP580" s="339"/>
      <c r="BQ580" s="339"/>
      <c r="BR580" s="339"/>
      <c r="BS580" s="339"/>
      <c r="BT580" s="339"/>
      <c r="BU580" s="339"/>
      <c r="BV580" s="339"/>
      <c r="BW580" s="339"/>
      <c r="BX580" s="339"/>
      <c r="BY580" s="339"/>
      <c r="BZ580" s="339"/>
      <c r="CA580" s="339"/>
      <c r="CB580" s="339"/>
      <c r="CC580" s="339"/>
      <c r="CD580" s="339"/>
      <c r="CE580" s="339"/>
      <c r="CF580" s="339"/>
      <c r="CG580" s="339"/>
      <c r="CH580" s="339"/>
      <c r="CI580" s="339"/>
      <c r="CJ580" s="339"/>
      <c r="CK580" s="339"/>
      <c r="CL580" s="339"/>
      <c r="CM580" s="339"/>
      <c r="CN580" s="339"/>
      <c r="CO580" s="339"/>
      <c r="CP580" s="339"/>
      <c r="CQ580" s="339"/>
      <c r="CR580" s="339"/>
      <c r="CS580" s="339"/>
      <c r="CT580" s="339"/>
      <c r="CU580" s="339"/>
      <c r="CV580" s="339"/>
      <c r="CW580" s="339"/>
      <c r="CX580" s="339"/>
      <c r="CY580" s="339"/>
      <c r="CZ580" s="339"/>
      <c r="DA580" s="339"/>
      <c r="DB580" s="339"/>
      <c r="DC580" s="339"/>
      <c r="DD580" s="339"/>
      <c r="DE580" s="339"/>
      <c r="DF580" s="339"/>
      <c r="DG580" s="339"/>
      <c r="DH580" s="339"/>
    </row>
    <row r="581" ht="20.25" customHeight="1">
      <c r="A581" s="351">
        <v>581.0</v>
      </c>
      <c r="B581" s="338" t="s">
        <v>145</v>
      </c>
      <c r="C581" s="338" t="s">
        <v>108</v>
      </c>
      <c r="D581" s="338" t="s">
        <v>983</v>
      </c>
      <c r="E581" s="339"/>
      <c r="F581" s="357" t="s">
        <v>3191</v>
      </c>
      <c r="G581" s="44" t="s">
        <v>3227</v>
      </c>
      <c r="H581" s="44" t="s">
        <v>137</v>
      </c>
      <c r="I581" s="341">
        <v>45489.0</v>
      </c>
      <c r="J581" s="508">
        <v>45636.0</v>
      </c>
      <c r="K581" s="46"/>
      <c r="L581" s="53" t="s">
        <v>3228</v>
      </c>
      <c r="M581" s="44" t="s">
        <v>3174</v>
      </c>
      <c r="N581" s="44" t="s">
        <v>3175</v>
      </c>
      <c r="O581" s="505">
        <v>4.0</v>
      </c>
      <c r="P581" s="48" t="s">
        <v>3176</v>
      </c>
      <c r="Q581" s="101" t="str">
        <f t="array" ref="Q581"> if(iserror(MATCH(V581, 'File Links'!C:C, 0)), "N/A", HYPERLINK(INDEX('File Links'!B:B, MATCH(P581, 'File Links'!C:C, 0))))</f>
        <v>https://drive.google.com/file/d/1BtYypYyY-PzT4y8FLAgHXAyFQwMz4y2O/view?usp=drivesdk</v>
      </c>
      <c r="R581" s="44" t="s">
        <v>3177</v>
      </c>
      <c r="S581" s="44" t="s">
        <v>3178</v>
      </c>
      <c r="T581" s="46"/>
      <c r="U581" s="383">
        <v>4.0</v>
      </c>
      <c r="V581" s="357" t="str">
        <f t="shared" si="35"/>
        <v>10.20982--tqmp.20.1.r001.pdf</v>
      </c>
      <c r="W581" s="44" t="s">
        <v>202</v>
      </c>
      <c r="X581" s="51" t="str">
        <f t="array" ref="X581"> if(iserror(MATCH(V581, 'File Links'!C:C, 0)), "N/A", HYPERLINK(INDEX('File Links'!B:B, MATCH(V581, 'File Links'!C:C, 0))))</f>
        <v>https://drive.google.com/file/d/1vDgLj9eoT-VnSILsFHRQ12VvtSFTsWUV/view?usp=drivesdk</v>
      </c>
      <c r="Y581" s="46"/>
      <c r="Z581" s="44" t="s">
        <v>141</v>
      </c>
      <c r="AA581" s="46" t="s">
        <v>3193</v>
      </c>
      <c r="AB581" s="46" t="s">
        <v>3180</v>
      </c>
      <c r="AC581" s="44" t="s">
        <v>3229</v>
      </c>
      <c r="AD581" s="44" t="s">
        <v>3230</v>
      </c>
      <c r="AE581" s="505">
        <v>7.0</v>
      </c>
      <c r="AF581" s="505">
        <v>24.0</v>
      </c>
      <c r="AG581" s="344" t="s">
        <v>3231</v>
      </c>
      <c r="AH581" s="340" t="s">
        <v>127</v>
      </c>
      <c r="AI581" s="497" t="s">
        <v>298</v>
      </c>
      <c r="AJ581" s="505">
        <v>0.001</v>
      </c>
      <c r="AK581" s="357" t="s">
        <v>128</v>
      </c>
      <c r="AL581" s="44" t="s">
        <v>211</v>
      </c>
      <c r="AM581" s="46" t="s">
        <v>130</v>
      </c>
      <c r="AN581" s="497" t="s">
        <v>131</v>
      </c>
      <c r="AO581" s="505">
        <v>24.0</v>
      </c>
      <c r="AP581" s="888" t="s">
        <v>3232</v>
      </c>
      <c r="AQ581" s="44" t="s">
        <v>1024</v>
      </c>
      <c r="AR581" s="505">
        <v>6.0</v>
      </c>
      <c r="AS581" s="505">
        <v>0.79</v>
      </c>
      <c r="AT581" s="357" t="s">
        <v>165</v>
      </c>
      <c r="AU581" s="357" t="s">
        <v>179</v>
      </c>
      <c r="AV581" s="43" t="s">
        <v>130</v>
      </c>
      <c r="AW581" s="53" t="s">
        <v>131</v>
      </c>
      <c r="AX581" s="43" t="s">
        <v>136</v>
      </c>
      <c r="AY581" s="53" t="s">
        <v>3197</v>
      </c>
      <c r="AZ581" s="338" t="s">
        <v>685</v>
      </c>
      <c r="BA581" s="339"/>
      <c r="BB581" s="339"/>
      <c r="BC581" s="339"/>
      <c r="BD581" s="339"/>
      <c r="BE581" s="339"/>
      <c r="BF581" s="339"/>
      <c r="BG581" s="339"/>
      <c r="BH581" s="339"/>
      <c r="BI581" s="339"/>
      <c r="BJ581" s="339"/>
      <c r="BK581" s="339"/>
      <c r="BL581" s="339"/>
      <c r="BM581" s="339"/>
      <c r="BN581" s="339"/>
      <c r="BO581" s="339"/>
      <c r="BP581" s="339"/>
      <c r="BQ581" s="339"/>
      <c r="BR581" s="339"/>
      <c r="BS581" s="339"/>
      <c r="BT581" s="339"/>
      <c r="BU581" s="339"/>
      <c r="BV581" s="339"/>
      <c r="BW581" s="339"/>
      <c r="BX581" s="339"/>
      <c r="BY581" s="339"/>
      <c r="BZ581" s="339"/>
      <c r="CA581" s="339"/>
      <c r="CB581" s="339"/>
      <c r="CC581" s="339"/>
      <c r="CD581" s="339"/>
      <c r="CE581" s="339"/>
      <c r="CF581" s="339"/>
      <c r="CG581" s="339"/>
      <c r="CH581" s="339"/>
      <c r="CI581" s="339"/>
      <c r="CJ581" s="339"/>
      <c r="CK581" s="339"/>
      <c r="CL581" s="339"/>
      <c r="CM581" s="339"/>
      <c r="CN581" s="339"/>
      <c r="CO581" s="339"/>
      <c r="CP581" s="339"/>
      <c r="CQ581" s="339"/>
      <c r="CR581" s="339"/>
      <c r="CS581" s="339"/>
      <c r="CT581" s="339"/>
      <c r="CU581" s="339"/>
      <c r="CV581" s="339"/>
      <c r="CW581" s="339"/>
      <c r="CX581" s="339"/>
      <c r="CY581" s="339"/>
      <c r="CZ581" s="339"/>
      <c r="DA581" s="339"/>
      <c r="DB581" s="339"/>
      <c r="DC581" s="339"/>
      <c r="DD581" s="339"/>
      <c r="DE581" s="339"/>
      <c r="DF581" s="339"/>
      <c r="DG581" s="339"/>
      <c r="DH581" s="339"/>
    </row>
    <row r="582" ht="20.25" customHeight="1">
      <c r="A582" s="351">
        <v>582.0</v>
      </c>
      <c r="B582" s="338" t="s">
        <v>145</v>
      </c>
      <c r="C582" s="338" t="s">
        <v>108</v>
      </c>
      <c r="D582" s="338" t="s">
        <v>983</v>
      </c>
      <c r="E582" s="339"/>
      <c r="F582" s="357" t="s">
        <v>3191</v>
      </c>
      <c r="G582" s="44" t="s">
        <v>3233</v>
      </c>
      <c r="H582" s="44" t="s">
        <v>137</v>
      </c>
      <c r="I582" s="341">
        <v>45489.0</v>
      </c>
      <c r="J582" s="508">
        <v>45636.0</v>
      </c>
      <c r="K582" s="46"/>
      <c r="L582" s="53" t="s">
        <v>3228</v>
      </c>
      <c r="M582" s="44" t="s">
        <v>3174</v>
      </c>
      <c r="N582" s="44" t="s">
        <v>3175</v>
      </c>
      <c r="O582" s="505">
        <v>4.0</v>
      </c>
      <c r="P582" s="48" t="s">
        <v>3176</v>
      </c>
      <c r="Q582" s="101" t="str">
        <f t="array" ref="Q582"> if(iserror(MATCH(V582, 'File Links'!C:C, 0)), "N/A", HYPERLINK(INDEX('File Links'!B:B, MATCH(P582, 'File Links'!C:C, 0))))</f>
        <v>https://drive.google.com/file/d/1BtYypYyY-PzT4y8FLAgHXAyFQwMz4y2O/view?usp=drivesdk</v>
      </c>
      <c r="R582" s="44" t="s">
        <v>3177</v>
      </c>
      <c r="S582" s="44" t="s">
        <v>3178</v>
      </c>
      <c r="T582" s="46"/>
      <c r="U582" s="383">
        <v>4.0</v>
      </c>
      <c r="V582" s="357" t="str">
        <f t="shared" si="35"/>
        <v>10.20982--tqmp.20.1.r001.pdf</v>
      </c>
      <c r="W582" s="44" t="s">
        <v>202</v>
      </c>
      <c r="X582" s="51" t="str">
        <f t="array" ref="X582"> if(iserror(MATCH(V582, 'File Links'!C:C, 0)), "N/A", HYPERLINK(INDEX('File Links'!B:B, MATCH(V582, 'File Links'!C:C, 0))))</f>
        <v>https://drive.google.com/file/d/1vDgLj9eoT-VnSILsFHRQ12VvtSFTsWUV/view?usp=drivesdk</v>
      </c>
      <c r="Y582" s="46"/>
      <c r="Z582" s="44" t="s">
        <v>141</v>
      </c>
      <c r="AA582" s="46" t="s">
        <v>3193</v>
      </c>
      <c r="AB582" s="46" t="s">
        <v>3180</v>
      </c>
      <c r="AC582" s="44" t="s">
        <v>3234</v>
      </c>
      <c r="AD582" s="44" t="s">
        <v>3235</v>
      </c>
      <c r="AE582" s="505">
        <v>7.0</v>
      </c>
      <c r="AF582" s="505">
        <v>24.0</v>
      </c>
      <c r="AG582" s="344" t="s">
        <v>3236</v>
      </c>
      <c r="AH582" s="340" t="s">
        <v>127</v>
      </c>
      <c r="AI582" s="497" t="s">
        <v>298</v>
      </c>
      <c r="AJ582" s="505">
        <v>0.001</v>
      </c>
      <c r="AK582" s="357" t="s">
        <v>128</v>
      </c>
      <c r="AL582" s="44" t="s">
        <v>211</v>
      </c>
      <c r="AM582" s="46" t="s">
        <v>130</v>
      </c>
      <c r="AN582" s="497" t="s">
        <v>131</v>
      </c>
      <c r="AO582" s="505">
        <v>24.0</v>
      </c>
      <c r="AP582" s="888" t="s">
        <v>3237</v>
      </c>
      <c r="AQ582" s="44" t="s">
        <v>1024</v>
      </c>
      <c r="AR582" s="505">
        <v>6.0</v>
      </c>
      <c r="AS582" s="505">
        <v>0.001</v>
      </c>
      <c r="AT582" s="357" t="s">
        <v>128</v>
      </c>
      <c r="AU582" s="357" t="s">
        <v>179</v>
      </c>
      <c r="AV582" s="43" t="s">
        <v>130</v>
      </c>
      <c r="AW582" s="53" t="s">
        <v>131</v>
      </c>
      <c r="AX582" s="43" t="s">
        <v>136</v>
      </c>
      <c r="AY582" s="53" t="s">
        <v>3197</v>
      </c>
      <c r="AZ582" s="338" t="s">
        <v>685</v>
      </c>
      <c r="BA582" s="339"/>
      <c r="BB582" s="339"/>
      <c r="BC582" s="339"/>
      <c r="BD582" s="339"/>
      <c r="BE582" s="339"/>
      <c r="BF582" s="339"/>
      <c r="BG582" s="339"/>
      <c r="BH582" s="339"/>
      <c r="BI582" s="339"/>
      <c r="BJ582" s="339"/>
      <c r="BK582" s="339"/>
      <c r="BL582" s="339"/>
      <c r="BM582" s="339"/>
      <c r="BN582" s="339"/>
      <c r="BO582" s="339"/>
      <c r="BP582" s="339"/>
      <c r="BQ582" s="339"/>
      <c r="BR582" s="339"/>
      <c r="BS582" s="339"/>
      <c r="BT582" s="339"/>
      <c r="BU582" s="339"/>
      <c r="BV582" s="339"/>
      <c r="BW582" s="339"/>
      <c r="BX582" s="339"/>
      <c r="BY582" s="339"/>
      <c r="BZ582" s="339"/>
      <c r="CA582" s="339"/>
      <c r="CB582" s="339"/>
      <c r="CC582" s="339"/>
      <c r="CD582" s="339"/>
      <c r="CE582" s="339"/>
      <c r="CF582" s="339"/>
      <c r="CG582" s="339"/>
      <c r="CH582" s="339"/>
      <c r="CI582" s="339"/>
      <c r="CJ582" s="339"/>
      <c r="CK582" s="339"/>
      <c r="CL582" s="339"/>
      <c r="CM582" s="339"/>
      <c r="CN582" s="339"/>
      <c r="CO582" s="339"/>
      <c r="CP582" s="339"/>
      <c r="CQ582" s="339"/>
      <c r="CR582" s="339"/>
      <c r="CS582" s="339"/>
      <c r="CT582" s="339"/>
      <c r="CU582" s="339"/>
      <c r="CV582" s="339"/>
      <c r="CW582" s="339"/>
      <c r="CX582" s="339"/>
      <c r="CY582" s="339"/>
      <c r="CZ582" s="339"/>
      <c r="DA582" s="339"/>
      <c r="DB582" s="339"/>
      <c r="DC582" s="339"/>
      <c r="DD582" s="339"/>
      <c r="DE582" s="339"/>
      <c r="DF582" s="339"/>
      <c r="DG582" s="339"/>
      <c r="DH582" s="339"/>
    </row>
    <row r="583" ht="20.25" customHeight="1">
      <c r="A583" s="351">
        <v>583.0</v>
      </c>
      <c r="B583" s="338" t="s">
        <v>145</v>
      </c>
      <c r="C583" s="338" t="s">
        <v>108</v>
      </c>
      <c r="D583" s="338" t="s">
        <v>983</v>
      </c>
      <c r="E583" s="339"/>
      <c r="F583" s="357" t="s">
        <v>3191</v>
      </c>
      <c r="G583" s="44" t="s">
        <v>3238</v>
      </c>
      <c r="H583" s="44" t="s">
        <v>137</v>
      </c>
      <c r="I583" s="341">
        <v>45489.0</v>
      </c>
      <c r="J583" s="508">
        <v>45636.0</v>
      </c>
      <c r="K583" s="46"/>
      <c r="L583" s="53" t="s">
        <v>3239</v>
      </c>
      <c r="M583" s="44" t="s">
        <v>3174</v>
      </c>
      <c r="N583" s="44" t="s">
        <v>3175</v>
      </c>
      <c r="O583" s="505">
        <v>4.0</v>
      </c>
      <c r="P583" s="48" t="s">
        <v>3176</v>
      </c>
      <c r="Q583" s="101" t="str">
        <f t="array" ref="Q583"> if(iserror(MATCH(V583, 'File Links'!C:C, 0)), "N/A", HYPERLINK(INDEX('File Links'!B:B, MATCH(P583, 'File Links'!C:C, 0))))</f>
        <v>https://drive.google.com/file/d/1BtYypYyY-PzT4y8FLAgHXAyFQwMz4y2O/view?usp=drivesdk</v>
      </c>
      <c r="R583" s="44" t="s">
        <v>3177</v>
      </c>
      <c r="S583" s="44" t="s">
        <v>3178</v>
      </c>
      <c r="T583" s="46"/>
      <c r="U583" s="383">
        <v>4.0</v>
      </c>
      <c r="V583" s="357" t="str">
        <f t="shared" si="35"/>
        <v>10.20982--tqmp.20.1.r001.pdf</v>
      </c>
      <c r="W583" s="44" t="s">
        <v>202</v>
      </c>
      <c r="X583" s="51" t="str">
        <f t="array" ref="X583"> if(iserror(MATCH(V583, 'File Links'!C:C, 0)), "N/A", HYPERLINK(INDEX('File Links'!B:B, MATCH(V583, 'File Links'!C:C, 0))))</f>
        <v>https://drive.google.com/file/d/1vDgLj9eoT-VnSILsFHRQ12VvtSFTsWUV/view?usp=drivesdk</v>
      </c>
      <c r="Y583" s="46"/>
      <c r="Z583" s="44" t="s">
        <v>141</v>
      </c>
      <c r="AA583" s="46" t="s">
        <v>3193</v>
      </c>
      <c r="AB583" s="46" t="s">
        <v>3180</v>
      </c>
      <c r="AC583" s="44" t="s">
        <v>3240</v>
      </c>
      <c r="AD583" s="44" t="s">
        <v>3241</v>
      </c>
      <c r="AE583" s="505">
        <v>7.0</v>
      </c>
      <c r="AF583" s="505">
        <v>24.0</v>
      </c>
      <c r="AG583" s="344" t="s">
        <v>3242</v>
      </c>
      <c r="AH583" s="340" t="s">
        <v>127</v>
      </c>
      <c r="AI583" s="497" t="s">
        <v>298</v>
      </c>
      <c r="AJ583" s="505">
        <v>0.001</v>
      </c>
      <c r="AK583" s="357" t="s">
        <v>128</v>
      </c>
      <c r="AL583" s="44" t="s">
        <v>211</v>
      </c>
      <c r="AM583" s="46" t="s">
        <v>130</v>
      </c>
      <c r="AN583" s="497" t="s">
        <v>131</v>
      </c>
      <c r="AO583" s="505">
        <v>24.0</v>
      </c>
      <c r="AP583" s="888" t="s">
        <v>3243</v>
      </c>
      <c r="AQ583" s="44" t="s">
        <v>1024</v>
      </c>
      <c r="AR583" s="505">
        <v>7.0</v>
      </c>
      <c r="AS583" s="505">
        <v>0.54</v>
      </c>
      <c r="AT583" s="357" t="s">
        <v>165</v>
      </c>
      <c r="AU583" s="357" t="s">
        <v>179</v>
      </c>
      <c r="AV583" s="43" t="s">
        <v>130</v>
      </c>
      <c r="AW583" s="53" t="s">
        <v>131</v>
      </c>
      <c r="AX583" s="43" t="s">
        <v>136</v>
      </c>
      <c r="AY583" s="53" t="s">
        <v>3197</v>
      </c>
      <c r="AZ583" s="338" t="s">
        <v>685</v>
      </c>
      <c r="BA583" s="339"/>
      <c r="BB583" s="339"/>
      <c r="BC583" s="339"/>
      <c r="BD583" s="339"/>
      <c r="BE583" s="339"/>
      <c r="BF583" s="339"/>
      <c r="BG583" s="339"/>
      <c r="BH583" s="339"/>
      <c r="BI583" s="339"/>
      <c r="BJ583" s="339"/>
      <c r="BK583" s="339"/>
      <c r="BL583" s="339"/>
      <c r="BM583" s="339"/>
      <c r="BN583" s="339"/>
      <c r="BO583" s="339"/>
      <c r="BP583" s="339"/>
      <c r="BQ583" s="339"/>
      <c r="BR583" s="339"/>
      <c r="BS583" s="339"/>
      <c r="BT583" s="339"/>
      <c r="BU583" s="339"/>
      <c r="BV583" s="339"/>
      <c r="BW583" s="339"/>
      <c r="BX583" s="339"/>
      <c r="BY583" s="339"/>
      <c r="BZ583" s="339"/>
      <c r="CA583" s="339"/>
      <c r="CB583" s="339"/>
      <c r="CC583" s="339"/>
      <c r="CD583" s="339"/>
      <c r="CE583" s="339"/>
      <c r="CF583" s="339"/>
      <c r="CG583" s="339"/>
      <c r="CH583" s="339"/>
      <c r="CI583" s="339"/>
      <c r="CJ583" s="339"/>
      <c r="CK583" s="339"/>
      <c r="CL583" s="339"/>
      <c r="CM583" s="339"/>
      <c r="CN583" s="339"/>
      <c r="CO583" s="339"/>
      <c r="CP583" s="339"/>
      <c r="CQ583" s="339"/>
      <c r="CR583" s="339"/>
      <c r="CS583" s="339"/>
      <c r="CT583" s="339"/>
      <c r="CU583" s="339"/>
      <c r="CV583" s="339"/>
      <c r="CW583" s="339"/>
      <c r="CX583" s="339"/>
      <c r="CY583" s="339"/>
      <c r="CZ583" s="339"/>
      <c r="DA583" s="339"/>
      <c r="DB583" s="339"/>
      <c r="DC583" s="339"/>
      <c r="DD583" s="339"/>
      <c r="DE583" s="339"/>
      <c r="DF583" s="339"/>
      <c r="DG583" s="339"/>
      <c r="DH583" s="339"/>
    </row>
    <row r="584" ht="20.25" customHeight="1">
      <c r="A584" s="351">
        <v>584.0</v>
      </c>
      <c r="B584" s="338" t="s">
        <v>145</v>
      </c>
      <c r="C584" s="338" t="s">
        <v>108</v>
      </c>
      <c r="D584" s="338" t="s">
        <v>983</v>
      </c>
      <c r="E584" s="339"/>
      <c r="F584" s="357" t="s">
        <v>3191</v>
      </c>
      <c r="G584" s="44" t="s">
        <v>3244</v>
      </c>
      <c r="H584" s="44" t="s">
        <v>137</v>
      </c>
      <c r="I584" s="341">
        <v>45489.0</v>
      </c>
      <c r="J584" s="508">
        <v>45636.0</v>
      </c>
      <c r="K584" s="46"/>
      <c r="L584" s="53" t="s">
        <v>3239</v>
      </c>
      <c r="M584" s="44" t="s">
        <v>3174</v>
      </c>
      <c r="N584" s="44" t="s">
        <v>3175</v>
      </c>
      <c r="O584" s="505">
        <v>5.0</v>
      </c>
      <c r="P584" s="48" t="s">
        <v>3176</v>
      </c>
      <c r="Q584" s="101" t="str">
        <f t="array" ref="Q584"> if(iserror(MATCH(V584, 'File Links'!C:C, 0)), "N/A", HYPERLINK(INDEX('File Links'!B:B, MATCH(P584, 'File Links'!C:C, 0))))</f>
        <v>https://drive.google.com/file/d/1BtYypYyY-PzT4y8FLAgHXAyFQwMz4y2O/view?usp=drivesdk</v>
      </c>
      <c r="R584" s="44" t="s">
        <v>3177</v>
      </c>
      <c r="S584" s="44" t="s">
        <v>3178</v>
      </c>
      <c r="T584" s="46"/>
      <c r="U584" s="383">
        <v>5.0</v>
      </c>
      <c r="V584" s="357" t="str">
        <f t="shared" si="35"/>
        <v>10.20982--tqmp.20.1.r001.pdf</v>
      </c>
      <c r="W584" s="44" t="s">
        <v>202</v>
      </c>
      <c r="X584" s="51" t="str">
        <f t="array" ref="X584"> if(iserror(MATCH(V584, 'File Links'!C:C, 0)), "N/A", HYPERLINK(INDEX('File Links'!B:B, MATCH(V584, 'File Links'!C:C, 0))))</f>
        <v>https://drive.google.com/file/d/1vDgLj9eoT-VnSILsFHRQ12VvtSFTsWUV/view?usp=drivesdk</v>
      </c>
      <c r="Y584" s="46"/>
      <c r="Z584" s="44" t="s">
        <v>141</v>
      </c>
      <c r="AA584" s="46" t="s">
        <v>3193</v>
      </c>
      <c r="AB584" s="46" t="s">
        <v>3180</v>
      </c>
      <c r="AC584" s="44" t="s">
        <v>3245</v>
      </c>
      <c r="AD584" s="44" t="s">
        <v>3246</v>
      </c>
      <c r="AE584" s="505">
        <v>8.0</v>
      </c>
      <c r="AF584" s="505">
        <v>24.0</v>
      </c>
      <c r="AG584" s="344" t="s">
        <v>3247</v>
      </c>
      <c r="AH584" s="340" t="s">
        <v>127</v>
      </c>
      <c r="AI584" s="497" t="s">
        <v>3248</v>
      </c>
      <c r="AJ584" s="505">
        <v>0.001</v>
      </c>
      <c r="AK584" s="357" t="s">
        <v>128</v>
      </c>
      <c r="AL584" s="44" t="s">
        <v>211</v>
      </c>
      <c r="AM584" s="46" t="s">
        <v>130</v>
      </c>
      <c r="AN584" s="497" t="s">
        <v>131</v>
      </c>
      <c r="AO584" s="505">
        <v>24.0</v>
      </c>
      <c r="AP584" s="888" t="s">
        <v>3249</v>
      </c>
      <c r="AQ584" s="44" t="s">
        <v>1024</v>
      </c>
      <c r="AR584" s="505">
        <v>7.0</v>
      </c>
      <c r="AS584" s="505">
        <v>0.001</v>
      </c>
      <c r="AT584" s="357" t="s">
        <v>128</v>
      </c>
      <c r="AU584" s="357" t="s">
        <v>179</v>
      </c>
      <c r="AV584" s="43" t="s">
        <v>130</v>
      </c>
      <c r="AW584" s="53" t="s">
        <v>131</v>
      </c>
      <c r="AX584" s="43" t="s">
        <v>136</v>
      </c>
      <c r="AY584" s="53" t="s">
        <v>3197</v>
      </c>
      <c r="AZ584" s="338" t="s">
        <v>685</v>
      </c>
      <c r="BA584" s="339"/>
      <c r="BB584" s="339"/>
      <c r="BC584" s="339"/>
      <c r="BD584" s="339"/>
      <c r="BE584" s="339"/>
      <c r="BF584" s="339"/>
      <c r="BG584" s="339"/>
      <c r="BH584" s="339"/>
      <c r="BI584" s="339"/>
      <c r="BJ584" s="339"/>
      <c r="BK584" s="339"/>
      <c r="BL584" s="339"/>
      <c r="BM584" s="339"/>
      <c r="BN584" s="339"/>
      <c r="BO584" s="339"/>
      <c r="BP584" s="339"/>
      <c r="BQ584" s="339"/>
      <c r="BR584" s="339"/>
      <c r="BS584" s="339"/>
      <c r="BT584" s="339"/>
      <c r="BU584" s="339"/>
      <c r="BV584" s="339"/>
      <c r="BW584" s="339"/>
      <c r="BX584" s="339"/>
      <c r="BY584" s="339"/>
      <c r="BZ584" s="339"/>
      <c r="CA584" s="339"/>
      <c r="CB584" s="339"/>
      <c r="CC584" s="339"/>
      <c r="CD584" s="339"/>
      <c r="CE584" s="339"/>
      <c r="CF584" s="339"/>
      <c r="CG584" s="339"/>
      <c r="CH584" s="339"/>
      <c r="CI584" s="339"/>
      <c r="CJ584" s="339"/>
      <c r="CK584" s="339"/>
      <c r="CL584" s="339"/>
      <c r="CM584" s="339"/>
      <c r="CN584" s="339"/>
      <c r="CO584" s="339"/>
      <c r="CP584" s="339"/>
      <c r="CQ584" s="339"/>
      <c r="CR584" s="339"/>
      <c r="CS584" s="339"/>
      <c r="CT584" s="339"/>
      <c r="CU584" s="339"/>
      <c r="CV584" s="339"/>
      <c r="CW584" s="339"/>
      <c r="CX584" s="339"/>
      <c r="CY584" s="339"/>
      <c r="CZ584" s="339"/>
      <c r="DA584" s="339"/>
      <c r="DB584" s="339"/>
      <c r="DC584" s="339"/>
      <c r="DD584" s="339"/>
      <c r="DE584" s="339"/>
      <c r="DF584" s="339"/>
      <c r="DG584" s="339"/>
      <c r="DH584" s="339"/>
    </row>
    <row r="585" ht="20.25" customHeight="1">
      <c r="A585" s="351">
        <v>585.0</v>
      </c>
      <c r="B585" s="338" t="s">
        <v>145</v>
      </c>
      <c r="C585" s="338" t="s">
        <v>108</v>
      </c>
      <c r="D585" s="338" t="s">
        <v>983</v>
      </c>
      <c r="E585" s="339"/>
      <c r="F585" s="357" t="s">
        <v>3191</v>
      </c>
      <c r="G585" s="44" t="s">
        <v>3250</v>
      </c>
      <c r="H585" s="44" t="s">
        <v>137</v>
      </c>
      <c r="I585" s="341">
        <v>45489.0</v>
      </c>
      <c r="J585" s="508">
        <v>45636.0</v>
      </c>
      <c r="K585" s="46"/>
      <c r="L585" s="53" t="s">
        <v>3239</v>
      </c>
      <c r="M585" s="44" t="s">
        <v>3174</v>
      </c>
      <c r="N585" s="44" t="s">
        <v>3175</v>
      </c>
      <c r="O585" s="505">
        <v>5.0</v>
      </c>
      <c r="P585" s="48" t="s">
        <v>3176</v>
      </c>
      <c r="Q585" s="101" t="str">
        <f t="array" ref="Q585"> if(iserror(MATCH(V585, 'File Links'!C:C, 0)), "N/A", HYPERLINK(INDEX('File Links'!B:B, MATCH(P585, 'File Links'!C:C, 0))))</f>
        <v>https://drive.google.com/file/d/1BtYypYyY-PzT4y8FLAgHXAyFQwMz4y2O/view?usp=drivesdk</v>
      </c>
      <c r="R585" s="44" t="s">
        <v>3177</v>
      </c>
      <c r="S585" s="44" t="s">
        <v>3178</v>
      </c>
      <c r="T585" s="46"/>
      <c r="U585" s="383">
        <v>5.0</v>
      </c>
      <c r="V585" s="357" t="str">
        <f t="shared" si="35"/>
        <v>10.20982--tqmp.20.1.r001.pdf</v>
      </c>
      <c r="W585" s="44" t="s">
        <v>202</v>
      </c>
      <c r="X585" s="51" t="str">
        <f t="array" ref="X585"> if(iserror(MATCH(V585, 'File Links'!C:C, 0)), "N/A", HYPERLINK(INDEX('File Links'!B:B, MATCH(V585, 'File Links'!C:C, 0))))</f>
        <v>https://drive.google.com/file/d/1vDgLj9eoT-VnSILsFHRQ12VvtSFTsWUV/view?usp=drivesdk</v>
      </c>
      <c r="Y585" s="46"/>
      <c r="Z585" s="44" t="s">
        <v>141</v>
      </c>
      <c r="AA585" s="46" t="s">
        <v>3193</v>
      </c>
      <c r="AB585" s="46" t="s">
        <v>3180</v>
      </c>
      <c r="AC585" s="44" t="s">
        <v>3251</v>
      </c>
      <c r="AD585" s="44" t="s">
        <v>3252</v>
      </c>
      <c r="AE585" s="505">
        <v>8.0</v>
      </c>
      <c r="AF585" s="505">
        <v>24.0</v>
      </c>
      <c r="AG585" s="344" t="s">
        <v>3253</v>
      </c>
      <c r="AH585" s="340" t="s">
        <v>127</v>
      </c>
      <c r="AI585" s="497" t="s">
        <v>3248</v>
      </c>
      <c r="AJ585" s="505">
        <v>0.001</v>
      </c>
      <c r="AK585" s="357" t="s">
        <v>128</v>
      </c>
      <c r="AL585" s="44" t="s">
        <v>211</v>
      </c>
      <c r="AM585" s="46" t="s">
        <v>130</v>
      </c>
      <c r="AN585" s="497" t="s">
        <v>131</v>
      </c>
      <c r="AO585" s="505">
        <v>24.0</v>
      </c>
      <c r="AP585" s="888" t="s">
        <v>3254</v>
      </c>
      <c r="AQ585" s="44" t="s">
        <v>1024</v>
      </c>
      <c r="AR585" s="505">
        <v>8.0</v>
      </c>
      <c r="AS585" s="505">
        <v>0.37</v>
      </c>
      <c r="AT585" s="357" t="s">
        <v>165</v>
      </c>
      <c r="AU585" s="357" t="s">
        <v>179</v>
      </c>
      <c r="AV585" s="43" t="s">
        <v>130</v>
      </c>
      <c r="AW585" s="53" t="s">
        <v>131</v>
      </c>
      <c r="AX585" s="43" t="s">
        <v>136</v>
      </c>
      <c r="AY585" s="53" t="s">
        <v>3197</v>
      </c>
      <c r="AZ585" s="338" t="s">
        <v>685</v>
      </c>
      <c r="BA585" s="339"/>
      <c r="BB585" s="339"/>
      <c r="BC585" s="339"/>
      <c r="BD585" s="339"/>
      <c r="BE585" s="339"/>
      <c r="BF585" s="339"/>
      <c r="BG585" s="339"/>
      <c r="BH585" s="339"/>
      <c r="BI585" s="339"/>
      <c r="BJ585" s="339"/>
      <c r="BK585" s="339"/>
      <c r="BL585" s="339"/>
      <c r="BM585" s="339"/>
      <c r="BN585" s="339"/>
      <c r="BO585" s="339"/>
      <c r="BP585" s="339"/>
      <c r="BQ585" s="339"/>
      <c r="BR585" s="339"/>
      <c r="BS585" s="339"/>
      <c r="BT585" s="339"/>
      <c r="BU585" s="339"/>
      <c r="BV585" s="339"/>
      <c r="BW585" s="339"/>
      <c r="BX585" s="339"/>
      <c r="BY585" s="339"/>
      <c r="BZ585" s="339"/>
      <c r="CA585" s="339"/>
      <c r="CB585" s="339"/>
      <c r="CC585" s="339"/>
      <c r="CD585" s="339"/>
      <c r="CE585" s="339"/>
      <c r="CF585" s="339"/>
      <c r="CG585" s="339"/>
      <c r="CH585" s="339"/>
      <c r="CI585" s="339"/>
      <c r="CJ585" s="339"/>
      <c r="CK585" s="339"/>
      <c r="CL585" s="339"/>
      <c r="CM585" s="339"/>
      <c r="CN585" s="339"/>
      <c r="CO585" s="339"/>
      <c r="CP585" s="339"/>
      <c r="CQ585" s="339"/>
      <c r="CR585" s="339"/>
      <c r="CS585" s="339"/>
      <c r="CT585" s="339"/>
      <c r="CU585" s="339"/>
      <c r="CV585" s="339"/>
      <c r="CW585" s="339"/>
      <c r="CX585" s="339"/>
      <c r="CY585" s="339"/>
      <c r="CZ585" s="339"/>
      <c r="DA585" s="339"/>
      <c r="DB585" s="339"/>
      <c r="DC585" s="339"/>
      <c r="DD585" s="339"/>
      <c r="DE585" s="339"/>
      <c r="DF585" s="339"/>
      <c r="DG585" s="339"/>
      <c r="DH585" s="339"/>
    </row>
    <row r="586" ht="20.25" customHeight="1">
      <c r="A586" s="351">
        <v>586.0</v>
      </c>
      <c r="B586" s="338" t="s">
        <v>145</v>
      </c>
      <c r="C586" s="338" t="s">
        <v>108</v>
      </c>
      <c r="D586" s="338" t="s">
        <v>983</v>
      </c>
      <c r="E586" s="339"/>
      <c r="F586" s="357" t="s">
        <v>3191</v>
      </c>
      <c r="G586" s="44" t="s">
        <v>3255</v>
      </c>
      <c r="H586" s="44" t="s">
        <v>137</v>
      </c>
      <c r="I586" s="341">
        <v>45489.0</v>
      </c>
      <c r="J586" s="508">
        <v>45636.0</v>
      </c>
      <c r="K586" s="46"/>
      <c r="L586" s="53" t="s">
        <v>3239</v>
      </c>
      <c r="M586" s="44" t="s">
        <v>3174</v>
      </c>
      <c r="N586" s="44" t="s">
        <v>3175</v>
      </c>
      <c r="O586" s="505">
        <v>5.0</v>
      </c>
      <c r="P586" s="48" t="s">
        <v>3176</v>
      </c>
      <c r="Q586" s="101" t="str">
        <f t="array" ref="Q586"> if(iserror(MATCH(V586, 'File Links'!C:C, 0)), "N/A", HYPERLINK(INDEX('File Links'!B:B, MATCH(P586, 'File Links'!C:C, 0))))</f>
        <v>https://drive.google.com/file/d/1BtYypYyY-PzT4y8FLAgHXAyFQwMz4y2O/view?usp=drivesdk</v>
      </c>
      <c r="R586" s="44" t="s">
        <v>3177</v>
      </c>
      <c r="S586" s="44" t="s">
        <v>3178</v>
      </c>
      <c r="T586" s="46"/>
      <c r="U586" s="383">
        <v>5.0</v>
      </c>
      <c r="V586" s="357" t="str">
        <f t="shared" si="35"/>
        <v>10.20982--tqmp.20.1.r001.pdf</v>
      </c>
      <c r="W586" s="44" t="s">
        <v>202</v>
      </c>
      <c r="X586" s="51" t="str">
        <f t="array" ref="X586"> if(iserror(MATCH(V586, 'File Links'!C:C, 0)), "N/A", HYPERLINK(INDEX('File Links'!B:B, MATCH(V586, 'File Links'!C:C, 0))))</f>
        <v>https://drive.google.com/file/d/1vDgLj9eoT-VnSILsFHRQ12VvtSFTsWUV/view?usp=drivesdk</v>
      </c>
      <c r="Y586" s="46"/>
      <c r="Z586" s="44" t="s">
        <v>141</v>
      </c>
      <c r="AA586" s="46" t="s">
        <v>3193</v>
      </c>
      <c r="AB586" s="46" t="s">
        <v>3180</v>
      </c>
      <c r="AC586" s="44" t="s">
        <v>3256</v>
      </c>
      <c r="AD586" s="44" t="s">
        <v>3257</v>
      </c>
      <c r="AE586" s="505">
        <v>8.0</v>
      </c>
      <c r="AF586" s="505">
        <v>24.0</v>
      </c>
      <c r="AG586" s="344" t="s">
        <v>3258</v>
      </c>
      <c r="AH586" s="340" t="s">
        <v>127</v>
      </c>
      <c r="AI586" s="497" t="s">
        <v>3248</v>
      </c>
      <c r="AJ586" s="505">
        <v>0.02</v>
      </c>
      <c r="AK586" s="357" t="s">
        <v>128</v>
      </c>
      <c r="AL586" s="44" t="s">
        <v>211</v>
      </c>
      <c r="AM586" s="46" t="s">
        <v>130</v>
      </c>
      <c r="AN586" s="497" t="s">
        <v>131</v>
      </c>
      <c r="AO586" s="505">
        <v>24.0</v>
      </c>
      <c r="AP586" s="888" t="s">
        <v>3259</v>
      </c>
      <c r="AQ586" s="44" t="s">
        <v>1024</v>
      </c>
      <c r="AR586" s="505">
        <v>8.0</v>
      </c>
      <c r="AS586" s="505">
        <v>0.42</v>
      </c>
      <c r="AT586" s="357" t="s">
        <v>165</v>
      </c>
      <c r="AU586" s="357" t="s">
        <v>179</v>
      </c>
      <c r="AV586" s="43" t="s">
        <v>130</v>
      </c>
      <c r="AW586" s="53" t="s">
        <v>131</v>
      </c>
      <c r="AX586" s="43" t="s">
        <v>136</v>
      </c>
      <c r="AY586" s="53" t="s">
        <v>3197</v>
      </c>
      <c r="AZ586" s="338" t="s">
        <v>685</v>
      </c>
      <c r="BA586" s="339"/>
      <c r="BB586" s="339"/>
      <c r="BC586" s="339"/>
      <c r="BD586" s="339"/>
      <c r="BE586" s="339"/>
      <c r="BF586" s="339"/>
      <c r="BG586" s="339"/>
      <c r="BH586" s="339"/>
      <c r="BI586" s="339"/>
      <c r="BJ586" s="339"/>
      <c r="BK586" s="339"/>
      <c r="BL586" s="339"/>
      <c r="BM586" s="339"/>
      <c r="BN586" s="339"/>
      <c r="BO586" s="339"/>
      <c r="BP586" s="339"/>
      <c r="BQ586" s="339"/>
      <c r="BR586" s="339"/>
      <c r="BS586" s="339"/>
      <c r="BT586" s="339"/>
      <c r="BU586" s="339"/>
      <c r="BV586" s="339"/>
      <c r="BW586" s="339"/>
      <c r="BX586" s="339"/>
      <c r="BY586" s="339"/>
      <c r="BZ586" s="339"/>
      <c r="CA586" s="339"/>
      <c r="CB586" s="339"/>
      <c r="CC586" s="339"/>
      <c r="CD586" s="339"/>
      <c r="CE586" s="339"/>
      <c r="CF586" s="339"/>
      <c r="CG586" s="339"/>
      <c r="CH586" s="339"/>
      <c r="CI586" s="339"/>
      <c r="CJ586" s="339"/>
      <c r="CK586" s="339"/>
      <c r="CL586" s="339"/>
      <c r="CM586" s="339"/>
      <c r="CN586" s="339"/>
      <c r="CO586" s="339"/>
      <c r="CP586" s="339"/>
      <c r="CQ586" s="339"/>
      <c r="CR586" s="339"/>
      <c r="CS586" s="339"/>
      <c r="CT586" s="339"/>
      <c r="CU586" s="339"/>
      <c r="CV586" s="339"/>
      <c r="CW586" s="339"/>
      <c r="CX586" s="339"/>
      <c r="CY586" s="339"/>
      <c r="CZ586" s="339"/>
      <c r="DA586" s="339"/>
      <c r="DB586" s="339"/>
      <c r="DC586" s="339"/>
      <c r="DD586" s="339"/>
      <c r="DE586" s="339"/>
      <c r="DF586" s="339"/>
      <c r="DG586" s="339"/>
      <c r="DH586" s="339"/>
    </row>
    <row r="587" ht="20.25" customHeight="1">
      <c r="A587" s="71">
        <v>587.0</v>
      </c>
      <c r="B587" s="70" t="s">
        <v>145</v>
      </c>
      <c r="C587" s="70" t="s">
        <v>108</v>
      </c>
      <c r="D587" s="70" t="s">
        <v>2923</v>
      </c>
      <c r="E587" s="71"/>
      <c r="F587" s="90" t="s">
        <v>3260</v>
      </c>
      <c r="G587" s="70" t="s">
        <v>3261</v>
      </c>
      <c r="H587" s="70" t="s">
        <v>2926</v>
      </c>
      <c r="I587" s="889">
        <v>45489.0</v>
      </c>
      <c r="J587" s="889">
        <v>45635.0</v>
      </c>
      <c r="K587" s="70" t="s">
        <v>3262</v>
      </c>
      <c r="L587" s="71"/>
      <c r="M587" s="70" t="s">
        <v>3263</v>
      </c>
      <c r="N587" s="70" t="s">
        <v>3264</v>
      </c>
      <c r="O587" s="70">
        <v>1.0</v>
      </c>
      <c r="P587" s="70" t="s">
        <v>3265</v>
      </c>
      <c r="Q587" s="890" t="str">
        <f t="array" ref="Q587"> if(iserror(MATCH(V587, 'File Links'!C:C, 0)), "N/A", HYPERLINK(INDEX('File Links'!B:B, MATCH(P587, 'File Links'!C:C, 0))))</f>
        <v>https://drive.google.com/file/d/1UoK9lGyVfG2aSVu9UX62d1KXmmkZeMsj/view?usp=drivesdk</v>
      </c>
      <c r="R587" s="70" t="s">
        <v>3266</v>
      </c>
      <c r="S587" s="70" t="s">
        <v>3267</v>
      </c>
      <c r="T587" s="71"/>
      <c r="U587" s="70">
        <v>1.0</v>
      </c>
      <c r="V587" s="92" t="str">
        <f t="shared" si="35"/>
        <v>10.1093--applin--amae042.pdf</v>
      </c>
      <c r="W587" s="70" t="s">
        <v>202</v>
      </c>
      <c r="X587" s="891" t="str">
        <f t="array" ref="X587"> if(iserror(MATCH(V587, 'File Links'!C:C, 0)), "N/A", HYPERLINK(INDEX('File Links'!B:B, MATCH(V587, 'File Links'!C:C, 0))))</f>
        <v>https://drive.google.com/file/d/1VIxHSn4IKzp_dw4xNX6RMxFlMFrB02Na/view?usp=drivesdk</v>
      </c>
      <c r="Y587" s="71"/>
      <c r="Z587" s="70" t="s">
        <v>288</v>
      </c>
      <c r="AA587" s="70" t="s">
        <v>3268</v>
      </c>
      <c r="AB587" s="70" t="s">
        <v>3269</v>
      </c>
      <c r="AC587" s="70" t="s">
        <v>3270</v>
      </c>
      <c r="AD587" s="70" t="s">
        <v>3271</v>
      </c>
      <c r="AE587" s="70">
        <v>16.0</v>
      </c>
      <c r="AF587" s="70">
        <v>551.0</v>
      </c>
      <c r="AG587" s="70">
        <v>-3.22</v>
      </c>
      <c r="AH587" s="70" t="s">
        <v>354</v>
      </c>
      <c r="AI587" s="70" t="s">
        <v>175</v>
      </c>
      <c r="AJ587" s="70">
        <v>0.001</v>
      </c>
      <c r="AK587" s="90" t="s">
        <v>128</v>
      </c>
      <c r="AL587" s="70" t="s">
        <v>179</v>
      </c>
      <c r="AM587" s="70" t="s">
        <v>134</v>
      </c>
      <c r="AN587" s="77" t="s">
        <v>131</v>
      </c>
      <c r="AO587" s="70">
        <v>351.0</v>
      </c>
      <c r="AP587" s="70">
        <v>-0.15</v>
      </c>
      <c r="AQ587" s="70" t="s">
        <v>354</v>
      </c>
      <c r="AR587" s="70" t="s">
        <v>125</v>
      </c>
      <c r="AS587" s="70">
        <v>0.607</v>
      </c>
      <c r="AT587" s="90" t="s">
        <v>165</v>
      </c>
      <c r="AU587" s="90" t="s">
        <v>179</v>
      </c>
      <c r="AV587" s="77" t="s">
        <v>134</v>
      </c>
      <c r="AW587" s="89"/>
      <c r="AX587" s="90" t="s">
        <v>431</v>
      </c>
      <c r="AY587" s="71"/>
      <c r="AZ587" s="90" t="s">
        <v>685</v>
      </c>
      <c r="BA587" s="89"/>
      <c r="BB587" s="89"/>
      <c r="BC587" s="89"/>
      <c r="BD587" s="89"/>
      <c r="BE587" s="89"/>
      <c r="BF587" s="89"/>
      <c r="BG587" s="89"/>
      <c r="BH587" s="89"/>
      <c r="BI587" s="89"/>
      <c r="BJ587" s="89"/>
      <c r="BK587" s="89"/>
      <c r="BL587" s="89"/>
      <c r="BM587" s="89"/>
      <c r="BN587" s="89"/>
      <c r="BO587" s="89"/>
      <c r="BP587" s="89"/>
      <c r="BQ587" s="89"/>
      <c r="BR587" s="89"/>
      <c r="BS587" s="89"/>
      <c r="BT587" s="89"/>
      <c r="BU587" s="89"/>
      <c r="BV587" s="89"/>
      <c r="BW587" s="89"/>
      <c r="BX587" s="89"/>
      <c r="BY587" s="89"/>
      <c r="BZ587" s="89"/>
      <c r="CA587" s="89"/>
      <c r="CB587" s="89"/>
      <c r="CC587" s="89"/>
      <c r="CD587" s="89"/>
      <c r="CE587" s="89"/>
      <c r="CF587" s="89"/>
      <c r="CG587" s="89"/>
      <c r="CH587" s="89"/>
      <c r="CI587" s="89"/>
      <c r="CJ587" s="89"/>
      <c r="CK587" s="89"/>
      <c r="CL587" s="89"/>
      <c r="CM587" s="89"/>
      <c r="CN587" s="89"/>
      <c r="CO587" s="89"/>
      <c r="CP587" s="89"/>
      <c r="CQ587" s="89"/>
      <c r="CR587" s="89"/>
      <c r="CS587" s="89"/>
      <c r="CT587" s="89"/>
      <c r="CU587" s="89"/>
      <c r="CV587" s="89"/>
      <c r="CW587" s="89"/>
      <c r="CX587" s="89"/>
      <c r="CY587" s="89"/>
      <c r="CZ587" s="89"/>
      <c r="DA587" s="89"/>
      <c r="DB587" s="89"/>
      <c r="DC587" s="89"/>
      <c r="DD587" s="89"/>
      <c r="DE587" s="89"/>
      <c r="DF587" s="89"/>
      <c r="DG587" s="89"/>
      <c r="DH587" s="89"/>
    </row>
    <row r="588" ht="20.25" customHeight="1">
      <c r="A588" s="71">
        <v>588.0</v>
      </c>
      <c r="B588" s="70" t="s">
        <v>145</v>
      </c>
      <c r="C588" s="70" t="s">
        <v>108</v>
      </c>
      <c r="D588" s="70" t="s">
        <v>2923</v>
      </c>
      <c r="E588" s="71"/>
      <c r="F588" s="90" t="s">
        <v>3260</v>
      </c>
      <c r="G588" s="70" t="s">
        <v>3272</v>
      </c>
      <c r="H588" s="70" t="s">
        <v>2926</v>
      </c>
      <c r="I588" s="889">
        <v>45489.0</v>
      </c>
      <c r="J588" s="889">
        <v>45635.0</v>
      </c>
      <c r="K588" s="70" t="s">
        <v>3273</v>
      </c>
      <c r="L588" s="71"/>
      <c r="M588" s="70" t="s">
        <v>3263</v>
      </c>
      <c r="N588" s="70" t="s">
        <v>3264</v>
      </c>
      <c r="O588" s="70">
        <v>1.0</v>
      </c>
      <c r="P588" s="70" t="s">
        <v>3265</v>
      </c>
      <c r="Q588" s="890" t="str">
        <f t="array" ref="Q588"> if(iserror(MATCH(V588, 'File Links'!C:C, 0)), "N/A", HYPERLINK(INDEX('File Links'!B:B, MATCH(P588, 'File Links'!C:C, 0))))</f>
        <v>https://drive.google.com/file/d/1UoK9lGyVfG2aSVu9UX62d1KXmmkZeMsj/view?usp=drivesdk</v>
      </c>
      <c r="R588" s="70" t="s">
        <v>3274</v>
      </c>
      <c r="S588" s="70" t="s">
        <v>3267</v>
      </c>
      <c r="T588" s="71"/>
      <c r="U588" s="70">
        <v>1.0</v>
      </c>
      <c r="V588" s="92" t="str">
        <f t="shared" si="35"/>
        <v>10.1093--applin--amae042.pdf</v>
      </c>
      <c r="W588" s="70" t="s">
        <v>202</v>
      </c>
      <c r="X588" s="891" t="str">
        <f t="array" ref="X588"> if(iserror(MATCH(V588, 'File Links'!C:C, 0)), "N/A", HYPERLINK(INDEX('File Links'!B:B, MATCH(V588, 'File Links'!C:C, 0))))</f>
        <v>https://drive.google.com/file/d/1VIxHSn4IKzp_dw4xNX6RMxFlMFrB02Na/view?usp=drivesdk</v>
      </c>
      <c r="Y588" s="71"/>
      <c r="Z588" s="70" t="s">
        <v>288</v>
      </c>
      <c r="AA588" s="70" t="s">
        <v>3268</v>
      </c>
      <c r="AB588" s="70" t="s">
        <v>3269</v>
      </c>
      <c r="AC588" s="70" t="s">
        <v>3275</v>
      </c>
      <c r="AD588" s="70" t="s">
        <v>3275</v>
      </c>
      <c r="AE588" s="70">
        <v>17.0</v>
      </c>
      <c r="AF588" s="70">
        <v>551.0</v>
      </c>
      <c r="AG588" s="70">
        <v>-0.99</v>
      </c>
      <c r="AH588" s="70" t="s">
        <v>354</v>
      </c>
      <c r="AI588" s="70" t="s">
        <v>175</v>
      </c>
      <c r="AJ588" s="70">
        <v>0.001</v>
      </c>
      <c r="AK588" s="90" t="s">
        <v>128</v>
      </c>
      <c r="AL588" s="70" t="s">
        <v>179</v>
      </c>
      <c r="AM588" s="70" t="s">
        <v>134</v>
      </c>
      <c r="AN588" s="77" t="s">
        <v>131</v>
      </c>
      <c r="AO588" s="70">
        <v>351.0</v>
      </c>
      <c r="AP588" s="70">
        <v>-1.01</v>
      </c>
      <c r="AQ588" s="70" t="s">
        <v>354</v>
      </c>
      <c r="AR588" s="70" t="s">
        <v>125</v>
      </c>
      <c r="AS588" s="70">
        <v>0.001</v>
      </c>
      <c r="AT588" s="90" t="s">
        <v>128</v>
      </c>
      <c r="AU588" s="90" t="s">
        <v>179</v>
      </c>
      <c r="AV588" s="77" t="s">
        <v>134</v>
      </c>
      <c r="AW588" s="89"/>
      <c r="AX588" s="90" t="s">
        <v>431</v>
      </c>
      <c r="AY588" s="71"/>
      <c r="AZ588" s="90" t="s">
        <v>685</v>
      </c>
      <c r="BA588" s="89"/>
      <c r="BB588" s="89"/>
      <c r="BC588" s="89"/>
      <c r="BD588" s="89"/>
      <c r="BE588" s="89"/>
      <c r="BF588" s="89"/>
      <c r="BG588" s="89"/>
      <c r="BH588" s="89"/>
      <c r="BI588" s="89"/>
      <c r="BJ588" s="89"/>
      <c r="BK588" s="89"/>
      <c r="BL588" s="89"/>
      <c r="BM588" s="89"/>
      <c r="BN588" s="89"/>
      <c r="BO588" s="89"/>
      <c r="BP588" s="89"/>
      <c r="BQ588" s="89"/>
      <c r="BR588" s="89"/>
      <c r="BS588" s="89"/>
      <c r="BT588" s="89"/>
      <c r="BU588" s="89"/>
      <c r="BV588" s="89"/>
      <c r="BW588" s="89"/>
      <c r="BX588" s="89"/>
      <c r="BY588" s="89"/>
      <c r="BZ588" s="89"/>
      <c r="CA588" s="89"/>
      <c r="CB588" s="89"/>
      <c r="CC588" s="89"/>
      <c r="CD588" s="89"/>
      <c r="CE588" s="89"/>
      <c r="CF588" s="89"/>
      <c r="CG588" s="89"/>
      <c r="CH588" s="89"/>
      <c r="CI588" s="89"/>
      <c r="CJ588" s="89"/>
      <c r="CK588" s="89"/>
      <c r="CL588" s="89"/>
      <c r="CM588" s="89"/>
      <c r="CN588" s="89"/>
      <c r="CO588" s="89"/>
      <c r="CP588" s="89"/>
      <c r="CQ588" s="89"/>
      <c r="CR588" s="89"/>
      <c r="CS588" s="89"/>
      <c r="CT588" s="89"/>
      <c r="CU588" s="89"/>
      <c r="CV588" s="89"/>
      <c r="CW588" s="89"/>
      <c r="CX588" s="89"/>
      <c r="CY588" s="89"/>
      <c r="CZ588" s="89"/>
      <c r="DA588" s="89"/>
      <c r="DB588" s="89"/>
      <c r="DC588" s="89"/>
      <c r="DD588" s="89"/>
      <c r="DE588" s="89"/>
      <c r="DF588" s="89"/>
      <c r="DG588" s="89"/>
      <c r="DH588" s="89"/>
    </row>
    <row r="589" ht="20.25" customHeight="1">
      <c r="A589" s="71">
        <v>589.0</v>
      </c>
      <c r="B589" s="70" t="s">
        <v>145</v>
      </c>
      <c r="C589" s="70" t="s">
        <v>108</v>
      </c>
      <c r="D589" s="70" t="s">
        <v>2923</v>
      </c>
      <c r="E589" s="71"/>
      <c r="F589" s="90" t="s">
        <v>3260</v>
      </c>
      <c r="G589" s="70" t="s">
        <v>3276</v>
      </c>
      <c r="H589" s="70" t="s">
        <v>2926</v>
      </c>
      <c r="I589" s="889">
        <v>45489.0</v>
      </c>
      <c r="J589" s="889">
        <v>45635.0</v>
      </c>
      <c r="K589" s="70" t="s">
        <v>3277</v>
      </c>
      <c r="L589" s="71"/>
      <c r="M589" s="70" t="s">
        <v>3263</v>
      </c>
      <c r="N589" s="70" t="s">
        <v>3264</v>
      </c>
      <c r="O589" s="70">
        <v>1.0</v>
      </c>
      <c r="P589" s="70" t="s">
        <v>3265</v>
      </c>
      <c r="Q589" s="890" t="str">
        <f t="array" ref="Q589"> if(iserror(MATCH(V589, 'File Links'!C:C, 0)), "N/A", HYPERLINK(INDEX('File Links'!B:B, MATCH(P589, 'File Links'!C:C, 0))))</f>
        <v>https://drive.google.com/file/d/1UoK9lGyVfG2aSVu9UX62d1KXmmkZeMsj/view?usp=drivesdk</v>
      </c>
      <c r="R589" s="70" t="s">
        <v>3278</v>
      </c>
      <c r="S589" s="70" t="s">
        <v>3267</v>
      </c>
      <c r="T589" s="71"/>
      <c r="U589" s="70">
        <v>1.0</v>
      </c>
      <c r="V589" s="92" t="str">
        <f t="shared" si="35"/>
        <v>10.1093--applin--amae042.pdf</v>
      </c>
      <c r="W589" s="70" t="s">
        <v>202</v>
      </c>
      <c r="X589" s="891" t="str">
        <f t="array" ref="X589"> if(iserror(MATCH(V589, 'File Links'!C:C, 0)), "N/A", HYPERLINK(INDEX('File Links'!B:B, MATCH(V589, 'File Links'!C:C, 0))))</f>
        <v>https://drive.google.com/file/d/1VIxHSn4IKzp_dw4xNX6RMxFlMFrB02Na/view?usp=drivesdk</v>
      </c>
      <c r="Y589" s="71"/>
      <c r="Z589" s="70" t="s">
        <v>288</v>
      </c>
      <c r="AA589" s="70" t="s">
        <v>3268</v>
      </c>
      <c r="AB589" s="70" t="s">
        <v>3269</v>
      </c>
      <c r="AC589" s="70" t="s">
        <v>3279</v>
      </c>
      <c r="AD589" s="70" t="s">
        <v>3280</v>
      </c>
      <c r="AE589" s="70">
        <v>18.0</v>
      </c>
      <c r="AF589" s="70">
        <v>556.0</v>
      </c>
      <c r="AG589" s="70">
        <v>-3.56</v>
      </c>
      <c r="AH589" s="70" t="s">
        <v>354</v>
      </c>
      <c r="AI589" s="70" t="s">
        <v>3248</v>
      </c>
      <c r="AJ589" s="70">
        <v>0.001</v>
      </c>
      <c r="AK589" s="90" t="s">
        <v>128</v>
      </c>
      <c r="AL589" s="70" t="s">
        <v>179</v>
      </c>
      <c r="AM589" s="70" t="s">
        <v>134</v>
      </c>
      <c r="AN589" s="77" t="s">
        <v>131</v>
      </c>
      <c r="AO589" s="70">
        <v>351.0</v>
      </c>
      <c r="AP589" s="70">
        <v>1.2</v>
      </c>
      <c r="AQ589" s="70" t="s">
        <v>354</v>
      </c>
      <c r="AR589" s="70" t="s">
        <v>621</v>
      </c>
      <c r="AS589" s="70">
        <v>0.001</v>
      </c>
      <c r="AT589" s="90" t="s">
        <v>128</v>
      </c>
      <c r="AU589" s="90" t="s">
        <v>179</v>
      </c>
      <c r="AV589" s="77" t="s">
        <v>134</v>
      </c>
      <c r="AW589" s="89"/>
      <c r="AX589" s="90" t="s">
        <v>431</v>
      </c>
      <c r="AY589" s="71"/>
      <c r="AZ589" s="90" t="s">
        <v>685</v>
      </c>
      <c r="BA589" s="89"/>
      <c r="BB589" s="89"/>
      <c r="BC589" s="89"/>
      <c r="BD589" s="89"/>
      <c r="BE589" s="89"/>
      <c r="BF589" s="89"/>
      <c r="BG589" s="89"/>
      <c r="BH589" s="89"/>
      <c r="BI589" s="89"/>
      <c r="BJ589" s="89"/>
      <c r="BK589" s="89"/>
      <c r="BL589" s="89"/>
      <c r="BM589" s="89"/>
      <c r="BN589" s="89"/>
      <c r="BO589" s="89"/>
      <c r="BP589" s="89"/>
      <c r="BQ589" s="89"/>
      <c r="BR589" s="89"/>
      <c r="BS589" s="89"/>
      <c r="BT589" s="89"/>
      <c r="BU589" s="89"/>
      <c r="BV589" s="89"/>
      <c r="BW589" s="89"/>
      <c r="BX589" s="89"/>
      <c r="BY589" s="89"/>
      <c r="BZ589" s="89"/>
      <c r="CA589" s="89"/>
      <c r="CB589" s="89"/>
      <c r="CC589" s="89"/>
      <c r="CD589" s="89"/>
      <c r="CE589" s="89"/>
      <c r="CF589" s="89"/>
      <c r="CG589" s="89"/>
      <c r="CH589" s="89"/>
      <c r="CI589" s="89"/>
      <c r="CJ589" s="89"/>
      <c r="CK589" s="89"/>
      <c r="CL589" s="89"/>
      <c r="CM589" s="89"/>
      <c r="CN589" s="89"/>
      <c r="CO589" s="89"/>
      <c r="CP589" s="89"/>
      <c r="CQ589" s="89"/>
      <c r="CR589" s="89"/>
      <c r="CS589" s="89"/>
      <c r="CT589" s="89"/>
      <c r="CU589" s="89"/>
      <c r="CV589" s="89"/>
      <c r="CW589" s="89"/>
      <c r="CX589" s="89"/>
      <c r="CY589" s="89"/>
      <c r="CZ589" s="89"/>
      <c r="DA589" s="89"/>
      <c r="DB589" s="89"/>
      <c r="DC589" s="89"/>
      <c r="DD589" s="89"/>
      <c r="DE589" s="89"/>
      <c r="DF589" s="89"/>
      <c r="DG589" s="89"/>
      <c r="DH589" s="89"/>
    </row>
    <row r="590" ht="20.25" customHeight="1">
      <c r="A590" s="71">
        <v>590.0</v>
      </c>
      <c r="B590" s="70" t="s">
        <v>145</v>
      </c>
      <c r="C590" s="70" t="s">
        <v>108</v>
      </c>
      <c r="D590" s="70" t="s">
        <v>2923</v>
      </c>
      <c r="E590" s="71"/>
      <c r="F590" s="90" t="s">
        <v>3260</v>
      </c>
      <c r="G590" s="70" t="s">
        <v>3281</v>
      </c>
      <c r="H590" s="70" t="s">
        <v>2926</v>
      </c>
      <c r="I590" s="889">
        <v>45489.0</v>
      </c>
      <c r="J590" s="889">
        <v>45635.0</v>
      </c>
      <c r="K590" s="70" t="s">
        <v>3273</v>
      </c>
      <c r="L590" s="71"/>
      <c r="M590" s="70" t="s">
        <v>3263</v>
      </c>
      <c r="N590" s="70" t="s">
        <v>3264</v>
      </c>
      <c r="O590" s="70">
        <v>1.0</v>
      </c>
      <c r="P590" s="70" t="s">
        <v>3265</v>
      </c>
      <c r="Q590" s="890" t="str">
        <f t="array" ref="Q590"> if(iserror(MATCH(V590, 'File Links'!C:C, 0)), "N/A", HYPERLINK(INDEX('File Links'!B:B, MATCH(P590, 'File Links'!C:C, 0))))</f>
        <v>https://drive.google.com/file/d/1UoK9lGyVfG2aSVu9UX62d1KXmmkZeMsj/view?usp=drivesdk</v>
      </c>
      <c r="R590" s="70" t="s">
        <v>3278</v>
      </c>
      <c r="S590" s="70" t="s">
        <v>3267</v>
      </c>
      <c r="T590" s="71"/>
      <c r="U590" s="70">
        <v>1.0</v>
      </c>
      <c r="V590" s="92" t="str">
        <f t="shared" si="35"/>
        <v>10.1093--applin--amae042.pdf</v>
      </c>
      <c r="W590" s="70" t="s">
        <v>202</v>
      </c>
      <c r="X590" s="891" t="str">
        <f t="array" ref="X590"> if(iserror(MATCH(V590, 'File Links'!C:C, 0)), "N/A", HYPERLINK(INDEX('File Links'!B:B, MATCH(V590, 'File Links'!C:C, 0))))</f>
        <v>https://drive.google.com/file/d/1VIxHSn4IKzp_dw4xNX6RMxFlMFrB02Na/view?usp=drivesdk</v>
      </c>
      <c r="Y590" s="71"/>
      <c r="Z590" s="70" t="s">
        <v>288</v>
      </c>
      <c r="AA590" s="70" t="s">
        <v>3268</v>
      </c>
      <c r="AB590" s="70" t="s">
        <v>3269</v>
      </c>
      <c r="AC590" s="70" t="s">
        <v>3282</v>
      </c>
      <c r="AD590" s="70" t="s">
        <v>3282</v>
      </c>
      <c r="AE590" s="70">
        <v>19.0</v>
      </c>
      <c r="AF590" s="70">
        <v>556.0</v>
      </c>
      <c r="AG590" s="70">
        <v>1.26</v>
      </c>
      <c r="AH590" s="70" t="s">
        <v>354</v>
      </c>
      <c r="AI590" s="70" t="s">
        <v>3248</v>
      </c>
      <c r="AJ590" s="70">
        <v>0.001</v>
      </c>
      <c r="AK590" s="90" t="s">
        <v>128</v>
      </c>
      <c r="AL590" s="70" t="s">
        <v>179</v>
      </c>
      <c r="AM590" s="70" t="s">
        <v>134</v>
      </c>
      <c r="AN590" s="77" t="s">
        <v>131</v>
      </c>
      <c r="AO590" s="70">
        <v>351.0</v>
      </c>
      <c r="AP590" s="70">
        <v>-0.66</v>
      </c>
      <c r="AQ590" s="70" t="s">
        <v>354</v>
      </c>
      <c r="AR590" s="70" t="s">
        <v>621</v>
      </c>
      <c r="AS590" s="70">
        <v>0.001</v>
      </c>
      <c r="AT590" s="90" t="s">
        <v>128</v>
      </c>
      <c r="AU590" s="90" t="s">
        <v>179</v>
      </c>
      <c r="AV590" s="77" t="s">
        <v>134</v>
      </c>
      <c r="AW590" s="89"/>
      <c r="AX590" s="90" t="s">
        <v>431</v>
      </c>
      <c r="AY590" s="71"/>
      <c r="AZ590" s="90" t="s">
        <v>685</v>
      </c>
      <c r="BA590" s="89"/>
      <c r="BB590" s="89"/>
      <c r="BC590" s="89"/>
      <c r="BD590" s="89"/>
      <c r="BE590" s="89"/>
      <c r="BF590" s="89"/>
      <c r="BG590" s="89"/>
      <c r="BH590" s="89"/>
      <c r="BI590" s="89"/>
      <c r="BJ590" s="89"/>
      <c r="BK590" s="89"/>
      <c r="BL590" s="89"/>
      <c r="BM590" s="89"/>
      <c r="BN590" s="89"/>
      <c r="BO590" s="89"/>
      <c r="BP590" s="89"/>
      <c r="BQ590" s="89"/>
      <c r="BR590" s="89"/>
      <c r="BS590" s="89"/>
      <c r="BT590" s="89"/>
      <c r="BU590" s="89"/>
      <c r="BV590" s="89"/>
      <c r="BW590" s="89"/>
      <c r="BX590" s="89"/>
      <c r="BY590" s="89"/>
      <c r="BZ590" s="89"/>
      <c r="CA590" s="89"/>
      <c r="CB590" s="89"/>
      <c r="CC590" s="89"/>
      <c r="CD590" s="89"/>
      <c r="CE590" s="89"/>
      <c r="CF590" s="89"/>
      <c r="CG590" s="89"/>
      <c r="CH590" s="89"/>
      <c r="CI590" s="89"/>
      <c r="CJ590" s="89"/>
      <c r="CK590" s="89"/>
      <c r="CL590" s="89"/>
      <c r="CM590" s="89"/>
      <c r="CN590" s="89"/>
      <c r="CO590" s="89"/>
      <c r="CP590" s="89"/>
      <c r="CQ590" s="89"/>
      <c r="CR590" s="89"/>
      <c r="CS590" s="89"/>
      <c r="CT590" s="89"/>
      <c r="CU590" s="89"/>
      <c r="CV590" s="89"/>
      <c r="CW590" s="89"/>
      <c r="CX590" s="89"/>
      <c r="CY590" s="89"/>
      <c r="CZ590" s="89"/>
      <c r="DA590" s="89"/>
      <c r="DB590" s="89"/>
      <c r="DC590" s="89"/>
      <c r="DD590" s="89"/>
      <c r="DE590" s="89"/>
      <c r="DF590" s="89"/>
      <c r="DG590" s="89"/>
      <c r="DH590" s="89"/>
    </row>
    <row r="591" ht="20.25" customHeight="1">
      <c r="A591" s="71">
        <v>591.0</v>
      </c>
      <c r="B591" s="70" t="s">
        <v>145</v>
      </c>
      <c r="C591" s="70" t="s">
        <v>108</v>
      </c>
      <c r="D591" s="70" t="s">
        <v>2923</v>
      </c>
      <c r="E591" s="71"/>
      <c r="F591" s="90" t="s">
        <v>3260</v>
      </c>
      <c r="G591" s="70" t="s">
        <v>3283</v>
      </c>
      <c r="H591" s="70" t="s">
        <v>2926</v>
      </c>
      <c r="I591" s="889">
        <v>45489.0</v>
      </c>
      <c r="J591" s="889">
        <v>45635.0</v>
      </c>
      <c r="K591" s="70" t="s">
        <v>3284</v>
      </c>
      <c r="L591" s="71"/>
      <c r="M591" s="70" t="s">
        <v>3263</v>
      </c>
      <c r="N591" s="70" t="s">
        <v>3264</v>
      </c>
      <c r="O591" s="70">
        <v>1.0</v>
      </c>
      <c r="P591" s="70" t="s">
        <v>3265</v>
      </c>
      <c r="Q591" s="890" t="str">
        <f t="array" ref="Q591"> if(iserror(MATCH(V591, 'File Links'!C:C, 0)), "N/A", HYPERLINK(INDEX('File Links'!B:B, MATCH(P591, 'File Links'!C:C, 0))))</f>
        <v>https://drive.google.com/file/d/1UoK9lGyVfG2aSVu9UX62d1KXmmkZeMsj/view?usp=drivesdk</v>
      </c>
      <c r="R591" s="70" t="s">
        <v>3278</v>
      </c>
      <c r="S591" s="70" t="s">
        <v>3267</v>
      </c>
      <c r="T591" s="71"/>
      <c r="U591" s="70">
        <v>1.0</v>
      </c>
      <c r="V591" s="92" t="str">
        <f t="shared" si="35"/>
        <v>10.1093--applin--amae042.pdf</v>
      </c>
      <c r="W591" s="70" t="s">
        <v>202</v>
      </c>
      <c r="X591" s="891" t="str">
        <f t="array" ref="X591"> if(iserror(MATCH(V591, 'File Links'!C:C, 0)), "N/A", HYPERLINK(INDEX('File Links'!B:B, MATCH(V591, 'File Links'!C:C, 0))))</f>
        <v>https://drive.google.com/file/d/1VIxHSn4IKzp_dw4xNX6RMxFlMFrB02Na/view?usp=drivesdk</v>
      </c>
      <c r="Y591" s="71"/>
      <c r="Z591" s="70" t="s">
        <v>288</v>
      </c>
      <c r="AA591" s="70" t="s">
        <v>3268</v>
      </c>
      <c r="AB591" s="70" t="s">
        <v>3269</v>
      </c>
      <c r="AC591" s="70" t="s">
        <v>3285</v>
      </c>
      <c r="AD591" s="70" t="s">
        <v>3286</v>
      </c>
      <c r="AE591" s="70">
        <v>20.0</v>
      </c>
      <c r="AF591" s="70">
        <v>564.0</v>
      </c>
      <c r="AG591" s="70">
        <v>1.53</v>
      </c>
      <c r="AH591" s="70" t="s">
        <v>354</v>
      </c>
      <c r="AI591" s="70" t="s">
        <v>2406</v>
      </c>
      <c r="AJ591" s="70">
        <v>0.006</v>
      </c>
      <c r="AK591" s="90" t="s">
        <v>165</v>
      </c>
      <c r="AL591" s="70" t="s">
        <v>179</v>
      </c>
      <c r="AM591" s="70" t="s">
        <v>134</v>
      </c>
      <c r="AN591" s="77" t="s">
        <v>131</v>
      </c>
      <c r="AO591" s="70">
        <v>351.0</v>
      </c>
      <c r="AP591" s="70">
        <v>-0.43</v>
      </c>
      <c r="AQ591" s="70" t="s">
        <v>354</v>
      </c>
      <c r="AR591" s="70" t="s">
        <v>300</v>
      </c>
      <c r="AS591" s="70">
        <v>0.151</v>
      </c>
      <c r="AT591" s="90" t="s">
        <v>165</v>
      </c>
      <c r="AU591" s="90" t="s">
        <v>179</v>
      </c>
      <c r="AV591" s="77" t="s">
        <v>134</v>
      </c>
      <c r="AW591" s="89"/>
      <c r="AX591" s="90" t="s">
        <v>431</v>
      </c>
      <c r="AY591" s="71"/>
      <c r="AZ591" s="90" t="s">
        <v>685</v>
      </c>
      <c r="BA591" s="89"/>
      <c r="BB591" s="89"/>
      <c r="BC591" s="89"/>
      <c r="BD591" s="89"/>
      <c r="BE591" s="89"/>
      <c r="BF591" s="89"/>
      <c r="BG591" s="89"/>
      <c r="BH591" s="89"/>
      <c r="BI591" s="89"/>
      <c r="BJ591" s="89"/>
      <c r="BK591" s="89"/>
      <c r="BL591" s="89"/>
      <c r="BM591" s="89"/>
      <c r="BN591" s="89"/>
      <c r="BO591" s="89"/>
      <c r="BP591" s="89"/>
      <c r="BQ591" s="89"/>
      <c r="BR591" s="89"/>
      <c r="BS591" s="89"/>
      <c r="BT591" s="89"/>
      <c r="BU591" s="89"/>
      <c r="BV591" s="89"/>
      <c r="BW591" s="89"/>
      <c r="BX591" s="89"/>
      <c r="BY591" s="89"/>
      <c r="BZ591" s="89"/>
      <c r="CA591" s="89"/>
      <c r="CB591" s="89"/>
      <c r="CC591" s="89"/>
      <c r="CD591" s="89"/>
      <c r="CE591" s="89"/>
      <c r="CF591" s="89"/>
      <c r="CG591" s="89"/>
      <c r="CH591" s="89"/>
      <c r="CI591" s="89"/>
      <c r="CJ591" s="89"/>
      <c r="CK591" s="89"/>
      <c r="CL591" s="89"/>
      <c r="CM591" s="89"/>
      <c r="CN591" s="89"/>
      <c r="CO591" s="89"/>
      <c r="CP591" s="89"/>
      <c r="CQ591" s="89"/>
      <c r="CR591" s="89"/>
      <c r="CS591" s="89"/>
      <c r="CT591" s="89"/>
      <c r="CU591" s="89"/>
      <c r="CV591" s="89"/>
      <c r="CW591" s="89"/>
      <c r="CX591" s="89"/>
      <c r="CY591" s="89"/>
      <c r="CZ591" s="89"/>
      <c r="DA591" s="89"/>
      <c r="DB591" s="89"/>
      <c r="DC591" s="89"/>
      <c r="DD591" s="89"/>
      <c r="DE591" s="89"/>
      <c r="DF591" s="89"/>
      <c r="DG591" s="89"/>
      <c r="DH591" s="89"/>
    </row>
    <row r="592" ht="20.25" customHeight="1">
      <c r="A592" s="71">
        <v>592.0</v>
      </c>
      <c r="B592" s="70" t="s">
        <v>145</v>
      </c>
      <c r="C592" s="70" t="s">
        <v>108</v>
      </c>
      <c r="D592" s="70" t="s">
        <v>2923</v>
      </c>
      <c r="E592" s="71"/>
      <c r="F592" s="90" t="s">
        <v>3260</v>
      </c>
      <c r="G592" s="70" t="s">
        <v>3287</v>
      </c>
      <c r="H592" s="70" t="s">
        <v>2926</v>
      </c>
      <c r="I592" s="889">
        <v>45489.0</v>
      </c>
      <c r="J592" s="889">
        <v>45635.0</v>
      </c>
      <c r="K592" s="70" t="s">
        <v>3273</v>
      </c>
      <c r="L592" s="71"/>
      <c r="M592" s="70" t="s">
        <v>3263</v>
      </c>
      <c r="N592" s="70" t="s">
        <v>3264</v>
      </c>
      <c r="O592" s="70">
        <v>1.0</v>
      </c>
      <c r="P592" s="70" t="s">
        <v>3265</v>
      </c>
      <c r="Q592" s="890" t="str">
        <f t="array" ref="Q592"> if(iserror(MATCH(V592, 'File Links'!C:C, 0)), "N/A", HYPERLINK(INDEX('File Links'!B:B, MATCH(P592, 'File Links'!C:C, 0))))</f>
        <v>https://drive.google.com/file/d/1UoK9lGyVfG2aSVu9UX62d1KXmmkZeMsj/view?usp=drivesdk</v>
      </c>
      <c r="R592" s="70" t="s">
        <v>3278</v>
      </c>
      <c r="S592" s="70" t="s">
        <v>3267</v>
      </c>
      <c r="T592" s="71"/>
      <c r="U592" s="70">
        <v>1.0</v>
      </c>
      <c r="V592" s="92" t="str">
        <f t="shared" si="35"/>
        <v>10.1093--applin--amae042.pdf</v>
      </c>
      <c r="W592" s="70" t="s">
        <v>202</v>
      </c>
      <c r="X592" s="891" t="str">
        <f t="array" ref="X592"> if(iserror(MATCH(V592, 'File Links'!C:C, 0)), "N/A", HYPERLINK(INDEX('File Links'!B:B, MATCH(V592, 'File Links'!C:C, 0))))</f>
        <v>https://drive.google.com/file/d/1VIxHSn4IKzp_dw4xNX6RMxFlMFrB02Na/view?usp=drivesdk</v>
      </c>
      <c r="Y592" s="71"/>
      <c r="Z592" s="70" t="s">
        <v>288</v>
      </c>
      <c r="AA592" s="70" t="s">
        <v>3268</v>
      </c>
      <c r="AB592" s="70" t="s">
        <v>3269</v>
      </c>
      <c r="AC592" s="70" t="s">
        <v>3288</v>
      </c>
      <c r="AD592" s="70" t="s">
        <v>3288</v>
      </c>
      <c r="AE592" s="70">
        <v>21.0</v>
      </c>
      <c r="AF592" s="70">
        <v>564.0</v>
      </c>
      <c r="AG592" s="70">
        <v>-0.84</v>
      </c>
      <c r="AH592" s="70" t="s">
        <v>354</v>
      </c>
      <c r="AI592" s="70" t="s">
        <v>2406</v>
      </c>
      <c r="AJ592" s="70">
        <v>0.001</v>
      </c>
      <c r="AK592" s="90" t="s">
        <v>128</v>
      </c>
      <c r="AL592" s="70" t="s">
        <v>179</v>
      </c>
      <c r="AM592" s="70" t="s">
        <v>134</v>
      </c>
      <c r="AN592" s="77" t="s">
        <v>131</v>
      </c>
      <c r="AO592" s="70">
        <v>351.0</v>
      </c>
      <c r="AP592" s="70">
        <v>0.02</v>
      </c>
      <c r="AQ592" s="70" t="s">
        <v>354</v>
      </c>
      <c r="AR592" s="70" t="s">
        <v>300</v>
      </c>
      <c r="AS592" s="70">
        <v>0.928</v>
      </c>
      <c r="AT592" s="90" t="s">
        <v>165</v>
      </c>
      <c r="AU592" s="90" t="s">
        <v>179</v>
      </c>
      <c r="AV592" s="77" t="s">
        <v>134</v>
      </c>
      <c r="AW592" s="89"/>
      <c r="AX592" s="90" t="s">
        <v>431</v>
      </c>
      <c r="AY592" s="71"/>
      <c r="AZ592" s="90" t="s">
        <v>685</v>
      </c>
      <c r="BA592" s="89"/>
      <c r="BB592" s="89"/>
      <c r="BC592" s="89"/>
      <c r="BD592" s="89"/>
      <c r="BE592" s="89"/>
      <c r="BF592" s="89"/>
      <c r="BG592" s="89"/>
      <c r="BH592" s="89"/>
      <c r="BI592" s="89"/>
      <c r="BJ592" s="89"/>
      <c r="BK592" s="89"/>
      <c r="BL592" s="89"/>
      <c r="BM592" s="89"/>
      <c r="BN592" s="89"/>
      <c r="BO592" s="89"/>
      <c r="BP592" s="89"/>
      <c r="BQ592" s="89"/>
      <c r="BR592" s="89"/>
      <c r="BS592" s="89"/>
      <c r="BT592" s="89"/>
      <c r="BU592" s="89"/>
      <c r="BV592" s="89"/>
      <c r="BW592" s="89"/>
      <c r="BX592" s="89"/>
      <c r="BY592" s="89"/>
      <c r="BZ592" s="89"/>
      <c r="CA592" s="89"/>
      <c r="CB592" s="89"/>
      <c r="CC592" s="89"/>
      <c r="CD592" s="89"/>
      <c r="CE592" s="89"/>
      <c r="CF592" s="89"/>
      <c r="CG592" s="89"/>
      <c r="CH592" s="89"/>
      <c r="CI592" s="89"/>
      <c r="CJ592" s="89"/>
      <c r="CK592" s="89"/>
      <c r="CL592" s="89"/>
      <c r="CM592" s="89"/>
      <c r="CN592" s="89"/>
      <c r="CO592" s="89"/>
      <c r="CP592" s="89"/>
      <c r="CQ592" s="89"/>
      <c r="CR592" s="89"/>
      <c r="CS592" s="89"/>
      <c r="CT592" s="89"/>
      <c r="CU592" s="89"/>
      <c r="CV592" s="89"/>
      <c r="CW592" s="89"/>
      <c r="CX592" s="89"/>
      <c r="CY592" s="89"/>
      <c r="CZ592" s="89"/>
      <c r="DA592" s="89"/>
      <c r="DB592" s="89"/>
      <c r="DC592" s="89"/>
      <c r="DD592" s="89"/>
      <c r="DE592" s="89"/>
      <c r="DF592" s="89"/>
      <c r="DG592" s="89"/>
      <c r="DH592" s="89"/>
    </row>
    <row r="593" ht="20.25" customHeight="1">
      <c r="A593" s="892">
        <v>593.0</v>
      </c>
      <c r="B593" s="893" t="s">
        <v>107</v>
      </c>
      <c r="C593" s="836" t="s">
        <v>108</v>
      </c>
      <c r="D593" s="836" t="s">
        <v>2950</v>
      </c>
      <c r="E593" s="749"/>
      <c r="F593" s="848" t="s">
        <v>3289</v>
      </c>
      <c r="G593" s="894" t="s">
        <v>3290</v>
      </c>
      <c r="H593" s="895" t="s">
        <v>2953</v>
      </c>
      <c r="I593" s="896">
        <v>45489.0</v>
      </c>
      <c r="J593" s="896">
        <v>45660.0</v>
      </c>
      <c r="K593" s="837" t="s">
        <v>3291</v>
      </c>
      <c r="L593" s="848"/>
      <c r="M593" s="895" t="s">
        <v>3292</v>
      </c>
      <c r="N593" s="895" t="s">
        <v>3264</v>
      </c>
      <c r="O593" s="897">
        <v>1.0</v>
      </c>
      <c r="P593" s="895" t="s">
        <v>3265</v>
      </c>
      <c r="Q593" s="898" t="str">
        <f t="array" ref="Q593"> if(iserror(MATCH(V593, 'File Links'!C:C, 0)), "N/A", HYPERLINK(INDEX('File Links'!B:B, MATCH(P593, 'File Links'!C:C, 0))))</f>
        <v>https://drive.google.com/file/d/1UoK9lGyVfG2aSVu9UX62d1KXmmkZeMsj/view?usp=drivesdk</v>
      </c>
      <c r="R593" s="895" t="s">
        <v>3266</v>
      </c>
      <c r="S593" s="895" t="s">
        <v>3267</v>
      </c>
      <c r="T593" s="848"/>
      <c r="U593" s="899">
        <v>1.0</v>
      </c>
      <c r="V593" s="837" t="str">
        <f t="shared" si="35"/>
        <v>10.1093--applin--amae042.pdf</v>
      </c>
      <c r="W593" s="895" t="s">
        <v>2955</v>
      </c>
      <c r="X593" s="900" t="str">
        <f t="array" ref="X593"> if(iserror(MATCH(V593, 'File Links'!C:C, 0)), "N/A", HYPERLINK(INDEX('File Links'!B:B, MATCH(V593, 'File Links'!C:C, 0))))</f>
        <v>https://drive.google.com/file/d/1VIxHSn4IKzp_dw4xNX6RMxFlMFrB02Na/view?usp=drivesdk</v>
      </c>
      <c r="Y593" s="749"/>
      <c r="Z593" s="895" t="s">
        <v>288</v>
      </c>
      <c r="AA593" s="837" t="s">
        <v>3293</v>
      </c>
      <c r="AB593" s="837" t="s">
        <v>3294</v>
      </c>
      <c r="AC593" s="848"/>
      <c r="AD593" s="837" t="s">
        <v>3295</v>
      </c>
      <c r="AE593" s="837">
        <v>15.0</v>
      </c>
      <c r="AF593" s="901">
        <v>96.0</v>
      </c>
      <c r="AG593" s="837">
        <v>-3.22</v>
      </c>
      <c r="AH593" s="837" t="s">
        <v>127</v>
      </c>
      <c r="AI593" s="837" t="s">
        <v>3296</v>
      </c>
      <c r="AJ593" s="842">
        <v>0.001</v>
      </c>
      <c r="AK593" s="838" t="s">
        <v>128</v>
      </c>
      <c r="AL593" s="838" t="s">
        <v>179</v>
      </c>
      <c r="AM593" s="848" t="s">
        <v>130</v>
      </c>
      <c r="AN593" s="902" t="s">
        <v>131</v>
      </c>
      <c r="AO593" s="837">
        <v>60.0</v>
      </c>
      <c r="AP593" s="837">
        <v>-0.15</v>
      </c>
      <c r="AQ593" s="837" t="s">
        <v>127</v>
      </c>
      <c r="AR593" s="837" t="s">
        <v>3297</v>
      </c>
      <c r="AS593" s="901">
        <v>0.607</v>
      </c>
      <c r="AT593" s="837" t="s">
        <v>165</v>
      </c>
      <c r="AU593" s="837" t="s">
        <v>179</v>
      </c>
      <c r="AV593" s="848" t="s">
        <v>130</v>
      </c>
      <c r="AW593" s="848"/>
      <c r="AX593" s="848" t="s">
        <v>136</v>
      </c>
      <c r="AY593" s="749"/>
      <c r="AZ593" s="836" t="s">
        <v>685</v>
      </c>
      <c r="BA593" s="749"/>
      <c r="BB593" s="749"/>
      <c r="BC593" s="749"/>
      <c r="BD593" s="749"/>
      <c r="BE593" s="749"/>
      <c r="BF593" s="749"/>
      <c r="BG593" s="749"/>
      <c r="BH593" s="749"/>
      <c r="BI593" s="749"/>
      <c r="BJ593" s="749"/>
      <c r="BK593" s="749"/>
      <c r="BL593" s="749"/>
      <c r="BM593" s="749"/>
      <c r="BN593" s="749"/>
      <c r="BO593" s="749"/>
      <c r="BP593" s="749"/>
      <c r="BQ593" s="749"/>
      <c r="BR593" s="749"/>
      <c r="BS593" s="749"/>
      <c r="BT593" s="749"/>
      <c r="BU593" s="749"/>
      <c r="BV593" s="749"/>
      <c r="BW593" s="749"/>
      <c r="BX593" s="749"/>
      <c r="BY593" s="749"/>
      <c r="BZ593" s="749"/>
      <c r="CA593" s="749"/>
      <c r="CB593" s="749"/>
      <c r="CC593" s="749"/>
      <c r="CD593" s="749"/>
      <c r="CE593" s="749"/>
      <c r="CF593" s="749"/>
      <c r="CG593" s="749"/>
      <c r="CH593" s="749"/>
      <c r="CI593" s="749"/>
      <c r="CJ593" s="749"/>
      <c r="CK593" s="749"/>
      <c r="CL593" s="749"/>
      <c r="CM593" s="749"/>
      <c r="CN593" s="749"/>
      <c r="CO593" s="749"/>
      <c r="CP593" s="749"/>
      <c r="CQ593" s="749"/>
      <c r="CR593" s="749"/>
      <c r="CS593" s="749"/>
      <c r="CT593" s="749"/>
      <c r="CU593" s="749"/>
      <c r="CV593" s="749"/>
      <c r="CW593" s="749"/>
      <c r="CX593" s="749"/>
      <c r="CY593" s="749"/>
      <c r="CZ593" s="749"/>
      <c r="DA593" s="749"/>
      <c r="DB593" s="749"/>
      <c r="DC593" s="749"/>
      <c r="DD593" s="749"/>
      <c r="DE593" s="749"/>
      <c r="DF593" s="749"/>
      <c r="DG593" s="749"/>
      <c r="DH593" s="749"/>
    </row>
    <row r="594" ht="20.25" customHeight="1">
      <c r="A594" s="892">
        <v>594.0</v>
      </c>
      <c r="B594" s="893" t="s">
        <v>107</v>
      </c>
      <c r="C594" s="836" t="s">
        <v>108</v>
      </c>
      <c r="D594" s="836" t="s">
        <v>2950</v>
      </c>
      <c r="E594" s="749"/>
      <c r="F594" s="848" t="s">
        <v>3298</v>
      </c>
      <c r="G594" s="894" t="s">
        <v>3290</v>
      </c>
      <c r="H594" s="895" t="s">
        <v>2953</v>
      </c>
      <c r="I594" s="896">
        <v>45489.0</v>
      </c>
      <c r="J594" s="896">
        <v>45660.0</v>
      </c>
      <c r="K594" s="837" t="s">
        <v>3291</v>
      </c>
      <c r="L594" s="848"/>
      <c r="M594" s="895" t="s">
        <v>3292</v>
      </c>
      <c r="N594" s="895" t="s">
        <v>3264</v>
      </c>
      <c r="O594" s="897">
        <v>1.0</v>
      </c>
      <c r="P594" s="895" t="s">
        <v>3265</v>
      </c>
      <c r="Q594" s="898" t="str">
        <f t="array" ref="Q594"> if(iserror(MATCH(V594, 'File Links'!C:C, 0)), "N/A", HYPERLINK(INDEX('File Links'!B:B, MATCH(P594, 'File Links'!C:C, 0))))</f>
        <v>https://drive.google.com/file/d/1UoK9lGyVfG2aSVu9UX62d1KXmmkZeMsj/view?usp=drivesdk</v>
      </c>
      <c r="R594" s="895" t="s">
        <v>3266</v>
      </c>
      <c r="S594" s="895" t="s">
        <v>3267</v>
      </c>
      <c r="T594" s="848"/>
      <c r="U594" s="899">
        <v>1.0</v>
      </c>
      <c r="V594" s="837" t="str">
        <f t="shared" si="35"/>
        <v>10.1093--applin--amae042.pdf</v>
      </c>
      <c r="W594" s="895" t="s">
        <v>2955</v>
      </c>
      <c r="X594" s="900" t="str">
        <f t="array" ref="X594"> if(iserror(MATCH(V594, 'File Links'!C:C, 0)), "N/A", HYPERLINK(INDEX('File Links'!B:B, MATCH(V594, 'File Links'!C:C, 0))))</f>
        <v>https://drive.google.com/file/d/1VIxHSn4IKzp_dw4xNX6RMxFlMFrB02Na/view?usp=drivesdk</v>
      </c>
      <c r="Y594" s="749"/>
      <c r="Z594" s="895" t="s">
        <v>288</v>
      </c>
      <c r="AA594" s="837" t="s">
        <v>3293</v>
      </c>
      <c r="AB594" s="837" t="s">
        <v>3294</v>
      </c>
      <c r="AC594" s="848"/>
      <c r="AD594" s="837" t="s">
        <v>3299</v>
      </c>
      <c r="AE594" s="837">
        <v>17.0</v>
      </c>
      <c r="AF594" s="837">
        <v>96.0</v>
      </c>
      <c r="AG594" s="837">
        <v>7.13</v>
      </c>
      <c r="AH594" s="837" t="s">
        <v>715</v>
      </c>
      <c r="AI594" s="837" t="s">
        <v>3296</v>
      </c>
      <c r="AJ594" s="842">
        <v>0.001</v>
      </c>
      <c r="AK594" s="838" t="s">
        <v>128</v>
      </c>
      <c r="AL594" s="838" t="s">
        <v>179</v>
      </c>
      <c r="AM594" s="848" t="s">
        <v>130</v>
      </c>
      <c r="AN594" s="902" t="s">
        <v>131</v>
      </c>
      <c r="AO594" s="837">
        <v>60.0</v>
      </c>
      <c r="AP594" s="848"/>
      <c r="AQ594" s="848"/>
      <c r="AR594" s="848"/>
      <c r="AS594" s="848"/>
      <c r="AT594" s="848"/>
      <c r="AU594" s="848"/>
      <c r="AV594" s="848"/>
      <c r="AW594" s="848"/>
      <c r="AX594" s="848" t="s">
        <v>136</v>
      </c>
      <c r="AY594" s="749"/>
      <c r="AZ594" s="836" t="s">
        <v>685</v>
      </c>
      <c r="BA594" s="749"/>
      <c r="BB594" s="749"/>
      <c r="BC594" s="749"/>
      <c r="BD594" s="749"/>
      <c r="BE594" s="749"/>
      <c r="BF594" s="749"/>
      <c r="BG594" s="749"/>
      <c r="BH594" s="749"/>
      <c r="BI594" s="749"/>
      <c r="BJ594" s="749"/>
      <c r="BK594" s="749"/>
      <c r="BL594" s="749"/>
      <c r="BM594" s="749"/>
      <c r="BN594" s="749"/>
      <c r="BO594" s="749"/>
      <c r="BP594" s="749"/>
      <c r="BQ594" s="749"/>
      <c r="BR594" s="749"/>
      <c r="BS594" s="749"/>
      <c r="BT594" s="749"/>
      <c r="BU594" s="749"/>
      <c r="BV594" s="749"/>
      <c r="BW594" s="749"/>
      <c r="BX594" s="749"/>
      <c r="BY594" s="749"/>
      <c r="BZ594" s="749"/>
      <c r="CA594" s="749"/>
      <c r="CB594" s="749"/>
      <c r="CC594" s="749"/>
      <c r="CD594" s="749"/>
      <c r="CE594" s="749"/>
      <c r="CF594" s="749"/>
      <c r="CG594" s="749"/>
      <c r="CH594" s="749"/>
      <c r="CI594" s="749"/>
      <c r="CJ594" s="749"/>
      <c r="CK594" s="749"/>
      <c r="CL594" s="749"/>
      <c r="CM594" s="749"/>
      <c r="CN594" s="749"/>
      <c r="CO594" s="749"/>
      <c r="CP594" s="749"/>
      <c r="CQ594" s="749"/>
      <c r="CR594" s="749"/>
      <c r="CS594" s="749"/>
      <c r="CT594" s="749"/>
      <c r="CU594" s="749"/>
      <c r="CV594" s="749"/>
      <c r="CW594" s="749"/>
      <c r="CX594" s="749"/>
      <c r="CY594" s="749"/>
      <c r="CZ594" s="749"/>
      <c r="DA594" s="749"/>
      <c r="DB594" s="749"/>
      <c r="DC594" s="749"/>
      <c r="DD594" s="749"/>
      <c r="DE594" s="749"/>
      <c r="DF594" s="749"/>
      <c r="DG594" s="749"/>
      <c r="DH594" s="749"/>
    </row>
    <row r="595" ht="20.25" customHeight="1">
      <c r="A595" s="892">
        <v>595.0</v>
      </c>
      <c r="B595" s="893" t="s">
        <v>107</v>
      </c>
      <c r="C595" s="836" t="s">
        <v>108</v>
      </c>
      <c r="D595" s="836" t="s">
        <v>2950</v>
      </c>
      <c r="E595" s="749"/>
      <c r="F595" s="848" t="s">
        <v>3300</v>
      </c>
      <c r="G595" s="894" t="s">
        <v>3290</v>
      </c>
      <c r="H595" s="895" t="s">
        <v>2953</v>
      </c>
      <c r="I595" s="896">
        <v>45489.0</v>
      </c>
      <c r="J595" s="896">
        <v>45660.0</v>
      </c>
      <c r="K595" s="837" t="s">
        <v>3291</v>
      </c>
      <c r="L595" s="848"/>
      <c r="M595" s="895" t="s">
        <v>3292</v>
      </c>
      <c r="N595" s="895" t="s">
        <v>3264</v>
      </c>
      <c r="O595" s="897">
        <v>1.0</v>
      </c>
      <c r="P595" s="895" t="s">
        <v>3265</v>
      </c>
      <c r="Q595" s="898" t="str">
        <f t="array" ref="Q595"> if(iserror(MATCH(V595, 'File Links'!C:C, 0)), "N/A", HYPERLINK(INDEX('File Links'!B:B, MATCH(P595, 'File Links'!C:C, 0))))</f>
        <v>https://drive.google.com/file/d/1UoK9lGyVfG2aSVu9UX62d1KXmmkZeMsj/view?usp=drivesdk</v>
      </c>
      <c r="R595" s="895" t="s">
        <v>3266</v>
      </c>
      <c r="S595" s="895" t="s">
        <v>3267</v>
      </c>
      <c r="T595" s="848"/>
      <c r="U595" s="899">
        <v>1.0</v>
      </c>
      <c r="V595" s="837" t="str">
        <f t="shared" si="35"/>
        <v>10.1093--applin--amae042.pdf</v>
      </c>
      <c r="W595" s="895" t="s">
        <v>2955</v>
      </c>
      <c r="X595" s="900" t="str">
        <f t="array" ref="X595"> if(iserror(MATCH(V595, 'File Links'!C:C, 0)), "N/A", HYPERLINK(INDEX('File Links'!B:B, MATCH(V595, 'File Links'!C:C, 0))))</f>
        <v>https://drive.google.com/file/d/1VIxHSn4IKzp_dw4xNX6RMxFlMFrB02Na/view?usp=drivesdk</v>
      </c>
      <c r="Y595" s="749"/>
      <c r="Z595" s="895" t="s">
        <v>288</v>
      </c>
      <c r="AA595" s="837" t="s">
        <v>3293</v>
      </c>
      <c r="AB595" s="837" t="s">
        <v>3294</v>
      </c>
      <c r="AC595" s="848"/>
      <c r="AD595" s="837" t="s">
        <v>3301</v>
      </c>
      <c r="AE595" s="837">
        <v>17.0</v>
      </c>
      <c r="AF595" s="837">
        <v>96.0</v>
      </c>
      <c r="AG595" s="837">
        <v>1.14</v>
      </c>
      <c r="AH595" s="837" t="s">
        <v>715</v>
      </c>
      <c r="AI595" s="837" t="s">
        <v>3296</v>
      </c>
      <c r="AJ595" s="842">
        <v>0.001</v>
      </c>
      <c r="AK595" s="838" t="s">
        <v>128</v>
      </c>
      <c r="AL595" s="838" t="s">
        <v>179</v>
      </c>
      <c r="AM595" s="848" t="s">
        <v>130</v>
      </c>
      <c r="AN595" s="902" t="s">
        <v>131</v>
      </c>
      <c r="AO595" s="837">
        <v>60.0</v>
      </c>
      <c r="AP595" s="848"/>
      <c r="AQ595" s="848"/>
      <c r="AR595" s="848"/>
      <c r="AS595" s="848"/>
      <c r="AT595" s="848"/>
      <c r="AU595" s="848"/>
      <c r="AV595" s="848"/>
      <c r="AW595" s="848"/>
      <c r="AX595" s="848" t="s">
        <v>136</v>
      </c>
      <c r="AY595" s="749"/>
      <c r="AZ595" s="836" t="s">
        <v>685</v>
      </c>
      <c r="BA595" s="749"/>
      <c r="BB595" s="749"/>
      <c r="BC595" s="749"/>
      <c r="BD595" s="749"/>
      <c r="BE595" s="749"/>
      <c r="BF595" s="749"/>
      <c r="BG595" s="749"/>
      <c r="BH595" s="749"/>
      <c r="BI595" s="749"/>
      <c r="BJ595" s="749"/>
      <c r="BK595" s="749"/>
      <c r="BL595" s="749"/>
      <c r="BM595" s="749"/>
      <c r="BN595" s="749"/>
      <c r="BO595" s="749"/>
      <c r="BP595" s="749"/>
      <c r="BQ595" s="749"/>
      <c r="BR595" s="749"/>
      <c r="BS595" s="749"/>
      <c r="BT595" s="749"/>
      <c r="BU595" s="749"/>
      <c r="BV595" s="749"/>
      <c r="BW595" s="749"/>
      <c r="BX595" s="749"/>
      <c r="BY595" s="749"/>
      <c r="BZ595" s="749"/>
      <c r="CA595" s="749"/>
      <c r="CB595" s="749"/>
      <c r="CC595" s="749"/>
      <c r="CD595" s="749"/>
      <c r="CE595" s="749"/>
      <c r="CF595" s="749"/>
      <c r="CG595" s="749"/>
      <c r="CH595" s="749"/>
      <c r="CI595" s="749"/>
      <c r="CJ595" s="749"/>
      <c r="CK595" s="749"/>
      <c r="CL595" s="749"/>
      <c r="CM595" s="749"/>
      <c r="CN595" s="749"/>
      <c r="CO595" s="749"/>
      <c r="CP595" s="749"/>
      <c r="CQ595" s="749"/>
      <c r="CR595" s="749"/>
      <c r="CS595" s="749"/>
      <c r="CT595" s="749"/>
      <c r="CU595" s="749"/>
      <c r="CV595" s="749"/>
      <c r="CW595" s="749"/>
      <c r="CX595" s="749"/>
      <c r="CY595" s="749"/>
      <c r="CZ595" s="749"/>
      <c r="DA595" s="749"/>
      <c r="DB595" s="749"/>
      <c r="DC595" s="749"/>
      <c r="DD595" s="749"/>
      <c r="DE595" s="749"/>
      <c r="DF595" s="749"/>
      <c r="DG595" s="749"/>
      <c r="DH595" s="749"/>
    </row>
    <row r="596" ht="20.25" customHeight="1">
      <c r="A596" s="892">
        <v>596.0</v>
      </c>
      <c r="B596" s="893" t="s">
        <v>107</v>
      </c>
      <c r="C596" s="836" t="s">
        <v>108</v>
      </c>
      <c r="D596" s="836" t="s">
        <v>2950</v>
      </c>
      <c r="E596" s="749"/>
      <c r="F596" s="848" t="s">
        <v>3302</v>
      </c>
      <c r="G596" s="894" t="s">
        <v>3290</v>
      </c>
      <c r="H596" s="895" t="s">
        <v>2953</v>
      </c>
      <c r="I596" s="896">
        <v>45489.0</v>
      </c>
      <c r="J596" s="896">
        <v>45660.0</v>
      </c>
      <c r="K596" s="837" t="s">
        <v>3291</v>
      </c>
      <c r="L596" s="848"/>
      <c r="M596" s="895" t="s">
        <v>3292</v>
      </c>
      <c r="N596" s="895" t="s">
        <v>3264</v>
      </c>
      <c r="O596" s="897">
        <v>1.0</v>
      </c>
      <c r="P596" s="895" t="s">
        <v>3265</v>
      </c>
      <c r="Q596" s="898" t="str">
        <f t="array" ref="Q596"> if(iserror(MATCH(V596, 'File Links'!C:C, 0)), "N/A", HYPERLINK(INDEX('File Links'!B:B, MATCH(P596, 'File Links'!C:C, 0))))</f>
        <v>https://drive.google.com/file/d/1UoK9lGyVfG2aSVu9UX62d1KXmmkZeMsj/view?usp=drivesdk</v>
      </c>
      <c r="R596" s="895" t="s">
        <v>3266</v>
      </c>
      <c r="S596" s="895" t="s">
        <v>3267</v>
      </c>
      <c r="T596" s="848"/>
      <c r="U596" s="899">
        <v>1.0</v>
      </c>
      <c r="V596" s="837" t="str">
        <f t="shared" si="35"/>
        <v>10.1093--applin--amae042.pdf</v>
      </c>
      <c r="W596" s="895" t="s">
        <v>2955</v>
      </c>
      <c r="X596" s="900" t="str">
        <f t="array" ref="X596"> if(iserror(MATCH(V596, 'File Links'!C:C, 0)), "N/A", HYPERLINK(INDEX('File Links'!B:B, MATCH(V596, 'File Links'!C:C, 0))))</f>
        <v>https://drive.google.com/file/d/1VIxHSn4IKzp_dw4xNX6RMxFlMFrB02Na/view?usp=drivesdk</v>
      </c>
      <c r="Y596" s="749"/>
      <c r="Z596" s="895" t="s">
        <v>288</v>
      </c>
      <c r="AA596" s="837" t="s">
        <v>3293</v>
      </c>
      <c r="AB596" s="837" t="s">
        <v>3294</v>
      </c>
      <c r="AC596" s="848"/>
      <c r="AD596" s="837" t="s">
        <v>3303</v>
      </c>
      <c r="AE596" s="837">
        <v>17.0</v>
      </c>
      <c r="AF596" s="837">
        <v>96.0</v>
      </c>
      <c r="AG596" s="837">
        <v>2.16</v>
      </c>
      <c r="AH596" s="837" t="s">
        <v>715</v>
      </c>
      <c r="AI596" s="837" t="s">
        <v>3296</v>
      </c>
      <c r="AJ596" s="842">
        <v>0.001</v>
      </c>
      <c r="AK596" s="838" t="s">
        <v>128</v>
      </c>
      <c r="AL596" s="838" t="s">
        <v>179</v>
      </c>
      <c r="AM596" s="848" t="s">
        <v>130</v>
      </c>
      <c r="AN596" s="902" t="s">
        <v>131</v>
      </c>
      <c r="AO596" s="837">
        <v>60.0</v>
      </c>
      <c r="AP596" s="837">
        <v>-9.91</v>
      </c>
      <c r="AQ596" s="837" t="s">
        <v>3304</v>
      </c>
      <c r="AR596" s="837" t="s">
        <v>3297</v>
      </c>
      <c r="AS596" s="901">
        <v>0.001</v>
      </c>
      <c r="AT596" s="837" t="s">
        <v>128</v>
      </c>
      <c r="AU596" s="837" t="s">
        <v>179</v>
      </c>
      <c r="AV596" s="848" t="s">
        <v>130</v>
      </c>
      <c r="AW596" s="848"/>
      <c r="AX596" s="848" t="s">
        <v>136</v>
      </c>
      <c r="AY596" s="749"/>
      <c r="AZ596" s="836" t="s">
        <v>685</v>
      </c>
      <c r="BA596" s="749"/>
      <c r="BB596" s="749"/>
      <c r="BC596" s="749"/>
      <c r="BD596" s="749"/>
      <c r="BE596" s="749"/>
      <c r="BF596" s="749"/>
      <c r="BG596" s="749"/>
      <c r="BH596" s="749"/>
      <c r="BI596" s="749"/>
      <c r="BJ596" s="749"/>
      <c r="BK596" s="749"/>
      <c r="BL596" s="749"/>
      <c r="BM596" s="749"/>
      <c r="BN596" s="749"/>
      <c r="BO596" s="749"/>
      <c r="BP596" s="749"/>
      <c r="BQ596" s="749"/>
      <c r="BR596" s="749"/>
      <c r="BS596" s="749"/>
      <c r="BT596" s="749"/>
      <c r="BU596" s="749"/>
      <c r="BV596" s="749"/>
      <c r="BW596" s="749"/>
      <c r="BX596" s="749"/>
      <c r="BY596" s="749"/>
      <c r="BZ596" s="749"/>
      <c r="CA596" s="749"/>
      <c r="CB596" s="749"/>
      <c r="CC596" s="749"/>
      <c r="CD596" s="749"/>
      <c r="CE596" s="749"/>
      <c r="CF596" s="749"/>
      <c r="CG596" s="749"/>
      <c r="CH596" s="749"/>
      <c r="CI596" s="749"/>
      <c r="CJ596" s="749"/>
      <c r="CK596" s="749"/>
      <c r="CL596" s="749"/>
      <c r="CM596" s="749"/>
      <c r="CN596" s="749"/>
      <c r="CO596" s="749"/>
      <c r="CP596" s="749"/>
      <c r="CQ596" s="749"/>
      <c r="CR596" s="749"/>
      <c r="CS596" s="749"/>
      <c r="CT596" s="749"/>
      <c r="CU596" s="749"/>
      <c r="CV596" s="749"/>
      <c r="CW596" s="749"/>
      <c r="CX596" s="749"/>
      <c r="CY596" s="749"/>
      <c r="CZ596" s="749"/>
      <c r="DA596" s="749"/>
      <c r="DB596" s="749"/>
      <c r="DC596" s="749"/>
      <c r="DD596" s="749"/>
      <c r="DE596" s="749"/>
      <c r="DF596" s="749"/>
      <c r="DG596" s="749"/>
      <c r="DH596" s="749"/>
    </row>
    <row r="597" ht="20.25" customHeight="1">
      <c r="A597" s="892">
        <v>597.0</v>
      </c>
      <c r="B597" s="893" t="s">
        <v>107</v>
      </c>
      <c r="C597" s="836" t="s">
        <v>108</v>
      </c>
      <c r="D597" s="836" t="s">
        <v>2950</v>
      </c>
      <c r="E597" s="749"/>
      <c r="F597" s="848" t="s">
        <v>3305</v>
      </c>
      <c r="G597" s="894" t="s">
        <v>3290</v>
      </c>
      <c r="H597" s="895" t="s">
        <v>2953</v>
      </c>
      <c r="I597" s="896">
        <v>45489.0</v>
      </c>
      <c r="J597" s="896">
        <v>45660.0</v>
      </c>
      <c r="K597" s="837" t="s">
        <v>3291</v>
      </c>
      <c r="L597" s="848"/>
      <c r="M597" s="895" t="s">
        <v>3292</v>
      </c>
      <c r="N597" s="895" t="s">
        <v>3264</v>
      </c>
      <c r="O597" s="897">
        <v>1.0</v>
      </c>
      <c r="P597" s="895" t="s">
        <v>3265</v>
      </c>
      <c r="Q597" s="898" t="str">
        <f t="array" ref="Q597"> if(iserror(MATCH(V597, 'File Links'!C:C, 0)), "N/A", HYPERLINK(INDEX('File Links'!B:B, MATCH(P597, 'File Links'!C:C, 0))))</f>
        <v>https://drive.google.com/file/d/1UoK9lGyVfG2aSVu9UX62d1KXmmkZeMsj/view?usp=drivesdk</v>
      </c>
      <c r="R597" s="895" t="s">
        <v>3266</v>
      </c>
      <c r="S597" s="895" t="s">
        <v>3267</v>
      </c>
      <c r="T597" s="848"/>
      <c r="U597" s="899">
        <v>1.0</v>
      </c>
      <c r="V597" s="837" t="str">
        <f t="shared" si="35"/>
        <v>10.1093--applin--amae042.pdf</v>
      </c>
      <c r="W597" s="895" t="s">
        <v>2955</v>
      </c>
      <c r="X597" s="900" t="str">
        <f t="array" ref="X597"> if(iserror(MATCH(V597, 'File Links'!C:C, 0)), "N/A", HYPERLINK(INDEX('File Links'!B:B, MATCH(V597, 'File Links'!C:C, 0))))</f>
        <v>https://drive.google.com/file/d/1VIxHSn4IKzp_dw4xNX6RMxFlMFrB02Na/view?usp=drivesdk</v>
      </c>
      <c r="Y597" s="749"/>
      <c r="Z597" s="895" t="s">
        <v>288</v>
      </c>
      <c r="AA597" s="837" t="s">
        <v>3293</v>
      </c>
      <c r="AB597" s="837" t="s">
        <v>3294</v>
      </c>
      <c r="AC597" s="848"/>
      <c r="AD597" s="837" t="s">
        <v>3303</v>
      </c>
      <c r="AE597" s="837">
        <v>17.0</v>
      </c>
      <c r="AF597" s="837">
        <v>96.0</v>
      </c>
      <c r="AG597" s="837">
        <v>1.59</v>
      </c>
      <c r="AH597" s="837" t="s">
        <v>715</v>
      </c>
      <c r="AI597" s="837" t="s">
        <v>3296</v>
      </c>
      <c r="AJ597" s="842">
        <v>0.001</v>
      </c>
      <c r="AK597" s="838" t="s">
        <v>128</v>
      </c>
      <c r="AL597" s="838" t="s">
        <v>179</v>
      </c>
      <c r="AM597" s="848" t="s">
        <v>130</v>
      </c>
      <c r="AN597" s="902" t="s">
        <v>131</v>
      </c>
      <c r="AO597" s="837">
        <v>60.0</v>
      </c>
      <c r="AP597" s="848"/>
      <c r="AQ597" s="848"/>
      <c r="AR597" s="848"/>
      <c r="AS597" s="848"/>
      <c r="AT597" s="848"/>
      <c r="AU597" s="848"/>
      <c r="AV597" s="848"/>
      <c r="AW597" s="848"/>
      <c r="AX597" s="848" t="s">
        <v>136</v>
      </c>
      <c r="AY597" s="749"/>
      <c r="AZ597" s="836" t="s">
        <v>685</v>
      </c>
      <c r="BA597" s="749"/>
      <c r="BB597" s="749"/>
      <c r="BC597" s="749"/>
      <c r="BD597" s="749"/>
      <c r="BE597" s="749"/>
      <c r="BF597" s="749"/>
      <c r="BG597" s="749"/>
      <c r="BH597" s="749"/>
      <c r="BI597" s="749"/>
      <c r="BJ597" s="749"/>
      <c r="BK597" s="749"/>
      <c r="BL597" s="749"/>
      <c r="BM597" s="749"/>
      <c r="BN597" s="749"/>
      <c r="BO597" s="749"/>
      <c r="BP597" s="749"/>
      <c r="BQ597" s="749"/>
      <c r="BR597" s="749"/>
      <c r="BS597" s="749"/>
      <c r="BT597" s="749"/>
      <c r="BU597" s="749"/>
      <c r="BV597" s="749"/>
      <c r="BW597" s="749"/>
      <c r="BX597" s="749"/>
      <c r="BY597" s="749"/>
      <c r="BZ597" s="749"/>
      <c r="CA597" s="749"/>
      <c r="CB597" s="749"/>
      <c r="CC597" s="749"/>
      <c r="CD597" s="749"/>
      <c r="CE597" s="749"/>
      <c r="CF597" s="749"/>
      <c r="CG597" s="749"/>
      <c r="CH597" s="749"/>
      <c r="CI597" s="749"/>
      <c r="CJ597" s="749"/>
      <c r="CK597" s="749"/>
      <c r="CL597" s="749"/>
      <c r="CM597" s="749"/>
      <c r="CN597" s="749"/>
      <c r="CO597" s="749"/>
      <c r="CP597" s="749"/>
      <c r="CQ597" s="749"/>
      <c r="CR597" s="749"/>
      <c r="CS597" s="749"/>
      <c r="CT597" s="749"/>
      <c r="CU597" s="749"/>
      <c r="CV597" s="749"/>
      <c r="CW597" s="749"/>
      <c r="CX597" s="749"/>
      <c r="CY597" s="749"/>
      <c r="CZ597" s="749"/>
      <c r="DA597" s="749"/>
      <c r="DB597" s="749"/>
      <c r="DC597" s="749"/>
      <c r="DD597" s="749"/>
      <c r="DE597" s="749"/>
      <c r="DF597" s="749"/>
      <c r="DG597" s="749"/>
      <c r="DH597" s="749"/>
    </row>
    <row r="598" ht="20.25" customHeight="1">
      <c r="A598" s="41">
        <v>598.0</v>
      </c>
      <c r="B598" s="42" t="s">
        <v>278</v>
      </c>
      <c r="C598" s="42" t="s">
        <v>108</v>
      </c>
      <c r="D598" s="42" t="s">
        <v>2923</v>
      </c>
      <c r="E598" s="62"/>
      <c r="F598" s="59" t="s">
        <v>3306</v>
      </c>
      <c r="G598" s="42" t="s">
        <v>3307</v>
      </c>
      <c r="H598" s="42" t="s">
        <v>2926</v>
      </c>
      <c r="I598" s="60">
        <v>45489.0</v>
      </c>
      <c r="J598" s="61">
        <v>45636.0</v>
      </c>
      <c r="K598" s="42" t="s">
        <v>3308</v>
      </c>
      <c r="L598" s="62"/>
      <c r="M598" s="42" t="s">
        <v>3309</v>
      </c>
      <c r="N598" s="42" t="s">
        <v>3310</v>
      </c>
      <c r="O598" s="62"/>
      <c r="P598" s="63" t="s">
        <v>3311</v>
      </c>
      <c r="Q598" s="49" t="str">
        <f t="array" ref="Q598"> if(iserror(MATCH(V598, 'File Links'!C:C, 0)), "N/A", HYPERLINK(INDEX('File Links'!B:B, MATCH(P598, 'File Links'!C:C, 0))))</f>
        <v>https://drive.google.com/file/d/19vVZNnZqbHViA7ik9IZlctpt3T8O8e-i/view?usp=drivesdk</v>
      </c>
      <c r="R598" s="42" t="s">
        <v>3312</v>
      </c>
      <c r="S598" s="42" t="s">
        <v>3313</v>
      </c>
      <c r="T598" s="62"/>
      <c r="U598" s="42"/>
      <c r="V598" s="195" t="str">
        <f t="shared" si="35"/>
        <v>10.1080--13527266.2024.2376918.pdf</v>
      </c>
      <c r="W598" s="62"/>
      <c r="X598" s="51" t="str">
        <f t="array" ref="X598"> if(iserror(MATCH(V598, 'File Links'!C:C, 0)), "N/A", HYPERLINK(INDEX('File Links'!B:B, MATCH(V598, 'File Links'!C:C, 0))))</f>
        <v>https://drive.google.com/file/d/1lBAeCGIckBPanOLBGZwhA7XjuahS_0Dx/view?usp=drivesdk</v>
      </c>
      <c r="Y598" s="62"/>
      <c r="Z598" s="62"/>
      <c r="AA598" s="62"/>
      <c r="AB598" s="62"/>
      <c r="AC598" s="62"/>
      <c r="AD598" s="62"/>
      <c r="AE598" s="62"/>
      <c r="AF598" s="62"/>
      <c r="AG598" s="62"/>
      <c r="AH598" s="42"/>
      <c r="AI598" s="62"/>
      <c r="AJ598" s="62"/>
      <c r="AK598" s="64"/>
      <c r="AL598" s="62"/>
      <c r="AM598" s="62"/>
      <c r="AN598" s="216" t="s">
        <v>131</v>
      </c>
      <c r="AO598" s="62"/>
      <c r="AP598" s="62"/>
      <c r="AQ598" s="62"/>
      <c r="AR598" s="62"/>
      <c r="AS598" s="62"/>
      <c r="AT598" s="64"/>
      <c r="AU598" s="64"/>
      <c r="AV598" s="65"/>
      <c r="AX598" s="64"/>
      <c r="AY598" s="62"/>
      <c r="BA598" s="104"/>
      <c r="BB598" s="104"/>
      <c r="BC598" s="104"/>
      <c r="BD598" s="104"/>
      <c r="BE598" s="104"/>
      <c r="BF598" s="104"/>
      <c r="BG598" s="104"/>
      <c r="BH598" s="104"/>
      <c r="BI598" s="104"/>
      <c r="BJ598" s="104"/>
      <c r="BK598" s="104"/>
      <c r="BL598" s="104"/>
      <c r="BM598" s="104"/>
      <c r="BN598" s="104"/>
      <c r="BO598" s="104"/>
      <c r="BP598" s="104"/>
      <c r="BQ598" s="104"/>
      <c r="BR598" s="104"/>
      <c r="BS598" s="104"/>
      <c r="BT598" s="104"/>
      <c r="BU598" s="104"/>
      <c r="BV598" s="104"/>
      <c r="BW598" s="104"/>
      <c r="BX598" s="104"/>
      <c r="BY598" s="104"/>
      <c r="BZ598" s="104"/>
      <c r="CA598" s="104"/>
      <c r="CB598" s="104"/>
      <c r="CC598" s="104"/>
      <c r="CD598" s="104"/>
      <c r="CE598" s="104"/>
      <c r="CF598" s="104"/>
      <c r="CG598" s="104"/>
      <c r="CH598" s="104"/>
      <c r="CI598" s="104"/>
      <c r="CJ598" s="104"/>
      <c r="CK598" s="104"/>
      <c r="CL598" s="104"/>
      <c r="CM598" s="104"/>
      <c r="CN598" s="104"/>
      <c r="CO598" s="104"/>
      <c r="CP598" s="104"/>
      <c r="CQ598" s="104"/>
      <c r="CR598" s="104"/>
      <c r="CS598" s="104"/>
      <c r="CT598" s="104"/>
      <c r="CU598" s="104"/>
      <c r="CV598" s="104"/>
      <c r="CW598" s="104"/>
      <c r="CX598" s="104"/>
      <c r="CY598" s="104"/>
      <c r="CZ598" s="104"/>
      <c r="DA598" s="104"/>
      <c r="DB598" s="104"/>
      <c r="DC598" s="104"/>
      <c r="DD598" s="104"/>
      <c r="DE598" s="104"/>
      <c r="DF598" s="104"/>
      <c r="DG598" s="104"/>
      <c r="DH598" s="104"/>
    </row>
    <row r="599" ht="20.25" customHeight="1">
      <c r="A599" s="351">
        <v>599.0</v>
      </c>
      <c r="B599" s="121" t="s">
        <v>107</v>
      </c>
      <c r="C599" s="121" t="s">
        <v>108</v>
      </c>
      <c r="D599" s="121" t="s">
        <v>983</v>
      </c>
      <c r="E599" s="104"/>
      <c r="F599" s="137" t="s">
        <v>3314</v>
      </c>
      <c r="G599" s="123" t="s">
        <v>3315</v>
      </c>
      <c r="H599" s="123" t="s">
        <v>137</v>
      </c>
      <c r="I599" s="314">
        <v>45489.0</v>
      </c>
      <c r="J599" s="124">
        <v>45636.0</v>
      </c>
      <c r="K599" s="129"/>
      <c r="L599" s="129"/>
      <c r="M599" s="123" t="s">
        <v>3316</v>
      </c>
      <c r="N599" s="123" t="s">
        <v>3317</v>
      </c>
      <c r="O599" s="127">
        <v>1.0</v>
      </c>
      <c r="P599" s="220" t="s">
        <v>3318</v>
      </c>
      <c r="Q599" s="903" t="str">
        <f t="array" ref="Q599"> if(iserror(MATCH(V599, 'File Links'!C:C, 0)), "N/A", HYPERLINK(INDEX('File Links'!B:B, MATCH(P599, 'File Links'!C:C, 0))))</f>
        <v>https://drive.google.com/file/d/1-cST4Xer2glOXMG5eTrJVkRfofzfqFTW/view?usp=drivesdk</v>
      </c>
      <c r="R599" s="123" t="s">
        <v>3319</v>
      </c>
      <c r="S599" s="123" t="s">
        <v>3320</v>
      </c>
      <c r="T599" s="129"/>
      <c r="U599" s="130">
        <v>1.0</v>
      </c>
      <c r="V599" s="137" t="str">
        <f t="shared" si="35"/>
        <v>10.31234--osf.io--xr6bn.pdf</v>
      </c>
      <c r="W599" s="904" t="s">
        <v>665</v>
      </c>
      <c r="X599" s="905" t="str">
        <f t="array" ref="X599"> if(iserror(MATCH(V599, 'File Links'!C:C, 0)), "N/A", HYPERLINK(INDEX('File Links'!B:B, MATCH(V599, 'File Links'!C:C, 0))))</f>
        <v>https://drive.google.com/file/d/1JQppLKOXxrmIyxFhDZtY85ZoIv_TVdh_/view?usp=drivesdk</v>
      </c>
      <c r="Y599" s="129"/>
      <c r="Z599" s="123" t="s">
        <v>141</v>
      </c>
      <c r="AA599" s="123" t="s">
        <v>3321</v>
      </c>
      <c r="AB599" s="123" t="s">
        <v>3322</v>
      </c>
      <c r="AC599" s="123" t="s">
        <v>3323</v>
      </c>
      <c r="AD599" s="123" t="s">
        <v>3324</v>
      </c>
      <c r="AE599" s="127">
        <v>3.0</v>
      </c>
      <c r="AF599" s="127">
        <v>41.0</v>
      </c>
      <c r="AG599" s="127">
        <v>0.6</v>
      </c>
      <c r="AH599" s="220" t="s">
        <v>3325</v>
      </c>
      <c r="AI599" s="129"/>
      <c r="AJ599" s="129"/>
      <c r="AK599" s="122"/>
      <c r="AL599" s="129"/>
      <c r="AM599" s="129"/>
      <c r="AN599" s="216" t="s">
        <v>131</v>
      </c>
      <c r="AO599" s="127">
        <v>182.0</v>
      </c>
      <c r="AP599" s="127">
        <v>0.45</v>
      </c>
      <c r="AQ599" s="123" t="s">
        <v>3325</v>
      </c>
      <c r="AR599" s="127">
        <v>19.0</v>
      </c>
      <c r="AS599" s="129"/>
      <c r="AT599" s="122"/>
      <c r="AU599" s="137" t="s">
        <v>179</v>
      </c>
      <c r="AV599" s="122" t="s">
        <v>130</v>
      </c>
      <c r="AW599" s="667" t="s">
        <v>3326</v>
      </c>
      <c r="AX599" s="906" t="s">
        <v>136</v>
      </c>
      <c r="AY599" s="129"/>
      <c r="AZ599" s="121" t="s">
        <v>685</v>
      </c>
      <c r="BA599" s="104"/>
      <c r="BB599" s="104"/>
      <c r="BC599" s="104"/>
      <c r="BD599" s="104"/>
      <c r="BE599" s="104"/>
      <c r="BF599" s="104"/>
      <c r="BG599" s="104"/>
      <c r="BH599" s="104"/>
      <c r="BI599" s="104"/>
      <c r="BJ599" s="104"/>
      <c r="BK599" s="104"/>
      <c r="BL599" s="104"/>
      <c r="BM599" s="104"/>
      <c r="BN599" s="104"/>
      <c r="BO599" s="104"/>
      <c r="BP599" s="104"/>
      <c r="BQ599" s="104"/>
      <c r="BR599" s="104"/>
      <c r="BS599" s="104"/>
      <c r="BT599" s="104"/>
      <c r="BU599" s="104"/>
      <c r="BV599" s="104"/>
      <c r="BW599" s="104"/>
      <c r="BX599" s="104"/>
      <c r="BY599" s="104"/>
      <c r="BZ599" s="104"/>
      <c r="CA599" s="104"/>
      <c r="CB599" s="104"/>
      <c r="CC599" s="104"/>
      <c r="CD599" s="104"/>
      <c r="CE599" s="104"/>
      <c r="CF599" s="104"/>
      <c r="CG599" s="104"/>
      <c r="CH599" s="104"/>
      <c r="CI599" s="104"/>
      <c r="CJ599" s="104"/>
      <c r="CK599" s="104"/>
      <c r="CL599" s="104"/>
      <c r="CM599" s="104"/>
      <c r="CN599" s="104"/>
      <c r="CO599" s="104"/>
      <c r="CP599" s="104"/>
      <c r="CQ599" s="104"/>
      <c r="CR599" s="104"/>
      <c r="CS599" s="104"/>
      <c r="CT599" s="104"/>
      <c r="CU599" s="104"/>
      <c r="CV599" s="104"/>
      <c r="CW599" s="104"/>
      <c r="CX599" s="104"/>
      <c r="CY599" s="104"/>
      <c r="CZ599" s="104"/>
      <c r="DA599" s="104"/>
      <c r="DB599" s="104"/>
      <c r="DC599" s="104"/>
      <c r="DD599" s="104"/>
      <c r="DE599" s="104"/>
      <c r="DF599" s="104"/>
      <c r="DG599" s="104"/>
      <c r="DH599" s="104"/>
    </row>
    <row r="600" ht="20.25" customHeight="1">
      <c r="A600" s="351">
        <v>600.0</v>
      </c>
      <c r="B600" s="121" t="s">
        <v>107</v>
      </c>
      <c r="C600" s="121" t="s">
        <v>108</v>
      </c>
      <c r="D600" s="121" t="s">
        <v>983</v>
      </c>
      <c r="E600" s="104"/>
      <c r="F600" s="137" t="s">
        <v>3314</v>
      </c>
      <c r="G600" s="123" t="s">
        <v>3327</v>
      </c>
      <c r="H600" s="123" t="s">
        <v>137</v>
      </c>
      <c r="I600" s="314">
        <v>45489.0</v>
      </c>
      <c r="J600" s="124">
        <v>45636.0</v>
      </c>
      <c r="K600" s="129"/>
      <c r="L600" s="129"/>
      <c r="M600" s="123" t="s">
        <v>3316</v>
      </c>
      <c r="N600" s="123" t="s">
        <v>3317</v>
      </c>
      <c r="O600" s="127">
        <v>1.0</v>
      </c>
      <c r="P600" s="220" t="s">
        <v>3318</v>
      </c>
      <c r="Q600" s="903" t="str">
        <f t="array" ref="Q600"> if(iserror(MATCH(V600, 'File Links'!C:C, 0)), "N/A", HYPERLINK(INDEX('File Links'!B:B, MATCH(P600, 'File Links'!C:C, 0))))</f>
        <v>https://drive.google.com/file/d/1-cST4Xer2glOXMG5eTrJVkRfofzfqFTW/view?usp=drivesdk</v>
      </c>
      <c r="R600" s="123" t="s">
        <v>3319</v>
      </c>
      <c r="S600" s="123" t="s">
        <v>3320</v>
      </c>
      <c r="T600" s="129"/>
      <c r="U600" s="102"/>
      <c r="V600" s="137" t="str">
        <f t="shared" si="35"/>
        <v>10.31234--osf.io--xr6bn.pdf</v>
      </c>
      <c r="W600" s="904" t="s">
        <v>665</v>
      </c>
      <c r="X600" s="905" t="str">
        <f t="array" ref="X600"> if(iserror(MATCH(V600, 'File Links'!C:C, 0)), "N/A", HYPERLINK(INDEX('File Links'!B:B, MATCH(V600, 'File Links'!C:C, 0))))</f>
        <v>https://drive.google.com/file/d/1JQppLKOXxrmIyxFhDZtY85ZoIv_TVdh_/view?usp=drivesdk</v>
      </c>
      <c r="Y600" s="129"/>
      <c r="Z600" s="123" t="s">
        <v>141</v>
      </c>
      <c r="AA600" s="123" t="s">
        <v>3321</v>
      </c>
      <c r="AB600" s="123" t="s">
        <v>3322</v>
      </c>
      <c r="AC600" s="123" t="s">
        <v>3328</v>
      </c>
      <c r="AD600" s="123" t="s">
        <v>3329</v>
      </c>
      <c r="AE600" s="127">
        <v>3.0</v>
      </c>
      <c r="AF600" s="127">
        <v>40.0</v>
      </c>
      <c r="AG600" s="127">
        <v>0.5</v>
      </c>
      <c r="AH600" s="220" t="s">
        <v>3325</v>
      </c>
      <c r="AI600" s="129"/>
      <c r="AJ600" s="129"/>
      <c r="AK600" s="122"/>
      <c r="AL600" s="129"/>
      <c r="AM600" s="129"/>
      <c r="AN600" s="216" t="s">
        <v>131</v>
      </c>
      <c r="AO600" s="127">
        <v>182.0</v>
      </c>
      <c r="AP600" s="127">
        <v>0.61</v>
      </c>
      <c r="AQ600" s="123" t="s">
        <v>3325</v>
      </c>
      <c r="AR600" s="127">
        <v>19.0</v>
      </c>
      <c r="AS600" s="129"/>
      <c r="AT600" s="122"/>
      <c r="AU600" s="137" t="s">
        <v>179</v>
      </c>
      <c r="AV600" s="122" t="s">
        <v>130</v>
      </c>
      <c r="AW600" s="667" t="s">
        <v>3326</v>
      </c>
      <c r="AX600" s="906" t="s">
        <v>136</v>
      </c>
      <c r="AY600" s="129"/>
      <c r="AZ600" s="121" t="s">
        <v>685</v>
      </c>
      <c r="BA600" s="104"/>
      <c r="BB600" s="104"/>
      <c r="BC600" s="104"/>
      <c r="BD600" s="104"/>
      <c r="BE600" s="104"/>
      <c r="BF600" s="104"/>
      <c r="BG600" s="104"/>
      <c r="BH600" s="104"/>
      <c r="BI600" s="104"/>
      <c r="BJ600" s="104"/>
      <c r="BK600" s="104"/>
      <c r="BL600" s="104"/>
      <c r="BM600" s="104"/>
      <c r="BN600" s="104"/>
      <c r="BO600" s="104"/>
      <c r="BP600" s="104"/>
      <c r="BQ600" s="104"/>
      <c r="BR600" s="104"/>
      <c r="BS600" s="104"/>
      <c r="BT600" s="104"/>
      <c r="BU600" s="104"/>
      <c r="BV600" s="104"/>
      <c r="BW600" s="104"/>
      <c r="BX600" s="104"/>
      <c r="BY600" s="104"/>
      <c r="BZ600" s="104"/>
      <c r="CA600" s="104"/>
      <c r="CB600" s="104"/>
      <c r="CC600" s="104"/>
      <c r="CD600" s="104"/>
      <c r="CE600" s="104"/>
      <c r="CF600" s="104"/>
      <c r="CG600" s="104"/>
      <c r="CH600" s="104"/>
      <c r="CI600" s="104"/>
      <c r="CJ600" s="104"/>
      <c r="CK600" s="104"/>
      <c r="CL600" s="104"/>
      <c r="CM600" s="104"/>
      <c r="CN600" s="104"/>
      <c r="CO600" s="104"/>
      <c r="CP600" s="104"/>
      <c r="CQ600" s="104"/>
      <c r="CR600" s="104"/>
      <c r="CS600" s="104"/>
      <c r="CT600" s="104"/>
      <c r="CU600" s="104"/>
      <c r="CV600" s="104"/>
      <c r="CW600" s="104"/>
      <c r="CX600" s="104"/>
      <c r="CY600" s="104"/>
      <c r="CZ600" s="104"/>
      <c r="DA600" s="104"/>
      <c r="DB600" s="104"/>
      <c r="DC600" s="104"/>
      <c r="DD600" s="104"/>
      <c r="DE600" s="104"/>
      <c r="DF600" s="104"/>
      <c r="DG600" s="104"/>
      <c r="DH600" s="104"/>
    </row>
    <row r="601" ht="20.25" customHeight="1">
      <c r="A601" s="351">
        <v>601.0</v>
      </c>
      <c r="B601" s="121" t="s">
        <v>107</v>
      </c>
      <c r="C601" s="121" t="s">
        <v>108</v>
      </c>
      <c r="D601" s="121" t="s">
        <v>983</v>
      </c>
      <c r="E601" s="104"/>
      <c r="F601" s="137" t="s">
        <v>3314</v>
      </c>
      <c r="G601" s="123" t="s">
        <v>3330</v>
      </c>
      <c r="H601" s="123" t="s">
        <v>137</v>
      </c>
      <c r="I601" s="314">
        <v>45489.0</v>
      </c>
      <c r="J601" s="124">
        <v>45636.0</v>
      </c>
      <c r="K601" s="129"/>
      <c r="L601" s="129"/>
      <c r="M601" s="123" t="s">
        <v>3316</v>
      </c>
      <c r="N601" s="123" t="s">
        <v>3317</v>
      </c>
      <c r="O601" s="127">
        <v>1.0</v>
      </c>
      <c r="P601" s="220" t="s">
        <v>3318</v>
      </c>
      <c r="Q601" s="903" t="str">
        <f t="array" ref="Q601"> if(iserror(MATCH(V601, 'File Links'!C:C, 0)), "N/A", HYPERLINK(INDEX('File Links'!B:B, MATCH(P601, 'File Links'!C:C, 0))))</f>
        <v>https://drive.google.com/file/d/1-cST4Xer2glOXMG5eTrJVkRfofzfqFTW/view?usp=drivesdk</v>
      </c>
      <c r="R601" s="123" t="s">
        <v>3319</v>
      </c>
      <c r="S601" s="123" t="s">
        <v>3320</v>
      </c>
      <c r="T601" s="129"/>
      <c r="U601" s="130">
        <v>1.0</v>
      </c>
      <c r="V601" s="137" t="str">
        <f t="shared" si="35"/>
        <v>10.31234--osf.io--xr6bn.pdf</v>
      </c>
      <c r="W601" s="904" t="s">
        <v>665</v>
      </c>
      <c r="X601" s="905" t="str">
        <f t="array" ref="X601"> if(iserror(MATCH(V601, 'File Links'!C:C, 0)), "N/A", HYPERLINK(INDEX('File Links'!B:B, MATCH(V601, 'File Links'!C:C, 0))))</f>
        <v>https://drive.google.com/file/d/1JQppLKOXxrmIyxFhDZtY85ZoIv_TVdh_/view?usp=drivesdk</v>
      </c>
      <c r="Y601" s="129"/>
      <c r="Z601" s="123" t="s">
        <v>141</v>
      </c>
      <c r="AA601" s="123" t="s">
        <v>3321</v>
      </c>
      <c r="AB601" s="123" t="s">
        <v>3322</v>
      </c>
      <c r="AC601" s="123" t="s">
        <v>3331</v>
      </c>
      <c r="AD601" s="123" t="s">
        <v>3332</v>
      </c>
      <c r="AE601" s="127">
        <v>3.0</v>
      </c>
      <c r="AF601" s="127">
        <v>40.0</v>
      </c>
      <c r="AG601" s="127">
        <v>0.6</v>
      </c>
      <c r="AH601" s="220" t="s">
        <v>3325</v>
      </c>
      <c r="AI601" s="129"/>
      <c r="AJ601" s="129"/>
      <c r="AK601" s="122"/>
      <c r="AL601" s="129"/>
      <c r="AM601" s="129"/>
      <c r="AN601" s="216" t="s">
        <v>131</v>
      </c>
      <c r="AO601" s="127">
        <v>182.0</v>
      </c>
      <c r="AP601" s="127">
        <v>0.61</v>
      </c>
      <c r="AQ601" s="123" t="s">
        <v>3325</v>
      </c>
      <c r="AR601" s="127">
        <v>19.0</v>
      </c>
      <c r="AS601" s="129"/>
      <c r="AT601" s="122"/>
      <c r="AU601" s="137" t="s">
        <v>179</v>
      </c>
      <c r="AV601" s="122" t="s">
        <v>130</v>
      </c>
      <c r="AW601" s="667" t="s">
        <v>3326</v>
      </c>
      <c r="AX601" s="906" t="s">
        <v>136</v>
      </c>
      <c r="AY601" s="129"/>
      <c r="AZ601" s="121" t="s">
        <v>685</v>
      </c>
      <c r="BA601" s="104"/>
      <c r="BB601" s="104"/>
      <c r="BC601" s="104"/>
      <c r="BD601" s="104"/>
      <c r="BE601" s="104"/>
      <c r="BF601" s="104"/>
      <c r="BG601" s="104"/>
      <c r="BH601" s="104"/>
      <c r="BI601" s="104"/>
      <c r="BJ601" s="104"/>
      <c r="BK601" s="104"/>
      <c r="BL601" s="104"/>
      <c r="BM601" s="104"/>
      <c r="BN601" s="104"/>
      <c r="BO601" s="104"/>
      <c r="BP601" s="104"/>
      <c r="BQ601" s="104"/>
      <c r="BR601" s="104"/>
      <c r="BS601" s="104"/>
      <c r="BT601" s="104"/>
      <c r="BU601" s="104"/>
      <c r="BV601" s="104"/>
      <c r="BW601" s="104"/>
      <c r="BX601" s="104"/>
      <c r="BY601" s="104"/>
      <c r="BZ601" s="104"/>
      <c r="CA601" s="104"/>
      <c r="CB601" s="104"/>
      <c r="CC601" s="104"/>
      <c r="CD601" s="104"/>
      <c r="CE601" s="104"/>
      <c r="CF601" s="104"/>
      <c r="CG601" s="104"/>
      <c r="CH601" s="104"/>
      <c r="CI601" s="104"/>
      <c r="CJ601" s="104"/>
      <c r="CK601" s="104"/>
      <c r="CL601" s="104"/>
      <c r="CM601" s="104"/>
      <c r="CN601" s="104"/>
      <c r="CO601" s="104"/>
      <c r="CP601" s="104"/>
      <c r="CQ601" s="104"/>
      <c r="CR601" s="104"/>
      <c r="CS601" s="104"/>
      <c r="CT601" s="104"/>
      <c r="CU601" s="104"/>
      <c r="CV601" s="104"/>
      <c r="CW601" s="104"/>
      <c r="CX601" s="104"/>
      <c r="CY601" s="104"/>
      <c r="CZ601" s="104"/>
      <c r="DA601" s="104"/>
      <c r="DB601" s="104"/>
      <c r="DC601" s="104"/>
      <c r="DD601" s="104"/>
      <c r="DE601" s="104"/>
      <c r="DF601" s="104"/>
      <c r="DG601" s="104"/>
      <c r="DH601" s="104"/>
    </row>
    <row r="602" ht="20.25" customHeight="1">
      <c r="A602" s="351">
        <v>602.0</v>
      </c>
      <c r="B602" s="121" t="s">
        <v>107</v>
      </c>
      <c r="C602" s="121" t="s">
        <v>108</v>
      </c>
      <c r="D602" s="121" t="s">
        <v>983</v>
      </c>
      <c r="E602" s="104"/>
      <c r="F602" s="137" t="s">
        <v>3314</v>
      </c>
      <c r="G602" s="123" t="s">
        <v>3333</v>
      </c>
      <c r="H602" s="123" t="s">
        <v>137</v>
      </c>
      <c r="I602" s="314">
        <v>45489.0</v>
      </c>
      <c r="J602" s="124">
        <v>45637.0</v>
      </c>
      <c r="K602" s="129"/>
      <c r="L602" s="129"/>
      <c r="M602" s="123" t="s">
        <v>3316</v>
      </c>
      <c r="N602" s="123" t="s">
        <v>3317</v>
      </c>
      <c r="O602" s="127">
        <v>1.0</v>
      </c>
      <c r="P602" s="220" t="s">
        <v>3318</v>
      </c>
      <c r="Q602" s="903" t="str">
        <f t="array" ref="Q602"> if(iserror(MATCH(V602, 'File Links'!C:C, 0)), "N/A", HYPERLINK(INDEX('File Links'!B:B, MATCH(P602, 'File Links'!C:C, 0))))</f>
        <v>https://drive.google.com/file/d/1-cST4Xer2glOXMG5eTrJVkRfofzfqFTW/view?usp=drivesdk</v>
      </c>
      <c r="R602" s="123" t="s">
        <v>3319</v>
      </c>
      <c r="S602" s="123" t="s">
        <v>3320</v>
      </c>
      <c r="T602" s="129"/>
      <c r="U602" s="130">
        <v>1.0</v>
      </c>
      <c r="V602" s="137" t="str">
        <f t="shared" si="35"/>
        <v>10.31234--osf.io--xr6bn.pdf</v>
      </c>
      <c r="W602" s="904" t="s">
        <v>665</v>
      </c>
      <c r="X602" s="905" t="str">
        <f t="array" ref="X602"> if(iserror(MATCH(V602, 'File Links'!C:C, 0)), "N/A", HYPERLINK(INDEX('File Links'!B:B, MATCH(V602, 'File Links'!C:C, 0))))</f>
        <v>https://drive.google.com/file/d/1JQppLKOXxrmIyxFhDZtY85ZoIv_TVdh_/view?usp=drivesdk</v>
      </c>
      <c r="Y602" s="129"/>
      <c r="Z602" s="123" t="s">
        <v>141</v>
      </c>
      <c r="AA602" s="123" t="s">
        <v>3321</v>
      </c>
      <c r="AB602" s="123" t="s">
        <v>3322</v>
      </c>
      <c r="AC602" s="123" t="s">
        <v>3323</v>
      </c>
      <c r="AD602" s="123" t="s">
        <v>3324</v>
      </c>
      <c r="AE602" s="127">
        <v>3.0</v>
      </c>
      <c r="AF602" s="127">
        <v>41.0</v>
      </c>
      <c r="AG602" s="127">
        <v>0.6</v>
      </c>
      <c r="AH602" s="220" t="s">
        <v>3325</v>
      </c>
      <c r="AI602" s="129"/>
      <c r="AJ602" s="129"/>
      <c r="AK602" s="122"/>
      <c r="AL602" s="129"/>
      <c r="AM602" s="129"/>
      <c r="AN602" s="216" t="s">
        <v>131</v>
      </c>
      <c r="AO602" s="127">
        <v>182.0</v>
      </c>
      <c r="AP602" s="127">
        <v>0.43</v>
      </c>
      <c r="AQ602" s="129" t="s">
        <v>3334</v>
      </c>
      <c r="AR602" s="127">
        <v>20.0</v>
      </c>
      <c r="AS602" s="129"/>
      <c r="AT602" s="122"/>
      <c r="AU602" s="137" t="s">
        <v>179</v>
      </c>
      <c r="AV602" s="122" t="s">
        <v>130</v>
      </c>
      <c r="AW602" s="667" t="s">
        <v>3326</v>
      </c>
      <c r="AX602" s="906" t="s">
        <v>144</v>
      </c>
      <c r="AY602" s="129"/>
      <c r="AZ602" s="121" t="s">
        <v>685</v>
      </c>
      <c r="BA602" s="104"/>
      <c r="BB602" s="104"/>
      <c r="BC602" s="104"/>
      <c r="BD602" s="104"/>
      <c r="BE602" s="104"/>
      <c r="BF602" s="104"/>
      <c r="BG602" s="104"/>
      <c r="BH602" s="104"/>
      <c r="BI602" s="104"/>
      <c r="BJ602" s="104"/>
      <c r="BK602" s="104"/>
      <c r="BL602" s="104"/>
      <c r="BM602" s="104"/>
      <c r="BN602" s="104"/>
      <c r="BO602" s="104"/>
      <c r="BP602" s="104"/>
      <c r="BQ602" s="104"/>
      <c r="BR602" s="104"/>
      <c r="BS602" s="104"/>
      <c r="BT602" s="104"/>
      <c r="BU602" s="104"/>
      <c r="BV602" s="104"/>
      <c r="BW602" s="104"/>
      <c r="BX602" s="104"/>
      <c r="BY602" s="104"/>
      <c r="BZ602" s="104"/>
      <c r="CA602" s="104"/>
      <c r="CB602" s="104"/>
      <c r="CC602" s="104"/>
      <c r="CD602" s="104"/>
      <c r="CE602" s="104"/>
      <c r="CF602" s="104"/>
      <c r="CG602" s="104"/>
      <c r="CH602" s="104"/>
      <c r="CI602" s="104"/>
      <c r="CJ602" s="104"/>
      <c r="CK602" s="104"/>
      <c r="CL602" s="104"/>
      <c r="CM602" s="104"/>
      <c r="CN602" s="104"/>
      <c r="CO602" s="104"/>
      <c r="CP602" s="104"/>
      <c r="CQ602" s="104"/>
      <c r="CR602" s="104"/>
      <c r="CS602" s="104"/>
      <c r="CT602" s="104"/>
      <c r="CU602" s="104"/>
      <c r="CV602" s="104"/>
      <c r="CW602" s="104"/>
      <c r="CX602" s="104"/>
      <c r="CY602" s="104"/>
      <c r="CZ602" s="104"/>
      <c r="DA602" s="104"/>
      <c r="DB602" s="104"/>
      <c r="DC602" s="104"/>
      <c r="DD602" s="104"/>
      <c r="DE602" s="104"/>
      <c r="DF602" s="104"/>
      <c r="DG602" s="104"/>
      <c r="DH602" s="104"/>
    </row>
    <row r="603" ht="20.25" customHeight="1">
      <c r="A603" s="351">
        <v>603.0</v>
      </c>
      <c r="B603" s="121" t="s">
        <v>107</v>
      </c>
      <c r="C603" s="121" t="s">
        <v>108</v>
      </c>
      <c r="D603" s="121" t="s">
        <v>983</v>
      </c>
      <c r="E603" s="104"/>
      <c r="F603" s="137" t="s">
        <v>3314</v>
      </c>
      <c r="G603" s="123" t="s">
        <v>3335</v>
      </c>
      <c r="H603" s="123" t="s">
        <v>137</v>
      </c>
      <c r="I603" s="314">
        <v>45489.0</v>
      </c>
      <c r="J603" s="124">
        <v>45637.0</v>
      </c>
      <c r="K603" s="129"/>
      <c r="L603" s="129"/>
      <c r="M603" s="123" t="s">
        <v>3316</v>
      </c>
      <c r="N603" s="123" t="s">
        <v>3317</v>
      </c>
      <c r="O603" s="127">
        <v>1.0</v>
      </c>
      <c r="P603" s="220" t="s">
        <v>3318</v>
      </c>
      <c r="Q603" s="903" t="str">
        <f t="array" ref="Q603"> if(iserror(MATCH(V603, 'File Links'!C:C, 0)), "N/A", HYPERLINK(INDEX('File Links'!B:B, MATCH(P603, 'File Links'!C:C, 0))))</f>
        <v>https://drive.google.com/file/d/1-cST4Xer2glOXMG5eTrJVkRfofzfqFTW/view?usp=drivesdk</v>
      </c>
      <c r="R603" s="123" t="s">
        <v>3319</v>
      </c>
      <c r="S603" s="123" t="s">
        <v>3320</v>
      </c>
      <c r="T603" s="129"/>
      <c r="U603" s="130">
        <v>1.0</v>
      </c>
      <c r="V603" s="137" t="str">
        <f t="shared" si="35"/>
        <v>10.31234--osf.io--xr6bn.pdf</v>
      </c>
      <c r="W603" s="904" t="s">
        <v>665</v>
      </c>
      <c r="X603" s="905" t="str">
        <f t="array" ref="X603"> if(iserror(MATCH(V603, 'File Links'!C:C, 0)), "N/A", HYPERLINK(INDEX('File Links'!B:B, MATCH(V603, 'File Links'!C:C, 0))))</f>
        <v>https://drive.google.com/file/d/1JQppLKOXxrmIyxFhDZtY85ZoIv_TVdh_/view?usp=drivesdk</v>
      </c>
      <c r="Y603" s="129"/>
      <c r="Z603" s="123" t="s">
        <v>141</v>
      </c>
      <c r="AA603" s="123" t="s">
        <v>3321</v>
      </c>
      <c r="AB603" s="123" t="s">
        <v>3322</v>
      </c>
      <c r="AC603" s="123" t="s">
        <v>3328</v>
      </c>
      <c r="AD603" s="123" t="s">
        <v>3329</v>
      </c>
      <c r="AE603" s="127">
        <v>3.0</v>
      </c>
      <c r="AF603" s="127">
        <v>40.0</v>
      </c>
      <c r="AG603" s="127">
        <v>0.5</v>
      </c>
      <c r="AH603" s="220" t="s">
        <v>3325</v>
      </c>
      <c r="AI603" s="129"/>
      <c r="AJ603" s="129"/>
      <c r="AK603" s="122"/>
      <c r="AL603" s="129"/>
      <c r="AM603" s="129"/>
      <c r="AN603" s="216" t="s">
        <v>131</v>
      </c>
      <c r="AO603" s="127">
        <v>182.0</v>
      </c>
      <c r="AP603" s="127">
        <v>0.64</v>
      </c>
      <c r="AQ603" s="129" t="s">
        <v>3334</v>
      </c>
      <c r="AR603" s="127">
        <v>20.0</v>
      </c>
      <c r="AS603" s="129"/>
      <c r="AT603" s="122"/>
      <c r="AU603" s="137" t="s">
        <v>179</v>
      </c>
      <c r="AV603" s="122" t="s">
        <v>130</v>
      </c>
      <c r="AW603" s="667" t="s">
        <v>3326</v>
      </c>
      <c r="AX603" s="906" t="s">
        <v>144</v>
      </c>
      <c r="AY603" s="129"/>
      <c r="AZ603" s="121" t="s">
        <v>685</v>
      </c>
      <c r="BA603" s="104"/>
      <c r="BB603" s="104"/>
      <c r="BC603" s="104"/>
      <c r="BD603" s="104"/>
      <c r="BE603" s="104"/>
      <c r="BF603" s="104"/>
      <c r="BG603" s="104"/>
      <c r="BH603" s="104"/>
      <c r="BI603" s="104"/>
      <c r="BJ603" s="104"/>
      <c r="BK603" s="104"/>
      <c r="BL603" s="104"/>
      <c r="BM603" s="104"/>
      <c r="BN603" s="104"/>
      <c r="BO603" s="104"/>
      <c r="BP603" s="104"/>
      <c r="BQ603" s="104"/>
      <c r="BR603" s="104"/>
      <c r="BS603" s="104"/>
      <c r="BT603" s="104"/>
      <c r="BU603" s="104"/>
      <c r="BV603" s="104"/>
      <c r="BW603" s="104"/>
      <c r="BX603" s="104"/>
      <c r="BY603" s="104"/>
      <c r="BZ603" s="104"/>
      <c r="CA603" s="104"/>
      <c r="CB603" s="104"/>
      <c r="CC603" s="104"/>
      <c r="CD603" s="104"/>
      <c r="CE603" s="104"/>
      <c r="CF603" s="104"/>
      <c r="CG603" s="104"/>
      <c r="CH603" s="104"/>
      <c r="CI603" s="104"/>
      <c r="CJ603" s="104"/>
      <c r="CK603" s="104"/>
      <c r="CL603" s="104"/>
      <c r="CM603" s="104"/>
      <c r="CN603" s="104"/>
      <c r="CO603" s="104"/>
      <c r="CP603" s="104"/>
      <c r="CQ603" s="104"/>
      <c r="CR603" s="104"/>
      <c r="CS603" s="104"/>
      <c r="CT603" s="104"/>
      <c r="CU603" s="104"/>
      <c r="CV603" s="104"/>
      <c r="CW603" s="104"/>
      <c r="CX603" s="104"/>
      <c r="CY603" s="104"/>
      <c r="CZ603" s="104"/>
      <c r="DA603" s="104"/>
      <c r="DB603" s="104"/>
      <c r="DC603" s="104"/>
      <c r="DD603" s="104"/>
      <c r="DE603" s="104"/>
      <c r="DF603" s="104"/>
      <c r="DG603" s="104"/>
      <c r="DH603" s="104"/>
    </row>
    <row r="604" ht="20.25" customHeight="1">
      <c r="A604" s="351">
        <v>604.0</v>
      </c>
      <c r="B604" s="121" t="s">
        <v>107</v>
      </c>
      <c r="C604" s="121" t="s">
        <v>108</v>
      </c>
      <c r="D604" s="121" t="s">
        <v>983</v>
      </c>
      <c r="E604" s="104"/>
      <c r="F604" s="137" t="s">
        <v>3314</v>
      </c>
      <c r="G604" s="123" t="s">
        <v>3336</v>
      </c>
      <c r="H604" s="123" t="s">
        <v>137</v>
      </c>
      <c r="I604" s="314">
        <v>45489.0</v>
      </c>
      <c r="J604" s="124">
        <v>45637.0</v>
      </c>
      <c r="K604" s="129"/>
      <c r="L604" s="129"/>
      <c r="M604" s="123" t="s">
        <v>3316</v>
      </c>
      <c r="N604" s="123" t="s">
        <v>3317</v>
      </c>
      <c r="O604" s="127">
        <v>1.0</v>
      </c>
      <c r="P604" s="220" t="s">
        <v>3318</v>
      </c>
      <c r="Q604" s="903" t="str">
        <f t="array" ref="Q604"> if(iserror(MATCH(V604, 'File Links'!C:C, 0)), "N/A", HYPERLINK(INDEX('File Links'!B:B, MATCH(P604, 'File Links'!C:C, 0))))</f>
        <v>https://drive.google.com/file/d/1-cST4Xer2glOXMG5eTrJVkRfofzfqFTW/view?usp=drivesdk</v>
      </c>
      <c r="R604" s="123" t="s">
        <v>3319</v>
      </c>
      <c r="S604" s="123" t="s">
        <v>3320</v>
      </c>
      <c r="T604" s="129"/>
      <c r="U604" s="130">
        <v>1.0</v>
      </c>
      <c r="V604" s="137" t="str">
        <f t="shared" si="35"/>
        <v>10.31234--osf.io--xr6bn.pdf</v>
      </c>
      <c r="W604" s="904" t="s">
        <v>665</v>
      </c>
      <c r="X604" s="905" t="str">
        <f t="array" ref="X604"> if(iserror(MATCH(V604, 'File Links'!C:C, 0)), "N/A", HYPERLINK(INDEX('File Links'!B:B, MATCH(V604, 'File Links'!C:C, 0))))</f>
        <v>https://drive.google.com/file/d/1JQppLKOXxrmIyxFhDZtY85ZoIv_TVdh_/view?usp=drivesdk</v>
      </c>
      <c r="Y604" s="129"/>
      <c r="Z604" s="123" t="s">
        <v>141</v>
      </c>
      <c r="AA604" s="123" t="s">
        <v>3321</v>
      </c>
      <c r="AB604" s="123" t="s">
        <v>3322</v>
      </c>
      <c r="AC604" s="123" t="s">
        <v>3331</v>
      </c>
      <c r="AD604" s="123" t="s">
        <v>3332</v>
      </c>
      <c r="AE604" s="127">
        <v>3.0</v>
      </c>
      <c r="AF604" s="127">
        <v>40.0</v>
      </c>
      <c r="AG604" s="127">
        <v>0.6</v>
      </c>
      <c r="AH604" s="220" t="s">
        <v>3325</v>
      </c>
      <c r="AI604" s="129"/>
      <c r="AJ604" s="129"/>
      <c r="AK604" s="122"/>
      <c r="AL604" s="129"/>
      <c r="AM604" s="129"/>
      <c r="AN604" s="216" t="s">
        <v>131</v>
      </c>
      <c r="AO604" s="127">
        <v>182.0</v>
      </c>
      <c r="AP604" s="127">
        <v>0.61</v>
      </c>
      <c r="AQ604" s="129" t="s">
        <v>3334</v>
      </c>
      <c r="AR604" s="127">
        <v>20.0</v>
      </c>
      <c r="AS604" s="129"/>
      <c r="AT604" s="122"/>
      <c r="AU604" s="137" t="s">
        <v>179</v>
      </c>
      <c r="AV604" s="122" t="s">
        <v>130</v>
      </c>
      <c r="AW604" s="667" t="s">
        <v>3326</v>
      </c>
      <c r="AX604" s="906" t="s">
        <v>144</v>
      </c>
      <c r="AY604" s="129"/>
      <c r="AZ604" s="121" t="s">
        <v>685</v>
      </c>
      <c r="BA604" s="104"/>
      <c r="BB604" s="104"/>
      <c r="BC604" s="104"/>
      <c r="BD604" s="104"/>
      <c r="BE604" s="104"/>
      <c r="BF604" s="104"/>
      <c r="BG604" s="104"/>
      <c r="BH604" s="104"/>
      <c r="BI604" s="104"/>
      <c r="BJ604" s="104"/>
      <c r="BK604" s="104"/>
      <c r="BL604" s="104"/>
      <c r="BM604" s="104"/>
      <c r="BN604" s="104"/>
      <c r="BO604" s="104"/>
      <c r="BP604" s="104"/>
      <c r="BQ604" s="104"/>
      <c r="BR604" s="104"/>
      <c r="BS604" s="104"/>
      <c r="BT604" s="104"/>
      <c r="BU604" s="104"/>
      <c r="BV604" s="104"/>
      <c r="BW604" s="104"/>
      <c r="BX604" s="104"/>
      <c r="BY604" s="104"/>
      <c r="BZ604" s="104"/>
      <c r="CA604" s="104"/>
      <c r="CB604" s="104"/>
      <c r="CC604" s="104"/>
      <c r="CD604" s="104"/>
      <c r="CE604" s="104"/>
      <c r="CF604" s="104"/>
      <c r="CG604" s="104"/>
      <c r="CH604" s="104"/>
      <c r="CI604" s="104"/>
      <c r="CJ604" s="104"/>
      <c r="CK604" s="104"/>
      <c r="CL604" s="104"/>
      <c r="CM604" s="104"/>
      <c r="CN604" s="104"/>
      <c r="CO604" s="104"/>
      <c r="CP604" s="104"/>
      <c r="CQ604" s="104"/>
      <c r="CR604" s="104"/>
      <c r="CS604" s="104"/>
      <c r="CT604" s="104"/>
      <c r="CU604" s="104"/>
      <c r="CV604" s="104"/>
      <c r="CW604" s="104"/>
      <c r="CX604" s="104"/>
      <c r="CY604" s="104"/>
      <c r="CZ604" s="104"/>
      <c r="DA604" s="104"/>
      <c r="DB604" s="104"/>
      <c r="DC604" s="104"/>
      <c r="DD604" s="104"/>
      <c r="DE604" s="104"/>
      <c r="DF604" s="104"/>
      <c r="DG604" s="104"/>
      <c r="DH604" s="104"/>
    </row>
    <row r="605" ht="20.25" customHeight="1">
      <c r="A605" s="351">
        <v>605.0</v>
      </c>
      <c r="B605" s="907" t="s">
        <v>145</v>
      </c>
      <c r="C605" s="907" t="s">
        <v>108</v>
      </c>
      <c r="D605" s="907" t="s">
        <v>214</v>
      </c>
      <c r="E605" s="908"/>
      <c r="F605" s="909" t="s">
        <v>3314</v>
      </c>
      <c r="G605" s="910" t="s">
        <v>3315</v>
      </c>
      <c r="H605" s="909" t="s">
        <v>214</v>
      </c>
      <c r="I605" s="911">
        <v>45684.0</v>
      </c>
      <c r="J605" s="911">
        <v>45684.0</v>
      </c>
      <c r="K605" s="909" t="s">
        <v>1094</v>
      </c>
      <c r="L605" s="912"/>
      <c r="M605" s="909" t="s">
        <v>3316</v>
      </c>
      <c r="N605" s="909" t="s">
        <v>3317</v>
      </c>
      <c r="O605" s="497">
        <v>1.0</v>
      </c>
      <c r="P605" s="909" t="s">
        <v>3318</v>
      </c>
      <c r="Q605" s="913" t="str">
        <f t="array" ref="Q605"> if(iserror(MATCH(V605, 'File Links'!C:C, 0)), "N/A", HYPERLINK(INDEX('File Links'!B:B, MATCH(P605, 'File Links'!C:C, 0))))</f>
        <v>https://drive.google.com/file/d/1-cST4Xer2glOXMG5eTrJVkRfofzfqFTW/view?usp=drivesdk</v>
      </c>
      <c r="R605" s="909" t="s">
        <v>3319</v>
      </c>
      <c r="S605" s="909" t="s">
        <v>3320</v>
      </c>
      <c r="T605" s="912"/>
      <c r="U605" s="497">
        <v>1.0</v>
      </c>
      <c r="V605" s="909" t="str">
        <f t="shared" si="35"/>
        <v>10.31234--osf.io--xr6bn.pdf</v>
      </c>
      <c r="W605" s="909" t="s">
        <v>665</v>
      </c>
      <c r="X605" s="914" t="str">
        <f t="array" ref="X605"> if(iserror(MATCH(V605, 'File Links'!C:C, 0)), "N/A", HYPERLINK(INDEX('File Links'!B:B, MATCH(V605, 'File Links'!C:C, 0))))</f>
        <v>https://drive.google.com/file/d/1JQppLKOXxrmIyxFhDZtY85ZoIv_TVdh_/view?usp=drivesdk</v>
      </c>
      <c r="Y605" s="912"/>
      <c r="Z605" s="909" t="s">
        <v>141</v>
      </c>
      <c r="AA605" s="909" t="s">
        <v>3337</v>
      </c>
      <c r="AB605" s="909" t="s">
        <v>3322</v>
      </c>
      <c r="AC605" s="909" t="s">
        <v>3338</v>
      </c>
      <c r="AD605" s="909" t="s">
        <v>3339</v>
      </c>
      <c r="AE605" s="915">
        <v>1223.0</v>
      </c>
      <c r="AF605" s="915">
        <v>43.0</v>
      </c>
      <c r="AG605" s="915">
        <v>0.74</v>
      </c>
      <c r="AH605" s="909" t="s">
        <v>166</v>
      </c>
      <c r="AI605" s="909" t="s">
        <v>3340</v>
      </c>
      <c r="AJ605" s="916">
        <v>0.84</v>
      </c>
      <c r="AK605" s="910" t="s">
        <v>165</v>
      </c>
      <c r="AL605" s="910" t="s">
        <v>129</v>
      </c>
      <c r="AM605" s="909" t="s">
        <v>130</v>
      </c>
      <c r="AN605" s="910" t="s">
        <v>131</v>
      </c>
      <c r="AO605" s="915">
        <v>182.0</v>
      </c>
      <c r="AP605" s="915">
        <v>0.32</v>
      </c>
      <c r="AQ605" s="909" t="s">
        <v>166</v>
      </c>
      <c r="AR605" s="909" t="s">
        <v>3341</v>
      </c>
      <c r="AS605" s="909" t="s">
        <v>131</v>
      </c>
      <c r="AT605" s="912"/>
      <c r="AU605" s="909" t="s">
        <v>129</v>
      </c>
      <c r="AV605" s="909" t="s">
        <v>130</v>
      </c>
      <c r="AW605" s="917" t="s">
        <v>3342</v>
      </c>
      <c r="AX605" s="918" t="s">
        <v>136</v>
      </c>
      <c r="AY605" s="907" t="s">
        <v>3343</v>
      </c>
      <c r="AZ605" s="121" t="s">
        <v>685</v>
      </c>
      <c r="BA605" s="908"/>
      <c r="BB605" s="908"/>
      <c r="BC605" s="908"/>
      <c r="BD605" s="908"/>
      <c r="BE605" s="908"/>
      <c r="BF605" s="908"/>
      <c r="BG605" s="908"/>
      <c r="BH605" s="908"/>
      <c r="BI605" s="908"/>
      <c r="BJ605" s="908"/>
      <c r="BK605" s="908"/>
      <c r="BL605" s="908"/>
      <c r="BM605" s="908"/>
      <c r="BN605" s="908"/>
      <c r="BO605" s="908"/>
      <c r="BP605" s="908"/>
      <c r="BQ605" s="908"/>
      <c r="BR605" s="908"/>
      <c r="BS605" s="908"/>
      <c r="BT605" s="908"/>
      <c r="BU605" s="908"/>
      <c r="BV605" s="908"/>
      <c r="BW605" s="908"/>
      <c r="BX605" s="908"/>
      <c r="BY605" s="908"/>
      <c r="BZ605" s="908"/>
      <c r="CA605" s="908"/>
      <c r="CB605" s="908"/>
      <c r="CC605" s="908"/>
      <c r="CD605" s="908"/>
      <c r="CE605" s="908"/>
      <c r="CF605" s="908"/>
      <c r="CG605" s="908"/>
      <c r="CH605" s="908"/>
      <c r="CI605" s="908"/>
      <c r="CJ605" s="908"/>
      <c r="CK605" s="908"/>
      <c r="CL605" s="908"/>
      <c r="CM605" s="908"/>
      <c r="CN605" s="908"/>
      <c r="CO605" s="908"/>
      <c r="CP605" s="908"/>
      <c r="CQ605" s="908"/>
      <c r="CR605" s="908"/>
      <c r="CS605" s="908"/>
      <c r="CT605" s="908"/>
      <c r="CU605" s="908"/>
      <c r="CV605" s="908"/>
      <c r="CW605" s="908"/>
      <c r="CX605" s="908"/>
      <c r="CY605" s="908"/>
      <c r="CZ605" s="908"/>
      <c r="DA605" s="908"/>
      <c r="DB605" s="908"/>
      <c r="DC605" s="908"/>
      <c r="DD605" s="908"/>
      <c r="DE605" s="908"/>
      <c r="DF605" s="908"/>
      <c r="DG605" s="908"/>
      <c r="DH605" s="908"/>
    </row>
    <row r="606" ht="20.25" customHeight="1">
      <c r="A606" s="351">
        <v>606.0</v>
      </c>
      <c r="B606" s="907" t="s">
        <v>145</v>
      </c>
      <c r="C606" s="907" t="s">
        <v>108</v>
      </c>
      <c r="D606" s="907" t="s">
        <v>214</v>
      </c>
      <c r="E606" s="908"/>
      <c r="F606" s="909" t="s">
        <v>3314</v>
      </c>
      <c r="G606" s="910" t="s">
        <v>3327</v>
      </c>
      <c r="H606" s="909" t="s">
        <v>214</v>
      </c>
      <c r="I606" s="911">
        <v>45684.0</v>
      </c>
      <c r="J606" s="911">
        <v>45684.0</v>
      </c>
      <c r="K606" s="909" t="s">
        <v>1094</v>
      </c>
      <c r="L606" s="912"/>
      <c r="M606" s="909" t="s">
        <v>3316</v>
      </c>
      <c r="N606" s="909" t="s">
        <v>3317</v>
      </c>
      <c r="O606" s="497">
        <v>1.0</v>
      </c>
      <c r="P606" s="909" t="s">
        <v>3318</v>
      </c>
      <c r="Q606" s="913" t="str">
        <f t="array" ref="Q606"> if(iserror(MATCH(V606, 'File Links'!C:C, 0)), "N/A", HYPERLINK(INDEX('File Links'!B:B, MATCH(P606, 'File Links'!C:C, 0))))</f>
        <v>https://drive.google.com/file/d/1-cST4Xer2glOXMG5eTrJVkRfofzfqFTW/view?usp=drivesdk</v>
      </c>
      <c r="R606" s="909" t="s">
        <v>3319</v>
      </c>
      <c r="S606" s="909" t="s">
        <v>3320</v>
      </c>
      <c r="T606" s="912"/>
      <c r="U606" s="497">
        <v>1.0</v>
      </c>
      <c r="V606" s="909" t="str">
        <f t="shared" si="35"/>
        <v>10.31234--osf.io--xr6bn.pdf</v>
      </c>
      <c r="W606" s="909" t="s">
        <v>665</v>
      </c>
      <c r="X606" s="914" t="str">
        <f t="array" ref="X606"> if(iserror(MATCH(V606, 'File Links'!C:C, 0)), "N/A", HYPERLINK(INDEX('File Links'!B:B, MATCH(V606, 'File Links'!C:C, 0))))</f>
        <v>https://drive.google.com/file/d/1JQppLKOXxrmIyxFhDZtY85ZoIv_TVdh_/view?usp=drivesdk</v>
      </c>
      <c r="Y606" s="912"/>
      <c r="Z606" s="909" t="s">
        <v>141</v>
      </c>
      <c r="AA606" s="909" t="s">
        <v>3337</v>
      </c>
      <c r="AB606" s="909" t="s">
        <v>3322</v>
      </c>
      <c r="AC606" s="909" t="s">
        <v>3344</v>
      </c>
      <c r="AD606" s="909" t="s">
        <v>3345</v>
      </c>
      <c r="AE606" s="915">
        <v>1223.0</v>
      </c>
      <c r="AF606" s="915">
        <v>43.0</v>
      </c>
      <c r="AG606" s="915">
        <v>0.34</v>
      </c>
      <c r="AH606" s="909" t="s">
        <v>166</v>
      </c>
      <c r="AI606" s="909" t="s">
        <v>3340</v>
      </c>
      <c r="AJ606" s="916">
        <v>0.01</v>
      </c>
      <c r="AK606" s="910" t="s">
        <v>128</v>
      </c>
      <c r="AL606" s="910" t="s">
        <v>129</v>
      </c>
      <c r="AM606" s="909" t="s">
        <v>130</v>
      </c>
      <c r="AN606" s="910" t="s">
        <v>131</v>
      </c>
      <c r="AO606" s="915">
        <v>182.0</v>
      </c>
      <c r="AP606" s="915">
        <v>0.21</v>
      </c>
      <c r="AQ606" s="909" t="s">
        <v>166</v>
      </c>
      <c r="AR606" s="909" t="s">
        <v>3341</v>
      </c>
      <c r="AS606" s="909" t="s">
        <v>131</v>
      </c>
      <c r="AT606" s="912"/>
      <c r="AU606" s="909" t="s">
        <v>129</v>
      </c>
      <c r="AV606" s="909" t="s">
        <v>130</v>
      </c>
      <c r="AW606" s="917" t="s">
        <v>3342</v>
      </c>
      <c r="AX606" s="918" t="s">
        <v>136</v>
      </c>
      <c r="AY606" s="908"/>
      <c r="AZ606" s="121" t="s">
        <v>685</v>
      </c>
      <c r="BA606" s="908"/>
      <c r="BB606" s="908"/>
      <c r="BC606" s="908"/>
      <c r="BD606" s="908"/>
      <c r="BE606" s="908"/>
      <c r="BF606" s="908"/>
      <c r="BG606" s="908"/>
      <c r="BH606" s="908"/>
      <c r="BI606" s="908"/>
      <c r="BJ606" s="908"/>
      <c r="BK606" s="908"/>
      <c r="BL606" s="908"/>
      <c r="BM606" s="908"/>
      <c r="BN606" s="908"/>
      <c r="BO606" s="908"/>
      <c r="BP606" s="908"/>
      <c r="BQ606" s="908"/>
      <c r="BR606" s="908"/>
      <c r="BS606" s="908"/>
      <c r="BT606" s="908"/>
      <c r="BU606" s="908"/>
      <c r="BV606" s="908"/>
      <c r="BW606" s="908"/>
      <c r="BX606" s="908"/>
      <c r="BY606" s="908"/>
      <c r="BZ606" s="908"/>
      <c r="CA606" s="908"/>
      <c r="CB606" s="908"/>
      <c r="CC606" s="908"/>
      <c r="CD606" s="908"/>
      <c r="CE606" s="908"/>
      <c r="CF606" s="908"/>
      <c r="CG606" s="908"/>
      <c r="CH606" s="908"/>
      <c r="CI606" s="908"/>
      <c r="CJ606" s="908"/>
      <c r="CK606" s="908"/>
      <c r="CL606" s="908"/>
      <c r="CM606" s="908"/>
      <c r="CN606" s="908"/>
      <c r="CO606" s="908"/>
      <c r="CP606" s="908"/>
      <c r="CQ606" s="908"/>
      <c r="CR606" s="908"/>
      <c r="CS606" s="908"/>
      <c r="CT606" s="908"/>
      <c r="CU606" s="908"/>
      <c r="CV606" s="908"/>
      <c r="CW606" s="908"/>
      <c r="CX606" s="908"/>
      <c r="CY606" s="908"/>
      <c r="CZ606" s="908"/>
      <c r="DA606" s="908"/>
      <c r="DB606" s="908"/>
      <c r="DC606" s="908"/>
      <c r="DD606" s="908"/>
      <c r="DE606" s="908"/>
      <c r="DF606" s="908"/>
      <c r="DG606" s="908"/>
      <c r="DH606" s="908"/>
    </row>
    <row r="607" ht="20.25" customHeight="1">
      <c r="A607" s="351">
        <v>607.0</v>
      </c>
      <c r="B607" s="907" t="s">
        <v>145</v>
      </c>
      <c r="C607" s="907" t="s">
        <v>108</v>
      </c>
      <c r="D607" s="907" t="s">
        <v>214</v>
      </c>
      <c r="E607" s="908"/>
      <c r="F607" s="909" t="s">
        <v>3314</v>
      </c>
      <c r="G607" s="910" t="s">
        <v>3330</v>
      </c>
      <c r="H607" s="909" t="s">
        <v>214</v>
      </c>
      <c r="I607" s="911">
        <v>45684.0</v>
      </c>
      <c r="J607" s="911">
        <v>45684.0</v>
      </c>
      <c r="K607" s="909" t="s">
        <v>1094</v>
      </c>
      <c r="L607" s="912"/>
      <c r="M607" s="909" t="s">
        <v>3316</v>
      </c>
      <c r="N607" s="909" t="s">
        <v>3317</v>
      </c>
      <c r="O607" s="497">
        <v>1.0</v>
      </c>
      <c r="P607" s="909" t="s">
        <v>3318</v>
      </c>
      <c r="Q607" s="913" t="str">
        <f t="array" ref="Q607"> if(iserror(MATCH(V607, 'File Links'!C:C, 0)), "N/A", HYPERLINK(INDEX('File Links'!B:B, MATCH(P607, 'File Links'!C:C, 0))))</f>
        <v>https://drive.google.com/file/d/1-cST4Xer2glOXMG5eTrJVkRfofzfqFTW/view?usp=drivesdk</v>
      </c>
      <c r="R607" s="909" t="s">
        <v>3319</v>
      </c>
      <c r="S607" s="909" t="s">
        <v>3320</v>
      </c>
      <c r="T607" s="912"/>
      <c r="U607" s="497">
        <v>1.0</v>
      </c>
      <c r="V607" s="909" t="str">
        <f t="shared" si="35"/>
        <v>10.31234--osf.io--xr6bn.pdf</v>
      </c>
      <c r="W607" s="909" t="s">
        <v>665</v>
      </c>
      <c r="X607" s="914" t="str">
        <f t="array" ref="X607"> if(iserror(MATCH(V607, 'File Links'!C:C, 0)), "N/A", HYPERLINK(INDEX('File Links'!B:B, MATCH(V607, 'File Links'!C:C, 0))))</f>
        <v>https://drive.google.com/file/d/1JQppLKOXxrmIyxFhDZtY85ZoIv_TVdh_/view?usp=drivesdk</v>
      </c>
      <c r="Y607" s="912"/>
      <c r="Z607" s="909" t="s">
        <v>141</v>
      </c>
      <c r="AA607" s="909" t="s">
        <v>3337</v>
      </c>
      <c r="AB607" s="909" t="s">
        <v>3322</v>
      </c>
      <c r="AC607" s="909" t="s">
        <v>3346</v>
      </c>
      <c r="AD607" s="909" t="s">
        <v>3347</v>
      </c>
      <c r="AE607" s="915">
        <v>1223.0</v>
      </c>
      <c r="AF607" s="915">
        <v>43.0</v>
      </c>
      <c r="AG607" s="915">
        <v>0.31</v>
      </c>
      <c r="AH607" s="909" t="s">
        <v>166</v>
      </c>
      <c r="AI607" s="909" t="s">
        <v>3340</v>
      </c>
      <c r="AJ607" s="916">
        <v>0.46</v>
      </c>
      <c r="AK607" s="910" t="s">
        <v>165</v>
      </c>
      <c r="AL607" s="910" t="s">
        <v>129</v>
      </c>
      <c r="AM607" s="909" t="s">
        <v>130</v>
      </c>
      <c r="AN607" s="910" t="s">
        <v>131</v>
      </c>
      <c r="AO607" s="915">
        <v>182.0</v>
      </c>
      <c r="AP607" s="915">
        <v>-0.13</v>
      </c>
      <c r="AQ607" s="909" t="s">
        <v>166</v>
      </c>
      <c r="AR607" s="909" t="s">
        <v>3341</v>
      </c>
      <c r="AS607" s="909" t="s">
        <v>131</v>
      </c>
      <c r="AT607" s="912"/>
      <c r="AU607" s="909" t="s">
        <v>129</v>
      </c>
      <c r="AV607" s="909" t="s">
        <v>130</v>
      </c>
      <c r="AW607" s="917" t="s">
        <v>3342</v>
      </c>
      <c r="AX607" s="918" t="s">
        <v>136</v>
      </c>
      <c r="AY607" s="908"/>
      <c r="AZ607" s="121" t="s">
        <v>685</v>
      </c>
      <c r="BA607" s="908"/>
      <c r="BB607" s="908"/>
      <c r="BC607" s="908"/>
      <c r="BD607" s="908"/>
      <c r="BE607" s="908"/>
      <c r="BF607" s="908"/>
      <c r="BG607" s="908"/>
      <c r="BH607" s="908"/>
      <c r="BI607" s="908"/>
      <c r="BJ607" s="908"/>
      <c r="BK607" s="908"/>
      <c r="BL607" s="908"/>
      <c r="BM607" s="908"/>
      <c r="BN607" s="908"/>
      <c r="BO607" s="908"/>
      <c r="BP607" s="908"/>
      <c r="BQ607" s="908"/>
      <c r="BR607" s="908"/>
      <c r="BS607" s="908"/>
      <c r="BT607" s="908"/>
      <c r="BU607" s="908"/>
      <c r="BV607" s="908"/>
      <c r="BW607" s="908"/>
      <c r="BX607" s="908"/>
      <c r="BY607" s="908"/>
      <c r="BZ607" s="908"/>
      <c r="CA607" s="908"/>
      <c r="CB607" s="908"/>
      <c r="CC607" s="908"/>
      <c r="CD607" s="908"/>
      <c r="CE607" s="908"/>
      <c r="CF607" s="908"/>
      <c r="CG607" s="908"/>
      <c r="CH607" s="908"/>
      <c r="CI607" s="908"/>
      <c r="CJ607" s="908"/>
      <c r="CK607" s="908"/>
      <c r="CL607" s="908"/>
      <c r="CM607" s="908"/>
      <c r="CN607" s="908"/>
      <c r="CO607" s="908"/>
      <c r="CP607" s="908"/>
      <c r="CQ607" s="908"/>
      <c r="CR607" s="908"/>
      <c r="CS607" s="908"/>
      <c r="CT607" s="908"/>
      <c r="CU607" s="908"/>
      <c r="CV607" s="908"/>
      <c r="CW607" s="908"/>
      <c r="CX607" s="908"/>
      <c r="CY607" s="908"/>
      <c r="CZ607" s="908"/>
      <c r="DA607" s="908"/>
      <c r="DB607" s="908"/>
      <c r="DC607" s="908"/>
      <c r="DD607" s="908"/>
      <c r="DE607" s="908"/>
      <c r="DF607" s="908"/>
      <c r="DG607" s="908"/>
      <c r="DH607" s="908"/>
    </row>
    <row r="608" ht="20.25" customHeight="1">
      <c r="A608" s="41">
        <v>608.0</v>
      </c>
      <c r="B608" s="59" t="s">
        <v>278</v>
      </c>
      <c r="C608" s="59" t="s">
        <v>108</v>
      </c>
      <c r="D608" s="59" t="s">
        <v>983</v>
      </c>
      <c r="F608" s="65" t="s">
        <v>3348</v>
      </c>
      <c r="G608" s="54" t="s">
        <v>3349</v>
      </c>
      <c r="H608" s="54" t="s">
        <v>137</v>
      </c>
      <c r="I608" s="149">
        <v>45489.0</v>
      </c>
      <c r="J608" s="431">
        <v>45637.0</v>
      </c>
      <c r="K608" s="54" t="s">
        <v>3350</v>
      </c>
      <c r="L608" s="58"/>
      <c r="M608" s="54" t="s">
        <v>3351</v>
      </c>
      <c r="N608" s="54" t="s">
        <v>3352</v>
      </c>
      <c r="O608" s="58"/>
      <c r="P608" s="374" t="s">
        <v>3353</v>
      </c>
      <c r="Q608" s="49" t="str">
        <f t="array" ref="Q608"> if(iserror(MATCH(V608, 'File Links'!C:C, 0)), "N/A", HYPERLINK(INDEX('File Links'!B:B, MATCH(P608, 'File Links'!C:C, 0))))</f>
        <v>https://drive.google.com/file/d/1QkWM8jiVqpN5vc_zuD8HexJx-ED2mGF0/view?usp=drivesdk</v>
      </c>
      <c r="R608" s="54" t="s">
        <v>3354</v>
      </c>
      <c r="S608" s="54" t="s">
        <v>3355</v>
      </c>
      <c r="T608" s="58"/>
      <c r="U608" s="335"/>
      <c r="V608" s="195" t="str">
        <f t="shared" si="35"/>
        <v>10.5465--amproc.2024.19578abstract.pdf</v>
      </c>
      <c r="W608" s="58"/>
      <c r="X608" s="51" t="str">
        <f t="array" ref="X608"> if(iserror(MATCH(V608, 'File Links'!C:C, 0)), "N/A", HYPERLINK(INDEX('File Links'!B:B, MATCH(V608, 'File Links'!C:C, 0))))</f>
        <v>https://drive.google.com/file/d/1H6X8VsyVixAViuUZ-S2dfj2OJm-VwYrl/view?usp=drivesdk</v>
      </c>
      <c r="Y608" s="58"/>
      <c r="Z608" s="58"/>
      <c r="AA608" s="58"/>
      <c r="AB608" s="58"/>
      <c r="AC608" s="58"/>
      <c r="AD608" s="58"/>
      <c r="AE608" s="58"/>
      <c r="AF608" s="58"/>
      <c r="AG608" s="58"/>
      <c r="AH608" s="335"/>
      <c r="AI608" s="58"/>
      <c r="AJ608" s="58"/>
      <c r="AK608" s="65"/>
      <c r="AL608" s="58"/>
      <c r="AM608" s="58"/>
      <c r="AN608" s="216" t="s">
        <v>131</v>
      </c>
      <c r="AO608" s="58"/>
      <c r="AP608" s="58"/>
      <c r="AQ608" s="58"/>
      <c r="AR608" s="58"/>
      <c r="AS608" s="58"/>
      <c r="AT608" s="65"/>
      <c r="AU608" s="156" t="s">
        <v>179</v>
      </c>
      <c r="AV608" s="65" t="s">
        <v>130</v>
      </c>
      <c r="AW608" s="65"/>
      <c r="AX608" s="65"/>
      <c r="AY608" s="58"/>
      <c r="BA608" s="809"/>
      <c r="BB608" s="809"/>
      <c r="BC608" s="809"/>
      <c r="BD608" s="809"/>
      <c r="BE608" s="809"/>
      <c r="BF608" s="809"/>
      <c r="BG608" s="809"/>
      <c r="BH608" s="809"/>
      <c r="BI608" s="809"/>
      <c r="BJ608" s="809"/>
      <c r="BK608" s="809"/>
      <c r="BL608" s="809"/>
      <c r="BM608" s="809"/>
      <c r="BN608" s="809"/>
      <c r="BO608" s="809"/>
      <c r="BP608" s="809"/>
      <c r="BQ608" s="809"/>
      <c r="BR608" s="809"/>
      <c r="BS608" s="809"/>
      <c r="BT608" s="809"/>
      <c r="BU608" s="809"/>
      <c r="BV608" s="809"/>
      <c r="BW608" s="809"/>
      <c r="BX608" s="809"/>
      <c r="BY608" s="809"/>
      <c r="BZ608" s="809"/>
      <c r="CA608" s="809"/>
      <c r="CB608" s="809"/>
      <c r="CC608" s="809"/>
      <c r="CD608" s="809"/>
      <c r="CE608" s="809"/>
      <c r="CF608" s="809"/>
      <c r="CG608" s="809"/>
      <c r="CH608" s="809"/>
      <c r="CI608" s="809"/>
      <c r="CJ608" s="809"/>
      <c r="CK608" s="809"/>
      <c r="CL608" s="809"/>
      <c r="CM608" s="809"/>
      <c r="CN608" s="809"/>
      <c r="CO608" s="809"/>
      <c r="CP608" s="809"/>
      <c r="CQ608" s="809"/>
      <c r="CR608" s="809"/>
      <c r="CS608" s="809"/>
      <c r="CT608" s="809"/>
      <c r="CU608" s="809"/>
      <c r="CV608" s="809"/>
      <c r="CW608" s="809"/>
      <c r="CX608" s="809"/>
      <c r="CY608" s="809"/>
      <c r="CZ608" s="809"/>
      <c r="DA608" s="809"/>
      <c r="DB608" s="809"/>
      <c r="DC608" s="809"/>
      <c r="DD608" s="809"/>
      <c r="DE608" s="809"/>
      <c r="DF608" s="809"/>
      <c r="DG608" s="809"/>
      <c r="DH608" s="809"/>
    </row>
    <row r="609" ht="20.25" customHeight="1">
      <c r="A609" s="41">
        <v>609.0</v>
      </c>
      <c r="B609" s="59" t="s">
        <v>278</v>
      </c>
      <c r="C609" s="59" t="s">
        <v>108</v>
      </c>
      <c r="D609" s="59" t="s">
        <v>214</v>
      </c>
      <c r="F609" s="262" t="s">
        <v>3348</v>
      </c>
      <c r="G609" s="44" t="s">
        <v>3349</v>
      </c>
      <c r="H609" s="357" t="s">
        <v>214</v>
      </c>
      <c r="I609" s="341">
        <v>45684.0</v>
      </c>
      <c r="J609" s="341">
        <v>45684.0</v>
      </c>
      <c r="K609" s="357" t="s">
        <v>3356</v>
      </c>
      <c r="L609" s="43"/>
      <c r="M609" s="357" t="s">
        <v>3351</v>
      </c>
      <c r="N609" s="357" t="s">
        <v>3352</v>
      </c>
      <c r="O609" s="43"/>
      <c r="P609" s="357" t="s">
        <v>3353</v>
      </c>
      <c r="Q609" s="49" t="str">
        <f t="array" ref="Q609"> if(iserror(MATCH(V609, 'File Links'!C:C, 0)), "N/A", HYPERLINK(INDEX('File Links'!B:B, MATCH(P609, 'File Links'!C:C, 0))))</f>
        <v>https://drive.google.com/file/d/1QkWM8jiVqpN5vc_zuD8HexJx-ED2mGF0/view?usp=drivesdk</v>
      </c>
      <c r="R609" s="506" t="s">
        <v>3357</v>
      </c>
      <c r="S609" s="357" t="s">
        <v>3355</v>
      </c>
      <c r="T609" s="43"/>
      <c r="U609" s="43"/>
      <c r="V609" s="357" t="s">
        <v>3358</v>
      </c>
      <c r="W609" s="357" t="s">
        <v>3359</v>
      </c>
      <c r="X609" s="51" t="str">
        <f t="array" ref="X609"> if(iserror(MATCH(V609, 'File Links'!C:C, 0)), "N/A", HYPERLINK(INDEX('File Links'!B:B, MATCH(V609, 'File Links'!C:C, 0))))</f>
        <v>https://drive.google.com/file/d/1H6X8VsyVixAViuUZ-S2dfj2OJm-VwYrl/view?usp=drivesdk</v>
      </c>
      <c r="Y609" s="701" t="s">
        <v>3356</v>
      </c>
      <c r="Z609" s="357" t="s">
        <v>1672</v>
      </c>
      <c r="AA609" s="357" t="s">
        <v>3360</v>
      </c>
      <c r="AB609" s="357" t="s">
        <v>3361</v>
      </c>
      <c r="AC609" s="43"/>
      <c r="AD609" s="43"/>
      <c r="AE609" s="43"/>
      <c r="AF609" s="43"/>
      <c r="AG609" s="43"/>
      <c r="AH609" s="43"/>
      <c r="AI609" s="43"/>
      <c r="AJ609" s="102"/>
      <c r="AK609" s="46"/>
      <c r="AL609" s="46"/>
      <c r="AM609" s="43"/>
      <c r="AN609" s="216" t="s">
        <v>131</v>
      </c>
      <c r="AO609" s="43"/>
      <c r="AP609" s="43"/>
      <c r="AQ609" s="43"/>
      <c r="AR609" s="43"/>
      <c r="AS609" s="43"/>
      <c r="AT609" s="43"/>
      <c r="AU609" s="43"/>
      <c r="AV609" s="43"/>
      <c r="AW609" s="43"/>
      <c r="AX609" s="43"/>
      <c r="BA609" s="809"/>
      <c r="BB609" s="809"/>
      <c r="BC609" s="809"/>
      <c r="BD609" s="809"/>
      <c r="BE609" s="809"/>
      <c r="BF609" s="809"/>
      <c r="BG609" s="809"/>
      <c r="BH609" s="809"/>
      <c r="BI609" s="809"/>
      <c r="BJ609" s="809"/>
      <c r="BK609" s="809"/>
      <c r="BL609" s="809"/>
      <c r="BM609" s="809"/>
      <c r="BN609" s="809"/>
      <c r="BO609" s="809"/>
      <c r="BP609" s="809"/>
      <c r="BQ609" s="809"/>
      <c r="BR609" s="809"/>
      <c r="BS609" s="809"/>
      <c r="BT609" s="809"/>
      <c r="BU609" s="809"/>
      <c r="BV609" s="809"/>
      <c r="BW609" s="809"/>
      <c r="BX609" s="809"/>
      <c r="BY609" s="809"/>
      <c r="BZ609" s="809"/>
      <c r="CA609" s="809"/>
      <c r="CB609" s="809"/>
      <c r="CC609" s="809"/>
      <c r="CD609" s="809"/>
      <c r="CE609" s="809"/>
      <c r="CF609" s="809"/>
      <c r="CG609" s="809"/>
      <c r="CH609" s="809"/>
      <c r="CI609" s="809"/>
      <c r="CJ609" s="809"/>
      <c r="CK609" s="809"/>
      <c r="CL609" s="809"/>
      <c r="CM609" s="809"/>
      <c r="CN609" s="809"/>
      <c r="CO609" s="809"/>
      <c r="CP609" s="809"/>
      <c r="CQ609" s="809"/>
      <c r="CR609" s="809"/>
      <c r="CS609" s="809"/>
      <c r="CT609" s="809"/>
      <c r="CU609" s="809"/>
      <c r="CV609" s="809"/>
      <c r="CW609" s="809"/>
      <c r="CX609" s="809"/>
      <c r="CY609" s="809"/>
      <c r="CZ609" s="809"/>
      <c r="DA609" s="809"/>
      <c r="DB609" s="809"/>
      <c r="DC609" s="809"/>
      <c r="DD609" s="809"/>
      <c r="DE609" s="809"/>
      <c r="DF609" s="809"/>
      <c r="DG609" s="809"/>
      <c r="DH609" s="809"/>
    </row>
    <row r="610" ht="20.25" customHeight="1">
      <c r="A610" s="41">
        <v>610.0</v>
      </c>
      <c r="B610" s="42" t="s">
        <v>278</v>
      </c>
      <c r="C610" s="42" t="s">
        <v>108</v>
      </c>
      <c r="D610" s="42" t="s">
        <v>241</v>
      </c>
      <c r="E610" s="62"/>
      <c r="F610" s="59" t="s">
        <v>3362</v>
      </c>
      <c r="G610" s="42" t="s">
        <v>3363</v>
      </c>
      <c r="H610" s="42" t="s">
        <v>242</v>
      </c>
      <c r="I610" s="60">
        <v>45427.0</v>
      </c>
      <c r="J610" s="61">
        <v>45625.0</v>
      </c>
      <c r="K610" s="42" t="s">
        <v>3364</v>
      </c>
      <c r="L610" s="62"/>
      <c r="M610" s="42" t="s">
        <v>3365</v>
      </c>
      <c r="N610" s="42" t="s">
        <v>3366</v>
      </c>
      <c r="O610" s="62"/>
      <c r="P610" s="115" t="str">
        <f> hyperlink(vlookup(lower(N610),'File Links'!A:B, 2, FALSE), SUBSTITUTE(lower(N610), "/", "--") &amp;  ".pdf")</f>
        <v>10.1177--2167702614545216.pdf</v>
      </c>
      <c r="Q610" s="105" t="str">
        <f t="array" ref="Q610"> if(iserror(MATCH(V610, 'File Links'!C:C, 0)), "N/A", HYPERLINK(INDEX('File Links'!B:B, MATCH(P610, 'File Links'!C:C, 0))))</f>
        <v>N/A</v>
      </c>
      <c r="R610" s="42" t="s">
        <v>3367</v>
      </c>
      <c r="S610" s="42" t="s">
        <v>3368</v>
      </c>
      <c r="T610" s="62"/>
      <c r="U610" s="62"/>
      <c r="V610" s="63" t="str">
        <f> hyperlink(vlookup(lower(S610),'File Links'!E:F, 2, FALSE), SUBSTITUTE(lower(S610), "/", "--") &amp;  ".pdf")</f>
        <v>10.1080--13506285.2024.2343157.pdf</v>
      </c>
      <c r="W610" s="62"/>
      <c r="X610" s="46" t="str">
        <f t="array" ref="X610"> if(iserror(MATCH(V610, 'File Links'!C:C, 0)), "N/A", HYPERLINK(INDEX('File Links'!B:B, MATCH(V610, 'File Links'!C:C, 0))))</f>
        <v>N/A</v>
      </c>
      <c r="Y610" s="42" t="s">
        <v>3369</v>
      </c>
      <c r="Z610" s="42" t="s">
        <v>940</v>
      </c>
      <c r="AA610" s="62"/>
      <c r="AB610" s="42" t="s">
        <v>3370</v>
      </c>
      <c r="AC610" s="42" t="s">
        <v>3371</v>
      </c>
      <c r="AD610" s="42" t="s">
        <v>3372</v>
      </c>
      <c r="AE610" s="42">
        <v>6.0</v>
      </c>
      <c r="AF610" s="42">
        <v>14.0</v>
      </c>
      <c r="AG610" s="42" t="s">
        <v>3373</v>
      </c>
      <c r="AH610" s="148" t="s">
        <v>127</v>
      </c>
      <c r="AI610" s="62"/>
      <c r="AJ610" s="42">
        <v>0.01</v>
      </c>
      <c r="AK610" s="42" t="s">
        <v>128</v>
      </c>
      <c r="AL610" s="42" t="s">
        <v>179</v>
      </c>
      <c r="AM610" s="64"/>
      <c r="AN610" s="216" t="s">
        <v>131</v>
      </c>
      <c r="AO610" s="42">
        <v>63.0</v>
      </c>
      <c r="AP610" s="42">
        <v>0.02</v>
      </c>
      <c r="AQ610" s="42" t="s">
        <v>1024</v>
      </c>
      <c r="AR610" s="62"/>
      <c r="AS610" s="42" t="s">
        <v>2852</v>
      </c>
      <c r="AT610" s="42" t="s">
        <v>328</v>
      </c>
      <c r="AU610" s="42" t="s">
        <v>179</v>
      </c>
      <c r="AV610" s="64"/>
      <c r="AX610" s="65"/>
      <c r="AY610" s="62"/>
      <c r="BA610" s="809"/>
      <c r="BB610" s="809"/>
      <c r="BC610" s="809"/>
      <c r="BD610" s="809"/>
      <c r="BE610" s="809"/>
      <c r="BF610" s="809"/>
      <c r="BG610" s="809"/>
      <c r="BH610" s="809"/>
      <c r="BI610" s="809"/>
      <c r="BJ610" s="809"/>
      <c r="BK610" s="809"/>
      <c r="BL610" s="809"/>
      <c r="BM610" s="809"/>
      <c r="BN610" s="809"/>
      <c r="BO610" s="809"/>
      <c r="BP610" s="809"/>
      <c r="BQ610" s="809"/>
      <c r="BR610" s="809"/>
      <c r="BS610" s="809"/>
      <c r="BT610" s="809"/>
      <c r="BU610" s="809"/>
      <c r="BV610" s="809"/>
      <c r="BW610" s="809"/>
      <c r="BX610" s="809"/>
      <c r="BY610" s="809"/>
      <c r="BZ610" s="809"/>
      <c r="CA610" s="809"/>
      <c r="CB610" s="809"/>
      <c r="CC610" s="809"/>
      <c r="CD610" s="809"/>
      <c r="CE610" s="809"/>
      <c r="CF610" s="809"/>
      <c r="CG610" s="809"/>
      <c r="CH610" s="809"/>
      <c r="CI610" s="809"/>
      <c r="CJ610" s="809"/>
      <c r="CK610" s="809"/>
      <c r="CL610" s="809"/>
      <c r="CM610" s="809"/>
      <c r="CN610" s="809"/>
      <c r="CO610" s="809"/>
      <c r="CP610" s="809"/>
      <c r="CQ610" s="809"/>
      <c r="CR610" s="809"/>
      <c r="CS610" s="809"/>
      <c r="CT610" s="809"/>
      <c r="CU610" s="809"/>
      <c r="CV610" s="809"/>
      <c r="CW610" s="809"/>
      <c r="CX610" s="809"/>
      <c r="CY610" s="809"/>
      <c r="CZ610" s="809"/>
      <c r="DA610" s="809"/>
      <c r="DB610" s="809"/>
      <c r="DC610" s="809"/>
      <c r="DD610" s="809"/>
      <c r="DE610" s="809"/>
      <c r="DF610" s="809"/>
      <c r="DG610" s="809"/>
      <c r="DH610" s="809"/>
    </row>
    <row r="611" ht="20.25" customHeight="1">
      <c r="A611" s="41">
        <v>611.0</v>
      </c>
      <c r="B611" s="42" t="s">
        <v>278</v>
      </c>
      <c r="C611" s="42" t="s">
        <v>108</v>
      </c>
      <c r="D611" s="42" t="s">
        <v>241</v>
      </c>
      <c r="E611" s="62"/>
      <c r="F611" s="59" t="s">
        <v>3362</v>
      </c>
      <c r="G611" s="42" t="s">
        <v>3374</v>
      </c>
      <c r="H611" s="42" t="s">
        <v>242</v>
      </c>
      <c r="I611" s="60">
        <v>45427.0</v>
      </c>
      <c r="J611" s="61">
        <v>45625.0</v>
      </c>
      <c r="K611" s="42" t="s">
        <v>3375</v>
      </c>
      <c r="L611" s="62"/>
      <c r="M611" s="42" t="s">
        <v>3365</v>
      </c>
      <c r="N611" s="42" t="s">
        <v>3366</v>
      </c>
      <c r="O611" s="62"/>
      <c r="P611" s="115" t="str">
        <f> hyperlink(vlookup(lower(N611),'File Links'!A:B, 2, FALSE), SUBSTITUTE(lower(N611), "/", "--") &amp;  ".pdf")</f>
        <v>10.1177--2167702614545216.pdf</v>
      </c>
      <c r="Q611" s="105" t="str">
        <f t="array" ref="Q611"> if(iserror(MATCH(V611, 'File Links'!C:C, 0)), "N/A", HYPERLINK(INDEX('File Links'!B:B, MATCH(P611, 'File Links'!C:C, 0))))</f>
        <v>N/A</v>
      </c>
      <c r="R611" s="42" t="s">
        <v>3367</v>
      </c>
      <c r="S611" s="42" t="s">
        <v>3368</v>
      </c>
      <c r="T611" s="62"/>
      <c r="U611" s="62"/>
      <c r="V611" s="63" t="str">
        <f> hyperlink(vlookup(lower(S611),'File Links'!E:F, 2, FALSE), SUBSTITUTE(lower(S611), "/", "--") &amp;  ".pdf")</f>
        <v>10.1080--13506285.2024.2343157.pdf</v>
      </c>
      <c r="W611" s="62"/>
      <c r="X611" s="46" t="str">
        <f t="array" ref="X611"> if(iserror(MATCH(V611, 'File Links'!C:C, 0)), "N/A", HYPERLINK(INDEX('File Links'!B:B, MATCH(V611, 'File Links'!C:C, 0))))</f>
        <v>N/A</v>
      </c>
      <c r="Y611" s="42" t="s">
        <v>3369</v>
      </c>
      <c r="Z611" s="42" t="s">
        <v>940</v>
      </c>
      <c r="AA611" s="62"/>
      <c r="AB611" s="42" t="s">
        <v>3376</v>
      </c>
      <c r="AC611" s="42" t="s">
        <v>3371</v>
      </c>
      <c r="AD611" s="42" t="s">
        <v>3377</v>
      </c>
      <c r="AE611" s="42">
        <v>6.0</v>
      </c>
      <c r="AF611" s="42">
        <v>14.0</v>
      </c>
      <c r="AG611" s="42" t="s">
        <v>3378</v>
      </c>
      <c r="AH611" s="148" t="s">
        <v>127</v>
      </c>
      <c r="AI611" s="62"/>
      <c r="AJ611" s="42">
        <v>0.24</v>
      </c>
      <c r="AK611" s="42" t="s">
        <v>165</v>
      </c>
      <c r="AL611" s="42" t="s">
        <v>179</v>
      </c>
      <c r="AM611" s="64"/>
      <c r="AN611" s="216" t="s">
        <v>131</v>
      </c>
      <c r="AO611" s="42">
        <v>41.0</v>
      </c>
      <c r="AP611" s="411">
        <v>92.0</v>
      </c>
      <c r="AQ611" s="42" t="s">
        <v>1024</v>
      </c>
      <c r="AR611" s="42" t="s">
        <v>3379</v>
      </c>
      <c r="AS611" s="42" t="s">
        <v>2852</v>
      </c>
      <c r="AT611" s="42" t="s">
        <v>328</v>
      </c>
      <c r="AU611" s="42" t="s">
        <v>179</v>
      </c>
      <c r="AV611" s="64"/>
      <c r="AX611" s="65"/>
      <c r="AY611" s="62"/>
      <c r="BA611" s="223"/>
      <c r="BB611" s="223"/>
      <c r="BC611" s="223"/>
      <c r="BD611" s="223"/>
      <c r="BE611" s="223"/>
      <c r="BF611" s="223"/>
      <c r="BG611" s="223"/>
      <c r="BH611" s="223"/>
      <c r="BI611" s="223"/>
      <c r="BJ611" s="223"/>
      <c r="BK611" s="223"/>
      <c r="BL611" s="223"/>
      <c r="BM611" s="223"/>
      <c r="BN611" s="223"/>
      <c r="BO611" s="223"/>
      <c r="BP611" s="223"/>
      <c r="BQ611" s="223"/>
      <c r="BR611" s="223"/>
      <c r="BS611" s="223"/>
      <c r="BT611" s="223"/>
      <c r="BU611" s="223"/>
      <c r="BV611" s="223"/>
      <c r="BW611" s="223"/>
      <c r="BX611" s="223"/>
      <c r="BY611" s="223"/>
      <c r="BZ611" s="223"/>
      <c r="CA611" s="223"/>
      <c r="CB611" s="223"/>
      <c r="CC611" s="223"/>
      <c r="CD611" s="223"/>
      <c r="CE611" s="223"/>
      <c r="CF611" s="223"/>
      <c r="CG611" s="223"/>
      <c r="CH611" s="223"/>
      <c r="CI611" s="223"/>
      <c r="CJ611" s="223"/>
      <c r="CK611" s="223"/>
      <c r="CL611" s="223"/>
      <c r="CM611" s="223"/>
      <c r="CN611" s="223"/>
      <c r="CO611" s="223"/>
      <c r="CP611" s="223"/>
      <c r="CQ611" s="223"/>
      <c r="CR611" s="223"/>
      <c r="CS611" s="223"/>
      <c r="CT611" s="223"/>
      <c r="CU611" s="223"/>
      <c r="CV611" s="223"/>
      <c r="CW611" s="223"/>
      <c r="CX611" s="223"/>
      <c r="CY611" s="223"/>
      <c r="CZ611" s="223"/>
      <c r="DA611" s="223"/>
      <c r="DB611" s="223"/>
      <c r="DC611" s="223"/>
      <c r="DD611" s="223"/>
      <c r="DE611" s="223"/>
      <c r="DF611" s="223"/>
      <c r="DG611" s="223"/>
      <c r="DH611" s="223"/>
    </row>
    <row r="612" ht="20.25" customHeight="1">
      <c r="A612" s="41">
        <v>612.0</v>
      </c>
      <c r="B612" s="42" t="s">
        <v>278</v>
      </c>
      <c r="C612" s="42" t="s">
        <v>108</v>
      </c>
      <c r="D612" s="42" t="s">
        <v>241</v>
      </c>
      <c r="E612" s="62"/>
      <c r="F612" s="59" t="s">
        <v>3362</v>
      </c>
      <c r="G612" s="42" t="s">
        <v>3380</v>
      </c>
      <c r="H612" s="42" t="s">
        <v>242</v>
      </c>
      <c r="I612" s="60">
        <v>45427.0</v>
      </c>
      <c r="J612" s="61">
        <v>45625.0</v>
      </c>
      <c r="K612" s="42" t="s">
        <v>3375</v>
      </c>
      <c r="L612" s="62"/>
      <c r="M612" s="42" t="s">
        <v>3365</v>
      </c>
      <c r="N612" s="42" t="s">
        <v>3366</v>
      </c>
      <c r="O612" s="62"/>
      <c r="P612" s="115" t="str">
        <f> hyperlink(vlookup(lower(N612),'File Links'!A:B, 2, FALSE), SUBSTITUTE(lower(N612), "/", "--") &amp;  ".pdf")</f>
        <v>10.1177--2167702614545216.pdf</v>
      </c>
      <c r="Q612" s="105" t="str">
        <f t="array" ref="Q612"> if(iserror(MATCH(V612, 'File Links'!C:C, 0)), "N/A", HYPERLINK(INDEX('File Links'!B:B, MATCH(P612, 'File Links'!C:C, 0))))</f>
        <v>N/A</v>
      </c>
      <c r="R612" s="42" t="s">
        <v>3367</v>
      </c>
      <c r="S612" s="42" t="s">
        <v>3368</v>
      </c>
      <c r="T612" s="62"/>
      <c r="U612" s="62"/>
      <c r="V612" s="63" t="str">
        <f> hyperlink(vlookup(lower(S612),'File Links'!E:F, 2, FALSE), SUBSTITUTE(lower(S612), "/", "--") &amp;  ".pdf")</f>
        <v>10.1080--13506285.2024.2343157.pdf</v>
      </c>
      <c r="W612" s="62"/>
      <c r="X612" s="46" t="str">
        <f t="array" ref="X612"> if(iserror(MATCH(V612, 'File Links'!C:C, 0)), "N/A", HYPERLINK(INDEX('File Links'!B:B, MATCH(V612, 'File Links'!C:C, 0))))</f>
        <v>N/A</v>
      </c>
      <c r="Y612" s="42" t="s">
        <v>3369</v>
      </c>
      <c r="Z612" s="42" t="s">
        <v>940</v>
      </c>
      <c r="AA612" s="62"/>
      <c r="AB612" s="42" t="s">
        <v>3381</v>
      </c>
      <c r="AC612" s="42" t="s">
        <v>3371</v>
      </c>
      <c r="AD612" s="42" t="s">
        <v>3382</v>
      </c>
      <c r="AE612" s="42">
        <v>6.0</v>
      </c>
      <c r="AF612" s="42">
        <v>14.0</v>
      </c>
      <c r="AG612" s="42" t="s">
        <v>3383</v>
      </c>
      <c r="AH612" s="148" t="s">
        <v>127</v>
      </c>
      <c r="AI612" s="62"/>
      <c r="AJ612" s="42">
        <v>0.2</v>
      </c>
      <c r="AK612" s="42" t="s">
        <v>165</v>
      </c>
      <c r="AL612" s="42" t="s">
        <v>179</v>
      </c>
      <c r="AM612" s="64"/>
      <c r="AN612" s="216" t="s">
        <v>131</v>
      </c>
      <c r="AO612" s="42">
        <v>29.0</v>
      </c>
      <c r="AP612" s="411">
        <v>92.0</v>
      </c>
      <c r="AQ612" s="42" t="s">
        <v>1024</v>
      </c>
      <c r="AR612" s="42" t="s">
        <v>3379</v>
      </c>
      <c r="AS612" s="42" t="s">
        <v>2852</v>
      </c>
      <c r="AT612" s="42" t="s">
        <v>328</v>
      </c>
      <c r="AU612" s="42" t="s">
        <v>179</v>
      </c>
      <c r="AV612" s="64"/>
      <c r="AX612" s="65"/>
      <c r="AY612" s="62"/>
      <c r="BA612" s="104"/>
      <c r="BB612" s="104"/>
      <c r="BC612" s="104"/>
      <c r="BD612" s="104"/>
      <c r="BE612" s="104"/>
      <c r="BF612" s="104"/>
      <c r="BG612" s="104"/>
      <c r="BH612" s="104"/>
      <c r="BI612" s="104"/>
      <c r="BJ612" s="104"/>
      <c r="BK612" s="104"/>
      <c r="BL612" s="104"/>
      <c r="BM612" s="104"/>
      <c r="BN612" s="104"/>
      <c r="BO612" s="104"/>
      <c r="BP612" s="104"/>
      <c r="BQ612" s="104"/>
      <c r="BR612" s="104"/>
      <c r="BS612" s="104"/>
      <c r="BT612" s="104"/>
      <c r="BU612" s="104"/>
      <c r="BV612" s="104"/>
      <c r="BW612" s="104"/>
      <c r="BX612" s="104"/>
      <c r="BY612" s="104"/>
      <c r="BZ612" s="104"/>
      <c r="CA612" s="104"/>
      <c r="CB612" s="104"/>
      <c r="CC612" s="104"/>
      <c r="CD612" s="104"/>
      <c r="CE612" s="104"/>
      <c r="CF612" s="104"/>
      <c r="CG612" s="104"/>
      <c r="CH612" s="104"/>
      <c r="CI612" s="104"/>
      <c r="CJ612" s="104"/>
      <c r="CK612" s="104"/>
      <c r="CL612" s="104"/>
      <c r="CM612" s="104"/>
      <c r="CN612" s="104"/>
      <c r="CO612" s="104"/>
      <c r="CP612" s="104"/>
      <c r="CQ612" s="104"/>
      <c r="CR612" s="104"/>
      <c r="CS612" s="104"/>
      <c r="CT612" s="104"/>
      <c r="CU612" s="104"/>
      <c r="CV612" s="104"/>
      <c r="CW612" s="104"/>
      <c r="CX612" s="104"/>
      <c r="CY612" s="104"/>
      <c r="CZ612" s="104"/>
      <c r="DA612" s="104"/>
      <c r="DB612" s="104"/>
      <c r="DC612" s="104"/>
      <c r="DD612" s="104"/>
      <c r="DE612" s="104"/>
      <c r="DF612" s="104"/>
      <c r="DG612" s="104"/>
      <c r="DH612" s="104"/>
    </row>
    <row r="613" ht="20.25" customHeight="1">
      <c r="A613" s="71">
        <v>613.0</v>
      </c>
      <c r="B613" s="90" t="s">
        <v>145</v>
      </c>
      <c r="C613" s="90" t="s">
        <v>108</v>
      </c>
      <c r="D613" s="90" t="s">
        <v>983</v>
      </c>
      <c r="E613" s="89"/>
      <c r="F613" s="91" t="s">
        <v>3384</v>
      </c>
      <c r="G613" s="919" t="s">
        <v>3385</v>
      </c>
      <c r="H613" s="74" t="s">
        <v>137</v>
      </c>
      <c r="I613" s="850">
        <v>45489.0</v>
      </c>
      <c r="J613" s="626">
        <v>45638.0</v>
      </c>
      <c r="K613" s="80"/>
      <c r="L613" s="80"/>
      <c r="M613" s="74" t="s">
        <v>3386</v>
      </c>
      <c r="N613" s="74" t="s">
        <v>3387</v>
      </c>
      <c r="O613" s="632">
        <v>1.0</v>
      </c>
      <c r="P613" s="96" t="s">
        <v>3388</v>
      </c>
      <c r="Q613" s="890" t="str">
        <f t="array" ref="Q613"> if(iserror(MATCH(V613, 'File Links'!C:C, 0)), "N/A", HYPERLINK(INDEX('File Links'!B:B, MATCH(P613, 'File Links'!C:C, 0))))</f>
        <v>https://drive.google.com/file/d/13vglHZTPgv6z9W5xPGWG5OyE_h91M3UK/view?usp=drivesdk</v>
      </c>
      <c r="R613" s="74" t="s">
        <v>3389</v>
      </c>
      <c r="S613" s="74" t="s">
        <v>3390</v>
      </c>
      <c r="T613" s="80"/>
      <c r="U613" s="630">
        <v>1.0</v>
      </c>
      <c r="V613" s="92" t="str">
        <f t="shared" ref="V613:V679" si="36"> hyperlink(vlookup(lower(S613),#REF!, 2, FALSE), SUBSTITUTE(lower(S613), "/", "--") &amp;  ".pdf")</f>
        <v>10.12688--openreseurope.17749.1.pdf</v>
      </c>
      <c r="W613" s="74" t="s">
        <v>202</v>
      </c>
      <c r="X613" s="891" t="str">
        <f t="array" ref="X613"> if(iserror(MATCH(V613, 'File Links'!C:C, 0)), "N/A", HYPERLINK(INDEX('File Links'!B:B, MATCH(V613, 'File Links'!C:C, 0))))</f>
        <v>https://drive.google.com/file/d/17sgB6ScmXf8Wli1_dKWf0wpvxkNJRZtC/view?usp=drivesdk</v>
      </c>
      <c r="Y613" s="80"/>
      <c r="Z613" s="74" t="s">
        <v>141</v>
      </c>
      <c r="AA613" s="80" t="s">
        <v>3391</v>
      </c>
      <c r="AB613" s="80" t="s">
        <v>3392</v>
      </c>
      <c r="AC613" s="74" t="s">
        <v>3393</v>
      </c>
      <c r="AD613" s="920" t="s">
        <v>3394</v>
      </c>
      <c r="AE613" s="632">
        <v>5.0</v>
      </c>
      <c r="AF613" s="632">
        <v>27.0</v>
      </c>
      <c r="AG613" s="632">
        <v>5.93</v>
      </c>
      <c r="AH613" s="96" t="s">
        <v>127</v>
      </c>
      <c r="AI613" s="920" t="s">
        <v>3395</v>
      </c>
      <c r="AJ613" s="632">
        <v>0.022</v>
      </c>
      <c r="AK613" s="92" t="s">
        <v>165</v>
      </c>
      <c r="AL613" s="74" t="s">
        <v>179</v>
      </c>
      <c r="AM613" s="80" t="s">
        <v>130</v>
      </c>
      <c r="AN613" s="77" t="s">
        <v>131</v>
      </c>
      <c r="AO613" s="632">
        <v>32.0</v>
      </c>
      <c r="AP613" s="632">
        <v>1.78</v>
      </c>
      <c r="AQ613" s="74" t="s">
        <v>127</v>
      </c>
      <c r="AR613" s="632">
        <v>9.0</v>
      </c>
      <c r="AS613" s="632">
        <v>0.156</v>
      </c>
      <c r="AT613" s="92" t="s">
        <v>165</v>
      </c>
      <c r="AU613" s="92" t="s">
        <v>179</v>
      </c>
      <c r="AV613" s="91" t="s">
        <v>130</v>
      </c>
      <c r="AW613" s="920" t="s">
        <v>131</v>
      </c>
      <c r="AX613" s="91" t="s">
        <v>136</v>
      </c>
      <c r="AY613" s="77" t="s">
        <v>3396</v>
      </c>
      <c r="AZ613" s="921" t="s">
        <v>685</v>
      </c>
      <c r="BA613" s="89"/>
      <c r="BB613" s="89"/>
      <c r="BC613" s="89"/>
      <c r="BD613" s="89"/>
      <c r="BE613" s="89"/>
      <c r="BF613" s="89"/>
      <c r="BG613" s="89"/>
      <c r="BH613" s="89"/>
      <c r="BI613" s="89"/>
      <c r="BJ613" s="89"/>
      <c r="BK613" s="89"/>
      <c r="BL613" s="89"/>
      <c r="BM613" s="89"/>
      <c r="BN613" s="89"/>
      <c r="BO613" s="89"/>
      <c r="BP613" s="89"/>
      <c r="BQ613" s="89"/>
      <c r="BR613" s="89"/>
      <c r="BS613" s="89"/>
      <c r="BT613" s="89"/>
      <c r="BU613" s="89"/>
      <c r="BV613" s="89"/>
      <c r="BW613" s="89"/>
      <c r="BX613" s="89"/>
      <c r="BY613" s="89"/>
      <c r="BZ613" s="89"/>
      <c r="CA613" s="89"/>
      <c r="CB613" s="89"/>
      <c r="CC613" s="89"/>
      <c r="CD613" s="89"/>
      <c r="CE613" s="89"/>
      <c r="CF613" s="89"/>
      <c r="CG613" s="89"/>
      <c r="CH613" s="89"/>
      <c r="CI613" s="89"/>
      <c r="CJ613" s="89"/>
      <c r="CK613" s="89"/>
      <c r="CL613" s="89"/>
      <c r="CM613" s="89"/>
      <c r="CN613" s="89"/>
      <c r="CO613" s="89"/>
      <c r="CP613" s="89"/>
      <c r="CQ613" s="89"/>
      <c r="CR613" s="89"/>
      <c r="CS613" s="89"/>
      <c r="CT613" s="89"/>
      <c r="CU613" s="89"/>
      <c r="CV613" s="89"/>
      <c r="CW613" s="89"/>
      <c r="CX613" s="89"/>
      <c r="CY613" s="89"/>
      <c r="CZ613" s="89"/>
      <c r="DA613" s="89"/>
      <c r="DB613" s="89"/>
      <c r="DC613" s="89"/>
      <c r="DD613" s="89"/>
      <c r="DE613" s="89"/>
      <c r="DF613" s="89"/>
      <c r="DG613" s="89"/>
      <c r="DH613" s="89"/>
    </row>
    <row r="614" ht="20.25" customHeight="1">
      <c r="A614" s="71">
        <v>614.0</v>
      </c>
      <c r="B614" s="90" t="s">
        <v>145</v>
      </c>
      <c r="C614" s="90" t="s">
        <v>108</v>
      </c>
      <c r="D614" s="90" t="s">
        <v>983</v>
      </c>
      <c r="E614" s="89"/>
      <c r="F614" s="91" t="s">
        <v>3384</v>
      </c>
      <c r="G614" s="919" t="s">
        <v>3397</v>
      </c>
      <c r="H614" s="92" t="s">
        <v>137</v>
      </c>
      <c r="I614" s="850">
        <v>45489.0</v>
      </c>
      <c r="J614" s="626">
        <v>45638.0</v>
      </c>
      <c r="K614" s="91"/>
      <c r="L614" s="91"/>
      <c r="M614" s="92" t="s">
        <v>3386</v>
      </c>
      <c r="N614" s="92" t="s">
        <v>3387</v>
      </c>
      <c r="O614" s="95">
        <v>1.0</v>
      </c>
      <c r="P614" s="92" t="s">
        <v>3388</v>
      </c>
      <c r="Q614" s="890" t="str">
        <f t="array" ref="Q614"> if(iserror(MATCH(V614, 'File Links'!C:C, 0)), "N/A", HYPERLINK(INDEX('File Links'!B:B, MATCH(P614, 'File Links'!C:C, 0))))</f>
        <v>https://drive.google.com/file/d/13vglHZTPgv6z9W5xPGWG5OyE_h91M3UK/view?usp=drivesdk</v>
      </c>
      <c r="R614" s="92" t="s">
        <v>3389</v>
      </c>
      <c r="S614" s="92" t="s">
        <v>3390</v>
      </c>
      <c r="T614" s="91"/>
      <c r="U614" s="95">
        <v>1.0</v>
      </c>
      <c r="V614" s="92" t="str">
        <f t="shared" si="36"/>
        <v>10.12688--openreseurope.17749.1.pdf</v>
      </c>
      <c r="W614" s="92" t="s">
        <v>202</v>
      </c>
      <c r="X614" s="891" t="str">
        <f t="array" ref="X614"> if(iserror(MATCH(V614, 'File Links'!C:C, 0)), "N/A", HYPERLINK(INDEX('File Links'!B:B, MATCH(V614, 'File Links'!C:C, 0))))</f>
        <v>https://drive.google.com/file/d/17sgB6ScmXf8Wli1_dKWf0wpvxkNJRZtC/view?usp=drivesdk</v>
      </c>
      <c r="Y614" s="91"/>
      <c r="Z614" s="92" t="s">
        <v>141</v>
      </c>
      <c r="AA614" s="91" t="s">
        <v>3391</v>
      </c>
      <c r="AB614" s="91" t="s">
        <v>3392</v>
      </c>
      <c r="AC614" s="92" t="s">
        <v>3398</v>
      </c>
      <c r="AD614" s="91"/>
      <c r="AE614" s="95">
        <v>5.0</v>
      </c>
      <c r="AF614" s="95">
        <v>27.0</v>
      </c>
      <c r="AG614" s="95">
        <v>4.0</v>
      </c>
      <c r="AH614" s="96" t="s">
        <v>127</v>
      </c>
      <c r="AI614" s="920">
        <v>5.0</v>
      </c>
      <c r="AJ614" s="632">
        <v>0.056</v>
      </c>
      <c r="AK614" s="92" t="s">
        <v>165</v>
      </c>
      <c r="AL614" s="74" t="s">
        <v>179</v>
      </c>
      <c r="AM614" s="91" t="s">
        <v>130</v>
      </c>
      <c r="AN614" s="77" t="s">
        <v>131</v>
      </c>
      <c r="AO614" s="95">
        <v>32.0</v>
      </c>
      <c r="AP614" s="95">
        <v>37.31</v>
      </c>
      <c r="AQ614" s="92" t="s">
        <v>127</v>
      </c>
      <c r="AR614" s="95">
        <v>9.0</v>
      </c>
      <c r="AS614" s="95">
        <v>0.001</v>
      </c>
      <c r="AT614" s="92" t="s">
        <v>128</v>
      </c>
      <c r="AU614" s="92" t="s">
        <v>179</v>
      </c>
      <c r="AV614" s="91" t="s">
        <v>130</v>
      </c>
      <c r="AW614" s="920" t="s">
        <v>131</v>
      </c>
      <c r="AX614" s="91" t="s">
        <v>136</v>
      </c>
      <c r="AY614" s="91"/>
      <c r="AZ614" s="921" t="s">
        <v>685</v>
      </c>
      <c r="BA614" s="89"/>
      <c r="BB614" s="89"/>
      <c r="BC614" s="89"/>
      <c r="BD614" s="89"/>
      <c r="BE614" s="89"/>
      <c r="BF614" s="89"/>
      <c r="BG614" s="89"/>
      <c r="BH614" s="89"/>
      <c r="BI614" s="89"/>
      <c r="BJ614" s="89"/>
      <c r="BK614" s="89"/>
      <c r="BL614" s="89"/>
      <c r="BM614" s="89"/>
      <c r="BN614" s="89"/>
      <c r="BO614" s="89"/>
      <c r="BP614" s="89"/>
      <c r="BQ614" s="89"/>
      <c r="BR614" s="89"/>
      <c r="BS614" s="89"/>
      <c r="BT614" s="89"/>
      <c r="BU614" s="89"/>
      <c r="BV614" s="89"/>
      <c r="BW614" s="89"/>
      <c r="BX614" s="89"/>
      <c r="BY614" s="89"/>
      <c r="BZ614" s="89"/>
      <c r="CA614" s="89"/>
      <c r="CB614" s="89"/>
      <c r="CC614" s="89"/>
      <c r="CD614" s="89"/>
      <c r="CE614" s="89"/>
      <c r="CF614" s="89"/>
      <c r="CG614" s="89"/>
      <c r="CH614" s="89"/>
      <c r="CI614" s="89"/>
      <c r="CJ614" s="89"/>
      <c r="CK614" s="89"/>
      <c r="CL614" s="89"/>
      <c r="CM614" s="89"/>
      <c r="CN614" s="89"/>
      <c r="CO614" s="89"/>
      <c r="CP614" s="89"/>
      <c r="CQ614" s="89"/>
      <c r="CR614" s="89"/>
      <c r="CS614" s="89"/>
      <c r="CT614" s="89"/>
      <c r="CU614" s="89"/>
      <c r="CV614" s="89"/>
      <c r="CW614" s="89"/>
      <c r="CX614" s="89"/>
      <c r="CY614" s="89"/>
      <c r="CZ614" s="89"/>
      <c r="DA614" s="89"/>
      <c r="DB614" s="89"/>
      <c r="DC614" s="89"/>
      <c r="DD614" s="89"/>
      <c r="DE614" s="89"/>
      <c r="DF614" s="89"/>
      <c r="DG614" s="89"/>
      <c r="DH614" s="89"/>
    </row>
    <row r="615" ht="20.25" customHeight="1">
      <c r="A615" s="71">
        <v>615.0</v>
      </c>
      <c r="B615" s="90" t="s">
        <v>145</v>
      </c>
      <c r="C615" s="90" t="s">
        <v>108</v>
      </c>
      <c r="D615" s="90" t="s">
        <v>983</v>
      </c>
      <c r="E615" s="89"/>
      <c r="F615" s="91" t="s">
        <v>3384</v>
      </c>
      <c r="G615" s="919" t="s">
        <v>3399</v>
      </c>
      <c r="H615" s="74" t="s">
        <v>137</v>
      </c>
      <c r="I615" s="850">
        <v>45489.0</v>
      </c>
      <c r="J615" s="626">
        <v>45638.0</v>
      </c>
      <c r="K615" s="80"/>
      <c r="L615" s="80"/>
      <c r="M615" s="74" t="s">
        <v>3386</v>
      </c>
      <c r="N615" s="74" t="s">
        <v>3387</v>
      </c>
      <c r="O615" s="632">
        <v>1.0</v>
      </c>
      <c r="P615" s="96" t="s">
        <v>3388</v>
      </c>
      <c r="Q615" s="890" t="str">
        <f t="array" ref="Q615"> if(iserror(MATCH(V615, 'File Links'!C:C, 0)), "N/A", HYPERLINK(INDEX('File Links'!B:B, MATCH(P615, 'File Links'!C:C, 0))))</f>
        <v>https://drive.google.com/file/d/13vglHZTPgv6z9W5xPGWG5OyE_h91M3UK/view?usp=drivesdk</v>
      </c>
      <c r="R615" s="74" t="s">
        <v>3389</v>
      </c>
      <c r="S615" s="74" t="s">
        <v>3390</v>
      </c>
      <c r="T615" s="80"/>
      <c r="U615" s="630">
        <v>1.0</v>
      </c>
      <c r="V615" s="92" t="str">
        <f t="shared" si="36"/>
        <v>10.12688--openreseurope.17749.1.pdf</v>
      </c>
      <c r="W615" s="74" t="s">
        <v>202</v>
      </c>
      <c r="X615" s="891" t="str">
        <f t="array" ref="X615"> if(iserror(MATCH(V615, 'File Links'!C:C, 0)), "N/A", HYPERLINK(INDEX('File Links'!B:B, MATCH(V615, 'File Links'!C:C, 0))))</f>
        <v>https://drive.google.com/file/d/17sgB6ScmXf8Wli1_dKWf0wpvxkNJRZtC/view?usp=drivesdk</v>
      </c>
      <c r="Y615" s="80"/>
      <c r="Z615" s="74" t="s">
        <v>141</v>
      </c>
      <c r="AA615" s="80" t="s">
        <v>3391</v>
      </c>
      <c r="AB615" s="80" t="s">
        <v>3392</v>
      </c>
      <c r="AC615" s="74" t="s">
        <v>3400</v>
      </c>
      <c r="AD615" s="80"/>
      <c r="AE615" s="632">
        <v>5.0</v>
      </c>
      <c r="AF615" s="632">
        <v>27.0</v>
      </c>
      <c r="AG615" s="632">
        <v>6.12</v>
      </c>
      <c r="AH615" s="96" t="s">
        <v>127</v>
      </c>
      <c r="AI615" s="920">
        <v>5.0</v>
      </c>
      <c r="AJ615" s="632">
        <v>0.02</v>
      </c>
      <c r="AK615" s="92" t="s">
        <v>165</v>
      </c>
      <c r="AL615" s="74" t="s">
        <v>179</v>
      </c>
      <c r="AM615" s="80" t="s">
        <v>130</v>
      </c>
      <c r="AN615" s="77" t="s">
        <v>131</v>
      </c>
      <c r="AO615" s="632">
        <v>32.0</v>
      </c>
      <c r="AP615" s="632">
        <v>1.12</v>
      </c>
      <c r="AQ615" s="74" t="s">
        <v>127</v>
      </c>
      <c r="AR615" s="632">
        <v>9.0</v>
      </c>
      <c r="AS615" s="632">
        <v>0.332</v>
      </c>
      <c r="AT615" s="92" t="s">
        <v>165</v>
      </c>
      <c r="AU615" s="92" t="s">
        <v>179</v>
      </c>
      <c r="AV615" s="91" t="s">
        <v>130</v>
      </c>
      <c r="AW615" s="920" t="s">
        <v>131</v>
      </c>
      <c r="AX615" s="91" t="s">
        <v>136</v>
      </c>
      <c r="AY615" s="80"/>
      <c r="AZ615" s="921" t="s">
        <v>685</v>
      </c>
      <c r="BA615" s="89"/>
      <c r="BB615" s="89"/>
      <c r="BC615" s="89"/>
      <c r="BD615" s="89"/>
      <c r="BE615" s="89"/>
      <c r="BF615" s="89"/>
      <c r="BG615" s="89"/>
      <c r="BH615" s="89"/>
      <c r="BI615" s="89"/>
      <c r="BJ615" s="89"/>
      <c r="BK615" s="89"/>
      <c r="BL615" s="89"/>
      <c r="BM615" s="89"/>
      <c r="BN615" s="89"/>
      <c r="BO615" s="89"/>
      <c r="BP615" s="89"/>
      <c r="BQ615" s="89"/>
      <c r="BR615" s="89"/>
      <c r="BS615" s="89"/>
      <c r="BT615" s="89"/>
      <c r="BU615" s="89"/>
      <c r="BV615" s="89"/>
      <c r="BW615" s="89"/>
      <c r="BX615" s="89"/>
      <c r="BY615" s="89"/>
      <c r="BZ615" s="89"/>
      <c r="CA615" s="89"/>
      <c r="CB615" s="89"/>
      <c r="CC615" s="89"/>
      <c r="CD615" s="89"/>
      <c r="CE615" s="89"/>
      <c r="CF615" s="89"/>
      <c r="CG615" s="89"/>
      <c r="CH615" s="89"/>
      <c r="CI615" s="89"/>
      <c r="CJ615" s="89"/>
      <c r="CK615" s="89"/>
      <c r="CL615" s="89"/>
      <c r="CM615" s="89"/>
      <c r="CN615" s="89"/>
      <c r="CO615" s="89"/>
      <c r="CP615" s="89"/>
      <c r="CQ615" s="89"/>
      <c r="CR615" s="89"/>
      <c r="CS615" s="89"/>
      <c r="CT615" s="89"/>
      <c r="CU615" s="89"/>
      <c r="CV615" s="89"/>
      <c r="CW615" s="89"/>
      <c r="CX615" s="89"/>
      <c r="CY615" s="89"/>
      <c r="CZ615" s="89"/>
      <c r="DA615" s="89"/>
      <c r="DB615" s="89"/>
      <c r="DC615" s="89"/>
      <c r="DD615" s="89"/>
      <c r="DE615" s="89"/>
      <c r="DF615" s="89"/>
      <c r="DG615" s="89"/>
      <c r="DH615" s="89"/>
    </row>
    <row r="616" ht="20.25" customHeight="1">
      <c r="A616" s="71">
        <v>616.0</v>
      </c>
      <c r="B616" s="90" t="s">
        <v>145</v>
      </c>
      <c r="C616" s="90" t="s">
        <v>108</v>
      </c>
      <c r="D616" s="90" t="s">
        <v>983</v>
      </c>
      <c r="E616" s="89"/>
      <c r="F616" s="91" t="s">
        <v>3384</v>
      </c>
      <c r="G616" s="919" t="s">
        <v>3401</v>
      </c>
      <c r="H616" s="92" t="s">
        <v>137</v>
      </c>
      <c r="I616" s="850">
        <v>45489.0</v>
      </c>
      <c r="J616" s="626">
        <v>45638.0</v>
      </c>
      <c r="K616" s="91"/>
      <c r="L616" s="91"/>
      <c r="M616" s="92" t="s">
        <v>3386</v>
      </c>
      <c r="N616" s="92" t="s">
        <v>3387</v>
      </c>
      <c r="O616" s="95">
        <v>1.0</v>
      </c>
      <c r="P616" s="92" t="s">
        <v>3388</v>
      </c>
      <c r="Q616" s="890" t="str">
        <f t="array" ref="Q616"> if(iserror(MATCH(V616, 'File Links'!C:C, 0)), "N/A", HYPERLINK(INDEX('File Links'!B:B, MATCH(P616, 'File Links'!C:C, 0))))</f>
        <v>https://drive.google.com/file/d/13vglHZTPgv6z9W5xPGWG5OyE_h91M3UK/view?usp=drivesdk</v>
      </c>
      <c r="R616" s="92" t="s">
        <v>3389</v>
      </c>
      <c r="S616" s="92" t="s">
        <v>3390</v>
      </c>
      <c r="T616" s="91"/>
      <c r="U616" s="95">
        <v>1.0</v>
      </c>
      <c r="V616" s="92" t="str">
        <f t="shared" si="36"/>
        <v>10.12688--openreseurope.17749.1.pdf</v>
      </c>
      <c r="W616" s="92" t="s">
        <v>202</v>
      </c>
      <c r="X616" s="891" t="str">
        <f t="array" ref="X616"> if(iserror(MATCH(V616, 'File Links'!C:C, 0)), "N/A", HYPERLINK(INDEX('File Links'!B:B, MATCH(V616, 'File Links'!C:C, 0))))</f>
        <v>https://drive.google.com/file/d/17sgB6ScmXf8Wli1_dKWf0wpvxkNJRZtC/view?usp=drivesdk</v>
      </c>
      <c r="Y616" s="91"/>
      <c r="Z616" s="92" t="s">
        <v>141</v>
      </c>
      <c r="AA616" s="91" t="s">
        <v>3391</v>
      </c>
      <c r="AB616" s="91" t="s">
        <v>3392</v>
      </c>
      <c r="AC616" s="92" t="s">
        <v>3402</v>
      </c>
      <c r="AD616" s="91"/>
      <c r="AE616" s="95">
        <v>5.0</v>
      </c>
      <c r="AF616" s="95">
        <v>27.0</v>
      </c>
      <c r="AG616" s="95">
        <v>7.17</v>
      </c>
      <c r="AH616" s="96" t="s">
        <v>127</v>
      </c>
      <c r="AI616" s="920">
        <v>5.0</v>
      </c>
      <c r="AJ616" s="632">
        <v>0.013</v>
      </c>
      <c r="AK616" s="92" t="s">
        <v>165</v>
      </c>
      <c r="AL616" s="74" t="s">
        <v>179</v>
      </c>
      <c r="AM616" s="91" t="s">
        <v>130</v>
      </c>
      <c r="AN616" s="77" t="s">
        <v>131</v>
      </c>
      <c r="AO616" s="95">
        <v>32.0</v>
      </c>
      <c r="AP616" s="95">
        <v>31.02</v>
      </c>
      <c r="AQ616" s="92" t="s">
        <v>127</v>
      </c>
      <c r="AR616" s="95">
        <v>9.0</v>
      </c>
      <c r="AS616" s="95">
        <v>0.001</v>
      </c>
      <c r="AT616" s="92" t="s">
        <v>128</v>
      </c>
      <c r="AU616" s="92" t="s">
        <v>179</v>
      </c>
      <c r="AV616" s="91" t="s">
        <v>130</v>
      </c>
      <c r="AW616" s="920" t="s">
        <v>131</v>
      </c>
      <c r="AX616" s="91" t="s">
        <v>136</v>
      </c>
      <c r="AY616" s="91"/>
      <c r="AZ616" s="921" t="s">
        <v>685</v>
      </c>
      <c r="BA616" s="89"/>
      <c r="BB616" s="89"/>
      <c r="BC616" s="89"/>
      <c r="BD616" s="89"/>
      <c r="BE616" s="89"/>
      <c r="BF616" s="89"/>
      <c r="BG616" s="89"/>
      <c r="BH616" s="89"/>
      <c r="BI616" s="89"/>
      <c r="BJ616" s="89"/>
      <c r="BK616" s="89"/>
      <c r="BL616" s="89"/>
      <c r="BM616" s="89"/>
      <c r="BN616" s="89"/>
      <c r="BO616" s="89"/>
      <c r="BP616" s="89"/>
      <c r="BQ616" s="89"/>
      <c r="BR616" s="89"/>
      <c r="BS616" s="89"/>
      <c r="BT616" s="89"/>
      <c r="BU616" s="89"/>
      <c r="BV616" s="89"/>
      <c r="BW616" s="89"/>
      <c r="BX616" s="89"/>
      <c r="BY616" s="89"/>
      <c r="BZ616" s="89"/>
      <c r="CA616" s="89"/>
      <c r="CB616" s="89"/>
      <c r="CC616" s="89"/>
      <c r="CD616" s="89"/>
      <c r="CE616" s="89"/>
      <c r="CF616" s="89"/>
      <c r="CG616" s="89"/>
      <c r="CH616" s="89"/>
      <c r="CI616" s="89"/>
      <c r="CJ616" s="89"/>
      <c r="CK616" s="89"/>
      <c r="CL616" s="89"/>
      <c r="CM616" s="89"/>
      <c r="CN616" s="89"/>
      <c r="CO616" s="89"/>
      <c r="CP616" s="89"/>
      <c r="CQ616" s="89"/>
      <c r="CR616" s="89"/>
      <c r="CS616" s="89"/>
      <c r="CT616" s="89"/>
      <c r="CU616" s="89"/>
      <c r="CV616" s="89"/>
      <c r="CW616" s="89"/>
      <c r="CX616" s="89"/>
      <c r="CY616" s="89"/>
      <c r="CZ616" s="89"/>
      <c r="DA616" s="89"/>
      <c r="DB616" s="89"/>
      <c r="DC616" s="89"/>
      <c r="DD616" s="89"/>
      <c r="DE616" s="89"/>
      <c r="DF616" s="89"/>
      <c r="DG616" s="89"/>
      <c r="DH616" s="89"/>
    </row>
    <row r="617" ht="20.25" customHeight="1">
      <c r="A617" s="71">
        <v>617.0</v>
      </c>
      <c r="B617" s="90" t="s">
        <v>145</v>
      </c>
      <c r="C617" s="90" t="s">
        <v>108</v>
      </c>
      <c r="D617" s="90" t="s">
        <v>983</v>
      </c>
      <c r="E617" s="89"/>
      <c r="F617" s="91" t="s">
        <v>3384</v>
      </c>
      <c r="G617" s="919" t="s">
        <v>3403</v>
      </c>
      <c r="H617" s="74" t="s">
        <v>137</v>
      </c>
      <c r="I617" s="850">
        <v>45489.0</v>
      </c>
      <c r="J617" s="626">
        <v>45638.0</v>
      </c>
      <c r="K617" s="80"/>
      <c r="L617" s="80"/>
      <c r="M617" s="74" t="s">
        <v>3386</v>
      </c>
      <c r="N617" s="74" t="s">
        <v>3387</v>
      </c>
      <c r="O617" s="632">
        <v>1.0</v>
      </c>
      <c r="P617" s="96" t="s">
        <v>3388</v>
      </c>
      <c r="Q617" s="890" t="str">
        <f t="array" ref="Q617"> if(iserror(MATCH(V617, 'File Links'!C:C, 0)), "N/A", HYPERLINK(INDEX('File Links'!B:B, MATCH(P617, 'File Links'!C:C, 0))))</f>
        <v>https://drive.google.com/file/d/13vglHZTPgv6z9W5xPGWG5OyE_h91M3UK/view?usp=drivesdk</v>
      </c>
      <c r="R617" s="74" t="s">
        <v>3389</v>
      </c>
      <c r="S617" s="74" t="s">
        <v>3390</v>
      </c>
      <c r="T617" s="80"/>
      <c r="U617" s="630">
        <v>1.0</v>
      </c>
      <c r="V617" s="92" t="str">
        <f t="shared" si="36"/>
        <v>10.12688--openreseurope.17749.1.pdf</v>
      </c>
      <c r="W617" s="74" t="s">
        <v>202</v>
      </c>
      <c r="X617" s="891" t="str">
        <f t="array" ref="X617"> if(iserror(MATCH(V617, 'File Links'!C:C, 0)), "N/A", HYPERLINK(INDEX('File Links'!B:B, MATCH(V617, 'File Links'!C:C, 0))))</f>
        <v>https://drive.google.com/file/d/17sgB6ScmXf8Wli1_dKWf0wpvxkNJRZtC/view?usp=drivesdk</v>
      </c>
      <c r="Y617" s="80"/>
      <c r="Z617" s="74" t="s">
        <v>141</v>
      </c>
      <c r="AA617" s="80" t="s">
        <v>3391</v>
      </c>
      <c r="AB617" s="80" t="s">
        <v>3392</v>
      </c>
      <c r="AC617" s="74" t="s">
        <v>3404</v>
      </c>
      <c r="AD617" s="80"/>
      <c r="AE617" s="632">
        <v>5.0</v>
      </c>
      <c r="AF617" s="632">
        <v>27.0</v>
      </c>
      <c r="AG617" s="632">
        <v>5.16</v>
      </c>
      <c r="AH617" s="96" t="s">
        <v>127</v>
      </c>
      <c r="AI617" s="920">
        <v>5.0</v>
      </c>
      <c r="AJ617" s="632">
        <v>0.032</v>
      </c>
      <c r="AK617" s="92" t="s">
        <v>165</v>
      </c>
      <c r="AL617" s="74" t="s">
        <v>179</v>
      </c>
      <c r="AM617" s="80" t="s">
        <v>130</v>
      </c>
      <c r="AN617" s="77" t="s">
        <v>131</v>
      </c>
      <c r="AO617" s="632">
        <v>32.0</v>
      </c>
      <c r="AP617" s="632">
        <v>1.04</v>
      </c>
      <c r="AQ617" s="74" t="s">
        <v>127</v>
      </c>
      <c r="AR617" s="632">
        <v>9.0</v>
      </c>
      <c r="AS617" s="632">
        <v>0.315</v>
      </c>
      <c r="AT617" s="92" t="s">
        <v>165</v>
      </c>
      <c r="AU617" s="92" t="s">
        <v>179</v>
      </c>
      <c r="AV617" s="91" t="s">
        <v>130</v>
      </c>
      <c r="AW617" s="920" t="s">
        <v>131</v>
      </c>
      <c r="AX617" s="91" t="s">
        <v>136</v>
      </c>
      <c r="AY617" s="80"/>
      <c r="AZ617" s="921" t="s">
        <v>685</v>
      </c>
      <c r="BA617" s="89"/>
      <c r="BB617" s="89"/>
      <c r="BC617" s="89"/>
      <c r="BD617" s="89"/>
      <c r="BE617" s="89"/>
      <c r="BF617" s="89"/>
      <c r="BG617" s="89"/>
      <c r="BH617" s="89"/>
      <c r="BI617" s="89"/>
      <c r="BJ617" s="89"/>
      <c r="BK617" s="89"/>
      <c r="BL617" s="89"/>
      <c r="BM617" s="89"/>
      <c r="BN617" s="89"/>
      <c r="BO617" s="89"/>
      <c r="BP617" s="89"/>
      <c r="BQ617" s="89"/>
      <c r="BR617" s="89"/>
      <c r="BS617" s="89"/>
      <c r="BT617" s="89"/>
      <c r="BU617" s="89"/>
      <c r="BV617" s="89"/>
      <c r="BW617" s="89"/>
      <c r="BX617" s="89"/>
      <c r="BY617" s="89"/>
      <c r="BZ617" s="89"/>
      <c r="CA617" s="89"/>
      <c r="CB617" s="89"/>
      <c r="CC617" s="89"/>
      <c r="CD617" s="89"/>
      <c r="CE617" s="89"/>
      <c r="CF617" s="89"/>
      <c r="CG617" s="89"/>
      <c r="CH617" s="89"/>
      <c r="CI617" s="89"/>
      <c r="CJ617" s="89"/>
      <c r="CK617" s="89"/>
      <c r="CL617" s="89"/>
      <c r="CM617" s="89"/>
      <c r="CN617" s="89"/>
      <c r="CO617" s="89"/>
      <c r="CP617" s="89"/>
      <c r="CQ617" s="89"/>
      <c r="CR617" s="89"/>
      <c r="CS617" s="89"/>
      <c r="CT617" s="89"/>
      <c r="CU617" s="89"/>
      <c r="CV617" s="89"/>
      <c r="CW617" s="89"/>
      <c r="CX617" s="89"/>
      <c r="CY617" s="89"/>
      <c r="CZ617" s="89"/>
      <c r="DA617" s="89"/>
      <c r="DB617" s="89"/>
      <c r="DC617" s="89"/>
      <c r="DD617" s="89"/>
      <c r="DE617" s="89"/>
      <c r="DF617" s="89"/>
      <c r="DG617" s="89"/>
      <c r="DH617" s="89"/>
    </row>
    <row r="618" ht="20.25" customHeight="1">
      <c r="A618" s="805">
        <v>618.0</v>
      </c>
      <c r="B618" s="464" t="s">
        <v>145</v>
      </c>
      <c r="C618" s="464" t="s">
        <v>108</v>
      </c>
      <c r="D618" s="464" t="s">
        <v>983</v>
      </c>
      <c r="E618" s="465"/>
      <c r="F618" s="479" t="s">
        <v>3384</v>
      </c>
      <c r="G618" s="922" t="s">
        <v>3405</v>
      </c>
      <c r="H618" s="466" t="s">
        <v>137</v>
      </c>
      <c r="I618" s="468">
        <v>45489.0</v>
      </c>
      <c r="J618" s="781">
        <v>45638.0</v>
      </c>
      <c r="K618" s="479"/>
      <c r="L618" s="479"/>
      <c r="M618" s="466" t="s">
        <v>3386</v>
      </c>
      <c r="N618" s="466" t="s">
        <v>3387</v>
      </c>
      <c r="O618" s="923">
        <v>1.0</v>
      </c>
      <c r="P618" s="466" t="s">
        <v>3388</v>
      </c>
      <c r="Q618" s="924" t="str">
        <f t="array" ref="Q618"> if(iserror(MATCH(V618, 'File Links'!C:C, 0)), "N/A", HYPERLINK(INDEX('File Links'!B:B, MATCH(P618, 'File Links'!C:C, 0))))</f>
        <v>https://drive.google.com/file/d/13vglHZTPgv6z9W5xPGWG5OyE_h91M3UK/view?usp=drivesdk</v>
      </c>
      <c r="R618" s="466" t="s">
        <v>3389</v>
      </c>
      <c r="S618" s="466" t="s">
        <v>3390</v>
      </c>
      <c r="T618" s="479"/>
      <c r="U618" s="923">
        <v>1.0</v>
      </c>
      <c r="V618" s="466" t="str">
        <f t="shared" si="36"/>
        <v>10.12688--openreseurope.17749.1.pdf</v>
      </c>
      <c r="W618" s="466" t="s">
        <v>202</v>
      </c>
      <c r="X618" s="925" t="str">
        <f t="array" ref="X618"> if(iserror(MATCH(V618, 'File Links'!C:C, 0)), "N/A", HYPERLINK(INDEX('File Links'!B:B, MATCH(V618, 'File Links'!C:C, 0))))</f>
        <v>https://drive.google.com/file/d/17sgB6ScmXf8Wli1_dKWf0wpvxkNJRZtC/view?usp=drivesdk</v>
      </c>
      <c r="Y618" s="479"/>
      <c r="Z618" s="466" t="s">
        <v>141</v>
      </c>
      <c r="AA618" s="479" t="s">
        <v>3391</v>
      </c>
      <c r="AB618" s="479" t="s">
        <v>3392</v>
      </c>
      <c r="AC618" s="466" t="s">
        <v>3406</v>
      </c>
      <c r="AD618" s="479"/>
      <c r="AE618" s="923">
        <v>5.0</v>
      </c>
      <c r="AF618" s="923">
        <v>27.0</v>
      </c>
      <c r="AG618" s="926" t="s">
        <v>131</v>
      </c>
      <c r="AH618" s="472" t="s">
        <v>127</v>
      </c>
      <c r="AI618" s="920">
        <v>5.0</v>
      </c>
      <c r="AJ618" s="476">
        <v>0.001</v>
      </c>
      <c r="AK618" s="466" t="s">
        <v>128</v>
      </c>
      <c r="AL618" s="467" t="s">
        <v>179</v>
      </c>
      <c r="AM618" s="479" t="s">
        <v>130</v>
      </c>
      <c r="AN618" s="471" t="s">
        <v>131</v>
      </c>
      <c r="AO618" s="923">
        <v>32.0</v>
      </c>
      <c r="AP618" s="479"/>
      <c r="AQ618" s="466" t="s">
        <v>127</v>
      </c>
      <c r="AR618" s="923">
        <v>9.0</v>
      </c>
      <c r="AS618" s="923">
        <v>0.001</v>
      </c>
      <c r="AT618" s="466" t="s">
        <v>128</v>
      </c>
      <c r="AU618" s="466" t="s">
        <v>179</v>
      </c>
      <c r="AV618" s="479" t="s">
        <v>130</v>
      </c>
      <c r="AW618" s="920" t="s">
        <v>131</v>
      </c>
      <c r="AX618" s="479" t="s">
        <v>136</v>
      </c>
      <c r="AY618" s="479"/>
      <c r="AZ618" s="921" t="s">
        <v>685</v>
      </c>
      <c r="BA618" s="465"/>
      <c r="BB618" s="465"/>
      <c r="BC618" s="465"/>
      <c r="BD618" s="465"/>
      <c r="BE618" s="465"/>
      <c r="BF618" s="465"/>
      <c r="BG618" s="465"/>
      <c r="BH618" s="465"/>
      <c r="BI618" s="465"/>
      <c r="BJ618" s="465"/>
      <c r="BK618" s="465"/>
      <c r="BL618" s="465"/>
      <c r="BM618" s="465"/>
      <c r="BN618" s="465"/>
      <c r="BO618" s="465"/>
      <c r="BP618" s="465"/>
      <c r="BQ618" s="465"/>
      <c r="BR618" s="465"/>
      <c r="BS618" s="465"/>
      <c r="BT618" s="465"/>
      <c r="BU618" s="465"/>
      <c r="BV618" s="465"/>
      <c r="BW618" s="465"/>
      <c r="BX618" s="465"/>
      <c r="BY618" s="465"/>
      <c r="BZ618" s="465"/>
      <c r="CA618" s="465"/>
      <c r="CB618" s="465"/>
      <c r="CC618" s="465"/>
      <c r="CD618" s="465"/>
      <c r="CE618" s="465"/>
      <c r="CF618" s="465"/>
      <c r="CG618" s="465"/>
      <c r="CH618" s="465"/>
      <c r="CI618" s="465"/>
      <c r="CJ618" s="465"/>
      <c r="CK618" s="465"/>
      <c r="CL618" s="465"/>
      <c r="CM618" s="465"/>
      <c r="CN618" s="465"/>
      <c r="CO618" s="465"/>
      <c r="CP618" s="465"/>
      <c r="CQ618" s="465"/>
      <c r="CR618" s="465"/>
      <c r="CS618" s="465"/>
      <c r="CT618" s="465"/>
      <c r="CU618" s="465"/>
      <c r="CV618" s="465"/>
      <c r="CW618" s="465"/>
      <c r="CX618" s="465"/>
      <c r="CY618" s="465"/>
      <c r="CZ618" s="465"/>
      <c r="DA618" s="465"/>
      <c r="DB618" s="465"/>
      <c r="DC618" s="465"/>
      <c r="DD618" s="465"/>
      <c r="DE618" s="465"/>
      <c r="DF618" s="465"/>
      <c r="DG618" s="465"/>
      <c r="DH618" s="465"/>
    </row>
    <row r="619" ht="20.25" customHeight="1">
      <c r="A619" s="805">
        <v>619.0</v>
      </c>
      <c r="B619" s="464" t="s">
        <v>145</v>
      </c>
      <c r="C619" s="464" t="s">
        <v>108</v>
      </c>
      <c r="D619" s="464" t="s">
        <v>983</v>
      </c>
      <c r="E619" s="465"/>
      <c r="F619" s="479" t="s">
        <v>3384</v>
      </c>
      <c r="G619" s="922" t="s">
        <v>3407</v>
      </c>
      <c r="H619" s="467" t="s">
        <v>137</v>
      </c>
      <c r="I619" s="468">
        <v>45489.0</v>
      </c>
      <c r="J619" s="781">
        <v>45638.0</v>
      </c>
      <c r="K619" s="473"/>
      <c r="L619" s="473"/>
      <c r="M619" s="467" t="s">
        <v>3386</v>
      </c>
      <c r="N619" s="467" t="s">
        <v>3387</v>
      </c>
      <c r="O619" s="476">
        <v>1.0</v>
      </c>
      <c r="P619" s="472" t="s">
        <v>3388</v>
      </c>
      <c r="Q619" s="924" t="str">
        <f t="array" ref="Q619"> if(iserror(MATCH(V619, 'File Links'!C:C, 0)), "N/A", HYPERLINK(INDEX('File Links'!B:B, MATCH(P619, 'File Links'!C:C, 0))))</f>
        <v>https://drive.google.com/file/d/13vglHZTPgv6z9W5xPGWG5OyE_h91M3UK/view?usp=drivesdk</v>
      </c>
      <c r="R619" s="467" t="s">
        <v>3389</v>
      </c>
      <c r="S619" s="467" t="s">
        <v>3390</v>
      </c>
      <c r="T619" s="473"/>
      <c r="U619" s="927">
        <v>1.0</v>
      </c>
      <c r="V619" s="466" t="str">
        <f t="shared" si="36"/>
        <v>10.12688--openreseurope.17749.1.pdf</v>
      </c>
      <c r="W619" s="467" t="s">
        <v>202</v>
      </c>
      <c r="X619" s="925" t="str">
        <f t="array" ref="X619"> if(iserror(MATCH(V619, 'File Links'!C:C, 0)), "N/A", HYPERLINK(INDEX('File Links'!B:B, MATCH(V619, 'File Links'!C:C, 0))))</f>
        <v>https://drive.google.com/file/d/17sgB6ScmXf8Wli1_dKWf0wpvxkNJRZtC/view?usp=drivesdk</v>
      </c>
      <c r="Y619" s="473"/>
      <c r="Z619" s="467" t="s">
        <v>141</v>
      </c>
      <c r="AA619" s="473" t="s">
        <v>3391</v>
      </c>
      <c r="AB619" s="473" t="s">
        <v>3392</v>
      </c>
      <c r="AC619" s="467" t="s">
        <v>3408</v>
      </c>
      <c r="AD619" s="473"/>
      <c r="AE619" s="476">
        <v>5.0</v>
      </c>
      <c r="AF619" s="476">
        <v>27.0</v>
      </c>
      <c r="AG619" s="926" t="s">
        <v>131</v>
      </c>
      <c r="AH619" s="472" t="s">
        <v>127</v>
      </c>
      <c r="AI619" s="920">
        <v>5.0</v>
      </c>
      <c r="AJ619" s="476">
        <v>0.001</v>
      </c>
      <c r="AK619" s="466" t="s">
        <v>128</v>
      </c>
      <c r="AL619" s="467" t="s">
        <v>179</v>
      </c>
      <c r="AM619" s="473" t="s">
        <v>130</v>
      </c>
      <c r="AN619" s="471" t="s">
        <v>131</v>
      </c>
      <c r="AO619" s="476">
        <v>32.0</v>
      </c>
      <c r="AP619" s="473"/>
      <c r="AQ619" s="467" t="s">
        <v>127</v>
      </c>
      <c r="AR619" s="476">
        <v>9.0</v>
      </c>
      <c r="AS619" s="476">
        <v>0.133</v>
      </c>
      <c r="AT619" s="466" t="s">
        <v>165</v>
      </c>
      <c r="AU619" s="466" t="s">
        <v>179</v>
      </c>
      <c r="AV619" s="479" t="s">
        <v>130</v>
      </c>
      <c r="AW619" s="920" t="s">
        <v>131</v>
      </c>
      <c r="AX619" s="479" t="s">
        <v>136</v>
      </c>
      <c r="AY619" s="473"/>
      <c r="AZ619" s="921" t="s">
        <v>685</v>
      </c>
      <c r="BA619" s="465"/>
      <c r="BB619" s="465"/>
      <c r="BC619" s="465"/>
      <c r="BD619" s="465"/>
      <c r="BE619" s="465"/>
      <c r="BF619" s="465"/>
      <c r="BG619" s="465"/>
      <c r="BH619" s="465"/>
      <c r="BI619" s="465"/>
      <c r="BJ619" s="465"/>
      <c r="BK619" s="465"/>
      <c r="BL619" s="465"/>
      <c r="BM619" s="465"/>
      <c r="BN619" s="465"/>
      <c r="BO619" s="465"/>
      <c r="BP619" s="465"/>
      <c r="BQ619" s="465"/>
      <c r="BR619" s="465"/>
      <c r="BS619" s="465"/>
      <c r="BT619" s="465"/>
      <c r="BU619" s="465"/>
      <c r="BV619" s="465"/>
      <c r="BW619" s="465"/>
      <c r="BX619" s="465"/>
      <c r="BY619" s="465"/>
      <c r="BZ619" s="465"/>
      <c r="CA619" s="465"/>
      <c r="CB619" s="465"/>
      <c r="CC619" s="465"/>
      <c r="CD619" s="465"/>
      <c r="CE619" s="465"/>
      <c r="CF619" s="465"/>
      <c r="CG619" s="465"/>
      <c r="CH619" s="465"/>
      <c r="CI619" s="465"/>
      <c r="CJ619" s="465"/>
      <c r="CK619" s="465"/>
      <c r="CL619" s="465"/>
      <c r="CM619" s="465"/>
      <c r="CN619" s="465"/>
      <c r="CO619" s="465"/>
      <c r="CP619" s="465"/>
      <c r="CQ619" s="465"/>
      <c r="CR619" s="465"/>
      <c r="CS619" s="465"/>
      <c r="CT619" s="465"/>
      <c r="CU619" s="465"/>
      <c r="CV619" s="465"/>
      <c r="CW619" s="465"/>
      <c r="CX619" s="465"/>
      <c r="CY619" s="465"/>
      <c r="CZ619" s="465"/>
      <c r="DA619" s="465"/>
      <c r="DB619" s="465"/>
      <c r="DC619" s="465"/>
      <c r="DD619" s="465"/>
      <c r="DE619" s="465"/>
      <c r="DF619" s="465"/>
      <c r="DG619" s="465"/>
      <c r="DH619" s="465"/>
    </row>
    <row r="620" ht="20.25" customHeight="1">
      <c r="A620" s="71">
        <v>620.0</v>
      </c>
      <c r="B620" s="90" t="s">
        <v>145</v>
      </c>
      <c r="C620" s="90" t="s">
        <v>108</v>
      </c>
      <c r="D620" s="90" t="s">
        <v>983</v>
      </c>
      <c r="E620" s="89"/>
      <c r="F620" s="91" t="s">
        <v>3384</v>
      </c>
      <c r="G620" s="919" t="s">
        <v>3409</v>
      </c>
      <c r="H620" s="92" t="s">
        <v>137</v>
      </c>
      <c r="I620" s="850">
        <v>45489.0</v>
      </c>
      <c r="J620" s="626">
        <v>45638.0</v>
      </c>
      <c r="K620" s="91"/>
      <c r="L620" s="91"/>
      <c r="M620" s="92" t="s">
        <v>3386</v>
      </c>
      <c r="N620" s="92" t="s">
        <v>3387</v>
      </c>
      <c r="O620" s="95">
        <v>1.0</v>
      </c>
      <c r="P620" s="92" t="s">
        <v>3388</v>
      </c>
      <c r="Q620" s="890" t="str">
        <f t="array" ref="Q620"> if(iserror(MATCH(V620, 'File Links'!C:C, 0)), "N/A", HYPERLINK(INDEX('File Links'!B:B, MATCH(P620, 'File Links'!C:C, 0))))</f>
        <v>https://drive.google.com/file/d/13vglHZTPgv6z9W5xPGWG5OyE_h91M3UK/view?usp=drivesdk</v>
      </c>
      <c r="R620" s="92" t="s">
        <v>3389</v>
      </c>
      <c r="S620" s="92" t="s">
        <v>3390</v>
      </c>
      <c r="T620" s="91"/>
      <c r="U620" s="95">
        <v>1.0</v>
      </c>
      <c r="V620" s="92" t="str">
        <f t="shared" si="36"/>
        <v>10.12688--openreseurope.17749.1.pdf</v>
      </c>
      <c r="W620" s="92" t="s">
        <v>202</v>
      </c>
      <c r="X620" s="891" t="str">
        <f t="array" ref="X620"> if(iserror(MATCH(V620, 'File Links'!C:C, 0)), "N/A", HYPERLINK(INDEX('File Links'!B:B, MATCH(V620, 'File Links'!C:C, 0))))</f>
        <v>https://drive.google.com/file/d/17sgB6ScmXf8Wli1_dKWf0wpvxkNJRZtC/view?usp=drivesdk</v>
      </c>
      <c r="Y620" s="91"/>
      <c r="Z620" s="92" t="s">
        <v>141</v>
      </c>
      <c r="AA620" s="91" t="s">
        <v>3391</v>
      </c>
      <c r="AB620" s="91" t="s">
        <v>3392</v>
      </c>
      <c r="AC620" s="92" t="s">
        <v>3410</v>
      </c>
      <c r="AD620" s="91"/>
      <c r="AE620" s="95">
        <v>5.0</v>
      </c>
      <c r="AF620" s="95">
        <v>27.0</v>
      </c>
      <c r="AG620" s="95">
        <v>16.69</v>
      </c>
      <c r="AH620" s="96" t="s">
        <v>127</v>
      </c>
      <c r="AI620" s="920">
        <v>5.0</v>
      </c>
      <c r="AJ620" s="632">
        <v>0.001</v>
      </c>
      <c r="AK620" s="92" t="s">
        <v>128</v>
      </c>
      <c r="AL620" s="74" t="s">
        <v>179</v>
      </c>
      <c r="AM620" s="91" t="s">
        <v>130</v>
      </c>
      <c r="AN620" s="77" t="s">
        <v>131</v>
      </c>
      <c r="AO620" s="95">
        <v>32.0</v>
      </c>
      <c r="AP620" s="95">
        <v>3.64</v>
      </c>
      <c r="AQ620" s="92" t="s">
        <v>127</v>
      </c>
      <c r="AR620" s="95">
        <v>9.0</v>
      </c>
      <c r="AS620" s="95">
        <v>0.015</v>
      </c>
      <c r="AT620" s="92" t="s">
        <v>165</v>
      </c>
      <c r="AU620" s="92" t="s">
        <v>179</v>
      </c>
      <c r="AV620" s="91" t="s">
        <v>130</v>
      </c>
      <c r="AW620" s="920" t="s">
        <v>131</v>
      </c>
      <c r="AX620" s="91" t="s">
        <v>136</v>
      </c>
      <c r="AY620" s="91"/>
      <c r="AZ620" s="921" t="s">
        <v>685</v>
      </c>
      <c r="BA620" s="89"/>
      <c r="BB620" s="89"/>
      <c r="BC620" s="89"/>
      <c r="BD620" s="89"/>
      <c r="BE620" s="89"/>
      <c r="BF620" s="89"/>
      <c r="BG620" s="89"/>
      <c r="BH620" s="89"/>
      <c r="BI620" s="89"/>
      <c r="BJ620" s="89"/>
      <c r="BK620" s="89"/>
      <c r="BL620" s="89"/>
      <c r="BM620" s="89"/>
      <c r="BN620" s="89"/>
      <c r="BO620" s="89"/>
      <c r="BP620" s="89"/>
      <c r="BQ620" s="89"/>
      <c r="BR620" s="89"/>
      <c r="BS620" s="89"/>
      <c r="BT620" s="89"/>
      <c r="BU620" s="89"/>
      <c r="BV620" s="89"/>
      <c r="BW620" s="89"/>
      <c r="BX620" s="89"/>
      <c r="BY620" s="89"/>
      <c r="BZ620" s="89"/>
      <c r="CA620" s="89"/>
      <c r="CB620" s="89"/>
      <c r="CC620" s="89"/>
      <c r="CD620" s="89"/>
      <c r="CE620" s="89"/>
      <c r="CF620" s="89"/>
      <c r="CG620" s="89"/>
      <c r="CH620" s="89"/>
      <c r="CI620" s="89"/>
      <c r="CJ620" s="89"/>
      <c r="CK620" s="89"/>
      <c r="CL620" s="89"/>
      <c r="CM620" s="89"/>
      <c r="CN620" s="89"/>
      <c r="CO620" s="89"/>
      <c r="CP620" s="89"/>
      <c r="CQ620" s="89"/>
      <c r="CR620" s="89"/>
      <c r="CS620" s="89"/>
      <c r="CT620" s="89"/>
      <c r="CU620" s="89"/>
      <c r="CV620" s="89"/>
      <c r="CW620" s="89"/>
      <c r="CX620" s="89"/>
      <c r="CY620" s="89"/>
      <c r="CZ620" s="89"/>
      <c r="DA620" s="89"/>
      <c r="DB620" s="89"/>
      <c r="DC620" s="89"/>
      <c r="DD620" s="89"/>
      <c r="DE620" s="89"/>
      <c r="DF620" s="89"/>
      <c r="DG620" s="89"/>
      <c r="DH620" s="89"/>
    </row>
    <row r="621" ht="20.25" customHeight="1">
      <c r="A621" s="71">
        <v>621.0</v>
      </c>
      <c r="B621" s="90" t="s">
        <v>145</v>
      </c>
      <c r="C621" s="90" t="s">
        <v>108</v>
      </c>
      <c r="D621" s="90" t="s">
        <v>983</v>
      </c>
      <c r="E621" s="89"/>
      <c r="F621" s="91" t="s">
        <v>3384</v>
      </c>
      <c r="G621" s="919" t="s">
        <v>3411</v>
      </c>
      <c r="H621" s="74" t="s">
        <v>137</v>
      </c>
      <c r="I621" s="850">
        <v>45489.0</v>
      </c>
      <c r="J621" s="626">
        <v>45638.0</v>
      </c>
      <c r="K621" s="80"/>
      <c r="L621" s="80"/>
      <c r="M621" s="74" t="s">
        <v>3386</v>
      </c>
      <c r="N621" s="74" t="s">
        <v>3387</v>
      </c>
      <c r="O621" s="632">
        <v>1.0</v>
      </c>
      <c r="P621" s="96" t="s">
        <v>3388</v>
      </c>
      <c r="Q621" s="890" t="str">
        <f t="array" ref="Q621"> if(iserror(MATCH(V621, 'File Links'!C:C, 0)), "N/A", HYPERLINK(INDEX('File Links'!B:B, MATCH(P621, 'File Links'!C:C, 0))))</f>
        <v>https://drive.google.com/file/d/13vglHZTPgv6z9W5xPGWG5OyE_h91M3UK/view?usp=drivesdk</v>
      </c>
      <c r="R621" s="74" t="s">
        <v>3389</v>
      </c>
      <c r="S621" s="74" t="s">
        <v>3390</v>
      </c>
      <c r="T621" s="80"/>
      <c r="U621" s="630">
        <v>1.0</v>
      </c>
      <c r="V621" s="92" t="str">
        <f t="shared" si="36"/>
        <v>10.12688--openreseurope.17749.1.pdf</v>
      </c>
      <c r="W621" s="74" t="s">
        <v>202</v>
      </c>
      <c r="X621" s="891" t="str">
        <f t="array" ref="X621"> if(iserror(MATCH(V621, 'File Links'!C:C, 0)), "N/A", HYPERLINK(INDEX('File Links'!B:B, MATCH(V621, 'File Links'!C:C, 0))))</f>
        <v>https://drive.google.com/file/d/17sgB6ScmXf8Wli1_dKWf0wpvxkNJRZtC/view?usp=drivesdk</v>
      </c>
      <c r="Y621" s="80"/>
      <c r="Z621" s="74" t="s">
        <v>141</v>
      </c>
      <c r="AA621" s="80" t="s">
        <v>3391</v>
      </c>
      <c r="AB621" s="80" t="s">
        <v>3392</v>
      </c>
      <c r="AC621" s="74" t="s">
        <v>3412</v>
      </c>
      <c r="AD621" s="80"/>
      <c r="AE621" s="632">
        <v>5.0</v>
      </c>
      <c r="AF621" s="632">
        <v>27.0</v>
      </c>
      <c r="AG621" s="632">
        <v>2.34</v>
      </c>
      <c r="AH621" s="96" t="s">
        <v>127</v>
      </c>
      <c r="AI621" s="920">
        <v>5.0</v>
      </c>
      <c r="AJ621" s="632">
        <v>0.139</v>
      </c>
      <c r="AK621" s="92" t="s">
        <v>165</v>
      </c>
      <c r="AL621" s="74" t="s">
        <v>179</v>
      </c>
      <c r="AM621" s="80" t="s">
        <v>130</v>
      </c>
      <c r="AN621" s="77" t="s">
        <v>131</v>
      </c>
      <c r="AO621" s="632">
        <v>32.0</v>
      </c>
      <c r="AP621" s="632">
        <v>0.68</v>
      </c>
      <c r="AQ621" s="74" t="s">
        <v>127</v>
      </c>
      <c r="AR621" s="632">
        <v>9.0</v>
      </c>
      <c r="AS621" s="632">
        <v>0.564</v>
      </c>
      <c r="AT621" s="92" t="s">
        <v>165</v>
      </c>
      <c r="AU621" s="92" t="s">
        <v>179</v>
      </c>
      <c r="AV621" s="91" t="s">
        <v>130</v>
      </c>
      <c r="AW621" s="920" t="s">
        <v>131</v>
      </c>
      <c r="AX621" s="91" t="s">
        <v>136</v>
      </c>
      <c r="AY621" s="80"/>
      <c r="AZ621" s="921" t="s">
        <v>685</v>
      </c>
      <c r="BA621" s="89"/>
      <c r="BB621" s="89"/>
      <c r="BC621" s="89"/>
      <c r="BD621" s="89"/>
      <c r="BE621" s="89"/>
      <c r="BF621" s="89"/>
      <c r="BG621" s="89"/>
      <c r="BH621" s="89"/>
      <c r="BI621" s="89"/>
      <c r="BJ621" s="89"/>
      <c r="BK621" s="89"/>
      <c r="BL621" s="89"/>
      <c r="BM621" s="89"/>
      <c r="BN621" s="89"/>
      <c r="BO621" s="89"/>
      <c r="BP621" s="89"/>
      <c r="BQ621" s="89"/>
      <c r="BR621" s="89"/>
      <c r="BS621" s="89"/>
      <c r="BT621" s="89"/>
      <c r="BU621" s="89"/>
      <c r="BV621" s="89"/>
      <c r="BW621" s="89"/>
      <c r="BX621" s="89"/>
      <c r="BY621" s="89"/>
      <c r="BZ621" s="89"/>
      <c r="CA621" s="89"/>
      <c r="CB621" s="89"/>
      <c r="CC621" s="89"/>
      <c r="CD621" s="89"/>
      <c r="CE621" s="89"/>
      <c r="CF621" s="89"/>
      <c r="CG621" s="89"/>
      <c r="CH621" s="89"/>
      <c r="CI621" s="89"/>
      <c r="CJ621" s="89"/>
      <c r="CK621" s="89"/>
      <c r="CL621" s="89"/>
      <c r="CM621" s="89"/>
      <c r="CN621" s="89"/>
      <c r="CO621" s="89"/>
      <c r="CP621" s="89"/>
      <c r="CQ621" s="89"/>
      <c r="CR621" s="89"/>
      <c r="CS621" s="89"/>
      <c r="CT621" s="89"/>
      <c r="CU621" s="89"/>
      <c r="CV621" s="89"/>
      <c r="CW621" s="89"/>
      <c r="CX621" s="89"/>
      <c r="CY621" s="89"/>
      <c r="CZ621" s="89"/>
      <c r="DA621" s="89"/>
      <c r="DB621" s="89"/>
      <c r="DC621" s="89"/>
      <c r="DD621" s="89"/>
      <c r="DE621" s="89"/>
      <c r="DF621" s="89"/>
      <c r="DG621" s="89"/>
      <c r="DH621" s="89"/>
    </row>
    <row r="622" ht="20.25" customHeight="1">
      <c r="A622" s="71">
        <v>622.0</v>
      </c>
      <c r="B622" s="90" t="s">
        <v>145</v>
      </c>
      <c r="C622" s="90" t="s">
        <v>108</v>
      </c>
      <c r="D622" s="90" t="s">
        <v>983</v>
      </c>
      <c r="E622" s="89"/>
      <c r="F622" s="91" t="s">
        <v>3384</v>
      </c>
      <c r="G622" s="919" t="s">
        <v>3413</v>
      </c>
      <c r="H622" s="92" t="s">
        <v>137</v>
      </c>
      <c r="I622" s="850">
        <v>45489.0</v>
      </c>
      <c r="J622" s="626">
        <v>45638.0</v>
      </c>
      <c r="K622" s="91"/>
      <c r="L622" s="91"/>
      <c r="M622" s="92" t="s">
        <v>3386</v>
      </c>
      <c r="N622" s="92" t="s">
        <v>3387</v>
      </c>
      <c r="O622" s="95">
        <v>1.0</v>
      </c>
      <c r="P622" s="92" t="s">
        <v>3388</v>
      </c>
      <c r="Q622" s="890" t="str">
        <f t="array" ref="Q622"> if(iserror(MATCH(V622, 'File Links'!C:C, 0)), "N/A", HYPERLINK(INDEX('File Links'!B:B, MATCH(P622, 'File Links'!C:C, 0))))</f>
        <v>https://drive.google.com/file/d/13vglHZTPgv6z9W5xPGWG5OyE_h91M3UK/view?usp=drivesdk</v>
      </c>
      <c r="R622" s="92" t="s">
        <v>3389</v>
      </c>
      <c r="S622" s="92" t="s">
        <v>3390</v>
      </c>
      <c r="T622" s="91"/>
      <c r="U622" s="95">
        <v>1.0</v>
      </c>
      <c r="V622" s="92" t="str">
        <f t="shared" si="36"/>
        <v>10.12688--openreseurope.17749.1.pdf</v>
      </c>
      <c r="W622" s="92" t="s">
        <v>202</v>
      </c>
      <c r="X622" s="891" t="str">
        <f t="array" ref="X622"> if(iserror(MATCH(V622, 'File Links'!C:C, 0)), "N/A", HYPERLINK(INDEX('File Links'!B:B, MATCH(V622, 'File Links'!C:C, 0))))</f>
        <v>https://drive.google.com/file/d/17sgB6ScmXf8Wli1_dKWf0wpvxkNJRZtC/view?usp=drivesdk</v>
      </c>
      <c r="Y622" s="91"/>
      <c r="Z622" s="92" t="s">
        <v>141</v>
      </c>
      <c r="AA622" s="91" t="s">
        <v>3391</v>
      </c>
      <c r="AB622" s="91" t="s">
        <v>3392</v>
      </c>
      <c r="AC622" s="92" t="s">
        <v>3414</v>
      </c>
      <c r="AD622" s="91"/>
      <c r="AE622" s="95">
        <v>5.0</v>
      </c>
      <c r="AF622" s="95">
        <v>27.0</v>
      </c>
      <c r="AG622" s="95">
        <v>27.5</v>
      </c>
      <c r="AH622" s="96" t="s">
        <v>127</v>
      </c>
      <c r="AI622" s="920">
        <v>5.0</v>
      </c>
      <c r="AJ622" s="632">
        <v>0.001</v>
      </c>
      <c r="AK622" s="92" t="s">
        <v>128</v>
      </c>
      <c r="AL622" s="74" t="s">
        <v>179</v>
      </c>
      <c r="AM622" s="91" t="s">
        <v>130</v>
      </c>
      <c r="AN622" s="77" t="s">
        <v>131</v>
      </c>
      <c r="AO622" s="95">
        <v>32.0</v>
      </c>
      <c r="AP622" s="95">
        <v>4.35</v>
      </c>
      <c r="AQ622" s="92" t="s">
        <v>127</v>
      </c>
      <c r="AR622" s="95">
        <v>9.0</v>
      </c>
      <c r="AS622" s="95">
        <v>0.017</v>
      </c>
      <c r="AT622" s="92" t="s">
        <v>165</v>
      </c>
      <c r="AU622" s="92" t="s">
        <v>179</v>
      </c>
      <c r="AV622" s="91" t="s">
        <v>130</v>
      </c>
      <c r="AW622" s="920" t="s">
        <v>131</v>
      </c>
      <c r="AX622" s="91" t="s">
        <v>136</v>
      </c>
      <c r="AY622" s="91"/>
      <c r="AZ622" s="921" t="s">
        <v>685</v>
      </c>
      <c r="BA622" s="89"/>
      <c r="BB622" s="89"/>
      <c r="BC622" s="89"/>
      <c r="BD622" s="89"/>
      <c r="BE622" s="89"/>
      <c r="BF622" s="89"/>
      <c r="BG622" s="89"/>
      <c r="BH622" s="89"/>
      <c r="BI622" s="89"/>
      <c r="BJ622" s="89"/>
      <c r="BK622" s="89"/>
      <c r="BL622" s="89"/>
      <c r="BM622" s="89"/>
      <c r="BN622" s="89"/>
      <c r="BO622" s="89"/>
      <c r="BP622" s="89"/>
      <c r="BQ622" s="89"/>
      <c r="BR622" s="89"/>
      <c r="BS622" s="89"/>
      <c r="BT622" s="89"/>
      <c r="BU622" s="89"/>
      <c r="BV622" s="89"/>
      <c r="BW622" s="89"/>
      <c r="BX622" s="89"/>
      <c r="BY622" s="89"/>
      <c r="BZ622" s="89"/>
      <c r="CA622" s="89"/>
      <c r="CB622" s="89"/>
      <c r="CC622" s="89"/>
      <c r="CD622" s="89"/>
      <c r="CE622" s="89"/>
      <c r="CF622" s="89"/>
      <c r="CG622" s="89"/>
      <c r="CH622" s="89"/>
      <c r="CI622" s="89"/>
      <c r="CJ622" s="89"/>
      <c r="CK622" s="89"/>
      <c r="CL622" s="89"/>
      <c r="CM622" s="89"/>
      <c r="CN622" s="89"/>
      <c r="CO622" s="89"/>
      <c r="CP622" s="89"/>
      <c r="CQ622" s="89"/>
      <c r="CR622" s="89"/>
      <c r="CS622" s="89"/>
      <c r="CT622" s="89"/>
      <c r="CU622" s="89"/>
      <c r="CV622" s="89"/>
      <c r="CW622" s="89"/>
      <c r="CX622" s="89"/>
      <c r="CY622" s="89"/>
      <c r="CZ622" s="89"/>
      <c r="DA622" s="89"/>
      <c r="DB622" s="89"/>
      <c r="DC622" s="89"/>
      <c r="DD622" s="89"/>
      <c r="DE622" s="89"/>
      <c r="DF622" s="89"/>
      <c r="DG622" s="89"/>
      <c r="DH622" s="89"/>
    </row>
    <row r="623" ht="20.25" customHeight="1">
      <c r="A623" s="71">
        <v>623.0</v>
      </c>
      <c r="B623" s="90" t="s">
        <v>145</v>
      </c>
      <c r="C623" s="90" t="s">
        <v>108</v>
      </c>
      <c r="D623" s="90" t="s">
        <v>983</v>
      </c>
      <c r="E623" s="89"/>
      <c r="F623" s="91" t="s">
        <v>3384</v>
      </c>
      <c r="G623" s="919" t="s">
        <v>3415</v>
      </c>
      <c r="H623" s="74" t="s">
        <v>137</v>
      </c>
      <c r="I623" s="850">
        <v>45489.0</v>
      </c>
      <c r="J623" s="626">
        <v>45638.0</v>
      </c>
      <c r="K623" s="80"/>
      <c r="L623" s="80"/>
      <c r="M623" s="74" t="s">
        <v>3386</v>
      </c>
      <c r="N623" s="74" t="s">
        <v>3387</v>
      </c>
      <c r="O623" s="632">
        <v>1.0</v>
      </c>
      <c r="P623" s="96" t="s">
        <v>3388</v>
      </c>
      <c r="Q623" s="890" t="str">
        <f t="array" ref="Q623"> if(iserror(MATCH(V623, 'File Links'!C:C, 0)), "N/A", HYPERLINK(INDEX('File Links'!B:B, MATCH(P623, 'File Links'!C:C, 0))))</f>
        <v>https://drive.google.com/file/d/13vglHZTPgv6z9W5xPGWG5OyE_h91M3UK/view?usp=drivesdk</v>
      </c>
      <c r="R623" s="74" t="s">
        <v>3389</v>
      </c>
      <c r="S623" s="74" t="s">
        <v>3390</v>
      </c>
      <c r="T623" s="80"/>
      <c r="U623" s="630">
        <v>1.0</v>
      </c>
      <c r="V623" s="92" t="str">
        <f t="shared" si="36"/>
        <v>10.12688--openreseurope.17749.1.pdf</v>
      </c>
      <c r="W623" s="74" t="s">
        <v>202</v>
      </c>
      <c r="X623" s="891" t="str">
        <f t="array" ref="X623"> if(iserror(MATCH(V623, 'File Links'!C:C, 0)), "N/A", HYPERLINK(INDEX('File Links'!B:B, MATCH(V623, 'File Links'!C:C, 0))))</f>
        <v>https://drive.google.com/file/d/17sgB6ScmXf8Wli1_dKWf0wpvxkNJRZtC/view?usp=drivesdk</v>
      </c>
      <c r="Y623" s="80"/>
      <c r="Z623" s="74" t="s">
        <v>141</v>
      </c>
      <c r="AA623" s="80" t="s">
        <v>3391</v>
      </c>
      <c r="AB623" s="80" t="s">
        <v>3392</v>
      </c>
      <c r="AC623" s="74" t="s">
        <v>3416</v>
      </c>
      <c r="AD623" s="80"/>
      <c r="AE623" s="632">
        <v>5.0</v>
      </c>
      <c r="AF623" s="632">
        <v>27.0</v>
      </c>
      <c r="AG623" s="632">
        <v>9.26</v>
      </c>
      <c r="AH623" s="96" t="s">
        <v>127</v>
      </c>
      <c r="AI623" s="920">
        <v>5.0</v>
      </c>
      <c r="AJ623" s="632">
        <v>0.005</v>
      </c>
      <c r="AK623" s="92" t="s">
        <v>165</v>
      </c>
      <c r="AL623" s="74" t="s">
        <v>179</v>
      </c>
      <c r="AM623" s="80" t="s">
        <v>130</v>
      </c>
      <c r="AN623" s="77" t="s">
        <v>131</v>
      </c>
      <c r="AO623" s="632">
        <v>32.0</v>
      </c>
      <c r="AP623" s="632">
        <v>3.88</v>
      </c>
      <c r="AQ623" s="74" t="s">
        <v>127</v>
      </c>
      <c r="AR623" s="632">
        <v>9.0</v>
      </c>
      <c r="AS623" s="632">
        <v>0.026</v>
      </c>
      <c r="AT623" s="92" t="s">
        <v>165</v>
      </c>
      <c r="AU623" s="92" t="s">
        <v>179</v>
      </c>
      <c r="AV623" s="91" t="s">
        <v>130</v>
      </c>
      <c r="AW623" s="920" t="s">
        <v>131</v>
      </c>
      <c r="AX623" s="91" t="s">
        <v>136</v>
      </c>
      <c r="AY623" s="80"/>
      <c r="AZ623" s="921" t="s">
        <v>685</v>
      </c>
      <c r="BA623" s="89"/>
      <c r="BB623" s="89"/>
      <c r="BC623" s="89"/>
      <c r="BD623" s="89"/>
      <c r="BE623" s="89"/>
      <c r="BF623" s="89"/>
      <c r="BG623" s="89"/>
      <c r="BH623" s="89"/>
      <c r="BI623" s="89"/>
      <c r="BJ623" s="89"/>
      <c r="BK623" s="89"/>
      <c r="BL623" s="89"/>
      <c r="BM623" s="89"/>
      <c r="BN623" s="89"/>
      <c r="BO623" s="89"/>
      <c r="BP623" s="89"/>
      <c r="BQ623" s="89"/>
      <c r="BR623" s="89"/>
      <c r="BS623" s="89"/>
      <c r="BT623" s="89"/>
      <c r="BU623" s="89"/>
      <c r="BV623" s="89"/>
      <c r="BW623" s="89"/>
      <c r="BX623" s="89"/>
      <c r="BY623" s="89"/>
      <c r="BZ623" s="89"/>
      <c r="CA623" s="89"/>
      <c r="CB623" s="89"/>
      <c r="CC623" s="89"/>
      <c r="CD623" s="89"/>
      <c r="CE623" s="89"/>
      <c r="CF623" s="89"/>
      <c r="CG623" s="89"/>
      <c r="CH623" s="89"/>
      <c r="CI623" s="89"/>
      <c r="CJ623" s="89"/>
      <c r="CK623" s="89"/>
      <c r="CL623" s="89"/>
      <c r="CM623" s="89"/>
      <c r="CN623" s="89"/>
      <c r="CO623" s="89"/>
      <c r="CP623" s="89"/>
      <c r="CQ623" s="89"/>
      <c r="CR623" s="89"/>
      <c r="CS623" s="89"/>
      <c r="CT623" s="89"/>
      <c r="CU623" s="89"/>
      <c r="CV623" s="89"/>
      <c r="CW623" s="89"/>
      <c r="CX623" s="89"/>
      <c r="CY623" s="89"/>
      <c r="CZ623" s="89"/>
      <c r="DA623" s="89"/>
      <c r="DB623" s="89"/>
      <c r="DC623" s="89"/>
      <c r="DD623" s="89"/>
      <c r="DE623" s="89"/>
      <c r="DF623" s="89"/>
      <c r="DG623" s="89"/>
      <c r="DH623" s="89"/>
    </row>
    <row r="624" ht="20.25" customHeight="1">
      <c r="A624" s="71">
        <v>624.0</v>
      </c>
      <c r="B624" s="90" t="s">
        <v>145</v>
      </c>
      <c r="C624" s="90" t="s">
        <v>108</v>
      </c>
      <c r="D624" s="90" t="s">
        <v>983</v>
      </c>
      <c r="E624" s="89"/>
      <c r="F624" s="91" t="s">
        <v>3384</v>
      </c>
      <c r="G624" s="919" t="s">
        <v>3417</v>
      </c>
      <c r="H624" s="92" t="s">
        <v>137</v>
      </c>
      <c r="I624" s="850">
        <v>45489.0</v>
      </c>
      <c r="J624" s="626">
        <v>45638.0</v>
      </c>
      <c r="K624" s="91"/>
      <c r="L624" s="91"/>
      <c r="M624" s="92" t="s">
        <v>3386</v>
      </c>
      <c r="N624" s="92" t="s">
        <v>3387</v>
      </c>
      <c r="O624" s="95">
        <v>1.0</v>
      </c>
      <c r="P624" s="92" t="s">
        <v>3388</v>
      </c>
      <c r="Q624" s="890" t="str">
        <f t="array" ref="Q624"> if(iserror(MATCH(V624, 'File Links'!C:C, 0)), "N/A", HYPERLINK(INDEX('File Links'!B:B, MATCH(P624, 'File Links'!C:C, 0))))</f>
        <v>https://drive.google.com/file/d/13vglHZTPgv6z9W5xPGWG5OyE_h91M3UK/view?usp=drivesdk</v>
      </c>
      <c r="R624" s="92" t="s">
        <v>3389</v>
      </c>
      <c r="S624" s="92" t="s">
        <v>3390</v>
      </c>
      <c r="T624" s="91"/>
      <c r="U624" s="95">
        <v>1.0</v>
      </c>
      <c r="V624" s="92" t="str">
        <f t="shared" si="36"/>
        <v>10.12688--openreseurope.17749.1.pdf</v>
      </c>
      <c r="W624" s="92" t="s">
        <v>202</v>
      </c>
      <c r="X624" s="891" t="str">
        <f t="array" ref="X624"> if(iserror(MATCH(V624, 'File Links'!C:C, 0)), "N/A", HYPERLINK(INDEX('File Links'!B:B, MATCH(V624, 'File Links'!C:C, 0))))</f>
        <v>https://drive.google.com/file/d/17sgB6ScmXf8Wli1_dKWf0wpvxkNJRZtC/view?usp=drivesdk</v>
      </c>
      <c r="Y624" s="91"/>
      <c r="Z624" s="92" t="s">
        <v>141</v>
      </c>
      <c r="AA624" s="91" t="s">
        <v>3391</v>
      </c>
      <c r="AB624" s="91" t="s">
        <v>3392</v>
      </c>
      <c r="AC624" s="92" t="s">
        <v>3418</v>
      </c>
      <c r="AD624" s="91"/>
      <c r="AE624" s="95">
        <v>5.0</v>
      </c>
      <c r="AF624" s="95">
        <v>27.0</v>
      </c>
      <c r="AG624" s="95">
        <v>20.47</v>
      </c>
      <c r="AH624" s="96" t="s">
        <v>127</v>
      </c>
      <c r="AI624" s="920">
        <v>5.0</v>
      </c>
      <c r="AJ624" s="632">
        <v>0.001</v>
      </c>
      <c r="AK624" s="92" t="s">
        <v>128</v>
      </c>
      <c r="AL624" s="74" t="s">
        <v>179</v>
      </c>
      <c r="AM624" s="91" t="s">
        <v>130</v>
      </c>
      <c r="AN624" s="77" t="s">
        <v>131</v>
      </c>
      <c r="AO624" s="95">
        <v>32.0</v>
      </c>
      <c r="AP624" s="95">
        <v>7.29</v>
      </c>
      <c r="AQ624" s="92" t="s">
        <v>127</v>
      </c>
      <c r="AR624" s="95">
        <v>9.0</v>
      </c>
      <c r="AS624" s="95">
        <v>0.011</v>
      </c>
      <c r="AT624" s="92" t="s">
        <v>165</v>
      </c>
      <c r="AU624" s="92" t="s">
        <v>179</v>
      </c>
      <c r="AV624" s="91" t="s">
        <v>130</v>
      </c>
      <c r="AW624" s="920" t="s">
        <v>131</v>
      </c>
      <c r="AX624" s="91" t="s">
        <v>136</v>
      </c>
      <c r="AY624" s="91"/>
      <c r="AZ624" s="921" t="s">
        <v>685</v>
      </c>
      <c r="BA624" s="89"/>
      <c r="BB624" s="89"/>
      <c r="BC624" s="89"/>
      <c r="BD624" s="89"/>
      <c r="BE624" s="89"/>
      <c r="BF624" s="89"/>
      <c r="BG624" s="89"/>
      <c r="BH624" s="89"/>
      <c r="BI624" s="89"/>
      <c r="BJ624" s="89"/>
      <c r="BK624" s="89"/>
      <c r="BL624" s="89"/>
      <c r="BM624" s="89"/>
      <c r="BN624" s="89"/>
      <c r="BO624" s="89"/>
      <c r="BP624" s="89"/>
      <c r="BQ624" s="89"/>
      <c r="BR624" s="89"/>
      <c r="BS624" s="89"/>
      <c r="BT624" s="89"/>
      <c r="BU624" s="89"/>
      <c r="BV624" s="89"/>
      <c r="BW624" s="89"/>
      <c r="BX624" s="89"/>
      <c r="BY624" s="89"/>
      <c r="BZ624" s="89"/>
      <c r="CA624" s="89"/>
      <c r="CB624" s="89"/>
      <c r="CC624" s="89"/>
      <c r="CD624" s="89"/>
      <c r="CE624" s="89"/>
      <c r="CF624" s="89"/>
      <c r="CG624" s="89"/>
      <c r="CH624" s="89"/>
      <c r="CI624" s="89"/>
      <c r="CJ624" s="89"/>
      <c r="CK624" s="89"/>
      <c r="CL624" s="89"/>
      <c r="CM624" s="89"/>
      <c r="CN624" s="89"/>
      <c r="CO624" s="89"/>
      <c r="CP624" s="89"/>
      <c r="CQ624" s="89"/>
      <c r="CR624" s="89"/>
      <c r="CS624" s="89"/>
      <c r="CT624" s="89"/>
      <c r="CU624" s="89"/>
      <c r="CV624" s="89"/>
      <c r="CW624" s="89"/>
      <c r="CX624" s="89"/>
      <c r="CY624" s="89"/>
      <c r="CZ624" s="89"/>
      <c r="DA624" s="89"/>
      <c r="DB624" s="89"/>
      <c r="DC624" s="89"/>
      <c r="DD624" s="89"/>
      <c r="DE624" s="89"/>
      <c r="DF624" s="89"/>
      <c r="DG624" s="89"/>
      <c r="DH624" s="89"/>
    </row>
    <row r="625" ht="20.25" customHeight="1">
      <c r="A625" s="71">
        <v>625.0</v>
      </c>
      <c r="B625" s="90" t="s">
        <v>145</v>
      </c>
      <c r="C625" s="90" t="s">
        <v>108</v>
      </c>
      <c r="D625" s="90" t="s">
        <v>983</v>
      </c>
      <c r="E625" s="89"/>
      <c r="F625" s="91" t="s">
        <v>3384</v>
      </c>
      <c r="G625" s="919" t="s">
        <v>3419</v>
      </c>
      <c r="H625" s="74" t="s">
        <v>137</v>
      </c>
      <c r="I625" s="850">
        <v>45489.0</v>
      </c>
      <c r="J625" s="626">
        <v>45638.0</v>
      </c>
      <c r="K625" s="80"/>
      <c r="L625" s="80"/>
      <c r="M625" s="74" t="s">
        <v>3386</v>
      </c>
      <c r="N625" s="74" t="s">
        <v>3387</v>
      </c>
      <c r="O625" s="632">
        <v>1.0</v>
      </c>
      <c r="P625" s="96" t="s">
        <v>3388</v>
      </c>
      <c r="Q625" s="890" t="str">
        <f t="array" ref="Q625"> if(iserror(MATCH(V625, 'File Links'!C:C, 0)), "N/A", HYPERLINK(INDEX('File Links'!B:B, MATCH(P625, 'File Links'!C:C, 0))))</f>
        <v>https://drive.google.com/file/d/13vglHZTPgv6z9W5xPGWG5OyE_h91M3UK/view?usp=drivesdk</v>
      </c>
      <c r="R625" s="74" t="s">
        <v>3389</v>
      </c>
      <c r="S625" s="74" t="s">
        <v>3390</v>
      </c>
      <c r="T625" s="80"/>
      <c r="U625" s="630">
        <v>1.0</v>
      </c>
      <c r="V625" s="92" t="str">
        <f t="shared" si="36"/>
        <v>10.12688--openreseurope.17749.1.pdf</v>
      </c>
      <c r="W625" s="74" t="s">
        <v>202</v>
      </c>
      <c r="X625" s="891" t="str">
        <f t="array" ref="X625"> if(iserror(MATCH(V625, 'File Links'!C:C, 0)), "N/A", HYPERLINK(INDEX('File Links'!B:B, MATCH(V625, 'File Links'!C:C, 0))))</f>
        <v>https://drive.google.com/file/d/17sgB6ScmXf8Wli1_dKWf0wpvxkNJRZtC/view?usp=drivesdk</v>
      </c>
      <c r="Y625" s="80"/>
      <c r="Z625" s="74" t="s">
        <v>141</v>
      </c>
      <c r="AA625" s="80" t="s">
        <v>3391</v>
      </c>
      <c r="AB625" s="80" t="s">
        <v>3392</v>
      </c>
      <c r="AC625" s="74" t="s">
        <v>3420</v>
      </c>
      <c r="AD625" s="80"/>
      <c r="AE625" s="632">
        <v>5.0</v>
      </c>
      <c r="AF625" s="632">
        <v>27.0</v>
      </c>
      <c r="AG625" s="632">
        <v>3.97</v>
      </c>
      <c r="AH625" s="96" t="s">
        <v>127</v>
      </c>
      <c r="AI625" s="920">
        <v>5.0</v>
      </c>
      <c r="AJ625" s="632">
        <v>0.057</v>
      </c>
      <c r="AK625" s="92" t="s">
        <v>165</v>
      </c>
      <c r="AL625" s="74" t="s">
        <v>179</v>
      </c>
      <c r="AM625" s="80" t="s">
        <v>130</v>
      </c>
      <c r="AN625" s="77" t="s">
        <v>131</v>
      </c>
      <c r="AO625" s="632">
        <v>32.0</v>
      </c>
      <c r="AP625" s="632">
        <v>0.07</v>
      </c>
      <c r="AQ625" s="74" t="s">
        <v>127</v>
      </c>
      <c r="AR625" s="632">
        <v>9.0</v>
      </c>
      <c r="AS625" s="632">
        <v>0.792</v>
      </c>
      <c r="AT625" s="92" t="s">
        <v>165</v>
      </c>
      <c r="AU625" s="92" t="s">
        <v>179</v>
      </c>
      <c r="AV625" s="91" t="s">
        <v>130</v>
      </c>
      <c r="AW625" s="920" t="s">
        <v>131</v>
      </c>
      <c r="AX625" s="91" t="s">
        <v>136</v>
      </c>
      <c r="AY625" s="80"/>
      <c r="AZ625" s="921" t="s">
        <v>685</v>
      </c>
      <c r="BA625" s="89"/>
      <c r="BB625" s="89"/>
      <c r="BC625" s="89"/>
      <c r="BD625" s="89"/>
      <c r="BE625" s="89"/>
      <c r="BF625" s="89"/>
      <c r="BG625" s="89"/>
      <c r="BH625" s="89"/>
      <c r="BI625" s="89"/>
      <c r="BJ625" s="89"/>
      <c r="BK625" s="89"/>
      <c r="BL625" s="89"/>
      <c r="BM625" s="89"/>
      <c r="BN625" s="89"/>
      <c r="BO625" s="89"/>
      <c r="BP625" s="89"/>
      <c r="BQ625" s="89"/>
      <c r="BR625" s="89"/>
      <c r="BS625" s="89"/>
      <c r="BT625" s="89"/>
      <c r="BU625" s="89"/>
      <c r="BV625" s="89"/>
      <c r="BW625" s="89"/>
      <c r="BX625" s="89"/>
      <c r="BY625" s="89"/>
      <c r="BZ625" s="89"/>
      <c r="CA625" s="89"/>
      <c r="CB625" s="89"/>
      <c r="CC625" s="89"/>
      <c r="CD625" s="89"/>
      <c r="CE625" s="89"/>
      <c r="CF625" s="89"/>
      <c r="CG625" s="89"/>
      <c r="CH625" s="89"/>
      <c r="CI625" s="89"/>
      <c r="CJ625" s="89"/>
      <c r="CK625" s="89"/>
      <c r="CL625" s="89"/>
      <c r="CM625" s="89"/>
      <c r="CN625" s="89"/>
      <c r="CO625" s="89"/>
      <c r="CP625" s="89"/>
      <c r="CQ625" s="89"/>
      <c r="CR625" s="89"/>
      <c r="CS625" s="89"/>
      <c r="CT625" s="89"/>
      <c r="CU625" s="89"/>
      <c r="CV625" s="89"/>
      <c r="CW625" s="89"/>
      <c r="CX625" s="89"/>
      <c r="CY625" s="89"/>
      <c r="CZ625" s="89"/>
      <c r="DA625" s="89"/>
      <c r="DB625" s="89"/>
      <c r="DC625" s="89"/>
      <c r="DD625" s="89"/>
      <c r="DE625" s="89"/>
      <c r="DF625" s="89"/>
      <c r="DG625" s="89"/>
      <c r="DH625" s="89"/>
    </row>
    <row r="626" ht="20.25" customHeight="1">
      <c r="A626" s="805">
        <v>626.0</v>
      </c>
      <c r="B626" s="464" t="s">
        <v>145</v>
      </c>
      <c r="C626" s="464" t="s">
        <v>108</v>
      </c>
      <c r="D626" s="464" t="s">
        <v>983</v>
      </c>
      <c r="E626" s="465"/>
      <c r="F626" s="479" t="s">
        <v>3384</v>
      </c>
      <c r="G626" s="922" t="s">
        <v>3421</v>
      </c>
      <c r="H626" s="466" t="s">
        <v>137</v>
      </c>
      <c r="I626" s="468">
        <v>45489.0</v>
      </c>
      <c r="J626" s="781">
        <v>45638.0</v>
      </c>
      <c r="K626" s="479"/>
      <c r="L626" s="479"/>
      <c r="M626" s="466" t="s">
        <v>3386</v>
      </c>
      <c r="N626" s="466" t="s">
        <v>3387</v>
      </c>
      <c r="O626" s="923">
        <v>1.0</v>
      </c>
      <c r="P626" s="466" t="s">
        <v>3388</v>
      </c>
      <c r="Q626" s="924" t="str">
        <f t="array" ref="Q626"> if(iserror(MATCH(V626, 'File Links'!C:C, 0)), "N/A", HYPERLINK(INDEX('File Links'!B:B, MATCH(P626, 'File Links'!C:C, 0))))</f>
        <v>https://drive.google.com/file/d/13vglHZTPgv6z9W5xPGWG5OyE_h91M3UK/view?usp=drivesdk</v>
      </c>
      <c r="R626" s="466" t="s">
        <v>3389</v>
      </c>
      <c r="S626" s="466" t="s">
        <v>3390</v>
      </c>
      <c r="T626" s="479"/>
      <c r="U626" s="923">
        <v>1.0</v>
      </c>
      <c r="V626" s="466" t="str">
        <f t="shared" si="36"/>
        <v>10.12688--openreseurope.17749.1.pdf</v>
      </c>
      <c r="W626" s="466" t="s">
        <v>202</v>
      </c>
      <c r="X626" s="925" t="str">
        <f t="array" ref="X626"> if(iserror(MATCH(V626, 'File Links'!C:C, 0)), "N/A", HYPERLINK(INDEX('File Links'!B:B, MATCH(V626, 'File Links'!C:C, 0))))</f>
        <v>https://drive.google.com/file/d/17sgB6ScmXf8Wli1_dKWf0wpvxkNJRZtC/view?usp=drivesdk</v>
      </c>
      <c r="Y626" s="479"/>
      <c r="Z626" s="466" t="s">
        <v>141</v>
      </c>
      <c r="AA626" s="479" t="s">
        <v>3391</v>
      </c>
      <c r="AB626" s="479" t="s">
        <v>3392</v>
      </c>
      <c r="AC626" s="466" t="s">
        <v>3422</v>
      </c>
      <c r="AD626" s="479"/>
      <c r="AE626" s="479"/>
      <c r="AF626" s="479"/>
      <c r="AG626" s="926" t="s">
        <v>131</v>
      </c>
      <c r="AH626" s="472" t="s">
        <v>127</v>
      </c>
      <c r="AI626" s="920">
        <v>5.0</v>
      </c>
      <c r="AJ626" s="476">
        <v>0.001</v>
      </c>
      <c r="AK626" s="466" t="s">
        <v>128</v>
      </c>
      <c r="AL626" s="467" t="s">
        <v>179</v>
      </c>
      <c r="AM626" s="479" t="s">
        <v>130</v>
      </c>
      <c r="AN626" s="471" t="s">
        <v>131</v>
      </c>
      <c r="AO626" s="923">
        <v>32.0</v>
      </c>
      <c r="AP626" s="479"/>
      <c r="AQ626" s="466" t="s">
        <v>127</v>
      </c>
      <c r="AR626" s="923">
        <v>9.0</v>
      </c>
      <c r="AS626" s="923">
        <v>0.001</v>
      </c>
      <c r="AT626" s="466" t="s">
        <v>128</v>
      </c>
      <c r="AU626" s="466" t="s">
        <v>179</v>
      </c>
      <c r="AV626" s="479" t="s">
        <v>130</v>
      </c>
      <c r="AW626" s="920" t="s">
        <v>131</v>
      </c>
      <c r="AX626" s="479" t="s">
        <v>136</v>
      </c>
      <c r="AY626" s="479"/>
      <c r="AZ626" s="921" t="s">
        <v>685</v>
      </c>
      <c r="BA626" s="465"/>
      <c r="BB626" s="465"/>
      <c r="BC626" s="465"/>
      <c r="BD626" s="465"/>
      <c r="BE626" s="465"/>
      <c r="BF626" s="465"/>
      <c r="BG626" s="465"/>
      <c r="BH626" s="465"/>
      <c r="BI626" s="465"/>
      <c r="BJ626" s="465"/>
      <c r="BK626" s="465"/>
      <c r="BL626" s="465"/>
      <c r="BM626" s="465"/>
      <c r="BN626" s="465"/>
      <c r="BO626" s="465"/>
      <c r="BP626" s="465"/>
      <c r="BQ626" s="465"/>
      <c r="BR626" s="465"/>
      <c r="BS626" s="465"/>
      <c r="BT626" s="465"/>
      <c r="BU626" s="465"/>
      <c r="BV626" s="465"/>
      <c r="BW626" s="465"/>
      <c r="BX626" s="465"/>
      <c r="BY626" s="465"/>
      <c r="BZ626" s="465"/>
      <c r="CA626" s="465"/>
      <c r="CB626" s="465"/>
      <c r="CC626" s="465"/>
      <c r="CD626" s="465"/>
      <c r="CE626" s="465"/>
      <c r="CF626" s="465"/>
      <c r="CG626" s="465"/>
      <c r="CH626" s="465"/>
      <c r="CI626" s="465"/>
      <c r="CJ626" s="465"/>
      <c r="CK626" s="465"/>
      <c r="CL626" s="465"/>
      <c r="CM626" s="465"/>
      <c r="CN626" s="465"/>
      <c r="CO626" s="465"/>
      <c r="CP626" s="465"/>
      <c r="CQ626" s="465"/>
      <c r="CR626" s="465"/>
      <c r="CS626" s="465"/>
      <c r="CT626" s="465"/>
      <c r="CU626" s="465"/>
      <c r="CV626" s="465"/>
      <c r="CW626" s="465"/>
      <c r="CX626" s="465"/>
      <c r="CY626" s="465"/>
      <c r="CZ626" s="465"/>
      <c r="DA626" s="465"/>
      <c r="DB626" s="465"/>
      <c r="DC626" s="465"/>
      <c r="DD626" s="465"/>
      <c r="DE626" s="465"/>
      <c r="DF626" s="465"/>
      <c r="DG626" s="465"/>
      <c r="DH626" s="465"/>
    </row>
    <row r="627" ht="20.25" customHeight="1">
      <c r="A627" s="71">
        <v>627.0</v>
      </c>
      <c r="B627" s="90" t="s">
        <v>145</v>
      </c>
      <c r="C627" s="90" t="s">
        <v>108</v>
      </c>
      <c r="D627" s="90" t="s">
        <v>983</v>
      </c>
      <c r="E627" s="89"/>
      <c r="F627" s="91" t="s">
        <v>3384</v>
      </c>
      <c r="G627" s="919" t="s">
        <v>3423</v>
      </c>
      <c r="H627" s="74" t="s">
        <v>137</v>
      </c>
      <c r="I627" s="850">
        <v>45489.0</v>
      </c>
      <c r="J627" s="626">
        <v>45638.0</v>
      </c>
      <c r="K627" s="80"/>
      <c r="L627" s="80"/>
      <c r="M627" s="74" t="s">
        <v>3386</v>
      </c>
      <c r="N627" s="74" t="s">
        <v>3387</v>
      </c>
      <c r="O627" s="632">
        <v>1.0</v>
      </c>
      <c r="P627" s="96" t="s">
        <v>3388</v>
      </c>
      <c r="Q627" s="890" t="str">
        <f t="array" ref="Q627"> if(iserror(MATCH(V627, 'File Links'!C:C, 0)), "N/A", HYPERLINK(INDEX('File Links'!B:B, MATCH(P627, 'File Links'!C:C, 0))))</f>
        <v>https://drive.google.com/file/d/13vglHZTPgv6z9W5xPGWG5OyE_h91M3UK/view?usp=drivesdk</v>
      </c>
      <c r="R627" s="74" t="s">
        <v>3389</v>
      </c>
      <c r="S627" s="74" t="s">
        <v>3390</v>
      </c>
      <c r="T627" s="80"/>
      <c r="U627" s="630">
        <v>1.0</v>
      </c>
      <c r="V627" s="92" t="str">
        <f t="shared" si="36"/>
        <v>10.12688--openreseurope.17749.1.pdf</v>
      </c>
      <c r="W627" s="74" t="s">
        <v>202</v>
      </c>
      <c r="X627" s="891" t="str">
        <f t="array" ref="X627"> if(iserror(MATCH(V627, 'File Links'!C:C, 0)), "N/A", HYPERLINK(INDEX('File Links'!B:B, MATCH(V627, 'File Links'!C:C, 0))))</f>
        <v>https://drive.google.com/file/d/17sgB6ScmXf8Wli1_dKWf0wpvxkNJRZtC/view?usp=drivesdk</v>
      </c>
      <c r="Y627" s="80"/>
      <c r="Z627" s="74" t="s">
        <v>141</v>
      </c>
      <c r="AA627" s="80" t="s">
        <v>3391</v>
      </c>
      <c r="AB627" s="80" t="s">
        <v>3392</v>
      </c>
      <c r="AC627" s="74" t="s">
        <v>3424</v>
      </c>
      <c r="AD627" s="80"/>
      <c r="AE627" s="632">
        <v>5.0</v>
      </c>
      <c r="AF627" s="632">
        <v>27.0</v>
      </c>
      <c r="AG627" s="80"/>
      <c r="AH627" s="96" t="s">
        <v>127</v>
      </c>
      <c r="AI627" s="920">
        <v>5.0</v>
      </c>
      <c r="AJ627" s="632">
        <v>0.001</v>
      </c>
      <c r="AK627" s="92" t="s">
        <v>128</v>
      </c>
      <c r="AL627" s="74" t="s">
        <v>179</v>
      </c>
      <c r="AM627" s="80" t="s">
        <v>130</v>
      </c>
      <c r="AN627" s="77" t="s">
        <v>131</v>
      </c>
      <c r="AO627" s="632">
        <v>32.0</v>
      </c>
      <c r="AP627" s="80"/>
      <c r="AQ627" s="74" t="s">
        <v>127</v>
      </c>
      <c r="AR627" s="632">
        <v>9.0</v>
      </c>
      <c r="AS627" s="632">
        <v>0.287</v>
      </c>
      <c r="AT627" s="92" t="s">
        <v>165</v>
      </c>
      <c r="AU627" s="92" t="s">
        <v>179</v>
      </c>
      <c r="AV627" s="91" t="s">
        <v>130</v>
      </c>
      <c r="AW627" s="920" t="s">
        <v>131</v>
      </c>
      <c r="AX627" s="91" t="s">
        <v>136</v>
      </c>
      <c r="AY627" s="80"/>
      <c r="AZ627" s="921" t="s">
        <v>685</v>
      </c>
      <c r="BA627" s="89"/>
      <c r="BB627" s="89"/>
      <c r="BC627" s="89"/>
      <c r="BD627" s="89"/>
      <c r="BE627" s="89"/>
      <c r="BF627" s="89"/>
      <c r="BG627" s="89"/>
      <c r="BH627" s="89"/>
      <c r="BI627" s="89"/>
      <c r="BJ627" s="89"/>
      <c r="BK627" s="89"/>
      <c r="BL627" s="89"/>
      <c r="BM627" s="89"/>
      <c r="BN627" s="89"/>
      <c r="BO627" s="89"/>
      <c r="BP627" s="89"/>
      <c r="BQ627" s="89"/>
      <c r="BR627" s="89"/>
      <c r="BS627" s="89"/>
      <c r="BT627" s="89"/>
      <c r="BU627" s="89"/>
      <c r="BV627" s="89"/>
      <c r="BW627" s="89"/>
      <c r="BX627" s="89"/>
      <c r="BY627" s="89"/>
      <c r="BZ627" s="89"/>
      <c r="CA627" s="89"/>
      <c r="CB627" s="89"/>
      <c r="CC627" s="89"/>
      <c r="CD627" s="89"/>
      <c r="CE627" s="89"/>
      <c r="CF627" s="89"/>
      <c r="CG627" s="89"/>
      <c r="CH627" s="89"/>
      <c r="CI627" s="89"/>
      <c r="CJ627" s="89"/>
      <c r="CK627" s="89"/>
      <c r="CL627" s="89"/>
      <c r="CM627" s="89"/>
      <c r="CN627" s="89"/>
      <c r="CO627" s="89"/>
      <c r="CP627" s="89"/>
      <c r="CQ627" s="89"/>
      <c r="CR627" s="89"/>
      <c r="CS627" s="89"/>
      <c r="CT627" s="89"/>
      <c r="CU627" s="89"/>
      <c r="CV627" s="89"/>
      <c r="CW627" s="89"/>
      <c r="CX627" s="89"/>
      <c r="CY627" s="89"/>
      <c r="CZ627" s="89"/>
      <c r="DA627" s="89"/>
      <c r="DB627" s="89"/>
      <c r="DC627" s="89"/>
      <c r="DD627" s="89"/>
      <c r="DE627" s="89"/>
      <c r="DF627" s="89"/>
      <c r="DG627" s="89"/>
      <c r="DH627" s="89"/>
    </row>
    <row r="628" ht="20.25" customHeight="1">
      <c r="A628" s="71">
        <v>628.0</v>
      </c>
      <c r="B628" s="90" t="s">
        <v>145</v>
      </c>
      <c r="C628" s="90" t="s">
        <v>108</v>
      </c>
      <c r="D628" s="90" t="s">
        <v>983</v>
      </c>
      <c r="E628" s="89"/>
      <c r="F628" s="91" t="s">
        <v>3384</v>
      </c>
      <c r="G628" s="919" t="s">
        <v>3425</v>
      </c>
      <c r="H628" s="74" t="s">
        <v>137</v>
      </c>
      <c r="I628" s="850">
        <v>45489.0</v>
      </c>
      <c r="J628" s="626">
        <v>45638.0</v>
      </c>
      <c r="K628" s="80"/>
      <c r="L628" s="80"/>
      <c r="M628" s="74" t="s">
        <v>3386</v>
      </c>
      <c r="N628" s="74" t="s">
        <v>3387</v>
      </c>
      <c r="O628" s="632">
        <v>1.0</v>
      </c>
      <c r="P628" s="96" t="s">
        <v>3388</v>
      </c>
      <c r="Q628" s="890" t="str">
        <f t="array" ref="Q628"> if(iserror(MATCH(V628, 'File Links'!C:C, 0)), "N/A", HYPERLINK(INDEX('File Links'!B:B, MATCH(P628, 'File Links'!C:C, 0))))</f>
        <v>https://drive.google.com/file/d/13vglHZTPgv6z9W5xPGWG5OyE_h91M3UK/view?usp=drivesdk</v>
      </c>
      <c r="R628" s="74" t="s">
        <v>3389</v>
      </c>
      <c r="S628" s="74" t="s">
        <v>3390</v>
      </c>
      <c r="T628" s="80"/>
      <c r="U628" s="630">
        <v>1.0</v>
      </c>
      <c r="V628" s="92" t="str">
        <f t="shared" si="36"/>
        <v>10.12688--openreseurope.17749.1.pdf</v>
      </c>
      <c r="W628" s="74" t="s">
        <v>202</v>
      </c>
      <c r="X628" s="891" t="str">
        <f t="array" ref="X628"> if(iserror(MATCH(V628, 'File Links'!C:C, 0)), "N/A", HYPERLINK(INDEX('File Links'!B:B, MATCH(V628, 'File Links'!C:C, 0))))</f>
        <v>https://drive.google.com/file/d/17sgB6ScmXf8Wli1_dKWf0wpvxkNJRZtC/view?usp=drivesdk</v>
      </c>
      <c r="Y628" s="80"/>
      <c r="Z628" s="74" t="s">
        <v>141</v>
      </c>
      <c r="AA628" s="80" t="s">
        <v>3391</v>
      </c>
      <c r="AB628" s="80" t="s">
        <v>3392</v>
      </c>
      <c r="AC628" s="74" t="s">
        <v>3426</v>
      </c>
      <c r="AD628" s="80"/>
      <c r="AE628" s="632">
        <v>5.0</v>
      </c>
      <c r="AF628" s="632">
        <v>27.0</v>
      </c>
      <c r="AG628" s="632">
        <v>9.4</v>
      </c>
      <c r="AH628" s="96" t="s">
        <v>127</v>
      </c>
      <c r="AI628" s="920">
        <v>5.0</v>
      </c>
      <c r="AJ628" s="632">
        <v>0.005</v>
      </c>
      <c r="AK628" s="92" t="s">
        <v>165</v>
      </c>
      <c r="AL628" s="74" t="s">
        <v>179</v>
      </c>
      <c r="AM628" s="80" t="s">
        <v>130</v>
      </c>
      <c r="AN628" s="77" t="s">
        <v>131</v>
      </c>
      <c r="AO628" s="632">
        <v>32.0</v>
      </c>
      <c r="AP628" s="632">
        <v>24.42</v>
      </c>
      <c r="AQ628" s="74" t="s">
        <v>127</v>
      </c>
      <c r="AR628" s="632">
        <v>9.0</v>
      </c>
      <c r="AS628" s="632">
        <v>0.001</v>
      </c>
      <c r="AT628" s="92" t="s">
        <v>128</v>
      </c>
      <c r="AU628" s="92" t="s">
        <v>179</v>
      </c>
      <c r="AV628" s="91" t="s">
        <v>130</v>
      </c>
      <c r="AW628" s="920" t="s">
        <v>131</v>
      </c>
      <c r="AX628" s="91" t="s">
        <v>136</v>
      </c>
      <c r="AY628" s="80"/>
      <c r="AZ628" s="921" t="s">
        <v>685</v>
      </c>
      <c r="BA628" s="89"/>
      <c r="BB628" s="89"/>
      <c r="BC628" s="89"/>
      <c r="BD628" s="89"/>
      <c r="BE628" s="89"/>
      <c r="BF628" s="89"/>
      <c r="BG628" s="89"/>
      <c r="BH628" s="89"/>
      <c r="BI628" s="89"/>
      <c r="BJ628" s="89"/>
      <c r="BK628" s="89"/>
      <c r="BL628" s="89"/>
      <c r="BM628" s="89"/>
      <c r="BN628" s="89"/>
      <c r="BO628" s="89"/>
      <c r="BP628" s="89"/>
      <c r="BQ628" s="89"/>
      <c r="BR628" s="89"/>
      <c r="BS628" s="89"/>
      <c r="BT628" s="89"/>
      <c r="BU628" s="89"/>
      <c r="BV628" s="89"/>
      <c r="BW628" s="89"/>
      <c r="BX628" s="89"/>
      <c r="BY628" s="89"/>
      <c r="BZ628" s="89"/>
      <c r="CA628" s="89"/>
      <c r="CB628" s="89"/>
      <c r="CC628" s="89"/>
      <c r="CD628" s="89"/>
      <c r="CE628" s="89"/>
      <c r="CF628" s="89"/>
      <c r="CG628" s="89"/>
      <c r="CH628" s="89"/>
      <c r="CI628" s="89"/>
      <c r="CJ628" s="89"/>
      <c r="CK628" s="89"/>
      <c r="CL628" s="89"/>
      <c r="CM628" s="89"/>
      <c r="CN628" s="89"/>
      <c r="CO628" s="89"/>
      <c r="CP628" s="89"/>
      <c r="CQ628" s="89"/>
      <c r="CR628" s="89"/>
      <c r="CS628" s="89"/>
      <c r="CT628" s="89"/>
      <c r="CU628" s="89"/>
      <c r="CV628" s="89"/>
      <c r="CW628" s="89"/>
      <c r="CX628" s="89"/>
      <c r="CY628" s="89"/>
      <c r="CZ628" s="89"/>
      <c r="DA628" s="89"/>
      <c r="DB628" s="89"/>
      <c r="DC628" s="89"/>
      <c r="DD628" s="89"/>
      <c r="DE628" s="89"/>
      <c r="DF628" s="89"/>
      <c r="DG628" s="89"/>
      <c r="DH628" s="89"/>
    </row>
    <row r="629" ht="20.25" customHeight="1">
      <c r="A629" s="71">
        <v>629.0</v>
      </c>
      <c r="B629" s="90" t="s">
        <v>145</v>
      </c>
      <c r="C629" s="90" t="s">
        <v>108</v>
      </c>
      <c r="D629" s="90" t="s">
        <v>983</v>
      </c>
      <c r="E629" s="89"/>
      <c r="F629" s="91" t="s">
        <v>3384</v>
      </c>
      <c r="G629" s="919" t="s">
        <v>3427</v>
      </c>
      <c r="H629" s="74" t="s">
        <v>137</v>
      </c>
      <c r="I629" s="850">
        <v>45489.0</v>
      </c>
      <c r="J629" s="626">
        <v>45638.0</v>
      </c>
      <c r="K629" s="80"/>
      <c r="L629" s="80"/>
      <c r="M629" s="74" t="s">
        <v>3386</v>
      </c>
      <c r="N629" s="74" t="s">
        <v>3387</v>
      </c>
      <c r="O629" s="632">
        <v>1.0</v>
      </c>
      <c r="P629" s="96" t="s">
        <v>3388</v>
      </c>
      <c r="Q629" s="890" t="str">
        <f t="array" ref="Q629"> if(iserror(MATCH(V629, 'File Links'!C:C, 0)), "N/A", HYPERLINK(INDEX('File Links'!B:B, MATCH(P629, 'File Links'!C:C, 0))))</f>
        <v>https://drive.google.com/file/d/13vglHZTPgv6z9W5xPGWG5OyE_h91M3UK/view?usp=drivesdk</v>
      </c>
      <c r="R629" s="74" t="s">
        <v>3389</v>
      </c>
      <c r="S629" s="74" t="s">
        <v>3390</v>
      </c>
      <c r="T629" s="80"/>
      <c r="U629" s="630">
        <v>1.0</v>
      </c>
      <c r="V629" s="92" t="str">
        <f t="shared" si="36"/>
        <v>10.12688--openreseurope.17749.1.pdf</v>
      </c>
      <c r="W629" s="74" t="s">
        <v>202</v>
      </c>
      <c r="X629" s="891" t="str">
        <f t="array" ref="X629"> if(iserror(MATCH(V629, 'File Links'!C:C, 0)), "N/A", HYPERLINK(INDEX('File Links'!B:B, MATCH(V629, 'File Links'!C:C, 0))))</f>
        <v>https://drive.google.com/file/d/17sgB6ScmXf8Wli1_dKWf0wpvxkNJRZtC/view?usp=drivesdk</v>
      </c>
      <c r="Y629" s="80"/>
      <c r="Z629" s="74" t="s">
        <v>141</v>
      </c>
      <c r="AA629" s="80" t="s">
        <v>3391</v>
      </c>
      <c r="AB629" s="80" t="s">
        <v>3392</v>
      </c>
      <c r="AC629" s="74" t="s">
        <v>3428</v>
      </c>
      <c r="AD629" s="80"/>
      <c r="AE629" s="632">
        <v>5.0</v>
      </c>
      <c r="AF629" s="632">
        <v>27.0</v>
      </c>
      <c r="AG629" s="632">
        <v>24.91</v>
      </c>
      <c r="AH629" s="96" t="s">
        <v>127</v>
      </c>
      <c r="AI629" s="920">
        <v>5.0</v>
      </c>
      <c r="AJ629" s="632">
        <v>0.001</v>
      </c>
      <c r="AK629" s="92" t="s">
        <v>128</v>
      </c>
      <c r="AL629" s="74" t="s">
        <v>179</v>
      </c>
      <c r="AM629" s="80" t="s">
        <v>130</v>
      </c>
      <c r="AN629" s="77" t="s">
        <v>131</v>
      </c>
      <c r="AO629" s="632">
        <v>32.0</v>
      </c>
      <c r="AP629" s="632">
        <v>49.99</v>
      </c>
      <c r="AQ629" s="74" t="s">
        <v>127</v>
      </c>
      <c r="AR629" s="632">
        <v>9.0</v>
      </c>
      <c r="AS629" s="632">
        <v>0.001</v>
      </c>
      <c r="AT629" s="92" t="s">
        <v>128</v>
      </c>
      <c r="AU629" s="92" t="s">
        <v>179</v>
      </c>
      <c r="AV629" s="91" t="s">
        <v>130</v>
      </c>
      <c r="AW629" s="920" t="s">
        <v>131</v>
      </c>
      <c r="AX629" s="91" t="s">
        <v>136</v>
      </c>
      <c r="AY629" s="80"/>
      <c r="AZ629" s="921" t="s">
        <v>685</v>
      </c>
      <c r="BA629" s="89"/>
      <c r="BB629" s="89"/>
      <c r="BC629" s="89"/>
      <c r="BD629" s="89"/>
      <c r="BE629" s="89"/>
      <c r="BF629" s="89"/>
      <c r="BG629" s="89"/>
      <c r="BH629" s="89"/>
      <c r="BI629" s="89"/>
      <c r="BJ629" s="89"/>
      <c r="BK629" s="89"/>
      <c r="BL629" s="89"/>
      <c r="BM629" s="89"/>
      <c r="BN629" s="89"/>
      <c r="BO629" s="89"/>
      <c r="BP629" s="89"/>
      <c r="BQ629" s="89"/>
      <c r="BR629" s="89"/>
      <c r="BS629" s="89"/>
      <c r="BT629" s="89"/>
      <c r="BU629" s="89"/>
      <c r="BV629" s="89"/>
      <c r="BW629" s="89"/>
      <c r="BX629" s="89"/>
      <c r="BY629" s="89"/>
      <c r="BZ629" s="89"/>
      <c r="CA629" s="89"/>
      <c r="CB629" s="89"/>
      <c r="CC629" s="89"/>
      <c r="CD629" s="89"/>
      <c r="CE629" s="89"/>
      <c r="CF629" s="89"/>
      <c r="CG629" s="89"/>
      <c r="CH629" s="89"/>
      <c r="CI629" s="89"/>
      <c r="CJ629" s="89"/>
      <c r="CK629" s="89"/>
      <c r="CL629" s="89"/>
      <c r="CM629" s="89"/>
      <c r="CN629" s="89"/>
      <c r="CO629" s="89"/>
      <c r="CP629" s="89"/>
      <c r="CQ629" s="89"/>
      <c r="CR629" s="89"/>
      <c r="CS629" s="89"/>
      <c r="CT629" s="89"/>
      <c r="CU629" s="89"/>
      <c r="CV629" s="89"/>
      <c r="CW629" s="89"/>
      <c r="CX629" s="89"/>
      <c r="CY629" s="89"/>
      <c r="CZ629" s="89"/>
      <c r="DA629" s="89"/>
      <c r="DB629" s="89"/>
      <c r="DC629" s="89"/>
      <c r="DD629" s="89"/>
      <c r="DE629" s="89"/>
      <c r="DF629" s="89"/>
      <c r="DG629" s="89"/>
      <c r="DH629" s="89"/>
    </row>
    <row r="630" ht="20.25" customHeight="1">
      <c r="A630" s="71">
        <v>630.0</v>
      </c>
      <c r="B630" s="90" t="s">
        <v>145</v>
      </c>
      <c r="C630" s="90" t="s">
        <v>108</v>
      </c>
      <c r="D630" s="90" t="s">
        <v>983</v>
      </c>
      <c r="E630" s="89"/>
      <c r="F630" s="91" t="s">
        <v>3384</v>
      </c>
      <c r="G630" s="919" t="s">
        <v>3429</v>
      </c>
      <c r="H630" s="74" t="s">
        <v>137</v>
      </c>
      <c r="I630" s="850">
        <v>45489.0</v>
      </c>
      <c r="J630" s="626">
        <v>45638.0</v>
      </c>
      <c r="K630" s="80"/>
      <c r="L630" s="80"/>
      <c r="M630" s="74" t="s">
        <v>3386</v>
      </c>
      <c r="N630" s="74" t="s">
        <v>3387</v>
      </c>
      <c r="O630" s="632">
        <v>1.0</v>
      </c>
      <c r="P630" s="96" t="s">
        <v>3388</v>
      </c>
      <c r="Q630" s="890" t="str">
        <f t="array" ref="Q630"> if(iserror(MATCH(V630, 'File Links'!C:C, 0)), "N/A", HYPERLINK(INDEX('File Links'!B:B, MATCH(P630, 'File Links'!C:C, 0))))</f>
        <v>https://drive.google.com/file/d/13vglHZTPgv6z9W5xPGWG5OyE_h91M3UK/view?usp=drivesdk</v>
      </c>
      <c r="R630" s="74" t="s">
        <v>3389</v>
      </c>
      <c r="S630" s="74" t="s">
        <v>3390</v>
      </c>
      <c r="T630" s="80"/>
      <c r="U630" s="630">
        <v>1.0</v>
      </c>
      <c r="V630" s="92" t="str">
        <f t="shared" si="36"/>
        <v>10.12688--openreseurope.17749.1.pdf</v>
      </c>
      <c r="W630" s="74" t="s">
        <v>202</v>
      </c>
      <c r="X630" s="891" t="str">
        <f t="array" ref="X630"> if(iserror(MATCH(V630, 'File Links'!C:C, 0)), "N/A", HYPERLINK(INDEX('File Links'!B:B, MATCH(V630, 'File Links'!C:C, 0))))</f>
        <v>https://drive.google.com/file/d/17sgB6ScmXf8Wli1_dKWf0wpvxkNJRZtC/view?usp=drivesdk</v>
      </c>
      <c r="Y630" s="80"/>
      <c r="Z630" s="74" t="s">
        <v>141</v>
      </c>
      <c r="AA630" s="80" t="s">
        <v>3391</v>
      </c>
      <c r="AB630" s="80" t="s">
        <v>3392</v>
      </c>
      <c r="AC630" s="74" t="s">
        <v>3430</v>
      </c>
      <c r="AD630" s="80"/>
      <c r="AE630" s="632">
        <v>5.0</v>
      </c>
      <c r="AF630" s="632">
        <v>27.0</v>
      </c>
      <c r="AG630" s="632">
        <v>51.07</v>
      </c>
      <c r="AH630" s="96" t="s">
        <v>127</v>
      </c>
      <c r="AI630" s="920">
        <v>5.0</v>
      </c>
      <c r="AJ630" s="632">
        <v>0.001</v>
      </c>
      <c r="AK630" s="92" t="s">
        <v>128</v>
      </c>
      <c r="AL630" s="74" t="s">
        <v>179</v>
      </c>
      <c r="AM630" s="80" t="s">
        <v>130</v>
      </c>
      <c r="AN630" s="77" t="s">
        <v>131</v>
      </c>
      <c r="AO630" s="632">
        <v>32.0</v>
      </c>
      <c r="AP630" s="632">
        <v>53.18</v>
      </c>
      <c r="AQ630" s="74" t="s">
        <v>127</v>
      </c>
      <c r="AR630" s="632">
        <v>9.0</v>
      </c>
      <c r="AS630" s="632">
        <v>0.001</v>
      </c>
      <c r="AT630" s="92" t="s">
        <v>128</v>
      </c>
      <c r="AU630" s="92" t="s">
        <v>179</v>
      </c>
      <c r="AV630" s="91" t="s">
        <v>130</v>
      </c>
      <c r="AW630" s="920" t="s">
        <v>131</v>
      </c>
      <c r="AX630" s="91" t="s">
        <v>136</v>
      </c>
      <c r="AY630" s="80"/>
      <c r="AZ630" s="921" t="s">
        <v>685</v>
      </c>
      <c r="BA630" s="89"/>
      <c r="BB630" s="89"/>
      <c r="BC630" s="89"/>
      <c r="BD630" s="89"/>
      <c r="BE630" s="89"/>
      <c r="BF630" s="89"/>
      <c r="BG630" s="89"/>
      <c r="BH630" s="89"/>
      <c r="BI630" s="89"/>
      <c r="BJ630" s="89"/>
      <c r="BK630" s="89"/>
      <c r="BL630" s="89"/>
      <c r="BM630" s="89"/>
      <c r="BN630" s="89"/>
      <c r="BO630" s="89"/>
      <c r="BP630" s="89"/>
      <c r="BQ630" s="89"/>
      <c r="BR630" s="89"/>
      <c r="BS630" s="89"/>
      <c r="BT630" s="89"/>
      <c r="BU630" s="89"/>
      <c r="BV630" s="89"/>
      <c r="BW630" s="89"/>
      <c r="BX630" s="89"/>
      <c r="BY630" s="89"/>
      <c r="BZ630" s="89"/>
      <c r="CA630" s="89"/>
      <c r="CB630" s="89"/>
      <c r="CC630" s="89"/>
      <c r="CD630" s="89"/>
      <c r="CE630" s="89"/>
      <c r="CF630" s="89"/>
      <c r="CG630" s="89"/>
      <c r="CH630" s="89"/>
      <c r="CI630" s="89"/>
      <c r="CJ630" s="89"/>
      <c r="CK630" s="89"/>
      <c r="CL630" s="89"/>
      <c r="CM630" s="89"/>
      <c r="CN630" s="89"/>
      <c r="CO630" s="89"/>
      <c r="CP630" s="89"/>
      <c r="CQ630" s="89"/>
      <c r="CR630" s="89"/>
      <c r="CS630" s="89"/>
      <c r="CT630" s="89"/>
      <c r="CU630" s="89"/>
      <c r="CV630" s="89"/>
      <c r="CW630" s="89"/>
      <c r="CX630" s="89"/>
      <c r="CY630" s="89"/>
      <c r="CZ630" s="89"/>
      <c r="DA630" s="89"/>
      <c r="DB630" s="89"/>
      <c r="DC630" s="89"/>
      <c r="DD630" s="89"/>
      <c r="DE630" s="89"/>
      <c r="DF630" s="89"/>
      <c r="DG630" s="89"/>
      <c r="DH630" s="89"/>
    </row>
    <row r="631" ht="20.25" customHeight="1">
      <c r="A631" s="805">
        <v>631.0</v>
      </c>
      <c r="B631" s="464" t="s">
        <v>145</v>
      </c>
      <c r="C631" s="464" t="s">
        <v>108</v>
      </c>
      <c r="D631" s="464" t="s">
        <v>983</v>
      </c>
      <c r="E631" s="465"/>
      <c r="F631" s="479" t="s">
        <v>3384</v>
      </c>
      <c r="G631" s="922" t="s">
        <v>3431</v>
      </c>
      <c r="H631" s="467" t="s">
        <v>137</v>
      </c>
      <c r="I631" s="468">
        <v>45489.0</v>
      </c>
      <c r="J631" s="781">
        <v>45638.0</v>
      </c>
      <c r="K631" s="473"/>
      <c r="L631" s="473"/>
      <c r="M631" s="467" t="s">
        <v>3386</v>
      </c>
      <c r="N631" s="467" t="s">
        <v>3387</v>
      </c>
      <c r="O631" s="476">
        <v>1.0</v>
      </c>
      <c r="P631" s="472" t="s">
        <v>3388</v>
      </c>
      <c r="Q631" s="924" t="str">
        <f t="array" ref="Q631"> if(iserror(MATCH(V631, 'File Links'!C:C, 0)), "N/A", HYPERLINK(INDEX('File Links'!B:B, MATCH(P631, 'File Links'!C:C, 0))))</f>
        <v>https://drive.google.com/file/d/13vglHZTPgv6z9W5xPGWG5OyE_h91M3UK/view?usp=drivesdk</v>
      </c>
      <c r="R631" s="467" t="s">
        <v>3389</v>
      </c>
      <c r="S631" s="467" t="s">
        <v>3390</v>
      </c>
      <c r="T631" s="473"/>
      <c r="U631" s="927">
        <v>1.0</v>
      </c>
      <c r="V631" s="466" t="str">
        <f t="shared" si="36"/>
        <v>10.12688--openreseurope.17749.1.pdf</v>
      </c>
      <c r="W631" s="467" t="s">
        <v>202</v>
      </c>
      <c r="X631" s="925" t="str">
        <f t="array" ref="X631"> if(iserror(MATCH(V631, 'File Links'!C:C, 0)), "N/A", HYPERLINK(INDEX('File Links'!B:B, MATCH(V631, 'File Links'!C:C, 0))))</f>
        <v>https://drive.google.com/file/d/17sgB6ScmXf8Wli1_dKWf0wpvxkNJRZtC/view?usp=drivesdk</v>
      </c>
      <c r="Y631" s="473"/>
      <c r="Z631" s="467" t="s">
        <v>141</v>
      </c>
      <c r="AA631" s="473" t="s">
        <v>3391</v>
      </c>
      <c r="AB631" s="473" t="s">
        <v>3392</v>
      </c>
      <c r="AC631" s="467" t="s">
        <v>3432</v>
      </c>
      <c r="AD631" s="473"/>
      <c r="AE631" s="476">
        <v>5.0</v>
      </c>
      <c r="AF631" s="476">
        <v>27.0</v>
      </c>
      <c r="AG631" s="926" t="s">
        <v>131</v>
      </c>
      <c r="AH631" s="472" t="s">
        <v>127</v>
      </c>
      <c r="AI631" s="926">
        <v>5.0</v>
      </c>
      <c r="AJ631" s="476">
        <v>0.001</v>
      </c>
      <c r="AK631" s="466" t="s">
        <v>128</v>
      </c>
      <c r="AL631" s="467" t="s">
        <v>179</v>
      </c>
      <c r="AM631" s="473" t="s">
        <v>130</v>
      </c>
      <c r="AN631" s="471" t="s">
        <v>131</v>
      </c>
      <c r="AO631" s="476">
        <v>32.0</v>
      </c>
      <c r="AP631" s="473"/>
      <c r="AQ631" s="467" t="s">
        <v>127</v>
      </c>
      <c r="AR631" s="476">
        <v>9.0</v>
      </c>
      <c r="AS631" s="476">
        <v>0.001</v>
      </c>
      <c r="AT631" s="466" t="s">
        <v>128</v>
      </c>
      <c r="AU631" s="466" t="s">
        <v>179</v>
      </c>
      <c r="AV631" s="479" t="s">
        <v>130</v>
      </c>
      <c r="AW631" s="920" t="s">
        <v>131</v>
      </c>
      <c r="AX631" s="479" t="s">
        <v>136</v>
      </c>
      <c r="AY631" s="473"/>
      <c r="AZ631" s="921" t="s">
        <v>685</v>
      </c>
      <c r="BA631" s="465"/>
      <c r="BB631" s="465"/>
      <c r="BC631" s="465"/>
      <c r="BD631" s="465"/>
      <c r="BE631" s="465"/>
      <c r="BF631" s="465"/>
      <c r="BG631" s="465"/>
      <c r="BH631" s="465"/>
      <c r="BI631" s="465"/>
      <c r="BJ631" s="465"/>
      <c r="BK631" s="465"/>
      <c r="BL631" s="465"/>
      <c r="BM631" s="465"/>
      <c r="BN631" s="465"/>
      <c r="BO631" s="465"/>
      <c r="BP631" s="465"/>
      <c r="BQ631" s="465"/>
      <c r="BR631" s="465"/>
      <c r="BS631" s="465"/>
      <c r="BT631" s="465"/>
      <c r="BU631" s="465"/>
      <c r="BV631" s="465"/>
      <c r="BW631" s="465"/>
      <c r="BX631" s="465"/>
      <c r="BY631" s="465"/>
      <c r="BZ631" s="465"/>
      <c r="CA631" s="465"/>
      <c r="CB631" s="465"/>
      <c r="CC631" s="465"/>
      <c r="CD631" s="465"/>
      <c r="CE631" s="465"/>
      <c r="CF631" s="465"/>
      <c r="CG631" s="465"/>
      <c r="CH631" s="465"/>
      <c r="CI631" s="465"/>
      <c r="CJ631" s="465"/>
      <c r="CK631" s="465"/>
      <c r="CL631" s="465"/>
      <c r="CM631" s="465"/>
      <c r="CN631" s="465"/>
      <c r="CO631" s="465"/>
      <c r="CP631" s="465"/>
      <c r="CQ631" s="465"/>
      <c r="CR631" s="465"/>
      <c r="CS631" s="465"/>
      <c r="CT631" s="465"/>
      <c r="CU631" s="465"/>
      <c r="CV631" s="465"/>
      <c r="CW631" s="465"/>
      <c r="CX631" s="465"/>
      <c r="CY631" s="465"/>
      <c r="CZ631" s="465"/>
      <c r="DA631" s="465"/>
      <c r="DB631" s="465"/>
      <c r="DC631" s="465"/>
      <c r="DD631" s="465"/>
      <c r="DE631" s="465"/>
      <c r="DF631" s="465"/>
      <c r="DG631" s="465"/>
      <c r="DH631" s="465"/>
    </row>
    <row r="632" ht="20.25" customHeight="1">
      <c r="A632" s="71">
        <v>632.0</v>
      </c>
      <c r="B632" s="90" t="s">
        <v>145</v>
      </c>
      <c r="C632" s="90" t="s">
        <v>108</v>
      </c>
      <c r="D632" s="90" t="s">
        <v>983</v>
      </c>
      <c r="E632" s="89"/>
      <c r="F632" s="91" t="s">
        <v>3384</v>
      </c>
      <c r="G632" s="919" t="s">
        <v>3433</v>
      </c>
      <c r="H632" s="74" t="s">
        <v>137</v>
      </c>
      <c r="I632" s="850">
        <v>45489.0</v>
      </c>
      <c r="J632" s="626">
        <v>45638.0</v>
      </c>
      <c r="K632" s="80"/>
      <c r="L632" s="80"/>
      <c r="M632" s="74" t="s">
        <v>3386</v>
      </c>
      <c r="N632" s="74" t="s">
        <v>3387</v>
      </c>
      <c r="O632" s="632">
        <v>1.0</v>
      </c>
      <c r="P632" s="928" t="s">
        <v>3388</v>
      </c>
      <c r="Q632" s="890" t="str">
        <f t="array" ref="Q632"> if(iserror(MATCH(V632, 'File Links'!C:C, 0)), "N/A", HYPERLINK(INDEX('File Links'!B:B, MATCH(P632, 'File Links'!C:C, 0))))</f>
        <v>https://drive.google.com/file/d/13vglHZTPgv6z9W5xPGWG5OyE_h91M3UK/view?usp=drivesdk</v>
      </c>
      <c r="R632" s="74" t="s">
        <v>3389</v>
      </c>
      <c r="S632" s="74" t="s">
        <v>3390</v>
      </c>
      <c r="T632" s="80"/>
      <c r="U632" s="630">
        <v>1.0</v>
      </c>
      <c r="V632" s="92" t="str">
        <f t="shared" si="36"/>
        <v>10.12688--openreseurope.17749.1.pdf</v>
      </c>
      <c r="W632" s="74" t="s">
        <v>202</v>
      </c>
      <c r="X632" s="891" t="str">
        <f t="array" ref="X632"> if(iserror(MATCH(V632, 'File Links'!C:C, 0)), "N/A", HYPERLINK(INDEX('File Links'!B:B, MATCH(V632, 'File Links'!C:C, 0))))</f>
        <v>https://drive.google.com/file/d/17sgB6ScmXf8Wli1_dKWf0wpvxkNJRZtC/view?usp=drivesdk</v>
      </c>
      <c r="Y632" s="80"/>
      <c r="Z632" s="74" t="s">
        <v>141</v>
      </c>
      <c r="AA632" s="80" t="s">
        <v>3391</v>
      </c>
      <c r="AB632" s="80" t="s">
        <v>3392</v>
      </c>
      <c r="AC632" s="74" t="s">
        <v>3434</v>
      </c>
      <c r="AD632" s="80"/>
      <c r="AE632" s="632">
        <v>5.0</v>
      </c>
      <c r="AF632" s="632">
        <v>27.0</v>
      </c>
      <c r="AG632" s="632">
        <v>9.2</v>
      </c>
      <c r="AH632" s="96" t="s">
        <v>127</v>
      </c>
      <c r="AI632" s="920">
        <v>5.0</v>
      </c>
      <c r="AJ632" s="632">
        <v>0.005</v>
      </c>
      <c r="AK632" s="92" t="s">
        <v>165</v>
      </c>
      <c r="AL632" s="74" t="s">
        <v>179</v>
      </c>
      <c r="AM632" s="80" t="s">
        <v>130</v>
      </c>
      <c r="AN632" s="77" t="s">
        <v>131</v>
      </c>
      <c r="AO632" s="632">
        <v>32.0</v>
      </c>
      <c r="AP632" s="632">
        <v>9.46</v>
      </c>
      <c r="AQ632" s="74" t="s">
        <v>127</v>
      </c>
      <c r="AR632" s="632">
        <v>9.0</v>
      </c>
      <c r="AS632" s="632">
        <v>0.001</v>
      </c>
      <c r="AT632" s="92" t="s">
        <v>128</v>
      </c>
      <c r="AU632" s="92" t="s">
        <v>179</v>
      </c>
      <c r="AV632" s="91" t="s">
        <v>130</v>
      </c>
      <c r="AW632" s="920" t="s">
        <v>131</v>
      </c>
      <c r="AX632" s="91" t="s">
        <v>136</v>
      </c>
      <c r="AY632" s="80"/>
      <c r="AZ632" s="921" t="s">
        <v>685</v>
      </c>
      <c r="BA632" s="89"/>
      <c r="BB632" s="89"/>
      <c r="BC632" s="89"/>
      <c r="BD632" s="89"/>
      <c r="BE632" s="89"/>
      <c r="BF632" s="89"/>
      <c r="BG632" s="89"/>
      <c r="BH632" s="89"/>
      <c r="BI632" s="89"/>
      <c r="BJ632" s="89"/>
      <c r="BK632" s="89"/>
      <c r="BL632" s="89"/>
      <c r="BM632" s="89"/>
      <c r="BN632" s="89"/>
      <c r="BO632" s="89"/>
      <c r="BP632" s="89"/>
      <c r="BQ632" s="89"/>
      <c r="BR632" s="89"/>
      <c r="BS632" s="89"/>
      <c r="BT632" s="89"/>
      <c r="BU632" s="89"/>
      <c r="BV632" s="89"/>
      <c r="BW632" s="89"/>
      <c r="BX632" s="89"/>
      <c r="BY632" s="89"/>
      <c r="BZ632" s="89"/>
      <c r="CA632" s="89"/>
      <c r="CB632" s="89"/>
      <c r="CC632" s="89"/>
      <c r="CD632" s="89"/>
      <c r="CE632" s="89"/>
      <c r="CF632" s="89"/>
      <c r="CG632" s="89"/>
      <c r="CH632" s="89"/>
      <c r="CI632" s="89"/>
      <c r="CJ632" s="89"/>
      <c r="CK632" s="89"/>
      <c r="CL632" s="89"/>
      <c r="CM632" s="89"/>
      <c r="CN632" s="89"/>
      <c r="CO632" s="89"/>
      <c r="CP632" s="89"/>
      <c r="CQ632" s="89"/>
      <c r="CR632" s="89"/>
      <c r="CS632" s="89"/>
      <c r="CT632" s="89"/>
      <c r="CU632" s="89"/>
      <c r="CV632" s="89"/>
      <c r="CW632" s="89"/>
      <c r="CX632" s="89"/>
      <c r="CY632" s="89"/>
      <c r="CZ632" s="89"/>
      <c r="DA632" s="89"/>
      <c r="DB632" s="89"/>
      <c r="DC632" s="89"/>
      <c r="DD632" s="89"/>
      <c r="DE632" s="89"/>
      <c r="DF632" s="89"/>
      <c r="DG632" s="89"/>
      <c r="DH632" s="89"/>
    </row>
    <row r="633" ht="20.25" customHeight="1">
      <c r="A633" s="71">
        <v>633.0</v>
      </c>
      <c r="B633" s="90" t="s">
        <v>145</v>
      </c>
      <c r="C633" s="90" t="s">
        <v>108</v>
      </c>
      <c r="D633" s="90" t="s">
        <v>983</v>
      </c>
      <c r="E633" s="89"/>
      <c r="F633" s="91" t="s">
        <v>3384</v>
      </c>
      <c r="G633" s="919" t="s">
        <v>3435</v>
      </c>
      <c r="H633" s="74" t="s">
        <v>137</v>
      </c>
      <c r="I633" s="850">
        <v>45489.0</v>
      </c>
      <c r="J633" s="626">
        <v>45638.0</v>
      </c>
      <c r="K633" s="80"/>
      <c r="L633" s="80"/>
      <c r="M633" s="74" t="s">
        <v>3386</v>
      </c>
      <c r="N633" s="74" t="s">
        <v>3387</v>
      </c>
      <c r="O633" s="632">
        <v>1.0</v>
      </c>
      <c r="P633" s="928" t="s">
        <v>3388</v>
      </c>
      <c r="Q633" s="890" t="str">
        <f t="array" ref="Q633"> if(iserror(MATCH(V633, 'File Links'!C:C, 0)), "N/A", HYPERLINK(INDEX('File Links'!B:B, MATCH(P633, 'File Links'!C:C, 0))))</f>
        <v>https://drive.google.com/file/d/13vglHZTPgv6z9W5xPGWG5OyE_h91M3UK/view?usp=drivesdk</v>
      </c>
      <c r="R633" s="74" t="s">
        <v>3389</v>
      </c>
      <c r="S633" s="74" t="s">
        <v>3390</v>
      </c>
      <c r="T633" s="80"/>
      <c r="U633" s="630">
        <v>1.0</v>
      </c>
      <c r="V633" s="92" t="str">
        <f t="shared" si="36"/>
        <v>10.12688--openreseurope.17749.1.pdf</v>
      </c>
      <c r="W633" s="74" t="s">
        <v>202</v>
      </c>
      <c r="X633" s="891" t="str">
        <f t="array" ref="X633"> if(iserror(MATCH(V633, 'File Links'!C:C, 0)), "N/A", HYPERLINK(INDEX('File Links'!B:B, MATCH(V633, 'File Links'!C:C, 0))))</f>
        <v>https://drive.google.com/file/d/17sgB6ScmXf8Wli1_dKWf0wpvxkNJRZtC/view?usp=drivesdk</v>
      </c>
      <c r="Y633" s="80"/>
      <c r="Z633" s="74" t="s">
        <v>141</v>
      </c>
      <c r="AA633" s="80" t="s">
        <v>3391</v>
      </c>
      <c r="AB633" s="80" t="s">
        <v>3392</v>
      </c>
      <c r="AC633" s="74" t="s">
        <v>3436</v>
      </c>
      <c r="AD633" s="80"/>
      <c r="AE633" s="632">
        <v>5.0</v>
      </c>
      <c r="AF633" s="632">
        <v>27.0</v>
      </c>
      <c r="AG633" s="632">
        <v>10.35</v>
      </c>
      <c r="AH633" s="96" t="s">
        <v>127</v>
      </c>
      <c r="AI633" s="920">
        <v>5.0</v>
      </c>
      <c r="AJ633" s="632">
        <v>0.003</v>
      </c>
      <c r="AK633" s="92" t="s">
        <v>165</v>
      </c>
      <c r="AL633" s="74" t="s">
        <v>179</v>
      </c>
      <c r="AM633" s="80" t="s">
        <v>130</v>
      </c>
      <c r="AN633" s="77" t="s">
        <v>131</v>
      </c>
      <c r="AO633" s="632">
        <v>32.0</v>
      </c>
      <c r="AP633" s="632">
        <v>2.63</v>
      </c>
      <c r="AQ633" s="74" t="s">
        <v>127</v>
      </c>
      <c r="AR633" s="632">
        <v>9.0</v>
      </c>
      <c r="AS633" s="632">
        <v>0.08</v>
      </c>
      <c r="AT633" s="92" t="s">
        <v>165</v>
      </c>
      <c r="AU633" s="92" t="s">
        <v>179</v>
      </c>
      <c r="AV633" s="91" t="s">
        <v>130</v>
      </c>
      <c r="AW633" s="920" t="s">
        <v>131</v>
      </c>
      <c r="AX633" s="91" t="s">
        <v>136</v>
      </c>
      <c r="AY633" s="80"/>
      <c r="AZ633" s="921" t="s">
        <v>685</v>
      </c>
      <c r="BA633" s="89"/>
      <c r="BB633" s="89"/>
      <c r="BC633" s="89"/>
      <c r="BD633" s="89"/>
      <c r="BE633" s="89"/>
      <c r="BF633" s="89"/>
      <c r="BG633" s="89"/>
      <c r="BH633" s="89"/>
      <c r="BI633" s="89"/>
      <c r="BJ633" s="89"/>
      <c r="BK633" s="89"/>
      <c r="BL633" s="89"/>
      <c r="BM633" s="89"/>
      <c r="BN633" s="89"/>
      <c r="BO633" s="89"/>
      <c r="BP633" s="89"/>
      <c r="BQ633" s="89"/>
      <c r="BR633" s="89"/>
      <c r="BS633" s="89"/>
      <c r="BT633" s="89"/>
      <c r="BU633" s="89"/>
      <c r="BV633" s="89"/>
      <c r="BW633" s="89"/>
      <c r="BX633" s="89"/>
      <c r="BY633" s="89"/>
      <c r="BZ633" s="89"/>
      <c r="CA633" s="89"/>
      <c r="CB633" s="89"/>
      <c r="CC633" s="89"/>
      <c r="CD633" s="89"/>
      <c r="CE633" s="89"/>
      <c r="CF633" s="89"/>
      <c r="CG633" s="89"/>
      <c r="CH633" s="89"/>
      <c r="CI633" s="89"/>
      <c r="CJ633" s="89"/>
      <c r="CK633" s="89"/>
      <c r="CL633" s="89"/>
      <c r="CM633" s="89"/>
      <c r="CN633" s="89"/>
      <c r="CO633" s="89"/>
      <c r="CP633" s="89"/>
      <c r="CQ633" s="89"/>
      <c r="CR633" s="89"/>
      <c r="CS633" s="89"/>
      <c r="CT633" s="89"/>
      <c r="CU633" s="89"/>
      <c r="CV633" s="89"/>
      <c r="CW633" s="89"/>
      <c r="CX633" s="89"/>
      <c r="CY633" s="89"/>
      <c r="CZ633" s="89"/>
      <c r="DA633" s="89"/>
      <c r="DB633" s="89"/>
      <c r="DC633" s="89"/>
      <c r="DD633" s="89"/>
      <c r="DE633" s="89"/>
      <c r="DF633" s="89"/>
      <c r="DG633" s="89"/>
      <c r="DH633" s="89"/>
    </row>
    <row r="634" ht="20.25" customHeight="1">
      <c r="A634" s="71">
        <v>634.0</v>
      </c>
      <c r="B634" s="90" t="s">
        <v>145</v>
      </c>
      <c r="C634" s="90" t="s">
        <v>108</v>
      </c>
      <c r="D634" s="90" t="s">
        <v>983</v>
      </c>
      <c r="E634" s="89"/>
      <c r="F634" s="91" t="s">
        <v>3384</v>
      </c>
      <c r="G634" s="919" t="s">
        <v>3437</v>
      </c>
      <c r="H634" s="74" t="s">
        <v>137</v>
      </c>
      <c r="I634" s="850">
        <v>45489.0</v>
      </c>
      <c r="J634" s="626">
        <v>45638.0</v>
      </c>
      <c r="K634" s="80"/>
      <c r="L634" s="80"/>
      <c r="M634" s="74" t="s">
        <v>3386</v>
      </c>
      <c r="N634" s="74" t="s">
        <v>3387</v>
      </c>
      <c r="O634" s="632">
        <v>1.0</v>
      </c>
      <c r="P634" s="928" t="s">
        <v>3388</v>
      </c>
      <c r="Q634" s="890" t="str">
        <f t="array" ref="Q634"> if(iserror(MATCH(V634, 'File Links'!C:C, 0)), "N/A", HYPERLINK(INDEX('File Links'!B:B, MATCH(P634, 'File Links'!C:C, 0))))</f>
        <v>https://drive.google.com/file/d/13vglHZTPgv6z9W5xPGWG5OyE_h91M3UK/view?usp=drivesdk</v>
      </c>
      <c r="R634" s="74" t="s">
        <v>3389</v>
      </c>
      <c r="S634" s="74" t="s">
        <v>3390</v>
      </c>
      <c r="T634" s="80"/>
      <c r="U634" s="630">
        <v>1.0</v>
      </c>
      <c r="V634" s="92" t="str">
        <f t="shared" si="36"/>
        <v>10.12688--openreseurope.17749.1.pdf</v>
      </c>
      <c r="W634" s="74" t="s">
        <v>202</v>
      </c>
      <c r="X634" s="891" t="str">
        <f t="array" ref="X634"> if(iserror(MATCH(V634, 'File Links'!C:C, 0)), "N/A", HYPERLINK(INDEX('File Links'!B:B, MATCH(V634, 'File Links'!C:C, 0))))</f>
        <v>https://drive.google.com/file/d/17sgB6ScmXf8Wli1_dKWf0wpvxkNJRZtC/view?usp=drivesdk</v>
      </c>
      <c r="Y634" s="80"/>
      <c r="Z634" s="74" t="s">
        <v>141</v>
      </c>
      <c r="AA634" s="80" t="s">
        <v>3391</v>
      </c>
      <c r="AB634" s="80" t="s">
        <v>3392</v>
      </c>
      <c r="AC634" s="74" t="s">
        <v>3438</v>
      </c>
      <c r="AD634" s="80"/>
      <c r="AE634" s="632">
        <v>5.0</v>
      </c>
      <c r="AF634" s="632">
        <v>27.0</v>
      </c>
      <c r="AG634" s="632">
        <v>1.56</v>
      </c>
      <c r="AH634" s="96" t="s">
        <v>127</v>
      </c>
      <c r="AI634" s="920">
        <v>5.0</v>
      </c>
      <c r="AJ634" s="632">
        <v>0.223</v>
      </c>
      <c r="AK634" s="92" t="s">
        <v>165</v>
      </c>
      <c r="AL634" s="74" t="s">
        <v>179</v>
      </c>
      <c r="AM634" s="80" t="s">
        <v>130</v>
      </c>
      <c r="AN634" s="77" t="s">
        <v>131</v>
      </c>
      <c r="AO634" s="632">
        <v>32.0</v>
      </c>
      <c r="AP634" s="632">
        <v>0.42</v>
      </c>
      <c r="AQ634" s="74" t="s">
        <v>127</v>
      </c>
      <c r="AR634" s="632">
        <v>9.0</v>
      </c>
      <c r="AS634" s="632">
        <v>0.523</v>
      </c>
      <c r="AT634" s="92" t="s">
        <v>165</v>
      </c>
      <c r="AU634" s="92" t="s">
        <v>179</v>
      </c>
      <c r="AV634" s="91" t="s">
        <v>130</v>
      </c>
      <c r="AW634" s="920" t="s">
        <v>131</v>
      </c>
      <c r="AX634" s="91" t="s">
        <v>136</v>
      </c>
      <c r="AY634" s="80"/>
      <c r="AZ634" s="921" t="s">
        <v>685</v>
      </c>
      <c r="BA634" s="89"/>
      <c r="BB634" s="89"/>
      <c r="BC634" s="89"/>
      <c r="BD634" s="89"/>
      <c r="BE634" s="89"/>
      <c r="BF634" s="89"/>
      <c r="BG634" s="89"/>
      <c r="BH634" s="89"/>
      <c r="BI634" s="89"/>
      <c r="BJ634" s="89"/>
      <c r="BK634" s="89"/>
      <c r="BL634" s="89"/>
      <c r="BM634" s="89"/>
      <c r="BN634" s="89"/>
      <c r="BO634" s="89"/>
      <c r="BP634" s="89"/>
      <c r="BQ634" s="89"/>
      <c r="BR634" s="89"/>
      <c r="BS634" s="89"/>
      <c r="BT634" s="89"/>
      <c r="BU634" s="89"/>
      <c r="BV634" s="89"/>
      <c r="BW634" s="89"/>
      <c r="BX634" s="89"/>
      <c r="BY634" s="89"/>
      <c r="BZ634" s="89"/>
      <c r="CA634" s="89"/>
      <c r="CB634" s="89"/>
      <c r="CC634" s="89"/>
      <c r="CD634" s="89"/>
      <c r="CE634" s="89"/>
      <c r="CF634" s="89"/>
      <c r="CG634" s="89"/>
      <c r="CH634" s="89"/>
      <c r="CI634" s="89"/>
      <c r="CJ634" s="89"/>
      <c r="CK634" s="89"/>
      <c r="CL634" s="89"/>
      <c r="CM634" s="89"/>
      <c r="CN634" s="89"/>
      <c r="CO634" s="89"/>
      <c r="CP634" s="89"/>
      <c r="CQ634" s="89"/>
      <c r="CR634" s="89"/>
      <c r="CS634" s="89"/>
      <c r="CT634" s="89"/>
      <c r="CU634" s="89"/>
      <c r="CV634" s="89"/>
      <c r="CW634" s="89"/>
      <c r="CX634" s="89"/>
      <c r="CY634" s="89"/>
      <c r="CZ634" s="89"/>
      <c r="DA634" s="89"/>
      <c r="DB634" s="89"/>
      <c r="DC634" s="89"/>
      <c r="DD634" s="89"/>
      <c r="DE634" s="89"/>
      <c r="DF634" s="89"/>
      <c r="DG634" s="89"/>
      <c r="DH634" s="89"/>
    </row>
    <row r="635" ht="20.25" customHeight="1">
      <c r="A635" s="805">
        <v>635.0</v>
      </c>
      <c r="B635" s="464" t="s">
        <v>145</v>
      </c>
      <c r="C635" s="464" t="s">
        <v>108</v>
      </c>
      <c r="D635" s="464" t="s">
        <v>983</v>
      </c>
      <c r="E635" s="465"/>
      <c r="F635" s="479" t="s">
        <v>3384</v>
      </c>
      <c r="G635" s="922" t="s">
        <v>3439</v>
      </c>
      <c r="H635" s="467" t="s">
        <v>137</v>
      </c>
      <c r="I635" s="468">
        <v>45489.0</v>
      </c>
      <c r="J635" s="781">
        <v>45638.0</v>
      </c>
      <c r="K635" s="473"/>
      <c r="L635" s="473"/>
      <c r="M635" s="467" t="s">
        <v>3386</v>
      </c>
      <c r="N635" s="467" t="s">
        <v>3387</v>
      </c>
      <c r="O635" s="476">
        <v>1.0</v>
      </c>
      <c r="P635" s="929" t="s">
        <v>3388</v>
      </c>
      <c r="Q635" s="924" t="str">
        <f t="array" ref="Q635"> if(iserror(MATCH(V635, 'File Links'!C:C, 0)), "N/A", HYPERLINK(INDEX('File Links'!B:B, MATCH(P635, 'File Links'!C:C, 0))))</f>
        <v>https://drive.google.com/file/d/13vglHZTPgv6z9W5xPGWG5OyE_h91M3UK/view?usp=drivesdk</v>
      </c>
      <c r="R635" s="467" t="s">
        <v>3389</v>
      </c>
      <c r="S635" s="467" t="s">
        <v>3390</v>
      </c>
      <c r="T635" s="473"/>
      <c r="U635" s="927">
        <v>1.0</v>
      </c>
      <c r="V635" s="466" t="str">
        <f t="shared" si="36"/>
        <v>10.12688--openreseurope.17749.1.pdf</v>
      </c>
      <c r="W635" s="467" t="s">
        <v>202</v>
      </c>
      <c r="X635" s="925" t="str">
        <f t="array" ref="X635"> if(iserror(MATCH(V635, 'File Links'!C:C, 0)), "N/A", HYPERLINK(INDEX('File Links'!B:B, MATCH(V635, 'File Links'!C:C, 0))))</f>
        <v>https://drive.google.com/file/d/17sgB6ScmXf8Wli1_dKWf0wpvxkNJRZtC/view?usp=drivesdk</v>
      </c>
      <c r="Y635" s="473"/>
      <c r="Z635" s="467" t="s">
        <v>141</v>
      </c>
      <c r="AA635" s="473" t="s">
        <v>3391</v>
      </c>
      <c r="AB635" s="473" t="s">
        <v>3392</v>
      </c>
      <c r="AC635" s="467" t="s">
        <v>3440</v>
      </c>
      <c r="AD635" s="473"/>
      <c r="AE635" s="476">
        <v>5.0</v>
      </c>
      <c r="AF635" s="476">
        <v>27.0</v>
      </c>
      <c r="AG635" s="926" t="s">
        <v>131</v>
      </c>
      <c r="AH635" s="472" t="s">
        <v>127</v>
      </c>
      <c r="AI635" s="920">
        <v>5.0</v>
      </c>
      <c r="AJ635" s="476">
        <v>0.001</v>
      </c>
      <c r="AK635" s="466" t="s">
        <v>128</v>
      </c>
      <c r="AL635" s="467" t="s">
        <v>179</v>
      </c>
      <c r="AM635" s="473" t="s">
        <v>130</v>
      </c>
      <c r="AN635" s="471" t="s">
        <v>131</v>
      </c>
      <c r="AO635" s="476">
        <v>32.0</v>
      </c>
      <c r="AP635" s="473"/>
      <c r="AQ635" s="467" t="s">
        <v>127</v>
      </c>
      <c r="AR635" s="476">
        <v>9.0</v>
      </c>
      <c r="AS635" s="476">
        <v>0.001</v>
      </c>
      <c r="AT635" s="466" t="s">
        <v>128</v>
      </c>
      <c r="AU635" s="466" t="s">
        <v>179</v>
      </c>
      <c r="AV635" s="479" t="s">
        <v>130</v>
      </c>
      <c r="AW635" s="920" t="s">
        <v>131</v>
      </c>
      <c r="AX635" s="479" t="s">
        <v>136</v>
      </c>
      <c r="AY635" s="473"/>
      <c r="AZ635" s="921" t="s">
        <v>685</v>
      </c>
      <c r="BA635" s="465"/>
      <c r="BB635" s="465"/>
      <c r="BC635" s="465"/>
      <c r="BD635" s="465"/>
      <c r="BE635" s="465"/>
      <c r="BF635" s="465"/>
      <c r="BG635" s="465"/>
      <c r="BH635" s="465"/>
      <c r="BI635" s="465"/>
      <c r="BJ635" s="465"/>
      <c r="BK635" s="465"/>
      <c r="BL635" s="465"/>
      <c r="BM635" s="465"/>
      <c r="BN635" s="465"/>
      <c r="BO635" s="465"/>
      <c r="BP635" s="465"/>
      <c r="BQ635" s="465"/>
      <c r="BR635" s="465"/>
      <c r="BS635" s="465"/>
      <c r="BT635" s="465"/>
      <c r="BU635" s="465"/>
      <c r="BV635" s="465"/>
      <c r="BW635" s="465"/>
      <c r="BX635" s="465"/>
      <c r="BY635" s="465"/>
      <c r="BZ635" s="465"/>
      <c r="CA635" s="465"/>
      <c r="CB635" s="465"/>
      <c r="CC635" s="465"/>
      <c r="CD635" s="465"/>
      <c r="CE635" s="465"/>
      <c r="CF635" s="465"/>
      <c r="CG635" s="465"/>
      <c r="CH635" s="465"/>
      <c r="CI635" s="465"/>
      <c r="CJ635" s="465"/>
      <c r="CK635" s="465"/>
      <c r="CL635" s="465"/>
      <c r="CM635" s="465"/>
      <c r="CN635" s="465"/>
      <c r="CO635" s="465"/>
      <c r="CP635" s="465"/>
      <c r="CQ635" s="465"/>
      <c r="CR635" s="465"/>
      <c r="CS635" s="465"/>
      <c r="CT635" s="465"/>
      <c r="CU635" s="465"/>
      <c r="CV635" s="465"/>
      <c r="CW635" s="465"/>
      <c r="CX635" s="465"/>
      <c r="CY635" s="465"/>
      <c r="CZ635" s="465"/>
      <c r="DA635" s="465"/>
      <c r="DB635" s="465"/>
      <c r="DC635" s="465"/>
      <c r="DD635" s="465"/>
      <c r="DE635" s="465"/>
      <c r="DF635" s="465"/>
      <c r="DG635" s="465"/>
      <c r="DH635" s="465"/>
    </row>
    <row r="636" ht="20.25" customHeight="1">
      <c r="A636" s="71">
        <v>636.0</v>
      </c>
      <c r="B636" s="90" t="s">
        <v>145</v>
      </c>
      <c r="C636" s="90" t="s">
        <v>108</v>
      </c>
      <c r="D636" s="90" t="s">
        <v>983</v>
      </c>
      <c r="E636" s="89"/>
      <c r="F636" s="91" t="s">
        <v>3384</v>
      </c>
      <c r="G636" s="919" t="s">
        <v>3441</v>
      </c>
      <c r="H636" s="74" t="s">
        <v>137</v>
      </c>
      <c r="I636" s="850">
        <v>45489.0</v>
      </c>
      <c r="J636" s="626">
        <v>45638.0</v>
      </c>
      <c r="K636" s="80"/>
      <c r="L636" s="80"/>
      <c r="M636" s="74" t="s">
        <v>3386</v>
      </c>
      <c r="N636" s="74" t="s">
        <v>3387</v>
      </c>
      <c r="O636" s="632">
        <v>1.0</v>
      </c>
      <c r="P636" s="928" t="s">
        <v>3388</v>
      </c>
      <c r="Q636" s="890" t="str">
        <f t="array" ref="Q636"> if(iserror(MATCH(V636, 'File Links'!C:C, 0)), "N/A", HYPERLINK(INDEX('File Links'!B:B, MATCH(P636, 'File Links'!C:C, 0))))</f>
        <v>https://drive.google.com/file/d/13vglHZTPgv6z9W5xPGWG5OyE_h91M3UK/view?usp=drivesdk</v>
      </c>
      <c r="R636" s="74" t="s">
        <v>3389</v>
      </c>
      <c r="S636" s="74" t="s">
        <v>3390</v>
      </c>
      <c r="T636" s="80"/>
      <c r="U636" s="630">
        <v>1.0</v>
      </c>
      <c r="V636" s="92" t="str">
        <f t="shared" si="36"/>
        <v>10.12688--openreseurope.17749.1.pdf</v>
      </c>
      <c r="W636" s="74" t="s">
        <v>202</v>
      </c>
      <c r="X636" s="891" t="str">
        <f t="array" ref="X636"> if(iserror(MATCH(V636, 'File Links'!C:C, 0)), "N/A", HYPERLINK(INDEX('File Links'!B:B, MATCH(V636, 'File Links'!C:C, 0))))</f>
        <v>https://drive.google.com/file/d/17sgB6ScmXf8Wli1_dKWf0wpvxkNJRZtC/view?usp=drivesdk</v>
      </c>
      <c r="Y636" s="80"/>
      <c r="Z636" s="74" t="s">
        <v>141</v>
      </c>
      <c r="AA636" s="80" t="s">
        <v>3391</v>
      </c>
      <c r="AB636" s="80" t="s">
        <v>3392</v>
      </c>
      <c r="AC636" s="74" t="s">
        <v>3442</v>
      </c>
      <c r="AD636" s="80"/>
      <c r="AE636" s="632">
        <v>5.0</v>
      </c>
      <c r="AF636" s="632">
        <v>27.0</v>
      </c>
      <c r="AG636" s="632">
        <v>3.85</v>
      </c>
      <c r="AH636" s="96" t="s">
        <v>127</v>
      </c>
      <c r="AI636" s="920">
        <v>5.0</v>
      </c>
      <c r="AJ636" s="632">
        <v>0.051</v>
      </c>
      <c r="AK636" s="92" t="s">
        <v>165</v>
      </c>
      <c r="AL636" s="74" t="s">
        <v>179</v>
      </c>
      <c r="AM636" s="80" t="s">
        <v>130</v>
      </c>
      <c r="AN636" s="77" t="s">
        <v>131</v>
      </c>
      <c r="AO636" s="632">
        <v>32.0</v>
      </c>
      <c r="AP636" s="632">
        <v>10.15</v>
      </c>
      <c r="AQ636" s="74" t="s">
        <v>127</v>
      </c>
      <c r="AR636" s="632">
        <v>9.0</v>
      </c>
      <c r="AS636" s="632">
        <v>0.001</v>
      </c>
      <c r="AT636" s="92" t="s">
        <v>128</v>
      </c>
      <c r="AU636" s="92" t="s">
        <v>179</v>
      </c>
      <c r="AV636" s="91" t="s">
        <v>130</v>
      </c>
      <c r="AW636" s="920" t="s">
        <v>131</v>
      </c>
      <c r="AX636" s="91" t="s">
        <v>136</v>
      </c>
      <c r="AY636" s="80"/>
      <c r="AZ636" s="921" t="s">
        <v>685</v>
      </c>
      <c r="BA636" s="89"/>
      <c r="BB636" s="89"/>
      <c r="BC636" s="89"/>
      <c r="BD636" s="89"/>
      <c r="BE636" s="89"/>
      <c r="BF636" s="89"/>
      <c r="BG636" s="89"/>
      <c r="BH636" s="89"/>
      <c r="BI636" s="89"/>
      <c r="BJ636" s="89"/>
      <c r="BK636" s="89"/>
      <c r="BL636" s="89"/>
      <c r="BM636" s="89"/>
      <c r="BN636" s="89"/>
      <c r="BO636" s="89"/>
      <c r="BP636" s="89"/>
      <c r="BQ636" s="89"/>
      <c r="BR636" s="89"/>
      <c r="BS636" s="89"/>
      <c r="BT636" s="89"/>
      <c r="BU636" s="89"/>
      <c r="BV636" s="89"/>
      <c r="BW636" s="89"/>
      <c r="BX636" s="89"/>
      <c r="BY636" s="89"/>
      <c r="BZ636" s="89"/>
      <c r="CA636" s="89"/>
      <c r="CB636" s="89"/>
      <c r="CC636" s="89"/>
      <c r="CD636" s="89"/>
      <c r="CE636" s="89"/>
      <c r="CF636" s="89"/>
      <c r="CG636" s="89"/>
      <c r="CH636" s="89"/>
      <c r="CI636" s="89"/>
      <c r="CJ636" s="89"/>
      <c r="CK636" s="89"/>
      <c r="CL636" s="89"/>
      <c r="CM636" s="89"/>
      <c r="CN636" s="89"/>
      <c r="CO636" s="89"/>
      <c r="CP636" s="89"/>
      <c r="CQ636" s="89"/>
      <c r="CR636" s="89"/>
      <c r="CS636" s="89"/>
      <c r="CT636" s="89"/>
      <c r="CU636" s="89"/>
      <c r="CV636" s="89"/>
      <c r="CW636" s="89"/>
      <c r="CX636" s="89"/>
      <c r="CY636" s="89"/>
      <c r="CZ636" s="89"/>
      <c r="DA636" s="89"/>
      <c r="DB636" s="89"/>
      <c r="DC636" s="89"/>
      <c r="DD636" s="89"/>
      <c r="DE636" s="89"/>
      <c r="DF636" s="89"/>
      <c r="DG636" s="89"/>
      <c r="DH636" s="89"/>
    </row>
    <row r="637" ht="20.25" customHeight="1">
      <c r="A637" s="71">
        <v>637.0</v>
      </c>
      <c r="B637" s="90" t="s">
        <v>145</v>
      </c>
      <c r="C637" s="90" t="s">
        <v>108</v>
      </c>
      <c r="D637" s="90" t="s">
        <v>983</v>
      </c>
      <c r="E637" s="89"/>
      <c r="F637" s="930" t="s">
        <v>3384</v>
      </c>
      <c r="G637" s="931" t="s">
        <v>3443</v>
      </c>
      <c r="H637" s="92" t="s">
        <v>137</v>
      </c>
      <c r="I637" s="932">
        <v>45489.0</v>
      </c>
      <c r="J637" s="933">
        <v>45638.0</v>
      </c>
      <c r="K637" s="930"/>
      <c r="L637" s="930"/>
      <c r="M637" s="934" t="s">
        <v>3386</v>
      </c>
      <c r="N637" s="934" t="s">
        <v>3387</v>
      </c>
      <c r="O637" s="935">
        <v>1.0</v>
      </c>
      <c r="P637" s="934" t="s">
        <v>3388</v>
      </c>
      <c r="Q637" s="890" t="str">
        <f t="array" ref="Q637"> if(iserror(MATCH(V637, 'File Links'!C:C, 0)), "N/A", HYPERLINK(INDEX('File Links'!B:B, MATCH(P637, 'File Links'!C:C, 0))))</f>
        <v>https://drive.google.com/file/d/13vglHZTPgv6z9W5xPGWG5OyE_h91M3UK/view?usp=drivesdk</v>
      </c>
      <c r="R637" s="934" t="s">
        <v>3389</v>
      </c>
      <c r="S637" s="934" t="s">
        <v>3390</v>
      </c>
      <c r="T637" s="930"/>
      <c r="U637" s="935">
        <v>1.0</v>
      </c>
      <c r="V637" s="92" t="str">
        <f t="shared" si="36"/>
        <v>10.12688--openreseurope.17749.1.pdf</v>
      </c>
      <c r="W637" s="92" t="s">
        <v>202</v>
      </c>
      <c r="X637" s="891" t="str">
        <f t="array" ref="X637"> if(iserror(MATCH(V637, 'File Links'!C:C, 0)), "N/A", HYPERLINK(INDEX('File Links'!B:B, MATCH(V637, 'File Links'!C:C, 0))))</f>
        <v>https://drive.google.com/file/d/17sgB6ScmXf8Wli1_dKWf0wpvxkNJRZtC/view?usp=drivesdk</v>
      </c>
      <c r="Y637" s="930"/>
      <c r="Z637" s="934" t="s">
        <v>141</v>
      </c>
      <c r="AA637" s="930" t="s">
        <v>3391</v>
      </c>
      <c r="AB637" s="930" t="s">
        <v>3392</v>
      </c>
      <c r="AC637" s="92" t="s">
        <v>3444</v>
      </c>
      <c r="AD637" s="930"/>
      <c r="AE637" s="935">
        <v>5.0</v>
      </c>
      <c r="AF637" s="935">
        <v>27.0</v>
      </c>
      <c r="AG637" s="935">
        <v>0.37</v>
      </c>
      <c r="AH637" s="928" t="s">
        <v>127</v>
      </c>
      <c r="AI637" s="920">
        <v>5.0</v>
      </c>
      <c r="AJ637" s="936">
        <v>0.592</v>
      </c>
      <c r="AK637" s="934" t="s">
        <v>165</v>
      </c>
      <c r="AL637" s="937" t="s">
        <v>179</v>
      </c>
      <c r="AM637" s="930" t="s">
        <v>130</v>
      </c>
      <c r="AN637" s="77" t="s">
        <v>131</v>
      </c>
      <c r="AO637" s="935">
        <v>32.0</v>
      </c>
      <c r="AP637" s="935">
        <v>14.69</v>
      </c>
      <c r="AQ637" s="934" t="s">
        <v>127</v>
      </c>
      <c r="AR637" s="935">
        <v>9.0</v>
      </c>
      <c r="AS637" s="935">
        <v>0.001</v>
      </c>
      <c r="AT637" s="934" t="s">
        <v>128</v>
      </c>
      <c r="AU637" s="934" t="s">
        <v>179</v>
      </c>
      <c r="AV637" s="930" t="s">
        <v>130</v>
      </c>
      <c r="AW637" s="920" t="s">
        <v>131</v>
      </c>
      <c r="AX637" s="930" t="s">
        <v>136</v>
      </c>
      <c r="AY637" s="91"/>
      <c r="AZ637" s="921" t="s">
        <v>685</v>
      </c>
      <c r="BA637" s="89"/>
      <c r="BB637" s="89"/>
      <c r="BC637" s="89"/>
      <c r="BD637" s="89"/>
      <c r="BE637" s="89"/>
      <c r="BF637" s="89"/>
      <c r="BG637" s="89"/>
      <c r="BH637" s="89"/>
      <c r="BI637" s="89"/>
      <c r="BJ637" s="89"/>
      <c r="BK637" s="89"/>
      <c r="BL637" s="89"/>
      <c r="BM637" s="89"/>
      <c r="BN637" s="89"/>
      <c r="BO637" s="89"/>
      <c r="BP637" s="89"/>
      <c r="BQ637" s="89"/>
      <c r="BR637" s="89"/>
      <c r="BS637" s="89"/>
      <c r="BT637" s="89"/>
      <c r="BU637" s="89"/>
      <c r="BV637" s="89"/>
      <c r="BW637" s="89"/>
      <c r="BX637" s="89"/>
      <c r="BY637" s="89"/>
      <c r="BZ637" s="89"/>
      <c r="CA637" s="89"/>
      <c r="CB637" s="89"/>
      <c r="CC637" s="89"/>
      <c r="CD637" s="89"/>
      <c r="CE637" s="89"/>
      <c r="CF637" s="89"/>
      <c r="CG637" s="89"/>
      <c r="CH637" s="89"/>
      <c r="CI637" s="89"/>
      <c r="CJ637" s="89"/>
      <c r="CK637" s="89"/>
      <c r="CL637" s="89"/>
      <c r="CM637" s="89"/>
      <c r="CN637" s="89"/>
      <c r="CO637" s="89"/>
      <c r="CP637" s="89"/>
      <c r="CQ637" s="89"/>
      <c r="CR637" s="89"/>
      <c r="CS637" s="89"/>
      <c r="CT637" s="89"/>
      <c r="CU637" s="89"/>
      <c r="CV637" s="89"/>
      <c r="CW637" s="89"/>
      <c r="CX637" s="89"/>
      <c r="CY637" s="89"/>
      <c r="CZ637" s="89"/>
      <c r="DA637" s="89"/>
      <c r="DB637" s="89"/>
      <c r="DC637" s="89"/>
      <c r="DD637" s="89"/>
      <c r="DE637" s="89"/>
      <c r="DF637" s="89"/>
      <c r="DG637" s="89"/>
      <c r="DH637" s="89"/>
    </row>
    <row r="638" ht="20.25" customHeight="1">
      <c r="A638" s="71">
        <v>638.0</v>
      </c>
      <c r="B638" s="90" t="s">
        <v>145</v>
      </c>
      <c r="C638" s="90" t="s">
        <v>108</v>
      </c>
      <c r="D638" s="90" t="s">
        <v>983</v>
      </c>
      <c r="E638" s="89"/>
      <c r="F638" s="91" t="s">
        <v>3384</v>
      </c>
      <c r="G638" s="919" t="s">
        <v>3445</v>
      </c>
      <c r="H638" s="92" t="s">
        <v>137</v>
      </c>
      <c r="I638" s="850">
        <v>45489.0</v>
      </c>
      <c r="J638" s="626">
        <v>45638.0</v>
      </c>
      <c r="K638" s="91"/>
      <c r="L638" s="91"/>
      <c r="M638" s="92" t="s">
        <v>3386</v>
      </c>
      <c r="N638" s="92" t="s">
        <v>3387</v>
      </c>
      <c r="O638" s="95">
        <v>1.0</v>
      </c>
      <c r="P638" s="934" t="s">
        <v>3388</v>
      </c>
      <c r="Q638" s="890" t="str">
        <f t="array" ref="Q638"> if(iserror(MATCH(V638, 'File Links'!C:C, 0)), "N/A", HYPERLINK(INDEX('File Links'!B:B, MATCH(P638, 'File Links'!C:C, 0))))</f>
        <v>https://drive.google.com/file/d/13vglHZTPgv6z9W5xPGWG5OyE_h91M3UK/view?usp=drivesdk</v>
      </c>
      <c r="R638" s="92" t="s">
        <v>3389</v>
      </c>
      <c r="S638" s="92" t="s">
        <v>3390</v>
      </c>
      <c r="T638" s="91"/>
      <c r="U638" s="95">
        <v>1.0</v>
      </c>
      <c r="V638" s="92" t="str">
        <f t="shared" si="36"/>
        <v>10.12688--openreseurope.17749.1.pdf</v>
      </c>
      <c r="W638" s="92" t="s">
        <v>202</v>
      </c>
      <c r="X638" s="891" t="str">
        <f t="array" ref="X638"> if(iserror(MATCH(V638, 'File Links'!C:C, 0)), "N/A", HYPERLINK(INDEX('File Links'!B:B, MATCH(V638, 'File Links'!C:C, 0))))</f>
        <v>https://drive.google.com/file/d/17sgB6ScmXf8Wli1_dKWf0wpvxkNJRZtC/view?usp=drivesdk</v>
      </c>
      <c r="Y638" s="91"/>
      <c r="Z638" s="92" t="s">
        <v>141</v>
      </c>
      <c r="AA638" s="91" t="s">
        <v>3391</v>
      </c>
      <c r="AB638" s="91" t="s">
        <v>3392</v>
      </c>
      <c r="AC638" s="92" t="s">
        <v>3446</v>
      </c>
      <c r="AD638" s="91"/>
      <c r="AE638" s="95">
        <v>5.0</v>
      </c>
      <c r="AF638" s="95">
        <v>27.0</v>
      </c>
      <c r="AG638" s="95">
        <v>0.15</v>
      </c>
      <c r="AH638" s="96" t="s">
        <v>127</v>
      </c>
      <c r="AI638" s="920">
        <v>5.0</v>
      </c>
      <c r="AJ638" s="632">
        <v>0.886</v>
      </c>
      <c r="AK638" s="92" t="s">
        <v>165</v>
      </c>
      <c r="AL638" s="74" t="s">
        <v>179</v>
      </c>
      <c r="AM638" s="91" t="s">
        <v>130</v>
      </c>
      <c r="AN638" s="77" t="s">
        <v>131</v>
      </c>
      <c r="AO638" s="95">
        <v>32.0</v>
      </c>
      <c r="AP638" s="95">
        <v>57.29</v>
      </c>
      <c r="AQ638" s="92" t="s">
        <v>127</v>
      </c>
      <c r="AR638" s="95">
        <v>9.0</v>
      </c>
      <c r="AS638" s="95">
        <v>0.001</v>
      </c>
      <c r="AT638" s="92" t="s">
        <v>128</v>
      </c>
      <c r="AU638" s="92" t="s">
        <v>179</v>
      </c>
      <c r="AV638" s="91" t="s">
        <v>130</v>
      </c>
      <c r="AW638" s="920" t="s">
        <v>131</v>
      </c>
      <c r="AX638" s="91" t="s">
        <v>136</v>
      </c>
      <c r="AY638" s="91"/>
      <c r="AZ638" s="921" t="s">
        <v>685</v>
      </c>
      <c r="BA638" s="89"/>
      <c r="BB638" s="89"/>
      <c r="BC638" s="89"/>
      <c r="BD638" s="89"/>
      <c r="BE638" s="89"/>
      <c r="BF638" s="89"/>
      <c r="BG638" s="89"/>
      <c r="BH638" s="89"/>
      <c r="BI638" s="89"/>
      <c r="BJ638" s="89"/>
      <c r="BK638" s="89"/>
      <c r="BL638" s="89"/>
      <c r="BM638" s="89"/>
      <c r="BN638" s="89"/>
      <c r="BO638" s="89"/>
      <c r="BP638" s="89"/>
      <c r="BQ638" s="89"/>
      <c r="BR638" s="89"/>
      <c r="BS638" s="89"/>
      <c r="BT638" s="89"/>
      <c r="BU638" s="89"/>
      <c r="BV638" s="89"/>
      <c r="BW638" s="89"/>
      <c r="BX638" s="89"/>
      <c r="BY638" s="89"/>
      <c r="BZ638" s="89"/>
      <c r="CA638" s="89"/>
      <c r="CB638" s="89"/>
      <c r="CC638" s="89"/>
      <c r="CD638" s="89"/>
      <c r="CE638" s="89"/>
      <c r="CF638" s="89"/>
      <c r="CG638" s="89"/>
      <c r="CH638" s="89"/>
      <c r="CI638" s="89"/>
      <c r="CJ638" s="89"/>
      <c r="CK638" s="89"/>
      <c r="CL638" s="89"/>
      <c r="CM638" s="89"/>
      <c r="CN638" s="89"/>
      <c r="CO638" s="89"/>
      <c r="CP638" s="89"/>
      <c r="CQ638" s="89"/>
      <c r="CR638" s="89"/>
      <c r="CS638" s="89"/>
      <c r="CT638" s="89"/>
      <c r="CU638" s="89"/>
      <c r="CV638" s="89"/>
      <c r="CW638" s="89"/>
      <c r="CX638" s="89"/>
      <c r="CY638" s="89"/>
      <c r="CZ638" s="89"/>
      <c r="DA638" s="89"/>
      <c r="DB638" s="89"/>
      <c r="DC638" s="89"/>
      <c r="DD638" s="89"/>
      <c r="DE638" s="89"/>
      <c r="DF638" s="89"/>
      <c r="DG638" s="89"/>
      <c r="DH638" s="89"/>
    </row>
    <row r="639" ht="20.25" customHeight="1">
      <c r="A639" s="805">
        <v>639.0</v>
      </c>
      <c r="B639" s="464" t="s">
        <v>145</v>
      </c>
      <c r="C639" s="464" t="s">
        <v>108</v>
      </c>
      <c r="D639" s="464" t="s">
        <v>983</v>
      </c>
      <c r="E639" s="465"/>
      <c r="F639" s="479" t="s">
        <v>3384</v>
      </c>
      <c r="G639" s="922" t="s">
        <v>3447</v>
      </c>
      <c r="H639" s="466" t="s">
        <v>137</v>
      </c>
      <c r="I639" s="468">
        <v>45489.0</v>
      </c>
      <c r="J639" s="781">
        <v>45638.0</v>
      </c>
      <c r="K639" s="479"/>
      <c r="L639" s="479"/>
      <c r="M639" s="466" t="s">
        <v>3386</v>
      </c>
      <c r="N639" s="466" t="s">
        <v>3387</v>
      </c>
      <c r="O639" s="923">
        <v>1.0</v>
      </c>
      <c r="P639" s="938" t="s">
        <v>3388</v>
      </c>
      <c r="Q639" s="924" t="str">
        <f t="array" ref="Q639"> if(iserror(MATCH(V639, 'File Links'!C:C, 0)), "N/A", HYPERLINK(INDEX('File Links'!B:B, MATCH(P639, 'File Links'!C:C, 0))))</f>
        <v>https://drive.google.com/file/d/13vglHZTPgv6z9W5xPGWG5OyE_h91M3UK/view?usp=drivesdk</v>
      </c>
      <c r="R639" s="466" t="s">
        <v>3389</v>
      </c>
      <c r="S639" s="466" t="s">
        <v>3390</v>
      </c>
      <c r="T639" s="479"/>
      <c r="U639" s="923">
        <v>1.0</v>
      </c>
      <c r="V639" s="466" t="str">
        <f t="shared" si="36"/>
        <v>10.12688--openreseurope.17749.1.pdf</v>
      </c>
      <c r="W639" s="466" t="s">
        <v>202</v>
      </c>
      <c r="X639" s="925" t="str">
        <f t="array" ref="X639"> if(iserror(MATCH(V639, 'File Links'!C:C, 0)), "N/A", HYPERLINK(INDEX('File Links'!B:B, MATCH(V639, 'File Links'!C:C, 0))))</f>
        <v>https://drive.google.com/file/d/17sgB6ScmXf8Wli1_dKWf0wpvxkNJRZtC/view?usp=drivesdk</v>
      </c>
      <c r="Y639" s="479"/>
      <c r="Z639" s="466" t="s">
        <v>141</v>
      </c>
      <c r="AA639" s="479" t="s">
        <v>3391</v>
      </c>
      <c r="AB639" s="479" t="s">
        <v>3392</v>
      </c>
      <c r="AC639" s="466" t="s">
        <v>3448</v>
      </c>
      <c r="AD639" s="479"/>
      <c r="AE639" s="923">
        <v>5.0</v>
      </c>
      <c r="AF639" s="923">
        <v>27.0</v>
      </c>
      <c r="AG639" s="926" t="s">
        <v>131</v>
      </c>
      <c r="AH639" s="472" t="s">
        <v>127</v>
      </c>
      <c r="AI639" s="920">
        <v>5.0</v>
      </c>
      <c r="AJ639" s="476">
        <v>0.455</v>
      </c>
      <c r="AK639" s="466" t="s">
        <v>165</v>
      </c>
      <c r="AL639" s="467" t="s">
        <v>179</v>
      </c>
      <c r="AM639" s="479" t="s">
        <v>130</v>
      </c>
      <c r="AN639" s="471" t="s">
        <v>131</v>
      </c>
      <c r="AO639" s="923">
        <v>32.0</v>
      </c>
      <c r="AP639" s="479"/>
      <c r="AQ639" s="466" t="s">
        <v>127</v>
      </c>
      <c r="AR639" s="923">
        <v>9.0</v>
      </c>
      <c r="AS639" s="923">
        <v>0.001</v>
      </c>
      <c r="AT639" s="466" t="s">
        <v>128</v>
      </c>
      <c r="AU639" s="466" t="s">
        <v>179</v>
      </c>
      <c r="AV639" s="479" t="s">
        <v>130</v>
      </c>
      <c r="AW639" s="920" t="s">
        <v>131</v>
      </c>
      <c r="AX639" s="479" t="s">
        <v>136</v>
      </c>
      <c r="AY639" s="479"/>
      <c r="AZ639" s="921" t="s">
        <v>685</v>
      </c>
      <c r="BA639" s="465"/>
      <c r="BB639" s="465"/>
      <c r="BC639" s="465"/>
      <c r="BD639" s="465"/>
      <c r="BE639" s="465"/>
      <c r="BF639" s="465"/>
      <c r="BG639" s="465"/>
      <c r="BH639" s="465"/>
      <c r="BI639" s="465"/>
      <c r="BJ639" s="465"/>
      <c r="BK639" s="465"/>
      <c r="BL639" s="465"/>
      <c r="BM639" s="465"/>
      <c r="BN639" s="465"/>
      <c r="BO639" s="465"/>
      <c r="BP639" s="465"/>
      <c r="BQ639" s="465"/>
      <c r="BR639" s="465"/>
      <c r="BS639" s="465"/>
      <c r="BT639" s="465"/>
      <c r="BU639" s="465"/>
      <c r="BV639" s="465"/>
      <c r="BW639" s="465"/>
      <c r="BX639" s="465"/>
      <c r="BY639" s="465"/>
      <c r="BZ639" s="465"/>
      <c r="CA639" s="465"/>
      <c r="CB639" s="465"/>
      <c r="CC639" s="465"/>
      <c r="CD639" s="465"/>
      <c r="CE639" s="465"/>
      <c r="CF639" s="465"/>
      <c r="CG639" s="465"/>
      <c r="CH639" s="465"/>
      <c r="CI639" s="465"/>
      <c r="CJ639" s="465"/>
      <c r="CK639" s="465"/>
      <c r="CL639" s="465"/>
      <c r="CM639" s="465"/>
      <c r="CN639" s="465"/>
      <c r="CO639" s="465"/>
      <c r="CP639" s="465"/>
      <c r="CQ639" s="465"/>
      <c r="CR639" s="465"/>
      <c r="CS639" s="465"/>
      <c r="CT639" s="465"/>
      <c r="CU639" s="465"/>
      <c r="CV639" s="465"/>
      <c r="CW639" s="465"/>
      <c r="CX639" s="465"/>
      <c r="CY639" s="465"/>
      <c r="CZ639" s="465"/>
      <c r="DA639" s="465"/>
      <c r="DB639" s="465"/>
      <c r="DC639" s="465"/>
      <c r="DD639" s="465"/>
      <c r="DE639" s="465"/>
      <c r="DF639" s="465"/>
      <c r="DG639" s="465"/>
      <c r="DH639" s="465"/>
    </row>
    <row r="640" ht="20.25" customHeight="1">
      <c r="A640" s="71">
        <v>640.0</v>
      </c>
      <c r="B640" s="90" t="s">
        <v>145</v>
      </c>
      <c r="C640" s="90" t="s">
        <v>108</v>
      </c>
      <c r="D640" s="90" t="s">
        <v>983</v>
      </c>
      <c r="E640" s="89"/>
      <c r="F640" s="91" t="s">
        <v>3384</v>
      </c>
      <c r="G640" s="919" t="s">
        <v>3449</v>
      </c>
      <c r="H640" s="92" t="s">
        <v>137</v>
      </c>
      <c r="I640" s="850">
        <v>45489.0</v>
      </c>
      <c r="J640" s="626">
        <v>45638.0</v>
      </c>
      <c r="K640" s="91"/>
      <c r="L640" s="91"/>
      <c r="M640" s="92" t="s">
        <v>3386</v>
      </c>
      <c r="N640" s="92" t="s">
        <v>3387</v>
      </c>
      <c r="O640" s="95">
        <v>1.0</v>
      </c>
      <c r="P640" s="934" t="s">
        <v>3388</v>
      </c>
      <c r="Q640" s="890" t="str">
        <f t="array" ref="Q640"> if(iserror(MATCH(V640, 'File Links'!C:C, 0)), "N/A", HYPERLINK(INDEX('File Links'!B:B, MATCH(P640, 'File Links'!C:C, 0))))</f>
        <v>https://drive.google.com/file/d/13vglHZTPgv6z9W5xPGWG5OyE_h91M3UK/view?usp=drivesdk</v>
      </c>
      <c r="R640" s="92" t="s">
        <v>3389</v>
      </c>
      <c r="S640" s="92" t="s">
        <v>3390</v>
      </c>
      <c r="T640" s="91"/>
      <c r="U640" s="95">
        <v>1.0</v>
      </c>
      <c r="V640" s="92" t="str">
        <f t="shared" si="36"/>
        <v>10.12688--openreseurope.17749.1.pdf</v>
      </c>
      <c r="W640" s="92" t="s">
        <v>202</v>
      </c>
      <c r="X640" s="891" t="str">
        <f t="array" ref="X640"> if(iserror(MATCH(V640, 'File Links'!C:C, 0)), "N/A", HYPERLINK(INDEX('File Links'!B:B, MATCH(V640, 'File Links'!C:C, 0))))</f>
        <v>https://drive.google.com/file/d/17sgB6ScmXf8Wli1_dKWf0wpvxkNJRZtC/view?usp=drivesdk</v>
      </c>
      <c r="Y640" s="91"/>
      <c r="Z640" s="92" t="s">
        <v>141</v>
      </c>
      <c r="AA640" s="91" t="s">
        <v>3391</v>
      </c>
      <c r="AB640" s="91" t="s">
        <v>3392</v>
      </c>
      <c r="AC640" s="92" t="s">
        <v>3450</v>
      </c>
      <c r="AD640" s="91"/>
      <c r="AE640" s="95">
        <v>5.0</v>
      </c>
      <c r="AF640" s="95">
        <v>27.0</v>
      </c>
      <c r="AG640" s="95">
        <v>2.87</v>
      </c>
      <c r="AH640" s="96" t="s">
        <v>127</v>
      </c>
      <c r="AI640" s="920">
        <v>5.0</v>
      </c>
      <c r="AJ640" s="632">
        <v>0.072</v>
      </c>
      <c r="AK640" s="92" t="s">
        <v>165</v>
      </c>
      <c r="AL640" s="74" t="s">
        <v>179</v>
      </c>
      <c r="AM640" s="91" t="s">
        <v>130</v>
      </c>
      <c r="AN640" s="77" t="s">
        <v>131</v>
      </c>
      <c r="AO640" s="95">
        <v>32.0</v>
      </c>
      <c r="AP640" s="95">
        <v>5.39</v>
      </c>
      <c r="AQ640" s="92" t="s">
        <v>127</v>
      </c>
      <c r="AR640" s="95">
        <v>9.0</v>
      </c>
      <c r="AS640" s="95">
        <v>0.001</v>
      </c>
      <c r="AT640" s="92" t="s">
        <v>128</v>
      </c>
      <c r="AU640" s="92" t="s">
        <v>179</v>
      </c>
      <c r="AV640" s="91" t="s">
        <v>130</v>
      </c>
      <c r="AW640" s="920" t="s">
        <v>131</v>
      </c>
      <c r="AX640" s="91" t="s">
        <v>136</v>
      </c>
      <c r="AY640" s="91"/>
      <c r="AZ640" s="921" t="s">
        <v>685</v>
      </c>
      <c r="BA640" s="89"/>
      <c r="BB640" s="89"/>
      <c r="BC640" s="89"/>
      <c r="BD640" s="89"/>
      <c r="BE640" s="89"/>
      <c r="BF640" s="89"/>
      <c r="BG640" s="89"/>
      <c r="BH640" s="89"/>
      <c r="BI640" s="89"/>
      <c r="BJ640" s="89"/>
      <c r="BK640" s="89"/>
      <c r="BL640" s="89"/>
      <c r="BM640" s="89"/>
      <c r="BN640" s="89"/>
      <c r="BO640" s="89"/>
      <c r="BP640" s="89"/>
      <c r="BQ640" s="89"/>
      <c r="BR640" s="89"/>
      <c r="BS640" s="89"/>
      <c r="BT640" s="89"/>
      <c r="BU640" s="89"/>
      <c r="BV640" s="89"/>
      <c r="BW640" s="89"/>
      <c r="BX640" s="89"/>
      <c r="BY640" s="89"/>
      <c r="BZ640" s="89"/>
      <c r="CA640" s="89"/>
      <c r="CB640" s="89"/>
      <c r="CC640" s="89"/>
      <c r="CD640" s="89"/>
      <c r="CE640" s="89"/>
      <c r="CF640" s="89"/>
      <c r="CG640" s="89"/>
      <c r="CH640" s="89"/>
      <c r="CI640" s="89"/>
      <c r="CJ640" s="89"/>
      <c r="CK640" s="89"/>
      <c r="CL640" s="89"/>
      <c r="CM640" s="89"/>
      <c r="CN640" s="89"/>
      <c r="CO640" s="89"/>
      <c r="CP640" s="89"/>
      <c r="CQ640" s="89"/>
      <c r="CR640" s="89"/>
      <c r="CS640" s="89"/>
      <c r="CT640" s="89"/>
      <c r="CU640" s="89"/>
      <c r="CV640" s="89"/>
      <c r="CW640" s="89"/>
      <c r="CX640" s="89"/>
      <c r="CY640" s="89"/>
      <c r="CZ640" s="89"/>
      <c r="DA640" s="89"/>
      <c r="DB640" s="89"/>
      <c r="DC640" s="89"/>
      <c r="DD640" s="89"/>
      <c r="DE640" s="89"/>
      <c r="DF640" s="89"/>
      <c r="DG640" s="89"/>
      <c r="DH640" s="89"/>
    </row>
    <row r="641" ht="20.25" customHeight="1">
      <c r="A641" s="71">
        <v>641.0</v>
      </c>
      <c r="B641" s="90" t="s">
        <v>145</v>
      </c>
      <c r="C641" s="90" t="s">
        <v>108</v>
      </c>
      <c r="D641" s="90" t="s">
        <v>983</v>
      </c>
      <c r="E641" s="89"/>
      <c r="F641" s="91" t="s">
        <v>3384</v>
      </c>
      <c r="G641" s="919" t="s">
        <v>3451</v>
      </c>
      <c r="H641" s="92" t="s">
        <v>137</v>
      </c>
      <c r="I641" s="850">
        <v>45489.0</v>
      </c>
      <c r="J641" s="626">
        <v>45638.0</v>
      </c>
      <c r="K641" s="91"/>
      <c r="L641" s="91"/>
      <c r="M641" s="92" t="s">
        <v>3386</v>
      </c>
      <c r="N641" s="92" t="s">
        <v>3387</v>
      </c>
      <c r="O641" s="95">
        <v>1.0</v>
      </c>
      <c r="P641" s="934" t="s">
        <v>3388</v>
      </c>
      <c r="Q641" s="890" t="str">
        <f t="array" ref="Q641"> if(iserror(MATCH(V641, 'File Links'!C:C, 0)), "N/A", HYPERLINK(INDEX('File Links'!B:B, MATCH(P641, 'File Links'!C:C, 0))))</f>
        <v>https://drive.google.com/file/d/13vglHZTPgv6z9W5xPGWG5OyE_h91M3UK/view?usp=drivesdk</v>
      </c>
      <c r="R641" s="92" t="s">
        <v>3389</v>
      </c>
      <c r="S641" s="92" t="s">
        <v>3390</v>
      </c>
      <c r="T641" s="91"/>
      <c r="U641" s="95">
        <v>1.0</v>
      </c>
      <c r="V641" s="92" t="str">
        <f t="shared" si="36"/>
        <v>10.12688--openreseurope.17749.1.pdf</v>
      </c>
      <c r="W641" s="92" t="s">
        <v>202</v>
      </c>
      <c r="X641" s="891" t="str">
        <f t="array" ref="X641"> if(iserror(MATCH(V641, 'File Links'!C:C, 0)), "N/A", HYPERLINK(INDEX('File Links'!B:B, MATCH(V641, 'File Links'!C:C, 0))))</f>
        <v>https://drive.google.com/file/d/17sgB6ScmXf8Wli1_dKWf0wpvxkNJRZtC/view?usp=drivesdk</v>
      </c>
      <c r="Y641" s="91"/>
      <c r="Z641" s="92" t="s">
        <v>141</v>
      </c>
      <c r="AA641" s="91" t="s">
        <v>3391</v>
      </c>
      <c r="AB641" s="91" t="s">
        <v>3392</v>
      </c>
      <c r="AC641" s="92" t="s">
        <v>3452</v>
      </c>
      <c r="AD641" s="91"/>
      <c r="AE641" s="95">
        <v>5.0</v>
      </c>
      <c r="AF641" s="95">
        <v>27.0</v>
      </c>
      <c r="AG641" s="95">
        <v>0.811</v>
      </c>
      <c r="AH641" s="96" t="s">
        <v>127</v>
      </c>
      <c r="AI641" s="920">
        <v>5.0</v>
      </c>
      <c r="AJ641" s="632">
        <v>0.421</v>
      </c>
      <c r="AK641" s="92" t="s">
        <v>165</v>
      </c>
      <c r="AL641" s="74" t="s">
        <v>179</v>
      </c>
      <c r="AM641" s="91" t="s">
        <v>130</v>
      </c>
      <c r="AN641" s="77" t="s">
        <v>131</v>
      </c>
      <c r="AO641" s="95">
        <v>32.0</v>
      </c>
      <c r="AP641" s="95">
        <v>1.33</v>
      </c>
      <c r="AQ641" s="92" t="s">
        <v>127</v>
      </c>
      <c r="AR641" s="95">
        <v>9.0</v>
      </c>
      <c r="AS641" s="95">
        <v>0.272</v>
      </c>
      <c r="AT641" s="92" t="s">
        <v>165</v>
      </c>
      <c r="AU641" s="92" t="s">
        <v>179</v>
      </c>
      <c r="AV641" s="91" t="s">
        <v>130</v>
      </c>
      <c r="AW641" s="920" t="s">
        <v>131</v>
      </c>
      <c r="AX641" s="91" t="s">
        <v>136</v>
      </c>
      <c r="AY641" s="91"/>
      <c r="AZ641" s="921" t="s">
        <v>685</v>
      </c>
      <c r="BA641" s="89"/>
      <c r="BB641" s="89"/>
      <c r="BC641" s="89"/>
      <c r="BD641" s="89"/>
      <c r="BE641" s="89"/>
      <c r="BF641" s="89"/>
      <c r="BG641" s="89"/>
      <c r="BH641" s="89"/>
      <c r="BI641" s="89"/>
      <c r="BJ641" s="89"/>
      <c r="BK641" s="89"/>
      <c r="BL641" s="89"/>
      <c r="BM641" s="89"/>
      <c r="BN641" s="89"/>
      <c r="BO641" s="89"/>
      <c r="BP641" s="89"/>
      <c r="BQ641" s="89"/>
      <c r="BR641" s="89"/>
      <c r="BS641" s="89"/>
      <c r="BT641" s="89"/>
      <c r="BU641" s="89"/>
      <c r="BV641" s="89"/>
      <c r="BW641" s="89"/>
      <c r="BX641" s="89"/>
      <c r="BY641" s="89"/>
      <c r="BZ641" s="89"/>
      <c r="CA641" s="89"/>
      <c r="CB641" s="89"/>
      <c r="CC641" s="89"/>
      <c r="CD641" s="89"/>
      <c r="CE641" s="89"/>
      <c r="CF641" s="89"/>
      <c r="CG641" s="89"/>
      <c r="CH641" s="89"/>
      <c r="CI641" s="89"/>
      <c r="CJ641" s="89"/>
      <c r="CK641" s="89"/>
      <c r="CL641" s="89"/>
      <c r="CM641" s="89"/>
      <c r="CN641" s="89"/>
      <c r="CO641" s="89"/>
      <c r="CP641" s="89"/>
      <c r="CQ641" s="89"/>
      <c r="CR641" s="89"/>
      <c r="CS641" s="89"/>
      <c r="CT641" s="89"/>
      <c r="CU641" s="89"/>
      <c r="CV641" s="89"/>
      <c r="CW641" s="89"/>
      <c r="CX641" s="89"/>
      <c r="CY641" s="89"/>
      <c r="CZ641" s="89"/>
      <c r="DA641" s="89"/>
      <c r="DB641" s="89"/>
      <c r="DC641" s="89"/>
      <c r="DD641" s="89"/>
      <c r="DE641" s="89"/>
      <c r="DF641" s="89"/>
      <c r="DG641" s="89"/>
      <c r="DH641" s="89"/>
    </row>
    <row r="642" ht="20.25" customHeight="1">
      <c r="A642" s="71">
        <v>642.0</v>
      </c>
      <c r="B642" s="90" t="s">
        <v>145</v>
      </c>
      <c r="C642" s="90" t="s">
        <v>108</v>
      </c>
      <c r="D642" s="90" t="s">
        <v>983</v>
      </c>
      <c r="E642" s="89"/>
      <c r="F642" s="91" t="s">
        <v>3384</v>
      </c>
      <c r="G642" s="919" t="s">
        <v>3453</v>
      </c>
      <c r="H642" s="92" t="s">
        <v>137</v>
      </c>
      <c r="I642" s="850">
        <v>45489.0</v>
      </c>
      <c r="J642" s="626">
        <v>45638.0</v>
      </c>
      <c r="K642" s="91"/>
      <c r="L642" s="91"/>
      <c r="M642" s="92" t="s">
        <v>3386</v>
      </c>
      <c r="N642" s="92" t="s">
        <v>3387</v>
      </c>
      <c r="O642" s="95">
        <v>1.0</v>
      </c>
      <c r="P642" s="934" t="s">
        <v>3388</v>
      </c>
      <c r="Q642" s="890" t="str">
        <f t="array" ref="Q642"> if(iserror(MATCH(V642, 'File Links'!C:C, 0)), "N/A", HYPERLINK(INDEX('File Links'!B:B, MATCH(P642, 'File Links'!C:C, 0))))</f>
        <v>https://drive.google.com/file/d/13vglHZTPgv6z9W5xPGWG5OyE_h91M3UK/view?usp=drivesdk</v>
      </c>
      <c r="R642" s="92" t="s">
        <v>3389</v>
      </c>
      <c r="S642" s="92" t="s">
        <v>3390</v>
      </c>
      <c r="T642" s="91"/>
      <c r="U642" s="95">
        <v>1.0</v>
      </c>
      <c r="V642" s="92" t="str">
        <f t="shared" si="36"/>
        <v>10.12688--openreseurope.17749.1.pdf</v>
      </c>
      <c r="W642" s="92" t="s">
        <v>202</v>
      </c>
      <c r="X642" s="891" t="str">
        <f t="array" ref="X642"> if(iserror(MATCH(V642, 'File Links'!C:C, 0)), "N/A", HYPERLINK(INDEX('File Links'!B:B, MATCH(V642, 'File Links'!C:C, 0))))</f>
        <v>https://drive.google.com/file/d/17sgB6ScmXf8Wli1_dKWf0wpvxkNJRZtC/view?usp=drivesdk</v>
      </c>
      <c r="Y642" s="91"/>
      <c r="Z642" s="92" t="s">
        <v>141</v>
      </c>
      <c r="AA642" s="91" t="s">
        <v>3391</v>
      </c>
      <c r="AB642" s="91" t="s">
        <v>3392</v>
      </c>
      <c r="AC642" s="92" t="s">
        <v>3454</v>
      </c>
      <c r="AD642" s="91"/>
      <c r="AE642" s="95">
        <v>5.0</v>
      </c>
      <c r="AF642" s="95">
        <v>27.0</v>
      </c>
      <c r="AG642" s="95">
        <v>0.47</v>
      </c>
      <c r="AH642" s="96" t="s">
        <v>127</v>
      </c>
      <c r="AI642" s="920">
        <v>5.0</v>
      </c>
      <c r="AJ642" s="632">
        <v>0.644</v>
      </c>
      <c r="AK642" s="92" t="s">
        <v>165</v>
      </c>
      <c r="AL642" s="74" t="s">
        <v>179</v>
      </c>
      <c r="AM642" s="91" t="s">
        <v>130</v>
      </c>
      <c r="AN642" s="77" t="s">
        <v>131</v>
      </c>
      <c r="AO642" s="95">
        <v>32.0</v>
      </c>
      <c r="AP642" s="95">
        <v>0.01</v>
      </c>
      <c r="AQ642" s="92" t="s">
        <v>127</v>
      </c>
      <c r="AR642" s="95">
        <v>9.0</v>
      </c>
      <c r="AS642" s="95">
        <v>0.999</v>
      </c>
      <c r="AT642" s="92" t="s">
        <v>328</v>
      </c>
      <c r="AU642" s="92" t="s">
        <v>179</v>
      </c>
      <c r="AV642" s="91" t="s">
        <v>130</v>
      </c>
      <c r="AW642" s="920" t="s">
        <v>131</v>
      </c>
      <c r="AX642" s="91" t="s">
        <v>136</v>
      </c>
      <c r="AY642" s="91"/>
      <c r="AZ642" s="921" t="s">
        <v>685</v>
      </c>
      <c r="BA642" s="89"/>
      <c r="BB642" s="89"/>
      <c r="BC642" s="89"/>
      <c r="BD642" s="89"/>
      <c r="BE642" s="89"/>
      <c r="BF642" s="89"/>
      <c r="BG642" s="89"/>
      <c r="BH642" s="89"/>
      <c r="BI642" s="89"/>
      <c r="BJ642" s="89"/>
      <c r="BK642" s="89"/>
      <c r="BL642" s="89"/>
      <c r="BM642" s="89"/>
      <c r="BN642" s="89"/>
      <c r="BO642" s="89"/>
      <c r="BP642" s="89"/>
      <c r="BQ642" s="89"/>
      <c r="BR642" s="89"/>
      <c r="BS642" s="89"/>
      <c r="BT642" s="89"/>
      <c r="BU642" s="89"/>
      <c r="BV642" s="89"/>
      <c r="BW642" s="89"/>
      <c r="BX642" s="89"/>
      <c r="BY642" s="89"/>
      <c r="BZ642" s="89"/>
      <c r="CA642" s="89"/>
      <c r="CB642" s="89"/>
      <c r="CC642" s="89"/>
      <c r="CD642" s="89"/>
      <c r="CE642" s="89"/>
      <c r="CF642" s="89"/>
      <c r="CG642" s="89"/>
      <c r="CH642" s="89"/>
      <c r="CI642" s="89"/>
      <c r="CJ642" s="89"/>
      <c r="CK642" s="89"/>
      <c r="CL642" s="89"/>
      <c r="CM642" s="89"/>
      <c r="CN642" s="89"/>
      <c r="CO642" s="89"/>
      <c r="CP642" s="89"/>
      <c r="CQ642" s="89"/>
      <c r="CR642" s="89"/>
      <c r="CS642" s="89"/>
      <c r="CT642" s="89"/>
      <c r="CU642" s="89"/>
      <c r="CV642" s="89"/>
      <c r="CW642" s="89"/>
      <c r="CX642" s="89"/>
      <c r="CY642" s="89"/>
      <c r="CZ642" s="89"/>
      <c r="DA642" s="89"/>
      <c r="DB642" s="89"/>
      <c r="DC642" s="89"/>
      <c r="DD642" s="89"/>
      <c r="DE642" s="89"/>
      <c r="DF642" s="89"/>
      <c r="DG642" s="89"/>
      <c r="DH642" s="89"/>
    </row>
    <row r="643" ht="20.25" customHeight="1">
      <c r="A643" s="805">
        <v>643.0</v>
      </c>
      <c r="B643" s="464" t="s">
        <v>145</v>
      </c>
      <c r="C643" s="464" t="s">
        <v>108</v>
      </c>
      <c r="D643" s="464" t="s">
        <v>983</v>
      </c>
      <c r="E643" s="465"/>
      <c r="F643" s="479" t="s">
        <v>3384</v>
      </c>
      <c r="G643" s="922" t="s">
        <v>3455</v>
      </c>
      <c r="H643" s="466" t="s">
        <v>137</v>
      </c>
      <c r="I643" s="468">
        <v>45489.0</v>
      </c>
      <c r="J643" s="781">
        <v>45638.0</v>
      </c>
      <c r="K643" s="479"/>
      <c r="L643" s="479"/>
      <c r="M643" s="466" t="s">
        <v>3386</v>
      </c>
      <c r="N643" s="466" t="s">
        <v>3387</v>
      </c>
      <c r="O643" s="923">
        <v>1.0</v>
      </c>
      <c r="P643" s="938" t="s">
        <v>3388</v>
      </c>
      <c r="Q643" s="924" t="str">
        <f t="array" ref="Q643"> if(iserror(MATCH(V643, 'File Links'!C:C, 0)), "N/A", HYPERLINK(INDEX('File Links'!B:B, MATCH(P643, 'File Links'!C:C, 0))))</f>
        <v>https://drive.google.com/file/d/13vglHZTPgv6z9W5xPGWG5OyE_h91M3UK/view?usp=drivesdk</v>
      </c>
      <c r="R643" s="466" t="s">
        <v>3389</v>
      </c>
      <c r="S643" s="466" t="s">
        <v>3390</v>
      </c>
      <c r="T643" s="479"/>
      <c r="U643" s="923">
        <v>1.0</v>
      </c>
      <c r="V643" s="466" t="str">
        <f t="shared" si="36"/>
        <v>10.12688--openreseurope.17749.1.pdf</v>
      </c>
      <c r="W643" s="466" t="s">
        <v>202</v>
      </c>
      <c r="X643" s="925" t="str">
        <f t="array" ref="X643"> if(iserror(MATCH(V643, 'File Links'!C:C, 0)), "N/A", HYPERLINK(INDEX('File Links'!B:B, MATCH(V643, 'File Links'!C:C, 0))))</f>
        <v>https://drive.google.com/file/d/17sgB6ScmXf8Wli1_dKWf0wpvxkNJRZtC/view?usp=drivesdk</v>
      </c>
      <c r="Y643" s="479"/>
      <c r="Z643" s="466" t="s">
        <v>141</v>
      </c>
      <c r="AA643" s="479" t="s">
        <v>3391</v>
      </c>
      <c r="AB643" s="479" t="s">
        <v>3392</v>
      </c>
      <c r="AC643" s="466" t="s">
        <v>3456</v>
      </c>
      <c r="AD643" s="479"/>
      <c r="AE643" s="923">
        <v>5.0</v>
      </c>
      <c r="AF643" s="923">
        <v>27.0</v>
      </c>
      <c r="AG643" s="926" t="s">
        <v>131</v>
      </c>
      <c r="AH643" s="472" t="s">
        <v>127</v>
      </c>
      <c r="AI643" s="920">
        <v>5.0</v>
      </c>
      <c r="AJ643" s="476">
        <v>0.227</v>
      </c>
      <c r="AK643" s="466" t="s">
        <v>165</v>
      </c>
      <c r="AL643" s="467" t="s">
        <v>179</v>
      </c>
      <c r="AM643" s="479" t="s">
        <v>130</v>
      </c>
      <c r="AN643" s="471" t="s">
        <v>131</v>
      </c>
      <c r="AO643" s="923">
        <v>32.0</v>
      </c>
      <c r="AP643" s="479"/>
      <c r="AQ643" s="466" t="s">
        <v>127</v>
      </c>
      <c r="AR643" s="923">
        <v>9.0</v>
      </c>
      <c r="AS643" s="923">
        <v>0.993</v>
      </c>
      <c r="AT643" s="466" t="s">
        <v>165</v>
      </c>
      <c r="AU643" s="466" t="s">
        <v>179</v>
      </c>
      <c r="AV643" s="479" t="s">
        <v>130</v>
      </c>
      <c r="AW643" s="920" t="s">
        <v>131</v>
      </c>
      <c r="AX643" s="479" t="s">
        <v>136</v>
      </c>
      <c r="AY643" s="479"/>
      <c r="AZ643" s="921" t="s">
        <v>685</v>
      </c>
      <c r="BA643" s="465"/>
      <c r="BB643" s="465"/>
      <c r="BC643" s="465"/>
      <c r="BD643" s="465"/>
      <c r="BE643" s="465"/>
      <c r="BF643" s="465"/>
      <c r="BG643" s="465"/>
      <c r="BH643" s="465"/>
      <c r="BI643" s="465"/>
      <c r="BJ643" s="465"/>
      <c r="BK643" s="465"/>
      <c r="BL643" s="465"/>
      <c r="BM643" s="465"/>
      <c r="BN643" s="465"/>
      <c r="BO643" s="465"/>
      <c r="BP643" s="465"/>
      <c r="BQ643" s="465"/>
      <c r="BR643" s="465"/>
      <c r="BS643" s="465"/>
      <c r="BT643" s="465"/>
      <c r="BU643" s="465"/>
      <c r="BV643" s="465"/>
      <c r="BW643" s="465"/>
      <c r="BX643" s="465"/>
      <c r="BY643" s="465"/>
      <c r="BZ643" s="465"/>
      <c r="CA643" s="465"/>
      <c r="CB643" s="465"/>
      <c r="CC643" s="465"/>
      <c r="CD643" s="465"/>
      <c r="CE643" s="465"/>
      <c r="CF643" s="465"/>
      <c r="CG643" s="465"/>
      <c r="CH643" s="465"/>
      <c r="CI643" s="465"/>
      <c r="CJ643" s="465"/>
      <c r="CK643" s="465"/>
      <c r="CL643" s="465"/>
      <c r="CM643" s="465"/>
      <c r="CN643" s="465"/>
      <c r="CO643" s="465"/>
      <c r="CP643" s="465"/>
      <c r="CQ643" s="465"/>
      <c r="CR643" s="465"/>
      <c r="CS643" s="465"/>
      <c r="CT643" s="465"/>
      <c r="CU643" s="465"/>
      <c r="CV643" s="465"/>
      <c r="CW643" s="465"/>
      <c r="CX643" s="465"/>
      <c r="CY643" s="465"/>
      <c r="CZ643" s="465"/>
      <c r="DA643" s="465"/>
      <c r="DB643" s="465"/>
      <c r="DC643" s="465"/>
      <c r="DD643" s="465"/>
      <c r="DE643" s="465"/>
      <c r="DF643" s="465"/>
      <c r="DG643" s="465"/>
      <c r="DH643" s="465"/>
    </row>
    <row r="644" ht="20.25" customHeight="1">
      <c r="A644" s="71">
        <v>644.0</v>
      </c>
      <c r="B644" s="90" t="s">
        <v>145</v>
      </c>
      <c r="C644" s="90" t="s">
        <v>108</v>
      </c>
      <c r="D644" s="90" t="s">
        <v>983</v>
      </c>
      <c r="E644" s="89"/>
      <c r="F644" s="91" t="s">
        <v>3384</v>
      </c>
      <c r="G644" s="919" t="s">
        <v>3457</v>
      </c>
      <c r="H644" s="92" t="s">
        <v>137</v>
      </c>
      <c r="I644" s="850">
        <v>45489.0</v>
      </c>
      <c r="J644" s="626">
        <v>45638.0</v>
      </c>
      <c r="K644" s="91"/>
      <c r="L644" s="91"/>
      <c r="M644" s="92" t="s">
        <v>3386</v>
      </c>
      <c r="N644" s="92" t="s">
        <v>3387</v>
      </c>
      <c r="O644" s="95">
        <v>1.0</v>
      </c>
      <c r="P644" s="934" t="s">
        <v>3388</v>
      </c>
      <c r="Q644" s="890" t="str">
        <f t="array" ref="Q644"> if(iserror(MATCH(V644, 'File Links'!C:C, 0)), "N/A", HYPERLINK(INDEX('File Links'!B:B, MATCH(P644, 'File Links'!C:C, 0))))</f>
        <v>https://drive.google.com/file/d/13vglHZTPgv6z9W5xPGWG5OyE_h91M3UK/view?usp=drivesdk</v>
      </c>
      <c r="R644" s="92" t="s">
        <v>3389</v>
      </c>
      <c r="S644" s="92" t="s">
        <v>3390</v>
      </c>
      <c r="T644" s="91"/>
      <c r="U644" s="95">
        <v>1.0</v>
      </c>
      <c r="V644" s="92" t="str">
        <f t="shared" si="36"/>
        <v>10.12688--openreseurope.17749.1.pdf</v>
      </c>
      <c r="W644" s="92" t="s">
        <v>202</v>
      </c>
      <c r="X644" s="891" t="str">
        <f t="array" ref="X644"> if(iserror(MATCH(V644, 'File Links'!C:C, 0)), "N/A", HYPERLINK(INDEX('File Links'!B:B, MATCH(V644, 'File Links'!C:C, 0))))</f>
        <v>https://drive.google.com/file/d/17sgB6ScmXf8Wli1_dKWf0wpvxkNJRZtC/view?usp=drivesdk</v>
      </c>
      <c r="Y644" s="91"/>
      <c r="Z644" s="92" t="s">
        <v>141</v>
      </c>
      <c r="AA644" s="91" t="s">
        <v>3391</v>
      </c>
      <c r="AB644" s="91" t="s">
        <v>3392</v>
      </c>
      <c r="AC644" s="92" t="s">
        <v>3458</v>
      </c>
      <c r="AD644" s="91"/>
      <c r="AE644" s="95">
        <v>5.0</v>
      </c>
      <c r="AF644" s="95">
        <v>27.0</v>
      </c>
      <c r="AG644" s="95">
        <v>10.76</v>
      </c>
      <c r="AH644" s="96" t="s">
        <v>127</v>
      </c>
      <c r="AI644" s="920">
        <v>5.0</v>
      </c>
      <c r="AJ644" s="632">
        <v>0.003</v>
      </c>
      <c r="AK644" s="92" t="s">
        <v>165</v>
      </c>
      <c r="AL644" s="74" t="s">
        <v>179</v>
      </c>
      <c r="AM644" s="91" t="s">
        <v>130</v>
      </c>
      <c r="AN644" s="77" t="s">
        <v>131</v>
      </c>
      <c r="AO644" s="95">
        <v>32.0</v>
      </c>
      <c r="AP644" s="95">
        <v>27.62</v>
      </c>
      <c r="AQ644" s="92" t="s">
        <v>127</v>
      </c>
      <c r="AR644" s="95">
        <v>9.0</v>
      </c>
      <c r="AS644" s="95">
        <v>0.001</v>
      </c>
      <c r="AT644" s="92" t="s">
        <v>128</v>
      </c>
      <c r="AU644" s="92" t="s">
        <v>179</v>
      </c>
      <c r="AV644" s="91" t="s">
        <v>130</v>
      </c>
      <c r="AW644" s="920" t="s">
        <v>131</v>
      </c>
      <c r="AX644" s="91" t="s">
        <v>136</v>
      </c>
      <c r="AY644" s="91"/>
      <c r="AZ644" s="921" t="s">
        <v>685</v>
      </c>
      <c r="BA644" s="89"/>
      <c r="BB644" s="89"/>
      <c r="BC644" s="89"/>
      <c r="BD644" s="89"/>
      <c r="BE644" s="89"/>
      <c r="BF644" s="89"/>
      <c r="BG644" s="89"/>
      <c r="BH644" s="89"/>
      <c r="BI644" s="89"/>
      <c r="BJ644" s="89"/>
      <c r="BK644" s="89"/>
      <c r="BL644" s="89"/>
      <c r="BM644" s="89"/>
      <c r="BN644" s="89"/>
      <c r="BO644" s="89"/>
      <c r="BP644" s="89"/>
      <c r="BQ644" s="89"/>
      <c r="BR644" s="89"/>
      <c r="BS644" s="89"/>
      <c r="BT644" s="89"/>
      <c r="BU644" s="89"/>
      <c r="BV644" s="89"/>
      <c r="BW644" s="89"/>
      <c r="BX644" s="89"/>
      <c r="BY644" s="89"/>
      <c r="BZ644" s="89"/>
      <c r="CA644" s="89"/>
      <c r="CB644" s="89"/>
      <c r="CC644" s="89"/>
      <c r="CD644" s="89"/>
      <c r="CE644" s="89"/>
      <c r="CF644" s="89"/>
      <c r="CG644" s="89"/>
      <c r="CH644" s="89"/>
      <c r="CI644" s="89"/>
      <c r="CJ644" s="89"/>
      <c r="CK644" s="89"/>
      <c r="CL644" s="89"/>
      <c r="CM644" s="89"/>
      <c r="CN644" s="89"/>
      <c r="CO644" s="89"/>
      <c r="CP644" s="89"/>
      <c r="CQ644" s="89"/>
      <c r="CR644" s="89"/>
      <c r="CS644" s="89"/>
      <c r="CT644" s="89"/>
      <c r="CU644" s="89"/>
      <c r="CV644" s="89"/>
      <c r="CW644" s="89"/>
      <c r="CX644" s="89"/>
      <c r="CY644" s="89"/>
      <c r="CZ644" s="89"/>
      <c r="DA644" s="89"/>
      <c r="DB644" s="89"/>
      <c r="DC644" s="89"/>
      <c r="DD644" s="89"/>
      <c r="DE644" s="89"/>
      <c r="DF644" s="89"/>
      <c r="DG644" s="89"/>
      <c r="DH644" s="89"/>
    </row>
    <row r="645" ht="20.25" customHeight="1">
      <c r="A645" s="805">
        <v>645.0</v>
      </c>
      <c r="B645" s="464" t="s">
        <v>107</v>
      </c>
      <c r="C645" s="464" t="s">
        <v>108</v>
      </c>
      <c r="D645" s="464" t="s">
        <v>214</v>
      </c>
      <c r="E645" s="465"/>
      <c r="F645" s="466" t="s">
        <v>3384</v>
      </c>
      <c r="G645" s="467" t="s">
        <v>3459</v>
      </c>
      <c r="H645" s="466" t="s">
        <v>214</v>
      </c>
      <c r="I645" s="468">
        <v>45684.0</v>
      </c>
      <c r="J645" s="468">
        <v>45684.0</v>
      </c>
      <c r="K645" s="466" t="s">
        <v>3460</v>
      </c>
      <c r="L645" s="479"/>
      <c r="M645" s="466" t="s">
        <v>3386</v>
      </c>
      <c r="N645" s="466" t="s">
        <v>3387</v>
      </c>
      <c r="O645" s="479"/>
      <c r="P645" s="938" t="s">
        <v>3388</v>
      </c>
      <c r="Q645" s="924" t="str">
        <f t="array" ref="Q645"> if(iserror(MATCH(V645, 'File Links'!C:C, 0)), "N/A", HYPERLINK(INDEX('File Links'!B:B, MATCH(P645, 'File Links'!C:C, 0))))</f>
        <v>https://drive.google.com/file/d/13vglHZTPgv6z9W5xPGWG5OyE_h91M3UK/view?usp=drivesdk</v>
      </c>
      <c r="R645" s="466" t="s">
        <v>3389</v>
      </c>
      <c r="S645" s="466" t="s">
        <v>3390</v>
      </c>
      <c r="T645" s="479"/>
      <c r="U645" s="926">
        <v>1.0</v>
      </c>
      <c r="V645" s="466" t="str">
        <f t="shared" si="36"/>
        <v>10.12688--openreseurope.17749.1.pdf</v>
      </c>
      <c r="W645" s="466" t="s">
        <v>3461</v>
      </c>
      <c r="X645" s="925" t="str">
        <f t="array" ref="X645"> if(iserror(MATCH(V645, 'File Links'!C:C, 0)), "N/A", HYPERLINK(INDEX('File Links'!B:B, MATCH(V645, 'File Links'!C:C, 0))))</f>
        <v>https://drive.google.com/file/d/17sgB6ScmXf8Wli1_dKWf0wpvxkNJRZtC/view?usp=drivesdk</v>
      </c>
      <c r="Y645" s="479"/>
      <c r="Z645" s="466" t="s">
        <v>831</v>
      </c>
      <c r="AA645" s="466" t="s">
        <v>3462</v>
      </c>
      <c r="AB645" s="466" t="s">
        <v>3392</v>
      </c>
      <c r="AC645" s="466" t="s">
        <v>3463</v>
      </c>
      <c r="AD645" s="479" t="s">
        <v>3464</v>
      </c>
      <c r="AE645" s="923">
        <v>165.0</v>
      </c>
      <c r="AF645" s="923">
        <v>68.0</v>
      </c>
      <c r="AG645" s="479"/>
      <c r="AH645" s="479"/>
      <c r="AI645" s="479"/>
      <c r="AJ645" s="927">
        <v>0.05</v>
      </c>
      <c r="AK645" s="467" t="s">
        <v>128</v>
      </c>
      <c r="AL645" s="467" t="s">
        <v>129</v>
      </c>
      <c r="AM645" s="466" t="s">
        <v>134</v>
      </c>
      <c r="AN645" s="471" t="s">
        <v>131</v>
      </c>
      <c r="AO645" s="923">
        <v>32.0</v>
      </c>
      <c r="AP645" s="923">
        <v>0.5</v>
      </c>
      <c r="AQ645" s="466" t="s">
        <v>166</v>
      </c>
      <c r="AR645" s="466" t="s">
        <v>3465</v>
      </c>
      <c r="AS645" s="923">
        <v>0.001</v>
      </c>
      <c r="AT645" s="466" t="s">
        <v>128</v>
      </c>
      <c r="AU645" s="466" t="s">
        <v>129</v>
      </c>
      <c r="AV645" s="466" t="s">
        <v>134</v>
      </c>
      <c r="AW645" s="466" t="s">
        <v>131</v>
      </c>
      <c r="AX645" s="466" t="s">
        <v>136</v>
      </c>
      <c r="AY645" s="465"/>
      <c r="AZ645" s="921" t="s">
        <v>685</v>
      </c>
      <c r="BA645" s="465"/>
      <c r="BB645" s="465"/>
      <c r="BC645" s="465"/>
      <c r="BD645" s="465"/>
      <c r="BE645" s="465"/>
      <c r="BF645" s="465"/>
      <c r="BG645" s="465"/>
      <c r="BH645" s="465"/>
      <c r="BI645" s="465"/>
      <c r="BJ645" s="465"/>
      <c r="BK645" s="465"/>
      <c r="BL645" s="465"/>
      <c r="BM645" s="465"/>
      <c r="BN645" s="465"/>
      <c r="BO645" s="465"/>
      <c r="BP645" s="465"/>
      <c r="BQ645" s="465"/>
      <c r="BR645" s="465"/>
      <c r="BS645" s="465"/>
      <c r="BT645" s="465"/>
      <c r="BU645" s="465"/>
      <c r="BV645" s="465"/>
      <c r="BW645" s="465"/>
      <c r="BX645" s="465"/>
      <c r="BY645" s="465"/>
      <c r="BZ645" s="465"/>
      <c r="CA645" s="465"/>
      <c r="CB645" s="465"/>
      <c r="CC645" s="465"/>
      <c r="CD645" s="465"/>
      <c r="CE645" s="465"/>
      <c r="CF645" s="465"/>
      <c r="CG645" s="465"/>
      <c r="CH645" s="465"/>
      <c r="CI645" s="465"/>
      <c r="CJ645" s="465"/>
      <c r="CK645" s="465"/>
      <c r="CL645" s="465"/>
      <c r="CM645" s="465"/>
      <c r="CN645" s="465"/>
      <c r="CO645" s="465"/>
      <c r="CP645" s="465"/>
      <c r="CQ645" s="465"/>
      <c r="CR645" s="465"/>
      <c r="CS645" s="465"/>
      <c r="CT645" s="465"/>
      <c r="CU645" s="465"/>
      <c r="CV645" s="465"/>
      <c r="CW645" s="465"/>
      <c r="CX645" s="465"/>
      <c r="CY645" s="465"/>
      <c r="CZ645" s="465"/>
      <c r="DA645" s="465"/>
      <c r="DB645" s="465"/>
      <c r="DC645" s="465"/>
      <c r="DD645" s="465"/>
      <c r="DE645" s="465"/>
      <c r="DF645" s="465"/>
      <c r="DG645" s="465"/>
      <c r="DH645" s="465"/>
    </row>
    <row r="646" ht="20.25" customHeight="1">
      <c r="A646" s="41">
        <v>646.0</v>
      </c>
      <c r="B646" s="42" t="s">
        <v>278</v>
      </c>
      <c r="C646" s="42" t="s">
        <v>108</v>
      </c>
      <c r="D646" s="42" t="s">
        <v>2923</v>
      </c>
      <c r="E646" s="62"/>
      <c r="F646" s="59" t="s">
        <v>3466</v>
      </c>
      <c r="G646" s="42" t="s">
        <v>3467</v>
      </c>
      <c r="H646" s="42" t="s">
        <v>2926</v>
      </c>
      <c r="I646" s="60">
        <v>45489.0</v>
      </c>
      <c r="J646" s="61">
        <v>45636.0</v>
      </c>
      <c r="K646" s="42" t="s">
        <v>3468</v>
      </c>
      <c r="L646" s="62"/>
      <c r="M646" s="42" t="s">
        <v>3469</v>
      </c>
      <c r="N646" s="42" t="s">
        <v>3470</v>
      </c>
      <c r="O646" s="42">
        <v>1.0</v>
      </c>
      <c r="P646" s="939" t="s">
        <v>3471</v>
      </c>
      <c r="Q646" s="49" t="str">
        <f t="array" ref="Q646"> if(iserror(MATCH(V646, 'File Links'!C:C, 0)), "N/A", HYPERLINK(INDEX('File Links'!B:B, MATCH(P646, 'File Links'!C:C, 0))))</f>
        <v>https://drive.google.com/file/d/11B6RDsDdpDnOGVv1Bafc4t3LGTugpLfW/view?usp=drivesdk</v>
      </c>
      <c r="R646" s="42" t="s">
        <v>3472</v>
      </c>
      <c r="S646" s="42" t="s">
        <v>3473</v>
      </c>
      <c r="T646" s="62"/>
      <c r="U646" s="42">
        <v>1.0</v>
      </c>
      <c r="V646" s="195" t="str">
        <f t="shared" si="36"/>
        <v>vonpruski_2024.pdf</v>
      </c>
      <c r="W646" s="42" t="s">
        <v>202</v>
      </c>
      <c r="X646" s="51" t="str">
        <f t="array" ref="X646"> if(iserror(MATCH(V646, 'File Links'!C:C, 0)), "N/A", HYPERLINK(INDEX('File Links'!B:B, MATCH(V646, 'File Links'!C:C, 0))))</f>
        <v>https://drive.google.com/file/d/1QDSkRCnuunpKbwNck3pYI8NlktZFtjZd/view?usp=drivesdk</v>
      </c>
      <c r="Y646" s="62"/>
      <c r="Z646" s="42" t="s">
        <v>219</v>
      </c>
      <c r="AA646" s="62"/>
      <c r="AB646" s="42" t="s">
        <v>3474</v>
      </c>
      <c r="AC646" s="42" t="s">
        <v>3475</v>
      </c>
      <c r="AD646" s="42" t="s">
        <v>3476</v>
      </c>
      <c r="AE646" s="42">
        <v>15.0</v>
      </c>
      <c r="AF646" s="42">
        <v>304.0</v>
      </c>
      <c r="AG646" s="42">
        <v>0.241</v>
      </c>
      <c r="AH646" s="42" t="s">
        <v>354</v>
      </c>
      <c r="AI646" s="42" t="s">
        <v>620</v>
      </c>
      <c r="AJ646" s="42">
        <v>0.05</v>
      </c>
      <c r="AK646" s="59" t="s">
        <v>128</v>
      </c>
      <c r="AL646" s="42" t="s">
        <v>179</v>
      </c>
      <c r="AM646" s="42" t="s">
        <v>130</v>
      </c>
      <c r="AN646" s="216" t="s">
        <v>131</v>
      </c>
      <c r="AO646" s="42">
        <v>149.0</v>
      </c>
      <c r="AP646" s="42">
        <v>-0.41</v>
      </c>
      <c r="AQ646" s="42" t="s">
        <v>354</v>
      </c>
      <c r="AR646" s="42" t="s">
        <v>3477</v>
      </c>
      <c r="AS646" s="42">
        <v>0.05</v>
      </c>
      <c r="AT646" s="59" t="s">
        <v>128</v>
      </c>
      <c r="AU646" s="59" t="s">
        <v>179</v>
      </c>
      <c r="AV646" s="126" t="s">
        <v>130</v>
      </c>
      <c r="AX646" s="59" t="s">
        <v>144</v>
      </c>
      <c r="AY646" s="62"/>
    </row>
    <row r="647" ht="20.25" customHeight="1">
      <c r="A647" s="41">
        <v>647.0</v>
      </c>
      <c r="B647" s="42" t="s">
        <v>278</v>
      </c>
      <c r="C647" s="42" t="s">
        <v>108</v>
      </c>
      <c r="D647" s="42" t="s">
        <v>2923</v>
      </c>
      <c r="E647" s="62"/>
      <c r="F647" s="156" t="s">
        <v>3478</v>
      </c>
      <c r="G647" s="54" t="s">
        <v>3479</v>
      </c>
      <c r="H647" s="54" t="s">
        <v>2926</v>
      </c>
      <c r="I647" s="149">
        <v>45489.0</v>
      </c>
      <c r="J647" s="149">
        <v>45634.0</v>
      </c>
      <c r="K647" s="54" t="s">
        <v>3480</v>
      </c>
      <c r="L647" s="58"/>
      <c r="M647" s="54" t="s">
        <v>3481</v>
      </c>
      <c r="N647" s="54" t="s">
        <v>3482</v>
      </c>
      <c r="O647" s="376">
        <v>1.0</v>
      </c>
      <c r="P647" s="940" t="s">
        <v>3483</v>
      </c>
      <c r="Q647" s="49" t="str">
        <f t="array" ref="Q647"> if(iserror(MATCH(V647, 'File Links'!C:C, 0)), "N/A", HYPERLINK(INDEX('File Links'!B:B, MATCH(P647, 'File Links'!C:C, 0))))</f>
        <v>https://drive.google.com/file/d/1MFrh4TN71i6T_XH6VvEuarZ-bkTQmkjp/view?usp=drivesdk</v>
      </c>
      <c r="R647" s="54" t="s">
        <v>3484</v>
      </c>
      <c r="S647" s="54" t="s">
        <v>3485</v>
      </c>
      <c r="T647" s="438" t="s">
        <v>3486</v>
      </c>
      <c r="U647" s="706">
        <v>1.0</v>
      </c>
      <c r="V647" s="195" t="str">
        <f t="shared" si="36"/>
        <v>10.1002--jae.3082.pdf</v>
      </c>
      <c r="W647" s="54" t="s">
        <v>202</v>
      </c>
      <c r="X647" s="51" t="str">
        <f t="array" ref="X647"> if(iserror(MATCH(V647, 'File Links'!C:C, 0)), "N/A", HYPERLINK(INDEX('File Links'!B:B, MATCH(V647, 'File Links'!C:C, 0))))</f>
        <v>https://drive.google.com/file/d/1LvmKgU-0Swex9jXhSh89rVHkVzeNMucB/view?usp=drivesdk</v>
      </c>
      <c r="Y647" s="58"/>
      <c r="Z647" s="54" t="s">
        <v>1802</v>
      </c>
      <c r="AA647" s="58"/>
      <c r="AB647" s="54" t="s">
        <v>3487</v>
      </c>
      <c r="AC647" s="54" t="s">
        <v>3488</v>
      </c>
      <c r="AD647" s="54" t="s">
        <v>3489</v>
      </c>
      <c r="AE647" s="376">
        <v>24.0</v>
      </c>
      <c r="AF647" s="58"/>
      <c r="AG647" s="58"/>
      <c r="AH647" s="335"/>
      <c r="AI647" s="58"/>
      <c r="AJ647" s="58"/>
      <c r="AK647" s="65"/>
      <c r="AL647" s="58"/>
      <c r="AM647" s="58"/>
      <c r="AN647" s="216" t="s">
        <v>131</v>
      </c>
      <c r="AO647" s="58"/>
      <c r="AP647" s="58"/>
      <c r="AQ647" s="58"/>
      <c r="AR647" s="58"/>
      <c r="AS647" s="58"/>
      <c r="AT647" s="65"/>
      <c r="AU647" s="65"/>
      <c r="AV647" s="65"/>
      <c r="AW647" s="65"/>
      <c r="AX647" s="65"/>
      <c r="AY647" s="58"/>
    </row>
    <row r="648" ht="20.25" customHeight="1">
      <c r="A648" s="448">
        <v>648.0</v>
      </c>
      <c r="B648" s="196" t="s">
        <v>145</v>
      </c>
      <c r="C648" s="196" t="s">
        <v>108</v>
      </c>
      <c r="D648" s="196" t="s">
        <v>983</v>
      </c>
      <c r="E648" s="197"/>
      <c r="F648" s="201" t="s">
        <v>3490</v>
      </c>
      <c r="G648" s="941" t="s">
        <v>3491</v>
      </c>
      <c r="H648" s="198" t="s">
        <v>137</v>
      </c>
      <c r="I648" s="200">
        <v>45489.0</v>
      </c>
      <c r="J648" s="530">
        <v>45639.0</v>
      </c>
      <c r="K648" s="201"/>
      <c r="L648" s="202" t="s">
        <v>3492</v>
      </c>
      <c r="M648" s="198" t="s">
        <v>3493</v>
      </c>
      <c r="N648" s="198" t="s">
        <v>3494</v>
      </c>
      <c r="O648" s="205">
        <v>1.0</v>
      </c>
      <c r="P648" s="942" t="s">
        <v>3495</v>
      </c>
      <c r="Q648" s="943" t="str">
        <f t="array" ref="Q648"> if(iserror(MATCH(V648, 'File Links'!C:C, 0)), "N/A", HYPERLINK(INDEX('File Links'!B:B, MATCH(P648, 'File Links'!C:C, 0))))</f>
        <v>N/A</v>
      </c>
      <c r="R648" s="198" t="s">
        <v>3496</v>
      </c>
      <c r="S648" s="198" t="s">
        <v>3497</v>
      </c>
      <c r="T648" s="944" t="s">
        <v>3486</v>
      </c>
      <c r="U648" s="205">
        <v>1.0</v>
      </c>
      <c r="V648" s="198" t="str">
        <f t="shared" si="36"/>
        <v>10.17605--osf.io--e5k4j.pdf</v>
      </c>
      <c r="W648" s="198" t="s">
        <v>202</v>
      </c>
      <c r="X648" s="451" t="str">
        <f t="array" ref="X648"> if(iserror(MATCH(V648, 'File Links'!C:C, 0)), "N/A", HYPERLINK(INDEX('File Links'!B:B, MATCH(V648, 'File Links'!C:C, 0))))</f>
        <v>N/A</v>
      </c>
      <c r="Y648" s="201"/>
      <c r="Z648" s="198" t="s">
        <v>2038</v>
      </c>
      <c r="AA648" s="198" t="s">
        <v>3498</v>
      </c>
      <c r="AB648" s="201" t="s">
        <v>3499</v>
      </c>
      <c r="AC648" s="198" t="s">
        <v>3500</v>
      </c>
      <c r="AD648" s="198" t="s">
        <v>3501</v>
      </c>
      <c r="AE648" s="205">
        <v>2.0</v>
      </c>
      <c r="AF648" s="205">
        <v>102.0</v>
      </c>
      <c r="AG648" s="945">
        <v>0.28</v>
      </c>
      <c r="AH648" s="203" t="s">
        <v>1249</v>
      </c>
      <c r="AI648" s="204" t="s">
        <v>3502</v>
      </c>
      <c r="AJ648" s="946">
        <v>0.018</v>
      </c>
      <c r="AK648" s="198" t="s">
        <v>165</v>
      </c>
      <c r="AL648" s="199" t="s">
        <v>179</v>
      </c>
      <c r="AM648" s="201" t="s">
        <v>130</v>
      </c>
      <c r="AN648" s="202" t="s">
        <v>131</v>
      </c>
      <c r="AO648" s="205">
        <v>600.0</v>
      </c>
      <c r="AP648" s="205">
        <v>0.04</v>
      </c>
      <c r="AQ648" s="203" t="s">
        <v>1249</v>
      </c>
      <c r="AR648" s="945" t="s">
        <v>3503</v>
      </c>
      <c r="AS648" s="205">
        <v>0.658</v>
      </c>
      <c r="AT648" s="198" t="s">
        <v>165</v>
      </c>
      <c r="AU648" s="198" t="s">
        <v>179</v>
      </c>
      <c r="AV648" s="201" t="s">
        <v>130</v>
      </c>
      <c r="AW648" s="947" t="s">
        <v>3504</v>
      </c>
      <c r="AX648" s="201" t="s">
        <v>136</v>
      </c>
      <c r="AY648" s="201"/>
      <c r="AZ648" s="196" t="s">
        <v>685</v>
      </c>
      <c r="BA648" s="197"/>
      <c r="BB648" s="197"/>
      <c r="BC648" s="197"/>
      <c r="BD648" s="197"/>
      <c r="BE648" s="197"/>
      <c r="BF648" s="197"/>
      <c r="BG648" s="197"/>
      <c r="BH648" s="197"/>
      <c r="BI648" s="197"/>
      <c r="BJ648" s="197"/>
      <c r="BK648" s="197"/>
      <c r="BL648" s="197"/>
      <c r="BM648" s="197"/>
      <c r="BN648" s="197"/>
      <c r="BO648" s="197"/>
      <c r="BP648" s="197"/>
      <c r="BQ648" s="197"/>
      <c r="BR648" s="197"/>
      <c r="BS648" s="197"/>
      <c r="BT648" s="197"/>
      <c r="BU648" s="197"/>
      <c r="BV648" s="197"/>
      <c r="BW648" s="197"/>
      <c r="BX648" s="197"/>
      <c r="BY648" s="197"/>
      <c r="BZ648" s="197"/>
      <c r="CA648" s="197"/>
      <c r="CB648" s="197"/>
      <c r="CC648" s="197"/>
      <c r="CD648" s="197"/>
      <c r="CE648" s="197"/>
      <c r="CF648" s="197"/>
      <c r="CG648" s="197"/>
      <c r="CH648" s="197"/>
      <c r="CI648" s="197"/>
      <c r="CJ648" s="197"/>
      <c r="CK648" s="197"/>
      <c r="CL648" s="197"/>
      <c r="CM648" s="197"/>
      <c r="CN648" s="197"/>
      <c r="CO648" s="197"/>
      <c r="CP648" s="197"/>
      <c r="CQ648" s="197"/>
      <c r="CR648" s="197"/>
      <c r="CS648" s="197"/>
      <c r="CT648" s="197"/>
      <c r="CU648" s="197"/>
      <c r="CV648" s="197"/>
      <c r="CW648" s="197"/>
      <c r="CX648" s="197"/>
      <c r="CY648" s="197"/>
      <c r="CZ648" s="197"/>
      <c r="DA648" s="197"/>
      <c r="DB648" s="197"/>
      <c r="DC648" s="197"/>
      <c r="DD648" s="197"/>
      <c r="DE648" s="197"/>
      <c r="DF648" s="197"/>
      <c r="DG648" s="197"/>
      <c r="DH648" s="197"/>
    </row>
    <row r="649" ht="20.25" customHeight="1">
      <c r="A649" s="448">
        <v>649.0</v>
      </c>
      <c r="B649" s="196" t="s">
        <v>145</v>
      </c>
      <c r="C649" s="196" t="s">
        <v>108</v>
      </c>
      <c r="D649" s="196" t="s">
        <v>983</v>
      </c>
      <c r="E649" s="197"/>
      <c r="F649" s="201" t="s">
        <v>3490</v>
      </c>
      <c r="G649" s="941" t="s">
        <v>3505</v>
      </c>
      <c r="H649" s="198" t="s">
        <v>137</v>
      </c>
      <c r="I649" s="200">
        <v>45489.0</v>
      </c>
      <c r="J649" s="530">
        <v>45639.0</v>
      </c>
      <c r="K649" s="201"/>
      <c r="L649" s="202" t="s">
        <v>3506</v>
      </c>
      <c r="M649" s="198" t="s">
        <v>3493</v>
      </c>
      <c r="N649" s="198" t="s">
        <v>3494</v>
      </c>
      <c r="O649" s="205">
        <v>1.0</v>
      </c>
      <c r="P649" s="942" t="s">
        <v>3495</v>
      </c>
      <c r="Q649" s="943" t="str">
        <f t="array" ref="Q649"> if(iserror(MATCH(V649, 'File Links'!C:C, 0)), "N/A", HYPERLINK(INDEX('File Links'!B:B, MATCH(P649, 'File Links'!C:C, 0))))</f>
        <v>N/A</v>
      </c>
      <c r="R649" s="948" t="s">
        <v>3507</v>
      </c>
      <c r="S649" s="198" t="s">
        <v>3497</v>
      </c>
      <c r="T649" s="944" t="s">
        <v>3486</v>
      </c>
      <c r="U649" s="205">
        <v>1.0</v>
      </c>
      <c r="V649" s="198" t="str">
        <f t="shared" si="36"/>
        <v>10.17605--osf.io--e5k4j.pdf</v>
      </c>
      <c r="W649" s="198" t="s">
        <v>202</v>
      </c>
      <c r="X649" s="451" t="str">
        <f t="array" ref="X649"> if(iserror(MATCH(V649, 'File Links'!C:C, 0)), "N/A", HYPERLINK(INDEX('File Links'!B:B, MATCH(V649, 'File Links'!C:C, 0))))</f>
        <v>N/A</v>
      </c>
      <c r="Y649" s="201"/>
      <c r="Z649" s="198" t="s">
        <v>2038</v>
      </c>
      <c r="AA649" s="198" t="s">
        <v>3498</v>
      </c>
      <c r="AB649" s="201" t="s">
        <v>3499</v>
      </c>
      <c r="AC649" s="198" t="s">
        <v>3508</v>
      </c>
      <c r="AD649" s="198" t="s">
        <v>3509</v>
      </c>
      <c r="AE649" s="205">
        <v>2.0</v>
      </c>
      <c r="AF649" s="205">
        <v>102.0</v>
      </c>
      <c r="AG649" s="945">
        <v>0.31</v>
      </c>
      <c r="AH649" s="203" t="s">
        <v>1249</v>
      </c>
      <c r="AI649" s="204" t="s">
        <v>3502</v>
      </c>
      <c r="AJ649" s="945">
        <v>0.008</v>
      </c>
      <c r="AK649" s="198" t="s">
        <v>165</v>
      </c>
      <c r="AL649" s="199" t="s">
        <v>179</v>
      </c>
      <c r="AM649" s="201" t="s">
        <v>130</v>
      </c>
      <c r="AN649" s="202" t="s">
        <v>131</v>
      </c>
      <c r="AO649" s="205">
        <v>600.0</v>
      </c>
      <c r="AP649" s="205">
        <v>0.07</v>
      </c>
      <c r="AQ649" s="203" t="s">
        <v>1249</v>
      </c>
      <c r="AR649" s="945" t="s">
        <v>3503</v>
      </c>
      <c r="AS649" s="205">
        <v>0.217</v>
      </c>
      <c r="AT649" s="198" t="s">
        <v>165</v>
      </c>
      <c r="AU649" s="198" t="s">
        <v>179</v>
      </c>
      <c r="AV649" s="201" t="s">
        <v>130</v>
      </c>
      <c r="AW649" s="947" t="s">
        <v>3504</v>
      </c>
      <c r="AX649" s="201" t="s">
        <v>136</v>
      </c>
      <c r="AY649" s="201"/>
      <c r="AZ649" s="196" t="s">
        <v>685</v>
      </c>
      <c r="BA649" s="197"/>
      <c r="BB649" s="197"/>
      <c r="BC649" s="197"/>
      <c r="BD649" s="197"/>
      <c r="BE649" s="197"/>
      <c r="BF649" s="197"/>
      <c r="BG649" s="197"/>
      <c r="BH649" s="197"/>
      <c r="BI649" s="197"/>
      <c r="BJ649" s="197"/>
      <c r="BK649" s="197"/>
      <c r="BL649" s="197"/>
      <c r="BM649" s="197"/>
      <c r="BN649" s="197"/>
      <c r="BO649" s="197"/>
      <c r="BP649" s="197"/>
      <c r="BQ649" s="197"/>
      <c r="BR649" s="197"/>
      <c r="BS649" s="197"/>
      <c r="BT649" s="197"/>
      <c r="BU649" s="197"/>
      <c r="BV649" s="197"/>
      <c r="BW649" s="197"/>
      <c r="BX649" s="197"/>
      <c r="BY649" s="197"/>
      <c r="BZ649" s="197"/>
      <c r="CA649" s="197"/>
      <c r="CB649" s="197"/>
      <c r="CC649" s="197"/>
      <c r="CD649" s="197"/>
      <c r="CE649" s="197"/>
      <c r="CF649" s="197"/>
      <c r="CG649" s="197"/>
      <c r="CH649" s="197"/>
      <c r="CI649" s="197"/>
      <c r="CJ649" s="197"/>
      <c r="CK649" s="197"/>
      <c r="CL649" s="197"/>
      <c r="CM649" s="197"/>
      <c r="CN649" s="197"/>
      <c r="CO649" s="197"/>
      <c r="CP649" s="197"/>
      <c r="CQ649" s="197"/>
      <c r="CR649" s="197"/>
      <c r="CS649" s="197"/>
      <c r="CT649" s="197"/>
      <c r="CU649" s="197"/>
      <c r="CV649" s="197"/>
      <c r="CW649" s="197"/>
      <c r="CX649" s="197"/>
      <c r="CY649" s="197"/>
      <c r="CZ649" s="197"/>
      <c r="DA649" s="197"/>
      <c r="DB649" s="197"/>
      <c r="DC649" s="197"/>
      <c r="DD649" s="197"/>
      <c r="DE649" s="197"/>
      <c r="DF649" s="197"/>
      <c r="DG649" s="197"/>
      <c r="DH649" s="197"/>
    </row>
    <row r="650" ht="20.25" customHeight="1">
      <c r="A650" s="448">
        <v>650.0</v>
      </c>
      <c r="B650" s="196" t="s">
        <v>145</v>
      </c>
      <c r="C650" s="196" t="s">
        <v>108</v>
      </c>
      <c r="D650" s="196" t="s">
        <v>983</v>
      </c>
      <c r="E650" s="197"/>
      <c r="F650" s="201" t="s">
        <v>3490</v>
      </c>
      <c r="G650" s="941" t="s">
        <v>3510</v>
      </c>
      <c r="H650" s="198" t="s">
        <v>137</v>
      </c>
      <c r="I650" s="200">
        <v>45489.0</v>
      </c>
      <c r="J650" s="530">
        <v>45639.0</v>
      </c>
      <c r="K650" s="201"/>
      <c r="L650" s="202" t="s">
        <v>3506</v>
      </c>
      <c r="M650" s="198" t="s">
        <v>3493</v>
      </c>
      <c r="N650" s="198" t="s">
        <v>3494</v>
      </c>
      <c r="O650" s="205">
        <v>2.0</v>
      </c>
      <c r="P650" s="942" t="s">
        <v>3495</v>
      </c>
      <c r="Q650" s="943" t="str">
        <f t="array" ref="Q650"> if(iserror(MATCH(V650, 'File Links'!C:C, 0)), "N/A", HYPERLINK(INDEX('File Links'!B:B, MATCH(P650, 'File Links'!C:C, 0))))</f>
        <v>N/A</v>
      </c>
      <c r="R650" s="198" t="s">
        <v>3496</v>
      </c>
      <c r="S650" s="198" t="s">
        <v>3497</v>
      </c>
      <c r="T650" s="944" t="s">
        <v>3486</v>
      </c>
      <c r="U650" s="205">
        <v>2.0</v>
      </c>
      <c r="V650" s="198" t="str">
        <f t="shared" si="36"/>
        <v>10.17605--osf.io--e5k4j.pdf</v>
      </c>
      <c r="W650" s="198" t="s">
        <v>202</v>
      </c>
      <c r="X650" s="451" t="str">
        <f t="array" ref="X650"> if(iserror(MATCH(V650, 'File Links'!C:C, 0)), "N/A", HYPERLINK(INDEX('File Links'!B:B, MATCH(V650, 'File Links'!C:C, 0))))</f>
        <v>N/A</v>
      </c>
      <c r="Y650" s="201"/>
      <c r="Z650" s="198" t="s">
        <v>2038</v>
      </c>
      <c r="AA650" s="198" t="s">
        <v>3498</v>
      </c>
      <c r="AB650" s="201" t="s">
        <v>3499</v>
      </c>
      <c r="AC650" s="198" t="s">
        <v>3511</v>
      </c>
      <c r="AD650" s="198" t="s">
        <v>3512</v>
      </c>
      <c r="AE650" s="205">
        <v>3.0</v>
      </c>
      <c r="AF650" s="205">
        <v>103.0</v>
      </c>
      <c r="AG650" s="945">
        <v>0.71</v>
      </c>
      <c r="AH650" s="203" t="s">
        <v>1249</v>
      </c>
      <c r="AI650" s="204" t="s">
        <v>3502</v>
      </c>
      <c r="AJ650" s="946">
        <v>0.001</v>
      </c>
      <c r="AK650" s="198" t="s">
        <v>128</v>
      </c>
      <c r="AL650" s="199" t="s">
        <v>179</v>
      </c>
      <c r="AM650" s="201" t="s">
        <v>130</v>
      </c>
      <c r="AN650" s="202" t="s">
        <v>131</v>
      </c>
      <c r="AO650" s="205">
        <v>600.0</v>
      </c>
      <c r="AP650" s="205">
        <v>0.07</v>
      </c>
      <c r="AQ650" s="203" t="s">
        <v>1249</v>
      </c>
      <c r="AR650" s="945" t="s">
        <v>3503</v>
      </c>
      <c r="AS650" s="205">
        <v>0.247</v>
      </c>
      <c r="AT650" s="198" t="s">
        <v>165</v>
      </c>
      <c r="AU650" s="198" t="s">
        <v>179</v>
      </c>
      <c r="AV650" s="201" t="s">
        <v>130</v>
      </c>
      <c r="AW650" s="947" t="s">
        <v>3504</v>
      </c>
      <c r="AX650" s="201" t="s">
        <v>136</v>
      </c>
      <c r="AY650" s="201"/>
      <c r="AZ650" s="196" t="s">
        <v>685</v>
      </c>
      <c r="BA650" s="197"/>
      <c r="BB650" s="197"/>
      <c r="BC650" s="197"/>
      <c r="BD650" s="197"/>
      <c r="BE650" s="197"/>
      <c r="BF650" s="197"/>
      <c r="BG650" s="197"/>
      <c r="BH650" s="197"/>
      <c r="BI650" s="197"/>
      <c r="BJ650" s="197"/>
      <c r="BK650" s="197"/>
      <c r="BL650" s="197"/>
      <c r="BM650" s="197"/>
      <c r="BN650" s="197"/>
      <c r="BO650" s="197"/>
      <c r="BP650" s="197"/>
      <c r="BQ650" s="197"/>
      <c r="BR650" s="197"/>
      <c r="BS650" s="197"/>
      <c r="BT650" s="197"/>
      <c r="BU650" s="197"/>
      <c r="BV650" s="197"/>
      <c r="BW650" s="197"/>
      <c r="BX650" s="197"/>
      <c r="BY650" s="197"/>
      <c r="BZ650" s="197"/>
      <c r="CA650" s="197"/>
      <c r="CB650" s="197"/>
      <c r="CC650" s="197"/>
      <c r="CD650" s="197"/>
      <c r="CE650" s="197"/>
      <c r="CF650" s="197"/>
      <c r="CG650" s="197"/>
      <c r="CH650" s="197"/>
      <c r="CI650" s="197"/>
      <c r="CJ650" s="197"/>
      <c r="CK650" s="197"/>
      <c r="CL650" s="197"/>
      <c r="CM650" s="197"/>
      <c r="CN650" s="197"/>
      <c r="CO650" s="197"/>
      <c r="CP650" s="197"/>
      <c r="CQ650" s="197"/>
      <c r="CR650" s="197"/>
      <c r="CS650" s="197"/>
      <c r="CT650" s="197"/>
      <c r="CU650" s="197"/>
      <c r="CV650" s="197"/>
      <c r="CW650" s="197"/>
      <c r="CX650" s="197"/>
      <c r="CY650" s="197"/>
      <c r="CZ650" s="197"/>
      <c r="DA650" s="197"/>
      <c r="DB650" s="197"/>
      <c r="DC650" s="197"/>
      <c r="DD650" s="197"/>
      <c r="DE650" s="197"/>
      <c r="DF650" s="197"/>
      <c r="DG650" s="197"/>
      <c r="DH650" s="197"/>
    </row>
    <row r="651" ht="20.25" customHeight="1">
      <c r="A651" s="448">
        <v>651.0</v>
      </c>
      <c r="B651" s="196" t="s">
        <v>145</v>
      </c>
      <c r="C651" s="196" t="s">
        <v>108</v>
      </c>
      <c r="D651" s="196" t="s">
        <v>983</v>
      </c>
      <c r="E651" s="197"/>
      <c r="F651" s="201" t="s">
        <v>3490</v>
      </c>
      <c r="G651" s="941" t="s">
        <v>3513</v>
      </c>
      <c r="H651" s="198" t="s">
        <v>137</v>
      </c>
      <c r="I651" s="200">
        <v>45489.0</v>
      </c>
      <c r="J651" s="530">
        <v>45639.0</v>
      </c>
      <c r="K651" s="201"/>
      <c r="L651" s="202" t="s">
        <v>3506</v>
      </c>
      <c r="M651" s="198" t="s">
        <v>3493</v>
      </c>
      <c r="N651" s="198" t="s">
        <v>3494</v>
      </c>
      <c r="O651" s="205">
        <v>2.0</v>
      </c>
      <c r="P651" s="942" t="s">
        <v>3495</v>
      </c>
      <c r="Q651" s="943" t="str">
        <f t="array" ref="Q651"> if(iserror(MATCH(V651, 'File Links'!C:C, 0)), "N/A", HYPERLINK(INDEX('File Links'!B:B, MATCH(P651, 'File Links'!C:C, 0))))</f>
        <v>N/A</v>
      </c>
      <c r="R651" s="198" t="s">
        <v>3496</v>
      </c>
      <c r="S651" s="198" t="s">
        <v>3497</v>
      </c>
      <c r="T651" s="944" t="s">
        <v>3486</v>
      </c>
      <c r="U651" s="205">
        <v>2.0</v>
      </c>
      <c r="V651" s="198" t="str">
        <f t="shared" si="36"/>
        <v>10.17605--osf.io--e5k4j.pdf</v>
      </c>
      <c r="W651" s="198" t="s">
        <v>202</v>
      </c>
      <c r="X651" s="451" t="str">
        <f t="array" ref="X651"> if(iserror(MATCH(V651, 'File Links'!C:C, 0)), "N/A", HYPERLINK(INDEX('File Links'!B:B, MATCH(V651, 'File Links'!C:C, 0))))</f>
        <v>N/A</v>
      </c>
      <c r="Y651" s="201"/>
      <c r="Z651" s="198" t="s">
        <v>2038</v>
      </c>
      <c r="AA651" s="198" t="s">
        <v>3498</v>
      </c>
      <c r="AB651" s="201" t="s">
        <v>3499</v>
      </c>
      <c r="AC651" s="198" t="s">
        <v>3514</v>
      </c>
      <c r="AD651" s="198" t="s">
        <v>3515</v>
      </c>
      <c r="AE651" s="205">
        <v>3.0</v>
      </c>
      <c r="AF651" s="205">
        <v>103.0</v>
      </c>
      <c r="AG651" s="945">
        <v>0.78</v>
      </c>
      <c r="AH651" s="203" t="s">
        <v>1249</v>
      </c>
      <c r="AI651" s="204" t="s">
        <v>3502</v>
      </c>
      <c r="AJ651" s="946">
        <v>0.001</v>
      </c>
      <c r="AK651" s="198" t="s">
        <v>128</v>
      </c>
      <c r="AL651" s="199" t="s">
        <v>179</v>
      </c>
      <c r="AM651" s="201" t="s">
        <v>130</v>
      </c>
      <c r="AN651" s="202" t="s">
        <v>131</v>
      </c>
      <c r="AO651" s="205">
        <v>600.0</v>
      </c>
      <c r="AP651" s="204">
        <v>0.0</v>
      </c>
      <c r="AQ651" s="203" t="s">
        <v>1249</v>
      </c>
      <c r="AR651" s="945" t="s">
        <v>3503</v>
      </c>
      <c r="AS651" s="205">
        <v>0.995</v>
      </c>
      <c r="AT651" s="198" t="s">
        <v>165</v>
      </c>
      <c r="AU651" s="198" t="s">
        <v>179</v>
      </c>
      <c r="AV651" s="201" t="s">
        <v>130</v>
      </c>
      <c r="AW651" s="947" t="s">
        <v>3504</v>
      </c>
      <c r="AX651" s="201" t="s">
        <v>136</v>
      </c>
      <c r="AY651" s="201"/>
      <c r="AZ651" s="196" t="s">
        <v>685</v>
      </c>
      <c r="BA651" s="197"/>
      <c r="BB651" s="197"/>
      <c r="BC651" s="197"/>
      <c r="BD651" s="197"/>
      <c r="BE651" s="197"/>
      <c r="BF651" s="197"/>
      <c r="BG651" s="197"/>
      <c r="BH651" s="197"/>
      <c r="BI651" s="197"/>
      <c r="BJ651" s="197"/>
      <c r="BK651" s="197"/>
      <c r="BL651" s="197"/>
      <c r="BM651" s="197"/>
      <c r="BN651" s="197"/>
      <c r="BO651" s="197"/>
      <c r="BP651" s="197"/>
      <c r="BQ651" s="197"/>
      <c r="BR651" s="197"/>
      <c r="BS651" s="197"/>
      <c r="BT651" s="197"/>
      <c r="BU651" s="197"/>
      <c r="BV651" s="197"/>
      <c r="BW651" s="197"/>
      <c r="BX651" s="197"/>
      <c r="BY651" s="197"/>
      <c r="BZ651" s="197"/>
      <c r="CA651" s="197"/>
      <c r="CB651" s="197"/>
      <c r="CC651" s="197"/>
      <c r="CD651" s="197"/>
      <c r="CE651" s="197"/>
      <c r="CF651" s="197"/>
      <c r="CG651" s="197"/>
      <c r="CH651" s="197"/>
      <c r="CI651" s="197"/>
      <c r="CJ651" s="197"/>
      <c r="CK651" s="197"/>
      <c r="CL651" s="197"/>
      <c r="CM651" s="197"/>
      <c r="CN651" s="197"/>
      <c r="CO651" s="197"/>
      <c r="CP651" s="197"/>
      <c r="CQ651" s="197"/>
      <c r="CR651" s="197"/>
      <c r="CS651" s="197"/>
      <c r="CT651" s="197"/>
      <c r="CU651" s="197"/>
      <c r="CV651" s="197"/>
      <c r="CW651" s="197"/>
      <c r="CX651" s="197"/>
      <c r="CY651" s="197"/>
      <c r="CZ651" s="197"/>
      <c r="DA651" s="197"/>
      <c r="DB651" s="197"/>
      <c r="DC651" s="197"/>
      <c r="DD651" s="197"/>
      <c r="DE651" s="197"/>
      <c r="DF651" s="197"/>
      <c r="DG651" s="197"/>
      <c r="DH651" s="197"/>
    </row>
    <row r="652" ht="20.25" customHeight="1">
      <c r="A652" s="168">
        <v>652.0</v>
      </c>
      <c r="B652" s="165" t="s">
        <v>145</v>
      </c>
      <c r="C652" s="165" t="s">
        <v>108</v>
      </c>
      <c r="D652" s="165" t="s">
        <v>983</v>
      </c>
      <c r="E652" s="161"/>
      <c r="F652" s="949" t="s">
        <v>3490</v>
      </c>
      <c r="G652" s="950" t="s">
        <v>3516</v>
      </c>
      <c r="H652" s="951" t="s">
        <v>137</v>
      </c>
      <c r="I652" s="952">
        <v>45489.0</v>
      </c>
      <c r="J652" s="953">
        <v>45639.0</v>
      </c>
      <c r="K652" s="951" t="s">
        <v>3517</v>
      </c>
      <c r="L652" s="949"/>
      <c r="M652" s="951" t="s">
        <v>3493</v>
      </c>
      <c r="N652" s="951" t="s">
        <v>3494</v>
      </c>
      <c r="O652" s="954">
        <v>3.0</v>
      </c>
      <c r="P652" s="951" t="s">
        <v>3495</v>
      </c>
      <c r="Q652" s="955" t="str">
        <f t="array" ref="Q652"> if(iserror(MATCH(V652, 'File Links'!C:C, 0)), "N/A", HYPERLINK(INDEX('File Links'!B:B, MATCH(P652, 'File Links'!C:C, 0))))</f>
        <v>N/A</v>
      </c>
      <c r="R652" s="951" t="s">
        <v>3496</v>
      </c>
      <c r="S652" s="951" t="s">
        <v>3497</v>
      </c>
      <c r="T652" s="956" t="s">
        <v>3486</v>
      </c>
      <c r="U652" s="954">
        <v>3.0</v>
      </c>
      <c r="V652" s="729" t="str">
        <f t="shared" si="36"/>
        <v>10.17605--osf.io--e5k4j.pdf</v>
      </c>
      <c r="W652" s="729" t="s">
        <v>202</v>
      </c>
      <c r="X652" s="734" t="str">
        <f t="array" ref="X652"> if(iserror(MATCH(V652, 'File Links'!C:C, 0)), "N/A", HYPERLINK(INDEX('File Links'!B:B, MATCH(V652, 'File Links'!C:C, 0))))</f>
        <v>N/A</v>
      </c>
      <c r="Y652" s="949"/>
      <c r="Z652" s="951" t="s">
        <v>2038</v>
      </c>
      <c r="AA652" s="951" t="s">
        <v>3498</v>
      </c>
      <c r="AB652" s="949" t="s">
        <v>3499</v>
      </c>
      <c r="AC652" s="951" t="s">
        <v>3518</v>
      </c>
      <c r="AD652" s="949"/>
      <c r="AE652" s="954">
        <v>4.0</v>
      </c>
      <c r="AF652" s="954">
        <v>70.0</v>
      </c>
      <c r="AG652" s="957">
        <v>0.83</v>
      </c>
      <c r="AH652" s="958" t="s">
        <v>1249</v>
      </c>
      <c r="AI652" s="181" t="s">
        <v>3502</v>
      </c>
      <c r="AJ652" s="957">
        <v>0.001</v>
      </c>
      <c r="AK652" s="951" t="s">
        <v>128</v>
      </c>
      <c r="AL652" s="959" t="s">
        <v>179</v>
      </c>
      <c r="AM652" s="949" t="s">
        <v>130</v>
      </c>
      <c r="AN652" s="172" t="s">
        <v>131</v>
      </c>
      <c r="AO652" s="954">
        <v>600.0</v>
      </c>
      <c r="AP652" s="957">
        <v>0.06</v>
      </c>
      <c r="AQ652" s="958" t="s">
        <v>1249</v>
      </c>
      <c r="AR652" s="960" t="s">
        <v>3503</v>
      </c>
      <c r="AS652" s="954">
        <v>0.3</v>
      </c>
      <c r="AT652" s="951" t="s">
        <v>165</v>
      </c>
      <c r="AU652" s="951" t="s">
        <v>179</v>
      </c>
      <c r="AV652" s="949" t="s">
        <v>130</v>
      </c>
      <c r="AW652" s="961" t="s">
        <v>3504</v>
      </c>
      <c r="AX652" s="949" t="s">
        <v>136</v>
      </c>
      <c r="AY652" s="177"/>
      <c r="AZ652" s="165" t="s">
        <v>685</v>
      </c>
      <c r="BA652" s="161"/>
      <c r="BB652" s="161"/>
      <c r="BC652" s="161"/>
      <c r="BD652" s="161"/>
      <c r="BE652" s="161"/>
      <c r="BF652" s="161"/>
      <c r="BG652" s="161"/>
      <c r="BH652" s="161"/>
      <c r="BI652" s="161"/>
      <c r="BJ652" s="161"/>
      <c r="BK652" s="161"/>
      <c r="BL652" s="161"/>
      <c r="BM652" s="161"/>
      <c r="BN652" s="161"/>
      <c r="BO652" s="161"/>
      <c r="BP652" s="161"/>
      <c r="BQ652" s="161"/>
      <c r="BR652" s="161"/>
      <c r="BS652" s="161"/>
      <c r="BT652" s="161"/>
      <c r="BU652" s="161"/>
      <c r="BV652" s="161"/>
      <c r="BW652" s="161"/>
      <c r="BX652" s="161"/>
      <c r="BY652" s="161"/>
      <c r="BZ652" s="161"/>
      <c r="CA652" s="161"/>
      <c r="CB652" s="161"/>
      <c r="CC652" s="161"/>
      <c r="CD652" s="161"/>
      <c r="CE652" s="161"/>
      <c r="CF652" s="161"/>
      <c r="CG652" s="161"/>
      <c r="CH652" s="161"/>
      <c r="CI652" s="161"/>
      <c r="CJ652" s="161"/>
      <c r="CK652" s="161"/>
      <c r="CL652" s="161"/>
      <c r="CM652" s="161"/>
      <c r="CN652" s="161"/>
      <c r="CO652" s="161"/>
      <c r="CP652" s="161"/>
      <c r="CQ652" s="161"/>
      <c r="CR652" s="161"/>
      <c r="CS652" s="161"/>
      <c r="CT652" s="161"/>
      <c r="CU652" s="161"/>
      <c r="CV652" s="161"/>
      <c r="CW652" s="161"/>
      <c r="CX652" s="161"/>
      <c r="CY652" s="161"/>
      <c r="CZ652" s="161"/>
      <c r="DA652" s="161"/>
      <c r="DB652" s="161"/>
      <c r="DC652" s="161"/>
      <c r="DD652" s="161"/>
      <c r="DE652" s="161"/>
      <c r="DF652" s="161"/>
      <c r="DG652" s="161"/>
      <c r="DH652" s="161"/>
    </row>
    <row r="653" ht="20.25" customHeight="1">
      <c r="A653" s="448">
        <v>653.0</v>
      </c>
      <c r="B653" s="196" t="s">
        <v>145</v>
      </c>
      <c r="C653" s="196" t="s">
        <v>108</v>
      </c>
      <c r="D653" s="196" t="s">
        <v>983</v>
      </c>
      <c r="E653" s="197"/>
      <c r="F653" s="962" t="s">
        <v>3490</v>
      </c>
      <c r="G653" s="963" t="s">
        <v>3519</v>
      </c>
      <c r="H653" s="942" t="s">
        <v>137</v>
      </c>
      <c r="I653" s="964">
        <v>45489.0</v>
      </c>
      <c r="J653" s="965">
        <v>45639.0</v>
      </c>
      <c r="K653" s="942" t="s">
        <v>3517</v>
      </c>
      <c r="L653" s="962"/>
      <c r="M653" s="942" t="s">
        <v>3493</v>
      </c>
      <c r="N653" s="942" t="s">
        <v>3494</v>
      </c>
      <c r="O653" s="966">
        <v>3.0</v>
      </c>
      <c r="P653" s="942" t="s">
        <v>3495</v>
      </c>
      <c r="Q653" s="943" t="str">
        <f t="array" ref="Q653"> if(iserror(MATCH(V653, 'File Links'!C:C, 0)), "N/A", HYPERLINK(INDEX('File Links'!B:B, MATCH(P653, 'File Links'!C:C, 0))))</f>
        <v>N/A</v>
      </c>
      <c r="R653" s="942" t="s">
        <v>3496</v>
      </c>
      <c r="S653" s="942" t="s">
        <v>3497</v>
      </c>
      <c r="T653" s="967" t="s">
        <v>3486</v>
      </c>
      <c r="U653" s="966">
        <v>3.0</v>
      </c>
      <c r="V653" s="198" t="str">
        <f t="shared" si="36"/>
        <v>10.17605--osf.io--e5k4j.pdf</v>
      </c>
      <c r="W653" s="198" t="s">
        <v>202</v>
      </c>
      <c r="X653" s="451" t="str">
        <f t="array" ref="X653"> if(iserror(MATCH(V653, 'File Links'!C:C, 0)), "N/A", HYPERLINK(INDEX('File Links'!B:B, MATCH(V653, 'File Links'!C:C, 0))))</f>
        <v>N/A</v>
      </c>
      <c r="Y653" s="962"/>
      <c r="Z653" s="942" t="s">
        <v>2038</v>
      </c>
      <c r="AA653" s="942" t="s">
        <v>3498</v>
      </c>
      <c r="AB653" s="962" t="s">
        <v>3499</v>
      </c>
      <c r="AC653" s="942" t="s">
        <v>3520</v>
      </c>
      <c r="AD653" s="962"/>
      <c r="AE653" s="966">
        <v>4.0</v>
      </c>
      <c r="AF653" s="966">
        <v>70.0</v>
      </c>
      <c r="AG653" s="968">
        <v>0.75</v>
      </c>
      <c r="AH653" s="969" t="s">
        <v>1249</v>
      </c>
      <c r="AI653" s="204" t="s">
        <v>3502</v>
      </c>
      <c r="AJ653" s="946">
        <v>0.001</v>
      </c>
      <c r="AK653" s="942" t="s">
        <v>128</v>
      </c>
      <c r="AL653" s="970" t="s">
        <v>179</v>
      </c>
      <c r="AM653" s="962" t="s">
        <v>130</v>
      </c>
      <c r="AN653" s="202" t="s">
        <v>131</v>
      </c>
      <c r="AO653" s="966">
        <v>600.0</v>
      </c>
      <c r="AP653" s="968">
        <v>0.06</v>
      </c>
      <c r="AQ653" s="969" t="s">
        <v>1249</v>
      </c>
      <c r="AR653" s="945" t="s">
        <v>3503</v>
      </c>
      <c r="AS653" s="966">
        <v>0.455</v>
      </c>
      <c r="AT653" s="942" t="s">
        <v>165</v>
      </c>
      <c r="AU653" s="942" t="s">
        <v>179</v>
      </c>
      <c r="AV653" s="962" t="s">
        <v>130</v>
      </c>
      <c r="AW653" s="947" t="s">
        <v>3504</v>
      </c>
      <c r="AX653" s="962" t="s">
        <v>136</v>
      </c>
      <c r="AY653" s="201"/>
      <c r="AZ653" s="196" t="s">
        <v>685</v>
      </c>
      <c r="BA653" s="197"/>
      <c r="BB653" s="197"/>
      <c r="BC653" s="197"/>
      <c r="BD653" s="197"/>
      <c r="BE653" s="197"/>
      <c r="BF653" s="197"/>
      <c r="BG653" s="197"/>
      <c r="BH653" s="197"/>
      <c r="BI653" s="197"/>
      <c r="BJ653" s="197"/>
      <c r="BK653" s="197"/>
      <c r="BL653" s="197"/>
      <c r="BM653" s="197"/>
      <c r="BN653" s="197"/>
      <c r="BO653" s="197"/>
      <c r="BP653" s="197"/>
      <c r="BQ653" s="197"/>
      <c r="BR653" s="197"/>
      <c r="BS653" s="197"/>
      <c r="BT653" s="197"/>
      <c r="BU653" s="197"/>
      <c r="BV653" s="197"/>
      <c r="BW653" s="197"/>
      <c r="BX653" s="197"/>
      <c r="BY653" s="197"/>
      <c r="BZ653" s="197"/>
      <c r="CA653" s="197"/>
      <c r="CB653" s="197"/>
      <c r="CC653" s="197"/>
      <c r="CD653" s="197"/>
      <c r="CE653" s="197"/>
      <c r="CF653" s="197"/>
      <c r="CG653" s="197"/>
      <c r="CH653" s="197"/>
      <c r="CI653" s="197"/>
      <c r="CJ653" s="197"/>
      <c r="CK653" s="197"/>
      <c r="CL653" s="197"/>
      <c r="CM653" s="197"/>
      <c r="CN653" s="197"/>
      <c r="CO653" s="197"/>
      <c r="CP653" s="197"/>
      <c r="CQ653" s="197"/>
      <c r="CR653" s="197"/>
      <c r="CS653" s="197"/>
      <c r="CT653" s="197"/>
      <c r="CU653" s="197"/>
      <c r="CV653" s="197"/>
      <c r="CW653" s="197"/>
      <c r="CX653" s="197"/>
      <c r="CY653" s="197"/>
      <c r="CZ653" s="197"/>
      <c r="DA653" s="197"/>
      <c r="DB653" s="197"/>
      <c r="DC653" s="197"/>
      <c r="DD653" s="197"/>
      <c r="DE653" s="197"/>
      <c r="DF653" s="197"/>
      <c r="DG653" s="197"/>
      <c r="DH653" s="197"/>
    </row>
    <row r="654" ht="20.25" customHeight="1">
      <c r="A654" s="448">
        <v>654.0</v>
      </c>
      <c r="B654" s="196" t="s">
        <v>145</v>
      </c>
      <c r="C654" s="196" t="s">
        <v>108</v>
      </c>
      <c r="D654" s="196" t="s">
        <v>983</v>
      </c>
      <c r="E654" s="197"/>
      <c r="F654" s="962" t="s">
        <v>3490</v>
      </c>
      <c r="G654" s="963" t="s">
        <v>3521</v>
      </c>
      <c r="H654" s="942" t="s">
        <v>137</v>
      </c>
      <c r="I654" s="964">
        <v>45489.0</v>
      </c>
      <c r="J654" s="965">
        <v>45639.0</v>
      </c>
      <c r="K654" s="942" t="s">
        <v>3517</v>
      </c>
      <c r="L654" s="962"/>
      <c r="M654" s="942" t="s">
        <v>3493</v>
      </c>
      <c r="N654" s="942" t="s">
        <v>3494</v>
      </c>
      <c r="O654" s="966">
        <v>3.0</v>
      </c>
      <c r="P654" s="942" t="s">
        <v>3495</v>
      </c>
      <c r="Q654" s="943" t="str">
        <f t="array" ref="Q654"> if(iserror(MATCH(V654, 'File Links'!C:C, 0)), "N/A", HYPERLINK(INDEX('File Links'!B:B, MATCH(P654, 'File Links'!C:C, 0))))</f>
        <v>N/A</v>
      </c>
      <c r="R654" s="942" t="s">
        <v>3496</v>
      </c>
      <c r="S654" s="942" t="s">
        <v>3497</v>
      </c>
      <c r="T654" s="967" t="s">
        <v>3486</v>
      </c>
      <c r="U654" s="966">
        <v>3.0</v>
      </c>
      <c r="V654" s="198" t="str">
        <f t="shared" si="36"/>
        <v>10.17605--osf.io--e5k4j.pdf</v>
      </c>
      <c r="W654" s="198" t="s">
        <v>202</v>
      </c>
      <c r="X654" s="451" t="str">
        <f t="array" ref="X654"> if(iserror(MATCH(V654, 'File Links'!C:C, 0)), "N/A", HYPERLINK(INDEX('File Links'!B:B, MATCH(V654, 'File Links'!C:C, 0))))</f>
        <v>N/A</v>
      </c>
      <c r="Y654" s="962"/>
      <c r="Z654" s="942" t="s">
        <v>2038</v>
      </c>
      <c r="AA654" s="942" t="s">
        <v>3498</v>
      </c>
      <c r="AB654" s="962" t="s">
        <v>3499</v>
      </c>
      <c r="AC654" s="942" t="s">
        <v>3522</v>
      </c>
      <c r="AD654" s="962"/>
      <c r="AE654" s="966">
        <v>4.0</v>
      </c>
      <c r="AF654" s="966">
        <v>70.0</v>
      </c>
      <c r="AG654" s="968">
        <v>0.3</v>
      </c>
      <c r="AH654" s="969" t="s">
        <v>1249</v>
      </c>
      <c r="AI654" s="204" t="s">
        <v>3502</v>
      </c>
      <c r="AJ654" s="968">
        <v>0.47</v>
      </c>
      <c r="AK654" s="969" t="s">
        <v>165</v>
      </c>
      <c r="AL654" s="970" t="s">
        <v>179</v>
      </c>
      <c r="AM654" s="962" t="s">
        <v>130</v>
      </c>
      <c r="AN654" s="202" t="s">
        <v>131</v>
      </c>
      <c r="AO654" s="966">
        <v>600.0</v>
      </c>
      <c r="AP654" s="968">
        <v>0.06</v>
      </c>
      <c r="AQ654" s="969" t="s">
        <v>1249</v>
      </c>
      <c r="AR654" s="945" t="s">
        <v>3503</v>
      </c>
      <c r="AS654" s="966">
        <v>0.328</v>
      </c>
      <c r="AT654" s="942" t="s">
        <v>165</v>
      </c>
      <c r="AU654" s="942" t="s">
        <v>179</v>
      </c>
      <c r="AV654" s="962" t="s">
        <v>130</v>
      </c>
      <c r="AW654" s="947" t="s">
        <v>3504</v>
      </c>
      <c r="AX654" s="962" t="s">
        <v>136</v>
      </c>
      <c r="AY654" s="201"/>
      <c r="AZ654" s="196" t="s">
        <v>685</v>
      </c>
      <c r="BA654" s="197"/>
      <c r="BB654" s="197"/>
      <c r="BC654" s="197"/>
      <c r="BD654" s="197"/>
      <c r="BE654" s="197"/>
      <c r="BF654" s="197"/>
      <c r="BG654" s="197"/>
      <c r="BH654" s="197"/>
      <c r="BI654" s="197"/>
      <c r="BJ654" s="197"/>
      <c r="BK654" s="197"/>
      <c r="BL654" s="197"/>
      <c r="BM654" s="197"/>
      <c r="BN654" s="197"/>
      <c r="BO654" s="197"/>
      <c r="BP654" s="197"/>
      <c r="BQ654" s="197"/>
      <c r="BR654" s="197"/>
      <c r="BS654" s="197"/>
      <c r="BT654" s="197"/>
      <c r="BU654" s="197"/>
      <c r="BV654" s="197"/>
      <c r="BW654" s="197"/>
      <c r="BX654" s="197"/>
      <c r="BY654" s="197"/>
      <c r="BZ654" s="197"/>
      <c r="CA654" s="197"/>
      <c r="CB654" s="197"/>
      <c r="CC654" s="197"/>
      <c r="CD654" s="197"/>
      <c r="CE654" s="197"/>
      <c r="CF654" s="197"/>
      <c r="CG654" s="197"/>
      <c r="CH654" s="197"/>
      <c r="CI654" s="197"/>
      <c r="CJ654" s="197"/>
      <c r="CK654" s="197"/>
      <c r="CL654" s="197"/>
      <c r="CM654" s="197"/>
      <c r="CN654" s="197"/>
      <c r="CO654" s="197"/>
      <c r="CP654" s="197"/>
      <c r="CQ654" s="197"/>
      <c r="CR654" s="197"/>
      <c r="CS654" s="197"/>
      <c r="CT654" s="197"/>
      <c r="CU654" s="197"/>
      <c r="CV654" s="197"/>
      <c r="CW654" s="197"/>
      <c r="CX654" s="197"/>
      <c r="CY654" s="197"/>
      <c r="CZ654" s="197"/>
      <c r="DA654" s="197"/>
      <c r="DB654" s="197"/>
      <c r="DC654" s="197"/>
      <c r="DD654" s="197"/>
      <c r="DE654" s="197"/>
      <c r="DF654" s="197"/>
      <c r="DG654" s="197"/>
      <c r="DH654" s="197"/>
    </row>
    <row r="655" ht="20.25" customHeight="1">
      <c r="A655" s="448">
        <v>655.0</v>
      </c>
      <c r="B655" s="196" t="s">
        <v>145</v>
      </c>
      <c r="C655" s="196" t="s">
        <v>108</v>
      </c>
      <c r="D655" s="196" t="s">
        <v>983</v>
      </c>
      <c r="E655" s="197"/>
      <c r="F655" s="962" t="s">
        <v>3490</v>
      </c>
      <c r="G655" s="963" t="s">
        <v>3523</v>
      </c>
      <c r="H655" s="942" t="s">
        <v>137</v>
      </c>
      <c r="I655" s="964">
        <v>45489.0</v>
      </c>
      <c r="J655" s="965">
        <v>45639.0</v>
      </c>
      <c r="K655" s="962"/>
      <c r="L655" s="962"/>
      <c r="M655" s="942" t="s">
        <v>3493</v>
      </c>
      <c r="N655" s="942" t="s">
        <v>3494</v>
      </c>
      <c r="O655" s="966">
        <v>3.0</v>
      </c>
      <c r="P655" s="942" t="s">
        <v>3495</v>
      </c>
      <c r="Q655" s="943" t="str">
        <f t="array" ref="Q655"> if(iserror(MATCH(V655, 'File Links'!C:C, 0)), "N/A", HYPERLINK(INDEX('File Links'!B:B, MATCH(P655, 'File Links'!C:C, 0))))</f>
        <v>N/A</v>
      </c>
      <c r="R655" s="942" t="s">
        <v>3496</v>
      </c>
      <c r="S655" s="942" t="s">
        <v>3497</v>
      </c>
      <c r="T655" s="967" t="s">
        <v>3486</v>
      </c>
      <c r="U655" s="966">
        <v>3.0</v>
      </c>
      <c r="V655" s="198" t="str">
        <f t="shared" si="36"/>
        <v>10.17605--osf.io--e5k4j.pdf</v>
      </c>
      <c r="W655" s="198" t="s">
        <v>202</v>
      </c>
      <c r="X655" s="451" t="str">
        <f t="array" ref="X655"> if(iserror(MATCH(V655, 'File Links'!C:C, 0)), "N/A", HYPERLINK(INDEX('File Links'!B:B, MATCH(V655, 'File Links'!C:C, 0))))</f>
        <v>N/A</v>
      </c>
      <c r="Y655" s="962"/>
      <c r="Z655" s="942" t="s">
        <v>2038</v>
      </c>
      <c r="AA655" s="942" t="s">
        <v>3498</v>
      </c>
      <c r="AB655" s="962" t="s">
        <v>3499</v>
      </c>
      <c r="AC655" s="942" t="s">
        <v>3524</v>
      </c>
      <c r="AD655" s="962"/>
      <c r="AE655" s="966">
        <v>4.0</v>
      </c>
      <c r="AF655" s="966">
        <v>70.0</v>
      </c>
      <c r="AG655" s="971">
        <v>0.87</v>
      </c>
      <c r="AH655" s="972" t="s">
        <v>1249</v>
      </c>
      <c r="AI655" s="204" t="s">
        <v>3502</v>
      </c>
      <c r="AJ655" s="973">
        <v>0.001</v>
      </c>
      <c r="AK655" s="972" t="s">
        <v>128</v>
      </c>
      <c r="AL655" s="972" t="s">
        <v>179</v>
      </c>
      <c r="AM655" s="972" t="s">
        <v>130</v>
      </c>
      <c r="AN655" s="202" t="s">
        <v>131</v>
      </c>
      <c r="AO655" s="966">
        <v>600.0</v>
      </c>
      <c r="AP655" s="968">
        <v>0.03</v>
      </c>
      <c r="AQ655" s="969" t="s">
        <v>1249</v>
      </c>
      <c r="AR655" s="945" t="s">
        <v>3503</v>
      </c>
      <c r="AS655" s="966">
        <v>0.861</v>
      </c>
      <c r="AT655" s="942" t="s">
        <v>165</v>
      </c>
      <c r="AU655" s="942" t="s">
        <v>179</v>
      </c>
      <c r="AV655" s="962" t="s">
        <v>130</v>
      </c>
      <c r="AW655" s="947" t="s">
        <v>3504</v>
      </c>
      <c r="AX655" s="962" t="s">
        <v>136</v>
      </c>
      <c r="AY655" s="201"/>
      <c r="AZ655" s="196" t="s">
        <v>685</v>
      </c>
      <c r="BA655" s="197"/>
      <c r="BB655" s="197"/>
      <c r="BC655" s="197"/>
      <c r="BD655" s="197"/>
      <c r="BE655" s="197"/>
      <c r="BF655" s="197"/>
      <c r="BG655" s="197"/>
      <c r="BH655" s="197"/>
      <c r="BI655" s="197"/>
      <c r="BJ655" s="197"/>
      <c r="BK655" s="197"/>
      <c r="BL655" s="197"/>
      <c r="BM655" s="197"/>
      <c r="BN655" s="197"/>
      <c r="BO655" s="197"/>
      <c r="BP655" s="197"/>
      <c r="BQ655" s="197"/>
      <c r="BR655" s="197"/>
      <c r="BS655" s="197"/>
      <c r="BT655" s="197"/>
      <c r="BU655" s="197"/>
      <c r="BV655" s="197"/>
      <c r="BW655" s="197"/>
      <c r="BX655" s="197"/>
      <c r="BY655" s="197"/>
      <c r="BZ655" s="197"/>
      <c r="CA655" s="197"/>
      <c r="CB655" s="197"/>
      <c r="CC655" s="197"/>
      <c r="CD655" s="197"/>
      <c r="CE655" s="197"/>
      <c r="CF655" s="197"/>
      <c r="CG655" s="197"/>
      <c r="CH655" s="197"/>
      <c r="CI655" s="197"/>
      <c r="CJ655" s="197"/>
      <c r="CK655" s="197"/>
      <c r="CL655" s="197"/>
      <c r="CM655" s="197"/>
      <c r="CN655" s="197"/>
      <c r="CO655" s="197"/>
      <c r="CP655" s="197"/>
      <c r="CQ655" s="197"/>
      <c r="CR655" s="197"/>
      <c r="CS655" s="197"/>
      <c r="CT655" s="197"/>
      <c r="CU655" s="197"/>
      <c r="CV655" s="197"/>
      <c r="CW655" s="197"/>
      <c r="CX655" s="197"/>
      <c r="CY655" s="197"/>
      <c r="CZ655" s="197"/>
      <c r="DA655" s="197"/>
      <c r="DB655" s="197"/>
      <c r="DC655" s="197"/>
      <c r="DD655" s="197"/>
      <c r="DE655" s="197"/>
      <c r="DF655" s="197"/>
      <c r="DG655" s="197"/>
      <c r="DH655" s="197"/>
    </row>
    <row r="656" ht="20.25" customHeight="1">
      <c r="A656" s="448">
        <v>656.0</v>
      </c>
      <c r="B656" s="196" t="s">
        <v>145</v>
      </c>
      <c r="C656" s="196" t="s">
        <v>108</v>
      </c>
      <c r="D656" s="196" t="s">
        <v>983</v>
      </c>
      <c r="E656" s="197"/>
      <c r="F656" s="962" t="s">
        <v>3490</v>
      </c>
      <c r="G656" s="963" t="s">
        <v>3525</v>
      </c>
      <c r="H656" s="942" t="s">
        <v>137</v>
      </c>
      <c r="I656" s="964">
        <v>45489.0</v>
      </c>
      <c r="J656" s="965">
        <v>45639.0</v>
      </c>
      <c r="K656" s="942" t="s">
        <v>3517</v>
      </c>
      <c r="L656" s="962"/>
      <c r="M656" s="942" t="s">
        <v>3493</v>
      </c>
      <c r="N656" s="942" t="s">
        <v>3494</v>
      </c>
      <c r="O656" s="966">
        <v>3.0</v>
      </c>
      <c r="P656" s="942" t="s">
        <v>3495</v>
      </c>
      <c r="Q656" s="943" t="str">
        <f t="array" ref="Q656"> if(iserror(MATCH(V656, 'File Links'!C:C, 0)), "N/A", HYPERLINK(INDEX('File Links'!B:B, MATCH(P656, 'File Links'!C:C, 0))))</f>
        <v>N/A</v>
      </c>
      <c r="R656" s="942" t="s">
        <v>3496</v>
      </c>
      <c r="S656" s="942" t="s">
        <v>3497</v>
      </c>
      <c r="T656" s="967" t="s">
        <v>3486</v>
      </c>
      <c r="U656" s="966">
        <v>3.0</v>
      </c>
      <c r="V656" s="198" t="str">
        <f t="shared" si="36"/>
        <v>10.17605--osf.io--e5k4j.pdf</v>
      </c>
      <c r="W656" s="198" t="s">
        <v>202</v>
      </c>
      <c r="X656" s="451" t="str">
        <f t="array" ref="X656"> if(iserror(MATCH(V656, 'File Links'!C:C, 0)), "N/A", HYPERLINK(INDEX('File Links'!B:B, MATCH(V656, 'File Links'!C:C, 0))))</f>
        <v>N/A</v>
      </c>
      <c r="Y656" s="962"/>
      <c r="Z656" s="942" t="s">
        <v>2038</v>
      </c>
      <c r="AA656" s="942" t="s">
        <v>3498</v>
      </c>
      <c r="AB656" s="962" t="s">
        <v>3499</v>
      </c>
      <c r="AC656" s="942" t="s">
        <v>3526</v>
      </c>
      <c r="AD656" s="962"/>
      <c r="AE656" s="966">
        <v>4.0</v>
      </c>
      <c r="AF656" s="966">
        <v>70.0</v>
      </c>
      <c r="AG656" s="968">
        <v>0.65</v>
      </c>
      <c r="AH656" s="969" t="s">
        <v>1249</v>
      </c>
      <c r="AI656" s="204" t="s">
        <v>3502</v>
      </c>
      <c r="AJ656" s="973">
        <v>0.001</v>
      </c>
      <c r="AK656" s="942" t="s">
        <v>128</v>
      </c>
      <c r="AL656" s="970" t="s">
        <v>179</v>
      </c>
      <c r="AM656" s="962" t="s">
        <v>130</v>
      </c>
      <c r="AN656" s="202" t="s">
        <v>131</v>
      </c>
      <c r="AO656" s="966">
        <v>600.0</v>
      </c>
      <c r="AP656" s="968">
        <v>0.06</v>
      </c>
      <c r="AQ656" s="969" t="s">
        <v>1249</v>
      </c>
      <c r="AR656" s="945" t="s">
        <v>3503</v>
      </c>
      <c r="AS656" s="966">
        <v>0.292</v>
      </c>
      <c r="AT656" s="942" t="s">
        <v>165</v>
      </c>
      <c r="AU656" s="942" t="s">
        <v>179</v>
      </c>
      <c r="AV656" s="962" t="s">
        <v>130</v>
      </c>
      <c r="AW656" s="947" t="s">
        <v>3504</v>
      </c>
      <c r="AX656" s="962" t="s">
        <v>136</v>
      </c>
      <c r="AY656" s="201"/>
      <c r="AZ656" s="196" t="s">
        <v>685</v>
      </c>
      <c r="BA656" s="197"/>
      <c r="BB656" s="197"/>
      <c r="BC656" s="197"/>
      <c r="BD656" s="197"/>
      <c r="BE656" s="197"/>
      <c r="BF656" s="197"/>
      <c r="BG656" s="197"/>
      <c r="BH656" s="197"/>
      <c r="BI656" s="197"/>
      <c r="BJ656" s="197"/>
      <c r="BK656" s="197"/>
      <c r="BL656" s="197"/>
      <c r="BM656" s="197"/>
      <c r="BN656" s="197"/>
      <c r="BO656" s="197"/>
      <c r="BP656" s="197"/>
      <c r="BQ656" s="197"/>
      <c r="BR656" s="197"/>
      <c r="BS656" s="197"/>
      <c r="BT656" s="197"/>
      <c r="BU656" s="197"/>
      <c r="BV656" s="197"/>
      <c r="BW656" s="197"/>
      <c r="BX656" s="197"/>
      <c r="BY656" s="197"/>
      <c r="BZ656" s="197"/>
      <c r="CA656" s="197"/>
      <c r="CB656" s="197"/>
      <c r="CC656" s="197"/>
      <c r="CD656" s="197"/>
      <c r="CE656" s="197"/>
      <c r="CF656" s="197"/>
      <c r="CG656" s="197"/>
      <c r="CH656" s="197"/>
      <c r="CI656" s="197"/>
      <c r="CJ656" s="197"/>
      <c r="CK656" s="197"/>
      <c r="CL656" s="197"/>
      <c r="CM656" s="197"/>
      <c r="CN656" s="197"/>
      <c r="CO656" s="197"/>
      <c r="CP656" s="197"/>
      <c r="CQ656" s="197"/>
      <c r="CR656" s="197"/>
      <c r="CS656" s="197"/>
      <c r="CT656" s="197"/>
      <c r="CU656" s="197"/>
      <c r="CV656" s="197"/>
      <c r="CW656" s="197"/>
      <c r="CX656" s="197"/>
      <c r="CY656" s="197"/>
      <c r="CZ656" s="197"/>
      <c r="DA656" s="197"/>
      <c r="DB656" s="197"/>
      <c r="DC656" s="197"/>
      <c r="DD656" s="197"/>
      <c r="DE656" s="197"/>
      <c r="DF656" s="197"/>
      <c r="DG656" s="197"/>
      <c r="DH656" s="197"/>
    </row>
    <row r="657" ht="20.25" customHeight="1">
      <c r="A657" s="686">
        <v>657.0</v>
      </c>
      <c r="B657" s="185" t="s">
        <v>107</v>
      </c>
      <c r="C657" s="185" t="s">
        <v>108</v>
      </c>
      <c r="D657" s="185" t="s">
        <v>214</v>
      </c>
      <c r="E657" s="186"/>
      <c r="F657" s="974" t="s">
        <v>3490</v>
      </c>
      <c r="G657" s="975" t="s">
        <v>3491</v>
      </c>
      <c r="H657" s="974" t="s">
        <v>214</v>
      </c>
      <c r="I657" s="976">
        <v>45684.0</v>
      </c>
      <c r="J657" s="976">
        <v>45685.0</v>
      </c>
      <c r="K657" s="974" t="s">
        <v>1094</v>
      </c>
      <c r="L657" s="977"/>
      <c r="M657" s="974" t="s">
        <v>3493</v>
      </c>
      <c r="N657" s="974" t="s">
        <v>3494</v>
      </c>
      <c r="O657" s="978"/>
      <c r="P657" s="974" t="s">
        <v>3495</v>
      </c>
      <c r="Q657" s="979" t="str">
        <f t="array" ref="Q657"> if(iserror(MATCH(V657, 'File Links'!C:C, 0)), "N/A", HYPERLINK(INDEX('File Links'!B:B, MATCH(P657, 'File Links'!C:C, 0))))</f>
        <v>N/A</v>
      </c>
      <c r="R657" s="974" t="s">
        <v>3496</v>
      </c>
      <c r="S657" s="974" t="s">
        <v>3497</v>
      </c>
      <c r="T657" s="980" t="s">
        <v>3486</v>
      </c>
      <c r="U657" s="978"/>
      <c r="V657" s="195" t="str">
        <f t="shared" si="36"/>
        <v>10.17605--osf.io--e5k4j.pdf</v>
      </c>
      <c r="W657" s="195" t="s">
        <v>1096</v>
      </c>
      <c r="X657" s="190" t="str">
        <f t="array" ref="X657"> if(iserror(MATCH(V657, 'File Links'!C:C, 0)), "N/A", HYPERLINK(INDEX('File Links'!B:B, MATCH(V657, 'File Links'!C:C, 0))))</f>
        <v>N/A</v>
      </c>
      <c r="Y657" s="977"/>
      <c r="Z657" s="974" t="s">
        <v>203</v>
      </c>
      <c r="AA657" s="974" t="s">
        <v>3527</v>
      </c>
      <c r="AB657" s="974" t="s">
        <v>3528</v>
      </c>
      <c r="AC657" s="974" t="s">
        <v>3529</v>
      </c>
      <c r="AD657" s="974" t="s">
        <v>3530</v>
      </c>
      <c r="AE657" s="981">
        <v>415.0</v>
      </c>
      <c r="AF657" s="982">
        <v>31.0</v>
      </c>
      <c r="AG657" s="981">
        <v>0.198</v>
      </c>
      <c r="AH657" s="974" t="s">
        <v>1249</v>
      </c>
      <c r="AI657" s="974" t="s">
        <v>3531</v>
      </c>
      <c r="AJ657" s="983">
        <v>0.018</v>
      </c>
      <c r="AK657" s="975" t="s">
        <v>165</v>
      </c>
      <c r="AL657" s="975" t="s">
        <v>129</v>
      </c>
      <c r="AM657" s="974" t="s">
        <v>130</v>
      </c>
      <c r="AN657" s="975" t="s">
        <v>131</v>
      </c>
      <c r="AO657" s="981">
        <v>8.0</v>
      </c>
      <c r="AP657" s="981">
        <v>0.28</v>
      </c>
      <c r="AQ657" s="974" t="s">
        <v>2798</v>
      </c>
      <c r="AR657" s="974" t="s">
        <v>606</v>
      </c>
      <c r="AS657" s="981">
        <v>0.658</v>
      </c>
      <c r="AT657" s="974" t="s">
        <v>165</v>
      </c>
      <c r="AU657" s="974" t="s">
        <v>129</v>
      </c>
      <c r="AV657" s="974" t="s">
        <v>130</v>
      </c>
      <c r="AW657" s="984" t="s">
        <v>3504</v>
      </c>
      <c r="AX657" s="985" t="s">
        <v>144</v>
      </c>
      <c r="AY657" s="186"/>
      <c r="AZ657" s="196" t="s">
        <v>685</v>
      </c>
      <c r="BA657" s="186"/>
      <c r="BB657" s="186"/>
      <c r="BC657" s="186"/>
      <c r="BD657" s="186"/>
      <c r="BE657" s="186"/>
      <c r="BF657" s="186"/>
      <c r="BG657" s="186"/>
      <c r="BH657" s="186"/>
      <c r="BI657" s="186"/>
      <c r="BJ657" s="186"/>
      <c r="BK657" s="186"/>
      <c r="BL657" s="186"/>
      <c r="BM657" s="186"/>
      <c r="BN657" s="186"/>
      <c r="BO657" s="186"/>
      <c r="BP657" s="186"/>
      <c r="BQ657" s="186"/>
      <c r="BR657" s="186"/>
      <c r="BS657" s="186"/>
      <c r="BT657" s="186"/>
      <c r="BU657" s="186"/>
      <c r="BV657" s="186"/>
      <c r="BW657" s="186"/>
      <c r="BX657" s="186"/>
      <c r="BY657" s="186"/>
      <c r="BZ657" s="186"/>
      <c r="CA657" s="186"/>
      <c r="CB657" s="186"/>
      <c r="CC657" s="186"/>
      <c r="CD657" s="186"/>
      <c r="CE657" s="186"/>
      <c r="CF657" s="186"/>
      <c r="CG657" s="186"/>
      <c r="CH657" s="186"/>
      <c r="CI657" s="186"/>
      <c r="CJ657" s="186"/>
      <c r="CK657" s="186"/>
      <c r="CL657" s="186"/>
      <c r="CM657" s="186"/>
      <c r="CN657" s="186"/>
      <c r="CO657" s="186"/>
      <c r="CP657" s="186"/>
      <c r="CQ657" s="186"/>
      <c r="CR657" s="186"/>
      <c r="CS657" s="186"/>
      <c r="CT657" s="186"/>
      <c r="CU657" s="186"/>
      <c r="CV657" s="186"/>
      <c r="CW657" s="186"/>
      <c r="CX657" s="186"/>
      <c r="CY657" s="186"/>
      <c r="CZ657" s="186"/>
      <c r="DA657" s="186"/>
      <c r="DB657" s="186"/>
      <c r="DC657" s="186"/>
      <c r="DD657" s="186"/>
      <c r="DE657" s="186"/>
      <c r="DF657" s="186"/>
      <c r="DG657" s="186"/>
      <c r="DH657" s="186"/>
    </row>
    <row r="658" ht="20.25" customHeight="1">
      <c r="A658" s="686">
        <v>658.0</v>
      </c>
      <c r="B658" s="185" t="s">
        <v>107</v>
      </c>
      <c r="C658" s="185" t="s">
        <v>108</v>
      </c>
      <c r="D658" s="185" t="s">
        <v>214</v>
      </c>
      <c r="E658" s="186"/>
      <c r="F658" s="974" t="s">
        <v>3490</v>
      </c>
      <c r="G658" s="975" t="s">
        <v>3505</v>
      </c>
      <c r="H658" s="974" t="s">
        <v>214</v>
      </c>
      <c r="I658" s="976">
        <v>45684.0</v>
      </c>
      <c r="J658" s="976">
        <v>45685.0</v>
      </c>
      <c r="K658" s="974" t="s">
        <v>1094</v>
      </c>
      <c r="L658" s="977"/>
      <c r="M658" s="974" t="s">
        <v>3493</v>
      </c>
      <c r="N658" s="974" t="s">
        <v>3494</v>
      </c>
      <c r="O658" s="978"/>
      <c r="P658" s="974" t="s">
        <v>3495</v>
      </c>
      <c r="Q658" s="979" t="str">
        <f t="array" ref="Q658"> if(iserror(MATCH(V658, 'File Links'!C:C, 0)), "N/A", HYPERLINK(INDEX('File Links'!B:B, MATCH(P658, 'File Links'!C:C, 0))))</f>
        <v>N/A</v>
      </c>
      <c r="R658" s="974" t="s">
        <v>3496</v>
      </c>
      <c r="S658" s="974" t="s">
        <v>3497</v>
      </c>
      <c r="T658" s="980" t="s">
        <v>3486</v>
      </c>
      <c r="U658" s="978"/>
      <c r="V658" s="195" t="str">
        <f t="shared" si="36"/>
        <v>10.17605--osf.io--e5k4j.pdf</v>
      </c>
      <c r="W658" s="195" t="s">
        <v>1096</v>
      </c>
      <c r="X658" s="190" t="str">
        <f t="array" ref="X658"> if(iserror(MATCH(V658, 'File Links'!C:C, 0)), "N/A", HYPERLINK(INDEX('File Links'!B:B, MATCH(V658, 'File Links'!C:C, 0))))</f>
        <v>N/A</v>
      </c>
      <c r="Y658" s="977"/>
      <c r="Z658" s="974" t="s">
        <v>203</v>
      </c>
      <c r="AA658" s="974" t="s">
        <v>3527</v>
      </c>
      <c r="AB658" s="974" t="s">
        <v>3528</v>
      </c>
      <c r="AC658" s="974" t="s">
        <v>3532</v>
      </c>
      <c r="AD658" s="974" t="s">
        <v>3533</v>
      </c>
      <c r="AE658" s="981">
        <v>415.0</v>
      </c>
      <c r="AF658" s="982">
        <v>71.0</v>
      </c>
      <c r="AG658" s="981">
        <v>0.217</v>
      </c>
      <c r="AH658" s="974" t="s">
        <v>1249</v>
      </c>
      <c r="AI658" s="974" t="s">
        <v>3531</v>
      </c>
      <c r="AJ658" s="983">
        <v>0.008</v>
      </c>
      <c r="AK658" s="975" t="s">
        <v>165</v>
      </c>
      <c r="AL658" s="975" t="s">
        <v>129</v>
      </c>
      <c r="AM658" s="974" t="s">
        <v>130</v>
      </c>
      <c r="AN658" s="975" t="s">
        <v>131</v>
      </c>
      <c r="AO658" s="981">
        <v>8.0</v>
      </c>
      <c r="AP658" s="981">
        <v>0.31</v>
      </c>
      <c r="AQ658" s="974" t="s">
        <v>2798</v>
      </c>
      <c r="AR658" s="974" t="s">
        <v>606</v>
      </c>
      <c r="AS658" s="981">
        <v>0.217</v>
      </c>
      <c r="AT658" s="974" t="s">
        <v>165</v>
      </c>
      <c r="AU658" s="974" t="s">
        <v>129</v>
      </c>
      <c r="AV658" s="974" t="s">
        <v>130</v>
      </c>
      <c r="AW658" s="984" t="s">
        <v>3504</v>
      </c>
      <c r="AX658" s="985" t="s">
        <v>144</v>
      </c>
      <c r="AY658" s="186"/>
      <c r="AZ658" s="196" t="s">
        <v>685</v>
      </c>
      <c r="BA658" s="186"/>
      <c r="BB658" s="186"/>
      <c r="BC658" s="186"/>
      <c r="BD658" s="186"/>
      <c r="BE658" s="186"/>
      <c r="BF658" s="186"/>
      <c r="BG658" s="186"/>
      <c r="BH658" s="186"/>
      <c r="BI658" s="186"/>
      <c r="BJ658" s="186"/>
      <c r="BK658" s="186"/>
      <c r="BL658" s="186"/>
      <c r="BM658" s="186"/>
      <c r="BN658" s="186"/>
      <c r="BO658" s="186"/>
      <c r="BP658" s="186"/>
      <c r="BQ658" s="186"/>
      <c r="BR658" s="186"/>
      <c r="BS658" s="186"/>
      <c r="BT658" s="186"/>
      <c r="BU658" s="186"/>
      <c r="BV658" s="186"/>
      <c r="BW658" s="186"/>
      <c r="BX658" s="186"/>
      <c r="BY658" s="186"/>
      <c r="BZ658" s="186"/>
      <c r="CA658" s="186"/>
      <c r="CB658" s="186"/>
      <c r="CC658" s="186"/>
      <c r="CD658" s="186"/>
      <c r="CE658" s="186"/>
      <c r="CF658" s="186"/>
      <c r="CG658" s="186"/>
      <c r="CH658" s="186"/>
      <c r="CI658" s="186"/>
      <c r="CJ658" s="186"/>
      <c r="CK658" s="186"/>
      <c r="CL658" s="186"/>
      <c r="CM658" s="186"/>
      <c r="CN658" s="186"/>
      <c r="CO658" s="186"/>
      <c r="CP658" s="186"/>
      <c r="CQ658" s="186"/>
      <c r="CR658" s="186"/>
      <c r="CS658" s="186"/>
      <c r="CT658" s="186"/>
      <c r="CU658" s="186"/>
      <c r="CV658" s="186"/>
      <c r="CW658" s="186"/>
      <c r="CX658" s="186"/>
      <c r="CY658" s="186"/>
      <c r="CZ658" s="186"/>
      <c r="DA658" s="186"/>
      <c r="DB658" s="186"/>
      <c r="DC658" s="186"/>
      <c r="DD658" s="186"/>
      <c r="DE658" s="186"/>
      <c r="DF658" s="186"/>
      <c r="DG658" s="186"/>
      <c r="DH658" s="186"/>
    </row>
    <row r="659" ht="20.25" customHeight="1">
      <c r="A659" s="686">
        <v>659.0</v>
      </c>
      <c r="B659" s="185" t="s">
        <v>107</v>
      </c>
      <c r="C659" s="185" t="s">
        <v>108</v>
      </c>
      <c r="D659" s="185" t="s">
        <v>214</v>
      </c>
      <c r="E659" s="186"/>
      <c r="F659" s="195" t="s">
        <v>3490</v>
      </c>
      <c r="G659" s="55" t="s">
        <v>3510</v>
      </c>
      <c r="H659" s="195" t="s">
        <v>214</v>
      </c>
      <c r="I659" s="188">
        <v>45684.0</v>
      </c>
      <c r="J659" s="188">
        <v>45685.0</v>
      </c>
      <c r="K659" s="195" t="s">
        <v>1094</v>
      </c>
      <c r="L659" s="187"/>
      <c r="M659" s="195" t="s">
        <v>3493</v>
      </c>
      <c r="N659" s="195" t="s">
        <v>3494</v>
      </c>
      <c r="O659" s="539"/>
      <c r="P659" s="974" t="s">
        <v>3495</v>
      </c>
      <c r="Q659" s="979" t="str">
        <f t="array" ref="Q659"> if(iserror(MATCH(V659, 'File Links'!C:C, 0)), "N/A", HYPERLINK(INDEX('File Links'!B:B, MATCH(P659, 'File Links'!C:C, 0))))</f>
        <v>N/A</v>
      </c>
      <c r="R659" s="195" t="s">
        <v>3496</v>
      </c>
      <c r="S659" s="974" t="s">
        <v>3497</v>
      </c>
      <c r="T659" s="986" t="s">
        <v>3486</v>
      </c>
      <c r="U659" s="539"/>
      <c r="V659" s="195" t="str">
        <f t="shared" si="36"/>
        <v>10.17605--osf.io--e5k4j.pdf</v>
      </c>
      <c r="W659" s="195" t="s">
        <v>1096</v>
      </c>
      <c r="X659" s="190" t="str">
        <f t="array" ref="X659"> if(iserror(MATCH(V659, 'File Links'!C:C, 0)), "N/A", HYPERLINK(INDEX('File Links'!B:B, MATCH(V659, 'File Links'!C:C, 0))))</f>
        <v>N/A</v>
      </c>
      <c r="Y659" s="187"/>
      <c r="Z659" s="195" t="s">
        <v>203</v>
      </c>
      <c r="AA659" s="195" t="s">
        <v>3527</v>
      </c>
      <c r="AB659" s="195" t="s">
        <v>3528</v>
      </c>
      <c r="AC659" s="974" t="s">
        <v>3534</v>
      </c>
      <c r="AD659" s="195" t="s">
        <v>3535</v>
      </c>
      <c r="AE659" s="755">
        <v>416.0</v>
      </c>
      <c r="AF659" s="987">
        <v>51.0</v>
      </c>
      <c r="AG659" s="755">
        <v>0.5</v>
      </c>
      <c r="AH659" s="195" t="s">
        <v>1249</v>
      </c>
      <c r="AI659" s="195" t="s">
        <v>3536</v>
      </c>
      <c r="AJ659" s="988">
        <v>0.001</v>
      </c>
      <c r="AK659" s="55" t="s">
        <v>128</v>
      </c>
      <c r="AL659" s="55" t="s">
        <v>129</v>
      </c>
      <c r="AM659" s="195" t="s">
        <v>130</v>
      </c>
      <c r="AN659" s="55" t="s">
        <v>131</v>
      </c>
      <c r="AO659" s="755">
        <v>9.0</v>
      </c>
      <c r="AP659" s="755">
        <v>0.71</v>
      </c>
      <c r="AQ659" s="195" t="s">
        <v>2798</v>
      </c>
      <c r="AR659" s="195" t="s">
        <v>621</v>
      </c>
      <c r="AS659" s="755">
        <v>0.247</v>
      </c>
      <c r="AT659" s="195" t="s">
        <v>165</v>
      </c>
      <c r="AU659" s="195" t="s">
        <v>129</v>
      </c>
      <c r="AV659" s="195" t="s">
        <v>130</v>
      </c>
      <c r="AW659" s="989" t="s">
        <v>3504</v>
      </c>
      <c r="AX659" s="990" t="s">
        <v>144</v>
      </c>
      <c r="AY659" s="186"/>
      <c r="AZ659" s="196" t="s">
        <v>685</v>
      </c>
      <c r="BA659" s="186"/>
      <c r="BB659" s="186"/>
      <c r="BC659" s="186"/>
      <c r="BD659" s="186"/>
      <c r="BE659" s="186"/>
      <c r="BF659" s="186"/>
      <c r="BG659" s="186"/>
      <c r="BH659" s="186"/>
      <c r="BI659" s="186"/>
      <c r="BJ659" s="186"/>
      <c r="BK659" s="186"/>
      <c r="BL659" s="186"/>
      <c r="BM659" s="186"/>
      <c r="BN659" s="186"/>
      <c r="BO659" s="186"/>
      <c r="BP659" s="186"/>
      <c r="BQ659" s="186"/>
      <c r="BR659" s="186"/>
      <c r="BS659" s="186"/>
      <c r="BT659" s="186"/>
      <c r="BU659" s="186"/>
      <c r="BV659" s="186"/>
      <c r="BW659" s="186"/>
      <c r="BX659" s="186"/>
      <c r="BY659" s="186"/>
      <c r="BZ659" s="186"/>
      <c r="CA659" s="186"/>
      <c r="CB659" s="186"/>
      <c r="CC659" s="186"/>
      <c r="CD659" s="186"/>
      <c r="CE659" s="186"/>
      <c r="CF659" s="186"/>
      <c r="CG659" s="186"/>
      <c r="CH659" s="186"/>
      <c r="CI659" s="186"/>
      <c r="CJ659" s="186"/>
      <c r="CK659" s="186"/>
      <c r="CL659" s="186"/>
      <c r="CM659" s="186"/>
      <c r="CN659" s="186"/>
      <c r="CO659" s="186"/>
      <c r="CP659" s="186"/>
      <c r="CQ659" s="186"/>
      <c r="CR659" s="186"/>
      <c r="CS659" s="186"/>
      <c r="CT659" s="186"/>
      <c r="CU659" s="186"/>
      <c r="CV659" s="186"/>
      <c r="CW659" s="186"/>
      <c r="CX659" s="186"/>
      <c r="CY659" s="186"/>
      <c r="CZ659" s="186"/>
      <c r="DA659" s="186"/>
      <c r="DB659" s="186"/>
      <c r="DC659" s="186"/>
      <c r="DD659" s="186"/>
      <c r="DE659" s="186"/>
      <c r="DF659" s="186"/>
      <c r="DG659" s="186"/>
      <c r="DH659" s="186"/>
    </row>
    <row r="660" ht="20.25" customHeight="1">
      <c r="A660" s="686">
        <v>660.0</v>
      </c>
      <c r="B660" s="185" t="s">
        <v>107</v>
      </c>
      <c r="C660" s="185" t="s">
        <v>108</v>
      </c>
      <c r="D660" s="185" t="s">
        <v>214</v>
      </c>
      <c r="E660" s="186"/>
      <c r="F660" s="195" t="s">
        <v>3490</v>
      </c>
      <c r="G660" s="55" t="s">
        <v>3513</v>
      </c>
      <c r="H660" s="195" t="s">
        <v>214</v>
      </c>
      <c r="I660" s="188">
        <v>45684.0</v>
      </c>
      <c r="J660" s="188">
        <v>45685.0</v>
      </c>
      <c r="K660" s="195" t="s">
        <v>1094</v>
      </c>
      <c r="L660" s="187"/>
      <c r="M660" s="195" t="s">
        <v>3493</v>
      </c>
      <c r="N660" s="195" t="s">
        <v>3494</v>
      </c>
      <c r="O660" s="539"/>
      <c r="P660" s="974" t="s">
        <v>3495</v>
      </c>
      <c r="Q660" s="979" t="str">
        <f t="array" ref="Q660"> if(iserror(MATCH(V660, 'File Links'!C:C, 0)), "N/A", HYPERLINK(INDEX('File Links'!B:B, MATCH(P660, 'File Links'!C:C, 0))))</f>
        <v>N/A</v>
      </c>
      <c r="R660" s="195" t="s">
        <v>3496</v>
      </c>
      <c r="S660" s="974" t="s">
        <v>3497</v>
      </c>
      <c r="T660" s="986" t="s">
        <v>3486</v>
      </c>
      <c r="U660" s="539"/>
      <c r="V660" s="195" t="str">
        <f t="shared" si="36"/>
        <v>10.17605--osf.io--e5k4j.pdf</v>
      </c>
      <c r="W660" s="195" t="s">
        <v>1096</v>
      </c>
      <c r="X660" s="190" t="str">
        <f t="array" ref="X660"> if(iserror(MATCH(V660, 'File Links'!C:C, 0)), "N/A", HYPERLINK(INDEX('File Links'!B:B, MATCH(V660, 'File Links'!C:C, 0))))</f>
        <v>N/A</v>
      </c>
      <c r="Y660" s="187"/>
      <c r="Z660" s="195" t="s">
        <v>203</v>
      </c>
      <c r="AA660" s="195" t="s">
        <v>3527</v>
      </c>
      <c r="AB660" s="195" t="s">
        <v>3528</v>
      </c>
      <c r="AC660" s="195" t="s">
        <v>3537</v>
      </c>
      <c r="AD660" s="187"/>
      <c r="AE660" s="755">
        <v>416.0</v>
      </c>
      <c r="AF660" s="987">
        <v>52.0</v>
      </c>
      <c r="AG660" s="755">
        <v>0.55</v>
      </c>
      <c r="AH660" s="195" t="s">
        <v>1249</v>
      </c>
      <c r="AI660" s="195" t="s">
        <v>3536</v>
      </c>
      <c r="AJ660" s="988">
        <v>0.001</v>
      </c>
      <c r="AK660" s="55" t="s">
        <v>128</v>
      </c>
      <c r="AL660" s="55" t="s">
        <v>129</v>
      </c>
      <c r="AM660" s="195" t="s">
        <v>130</v>
      </c>
      <c r="AN660" s="55" t="s">
        <v>131</v>
      </c>
      <c r="AO660" s="755">
        <v>9.0</v>
      </c>
      <c r="AP660" s="747">
        <v>0.78</v>
      </c>
      <c r="AQ660" s="195" t="s">
        <v>2798</v>
      </c>
      <c r="AR660" s="195" t="s">
        <v>621</v>
      </c>
      <c r="AS660" s="755">
        <v>0.995</v>
      </c>
      <c r="AT660" s="195" t="s">
        <v>165</v>
      </c>
      <c r="AU660" s="195" t="s">
        <v>129</v>
      </c>
      <c r="AV660" s="195" t="s">
        <v>130</v>
      </c>
      <c r="AW660" s="989" t="s">
        <v>3504</v>
      </c>
      <c r="AX660" s="990" t="s">
        <v>144</v>
      </c>
      <c r="AY660" s="186"/>
      <c r="AZ660" s="196" t="s">
        <v>685</v>
      </c>
      <c r="BA660" s="186"/>
      <c r="BB660" s="186"/>
      <c r="BC660" s="186"/>
      <c r="BD660" s="186"/>
      <c r="BE660" s="186"/>
      <c r="BF660" s="186"/>
      <c r="BG660" s="186"/>
      <c r="BH660" s="186"/>
      <c r="BI660" s="186"/>
      <c r="BJ660" s="186"/>
      <c r="BK660" s="186"/>
      <c r="BL660" s="186"/>
      <c r="BM660" s="186"/>
      <c r="BN660" s="186"/>
      <c r="BO660" s="186"/>
      <c r="BP660" s="186"/>
      <c r="BQ660" s="186"/>
      <c r="BR660" s="186"/>
      <c r="BS660" s="186"/>
      <c r="BT660" s="186"/>
      <c r="BU660" s="186"/>
      <c r="BV660" s="186"/>
      <c r="BW660" s="186"/>
      <c r="BX660" s="186"/>
      <c r="BY660" s="186"/>
      <c r="BZ660" s="186"/>
      <c r="CA660" s="186"/>
      <c r="CB660" s="186"/>
      <c r="CC660" s="186"/>
      <c r="CD660" s="186"/>
      <c r="CE660" s="186"/>
      <c r="CF660" s="186"/>
      <c r="CG660" s="186"/>
      <c r="CH660" s="186"/>
      <c r="CI660" s="186"/>
      <c r="CJ660" s="186"/>
      <c r="CK660" s="186"/>
      <c r="CL660" s="186"/>
      <c r="CM660" s="186"/>
      <c r="CN660" s="186"/>
      <c r="CO660" s="186"/>
      <c r="CP660" s="186"/>
      <c r="CQ660" s="186"/>
      <c r="CR660" s="186"/>
      <c r="CS660" s="186"/>
      <c r="CT660" s="186"/>
      <c r="CU660" s="186"/>
      <c r="CV660" s="186"/>
      <c r="CW660" s="186"/>
      <c r="CX660" s="186"/>
      <c r="CY660" s="186"/>
      <c r="CZ660" s="186"/>
      <c r="DA660" s="186"/>
      <c r="DB660" s="186"/>
      <c r="DC660" s="186"/>
      <c r="DD660" s="186"/>
      <c r="DE660" s="186"/>
      <c r="DF660" s="186"/>
      <c r="DG660" s="186"/>
      <c r="DH660" s="186"/>
    </row>
    <row r="661" ht="20.25" customHeight="1">
      <c r="A661" s="686">
        <v>661.0</v>
      </c>
      <c r="B661" s="185" t="s">
        <v>107</v>
      </c>
      <c r="C661" s="185" t="s">
        <v>108</v>
      </c>
      <c r="D661" s="185" t="s">
        <v>214</v>
      </c>
      <c r="E661" s="186"/>
      <c r="F661" s="195" t="s">
        <v>3490</v>
      </c>
      <c r="G661" s="55" t="s">
        <v>3516</v>
      </c>
      <c r="H661" s="195" t="s">
        <v>214</v>
      </c>
      <c r="I661" s="188">
        <v>45684.0</v>
      </c>
      <c r="J661" s="188">
        <v>45685.0</v>
      </c>
      <c r="K661" s="195" t="s">
        <v>1094</v>
      </c>
      <c r="L661" s="187"/>
      <c r="M661" s="195" t="s">
        <v>3493</v>
      </c>
      <c r="N661" s="195" t="s">
        <v>3494</v>
      </c>
      <c r="O661" s="539"/>
      <c r="P661" s="974" t="s">
        <v>3495</v>
      </c>
      <c r="Q661" s="979" t="str">
        <f t="array" ref="Q661"> if(iserror(MATCH(V661, 'File Links'!C:C, 0)), "N/A", HYPERLINK(INDEX('File Links'!B:B, MATCH(P661, 'File Links'!C:C, 0))))</f>
        <v>N/A</v>
      </c>
      <c r="R661" s="195" t="s">
        <v>3496</v>
      </c>
      <c r="S661" s="974" t="s">
        <v>3497</v>
      </c>
      <c r="T661" s="986" t="s">
        <v>3486</v>
      </c>
      <c r="U661" s="539"/>
      <c r="V661" s="195" t="str">
        <f t="shared" si="36"/>
        <v>10.17605--osf.io--e5k4j.pdf</v>
      </c>
      <c r="W661" s="195" t="s">
        <v>1096</v>
      </c>
      <c r="X661" s="190" t="str">
        <f t="array" ref="X661"> if(iserror(MATCH(V661, 'File Links'!C:C, 0)), "N/A", HYPERLINK(INDEX('File Links'!B:B, MATCH(V661, 'File Links'!C:C, 0))))</f>
        <v>N/A</v>
      </c>
      <c r="Y661" s="187"/>
      <c r="Z661" s="195" t="s">
        <v>203</v>
      </c>
      <c r="AA661" s="195" t="s">
        <v>3527</v>
      </c>
      <c r="AB661" s="195" t="s">
        <v>3528</v>
      </c>
      <c r="AC661" s="195" t="s">
        <v>3538</v>
      </c>
      <c r="AD661" s="187" t="s">
        <v>3539</v>
      </c>
      <c r="AE661" s="755">
        <v>416.0</v>
      </c>
      <c r="AF661" s="987">
        <v>35.0</v>
      </c>
      <c r="AG661" s="755">
        <v>0.21</v>
      </c>
      <c r="AH661" s="195" t="s">
        <v>1249</v>
      </c>
      <c r="AI661" s="195" t="s">
        <v>3540</v>
      </c>
      <c r="AJ661" s="988">
        <v>0.05</v>
      </c>
      <c r="AK661" s="55" t="s">
        <v>128</v>
      </c>
      <c r="AL661" s="55" t="s">
        <v>129</v>
      </c>
      <c r="AM661" s="195" t="s">
        <v>130</v>
      </c>
      <c r="AN661" s="55" t="s">
        <v>131</v>
      </c>
      <c r="AO661" s="755">
        <v>10.0</v>
      </c>
      <c r="AP661" s="755">
        <v>0.29</v>
      </c>
      <c r="AQ661" s="195" t="s">
        <v>2798</v>
      </c>
      <c r="AR661" s="195" t="s">
        <v>625</v>
      </c>
      <c r="AS661" s="755">
        <v>0.3</v>
      </c>
      <c r="AT661" s="195" t="s">
        <v>165</v>
      </c>
      <c r="AU661" s="195" t="s">
        <v>129</v>
      </c>
      <c r="AV661" s="195" t="s">
        <v>130</v>
      </c>
      <c r="AW661" s="989" t="s">
        <v>3504</v>
      </c>
      <c r="AX661" s="990" t="s">
        <v>144</v>
      </c>
      <c r="AY661" s="186"/>
      <c r="AZ661" s="196" t="s">
        <v>685</v>
      </c>
      <c r="BA661" s="186"/>
      <c r="BB661" s="186"/>
      <c r="BC661" s="186"/>
      <c r="BD661" s="186"/>
      <c r="BE661" s="186"/>
      <c r="BF661" s="186"/>
      <c r="BG661" s="186"/>
      <c r="BH661" s="186"/>
      <c r="BI661" s="186"/>
      <c r="BJ661" s="186"/>
      <c r="BK661" s="186"/>
      <c r="BL661" s="186"/>
      <c r="BM661" s="186"/>
      <c r="BN661" s="186"/>
      <c r="BO661" s="186"/>
      <c r="BP661" s="186"/>
      <c r="BQ661" s="186"/>
      <c r="BR661" s="186"/>
      <c r="BS661" s="186"/>
      <c r="BT661" s="186"/>
      <c r="BU661" s="186"/>
      <c r="BV661" s="186"/>
      <c r="BW661" s="186"/>
      <c r="BX661" s="186"/>
      <c r="BY661" s="186"/>
      <c r="BZ661" s="186"/>
      <c r="CA661" s="186"/>
      <c r="CB661" s="186"/>
      <c r="CC661" s="186"/>
      <c r="CD661" s="186"/>
      <c r="CE661" s="186"/>
      <c r="CF661" s="186"/>
      <c r="CG661" s="186"/>
      <c r="CH661" s="186"/>
      <c r="CI661" s="186"/>
      <c r="CJ661" s="186"/>
      <c r="CK661" s="186"/>
      <c r="CL661" s="186"/>
      <c r="CM661" s="186"/>
      <c r="CN661" s="186"/>
      <c r="CO661" s="186"/>
      <c r="CP661" s="186"/>
      <c r="CQ661" s="186"/>
      <c r="CR661" s="186"/>
      <c r="CS661" s="186"/>
      <c r="CT661" s="186"/>
      <c r="CU661" s="186"/>
      <c r="CV661" s="186"/>
      <c r="CW661" s="186"/>
      <c r="CX661" s="186"/>
      <c r="CY661" s="186"/>
      <c r="CZ661" s="186"/>
      <c r="DA661" s="186"/>
      <c r="DB661" s="186"/>
      <c r="DC661" s="186"/>
      <c r="DD661" s="186"/>
      <c r="DE661" s="186"/>
      <c r="DF661" s="186"/>
      <c r="DG661" s="186"/>
      <c r="DH661" s="186"/>
    </row>
    <row r="662" ht="20.25" customHeight="1">
      <c r="A662" s="686">
        <v>662.0</v>
      </c>
      <c r="B662" s="185" t="s">
        <v>107</v>
      </c>
      <c r="C662" s="185" t="s">
        <v>108</v>
      </c>
      <c r="D662" s="185" t="s">
        <v>214</v>
      </c>
      <c r="E662" s="186"/>
      <c r="F662" s="195" t="s">
        <v>3490</v>
      </c>
      <c r="G662" s="55" t="s">
        <v>3519</v>
      </c>
      <c r="H662" s="195" t="s">
        <v>214</v>
      </c>
      <c r="I662" s="188">
        <v>45684.0</v>
      </c>
      <c r="J662" s="188">
        <v>45685.0</v>
      </c>
      <c r="K662" s="195" t="s">
        <v>1094</v>
      </c>
      <c r="L662" s="187"/>
      <c r="M662" s="195" t="s">
        <v>3493</v>
      </c>
      <c r="N662" s="195" t="s">
        <v>3494</v>
      </c>
      <c r="O662" s="539"/>
      <c r="P662" s="974" t="s">
        <v>3495</v>
      </c>
      <c r="Q662" s="979" t="str">
        <f t="array" ref="Q662"> if(iserror(MATCH(V662, 'File Links'!C:C, 0)), "N/A", HYPERLINK(INDEX('File Links'!B:B, MATCH(P662, 'File Links'!C:C, 0))))</f>
        <v>N/A</v>
      </c>
      <c r="R662" s="195" t="s">
        <v>3496</v>
      </c>
      <c r="S662" s="974" t="s">
        <v>3497</v>
      </c>
      <c r="T662" s="986" t="s">
        <v>3486</v>
      </c>
      <c r="U662" s="539"/>
      <c r="V662" s="195" t="str">
        <f t="shared" si="36"/>
        <v>10.17605--osf.io--e5k4j.pdf</v>
      </c>
      <c r="W662" s="195" t="s">
        <v>1096</v>
      </c>
      <c r="X662" s="190" t="str">
        <f t="array" ref="X662"> if(iserror(MATCH(V662, 'File Links'!C:C, 0)), "N/A", HYPERLINK(INDEX('File Links'!B:B, MATCH(V662, 'File Links'!C:C, 0))))</f>
        <v>N/A</v>
      </c>
      <c r="Y662" s="187"/>
      <c r="Z662" s="195" t="s">
        <v>203</v>
      </c>
      <c r="AA662" s="195" t="s">
        <v>3527</v>
      </c>
      <c r="AB662" s="195" t="s">
        <v>3528</v>
      </c>
      <c r="AC662" s="974" t="s">
        <v>3541</v>
      </c>
      <c r="AD662" s="187" t="s">
        <v>3542</v>
      </c>
      <c r="AE662" s="755">
        <v>417.0</v>
      </c>
      <c r="AF662" s="987">
        <v>35.0</v>
      </c>
      <c r="AG662" s="755">
        <v>0.46</v>
      </c>
      <c r="AH662" s="195" t="s">
        <v>1249</v>
      </c>
      <c r="AI662" s="195" t="s">
        <v>3540</v>
      </c>
      <c r="AJ662" s="988">
        <v>0.001</v>
      </c>
      <c r="AK662" s="55" t="s">
        <v>128</v>
      </c>
      <c r="AL662" s="55" t="s">
        <v>129</v>
      </c>
      <c r="AM662" s="195" t="s">
        <v>130</v>
      </c>
      <c r="AN662" s="55" t="s">
        <v>131</v>
      </c>
      <c r="AO662" s="755">
        <v>10.0</v>
      </c>
      <c r="AP662" s="755">
        <v>0.32</v>
      </c>
      <c r="AQ662" s="195" t="s">
        <v>2798</v>
      </c>
      <c r="AR662" s="195" t="s">
        <v>625</v>
      </c>
      <c r="AS662" s="755">
        <v>0.455</v>
      </c>
      <c r="AT662" s="195" t="s">
        <v>165</v>
      </c>
      <c r="AU662" s="195" t="s">
        <v>129</v>
      </c>
      <c r="AV662" s="195" t="s">
        <v>130</v>
      </c>
      <c r="AW662" s="989" t="s">
        <v>3504</v>
      </c>
      <c r="AX662" s="990" t="s">
        <v>144</v>
      </c>
      <c r="AY662" s="186"/>
      <c r="AZ662" s="196" t="s">
        <v>685</v>
      </c>
      <c r="BA662" s="186"/>
      <c r="BB662" s="186"/>
      <c r="BC662" s="186"/>
      <c r="BD662" s="186"/>
      <c r="BE662" s="186"/>
      <c r="BF662" s="186"/>
      <c r="BG662" s="186"/>
      <c r="BH662" s="186"/>
      <c r="BI662" s="186"/>
      <c r="BJ662" s="186"/>
      <c r="BK662" s="186"/>
      <c r="BL662" s="186"/>
      <c r="BM662" s="186"/>
      <c r="BN662" s="186"/>
      <c r="BO662" s="186"/>
      <c r="BP662" s="186"/>
      <c r="BQ662" s="186"/>
      <c r="BR662" s="186"/>
      <c r="BS662" s="186"/>
      <c r="BT662" s="186"/>
      <c r="BU662" s="186"/>
      <c r="BV662" s="186"/>
      <c r="BW662" s="186"/>
      <c r="BX662" s="186"/>
      <c r="BY662" s="186"/>
      <c r="BZ662" s="186"/>
      <c r="CA662" s="186"/>
      <c r="CB662" s="186"/>
      <c r="CC662" s="186"/>
      <c r="CD662" s="186"/>
      <c r="CE662" s="186"/>
      <c r="CF662" s="186"/>
      <c r="CG662" s="186"/>
      <c r="CH662" s="186"/>
      <c r="CI662" s="186"/>
      <c r="CJ662" s="186"/>
      <c r="CK662" s="186"/>
      <c r="CL662" s="186"/>
      <c r="CM662" s="186"/>
      <c r="CN662" s="186"/>
      <c r="CO662" s="186"/>
      <c r="CP662" s="186"/>
      <c r="CQ662" s="186"/>
      <c r="CR662" s="186"/>
      <c r="CS662" s="186"/>
      <c r="CT662" s="186"/>
      <c r="CU662" s="186"/>
      <c r="CV662" s="186"/>
      <c r="CW662" s="186"/>
      <c r="CX662" s="186"/>
      <c r="CY662" s="186"/>
      <c r="CZ662" s="186"/>
      <c r="DA662" s="186"/>
      <c r="DB662" s="186"/>
      <c r="DC662" s="186"/>
      <c r="DD662" s="186"/>
      <c r="DE662" s="186"/>
      <c r="DF662" s="186"/>
      <c r="DG662" s="186"/>
      <c r="DH662" s="186"/>
    </row>
    <row r="663" ht="20.25" customHeight="1">
      <c r="A663" s="41">
        <v>663.0</v>
      </c>
      <c r="B663" s="836" t="s">
        <v>145</v>
      </c>
      <c r="C663" s="836" t="s">
        <v>108</v>
      </c>
      <c r="D663" s="836" t="s">
        <v>169</v>
      </c>
      <c r="E663" s="749"/>
      <c r="F663" s="837" t="s">
        <v>3543</v>
      </c>
      <c r="G663" s="838" t="s">
        <v>3544</v>
      </c>
      <c r="H663" s="837" t="s">
        <v>169</v>
      </c>
      <c r="I663" s="991">
        <v>45636.0</v>
      </c>
      <c r="J663" s="992">
        <v>45673.0</v>
      </c>
      <c r="K663" s="848"/>
      <c r="L663" s="848"/>
      <c r="M663" s="837" t="s">
        <v>3545</v>
      </c>
      <c r="N663" s="837" t="s">
        <v>3546</v>
      </c>
      <c r="O663" s="993">
        <v>1.0</v>
      </c>
      <c r="P663" s="994" t="s">
        <v>3547</v>
      </c>
      <c r="Q663" s="49" t="str">
        <f t="array" ref="Q663"> if(iserror(MATCH(V663, 'File Links'!C:C, 0)), "N/A", HYPERLINK(INDEX('File Links'!B:B, MATCH(P663, 'File Links'!C:C, 0))))</f>
        <v>https://drive.google.com/file/d/1y96i0hMyOppZ0ZOc68SfdS2QELKNre-8/view?usp=drivesdk</v>
      </c>
      <c r="R663" s="837" t="s">
        <v>3548</v>
      </c>
      <c r="S663" s="994" t="s">
        <v>3549</v>
      </c>
      <c r="T663" s="848"/>
      <c r="U663" s="993">
        <v>1.0</v>
      </c>
      <c r="V663" s="195" t="str">
        <f t="shared" si="36"/>
        <v>10.1073--pnas.2402315121.pdf</v>
      </c>
      <c r="W663" s="837" t="s">
        <v>2118</v>
      </c>
      <c r="X663" s="51" t="str">
        <f t="array" ref="X663"> if(iserror(MATCH(V663, 'File Links'!C:C, 0)), "N/A", HYPERLINK(INDEX('File Links'!B:B, MATCH(V663, 'File Links'!C:C, 0))))</f>
        <v>https://drive.google.com/file/d/1Mxrn43qE4Nlk4SUVbyTVjT4uEEPF5pZu/view?usp=drivesdk</v>
      </c>
      <c r="Y663" s="848"/>
      <c r="Z663" s="837" t="s">
        <v>141</v>
      </c>
      <c r="AA663" s="837" t="s">
        <v>3550</v>
      </c>
      <c r="AB663" s="837" t="s">
        <v>3551</v>
      </c>
      <c r="AC663" s="837" t="s">
        <v>3552</v>
      </c>
      <c r="AD663" s="995" t="s">
        <v>3553</v>
      </c>
      <c r="AE663" s="837" t="s">
        <v>3554</v>
      </c>
      <c r="AF663" s="901">
        <v>321.0</v>
      </c>
      <c r="AG663" s="837" t="s">
        <v>3555</v>
      </c>
      <c r="AH663" s="996" t="s">
        <v>3556</v>
      </c>
      <c r="AI663" s="838" t="s">
        <v>3557</v>
      </c>
      <c r="AJ663" s="838" t="s">
        <v>178</v>
      </c>
      <c r="AK663" s="837" t="s">
        <v>128</v>
      </c>
      <c r="AL663" s="838" t="s">
        <v>179</v>
      </c>
      <c r="AM663" s="848" t="s">
        <v>134</v>
      </c>
      <c r="AN663" s="997" t="s">
        <v>3558</v>
      </c>
      <c r="AO663" s="998">
        <v>755.0</v>
      </c>
      <c r="AP663" s="999" t="s">
        <v>3559</v>
      </c>
      <c r="AQ663" s="837" t="s">
        <v>208</v>
      </c>
      <c r="AR663" s="837" t="s">
        <v>843</v>
      </c>
      <c r="AS663" s="837" t="s">
        <v>3560</v>
      </c>
      <c r="AT663" s="837" t="s">
        <v>165</v>
      </c>
      <c r="AU663" s="837" t="s">
        <v>179</v>
      </c>
      <c r="AV663" s="848" t="s">
        <v>134</v>
      </c>
      <c r="AW663" s="997" t="s">
        <v>3561</v>
      </c>
      <c r="AX663" s="1000" t="s">
        <v>136</v>
      </c>
      <c r="AY663" s="65"/>
      <c r="AZ663" s="59" t="s">
        <v>137</v>
      </c>
    </row>
    <row r="664" ht="20.25" customHeight="1">
      <c r="A664" s="41">
        <v>664.0</v>
      </c>
      <c r="B664" s="70" t="s">
        <v>107</v>
      </c>
      <c r="C664" s="70" t="s">
        <v>108</v>
      </c>
      <c r="D664" s="70" t="s">
        <v>146</v>
      </c>
      <c r="E664" s="71"/>
      <c r="F664" s="92" t="s">
        <v>3543</v>
      </c>
      <c r="G664" s="74" t="s">
        <v>3543</v>
      </c>
      <c r="H664" s="74" t="s">
        <v>146</v>
      </c>
      <c r="I664" s="626">
        <v>45638.0</v>
      </c>
      <c r="J664" s="992">
        <v>45673.0</v>
      </c>
      <c r="K664" s="73" t="s">
        <v>3562</v>
      </c>
      <c r="L664" s="80"/>
      <c r="M664" s="74" t="s">
        <v>3545</v>
      </c>
      <c r="N664" s="74" t="s">
        <v>3546</v>
      </c>
      <c r="O664" s="1001">
        <v>1.0</v>
      </c>
      <c r="P664" s="928" t="s">
        <v>3547</v>
      </c>
      <c r="Q664" s="49" t="str">
        <f t="array" ref="Q664"> if(iserror(MATCH(V664, 'File Links'!C:C, 0)), "N/A", HYPERLINK(INDEX('File Links'!B:B, MATCH(P664, 'File Links'!C:C, 0))))</f>
        <v>https://drive.google.com/file/d/1y96i0hMyOppZ0ZOc68SfdS2QELKNre-8/view?usp=drivesdk</v>
      </c>
      <c r="R664" s="74" t="s">
        <v>3548</v>
      </c>
      <c r="S664" s="937" t="s">
        <v>3549</v>
      </c>
      <c r="T664" s="80"/>
      <c r="U664" s="1002">
        <v>1.0</v>
      </c>
      <c r="V664" s="195" t="str">
        <f t="shared" si="36"/>
        <v>10.1073--pnas.2402315121.pdf</v>
      </c>
      <c r="W664" s="74" t="s">
        <v>3563</v>
      </c>
      <c r="X664" s="51" t="str">
        <f t="array" ref="X664"> if(iserror(MATCH(V664, 'File Links'!C:C, 0)), "N/A", HYPERLINK(INDEX('File Links'!B:B, MATCH(V664, 'File Links'!C:C, 0))))</f>
        <v>https://drive.google.com/file/d/1Mxrn43qE4Nlk4SUVbyTVjT4uEEPF5pZu/view?usp=drivesdk</v>
      </c>
      <c r="Y664" s="80"/>
      <c r="Z664" s="74" t="s">
        <v>141</v>
      </c>
      <c r="AA664" s="73" t="s">
        <v>3564</v>
      </c>
      <c r="AB664" s="73" t="s">
        <v>3565</v>
      </c>
      <c r="AC664" s="73" t="s">
        <v>3566</v>
      </c>
      <c r="AD664" s="98" t="s">
        <v>3567</v>
      </c>
      <c r="AE664" s="632">
        <v>3.0</v>
      </c>
      <c r="AF664" s="632">
        <v>321.0</v>
      </c>
      <c r="AG664" s="632">
        <v>0.2</v>
      </c>
      <c r="AH664" s="996" t="s">
        <v>3556</v>
      </c>
      <c r="AI664" s="74" t="s">
        <v>500</v>
      </c>
      <c r="AJ664" s="632">
        <v>0.001</v>
      </c>
      <c r="AK664" s="92" t="s">
        <v>128</v>
      </c>
      <c r="AL664" s="838" t="s">
        <v>179</v>
      </c>
      <c r="AM664" s="80" t="s">
        <v>130</v>
      </c>
      <c r="AN664" s="629" t="s">
        <v>3568</v>
      </c>
      <c r="AO664" s="855">
        <v>755.0</v>
      </c>
      <c r="AP664" s="855">
        <v>0.03</v>
      </c>
      <c r="AQ664" s="74" t="s">
        <v>208</v>
      </c>
      <c r="AR664" s="74" t="s">
        <v>2764</v>
      </c>
      <c r="AS664" s="632">
        <v>0.38</v>
      </c>
      <c r="AT664" s="92" t="s">
        <v>165</v>
      </c>
      <c r="AU664" s="92" t="s">
        <v>211</v>
      </c>
      <c r="AV664" s="91" t="s">
        <v>130</v>
      </c>
      <c r="AW664" s="99" t="s">
        <v>3561</v>
      </c>
      <c r="AX664" s="100" t="s">
        <v>136</v>
      </c>
      <c r="AY664" s="58"/>
      <c r="AZ664" s="59" t="s">
        <v>137</v>
      </c>
    </row>
    <row r="665" ht="20.25" customHeight="1">
      <c r="A665" s="41">
        <v>665.0</v>
      </c>
      <c r="B665" s="70" t="s">
        <v>107</v>
      </c>
      <c r="C665" s="70" t="s">
        <v>108</v>
      </c>
      <c r="D665" s="70" t="s">
        <v>146</v>
      </c>
      <c r="E665" s="71"/>
      <c r="F665" s="92" t="s">
        <v>3543</v>
      </c>
      <c r="G665" s="74" t="s">
        <v>3569</v>
      </c>
      <c r="H665" s="74" t="s">
        <v>146</v>
      </c>
      <c r="I665" s="626">
        <v>45638.0</v>
      </c>
      <c r="J665" s="992">
        <v>45673.0</v>
      </c>
      <c r="K665" s="73" t="s">
        <v>3562</v>
      </c>
      <c r="L665" s="80"/>
      <c r="M665" s="74" t="s">
        <v>3545</v>
      </c>
      <c r="N665" s="74" t="s">
        <v>3546</v>
      </c>
      <c r="O665" s="1001">
        <v>1.0</v>
      </c>
      <c r="P665" s="928" t="s">
        <v>3547</v>
      </c>
      <c r="Q665" s="49" t="str">
        <f t="array" ref="Q665"> if(iserror(MATCH(V665, 'File Links'!C:C, 0)), "N/A", HYPERLINK(INDEX('File Links'!B:B, MATCH(P665, 'File Links'!C:C, 0))))</f>
        <v>https://drive.google.com/file/d/1y96i0hMyOppZ0ZOc68SfdS2QELKNre-8/view?usp=drivesdk</v>
      </c>
      <c r="R665" s="937" t="s">
        <v>3548</v>
      </c>
      <c r="S665" s="74" t="s">
        <v>3549</v>
      </c>
      <c r="T665" s="80"/>
      <c r="U665" s="1002">
        <v>1.0</v>
      </c>
      <c r="V665" s="195" t="str">
        <f t="shared" si="36"/>
        <v>10.1073--pnas.2402315121.pdf</v>
      </c>
      <c r="W665" s="74" t="s">
        <v>3563</v>
      </c>
      <c r="X665" s="51" t="str">
        <f t="array" ref="X665"> if(iserror(MATCH(V665, 'File Links'!C:C, 0)), "N/A", HYPERLINK(INDEX('File Links'!B:B, MATCH(V665, 'File Links'!C:C, 0))))</f>
        <v>https://drive.google.com/file/d/1Mxrn43qE4Nlk4SUVbyTVjT4uEEPF5pZu/view?usp=drivesdk</v>
      </c>
      <c r="Y665" s="80"/>
      <c r="Z665" s="74" t="s">
        <v>141</v>
      </c>
      <c r="AA665" s="73" t="s">
        <v>3564</v>
      </c>
      <c r="AB665" s="73" t="s">
        <v>3565</v>
      </c>
      <c r="AC665" s="73" t="s">
        <v>3566</v>
      </c>
      <c r="AD665" s="74" t="s">
        <v>3570</v>
      </c>
      <c r="AE665" s="632">
        <v>3.0</v>
      </c>
      <c r="AF665" s="632">
        <v>321.0</v>
      </c>
      <c r="AG665" s="632">
        <v>0.2</v>
      </c>
      <c r="AH665" s="996" t="s">
        <v>3556</v>
      </c>
      <c r="AI665" s="74" t="s">
        <v>500</v>
      </c>
      <c r="AJ665" s="632">
        <v>0.001</v>
      </c>
      <c r="AK665" s="92" t="s">
        <v>128</v>
      </c>
      <c r="AL665" s="838" t="s">
        <v>179</v>
      </c>
      <c r="AM665" s="80" t="s">
        <v>130</v>
      </c>
      <c r="AN665" s="629" t="s">
        <v>3568</v>
      </c>
      <c r="AO665" s="855">
        <v>297.0</v>
      </c>
      <c r="AP665" s="855">
        <v>-0.1</v>
      </c>
      <c r="AQ665" s="74" t="s">
        <v>208</v>
      </c>
      <c r="AR665" s="74" t="s">
        <v>2764</v>
      </c>
      <c r="AS665" s="632">
        <v>0.077</v>
      </c>
      <c r="AT665" s="92" t="s">
        <v>165</v>
      </c>
      <c r="AU665" s="92" t="s">
        <v>211</v>
      </c>
      <c r="AV665" s="91" t="s">
        <v>130</v>
      </c>
      <c r="AW665" s="99" t="s">
        <v>3571</v>
      </c>
      <c r="AX665" s="100" t="s">
        <v>144</v>
      </c>
      <c r="AY665" s="58"/>
      <c r="AZ665" s="59" t="s">
        <v>137</v>
      </c>
      <c r="BA665" s="69"/>
    </row>
    <row r="666" ht="20.25" customHeight="1">
      <c r="A666" s="41">
        <v>666.0</v>
      </c>
      <c r="B666" s="70" t="s">
        <v>107</v>
      </c>
      <c r="C666" s="487" t="s">
        <v>108</v>
      </c>
      <c r="D666" s="487" t="s">
        <v>146</v>
      </c>
      <c r="E666" s="800"/>
      <c r="F666" s="482" t="s">
        <v>3543</v>
      </c>
      <c r="G666" s="483" t="s">
        <v>3572</v>
      </c>
      <c r="H666" s="483" t="s">
        <v>146</v>
      </c>
      <c r="I666" s="1003">
        <v>45638.0</v>
      </c>
      <c r="J666" s="1004">
        <v>45673.0</v>
      </c>
      <c r="K666" s="1005" t="s">
        <v>3562</v>
      </c>
      <c r="L666" s="786"/>
      <c r="M666" s="483" t="s">
        <v>3545</v>
      </c>
      <c r="N666" s="483" t="s">
        <v>3546</v>
      </c>
      <c r="O666" s="1006" t="s">
        <v>3573</v>
      </c>
      <c r="P666" s="1007" t="s">
        <v>3547</v>
      </c>
      <c r="Q666" s="49" t="str">
        <f t="array" ref="Q666"> if(iserror(MATCH(V666, 'File Links'!C:C, 0)), "N/A", HYPERLINK(INDEX('File Links'!B:B, MATCH(P666, 'File Links'!C:C, 0))))</f>
        <v>https://drive.google.com/file/d/1y96i0hMyOppZ0ZOc68SfdS2QELKNre-8/view?usp=drivesdk</v>
      </c>
      <c r="R666" s="1008" t="s">
        <v>3548</v>
      </c>
      <c r="S666" s="483" t="s">
        <v>3549</v>
      </c>
      <c r="T666" s="786"/>
      <c r="U666" s="1009" t="s">
        <v>3573</v>
      </c>
      <c r="V666" s="974" t="str">
        <f t="shared" si="36"/>
        <v>10.1073--pnas.2402315121.pdf</v>
      </c>
      <c r="W666" s="483" t="s">
        <v>3563</v>
      </c>
      <c r="X666" s="51" t="str">
        <f t="array" ref="X666"> if(iserror(MATCH(V666, 'File Links'!C:C, 0)), "N/A", HYPERLINK(INDEX('File Links'!B:B, MATCH(V666, 'File Links'!C:C, 0))))</f>
        <v>https://drive.google.com/file/d/1Mxrn43qE4Nlk4SUVbyTVjT4uEEPF5pZu/view?usp=drivesdk</v>
      </c>
      <c r="Y666" s="786"/>
      <c r="Z666" s="483" t="s">
        <v>141</v>
      </c>
      <c r="AA666" s="1005" t="s">
        <v>3564</v>
      </c>
      <c r="AB666" s="1005" t="s">
        <v>3565</v>
      </c>
      <c r="AC666" s="1005" t="s">
        <v>3574</v>
      </c>
      <c r="AD666" s="346" t="s">
        <v>3575</v>
      </c>
      <c r="AE666" s="789">
        <v>3.0</v>
      </c>
      <c r="AF666" s="789">
        <v>201.0</v>
      </c>
      <c r="AG666" s="789">
        <v>0.15</v>
      </c>
      <c r="AH666" s="1010" t="s">
        <v>1249</v>
      </c>
      <c r="AI666" s="483" t="s">
        <v>500</v>
      </c>
      <c r="AJ666" s="789">
        <v>0.035</v>
      </c>
      <c r="AK666" s="482" t="s">
        <v>165</v>
      </c>
      <c r="AL666" s="838" t="s">
        <v>179</v>
      </c>
      <c r="AM666" s="786" t="s">
        <v>130</v>
      </c>
      <c r="AN666" s="1011" t="s">
        <v>3576</v>
      </c>
      <c r="AO666" s="1012">
        <v>601.0</v>
      </c>
      <c r="AP666" s="1012">
        <v>0.01</v>
      </c>
      <c r="AQ666" s="483" t="s">
        <v>208</v>
      </c>
      <c r="AR666" s="483" t="s">
        <v>500</v>
      </c>
      <c r="AS666" s="789">
        <v>0.547</v>
      </c>
      <c r="AT666" s="482" t="s">
        <v>165</v>
      </c>
      <c r="AU666" s="482" t="s">
        <v>211</v>
      </c>
      <c r="AV666" s="486" t="s">
        <v>130</v>
      </c>
      <c r="AW666" s="1013" t="s">
        <v>3577</v>
      </c>
      <c r="AX666" s="1014" t="s">
        <v>136</v>
      </c>
      <c r="AY666" s="58"/>
      <c r="AZ666" s="59" t="s">
        <v>137</v>
      </c>
      <c r="BA666" s="69"/>
    </row>
    <row r="667" ht="20.25" customHeight="1">
      <c r="A667" s="41">
        <v>667.0</v>
      </c>
      <c r="B667" s="70" t="s">
        <v>107</v>
      </c>
      <c r="C667" s="557" t="s">
        <v>108</v>
      </c>
      <c r="D667" s="557" t="s">
        <v>146</v>
      </c>
      <c r="E667" s="558"/>
      <c r="F667" s="1015" t="s">
        <v>3543</v>
      </c>
      <c r="G667" s="1016" t="s">
        <v>3578</v>
      </c>
      <c r="H667" s="1016" t="s">
        <v>146</v>
      </c>
      <c r="I667" s="1017">
        <v>45638.0</v>
      </c>
      <c r="J667" s="1018">
        <v>45673.0</v>
      </c>
      <c r="K667" s="1019" t="s">
        <v>3562</v>
      </c>
      <c r="L667" s="1020"/>
      <c r="M667" s="1016" t="s">
        <v>3545</v>
      </c>
      <c r="N667" s="1016" t="s">
        <v>3546</v>
      </c>
      <c r="O667" s="1021" t="s">
        <v>3579</v>
      </c>
      <c r="P667" s="1022" t="s">
        <v>3547</v>
      </c>
      <c r="Q667" s="49" t="str">
        <f t="array" ref="Q667"> if(iserror(MATCH(V667, 'File Links'!C:C, 0)), "N/A", HYPERLINK(INDEX('File Links'!B:B, MATCH(P667, 'File Links'!C:C, 0))))</f>
        <v>https://drive.google.com/file/d/1y96i0hMyOppZ0ZOc68SfdS2QELKNre-8/view?usp=drivesdk</v>
      </c>
      <c r="R667" s="1016" t="s">
        <v>3548</v>
      </c>
      <c r="S667" s="1016" t="s">
        <v>3549</v>
      </c>
      <c r="T667" s="1020"/>
      <c r="U667" s="1023" t="s">
        <v>3579</v>
      </c>
      <c r="V667" s="195" t="str">
        <f t="shared" si="36"/>
        <v>10.1073--pnas.2402315121.pdf</v>
      </c>
      <c r="W667" s="1016" t="s">
        <v>3563</v>
      </c>
      <c r="X667" s="51" t="str">
        <f t="array" ref="X667"> if(iserror(MATCH(V667, 'File Links'!C:C, 0)), "N/A", HYPERLINK(INDEX('File Links'!B:B, MATCH(V667, 'File Links'!C:C, 0))))</f>
        <v>https://drive.google.com/file/d/1Mxrn43qE4Nlk4SUVbyTVjT4uEEPF5pZu/view?usp=drivesdk</v>
      </c>
      <c r="Y667" s="1020"/>
      <c r="Z667" s="1016" t="s">
        <v>141</v>
      </c>
      <c r="AA667" s="1019" t="s">
        <v>3564</v>
      </c>
      <c r="AB667" s="1019" t="s">
        <v>3565</v>
      </c>
      <c r="AC667" s="1019" t="s">
        <v>3580</v>
      </c>
      <c r="AD667" s="1024" t="s">
        <v>3581</v>
      </c>
      <c r="AE667" s="1025">
        <v>3.0</v>
      </c>
      <c r="AF667" s="1025">
        <v>349.0</v>
      </c>
      <c r="AG667" s="1025">
        <v>0.14</v>
      </c>
      <c r="AH667" s="1022" t="s">
        <v>1249</v>
      </c>
      <c r="AI667" s="1016" t="s">
        <v>500</v>
      </c>
      <c r="AJ667" s="1026">
        <v>0.009</v>
      </c>
      <c r="AK667" s="1015" t="s">
        <v>165</v>
      </c>
      <c r="AL667" s="838" t="s">
        <v>179</v>
      </c>
      <c r="AM667" s="1020" t="s">
        <v>130</v>
      </c>
      <c r="AN667" s="1027" t="s">
        <v>3582</v>
      </c>
      <c r="AO667" s="1028">
        <v>1036.0</v>
      </c>
      <c r="AP667" s="1028">
        <v>0.03</v>
      </c>
      <c r="AQ667" s="1016" t="s">
        <v>208</v>
      </c>
      <c r="AR667" s="1016" t="s">
        <v>500</v>
      </c>
      <c r="AS667" s="1025">
        <v>0.375</v>
      </c>
      <c r="AT667" s="1015" t="s">
        <v>165</v>
      </c>
      <c r="AU667" s="1015" t="s">
        <v>211</v>
      </c>
      <c r="AV667" s="1029" t="s">
        <v>130</v>
      </c>
      <c r="AW667" s="1030" t="s">
        <v>3583</v>
      </c>
      <c r="AX667" s="1031" t="s">
        <v>136</v>
      </c>
      <c r="AY667" s="58"/>
      <c r="AZ667" s="59" t="s">
        <v>137</v>
      </c>
    </row>
    <row r="668" ht="20.25" customHeight="1">
      <c r="A668" s="41">
        <v>668.0</v>
      </c>
      <c r="B668" s="70" t="s">
        <v>107</v>
      </c>
      <c r="C668" s="319" t="s">
        <v>108</v>
      </c>
      <c r="D668" s="319" t="s">
        <v>146</v>
      </c>
      <c r="E668" s="325"/>
      <c r="F668" s="241" t="s">
        <v>3543</v>
      </c>
      <c r="G668" s="409" t="s">
        <v>3584</v>
      </c>
      <c r="H668" s="409" t="s">
        <v>146</v>
      </c>
      <c r="I668" s="656">
        <v>45638.0</v>
      </c>
      <c r="J668" s="1032">
        <v>45673.0</v>
      </c>
      <c r="K668" s="385" t="s">
        <v>3562</v>
      </c>
      <c r="L668" s="387"/>
      <c r="M668" s="409" t="s">
        <v>3545</v>
      </c>
      <c r="N668" s="409" t="s">
        <v>3546</v>
      </c>
      <c r="O668" s="1033">
        <v>3.0</v>
      </c>
      <c r="P668" s="657" t="s">
        <v>3547</v>
      </c>
      <c r="Q668" s="49" t="str">
        <f t="array" ref="Q668"> if(iserror(MATCH(V668, 'File Links'!C:C, 0)), "N/A", HYPERLINK(INDEX('File Links'!B:B, MATCH(P668, 'File Links'!C:C, 0))))</f>
        <v>https://drive.google.com/file/d/1y96i0hMyOppZ0ZOc68SfdS2QELKNre-8/view?usp=drivesdk</v>
      </c>
      <c r="R668" s="409" t="s">
        <v>3548</v>
      </c>
      <c r="S668" s="409" t="s">
        <v>3549</v>
      </c>
      <c r="T668" s="387"/>
      <c r="U668" s="1034">
        <v>3.0</v>
      </c>
      <c r="V668" s="195" t="str">
        <f t="shared" si="36"/>
        <v>10.1073--pnas.2402315121.pdf</v>
      </c>
      <c r="W668" s="409" t="s">
        <v>3563</v>
      </c>
      <c r="X668" s="51" t="str">
        <f t="array" ref="X668"> if(iserror(MATCH(V668, 'File Links'!C:C, 0)), "N/A", HYPERLINK(INDEX('File Links'!B:B, MATCH(V668, 'File Links'!C:C, 0))))</f>
        <v>https://drive.google.com/file/d/1Mxrn43qE4Nlk4SUVbyTVjT4uEEPF5pZu/view?usp=drivesdk</v>
      </c>
      <c r="Y668" s="387"/>
      <c r="Z668" s="409" t="s">
        <v>141</v>
      </c>
      <c r="AA668" s="385" t="s">
        <v>3564</v>
      </c>
      <c r="AB668" s="385" t="s">
        <v>3565</v>
      </c>
      <c r="AC668" s="385" t="s">
        <v>3585</v>
      </c>
      <c r="AD668" s="321" t="s">
        <v>3586</v>
      </c>
      <c r="AE668" s="391">
        <v>4.0</v>
      </c>
      <c r="AF668" s="391">
        <v>340.0</v>
      </c>
      <c r="AG668" s="391">
        <v>0.11</v>
      </c>
      <c r="AH668" s="657" t="s">
        <v>1249</v>
      </c>
      <c r="AI668" s="409" t="s">
        <v>489</v>
      </c>
      <c r="AJ668" s="391">
        <v>0.042</v>
      </c>
      <c r="AK668" s="241" t="s">
        <v>165</v>
      </c>
      <c r="AL668" s="838" t="s">
        <v>179</v>
      </c>
      <c r="AM668" s="387" t="s">
        <v>130</v>
      </c>
      <c r="AN668" s="1035" t="s">
        <v>3587</v>
      </c>
      <c r="AO668" s="1036">
        <v>881.0</v>
      </c>
      <c r="AP668" s="1036">
        <v>0.002</v>
      </c>
      <c r="AQ668" s="409" t="s">
        <v>208</v>
      </c>
      <c r="AR668" s="409" t="s">
        <v>500</v>
      </c>
      <c r="AS668" s="391">
        <v>0.96</v>
      </c>
      <c r="AT668" s="241" t="s">
        <v>165</v>
      </c>
      <c r="AU668" s="241" t="s">
        <v>211</v>
      </c>
      <c r="AV668" s="328" t="s">
        <v>130</v>
      </c>
      <c r="AW668" s="1037" t="s">
        <v>3588</v>
      </c>
      <c r="AX668" s="1038" t="s">
        <v>136</v>
      </c>
      <c r="AY668" s="58"/>
      <c r="AZ668" s="59" t="s">
        <v>137</v>
      </c>
    </row>
    <row r="669" ht="20.25" customHeight="1">
      <c r="A669" s="41">
        <v>669.0</v>
      </c>
      <c r="B669" s="70" t="s">
        <v>107</v>
      </c>
      <c r="C669" s="70" t="s">
        <v>108</v>
      </c>
      <c r="D669" s="70" t="s">
        <v>146</v>
      </c>
      <c r="E669" s="71"/>
      <c r="F669" s="92" t="s">
        <v>3543</v>
      </c>
      <c r="G669" s="74" t="s">
        <v>3589</v>
      </c>
      <c r="H669" s="74" t="s">
        <v>146</v>
      </c>
      <c r="I669" s="626">
        <v>45638.0</v>
      </c>
      <c r="J669" s="992">
        <v>45673.0</v>
      </c>
      <c r="K669" s="73" t="s">
        <v>3562</v>
      </c>
      <c r="L669" s="80"/>
      <c r="M669" s="74" t="s">
        <v>3545</v>
      </c>
      <c r="N669" s="74" t="s">
        <v>3546</v>
      </c>
      <c r="O669" s="1001">
        <v>5.0</v>
      </c>
      <c r="P669" s="96" t="s">
        <v>3547</v>
      </c>
      <c r="Q669" s="49" t="str">
        <f t="array" ref="Q669"> if(iserror(MATCH(V669, 'File Links'!C:C, 0)), "N/A", HYPERLINK(INDEX('File Links'!B:B, MATCH(P669, 'File Links'!C:C, 0))))</f>
        <v>https://drive.google.com/file/d/1y96i0hMyOppZ0ZOc68SfdS2QELKNre-8/view?usp=drivesdk</v>
      </c>
      <c r="R669" s="74" t="s">
        <v>3548</v>
      </c>
      <c r="S669" s="74" t="s">
        <v>3549</v>
      </c>
      <c r="T669" s="80"/>
      <c r="U669" s="1002">
        <v>5.0</v>
      </c>
      <c r="V669" s="195" t="str">
        <f t="shared" si="36"/>
        <v>10.1073--pnas.2402315121.pdf</v>
      </c>
      <c r="W669" s="74" t="s">
        <v>3563</v>
      </c>
      <c r="X669" s="51" t="str">
        <f t="array" ref="X669"> if(iserror(MATCH(V669, 'File Links'!C:C, 0)), "N/A", HYPERLINK(INDEX('File Links'!B:B, MATCH(V669, 'File Links'!C:C, 0))))</f>
        <v>https://drive.google.com/file/d/1Mxrn43qE4Nlk4SUVbyTVjT4uEEPF5pZu/view?usp=drivesdk</v>
      </c>
      <c r="Y669" s="80"/>
      <c r="Z669" s="74" t="s">
        <v>141</v>
      </c>
      <c r="AA669" s="73" t="s">
        <v>3564</v>
      </c>
      <c r="AB669" s="73" t="s">
        <v>3565</v>
      </c>
      <c r="AC669" s="73" t="s">
        <v>3590</v>
      </c>
      <c r="AD669" s="74" t="s">
        <v>3591</v>
      </c>
      <c r="AE669" s="632">
        <v>5.0</v>
      </c>
      <c r="AF669" s="632">
        <v>240.0</v>
      </c>
      <c r="AG669" s="74" t="s">
        <v>3592</v>
      </c>
      <c r="AH669" s="96" t="s">
        <v>127</v>
      </c>
      <c r="AI669" s="74" t="s">
        <v>875</v>
      </c>
      <c r="AJ669" s="632">
        <v>0.003</v>
      </c>
      <c r="AK669" s="92" t="s">
        <v>165</v>
      </c>
      <c r="AL669" s="838" t="s">
        <v>179</v>
      </c>
      <c r="AM669" s="80" t="s">
        <v>130</v>
      </c>
      <c r="AN669" s="629" t="s">
        <v>3593</v>
      </c>
      <c r="AO669" s="855">
        <v>882.0</v>
      </c>
      <c r="AP669" s="855">
        <v>0.01</v>
      </c>
      <c r="AQ669" s="74" t="s">
        <v>208</v>
      </c>
      <c r="AR669" s="74" t="s">
        <v>500</v>
      </c>
      <c r="AS669" s="632">
        <v>0.76</v>
      </c>
      <c r="AT669" s="92" t="s">
        <v>165</v>
      </c>
      <c r="AU669" s="92" t="s">
        <v>211</v>
      </c>
      <c r="AV669" s="91" t="s">
        <v>130</v>
      </c>
      <c r="AW669" s="99" t="s">
        <v>3594</v>
      </c>
      <c r="AX669" s="100" t="s">
        <v>136</v>
      </c>
      <c r="AY669" s="58"/>
      <c r="AZ669" s="59" t="s">
        <v>137</v>
      </c>
    </row>
    <row r="670" ht="20.25" customHeight="1">
      <c r="A670" s="41">
        <v>670.0</v>
      </c>
      <c r="B670" s="70" t="s">
        <v>107</v>
      </c>
      <c r="C670" s="70" t="s">
        <v>108</v>
      </c>
      <c r="D670" s="70" t="s">
        <v>146</v>
      </c>
      <c r="E670" s="71"/>
      <c r="F670" s="92" t="s">
        <v>3543</v>
      </c>
      <c r="G670" s="74" t="s">
        <v>3595</v>
      </c>
      <c r="H670" s="74" t="s">
        <v>146</v>
      </c>
      <c r="I670" s="626">
        <v>45638.0</v>
      </c>
      <c r="J670" s="992">
        <v>45673.0</v>
      </c>
      <c r="K670" s="73" t="s">
        <v>3562</v>
      </c>
      <c r="L670" s="80"/>
      <c r="M670" s="74" t="s">
        <v>3545</v>
      </c>
      <c r="N670" s="74" t="s">
        <v>3546</v>
      </c>
      <c r="O670" s="1001">
        <v>5.0</v>
      </c>
      <c r="P670" s="96" t="s">
        <v>3547</v>
      </c>
      <c r="Q670" s="49" t="str">
        <f t="array" ref="Q670"> if(iserror(MATCH(V670, 'File Links'!C:C, 0)), "N/A", HYPERLINK(INDEX('File Links'!B:B, MATCH(P670, 'File Links'!C:C, 0))))</f>
        <v>https://drive.google.com/file/d/1y96i0hMyOppZ0ZOc68SfdS2QELKNre-8/view?usp=drivesdk</v>
      </c>
      <c r="R670" s="74" t="s">
        <v>3548</v>
      </c>
      <c r="S670" s="74" t="s">
        <v>3549</v>
      </c>
      <c r="T670" s="80"/>
      <c r="U670" s="1002">
        <v>5.0</v>
      </c>
      <c r="V670" s="195" t="str">
        <f t="shared" si="36"/>
        <v>10.1073--pnas.2402315121.pdf</v>
      </c>
      <c r="W670" s="74" t="s">
        <v>3563</v>
      </c>
      <c r="X670" s="51" t="str">
        <f t="array" ref="X670"> if(iserror(MATCH(V670, 'File Links'!C:C, 0)), "N/A", HYPERLINK(INDEX('File Links'!B:B, MATCH(V670, 'File Links'!C:C, 0))))</f>
        <v>https://drive.google.com/file/d/1Mxrn43qE4Nlk4SUVbyTVjT4uEEPF5pZu/view?usp=drivesdk</v>
      </c>
      <c r="Y670" s="80"/>
      <c r="Z670" s="74" t="s">
        <v>141</v>
      </c>
      <c r="AA670" s="73" t="s">
        <v>3564</v>
      </c>
      <c r="AB670" s="73" t="s">
        <v>3565</v>
      </c>
      <c r="AC670" s="73" t="s">
        <v>3590</v>
      </c>
      <c r="AD670" s="74" t="s">
        <v>3596</v>
      </c>
      <c r="AE670" s="632">
        <v>5.0</v>
      </c>
      <c r="AF670" s="632">
        <v>240.0</v>
      </c>
      <c r="AG670" s="74" t="s">
        <v>3597</v>
      </c>
      <c r="AH670" s="96" t="s">
        <v>127</v>
      </c>
      <c r="AI670" s="74" t="s">
        <v>875</v>
      </c>
      <c r="AJ670" s="632">
        <v>0.9</v>
      </c>
      <c r="AK670" s="92" t="s">
        <v>328</v>
      </c>
      <c r="AL670" s="838" t="s">
        <v>179</v>
      </c>
      <c r="AM670" s="80" t="s">
        <v>130</v>
      </c>
      <c r="AN670" s="629" t="s">
        <v>3593</v>
      </c>
      <c r="AO670" s="855">
        <v>882.0</v>
      </c>
      <c r="AP670" s="855">
        <v>-0.031</v>
      </c>
      <c r="AQ670" s="74" t="s">
        <v>980</v>
      </c>
      <c r="AR670" s="74" t="s">
        <v>2434</v>
      </c>
      <c r="AS670" s="632">
        <v>0.38</v>
      </c>
      <c r="AT670" s="92" t="s">
        <v>165</v>
      </c>
      <c r="AU670" s="92" t="s">
        <v>211</v>
      </c>
      <c r="AV670" s="91" t="s">
        <v>130</v>
      </c>
      <c r="AW670" s="99" t="s">
        <v>3594</v>
      </c>
      <c r="AX670" s="100" t="s">
        <v>136</v>
      </c>
      <c r="AY670" s="58"/>
      <c r="AZ670" s="59" t="s">
        <v>137</v>
      </c>
    </row>
    <row r="671" ht="20.25" customHeight="1">
      <c r="A671" s="41">
        <v>671.0</v>
      </c>
      <c r="B671" s="70" t="s">
        <v>107</v>
      </c>
      <c r="C671" s="70" t="s">
        <v>108</v>
      </c>
      <c r="D671" s="70" t="s">
        <v>146</v>
      </c>
      <c r="E671" s="71"/>
      <c r="F671" s="92" t="s">
        <v>3543</v>
      </c>
      <c r="G671" s="74" t="s">
        <v>3598</v>
      </c>
      <c r="H671" s="74" t="s">
        <v>146</v>
      </c>
      <c r="I671" s="626">
        <v>45638.0</v>
      </c>
      <c r="J671" s="992">
        <v>45673.0</v>
      </c>
      <c r="K671" s="73" t="s">
        <v>3562</v>
      </c>
      <c r="L671" s="80"/>
      <c r="M671" s="74" t="s">
        <v>3545</v>
      </c>
      <c r="N671" s="74" t="s">
        <v>3546</v>
      </c>
      <c r="O671" s="1001">
        <v>5.0</v>
      </c>
      <c r="P671" s="96" t="s">
        <v>3547</v>
      </c>
      <c r="Q671" s="49" t="str">
        <f t="array" ref="Q671"> if(iserror(MATCH(V671, 'File Links'!C:C, 0)), "N/A", HYPERLINK(INDEX('File Links'!B:B, MATCH(P671, 'File Links'!C:C, 0))))</f>
        <v>https://drive.google.com/file/d/1y96i0hMyOppZ0ZOc68SfdS2QELKNre-8/view?usp=drivesdk</v>
      </c>
      <c r="R671" s="74" t="s">
        <v>3548</v>
      </c>
      <c r="S671" s="74" t="s">
        <v>3549</v>
      </c>
      <c r="T671" s="80"/>
      <c r="U671" s="1002">
        <v>5.0</v>
      </c>
      <c r="V671" s="195" t="str">
        <f t="shared" si="36"/>
        <v>10.1073--pnas.2402315121.pdf</v>
      </c>
      <c r="W671" s="74" t="s">
        <v>3563</v>
      </c>
      <c r="X671" s="51" t="str">
        <f t="array" ref="X671"> if(iserror(MATCH(V671, 'File Links'!C:C, 0)), "N/A", HYPERLINK(INDEX('File Links'!B:B, MATCH(V671, 'File Links'!C:C, 0))))</f>
        <v>https://drive.google.com/file/d/1Mxrn43qE4Nlk4SUVbyTVjT4uEEPF5pZu/view?usp=drivesdk</v>
      </c>
      <c r="Y671" s="80"/>
      <c r="Z671" s="74" t="s">
        <v>141</v>
      </c>
      <c r="AA671" s="73" t="s">
        <v>3564</v>
      </c>
      <c r="AB671" s="73" t="s">
        <v>3565</v>
      </c>
      <c r="AC671" s="73" t="s">
        <v>3590</v>
      </c>
      <c r="AD671" s="74" t="s">
        <v>3591</v>
      </c>
      <c r="AE671" s="632">
        <v>5.0</v>
      </c>
      <c r="AF671" s="632">
        <v>240.0</v>
      </c>
      <c r="AG671" s="645" t="s">
        <v>3592</v>
      </c>
      <c r="AH671" s="96" t="s">
        <v>127</v>
      </c>
      <c r="AI671" s="74" t="s">
        <v>875</v>
      </c>
      <c r="AJ671" s="632">
        <v>0.003</v>
      </c>
      <c r="AK671" s="92" t="s">
        <v>165</v>
      </c>
      <c r="AL671" s="838" t="s">
        <v>179</v>
      </c>
      <c r="AM671" s="80" t="s">
        <v>130</v>
      </c>
      <c r="AN671" s="629" t="s">
        <v>3593</v>
      </c>
      <c r="AO671" s="855">
        <v>879.0</v>
      </c>
      <c r="AP671" s="855">
        <v>0.09</v>
      </c>
      <c r="AQ671" s="74" t="s">
        <v>208</v>
      </c>
      <c r="AR671" s="74" t="s">
        <v>489</v>
      </c>
      <c r="AS671" s="632">
        <v>0.009</v>
      </c>
      <c r="AT671" s="92" t="s">
        <v>165</v>
      </c>
      <c r="AU671" s="92" t="s">
        <v>211</v>
      </c>
      <c r="AV671" s="91" t="s">
        <v>130</v>
      </c>
      <c r="AW671" s="99" t="s">
        <v>3594</v>
      </c>
      <c r="AX671" s="100" t="s">
        <v>144</v>
      </c>
      <c r="AY671" s="58"/>
      <c r="AZ671" s="59" t="s">
        <v>137</v>
      </c>
    </row>
    <row r="672" ht="20.25" customHeight="1">
      <c r="A672" s="41">
        <v>672.0</v>
      </c>
      <c r="B672" s="70" t="s">
        <v>107</v>
      </c>
      <c r="C672" s="70" t="s">
        <v>108</v>
      </c>
      <c r="D672" s="70" t="s">
        <v>146</v>
      </c>
      <c r="E672" s="71"/>
      <c r="F672" s="92" t="s">
        <v>3543</v>
      </c>
      <c r="G672" s="74" t="s">
        <v>3599</v>
      </c>
      <c r="H672" s="74" t="s">
        <v>146</v>
      </c>
      <c r="I672" s="626">
        <v>45638.0</v>
      </c>
      <c r="J672" s="992">
        <v>45673.0</v>
      </c>
      <c r="K672" s="73" t="s">
        <v>3562</v>
      </c>
      <c r="L672" s="80"/>
      <c r="M672" s="837" t="s">
        <v>3545</v>
      </c>
      <c r="N672" s="74" t="s">
        <v>3546</v>
      </c>
      <c r="O672" s="1001">
        <v>5.0</v>
      </c>
      <c r="P672" s="96" t="s">
        <v>3547</v>
      </c>
      <c r="Q672" s="49" t="str">
        <f t="array" ref="Q672"> if(iserror(MATCH(V672, 'File Links'!C:C, 0)), "N/A", HYPERLINK(INDEX('File Links'!B:B, MATCH(P672, 'File Links'!C:C, 0))))</f>
        <v>https://drive.google.com/file/d/1y96i0hMyOppZ0ZOc68SfdS2QELKNre-8/view?usp=drivesdk</v>
      </c>
      <c r="R672" s="74" t="s">
        <v>3548</v>
      </c>
      <c r="S672" s="74" t="s">
        <v>3549</v>
      </c>
      <c r="T672" s="80"/>
      <c r="U672" s="1002">
        <v>5.0</v>
      </c>
      <c r="V672" s="195" t="str">
        <f t="shared" si="36"/>
        <v>10.1073--pnas.2402315121.pdf</v>
      </c>
      <c r="W672" s="74" t="s">
        <v>3563</v>
      </c>
      <c r="X672" s="51" t="str">
        <f t="array" ref="X672"> if(iserror(MATCH(V672, 'File Links'!C:C, 0)), "N/A", HYPERLINK(INDEX('File Links'!B:B, MATCH(V672, 'File Links'!C:C, 0))))</f>
        <v>https://drive.google.com/file/d/1Mxrn43qE4Nlk4SUVbyTVjT4uEEPF5pZu/view?usp=drivesdk</v>
      </c>
      <c r="Y672" s="80"/>
      <c r="Z672" s="74" t="s">
        <v>141</v>
      </c>
      <c r="AA672" s="73" t="s">
        <v>3564</v>
      </c>
      <c r="AB672" s="73" t="s">
        <v>3565</v>
      </c>
      <c r="AC672" s="73" t="s">
        <v>3590</v>
      </c>
      <c r="AD672" s="74" t="s">
        <v>3596</v>
      </c>
      <c r="AE672" s="632">
        <v>5.0</v>
      </c>
      <c r="AF672" s="632">
        <v>240.0</v>
      </c>
      <c r="AG672" s="74" t="s">
        <v>3597</v>
      </c>
      <c r="AH672" s="96" t="s">
        <v>127</v>
      </c>
      <c r="AI672" s="74" t="s">
        <v>875</v>
      </c>
      <c r="AJ672" s="632">
        <v>0.9</v>
      </c>
      <c r="AK672" s="92" t="s">
        <v>328</v>
      </c>
      <c r="AL672" s="838" t="s">
        <v>179</v>
      </c>
      <c r="AM672" s="80" t="s">
        <v>130</v>
      </c>
      <c r="AN672" s="629" t="s">
        <v>3593</v>
      </c>
      <c r="AO672" s="855">
        <v>879.0</v>
      </c>
      <c r="AP672" s="855">
        <v>-0.016</v>
      </c>
      <c r="AQ672" s="74" t="s">
        <v>980</v>
      </c>
      <c r="AR672" s="74" t="s">
        <v>3600</v>
      </c>
      <c r="AS672" s="632">
        <v>0.651</v>
      </c>
      <c r="AT672" s="92" t="s">
        <v>165</v>
      </c>
      <c r="AU672" s="92" t="s">
        <v>211</v>
      </c>
      <c r="AV672" s="91" t="s">
        <v>130</v>
      </c>
      <c r="AW672" s="99" t="s">
        <v>3594</v>
      </c>
      <c r="AX672" s="100" t="s">
        <v>144</v>
      </c>
      <c r="AY672" s="58"/>
      <c r="AZ672" s="59" t="s">
        <v>137</v>
      </c>
    </row>
    <row r="673" ht="20.25" customHeight="1">
      <c r="A673" s="41">
        <v>673.0</v>
      </c>
      <c r="B673" s="836" t="s">
        <v>145</v>
      </c>
      <c r="C673" s="836" t="s">
        <v>108</v>
      </c>
      <c r="D673" s="836" t="s">
        <v>169</v>
      </c>
      <c r="E673" s="749"/>
      <c r="F673" s="92" t="s">
        <v>3543</v>
      </c>
      <c r="G673" s="838" t="s">
        <v>3601</v>
      </c>
      <c r="H673" s="837" t="s">
        <v>169</v>
      </c>
      <c r="I673" s="991">
        <v>45636.0</v>
      </c>
      <c r="J673" s="992">
        <v>45673.0</v>
      </c>
      <c r="K673" s="837" t="s">
        <v>3602</v>
      </c>
      <c r="L673" s="209" t="s">
        <v>3603</v>
      </c>
      <c r="M673" s="837" t="s">
        <v>3545</v>
      </c>
      <c r="N673" s="837" t="s">
        <v>3546</v>
      </c>
      <c r="O673" s="993">
        <v>1.0</v>
      </c>
      <c r="P673" s="837" t="s">
        <v>3547</v>
      </c>
      <c r="Q673" s="49" t="str">
        <f t="array" ref="Q673"> if(iserror(MATCH(V673, 'File Links'!C:C, 0)), "N/A", HYPERLINK(INDEX('File Links'!B:B, MATCH(P673, 'File Links'!C:C, 0))))</f>
        <v>https://drive.google.com/file/d/1y96i0hMyOppZ0ZOc68SfdS2QELKNre-8/view?usp=drivesdk</v>
      </c>
      <c r="R673" s="837" t="s">
        <v>3548</v>
      </c>
      <c r="S673" s="74" t="s">
        <v>3549</v>
      </c>
      <c r="T673" s="848"/>
      <c r="U673" s="993">
        <v>1.0</v>
      </c>
      <c r="V673" s="195" t="str">
        <f t="shared" si="36"/>
        <v>10.1073--pnas.2402315121.pdf</v>
      </c>
      <c r="W673" s="837" t="s">
        <v>2449</v>
      </c>
      <c r="X673" s="51" t="str">
        <f t="array" ref="X673"> if(iserror(MATCH(V673, 'File Links'!C:C, 0)), "N/A", HYPERLINK(INDEX('File Links'!B:B, MATCH(V673, 'File Links'!C:C, 0))))</f>
        <v>https://drive.google.com/file/d/1Mxrn43qE4Nlk4SUVbyTVjT4uEEPF5pZu/view?usp=drivesdk</v>
      </c>
      <c r="Y673" s="848"/>
      <c r="Z673" s="837" t="s">
        <v>141</v>
      </c>
      <c r="AA673" s="837" t="s">
        <v>3550</v>
      </c>
      <c r="AB673" s="837" t="s">
        <v>3551</v>
      </c>
      <c r="AC673" s="837" t="s">
        <v>3552</v>
      </c>
      <c r="AD673" s="995" t="s">
        <v>3553</v>
      </c>
      <c r="AE673" s="837" t="s">
        <v>3554</v>
      </c>
      <c r="AF673" s="901">
        <v>321.0</v>
      </c>
      <c r="AG673" s="837" t="s">
        <v>3555</v>
      </c>
      <c r="AH673" s="996" t="s">
        <v>3556</v>
      </c>
      <c r="AI673" s="838" t="s">
        <v>3557</v>
      </c>
      <c r="AJ673" s="838" t="s">
        <v>178</v>
      </c>
      <c r="AK673" s="837" t="s">
        <v>128</v>
      </c>
      <c r="AL673" s="838" t="s">
        <v>179</v>
      </c>
      <c r="AM673" s="848" t="s">
        <v>134</v>
      </c>
      <c r="AN673" s="997" t="s">
        <v>3558</v>
      </c>
      <c r="AO673" s="998">
        <v>297.0</v>
      </c>
      <c r="AP673" s="1039">
        <v>-0.1</v>
      </c>
      <c r="AQ673" s="837" t="s">
        <v>208</v>
      </c>
      <c r="AR673" s="837" t="s">
        <v>3604</v>
      </c>
      <c r="AS673" s="837" t="s">
        <v>3605</v>
      </c>
      <c r="AT673" s="837" t="s">
        <v>165</v>
      </c>
      <c r="AU673" s="837" t="s">
        <v>179</v>
      </c>
      <c r="AV673" s="848" t="s">
        <v>134</v>
      </c>
      <c r="AW673" s="997" t="s">
        <v>3571</v>
      </c>
      <c r="AX673" s="1000" t="s">
        <v>144</v>
      </c>
      <c r="AY673" s="126" t="s">
        <v>3603</v>
      </c>
      <c r="AZ673" s="59" t="s">
        <v>137</v>
      </c>
    </row>
    <row r="674" ht="20.25" customHeight="1">
      <c r="A674" s="41">
        <v>674.0</v>
      </c>
      <c r="B674" s="836" t="s">
        <v>145</v>
      </c>
      <c r="C674" s="378" t="s">
        <v>108</v>
      </c>
      <c r="D674" s="378" t="s">
        <v>169</v>
      </c>
      <c r="E674" s="481"/>
      <c r="F674" s="92" t="s">
        <v>3543</v>
      </c>
      <c r="G674" s="483" t="s">
        <v>3606</v>
      </c>
      <c r="H674" s="482" t="s">
        <v>169</v>
      </c>
      <c r="I674" s="484">
        <v>45636.0</v>
      </c>
      <c r="J674" s="992">
        <v>45673.0</v>
      </c>
      <c r="K674" s="346" t="s">
        <v>3607</v>
      </c>
      <c r="L674" s="486"/>
      <c r="M674" s="837" t="s">
        <v>3545</v>
      </c>
      <c r="N674" s="837" t="s">
        <v>3546</v>
      </c>
      <c r="O674" s="1040" t="s">
        <v>3573</v>
      </c>
      <c r="P674" s="482" t="s">
        <v>3547</v>
      </c>
      <c r="Q674" s="49" t="str">
        <f t="array" ref="Q674"> if(iserror(MATCH(V674, 'File Links'!C:C, 0)), "N/A", HYPERLINK(INDEX('File Links'!B:B, MATCH(P674, 'File Links'!C:C, 0))))</f>
        <v>https://drive.google.com/file/d/1y96i0hMyOppZ0ZOc68SfdS2QELKNre-8/view?usp=drivesdk</v>
      </c>
      <c r="R674" s="482" t="s">
        <v>3548</v>
      </c>
      <c r="S674" s="74" t="s">
        <v>3549</v>
      </c>
      <c r="T674" s="486"/>
      <c r="U674" s="1040" t="s">
        <v>3573</v>
      </c>
      <c r="V674" s="195" t="str">
        <f t="shared" si="36"/>
        <v>10.1073--pnas.2402315121.pdf</v>
      </c>
      <c r="W674" s="482" t="s">
        <v>2118</v>
      </c>
      <c r="X674" s="51" t="str">
        <f t="array" ref="X674"> if(iserror(MATCH(V674, 'File Links'!C:C, 0)), "N/A", HYPERLINK(INDEX('File Links'!B:B, MATCH(V674, 'File Links'!C:C, 0))))</f>
        <v>https://drive.google.com/file/d/1Mxrn43qE4Nlk4SUVbyTVjT4uEEPF5pZu/view?usp=drivesdk</v>
      </c>
      <c r="Y674" s="486"/>
      <c r="Z674" s="482" t="s">
        <v>141</v>
      </c>
      <c r="AA674" s="482" t="s">
        <v>3550</v>
      </c>
      <c r="AB674" s="482" t="s">
        <v>3551</v>
      </c>
      <c r="AC674" s="482" t="s">
        <v>3608</v>
      </c>
      <c r="AD674" s="346" t="s">
        <v>3609</v>
      </c>
      <c r="AE674" s="482" t="s">
        <v>210</v>
      </c>
      <c r="AF674" s="492">
        <v>201.0</v>
      </c>
      <c r="AG674" s="346" t="s">
        <v>3610</v>
      </c>
      <c r="AH674" s="346" t="s">
        <v>127</v>
      </c>
      <c r="AI674" s="483" t="s">
        <v>125</v>
      </c>
      <c r="AJ674" s="483" t="s">
        <v>3611</v>
      </c>
      <c r="AK674" s="482" t="s">
        <v>165</v>
      </c>
      <c r="AL674" s="483" t="s">
        <v>179</v>
      </c>
      <c r="AM674" s="486" t="s">
        <v>130</v>
      </c>
      <c r="AN674" s="1013" t="s">
        <v>3558</v>
      </c>
      <c r="AO674" s="1041">
        <v>601.0</v>
      </c>
      <c r="AP674" s="822" t="s">
        <v>3612</v>
      </c>
      <c r="AQ674" s="482" t="s">
        <v>208</v>
      </c>
      <c r="AR674" s="482" t="s">
        <v>3613</v>
      </c>
      <c r="AS674" s="482" t="s">
        <v>3614</v>
      </c>
      <c r="AT674" s="482" t="s">
        <v>165</v>
      </c>
      <c r="AU674" s="482" t="s">
        <v>179</v>
      </c>
      <c r="AV674" s="486" t="s">
        <v>130</v>
      </c>
      <c r="AW674" s="1013" t="s">
        <v>3577</v>
      </c>
      <c r="AX674" s="1014" t="s">
        <v>136</v>
      </c>
      <c r="AY674" s="65"/>
      <c r="AZ674" s="59" t="s">
        <v>137</v>
      </c>
    </row>
    <row r="675" ht="20.25" customHeight="1">
      <c r="A675" s="41">
        <v>675.0</v>
      </c>
      <c r="B675" s="836" t="s">
        <v>145</v>
      </c>
      <c r="C675" s="535" t="s">
        <v>108</v>
      </c>
      <c r="D675" s="535" t="s">
        <v>169</v>
      </c>
      <c r="E675" s="536"/>
      <c r="F675" s="92" t="s">
        <v>3543</v>
      </c>
      <c r="G675" s="1016" t="s">
        <v>3615</v>
      </c>
      <c r="H675" s="1015" t="s">
        <v>169</v>
      </c>
      <c r="I675" s="1042">
        <v>45636.0</v>
      </c>
      <c r="J675" s="992">
        <v>45673.0</v>
      </c>
      <c r="K675" s="1024" t="s">
        <v>3616</v>
      </c>
      <c r="L675" s="1029"/>
      <c r="M675" s="837" t="s">
        <v>3545</v>
      </c>
      <c r="N675" s="837" t="s">
        <v>3546</v>
      </c>
      <c r="O675" s="1043" t="s">
        <v>3579</v>
      </c>
      <c r="P675" s="1015" t="s">
        <v>3547</v>
      </c>
      <c r="Q675" s="49" t="str">
        <f t="array" ref="Q675"> if(iserror(MATCH(V675, 'File Links'!C:C, 0)), "N/A", HYPERLINK(INDEX('File Links'!B:B, MATCH(P675, 'File Links'!C:C, 0))))</f>
        <v>https://drive.google.com/file/d/1y96i0hMyOppZ0ZOc68SfdS2QELKNre-8/view?usp=drivesdk</v>
      </c>
      <c r="R675" s="1015" t="s">
        <v>3548</v>
      </c>
      <c r="S675" s="74" t="s">
        <v>3549</v>
      </c>
      <c r="T675" s="1029"/>
      <c r="U675" s="1043" t="s">
        <v>3579</v>
      </c>
      <c r="V675" s="195" t="str">
        <f t="shared" si="36"/>
        <v>10.1073--pnas.2402315121.pdf</v>
      </c>
      <c r="W675" s="1015" t="s">
        <v>2118</v>
      </c>
      <c r="X675" s="51" t="str">
        <f t="array" ref="X675"> if(iserror(MATCH(V675, 'File Links'!C:C, 0)), "N/A", HYPERLINK(INDEX('File Links'!B:B, MATCH(V675, 'File Links'!C:C, 0))))</f>
        <v>https://drive.google.com/file/d/1Mxrn43qE4Nlk4SUVbyTVjT4uEEPF5pZu/view?usp=drivesdk</v>
      </c>
      <c r="Y675" s="1029"/>
      <c r="Z675" s="1015" t="s">
        <v>141</v>
      </c>
      <c r="AA675" s="1015" t="s">
        <v>3550</v>
      </c>
      <c r="AB675" s="1015" t="s">
        <v>3551</v>
      </c>
      <c r="AC675" s="1015" t="s">
        <v>3617</v>
      </c>
      <c r="AD675" s="1024" t="s">
        <v>3618</v>
      </c>
      <c r="AE675" s="1015" t="s">
        <v>3619</v>
      </c>
      <c r="AF675" s="1044">
        <v>349.0</v>
      </c>
      <c r="AG675" s="1024" t="s">
        <v>3620</v>
      </c>
      <c r="AH675" s="346" t="s">
        <v>127</v>
      </c>
      <c r="AI675" s="1016" t="s">
        <v>606</v>
      </c>
      <c r="AJ675" s="1016" t="s">
        <v>3621</v>
      </c>
      <c r="AK675" s="1015" t="s">
        <v>165</v>
      </c>
      <c r="AL675" s="1016" t="s">
        <v>179</v>
      </c>
      <c r="AM675" s="1029" t="s">
        <v>130</v>
      </c>
      <c r="AN675" s="1030" t="s">
        <v>3558</v>
      </c>
      <c r="AO675" s="1045">
        <v>1036.0</v>
      </c>
      <c r="AP675" s="1046" t="s">
        <v>3559</v>
      </c>
      <c r="AQ675" s="1015" t="s">
        <v>208</v>
      </c>
      <c r="AR675" s="1015" t="s">
        <v>3622</v>
      </c>
      <c r="AS675" s="1015" t="s">
        <v>3623</v>
      </c>
      <c r="AT675" s="1015" t="s">
        <v>165</v>
      </c>
      <c r="AU675" s="1015" t="s">
        <v>179</v>
      </c>
      <c r="AV675" s="1029" t="s">
        <v>130</v>
      </c>
      <c r="AW675" s="1030" t="s">
        <v>3583</v>
      </c>
      <c r="AX675" s="1031" t="s">
        <v>136</v>
      </c>
      <c r="AY675" s="65"/>
      <c r="AZ675" s="59" t="s">
        <v>137</v>
      </c>
    </row>
    <row r="676" ht="20.25" customHeight="1">
      <c r="A676" s="41">
        <v>676.0</v>
      </c>
      <c r="B676" s="836" t="s">
        <v>145</v>
      </c>
      <c r="C676" s="322" t="s">
        <v>108</v>
      </c>
      <c r="D676" s="322" t="s">
        <v>169</v>
      </c>
      <c r="E676" s="223"/>
      <c r="F676" s="92" t="s">
        <v>3543</v>
      </c>
      <c r="G676" s="409" t="s">
        <v>3624</v>
      </c>
      <c r="H676" s="241" t="s">
        <v>169</v>
      </c>
      <c r="I676" s="655">
        <v>45636.0</v>
      </c>
      <c r="J676" s="992">
        <v>45673.0</v>
      </c>
      <c r="K676" s="321" t="s">
        <v>3607</v>
      </c>
      <c r="L676" s="328"/>
      <c r="M676" s="837" t="s">
        <v>3545</v>
      </c>
      <c r="N676" s="837" t="s">
        <v>3546</v>
      </c>
      <c r="O676" s="1047">
        <v>3.0</v>
      </c>
      <c r="P676" s="241" t="s">
        <v>3547</v>
      </c>
      <c r="Q676" s="49" t="str">
        <f t="array" ref="Q676"> if(iserror(MATCH(V676, 'File Links'!C:C, 0)), "N/A", HYPERLINK(INDEX('File Links'!B:B, MATCH(P676, 'File Links'!C:C, 0))))</f>
        <v>https://drive.google.com/file/d/1y96i0hMyOppZ0ZOc68SfdS2QELKNre-8/view?usp=drivesdk</v>
      </c>
      <c r="R676" s="241" t="s">
        <v>3548</v>
      </c>
      <c r="S676" s="74" t="s">
        <v>3549</v>
      </c>
      <c r="T676" s="328"/>
      <c r="U676" s="1047">
        <v>3.0</v>
      </c>
      <c r="V676" s="195" t="str">
        <f t="shared" si="36"/>
        <v>10.1073--pnas.2402315121.pdf</v>
      </c>
      <c r="W676" s="241" t="s">
        <v>2118</v>
      </c>
      <c r="X676" s="51" t="str">
        <f t="array" ref="X676"> if(iserror(MATCH(V676, 'File Links'!C:C, 0)), "N/A", HYPERLINK(INDEX('File Links'!B:B, MATCH(V676, 'File Links'!C:C, 0))))</f>
        <v>https://drive.google.com/file/d/1Mxrn43qE4Nlk4SUVbyTVjT4uEEPF5pZu/view?usp=drivesdk</v>
      </c>
      <c r="Y676" s="328"/>
      <c r="Z676" s="241" t="s">
        <v>141</v>
      </c>
      <c r="AA676" s="241" t="s">
        <v>3550</v>
      </c>
      <c r="AB676" s="241" t="s">
        <v>3551</v>
      </c>
      <c r="AC676" s="241" t="s">
        <v>3625</v>
      </c>
      <c r="AD676" s="321" t="s">
        <v>3626</v>
      </c>
      <c r="AE676" s="241" t="s">
        <v>843</v>
      </c>
      <c r="AF676" s="331">
        <v>340.0</v>
      </c>
      <c r="AG676" s="321" t="s">
        <v>3627</v>
      </c>
      <c r="AH676" s="346" t="s">
        <v>127</v>
      </c>
      <c r="AI676" s="409" t="s">
        <v>606</v>
      </c>
      <c r="AJ676" s="409" t="s">
        <v>3628</v>
      </c>
      <c r="AK676" s="241" t="s">
        <v>165</v>
      </c>
      <c r="AL676" s="409" t="s">
        <v>179</v>
      </c>
      <c r="AM676" s="328" t="s">
        <v>130</v>
      </c>
      <c r="AN676" s="1037" t="s">
        <v>3558</v>
      </c>
      <c r="AO676" s="1048">
        <v>881.0</v>
      </c>
      <c r="AP676" s="408" t="s">
        <v>490</v>
      </c>
      <c r="AQ676" s="241" t="s">
        <v>208</v>
      </c>
      <c r="AR676" s="241" t="s">
        <v>3629</v>
      </c>
      <c r="AS676" s="241" t="s">
        <v>3630</v>
      </c>
      <c r="AT676" s="241" t="s">
        <v>165</v>
      </c>
      <c r="AU676" s="241" t="s">
        <v>179</v>
      </c>
      <c r="AV676" s="328" t="s">
        <v>130</v>
      </c>
      <c r="AW676" s="1037" t="s">
        <v>3588</v>
      </c>
      <c r="AX676" s="1038" t="s">
        <v>136</v>
      </c>
      <c r="AY676" s="65"/>
      <c r="AZ676" s="59" t="s">
        <v>137</v>
      </c>
    </row>
    <row r="677" ht="20.25" customHeight="1">
      <c r="A677" s="41">
        <v>677.0</v>
      </c>
      <c r="B677" s="836" t="s">
        <v>145</v>
      </c>
      <c r="C677" s="394" t="s">
        <v>108</v>
      </c>
      <c r="D677" s="394" t="s">
        <v>169</v>
      </c>
      <c r="E677" s="217"/>
      <c r="F677" s="92" t="s">
        <v>3543</v>
      </c>
      <c r="G677" s="396" t="s">
        <v>3631</v>
      </c>
      <c r="H677" s="404" t="s">
        <v>169</v>
      </c>
      <c r="I677" s="397">
        <v>45636.0</v>
      </c>
      <c r="J677" s="992">
        <v>45673.0</v>
      </c>
      <c r="K677" s="404" t="s">
        <v>3632</v>
      </c>
      <c r="L677" s="395"/>
      <c r="M677" s="837" t="s">
        <v>3545</v>
      </c>
      <c r="N677" s="837" t="s">
        <v>3546</v>
      </c>
      <c r="O677" s="1049">
        <v>5.0</v>
      </c>
      <c r="P677" s="404" t="s">
        <v>3547</v>
      </c>
      <c r="Q677" s="49" t="str">
        <f t="array" ref="Q677"> if(iserror(MATCH(V677, 'File Links'!C:C, 0)), "N/A", HYPERLINK(INDEX('File Links'!B:B, MATCH(P677, 'File Links'!C:C, 0))))</f>
        <v>https://drive.google.com/file/d/1y96i0hMyOppZ0ZOc68SfdS2QELKNre-8/view?usp=drivesdk</v>
      </c>
      <c r="R677" s="404" t="s">
        <v>3548</v>
      </c>
      <c r="S677" s="74" t="s">
        <v>3549</v>
      </c>
      <c r="T677" s="395"/>
      <c r="U677" s="1049">
        <v>5.0</v>
      </c>
      <c r="V677" s="195" t="str">
        <f t="shared" si="36"/>
        <v>10.1073--pnas.2402315121.pdf</v>
      </c>
      <c r="W677" s="404" t="s">
        <v>2118</v>
      </c>
      <c r="X677" s="51" t="str">
        <f t="array" ref="X677"> if(iserror(MATCH(V677, 'File Links'!C:C, 0)), "N/A", HYPERLINK(INDEX('File Links'!B:B, MATCH(V677, 'File Links'!C:C, 0))))</f>
        <v>https://drive.google.com/file/d/1Mxrn43qE4Nlk4SUVbyTVjT4uEEPF5pZu/view?usp=drivesdk</v>
      </c>
      <c r="Y677" s="395"/>
      <c r="Z677" s="404" t="s">
        <v>141</v>
      </c>
      <c r="AA677" s="404" t="s">
        <v>3550</v>
      </c>
      <c r="AB677" s="404" t="s">
        <v>3551</v>
      </c>
      <c r="AC677" s="404" t="s">
        <v>3633</v>
      </c>
      <c r="AD677" s="404" t="s">
        <v>3634</v>
      </c>
      <c r="AE677" s="404" t="s">
        <v>133</v>
      </c>
      <c r="AF677" s="725">
        <v>240.0</v>
      </c>
      <c r="AG677" s="645" t="s">
        <v>3592</v>
      </c>
      <c r="AH677" s="96" t="s">
        <v>127</v>
      </c>
      <c r="AI677" s="396" t="s">
        <v>606</v>
      </c>
      <c r="AJ677" s="396" t="s">
        <v>515</v>
      </c>
      <c r="AK677" s="404" t="s">
        <v>165</v>
      </c>
      <c r="AL677" s="396" t="s">
        <v>179</v>
      </c>
      <c r="AM677" s="395" t="s">
        <v>130</v>
      </c>
      <c r="AN677" s="406" t="s">
        <v>3558</v>
      </c>
      <c r="AO677" s="1050">
        <v>882.0</v>
      </c>
      <c r="AP677" s="643" t="s">
        <v>3612</v>
      </c>
      <c r="AQ677" s="404" t="s">
        <v>208</v>
      </c>
      <c r="AR677" s="404" t="s">
        <v>3635</v>
      </c>
      <c r="AS677" s="404" t="s">
        <v>3636</v>
      </c>
      <c r="AT677" s="404" t="s">
        <v>165</v>
      </c>
      <c r="AU677" s="404" t="s">
        <v>179</v>
      </c>
      <c r="AV677" s="395" t="s">
        <v>130</v>
      </c>
      <c r="AW677" s="406" t="s">
        <v>3594</v>
      </c>
      <c r="AX677" s="407" t="s">
        <v>136</v>
      </c>
      <c r="AY677" s="65"/>
      <c r="AZ677" s="59" t="s">
        <v>137</v>
      </c>
    </row>
    <row r="678" ht="20.25" customHeight="1">
      <c r="A678" s="41">
        <v>678.0</v>
      </c>
      <c r="B678" s="836" t="s">
        <v>145</v>
      </c>
      <c r="C678" s="394" t="s">
        <v>108</v>
      </c>
      <c r="D678" s="394" t="s">
        <v>169</v>
      </c>
      <c r="E678" s="217"/>
      <c r="F678" s="92" t="s">
        <v>3543</v>
      </c>
      <c r="G678" s="396" t="s">
        <v>3637</v>
      </c>
      <c r="H678" s="404" t="s">
        <v>169</v>
      </c>
      <c r="I678" s="397">
        <v>45636.0</v>
      </c>
      <c r="J678" s="992">
        <v>45673.0</v>
      </c>
      <c r="K678" s="404" t="s">
        <v>3638</v>
      </c>
      <c r="L678" s="395"/>
      <c r="M678" s="837" t="s">
        <v>3545</v>
      </c>
      <c r="N678" s="837" t="s">
        <v>3546</v>
      </c>
      <c r="O678" s="1049">
        <v>5.0</v>
      </c>
      <c r="P678" s="404" t="s">
        <v>3547</v>
      </c>
      <c r="Q678" s="49" t="str">
        <f t="array" ref="Q678"> if(iserror(MATCH(V678, 'File Links'!C:C, 0)), "N/A", HYPERLINK(INDEX('File Links'!B:B, MATCH(P678, 'File Links'!C:C, 0))))</f>
        <v>https://drive.google.com/file/d/1y96i0hMyOppZ0ZOc68SfdS2QELKNre-8/view?usp=drivesdk</v>
      </c>
      <c r="R678" s="404" t="s">
        <v>3548</v>
      </c>
      <c r="S678" s="74" t="s">
        <v>3549</v>
      </c>
      <c r="T678" s="395"/>
      <c r="U678" s="1051">
        <v>5.0</v>
      </c>
      <c r="V678" s="195" t="str">
        <f t="shared" si="36"/>
        <v>10.1073--pnas.2402315121.pdf</v>
      </c>
      <c r="W678" s="395"/>
      <c r="X678" s="51" t="str">
        <f t="array" ref="X678"> if(iserror(MATCH(V678, 'File Links'!C:C, 0)), "N/A", HYPERLINK(INDEX('File Links'!B:B, MATCH(V678, 'File Links'!C:C, 0))))</f>
        <v>https://drive.google.com/file/d/1Mxrn43qE4Nlk4SUVbyTVjT4uEEPF5pZu/view?usp=drivesdk</v>
      </c>
      <c r="Y678" s="395"/>
      <c r="Z678" s="404" t="s">
        <v>141</v>
      </c>
      <c r="AA678" s="404" t="s">
        <v>3550</v>
      </c>
      <c r="AB678" s="404" t="s">
        <v>3551</v>
      </c>
      <c r="AC678" s="404" t="s">
        <v>3633</v>
      </c>
      <c r="AD678" s="404" t="s">
        <v>3634</v>
      </c>
      <c r="AE678" s="404" t="s">
        <v>133</v>
      </c>
      <c r="AF678" s="725">
        <v>240.0</v>
      </c>
      <c r="AG678" s="645" t="s">
        <v>3592</v>
      </c>
      <c r="AH678" s="96" t="s">
        <v>127</v>
      </c>
      <c r="AI678" s="396" t="s">
        <v>606</v>
      </c>
      <c r="AJ678" s="396" t="s">
        <v>515</v>
      </c>
      <c r="AK678" s="404" t="s">
        <v>165</v>
      </c>
      <c r="AL678" s="396" t="s">
        <v>179</v>
      </c>
      <c r="AM678" s="395" t="s">
        <v>130</v>
      </c>
      <c r="AN678" s="406" t="s">
        <v>3558</v>
      </c>
      <c r="AO678" s="1050">
        <v>879.0</v>
      </c>
      <c r="AP678" s="643" t="s">
        <v>3639</v>
      </c>
      <c r="AQ678" s="404" t="s">
        <v>208</v>
      </c>
      <c r="AR678" s="404" t="s">
        <v>2406</v>
      </c>
      <c r="AS678" s="404" t="s">
        <v>3621</v>
      </c>
      <c r="AT678" s="404" t="s">
        <v>165</v>
      </c>
      <c r="AU678" s="404" t="s">
        <v>179</v>
      </c>
      <c r="AV678" s="395" t="s">
        <v>130</v>
      </c>
      <c r="AW678" s="406" t="s">
        <v>3640</v>
      </c>
      <c r="AX678" s="407" t="s">
        <v>144</v>
      </c>
      <c r="AY678" s="65"/>
      <c r="AZ678" s="59" t="s">
        <v>137</v>
      </c>
      <c r="BA678" s="69"/>
    </row>
    <row r="679" ht="20.25" customHeight="1">
      <c r="A679" s="41">
        <v>679.0</v>
      </c>
      <c r="B679" s="65" t="s">
        <v>107</v>
      </c>
      <c r="C679" s="59" t="s">
        <v>108</v>
      </c>
      <c r="D679" s="59" t="s">
        <v>241</v>
      </c>
      <c r="F679" s="156" t="s">
        <v>3641</v>
      </c>
      <c r="G679" s="54" t="s">
        <v>3642</v>
      </c>
      <c r="H679" s="156" t="s">
        <v>242</v>
      </c>
      <c r="I679" s="149">
        <v>45663.0</v>
      </c>
      <c r="J679" s="149">
        <v>45692.0</v>
      </c>
      <c r="K679" s="434" t="s">
        <v>3643</v>
      </c>
      <c r="L679" s="65"/>
      <c r="M679" s="156" t="s">
        <v>3644</v>
      </c>
      <c r="N679" s="156" t="s">
        <v>3645</v>
      </c>
      <c r="O679" s="65"/>
      <c r="P679" s="156" t="str">
        <f t="shared" ref="P679:P922" si="37">SUBSTITUTE(LOWER(N679), "/", "--") &amp;  ".pdf"</f>
        <v>10.1016--j.cub.2004.01.029.pdf</v>
      </c>
      <c r="Q679" s="49" t="str">
        <f t="array" ref="Q679"> if(iserror(MATCH(V679, 'File Links'!C:C, 0)), "N/A", HYPERLINK(INDEX('File Links'!B:B, MATCH(P679, 'File Links'!C:C, 0))))</f>
        <v>https://drive.google.com/file/d/1oLyXVFY64dU4qE6_b-iVXYa7asikLA1e/view?usp=drivesdk</v>
      </c>
      <c r="R679" s="156" t="s">
        <v>3646</v>
      </c>
      <c r="S679" s="156" t="s">
        <v>3647</v>
      </c>
      <c r="T679" s="65"/>
      <c r="U679" s="153">
        <v>1.0</v>
      </c>
      <c r="V679" s="195" t="str">
        <f t="shared" si="36"/>
        <v>10.1098--rsos.231240.pdf</v>
      </c>
      <c r="W679" s="156" t="s">
        <v>317</v>
      </c>
      <c r="X679" s="51" t="str">
        <f t="array" ref="X679"> if(iserror(MATCH(V679, 'File Links'!C:C, 0)), "N/A", HYPERLINK(INDEX('File Links'!B:B, MATCH(V679, 'File Links'!C:C, 0))))</f>
        <v>https://drive.google.com/file/d/17gaf2Zy_ljFfcAEDk5L8GBnTl5i7RGJE/view?usp=drivesdk</v>
      </c>
      <c r="Y679" s="65"/>
      <c r="Z679" s="156" t="s">
        <v>141</v>
      </c>
      <c r="AA679" s="65"/>
      <c r="AB679" s="65"/>
      <c r="AC679" s="65"/>
      <c r="AD679" s="156" t="s">
        <v>3648</v>
      </c>
      <c r="AE679" s="153">
        <v>261.0</v>
      </c>
      <c r="AF679" s="153">
        <v>5.0</v>
      </c>
      <c r="AG679" s="156" t="s">
        <v>131</v>
      </c>
      <c r="AH679" s="164" t="s">
        <v>131</v>
      </c>
      <c r="AI679" s="156" t="s">
        <v>131</v>
      </c>
      <c r="AJ679" s="706">
        <v>0.01</v>
      </c>
      <c r="AK679" s="54" t="s">
        <v>128</v>
      </c>
      <c r="AL679" s="54" t="s">
        <v>211</v>
      </c>
      <c r="AM679" s="156" t="s">
        <v>134</v>
      </c>
      <c r="AN679" s="216" t="s">
        <v>131</v>
      </c>
      <c r="AO679" s="153">
        <v>3.0</v>
      </c>
      <c r="AP679" s="156" t="s">
        <v>131</v>
      </c>
      <c r="AQ679" s="65"/>
      <c r="AR679" s="65"/>
      <c r="AS679" s="156" t="s">
        <v>131</v>
      </c>
      <c r="AT679" s="65"/>
      <c r="AU679" s="156" t="s">
        <v>179</v>
      </c>
      <c r="AV679" s="156" t="s">
        <v>1898</v>
      </c>
      <c r="AW679" s="65"/>
      <c r="AX679" s="156" t="s">
        <v>136</v>
      </c>
      <c r="AZ679" s="65" t="s">
        <v>146</v>
      </c>
      <c r="BA679" s="69"/>
    </row>
    <row r="680" ht="20.25" customHeight="1">
      <c r="A680" s="41">
        <v>680.0</v>
      </c>
      <c r="B680" s="126" t="s">
        <v>107</v>
      </c>
      <c r="C680" s="59" t="s">
        <v>108</v>
      </c>
      <c r="D680" s="59" t="s">
        <v>146</v>
      </c>
      <c r="F680" s="65" t="s">
        <v>3642</v>
      </c>
      <c r="G680" s="54" t="s">
        <v>3641</v>
      </c>
      <c r="H680" s="156" t="s">
        <v>146</v>
      </c>
      <c r="I680" s="149">
        <v>45687.0</v>
      </c>
      <c r="J680" s="149">
        <v>45692.0</v>
      </c>
      <c r="K680" s="1052" t="s">
        <v>3649</v>
      </c>
      <c r="L680" s="156" t="s">
        <v>3650</v>
      </c>
      <c r="M680" s="156" t="s">
        <v>3644</v>
      </c>
      <c r="N680" s="156" t="s">
        <v>3645</v>
      </c>
      <c r="O680" s="153">
        <v>1.0</v>
      </c>
      <c r="P680" s="603" t="str">
        <f t="shared" si="37"/>
        <v>10.1016--j.cub.2004.01.029.pdf</v>
      </c>
      <c r="Q680" s="49" t="str">
        <f t="array" ref="Q680"> if(iserror(MATCH(V680, 'File Links'!C:C, 0)), "N/A", HYPERLINK(INDEX('File Links'!B:B, MATCH(P680, 'File Links'!C:C, 0))))</f>
        <v>https://drive.google.com/file/d/1oLyXVFY64dU4qE6_b-iVXYa7asikLA1e/view?usp=drivesdk</v>
      </c>
      <c r="R680" s="156" t="s">
        <v>3646</v>
      </c>
      <c r="S680" s="156" t="s">
        <v>3647</v>
      </c>
      <c r="T680" s="65"/>
      <c r="U680" s="153">
        <v>1.0</v>
      </c>
      <c r="V680" s="379" t="s">
        <v>3651</v>
      </c>
      <c r="W680" s="156"/>
      <c r="X680" s="51" t="str">
        <f t="array" ref="X680"> if(iserror(MATCH(V680, 'File Links'!C:C, 0)), "N/A", HYPERLINK(INDEX('File Links'!B:B, MATCH(V680, 'File Links'!C:C, 0))))</f>
        <v>https://drive.google.com/file/d/17gaf2Zy_ljFfcAEDk5L8GBnTl5i7RGJE/view?usp=drivesdk</v>
      </c>
      <c r="Y680" s="156" t="s">
        <v>3652</v>
      </c>
      <c r="Z680" s="65"/>
      <c r="AA680" s="65"/>
      <c r="AB680" s="65"/>
      <c r="AC680" s="65"/>
      <c r="AD680" s="65"/>
      <c r="AE680" s="65"/>
      <c r="AF680" s="65"/>
      <c r="AG680" s="65"/>
      <c r="AH680" s="65"/>
      <c r="AI680" s="65"/>
      <c r="AJ680" s="335"/>
      <c r="AK680" s="58"/>
      <c r="AL680" s="58"/>
      <c r="AM680" s="65"/>
      <c r="AN680" s="216" t="s">
        <v>131</v>
      </c>
      <c r="AO680" s="65"/>
      <c r="AP680" s="65"/>
      <c r="AQ680" s="65"/>
      <c r="AR680" s="65"/>
      <c r="AS680" s="65"/>
      <c r="AT680" s="65"/>
      <c r="AU680" s="65"/>
      <c r="AV680" s="65"/>
      <c r="AW680" s="65"/>
      <c r="AX680" s="65"/>
      <c r="AY680" s="59" t="s">
        <v>3653</v>
      </c>
      <c r="AZ680" s="65" t="s">
        <v>146</v>
      </c>
      <c r="BA680" s="223"/>
    </row>
    <row r="681" ht="20.25" customHeight="1">
      <c r="A681" s="41">
        <v>681.0</v>
      </c>
      <c r="B681" s="65" t="s">
        <v>107</v>
      </c>
      <c r="C681" s="59" t="s">
        <v>108</v>
      </c>
      <c r="D681" s="59" t="s">
        <v>241</v>
      </c>
      <c r="F681" s="156" t="s">
        <v>3654</v>
      </c>
      <c r="G681" s="54" t="s">
        <v>3655</v>
      </c>
      <c r="H681" s="156" t="s">
        <v>242</v>
      </c>
      <c r="I681" s="149">
        <v>45663.0</v>
      </c>
      <c r="J681" s="149">
        <v>45692.0</v>
      </c>
      <c r="K681" s="65"/>
      <c r="L681" s="65"/>
      <c r="M681" s="156" t="s">
        <v>3656</v>
      </c>
      <c r="N681" s="156" t="s">
        <v>3657</v>
      </c>
      <c r="O681" s="65"/>
      <c r="P681" s="603" t="str">
        <f t="shared" si="37"/>
        <v>10.1016--j.neuroimage.2006.11.048.pdf</v>
      </c>
      <c r="Q681" s="49" t="str">
        <f t="array" ref="Q681"> if(iserror(MATCH(V681, 'File Links'!C:C, 0)), "N/A", HYPERLINK(INDEX('File Links'!B:B, MATCH(P681, 'File Links'!C:C, 0))))</f>
        <v>https://drive.google.com/file/d/1M2npXIoOra27xHNDnCsNwFJwuHLFn-QY/view?usp=drivesdk</v>
      </c>
      <c r="R681" s="156" t="s">
        <v>3646</v>
      </c>
      <c r="S681" s="156" t="s">
        <v>3647</v>
      </c>
      <c r="T681" s="65"/>
      <c r="U681" s="153">
        <v>1.0</v>
      </c>
      <c r="V681" s="195" t="str">
        <f t="shared" ref="V681:V683" si="38"> hyperlink(vlookup(lower(S681),#REF!, 2, FALSE), SUBSTITUTE(lower(S681), "/", "--") &amp;  ".pdf")</f>
        <v>10.1098--rsos.231240.pdf</v>
      </c>
      <c r="W681" s="156" t="s">
        <v>3658</v>
      </c>
      <c r="X681" s="51" t="str">
        <f t="array" ref="X681"> if(iserror(MATCH(V681, 'File Links'!C:C, 0)), "N/A", HYPERLINK(INDEX('File Links'!B:B, MATCH(V681, 'File Links'!C:C, 0))))</f>
        <v>https://drive.google.com/file/d/17gaf2Zy_ljFfcAEDk5L8GBnTl5i7RGJE/view?usp=drivesdk</v>
      </c>
      <c r="Y681" s="65"/>
      <c r="Z681" s="156" t="s">
        <v>141</v>
      </c>
      <c r="AA681" s="65"/>
      <c r="AB681" s="65"/>
      <c r="AC681" s="65"/>
      <c r="AD681" s="156" t="s">
        <v>3659</v>
      </c>
      <c r="AE681" s="153">
        <v>534.0</v>
      </c>
      <c r="AF681" s="153">
        <v>22.0</v>
      </c>
      <c r="AG681" s="1053" t="s">
        <v>3660</v>
      </c>
      <c r="AH681" s="148" t="s">
        <v>127</v>
      </c>
      <c r="AI681" s="156" t="s">
        <v>3661</v>
      </c>
      <c r="AJ681" s="706">
        <v>0.001</v>
      </c>
      <c r="AK681" s="54" t="s">
        <v>128</v>
      </c>
      <c r="AL681" s="54" t="s">
        <v>179</v>
      </c>
      <c r="AM681" s="156" t="s">
        <v>134</v>
      </c>
      <c r="AN681" s="1054" t="s">
        <v>131</v>
      </c>
      <c r="AO681" s="153">
        <v>40.0</v>
      </c>
      <c r="AP681" s="493">
        <v>3.49</v>
      </c>
      <c r="AQ681" s="156" t="s">
        <v>1024</v>
      </c>
      <c r="AR681" s="65"/>
      <c r="AS681" s="153">
        <v>0.0618253867610742</v>
      </c>
      <c r="AT681" s="156" t="s">
        <v>165</v>
      </c>
      <c r="AU681" s="156" t="s">
        <v>179</v>
      </c>
      <c r="AV681" s="156" t="s">
        <v>134</v>
      </c>
      <c r="AW681" s="65"/>
      <c r="AX681" s="156" t="s">
        <v>136</v>
      </c>
      <c r="AZ681" s="65" t="s">
        <v>146</v>
      </c>
      <c r="BA681" s="809"/>
    </row>
    <row r="682" ht="20.25" customHeight="1">
      <c r="A682" s="41">
        <v>682.0</v>
      </c>
      <c r="B682" s="126" t="s">
        <v>145</v>
      </c>
      <c r="C682" s="59" t="s">
        <v>108</v>
      </c>
      <c r="D682" s="59" t="s">
        <v>146</v>
      </c>
      <c r="F682" s="65" t="s">
        <v>3655</v>
      </c>
      <c r="G682" s="54" t="s">
        <v>3654</v>
      </c>
      <c r="H682" s="156" t="s">
        <v>146</v>
      </c>
      <c r="I682" s="149">
        <v>45687.0</v>
      </c>
      <c r="J682" s="149">
        <v>45692.0</v>
      </c>
      <c r="K682" s="436" t="s">
        <v>3662</v>
      </c>
      <c r="L682" s="126" t="s">
        <v>3663</v>
      </c>
      <c r="M682" s="156" t="s">
        <v>3656</v>
      </c>
      <c r="N682" s="156" t="s">
        <v>3657</v>
      </c>
      <c r="O682" s="153">
        <v>1.0</v>
      </c>
      <c r="P682" s="603" t="str">
        <f t="shared" si="37"/>
        <v>10.1016--j.neuroimage.2006.11.048.pdf</v>
      </c>
      <c r="Q682" s="49" t="str">
        <f t="array" ref="Q682"> if(iserror(MATCH(V682, 'File Links'!C:C, 0)), "N/A", HYPERLINK(INDEX('File Links'!B:B, MATCH(P682, 'File Links'!C:C, 0))))</f>
        <v>https://drive.google.com/file/d/1M2npXIoOra27xHNDnCsNwFJwuHLFn-QY/view?usp=drivesdk</v>
      </c>
      <c r="R682" s="156" t="s">
        <v>3646</v>
      </c>
      <c r="S682" s="156" t="s">
        <v>3647</v>
      </c>
      <c r="T682" s="65"/>
      <c r="U682" s="153">
        <v>1.0</v>
      </c>
      <c r="V682" s="195" t="str">
        <f t="shared" si="38"/>
        <v>10.1098--rsos.231240.pdf</v>
      </c>
      <c r="W682" s="156" t="s">
        <v>3664</v>
      </c>
      <c r="X682" s="51" t="str">
        <f t="array" ref="X682"> if(iserror(MATCH(V682, 'File Links'!C:C, 0)), "N/A", HYPERLINK(INDEX('File Links'!B:B, MATCH(V682, 'File Links'!C:C, 0))))</f>
        <v>https://drive.google.com/file/d/17gaf2Zy_ljFfcAEDk5L8GBnTl5i7RGJE/view?usp=drivesdk</v>
      </c>
      <c r="Y682" s="65"/>
      <c r="Z682" s="156" t="s">
        <v>141</v>
      </c>
      <c r="AA682" s="156" t="s">
        <v>3665</v>
      </c>
      <c r="AB682" s="156" t="s">
        <v>3666</v>
      </c>
      <c r="AC682" s="156" t="s">
        <v>3667</v>
      </c>
      <c r="AD682" s="156" t="s">
        <v>3668</v>
      </c>
      <c r="AE682" s="333">
        <v>5.0</v>
      </c>
      <c r="AF682" s="153">
        <v>22.0</v>
      </c>
      <c r="AG682" s="158">
        <v>1.523</v>
      </c>
      <c r="AH682" s="158" t="s">
        <v>166</v>
      </c>
      <c r="AI682" s="158" t="s">
        <v>3669</v>
      </c>
      <c r="AJ682" s="706">
        <v>0.001</v>
      </c>
      <c r="AK682" s="54" t="s">
        <v>128</v>
      </c>
      <c r="AL682" s="54" t="s">
        <v>179</v>
      </c>
      <c r="AM682" s="156" t="s">
        <v>134</v>
      </c>
      <c r="AN682" s="1055" t="s">
        <v>131</v>
      </c>
      <c r="AO682" s="153">
        <v>40.0</v>
      </c>
      <c r="AP682" s="158" t="s">
        <v>3670</v>
      </c>
      <c r="AQ682" s="158" t="s">
        <v>127</v>
      </c>
      <c r="AR682" s="438" t="s">
        <v>3671</v>
      </c>
      <c r="AS682" s="153"/>
      <c r="AT682" s="148" t="s">
        <v>131</v>
      </c>
      <c r="AU682" s="156" t="s">
        <v>179</v>
      </c>
      <c r="AV682" s="156" t="s">
        <v>134</v>
      </c>
      <c r="AW682" s="65"/>
      <c r="AX682" s="65" t="s">
        <v>136</v>
      </c>
      <c r="AY682" s="59" t="s">
        <v>3672</v>
      </c>
      <c r="AZ682" s="126" t="s">
        <v>3673</v>
      </c>
      <c r="BA682" s="223"/>
    </row>
    <row r="683" ht="20.25" customHeight="1">
      <c r="A683" s="41">
        <v>683.0</v>
      </c>
      <c r="B683" s="65" t="s">
        <v>107</v>
      </c>
      <c r="C683" s="59" t="s">
        <v>108</v>
      </c>
      <c r="D683" s="59" t="s">
        <v>241</v>
      </c>
      <c r="F683" s="156" t="s">
        <v>3674</v>
      </c>
      <c r="G683" s="54" t="s">
        <v>3675</v>
      </c>
      <c r="H683" s="156" t="s">
        <v>242</v>
      </c>
      <c r="I683" s="149">
        <v>45669.0</v>
      </c>
      <c r="J683" s="149">
        <v>45692.0</v>
      </c>
      <c r="K683" s="434" t="s">
        <v>3676</v>
      </c>
      <c r="L683" s="65"/>
      <c r="M683" s="156" t="s">
        <v>3677</v>
      </c>
      <c r="N683" s="156" t="s">
        <v>3678</v>
      </c>
      <c r="O683" s="65"/>
      <c r="P683" s="603" t="str">
        <f t="shared" si="37"/>
        <v>10.1038--nature03390.pdf</v>
      </c>
      <c r="Q683" s="49" t="str">
        <f t="array" ref="Q683"> if(iserror(MATCH(V683, 'File Links'!C:C, 0)), "N/A", HYPERLINK(INDEX('File Links'!B:B, MATCH(P683, 'File Links'!C:C, 0))))</f>
        <v>https://drive.google.com/file/d/1SrRdwzLZMo2zK6deXcTRyDZ9oh1TesUR/view?usp=drivesdk</v>
      </c>
      <c r="R683" s="156" t="s">
        <v>3646</v>
      </c>
      <c r="S683" s="156" t="s">
        <v>3647</v>
      </c>
      <c r="T683" s="65"/>
      <c r="U683" s="153">
        <v>1.0</v>
      </c>
      <c r="V683" s="195" t="str">
        <f t="shared" si="38"/>
        <v>10.1098--rsos.231240.pdf</v>
      </c>
      <c r="W683" s="156" t="s">
        <v>317</v>
      </c>
      <c r="X683" s="51" t="str">
        <f t="array" ref="X683"> if(iserror(MATCH(V683, 'File Links'!C:C, 0)), "N/A", HYPERLINK(INDEX('File Links'!B:B, MATCH(V683, 'File Links'!C:C, 0))))</f>
        <v>https://drive.google.com/file/d/17gaf2Zy_ljFfcAEDk5L8GBnTl5i7RGJE/view?usp=drivesdk</v>
      </c>
      <c r="Y683" s="65"/>
      <c r="Z683" s="156" t="s">
        <v>141</v>
      </c>
      <c r="AA683" s="65"/>
      <c r="AB683" s="65"/>
      <c r="AC683" s="65"/>
      <c r="AD683" s="156" t="s">
        <v>131</v>
      </c>
      <c r="AE683" s="156" t="s">
        <v>131</v>
      </c>
      <c r="AF683" s="156" t="s">
        <v>131</v>
      </c>
      <c r="AG683" s="156" t="s">
        <v>131</v>
      </c>
      <c r="AH683" s="164" t="s">
        <v>131</v>
      </c>
      <c r="AI683" s="156" t="s">
        <v>131</v>
      </c>
      <c r="AJ683" s="335"/>
      <c r="AK683" s="58"/>
      <c r="AL683" s="54" t="s">
        <v>179</v>
      </c>
      <c r="AM683" s="156" t="s">
        <v>1898</v>
      </c>
      <c r="AN683" s="1054" t="s">
        <v>131</v>
      </c>
      <c r="AO683" s="153">
        <v>2.0</v>
      </c>
      <c r="AP683" s="156" t="s">
        <v>131</v>
      </c>
      <c r="AQ683" s="65"/>
      <c r="AR683" s="65"/>
      <c r="AS683" s="156" t="s">
        <v>131</v>
      </c>
      <c r="AT683" s="65"/>
      <c r="AU683" s="65"/>
      <c r="AV683" s="156" t="s">
        <v>1898</v>
      </c>
      <c r="AW683" s="65"/>
      <c r="AX683" s="156" t="s">
        <v>136</v>
      </c>
      <c r="AZ683" s="65" t="s">
        <v>146</v>
      </c>
      <c r="BA683" s="223"/>
    </row>
    <row r="684" ht="20.25" customHeight="1">
      <c r="A684" s="41">
        <v>684.0</v>
      </c>
      <c r="B684" s="126" t="s">
        <v>2006</v>
      </c>
      <c r="C684" s="59" t="s">
        <v>108</v>
      </c>
      <c r="D684" s="59" t="s">
        <v>146</v>
      </c>
      <c r="F684" s="65" t="s">
        <v>3675</v>
      </c>
      <c r="G684" s="54" t="s">
        <v>3674</v>
      </c>
      <c r="H684" s="156" t="s">
        <v>146</v>
      </c>
      <c r="I684" s="149">
        <v>45687.0</v>
      </c>
      <c r="J684" s="149">
        <v>45692.0</v>
      </c>
      <c r="K684" s="434" t="s">
        <v>3679</v>
      </c>
      <c r="L684" s="65"/>
      <c r="M684" s="156" t="s">
        <v>3677</v>
      </c>
      <c r="N684" s="156" t="s">
        <v>3678</v>
      </c>
      <c r="O684" s="153">
        <v>2.0</v>
      </c>
      <c r="P684" s="603" t="str">
        <f t="shared" si="37"/>
        <v>10.1038--nature03390.pdf</v>
      </c>
      <c r="Q684" s="49" t="str">
        <f t="array" ref="Q684"> if(iserror(MATCH(V684, 'File Links'!C:C, 0)), "N/A", HYPERLINK(INDEX('File Links'!B:B, MATCH(P684, 'File Links'!C:C, 0))))</f>
        <v>https://drive.google.com/file/d/1SrRdwzLZMo2zK6deXcTRyDZ9oh1TesUR/view?usp=drivesdk</v>
      </c>
      <c r="R684" s="156" t="s">
        <v>3646</v>
      </c>
      <c r="S684" s="156" t="s">
        <v>3647</v>
      </c>
      <c r="T684" s="65"/>
      <c r="U684" s="153">
        <v>1.0</v>
      </c>
      <c r="V684" s="379" t="s">
        <v>3651</v>
      </c>
      <c r="W684" s="65"/>
      <c r="X684" s="51" t="str">
        <f t="array" ref="X684"> if(iserror(MATCH(V684, 'File Links'!C:C, 0)), "N/A", HYPERLINK(INDEX('File Links'!B:B, MATCH(V684, 'File Links'!C:C, 0))))</f>
        <v>https://drive.google.com/file/d/17gaf2Zy_ljFfcAEDk5L8GBnTl5i7RGJE/view?usp=drivesdk</v>
      </c>
      <c r="Y684" s="156" t="s">
        <v>3680</v>
      </c>
      <c r="Z684" s="65"/>
      <c r="AA684" s="65"/>
      <c r="AB684" s="65"/>
      <c r="AC684" s="65"/>
      <c r="AD684" s="65"/>
      <c r="AE684" s="65"/>
      <c r="AF684" s="65"/>
      <c r="AG684" s="65"/>
      <c r="AH684" s="65"/>
      <c r="AI684" s="65"/>
      <c r="AJ684" s="335"/>
      <c r="AK684" s="58"/>
      <c r="AL684" s="58"/>
      <c r="AM684" s="65"/>
      <c r="AN684" s="1054" t="s">
        <v>131</v>
      </c>
      <c r="AO684" s="65"/>
      <c r="AP684" s="65"/>
      <c r="AQ684" s="65"/>
      <c r="AR684" s="65"/>
      <c r="AS684" s="65"/>
      <c r="AT684" s="65"/>
      <c r="AU684" s="65"/>
      <c r="AV684" s="65"/>
      <c r="AW684" s="65"/>
      <c r="AX684" s="65"/>
      <c r="AZ684" s="65" t="s">
        <v>146</v>
      </c>
    </row>
    <row r="685" ht="20.25" customHeight="1">
      <c r="A685" s="41">
        <v>685.0</v>
      </c>
      <c r="B685" s="65" t="s">
        <v>107</v>
      </c>
      <c r="C685" s="59" t="s">
        <v>108</v>
      </c>
      <c r="D685" s="59" t="s">
        <v>241</v>
      </c>
      <c r="F685" s="156" t="s">
        <v>3681</v>
      </c>
      <c r="G685" s="54" t="s">
        <v>3682</v>
      </c>
      <c r="H685" s="156" t="s">
        <v>242</v>
      </c>
      <c r="I685" s="149">
        <v>45669.0</v>
      </c>
      <c r="J685" s="149">
        <v>45692.0</v>
      </c>
      <c r="K685" s="65"/>
      <c r="L685" s="156" t="s">
        <v>3683</v>
      </c>
      <c r="M685" s="156" t="s">
        <v>3684</v>
      </c>
      <c r="N685" s="156" t="s">
        <v>3685</v>
      </c>
      <c r="O685" s="65"/>
      <c r="P685" s="603" t="str">
        <f t="shared" si="37"/>
        <v>10.1177--0093650215609676.pdf</v>
      </c>
      <c r="Q685" s="49" t="str">
        <f t="array" ref="Q685"> if(iserror(MATCH(V685, 'File Links'!C:C, 0)), "N/A", HYPERLINK(INDEX('File Links'!B:B, MATCH(P685, 'File Links'!C:C, 0))))</f>
        <v>https://drive.google.com/file/d/1XTFfWFGSOorXaSHUTepn_NywZP0WRrna/view?usp=drivesdk</v>
      </c>
      <c r="R685" s="156" t="s">
        <v>3646</v>
      </c>
      <c r="S685" s="156" t="s">
        <v>3647</v>
      </c>
      <c r="T685" s="65"/>
      <c r="U685" s="153">
        <v>1.0</v>
      </c>
      <c r="V685" s="195" t="str">
        <f t="shared" ref="V685:V700" si="39"> hyperlink(vlookup(lower(S685),#REF!, 2, FALSE), SUBSTITUTE(lower(S685), "/", "--") &amp;  ".pdf")</f>
        <v>10.1098--rsos.231240.pdf</v>
      </c>
      <c r="W685" s="156" t="s">
        <v>3686</v>
      </c>
      <c r="X685" s="51" t="str">
        <f t="array" ref="X685"> if(iserror(MATCH(V685, 'File Links'!C:C, 0)), "N/A", HYPERLINK(INDEX('File Links'!B:B, MATCH(V685, 'File Links'!C:C, 0))))</f>
        <v>https://drive.google.com/file/d/17gaf2Zy_ljFfcAEDk5L8GBnTl5i7RGJE/view?usp=drivesdk</v>
      </c>
      <c r="Y685" s="65"/>
      <c r="Z685" s="156" t="s">
        <v>219</v>
      </c>
      <c r="AA685" s="65"/>
      <c r="AB685" s="65"/>
      <c r="AC685" s="65"/>
      <c r="AD685" s="156" t="s">
        <v>3687</v>
      </c>
      <c r="AE685" s="1056">
        <v>12.0</v>
      </c>
      <c r="AF685" s="153">
        <v>208.0</v>
      </c>
      <c r="AG685" s="153">
        <v>0.44</v>
      </c>
      <c r="AH685" s="148" t="s">
        <v>354</v>
      </c>
      <c r="AI685" s="156" t="s">
        <v>2015</v>
      </c>
      <c r="AJ685" s="706">
        <v>0.001</v>
      </c>
      <c r="AK685" s="54" t="s">
        <v>128</v>
      </c>
      <c r="AL685" s="54" t="s">
        <v>129</v>
      </c>
      <c r="AM685" s="156" t="s">
        <v>134</v>
      </c>
      <c r="AN685" s="1054" t="s">
        <v>131</v>
      </c>
      <c r="AO685" s="153">
        <v>58.0</v>
      </c>
      <c r="AP685" s="153">
        <v>0.135010281081558</v>
      </c>
      <c r="AQ685" s="156" t="s">
        <v>166</v>
      </c>
      <c r="AR685" s="65"/>
      <c r="AS685" s="153">
        <v>0.312441601669666</v>
      </c>
      <c r="AT685" s="156" t="s">
        <v>165</v>
      </c>
      <c r="AU685" s="156" t="s">
        <v>179</v>
      </c>
      <c r="AV685" s="156" t="s">
        <v>134</v>
      </c>
      <c r="AW685" s="65"/>
      <c r="AX685" s="156" t="s">
        <v>144</v>
      </c>
      <c r="AZ685" s="65" t="s">
        <v>146</v>
      </c>
      <c r="BA685" s="186"/>
    </row>
    <row r="686" ht="20.25" customHeight="1">
      <c r="A686" s="41">
        <v>686.0</v>
      </c>
      <c r="B686" s="126" t="s">
        <v>145</v>
      </c>
      <c r="C686" s="59" t="s">
        <v>108</v>
      </c>
      <c r="D686" s="59" t="s">
        <v>146</v>
      </c>
      <c r="F686" s="65" t="s">
        <v>3682</v>
      </c>
      <c r="G686" s="54" t="s">
        <v>3681</v>
      </c>
      <c r="H686" s="156" t="s">
        <v>146</v>
      </c>
      <c r="I686" s="149">
        <v>45687.0</v>
      </c>
      <c r="J686" s="149">
        <v>45692.0</v>
      </c>
      <c r="K686" s="434" t="s">
        <v>3688</v>
      </c>
      <c r="L686" s="65"/>
      <c r="M686" s="156" t="s">
        <v>3684</v>
      </c>
      <c r="N686" s="156" t="s">
        <v>3685</v>
      </c>
      <c r="O686" s="153">
        <v>1.0</v>
      </c>
      <c r="P686" s="603" t="str">
        <f t="shared" si="37"/>
        <v>10.1177--0093650215609676.pdf</v>
      </c>
      <c r="Q686" s="49" t="str">
        <f t="array" ref="Q686"> if(iserror(MATCH(V686, 'File Links'!C:C, 0)), "N/A", HYPERLINK(INDEX('File Links'!B:B, MATCH(P686, 'File Links'!C:C, 0))))</f>
        <v>https://drive.google.com/file/d/1XTFfWFGSOorXaSHUTepn_NywZP0WRrna/view?usp=drivesdk</v>
      </c>
      <c r="R686" s="156" t="s">
        <v>3646</v>
      </c>
      <c r="S686" s="156" t="s">
        <v>3647</v>
      </c>
      <c r="T686" s="65"/>
      <c r="U686" s="153">
        <v>1.0</v>
      </c>
      <c r="V686" s="195" t="str">
        <f t="shared" si="39"/>
        <v>10.1098--rsos.231240.pdf</v>
      </c>
      <c r="W686" s="156" t="s">
        <v>3689</v>
      </c>
      <c r="X686" s="51" t="str">
        <f t="array" ref="X686"> if(iserror(MATCH(V686, 'File Links'!C:C, 0)), "N/A", HYPERLINK(INDEX('File Links'!B:B, MATCH(V686, 'File Links'!C:C, 0))))</f>
        <v>https://drive.google.com/file/d/17gaf2Zy_ljFfcAEDk5L8GBnTl5i7RGJE/view?usp=drivesdk</v>
      </c>
      <c r="Y686" s="65"/>
      <c r="Z686" s="156" t="s">
        <v>219</v>
      </c>
      <c r="AA686" s="156" t="s">
        <v>3690</v>
      </c>
      <c r="AB686" s="156" t="s">
        <v>3691</v>
      </c>
      <c r="AC686" s="156" t="s">
        <v>3692</v>
      </c>
      <c r="AD686" s="156" t="s">
        <v>3693</v>
      </c>
      <c r="AE686" s="153" t="s">
        <v>3694</v>
      </c>
      <c r="AF686" s="153">
        <v>208.0</v>
      </c>
      <c r="AG686" s="153">
        <v>0.44</v>
      </c>
      <c r="AH686" s="755" t="s">
        <v>354</v>
      </c>
      <c r="AI686" s="153" t="s">
        <v>429</v>
      </c>
      <c r="AJ686" s="706">
        <v>0.001</v>
      </c>
      <c r="AK686" s="54" t="s">
        <v>128</v>
      </c>
      <c r="AL686" s="54" t="s">
        <v>129</v>
      </c>
      <c r="AM686" s="65" t="s">
        <v>134</v>
      </c>
      <c r="AN686" s="1054" t="s">
        <v>131</v>
      </c>
      <c r="AO686" s="153">
        <v>58.0</v>
      </c>
      <c r="AP686" s="153">
        <v>0.135010281081558</v>
      </c>
      <c r="AQ686" s="153" t="s">
        <v>166</v>
      </c>
      <c r="AR686" s="1055" t="s">
        <v>131</v>
      </c>
      <c r="AS686" s="153">
        <v>0.312441601669666</v>
      </c>
      <c r="AT686" s="156" t="s">
        <v>165</v>
      </c>
      <c r="AU686" s="156" t="s">
        <v>179</v>
      </c>
      <c r="AV686" s="65" t="s">
        <v>134</v>
      </c>
      <c r="AW686" s="1055" t="s">
        <v>131</v>
      </c>
      <c r="AX686" s="65" t="s">
        <v>144</v>
      </c>
      <c r="AZ686" s="65" t="s">
        <v>146</v>
      </c>
    </row>
    <row r="687" ht="20.25" customHeight="1">
      <c r="A687" s="41">
        <v>687.0</v>
      </c>
      <c r="B687" s="65" t="s">
        <v>107</v>
      </c>
      <c r="C687" s="59" t="s">
        <v>108</v>
      </c>
      <c r="D687" s="59" t="s">
        <v>241</v>
      </c>
      <c r="F687" s="156" t="s">
        <v>3695</v>
      </c>
      <c r="G687" s="54" t="s">
        <v>3696</v>
      </c>
      <c r="H687" s="156" t="s">
        <v>242</v>
      </c>
      <c r="I687" s="149">
        <v>45669.0</v>
      </c>
      <c r="J687" s="149">
        <v>45692.0</v>
      </c>
      <c r="K687" s="65"/>
      <c r="L687" s="65"/>
      <c r="M687" s="156" t="s">
        <v>3697</v>
      </c>
      <c r="N687" s="156" t="s">
        <v>3698</v>
      </c>
      <c r="O687" s="65"/>
      <c r="P687" s="603" t="str">
        <f t="shared" si="37"/>
        <v>10.1177--0956797619879441.pdf</v>
      </c>
      <c r="Q687" s="49" t="str">
        <f t="array" ref="Q687"> if(iserror(MATCH(V687, 'File Links'!C:C, 0)), "N/A", HYPERLINK(INDEX('File Links'!B:B, MATCH(P687, 'File Links'!C:C, 0))))</f>
        <v>https://drive.google.com/file/d/1dyQ7iPpa5tauqQ87v1ICVpmTb96xwrHK/view?usp=drivesdk</v>
      </c>
      <c r="R687" s="156" t="s">
        <v>3646</v>
      </c>
      <c r="S687" s="156" t="s">
        <v>3647</v>
      </c>
      <c r="T687" s="65"/>
      <c r="U687" s="153">
        <v>1.0</v>
      </c>
      <c r="V687" s="195" t="str">
        <f t="shared" si="39"/>
        <v>10.1098--rsos.231240.pdf</v>
      </c>
      <c r="W687" s="156" t="s">
        <v>3658</v>
      </c>
      <c r="X687" s="51" t="str">
        <f t="array" ref="X687"> if(iserror(MATCH(V687, 'File Links'!C:C, 0)), "N/A", HYPERLINK(INDEX('File Links'!B:B, MATCH(V687, 'File Links'!C:C, 0))))</f>
        <v>https://drive.google.com/file/d/17gaf2Zy_ljFfcAEDk5L8GBnTl5i7RGJE/view?usp=drivesdk</v>
      </c>
      <c r="Y687" s="65"/>
      <c r="Z687" s="156" t="s">
        <v>141</v>
      </c>
      <c r="AA687" s="65"/>
      <c r="AB687" s="65"/>
      <c r="AC687" s="65"/>
      <c r="AD687" s="156" t="s">
        <v>3699</v>
      </c>
      <c r="AE687" s="153">
        <v>6.0</v>
      </c>
      <c r="AF687" s="153">
        <v>31.0</v>
      </c>
      <c r="AG687" s="153">
        <v>1.32</v>
      </c>
      <c r="AH687" s="156" t="s">
        <v>166</v>
      </c>
      <c r="AI687" s="156" t="s">
        <v>1035</v>
      </c>
      <c r="AJ687" s="706">
        <v>0.001</v>
      </c>
      <c r="AK687" s="54" t="s">
        <v>128</v>
      </c>
      <c r="AL687" s="54" t="s">
        <v>179</v>
      </c>
      <c r="AM687" s="156" t="s">
        <v>1898</v>
      </c>
      <c r="AN687" s="1054" t="s">
        <v>131</v>
      </c>
      <c r="AO687" s="153">
        <v>12.0</v>
      </c>
      <c r="AP687" s="153">
        <v>0.172292196901579</v>
      </c>
      <c r="AQ687" s="156" t="s">
        <v>166</v>
      </c>
      <c r="AR687" s="65"/>
      <c r="AS687" s="153">
        <v>0.579197556876244</v>
      </c>
      <c r="AT687" s="156" t="s">
        <v>165</v>
      </c>
      <c r="AU687" s="156" t="s">
        <v>179</v>
      </c>
      <c r="AV687" s="156" t="s">
        <v>1898</v>
      </c>
      <c r="AW687" s="65"/>
      <c r="AX687" s="156" t="s">
        <v>136</v>
      </c>
      <c r="AZ687" s="65" t="s">
        <v>146</v>
      </c>
      <c r="BA687" s="186"/>
    </row>
    <row r="688" ht="20.25" customHeight="1">
      <c r="A688" s="41">
        <v>688.0</v>
      </c>
      <c r="B688" s="126" t="s">
        <v>145</v>
      </c>
      <c r="C688" s="59" t="s">
        <v>108</v>
      </c>
      <c r="D688" s="59" t="s">
        <v>146</v>
      </c>
      <c r="F688" s="65" t="s">
        <v>3696</v>
      </c>
      <c r="G688" s="54" t="s">
        <v>3695</v>
      </c>
      <c r="H688" s="156" t="s">
        <v>146</v>
      </c>
      <c r="I688" s="149">
        <v>45687.0</v>
      </c>
      <c r="J688" s="149">
        <v>45692.0</v>
      </c>
      <c r="K688" s="1052" t="s">
        <v>3700</v>
      </c>
      <c r="L688" s="65"/>
      <c r="M688" s="156" t="s">
        <v>3697</v>
      </c>
      <c r="N688" s="156" t="s">
        <v>3698</v>
      </c>
      <c r="O688" s="156" t="s">
        <v>3701</v>
      </c>
      <c r="P688" s="603" t="str">
        <f t="shared" si="37"/>
        <v>10.1177--0956797619879441.pdf</v>
      </c>
      <c r="Q688" s="49" t="str">
        <f t="array" ref="Q688"> if(iserror(MATCH(V688, 'File Links'!C:C, 0)), "N/A", HYPERLINK(INDEX('File Links'!B:B, MATCH(P688, 'File Links'!C:C, 0))))</f>
        <v>https://drive.google.com/file/d/1dyQ7iPpa5tauqQ87v1ICVpmTb96xwrHK/view?usp=drivesdk</v>
      </c>
      <c r="R688" s="156" t="s">
        <v>3646</v>
      </c>
      <c r="S688" s="156" t="s">
        <v>3647</v>
      </c>
      <c r="T688" s="438" t="s">
        <v>3702</v>
      </c>
      <c r="U688" s="153">
        <v>1.0</v>
      </c>
      <c r="V688" s="195" t="str">
        <f t="shared" si="39"/>
        <v>10.1098--rsos.231240.pdf</v>
      </c>
      <c r="W688" s="156" t="s">
        <v>3664</v>
      </c>
      <c r="X688" s="51" t="str">
        <f t="array" ref="X688"> if(iserror(MATCH(V688, 'File Links'!C:C, 0)), "N/A", HYPERLINK(INDEX('File Links'!B:B, MATCH(V688, 'File Links'!C:C, 0))))</f>
        <v>https://drive.google.com/file/d/17gaf2Zy_ljFfcAEDk5L8GBnTl5i7RGJE/view?usp=drivesdk</v>
      </c>
      <c r="Y688" s="65"/>
      <c r="Z688" s="156" t="s">
        <v>141</v>
      </c>
      <c r="AA688" s="156" t="s">
        <v>3703</v>
      </c>
      <c r="AB688" s="156" t="s">
        <v>3704</v>
      </c>
      <c r="AC688" s="156" t="s">
        <v>3705</v>
      </c>
      <c r="AD688" s="156" t="s">
        <v>3706</v>
      </c>
      <c r="AE688" s="158" t="s">
        <v>133</v>
      </c>
      <c r="AF688" s="153">
        <v>31.0</v>
      </c>
      <c r="AG688" s="153">
        <v>1.32</v>
      </c>
      <c r="AH688" s="153" t="s">
        <v>166</v>
      </c>
      <c r="AI688" s="153" t="s">
        <v>133</v>
      </c>
      <c r="AJ688" s="706">
        <v>0.001</v>
      </c>
      <c r="AK688" s="54" t="s">
        <v>128</v>
      </c>
      <c r="AL688" s="54" t="s">
        <v>179</v>
      </c>
      <c r="AM688" s="148" t="s">
        <v>130</v>
      </c>
      <c r="AN688" s="1054" t="s">
        <v>131</v>
      </c>
      <c r="AO688" s="153">
        <v>12.0</v>
      </c>
      <c r="AP688" s="153">
        <v>0.15</v>
      </c>
      <c r="AQ688" s="153" t="s">
        <v>166</v>
      </c>
      <c r="AR688" s="65"/>
      <c r="AS688" s="158">
        <v>0.303</v>
      </c>
      <c r="AT688" s="156" t="s">
        <v>165</v>
      </c>
      <c r="AU688" s="156" t="s">
        <v>179</v>
      </c>
      <c r="AV688" s="148" t="s">
        <v>130</v>
      </c>
      <c r="AW688" s="432" t="s">
        <v>3707</v>
      </c>
      <c r="AX688" s="65" t="s">
        <v>136</v>
      </c>
      <c r="AZ688" s="126" t="s">
        <v>3673</v>
      </c>
    </row>
    <row r="689" ht="20.25" customHeight="1">
      <c r="A689" s="41">
        <v>689.0</v>
      </c>
      <c r="B689" s="65" t="s">
        <v>107</v>
      </c>
      <c r="C689" s="59" t="s">
        <v>108</v>
      </c>
      <c r="D689" s="59" t="s">
        <v>241</v>
      </c>
      <c r="F689" s="156" t="s">
        <v>3708</v>
      </c>
      <c r="G689" s="54" t="s">
        <v>3709</v>
      </c>
      <c r="H689" s="156" t="s">
        <v>242</v>
      </c>
      <c r="I689" s="149">
        <v>45669.0</v>
      </c>
      <c r="J689" s="149">
        <v>45692.0</v>
      </c>
      <c r="K689" s="65"/>
      <c r="L689" s="156" t="s">
        <v>3683</v>
      </c>
      <c r="M689" s="156" t="s">
        <v>3710</v>
      </c>
      <c r="N689" s="156" t="s">
        <v>3711</v>
      </c>
      <c r="O689" s="65"/>
      <c r="P689" s="603" t="str">
        <f t="shared" si="37"/>
        <v>10.1037--xge0000263.pdf</v>
      </c>
      <c r="Q689" s="49" t="str">
        <f t="array" ref="Q689"> if(iserror(MATCH(V689, 'File Links'!C:C, 0)), "N/A", HYPERLINK(INDEX('File Links'!B:B, MATCH(P689, 'File Links'!C:C, 0))))</f>
        <v>https://drive.google.com/file/d/1dqZfs8CV4bFuIXsJrOSHM-_BKTXKhfGR/view?usp=drivesdk</v>
      </c>
      <c r="R689" s="156" t="s">
        <v>3646</v>
      </c>
      <c r="S689" s="156" t="s">
        <v>3647</v>
      </c>
      <c r="T689" s="65"/>
      <c r="U689" s="153">
        <v>1.0</v>
      </c>
      <c r="V689" s="195" t="str">
        <f t="shared" si="39"/>
        <v>10.1098--rsos.231240.pdf</v>
      </c>
      <c r="W689" s="156" t="s">
        <v>317</v>
      </c>
      <c r="X689" s="51" t="str">
        <f t="array" ref="X689"> if(iserror(MATCH(V689, 'File Links'!C:C, 0)), "N/A", HYPERLINK(INDEX('File Links'!B:B, MATCH(V689, 'File Links'!C:C, 0))))</f>
        <v>https://drive.google.com/file/d/17gaf2Zy_ljFfcAEDk5L8GBnTl5i7RGJE/view?usp=drivesdk</v>
      </c>
      <c r="Y689" s="65"/>
      <c r="Z689" s="156" t="s">
        <v>141</v>
      </c>
      <c r="AA689" s="65"/>
      <c r="AB689" s="156" t="s">
        <v>3712</v>
      </c>
      <c r="AC689" s="65"/>
      <c r="AD689" s="156" t="s">
        <v>3713</v>
      </c>
      <c r="AE689" s="1056">
        <v>12.0</v>
      </c>
      <c r="AF689" s="153">
        <v>107.0</v>
      </c>
      <c r="AG689" s="153">
        <v>0.72</v>
      </c>
      <c r="AH689" s="156" t="s">
        <v>166</v>
      </c>
      <c r="AI689" s="1057" t="s">
        <v>3714</v>
      </c>
      <c r="AJ689" s="706">
        <v>0.001</v>
      </c>
      <c r="AK689" s="54" t="s">
        <v>128</v>
      </c>
      <c r="AL689" s="54" t="s">
        <v>179</v>
      </c>
      <c r="AM689" s="156" t="s">
        <v>130</v>
      </c>
      <c r="AN689" s="1054" t="s">
        <v>131</v>
      </c>
      <c r="AO689" s="153">
        <v>56.0</v>
      </c>
      <c r="AP689" s="153">
        <v>0.107320283791479</v>
      </c>
      <c r="AQ689" s="156" t="s">
        <v>166</v>
      </c>
      <c r="AR689" s="65"/>
      <c r="AS689" s="1058">
        <v>3.80739424115181E-4</v>
      </c>
      <c r="AT689" s="156" t="s">
        <v>165</v>
      </c>
      <c r="AU689" s="156" t="s">
        <v>179</v>
      </c>
      <c r="AV689" s="156" t="s">
        <v>130</v>
      </c>
      <c r="AW689" s="65"/>
      <c r="AX689" s="156" t="s">
        <v>136</v>
      </c>
      <c r="AZ689" s="65" t="s">
        <v>146</v>
      </c>
      <c r="BA689" s="186"/>
    </row>
    <row r="690" ht="20.25" customHeight="1">
      <c r="A690" s="41">
        <v>690.0</v>
      </c>
      <c r="B690" s="1059" t="s">
        <v>145</v>
      </c>
      <c r="C690" s="1060" t="s">
        <v>108</v>
      </c>
      <c r="D690" s="1060" t="s">
        <v>146</v>
      </c>
      <c r="E690" s="1061"/>
      <c r="F690" s="1062" t="s">
        <v>3709</v>
      </c>
      <c r="G690" s="1063" t="s">
        <v>3715</v>
      </c>
      <c r="H690" s="701" t="s">
        <v>146</v>
      </c>
      <c r="I690" s="1064">
        <v>45722.0</v>
      </c>
      <c r="J690" s="1065">
        <v>45692.0</v>
      </c>
      <c r="K690" s="1066" t="s">
        <v>3716</v>
      </c>
      <c r="L690" s="1059" t="s">
        <v>3717</v>
      </c>
      <c r="M690" s="701" t="s">
        <v>3710</v>
      </c>
      <c r="N690" s="701" t="s">
        <v>3711</v>
      </c>
      <c r="O690" s="1067">
        <v>1.0</v>
      </c>
      <c r="P690" s="1068" t="str">
        <f t="shared" si="37"/>
        <v>10.1037--xge0000263.pdf</v>
      </c>
      <c r="Q690" s="49" t="str">
        <f t="array" ref="Q690"> if(iserror(MATCH(V690, 'File Links'!C:C, 0)), "N/A", HYPERLINK(INDEX('File Links'!B:B, MATCH(P690, 'File Links'!C:C, 0))))</f>
        <v>https://drive.google.com/file/d/1dqZfs8CV4bFuIXsJrOSHM-_BKTXKhfGR/view?usp=drivesdk</v>
      </c>
      <c r="R690" s="1069" t="s">
        <v>3718</v>
      </c>
      <c r="S690" s="701" t="s">
        <v>3647</v>
      </c>
      <c r="T690" s="1062"/>
      <c r="U690" s="153">
        <v>1.0</v>
      </c>
      <c r="V690" s="701" t="str">
        <f t="shared" si="39"/>
        <v>10.1098--rsos.231240.pdf</v>
      </c>
      <c r="W690" s="701" t="s">
        <v>3719</v>
      </c>
      <c r="X690" s="51" t="str">
        <f t="array" ref="X690"> if(iserror(MATCH(V690, 'File Links'!C:C, 0)), "N/A", HYPERLINK(INDEX('File Links'!B:B, MATCH(V690, 'File Links'!C:C, 0))))</f>
        <v>https://drive.google.com/file/d/17gaf2Zy_ljFfcAEDk5L8GBnTl5i7RGJE/view?usp=drivesdk</v>
      </c>
      <c r="Y690" s="1062"/>
      <c r="Z690" s="701" t="s">
        <v>141</v>
      </c>
      <c r="AA690" s="701" t="s">
        <v>3720</v>
      </c>
      <c r="AB690" s="701" t="s">
        <v>3721</v>
      </c>
      <c r="AC690" s="701" t="s">
        <v>3722</v>
      </c>
      <c r="AD690" s="701" t="s">
        <v>3723</v>
      </c>
      <c r="AE690" s="1070">
        <v>12.0</v>
      </c>
      <c r="AF690" s="1067">
        <v>107.0</v>
      </c>
      <c r="AG690" s="1067">
        <v>0.72</v>
      </c>
      <c r="AH690" s="1067" t="s">
        <v>166</v>
      </c>
      <c r="AI690" s="1070">
        <v>12.0</v>
      </c>
      <c r="AJ690" s="1071">
        <v>0.001</v>
      </c>
      <c r="AK690" s="1063" t="s">
        <v>128</v>
      </c>
      <c r="AL690" s="1063" t="s">
        <v>179</v>
      </c>
      <c r="AM690" s="701" t="s">
        <v>130</v>
      </c>
      <c r="AN690" s="1072" t="s">
        <v>131</v>
      </c>
      <c r="AO690" s="1067">
        <v>56.0</v>
      </c>
      <c r="AP690" s="1067">
        <v>0.107320283791479</v>
      </c>
      <c r="AQ690" s="1067" t="s">
        <v>166</v>
      </c>
      <c r="AR690" s="1073" t="s">
        <v>3724</v>
      </c>
      <c r="AS690" s="1067">
        <v>3.807E-4</v>
      </c>
      <c r="AT690" s="701" t="s">
        <v>165</v>
      </c>
      <c r="AU690" s="701" t="s">
        <v>179</v>
      </c>
      <c r="AV690" s="701" t="s">
        <v>130</v>
      </c>
      <c r="AW690" s="1074" t="s">
        <v>3725</v>
      </c>
      <c r="AX690" s="1059" t="s">
        <v>136</v>
      </c>
      <c r="AY690" s="1060" t="s">
        <v>3726</v>
      </c>
      <c r="AZ690" s="1059" t="s">
        <v>3727</v>
      </c>
      <c r="BA690" s="1061"/>
      <c r="BB690" s="1061"/>
      <c r="BC690" s="1061"/>
      <c r="BD690" s="1061"/>
      <c r="BE690" s="1061"/>
      <c r="BF690" s="1061"/>
      <c r="BG690" s="1061"/>
      <c r="BH690" s="1061"/>
      <c r="BI690" s="1061"/>
      <c r="BJ690" s="1061"/>
      <c r="BK690" s="1061"/>
      <c r="BL690" s="1061"/>
      <c r="BM690" s="1061"/>
      <c r="BN690" s="1061"/>
      <c r="BO690" s="1061"/>
      <c r="BP690" s="1061"/>
      <c r="BQ690" s="1061"/>
      <c r="BR690" s="1061"/>
      <c r="BS690" s="1061"/>
      <c r="BT690" s="1061"/>
      <c r="BU690" s="1061"/>
      <c r="BV690" s="1061"/>
      <c r="BW690" s="1061"/>
      <c r="BX690" s="1061"/>
      <c r="BY690" s="1061"/>
      <c r="BZ690" s="1061"/>
      <c r="CA690" s="1061"/>
      <c r="CB690" s="1061"/>
      <c r="CC690" s="1061"/>
      <c r="CD690" s="1061"/>
      <c r="CE690" s="1061"/>
      <c r="CF690" s="1061"/>
      <c r="CG690" s="1061"/>
      <c r="CH690" s="1061"/>
      <c r="CI690" s="1061"/>
      <c r="CJ690" s="1061"/>
      <c r="CK690" s="1061"/>
      <c r="CL690" s="1061"/>
      <c r="CM690" s="1061"/>
      <c r="CN690" s="1061"/>
      <c r="CO690" s="1061"/>
      <c r="CP690" s="1061"/>
      <c r="CQ690" s="1061"/>
      <c r="CR690" s="1061"/>
      <c r="CS690" s="1061"/>
      <c r="CT690" s="1061"/>
      <c r="CU690" s="1061"/>
      <c r="CV690" s="1061"/>
      <c r="CW690" s="1061"/>
      <c r="CX690" s="1061"/>
      <c r="CY690" s="1061"/>
      <c r="CZ690" s="1061"/>
      <c r="DA690" s="1061"/>
      <c r="DB690" s="1061"/>
      <c r="DC690" s="1061"/>
      <c r="DD690" s="1061"/>
      <c r="DE690" s="1061"/>
      <c r="DF690" s="1061"/>
      <c r="DG690" s="1061"/>
      <c r="DH690" s="1061"/>
    </row>
    <row r="691" ht="20.25" customHeight="1">
      <c r="A691" s="41">
        <v>691.0</v>
      </c>
      <c r="B691" s="1075" t="s">
        <v>145</v>
      </c>
      <c r="C691" s="338" t="s">
        <v>108</v>
      </c>
      <c r="D691" s="338" t="s">
        <v>146</v>
      </c>
      <c r="E691" s="339"/>
      <c r="F691" s="43" t="s">
        <v>3709</v>
      </c>
      <c r="G691" s="44" t="s">
        <v>3728</v>
      </c>
      <c r="H691" s="357" t="s">
        <v>146</v>
      </c>
      <c r="I691" s="342">
        <v>45722.0</v>
      </c>
      <c r="J691" s="341">
        <v>45692.0</v>
      </c>
      <c r="K691" s="507" t="s">
        <v>3729</v>
      </c>
      <c r="L691" s="53" t="s">
        <v>3730</v>
      </c>
      <c r="M691" s="357" t="s">
        <v>3710</v>
      </c>
      <c r="N691" s="357" t="s">
        <v>3711</v>
      </c>
      <c r="O691" s="354">
        <v>1.0</v>
      </c>
      <c r="P691" s="514" t="str">
        <f t="shared" si="37"/>
        <v>10.1037--xge0000263.pdf</v>
      </c>
      <c r="Q691" s="49" t="str">
        <f t="array" ref="Q691"> if(iserror(MATCH(V691, 'File Links'!C:C, 0)), "N/A", HYPERLINK(INDEX('File Links'!B:B, MATCH(P691, 'File Links'!C:C, 0))))</f>
        <v>https://drive.google.com/file/d/1dqZfs8CV4bFuIXsJrOSHM-_BKTXKhfGR/view?usp=drivesdk</v>
      </c>
      <c r="R691" s="506" t="s">
        <v>3731</v>
      </c>
      <c r="S691" s="357" t="s">
        <v>3647</v>
      </c>
      <c r="T691" s="43"/>
      <c r="U691" s="153">
        <v>1.0</v>
      </c>
      <c r="V691" s="357" t="str">
        <f t="shared" si="39"/>
        <v>10.1098--rsos.231240.pdf</v>
      </c>
      <c r="W691" s="357" t="s">
        <v>3719</v>
      </c>
      <c r="X691" s="51" t="str">
        <f t="array" ref="X691"> if(iserror(MATCH(V691, 'File Links'!C:C, 0)), "N/A", HYPERLINK(INDEX('File Links'!B:B, MATCH(V691, 'File Links'!C:C, 0))))</f>
        <v>https://drive.google.com/file/d/17gaf2Zy_ljFfcAEDk5L8GBnTl5i7RGJE/view?usp=drivesdk</v>
      </c>
      <c r="Y691" s="43"/>
      <c r="Z691" s="357" t="s">
        <v>141</v>
      </c>
      <c r="AA691" s="357" t="s">
        <v>3720</v>
      </c>
      <c r="AB691" s="357" t="s">
        <v>3721</v>
      </c>
      <c r="AC691" s="357" t="s">
        <v>3732</v>
      </c>
      <c r="AD691" s="357" t="s">
        <v>3733</v>
      </c>
      <c r="AE691" s="348">
        <v>13.0</v>
      </c>
      <c r="AF691" s="354">
        <v>107.0</v>
      </c>
      <c r="AG691" s="354">
        <v>0.28</v>
      </c>
      <c r="AH691" s="354" t="s">
        <v>208</v>
      </c>
      <c r="AI691" s="348" t="s">
        <v>429</v>
      </c>
      <c r="AJ691" s="383">
        <v>0.004</v>
      </c>
      <c r="AK691" s="44" t="s">
        <v>165</v>
      </c>
      <c r="AL691" s="44" t="s">
        <v>179</v>
      </c>
      <c r="AM691" s="357" t="s">
        <v>130</v>
      </c>
      <c r="AN691" s="1054" t="s">
        <v>131</v>
      </c>
      <c r="AO691" s="354">
        <v>56.0</v>
      </c>
      <c r="AP691" s="354">
        <v>-0.07617286</v>
      </c>
      <c r="AQ691" s="354" t="s">
        <v>208</v>
      </c>
      <c r="AR691" s="1076" t="s">
        <v>3734</v>
      </c>
      <c r="AS691" s="354">
        <v>0.01077</v>
      </c>
      <c r="AT691" s="357" t="s">
        <v>165</v>
      </c>
      <c r="AU691" s="357" t="s">
        <v>179</v>
      </c>
      <c r="AV691" s="43" t="s">
        <v>130</v>
      </c>
      <c r="AW691" s="56" t="s">
        <v>3725</v>
      </c>
      <c r="AX691" s="485" t="s">
        <v>136</v>
      </c>
      <c r="AY691" s="338" t="s">
        <v>3735</v>
      </c>
      <c r="AZ691" s="53" t="s">
        <v>3727</v>
      </c>
      <c r="BA691" s="186"/>
    </row>
    <row r="692" ht="20.25" customHeight="1">
      <c r="A692" s="41">
        <v>692.0</v>
      </c>
      <c r="B692" s="1077" t="s">
        <v>145</v>
      </c>
      <c r="C692" s="338" t="s">
        <v>108</v>
      </c>
      <c r="D692" s="338" t="s">
        <v>146</v>
      </c>
      <c r="E692" s="339"/>
      <c r="F692" s="43" t="s">
        <v>3709</v>
      </c>
      <c r="G692" s="44" t="s">
        <v>3736</v>
      </c>
      <c r="H692" s="357" t="s">
        <v>146</v>
      </c>
      <c r="I692" s="342">
        <v>45722.0</v>
      </c>
      <c r="J692" s="341">
        <v>45692.0</v>
      </c>
      <c r="K692" s="507" t="s">
        <v>3737</v>
      </c>
      <c r="L692" s="53" t="s">
        <v>3738</v>
      </c>
      <c r="M692" s="357" t="s">
        <v>3710</v>
      </c>
      <c r="N692" s="357" t="s">
        <v>3711</v>
      </c>
      <c r="O692" s="354">
        <v>1.0</v>
      </c>
      <c r="P692" s="514" t="str">
        <f t="shared" si="37"/>
        <v>10.1037--xge0000263.pdf</v>
      </c>
      <c r="Q692" s="49" t="str">
        <f t="array" ref="Q692"> if(iserror(MATCH(V692, 'File Links'!C:C, 0)), "N/A", HYPERLINK(INDEX('File Links'!B:B, MATCH(P692, 'File Links'!C:C, 0))))</f>
        <v>https://drive.google.com/file/d/1dqZfs8CV4bFuIXsJrOSHM-_BKTXKhfGR/view?usp=drivesdk</v>
      </c>
      <c r="R692" s="506" t="s">
        <v>3739</v>
      </c>
      <c r="S692" s="357" t="s">
        <v>3647</v>
      </c>
      <c r="T692" s="43"/>
      <c r="U692" s="153">
        <v>1.0</v>
      </c>
      <c r="V692" s="357" t="str">
        <f t="shared" si="39"/>
        <v>10.1098--rsos.231240.pdf</v>
      </c>
      <c r="W692" s="357" t="s">
        <v>3719</v>
      </c>
      <c r="X692" s="51" t="str">
        <f t="array" ref="X692"> if(iserror(MATCH(V692, 'File Links'!C:C, 0)), "N/A", HYPERLINK(INDEX('File Links'!B:B, MATCH(V692, 'File Links'!C:C, 0))))</f>
        <v>https://drive.google.com/file/d/17gaf2Zy_ljFfcAEDk5L8GBnTl5i7RGJE/view?usp=drivesdk</v>
      </c>
      <c r="Y692" s="43"/>
      <c r="Z692" s="357" t="s">
        <v>141</v>
      </c>
      <c r="AA692" s="357" t="s">
        <v>3720</v>
      </c>
      <c r="AB692" s="357" t="s">
        <v>3721</v>
      </c>
      <c r="AC692" s="357" t="s">
        <v>3740</v>
      </c>
      <c r="AD692" s="357" t="s">
        <v>3741</v>
      </c>
      <c r="AE692" s="348">
        <v>13.0</v>
      </c>
      <c r="AF692" s="354">
        <v>107.0</v>
      </c>
      <c r="AG692" s="354">
        <v>0.06</v>
      </c>
      <c r="AH692" s="354" t="s">
        <v>208</v>
      </c>
      <c r="AI692" s="348" t="s">
        <v>429</v>
      </c>
      <c r="AJ692" s="383">
        <v>0.56</v>
      </c>
      <c r="AK692" s="44" t="s">
        <v>165</v>
      </c>
      <c r="AL692" s="44" t="s">
        <v>179</v>
      </c>
      <c r="AM692" s="357" t="s">
        <v>130</v>
      </c>
      <c r="AN692" s="1054" t="s">
        <v>131</v>
      </c>
      <c r="AO692" s="354">
        <v>56.0</v>
      </c>
      <c r="AP692" s="354">
        <v>-0.03345847</v>
      </c>
      <c r="AQ692" s="354" t="s">
        <v>208</v>
      </c>
      <c r="AR692" s="1076" t="s">
        <v>3734</v>
      </c>
      <c r="AS692" s="354">
        <v>0.2632</v>
      </c>
      <c r="AT692" s="357" t="s">
        <v>165</v>
      </c>
      <c r="AU692" s="357" t="s">
        <v>179</v>
      </c>
      <c r="AV692" s="43" t="s">
        <v>130</v>
      </c>
      <c r="AW692" s="56" t="s">
        <v>3725</v>
      </c>
      <c r="AX692" s="485" t="s">
        <v>136</v>
      </c>
      <c r="AY692" s="338" t="s">
        <v>3735</v>
      </c>
      <c r="AZ692" s="53" t="s">
        <v>3727</v>
      </c>
    </row>
    <row r="693" ht="20.25" customHeight="1">
      <c r="A693" s="41">
        <v>693.0</v>
      </c>
      <c r="B693" s="1078" t="s">
        <v>145</v>
      </c>
      <c r="C693" s="338" t="s">
        <v>108</v>
      </c>
      <c r="D693" s="338" t="s">
        <v>146</v>
      </c>
      <c r="E693" s="339"/>
      <c r="F693" s="43" t="s">
        <v>3709</v>
      </c>
      <c r="G693" s="44" t="s">
        <v>3742</v>
      </c>
      <c r="H693" s="357" t="s">
        <v>146</v>
      </c>
      <c r="I693" s="342">
        <v>45722.0</v>
      </c>
      <c r="J693" s="341">
        <v>45692.0</v>
      </c>
      <c r="K693" s="507" t="s">
        <v>3743</v>
      </c>
      <c r="L693" s="53" t="s">
        <v>3744</v>
      </c>
      <c r="M693" s="357" t="s">
        <v>3710</v>
      </c>
      <c r="N693" s="357" t="s">
        <v>3711</v>
      </c>
      <c r="O693" s="354">
        <v>1.0</v>
      </c>
      <c r="P693" s="514" t="str">
        <f t="shared" si="37"/>
        <v>10.1037--xge0000263.pdf</v>
      </c>
      <c r="Q693" s="49" t="str">
        <f t="array" ref="Q693"> if(iserror(MATCH(V693, 'File Links'!C:C, 0)), "N/A", HYPERLINK(INDEX('File Links'!B:B, MATCH(P693, 'File Links'!C:C, 0))))</f>
        <v>https://drive.google.com/file/d/1dqZfs8CV4bFuIXsJrOSHM-_BKTXKhfGR/view?usp=drivesdk</v>
      </c>
      <c r="R693" s="506" t="s">
        <v>3745</v>
      </c>
      <c r="S693" s="357" t="s">
        <v>3647</v>
      </c>
      <c r="T693" s="43"/>
      <c r="U693" s="153">
        <v>1.0</v>
      </c>
      <c r="V693" s="357" t="str">
        <f t="shared" si="39"/>
        <v>10.1098--rsos.231240.pdf</v>
      </c>
      <c r="W693" s="357" t="s">
        <v>3719</v>
      </c>
      <c r="X693" s="51" t="str">
        <f t="array" ref="X693"> if(iserror(MATCH(V693, 'File Links'!C:C, 0)), "N/A", HYPERLINK(INDEX('File Links'!B:B, MATCH(V693, 'File Links'!C:C, 0))))</f>
        <v>https://drive.google.com/file/d/17gaf2Zy_ljFfcAEDk5L8GBnTl5i7RGJE/view?usp=drivesdk</v>
      </c>
      <c r="Y693" s="43"/>
      <c r="Z693" s="357" t="s">
        <v>141</v>
      </c>
      <c r="AA693" s="357" t="s">
        <v>3720</v>
      </c>
      <c r="AB693" s="357" t="s">
        <v>3721</v>
      </c>
      <c r="AC693" s="357" t="s">
        <v>3746</v>
      </c>
      <c r="AD693" s="357" t="s">
        <v>3747</v>
      </c>
      <c r="AE693" s="348">
        <v>13.0</v>
      </c>
      <c r="AF693" s="354">
        <v>107.0</v>
      </c>
      <c r="AG693" s="354">
        <v>-0.32</v>
      </c>
      <c r="AH693" s="354" t="s">
        <v>208</v>
      </c>
      <c r="AI693" s="348" t="s">
        <v>429</v>
      </c>
      <c r="AJ693" s="383">
        <v>0.001</v>
      </c>
      <c r="AK693" s="44" t="s">
        <v>128</v>
      </c>
      <c r="AL693" s="44" t="s">
        <v>179</v>
      </c>
      <c r="AM693" s="357" t="s">
        <v>130</v>
      </c>
      <c r="AN693" s="1054" t="s">
        <v>131</v>
      </c>
      <c r="AO693" s="354">
        <v>56.0</v>
      </c>
      <c r="AP693" s="354">
        <v>-0.04</v>
      </c>
      <c r="AQ693" s="354" t="s">
        <v>208</v>
      </c>
      <c r="AR693" s="1076" t="s">
        <v>3734</v>
      </c>
      <c r="AS693" s="354">
        <v>0.1238</v>
      </c>
      <c r="AT693" s="357" t="s">
        <v>165</v>
      </c>
      <c r="AU693" s="357" t="s">
        <v>179</v>
      </c>
      <c r="AV693" s="43" t="s">
        <v>130</v>
      </c>
      <c r="AW693" s="56" t="s">
        <v>3725</v>
      </c>
      <c r="AX693" s="53" t="s">
        <v>136</v>
      </c>
      <c r="AY693" s="339"/>
      <c r="AZ693" s="53" t="s">
        <v>3727</v>
      </c>
      <c r="BA693" s="186"/>
    </row>
    <row r="694" ht="20.25" customHeight="1">
      <c r="A694" s="41">
        <v>694.0</v>
      </c>
      <c r="B694" s="628" t="s">
        <v>145</v>
      </c>
      <c r="C694" s="394" t="s">
        <v>108</v>
      </c>
      <c r="D694" s="394" t="s">
        <v>146</v>
      </c>
      <c r="E694" s="217"/>
      <c r="F694" s="395" t="s">
        <v>3709</v>
      </c>
      <c r="G694" s="396" t="s">
        <v>3748</v>
      </c>
      <c r="H694" s="404" t="s">
        <v>146</v>
      </c>
      <c r="I694" s="342">
        <v>45722.0</v>
      </c>
      <c r="J694" s="397">
        <v>45692.0</v>
      </c>
      <c r="K694" s="1079" t="s">
        <v>3749</v>
      </c>
      <c r="L694" s="628" t="s">
        <v>3750</v>
      </c>
      <c r="M694" s="404" t="s">
        <v>3710</v>
      </c>
      <c r="N694" s="404" t="s">
        <v>3711</v>
      </c>
      <c r="O694" s="725">
        <v>1.0</v>
      </c>
      <c r="P694" s="1080" t="str">
        <f t="shared" si="37"/>
        <v>10.1037--xge0000263.pdf</v>
      </c>
      <c r="Q694" s="49" t="str">
        <f t="array" ref="Q694"> if(iserror(MATCH(V694, 'File Links'!C:C, 0)), "N/A", HYPERLINK(INDEX('File Links'!B:B, MATCH(P694, 'File Links'!C:C, 0))))</f>
        <v>https://drive.google.com/file/d/1dqZfs8CV4bFuIXsJrOSHM-_BKTXKhfGR/view?usp=drivesdk</v>
      </c>
      <c r="R694" s="643" t="s">
        <v>3751</v>
      </c>
      <c r="S694" s="404" t="s">
        <v>3647</v>
      </c>
      <c r="T694" s="395"/>
      <c r="U694" s="153">
        <v>1.0</v>
      </c>
      <c r="V694" s="404" t="str">
        <f t="shared" si="39"/>
        <v>10.1098--rsos.231240.pdf</v>
      </c>
      <c r="W694" s="404" t="s">
        <v>3719</v>
      </c>
      <c r="X694" s="51" t="str">
        <f t="array" ref="X694"> if(iserror(MATCH(V694, 'File Links'!C:C, 0)), "N/A", HYPERLINK(INDEX('File Links'!B:B, MATCH(V694, 'File Links'!C:C, 0))))</f>
        <v>https://drive.google.com/file/d/17gaf2Zy_ljFfcAEDk5L8GBnTl5i7RGJE/view?usp=drivesdk</v>
      </c>
      <c r="Y694" s="395"/>
      <c r="Z694" s="404" t="s">
        <v>141</v>
      </c>
      <c r="AA694" s="404" t="s">
        <v>3720</v>
      </c>
      <c r="AB694" s="404" t="s">
        <v>3721</v>
      </c>
      <c r="AC694" s="404" t="s">
        <v>3752</v>
      </c>
      <c r="AD694" s="404" t="s">
        <v>3753</v>
      </c>
      <c r="AE694" s="1081">
        <v>11.0</v>
      </c>
      <c r="AF694" s="725">
        <v>107.0</v>
      </c>
      <c r="AG694" s="641" t="s">
        <v>3754</v>
      </c>
      <c r="AH694" s="641" t="s">
        <v>127</v>
      </c>
      <c r="AI694" s="1081" t="s">
        <v>300</v>
      </c>
      <c r="AJ694" s="1082">
        <v>0.001</v>
      </c>
      <c r="AK694" s="396" t="s">
        <v>128</v>
      </c>
      <c r="AL694" s="396" t="s">
        <v>179</v>
      </c>
      <c r="AM694" s="404" t="s">
        <v>130</v>
      </c>
      <c r="AN694" s="1054" t="s">
        <v>131</v>
      </c>
      <c r="AO694" s="725">
        <v>56.0</v>
      </c>
      <c r="AP694" s="205" t="s">
        <v>3755</v>
      </c>
      <c r="AQ694" s="205" t="s">
        <v>127</v>
      </c>
      <c r="AR694" s="1076" t="s">
        <v>3734</v>
      </c>
      <c r="AS694" s="725">
        <v>6.056E-4</v>
      </c>
      <c r="AT694" s="404" t="s">
        <v>165</v>
      </c>
      <c r="AU694" s="404" t="s">
        <v>179</v>
      </c>
      <c r="AV694" s="395" t="s">
        <v>130</v>
      </c>
      <c r="AW694" s="406" t="s">
        <v>3725</v>
      </c>
      <c r="AX694" s="628" t="s">
        <v>136</v>
      </c>
      <c r="AY694" s="217"/>
      <c r="AZ694" s="628" t="s">
        <v>3756</v>
      </c>
    </row>
    <row r="695" ht="20.25" customHeight="1">
      <c r="A695" s="41">
        <v>695.0</v>
      </c>
      <c r="B695" s="628" t="s">
        <v>145</v>
      </c>
      <c r="C695" s="394" t="s">
        <v>108</v>
      </c>
      <c r="D695" s="394" t="s">
        <v>146</v>
      </c>
      <c r="E695" s="217"/>
      <c r="F695" s="395" t="s">
        <v>3709</v>
      </c>
      <c r="G695" s="396" t="s">
        <v>3757</v>
      </c>
      <c r="H695" s="404" t="s">
        <v>146</v>
      </c>
      <c r="I695" s="342">
        <v>45722.0</v>
      </c>
      <c r="J695" s="397">
        <v>45692.0</v>
      </c>
      <c r="K695" s="1079" t="s">
        <v>3758</v>
      </c>
      <c r="L695" s="628" t="s">
        <v>3759</v>
      </c>
      <c r="M695" s="404" t="s">
        <v>3710</v>
      </c>
      <c r="N695" s="404" t="s">
        <v>3711</v>
      </c>
      <c r="O695" s="725">
        <v>1.0</v>
      </c>
      <c r="P695" s="1080" t="str">
        <f t="shared" si="37"/>
        <v>10.1037--xge0000263.pdf</v>
      </c>
      <c r="Q695" s="49" t="str">
        <f t="array" ref="Q695"> if(iserror(MATCH(V695, 'File Links'!C:C, 0)), "N/A", HYPERLINK(INDEX('File Links'!B:B, MATCH(P695, 'File Links'!C:C, 0))))</f>
        <v>https://drive.google.com/file/d/1dqZfs8CV4bFuIXsJrOSHM-_BKTXKhfGR/view?usp=drivesdk</v>
      </c>
      <c r="R695" s="643" t="s">
        <v>3760</v>
      </c>
      <c r="S695" s="404" t="s">
        <v>3647</v>
      </c>
      <c r="T695" s="395"/>
      <c r="U695" s="153">
        <v>1.0</v>
      </c>
      <c r="V695" s="404" t="str">
        <f t="shared" si="39"/>
        <v>10.1098--rsos.231240.pdf</v>
      </c>
      <c r="W695" s="404" t="s">
        <v>3719</v>
      </c>
      <c r="X695" s="51" t="str">
        <f t="array" ref="X695"> if(iserror(MATCH(V695, 'File Links'!C:C, 0)), "N/A", HYPERLINK(INDEX('File Links'!B:B, MATCH(V695, 'File Links'!C:C, 0))))</f>
        <v>https://drive.google.com/file/d/17gaf2Zy_ljFfcAEDk5L8GBnTl5i7RGJE/view?usp=drivesdk</v>
      </c>
      <c r="Y695" s="395"/>
      <c r="Z695" s="404" t="s">
        <v>141</v>
      </c>
      <c r="AA695" s="404" t="s">
        <v>3720</v>
      </c>
      <c r="AB695" s="404" t="s">
        <v>3721</v>
      </c>
      <c r="AC695" s="404" t="s">
        <v>3761</v>
      </c>
      <c r="AD695" s="404" t="s">
        <v>3762</v>
      </c>
      <c r="AE695" s="1081">
        <v>12.0</v>
      </c>
      <c r="AF695" s="725">
        <v>107.0</v>
      </c>
      <c r="AG695" s="641" t="s">
        <v>3763</v>
      </c>
      <c r="AH695" s="641" t="s">
        <v>127</v>
      </c>
      <c r="AI695" s="1081" t="s">
        <v>605</v>
      </c>
      <c r="AJ695" s="1082">
        <v>0.001</v>
      </c>
      <c r="AK695" s="396" t="s">
        <v>128</v>
      </c>
      <c r="AL695" s="396" t="s">
        <v>179</v>
      </c>
      <c r="AM695" s="404" t="s">
        <v>130</v>
      </c>
      <c r="AN695" s="1054" t="s">
        <v>131</v>
      </c>
      <c r="AO695" s="725">
        <v>56.0</v>
      </c>
      <c r="AP695" s="205" t="s">
        <v>3764</v>
      </c>
      <c r="AQ695" s="205" t="s">
        <v>127</v>
      </c>
      <c r="AR695" s="1076" t="s">
        <v>3734</v>
      </c>
      <c r="AS695" s="725">
        <v>0.7857</v>
      </c>
      <c r="AT695" s="404" t="s">
        <v>165</v>
      </c>
      <c r="AU695" s="404" t="s">
        <v>179</v>
      </c>
      <c r="AV695" s="395" t="s">
        <v>130</v>
      </c>
      <c r="AW695" s="406" t="s">
        <v>3725</v>
      </c>
      <c r="AX695" s="628" t="s">
        <v>136</v>
      </c>
      <c r="AY695" s="217"/>
      <c r="AZ695" s="628" t="s">
        <v>3756</v>
      </c>
      <c r="BA695" s="186"/>
    </row>
    <row r="696" ht="20.25" customHeight="1">
      <c r="A696" s="41">
        <v>696.0</v>
      </c>
      <c r="B696" s="77" t="s">
        <v>145</v>
      </c>
      <c r="C696" s="90" t="s">
        <v>108</v>
      </c>
      <c r="D696" s="90" t="s">
        <v>146</v>
      </c>
      <c r="E696" s="89"/>
      <c r="F696" s="91" t="s">
        <v>3709</v>
      </c>
      <c r="G696" s="74" t="s">
        <v>3765</v>
      </c>
      <c r="H696" s="92" t="s">
        <v>146</v>
      </c>
      <c r="I696" s="850">
        <v>45687.0</v>
      </c>
      <c r="J696" s="1083">
        <v>45722.0</v>
      </c>
      <c r="K696" s="1084" t="s">
        <v>3766</v>
      </c>
      <c r="L696" s="91"/>
      <c r="M696" s="92" t="s">
        <v>3710</v>
      </c>
      <c r="N696" s="92" t="s">
        <v>3711</v>
      </c>
      <c r="O696" s="95">
        <v>1.0</v>
      </c>
      <c r="P696" s="934" t="str">
        <f t="shared" si="37"/>
        <v>10.1037--xge0000263.pdf</v>
      </c>
      <c r="Q696" s="49" t="str">
        <f t="array" ref="Q696"> if(iserror(MATCH(V696, 'File Links'!C:C, 0)), "N/A", HYPERLINK(INDEX('File Links'!B:B, MATCH(P696, 'File Links'!C:C, 0))))</f>
        <v>https://drive.google.com/file/d/1dqZfs8CV4bFuIXsJrOSHM-_BKTXKhfGR/view?usp=drivesdk</v>
      </c>
      <c r="R696" s="1085" t="s">
        <v>3767</v>
      </c>
      <c r="S696" s="92" t="s">
        <v>3647</v>
      </c>
      <c r="T696" s="91"/>
      <c r="U696" s="153">
        <v>1.0</v>
      </c>
      <c r="V696" s="92" t="str">
        <f t="shared" si="39"/>
        <v>10.1098--rsos.231240.pdf</v>
      </c>
      <c r="W696" s="92" t="s">
        <v>3719</v>
      </c>
      <c r="X696" s="51" t="str">
        <f t="array" ref="X696"> if(iserror(MATCH(V696, 'File Links'!C:C, 0)), "N/A", HYPERLINK(INDEX('File Links'!B:B, MATCH(V696, 'File Links'!C:C, 0))))</f>
        <v>https://drive.google.com/file/d/17gaf2Zy_ljFfcAEDk5L8GBnTl5i7RGJE/view?usp=drivesdk</v>
      </c>
      <c r="Y696" s="91"/>
      <c r="Z696" s="92" t="s">
        <v>141</v>
      </c>
      <c r="AA696" s="92" t="s">
        <v>3720</v>
      </c>
      <c r="AB696" s="92" t="s">
        <v>3721</v>
      </c>
      <c r="AC696" s="92" t="s">
        <v>3768</v>
      </c>
      <c r="AD696" s="92" t="s">
        <v>3769</v>
      </c>
      <c r="AE696" s="95">
        <v>13.0</v>
      </c>
      <c r="AF696" s="95">
        <v>107.0</v>
      </c>
      <c r="AG696" s="95">
        <v>0.25</v>
      </c>
      <c r="AH696" s="95" t="s">
        <v>867</v>
      </c>
      <c r="AI696" s="95" t="s">
        <v>429</v>
      </c>
      <c r="AJ696" s="630">
        <v>0.001</v>
      </c>
      <c r="AK696" s="74" t="s">
        <v>128</v>
      </c>
      <c r="AL696" s="74" t="s">
        <v>179</v>
      </c>
      <c r="AM696" s="92" t="s">
        <v>130</v>
      </c>
      <c r="AN696" s="216" t="s">
        <v>131</v>
      </c>
      <c r="AO696" s="95">
        <v>56.0</v>
      </c>
      <c r="AP696" s="1086">
        <v>-0.03345847</v>
      </c>
      <c r="AQ696" s="1086" t="s">
        <v>208</v>
      </c>
      <c r="AR696" s="1087" t="s">
        <v>3734</v>
      </c>
      <c r="AS696" s="1086">
        <v>0.2632</v>
      </c>
      <c r="AT696" s="92" t="s">
        <v>165</v>
      </c>
      <c r="AU696" s="92" t="s">
        <v>179</v>
      </c>
      <c r="AV696" s="91" t="s">
        <v>130</v>
      </c>
      <c r="AW696" s="99" t="s">
        <v>3725</v>
      </c>
      <c r="AX696" s="91" t="s">
        <v>144</v>
      </c>
      <c r="AY696" s="89"/>
      <c r="AZ696" s="77" t="s">
        <v>3756</v>
      </c>
    </row>
    <row r="697" ht="20.25" customHeight="1">
      <c r="A697" s="41">
        <v>697.0</v>
      </c>
      <c r="B697" s="65" t="s">
        <v>583</v>
      </c>
      <c r="C697" s="59" t="s">
        <v>108</v>
      </c>
      <c r="D697" s="59" t="s">
        <v>241</v>
      </c>
      <c r="F697" s="156" t="s">
        <v>3770</v>
      </c>
      <c r="G697" s="54" t="s">
        <v>3771</v>
      </c>
      <c r="H697" s="156" t="s">
        <v>242</v>
      </c>
      <c r="I697" s="149">
        <v>45669.0</v>
      </c>
      <c r="J697" s="1083">
        <v>45722.0</v>
      </c>
      <c r="K697" s="65"/>
      <c r="L697" s="65" t="s">
        <v>3772</v>
      </c>
      <c r="M697" s="156" t="s">
        <v>3773</v>
      </c>
      <c r="N697" s="156" t="s">
        <v>3711</v>
      </c>
      <c r="O697" s="65"/>
      <c r="P697" s="603" t="str">
        <f t="shared" si="37"/>
        <v>10.1037--xge0000263.pdf</v>
      </c>
      <c r="Q697" s="49" t="str">
        <f t="array" ref="Q697"> if(iserror(MATCH(V697, 'File Links'!C:C, 0)), "N/A", HYPERLINK(INDEX('File Links'!B:B, MATCH(P697, 'File Links'!C:C, 0))))</f>
        <v>https://drive.google.com/file/d/1dqZfs8CV4bFuIXsJrOSHM-_BKTXKhfGR/view?usp=drivesdk</v>
      </c>
      <c r="R697" s="156" t="s">
        <v>3646</v>
      </c>
      <c r="S697" s="156" t="s">
        <v>3647</v>
      </c>
      <c r="T697" s="65"/>
      <c r="U697" s="153">
        <v>1.0</v>
      </c>
      <c r="V697" s="195" t="str">
        <f t="shared" si="39"/>
        <v>10.1098--rsos.231240.pdf</v>
      </c>
      <c r="W697" s="156" t="s">
        <v>317</v>
      </c>
      <c r="X697" s="51" t="str">
        <f t="array" ref="X697"> if(iserror(MATCH(V697, 'File Links'!C:C, 0)), "N/A", HYPERLINK(INDEX('File Links'!B:B, MATCH(V697, 'File Links'!C:C, 0))))</f>
        <v>https://drive.google.com/file/d/17gaf2Zy_ljFfcAEDk5L8GBnTl5i7RGJE/view?usp=drivesdk</v>
      </c>
      <c r="Y697" s="65"/>
      <c r="Z697" s="156" t="s">
        <v>219</v>
      </c>
      <c r="AA697" s="65"/>
      <c r="AB697" s="156" t="s">
        <v>3774</v>
      </c>
      <c r="AC697" s="65"/>
      <c r="AD697" s="156" t="s">
        <v>3775</v>
      </c>
      <c r="AE697" s="1057" t="s">
        <v>3776</v>
      </c>
      <c r="AF697" s="153">
        <v>224.0</v>
      </c>
      <c r="AG697" s="153">
        <v>0.04</v>
      </c>
      <c r="AH697" s="156" t="s">
        <v>132</v>
      </c>
      <c r="AI697" s="1057" t="s">
        <v>3777</v>
      </c>
      <c r="AJ697" s="706">
        <v>0.002</v>
      </c>
      <c r="AK697" s="54" t="s">
        <v>165</v>
      </c>
      <c r="AL697" s="54" t="s">
        <v>179</v>
      </c>
      <c r="AM697" s="156" t="s">
        <v>134</v>
      </c>
      <c r="AN697" s="216" t="s">
        <v>131</v>
      </c>
      <c r="AO697" s="153">
        <v>148.0</v>
      </c>
      <c r="AP697" s="153">
        <v>-0.241428656113382</v>
      </c>
      <c r="AQ697" s="156" t="s">
        <v>166</v>
      </c>
      <c r="AR697" s="65"/>
      <c r="AS697" s="153">
        <v>0.0039689311852333</v>
      </c>
      <c r="AT697" s="156" t="s">
        <v>165</v>
      </c>
      <c r="AU697" s="156" t="s">
        <v>179</v>
      </c>
      <c r="AV697" s="156" t="s">
        <v>134</v>
      </c>
      <c r="AW697" s="65"/>
      <c r="AX697" s="156" t="s">
        <v>136</v>
      </c>
      <c r="AZ697" s="126" t="s">
        <v>3756</v>
      </c>
      <c r="BA697" s="186"/>
    </row>
    <row r="698" ht="20.25" customHeight="1">
      <c r="A698" s="41">
        <v>698.0</v>
      </c>
      <c r="B698" s="77" t="s">
        <v>145</v>
      </c>
      <c r="C698" s="90" t="s">
        <v>108</v>
      </c>
      <c r="D698" s="90" t="s">
        <v>146</v>
      </c>
      <c r="E698" s="89"/>
      <c r="F698" s="91" t="s">
        <v>3771</v>
      </c>
      <c r="G698" s="74" t="s">
        <v>3778</v>
      </c>
      <c r="H698" s="92" t="s">
        <v>146</v>
      </c>
      <c r="I698" s="850">
        <v>45687.0</v>
      </c>
      <c r="J698" s="1083">
        <v>45722.0</v>
      </c>
      <c r="K698" s="1084" t="s">
        <v>3779</v>
      </c>
      <c r="L698" s="92" t="s">
        <v>3780</v>
      </c>
      <c r="M698" s="92" t="s">
        <v>3773</v>
      </c>
      <c r="N698" s="92" t="s">
        <v>3711</v>
      </c>
      <c r="O698" s="95">
        <v>4.0</v>
      </c>
      <c r="P698" s="934" t="str">
        <f t="shared" si="37"/>
        <v>10.1037--xge0000263.pdf</v>
      </c>
      <c r="Q698" s="49" t="str">
        <f t="array" ref="Q698"> if(iserror(MATCH(V698, 'File Links'!C:C, 0)), "N/A", HYPERLINK(INDEX('File Links'!B:B, MATCH(P698, 'File Links'!C:C, 0))))</f>
        <v>https://drive.google.com/file/d/1dqZfs8CV4bFuIXsJrOSHM-_BKTXKhfGR/view?usp=drivesdk</v>
      </c>
      <c r="R698" s="92" t="s">
        <v>3646</v>
      </c>
      <c r="S698" s="92" t="s">
        <v>3647</v>
      </c>
      <c r="T698" s="91"/>
      <c r="U698" s="153">
        <v>1.0</v>
      </c>
      <c r="V698" s="934" t="str">
        <f t="shared" si="39"/>
        <v>10.1098--rsos.231240.pdf</v>
      </c>
      <c r="W698" s="92" t="s">
        <v>3719</v>
      </c>
      <c r="X698" s="51" t="str">
        <f t="array" ref="X698"> if(iserror(MATCH(V698, 'File Links'!C:C, 0)), "N/A", HYPERLINK(INDEX('File Links'!B:B, MATCH(V698, 'File Links'!C:C, 0))))</f>
        <v>https://drive.google.com/file/d/17gaf2Zy_ljFfcAEDk5L8GBnTl5i7RGJE/view?usp=drivesdk</v>
      </c>
      <c r="Y698" s="91"/>
      <c r="Z698" s="92" t="s">
        <v>219</v>
      </c>
      <c r="AA698" s="92" t="s">
        <v>3781</v>
      </c>
      <c r="AB698" s="92" t="s">
        <v>3782</v>
      </c>
      <c r="AC698" s="92" t="s">
        <v>3783</v>
      </c>
      <c r="AD698" s="92" t="s">
        <v>3784</v>
      </c>
      <c r="AE698" s="1088">
        <v>9.0</v>
      </c>
      <c r="AF698" s="95">
        <v>224.0</v>
      </c>
      <c r="AG698" s="95">
        <v>0.08</v>
      </c>
      <c r="AH698" s="95" t="s">
        <v>132</v>
      </c>
      <c r="AI698" s="1088" t="s">
        <v>621</v>
      </c>
      <c r="AJ698" s="630">
        <v>0.001</v>
      </c>
      <c r="AK698" s="74" t="s">
        <v>128</v>
      </c>
      <c r="AL698" s="74" t="s">
        <v>179</v>
      </c>
      <c r="AM698" s="92" t="s">
        <v>134</v>
      </c>
      <c r="AN698" s="216" t="s">
        <v>131</v>
      </c>
      <c r="AO698" s="95">
        <v>148.0</v>
      </c>
      <c r="AP698" s="1089" t="s">
        <v>3785</v>
      </c>
      <c r="AQ698" s="95" t="s">
        <v>127</v>
      </c>
      <c r="AR698" s="95" t="s">
        <v>621</v>
      </c>
      <c r="AS698" s="95">
        <v>0.15</v>
      </c>
      <c r="AT698" s="92" t="s">
        <v>165</v>
      </c>
      <c r="AU698" s="92" t="s">
        <v>179</v>
      </c>
      <c r="AV698" s="91" t="s">
        <v>134</v>
      </c>
      <c r="AW698" s="99" t="s">
        <v>3786</v>
      </c>
      <c r="AX698" s="91" t="s">
        <v>144</v>
      </c>
      <c r="AY698" s="89"/>
      <c r="AZ698" s="126" t="s">
        <v>3756</v>
      </c>
    </row>
    <row r="699" ht="20.25" customHeight="1">
      <c r="A699" s="41">
        <v>699.0</v>
      </c>
      <c r="B699" s="126" t="s">
        <v>145</v>
      </c>
      <c r="C699" s="59" t="s">
        <v>108</v>
      </c>
      <c r="D699" s="59" t="s">
        <v>146</v>
      </c>
      <c r="F699" s="65" t="s">
        <v>3771</v>
      </c>
      <c r="G699" s="54" t="s">
        <v>3787</v>
      </c>
      <c r="H699" s="156" t="s">
        <v>146</v>
      </c>
      <c r="I699" s="149">
        <v>45687.0</v>
      </c>
      <c r="J699" s="1083">
        <v>45722.0</v>
      </c>
      <c r="K699" s="1052" t="s">
        <v>3788</v>
      </c>
      <c r="L699" s="156" t="s">
        <v>3780</v>
      </c>
      <c r="M699" s="156" t="s">
        <v>3773</v>
      </c>
      <c r="N699" s="156" t="s">
        <v>3711</v>
      </c>
      <c r="O699" s="153">
        <v>4.0</v>
      </c>
      <c r="P699" s="603" t="str">
        <f t="shared" si="37"/>
        <v>10.1037--xge0000263.pdf</v>
      </c>
      <c r="Q699" s="49" t="str">
        <f t="array" ref="Q699"> if(iserror(MATCH(V699, 'File Links'!C:C, 0)), "N/A", HYPERLINK(INDEX('File Links'!B:B, MATCH(P699, 'File Links'!C:C, 0))))</f>
        <v>https://drive.google.com/file/d/1dqZfs8CV4bFuIXsJrOSHM-_BKTXKhfGR/view?usp=drivesdk</v>
      </c>
      <c r="R699" s="156" t="s">
        <v>3646</v>
      </c>
      <c r="S699" s="156" t="s">
        <v>3647</v>
      </c>
      <c r="T699" s="65"/>
      <c r="U699" s="153">
        <v>1.0</v>
      </c>
      <c r="V699" s="195" t="str">
        <f t="shared" si="39"/>
        <v>10.1098--rsos.231240.pdf</v>
      </c>
      <c r="W699" s="156" t="s">
        <v>3719</v>
      </c>
      <c r="X699" s="51" t="str">
        <f t="array" ref="X699"> if(iserror(MATCH(V699, 'File Links'!C:C, 0)), "N/A", HYPERLINK(INDEX('File Links'!B:B, MATCH(V699, 'File Links'!C:C, 0))))</f>
        <v>https://drive.google.com/file/d/17gaf2Zy_ljFfcAEDk5L8GBnTl5i7RGJE/view?usp=drivesdk</v>
      </c>
      <c r="Y699" s="65"/>
      <c r="Z699" s="156" t="s">
        <v>219</v>
      </c>
      <c r="AA699" s="156" t="s">
        <v>3781</v>
      </c>
      <c r="AB699" s="156" t="s">
        <v>3782</v>
      </c>
      <c r="AC699" s="156" t="s">
        <v>3789</v>
      </c>
      <c r="AD699" s="156" t="s">
        <v>3790</v>
      </c>
      <c r="AE699" s="1090">
        <v>9.0</v>
      </c>
      <c r="AF699" s="153">
        <v>224.0</v>
      </c>
      <c r="AG699" s="153">
        <v>0.05</v>
      </c>
      <c r="AH699" s="153" t="s">
        <v>132</v>
      </c>
      <c r="AI699" s="1090" t="s">
        <v>621</v>
      </c>
      <c r="AJ699" s="706">
        <v>0.001</v>
      </c>
      <c r="AK699" s="54" t="s">
        <v>128</v>
      </c>
      <c r="AL699" s="54" t="s">
        <v>179</v>
      </c>
      <c r="AM699" s="156" t="s">
        <v>134</v>
      </c>
      <c r="AN699" s="216" t="s">
        <v>131</v>
      </c>
      <c r="AO699" s="153">
        <v>148.0</v>
      </c>
      <c r="AP699" s="1089" t="s">
        <v>3791</v>
      </c>
      <c r="AQ699" s="153" t="s">
        <v>127</v>
      </c>
      <c r="AR699" s="153" t="s">
        <v>621</v>
      </c>
      <c r="AS699" s="153">
        <v>0.29</v>
      </c>
      <c r="AT699" s="156" t="s">
        <v>165</v>
      </c>
      <c r="AU699" s="156" t="s">
        <v>179</v>
      </c>
      <c r="AV699" s="65" t="s">
        <v>134</v>
      </c>
      <c r="AW699" s="432" t="s">
        <v>3786</v>
      </c>
      <c r="AX699" s="65" t="s">
        <v>144</v>
      </c>
      <c r="AZ699" s="126" t="s">
        <v>3756</v>
      </c>
      <c r="BA699" s="186"/>
    </row>
    <row r="700" ht="20.25" customHeight="1">
      <c r="A700" s="41">
        <v>700.0</v>
      </c>
      <c r="B700" s="65" t="s">
        <v>107</v>
      </c>
      <c r="C700" s="59" t="s">
        <v>108</v>
      </c>
      <c r="D700" s="59" t="s">
        <v>241</v>
      </c>
      <c r="F700" s="156" t="s">
        <v>3792</v>
      </c>
      <c r="G700" s="54" t="s">
        <v>3793</v>
      </c>
      <c r="H700" s="156" t="s">
        <v>242</v>
      </c>
      <c r="I700" s="149">
        <v>45669.0</v>
      </c>
      <c r="J700" s="1083">
        <v>45722.0</v>
      </c>
      <c r="K700" s="434" t="s">
        <v>3794</v>
      </c>
      <c r="L700" s="65"/>
      <c r="M700" s="156" t="s">
        <v>3795</v>
      </c>
      <c r="N700" s="156" t="s">
        <v>3796</v>
      </c>
      <c r="O700" s="126"/>
      <c r="P700" s="603" t="str">
        <f t="shared" si="37"/>
        <v>10.1177--0956797618813092.pdf</v>
      </c>
      <c r="Q700" s="49" t="str">
        <f t="array" ref="Q700"> if(iserror(MATCH(V700, 'File Links'!C:C, 0)), "N/A", HYPERLINK(INDEX('File Links'!B:B, MATCH(P700, 'File Links'!C:C, 0))))</f>
        <v>https://drive.google.com/file/d/1Ql7nMbQXZeIyS5tduYv7gRTiVRXJB9Dk/view?usp=drivesdk</v>
      </c>
      <c r="R700" s="156" t="s">
        <v>3646</v>
      </c>
      <c r="S700" s="156" t="s">
        <v>3647</v>
      </c>
      <c r="T700" s="65"/>
      <c r="U700" s="153">
        <v>1.0</v>
      </c>
      <c r="V700" s="195" t="str">
        <f t="shared" si="39"/>
        <v>10.1098--rsos.231240.pdf</v>
      </c>
      <c r="W700" s="156" t="s">
        <v>3797</v>
      </c>
      <c r="X700" s="51" t="str">
        <f t="array" ref="X700"> if(iserror(MATCH(V700, 'File Links'!C:C, 0)), "N/A", HYPERLINK(INDEX('File Links'!B:B, MATCH(V700, 'File Links'!C:C, 0))))</f>
        <v>https://drive.google.com/file/d/17gaf2Zy_ljFfcAEDk5L8GBnTl5i7RGJE/view?usp=drivesdk</v>
      </c>
      <c r="Y700" s="65"/>
      <c r="Z700" s="156" t="s">
        <v>219</v>
      </c>
      <c r="AA700" s="65"/>
      <c r="AB700" s="156" t="s">
        <v>3798</v>
      </c>
      <c r="AC700" s="65"/>
      <c r="AD700" s="156" t="s">
        <v>131</v>
      </c>
      <c r="AE700" s="156" t="s">
        <v>131</v>
      </c>
      <c r="AF700" s="153">
        <v>30.0</v>
      </c>
      <c r="AG700" s="65"/>
      <c r="AH700" s="164" t="s">
        <v>131</v>
      </c>
      <c r="AI700" s="156" t="s">
        <v>131</v>
      </c>
      <c r="AJ700" s="336" t="s">
        <v>131</v>
      </c>
      <c r="AK700" s="58"/>
      <c r="AL700" s="54" t="s">
        <v>179</v>
      </c>
      <c r="AM700" s="156" t="s">
        <v>1898</v>
      </c>
      <c r="AN700" s="216" t="s">
        <v>131</v>
      </c>
      <c r="AO700" s="153">
        <v>27.0</v>
      </c>
      <c r="AP700" s="153">
        <v>1.23873102223789</v>
      </c>
      <c r="AQ700" s="156" t="s">
        <v>166</v>
      </c>
      <c r="AR700" s="65"/>
      <c r="AS700" s="153">
        <v>0.00173447003936064</v>
      </c>
      <c r="AT700" s="156" t="s">
        <v>165</v>
      </c>
      <c r="AU700" s="156" t="s">
        <v>179</v>
      </c>
      <c r="AV700" s="156" t="s">
        <v>1898</v>
      </c>
      <c r="AW700" s="65"/>
      <c r="AX700" s="156" t="s">
        <v>136</v>
      </c>
      <c r="AZ700" s="126" t="s">
        <v>3756</v>
      </c>
    </row>
    <row r="701" ht="20.25" customHeight="1">
      <c r="A701" s="41">
        <v>701.0</v>
      </c>
      <c r="B701" s="126" t="s">
        <v>107</v>
      </c>
      <c r="C701" s="59" t="s">
        <v>108</v>
      </c>
      <c r="D701" s="59" t="s">
        <v>146</v>
      </c>
      <c r="F701" s="65" t="s">
        <v>3793</v>
      </c>
      <c r="G701" s="54" t="s">
        <v>3792</v>
      </c>
      <c r="H701" s="156" t="s">
        <v>146</v>
      </c>
      <c r="I701" s="149">
        <v>45687.0</v>
      </c>
      <c r="J701" s="1083">
        <v>45722.0</v>
      </c>
      <c r="K701" s="436" t="s">
        <v>3799</v>
      </c>
      <c r="L701" s="65"/>
      <c r="M701" s="156" t="s">
        <v>3795</v>
      </c>
      <c r="N701" s="156" t="s">
        <v>3796</v>
      </c>
      <c r="O701" s="153">
        <v>3.0</v>
      </c>
      <c r="P701" s="603" t="str">
        <f t="shared" si="37"/>
        <v>10.1177--0956797618813092.pdf</v>
      </c>
      <c r="Q701" s="49" t="str">
        <f t="array" ref="Q701"> if(iserror(MATCH(V701, 'File Links'!C:C, 0)), "N/A", HYPERLINK(INDEX('File Links'!B:B, MATCH(P701, 'File Links'!C:C, 0))))</f>
        <v>https://drive.google.com/file/d/1Ql7nMbQXZeIyS5tduYv7gRTiVRXJB9Dk/view?usp=drivesdk</v>
      </c>
      <c r="R701" s="156" t="s">
        <v>3646</v>
      </c>
      <c r="S701" s="156" t="s">
        <v>3647</v>
      </c>
      <c r="T701" s="65"/>
      <c r="U701" s="153">
        <v>1.0</v>
      </c>
      <c r="V701" s="379" t="s">
        <v>3651</v>
      </c>
      <c r="W701" s="156" t="s">
        <v>3800</v>
      </c>
      <c r="X701" s="51" t="str">
        <f t="array" ref="X701"> if(iserror(MATCH(V701, 'File Links'!C:C, 0)), "N/A", HYPERLINK(INDEX('File Links'!B:B, MATCH(V701, 'File Links'!C:C, 0))))</f>
        <v>https://drive.google.com/file/d/17gaf2Zy_ljFfcAEDk5L8GBnTl5i7RGJE/view?usp=drivesdk</v>
      </c>
      <c r="Y701" s="156" t="s">
        <v>3801</v>
      </c>
      <c r="Z701" s="65"/>
      <c r="AA701" s="65"/>
      <c r="AB701" s="65"/>
      <c r="AC701" s="65"/>
      <c r="AD701" s="65"/>
      <c r="AE701" s="65"/>
      <c r="AF701" s="65"/>
      <c r="AG701" s="65"/>
      <c r="AH701" s="65"/>
      <c r="AI701" s="65"/>
      <c r="AJ701" s="335"/>
      <c r="AK701" s="58"/>
      <c r="AL701" s="58"/>
      <c r="AM701" s="65"/>
      <c r="AN701" s="216" t="s">
        <v>131</v>
      </c>
      <c r="AO701" s="65"/>
      <c r="AP701" s="65"/>
      <c r="AQ701" s="65"/>
      <c r="AR701" s="65"/>
      <c r="AS701" s="65"/>
      <c r="AT701" s="65"/>
      <c r="AU701" s="65"/>
      <c r="AV701" s="65"/>
      <c r="AW701" s="65"/>
      <c r="AX701" s="65"/>
      <c r="AZ701" s="126" t="s">
        <v>3756</v>
      </c>
      <c r="BA701" s="186"/>
    </row>
    <row r="702" ht="20.25" customHeight="1">
      <c r="A702" s="41">
        <v>702.0</v>
      </c>
      <c r="B702" s="371" t="s">
        <v>107</v>
      </c>
      <c r="C702" s="185" t="s">
        <v>108</v>
      </c>
      <c r="D702" s="185" t="s">
        <v>241</v>
      </c>
      <c r="E702" s="186"/>
      <c r="F702" s="195" t="s">
        <v>3802</v>
      </c>
      <c r="G702" s="55" t="s">
        <v>3803</v>
      </c>
      <c r="H702" s="195" t="s">
        <v>242</v>
      </c>
      <c r="I702" s="188">
        <v>45669.0</v>
      </c>
      <c r="J702" s="1083">
        <v>45722.0</v>
      </c>
      <c r="K702" s="187"/>
      <c r="L702" s="195" t="s">
        <v>3804</v>
      </c>
      <c r="M702" s="195" t="s">
        <v>3805</v>
      </c>
      <c r="N702" s="195" t="s">
        <v>3806</v>
      </c>
      <c r="O702" s="1091">
        <v>3.0</v>
      </c>
      <c r="P702" s="974" t="str">
        <f t="shared" si="37"/>
        <v>10.1177--1747021817744546.pdf</v>
      </c>
      <c r="Q702" s="49" t="str">
        <f t="array" ref="Q702"> if(iserror(MATCH(V702, 'File Links'!C:C, 0)), "N/A", HYPERLINK(INDEX('File Links'!B:B, MATCH(P702, 'File Links'!C:C, 0))))</f>
        <v>https://drive.google.com/file/d/12tiBV9g0PDIUv5jLNU3H9ESLvqe3_su6/view?usp=drivesdk</v>
      </c>
      <c r="R702" s="195" t="s">
        <v>3646</v>
      </c>
      <c r="S702" s="195" t="s">
        <v>3647</v>
      </c>
      <c r="T702" s="187"/>
      <c r="U702" s="153">
        <v>1.0</v>
      </c>
      <c r="V702" s="195" t="str">
        <f t="shared" ref="V702:V740" si="40"> hyperlink(vlookup(lower(S702),#REF!, 2, FALSE), SUBSTITUTE(lower(S702), "/", "--") &amp;  ".pdf")</f>
        <v>10.1098--rsos.231240.pdf</v>
      </c>
      <c r="W702" s="868" t="s">
        <v>3664</v>
      </c>
      <c r="X702" s="51" t="str">
        <f t="array" ref="X702"> if(iserror(MATCH(V702, 'File Links'!C:C, 0)), "N/A", HYPERLINK(INDEX('File Links'!B:B, MATCH(V702, 'File Links'!C:C, 0))))</f>
        <v>https://drive.google.com/file/d/17gaf2Zy_ljFfcAEDk5L8GBnTl5i7RGJE/view?usp=drivesdk</v>
      </c>
      <c r="Y702" s="187"/>
      <c r="Z702" s="195" t="s">
        <v>141</v>
      </c>
      <c r="AA702" s="1092" t="s">
        <v>3807</v>
      </c>
      <c r="AB702" s="1092" t="s">
        <v>3808</v>
      </c>
      <c r="AC702" s="1092" t="s">
        <v>3809</v>
      </c>
      <c r="AD702" s="868" t="s">
        <v>3810</v>
      </c>
      <c r="AE702" s="755">
        <v>10.0</v>
      </c>
      <c r="AF702" s="755">
        <v>611.0</v>
      </c>
      <c r="AG702" s="755">
        <v>1.4</v>
      </c>
      <c r="AH702" s="1093" t="s">
        <v>166</v>
      </c>
      <c r="AI702" s="195" t="s">
        <v>623</v>
      </c>
      <c r="AJ702" s="872">
        <v>0.001</v>
      </c>
      <c r="AK702" s="55" t="s">
        <v>128</v>
      </c>
      <c r="AL702" s="55" t="s">
        <v>179</v>
      </c>
      <c r="AM702" s="195" t="s">
        <v>134</v>
      </c>
      <c r="AN702" s="572" t="s">
        <v>131</v>
      </c>
      <c r="AO702" s="755">
        <v>81.0</v>
      </c>
      <c r="AP702" s="755">
        <v>0.606295070252775</v>
      </c>
      <c r="AQ702" s="195" t="s">
        <v>166</v>
      </c>
      <c r="AR702" s="187"/>
      <c r="AS702" s="755">
        <f>6.21*10^-7</f>
        <v>0.000000621</v>
      </c>
      <c r="AT702" s="195" t="s">
        <v>165</v>
      </c>
      <c r="AU702" s="195" t="s">
        <v>179</v>
      </c>
      <c r="AV702" s="195" t="s">
        <v>134</v>
      </c>
      <c r="AW702" s="1094" t="s">
        <v>3811</v>
      </c>
      <c r="AX702" s="195" t="s">
        <v>136</v>
      </c>
      <c r="AY702" s="186"/>
      <c r="AZ702" s="126" t="s">
        <v>3756</v>
      </c>
    </row>
    <row r="703" ht="20.25" customHeight="1">
      <c r="A703" s="41">
        <v>703.0</v>
      </c>
      <c r="B703" s="371" t="s">
        <v>145</v>
      </c>
      <c r="C703" s="185" t="s">
        <v>108</v>
      </c>
      <c r="D703" s="185" t="s">
        <v>146</v>
      </c>
      <c r="E703" s="186"/>
      <c r="F703" s="187" t="s">
        <v>3803</v>
      </c>
      <c r="G703" s="55" t="s">
        <v>3812</v>
      </c>
      <c r="H703" s="195" t="s">
        <v>146</v>
      </c>
      <c r="I703" s="188">
        <v>45687.0</v>
      </c>
      <c r="J703" s="1083">
        <v>45722.0</v>
      </c>
      <c r="K703" s="1095" t="s">
        <v>3813</v>
      </c>
      <c r="L703" s="195" t="s">
        <v>3804</v>
      </c>
      <c r="M703" s="195" t="s">
        <v>3805</v>
      </c>
      <c r="N703" s="195" t="s">
        <v>3806</v>
      </c>
      <c r="O703" s="755">
        <v>3.0</v>
      </c>
      <c r="P703" s="974" t="str">
        <f t="shared" si="37"/>
        <v>10.1177--1747021817744546.pdf</v>
      </c>
      <c r="Q703" s="49" t="str">
        <f t="array" ref="Q703"> if(iserror(MATCH(V703, 'File Links'!C:C, 0)), "N/A", HYPERLINK(INDEX('File Links'!B:B, MATCH(P703, 'File Links'!C:C, 0))))</f>
        <v>https://drive.google.com/file/d/12tiBV9g0PDIUv5jLNU3H9ESLvqe3_su6/view?usp=drivesdk</v>
      </c>
      <c r="R703" s="195" t="s">
        <v>3646</v>
      </c>
      <c r="S703" s="195" t="s">
        <v>3647</v>
      </c>
      <c r="T703" s="187"/>
      <c r="U703" s="153">
        <v>1.0</v>
      </c>
      <c r="V703" s="195" t="str">
        <f t="shared" si="40"/>
        <v>10.1098--rsos.231240.pdf</v>
      </c>
      <c r="W703" s="195" t="s">
        <v>3664</v>
      </c>
      <c r="X703" s="51" t="str">
        <f t="array" ref="X703"> if(iserror(MATCH(V703, 'File Links'!C:C, 0)), "N/A", HYPERLINK(INDEX('File Links'!B:B, MATCH(V703, 'File Links'!C:C, 0))))</f>
        <v>https://drive.google.com/file/d/17gaf2Zy_ljFfcAEDk5L8GBnTl5i7RGJE/view?usp=drivesdk</v>
      </c>
      <c r="Y703" s="187"/>
      <c r="Z703" s="195" t="s">
        <v>141</v>
      </c>
      <c r="AA703" s="195" t="s">
        <v>3807</v>
      </c>
      <c r="AB703" s="195" t="s">
        <v>3808</v>
      </c>
      <c r="AC703" s="195" t="s">
        <v>3809</v>
      </c>
      <c r="AD703" s="195" t="s">
        <v>3810</v>
      </c>
      <c r="AE703" s="755">
        <v>10.0</v>
      </c>
      <c r="AF703" s="755">
        <v>611.0</v>
      </c>
      <c r="AG703" s="755">
        <v>1.4</v>
      </c>
      <c r="AH703" s="755" t="s">
        <v>166</v>
      </c>
      <c r="AI703" s="755" t="s">
        <v>625</v>
      </c>
      <c r="AJ703" s="872">
        <v>0.001</v>
      </c>
      <c r="AK703" s="55" t="s">
        <v>128</v>
      </c>
      <c r="AL703" s="55" t="s">
        <v>179</v>
      </c>
      <c r="AM703" s="195" t="s">
        <v>134</v>
      </c>
      <c r="AN703" s="572" t="s">
        <v>131</v>
      </c>
      <c r="AO703" s="755">
        <v>81.0</v>
      </c>
      <c r="AP703" s="375" t="s">
        <v>3814</v>
      </c>
      <c r="AQ703" s="755" t="s">
        <v>127</v>
      </c>
      <c r="AR703" s="791" t="s">
        <v>3815</v>
      </c>
      <c r="AS703" s="755">
        <f>9.322*10^-6</f>
        <v>0.000009322</v>
      </c>
      <c r="AT703" s="195" t="s">
        <v>165</v>
      </c>
      <c r="AU703" s="195" t="s">
        <v>179</v>
      </c>
      <c r="AV703" s="195" t="s">
        <v>134</v>
      </c>
      <c r="AW703" s="874" t="s">
        <v>3811</v>
      </c>
      <c r="AX703" s="187" t="s">
        <v>136</v>
      </c>
      <c r="AY703" s="186"/>
      <c r="AZ703" s="126" t="s">
        <v>3756</v>
      </c>
      <c r="BA703" s="186"/>
    </row>
    <row r="704" ht="20.25" customHeight="1">
      <c r="A704" s="41">
        <v>704.0</v>
      </c>
      <c r="B704" s="371" t="s">
        <v>145</v>
      </c>
      <c r="C704" s="185" t="s">
        <v>108</v>
      </c>
      <c r="D704" s="185" t="s">
        <v>146</v>
      </c>
      <c r="E704" s="186"/>
      <c r="F704" s="187" t="s">
        <v>3803</v>
      </c>
      <c r="G704" s="55" t="s">
        <v>3816</v>
      </c>
      <c r="H704" s="195" t="s">
        <v>146</v>
      </c>
      <c r="I704" s="188">
        <v>45687.0</v>
      </c>
      <c r="J704" s="1083">
        <v>45722.0</v>
      </c>
      <c r="K704" s="1095" t="s">
        <v>3817</v>
      </c>
      <c r="L704" s="187"/>
      <c r="M704" s="195" t="s">
        <v>3805</v>
      </c>
      <c r="N704" s="195" t="s">
        <v>3806</v>
      </c>
      <c r="O704" s="755">
        <v>3.0</v>
      </c>
      <c r="P704" s="974" t="str">
        <f t="shared" si="37"/>
        <v>10.1177--1747021817744546.pdf</v>
      </c>
      <c r="Q704" s="49" t="str">
        <f t="array" ref="Q704"> if(iserror(MATCH(V704, 'File Links'!C:C, 0)), "N/A", HYPERLINK(INDEX('File Links'!B:B, MATCH(P704, 'File Links'!C:C, 0))))</f>
        <v>https://drive.google.com/file/d/12tiBV9g0PDIUv5jLNU3H9ESLvqe3_su6/view?usp=drivesdk</v>
      </c>
      <c r="R704" s="195" t="s">
        <v>3646</v>
      </c>
      <c r="S704" s="195" t="s">
        <v>3647</v>
      </c>
      <c r="T704" s="187"/>
      <c r="U704" s="153">
        <v>1.0</v>
      </c>
      <c r="V704" s="195" t="str">
        <f t="shared" si="40"/>
        <v>10.1098--rsos.231240.pdf</v>
      </c>
      <c r="W704" s="195" t="s">
        <v>3664</v>
      </c>
      <c r="X704" s="51" t="str">
        <f t="array" ref="X704"> if(iserror(MATCH(V704, 'File Links'!C:C, 0)), "N/A", HYPERLINK(INDEX('File Links'!B:B, MATCH(V704, 'File Links'!C:C, 0))))</f>
        <v>https://drive.google.com/file/d/17gaf2Zy_ljFfcAEDk5L8GBnTl5i7RGJE/view?usp=drivesdk</v>
      </c>
      <c r="Y704" s="187"/>
      <c r="Z704" s="195" t="s">
        <v>141</v>
      </c>
      <c r="AA704" s="195" t="s">
        <v>3807</v>
      </c>
      <c r="AB704" s="195" t="s">
        <v>3808</v>
      </c>
      <c r="AC704" s="195" t="s">
        <v>3818</v>
      </c>
      <c r="AD704" s="195" t="s">
        <v>3819</v>
      </c>
      <c r="AE704" s="755">
        <v>10.0</v>
      </c>
      <c r="AF704" s="755">
        <v>611.0</v>
      </c>
      <c r="AG704" s="755">
        <v>0.863</v>
      </c>
      <c r="AH704" s="755" t="s">
        <v>127</v>
      </c>
      <c r="AI704" s="755" t="s">
        <v>625</v>
      </c>
      <c r="AJ704" s="872">
        <v>0.1</v>
      </c>
      <c r="AK704" s="55" t="s">
        <v>128</v>
      </c>
      <c r="AL704" s="55" t="s">
        <v>179</v>
      </c>
      <c r="AM704" s="195" t="s">
        <v>134</v>
      </c>
      <c r="AN704" s="572" t="s">
        <v>131</v>
      </c>
      <c r="AO704" s="755">
        <v>81.0</v>
      </c>
      <c r="AP704" s="755" t="s">
        <v>3820</v>
      </c>
      <c r="AQ704" s="755" t="s">
        <v>127</v>
      </c>
      <c r="AR704" s="791" t="s">
        <v>3815</v>
      </c>
      <c r="AS704" s="755">
        <v>0.01454</v>
      </c>
      <c r="AT704" s="195" t="s">
        <v>165</v>
      </c>
      <c r="AU704" s="195" t="s">
        <v>179</v>
      </c>
      <c r="AV704" s="195" t="s">
        <v>134</v>
      </c>
      <c r="AW704" s="874" t="s">
        <v>3811</v>
      </c>
      <c r="AX704" s="187" t="s">
        <v>136</v>
      </c>
      <c r="AY704" s="186"/>
      <c r="AZ704" s="126" t="s">
        <v>3756</v>
      </c>
    </row>
    <row r="705" ht="20.25" customHeight="1">
      <c r="A705" s="41">
        <v>705.0</v>
      </c>
      <c r="B705" s="371" t="s">
        <v>145</v>
      </c>
      <c r="C705" s="185" t="s">
        <v>108</v>
      </c>
      <c r="D705" s="185" t="s">
        <v>146</v>
      </c>
      <c r="E705" s="186"/>
      <c r="F705" s="187" t="s">
        <v>3803</v>
      </c>
      <c r="G705" s="55" t="s">
        <v>3821</v>
      </c>
      <c r="H705" s="195" t="s">
        <v>146</v>
      </c>
      <c r="I705" s="188">
        <v>45687.0</v>
      </c>
      <c r="J705" s="1083">
        <v>45722.0</v>
      </c>
      <c r="K705" s="1095" t="s">
        <v>3822</v>
      </c>
      <c r="L705" s="187"/>
      <c r="M705" s="195" t="s">
        <v>3805</v>
      </c>
      <c r="N705" s="195" t="s">
        <v>3806</v>
      </c>
      <c r="O705" s="755">
        <v>3.0</v>
      </c>
      <c r="P705" s="974" t="str">
        <f t="shared" si="37"/>
        <v>10.1177--1747021817744546.pdf</v>
      </c>
      <c r="Q705" s="49" t="str">
        <f t="array" ref="Q705"> if(iserror(MATCH(V705, 'File Links'!C:C, 0)), "N/A", HYPERLINK(INDEX('File Links'!B:B, MATCH(P705, 'File Links'!C:C, 0))))</f>
        <v>https://drive.google.com/file/d/12tiBV9g0PDIUv5jLNU3H9ESLvqe3_su6/view?usp=drivesdk</v>
      </c>
      <c r="R705" s="195" t="s">
        <v>3646</v>
      </c>
      <c r="S705" s="195" t="s">
        <v>3647</v>
      </c>
      <c r="T705" s="187"/>
      <c r="U705" s="153">
        <v>1.0</v>
      </c>
      <c r="V705" s="195" t="str">
        <f t="shared" si="40"/>
        <v>10.1098--rsos.231240.pdf</v>
      </c>
      <c r="W705" s="195" t="s">
        <v>3664</v>
      </c>
      <c r="X705" s="51" t="str">
        <f t="array" ref="X705"> if(iserror(MATCH(V705, 'File Links'!C:C, 0)), "N/A", HYPERLINK(INDEX('File Links'!B:B, MATCH(V705, 'File Links'!C:C, 0))))</f>
        <v>https://drive.google.com/file/d/17gaf2Zy_ljFfcAEDk5L8GBnTl5i7RGJE/view?usp=drivesdk</v>
      </c>
      <c r="Y705" s="187"/>
      <c r="Z705" s="195" t="s">
        <v>141</v>
      </c>
      <c r="AA705" s="195" t="s">
        <v>3807</v>
      </c>
      <c r="AB705" s="195" t="s">
        <v>3808</v>
      </c>
      <c r="AC705" s="195" t="s">
        <v>3823</v>
      </c>
      <c r="AD705" s="195" t="s">
        <v>3824</v>
      </c>
      <c r="AE705" s="755">
        <v>10.0</v>
      </c>
      <c r="AF705" s="755">
        <v>611.0</v>
      </c>
      <c r="AG705" s="755">
        <v>0.05</v>
      </c>
      <c r="AH705" s="216" t="s">
        <v>2612</v>
      </c>
      <c r="AI705" s="755" t="s">
        <v>625</v>
      </c>
      <c r="AJ705" s="872">
        <v>0.001</v>
      </c>
      <c r="AK705" s="55" t="s">
        <v>128</v>
      </c>
      <c r="AL705" s="55" t="s">
        <v>179</v>
      </c>
      <c r="AM705" s="195" t="s">
        <v>134</v>
      </c>
      <c r="AN705" s="572" t="s">
        <v>131</v>
      </c>
      <c r="AO705" s="755">
        <v>81.0</v>
      </c>
      <c r="AP705" s="755">
        <v>0.26</v>
      </c>
      <c r="AQ705" s="216" t="s">
        <v>2612</v>
      </c>
      <c r="AR705" s="791" t="s">
        <v>3815</v>
      </c>
      <c r="AS705" s="755">
        <v>0.001</v>
      </c>
      <c r="AT705" s="195" t="s">
        <v>128</v>
      </c>
      <c r="AU705" s="195" t="s">
        <v>179</v>
      </c>
      <c r="AV705" s="195" t="s">
        <v>134</v>
      </c>
      <c r="AW705" s="874" t="s">
        <v>3811</v>
      </c>
      <c r="AX705" s="187" t="s">
        <v>136</v>
      </c>
      <c r="AY705" s="186"/>
      <c r="AZ705" s="126" t="s">
        <v>3756</v>
      </c>
      <c r="BA705" s="186"/>
    </row>
    <row r="706" ht="20.25" customHeight="1">
      <c r="A706" s="41">
        <v>706.0</v>
      </c>
      <c r="B706" s="371" t="s">
        <v>145</v>
      </c>
      <c r="C706" s="185" t="s">
        <v>108</v>
      </c>
      <c r="D706" s="185" t="s">
        <v>146</v>
      </c>
      <c r="E706" s="186"/>
      <c r="F706" s="187" t="s">
        <v>3803</v>
      </c>
      <c r="G706" s="55" t="s">
        <v>3825</v>
      </c>
      <c r="H706" s="195" t="s">
        <v>146</v>
      </c>
      <c r="I706" s="188">
        <v>45687.0</v>
      </c>
      <c r="J706" s="1083">
        <v>45722.0</v>
      </c>
      <c r="K706" s="366" t="s">
        <v>3826</v>
      </c>
      <c r="L706" s="187"/>
      <c r="M706" s="195" t="s">
        <v>3805</v>
      </c>
      <c r="N706" s="195" t="s">
        <v>3806</v>
      </c>
      <c r="O706" s="755">
        <v>3.0</v>
      </c>
      <c r="P706" s="195" t="str">
        <f t="shared" si="37"/>
        <v>10.1177--1747021817744546.pdf</v>
      </c>
      <c r="Q706" s="49" t="str">
        <f t="array" ref="Q706"> if(iserror(MATCH(V706, 'File Links'!C:C, 0)), "N/A", HYPERLINK(INDEX('File Links'!B:B, MATCH(P706, 'File Links'!C:C, 0))))</f>
        <v>https://drive.google.com/file/d/12tiBV9g0PDIUv5jLNU3H9ESLvqe3_su6/view?usp=drivesdk</v>
      </c>
      <c r="R706" s="195" t="s">
        <v>3646</v>
      </c>
      <c r="S706" s="195" t="s">
        <v>3647</v>
      </c>
      <c r="T706" s="187"/>
      <c r="U706" s="153">
        <v>1.0</v>
      </c>
      <c r="V706" s="195" t="str">
        <f t="shared" si="40"/>
        <v>10.1098--rsos.231240.pdf</v>
      </c>
      <c r="W706" s="195" t="s">
        <v>3664</v>
      </c>
      <c r="X706" s="51" t="str">
        <f t="array" ref="X706"> if(iserror(MATCH(V706, 'File Links'!C:C, 0)), "N/A", HYPERLINK(INDEX('File Links'!B:B, MATCH(V706, 'File Links'!C:C, 0))))</f>
        <v>https://drive.google.com/file/d/17gaf2Zy_ljFfcAEDk5L8GBnTl5i7RGJE/view?usp=drivesdk</v>
      </c>
      <c r="Y706" s="187"/>
      <c r="Z706" s="195" t="s">
        <v>141</v>
      </c>
      <c r="AA706" s="195" t="s">
        <v>3807</v>
      </c>
      <c r="AB706" s="195" t="s">
        <v>3808</v>
      </c>
      <c r="AC706" s="195" t="s">
        <v>3827</v>
      </c>
      <c r="AD706" s="195" t="s">
        <v>3828</v>
      </c>
      <c r="AE706" s="755">
        <v>10.0</v>
      </c>
      <c r="AF706" s="755">
        <v>611.0</v>
      </c>
      <c r="AG706" s="755">
        <v>-0.17</v>
      </c>
      <c r="AH706" s="755" t="s">
        <v>354</v>
      </c>
      <c r="AI706" s="755" t="s">
        <v>625</v>
      </c>
      <c r="AJ706" s="872">
        <v>0.001</v>
      </c>
      <c r="AK706" s="55" t="s">
        <v>128</v>
      </c>
      <c r="AL706" s="55" t="s">
        <v>179</v>
      </c>
      <c r="AM706" s="195" t="s">
        <v>134</v>
      </c>
      <c r="AN706" s="572" t="s">
        <v>131</v>
      </c>
      <c r="AO706" s="755">
        <v>81.0</v>
      </c>
      <c r="AP706" s="755">
        <v>-0.22</v>
      </c>
      <c r="AQ706" s="755" t="s">
        <v>354</v>
      </c>
      <c r="AR706" s="791" t="s">
        <v>3815</v>
      </c>
      <c r="AS706" s="755">
        <v>0.87</v>
      </c>
      <c r="AT706" s="195" t="s">
        <v>165</v>
      </c>
      <c r="AU706" s="195" t="s">
        <v>179</v>
      </c>
      <c r="AV706" s="195" t="s">
        <v>134</v>
      </c>
      <c r="AW706" s="874" t="s">
        <v>3811</v>
      </c>
      <c r="AX706" s="187" t="s">
        <v>136</v>
      </c>
      <c r="AY706" s="186"/>
      <c r="AZ706" s="126" t="s">
        <v>3756</v>
      </c>
    </row>
    <row r="707" ht="20.25" customHeight="1">
      <c r="A707" s="41">
        <v>707.0</v>
      </c>
      <c r="B707" s="371" t="s">
        <v>145</v>
      </c>
      <c r="C707" s="185" t="s">
        <v>108</v>
      </c>
      <c r="D707" s="185" t="s">
        <v>146</v>
      </c>
      <c r="E707" s="186"/>
      <c r="F707" s="187" t="s">
        <v>3803</v>
      </c>
      <c r="G707" s="55" t="s">
        <v>3829</v>
      </c>
      <c r="H707" s="195" t="s">
        <v>146</v>
      </c>
      <c r="I707" s="188">
        <v>45687.0</v>
      </c>
      <c r="J707" s="1083">
        <v>45722.0</v>
      </c>
      <c r="K707" s="1095" t="s">
        <v>3830</v>
      </c>
      <c r="L707" s="187"/>
      <c r="M707" s="195" t="s">
        <v>3805</v>
      </c>
      <c r="N707" s="195" t="s">
        <v>3806</v>
      </c>
      <c r="O707" s="755">
        <v>3.0</v>
      </c>
      <c r="P707" s="195" t="str">
        <f t="shared" si="37"/>
        <v>10.1177--1747021817744546.pdf</v>
      </c>
      <c r="Q707" s="49" t="str">
        <f t="array" ref="Q707"> if(iserror(MATCH(V707, 'File Links'!C:C, 0)), "N/A", HYPERLINK(INDEX('File Links'!B:B, MATCH(P707, 'File Links'!C:C, 0))))</f>
        <v>https://drive.google.com/file/d/12tiBV9g0PDIUv5jLNU3H9ESLvqe3_su6/view?usp=drivesdk</v>
      </c>
      <c r="R707" s="195" t="s">
        <v>3646</v>
      </c>
      <c r="S707" s="195" t="s">
        <v>3647</v>
      </c>
      <c r="T707" s="187"/>
      <c r="U707" s="153">
        <v>1.0</v>
      </c>
      <c r="V707" s="195" t="str">
        <f t="shared" si="40"/>
        <v>10.1098--rsos.231240.pdf</v>
      </c>
      <c r="W707" s="195" t="s">
        <v>3664</v>
      </c>
      <c r="X707" s="51" t="str">
        <f t="array" ref="X707"> if(iserror(MATCH(V707, 'File Links'!C:C, 0)), "N/A", HYPERLINK(INDEX('File Links'!B:B, MATCH(V707, 'File Links'!C:C, 0))))</f>
        <v>https://drive.google.com/file/d/17gaf2Zy_ljFfcAEDk5L8GBnTl5i7RGJE/view?usp=drivesdk</v>
      </c>
      <c r="Y707" s="187"/>
      <c r="Z707" s="195" t="s">
        <v>141</v>
      </c>
      <c r="AA707" s="195" t="s">
        <v>3807</v>
      </c>
      <c r="AB707" s="195" t="s">
        <v>3808</v>
      </c>
      <c r="AC707" s="195" t="s">
        <v>3831</v>
      </c>
      <c r="AD707" s="195" t="s">
        <v>3832</v>
      </c>
      <c r="AE707" s="755">
        <v>10.0</v>
      </c>
      <c r="AF707" s="755">
        <v>611.0</v>
      </c>
      <c r="AG707" s="755">
        <v>0.22</v>
      </c>
      <c r="AH707" s="755" t="s">
        <v>354</v>
      </c>
      <c r="AI707" s="755" t="s">
        <v>625</v>
      </c>
      <c r="AJ707" s="872">
        <v>0.001</v>
      </c>
      <c r="AK707" s="55" t="s">
        <v>165</v>
      </c>
      <c r="AL707" s="55" t="s">
        <v>179</v>
      </c>
      <c r="AM707" s="195" t="s">
        <v>134</v>
      </c>
      <c r="AN707" s="572" t="s">
        <v>131</v>
      </c>
      <c r="AO707" s="755">
        <v>81.0</v>
      </c>
      <c r="AP707" s="755">
        <v>0.4</v>
      </c>
      <c r="AQ707" s="755" t="s">
        <v>354</v>
      </c>
      <c r="AR707" s="791" t="s">
        <v>3815</v>
      </c>
      <c r="AS707" s="755">
        <v>0.001</v>
      </c>
      <c r="AT707" s="195" t="s">
        <v>128</v>
      </c>
      <c r="AU707" s="195" t="s">
        <v>179</v>
      </c>
      <c r="AV707" s="195" t="s">
        <v>134</v>
      </c>
      <c r="AW707" s="874" t="s">
        <v>3811</v>
      </c>
      <c r="AX707" s="187" t="s">
        <v>136</v>
      </c>
      <c r="AY707" s="186"/>
      <c r="AZ707" s="126" t="s">
        <v>3756</v>
      </c>
      <c r="BA707" s="186"/>
    </row>
    <row r="708" ht="20.25" customHeight="1">
      <c r="A708" s="41">
        <v>708.0</v>
      </c>
      <c r="B708" s="371" t="s">
        <v>145</v>
      </c>
      <c r="C708" s="185" t="s">
        <v>108</v>
      </c>
      <c r="D708" s="185" t="s">
        <v>146</v>
      </c>
      <c r="E708" s="186"/>
      <c r="F708" s="187" t="s">
        <v>3803</v>
      </c>
      <c r="G708" s="55" t="s">
        <v>3833</v>
      </c>
      <c r="H708" s="195" t="s">
        <v>146</v>
      </c>
      <c r="I708" s="188">
        <v>45687.0</v>
      </c>
      <c r="J708" s="1083">
        <v>45722.0</v>
      </c>
      <c r="K708" s="1095" t="s">
        <v>3834</v>
      </c>
      <c r="L708" s="187"/>
      <c r="M708" s="195" t="s">
        <v>3805</v>
      </c>
      <c r="N708" s="195" t="s">
        <v>3806</v>
      </c>
      <c r="O708" s="755">
        <v>3.0</v>
      </c>
      <c r="P708" s="195" t="str">
        <f t="shared" si="37"/>
        <v>10.1177--1747021817744546.pdf</v>
      </c>
      <c r="Q708" s="49" t="str">
        <f t="array" ref="Q708"> if(iserror(MATCH(V708, 'File Links'!C:C, 0)), "N/A", HYPERLINK(INDEX('File Links'!B:B, MATCH(P708, 'File Links'!C:C, 0))))</f>
        <v>https://drive.google.com/file/d/12tiBV9g0PDIUv5jLNU3H9ESLvqe3_su6/view?usp=drivesdk</v>
      </c>
      <c r="R708" s="195" t="s">
        <v>3646</v>
      </c>
      <c r="S708" s="195" t="s">
        <v>3647</v>
      </c>
      <c r="T708" s="187"/>
      <c r="U708" s="153">
        <v>1.0</v>
      </c>
      <c r="V708" s="195" t="str">
        <f t="shared" si="40"/>
        <v>10.1098--rsos.231240.pdf</v>
      </c>
      <c r="W708" s="195" t="s">
        <v>3664</v>
      </c>
      <c r="X708" s="51" t="str">
        <f t="array" ref="X708"> if(iserror(MATCH(V708, 'File Links'!C:C, 0)), "N/A", HYPERLINK(INDEX('File Links'!B:B, MATCH(V708, 'File Links'!C:C, 0))))</f>
        <v>https://drive.google.com/file/d/17gaf2Zy_ljFfcAEDk5L8GBnTl5i7RGJE/view?usp=drivesdk</v>
      </c>
      <c r="Y708" s="187"/>
      <c r="Z708" s="195" t="s">
        <v>141</v>
      </c>
      <c r="AA708" s="195" t="s">
        <v>3807</v>
      </c>
      <c r="AB708" s="195" t="s">
        <v>3808</v>
      </c>
      <c r="AC708" s="195" t="s">
        <v>3835</v>
      </c>
      <c r="AD708" s="195" t="s">
        <v>3836</v>
      </c>
      <c r="AE708" s="755">
        <v>10.0</v>
      </c>
      <c r="AF708" s="755">
        <v>611.0</v>
      </c>
      <c r="AG708" s="755">
        <v>-0.1</v>
      </c>
      <c r="AH708" s="755" t="s">
        <v>354</v>
      </c>
      <c r="AI708" s="755" t="s">
        <v>625</v>
      </c>
      <c r="AJ708" s="872">
        <v>0.07</v>
      </c>
      <c r="AK708" s="55" t="s">
        <v>165</v>
      </c>
      <c r="AL708" s="55" t="s">
        <v>179</v>
      </c>
      <c r="AM708" s="195" t="s">
        <v>134</v>
      </c>
      <c r="AN708" s="572" t="s">
        <v>131</v>
      </c>
      <c r="AO708" s="755">
        <v>81.0</v>
      </c>
      <c r="AP708" s="755">
        <v>-0.12</v>
      </c>
      <c r="AQ708" s="755" t="s">
        <v>354</v>
      </c>
      <c r="AR708" s="791" t="s">
        <v>3815</v>
      </c>
      <c r="AS708" s="755">
        <v>0.4</v>
      </c>
      <c r="AT708" s="195" t="s">
        <v>165</v>
      </c>
      <c r="AU708" s="195" t="s">
        <v>179</v>
      </c>
      <c r="AV708" s="195" t="s">
        <v>134</v>
      </c>
      <c r="AW708" s="874" t="s">
        <v>3811</v>
      </c>
      <c r="AX708" s="187" t="s">
        <v>136</v>
      </c>
      <c r="AY708" s="186"/>
      <c r="AZ708" s="126" t="s">
        <v>3756</v>
      </c>
    </row>
    <row r="709" ht="20.25" customHeight="1">
      <c r="A709" s="41">
        <v>709.0</v>
      </c>
      <c r="B709" s="65" t="s">
        <v>107</v>
      </c>
      <c r="C709" s="59" t="s">
        <v>108</v>
      </c>
      <c r="D709" s="59" t="s">
        <v>241</v>
      </c>
      <c r="F709" s="156" t="s">
        <v>3837</v>
      </c>
      <c r="G709" s="54" t="s">
        <v>3838</v>
      </c>
      <c r="H709" s="156" t="s">
        <v>242</v>
      </c>
      <c r="I709" s="149">
        <v>45669.0</v>
      </c>
      <c r="J709" s="149">
        <v>45692.0</v>
      </c>
      <c r="K709" s="65"/>
      <c r="L709" s="65"/>
      <c r="M709" s="156" t="s">
        <v>3839</v>
      </c>
      <c r="N709" s="156" t="s">
        <v>3840</v>
      </c>
      <c r="O709" s="65"/>
      <c r="P709" s="156" t="str">
        <f t="shared" si="37"/>
        <v>10.1177--0956797618780643.pdf</v>
      </c>
      <c r="Q709" s="49" t="str">
        <f t="array" ref="Q709"> if(iserror(MATCH(V709, 'File Links'!C:C, 0)), "N/A", HYPERLINK(INDEX('File Links'!B:B, MATCH(P709, 'File Links'!C:C, 0))))</f>
        <v>https://drive.google.com/file/d/13EC3dwbwBg7gIijxdeeANvWmpAfQ8_ke/view?usp=drivesdk</v>
      </c>
      <c r="R709" s="156" t="s">
        <v>3646</v>
      </c>
      <c r="S709" s="156" t="s">
        <v>3647</v>
      </c>
      <c r="T709" s="65"/>
      <c r="U709" s="153">
        <v>1.0</v>
      </c>
      <c r="V709" s="195" t="str">
        <f t="shared" si="40"/>
        <v>10.1098--rsos.231240.pdf</v>
      </c>
      <c r="W709" s="156" t="s">
        <v>317</v>
      </c>
      <c r="X709" s="51" t="str">
        <f t="array" ref="X709"> if(iserror(MATCH(V709, 'File Links'!C:C, 0)), "N/A", HYPERLINK(INDEX('File Links'!B:B, MATCH(V709, 'File Links'!C:C, 0))))</f>
        <v>https://drive.google.com/file/d/17gaf2Zy_ljFfcAEDk5L8GBnTl5i7RGJE/view?usp=drivesdk</v>
      </c>
      <c r="Y709" s="65"/>
      <c r="Z709" s="156" t="s">
        <v>219</v>
      </c>
      <c r="AA709" s="65"/>
      <c r="AB709" s="156" t="s">
        <v>3841</v>
      </c>
      <c r="AC709" s="65"/>
      <c r="AD709" s="156" t="s">
        <v>3842</v>
      </c>
      <c r="AE709" s="153">
        <v>5.0</v>
      </c>
      <c r="AF709" s="153">
        <v>141.0</v>
      </c>
      <c r="AG709" s="153">
        <v>7.46</v>
      </c>
      <c r="AH709" s="156" t="s">
        <v>1024</v>
      </c>
      <c r="AI709" s="156" t="s">
        <v>875</v>
      </c>
      <c r="AJ709" s="706">
        <v>0.007</v>
      </c>
      <c r="AK709" s="54" t="s">
        <v>165</v>
      </c>
      <c r="AL709" s="54" t="s">
        <v>179</v>
      </c>
      <c r="AM709" s="156" t="s">
        <v>134</v>
      </c>
      <c r="AN709" s="572" t="s">
        <v>131</v>
      </c>
      <c r="AO709" s="153">
        <v>74.0</v>
      </c>
      <c r="AP709" s="153">
        <v>0.187471902656676</v>
      </c>
      <c r="AQ709" s="156" t="s">
        <v>166</v>
      </c>
      <c r="AR709" s="65"/>
      <c r="AS709" s="153">
        <v>0.121273607571615</v>
      </c>
      <c r="AT709" s="156" t="s">
        <v>165</v>
      </c>
      <c r="AU709" s="156" t="s">
        <v>179</v>
      </c>
      <c r="AV709" s="156" t="s">
        <v>134</v>
      </c>
      <c r="AW709" s="1096" t="s">
        <v>3843</v>
      </c>
      <c r="AX709" s="156" t="s">
        <v>136</v>
      </c>
      <c r="AZ709" s="65" t="s">
        <v>146</v>
      </c>
      <c r="BA709" s="186"/>
    </row>
    <row r="710" ht="20.25" customHeight="1">
      <c r="A710" s="41">
        <v>710.0</v>
      </c>
      <c r="B710" s="126" t="s">
        <v>145</v>
      </c>
      <c r="C710" s="59" t="s">
        <v>108</v>
      </c>
      <c r="D710" s="59" t="s">
        <v>146</v>
      </c>
      <c r="F710" s="65" t="s">
        <v>3838</v>
      </c>
      <c r="G710" s="54" t="s">
        <v>3837</v>
      </c>
      <c r="H710" s="156" t="s">
        <v>146</v>
      </c>
      <c r="I710" s="149">
        <v>45687.0</v>
      </c>
      <c r="J710" s="149">
        <v>45692.0</v>
      </c>
      <c r="K710" s="434"/>
      <c r="L710" s="65"/>
      <c r="M710" s="156" t="s">
        <v>3839</v>
      </c>
      <c r="N710" s="156" t="s">
        <v>3840</v>
      </c>
      <c r="O710" s="153">
        <v>2.0</v>
      </c>
      <c r="P710" s="156" t="str">
        <f t="shared" si="37"/>
        <v>10.1177--0956797618780643.pdf</v>
      </c>
      <c r="Q710" s="49" t="str">
        <f t="array" ref="Q710"> if(iserror(MATCH(V710, 'File Links'!C:C, 0)), "N/A", HYPERLINK(INDEX('File Links'!B:B, MATCH(P710, 'File Links'!C:C, 0))))</f>
        <v>https://drive.google.com/file/d/13EC3dwbwBg7gIijxdeeANvWmpAfQ8_ke/view?usp=drivesdk</v>
      </c>
      <c r="R710" s="156" t="s">
        <v>3646</v>
      </c>
      <c r="S710" s="156" t="s">
        <v>3647</v>
      </c>
      <c r="T710" s="65"/>
      <c r="U710" s="153">
        <v>1.0</v>
      </c>
      <c r="V710" s="195" t="str">
        <f t="shared" si="40"/>
        <v>10.1098--rsos.231240.pdf</v>
      </c>
      <c r="W710" s="156" t="s">
        <v>3719</v>
      </c>
      <c r="X710" s="51" t="str">
        <f t="array" ref="X710"> if(iserror(MATCH(V710, 'File Links'!C:C, 0)), "N/A", HYPERLINK(INDEX('File Links'!B:B, MATCH(V710, 'File Links'!C:C, 0))))</f>
        <v>https://drive.google.com/file/d/17gaf2Zy_ljFfcAEDk5L8GBnTl5i7RGJE/view?usp=drivesdk</v>
      </c>
      <c r="Y710" s="65"/>
      <c r="Z710" s="156" t="s">
        <v>219</v>
      </c>
      <c r="AA710" s="148" t="s">
        <v>3844</v>
      </c>
      <c r="AB710" s="148" t="s">
        <v>3845</v>
      </c>
      <c r="AC710" s="156" t="s">
        <v>3846</v>
      </c>
      <c r="AD710" s="148" t="s">
        <v>3847</v>
      </c>
      <c r="AE710" s="153" t="s">
        <v>806</v>
      </c>
      <c r="AF710" s="153">
        <v>141.0</v>
      </c>
      <c r="AG710" s="158" t="s">
        <v>3848</v>
      </c>
      <c r="AH710" s="158" t="s">
        <v>127</v>
      </c>
      <c r="AI710" s="153" t="s">
        <v>806</v>
      </c>
      <c r="AJ710" s="706">
        <v>0.007</v>
      </c>
      <c r="AK710" s="54" t="s">
        <v>165</v>
      </c>
      <c r="AL710" s="54" t="s">
        <v>179</v>
      </c>
      <c r="AM710" s="156" t="s">
        <v>134</v>
      </c>
      <c r="AN710" s="572" t="s">
        <v>131</v>
      </c>
      <c r="AO710" s="153">
        <v>74.0</v>
      </c>
      <c r="AP710" s="158" t="s">
        <v>3849</v>
      </c>
      <c r="AQ710" s="158" t="s">
        <v>127</v>
      </c>
      <c r="AR710" s="120" t="s">
        <v>3850</v>
      </c>
      <c r="AS710" s="158" t="s">
        <v>131</v>
      </c>
      <c r="AT710" s="148" t="s">
        <v>131</v>
      </c>
      <c r="AU710" s="156" t="s">
        <v>179</v>
      </c>
      <c r="AV710" s="65" t="s">
        <v>134</v>
      </c>
      <c r="AW710" s="590" t="s">
        <v>3851</v>
      </c>
      <c r="AX710" s="65" t="s">
        <v>136</v>
      </c>
      <c r="AY710" s="59" t="s">
        <v>3852</v>
      </c>
      <c r="AZ710" s="126" t="s">
        <v>3673</v>
      </c>
    </row>
    <row r="711" ht="20.25" customHeight="1">
      <c r="A711" s="41">
        <v>711.0</v>
      </c>
      <c r="B711" s="65" t="s">
        <v>583</v>
      </c>
      <c r="C711" s="59" t="s">
        <v>108</v>
      </c>
      <c r="D711" s="59" t="s">
        <v>241</v>
      </c>
      <c r="F711" s="156" t="s">
        <v>3853</v>
      </c>
      <c r="G711" s="54" t="s">
        <v>3854</v>
      </c>
      <c r="H711" s="156" t="s">
        <v>242</v>
      </c>
      <c r="I711" s="149">
        <v>45669.0</v>
      </c>
      <c r="J711" s="149">
        <v>45692.0</v>
      </c>
      <c r="K711" s="434" t="s">
        <v>3855</v>
      </c>
      <c r="L711" s="65" t="s">
        <v>3856</v>
      </c>
      <c r="M711" s="156" t="s">
        <v>3857</v>
      </c>
      <c r="N711" s="156" t="s">
        <v>3858</v>
      </c>
      <c r="O711" s="65"/>
      <c r="P711" s="156" t="str">
        <f t="shared" si="37"/>
        <v>10.1073--pnas.1523698113.pdf</v>
      </c>
      <c r="Q711" s="49" t="str">
        <f t="array" ref="Q711"> if(iserror(MATCH(V711, 'File Links'!C:C, 0)), "N/A", HYPERLINK(INDEX('File Links'!B:B, MATCH(P711, 'File Links'!C:C, 0))))</f>
        <v>https://drive.google.com/file/d/1zRO2wTJdLmK-BV5hxThrZO8prUdJXbH2/view?usp=drivesdk</v>
      </c>
      <c r="R711" s="156" t="s">
        <v>3646</v>
      </c>
      <c r="S711" s="156" t="s">
        <v>3647</v>
      </c>
      <c r="T711" s="65"/>
      <c r="U711" s="153">
        <v>1.0</v>
      </c>
      <c r="V711" s="195" t="str">
        <f t="shared" si="40"/>
        <v>10.1098--rsos.231240.pdf</v>
      </c>
      <c r="W711" s="156" t="s">
        <v>3658</v>
      </c>
      <c r="X711" s="51" t="str">
        <f t="array" ref="X711"> if(iserror(MATCH(V711, 'File Links'!C:C, 0)), "N/A", HYPERLINK(INDEX('File Links'!B:B, MATCH(V711, 'File Links'!C:C, 0))))</f>
        <v>https://drive.google.com/file/d/17gaf2Zy_ljFfcAEDk5L8GBnTl5i7RGJE/view?usp=drivesdk</v>
      </c>
      <c r="Y711" s="65"/>
      <c r="Z711" s="156" t="s">
        <v>219</v>
      </c>
      <c r="AA711" s="65"/>
      <c r="AB711" s="65"/>
      <c r="AC711" s="65"/>
      <c r="AD711" s="156" t="s">
        <v>3859</v>
      </c>
      <c r="AE711" s="153">
        <v>2.0</v>
      </c>
      <c r="AF711" s="153">
        <v>302.0</v>
      </c>
      <c r="AG711" s="153">
        <v>2.42</v>
      </c>
      <c r="AH711" s="156" t="s">
        <v>166</v>
      </c>
      <c r="AI711" s="156" t="s">
        <v>2764</v>
      </c>
      <c r="AJ711" s="706">
        <v>0.001</v>
      </c>
      <c r="AK711" s="54" t="s">
        <v>128</v>
      </c>
      <c r="AL711" s="54" t="s">
        <v>179</v>
      </c>
      <c r="AM711" s="156" t="s">
        <v>1898</v>
      </c>
      <c r="AN711" s="572" t="s">
        <v>131</v>
      </c>
      <c r="AO711" s="153">
        <v>12.0</v>
      </c>
      <c r="AP711" s="153">
        <v>0.82579130976575</v>
      </c>
      <c r="AQ711" s="156" t="s">
        <v>166</v>
      </c>
      <c r="AR711" s="65"/>
      <c r="AS711" s="153">
        <v>0.0208742712467195</v>
      </c>
      <c r="AT711" s="156" t="s">
        <v>165</v>
      </c>
      <c r="AU711" s="156" t="s">
        <v>179</v>
      </c>
      <c r="AV711" s="156" t="s">
        <v>1898</v>
      </c>
      <c r="AW711" s="65"/>
      <c r="AX711" s="156" t="s">
        <v>136</v>
      </c>
      <c r="AZ711" s="65" t="s">
        <v>146</v>
      </c>
      <c r="BA711" s="186"/>
    </row>
    <row r="712" ht="20.25" customHeight="1">
      <c r="A712" s="41">
        <v>712.0</v>
      </c>
      <c r="B712" s="65" t="s">
        <v>583</v>
      </c>
      <c r="C712" s="59" t="s">
        <v>108</v>
      </c>
      <c r="D712" s="59" t="s">
        <v>146</v>
      </c>
      <c r="F712" s="65" t="s">
        <v>3854</v>
      </c>
      <c r="G712" s="54" t="s">
        <v>3853</v>
      </c>
      <c r="H712" s="156" t="s">
        <v>146</v>
      </c>
      <c r="I712" s="149">
        <v>45687.0</v>
      </c>
      <c r="J712" s="149">
        <v>45692.0</v>
      </c>
      <c r="K712" s="434" t="s">
        <v>3860</v>
      </c>
      <c r="L712" s="156" t="s">
        <v>3856</v>
      </c>
      <c r="M712" s="156" t="s">
        <v>3857</v>
      </c>
      <c r="N712" s="156" t="s">
        <v>3858</v>
      </c>
      <c r="O712" s="153">
        <v>2.0</v>
      </c>
      <c r="P712" s="156" t="str">
        <f t="shared" si="37"/>
        <v>10.1073--pnas.1523698113.pdf</v>
      </c>
      <c r="Q712" s="49" t="str">
        <f t="array" ref="Q712"> if(iserror(MATCH(V712, 'File Links'!C:C, 0)), "N/A", HYPERLINK(INDEX('File Links'!B:B, MATCH(P712, 'File Links'!C:C, 0))))</f>
        <v>https://drive.google.com/file/d/1zRO2wTJdLmK-BV5hxThrZO8prUdJXbH2/view?usp=drivesdk</v>
      </c>
      <c r="R712" s="156" t="s">
        <v>3646</v>
      </c>
      <c r="S712" s="156" t="s">
        <v>3647</v>
      </c>
      <c r="T712" s="65"/>
      <c r="U712" s="153">
        <v>1.0</v>
      </c>
      <c r="V712" s="195" t="str">
        <f t="shared" si="40"/>
        <v>10.1098--rsos.231240.pdf</v>
      </c>
      <c r="W712" s="156" t="s">
        <v>3664</v>
      </c>
      <c r="X712" s="51" t="str">
        <f t="array" ref="X712"> if(iserror(MATCH(V712, 'File Links'!C:C, 0)), "N/A", HYPERLINK(INDEX('File Links'!B:B, MATCH(V712, 'File Links'!C:C, 0))))</f>
        <v>https://drive.google.com/file/d/17gaf2Zy_ljFfcAEDk5L8GBnTl5i7RGJE/view?usp=drivesdk</v>
      </c>
      <c r="Y712" s="65"/>
      <c r="Z712" s="156" t="s">
        <v>219</v>
      </c>
      <c r="AA712" s="156" t="s">
        <v>3861</v>
      </c>
      <c r="AB712" s="156" t="s">
        <v>3862</v>
      </c>
      <c r="AC712" s="156" t="s">
        <v>3863</v>
      </c>
      <c r="AD712" s="156" t="s">
        <v>3864</v>
      </c>
      <c r="AE712" s="153">
        <v>2.0</v>
      </c>
      <c r="AF712" s="153">
        <v>300.0</v>
      </c>
      <c r="AG712" s="153">
        <v>2.42</v>
      </c>
      <c r="AH712" s="153" t="s">
        <v>166</v>
      </c>
      <c r="AI712" s="153" t="s">
        <v>868</v>
      </c>
      <c r="AJ712" s="706">
        <v>0.001</v>
      </c>
      <c r="AK712" s="54" t="s">
        <v>128</v>
      </c>
      <c r="AL712" s="54" t="s">
        <v>179</v>
      </c>
      <c r="AM712" s="156" t="s">
        <v>1898</v>
      </c>
      <c r="AN712" s="572" t="s">
        <v>131</v>
      </c>
      <c r="AO712" s="153">
        <v>12.0</v>
      </c>
      <c r="AP712" s="153">
        <v>0.82579130976575</v>
      </c>
      <c r="AQ712" s="153" t="s">
        <v>166</v>
      </c>
      <c r="AR712" s="65"/>
      <c r="AS712" s="153">
        <v>0.0208742712467195</v>
      </c>
      <c r="AT712" s="156" t="s">
        <v>165</v>
      </c>
      <c r="AU712" s="156" t="s">
        <v>179</v>
      </c>
      <c r="AV712" s="156" t="s">
        <v>1898</v>
      </c>
      <c r="AW712" s="65"/>
      <c r="AX712" s="65" t="s">
        <v>136</v>
      </c>
      <c r="AZ712" s="65" t="s">
        <v>146</v>
      </c>
    </row>
    <row r="713" ht="20.25" customHeight="1">
      <c r="A713" s="41">
        <v>713.0</v>
      </c>
      <c r="B713" s="91" t="s">
        <v>107</v>
      </c>
      <c r="C713" s="90" t="s">
        <v>108</v>
      </c>
      <c r="D713" s="90" t="s">
        <v>241</v>
      </c>
      <c r="E713" s="89"/>
      <c r="F713" s="92" t="s">
        <v>3865</v>
      </c>
      <c r="G713" s="74" t="s">
        <v>3866</v>
      </c>
      <c r="H713" s="92" t="s">
        <v>242</v>
      </c>
      <c r="I713" s="850">
        <v>45669.0</v>
      </c>
      <c r="J713" s="850">
        <v>45692.0</v>
      </c>
      <c r="K713" s="83" t="s">
        <v>3867</v>
      </c>
      <c r="L713" s="92" t="s">
        <v>3868</v>
      </c>
      <c r="M713" s="92" t="s">
        <v>3869</v>
      </c>
      <c r="N713" s="92" t="s">
        <v>3870</v>
      </c>
      <c r="O713" s="91"/>
      <c r="P713" s="92" t="str">
        <f t="shared" si="37"/>
        <v>10.1162--jocn_a_00709.pdf</v>
      </c>
      <c r="Q713" s="49" t="str">
        <f t="array" ref="Q713"> if(iserror(MATCH(V713, 'File Links'!C:C, 0)), "N/A", HYPERLINK(INDEX('File Links'!B:B, MATCH(P713, 'File Links'!C:C, 0))))</f>
        <v>https://drive.google.com/file/d/1PBsIeDN2jr1Pq3CNrSLb1Xsyr21P2pXL/view?usp=drivesdk</v>
      </c>
      <c r="R713" s="92" t="s">
        <v>3646</v>
      </c>
      <c r="S713" s="92" t="s">
        <v>3647</v>
      </c>
      <c r="T713" s="91"/>
      <c r="U713" s="153">
        <v>1.0</v>
      </c>
      <c r="V713" s="92" t="str">
        <f t="shared" si="40"/>
        <v>10.1098--rsos.231240.pdf</v>
      </c>
      <c r="W713" s="92" t="s">
        <v>317</v>
      </c>
      <c r="X713" s="51" t="str">
        <f t="array" ref="X713"> if(iserror(MATCH(V713, 'File Links'!C:C, 0)), "N/A", HYPERLINK(INDEX('File Links'!B:B, MATCH(V713, 'File Links'!C:C, 0))))</f>
        <v>https://drive.google.com/file/d/17gaf2Zy_ljFfcAEDk5L8GBnTl5i7RGJE/view?usp=drivesdk</v>
      </c>
      <c r="Y713" s="91"/>
      <c r="Z713" s="92" t="s">
        <v>141</v>
      </c>
      <c r="AA713" s="91"/>
      <c r="AB713" s="92" t="s">
        <v>3871</v>
      </c>
      <c r="AC713" s="91"/>
      <c r="AD713" s="92" t="s">
        <v>3872</v>
      </c>
      <c r="AE713" s="1097">
        <v>325.0</v>
      </c>
      <c r="AF713" s="95">
        <v>45.0</v>
      </c>
      <c r="AG713" s="1098">
        <v>0.6</v>
      </c>
      <c r="AH713" s="92" t="s">
        <v>166</v>
      </c>
      <c r="AI713" s="1099" t="s">
        <v>3873</v>
      </c>
      <c r="AJ713" s="630">
        <v>0.031</v>
      </c>
      <c r="AK713" s="74" t="s">
        <v>165</v>
      </c>
      <c r="AL713" s="74" t="s">
        <v>179</v>
      </c>
      <c r="AM713" s="193" t="s">
        <v>134</v>
      </c>
      <c r="AN713" s="77" t="s">
        <v>131</v>
      </c>
      <c r="AO713" s="1098">
        <v>45.0</v>
      </c>
      <c r="AP713" s="1056">
        <v>-0.03</v>
      </c>
      <c r="AQ713" s="1057" t="s">
        <v>354</v>
      </c>
      <c r="AR713" s="91"/>
      <c r="AS713" s="1098">
        <v>0.06</v>
      </c>
      <c r="AT713" s="92" t="s">
        <v>165</v>
      </c>
      <c r="AU713" s="92" t="s">
        <v>179</v>
      </c>
      <c r="AV713" s="1100" t="s">
        <v>1898</v>
      </c>
      <c r="AW713" s="77" t="s">
        <v>131</v>
      </c>
      <c r="AX713" s="92" t="s">
        <v>136</v>
      </c>
      <c r="AY713" s="89"/>
      <c r="AZ713" s="77" t="s">
        <v>3756</v>
      </c>
      <c r="BA713" s="186"/>
    </row>
    <row r="714" ht="20.25" customHeight="1">
      <c r="A714" s="41">
        <v>714.0</v>
      </c>
      <c r="B714" s="77" t="s">
        <v>145</v>
      </c>
      <c r="C714" s="90" t="s">
        <v>108</v>
      </c>
      <c r="D714" s="90" t="s">
        <v>146</v>
      </c>
      <c r="E714" s="89"/>
      <c r="F714" s="91" t="s">
        <v>3866</v>
      </c>
      <c r="G714" s="74" t="s">
        <v>3874</v>
      </c>
      <c r="H714" s="92" t="s">
        <v>146</v>
      </c>
      <c r="I714" s="850">
        <v>45687.0</v>
      </c>
      <c r="J714" s="850">
        <v>45692.0</v>
      </c>
      <c r="K714" s="1084" t="s">
        <v>3875</v>
      </c>
      <c r="L714" s="91"/>
      <c r="M714" s="92" t="s">
        <v>3869</v>
      </c>
      <c r="N714" s="92" t="s">
        <v>3870</v>
      </c>
      <c r="O714" s="95">
        <v>1.0</v>
      </c>
      <c r="P714" s="92" t="str">
        <f t="shared" si="37"/>
        <v>10.1162--jocn_a_00709.pdf</v>
      </c>
      <c r="Q714" s="49" t="str">
        <f t="array" ref="Q714"> if(iserror(MATCH(V714, 'File Links'!C:C, 0)), "N/A", HYPERLINK(INDEX('File Links'!B:B, MATCH(P714, 'File Links'!C:C, 0))))</f>
        <v>https://drive.google.com/file/d/1PBsIeDN2jr1Pq3CNrSLb1Xsyr21P2pXL/view?usp=drivesdk</v>
      </c>
      <c r="R714" s="92" t="s">
        <v>3646</v>
      </c>
      <c r="S714" s="92" t="s">
        <v>3647</v>
      </c>
      <c r="T714" s="91"/>
      <c r="U714" s="153">
        <v>1.0</v>
      </c>
      <c r="V714" s="92" t="str">
        <f t="shared" si="40"/>
        <v>10.1098--rsos.231240.pdf</v>
      </c>
      <c r="W714" s="92" t="s">
        <v>3719</v>
      </c>
      <c r="X714" s="51" t="str">
        <f t="array" ref="X714"> if(iserror(MATCH(V714, 'File Links'!C:C, 0)), "N/A", HYPERLINK(INDEX('File Links'!B:B, MATCH(V714, 'File Links'!C:C, 0))))</f>
        <v>https://drive.google.com/file/d/17gaf2Zy_ljFfcAEDk5L8GBnTl5i7RGJE/view?usp=drivesdk</v>
      </c>
      <c r="Y714" s="91"/>
      <c r="Z714" s="1101" t="s">
        <v>141</v>
      </c>
      <c r="AA714" s="92" t="s">
        <v>3876</v>
      </c>
      <c r="AB714" s="83" t="s">
        <v>3877</v>
      </c>
      <c r="AC714" s="92" t="s">
        <v>3878</v>
      </c>
      <c r="AD714" s="92" t="s">
        <v>3879</v>
      </c>
      <c r="AE714" s="95">
        <v>7.0</v>
      </c>
      <c r="AF714" s="95">
        <v>45.0</v>
      </c>
      <c r="AG714" s="95">
        <v>-0.06</v>
      </c>
      <c r="AH714" s="95" t="s">
        <v>980</v>
      </c>
      <c r="AI714" s="95" t="s">
        <v>125</v>
      </c>
      <c r="AJ714" s="630">
        <v>0.031</v>
      </c>
      <c r="AK714" s="74" t="s">
        <v>165</v>
      </c>
      <c r="AL714" s="74" t="s">
        <v>179</v>
      </c>
      <c r="AM714" s="193" t="s">
        <v>134</v>
      </c>
      <c r="AN714" s="77" t="s">
        <v>131</v>
      </c>
      <c r="AO714" s="95">
        <v>25.0</v>
      </c>
      <c r="AP714" s="153">
        <v>-0.3</v>
      </c>
      <c r="AQ714" s="153" t="s">
        <v>980</v>
      </c>
      <c r="AR714" s="1086" t="s">
        <v>3880</v>
      </c>
      <c r="AS714" s="95">
        <v>0.6</v>
      </c>
      <c r="AT714" s="92" t="s">
        <v>165</v>
      </c>
      <c r="AU714" s="92" t="s">
        <v>179</v>
      </c>
      <c r="AV714" s="148" t="s">
        <v>134</v>
      </c>
      <c r="AW714" s="77" t="s">
        <v>131</v>
      </c>
      <c r="AX714" s="91" t="s">
        <v>136</v>
      </c>
      <c r="AY714" s="89"/>
      <c r="AZ714" s="77" t="s">
        <v>3756</v>
      </c>
    </row>
    <row r="715" ht="20.25" customHeight="1">
      <c r="A715" s="41">
        <v>715.0</v>
      </c>
      <c r="B715" s="77" t="s">
        <v>145</v>
      </c>
      <c r="C715" s="90" t="s">
        <v>108</v>
      </c>
      <c r="D715" s="90" t="s">
        <v>146</v>
      </c>
      <c r="E715" s="89"/>
      <c r="F715" s="91" t="s">
        <v>3866</v>
      </c>
      <c r="G715" s="74" t="s">
        <v>3881</v>
      </c>
      <c r="H715" s="92" t="s">
        <v>146</v>
      </c>
      <c r="I715" s="850">
        <v>45687.0</v>
      </c>
      <c r="J715" s="850">
        <v>45692.0</v>
      </c>
      <c r="K715" s="1084" t="s">
        <v>3882</v>
      </c>
      <c r="L715" s="91"/>
      <c r="M715" s="92" t="s">
        <v>3869</v>
      </c>
      <c r="N715" s="92" t="s">
        <v>3870</v>
      </c>
      <c r="O715" s="95">
        <v>1.0</v>
      </c>
      <c r="P715" s="92" t="str">
        <f t="shared" si="37"/>
        <v>10.1162--jocn_a_00709.pdf</v>
      </c>
      <c r="Q715" s="49" t="str">
        <f t="array" ref="Q715"> if(iserror(MATCH(V715, 'File Links'!C:C, 0)), "N/A", HYPERLINK(INDEX('File Links'!B:B, MATCH(P715, 'File Links'!C:C, 0))))</f>
        <v>https://drive.google.com/file/d/1PBsIeDN2jr1Pq3CNrSLb1Xsyr21P2pXL/view?usp=drivesdk</v>
      </c>
      <c r="R715" s="92" t="s">
        <v>3646</v>
      </c>
      <c r="S715" s="92" t="s">
        <v>3647</v>
      </c>
      <c r="T715" s="91"/>
      <c r="U715" s="153">
        <v>1.0</v>
      </c>
      <c r="V715" s="92" t="str">
        <f t="shared" si="40"/>
        <v>10.1098--rsos.231240.pdf</v>
      </c>
      <c r="W715" s="92" t="s">
        <v>157</v>
      </c>
      <c r="X715" s="51" t="str">
        <f t="array" ref="X715"> if(iserror(MATCH(V715, 'File Links'!C:C, 0)), "N/A", HYPERLINK(INDEX('File Links'!B:B, MATCH(V715, 'File Links'!C:C, 0))))</f>
        <v>https://drive.google.com/file/d/17gaf2Zy_ljFfcAEDk5L8GBnTl5i7RGJE/view?usp=drivesdk</v>
      </c>
      <c r="Y715" s="91"/>
      <c r="Z715" s="1101" t="s">
        <v>141</v>
      </c>
      <c r="AA715" s="92" t="s">
        <v>3876</v>
      </c>
      <c r="AB715" s="83" t="s">
        <v>3877</v>
      </c>
      <c r="AC715" s="92" t="s">
        <v>3883</v>
      </c>
      <c r="AD715" s="92" t="s">
        <v>3884</v>
      </c>
      <c r="AE715" s="1102">
        <v>45908.0</v>
      </c>
      <c r="AF715" s="95">
        <v>45.0</v>
      </c>
      <c r="AG715" s="95">
        <v>-0.02</v>
      </c>
      <c r="AH715" s="95" t="s">
        <v>980</v>
      </c>
      <c r="AI715" s="95" t="s">
        <v>3885</v>
      </c>
      <c r="AJ715" s="630">
        <v>0.307</v>
      </c>
      <c r="AK715" s="74" t="s">
        <v>165</v>
      </c>
      <c r="AL715" s="74" t="s">
        <v>179</v>
      </c>
      <c r="AM715" s="193" t="s">
        <v>134</v>
      </c>
      <c r="AN715" s="77" t="s">
        <v>131</v>
      </c>
      <c r="AO715" s="95">
        <v>25.0</v>
      </c>
      <c r="AP715" s="126" t="s">
        <v>131</v>
      </c>
      <c r="AQ715" s="126" t="s">
        <v>131</v>
      </c>
      <c r="AR715" s="1086" t="s">
        <v>3886</v>
      </c>
      <c r="AS715" s="95">
        <v>0.01</v>
      </c>
      <c r="AT715" s="92" t="s">
        <v>128</v>
      </c>
      <c r="AU715" s="92" t="s">
        <v>129</v>
      </c>
      <c r="AV715" s="91" t="s">
        <v>130</v>
      </c>
      <c r="AW715" s="77" t="s">
        <v>131</v>
      </c>
      <c r="AX715" s="91" t="s">
        <v>136</v>
      </c>
      <c r="AY715" s="89"/>
      <c r="AZ715" s="77" t="s">
        <v>3756</v>
      </c>
      <c r="BA715" s="186"/>
    </row>
    <row r="716" ht="20.25" customHeight="1">
      <c r="A716" s="41">
        <v>716.0</v>
      </c>
      <c r="B716" s="77" t="s">
        <v>145</v>
      </c>
      <c r="C716" s="90" t="s">
        <v>108</v>
      </c>
      <c r="D716" s="90" t="s">
        <v>146</v>
      </c>
      <c r="E716" s="89"/>
      <c r="F716" s="91" t="s">
        <v>3866</v>
      </c>
      <c r="G716" s="74" t="s">
        <v>3887</v>
      </c>
      <c r="H716" s="92" t="s">
        <v>146</v>
      </c>
      <c r="I716" s="850">
        <v>45687.0</v>
      </c>
      <c r="J716" s="850">
        <v>45692.0</v>
      </c>
      <c r="K716" s="1084" t="s">
        <v>3888</v>
      </c>
      <c r="L716" s="91"/>
      <c r="M716" s="92" t="s">
        <v>3869</v>
      </c>
      <c r="N716" s="92" t="s">
        <v>3870</v>
      </c>
      <c r="O716" s="95">
        <v>1.0</v>
      </c>
      <c r="P716" s="92" t="str">
        <f t="shared" si="37"/>
        <v>10.1162--jocn_a_00709.pdf</v>
      </c>
      <c r="Q716" s="49" t="str">
        <f t="array" ref="Q716"> if(iserror(MATCH(V716, 'File Links'!C:C, 0)), "N/A", HYPERLINK(INDEX('File Links'!B:B, MATCH(P716, 'File Links'!C:C, 0))))</f>
        <v>https://drive.google.com/file/d/1PBsIeDN2jr1Pq3CNrSLb1Xsyr21P2pXL/view?usp=drivesdk</v>
      </c>
      <c r="R716" s="92" t="s">
        <v>3646</v>
      </c>
      <c r="S716" s="92" t="s">
        <v>3647</v>
      </c>
      <c r="T716" s="91"/>
      <c r="U716" s="153">
        <v>1.0</v>
      </c>
      <c r="V716" s="92" t="str">
        <f t="shared" si="40"/>
        <v>10.1098--rsos.231240.pdf</v>
      </c>
      <c r="W716" s="92" t="s">
        <v>157</v>
      </c>
      <c r="X716" s="51" t="str">
        <f t="array" ref="X716"> if(iserror(MATCH(V716, 'File Links'!C:C, 0)), "N/A", HYPERLINK(INDEX('File Links'!B:B, MATCH(V716, 'File Links'!C:C, 0))))</f>
        <v>https://drive.google.com/file/d/17gaf2Zy_ljFfcAEDk5L8GBnTl5i7RGJE/view?usp=drivesdk</v>
      </c>
      <c r="Y716" s="91"/>
      <c r="Z716" s="1101" t="s">
        <v>141</v>
      </c>
      <c r="AA716" s="92" t="s">
        <v>3876</v>
      </c>
      <c r="AB716" s="83" t="s">
        <v>3877</v>
      </c>
      <c r="AC716" s="92" t="s">
        <v>3889</v>
      </c>
      <c r="AD716" s="92" t="s">
        <v>3890</v>
      </c>
      <c r="AE716" s="95">
        <v>8.0</v>
      </c>
      <c r="AF716" s="95">
        <v>45.0</v>
      </c>
      <c r="AG716" s="95">
        <v>0.16</v>
      </c>
      <c r="AH716" s="95" t="s">
        <v>980</v>
      </c>
      <c r="AI716" s="95" t="s">
        <v>3885</v>
      </c>
      <c r="AJ716" s="630">
        <v>1.0E-4</v>
      </c>
      <c r="AK716" s="74" t="s">
        <v>128</v>
      </c>
      <c r="AL716" s="74" t="s">
        <v>179</v>
      </c>
      <c r="AM716" s="193" t="s">
        <v>134</v>
      </c>
      <c r="AN716" s="77" t="s">
        <v>131</v>
      </c>
      <c r="AO716" s="95">
        <v>25.0</v>
      </c>
      <c r="AP716" s="153" t="s">
        <v>3891</v>
      </c>
      <c r="AQ716" s="153" t="s">
        <v>127</v>
      </c>
      <c r="AR716" s="1086" t="s">
        <v>3892</v>
      </c>
      <c r="AS716" s="853" t="s">
        <v>131</v>
      </c>
      <c r="AT716" s="853" t="s">
        <v>131</v>
      </c>
      <c r="AU716" s="92" t="s">
        <v>129</v>
      </c>
      <c r="AV716" s="91" t="s">
        <v>130</v>
      </c>
      <c r="AW716" s="77" t="s">
        <v>131</v>
      </c>
      <c r="AX716" s="91" t="s">
        <v>136</v>
      </c>
      <c r="AY716" s="89"/>
      <c r="AZ716" s="77" t="s">
        <v>3756</v>
      </c>
    </row>
    <row r="717" ht="20.25" customHeight="1">
      <c r="A717" s="41">
        <v>717.0</v>
      </c>
      <c r="B717" s="77" t="s">
        <v>145</v>
      </c>
      <c r="C717" s="90" t="s">
        <v>108</v>
      </c>
      <c r="D717" s="90" t="s">
        <v>146</v>
      </c>
      <c r="E717" s="89"/>
      <c r="F717" s="91" t="s">
        <v>3866</v>
      </c>
      <c r="G717" s="74" t="s">
        <v>3893</v>
      </c>
      <c r="H717" s="92" t="s">
        <v>146</v>
      </c>
      <c r="I717" s="850">
        <v>45687.0</v>
      </c>
      <c r="J717" s="850">
        <v>45692.0</v>
      </c>
      <c r="K717" s="1084" t="s">
        <v>3894</v>
      </c>
      <c r="L717" s="91"/>
      <c r="M717" s="92" t="s">
        <v>3869</v>
      </c>
      <c r="N717" s="92" t="s">
        <v>3870</v>
      </c>
      <c r="O717" s="95">
        <v>1.0</v>
      </c>
      <c r="P717" s="92" t="str">
        <f t="shared" si="37"/>
        <v>10.1162--jocn_a_00709.pdf</v>
      </c>
      <c r="Q717" s="49" t="str">
        <f t="array" ref="Q717"> if(iserror(MATCH(V717, 'File Links'!C:C, 0)), "N/A", HYPERLINK(INDEX('File Links'!B:B, MATCH(P717, 'File Links'!C:C, 0))))</f>
        <v>https://drive.google.com/file/d/1PBsIeDN2jr1Pq3CNrSLb1Xsyr21P2pXL/view?usp=drivesdk</v>
      </c>
      <c r="R717" s="92" t="s">
        <v>3646</v>
      </c>
      <c r="S717" s="92" t="s">
        <v>3647</v>
      </c>
      <c r="T717" s="91"/>
      <c r="U717" s="153">
        <v>1.0</v>
      </c>
      <c r="V717" s="92" t="str">
        <f t="shared" si="40"/>
        <v>10.1098--rsos.231240.pdf</v>
      </c>
      <c r="W717" s="92" t="s">
        <v>157</v>
      </c>
      <c r="X717" s="51" t="str">
        <f t="array" ref="X717"> if(iserror(MATCH(V717, 'File Links'!C:C, 0)), "N/A", HYPERLINK(INDEX('File Links'!B:B, MATCH(V717, 'File Links'!C:C, 0))))</f>
        <v>https://drive.google.com/file/d/17gaf2Zy_ljFfcAEDk5L8GBnTl5i7RGJE/view?usp=drivesdk</v>
      </c>
      <c r="Y717" s="91"/>
      <c r="Z717" s="1101" t="s">
        <v>141</v>
      </c>
      <c r="AA717" s="92" t="s">
        <v>3876</v>
      </c>
      <c r="AB717" s="83" t="s">
        <v>3877</v>
      </c>
      <c r="AC717" s="92" t="s">
        <v>3895</v>
      </c>
      <c r="AD717" s="92" t="s">
        <v>3896</v>
      </c>
      <c r="AE717" s="95">
        <v>8.0</v>
      </c>
      <c r="AF717" s="95">
        <v>45.0</v>
      </c>
      <c r="AG717" s="95">
        <v>0.08</v>
      </c>
      <c r="AH717" s="95" t="s">
        <v>980</v>
      </c>
      <c r="AI717" s="95" t="s">
        <v>3885</v>
      </c>
      <c r="AJ717" s="630">
        <v>0.001</v>
      </c>
      <c r="AK717" s="74" t="s">
        <v>165</v>
      </c>
      <c r="AL717" s="74" t="s">
        <v>179</v>
      </c>
      <c r="AM717" s="193" t="s">
        <v>134</v>
      </c>
      <c r="AN717" s="77" t="s">
        <v>131</v>
      </c>
      <c r="AO717" s="95">
        <v>25.0</v>
      </c>
      <c r="AP717" s="153" t="s">
        <v>3897</v>
      </c>
      <c r="AQ717" s="153" t="s">
        <v>127</v>
      </c>
      <c r="AR717" s="1086" t="s">
        <v>3892</v>
      </c>
      <c r="AS717" s="95">
        <v>0.05</v>
      </c>
      <c r="AT717" s="92" t="s">
        <v>128</v>
      </c>
      <c r="AU717" s="92" t="s">
        <v>129</v>
      </c>
      <c r="AV717" s="91" t="s">
        <v>130</v>
      </c>
      <c r="AW717" s="77" t="s">
        <v>131</v>
      </c>
      <c r="AX717" s="91" t="s">
        <v>136</v>
      </c>
      <c r="AY717" s="89"/>
      <c r="AZ717" s="77" t="s">
        <v>3756</v>
      </c>
      <c r="BA717" s="186"/>
    </row>
    <row r="718" ht="20.25" customHeight="1">
      <c r="A718" s="41">
        <v>718.0</v>
      </c>
      <c r="B718" s="77" t="s">
        <v>145</v>
      </c>
      <c r="C718" s="90" t="s">
        <v>108</v>
      </c>
      <c r="D718" s="90" t="s">
        <v>146</v>
      </c>
      <c r="E718" s="89"/>
      <c r="F718" s="91" t="s">
        <v>3866</v>
      </c>
      <c r="G718" s="74" t="s">
        <v>3898</v>
      </c>
      <c r="H718" s="92" t="s">
        <v>146</v>
      </c>
      <c r="I718" s="850">
        <v>45687.0</v>
      </c>
      <c r="J718" s="850">
        <v>45692.0</v>
      </c>
      <c r="K718" s="1084" t="s">
        <v>3899</v>
      </c>
      <c r="L718" s="91"/>
      <c r="M718" s="92" t="s">
        <v>3869</v>
      </c>
      <c r="N718" s="92" t="s">
        <v>3870</v>
      </c>
      <c r="O718" s="95">
        <v>1.0</v>
      </c>
      <c r="P718" s="92" t="str">
        <f t="shared" si="37"/>
        <v>10.1162--jocn_a_00709.pdf</v>
      </c>
      <c r="Q718" s="49" t="str">
        <f t="array" ref="Q718"> if(iserror(MATCH(V718, 'File Links'!C:C, 0)), "N/A", HYPERLINK(INDEX('File Links'!B:B, MATCH(P718, 'File Links'!C:C, 0))))</f>
        <v>https://drive.google.com/file/d/1PBsIeDN2jr1Pq3CNrSLb1Xsyr21P2pXL/view?usp=drivesdk</v>
      </c>
      <c r="R718" s="92" t="s">
        <v>3646</v>
      </c>
      <c r="S718" s="92" t="s">
        <v>3647</v>
      </c>
      <c r="T718" s="91"/>
      <c r="U718" s="153">
        <v>1.0</v>
      </c>
      <c r="V718" s="92" t="str">
        <f t="shared" si="40"/>
        <v>10.1098--rsos.231240.pdf</v>
      </c>
      <c r="W718" s="92" t="s">
        <v>157</v>
      </c>
      <c r="X718" s="51" t="str">
        <f t="array" ref="X718"> if(iserror(MATCH(V718, 'File Links'!C:C, 0)), "N/A", HYPERLINK(INDEX('File Links'!B:B, MATCH(V718, 'File Links'!C:C, 0))))</f>
        <v>https://drive.google.com/file/d/17gaf2Zy_ljFfcAEDk5L8GBnTl5i7RGJE/view?usp=drivesdk</v>
      </c>
      <c r="Y718" s="91"/>
      <c r="Z718" s="1101" t="s">
        <v>141</v>
      </c>
      <c r="AA718" s="92" t="s">
        <v>3876</v>
      </c>
      <c r="AB718" s="83" t="s">
        <v>3877</v>
      </c>
      <c r="AC718" s="92" t="s">
        <v>3900</v>
      </c>
      <c r="AD718" s="92" t="s">
        <v>3901</v>
      </c>
      <c r="AE718" s="95">
        <v>8.0</v>
      </c>
      <c r="AF718" s="95">
        <v>45.0</v>
      </c>
      <c r="AG718" s="95">
        <v>0.04</v>
      </c>
      <c r="AH718" s="95" t="s">
        <v>980</v>
      </c>
      <c r="AI718" s="95" t="s">
        <v>3885</v>
      </c>
      <c r="AJ718" s="630">
        <v>0.116</v>
      </c>
      <c r="AK718" s="74" t="s">
        <v>165</v>
      </c>
      <c r="AL718" s="74" t="s">
        <v>179</v>
      </c>
      <c r="AM718" s="193" t="s">
        <v>134</v>
      </c>
      <c r="AN718" s="77" t="s">
        <v>131</v>
      </c>
      <c r="AO718" s="95">
        <v>25.0</v>
      </c>
      <c r="AP718" s="153" t="s">
        <v>3902</v>
      </c>
      <c r="AQ718" s="153" t="s">
        <v>127</v>
      </c>
      <c r="AR718" s="1086" t="s">
        <v>3892</v>
      </c>
      <c r="AS718" s="95">
        <v>0.05</v>
      </c>
      <c r="AT718" s="92" t="s">
        <v>128</v>
      </c>
      <c r="AU718" s="92" t="s">
        <v>129</v>
      </c>
      <c r="AV718" s="91" t="s">
        <v>130</v>
      </c>
      <c r="AW718" s="77" t="s">
        <v>131</v>
      </c>
      <c r="AX718" s="91" t="s">
        <v>136</v>
      </c>
      <c r="AY718" s="89"/>
      <c r="AZ718" s="77" t="s">
        <v>3756</v>
      </c>
    </row>
    <row r="719" ht="20.25" customHeight="1">
      <c r="A719" s="41">
        <v>719.0</v>
      </c>
      <c r="B719" s="77" t="s">
        <v>145</v>
      </c>
      <c r="C719" s="90" t="s">
        <v>108</v>
      </c>
      <c r="D719" s="90" t="s">
        <v>146</v>
      </c>
      <c r="E719" s="89"/>
      <c r="F719" s="91" t="s">
        <v>3866</v>
      </c>
      <c r="G719" s="74" t="s">
        <v>3903</v>
      </c>
      <c r="H719" s="92" t="s">
        <v>146</v>
      </c>
      <c r="I719" s="850">
        <v>45687.0</v>
      </c>
      <c r="J719" s="850">
        <v>45692.0</v>
      </c>
      <c r="K719" s="1084" t="s">
        <v>3904</v>
      </c>
      <c r="L719" s="91"/>
      <c r="M719" s="92" t="s">
        <v>3869</v>
      </c>
      <c r="N719" s="92" t="s">
        <v>3870</v>
      </c>
      <c r="O719" s="95">
        <v>1.0</v>
      </c>
      <c r="P719" s="92" t="str">
        <f t="shared" si="37"/>
        <v>10.1162--jocn_a_00709.pdf</v>
      </c>
      <c r="Q719" s="49" t="str">
        <f t="array" ref="Q719"> if(iserror(MATCH(V719, 'File Links'!C:C, 0)), "N/A", HYPERLINK(INDEX('File Links'!B:B, MATCH(P719, 'File Links'!C:C, 0))))</f>
        <v>https://drive.google.com/file/d/1PBsIeDN2jr1Pq3CNrSLb1Xsyr21P2pXL/view?usp=drivesdk</v>
      </c>
      <c r="R719" s="92" t="s">
        <v>3646</v>
      </c>
      <c r="S719" s="92" t="s">
        <v>3647</v>
      </c>
      <c r="T719" s="91"/>
      <c r="U719" s="153">
        <v>1.0</v>
      </c>
      <c r="V719" s="92" t="str">
        <f t="shared" si="40"/>
        <v>10.1098--rsos.231240.pdf</v>
      </c>
      <c r="W719" s="92" t="s">
        <v>157</v>
      </c>
      <c r="X719" s="51" t="str">
        <f t="array" ref="X719"> if(iserror(MATCH(V719, 'File Links'!C:C, 0)), "N/A", HYPERLINK(INDEX('File Links'!B:B, MATCH(V719, 'File Links'!C:C, 0))))</f>
        <v>https://drive.google.com/file/d/17gaf2Zy_ljFfcAEDk5L8GBnTl5i7RGJE/view?usp=drivesdk</v>
      </c>
      <c r="Y719" s="91"/>
      <c r="Z719" s="1101" t="s">
        <v>141</v>
      </c>
      <c r="AA719" s="92" t="s">
        <v>3876</v>
      </c>
      <c r="AB719" s="83" t="s">
        <v>3877</v>
      </c>
      <c r="AC719" s="92" t="s">
        <v>3905</v>
      </c>
      <c r="AD719" s="92" t="s">
        <v>3906</v>
      </c>
      <c r="AE719" s="95">
        <v>9.0</v>
      </c>
      <c r="AF719" s="95">
        <v>45.0</v>
      </c>
      <c r="AG719" s="95">
        <v>0.04</v>
      </c>
      <c r="AH719" s="95" t="s">
        <v>980</v>
      </c>
      <c r="AI719" s="95" t="s">
        <v>3885</v>
      </c>
      <c r="AJ719" s="630">
        <v>0.143</v>
      </c>
      <c r="AK719" s="74" t="s">
        <v>165</v>
      </c>
      <c r="AL719" s="74" t="s">
        <v>179</v>
      </c>
      <c r="AM719" s="193" t="s">
        <v>134</v>
      </c>
      <c r="AN719" s="77" t="s">
        <v>131</v>
      </c>
      <c r="AO719" s="95">
        <v>25.0</v>
      </c>
      <c r="AP719" s="153">
        <v>0.13</v>
      </c>
      <c r="AQ719" s="153" t="s">
        <v>980</v>
      </c>
      <c r="AR719" s="1086" t="s">
        <v>3880</v>
      </c>
      <c r="AS719" s="95">
        <v>0.15</v>
      </c>
      <c r="AT719" s="92" t="s">
        <v>328</v>
      </c>
      <c r="AU719" s="92" t="s">
        <v>129</v>
      </c>
      <c r="AV719" s="91" t="s">
        <v>130</v>
      </c>
      <c r="AW719" s="77" t="s">
        <v>131</v>
      </c>
      <c r="AX719" s="91" t="s">
        <v>136</v>
      </c>
      <c r="AY719" s="89"/>
      <c r="AZ719" s="77" t="s">
        <v>3756</v>
      </c>
      <c r="BA719" s="186"/>
    </row>
    <row r="720" ht="20.25" customHeight="1">
      <c r="A720" s="41">
        <v>720.0</v>
      </c>
      <c r="B720" s="65" t="s">
        <v>107</v>
      </c>
      <c r="C720" s="59" t="s">
        <v>108</v>
      </c>
      <c r="D720" s="59" t="s">
        <v>241</v>
      </c>
      <c r="F720" s="156" t="s">
        <v>3907</v>
      </c>
      <c r="G720" s="54" t="s">
        <v>3908</v>
      </c>
      <c r="H720" s="156" t="s">
        <v>242</v>
      </c>
      <c r="I720" s="149">
        <v>45663.0</v>
      </c>
      <c r="J720" s="149">
        <v>45692.0</v>
      </c>
      <c r="K720" s="65"/>
      <c r="L720" s="65"/>
      <c r="M720" s="156" t="s">
        <v>3909</v>
      </c>
      <c r="N720" s="156" t="s">
        <v>3910</v>
      </c>
      <c r="O720" s="65"/>
      <c r="P720" s="156" t="str">
        <f t="shared" si="37"/>
        <v>10.1037--0022-3514.94.2.94.2.196.pdf</v>
      </c>
      <c r="Q720" s="49" t="str">
        <f t="array" ref="Q720"> if(iserror(MATCH(V720, 'File Links'!C:C, 0)), "N/A", HYPERLINK(INDEX('File Links'!B:B, MATCH(P720, 'File Links'!C:C, 0))))</f>
        <v>https://drive.google.com/file/d/1UKyZSyadeWWKlD03-UFjhlFvSy-jY0H-/view?usp=drivesdk</v>
      </c>
      <c r="R720" s="156" t="s">
        <v>3646</v>
      </c>
      <c r="S720" s="156" t="s">
        <v>3647</v>
      </c>
      <c r="T720" s="65"/>
      <c r="U720" s="153">
        <v>1.0</v>
      </c>
      <c r="V720" s="195" t="str">
        <f t="shared" si="40"/>
        <v>10.1098--rsos.231240.pdf</v>
      </c>
      <c r="W720" s="156" t="s">
        <v>317</v>
      </c>
      <c r="X720" s="51" t="str">
        <f t="array" ref="X720"> if(iserror(MATCH(V720, 'File Links'!C:C, 0)), "N/A", HYPERLINK(INDEX('File Links'!B:B, MATCH(V720, 'File Links'!C:C, 0))))</f>
        <v>https://drive.google.com/file/d/17gaf2Zy_ljFfcAEDk5L8GBnTl5i7RGJE/view?usp=drivesdk</v>
      </c>
      <c r="Y720" s="65"/>
      <c r="Z720" s="156" t="s">
        <v>219</v>
      </c>
      <c r="AA720" s="65"/>
      <c r="AB720" s="65"/>
      <c r="AC720" s="65"/>
      <c r="AD720" s="156" t="s">
        <v>3911</v>
      </c>
      <c r="AE720" s="153">
        <v>208.0</v>
      </c>
      <c r="AF720" s="153">
        <v>124.0</v>
      </c>
      <c r="AG720" s="153">
        <v>5.12</v>
      </c>
      <c r="AH720" s="156" t="s">
        <v>1024</v>
      </c>
      <c r="AI720" s="156" t="s">
        <v>3912</v>
      </c>
      <c r="AJ720" s="706">
        <v>0.025</v>
      </c>
      <c r="AK720" s="54" t="s">
        <v>165</v>
      </c>
      <c r="AL720" s="54" t="s">
        <v>179</v>
      </c>
      <c r="AM720" s="156" t="s">
        <v>134</v>
      </c>
      <c r="AN720" s="126" t="s">
        <v>131</v>
      </c>
      <c r="AO720" s="153">
        <v>209.0</v>
      </c>
      <c r="AP720" s="153">
        <v>0.0506346969034163</v>
      </c>
      <c r="AQ720" s="156" t="s">
        <v>166</v>
      </c>
      <c r="AR720" s="65"/>
      <c r="AS720" s="153">
        <v>0.466054495151454</v>
      </c>
      <c r="AT720" s="156" t="s">
        <v>165</v>
      </c>
      <c r="AU720" s="156" t="s">
        <v>179</v>
      </c>
      <c r="AV720" s="1057" t="s">
        <v>134</v>
      </c>
      <c r="AW720" s="65"/>
      <c r="AX720" s="156" t="s">
        <v>136</v>
      </c>
      <c r="AZ720" s="65" t="s">
        <v>146</v>
      </c>
    </row>
    <row r="721" ht="20.25" customHeight="1">
      <c r="A721" s="41">
        <v>721.0</v>
      </c>
      <c r="B721" s="126" t="s">
        <v>145</v>
      </c>
      <c r="C721" s="59" t="s">
        <v>108</v>
      </c>
      <c r="D721" s="1060" t="s">
        <v>146</v>
      </c>
      <c r="E721" s="1060" t="s">
        <v>3913</v>
      </c>
      <c r="F721" s="65" t="s">
        <v>3908</v>
      </c>
      <c r="G721" s="54" t="s">
        <v>3907</v>
      </c>
      <c r="H721" s="701" t="s">
        <v>3914</v>
      </c>
      <c r="I721" s="149">
        <v>45687.0</v>
      </c>
      <c r="J721" s="149">
        <v>45692.0</v>
      </c>
      <c r="K721" s="434"/>
      <c r="L721" s="65"/>
      <c r="M721" s="156" t="s">
        <v>3909</v>
      </c>
      <c r="N721" s="156" t="s">
        <v>3910</v>
      </c>
      <c r="O721" s="158" t="s">
        <v>3915</v>
      </c>
      <c r="P721" s="156" t="str">
        <f t="shared" si="37"/>
        <v>10.1037--0022-3514.94.2.94.2.196.pdf</v>
      </c>
      <c r="Q721" s="49" t="str">
        <f t="array" ref="Q721"> if(iserror(MATCH(V721, 'File Links'!C:C, 0)), "N/A", HYPERLINK(INDEX('File Links'!B:B, MATCH(P721, 'File Links'!C:C, 0))))</f>
        <v>https://drive.google.com/file/d/1UKyZSyadeWWKlD03-UFjhlFvSy-jY0H-/view?usp=drivesdk</v>
      </c>
      <c r="R721" s="156" t="s">
        <v>3646</v>
      </c>
      <c r="S721" s="156" t="s">
        <v>3647</v>
      </c>
      <c r="T721" s="438" t="s">
        <v>3916</v>
      </c>
      <c r="U721" s="153">
        <v>1.0</v>
      </c>
      <c r="V721" s="195" t="str">
        <f t="shared" si="40"/>
        <v>10.1098--rsos.231240.pdf</v>
      </c>
      <c r="W721" s="156" t="s">
        <v>3719</v>
      </c>
      <c r="X721" s="51" t="str">
        <f t="array" ref="X721"> if(iserror(MATCH(V721, 'File Links'!C:C, 0)), "N/A", HYPERLINK(INDEX('File Links'!B:B, MATCH(V721, 'File Links'!C:C, 0))))</f>
        <v>https://drive.google.com/file/d/17gaf2Zy_ljFfcAEDk5L8GBnTl5i7RGJE/view?usp=drivesdk</v>
      </c>
      <c r="Y721" s="65"/>
      <c r="Z721" s="156" t="s">
        <v>219</v>
      </c>
      <c r="AA721" s="156" t="s">
        <v>3917</v>
      </c>
      <c r="AB721" s="156" t="s">
        <v>3918</v>
      </c>
      <c r="AC721" s="156" t="s">
        <v>3919</v>
      </c>
      <c r="AD721" s="148" t="s">
        <v>3920</v>
      </c>
      <c r="AE721" s="158" t="s">
        <v>3912</v>
      </c>
      <c r="AF721" s="153">
        <v>124.0</v>
      </c>
      <c r="AG721" s="158" t="s">
        <v>3921</v>
      </c>
      <c r="AH721" s="158" t="s">
        <v>127</v>
      </c>
      <c r="AI721" s="158" t="s">
        <v>3912</v>
      </c>
      <c r="AJ721" s="158">
        <v>0.002</v>
      </c>
      <c r="AK721" s="54" t="s">
        <v>165</v>
      </c>
      <c r="AL721" s="54" t="s">
        <v>179</v>
      </c>
      <c r="AM721" s="148" t="s">
        <v>130</v>
      </c>
      <c r="AN721" s="126" t="s">
        <v>131</v>
      </c>
      <c r="AO721" s="153">
        <v>209.0</v>
      </c>
      <c r="AP721" s="498" t="s">
        <v>3922</v>
      </c>
      <c r="AQ721" s="158" t="s">
        <v>127</v>
      </c>
      <c r="AR721" s="126" t="s">
        <v>843</v>
      </c>
      <c r="AS721" s="158">
        <v>0.49</v>
      </c>
      <c r="AT721" s="156" t="s">
        <v>165</v>
      </c>
      <c r="AU721" s="156" t="s">
        <v>179</v>
      </c>
      <c r="AV721" s="126" t="s">
        <v>130</v>
      </c>
      <c r="AW721" s="126" t="s">
        <v>131</v>
      </c>
      <c r="AX721" s="65" t="s">
        <v>136</v>
      </c>
      <c r="AZ721" s="126" t="s">
        <v>3923</v>
      </c>
      <c r="BA721" s="186"/>
    </row>
    <row r="722" ht="20.25" customHeight="1">
      <c r="A722" s="41">
        <v>722.0</v>
      </c>
      <c r="B722" s="65" t="s">
        <v>107</v>
      </c>
      <c r="C722" s="59" t="s">
        <v>108</v>
      </c>
      <c r="D722" s="59" t="s">
        <v>146</v>
      </c>
      <c r="F722" s="65" t="s">
        <v>3908</v>
      </c>
      <c r="G722" s="54" t="s">
        <v>3907</v>
      </c>
      <c r="H722" s="156" t="s">
        <v>146</v>
      </c>
      <c r="I722" s="149">
        <v>45687.0</v>
      </c>
      <c r="J722" s="149">
        <v>45692.0</v>
      </c>
      <c r="K722" s="1052" t="s">
        <v>3924</v>
      </c>
      <c r="L722" s="65"/>
      <c r="M722" s="156" t="s">
        <v>3909</v>
      </c>
      <c r="N722" s="156" t="s">
        <v>3910</v>
      </c>
      <c r="O722" s="153" t="s">
        <v>3925</v>
      </c>
      <c r="P722" s="156" t="str">
        <f t="shared" si="37"/>
        <v>10.1037--0022-3514.94.2.94.2.196.pdf</v>
      </c>
      <c r="Q722" s="49" t="str">
        <f t="array" ref="Q722"> if(iserror(MATCH(V722, 'File Links'!C:C, 0)), "N/A", HYPERLINK(INDEX('File Links'!B:B, MATCH(P722, 'File Links'!C:C, 0))))</f>
        <v>https://drive.google.com/file/d/1UKyZSyadeWWKlD03-UFjhlFvSy-jY0H-/view?usp=drivesdk</v>
      </c>
      <c r="R722" s="156" t="s">
        <v>3646</v>
      </c>
      <c r="S722" s="156" t="s">
        <v>3647</v>
      </c>
      <c r="T722" s="65"/>
      <c r="U722" s="153">
        <v>1.0</v>
      </c>
      <c r="V722" s="195" t="str">
        <f t="shared" si="40"/>
        <v>10.1098--rsos.231240.pdf</v>
      </c>
      <c r="W722" s="156" t="s">
        <v>3719</v>
      </c>
      <c r="X722" s="51" t="str">
        <f t="array" ref="X722"> if(iserror(MATCH(V722, 'File Links'!C:C, 0)), "N/A", HYPERLINK(INDEX('File Links'!B:B, MATCH(V722, 'File Links'!C:C, 0))))</f>
        <v>https://drive.google.com/file/d/17gaf2Zy_ljFfcAEDk5L8GBnTl5i7RGJE/view?usp=drivesdk</v>
      </c>
      <c r="Y722" s="65"/>
      <c r="Z722" s="156" t="s">
        <v>219</v>
      </c>
      <c r="AA722" s="156" t="s">
        <v>3917</v>
      </c>
      <c r="AB722" s="156" t="s">
        <v>3918</v>
      </c>
      <c r="AC722" s="156" t="s">
        <v>3919</v>
      </c>
      <c r="AD722" s="156" t="s">
        <v>3926</v>
      </c>
      <c r="AE722" s="153">
        <v>13.0</v>
      </c>
      <c r="AF722" s="153">
        <v>124.0</v>
      </c>
      <c r="AG722" s="153">
        <v>0.40700273690976</v>
      </c>
      <c r="AH722" s="153" t="s">
        <v>166</v>
      </c>
      <c r="AI722" s="153" t="s">
        <v>429</v>
      </c>
      <c r="AJ722" s="1058">
        <v>1.47769853598369E-5</v>
      </c>
      <c r="AK722" s="54" t="s">
        <v>165</v>
      </c>
      <c r="AL722" s="54" t="s">
        <v>179</v>
      </c>
      <c r="AM722" s="156" t="s">
        <v>134</v>
      </c>
      <c r="AN722" s="126" t="s">
        <v>131</v>
      </c>
      <c r="AO722" s="153">
        <v>209.0</v>
      </c>
      <c r="AP722" s="333" t="s">
        <v>3927</v>
      </c>
      <c r="AQ722" s="153" t="s">
        <v>166</v>
      </c>
      <c r="AR722" s="65"/>
      <c r="AS722" s="153" t="s">
        <v>3928</v>
      </c>
      <c r="AT722" s="156" t="s">
        <v>165</v>
      </c>
      <c r="AU722" s="156" t="s">
        <v>179</v>
      </c>
      <c r="AV722" s="65" t="s">
        <v>1898</v>
      </c>
      <c r="AW722" s="65"/>
      <c r="AX722" s="65" t="s">
        <v>136</v>
      </c>
      <c r="AZ722" s="65" t="s">
        <v>146</v>
      </c>
    </row>
    <row r="723" ht="20.25" customHeight="1">
      <c r="A723" s="41">
        <v>723.0</v>
      </c>
      <c r="B723" s="65" t="s">
        <v>583</v>
      </c>
      <c r="C723" s="59" t="s">
        <v>108</v>
      </c>
      <c r="D723" s="59" t="s">
        <v>146</v>
      </c>
      <c r="F723" s="65" t="s">
        <v>3929</v>
      </c>
      <c r="G723" s="54" t="s">
        <v>3930</v>
      </c>
      <c r="H723" s="156" t="s">
        <v>146</v>
      </c>
      <c r="I723" s="149">
        <v>45687.0</v>
      </c>
      <c r="J723" s="149">
        <v>45692.0</v>
      </c>
      <c r="K723" s="65"/>
      <c r="L723" s="156" t="s">
        <v>3931</v>
      </c>
      <c r="M723" s="156" t="s">
        <v>3932</v>
      </c>
      <c r="N723" s="156" t="s">
        <v>3933</v>
      </c>
      <c r="O723" s="153">
        <v>1.0</v>
      </c>
      <c r="P723" s="156" t="str">
        <f t="shared" si="37"/>
        <v>10.1111--j.1551-6709.2011.01210.x.pdf</v>
      </c>
      <c r="Q723" s="49" t="str">
        <f t="array" ref="Q723"> if(iserror(MATCH(V723, 'File Links'!C:C, 0)), "N/A", HYPERLINK(INDEX('File Links'!B:B, MATCH(P723, 'File Links'!C:C, 0))))</f>
        <v>https://drive.google.com/file/d/1peHj2qn55XShERDto7FmUKmKRW04vw25/view?usp=drivesdk</v>
      </c>
      <c r="R723" s="156" t="s">
        <v>3646</v>
      </c>
      <c r="S723" s="156" t="s">
        <v>3647</v>
      </c>
      <c r="T723" s="65"/>
      <c r="U723" s="153">
        <v>1.0</v>
      </c>
      <c r="V723" s="195" t="str">
        <f t="shared" si="40"/>
        <v>10.1098--rsos.231240.pdf</v>
      </c>
      <c r="W723" s="156" t="s">
        <v>157</v>
      </c>
      <c r="X723" s="51" t="str">
        <f t="array" ref="X723"> if(iserror(MATCH(V723, 'File Links'!C:C, 0)), "N/A", HYPERLINK(INDEX('File Links'!B:B, MATCH(V723, 'File Links'!C:C, 0))))</f>
        <v>https://drive.google.com/file/d/17gaf2Zy_ljFfcAEDk5L8GBnTl5i7RGJE/view?usp=drivesdk</v>
      </c>
      <c r="Y723" s="65"/>
      <c r="Z723" s="156" t="s">
        <v>141</v>
      </c>
      <c r="AA723" s="434" t="s">
        <v>3934</v>
      </c>
      <c r="AB723" s="434" t="s">
        <v>3935</v>
      </c>
      <c r="AC723" s="156" t="s">
        <v>3936</v>
      </c>
      <c r="AD723" s="156" t="s">
        <v>3937</v>
      </c>
      <c r="AE723" s="153">
        <v>4.0</v>
      </c>
      <c r="AF723" s="153">
        <v>92.0</v>
      </c>
      <c r="AG723" s="153" t="s">
        <v>3938</v>
      </c>
      <c r="AH723" s="153" t="s">
        <v>127</v>
      </c>
      <c r="AI723" s="153" t="s">
        <v>843</v>
      </c>
      <c r="AJ723" s="706">
        <v>0.96</v>
      </c>
      <c r="AK723" s="54" t="s">
        <v>165</v>
      </c>
      <c r="AL723" s="54" t="s">
        <v>129</v>
      </c>
      <c r="AM723" s="65" t="s">
        <v>130</v>
      </c>
      <c r="AN723" s="126" t="s">
        <v>131</v>
      </c>
      <c r="AO723" s="153">
        <v>82.0</v>
      </c>
      <c r="AP723" s="158" t="s">
        <v>3939</v>
      </c>
      <c r="AQ723" s="153" t="s">
        <v>127</v>
      </c>
      <c r="AR723" s="153" t="s">
        <v>300</v>
      </c>
      <c r="AS723" s="153">
        <v>0.633</v>
      </c>
      <c r="AT723" s="156" t="s">
        <v>165</v>
      </c>
      <c r="AU723" s="156" t="s">
        <v>129</v>
      </c>
      <c r="AV723" s="65" t="s">
        <v>130</v>
      </c>
      <c r="AW723" s="65"/>
      <c r="AX723" s="65" t="s">
        <v>136</v>
      </c>
      <c r="AZ723" s="65" t="s">
        <v>146</v>
      </c>
      <c r="BA723" s="186"/>
    </row>
    <row r="724" ht="20.25" customHeight="1">
      <c r="A724" s="41">
        <v>724.0</v>
      </c>
      <c r="B724" s="65" t="s">
        <v>583</v>
      </c>
      <c r="C724" s="59" t="s">
        <v>108</v>
      </c>
      <c r="D724" s="59" t="s">
        <v>146</v>
      </c>
      <c r="F724" s="65" t="s">
        <v>3929</v>
      </c>
      <c r="G724" s="54" t="s">
        <v>3940</v>
      </c>
      <c r="H724" s="156" t="s">
        <v>146</v>
      </c>
      <c r="I724" s="149">
        <v>45687.0</v>
      </c>
      <c r="J724" s="149">
        <v>45692.0</v>
      </c>
      <c r="K724" s="65"/>
      <c r="L724" s="156" t="s">
        <v>3931</v>
      </c>
      <c r="M724" s="156" t="s">
        <v>3932</v>
      </c>
      <c r="N724" s="156" t="s">
        <v>3933</v>
      </c>
      <c r="O724" s="153">
        <v>1.0</v>
      </c>
      <c r="P724" s="156" t="str">
        <f t="shared" si="37"/>
        <v>10.1111--j.1551-6709.2011.01210.x.pdf</v>
      </c>
      <c r="Q724" s="49" t="str">
        <f t="array" ref="Q724"> if(iserror(MATCH(V724, 'File Links'!C:C, 0)), "N/A", HYPERLINK(INDEX('File Links'!B:B, MATCH(P724, 'File Links'!C:C, 0))))</f>
        <v>https://drive.google.com/file/d/1peHj2qn55XShERDto7FmUKmKRW04vw25/view?usp=drivesdk</v>
      </c>
      <c r="R724" s="156" t="s">
        <v>3646</v>
      </c>
      <c r="S724" s="156" t="s">
        <v>3647</v>
      </c>
      <c r="T724" s="65"/>
      <c r="U724" s="153">
        <v>1.0</v>
      </c>
      <c r="V724" s="195" t="str">
        <f t="shared" si="40"/>
        <v>10.1098--rsos.231240.pdf</v>
      </c>
      <c r="W724" s="156" t="s">
        <v>157</v>
      </c>
      <c r="X724" s="51" t="str">
        <f t="array" ref="X724"> if(iserror(MATCH(V724, 'File Links'!C:C, 0)), "N/A", HYPERLINK(INDEX('File Links'!B:B, MATCH(V724, 'File Links'!C:C, 0))))</f>
        <v>https://drive.google.com/file/d/17gaf2Zy_ljFfcAEDk5L8GBnTl5i7RGJE/view?usp=drivesdk</v>
      </c>
      <c r="Y724" s="65"/>
      <c r="Z724" s="156" t="s">
        <v>141</v>
      </c>
      <c r="AA724" s="434" t="s">
        <v>3934</v>
      </c>
      <c r="AB724" s="434" t="s">
        <v>3935</v>
      </c>
      <c r="AC724" s="156" t="s">
        <v>3941</v>
      </c>
      <c r="AD724" s="156" t="s">
        <v>3942</v>
      </c>
      <c r="AE724" s="153">
        <v>4.0</v>
      </c>
      <c r="AF724" s="153">
        <v>92.0</v>
      </c>
      <c r="AG724" s="153">
        <v>0.43</v>
      </c>
      <c r="AH724" s="153" t="s">
        <v>166</v>
      </c>
      <c r="AI724" s="153" t="s">
        <v>843</v>
      </c>
      <c r="AJ724" s="706">
        <v>0.05</v>
      </c>
      <c r="AK724" s="54" t="s">
        <v>165</v>
      </c>
      <c r="AL724" s="54" t="s">
        <v>129</v>
      </c>
      <c r="AM724" s="65" t="s">
        <v>130</v>
      </c>
      <c r="AN724" s="126" t="s">
        <v>131</v>
      </c>
      <c r="AO724" s="153">
        <v>82.0</v>
      </c>
      <c r="AP724" s="153" t="s">
        <v>3943</v>
      </c>
      <c r="AQ724" s="153" t="s">
        <v>127</v>
      </c>
      <c r="AR724" s="153" t="s">
        <v>300</v>
      </c>
      <c r="AS724" s="153">
        <v>0.723</v>
      </c>
      <c r="AT724" s="156" t="s">
        <v>165</v>
      </c>
      <c r="AU724" s="156" t="s">
        <v>129</v>
      </c>
      <c r="AV724" s="65" t="s">
        <v>130</v>
      </c>
      <c r="AW724" s="65"/>
      <c r="AX724" s="65" t="s">
        <v>136</v>
      </c>
      <c r="AZ724" s="65" t="s">
        <v>146</v>
      </c>
    </row>
    <row r="725" ht="20.25" customHeight="1">
      <c r="A725" s="41">
        <v>725.0</v>
      </c>
      <c r="B725" s="65" t="s">
        <v>583</v>
      </c>
      <c r="C725" s="59" t="s">
        <v>108</v>
      </c>
      <c r="D725" s="59" t="s">
        <v>146</v>
      </c>
      <c r="F725" s="65" t="s">
        <v>3929</v>
      </c>
      <c r="G725" s="54" t="s">
        <v>3944</v>
      </c>
      <c r="H725" s="156" t="s">
        <v>146</v>
      </c>
      <c r="I725" s="149">
        <v>45687.0</v>
      </c>
      <c r="J725" s="149">
        <v>45692.0</v>
      </c>
      <c r="K725" s="65"/>
      <c r="L725" s="156" t="s">
        <v>3931</v>
      </c>
      <c r="M725" s="156" t="s">
        <v>3932</v>
      </c>
      <c r="N725" s="156" t="s">
        <v>3933</v>
      </c>
      <c r="O725" s="153">
        <v>1.0</v>
      </c>
      <c r="P725" s="156" t="str">
        <f t="shared" si="37"/>
        <v>10.1111--j.1551-6709.2011.01210.x.pdf</v>
      </c>
      <c r="Q725" s="49" t="str">
        <f t="array" ref="Q725"> if(iserror(MATCH(V725, 'File Links'!C:C, 0)), "N/A", HYPERLINK(INDEX('File Links'!B:B, MATCH(P725, 'File Links'!C:C, 0))))</f>
        <v>https://drive.google.com/file/d/1peHj2qn55XShERDto7FmUKmKRW04vw25/view?usp=drivesdk</v>
      </c>
      <c r="R725" s="156" t="s">
        <v>3646</v>
      </c>
      <c r="S725" s="156" t="s">
        <v>3647</v>
      </c>
      <c r="T725" s="65"/>
      <c r="U725" s="153">
        <v>1.0</v>
      </c>
      <c r="V725" s="195" t="str">
        <f t="shared" si="40"/>
        <v>10.1098--rsos.231240.pdf</v>
      </c>
      <c r="W725" s="156" t="s">
        <v>157</v>
      </c>
      <c r="X725" s="51" t="str">
        <f t="array" ref="X725"> if(iserror(MATCH(V725, 'File Links'!C:C, 0)), "N/A", HYPERLINK(INDEX('File Links'!B:B, MATCH(V725, 'File Links'!C:C, 0))))</f>
        <v>https://drive.google.com/file/d/17gaf2Zy_ljFfcAEDk5L8GBnTl5i7RGJE/view?usp=drivesdk</v>
      </c>
      <c r="Y725" s="65"/>
      <c r="Z725" s="156" t="s">
        <v>141</v>
      </c>
      <c r="AA725" s="434" t="s">
        <v>3934</v>
      </c>
      <c r="AB725" s="434" t="s">
        <v>3935</v>
      </c>
      <c r="AC725" s="156" t="s">
        <v>3945</v>
      </c>
      <c r="AD725" s="156" t="s">
        <v>3946</v>
      </c>
      <c r="AE725" s="153">
        <v>4.0</v>
      </c>
      <c r="AF725" s="153">
        <v>92.0</v>
      </c>
      <c r="AG725" s="153">
        <v>0.39</v>
      </c>
      <c r="AH725" s="153" t="s">
        <v>208</v>
      </c>
      <c r="AI725" s="153" t="s">
        <v>843</v>
      </c>
      <c r="AJ725" s="706">
        <v>0.001</v>
      </c>
      <c r="AK725" s="54" t="s">
        <v>165</v>
      </c>
      <c r="AL725" s="54" t="s">
        <v>129</v>
      </c>
      <c r="AM725" s="65" t="s">
        <v>130</v>
      </c>
      <c r="AN725" s="126" t="s">
        <v>131</v>
      </c>
      <c r="AO725" s="153">
        <v>82.0</v>
      </c>
      <c r="AP725" s="153" t="s">
        <v>3947</v>
      </c>
      <c r="AQ725" s="153" t="s">
        <v>127</v>
      </c>
      <c r="AR725" s="153" t="s">
        <v>605</v>
      </c>
      <c r="AS725" s="153">
        <v>0.3155</v>
      </c>
      <c r="AT725" s="156" t="s">
        <v>165</v>
      </c>
      <c r="AU725" s="156" t="s">
        <v>129</v>
      </c>
      <c r="AV725" s="65" t="s">
        <v>130</v>
      </c>
      <c r="AW725" s="65"/>
      <c r="AX725" s="65" t="s">
        <v>136</v>
      </c>
      <c r="AZ725" s="65" t="s">
        <v>146</v>
      </c>
      <c r="BA725" s="186"/>
    </row>
    <row r="726" ht="20.25" customHeight="1">
      <c r="A726" s="41">
        <v>726.0</v>
      </c>
      <c r="B726" s="65" t="s">
        <v>583</v>
      </c>
      <c r="C726" s="59" t="s">
        <v>108</v>
      </c>
      <c r="D726" s="335" t="s">
        <v>146</v>
      </c>
      <c r="F726" s="65" t="s">
        <v>3929</v>
      </c>
      <c r="G726" s="54" t="s">
        <v>3948</v>
      </c>
      <c r="H726" s="156" t="s">
        <v>146</v>
      </c>
      <c r="I726" s="149">
        <v>45687.0</v>
      </c>
      <c r="J726" s="149">
        <v>45692.0</v>
      </c>
      <c r="K726" s="65"/>
      <c r="L726" s="156" t="s">
        <v>3931</v>
      </c>
      <c r="M726" s="156" t="s">
        <v>3932</v>
      </c>
      <c r="N726" s="156" t="s">
        <v>3933</v>
      </c>
      <c r="O726" s="153">
        <v>1.0</v>
      </c>
      <c r="P726" s="156" t="str">
        <f t="shared" si="37"/>
        <v>10.1111--j.1551-6709.2011.01210.x.pdf</v>
      </c>
      <c r="Q726" s="49" t="str">
        <f t="array" ref="Q726"> if(iserror(MATCH(V726, 'File Links'!C:C, 0)), "N/A", HYPERLINK(INDEX('File Links'!B:B, MATCH(P726, 'File Links'!C:C, 0))))</f>
        <v>https://drive.google.com/file/d/1peHj2qn55XShERDto7FmUKmKRW04vw25/view?usp=drivesdk</v>
      </c>
      <c r="R726" s="156" t="s">
        <v>3646</v>
      </c>
      <c r="S726" s="156" t="s">
        <v>3647</v>
      </c>
      <c r="T726" s="65"/>
      <c r="U726" s="153">
        <v>1.0</v>
      </c>
      <c r="V726" s="195" t="str">
        <f t="shared" si="40"/>
        <v>10.1098--rsos.231240.pdf</v>
      </c>
      <c r="W726" s="156" t="s">
        <v>157</v>
      </c>
      <c r="X726" s="51" t="str">
        <f t="array" ref="X726"> if(iserror(MATCH(V726, 'File Links'!C:C, 0)), "N/A", HYPERLINK(INDEX('File Links'!B:B, MATCH(V726, 'File Links'!C:C, 0))))</f>
        <v>https://drive.google.com/file/d/17gaf2Zy_ljFfcAEDk5L8GBnTl5i7RGJE/view?usp=drivesdk</v>
      </c>
      <c r="Y726" s="65"/>
      <c r="Z726" s="156" t="s">
        <v>141</v>
      </c>
      <c r="AA726" s="434" t="s">
        <v>3934</v>
      </c>
      <c r="AB726" s="434" t="s">
        <v>3935</v>
      </c>
      <c r="AC726" s="156" t="s">
        <v>3949</v>
      </c>
      <c r="AD726" s="156" t="s">
        <v>3950</v>
      </c>
      <c r="AE726" s="153">
        <v>4.0</v>
      </c>
      <c r="AF726" s="153">
        <v>92.0</v>
      </c>
      <c r="AG726" s="153" t="s">
        <v>3951</v>
      </c>
      <c r="AH726" s="153" t="s">
        <v>127</v>
      </c>
      <c r="AI726" s="153" t="s">
        <v>843</v>
      </c>
      <c r="AJ726" s="706">
        <v>0.01</v>
      </c>
      <c r="AK726" s="54" t="s">
        <v>165</v>
      </c>
      <c r="AL726" s="54" t="s">
        <v>129</v>
      </c>
      <c r="AM726" s="65" t="s">
        <v>130</v>
      </c>
      <c r="AN726" s="126" t="s">
        <v>131</v>
      </c>
      <c r="AO726" s="153">
        <v>82.0</v>
      </c>
      <c r="AP726" s="153" t="s">
        <v>3952</v>
      </c>
      <c r="AQ726" s="153" t="s">
        <v>127</v>
      </c>
      <c r="AR726" s="153" t="s">
        <v>429</v>
      </c>
      <c r="AS726" s="65"/>
      <c r="AT726" s="65"/>
      <c r="AU726" s="156" t="s">
        <v>129</v>
      </c>
      <c r="AV726" s="65" t="s">
        <v>130</v>
      </c>
      <c r="AW726" s="65"/>
      <c r="AX726" s="65" t="s">
        <v>136</v>
      </c>
      <c r="AZ726" s="65" t="s">
        <v>146</v>
      </c>
    </row>
    <row r="727" ht="20.25" customHeight="1">
      <c r="A727" s="41">
        <v>727.0</v>
      </c>
      <c r="B727" s="65" t="s">
        <v>583</v>
      </c>
      <c r="C727" s="59" t="s">
        <v>108</v>
      </c>
      <c r="D727" s="59" t="s">
        <v>146</v>
      </c>
      <c r="F727" s="65" t="s">
        <v>3929</v>
      </c>
      <c r="G727" s="54" t="s">
        <v>3953</v>
      </c>
      <c r="H727" s="156" t="s">
        <v>146</v>
      </c>
      <c r="I727" s="149">
        <v>45687.0</v>
      </c>
      <c r="J727" s="149">
        <v>45692.0</v>
      </c>
      <c r="K727" s="65"/>
      <c r="L727" s="156" t="s">
        <v>3931</v>
      </c>
      <c r="M727" s="156" t="s">
        <v>3932</v>
      </c>
      <c r="N727" s="156" t="s">
        <v>3933</v>
      </c>
      <c r="O727" s="153">
        <v>1.0</v>
      </c>
      <c r="P727" s="156" t="str">
        <f t="shared" si="37"/>
        <v>10.1111--j.1551-6709.2011.01210.x.pdf</v>
      </c>
      <c r="Q727" s="49" t="str">
        <f t="array" ref="Q727"> if(iserror(MATCH(V727, 'File Links'!C:C, 0)), "N/A", HYPERLINK(INDEX('File Links'!B:B, MATCH(P727, 'File Links'!C:C, 0))))</f>
        <v>https://drive.google.com/file/d/1peHj2qn55XShERDto7FmUKmKRW04vw25/view?usp=drivesdk</v>
      </c>
      <c r="R727" s="156" t="s">
        <v>3646</v>
      </c>
      <c r="S727" s="156" t="s">
        <v>3647</v>
      </c>
      <c r="T727" s="65"/>
      <c r="U727" s="153">
        <v>1.0</v>
      </c>
      <c r="V727" s="195" t="str">
        <f t="shared" si="40"/>
        <v>10.1098--rsos.231240.pdf</v>
      </c>
      <c r="W727" s="156" t="s">
        <v>157</v>
      </c>
      <c r="X727" s="51" t="str">
        <f t="array" ref="X727"> if(iserror(MATCH(V727, 'File Links'!C:C, 0)), "N/A", HYPERLINK(INDEX('File Links'!B:B, MATCH(V727, 'File Links'!C:C, 0))))</f>
        <v>https://drive.google.com/file/d/17gaf2Zy_ljFfcAEDk5L8GBnTl5i7RGJE/view?usp=drivesdk</v>
      </c>
      <c r="Y727" s="65"/>
      <c r="Z727" s="156" t="s">
        <v>141</v>
      </c>
      <c r="AA727" s="434" t="s">
        <v>3934</v>
      </c>
      <c r="AB727" s="434" t="s">
        <v>3935</v>
      </c>
      <c r="AC727" s="156" t="s">
        <v>3954</v>
      </c>
      <c r="AD727" s="156" t="s">
        <v>3955</v>
      </c>
      <c r="AE727" s="153">
        <v>5.0</v>
      </c>
      <c r="AF727" s="153">
        <v>92.0</v>
      </c>
      <c r="AG727" s="153" t="s">
        <v>3956</v>
      </c>
      <c r="AH727" s="153" t="s">
        <v>127</v>
      </c>
      <c r="AI727" s="153" t="s">
        <v>806</v>
      </c>
      <c r="AJ727" s="706">
        <v>0.41</v>
      </c>
      <c r="AK727" s="54" t="s">
        <v>165</v>
      </c>
      <c r="AL727" s="54" t="s">
        <v>129</v>
      </c>
      <c r="AM727" s="65" t="s">
        <v>130</v>
      </c>
      <c r="AN727" s="126" t="s">
        <v>131</v>
      </c>
      <c r="AO727" s="153">
        <v>82.0</v>
      </c>
      <c r="AP727" s="153" t="s">
        <v>3957</v>
      </c>
      <c r="AQ727" s="153" t="s">
        <v>127</v>
      </c>
      <c r="AR727" s="153" t="s">
        <v>2222</v>
      </c>
      <c r="AS727" s="153">
        <v>0.1847</v>
      </c>
      <c r="AT727" s="156" t="s">
        <v>165</v>
      </c>
      <c r="AU727" s="156" t="s">
        <v>129</v>
      </c>
      <c r="AV727" s="65" t="s">
        <v>130</v>
      </c>
      <c r="AW727" s="65"/>
      <c r="AX727" s="65" t="s">
        <v>136</v>
      </c>
      <c r="AZ727" s="65" t="s">
        <v>146</v>
      </c>
      <c r="BA727" s="186"/>
    </row>
    <row r="728" ht="20.25" customHeight="1">
      <c r="A728" s="41">
        <v>728.0</v>
      </c>
      <c r="B728" s="108" t="s">
        <v>107</v>
      </c>
      <c r="C728" s="146" t="s">
        <v>108</v>
      </c>
      <c r="D728" s="146" t="s">
        <v>241</v>
      </c>
      <c r="E728" s="69"/>
      <c r="F728" s="119" t="s">
        <v>3958</v>
      </c>
      <c r="G728" s="109" t="s">
        <v>3959</v>
      </c>
      <c r="H728" s="119" t="s">
        <v>242</v>
      </c>
      <c r="I728" s="414">
        <v>45669.0</v>
      </c>
      <c r="J728" s="1083">
        <v>45722.0</v>
      </c>
      <c r="K728" s="108"/>
      <c r="L728" s="119" t="s">
        <v>3868</v>
      </c>
      <c r="M728" s="119" t="s">
        <v>3960</v>
      </c>
      <c r="N728" s="119" t="s">
        <v>3961</v>
      </c>
      <c r="O728" s="108"/>
      <c r="P728" s="119" t="str">
        <f t="shared" si="37"/>
        <v>10.1111--j.1467-9280.2008.02157.x.pdf</v>
      </c>
      <c r="Q728" s="49" t="str">
        <f t="array" ref="Q728"> if(iserror(MATCH(V728, 'File Links'!C:C, 0)), "N/A", HYPERLINK(INDEX('File Links'!B:B, MATCH(P728, 'File Links'!C:C, 0))))</f>
        <v>https://drive.google.com/file/d/1VNZVfi392roXkffFia5wqQeCQjwEpyCc/view?usp=drivesdk</v>
      </c>
      <c r="R728" s="119" t="s">
        <v>3646</v>
      </c>
      <c r="S728" s="119" t="s">
        <v>3647</v>
      </c>
      <c r="T728" s="777" t="s">
        <v>3962</v>
      </c>
      <c r="U728" s="153">
        <v>1.0</v>
      </c>
      <c r="V728" s="119" t="str">
        <f t="shared" si="40"/>
        <v>10.1098--rsos.231240.pdf</v>
      </c>
      <c r="W728" s="119" t="s">
        <v>3686</v>
      </c>
      <c r="X728" s="51" t="str">
        <f t="array" ref="X728"> if(iserror(MATCH(V728, 'File Links'!C:C, 0)), "N/A", HYPERLINK(INDEX('File Links'!B:B, MATCH(V728, 'File Links'!C:C, 0))))</f>
        <v>https://drive.google.com/file/d/17gaf2Zy_ljFfcAEDk5L8GBnTl5i7RGJE/view?usp=drivesdk</v>
      </c>
      <c r="Y728" s="108"/>
      <c r="Z728" s="119" t="s">
        <v>141</v>
      </c>
      <c r="AA728" s="108"/>
      <c r="AB728" s="119" t="s">
        <v>3963</v>
      </c>
      <c r="AC728" s="108"/>
      <c r="AD728" s="119" t="s">
        <v>3964</v>
      </c>
      <c r="AE728" s="1103">
        <v>785.0</v>
      </c>
      <c r="AF728" s="534">
        <v>48.0</v>
      </c>
      <c r="AG728" s="1103">
        <v>11.5</v>
      </c>
      <c r="AH728" s="776" t="s">
        <v>1024</v>
      </c>
      <c r="AI728" s="776" t="s">
        <v>3965</v>
      </c>
      <c r="AJ728" s="363">
        <v>0.001</v>
      </c>
      <c r="AK728" s="1104" t="s">
        <v>128</v>
      </c>
      <c r="AL728" s="109" t="s">
        <v>179</v>
      </c>
      <c r="AM728" s="119" t="s">
        <v>134</v>
      </c>
      <c r="AN728" s="814" t="s">
        <v>131</v>
      </c>
      <c r="AO728" s="534">
        <v>23.0</v>
      </c>
      <c r="AP728" s="534">
        <v>0.637931439685434</v>
      </c>
      <c r="AQ728" s="119" t="s">
        <v>166</v>
      </c>
      <c r="AR728" s="777" t="s">
        <v>3671</v>
      </c>
      <c r="AS728" s="1105">
        <v>0.141014403121108</v>
      </c>
      <c r="AT728" s="119" t="s">
        <v>165</v>
      </c>
      <c r="AU728" s="119" t="s">
        <v>179</v>
      </c>
      <c r="AV728" s="119" t="s">
        <v>134</v>
      </c>
      <c r="AW728" s="108"/>
      <c r="AX728" s="119" t="s">
        <v>144</v>
      </c>
      <c r="AY728" s="69"/>
      <c r="AZ728" s="144" t="s">
        <v>3756</v>
      </c>
    </row>
    <row r="729" ht="20.25" customHeight="1">
      <c r="A729" s="41">
        <v>729.0</v>
      </c>
      <c r="B729" s="144" t="s">
        <v>145</v>
      </c>
      <c r="C729" s="146" t="s">
        <v>108</v>
      </c>
      <c r="D729" s="146" t="s">
        <v>146</v>
      </c>
      <c r="E729" s="69"/>
      <c r="F729" s="108" t="s">
        <v>3959</v>
      </c>
      <c r="G729" s="109" t="s">
        <v>3966</v>
      </c>
      <c r="H729" s="119" t="s">
        <v>146</v>
      </c>
      <c r="I729" s="414">
        <v>45687.0</v>
      </c>
      <c r="J729" s="1083">
        <v>45722.0</v>
      </c>
      <c r="K729" s="215" t="s">
        <v>3967</v>
      </c>
      <c r="L729" s="108"/>
      <c r="M729" s="119" t="s">
        <v>3960</v>
      </c>
      <c r="N729" s="119" t="s">
        <v>3961</v>
      </c>
      <c r="O729" s="534">
        <v>1.0</v>
      </c>
      <c r="P729" s="119" t="str">
        <f t="shared" si="37"/>
        <v>10.1111--j.1467-9280.2008.02157.x.pdf</v>
      </c>
      <c r="Q729" s="49" t="str">
        <f t="array" ref="Q729"> if(iserror(MATCH(V729, 'File Links'!C:C, 0)), "N/A", HYPERLINK(INDEX('File Links'!B:B, MATCH(P729, 'File Links'!C:C, 0))))</f>
        <v>https://drive.google.com/file/d/1VNZVfi392roXkffFia5wqQeCQjwEpyCc/view?usp=drivesdk</v>
      </c>
      <c r="R729" s="119" t="s">
        <v>3646</v>
      </c>
      <c r="S729" s="119" t="s">
        <v>3647</v>
      </c>
      <c r="T729" s="777" t="s">
        <v>3962</v>
      </c>
      <c r="U729" s="153">
        <v>1.0</v>
      </c>
      <c r="V729" s="119" t="str">
        <f t="shared" si="40"/>
        <v>10.1098--rsos.231240.pdf</v>
      </c>
      <c r="W729" s="119" t="s">
        <v>3689</v>
      </c>
      <c r="X729" s="51" t="str">
        <f t="array" ref="X729"> if(iserror(MATCH(V729, 'File Links'!C:C, 0)), "N/A", HYPERLINK(INDEX('File Links'!B:B, MATCH(V729, 'File Links'!C:C, 0))))</f>
        <v>https://drive.google.com/file/d/17gaf2Zy_ljFfcAEDk5L8GBnTl5i7RGJE/view?usp=drivesdk</v>
      </c>
      <c r="Y729" s="108"/>
      <c r="Z729" s="119" t="s">
        <v>141</v>
      </c>
      <c r="AA729" s="119" t="s">
        <v>3968</v>
      </c>
      <c r="AB729" s="215" t="s">
        <v>3969</v>
      </c>
      <c r="AC729" s="119" t="s">
        <v>3970</v>
      </c>
      <c r="AD729" s="119" t="s">
        <v>3971</v>
      </c>
      <c r="AE729" s="1106">
        <v>5.0</v>
      </c>
      <c r="AF729" s="534">
        <v>48.0</v>
      </c>
      <c r="AG729" s="1106">
        <v>0.14</v>
      </c>
      <c r="AH729" s="534" t="s">
        <v>867</v>
      </c>
      <c r="AI729" s="1106" t="s">
        <v>806</v>
      </c>
      <c r="AJ729" s="1107">
        <v>0.008</v>
      </c>
      <c r="AK729" s="109" t="s">
        <v>165</v>
      </c>
      <c r="AL729" s="109" t="s">
        <v>179</v>
      </c>
      <c r="AM729" s="119" t="s">
        <v>134</v>
      </c>
      <c r="AN729" s="814" t="s">
        <v>131</v>
      </c>
      <c r="AO729" s="534">
        <v>23.0</v>
      </c>
      <c r="AP729" s="1108">
        <v>0.002712308</v>
      </c>
      <c r="AQ729" s="153" t="s">
        <v>867</v>
      </c>
      <c r="AR729" s="1109" t="s">
        <v>3972</v>
      </c>
      <c r="AS729" s="153">
        <v>0.640291853</v>
      </c>
      <c r="AT729" s="119" t="s">
        <v>165</v>
      </c>
      <c r="AU729" s="119" t="s">
        <v>179</v>
      </c>
      <c r="AV729" s="119" t="s">
        <v>134</v>
      </c>
      <c r="AW729" s="835" t="s">
        <v>3973</v>
      </c>
      <c r="AX729" s="108" t="s">
        <v>144</v>
      </c>
      <c r="AY729" s="69"/>
      <c r="AZ729" s="144" t="s">
        <v>3756</v>
      </c>
      <c r="BA729" s="186"/>
    </row>
    <row r="730" ht="20.25" customHeight="1">
      <c r="A730" s="41">
        <v>730.0</v>
      </c>
      <c r="B730" s="144" t="s">
        <v>145</v>
      </c>
      <c r="C730" s="146" t="s">
        <v>108</v>
      </c>
      <c r="D730" s="146" t="s">
        <v>146</v>
      </c>
      <c r="E730" s="69"/>
      <c r="F730" s="108" t="s">
        <v>3959</v>
      </c>
      <c r="G730" s="109" t="s">
        <v>3974</v>
      </c>
      <c r="H730" s="119" t="s">
        <v>146</v>
      </c>
      <c r="I730" s="414">
        <v>45687.0</v>
      </c>
      <c r="J730" s="1083">
        <v>45722.0</v>
      </c>
      <c r="K730" s="215" t="s">
        <v>3967</v>
      </c>
      <c r="L730" s="108"/>
      <c r="M730" s="119" t="s">
        <v>3960</v>
      </c>
      <c r="N730" s="119" t="s">
        <v>3961</v>
      </c>
      <c r="O730" s="534">
        <v>1.0</v>
      </c>
      <c r="P730" s="119" t="str">
        <f t="shared" si="37"/>
        <v>10.1111--j.1467-9280.2008.02157.x.pdf</v>
      </c>
      <c r="Q730" s="49" t="str">
        <f t="array" ref="Q730"> if(iserror(MATCH(V730, 'File Links'!C:C, 0)), "N/A", HYPERLINK(INDEX('File Links'!B:B, MATCH(P730, 'File Links'!C:C, 0))))</f>
        <v>https://drive.google.com/file/d/1VNZVfi392roXkffFia5wqQeCQjwEpyCc/view?usp=drivesdk</v>
      </c>
      <c r="R730" s="119" t="s">
        <v>3646</v>
      </c>
      <c r="S730" s="119" t="s">
        <v>3647</v>
      </c>
      <c r="T730" s="777" t="s">
        <v>3962</v>
      </c>
      <c r="U730" s="153">
        <v>1.0</v>
      </c>
      <c r="V730" s="119" t="str">
        <f t="shared" si="40"/>
        <v>10.1098--rsos.231240.pdf</v>
      </c>
      <c r="W730" s="119" t="s">
        <v>3689</v>
      </c>
      <c r="X730" s="51" t="str">
        <f t="array" ref="X730"> if(iserror(MATCH(V730, 'File Links'!C:C, 0)), "N/A", HYPERLINK(INDEX('File Links'!B:B, MATCH(V730, 'File Links'!C:C, 0))))</f>
        <v>https://drive.google.com/file/d/17gaf2Zy_ljFfcAEDk5L8GBnTl5i7RGJE/view?usp=drivesdk</v>
      </c>
      <c r="Y730" s="108"/>
      <c r="Z730" s="119" t="s">
        <v>141</v>
      </c>
      <c r="AA730" s="119" t="s">
        <v>3968</v>
      </c>
      <c r="AB730" s="215" t="s">
        <v>3969</v>
      </c>
      <c r="AC730" s="119" t="s">
        <v>3975</v>
      </c>
      <c r="AD730" s="119" t="s">
        <v>3976</v>
      </c>
      <c r="AE730" s="1106">
        <v>5.0</v>
      </c>
      <c r="AF730" s="534">
        <v>48.0</v>
      </c>
      <c r="AG730" s="1106">
        <v>0.2</v>
      </c>
      <c r="AH730" s="534" t="s">
        <v>867</v>
      </c>
      <c r="AI730" s="1106" t="s">
        <v>806</v>
      </c>
      <c r="AJ730" s="1107">
        <v>0.001</v>
      </c>
      <c r="AK730" s="109" t="s">
        <v>165</v>
      </c>
      <c r="AL730" s="109" t="s">
        <v>179</v>
      </c>
      <c r="AM730" s="119" t="s">
        <v>134</v>
      </c>
      <c r="AN730" s="814" t="s">
        <v>131</v>
      </c>
      <c r="AO730" s="534">
        <v>23.0</v>
      </c>
      <c r="AP730" s="1108">
        <v>0.008920207</v>
      </c>
      <c r="AQ730" s="153" t="s">
        <v>867</v>
      </c>
      <c r="AR730" s="1109" t="s">
        <v>3977</v>
      </c>
      <c r="AS730" s="153">
        <v>0.144231002</v>
      </c>
      <c r="AT730" s="119" t="s">
        <v>165</v>
      </c>
      <c r="AU730" s="119" t="s">
        <v>179</v>
      </c>
      <c r="AV730" s="119" t="s">
        <v>134</v>
      </c>
      <c r="AW730" s="653" t="s">
        <v>3973</v>
      </c>
      <c r="AX730" s="108" t="s">
        <v>144</v>
      </c>
      <c r="AY730" s="69"/>
      <c r="AZ730" s="144" t="s">
        <v>3756</v>
      </c>
    </row>
    <row r="731" ht="20.25" customHeight="1">
      <c r="A731" s="41">
        <v>731.0</v>
      </c>
      <c r="B731" s="144" t="s">
        <v>145</v>
      </c>
      <c r="C731" s="146" t="s">
        <v>108</v>
      </c>
      <c r="D731" s="146" t="s">
        <v>146</v>
      </c>
      <c r="E731" s="69"/>
      <c r="F731" s="108" t="s">
        <v>3959</v>
      </c>
      <c r="G731" s="109" t="s">
        <v>3978</v>
      </c>
      <c r="H731" s="119" t="s">
        <v>146</v>
      </c>
      <c r="I731" s="414">
        <v>45687.0</v>
      </c>
      <c r="J731" s="1083">
        <v>45722.0</v>
      </c>
      <c r="K731" s="215" t="s">
        <v>3967</v>
      </c>
      <c r="L731" s="108"/>
      <c r="M731" s="119" t="s">
        <v>3960</v>
      </c>
      <c r="N731" s="119" t="s">
        <v>3961</v>
      </c>
      <c r="O731" s="534">
        <v>1.0</v>
      </c>
      <c r="P731" s="119" t="str">
        <f t="shared" si="37"/>
        <v>10.1111--j.1467-9280.2008.02157.x.pdf</v>
      </c>
      <c r="Q731" s="49" t="str">
        <f t="array" ref="Q731"> if(iserror(MATCH(V731, 'File Links'!C:C, 0)), "N/A", HYPERLINK(INDEX('File Links'!B:B, MATCH(P731, 'File Links'!C:C, 0))))</f>
        <v>https://drive.google.com/file/d/1VNZVfi392roXkffFia5wqQeCQjwEpyCc/view?usp=drivesdk</v>
      </c>
      <c r="R731" s="119" t="s">
        <v>3646</v>
      </c>
      <c r="S731" s="119" t="s">
        <v>3647</v>
      </c>
      <c r="T731" s="777" t="s">
        <v>3962</v>
      </c>
      <c r="U731" s="153">
        <v>1.0</v>
      </c>
      <c r="V731" s="119" t="str">
        <f t="shared" si="40"/>
        <v>10.1098--rsos.231240.pdf</v>
      </c>
      <c r="W731" s="119" t="s">
        <v>3689</v>
      </c>
      <c r="X731" s="51" t="str">
        <f t="array" ref="X731"> if(iserror(MATCH(V731, 'File Links'!C:C, 0)), "N/A", HYPERLINK(INDEX('File Links'!B:B, MATCH(V731, 'File Links'!C:C, 0))))</f>
        <v>https://drive.google.com/file/d/17gaf2Zy_ljFfcAEDk5L8GBnTl5i7RGJE/view?usp=drivesdk</v>
      </c>
      <c r="Y731" s="108"/>
      <c r="Z731" s="119" t="s">
        <v>141</v>
      </c>
      <c r="AA731" s="119" t="s">
        <v>3968</v>
      </c>
      <c r="AB731" s="215" t="s">
        <v>3969</v>
      </c>
      <c r="AC731" s="119" t="s">
        <v>3979</v>
      </c>
      <c r="AD731" s="119" t="s">
        <v>3980</v>
      </c>
      <c r="AE731" s="1106">
        <v>5.0</v>
      </c>
      <c r="AF731" s="534">
        <v>48.0</v>
      </c>
      <c r="AG731" s="1106">
        <v>0.1</v>
      </c>
      <c r="AH731" s="534" t="s">
        <v>867</v>
      </c>
      <c r="AI731" s="1106" t="s">
        <v>806</v>
      </c>
      <c r="AJ731" s="1107">
        <v>0.03</v>
      </c>
      <c r="AK731" s="109" t="s">
        <v>165</v>
      </c>
      <c r="AL731" s="109" t="s">
        <v>179</v>
      </c>
      <c r="AM731" s="119" t="s">
        <v>134</v>
      </c>
      <c r="AN731" s="814" t="s">
        <v>131</v>
      </c>
      <c r="AO731" s="534">
        <v>23.0</v>
      </c>
      <c r="AP731" s="1108">
        <v>0.004606713</v>
      </c>
      <c r="AQ731" s="153" t="s">
        <v>867</v>
      </c>
      <c r="AR731" s="1109" t="s">
        <v>3981</v>
      </c>
      <c r="AS731" s="153">
        <v>0.371</v>
      </c>
      <c r="AT731" s="119" t="s">
        <v>165</v>
      </c>
      <c r="AU731" s="119" t="s">
        <v>179</v>
      </c>
      <c r="AV731" s="119" t="s">
        <v>134</v>
      </c>
      <c r="AW731" s="653" t="s">
        <v>3973</v>
      </c>
      <c r="AX731" s="108" t="s">
        <v>144</v>
      </c>
      <c r="AY731" s="69"/>
      <c r="AZ731" s="144" t="s">
        <v>3756</v>
      </c>
      <c r="BA731" s="186"/>
    </row>
    <row r="732" ht="20.25" customHeight="1">
      <c r="A732" s="41">
        <v>732.0</v>
      </c>
      <c r="B732" s="144" t="s">
        <v>145</v>
      </c>
      <c r="C732" s="146" t="s">
        <v>108</v>
      </c>
      <c r="D732" s="146" t="s">
        <v>146</v>
      </c>
      <c r="E732" s="69"/>
      <c r="F732" s="108" t="s">
        <v>3959</v>
      </c>
      <c r="G732" s="109" t="s">
        <v>3982</v>
      </c>
      <c r="H732" s="119" t="s">
        <v>146</v>
      </c>
      <c r="I732" s="414">
        <v>45687.0</v>
      </c>
      <c r="J732" s="1083">
        <v>45722.0</v>
      </c>
      <c r="K732" s="215" t="s">
        <v>3967</v>
      </c>
      <c r="L732" s="108"/>
      <c r="M732" s="119" t="s">
        <v>3960</v>
      </c>
      <c r="N732" s="119" t="s">
        <v>3961</v>
      </c>
      <c r="O732" s="534">
        <v>1.0</v>
      </c>
      <c r="P732" s="119" t="str">
        <f t="shared" si="37"/>
        <v>10.1111--j.1467-9280.2008.02157.x.pdf</v>
      </c>
      <c r="Q732" s="49" t="str">
        <f t="array" ref="Q732"> if(iserror(MATCH(V732, 'File Links'!C:C, 0)), "N/A", HYPERLINK(INDEX('File Links'!B:B, MATCH(P732, 'File Links'!C:C, 0))))</f>
        <v>https://drive.google.com/file/d/1VNZVfi392roXkffFia5wqQeCQjwEpyCc/view?usp=drivesdk</v>
      </c>
      <c r="R732" s="119" t="s">
        <v>3646</v>
      </c>
      <c r="S732" s="119" t="s">
        <v>3647</v>
      </c>
      <c r="T732" s="777" t="s">
        <v>3962</v>
      </c>
      <c r="U732" s="153">
        <v>1.0</v>
      </c>
      <c r="V732" s="119" t="str">
        <f t="shared" si="40"/>
        <v>10.1098--rsos.231240.pdf</v>
      </c>
      <c r="W732" s="119" t="s">
        <v>3689</v>
      </c>
      <c r="X732" s="51" t="str">
        <f t="array" ref="X732"> if(iserror(MATCH(V732, 'File Links'!C:C, 0)), "N/A", HYPERLINK(INDEX('File Links'!B:B, MATCH(V732, 'File Links'!C:C, 0))))</f>
        <v>https://drive.google.com/file/d/17gaf2Zy_ljFfcAEDk5L8GBnTl5i7RGJE/view?usp=drivesdk</v>
      </c>
      <c r="Y732" s="108"/>
      <c r="Z732" s="119" t="s">
        <v>141</v>
      </c>
      <c r="AA732" s="119" t="s">
        <v>3968</v>
      </c>
      <c r="AB732" s="215" t="s">
        <v>3969</v>
      </c>
      <c r="AC732" s="119" t="s">
        <v>3983</v>
      </c>
      <c r="AD732" s="119" t="s">
        <v>3984</v>
      </c>
      <c r="AE732" s="1106">
        <v>5.0</v>
      </c>
      <c r="AF732" s="534">
        <v>48.0</v>
      </c>
      <c r="AG732" s="1106">
        <v>0.2</v>
      </c>
      <c r="AH732" s="534" t="s">
        <v>867</v>
      </c>
      <c r="AI732" s="1106" t="s">
        <v>806</v>
      </c>
      <c r="AJ732" s="1107">
        <v>0.001</v>
      </c>
      <c r="AK732" s="109" t="s">
        <v>165</v>
      </c>
      <c r="AL732" s="109" t="s">
        <v>179</v>
      </c>
      <c r="AM732" s="119" t="s">
        <v>134</v>
      </c>
      <c r="AN732" s="814" t="s">
        <v>131</v>
      </c>
      <c r="AO732" s="534">
        <v>23.0</v>
      </c>
      <c r="AP732" s="333">
        <v>0.025</v>
      </c>
      <c r="AQ732" s="153" t="s">
        <v>867</v>
      </c>
      <c r="AR732" s="1109" t="s">
        <v>3985</v>
      </c>
      <c r="AS732" s="153">
        <v>0.141</v>
      </c>
      <c r="AT732" s="119" t="s">
        <v>165</v>
      </c>
      <c r="AU732" s="119" t="s">
        <v>179</v>
      </c>
      <c r="AV732" s="119" t="s">
        <v>134</v>
      </c>
      <c r="AW732" s="653" t="s">
        <v>3973</v>
      </c>
      <c r="AX732" s="108" t="s">
        <v>144</v>
      </c>
      <c r="AY732" s="69"/>
      <c r="AZ732" s="144" t="s">
        <v>3756</v>
      </c>
      <c r="BA732" s="1110"/>
      <c r="BB732" s="1110"/>
      <c r="BC732" s="1110"/>
      <c r="BD732" s="1110"/>
      <c r="BE732" s="1110"/>
      <c r="BF732" s="1110"/>
      <c r="BG732" s="1110"/>
      <c r="BH732" s="1110"/>
      <c r="BI732" s="1110"/>
      <c r="BJ732" s="1110"/>
      <c r="BK732" s="1110"/>
      <c r="BL732" s="1110"/>
      <c r="BM732" s="1110"/>
      <c r="BN732" s="1110"/>
      <c r="BO732" s="1110"/>
      <c r="BP732" s="1110"/>
      <c r="BQ732" s="1110"/>
      <c r="BR732" s="1110"/>
      <c r="BS732" s="1110"/>
      <c r="BT732" s="1110"/>
      <c r="BU732" s="1110"/>
      <c r="BV732" s="1110"/>
      <c r="BW732" s="1110"/>
      <c r="BX732" s="1110"/>
      <c r="BY732" s="1110"/>
      <c r="BZ732" s="1110"/>
      <c r="CA732" s="1110"/>
      <c r="CB732" s="1110"/>
      <c r="CC732" s="1110"/>
      <c r="CD732" s="1110"/>
      <c r="CE732" s="1110"/>
      <c r="CF732" s="1110"/>
      <c r="CG732" s="1110"/>
      <c r="CH732" s="1110"/>
      <c r="CI732" s="1110"/>
      <c r="CJ732" s="1110"/>
      <c r="CK732" s="1110"/>
      <c r="CL732" s="1110"/>
      <c r="CM732" s="1110"/>
      <c r="CN732" s="1110"/>
      <c r="CO732" s="1110"/>
      <c r="CP732" s="1110"/>
      <c r="CQ732" s="1110"/>
      <c r="CR732" s="1110"/>
      <c r="CS732" s="1110"/>
      <c r="CT732" s="1110"/>
      <c r="CU732" s="1110"/>
      <c r="CV732" s="1110"/>
      <c r="CW732" s="1110"/>
      <c r="CX732" s="1110"/>
      <c r="CY732" s="1110"/>
      <c r="CZ732" s="1110"/>
      <c r="DA732" s="1110"/>
      <c r="DB732" s="1110"/>
      <c r="DC732" s="1110"/>
    </row>
    <row r="733" ht="20.25" customHeight="1">
      <c r="A733" s="41">
        <v>733.0</v>
      </c>
      <c r="B733" s="144" t="s">
        <v>145</v>
      </c>
      <c r="C733" s="146" t="s">
        <v>108</v>
      </c>
      <c r="D733" s="146" t="s">
        <v>146</v>
      </c>
      <c r="E733" s="69"/>
      <c r="F733" s="108" t="s">
        <v>3959</v>
      </c>
      <c r="G733" s="109" t="s">
        <v>3986</v>
      </c>
      <c r="H733" s="119" t="s">
        <v>146</v>
      </c>
      <c r="I733" s="414">
        <v>45687.0</v>
      </c>
      <c r="J733" s="1083">
        <v>45722.0</v>
      </c>
      <c r="K733" s="215" t="s">
        <v>3967</v>
      </c>
      <c r="L733" s="108"/>
      <c r="M733" s="119" t="s">
        <v>3960</v>
      </c>
      <c r="N733" s="119" t="s">
        <v>3961</v>
      </c>
      <c r="O733" s="534">
        <v>1.0</v>
      </c>
      <c r="P733" s="119" t="str">
        <f t="shared" si="37"/>
        <v>10.1111--j.1467-9280.2008.02157.x.pdf</v>
      </c>
      <c r="Q733" s="49" t="str">
        <f t="array" ref="Q733"> if(iserror(MATCH(V733, 'File Links'!C:C, 0)), "N/A", HYPERLINK(INDEX('File Links'!B:B, MATCH(P733, 'File Links'!C:C, 0))))</f>
        <v>https://drive.google.com/file/d/1VNZVfi392roXkffFia5wqQeCQjwEpyCc/view?usp=drivesdk</v>
      </c>
      <c r="R733" s="119" t="s">
        <v>3646</v>
      </c>
      <c r="S733" s="119" t="s">
        <v>3647</v>
      </c>
      <c r="T733" s="777" t="s">
        <v>3962</v>
      </c>
      <c r="U733" s="153">
        <v>1.0</v>
      </c>
      <c r="V733" s="119" t="str">
        <f t="shared" si="40"/>
        <v>10.1098--rsos.231240.pdf</v>
      </c>
      <c r="W733" s="119" t="s">
        <v>3689</v>
      </c>
      <c r="X733" s="51" t="str">
        <f t="array" ref="X733"> if(iserror(MATCH(V733, 'File Links'!C:C, 0)), "N/A", HYPERLINK(INDEX('File Links'!B:B, MATCH(V733, 'File Links'!C:C, 0))))</f>
        <v>https://drive.google.com/file/d/17gaf2Zy_ljFfcAEDk5L8GBnTl5i7RGJE/view?usp=drivesdk</v>
      </c>
      <c r="Y733" s="108"/>
      <c r="Z733" s="119" t="s">
        <v>141</v>
      </c>
      <c r="AA733" s="119" t="s">
        <v>3968</v>
      </c>
      <c r="AB733" s="215" t="s">
        <v>3969</v>
      </c>
      <c r="AC733" s="119" t="s">
        <v>3987</v>
      </c>
      <c r="AD733" s="119" t="s">
        <v>3988</v>
      </c>
      <c r="AE733" s="1106">
        <v>5.0</v>
      </c>
      <c r="AF733" s="534">
        <v>48.0</v>
      </c>
      <c r="AG733" s="144" t="s">
        <v>131</v>
      </c>
      <c r="AH733" s="164" t="s">
        <v>131</v>
      </c>
      <c r="AI733" s="1106" t="s">
        <v>806</v>
      </c>
      <c r="AJ733" s="1107">
        <v>0.1</v>
      </c>
      <c r="AK733" s="109" t="s">
        <v>328</v>
      </c>
      <c r="AL733" s="109" t="s">
        <v>179</v>
      </c>
      <c r="AM733" s="119" t="s">
        <v>134</v>
      </c>
      <c r="AN733" s="814" t="s">
        <v>131</v>
      </c>
      <c r="AO733" s="534">
        <v>23.0</v>
      </c>
      <c r="AP733" s="1111">
        <v>0.001</v>
      </c>
      <c r="AQ733" s="153" t="s">
        <v>867</v>
      </c>
      <c r="AR733" s="1109" t="s">
        <v>3989</v>
      </c>
      <c r="AS733" s="153">
        <v>0.761</v>
      </c>
      <c r="AT733" s="119" t="s">
        <v>165</v>
      </c>
      <c r="AU733" s="119" t="s">
        <v>179</v>
      </c>
      <c r="AV733" s="119" t="s">
        <v>134</v>
      </c>
      <c r="AW733" s="653" t="s">
        <v>3973</v>
      </c>
      <c r="AX733" s="108" t="s">
        <v>144</v>
      </c>
      <c r="AY733" s="69"/>
      <c r="AZ733" s="144" t="s">
        <v>3756</v>
      </c>
      <c r="BA733" s="1110"/>
      <c r="BB733" s="1110"/>
      <c r="BC733" s="1110"/>
      <c r="BD733" s="1110"/>
      <c r="BE733" s="1110"/>
      <c r="BF733" s="1110"/>
      <c r="BG733" s="1110"/>
      <c r="BH733" s="1110"/>
      <c r="BI733" s="1110"/>
      <c r="BJ733" s="1110"/>
      <c r="BK733" s="1110"/>
      <c r="BL733" s="1110"/>
      <c r="BM733" s="1110"/>
      <c r="BN733" s="1110"/>
      <c r="BO733" s="1110"/>
      <c r="BP733" s="1110"/>
      <c r="BQ733" s="1110"/>
      <c r="BR733" s="1110"/>
      <c r="BS733" s="1110"/>
      <c r="BT733" s="1110"/>
      <c r="BU733" s="1110"/>
      <c r="BV733" s="1110"/>
      <c r="BW733" s="1110"/>
      <c r="BX733" s="1110"/>
      <c r="BY733" s="1110"/>
      <c r="BZ733" s="1110"/>
      <c r="CA733" s="1110"/>
      <c r="CB733" s="1110"/>
      <c r="CC733" s="1110"/>
      <c r="CD733" s="1110"/>
      <c r="CE733" s="1110"/>
      <c r="CF733" s="1110"/>
      <c r="CG733" s="1110"/>
      <c r="CH733" s="1110"/>
      <c r="CI733" s="1110"/>
      <c r="CJ733" s="1110"/>
      <c r="CK733" s="1110"/>
      <c r="CL733" s="1110"/>
      <c r="CM733" s="1110"/>
      <c r="CN733" s="1110"/>
      <c r="CO733" s="1110"/>
      <c r="CP733" s="1110"/>
      <c r="CQ733" s="1110"/>
      <c r="CR733" s="1110"/>
      <c r="CS733" s="1110"/>
      <c r="CT733" s="1110"/>
      <c r="CU733" s="1110"/>
      <c r="CV733" s="1110"/>
      <c r="CW733" s="1110"/>
      <c r="CX733" s="1110"/>
      <c r="CY733" s="1110"/>
      <c r="CZ733" s="1110"/>
      <c r="DA733" s="1110"/>
      <c r="DB733" s="1110"/>
      <c r="DC733" s="1110"/>
    </row>
    <row r="734" ht="20.25" customHeight="1">
      <c r="A734" s="41">
        <v>734.0</v>
      </c>
      <c r="B734" s="126" t="s">
        <v>145</v>
      </c>
      <c r="C734" s="59" t="s">
        <v>108</v>
      </c>
      <c r="D734" s="59" t="s">
        <v>241</v>
      </c>
      <c r="F734" s="156" t="s">
        <v>3990</v>
      </c>
      <c r="G734" s="54" t="s">
        <v>3991</v>
      </c>
      <c r="H734" s="156" t="s">
        <v>242</v>
      </c>
      <c r="I734" s="149">
        <v>45669.0</v>
      </c>
      <c r="J734" s="149">
        <v>45692.0</v>
      </c>
      <c r="K734" s="434" t="s">
        <v>3992</v>
      </c>
      <c r="L734" s="148" t="s">
        <v>3993</v>
      </c>
      <c r="M734" s="156" t="s">
        <v>3994</v>
      </c>
      <c r="N734" s="156" t="s">
        <v>3995</v>
      </c>
      <c r="O734" s="126">
        <v>2.0</v>
      </c>
      <c r="P734" s="156" t="str">
        <f t="shared" si="37"/>
        <v>10.3758--s13428-021-01694-3.pdf</v>
      </c>
      <c r="Q734" s="49" t="str">
        <f t="array" ref="Q734"> if(iserror(MATCH(V734, 'File Links'!C:C, 0)), "N/A", HYPERLINK(INDEX('File Links'!B:B, MATCH(P734, 'File Links'!C:C, 0))))</f>
        <v>https://drive.google.com/file/d/1pWRSPkrpkB4P8JrAypP4cdltGfovv0wT/view?usp=drivesdk</v>
      </c>
      <c r="R734" s="156" t="s">
        <v>3646</v>
      </c>
      <c r="S734" s="156" t="s">
        <v>3647</v>
      </c>
      <c r="T734" s="438" t="s">
        <v>3996</v>
      </c>
      <c r="U734" s="153">
        <v>1.0</v>
      </c>
      <c r="V734" s="195" t="str">
        <f t="shared" si="40"/>
        <v>10.1098--rsos.231240.pdf</v>
      </c>
      <c r="W734" s="1112" t="s">
        <v>3800</v>
      </c>
      <c r="X734" s="51" t="str">
        <f t="array" ref="X734"> if(iserror(MATCH(V734, 'File Links'!C:C, 0)), "N/A", HYPERLINK(INDEX('File Links'!B:B, MATCH(V734, 'File Links'!C:C, 0))))</f>
        <v>https://drive.google.com/file/d/17gaf2Zy_ljFfcAEDk5L8GBnTl5i7RGJE/view?usp=drivesdk</v>
      </c>
      <c r="Y734" s="65"/>
      <c r="Z734" s="156" t="s">
        <v>141</v>
      </c>
      <c r="AA734" s="1113" t="s">
        <v>3997</v>
      </c>
      <c r="AB734" s="1112" t="s">
        <v>3998</v>
      </c>
      <c r="AC734" s="65"/>
      <c r="AD734" s="1113" t="s">
        <v>3999</v>
      </c>
      <c r="AE734" s="1114" t="s">
        <v>4000</v>
      </c>
      <c r="AF734" s="158">
        <v>972.0</v>
      </c>
      <c r="AG734" s="158">
        <v>0.869</v>
      </c>
      <c r="AH734" s="156" t="s">
        <v>166</v>
      </c>
      <c r="AI734" s="1113" t="s">
        <v>4001</v>
      </c>
      <c r="AJ734" s="158" t="s">
        <v>131</v>
      </c>
      <c r="AK734" s="148" t="s">
        <v>131</v>
      </c>
      <c r="AL734" s="54" t="s">
        <v>179</v>
      </c>
      <c r="AM734" s="156" t="s">
        <v>130</v>
      </c>
      <c r="AN734" s="1115" t="s">
        <v>4002</v>
      </c>
      <c r="AO734" s="158">
        <v>108.0</v>
      </c>
      <c r="AP734" s="158">
        <v>0.751</v>
      </c>
      <c r="AQ734" s="156" t="s">
        <v>166</v>
      </c>
      <c r="AR734" s="126" t="s">
        <v>4003</v>
      </c>
      <c r="AS734" s="498" t="s">
        <v>131</v>
      </c>
      <c r="AT734" s="148" t="s">
        <v>131</v>
      </c>
      <c r="AU734" s="156" t="s">
        <v>179</v>
      </c>
      <c r="AV734" s="156" t="s">
        <v>130</v>
      </c>
      <c r="AW734" s="1116" t="s">
        <v>4004</v>
      </c>
      <c r="AX734" s="156" t="s">
        <v>136</v>
      </c>
      <c r="AZ734" s="126" t="s">
        <v>3673</v>
      </c>
    </row>
    <row r="735" ht="20.25" customHeight="1">
      <c r="A735" s="41">
        <v>735.0</v>
      </c>
      <c r="B735" s="126" t="s">
        <v>145</v>
      </c>
      <c r="C735" s="59" t="s">
        <v>108</v>
      </c>
      <c r="D735" s="59" t="s">
        <v>241</v>
      </c>
      <c r="F735" s="156" t="s">
        <v>3990</v>
      </c>
      <c r="G735" s="54" t="s">
        <v>3991</v>
      </c>
      <c r="H735" s="156" t="s">
        <v>242</v>
      </c>
      <c r="I735" s="149">
        <v>45669.0</v>
      </c>
      <c r="J735" s="149">
        <v>45692.0</v>
      </c>
      <c r="K735" s="434" t="s">
        <v>3992</v>
      </c>
      <c r="L735" s="148" t="s">
        <v>3993</v>
      </c>
      <c r="M735" s="156" t="s">
        <v>3994</v>
      </c>
      <c r="N735" s="156" t="s">
        <v>3995</v>
      </c>
      <c r="O735" s="126">
        <v>2.0</v>
      </c>
      <c r="P735" s="156" t="str">
        <f t="shared" si="37"/>
        <v>10.3758--s13428-021-01694-3.pdf</v>
      </c>
      <c r="Q735" s="49" t="str">
        <f t="array" ref="Q735"> if(iserror(MATCH(V735, 'File Links'!C:C, 0)), "N/A", HYPERLINK(INDEX('File Links'!B:B, MATCH(P735, 'File Links'!C:C, 0))))</f>
        <v>https://drive.google.com/file/d/1pWRSPkrpkB4P8JrAypP4cdltGfovv0wT/view?usp=drivesdk</v>
      </c>
      <c r="R735" s="156" t="s">
        <v>3646</v>
      </c>
      <c r="S735" s="156" t="s">
        <v>3647</v>
      </c>
      <c r="T735" s="438" t="s">
        <v>3996</v>
      </c>
      <c r="U735" s="153">
        <v>1.0</v>
      </c>
      <c r="V735" s="195" t="str">
        <f t="shared" si="40"/>
        <v>10.1098--rsos.231240.pdf</v>
      </c>
      <c r="W735" s="1112" t="s">
        <v>3800</v>
      </c>
      <c r="X735" s="51" t="str">
        <f t="array" ref="X735"> if(iserror(MATCH(V735, 'File Links'!C:C, 0)), "N/A", HYPERLINK(INDEX('File Links'!B:B, MATCH(V735, 'File Links'!C:C, 0))))</f>
        <v>https://drive.google.com/file/d/17gaf2Zy_ljFfcAEDk5L8GBnTl5i7RGJE/view?usp=drivesdk</v>
      </c>
      <c r="Y735" s="65"/>
      <c r="Z735" s="156" t="s">
        <v>141</v>
      </c>
      <c r="AA735" s="1113" t="s">
        <v>4005</v>
      </c>
      <c r="AB735" s="1112" t="s">
        <v>3998</v>
      </c>
      <c r="AC735" s="65"/>
      <c r="AD735" s="1113" t="s">
        <v>4006</v>
      </c>
      <c r="AE735" s="1114" t="s">
        <v>4000</v>
      </c>
      <c r="AF735" s="158">
        <v>661.0</v>
      </c>
      <c r="AG735" s="158">
        <v>0.792</v>
      </c>
      <c r="AH735" s="156" t="s">
        <v>166</v>
      </c>
      <c r="AI735" s="1113" t="s">
        <v>4007</v>
      </c>
      <c r="AJ735" s="158" t="s">
        <v>131</v>
      </c>
      <c r="AK735" s="148" t="s">
        <v>131</v>
      </c>
      <c r="AL735" s="54" t="s">
        <v>179</v>
      </c>
      <c r="AM735" s="156" t="s">
        <v>130</v>
      </c>
      <c r="AN735" s="1115" t="s">
        <v>4002</v>
      </c>
      <c r="AO735" s="158">
        <v>108.0</v>
      </c>
      <c r="AP735" s="1117">
        <v>-0.4249782071450829</v>
      </c>
      <c r="AQ735" s="156" t="s">
        <v>166</v>
      </c>
      <c r="AR735" s="126" t="s">
        <v>4008</v>
      </c>
      <c r="AS735" s="498" t="s">
        <v>131</v>
      </c>
      <c r="AT735" s="148" t="s">
        <v>131</v>
      </c>
      <c r="AU735" s="156" t="s">
        <v>179</v>
      </c>
      <c r="AV735" s="156" t="s">
        <v>130</v>
      </c>
      <c r="AW735" s="1116" t="s">
        <v>4004</v>
      </c>
      <c r="AX735" s="156" t="s">
        <v>136</v>
      </c>
      <c r="AZ735" s="126" t="s">
        <v>3673</v>
      </c>
    </row>
    <row r="736" ht="20.25" customHeight="1">
      <c r="A736" s="41">
        <v>736.0</v>
      </c>
      <c r="B736" s="65" t="s">
        <v>107</v>
      </c>
      <c r="C736" s="59" t="s">
        <v>108</v>
      </c>
      <c r="D736" s="59" t="s">
        <v>146</v>
      </c>
      <c r="F736" s="65" t="s">
        <v>3991</v>
      </c>
      <c r="G736" s="54" t="s">
        <v>3990</v>
      </c>
      <c r="H736" s="156" t="s">
        <v>146</v>
      </c>
      <c r="I736" s="149">
        <v>45687.0</v>
      </c>
      <c r="J736" s="149">
        <v>45692.0</v>
      </c>
      <c r="K736" s="1052" t="s">
        <v>4009</v>
      </c>
      <c r="L736" s="65"/>
      <c r="M736" s="156" t="s">
        <v>3994</v>
      </c>
      <c r="N736" s="156" t="s">
        <v>3995</v>
      </c>
      <c r="O736" s="153">
        <v>2.0</v>
      </c>
      <c r="P736" s="156" t="str">
        <f t="shared" si="37"/>
        <v>10.3758--s13428-021-01694-3.pdf</v>
      </c>
      <c r="Q736" s="49" t="str">
        <f t="array" ref="Q736"> if(iserror(MATCH(V736, 'File Links'!C:C, 0)), "N/A", HYPERLINK(INDEX('File Links'!B:B, MATCH(P736, 'File Links'!C:C, 0))))</f>
        <v>https://drive.google.com/file/d/1pWRSPkrpkB4P8JrAypP4cdltGfovv0wT/view?usp=drivesdk</v>
      </c>
      <c r="R736" s="156" t="s">
        <v>3646</v>
      </c>
      <c r="S736" s="156" t="s">
        <v>3647</v>
      </c>
      <c r="T736" s="65"/>
      <c r="U736" s="153">
        <v>1.0</v>
      </c>
      <c r="V736" s="195" t="str">
        <f t="shared" si="40"/>
        <v>10.1098--rsos.231240.pdf</v>
      </c>
      <c r="W736" s="156" t="s">
        <v>3800</v>
      </c>
      <c r="X736" s="51" t="str">
        <f t="array" ref="X736"> if(iserror(MATCH(V736, 'File Links'!C:C, 0)), "N/A", HYPERLINK(INDEX('File Links'!B:B, MATCH(V736, 'File Links'!C:C, 0))))</f>
        <v>https://drive.google.com/file/d/17gaf2Zy_ljFfcAEDk5L8GBnTl5i7RGJE/view?usp=drivesdk</v>
      </c>
      <c r="Y736" s="43"/>
      <c r="Z736" s="156" t="s">
        <v>141</v>
      </c>
      <c r="AA736" s="156" t="s">
        <v>4010</v>
      </c>
      <c r="AB736" s="156" t="s">
        <v>3998</v>
      </c>
      <c r="AC736" s="65"/>
      <c r="AD736" s="156" t="s">
        <v>4011</v>
      </c>
      <c r="AE736" s="153">
        <v>13.0</v>
      </c>
      <c r="AF736" s="153">
        <v>500.0</v>
      </c>
      <c r="AG736" s="153" t="s">
        <v>4012</v>
      </c>
      <c r="AH736" s="153" t="s">
        <v>127</v>
      </c>
      <c r="AI736" s="153" t="s">
        <v>429</v>
      </c>
      <c r="AJ736" s="706">
        <v>0.001</v>
      </c>
      <c r="AK736" s="54" t="s">
        <v>128</v>
      </c>
      <c r="AL736" s="54" t="s">
        <v>179</v>
      </c>
      <c r="AM736" s="156" t="s">
        <v>130</v>
      </c>
      <c r="AN736" s="590" t="s">
        <v>4002</v>
      </c>
      <c r="AO736" s="153">
        <v>235.0</v>
      </c>
      <c r="AP736" s="153" t="s">
        <v>4013</v>
      </c>
      <c r="AQ736" s="153" t="s">
        <v>127</v>
      </c>
      <c r="AR736" s="153" t="s">
        <v>4014</v>
      </c>
      <c r="AS736" s="153">
        <f>3.44*10^-6 </f>
        <v>0.00000344</v>
      </c>
      <c r="AT736" s="156" t="s">
        <v>165</v>
      </c>
      <c r="AU736" s="156" t="s">
        <v>179</v>
      </c>
      <c r="AV736" s="156" t="s">
        <v>130</v>
      </c>
      <c r="AW736" s="432" t="s">
        <v>4004</v>
      </c>
      <c r="AX736" s="65" t="s">
        <v>136</v>
      </c>
      <c r="AZ736" s="65" t="s">
        <v>146</v>
      </c>
    </row>
    <row r="737" ht="20.25" customHeight="1">
      <c r="A737" s="41">
        <v>737.0</v>
      </c>
      <c r="B737" s="108" t="s">
        <v>583</v>
      </c>
      <c r="C737" s="146" t="s">
        <v>108</v>
      </c>
      <c r="D737" s="146" t="s">
        <v>241</v>
      </c>
      <c r="E737" s="69"/>
      <c r="F737" s="119" t="s">
        <v>4015</v>
      </c>
      <c r="G737" s="109" t="s">
        <v>4016</v>
      </c>
      <c r="H737" s="119" t="s">
        <v>242</v>
      </c>
      <c r="I737" s="414">
        <v>45669.0</v>
      </c>
      <c r="J737" s="414">
        <v>45692.0</v>
      </c>
      <c r="K737" s="215" t="s">
        <v>4017</v>
      </c>
      <c r="L737" s="119" t="s">
        <v>4018</v>
      </c>
      <c r="M737" s="119" t="s">
        <v>4019</v>
      </c>
      <c r="N737" s="119" t="s">
        <v>4020</v>
      </c>
      <c r="O737" s="108"/>
      <c r="P737" s="119" t="str">
        <f t="shared" si="37"/>
        <v>10.1177--0956797617728270.pdf</v>
      </c>
      <c r="Q737" s="49" t="str">
        <f t="array" ref="Q737"> if(iserror(MATCH(V737, 'File Links'!C:C, 0)), "N/A", HYPERLINK(INDEX('File Links'!B:B, MATCH(P737, 'File Links'!C:C, 0))))</f>
        <v>https://drive.google.com/file/d/1Oz7Zj6fZnvvCizj-IHEQF-K0o27fi6QN/view?usp=drivesdk</v>
      </c>
      <c r="R737" s="119" t="s">
        <v>3646</v>
      </c>
      <c r="S737" s="119" t="s">
        <v>3647</v>
      </c>
      <c r="T737" s="108"/>
      <c r="U737" s="153">
        <v>1.0</v>
      </c>
      <c r="V737" s="119" t="str">
        <f t="shared" si="40"/>
        <v>10.1098--rsos.231240.pdf</v>
      </c>
      <c r="W737" s="119" t="s">
        <v>3797</v>
      </c>
      <c r="X737" s="51" t="str">
        <f t="array" ref="X737"> if(iserror(MATCH(V737, 'File Links'!C:C, 0)), "N/A", HYPERLINK(INDEX('File Links'!B:B, MATCH(V737, 'File Links'!C:C, 0))))</f>
        <v>https://drive.google.com/file/d/17gaf2Zy_ljFfcAEDk5L8GBnTl5i7RGJE/view?usp=drivesdk</v>
      </c>
      <c r="Y737" s="108"/>
      <c r="Z737" s="119" t="s">
        <v>219</v>
      </c>
      <c r="AA737" s="108"/>
      <c r="AB737" s="108"/>
      <c r="AC737" s="108"/>
      <c r="AD737" s="119" t="s">
        <v>4021</v>
      </c>
      <c r="AE737" s="534">
        <v>5.0</v>
      </c>
      <c r="AF737" s="534">
        <v>600.0</v>
      </c>
      <c r="AG737" s="534">
        <v>0.34</v>
      </c>
      <c r="AH737" s="755" t="s">
        <v>354</v>
      </c>
      <c r="AI737" s="119" t="s">
        <v>875</v>
      </c>
      <c r="AJ737" s="363">
        <v>0.007</v>
      </c>
      <c r="AK737" s="109" t="s">
        <v>165</v>
      </c>
      <c r="AL737" s="109" t="s">
        <v>179</v>
      </c>
      <c r="AM737" s="119" t="s">
        <v>134</v>
      </c>
      <c r="AN737" s="126" t="s">
        <v>131</v>
      </c>
      <c r="AO737" s="534">
        <v>224.0</v>
      </c>
      <c r="AP737" s="119" t="s">
        <v>131</v>
      </c>
      <c r="AQ737" s="108"/>
      <c r="AR737" s="108"/>
      <c r="AS737" s="119" t="s">
        <v>131</v>
      </c>
      <c r="AT737" s="108"/>
      <c r="AU737" s="119" t="s">
        <v>179</v>
      </c>
      <c r="AV737" s="119" t="s">
        <v>134</v>
      </c>
      <c r="AW737" s="108"/>
      <c r="AX737" s="119" t="s">
        <v>136</v>
      </c>
      <c r="AY737" s="69"/>
      <c r="AZ737" s="108" t="s">
        <v>146</v>
      </c>
      <c r="BA737" s="65"/>
      <c r="BB737" s="65"/>
      <c r="BC737" s="65"/>
      <c r="BD737" s="65"/>
    </row>
    <row r="738" ht="20.25" customHeight="1">
      <c r="A738" s="41">
        <v>738.0</v>
      </c>
      <c r="B738" s="108" t="s">
        <v>583</v>
      </c>
      <c r="C738" s="146" t="s">
        <v>108</v>
      </c>
      <c r="D738" s="146" t="s">
        <v>146</v>
      </c>
      <c r="E738" s="69"/>
      <c r="F738" s="108" t="s">
        <v>4016</v>
      </c>
      <c r="G738" s="109" t="s">
        <v>4022</v>
      </c>
      <c r="H738" s="119" t="s">
        <v>146</v>
      </c>
      <c r="I738" s="414">
        <v>45687.0</v>
      </c>
      <c r="J738" s="414">
        <v>45692.0</v>
      </c>
      <c r="K738" s="1118" t="s">
        <v>4023</v>
      </c>
      <c r="L738" s="119" t="s">
        <v>4018</v>
      </c>
      <c r="M738" s="119" t="s">
        <v>4019</v>
      </c>
      <c r="N738" s="119" t="s">
        <v>4020</v>
      </c>
      <c r="O738" s="534">
        <v>1.0</v>
      </c>
      <c r="P738" s="119" t="str">
        <f t="shared" si="37"/>
        <v>10.1177--0956797617728270.pdf</v>
      </c>
      <c r="Q738" s="49" t="str">
        <f t="array" ref="Q738"> if(iserror(MATCH(V738, 'File Links'!C:C, 0)), "N/A", HYPERLINK(INDEX('File Links'!B:B, MATCH(P738, 'File Links'!C:C, 0))))</f>
        <v>https://drive.google.com/file/d/1Oz7Zj6fZnvvCizj-IHEQF-K0o27fi6QN/view?usp=drivesdk</v>
      </c>
      <c r="R738" s="119" t="s">
        <v>3646</v>
      </c>
      <c r="S738" s="119" t="s">
        <v>3647</v>
      </c>
      <c r="T738" s="108"/>
      <c r="U738" s="153">
        <v>1.0</v>
      </c>
      <c r="V738" s="119" t="str">
        <f t="shared" si="40"/>
        <v>10.1098--rsos.231240.pdf</v>
      </c>
      <c r="W738" s="119" t="s">
        <v>3800</v>
      </c>
      <c r="X738" s="51" t="str">
        <f t="array" ref="X738"> if(iserror(MATCH(V738, 'File Links'!C:C, 0)), "N/A", HYPERLINK(INDEX('File Links'!B:B, MATCH(V738, 'File Links'!C:C, 0))))</f>
        <v>https://drive.google.com/file/d/17gaf2Zy_ljFfcAEDk5L8GBnTl5i7RGJE/view?usp=drivesdk</v>
      </c>
      <c r="Y738" s="108"/>
      <c r="Z738" s="119" t="s">
        <v>219</v>
      </c>
      <c r="AA738" s="119" t="s">
        <v>4024</v>
      </c>
      <c r="AB738" s="119" t="s">
        <v>4025</v>
      </c>
      <c r="AC738" s="119" t="s">
        <v>4026</v>
      </c>
      <c r="AD738" s="119" t="s">
        <v>4027</v>
      </c>
      <c r="AE738" s="534">
        <v>5.0</v>
      </c>
      <c r="AF738" s="534">
        <v>600.0</v>
      </c>
      <c r="AG738" s="534">
        <v>0.34</v>
      </c>
      <c r="AH738" s="534" t="s">
        <v>980</v>
      </c>
      <c r="AI738" s="534" t="s">
        <v>806</v>
      </c>
      <c r="AJ738" s="363">
        <v>0.007</v>
      </c>
      <c r="AK738" s="109" t="s">
        <v>165</v>
      </c>
      <c r="AL738" s="109" t="s">
        <v>179</v>
      </c>
      <c r="AM738" s="119" t="s">
        <v>134</v>
      </c>
      <c r="AN738" s="126" t="s">
        <v>131</v>
      </c>
      <c r="AO738" s="534">
        <v>224.0</v>
      </c>
      <c r="AP738" s="534">
        <v>0.37</v>
      </c>
      <c r="AQ738" s="534" t="s">
        <v>980</v>
      </c>
      <c r="AR738" s="108"/>
      <c r="AS738" s="534">
        <v>0.13</v>
      </c>
      <c r="AT738" s="119" t="s">
        <v>165</v>
      </c>
      <c r="AU738" s="119" t="s">
        <v>179</v>
      </c>
      <c r="AV738" s="119" t="s">
        <v>134</v>
      </c>
      <c r="AW738" s="653" t="s">
        <v>4028</v>
      </c>
      <c r="AX738" s="108" t="s">
        <v>136</v>
      </c>
      <c r="AY738" s="69"/>
      <c r="AZ738" s="108" t="s">
        <v>146</v>
      </c>
    </row>
    <row r="739" ht="20.25" customHeight="1">
      <c r="A739" s="41">
        <v>739.0</v>
      </c>
      <c r="B739" s="108" t="s">
        <v>107</v>
      </c>
      <c r="C739" s="146" t="s">
        <v>108</v>
      </c>
      <c r="D739" s="146" t="s">
        <v>146</v>
      </c>
      <c r="E739" s="69"/>
      <c r="F739" s="108" t="s">
        <v>4016</v>
      </c>
      <c r="G739" s="109" t="s">
        <v>4029</v>
      </c>
      <c r="H739" s="119" t="s">
        <v>146</v>
      </c>
      <c r="I739" s="414">
        <v>45687.0</v>
      </c>
      <c r="J739" s="414">
        <v>45692.0</v>
      </c>
      <c r="K739" s="1118" t="s">
        <v>4030</v>
      </c>
      <c r="L739" s="108"/>
      <c r="M739" s="119" t="s">
        <v>4019</v>
      </c>
      <c r="N739" s="119" t="s">
        <v>4020</v>
      </c>
      <c r="O739" s="534">
        <v>1.0</v>
      </c>
      <c r="P739" s="119" t="str">
        <f t="shared" si="37"/>
        <v>10.1177--0956797617728270.pdf</v>
      </c>
      <c r="Q739" s="49" t="str">
        <f t="array" ref="Q739"> if(iserror(MATCH(V739, 'File Links'!C:C, 0)), "N/A", HYPERLINK(INDEX('File Links'!B:B, MATCH(P739, 'File Links'!C:C, 0))))</f>
        <v>https://drive.google.com/file/d/1Oz7Zj6fZnvvCizj-IHEQF-K0o27fi6QN/view?usp=drivesdk</v>
      </c>
      <c r="R739" s="119" t="s">
        <v>3646</v>
      </c>
      <c r="S739" s="119" t="s">
        <v>3647</v>
      </c>
      <c r="T739" s="108"/>
      <c r="U739" s="153">
        <v>1.0</v>
      </c>
      <c r="V739" s="119" t="str">
        <f t="shared" si="40"/>
        <v>10.1098--rsos.231240.pdf</v>
      </c>
      <c r="W739" s="119" t="s">
        <v>3800</v>
      </c>
      <c r="X739" s="51" t="str">
        <f t="array" ref="X739"> if(iserror(MATCH(V739, 'File Links'!C:C, 0)), "N/A", HYPERLINK(INDEX('File Links'!B:B, MATCH(V739, 'File Links'!C:C, 0))))</f>
        <v>https://drive.google.com/file/d/17gaf2Zy_ljFfcAEDk5L8GBnTl5i7RGJE/view?usp=drivesdk</v>
      </c>
      <c r="Y739" s="108"/>
      <c r="Z739" s="119" t="s">
        <v>219</v>
      </c>
      <c r="AA739" s="119" t="s">
        <v>4024</v>
      </c>
      <c r="AB739" s="119" t="s">
        <v>4025</v>
      </c>
      <c r="AC739" s="119" t="s">
        <v>4031</v>
      </c>
      <c r="AD739" s="119" t="s">
        <v>4032</v>
      </c>
      <c r="AE739" s="1106">
        <v>5.0</v>
      </c>
      <c r="AF739" s="534">
        <v>600.0</v>
      </c>
      <c r="AG739" s="1106">
        <v>0.8</v>
      </c>
      <c r="AH739" s="534" t="s">
        <v>980</v>
      </c>
      <c r="AI739" s="1106" t="s">
        <v>806</v>
      </c>
      <c r="AJ739" s="1107">
        <v>0.001</v>
      </c>
      <c r="AK739" s="109" t="s">
        <v>128</v>
      </c>
      <c r="AL739" s="109" t="s">
        <v>179</v>
      </c>
      <c r="AM739" s="119" t="s">
        <v>134</v>
      </c>
      <c r="AN739" s="126" t="s">
        <v>131</v>
      </c>
      <c r="AO739" s="534">
        <v>224.0</v>
      </c>
      <c r="AP739" s="1106">
        <v>0.24</v>
      </c>
      <c r="AQ739" s="534" t="s">
        <v>980</v>
      </c>
      <c r="AR739" s="108"/>
      <c r="AS739" s="534">
        <v>0.21</v>
      </c>
      <c r="AT739" s="119" t="s">
        <v>165</v>
      </c>
      <c r="AU739" s="119" t="s">
        <v>129</v>
      </c>
      <c r="AV739" s="108" t="s">
        <v>130</v>
      </c>
      <c r="AW739" s="653" t="s">
        <v>4028</v>
      </c>
      <c r="AX739" s="108" t="s">
        <v>136</v>
      </c>
      <c r="AY739" s="69"/>
      <c r="AZ739" s="108" t="s">
        <v>146</v>
      </c>
      <c r="BA739" s="465"/>
    </row>
    <row r="740" ht="20.25" customHeight="1">
      <c r="A740" s="41">
        <v>740.0</v>
      </c>
      <c r="B740" s="187" t="s">
        <v>107</v>
      </c>
      <c r="C740" s="185" t="s">
        <v>108</v>
      </c>
      <c r="D740" s="185" t="s">
        <v>241</v>
      </c>
      <c r="E740" s="186"/>
      <c r="F740" s="195" t="s">
        <v>4033</v>
      </c>
      <c r="G740" s="55" t="s">
        <v>4034</v>
      </c>
      <c r="H740" s="195" t="s">
        <v>242</v>
      </c>
      <c r="I740" s="188">
        <v>45669.0</v>
      </c>
      <c r="J740" s="1083">
        <v>45722.0</v>
      </c>
      <c r="K740" s="366" t="s">
        <v>4035</v>
      </c>
      <c r="L740" s="195" t="s">
        <v>3683</v>
      </c>
      <c r="M740" s="195" t="s">
        <v>4036</v>
      </c>
      <c r="N740" s="195" t="s">
        <v>4037</v>
      </c>
      <c r="O740" s="187"/>
      <c r="P740" s="195" t="str">
        <f t="shared" si="37"/>
        <v>10.1073--pnas.1118373109.pdf</v>
      </c>
      <c r="Q740" s="49" t="str">
        <f t="array" ref="Q740"> if(iserror(MATCH(V740, 'File Links'!C:C, 0)), "N/A", HYPERLINK(INDEX('File Links'!B:B, MATCH(P740, 'File Links'!C:C, 0))))</f>
        <v>https://drive.google.com/file/d/1Q984rmQXqbwrrnMY-wB5jcpYKEpb-2Qg/view?usp=drivesdk</v>
      </c>
      <c r="R740" s="195" t="s">
        <v>3646</v>
      </c>
      <c r="S740" s="195" t="s">
        <v>3647</v>
      </c>
      <c r="T740" s="187"/>
      <c r="U740" s="153">
        <v>1.0</v>
      </c>
      <c r="V740" s="195" t="str">
        <f t="shared" si="40"/>
        <v>10.1098--rsos.231240.pdf</v>
      </c>
      <c r="W740" s="195" t="s">
        <v>3797</v>
      </c>
      <c r="X740" s="51" t="str">
        <f t="array" ref="X740"> if(iserror(MATCH(V740, 'File Links'!C:C, 0)), "N/A", HYPERLINK(INDEX('File Links'!B:B, MATCH(V740, 'File Links'!C:C, 0))))</f>
        <v>https://drive.google.com/file/d/17gaf2Zy_ljFfcAEDk5L8GBnTl5i7RGJE/view?usp=drivesdk</v>
      </c>
      <c r="Y740" s="187"/>
      <c r="Z740" s="195" t="s">
        <v>219</v>
      </c>
      <c r="AA740" s="187"/>
      <c r="AB740" s="187"/>
      <c r="AC740" s="187"/>
      <c r="AD740" s="195" t="s">
        <v>4038</v>
      </c>
      <c r="AE740" s="755">
        <v>4088.0</v>
      </c>
      <c r="AF740" s="755">
        <v>80.0</v>
      </c>
      <c r="AG740" s="755">
        <v>-0.24</v>
      </c>
      <c r="AH740" s="195" t="s">
        <v>980</v>
      </c>
      <c r="AI740" s="195" t="s">
        <v>4039</v>
      </c>
      <c r="AJ740" s="1119">
        <v>0.003</v>
      </c>
      <c r="AK740" s="55" t="s">
        <v>128</v>
      </c>
      <c r="AL740" s="55" t="s">
        <v>179</v>
      </c>
      <c r="AM740" s="195" t="s">
        <v>134</v>
      </c>
      <c r="AN740" s="126" t="s">
        <v>131</v>
      </c>
      <c r="AO740" s="755">
        <v>84.0</v>
      </c>
      <c r="AP740" s="195" t="s">
        <v>131</v>
      </c>
      <c r="AQ740" s="187"/>
      <c r="AR740" s="187"/>
      <c r="AS740" s="195" t="s">
        <v>131</v>
      </c>
      <c r="AT740" s="187"/>
      <c r="AU740" s="195" t="s">
        <v>179</v>
      </c>
      <c r="AV740" s="195" t="s">
        <v>134</v>
      </c>
      <c r="AW740" s="371" t="s">
        <v>131</v>
      </c>
      <c r="AX740" s="195" t="s">
        <v>136</v>
      </c>
      <c r="AY740" s="186"/>
      <c r="AZ740" s="371" t="s">
        <v>3756</v>
      </c>
      <c r="BA740" s="481"/>
    </row>
    <row r="741" ht="20.25" customHeight="1">
      <c r="A741" s="41">
        <v>741.0</v>
      </c>
      <c r="B741" s="371" t="s">
        <v>107</v>
      </c>
      <c r="C741" s="185" t="s">
        <v>108</v>
      </c>
      <c r="D741" s="185" t="s">
        <v>146</v>
      </c>
      <c r="E741" s="1060" t="s">
        <v>3913</v>
      </c>
      <c r="F741" s="195" t="s">
        <v>4033</v>
      </c>
      <c r="G741" s="55" t="s">
        <v>4034</v>
      </c>
      <c r="H741" s="701" t="s">
        <v>3914</v>
      </c>
      <c r="I741" s="188">
        <v>45669.0</v>
      </c>
      <c r="J741" s="1083">
        <v>45722.0</v>
      </c>
      <c r="K741" s="366" t="s">
        <v>4040</v>
      </c>
      <c r="L741" s="195" t="s">
        <v>3683</v>
      </c>
      <c r="M741" s="195" t="s">
        <v>4036</v>
      </c>
      <c r="N741" s="195" t="s">
        <v>4037</v>
      </c>
      <c r="O741" s="187"/>
      <c r="P741" s="195" t="str">
        <f t="shared" si="37"/>
        <v>10.1073--pnas.1118373109.pdf</v>
      </c>
      <c r="Q741" s="49" t="str">
        <f t="array" ref="Q741"> if(iserror(MATCH(V741, 'File Links'!C:C, 0)), "N/A", HYPERLINK(INDEX('File Links'!B:B, MATCH(P741, 'File Links'!C:C, 0))))</f>
        <v>https://drive.google.com/file/d/1Q984rmQXqbwrrnMY-wB5jcpYKEpb-2Qg/view?usp=drivesdk</v>
      </c>
      <c r="R741" s="195" t="s">
        <v>4041</v>
      </c>
      <c r="S741" s="195" t="s">
        <v>4042</v>
      </c>
      <c r="T741" s="187"/>
      <c r="U741" s="153">
        <v>1.0</v>
      </c>
      <c r="V741" s="195" t="s">
        <v>3651</v>
      </c>
      <c r="W741" s="195" t="s">
        <v>3797</v>
      </c>
      <c r="X741" s="51" t="str">
        <f t="array" ref="X741"> if(iserror(MATCH(V741, 'File Links'!C:C, 0)), "N/A", HYPERLINK(INDEX('File Links'!B:B, MATCH(V741, 'File Links'!C:C, 0))))</f>
        <v>https://drive.google.com/file/d/17gaf2Zy_ljFfcAEDk5L8GBnTl5i7RGJE/view?usp=drivesdk</v>
      </c>
      <c r="Y741" s="187" t="s">
        <v>4043</v>
      </c>
      <c r="Z741" s="187"/>
      <c r="AA741" s="187"/>
      <c r="AB741" s="187"/>
      <c r="AC741" s="187"/>
      <c r="AD741" s="187"/>
      <c r="AE741" s="187"/>
      <c r="AF741" s="187"/>
      <c r="AG741" s="187"/>
      <c r="AH741" s="187"/>
      <c r="AI741" s="187"/>
      <c r="AJ741" s="192"/>
      <c r="AK741" s="190"/>
      <c r="AL741" s="190"/>
      <c r="AM741" s="187"/>
      <c r="AN741" s="126" t="s">
        <v>131</v>
      </c>
      <c r="AO741" s="187"/>
      <c r="AP741" s="187"/>
      <c r="AQ741" s="187"/>
      <c r="AR741" s="187"/>
      <c r="AS741" s="187"/>
      <c r="AT741" s="187"/>
      <c r="AU741" s="187"/>
      <c r="AV741" s="187"/>
      <c r="AW741" s="371" t="s">
        <v>131</v>
      </c>
      <c r="AX741" s="187"/>
      <c r="AY741" s="186"/>
      <c r="AZ741" s="371" t="s">
        <v>3756</v>
      </c>
      <c r="BA741" s="1120"/>
      <c r="BB741" s="1120"/>
      <c r="BC741" s="1120"/>
      <c r="BD741" s="1120"/>
      <c r="BE741" s="1120"/>
      <c r="BF741" s="1120"/>
      <c r="BG741" s="1120"/>
      <c r="BH741" s="1120"/>
      <c r="BI741" s="1120"/>
      <c r="BJ741" s="1120"/>
      <c r="BK741" s="1120"/>
      <c r="BL741" s="1120"/>
      <c r="BM741" s="1120"/>
      <c r="BN741" s="1120"/>
      <c r="BO741" s="1120"/>
      <c r="BP741" s="1120"/>
      <c r="BQ741" s="1120"/>
      <c r="BR741" s="1120"/>
      <c r="BS741" s="1120"/>
      <c r="BT741" s="1120"/>
      <c r="BU741" s="1120"/>
      <c r="BV741" s="1120"/>
      <c r="BW741" s="1120"/>
      <c r="BX741" s="1120"/>
      <c r="BY741" s="1120"/>
      <c r="BZ741" s="1120"/>
      <c r="CA741" s="1120"/>
      <c r="CB741" s="1120"/>
      <c r="CC741" s="1120"/>
      <c r="CD741" s="1120"/>
      <c r="CE741" s="1120"/>
      <c r="CF741" s="1120"/>
      <c r="CG741" s="1120"/>
      <c r="CH741" s="1120"/>
      <c r="CI741" s="1120"/>
      <c r="CJ741" s="1120"/>
      <c r="CK741" s="1120"/>
      <c r="CL741" s="1120"/>
      <c r="CM741" s="1120"/>
      <c r="CN741" s="1120"/>
      <c r="CO741" s="1120"/>
      <c r="CP741" s="1120"/>
      <c r="CQ741" s="1120"/>
      <c r="CR741" s="1120"/>
      <c r="CS741" s="1120"/>
      <c r="CT741" s="1120"/>
      <c r="CU741" s="1120"/>
      <c r="CV741" s="1120"/>
      <c r="CW741" s="1120"/>
      <c r="CX741" s="1120"/>
      <c r="CY741" s="1120"/>
      <c r="CZ741" s="1120"/>
      <c r="DA741" s="1120"/>
      <c r="DB741" s="1120"/>
      <c r="DC741" s="1120"/>
      <c r="DD741" s="1120"/>
      <c r="DE741" s="1120"/>
      <c r="DF741" s="1120"/>
      <c r="DG741" s="1120"/>
      <c r="DH741" s="1120"/>
    </row>
    <row r="742" ht="20.25" customHeight="1">
      <c r="A742" s="41">
        <v>742.0</v>
      </c>
      <c r="B742" s="1121" t="s">
        <v>145</v>
      </c>
      <c r="C742" s="185" t="s">
        <v>108</v>
      </c>
      <c r="D742" s="185" t="s">
        <v>146</v>
      </c>
      <c r="E742" s="186"/>
      <c r="F742" s="187" t="s">
        <v>4034</v>
      </c>
      <c r="G742" s="55" t="s">
        <v>4033</v>
      </c>
      <c r="H742" s="195" t="s">
        <v>146</v>
      </c>
      <c r="I742" s="188">
        <v>45687.0</v>
      </c>
      <c r="J742" s="1083">
        <v>45722.0</v>
      </c>
      <c r="K742" s="187"/>
      <c r="L742" s="791" t="s">
        <v>4044</v>
      </c>
      <c r="M742" s="195" t="s">
        <v>4036</v>
      </c>
      <c r="N742" s="195" t="s">
        <v>4037</v>
      </c>
      <c r="O742" s="755">
        <v>7.0</v>
      </c>
      <c r="P742" s="195" t="str">
        <f t="shared" si="37"/>
        <v>10.1073--pnas.1118373109.pdf</v>
      </c>
      <c r="Q742" s="49" t="str">
        <f t="array" ref="Q742"> if(iserror(MATCH(V742, 'File Links'!C:C, 0)), "N/A", HYPERLINK(INDEX('File Links'!B:B, MATCH(P742, 'File Links'!C:C, 0))))</f>
        <v>https://drive.google.com/file/d/1Q984rmQXqbwrrnMY-wB5jcpYKEpb-2Qg/view?usp=drivesdk</v>
      </c>
      <c r="R742" s="195" t="s">
        <v>3646</v>
      </c>
      <c r="S742" s="195" t="s">
        <v>3647</v>
      </c>
      <c r="T742" s="187"/>
      <c r="U742" s="153">
        <v>1.0</v>
      </c>
      <c r="V742" s="195" t="str">
        <f t="shared" ref="V742:V760" si="41"> hyperlink(vlookup(lower(S742),#REF!, 2, FALSE), SUBSTITUTE(lower(S742), "/", "--") &amp;  ".pdf")</f>
        <v>10.1098--rsos.231240.pdf</v>
      </c>
      <c r="W742" s="195" t="s">
        <v>3800</v>
      </c>
      <c r="X742" s="51" t="str">
        <f t="array" ref="X742"> if(iserror(MATCH(V742, 'File Links'!C:C, 0)), "N/A", HYPERLINK(INDEX('File Links'!B:B, MATCH(V742, 'File Links'!C:C, 0))))</f>
        <v>https://drive.google.com/file/d/17gaf2Zy_ljFfcAEDk5L8GBnTl5i7RGJE/view?usp=drivesdk</v>
      </c>
      <c r="Y742" s="187"/>
      <c r="Z742" s="195" t="s">
        <v>219</v>
      </c>
      <c r="AA742" s="195" t="s">
        <v>4045</v>
      </c>
      <c r="AB742" s="195" t="s">
        <v>4046</v>
      </c>
      <c r="AC742" s="195" t="s">
        <v>4047</v>
      </c>
      <c r="AD742" s="195" t="s">
        <v>4048</v>
      </c>
      <c r="AE742" s="755">
        <v>3.0</v>
      </c>
      <c r="AF742" s="755">
        <v>90.0</v>
      </c>
      <c r="AG742" s="755">
        <v>0.58</v>
      </c>
      <c r="AH742" s="755" t="s">
        <v>166</v>
      </c>
      <c r="AI742" s="755" t="s">
        <v>210</v>
      </c>
      <c r="AJ742" s="872">
        <v>0.58</v>
      </c>
      <c r="AK742" s="55" t="s">
        <v>165</v>
      </c>
      <c r="AL742" s="55" t="s">
        <v>179</v>
      </c>
      <c r="AM742" s="195" t="s">
        <v>134</v>
      </c>
      <c r="AN742" s="371" t="s">
        <v>131</v>
      </c>
      <c r="AO742" s="755">
        <v>84.0</v>
      </c>
      <c r="AP742" s="755" t="s">
        <v>4049</v>
      </c>
      <c r="AQ742" s="755" t="s">
        <v>127</v>
      </c>
      <c r="AR742" s="1122" t="s">
        <v>4050</v>
      </c>
      <c r="AS742" s="755">
        <v>0.66</v>
      </c>
      <c r="AT742" s="195" t="s">
        <v>165</v>
      </c>
      <c r="AU742" s="195" t="s">
        <v>179</v>
      </c>
      <c r="AV742" s="195" t="s">
        <v>134</v>
      </c>
      <c r="AW742" s="1123" t="s">
        <v>131</v>
      </c>
      <c r="AX742" s="187" t="s">
        <v>136</v>
      </c>
      <c r="AY742" s="186"/>
      <c r="AZ742" s="371" t="s">
        <v>3756</v>
      </c>
      <c r="BA742" s="339"/>
      <c r="BB742" s="339"/>
      <c r="BC742" s="339"/>
      <c r="BD742" s="339"/>
      <c r="BE742" s="339"/>
      <c r="BF742" s="339"/>
      <c r="BG742" s="339"/>
      <c r="BH742" s="339"/>
      <c r="BI742" s="339"/>
      <c r="BJ742" s="339"/>
      <c r="BK742" s="339"/>
      <c r="BL742" s="339"/>
      <c r="BM742" s="339"/>
      <c r="BN742" s="339"/>
      <c r="BO742" s="339"/>
      <c r="BP742" s="339"/>
      <c r="BQ742" s="339"/>
      <c r="BR742" s="339"/>
      <c r="BS742" s="339"/>
      <c r="BT742" s="339"/>
      <c r="BU742" s="339"/>
      <c r="BV742" s="339"/>
      <c r="BW742" s="339"/>
      <c r="BX742" s="339"/>
      <c r="BY742" s="339"/>
      <c r="BZ742" s="339"/>
      <c r="CA742" s="339"/>
      <c r="CB742" s="339"/>
      <c r="CC742" s="339"/>
      <c r="CD742" s="339"/>
      <c r="CE742" s="339"/>
      <c r="CF742" s="339"/>
      <c r="CG742" s="339"/>
      <c r="CH742" s="339"/>
      <c r="CI742" s="339"/>
      <c r="CJ742" s="339"/>
      <c r="CK742" s="339"/>
      <c r="CL742" s="339"/>
      <c r="CM742" s="339"/>
      <c r="CN742" s="339"/>
      <c r="CO742" s="339"/>
      <c r="CP742" s="339"/>
      <c r="CQ742" s="339"/>
      <c r="CR742" s="339"/>
      <c r="CS742" s="339"/>
      <c r="CT742" s="339"/>
      <c r="CU742" s="339"/>
      <c r="CV742" s="339"/>
      <c r="CW742" s="339"/>
      <c r="CX742" s="339"/>
      <c r="CY742" s="339"/>
      <c r="CZ742" s="339"/>
      <c r="DA742" s="339"/>
      <c r="DB742" s="339"/>
      <c r="DC742" s="339"/>
      <c r="DD742" s="339"/>
      <c r="DE742" s="339"/>
      <c r="DF742" s="339"/>
      <c r="DG742" s="339"/>
      <c r="DH742" s="339"/>
    </row>
    <row r="743" ht="20.25" customHeight="1">
      <c r="A743" s="41">
        <v>743.0</v>
      </c>
      <c r="B743" s="1124" t="s">
        <v>145</v>
      </c>
      <c r="C743" s="185" t="s">
        <v>108</v>
      </c>
      <c r="D743" s="185" t="s">
        <v>146</v>
      </c>
      <c r="E743" s="186"/>
      <c r="F743" s="187" t="s">
        <v>4034</v>
      </c>
      <c r="G743" s="55" t="s">
        <v>4051</v>
      </c>
      <c r="H743" s="195" t="s">
        <v>146</v>
      </c>
      <c r="I743" s="188">
        <v>45687.0</v>
      </c>
      <c r="J743" s="1083">
        <v>45722.0</v>
      </c>
      <c r="K743" s="187"/>
      <c r="L743" s="791" t="s">
        <v>4052</v>
      </c>
      <c r="M743" s="195" t="s">
        <v>4036</v>
      </c>
      <c r="N743" s="195" t="s">
        <v>4037</v>
      </c>
      <c r="O743" s="755">
        <v>7.0</v>
      </c>
      <c r="P743" s="195" t="str">
        <f t="shared" si="37"/>
        <v>10.1073--pnas.1118373109.pdf</v>
      </c>
      <c r="Q743" s="49" t="str">
        <f t="array" ref="Q743"> if(iserror(MATCH(V743, 'File Links'!C:C, 0)), "N/A", HYPERLINK(INDEX('File Links'!B:B, MATCH(P743, 'File Links'!C:C, 0))))</f>
        <v>https://drive.google.com/file/d/1Q984rmQXqbwrrnMY-wB5jcpYKEpb-2Qg/view?usp=drivesdk</v>
      </c>
      <c r="R743" s="195" t="s">
        <v>3646</v>
      </c>
      <c r="S743" s="195" t="s">
        <v>3647</v>
      </c>
      <c r="T743" s="187"/>
      <c r="U743" s="153">
        <v>1.0</v>
      </c>
      <c r="V743" s="195" t="str">
        <f t="shared" si="41"/>
        <v>10.1098--rsos.231240.pdf</v>
      </c>
      <c r="W743" s="195" t="s">
        <v>3800</v>
      </c>
      <c r="X743" s="51" t="str">
        <f t="array" ref="X743"> if(iserror(MATCH(V743, 'File Links'!C:C, 0)), "N/A", HYPERLINK(INDEX('File Links'!B:B, MATCH(V743, 'File Links'!C:C, 0))))</f>
        <v>https://drive.google.com/file/d/17gaf2Zy_ljFfcAEDk5L8GBnTl5i7RGJE/view?usp=drivesdk</v>
      </c>
      <c r="Y743" s="187"/>
      <c r="Z743" s="195" t="s">
        <v>219</v>
      </c>
      <c r="AA743" s="195" t="s">
        <v>4045</v>
      </c>
      <c r="AB743" s="195" t="s">
        <v>4046</v>
      </c>
      <c r="AC743" s="195" t="s">
        <v>4053</v>
      </c>
      <c r="AD743" s="195" t="s">
        <v>4054</v>
      </c>
      <c r="AE743" s="747">
        <v>3.0</v>
      </c>
      <c r="AF743" s="755">
        <v>90.0</v>
      </c>
      <c r="AG743" s="747">
        <v>0.13</v>
      </c>
      <c r="AH743" s="755" t="s">
        <v>980</v>
      </c>
      <c r="AI743" s="747" t="s">
        <v>210</v>
      </c>
      <c r="AJ743" s="1125">
        <v>0.05</v>
      </c>
      <c r="AK743" s="55" t="s">
        <v>128</v>
      </c>
      <c r="AL743" s="55" t="s">
        <v>179</v>
      </c>
      <c r="AM743" s="195" t="s">
        <v>134</v>
      </c>
      <c r="AN743" s="371" t="s">
        <v>131</v>
      </c>
      <c r="AO743" s="755">
        <v>84.0</v>
      </c>
      <c r="AP743" s="747" t="s">
        <v>4055</v>
      </c>
      <c r="AQ743" s="755" t="s">
        <v>127</v>
      </c>
      <c r="AR743" s="1122" t="s">
        <v>4056</v>
      </c>
      <c r="AS743" s="755">
        <v>0.08</v>
      </c>
      <c r="AT743" s="195" t="s">
        <v>165</v>
      </c>
      <c r="AU743" s="195" t="s">
        <v>179</v>
      </c>
      <c r="AV743" s="195" t="s">
        <v>134</v>
      </c>
      <c r="AW743" s="1123" t="s">
        <v>131</v>
      </c>
      <c r="AX743" s="187" t="s">
        <v>136</v>
      </c>
      <c r="AY743" s="186"/>
      <c r="AZ743" s="371" t="s">
        <v>3756</v>
      </c>
      <c r="BA743" s="339"/>
      <c r="BB743" s="339"/>
      <c r="BC743" s="339"/>
      <c r="BD743" s="339"/>
      <c r="BE743" s="339"/>
      <c r="BF743" s="339"/>
      <c r="BG743" s="339"/>
      <c r="BH743" s="339"/>
      <c r="BI743" s="339"/>
      <c r="BJ743" s="339"/>
      <c r="BK743" s="339"/>
      <c r="BL743" s="339"/>
      <c r="BM743" s="339"/>
      <c r="BN743" s="339"/>
      <c r="BO743" s="339"/>
      <c r="BP743" s="339"/>
      <c r="BQ743" s="339"/>
      <c r="BR743" s="339"/>
      <c r="BS743" s="339"/>
      <c r="BT743" s="339"/>
      <c r="BU743" s="339"/>
      <c r="BV743" s="339"/>
      <c r="BW743" s="339"/>
      <c r="BX743" s="339"/>
      <c r="BY743" s="339"/>
      <c r="BZ743" s="339"/>
      <c r="CA743" s="339"/>
      <c r="CB743" s="339"/>
      <c r="CC743" s="339"/>
      <c r="CD743" s="339"/>
      <c r="CE743" s="339"/>
      <c r="CF743" s="339"/>
      <c r="CG743" s="339"/>
      <c r="CH743" s="339"/>
      <c r="CI743" s="339"/>
      <c r="CJ743" s="339"/>
      <c r="CK743" s="339"/>
      <c r="CL743" s="339"/>
      <c r="CM743" s="339"/>
      <c r="CN743" s="339"/>
      <c r="CO743" s="339"/>
      <c r="CP743" s="339"/>
      <c r="CQ743" s="339"/>
      <c r="CR743" s="339"/>
      <c r="CS743" s="339"/>
      <c r="CT743" s="339"/>
      <c r="CU743" s="339"/>
      <c r="CV743" s="339"/>
      <c r="CW743" s="339"/>
      <c r="CX743" s="339"/>
      <c r="CY743" s="339"/>
      <c r="CZ743" s="339"/>
      <c r="DA743" s="339"/>
      <c r="DB743" s="339"/>
      <c r="DC743" s="339"/>
      <c r="DD743" s="339"/>
      <c r="DE743" s="339"/>
      <c r="DF743" s="339"/>
      <c r="DG743" s="339"/>
      <c r="DH743" s="339"/>
    </row>
    <row r="744" ht="20.25" customHeight="1">
      <c r="A744" s="41">
        <v>744.0</v>
      </c>
      <c r="B744" s="1124" t="s">
        <v>145</v>
      </c>
      <c r="C744" s="185" t="s">
        <v>108</v>
      </c>
      <c r="D744" s="185" t="s">
        <v>146</v>
      </c>
      <c r="E744" s="186"/>
      <c r="F744" s="187" t="s">
        <v>4034</v>
      </c>
      <c r="G744" s="55" t="s">
        <v>4057</v>
      </c>
      <c r="H744" s="195" t="s">
        <v>146</v>
      </c>
      <c r="I744" s="188">
        <v>45687.0</v>
      </c>
      <c r="J744" s="1083">
        <v>45722.0</v>
      </c>
      <c r="K744" s="187"/>
      <c r="L744" s="791" t="s">
        <v>4058</v>
      </c>
      <c r="M744" s="195" t="s">
        <v>4036</v>
      </c>
      <c r="N744" s="195" t="s">
        <v>4037</v>
      </c>
      <c r="O744" s="755">
        <v>7.0</v>
      </c>
      <c r="P744" s="195" t="str">
        <f t="shared" si="37"/>
        <v>10.1073--pnas.1118373109.pdf</v>
      </c>
      <c r="Q744" s="49" t="str">
        <f t="array" ref="Q744"> if(iserror(MATCH(V744, 'File Links'!C:C, 0)), "N/A", HYPERLINK(INDEX('File Links'!B:B, MATCH(P744, 'File Links'!C:C, 0))))</f>
        <v>https://drive.google.com/file/d/1Q984rmQXqbwrrnMY-wB5jcpYKEpb-2Qg/view?usp=drivesdk</v>
      </c>
      <c r="R744" s="195" t="s">
        <v>3646</v>
      </c>
      <c r="S744" s="195" t="s">
        <v>3647</v>
      </c>
      <c r="T744" s="187"/>
      <c r="U744" s="153">
        <v>1.0</v>
      </c>
      <c r="V744" s="195" t="str">
        <f t="shared" si="41"/>
        <v>10.1098--rsos.231240.pdf</v>
      </c>
      <c r="W744" s="195" t="s">
        <v>3800</v>
      </c>
      <c r="X744" s="51" t="str">
        <f t="array" ref="X744"> if(iserror(MATCH(V744, 'File Links'!C:C, 0)), "N/A", HYPERLINK(INDEX('File Links'!B:B, MATCH(V744, 'File Links'!C:C, 0))))</f>
        <v>https://drive.google.com/file/d/17gaf2Zy_ljFfcAEDk5L8GBnTl5i7RGJE/view?usp=drivesdk</v>
      </c>
      <c r="Y744" s="187"/>
      <c r="Z744" s="195" t="s">
        <v>219</v>
      </c>
      <c r="AA744" s="195" t="s">
        <v>4045</v>
      </c>
      <c r="AB744" s="195" t="s">
        <v>4046</v>
      </c>
      <c r="AC744" s="195" t="s">
        <v>4059</v>
      </c>
      <c r="AD744" s="195" t="s">
        <v>4060</v>
      </c>
      <c r="AE744" s="1126">
        <v>3.0</v>
      </c>
      <c r="AF744" s="755">
        <v>90.0</v>
      </c>
      <c r="AG744" s="747">
        <v>-0.24</v>
      </c>
      <c r="AH744" s="755" t="s">
        <v>980</v>
      </c>
      <c r="AI744" s="1126" t="s">
        <v>210</v>
      </c>
      <c r="AJ744" s="1125">
        <v>0.03</v>
      </c>
      <c r="AK744" s="55" t="s">
        <v>128</v>
      </c>
      <c r="AL744" s="55" t="s">
        <v>179</v>
      </c>
      <c r="AM744" s="195" t="s">
        <v>134</v>
      </c>
      <c r="AN744" s="371" t="s">
        <v>131</v>
      </c>
      <c r="AO744" s="755">
        <v>84.0</v>
      </c>
      <c r="AP744" s="747" t="s">
        <v>4061</v>
      </c>
      <c r="AQ744" s="755" t="s">
        <v>127</v>
      </c>
      <c r="AR744" s="1122" t="s">
        <v>4062</v>
      </c>
      <c r="AS744" s="755">
        <v>0.35</v>
      </c>
      <c r="AT744" s="195" t="s">
        <v>165</v>
      </c>
      <c r="AU744" s="195" t="s">
        <v>179</v>
      </c>
      <c r="AV744" s="195" t="s">
        <v>134</v>
      </c>
      <c r="AW744" s="1123" t="s">
        <v>131</v>
      </c>
      <c r="AX744" s="187" t="s">
        <v>136</v>
      </c>
      <c r="AY744" s="186"/>
      <c r="AZ744" s="371" t="s">
        <v>3756</v>
      </c>
      <c r="BA744" s="339"/>
      <c r="BB744" s="339"/>
      <c r="BC744" s="339"/>
      <c r="BD744" s="339"/>
      <c r="BE744" s="339"/>
      <c r="BF744" s="339"/>
      <c r="BG744" s="339"/>
      <c r="BH744" s="339"/>
      <c r="BI744" s="339"/>
      <c r="BJ744" s="339"/>
      <c r="BK744" s="339"/>
      <c r="BL744" s="339"/>
      <c r="BM744" s="339"/>
      <c r="BN744" s="339"/>
      <c r="BO744" s="339"/>
      <c r="BP744" s="339"/>
      <c r="BQ744" s="339"/>
      <c r="BR744" s="339"/>
      <c r="BS744" s="339"/>
      <c r="BT744" s="339"/>
      <c r="BU744" s="339"/>
      <c r="BV744" s="339"/>
      <c r="BW744" s="339"/>
      <c r="BX744" s="339"/>
      <c r="BY744" s="339"/>
      <c r="BZ744" s="339"/>
      <c r="CA744" s="339"/>
      <c r="CB744" s="339"/>
      <c r="CC744" s="339"/>
      <c r="CD744" s="339"/>
      <c r="CE744" s="339"/>
      <c r="CF744" s="339"/>
      <c r="CG744" s="339"/>
      <c r="CH744" s="339"/>
      <c r="CI744" s="339"/>
      <c r="CJ744" s="339"/>
      <c r="CK744" s="339"/>
      <c r="CL744" s="339"/>
      <c r="CM744" s="339"/>
      <c r="CN744" s="339"/>
      <c r="CO744" s="339"/>
      <c r="CP744" s="339"/>
      <c r="CQ744" s="339"/>
      <c r="CR744" s="339"/>
      <c r="CS744" s="339"/>
      <c r="CT744" s="339"/>
      <c r="CU744" s="339"/>
      <c r="CV744" s="339"/>
      <c r="CW744" s="339"/>
      <c r="CX744" s="339"/>
      <c r="CY744" s="339"/>
      <c r="CZ744" s="339"/>
      <c r="DA744" s="339"/>
      <c r="DB744" s="339"/>
      <c r="DC744" s="339"/>
      <c r="DD744" s="339"/>
      <c r="DE744" s="339"/>
      <c r="DF744" s="339"/>
      <c r="DG744" s="339"/>
      <c r="DH744" s="339"/>
    </row>
    <row r="745" ht="20.25" customHeight="1">
      <c r="A745" s="41">
        <v>745.0</v>
      </c>
      <c r="B745" s="1127" t="s">
        <v>107</v>
      </c>
      <c r="C745" s="59" t="s">
        <v>108</v>
      </c>
      <c r="D745" s="59" t="s">
        <v>241</v>
      </c>
      <c r="F745" s="156" t="s">
        <v>4063</v>
      </c>
      <c r="G745" s="54" t="s">
        <v>4064</v>
      </c>
      <c r="H745" s="156" t="s">
        <v>242</v>
      </c>
      <c r="I745" s="149">
        <v>45669.0</v>
      </c>
      <c r="J745" s="1083">
        <v>45722.0</v>
      </c>
      <c r="K745" s="434" t="s">
        <v>4065</v>
      </c>
      <c r="L745" s="65"/>
      <c r="M745" s="156" t="s">
        <v>4066</v>
      </c>
      <c r="N745" s="156" t="s">
        <v>4067</v>
      </c>
      <c r="O745" s="65"/>
      <c r="P745" s="156" t="str">
        <f t="shared" si="37"/>
        <v>10.1177--0956797618818484.pdf</v>
      </c>
      <c r="Q745" s="49" t="str">
        <f t="array" ref="Q745"> if(iserror(MATCH(V745, 'File Links'!C:C, 0)), "N/A", HYPERLINK(INDEX('File Links'!B:B, MATCH(P745, 'File Links'!C:C, 0))))</f>
        <v>https://drive.google.com/file/d/1-BRDJtnfY2i7YBG-IeupwHTxHic0hQnP/view?usp=drivesdk</v>
      </c>
      <c r="R745" s="156" t="s">
        <v>3646</v>
      </c>
      <c r="S745" s="156" t="s">
        <v>3647</v>
      </c>
      <c r="T745" s="65"/>
      <c r="U745" s="153">
        <v>1.0</v>
      </c>
      <c r="V745" s="195" t="str">
        <f t="shared" si="41"/>
        <v>10.1098--rsos.231240.pdf</v>
      </c>
      <c r="W745" s="156" t="s">
        <v>3797</v>
      </c>
      <c r="X745" s="51" t="str">
        <f t="array" ref="X745"> if(iserror(MATCH(V745, 'File Links'!C:C, 0)), "N/A", HYPERLINK(INDEX('File Links'!B:B, MATCH(V745, 'File Links'!C:C, 0))))</f>
        <v>https://drive.google.com/file/d/17gaf2Zy_ljFfcAEDk5L8GBnTl5i7RGJE/view?usp=drivesdk</v>
      </c>
      <c r="Y745" s="65"/>
      <c r="Z745" s="156" t="s">
        <v>141</v>
      </c>
      <c r="AA745" s="65"/>
      <c r="AB745" s="156" t="s">
        <v>4068</v>
      </c>
      <c r="AC745" s="65"/>
      <c r="AD745" s="156" t="s">
        <v>131</v>
      </c>
      <c r="AE745" s="153">
        <v>6.0</v>
      </c>
      <c r="AF745" s="153">
        <v>193.0</v>
      </c>
      <c r="AG745" s="153">
        <v>0.612803903785751</v>
      </c>
      <c r="AH745" s="156" t="s">
        <v>166</v>
      </c>
      <c r="AI745" s="156" t="s">
        <v>4069</v>
      </c>
      <c r="AJ745" s="1058">
        <v>5.66347582420852E-15</v>
      </c>
      <c r="AK745" s="54" t="s">
        <v>165</v>
      </c>
      <c r="AL745" s="54" t="s">
        <v>179</v>
      </c>
      <c r="AM745" s="1128" t="s">
        <v>130</v>
      </c>
      <c r="AN745" s="126" t="s">
        <v>131</v>
      </c>
      <c r="AO745" s="153">
        <v>58.0</v>
      </c>
      <c r="AP745" s="153">
        <v>0.92897291317576</v>
      </c>
      <c r="AQ745" s="156" t="s">
        <v>166</v>
      </c>
      <c r="AR745" s="65"/>
      <c r="AS745" s="1058">
        <v>3.28644168173073E-9</v>
      </c>
      <c r="AT745" s="156" t="s">
        <v>165</v>
      </c>
      <c r="AU745" s="156" t="s">
        <v>179</v>
      </c>
      <c r="AV745" s="1128" t="s">
        <v>130</v>
      </c>
      <c r="AW745" s="65"/>
      <c r="AX745" s="156" t="s">
        <v>136</v>
      </c>
      <c r="AZ745" s="371" t="s">
        <v>3756</v>
      </c>
      <c r="BA745" s="339"/>
      <c r="BB745" s="339"/>
      <c r="BC745" s="339"/>
      <c r="BD745" s="339"/>
      <c r="BE745" s="339"/>
      <c r="BF745" s="339"/>
      <c r="BG745" s="339"/>
      <c r="BH745" s="339"/>
      <c r="BI745" s="339"/>
      <c r="BJ745" s="339"/>
      <c r="BK745" s="339"/>
      <c r="BL745" s="339"/>
      <c r="BM745" s="339"/>
      <c r="BN745" s="339"/>
      <c r="BO745" s="339"/>
      <c r="BP745" s="339"/>
      <c r="BQ745" s="339"/>
      <c r="BR745" s="339"/>
      <c r="BS745" s="339"/>
      <c r="BT745" s="339"/>
      <c r="BU745" s="339"/>
      <c r="BV745" s="339"/>
      <c r="BW745" s="339"/>
      <c r="BX745" s="339"/>
      <c r="BY745" s="339"/>
      <c r="BZ745" s="339"/>
      <c r="CA745" s="339"/>
      <c r="CB745" s="339"/>
      <c r="CC745" s="339"/>
      <c r="CD745" s="339"/>
      <c r="CE745" s="339"/>
      <c r="CF745" s="339"/>
      <c r="CG745" s="339"/>
      <c r="CH745" s="339"/>
      <c r="CI745" s="339"/>
      <c r="CJ745" s="339"/>
      <c r="CK745" s="339"/>
      <c r="CL745" s="339"/>
      <c r="CM745" s="339"/>
      <c r="CN745" s="339"/>
      <c r="CO745" s="339"/>
      <c r="CP745" s="339"/>
      <c r="CQ745" s="339"/>
      <c r="CR745" s="339"/>
      <c r="CS745" s="339"/>
      <c r="CT745" s="339"/>
      <c r="CU745" s="339"/>
      <c r="CV745" s="339"/>
      <c r="CW745" s="339"/>
      <c r="CX745" s="339"/>
      <c r="CY745" s="339"/>
      <c r="CZ745" s="339"/>
      <c r="DA745" s="339"/>
      <c r="DB745" s="339"/>
      <c r="DC745" s="339"/>
      <c r="DD745" s="339"/>
      <c r="DE745" s="339"/>
      <c r="DF745" s="339"/>
      <c r="DG745" s="339"/>
      <c r="DH745" s="339"/>
    </row>
    <row r="746" ht="20.25" customHeight="1">
      <c r="A746" s="41">
        <v>746.0</v>
      </c>
      <c r="B746" s="1129" t="s">
        <v>145</v>
      </c>
      <c r="C746" s="59" t="s">
        <v>108</v>
      </c>
      <c r="D746" s="59" t="s">
        <v>146</v>
      </c>
      <c r="F746" s="65" t="s">
        <v>4064</v>
      </c>
      <c r="G746" s="54" t="s">
        <v>4063</v>
      </c>
      <c r="H746" s="156" t="s">
        <v>146</v>
      </c>
      <c r="I746" s="149">
        <v>45687.0</v>
      </c>
      <c r="J746" s="1083">
        <v>45722.0</v>
      </c>
      <c r="K746" s="434" t="s">
        <v>4070</v>
      </c>
      <c r="L746" s="126" t="s">
        <v>4071</v>
      </c>
      <c r="M746" s="156" t="s">
        <v>4066</v>
      </c>
      <c r="N746" s="156" t="s">
        <v>4067</v>
      </c>
      <c r="O746" s="153">
        <v>2.0</v>
      </c>
      <c r="P746" s="156" t="str">
        <f t="shared" si="37"/>
        <v>10.1177--0956797618818484.pdf</v>
      </c>
      <c r="Q746" s="49" t="str">
        <f t="array" ref="Q746"> if(iserror(MATCH(V746, 'File Links'!C:C, 0)), "N/A", HYPERLINK(INDEX('File Links'!B:B, MATCH(P746, 'File Links'!C:C, 0))))</f>
        <v>https://drive.google.com/file/d/1-BRDJtnfY2i7YBG-IeupwHTxHic0hQnP/view?usp=drivesdk</v>
      </c>
      <c r="R746" s="156" t="s">
        <v>3646</v>
      </c>
      <c r="S746" s="156" t="s">
        <v>3647</v>
      </c>
      <c r="T746" s="65"/>
      <c r="U746" s="153">
        <v>1.0</v>
      </c>
      <c r="V746" s="195" t="str">
        <f t="shared" si="41"/>
        <v>10.1098--rsos.231240.pdf</v>
      </c>
      <c r="W746" s="156" t="s">
        <v>3800</v>
      </c>
      <c r="X746" s="51" t="str">
        <f t="array" ref="X746"> if(iserror(MATCH(V746, 'File Links'!C:C, 0)), "N/A", HYPERLINK(INDEX('File Links'!B:B, MATCH(V746, 'File Links'!C:C, 0))))</f>
        <v>https://drive.google.com/file/d/17gaf2Zy_ljFfcAEDk5L8GBnTl5i7RGJE/view?usp=drivesdk</v>
      </c>
      <c r="Y746" s="43"/>
      <c r="Z746" s="156" t="s">
        <v>141</v>
      </c>
      <c r="AA746" s="156" t="s">
        <v>4072</v>
      </c>
      <c r="AB746" s="156" t="s">
        <v>4073</v>
      </c>
      <c r="AC746" s="156" t="s">
        <v>4074</v>
      </c>
      <c r="AD746" s="156" t="s">
        <v>4075</v>
      </c>
      <c r="AE746" s="153">
        <v>5.0</v>
      </c>
      <c r="AF746" s="153">
        <v>193.0</v>
      </c>
      <c r="AG746" s="153" t="s">
        <v>4076</v>
      </c>
      <c r="AH746" s="153" t="s">
        <v>166</v>
      </c>
      <c r="AI746" s="687" t="s">
        <v>4077</v>
      </c>
      <c r="AJ746" s="1130">
        <v>5.66347582420852E-15</v>
      </c>
      <c r="AK746" s="54" t="s">
        <v>165</v>
      </c>
      <c r="AL746" s="54" t="s">
        <v>179</v>
      </c>
      <c r="AM746" s="1128" t="s">
        <v>130</v>
      </c>
      <c r="AN746" s="126" t="s">
        <v>131</v>
      </c>
      <c r="AO746" s="333">
        <v>58.0</v>
      </c>
      <c r="AP746" s="65" t="s">
        <v>4078</v>
      </c>
      <c r="AQ746" s="153" t="s">
        <v>166</v>
      </c>
      <c r="AR746" s="333" t="s">
        <v>175</v>
      </c>
      <c r="AS746" s="333">
        <f>3.28644168173073*10^-9</f>
        <v>0.000000003286441682</v>
      </c>
      <c r="AT746" s="156" t="s">
        <v>165</v>
      </c>
      <c r="AU746" s="156" t="s">
        <v>179</v>
      </c>
      <c r="AV746" s="1128" t="s">
        <v>130</v>
      </c>
      <c r="AW746" s="126" t="s">
        <v>131</v>
      </c>
      <c r="AX746" s="65" t="s">
        <v>136</v>
      </c>
      <c r="AZ746" s="371" t="s">
        <v>3756</v>
      </c>
      <c r="BA746" s="339"/>
      <c r="BB746" s="339"/>
      <c r="BC746" s="339"/>
      <c r="BD746" s="339"/>
      <c r="BE746" s="339"/>
      <c r="BF746" s="339"/>
      <c r="BG746" s="339"/>
      <c r="BH746" s="339"/>
      <c r="BI746" s="339"/>
      <c r="BJ746" s="339"/>
      <c r="BK746" s="339"/>
      <c r="BL746" s="339"/>
      <c r="BM746" s="339"/>
      <c r="BN746" s="339"/>
      <c r="BO746" s="339"/>
      <c r="BP746" s="339"/>
      <c r="BQ746" s="339"/>
      <c r="BR746" s="339"/>
      <c r="BS746" s="339"/>
      <c r="BT746" s="339"/>
      <c r="BU746" s="339"/>
      <c r="BV746" s="339"/>
      <c r="BW746" s="339"/>
      <c r="BX746" s="339"/>
      <c r="BY746" s="339"/>
      <c r="BZ746" s="339"/>
      <c r="CA746" s="339"/>
      <c r="CB746" s="339"/>
      <c r="CC746" s="339"/>
      <c r="CD746" s="339"/>
      <c r="CE746" s="339"/>
      <c r="CF746" s="339"/>
      <c r="CG746" s="339"/>
      <c r="CH746" s="339"/>
      <c r="CI746" s="339"/>
      <c r="CJ746" s="339"/>
      <c r="CK746" s="339"/>
      <c r="CL746" s="339"/>
      <c r="CM746" s="339"/>
      <c r="CN746" s="339"/>
      <c r="CO746" s="339"/>
      <c r="CP746" s="339"/>
      <c r="CQ746" s="339"/>
      <c r="CR746" s="339"/>
      <c r="CS746" s="339"/>
      <c r="CT746" s="339"/>
      <c r="CU746" s="339"/>
      <c r="CV746" s="339"/>
      <c r="CW746" s="339"/>
      <c r="CX746" s="339"/>
      <c r="CY746" s="339"/>
      <c r="CZ746" s="339"/>
      <c r="DA746" s="339"/>
      <c r="DB746" s="339"/>
      <c r="DC746" s="339"/>
      <c r="DD746" s="339"/>
      <c r="DE746" s="339"/>
      <c r="DF746" s="339"/>
      <c r="DG746" s="339"/>
      <c r="DH746" s="339"/>
    </row>
    <row r="747" ht="20.25" customHeight="1">
      <c r="A747" s="41">
        <v>747.0</v>
      </c>
      <c r="B747" s="1131" t="s">
        <v>145</v>
      </c>
      <c r="C747" s="418" t="s">
        <v>108</v>
      </c>
      <c r="D747" s="418" t="s">
        <v>241</v>
      </c>
      <c r="E747" s="362"/>
      <c r="F747" s="1132" t="s">
        <v>4079</v>
      </c>
      <c r="G747" s="427" t="s">
        <v>4080</v>
      </c>
      <c r="H747" s="1100" t="s">
        <v>242</v>
      </c>
      <c r="I747" s="1133">
        <v>45670.0</v>
      </c>
      <c r="J747" s="1133">
        <v>45692.0</v>
      </c>
      <c r="K747" s="419" t="s">
        <v>4081</v>
      </c>
      <c r="L747" s="1132" t="s">
        <v>4082</v>
      </c>
      <c r="M747" s="1100" t="s">
        <v>4083</v>
      </c>
      <c r="N747" s="1100" t="s">
        <v>4084</v>
      </c>
      <c r="O747" s="1132" t="s">
        <v>4085</v>
      </c>
      <c r="P747" s="1100" t="str">
        <f t="shared" si="37"/>
        <v>10.1177--0956797615612202.pdf</v>
      </c>
      <c r="Q747" s="49" t="str">
        <f t="array" ref="Q747"> if(iserror(MATCH(V747, 'File Links'!C:C, 0)), "N/A", HYPERLINK(INDEX('File Links'!B:B, MATCH(P747, 'File Links'!C:C, 0))))</f>
        <v>https://drive.google.com/file/d/1d70WNl03Y6R-FQ2zFUG_7JzLtb7KIhMn/view?usp=drivesdk</v>
      </c>
      <c r="R747" s="1100" t="s">
        <v>3646</v>
      </c>
      <c r="S747" s="1100" t="s">
        <v>3647</v>
      </c>
      <c r="T747" s="433"/>
      <c r="U747" s="153">
        <v>1.0</v>
      </c>
      <c r="V747" s="1100" t="str">
        <f t="shared" si="41"/>
        <v>10.1098--rsos.231240.pdf</v>
      </c>
      <c r="W747" s="1100" t="s">
        <v>317</v>
      </c>
      <c r="X747" s="51" t="str">
        <f t="array" ref="X747"> if(iserror(MATCH(V747, 'File Links'!C:C, 0)), "N/A", HYPERLINK(INDEX('File Links'!B:B, MATCH(V747, 'File Links'!C:C, 0))))</f>
        <v>https://drive.google.com/file/d/17gaf2Zy_ljFfcAEDk5L8GBnTl5i7RGJE/view?usp=drivesdk</v>
      </c>
      <c r="Y747" s="433"/>
      <c r="Z747" s="1100" t="s">
        <v>219</v>
      </c>
      <c r="AA747" s="1100" t="s">
        <v>4086</v>
      </c>
      <c r="AB747" s="1100" t="s">
        <v>4087</v>
      </c>
      <c r="AC747" s="1132" t="s">
        <v>4088</v>
      </c>
      <c r="AD747" s="1100" t="s">
        <v>4089</v>
      </c>
      <c r="AE747" s="1134">
        <v>3.0</v>
      </c>
      <c r="AF747" s="1134">
        <v>88.0</v>
      </c>
      <c r="AG747" s="1134">
        <v>0.62</v>
      </c>
      <c r="AH747" s="1100" t="s">
        <v>166</v>
      </c>
      <c r="AI747" s="1100" t="s">
        <v>210</v>
      </c>
      <c r="AJ747" s="1135">
        <v>0.005</v>
      </c>
      <c r="AK747" s="427" t="s">
        <v>165</v>
      </c>
      <c r="AL747" s="427" t="s">
        <v>179</v>
      </c>
      <c r="AM747" s="1100" t="s">
        <v>134</v>
      </c>
      <c r="AN747" s="1132" t="s">
        <v>131</v>
      </c>
      <c r="AO747" s="1134">
        <v>119.0</v>
      </c>
      <c r="AP747" s="1134">
        <v>0.720525018664174</v>
      </c>
      <c r="AQ747" s="1100" t="s">
        <v>166</v>
      </c>
      <c r="AR747" s="1136" t="s">
        <v>4090</v>
      </c>
      <c r="AS747" s="1137">
        <v>1.44241082036131E-4</v>
      </c>
      <c r="AT747" s="1100" t="s">
        <v>165</v>
      </c>
      <c r="AU747" s="1100" t="s">
        <v>179</v>
      </c>
      <c r="AV747" s="1100" t="s">
        <v>134</v>
      </c>
      <c r="AW747" s="1132" t="s">
        <v>131</v>
      </c>
      <c r="AX747" s="1100" t="s">
        <v>136</v>
      </c>
      <c r="AY747" s="418" t="s">
        <v>4091</v>
      </c>
      <c r="AZ747" s="1132" t="s">
        <v>4092</v>
      </c>
      <c r="BA747" s="362"/>
      <c r="BB747" s="362"/>
      <c r="BC747" s="362"/>
      <c r="BD747" s="362"/>
      <c r="BE747" s="362"/>
      <c r="BF747" s="362"/>
      <c r="BG747" s="362"/>
      <c r="BH747" s="362"/>
      <c r="BI747" s="362"/>
      <c r="BJ747" s="362"/>
      <c r="BK747" s="362"/>
      <c r="BL747" s="362"/>
      <c r="BM747" s="362"/>
      <c r="BN747" s="362"/>
      <c r="BO747" s="362"/>
      <c r="BP747" s="362"/>
      <c r="BQ747" s="362"/>
      <c r="BR747" s="362"/>
      <c r="BS747" s="362"/>
      <c r="BT747" s="362"/>
      <c r="BU747" s="362"/>
      <c r="BV747" s="362"/>
      <c r="BW747" s="362"/>
      <c r="BX747" s="362"/>
      <c r="BY747" s="362"/>
      <c r="BZ747" s="362"/>
      <c r="CA747" s="362"/>
      <c r="CB747" s="362"/>
      <c r="CC747" s="362"/>
      <c r="CD747" s="362"/>
      <c r="CE747" s="362"/>
      <c r="CF747" s="362"/>
      <c r="CG747" s="362"/>
      <c r="CH747" s="362"/>
      <c r="CI747" s="362"/>
      <c r="CJ747" s="362"/>
      <c r="CK747" s="362"/>
      <c r="CL747" s="362"/>
      <c r="CM747" s="362"/>
      <c r="CN747" s="362"/>
      <c r="CO747" s="362"/>
      <c r="CP747" s="362"/>
      <c r="CQ747" s="362"/>
      <c r="CR747" s="362"/>
      <c r="CS747" s="362"/>
      <c r="CT747" s="362"/>
      <c r="CU747" s="362"/>
      <c r="CV747" s="362"/>
      <c r="CW747" s="362"/>
      <c r="CX747" s="362"/>
      <c r="CY747" s="362"/>
      <c r="CZ747" s="362"/>
      <c r="DA747" s="362"/>
      <c r="DB747" s="362"/>
      <c r="DC747" s="362"/>
      <c r="DD747" s="362"/>
      <c r="DE747" s="362"/>
      <c r="DF747" s="362"/>
      <c r="DG747" s="362"/>
      <c r="DH747" s="362"/>
    </row>
    <row r="748" ht="20.25" customHeight="1">
      <c r="A748" s="41">
        <v>748.0</v>
      </c>
      <c r="B748" s="1131" t="s">
        <v>145</v>
      </c>
      <c r="C748" s="418" t="s">
        <v>108</v>
      </c>
      <c r="D748" s="418" t="s">
        <v>241</v>
      </c>
      <c r="E748" s="362"/>
      <c r="F748" s="1132" t="s">
        <v>4079</v>
      </c>
      <c r="G748" s="427" t="s">
        <v>4093</v>
      </c>
      <c r="H748" s="1100" t="s">
        <v>242</v>
      </c>
      <c r="I748" s="1133">
        <v>45670.0</v>
      </c>
      <c r="J748" s="1133">
        <v>45692.0</v>
      </c>
      <c r="K748" s="419" t="s">
        <v>4094</v>
      </c>
      <c r="L748" s="1132" t="s">
        <v>4082</v>
      </c>
      <c r="M748" s="1100" t="s">
        <v>4083</v>
      </c>
      <c r="N748" s="1100" t="s">
        <v>4084</v>
      </c>
      <c r="O748" s="1132" t="s">
        <v>4085</v>
      </c>
      <c r="P748" s="1100" t="str">
        <f t="shared" si="37"/>
        <v>10.1177--0956797615612202.pdf</v>
      </c>
      <c r="Q748" s="49" t="str">
        <f t="array" ref="Q748"> if(iserror(MATCH(V748, 'File Links'!C:C, 0)), "N/A", HYPERLINK(INDEX('File Links'!B:B, MATCH(P748, 'File Links'!C:C, 0))))</f>
        <v>https://drive.google.com/file/d/1d70WNl03Y6R-FQ2zFUG_7JzLtb7KIhMn/view?usp=drivesdk</v>
      </c>
      <c r="R748" s="1100" t="s">
        <v>3646</v>
      </c>
      <c r="S748" s="1100" t="s">
        <v>3647</v>
      </c>
      <c r="T748" s="433"/>
      <c r="U748" s="153">
        <v>1.0</v>
      </c>
      <c r="V748" s="1100" t="str">
        <f t="shared" si="41"/>
        <v>10.1098--rsos.231240.pdf</v>
      </c>
      <c r="W748" s="1100" t="s">
        <v>3797</v>
      </c>
      <c r="X748" s="51" t="str">
        <f t="array" ref="X748"> if(iserror(MATCH(V748, 'File Links'!C:C, 0)), "N/A", HYPERLINK(INDEX('File Links'!B:B, MATCH(V748, 'File Links'!C:C, 0))))</f>
        <v>https://drive.google.com/file/d/17gaf2Zy_ljFfcAEDk5L8GBnTl5i7RGJE/view?usp=drivesdk</v>
      </c>
      <c r="Y748" s="433"/>
      <c r="Z748" s="1100" t="s">
        <v>219</v>
      </c>
      <c r="AA748" s="1100" t="s">
        <v>4086</v>
      </c>
      <c r="AB748" s="1100" t="s">
        <v>4087</v>
      </c>
      <c r="AC748" s="1132" t="s">
        <v>4088</v>
      </c>
      <c r="AD748" s="1100" t="s">
        <v>4089</v>
      </c>
      <c r="AE748" s="1134">
        <v>3.0</v>
      </c>
      <c r="AF748" s="1134">
        <v>88.0</v>
      </c>
      <c r="AG748" s="1134">
        <v>0.62</v>
      </c>
      <c r="AH748" s="1100" t="s">
        <v>166</v>
      </c>
      <c r="AI748" s="1100" t="s">
        <v>210</v>
      </c>
      <c r="AJ748" s="1135">
        <v>0.005</v>
      </c>
      <c r="AK748" s="427" t="s">
        <v>165</v>
      </c>
      <c r="AL748" s="427" t="s">
        <v>179</v>
      </c>
      <c r="AM748" s="1100" t="s">
        <v>134</v>
      </c>
      <c r="AN748" s="1132" t="s">
        <v>131</v>
      </c>
      <c r="AO748" s="1134">
        <v>87.0</v>
      </c>
      <c r="AP748" s="1134">
        <v>0.141071199656719</v>
      </c>
      <c r="AQ748" s="1100" t="s">
        <v>166</v>
      </c>
      <c r="AR748" s="1136" t="s">
        <v>4090</v>
      </c>
      <c r="AS748" s="1137">
        <v>0.517488992438142</v>
      </c>
      <c r="AT748" s="1100" t="s">
        <v>165</v>
      </c>
      <c r="AU748" s="1100" t="s">
        <v>179</v>
      </c>
      <c r="AV748" s="1100" t="s">
        <v>134</v>
      </c>
      <c r="AW748" s="1136" t="s">
        <v>4095</v>
      </c>
      <c r="AX748" s="1100" t="s">
        <v>136</v>
      </c>
      <c r="AY748" s="418" t="s">
        <v>4091</v>
      </c>
      <c r="AZ748" s="1132" t="s">
        <v>4092</v>
      </c>
      <c r="BA748" s="362"/>
      <c r="BB748" s="362"/>
      <c r="BC748" s="362"/>
      <c r="BD748" s="362"/>
      <c r="BE748" s="362"/>
      <c r="BF748" s="362"/>
      <c r="BG748" s="362"/>
      <c r="BH748" s="362"/>
      <c r="BI748" s="362"/>
      <c r="BJ748" s="362"/>
      <c r="BK748" s="362"/>
      <c r="BL748" s="362"/>
      <c r="BM748" s="362"/>
      <c r="BN748" s="362"/>
      <c r="BO748" s="362"/>
      <c r="BP748" s="362"/>
      <c r="BQ748" s="362"/>
      <c r="BR748" s="362"/>
      <c r="BS748" s="362"/>
      <c r="BT748" s="362"/>
      <c r="BU748" s="362"/>
      <c r="BV748" s="362"/>
      <c r="BW748" s="362"/>
      <c r="BX748" s="362"/>
      <c r="BY748" s="362"/>
      <c r="BZ748" s="362"/>
      <c r="CA748" s="362"/>
      <c r="CB748" s="362"/>
      <c r="CC748" s="362"/>
      <c r="CD748" s="362"/>
      <c r="CE748" s="362"/>
      <c r="CF748" s="362"/>
      <c r="CG748" s="362"/>
      <c r="CH748" s="362"/>
      <c r="CI748" s="362"/>
      <c r="CJ748" s="362"/>
      <c r="CK748" s="362"/>
      <c r="CL748" s="362"/>
      <c r="CM748" s="362"/>
      <c r="CN748" s="362"/>
      <c r="CO748" s="362"/>
      <c r="CP748" s="362"/>
      <c r="CQ748" s="362"/>
      <c r="CR748" s="362"/>
      <c r="CS748" s="362"/>
      <c r="CT748" s="362"/>
      <c r="CU748" s="362"/>
      <c r="CV748" s="362"/>
      <c r="CW748" s="362"/>
      <c r="CX748" s="362"/>
      <c r="CY748" s="362"/>
      <c r="CZ748" s="362"/>
      <c r="DA748" s="362"/>
      <c r="DB748" s="362"/>
      <c r="DC748" s="362"/>
      <c r="DD748" s="362"/>
      <c r="DE748" s="362"/>
      <c r="DF748" s="362"/>
      <c r="DG748" s="362"/>
      <c r="DH748" s="362"/>
    </row>
    <row r="749" ht="20.25" customHeight="1">
      <c r="A749" s="41">
        <v>749.0</v>
      </c>
      <c r="B749" s="1138" t="s">
        <v>145</v>
      </c>
      <c r="C749" s="418" t="s">
        <v>108</v>
      </c>
      <c r="D749" s="418" t="s">
        <v>241</v>
      </c>
      <c r="E749" s="362"/>
      <c r="F749" s="1132" t="s">
        <v>4079</v>
      </c>
      <c r="G749" s="427" t="s">
        <v>4096</v>
      </c>
      <c r="H749" s="1100" t="s">
        <v>242</v>
      </c>
      <c r="I749" s="1133">
        <v>45670.0</v>
      </c>
      <c r="J749" s="1133">
        <v>45692.0</v>
      </c>
      <c r="K749" s="419" t="s">
        <v>4097</v>
      </c>
      <c r="L749" s="433"/>
      <c r="M749" s="1100" t="s">
        <v>4083</v>
      </c>
      <c r="N749" s="1100" t="s">
        <v>4084</v>
      </c>
      <c r="O749" s="1132">
        <v>2.0</v>
      </c>
      <c r="P749" s="1100" t="str">
        <f t="shared" si="37"/>
        <v>10.1177--0956797615612202.pdf</v>
      </c>
      <c r="Q749" s="49" t="str">
        <f t="array" ref="Q749"> if(iserror(MATCH(V749, 'File Links'!C:C, 0)), "N/A", HYPERLINK(INDEX('File Links'!B:B, MATCH(P749, 'File Links'!C:C, 0))))</f>
        <v>https://drive.google.com/file/d/1d70WNl03Y6R-FQ2zFUG_7JzLtb7KIhMn/view?usp=drivesdk</v>
      </c>
      <c r="R749" s="1100" t="s">
        <v>3646</v>
      </c>
      <c r="S749" s="1100" t="s">
        <v>3647</v>
      </c>
      <c r="T749" s="433"/>
      <c r="U749" s="153">
        <v>1.0</v>
      </c>
      <c r="V749" s="1100" t="str">
        <f t="shared" si="41"/>
        <v>10.1098--rsos.231240.pdf</v>
      </c>
      <c r="W749" s="1100" t="s">
        <v>3797</v>
      </c>
      <c r="X749" s="51" t="str">
        <f t="array" ref="X749"> if(iserror(MATCH(V749, 'File Links'!C:C, 0)), "N/A", HYPERLINK(INDEX('File Links'!B:B, MATCH(V749, 'File Links'!C:C, 0))))</f>
        <v>https://drive.google.com/file/d/17gaf2Zy_ljFfcAEDk5L8GBnTl5i7RGJE/view?usp=drivesdk</v>
      </c>
      <c r="Y749" s="433"/>
      <c r="Z749" s="1100" t="s">
        <v>219</v>
      </c>
      <c r="AA749" s="1100" t="s">
        <v>4086</v>
      </c>
      <c r="AB749" s="1100" t="s">
        <v>4098</v>
      </c>
      <c r="AC749" s="1132" t="s">
        <v>4099</v>
      </c>
      <c r="AD749" s="1139" t="s">
        <v>4100</v>
      </c>
      <c r="AE749" s="1134">
        <v>4.0</v>
      </c>
      <c r="AF749" s="1134">
        <v>118.0</v>
      </c>
      <c r="AG749" s="1134">
        <v>0.6</v>
      </c>
      <c r="AH749" s="1100" t="s">
        <v>166</v>
      </c>
      <c r="AI749" s="1100" t="s">
        <v>489</v>
      </c>
      <c r="AJ749" s="1135">
        <v>0.002</v>
      </c>
      <c r="AK749" s="427" t="s">
        <v>165</v>
      </c>
      <c r="AL749" s="427" t="s">
        <v>179</v>
      </c>
      <c r="AM749" s="1100" t="s">
        <v>134</v>
      </c>
      <c r="AN749" s="1132" t="s">
        <v>131</v>
      </c>
      <c r="AO749" s="1134">
        <v>78.0</v>
      </c>
      <c r="AP749" s="1134">
        <v>0.562417563503757</v>
      </c>
      <c r="AQ749" s="1100" t="s">
        <v>166</v>
      </c>
      <c r="AR749" s="1136" t="s">
        <v>4090</v>
      </c>
      <c r="AS749" s="1137">
        <v>4.61188901659452E-6</v>
      </c>
      <c r="AT749" s="1100" t="s">
        <v>165</v>
      </c>
      <c r="AU749" s="1100" t="s">
        <v>179</v>
      </c>
      <c r="AV749" s="1100" t="s">
        <v>134</v>
      </c>
      <c r="AW749" s="1136" t="s">
        <v>4095</v>
      </c>
      <c r="AX749" s="1100" t="s">
        <v>136</v>
      </c>
      <c r="AY749" s="418" t="s">
        <v>4091</v>
      </c>
      <c r="AZ749" s="1132" t="s">
        <v>4092</v>
      </c>
      <c r="BA749" s="362"/>
      <c r="BB749" s="362"/>
      <c r="BC749" s="362"/>
      <c r="BD749" s="362"/>
      <c r="BE749" s="362"/>
      <c r="BF749" s="362"/>
      <c r="BG749" s="362"/>
      <c r="BH749" s="362"/>
      <c r="BI749" s="362"/>
      <c r="BJ749" s="362"/>
      <c r="BK749" s="362"/>
      <c r="BL749" s="362"/>
      <c r="BM749" s="362"/>
      <c r="BN749" s="362"/>
      <c r="BO749" s="362"/>
      <c r="BP749" s="362"/>
      <c r="BQ749" s="362"/>
      <c r="BR749" s="362"/>
      <c r="BS749" s="362"/>
      <c r="BT749" s="362"/>
      <c r="BU749" s="362"/>
      <c r="BV749" s="362"/>
      <c r="BW749" s="362"/>
      <c r="BX749" s="362"/>
      <c r="BY749" s="362"/>
      <c r="BZ749" s="362"/>
      <c r="CA749" s="362"/>
      <c r="CB749" s="362"/>
      <c r="CC749" s="362"/>
      <c r="CD749" s="362"/>
      <c r="CE749" s="362"/>
      <c r="CF749" s="362"/>
      <c r="CG749" s="362"/>
      <c r="CH749" s="362"/>
      <c r="CI749" s="362"/>
      <c r="CJ749" s="362"/>
      <c r="CK749" s="362"/>
      <c r="CL749" s="362"/>
      <c r="CM749" s="362"/>
      <c r="CN749" s="362"/>
      <c r="CO749" s="362"/>
      <c r="CP749" s="362"/>
      <c r="CQ749" s="362"/>
      <c r="CR749" s="362"/>
      <c r="CS749" s="362"/>
      <c r="CT749" s="362"/>
      <c r="CU749" s="362"/>
      <c r="CV749" s="362"/>
      <c r="CW749" s="362"/>
      <c r="CX749" s="362"/>
      <c r="CY749" s="362"/>
      <c r="CZ749" s="362"/>
      <c r="DA749" s="362"/>
      <c r="DB749" s="362"/>
      <c r="DC749" s="362"/>
      <c r="DD749" s="362"/>
      <c r="DE749" s="362"/>
      <c r="DF749" s="362"/>
      <c r="DG749" s="362"/>
      <c r="DH749" s="362"/>
    </row>
    <row r="750" ht="20.25" customHeight="1">
      <c r="A750" s="41">
        <v>750.0</v>
      </c>
      <c r="B750" s="433" t="s">
        <v>107</v>
      </c>
      <c r="C750" s="418" t="s">
        <v>108</v>
      </c>
      <c r="D750" s="418" t="s">
        <v>241</v>
      </c>
      <c r="E750" s="362"/>
      <c r="F750" s="1100" t="s">
        <v>4079</v>
      </c>
      <c r="G750" s="427" t="s">
        <v>4101</v>
      </c>
      <c r="H750" s="1100" t="s">
        <v>242</v>
      </c>
      <c r="I750" s="1133">
        <v>45670.0</v>
      </c>
      <c r="J750" s="1133">
        <v>45692.0</v>
      </c>
      <c r="K750" s="433"/>
      <c r="L750" s="433"/>
      <c r="M750" s="1100" t="s">
        <v>4083</v>
      </c>
      <c r="N750" s="1100" t="s">
        <v>4084</v>
      </c>
      <c r="O750" s="433"/>
      <c r="P750" s="1100" t="str">
        <f t="shared" si="37"/>
        <v>10.1177--0956797615612202.pdf</v>
      </c>
      <c r="Q750" s="49" t="str">
        <f t="array" ref="Q750"> if(iserror(MATCH(V750, 'File Links'!C:C, 0)), "N/A", HYPERLINK(INDEX('File Links'!B:B, MATCH(P750, 'File Links'!C:C, 0))))</f>
        <v>https://drive.google.com/file/d/1d70WNl03Y6R-FQ2zFUG_7JzLtb7KIhMn/view?usp=drivesdk</v>
      </c>
      <c r="R750" s="1100" t="s">
        <v>3646</v>
      </c>
      <c r="S750" s="1100" t="s">
        <v>3647</v>
      </c>
      <c r="T750" s="433"/>
      <c r="U750" s="153">
        <v>1.0</v>
      </c>
      <c r="V750" s="1100" t="str">
        <f t="shared" si="41"/>
        <v>10.1098--rsos.231240.pdf</v>
      </c>
      <c r="W750" s="1100" t="s">
        <v>317</v>
      </c>
      <c r="X750" s="51" t="str">
        <f t="array" ref="X750"> if(iserror(MATCH(V750, 'File Links'!C:C, 0)), "N/A", HYPERLINK(INDEX('File Links'!B:B, MATCH(V750, 'File Links'!C:C, 0))))</f>
        <v>https://drive.google.com/file/d/17gaf2Zy_ljFfcAEDk5L8GBnTl5i7RGJE/view?usp=drivesdk</v>
      </c>
      <c r="Y750" s="433"/>
      <c r="Z750" s="1100" t="s">
        <v>219</v>
      </c>
      <c r="AA750" s="433"/>
      <c r="AB750" s="433"/>
      <c r="AC750" s="433"/>
      <c r="AD750" s="1100" t="s">
        <v>131</v>
      </c>
      <c r="AE750" s="1100" t="s">
        <v>131</v>
      </c>
      <c r="AF750" s="1134">
        <v>145.0</v>
      </c>
      <c r="AG750" s="1100" t="s">
        <v>131</v>
      </c>
      <c r="AH750" s="164" t="s">
        <v>131</v>
      </c>
      <c r="AI750" s="1100" t="s">
        <v>131</v>
      </c>
      <c r="AJ750" s="1140" t="s">
        <v>131</v>
      </c>
      <c r="AK750" s="423"/>
      <c r="AL750" s="427" t="s">
        <v>179</v>
      </c>
      <c r="AM750" s="1100" t="s">
        <v>134</v>
      </c>
      <c r="AN750" s="1132" t="s">
        <v>131</v>
      </c>
      <c r="AO750" s="1134">
        <v>168.0</v>
      </c>
      <c r="AP750" s="1100" t="s">
        <v>131</v>
      </c>
      <c r="AQ750" s="433"/>
      <c r="AR750" s="433"/>
      <c r="AS750" s="1100" t="s">
        <v>131</v>
      </c>
      <c r="AT750" s="433"/>
      <c r="AU750" s="1100" t="s">
        <v>179</v>
      </c>
      <c r="AV750" s="1100" t="s">
        <v>1898</v>
      </c>
      <c r="AW750" s="433"/>
      <c r="AX750" s="1100" t="s">
        <v>136</v>
      </c>
      <c r="AY750" s="362"/>
      <c r="AZ750" s="1132" t="s">
        <v>4092</v>
      </c>
      <c r="BA750" s="362"/>
      <c r="BB750" s="362"/>
      <c r="BC750" s="362"/>
      <c r="BD750" s="362"/>
      <c r="BE750" s="362"/>
      <c r="BF750" s="362"/>
      <c r="BG750" s="362"/>
      <c r="BH750" s="362"/>
      <c r="BI750" s="362"/>
      <c r="BJ750" s="362"/>
      <c r="BK750" s="362"/>
      <c r="BL750" s="362"/>
      <c r="BM750" s="362"/>
      <c r="BN750" s="362"/>
      <c r="BO750" s="362"/>
      <c r="BP750" s="362"/>
      <c r="BQ750" s="362"/>
      <c r="BR750" s="362"/>
      <c r="BS750" s="362"/>
      <c r="BT750" s="362"/>
      <c r="BU750" s="362"/>
      <c r="BV750" s="362"/>
      <c r="BW750" s="362"/>
      <c r="BX750" s="362"/>
      <c r="BY750" s="362"/>
      <c r="BZ750" s="362"/>
      <c r="CA750" s="362"/>
      <c r="CB750" s="362"/>
      <c r="CC750" s="362"/>
      <c r="CD750" s="362"/>
      <c r="CE750" s="362"/>
      <c r="CF750" s="362"/>
      <c r="CG750" s="362"/>
      <c r="CH750" s="362"/>
      <c r="CI750" s="362"/>
      <c r="CJ750" s="362"/>
      <c r="CK750" s="362"/>
      <c r="CL750" s="362"/>
      <c r="CM750" s="362"/>
      <c r="CN750" s="362"/>
      <c r="CO750" s="362"/>
      <c r="CP750" s="362"/>
      <c r="CQ750" s="362"/>
      <c r="CR750" s="362"/>
      <c r="CS750" s="362"/>
      <c r="CT750" s="362"/>
      <c r="CU750" s="362"/>
      <c r="CV750" s="362"/>
      <c r="CW750" s="362"/>
      <c r="CX750" s="362"/>
      <c r="CY750" s="362"/>
      <c r="CZ750" s="362"/>
      <c r="DA750" s="362"/>
      <c r="DB750" s="362"/>
      <c r="DC750" s="362"/>
      <c r="DD750" s="362"/>
      <c r="DE750" s="362"/>
      <c r="DF750" s="362"/>
      <c r="DG750" s="362"/>
      <c r="DH750" s="362"/>
    </row>
    <row r="751" ht="20.25" customHeight="1">
      <c r="A751" s="41">
        <v>751.0</v>
      </c>
      <c r="B751" s="1132" t="s">
        <v>145</v>
      </c>
      <c r="C751" s="418" t="s">
        <v>108</v>
      </c>
      <c r="D751" s="418" t="s">
        <v>146</v>
      </c>
      <c r="E751" s="362"/>
      <c r="F751" s="433" t="s">
        <v>4101</v>
      </c>
      <c r="G751" s="427" t="s">
        <v>4079</v>
      </c>
      <c r="H751" s="1100" t="s">
        <v>146</v>
      </c>
      <c r="I751" s="1133">
        <v>45687.0</v>
      </c>
      <c r="J751" s="1133">
        <v>45692.0</v>
      </c>
      <c r="K751" s="430" t="s">
        <v>4102</v>
      </c>
      <c r="L751" s="1141" t="s">
        <v>4103</v>
      </c>
      <c r="M751" s="1100" t="s">
        <v>4083</v>
      </c>
      <c r="N751" s="1100" t="s">
        <v>4084</v>
      </c>
      <c r="O751" s="1134">
        <v>3.0</v>
      </c>
      <c r="P751" s="1100" t="str">
        <f t="shared" si="37"/>
        <v>10.1177--0956797615612202.pdf</v>
      </c>
      <c r="Q751" s="49" t="str">
        <f t="array" ref="Q751"> if(iserror(MATCH(V751, 'File Links'!C:C, 0)), "N/A", HYPERLINK(INDEX('File Links'!B:B, MATCH(P751, 'File Links'!C:C, 0))))</f>
        <v>https://drive.google.com/file/d/1d70WNl03Y6R-FQ2zFUG_7JzLtb7KIhMn/view?usp=drivesdk</v>
      </c>
      <c r="R751" s="1100" t="s">
        <v>3646</v>
      </c>
      <c r="S751" s="1100" t="s">
        <v>3647</v>
      </c>
      <c r="T751" s="433"/>
      <c r="U751" s="153">
        <v>1.0</v>
      </c>
      <c r="V751" s="1100" t="str">
        <f t="shared" si="41"/>
        <v>10.1098--rsos.231240.pdf</v>
      </c>
      <c r="W751" s="1100" t="s">
        <v>157</v>
      </c>
      <c r="X751" s="51" t="str">
        <f t="array" ref="X751"> if(iserror(MATCH(V751, 'File Links'!C:C, 0)), "N/A", HYPERLINK(INDEX('File Links'!B:B, MATCH(V751, 'File Links'!C:C, 0))))</f>
        <v>https://drive.google.com/file/d/17gaf2Zy_ljFfcAEDk5L8GBnTl5i7RGJE/view?usp=drivesdk</v>
      </c>
      <c r="Y751" s="433"/>
      <c r="Z751" s="1100" t="s">
        <v>219</v>
      </c>
      <c r="AA751" s="1100" t="s">
        <v>4086</v>
      </c>
      <c r="AB751" s="1100" t="s">
        <v>4104</v>
      </c>
      <c r="AC751" s="1100" t="s">
        <v>4105</v>
      </c>
      <c r="AD751" s="1100" t="s">
        <v>4106</v>
      </c>
      <c r="AE751" s="1142">
        <v>5.0</v>
      </c>
      <c r="AF751" s="1134">
        <v>145.0</v>
      </c>
      <c r="AG751" s="1142">
        <v>0.56</v>
      </c>
      <c r="AH751" s="1134" t="s">
        <v>166</v>
      </c>
      <c r="AI751" s="1142" t="s">
        <v>806</v>
      </c>
      <c r="AJ751" s="1143">
        <v>0.01</v>
      </c>
      <c r="AK751" s="427" t="s">
        <v>128</v>
      </c>
      <c r="AL751" s="427" t="s">
        <v>179</v>
      </c>
      <c r="AM751" s="1100" t="s">
        <v>134</v>
      </c>
      <c r="AN751" s="1132" t="s">
        <v>131</v>
      </c>
      <c r="AO751" s="1144">
        <v>128.0</v>
      </c>
      <c r="AP751" s="1145">
        <v>0.2079</v>
      </c>
      <c r="AQ751" s="216" t="s">
        <v>2612</v>
      </c>
      <c r="AR751" s="1146" t="s">
        <v>4107</v>
      </c>
      <c r="AS751" s="1134">
        <v>0.159</v>
      </c>
      <c r="AT751" s="1100" t="s">
        <v>165</v>
      </c>
      <c r="AU751" s="1100" t="s">
        <v>179</v>
      </c>
      <c r="AV751" s="1100" t="s">
        <v>134</v>
      </c>
      <c r="AW751" s="1136" t="s">
        <v>4095</v>
      </c>
      <c r="AX751" s="433" t="s">
        <v>144</v>
      </c>
      <c r="AY751" s="1132" t="s">
        <v>4108</v>
      </c>
      <c r="AZ751" s="1132" t="s">
        <v>4092</v>
      </c>
      <c r="BA751" s="362"/>
      <c r="BB751" s="362"/>
      <c r="BC751" s="362"/>
      <c r="BD751" s="362"/>
      <c r="BE751" s="362"/>
      <c r="BF751" s="362"/>
      <c r="BG751" s="362"/>
      <c r="BH751" s="362"/>
      <c r="BI751" s="362"/>
      <c r="BJ751" s="362"/>
      <c r="BK751" s="362"/>
      <c r="BL751" s="362"/>
      <c r="BM751" s="362"/>
      <c r="BN751" s="362"/>
      <c r="BO751" s="362"/>
      <c r="BP751" s="362"/>
      <c r="BQ751" s="362"/>
      <c r="BR751" s="362"/>
      <c r="BS751" s="362"/>
      <c r="BT751" s="362"/>
      <c r="BU751" s="362"/>
      <c r="BV751" s="362"/>
      <c r="BW751" s="362"/>
      <c r="BX751" s="362"/>
      <c r="BY751" s="362"/>
      <c r="BZ751" s="362"/>
      <c r="CA751" s="362"/>
      <c r="CB751" s="362"/>
      <c r="CC751" s="362"/>
      <c r="CD751" s="362"/>
      <c r="CE751" s="362"/>
      <c r="CF751" s="362"/>
      <c r="CG751" s="362"/>
      <c r="CH751" s="362"/>
      <c r="CI751" s="362"/>
      <c r="CJ751" s="362"/>
      <c r="CK751" s="362"/>
      <c r="CL751" s="362"/>
      <c r="CM751" s="362"/>
      <c r="CN751" s="362"/>
      <c r="CO751" s="362"/>
      <c r="CP751" s="362"/>
      <c r="CQ751" s="362"/>
      <c r="CR751" s="362"/>
      <c r="CS751" s="362"/>
      <c r="CT751" s="362"/>
      <c r="CU751" s="362"/>
      <c r="CV751" s="362"/>
      <c r="CW751" s="362"/>
      <c r="CX751" s="362"/>
      <c r="CY751" s="362"/>
      <c r="CZ751" s="362"/>
      <c r="DA751" s="362"/>
      <c r="DB751" s="362"/>
      <c r="DC751" s="362"/>
      <c r="DD751" s="362"/>
      <c r="DE751" s="362"/>
      <c r="DF751" s="362"/>
      <c r="DG751" s="362"/>
      <c r="DH751" s="362"/>
    </row>
    <row r="752" ht="20.25" customHeight="1">
      <c r="A752" s="41">
        <v>752.0</v>
      </c>
      <c r="B752" s="1132" t="s">
        <v>145</v>
      </c>
      <c r="C752" s="418" t="s">
        <v>108</v>
      </c>
      <c r="D752" s="418" t="s">
        <v>146</v>
      </c>
      <c r="E752" s="362"/>
      <c r="F752" s="433" t="s">
        <v>4101</v>
      </c>
      <c r="G752" s="427" t="s">
        <v>4079</v>
      </c>
      <c r="H752" s="1100" t="s">
        <v>146</v>
      </c>
      <c r="I752" s="1133">
        <v>45687.0</v>
      </c>
      <c r="J752" s="1133">
        <v>45692.0</v>
      </c>
      <c r="K752" s="430" t="s">
        <v>4109</v>
      </c>
      <c r="L752" s="1132" t="s">
        <v>4110</v>
      </c>
      <c r="M752" s="1147" t="s">
        <v>4083</v>
      </c>
      <c r="N752" s="1100" t="s">
        <v>4084</v>
      </c>
      <c r="O752" s="1134">
        <v>3.0</v>
      </c>
      <c r="P752" s="1100" t="str">
        <f t="shared" si="37"/>
        <v>10.1177--0956797615612202.pdf</v>
      </c>
      <c r="Q752" s="49" t="str">
        <f t="array" ref="Q752"> if(iserror(MATCH(V752, 'File Links'!C:C, 0)), "N/A", HYPERLINK(INDEX('File Links'!B:B, MATCH(P752, 'File Links'!C:C, 0))))</f>
        <v>https://drive.google.com/file/d/1d70WNl03Y6R-FQ2zFUG_7JzLtb7KIhMn/view?usp=drivesdk</v>
      </c>
      <c r="R752" s="1100" t="s">
        <v>3646</v>
      </c>
      <c r="S752" s="1100" t="s">
        <v>3647</v>
      </c>
      <c r="T752" s="433"/>
      <c r="U752" s="153">
        <v>1.0</v>
      </c>
      <c r="V752" s="1100" t="str">
        <f t="shared" si="41"/>
        <v>10.1098--rsos.231240.pdf</v>
      </c>
      <c r="W752" s="1100" t="s">
        <v>157</v>
      </c>
      <c r="X752" s="51" t="str">
        <f t="array" ref="X752"> if(iserror(MATCH(V752, 'File Links'!C:C, 0)), "N/A", HYPERLINK(INDEX('File Links'!B:B, MATCH(V752, 'File Links'!C:C, 0))))</f>
        <v>https://drive.google.com/file/d/17gaf2Zy_ljFfcAEDk5L8GBnTl5i7RGJE/view?usp=drivesdk</v>
      </c>
      <c r="Y752" s="433"/>
      <c r="Z752" s="1100" t="s">
        <v>219</v>
      </c>
      <c r="AA752" s="1100" t="s">
        <v>4086</v>
      </c>
      <c r="AB752" s="1100" t="s">
        <v>4104</v>
      </c>
      <c r="AC752" s="1100" t="s">
        <v>4111</v>
      </c>
      <c r="AD752" s="1100" t="s">
        <v>4112</v>
      </c>
      <c r="AE752" s="1142">
        <v>6.0</v>
      </c>
      <c r="AF752" s="1148">
        <v>133.0</v>
      </c>
      <c r="AG752" s="1142">
        <v>0.51</v>
      </c>
      <c r="AH752" s="1134" t="s">
        <v>166</v>
      </c>
      <c r="AI752" s="1142" t="s">
        <v>133</v>
      </c>
      <c r="AJ752" s="1143">
        <v>0.01</v>
      </c>
      <c r="AK752" s="427" t="s">
        <v>128</v>
      </c>
      <c r="AL752" s="427" t="s">
        <v>179</v>
      </c>
      <c r="AM752" s="1100" t="s">
        <v>134</v>
      </c>
      <c r="AN752" s="1132" t="s">
        <v>131</v>
      </c>
      <c r="AO752" s="1149">
        <v>126.0</v>
      </c>
      <c r="AP752" s="1149">
        <v>0.370016595170749</v>
      </c>
      <c r="AQ752" s="1141" t="s">
        <v>166</v>
      </c>
      <c r="AR752" s="1150" t="s">
        <v>4113</v>
      </c>
      <c r="AS752" s="1148">
        <v>0.0506886504493445</v>
      </c>
      <c r="AT752" s="1100" t="s">
        <v>165</v>
      </c>
      <c r="AU752" s="1100" t="s">
        <v>179</v>
      </c>
      <c r="AV752" s="1100" t="s">
        <v>134</v>
      </c>
      <c r="AW752" s="1136" t="s">
        <v>4095</v>
      </c>
      <c r="AX752" s="433" t="s">
        <v>144</v>
      </c>
      <c r="AY752" s="418" t="s">
        <v>4114</v>
      </c>
      <c r="AZ752" s="1132" t="s">
        <v>4092</v>
      </c>
      <c r="BA752" s="362"/>
      <c r="BB752" s="362"/>
      <c r="BC752" s="362"/>
      <c r="BD752" s="362"/>
      <c r="BE752" s="362"/>
      <c r="BF752" s="362"/>
      <c r="BG752" s="362"/>
      <c r="BH752" s="362"/>
      <c r="BI752" s="362"/>
      <c r="BJ752" s="362"/>
      <c r="BK752" s="362"/>
      <c r="BL752" s="362"/>
      <c r="BM752" s="362"/>
      <c r="BN752" s="362"/>
      <c r="BO752" s="362"/>
      <c r="BP752" s="362"/>
      <c r="BQ752" s="362"/>
      <c r="BR752" s="362"/>
      <c r="BS752" s="362"/>
      <c r="BT752" s="362"/>
      <c r="BU752" s="362"/>
      <c r="BV752" s="362"/>
      <c r="BW752" s="362"/>
      <c r="BX752" s="362"/>
      <c r="BY752" s="362"/>
      <c r="BZ752" s="362"/>
      <c r="CA752" s="362"/>
      <c r="CB752" s="362"/>
      <c r="CC752" s="362"/>
      <c r="CD752" s="362"/>
      <c r="CE752" s="362"/>
      <c r="CF752" s="362"/>
      <c r="CG752" s="362"/>
      <c r="CH752" s="362"/>
      <c r="CI752" s="362"/>
      <c r="CJ752" s="362"/>
      <c r="CK752" s="362"/>
      <c r="CL752" s="362"/>
      <c r="CM752" s="362"/>
      <c r="CN752" s="362"/>
      <c r="CO752" s="362"/>
      <c r="CP752" s="362"/>
      <c r="CQ752" s="362"/>
      <c r="CR752" s="362"/>
      <c r="CS752" s="362"/>
      <c r="CT752" s="362"/>
      <c r="CU752" s="362"/>
      <c r="CV752" s="362"/>
      <c r="CW752" s="362"/>
      <c r="CX752" s="362"/>
      <c r="CY752" s="362"/>
      <c r="CZ752" s="362"/>
      <c r="DA752" s="362"/>
      <c r="DB752" s="362"/>
      <c r="DC752" s="362"/>
      <c r="DD752" s="362"/>
      <c r="DE752" s="362"/>
      <c r="DF752" s="362"/>
      <c r="DG752" s="362"/>
      <c r="DH752" s="362"/>
    </row>
    <row r="753" ht="20.25" customHeight="1">
      <c r="A753" s="41">
        <v>753.0</v>
      </c>
      <c r="B753" s="1132" t="s">
        <v>107</v>
      </c>
      <c r="C753" s="418" t="s">
        <v>108</v>
      </c>
      <c r="D753" s="418" t="s">
        <v>241</v>
      </c>
      <c r="E753" s="362"/>
      <c r="F753" s="433" t="s">
        <v>4101</v>
      </c>
      <c r="G753" s="427" t="s">
        <v>4115</v>
      </c>
      <c r="H753" s="1100" t="s">
        <v>242</v>
      </c>
      <c r="I753" s="1133">
        <v>45670.0</v>
      </c>
      <c r="J753" s="1133">
        <v>45692.0</v>
      </c>
      <c r="K753" s="433"/>
      <c r="L753" s="1132" t="s">
        <v>4116</v>
      </c>
      <c r="M753" s="1100" t="s">
        <v>4083</v>
      </c>
      <c r="N753" s="1100" t="s">
        <v>4084</v>
      </c>
      <c r="O753" s="1132">
        <v>3.0</v>
      </c>
      <c r="P753" s="1100" t="str">
        <f t="shared" si="37"/>
        <v>10.1177--0956797615612202.pdf</v>
      </c>
      <c r="Q753" s="49" t="str">
        <f t="array" ref="Q753"> if(iserror(MATCH(V753, 'File Links'!C:C, 0)), "N/A", HYPERLINK(INDEX('File Links'!B:B, MATCH(P753, 'File Links'!C:C, 0))))</f>
        <v>https://drive.google.com/file/d/1d70WNl03Y6R-FQ2zFUG_7JzLtb7KIhMn/view?usp=drivesdk</v>
      </c>
      <c r="R753" s="1100" t="s">
        <v>3646</v>
      </c>
      <c r="S753" s="1100" t="s">
        <v>3647</v>
      </c>
      <c r="T753" s="433"/>
      <c r="U753" s="153">
        <v>1.0</v>
      </c>
      <c r="V753" s="1100" t="str">
        <f t="shared" si="41"/>
        <v>10.1098--rsos.231240.pdf</v>
      </c>
      <c r="W753" s="1100" t="s">
        <v>3658</v>
      </c>
      <c r="X753" s="51" t="str">
        <f t="array" ref="X753"> if(iserror(MATCH(V753, 'File Links'!C:C, 0)), "N/A", HYPERLINK(INDEX('File Links'!B:B, MATCH(V753, 'File Links'!C:C, 0))))</f>
        <v>https://drive.google.com/file/d/17gaf2Zy_ljFfcAEDk5L8GBnTl5i7RGJE/view?usp=drivesdk</v>
      </c>
      <c r="Y753" s="433"/>
      <c r="Z753" s="1100" t="s">
        <v>219</v>
      </c>
      <c r="AA753" s="433"/>
      <c r="AB753" s="1100" t="s">
        <v>4087</v>
      </c>
      <c r="AC753" s="433"/>
      <c r="AD753" s="1100" t="s">
        <v>4117</v>
      </c>
      <c r="AE753" s="1134">
        <v>6.0</v>
      </c>
      <c r="AF753" s="1148">
        <v>133.0</v>
      </c>
      <c r="AG753" s="1134">
        <v>0.51</v>
      </c>
      <c r="AH753" s="1100" t="s">
        <v>166</v>
      </c>
      <c r="AI753" s="1100" t="s">
        <v>133</v>
      </c>
      <c r="AJ753" s="1135">
        <v>0.01</v>
      </c>
      <c r="AK753" s="427" t="s">
        <v>128</v>
      </c>
      <c r="AL753" s="427" t="s">
        <v>179</v>
      </c>
      <c r="AM753" s="1100" t="s">
        <v>134</v>
      </c>
      <c r="AN753" s="1132" t="s">
        <v>131</v>
      </c>
      <c r="AO753" s="1134">
        <v>126.0</v>
      </c>
      <c r="AP753" s="1134">
        <v>0.370016595170749</v>
      </c>
      <c r="AQ753" s="1100" t="s">
        <v>166</v>
      </c>
      <c r="AR753" s="1150" t="s">
        <v>4113</v>
      </c>
      <c r="AS753" s="1137">
        <v>0.0506886504493445</v>
      </c>
      <c r="AT753" s="1100" t="s">
        <v>165</v>
      </c>
      <c r="AU753" s="1100" t="s">
        <v>179</v>
      </c>
      <c r="AV753" s="1100" t="s">
        <v>134</v>
      </c>
      <c r="AW753" s="1136" t="s">
        <v>4095</v>
      </c>
      <c r="AX753" s="1100" t="s">
        <v>136</v>
      </c>
      <c r="AY753" s="362"/>
      <c r="AZ753" s="1132" t="s">
        <v>4092</v>
      </c>
      <c r="BA753" s="362"/>
      <c r="BB753" s="362"/>
      <c r="BC753" s="362"/>
      <c r="BD753" s="362"/>
      <c r="BE753" s="362"/>
      <c r="BF753" s="362"/>
      <c r="BG753" s="362"/>
      <c r="BH753" s="362"/>
      <c r="BI753" s="362"/>
      <c r="BJ753" s="362"/>
      <c r="BK753" s="362"/>
      <c r="BL753" s="362"/>
      <c r="BM753" s="362"/>
      <c r="BN753" s="362"/>
      <c r="BO753" s="362"/>
      <c r="BP753" s="362"/>
      <c r="BQ753" s="362"/>
      <c r="BR753" s="362"/>
      <c r="BS753" s="362"/>
      <c r="BT753" s="362"/>
      <c r="BU753" s="362"/>
      <c r="BV753" s="362"/>
      <c r="BW753" s="362"/>
      <c r="BX753" s="362"/>
      <c r="BY753" s="362"/>
      <c r="BZ753" s="362"/>
      <c r="CA753" s="362"/>
      <c r="CB753" s="362"/>
      <c r="CC753" s="362"/>
      <c r="CD753" s="362"/>
      <c r="CE753" s="362"/>
      <c r="CF753" s="362"/>
      <c r="CG753" s="362"/>
      <c r="CH753" s="362"/>
      <c r="CI753" s="362"/>
      <c r="CJ753" s="362"/>
      <c r="CK753" s="362"/>
      <c r="CL753" s="362"/>
      <c r="CM753" s="362"/>
      <c r="CN753" s="362"/>
      <c r="CO753" s="362"/>
      <c r="CP753" s="362"/>
      <c r="CQ753" s="362"/>
      <c r="CR753" s="362"/>
      <c r="CS753" s="362"/>
      <c r="CT753" s="362"/>
      <c r="CU753" s="362"/>
      <c r="CV753" s="362"/>
      <c r="CW753" s="362"/>
      <c r="CX753" s="362"/>
      <c r="CY753" s="362"/>
      <c r="CZ753" s="362"/>
      <c r="DA753" s="362"/>
      <c r="DB753" s="362"/>
      <c r="DC753" s="362"/>
      <c r="DD753" s="362"/>
      <c r="DE753" s="362"/>
      <c r="DF753" s="362"/>
      <c r="DG753" s="362"/>
      <c r="DH753" s="362"/>
    </row>
    <row r="754" ht="20.25" customHeight="1">
      <c r="A754" s="41">
        <v>754.0</v>
      </c>
      <c r="B754" s="1132" t="s">
        <v>145</v>
      </c>
      <c r="C754" s="418" t="s">
        <v>108</v>
      </c>
      <c r="D754" s="418" t="s">
        <v>146</v>
      </c>
      <c r="E754" s="362"/>
      <c r="F754" s="433" t="s">
        <v>4101</v>
      </c>
      <c r="G754" s="427" t="s">
        <v>4079</v>
      </c>
      <c r="H754" s="1100" t="s">
        <v>146</v>
      </c>
      <c r="I754" s="1133">
        <v>45687.0</v>
      </c>
      <c r="J754" s="1133">
        <v>45692.0</v>
      </c>
      <c r="K754" s="430" t="s">
        <v>4118</v>
      </c>
      <c r="L754" s="1132" t="s">
        <v>4119</v>
      </c>
      <c r="M754" s="1100" t="s">
        <v>4083</v>
      </c>
      <c r="N754" s="1100" t="s">
        <v>4084</v>
      </c>
      <c r="O754" s="1134">
        <v>3.0</v>
      </c>
      <c r="P754" s="1100" t="str">
        <f t="shared" si="37"/>
        <v>10.1177--0956797615612202.pdf</v>
      </c>
      <c r="Q754" s="49" t="str">
        <f t="array" ref="Q754"> if(iserror(MATCH(V754, 'File Links'!C:C, 0)), "N/A", HYPERLINK(INDEX('File Links'!B:B, MATCH(P754, 'File Links'!C:C, 0))))</f>
        <v>https://drive.google.com/file/d/1d70WNl03Y6R-FQ2zFUG_7JzLtb7KIhMn/view?usp=drivesdk</v>
      </c>
      <c r="R754" s="1100" t="s">
        <v>3646</v>
      </c>
      <c r="S754" s="1100" t="s">
        <v>3647</v>
      </c>
      <c r="T754" s="433"/>
      <c r="U754" s="153">
        <v>1.0</v>
      </c>
      <c r="V754" s="1100" t="str">
        <f t="shared" si="41"/>
        <v>10.1098--rsos.231240.pdf</v>
      </c>
      <c r="W754" s="1100" t="s">
        <v>157</v>
      </c>
      <c r="X754" s="51" t="str">
        <f t="array" ref="X754"> if(iserror(MATCH(V754, 'File Links'!C:C, 0)), "N/A", HYPERLINK(INDEX('File Links'!B:B, MATCH(V754, 'File Links'!C:C, 0))))</f>
        <v>https://drive.google.com/file/d/17gaf2Zy_ljFfcAEDk5L8GBnTl5i7RGJE/view?usp=drivesdk</v>
      </c>
      <c r="Y754" s="433"/>
      <c r="Z754" s="1100" t="s">
        <v>219</v>
      </c>
      <c r="AA754" s="1100" t="s">
        <v>4086</v>
      </c>
      <c r="AB754" s="1100" t="s">
        <v>4104</v>
      </c>
      <c r="AC754" s="1100" t="s">
        <v>4120</v>
      </c>
      <c r="AD754" s="1100" t="s">
        <v>4121</v>
      </c>
      <c r="AE754" s="1142">
        <v>6.0</v>
      </c>
      <c r="AF754" s="1148">
        <v>133.0</v>
      </c>
      <c r="AG754" s="1142" t="s">
        <v>4122</v>
      </c>
      <c r="AH754" s="1134" t="s">
        <v>127</v>
      </c>
      <c r="AI754" s="1142" t="s">
        <v>133</v>
      </c>
      <c r="AJ754" s="1151" t="s">
        <v>131</v>
      </c>
      <c r="AK754" s="1132" t="s">
        <v>131</v>
      </c>
      <c r="AL754" s="427" t="s">
        <v>179</v>
      </c>
      <c r="AM754" s="1100" t="s">
        <v>134</v>
      </c>
      <c r="AN754" s="1132" t="s">
        <v>131</v>
      </c>
      <c r="AO754" s="1142">
        <v>128.0</v>
      </c>
      <c r="AP754" s="1142">
        <v>-9.25</v>
      </c>
      <c r="AQ754" s="1134" t="s">
        <v>980</v>
      </c>
      <c r="AR754" s="1136" t="s">
        <v>4123</v>
      </c>
      <c r="AS754" s="1134">
        <v>5.85E-4</v>
      </c>
      <c r="AT754" s="1100" t="s">
        <v>165</v>
      </c>
      <c r="AU754" s="1100" t="s">
        <v>179</v>
      </c>
      <c r="AV754" s="1100" t="s">
        <v>134</v>
      </c>
      <c r="AW754" s="1136" t="s">
        <v>4095</v>
      </c>
      <c r="AX754" s="433" t="s">
        <v>144</v>
      </c>
      <c r="AY754" s="418" t="s">
        <v>4124</v>
      </c>
      <c r="AZ754" s="1132" t="s">
        <v>4092</v>
      </c>
      <c r="BA754" s="362"/>
      <c r="BB754" s="362"/>
      <c r="BC754" s="362"/>
      <c r="BD754" s="362"/>
      <c r="BE754" s="362"/>
      <c r="BF754" s="362"/>
      <c r="BG754" s="362"/>
      <c r="BH754" s="362"/>
      <c r="BI754" s="362"/>
      <c r="BJ754" s="362"/>
      <c r="BK754" s="362"/>
      <c r="BL754" s="362"/>
      <c r="BM754" s="362"/>
      <c r="BN754" s="362"/>
      <c r="BO754" s="362"/>
      <c r="BP754" s="362"/>
      <c r="BQ754" s="362"/>
      <c r="BR754" s="362"/>
      <c r="BS754" s="362"/>
      <c r="BT754" s="362"/>
      <c r="BU754" s="362"/>
      <c r="BV754" s="362"/>
      <c r="BW754" s="362"/>
      <c r="BX754" s="362"/>
      <c r="BY754" s="362"/>
      <c r="BZ754" s="362"/>
      <c r="CA754" s="362"/>
      <c r="CB754" s="362"/>
      <c r="CC754" s="362"/>
      <c r="CD754" s="362"/>
      <c r="CE754" s="362"/>
      <c r="CF754" s="362"/>
      <c r="CG754" s="362"/>
      <c r="CH754" s="362"/>
      <c r="CI754" s="362"/>
      <c r="CJ754" s="362"/>
      <c r="CK754" s="362"/>
      <c r="CL754" s="362"/>
      <c r="CM754" s="362"/>
      <c r="CN754" s="362"/>
      <c r="CO754" s="362"/>
      <c r="CP754" s="362"/>
      <c r="CQ754" s="362"/>
      <c r="CR754" s="362"/>
      <c r="CS754" s="362"/>
      <c r="CT754" s="362"/>
      <c r="CU754" s="362"/>
      <c r="CV754" s="362"/>
      <c r="CW754" s="362"/>
      <c r="CX754" s="362"/>
      <c r="CY754" s="362"/>
      <c r="CZ754" s="362"/>
      <c r="DA754" s="362"/>
      <c r="DB754" s="362"/>
      <c r="DC754" s="362"/>
      <c r="DD754" s="362"/>
      <c r="DE754" s="362"/>
      <c r="DF754" s="362"/>
      <c r="DG754" s="362"/>
      <c r="DH754" s="362"/>
    </row>
    <row r="755" ht="20.25" customHeight="1">
      <c r="A755" s="41">
        <v>755.0</v>
      </c>
      <c r="B755" s="1132" t="s">
        <v>145</v>
      </c>
      <c r="C755" s="418" t="s">
        <v>108</v>
      </c>
      <c r="D755" s="418" t="s">
        <v>146</v>
      </c>
      <c r="E755" s="362"/>
      <c r="F755" s="433" t="s">
        <v>4125</v>
      </c>
      <c r="G755" s="427" t="s">
        <v>4126</v>
      </c>
      <c r="H755" s="1100" t="s">
        <v>146</v>
      </c>
      <c r="I755" s="1133">
        <v>45687.0</v>
      </c>
      <c r="J755" s="1152">
        <v>45722.0</v>
      </c>
      <c r="K755" s="430" t="s">
        <v>4127</v>
      </c>
      <c r="L755" s="1150" t="s">
        <v>4128</v>
      </c>
      <c r="M755" s="1100" t="s">
        <v>4083</v>
      </c>
      <c r="N755" s="1100" t="s">
        <v>4084</v>
      </c>
      <c r="O755" s="1134" t="s">
        <v>4085</v>
      </c>
      <c r="P755" s="1100" t="str">
        <f t="shared" si="37"/>
        <v>10.1177--0956797615612202.pdf</v>
      </c>
      <c r="Q755" s="49" t="str">
        <f t="array" ref="Q755"> if(iserror(MATCH(V755, 'File Links'!C:C, 0)), "N/A", HYPERLINK(INDEX('File Links'!B:B, MATCH(P755, 'File Links'!C:C, 0))))</f>
        <v>https://drive.google.com/file/d/1d70WNl03Y6R-FQ2zFUG_7JzLtb7KIhMn/view?usp=drivesdk</v>
      </c>
      <c r="R755" s="1100" t="s">
        <v>3646</v>
      </c>
      <c r="S755" s="1100" t="s">
        <v>3647</v>
      </c>
      <c r="T755" s="433"/>
      <c r="U755" s="153">
        <v>1.0</v>
      </c>
      <c r="V755" s="1100" t="str">
        <f t="shared" si="41"/>
        <v>10.1098--rsos.231240.pdf</v>
      </c>
      <c r="W755" s="1100" t="s">
        <v>157</v>
      </c>
      <c r="X755" s="51" t="str">
        <f t="array" ref="X755"> if(iserror(MATCH(V755, 'File Links'!C:C, 0)), "N/A", HYPERLINK(INDEX('File Links'!B:B, MATCH(V755, 'File Links'!C:C, 0))))</f>
        <v>https://drive.google.com/file/d/17gaf2Zy_ljFfcAEDk5L8GBnTl5i7RGJE/view?usp=drivesdk</v>
      </c>
      <c r="Y755" s="433"/>
      <c r="Z755" s="1100" t="s">
        <v>219</v>
      </c>
      <c r="AA755" s="1100" t="s">
        <v>4086</v>
      </c>
      <c r="AB755" s="1100" t="s">
        <v>4104</v>
      </c>
      <c r="AC755" s="1100" t="s">
        <v>4129</v>
      </c>
      <c r="AD755" s="1100" t="s">
        <v>4130</v>
      </c>
      <c r="AE755" s="1134">
        <v>3.0</v>
      </c>
      <c r="AF755" s="1134">
        <v>88.0</v>
      </c>
      <c r="AG755" s="1134">
        <v>0.53</v>
      </c>
      <c r="AH755" s="1134" t="s">
        <v>166</v>
      </c>
      <c r="AI755" s="1134" t="s">
        <v>210</v>
      </c>
      <c r="AJ755" s="1135">
        <v>0.016</v>
      </c>
      <c r="AK755" s="427" t="s">
        <v>128</v>
      </c>
      <c r="AL755" s="427" t="s">
        <v>179</v>
      </c>
      <c r="AM755" s="1100" t="s">
        <v>134</v>
      </c>
      <c r="AN755" s="1132" t="s">
        <v>131</v>
      </c>
      <c r="AO755" s="1134">
        <v>119.0</v>
      </c>
      <c r="AP755" s="1134">
        <v>0.64</v>
      </c>
      <c r="AQ755" s="1134" t="s">
        <v>166</v>
      </c>
      <c r="AR755" s="1153" t="s">
        <v>806</v>
      </c>
      <c r="AS755" s="1134">
        <v>0.001</v>
      </c>
      <c r="AT755" s="1100" t="s">
        <v>128</v>
      </c>
      <c r="AU755" s="1100" t="s">
        <v>179</v>
      </c>
      <c r="AV755" s="1100" t="s">
        <v>134</v>
      </c>
      <c r="AW755" s="1132" t="s">
        <v>131</v>
      </c>
      <c r="AX755" s="433" t="s">
        <v>136</v>
      </c>
      <c r="AY755" s="418" t="s">
        <v>4131</v>
      </c>
      <c r="AZ755" s="1132" t="s">
        <v>4132</v>
      </c>
      <c r="BA755" s="362"/>
      <c r="BB755" s="362"/>
      <c r="BC755" s="362"/>
      <c r="BD755" s="362"/>
      <c r="BE755" s="362"/>
      <c r="BF755" s="362"/>
      <c r="BG755" s="362"/>
      <c r="BH755" s="362"/>
      <c r="BI755" s="362"/>
      <c r="BJ755" s="362"/>
      <c r="BK755" s="362"/>
      <c r="BL755" s="362"/>
      <c r="BM755" s="362"/>
      <c r="BN755" s="362"/>
      <c r="BO755" s="362"/>
      <c r="BP755" s="362"/>
      <c r="BQ755" s="362"/>
      <c r="BR755" s="362"/>
      <c r="BS755" s="362"/>
      <c r="BT755" s="362"/>
      <c r="BU755" s="362"/>
      <c r="BV755" s="362"/>
      <c r="BW755" s="362"/>
      <c r="BX755" s="362"/>
      <c r="BY755" s="362"/>
      <c r="BZ755" s="362"/>
      <c r="CA755" s="362"/>
      <c r="CB755" s="362"/>
      <c r="CC755" s="362"/>
      <c r="CD755" s="362"/>
      <c r="CE755" s="362"/>
      <c r="CF755" s="362"/>
      <c r="CG755" s="362"/>
      <c r="CH755" s="362"/>
      <c r="CI755" s="362"/>
      <c r="CJ755" s="362"/>
      <c r="CK755" s="362"/>
      <c r="CL755" s="362"/>
      <c r="CM755" s="362"/>
      <c r="CN755" s="362"/>
      <c r="CO755" s="362"/>
      <c r="CP755" s="362"/>
      <c r="CQ755" s="362"/>
      <c r="CR755" s="362"/>
      <c r="CS755" s="362"/>
      <c r="CT755" s="362"/>
      <c r="CU755" s="362"/>
      <c r="CV755" s="362"/>
      <c r="CW755" s="362"/>
      <c r="CX755" s="362"/>
      <c r="CY755" s="362"/>
      <c r="CZ755" s="362"/>
      <c r="DA755" s="362"/>
      <c r="DB755" s="362"/>
      <c r="DC755" s="362"/>
      <c r="DD755" s="362"/>
      <c r="DE755" s="362"/>
      <c r="DF755" s="362"/>
      <c r="DG755" s="362"/>
      <c r="DH755" s="362"/>
    </row>
    <row r="756" ht="20.25" customHeight="1">
      <c r="A756" s="41">
        <v>756.0</v>
      </c>
      <c r="B756" s="1132" t="s">
        <v>145</v>
      </c>
      <c r="C756" s="418" t="s">
        <v>108</v>
      </c>
      <c r="D756" s="418" t="s">
        <v>146</v>
      </c>
      <c r="E756" s="362"/>
      <c r="F756" s="433" t="s">
        <v>4125</v>
      </c>
      <c r="G756" s="427" t="s">
        <v>4133</v>
      </c>
      <c r="H756" s="1100" t="s">
        <v>146</v>
      </c>
      <c r="I756" s="1133">
        <v>45687.0</v>
      </c>
      <c r="J756" s="1152">
        <v>45722.0</v>
      </c>
      <c r="K756" s="430" t="s">
        <v>4134</v>
      </c>
      <c r="L756" s="1150" t="s">
        <v>4135</v>
      </c>
      <c r="M756" s="1100" t="s">
        <v>4083</v>
      </c>
      <c r="N756" s="1100" t="s">
        <v>4084</v>
      </c>
      <c r="O756" s="1134" t="s">
        <v>4085</v>
      </c>
      <c r="P756" s="1100" t="str">
        <f t="shared" si="37"/>
        <v>10.1177--0956797615612202.pdf</v>
      </c>
      <c r="Q756" s="49" t="str">
        <f t="array" ref="Q756"> if(iserror(MATCH(V756, 'File Links'!C:C, 0)), "N/A", HYPERLINK(INDEX('File Links'!B:B, MATCH(P756, 'File Links'!C:C, 0))))</f>
        <v>https://drive.google.com/file/d/1d70WNl03Y6R-FQ2zFUG_7JzLtb7KIhMn/view?usp=drivesdk</v>
      </c>
      <c r="R756" s="1100" t="s">
        <v>3646</v>
      </c>
      <c r="S756" s="1100" t="s">
        <v>3647</v>
      </c>
      <c r="T756" s="433"/>
      <c r="U756" s="153">
        <v>1.0</v>
      </c>
      <c r="V756" s="1100" t="str">
        <f t="shared" si="41"/>
        <v>10.1098--rsos.231240.pdf</v>
      </c>
      <c r="W756" s="1100" t="s">
        <v>157</v>
      </c>
      <c r="X756" s="51" t="str">
        <f t="array" ref="X756"> if(iserror(MATCH(V756, 'File Links'!C:C, 0)), "N/A", HYPERLINK(INDEX('File Links'!B:B, MATCH(V756, 'File Links'!C:C, 0))))</f>
        <v>https://drive.google.com/file/d/17gaf2Zy_ljFfcAEDk5L8GBnTl5i7RGJE/view?usp=drivesdk</v>
      </c>
      <c r="Y756" s="433"/>
      <c r="Z756" s="1100" t="s">
        <v>219</v>
      </c>
      <c r="AA756" s="1100" t="s">
        <v>4086</v>
      </c>
      <c r="AB756" s="1100" t="s">
        <v>4104</v>
      </c>
      <c r="AC756" s="1100" t="s">
        <v>4136</v>
      </c>
      <c r="AD756" s="1100" t="s">
        <v>4137</v>
      </c>
      <c r="AE756" s="1134">
        <v>3.0</v>
      </c>
      <c r="AF756" s="1134">
        <v>88.0</v>
      </c>
      <c r="AG756" s="1134">
        <v>0.8</v>
      </c>
      <c r="AH756" s="1134" t="s">
        <v>166</v>
      </c>
      <c r="AI756" s="1134" t="s">
        <v>210</v>
      </c>
      <c r="AJ756" s="1135">
        <v>0.001</v>
      </c>
      <c r="AK756" s="427" t="s">
        <v>128</v>
      </c>
      <c r="AL756" s="427" t="s">
        <v>179</v>
      </c>
      <c r="AM756" s="1100" t="s">
        <v>134</v>
      </c>
      <c r="AN756" s="1132" t="s">
        <v>131</v>
      </c>
      <c r="AO756" s="1134">
        <v>119.0</v>
      </c>
      <c r="AP756" s="1134">
        <v>0.96</v>
      </c>
      <c r="AQ756" s="1134" t="s">
        <v>166</v>
      </c>
      <c r="AR756" s="1153" t="s">
        <v>806</v>
      </c>
      <c r="AS756" s="1134">
        <v>0.001</v>
      </c>
      <c r="AT756" s="1100" t="s">
        <v>128</v>
      </c>
      <c r="AU756" s="1100" t="s">
        <v>179</v>
      </c>
      <c r="AV756" s="1100" t="s">
        <v>134</v>
      </c>
      <c r="AW756" s="1132" t="s">
        <v>131</v>
      </c>
      <c r="AX756" s="433" t="s">
        <v>136</v>
      </c>
      <c r="AY756" s="362"/>
      <c r="AZ756" s="1132" t="s">
        <v>4132</v>
      </c>
      <c r="BA756" s="362"/>
      <c r="BB756" s="362"/>
      <c r="BC756" s="362"/>
      <c r="BD756" s="362"/>
      <c r="BE756" s="362"/>
      <c r="BF756" s="362"/>
      <c r="BG756" s="362"/>
      <c r="BH756" s="362"/>
      <c r="BI756" s="362"/>
      <c r="BJ756" s="362"/>
      <c r="BK756" s="362"/>
      <c r="BL756" s="362"/>
      <c r="BM756" s="362"/>
      <c r="BN756" s="362"/>
      <c r="BO756" s="362"/>
      <c r="BP756" s="362"/>
      <c r="BQ756" s="362"/>
      <c r="BR756" s="362"/>
      <c r="BS756" s="362"/>
      <c r="BT756" s="362"/>
      <c r="BU756" s="362"/>
      <c r="BV756" s="362"/>
      <c r="BW756" s="362"/>
      <c r="BX756" s="362"/>
      <c r="BY756" s="362"/>
      <c r="BZ756" s="362"/>
      <c r="CA756" s="362"/>
      <c r="CB756" s="362"/>
      <c r="CC756" s="362"/>
      <c r="CD756" s="362"/>
      <c r="CE756" s="362"/>
      <c r="CF756" s="362"/>
      <c r="CG756" s="362"/>
      <c r="CH756" s="362"/>
      <c r="CI756" s="362"/>
      <c r="CJ756" s="362"/>
      <c r="CK756" s="362"/>
      <c r="CL756" s="362"/>
      <c r="CM756" s="362"/>
      <c r="CN756" s="362"/>
      <c r="CO756" s="362"/>
      <c r="CP756" s="362"/>
      <c r="CQ756" s="362"/>
      <c r="CR756" s="362"/>
      <c r="CS756" s="362"/>
      <c r="CT756" s="362"/>
      <c r="CU756" s="362"/>
      <c r="CV756" s="362"/>
      <c r="CW756" s="362"/>
      <c r="CX756" s="362"/>
      <c r="CY756" s="362"/>
      <c r="CZ756" s="362"/>
      <c r="DA756" s="362"/>
      <c r="DB756" s="362"/>
      <c r="DC756" s="362"/>
      <c r="DD756" s="362"/>
      <c r="DE756" s="362"/>
      <c r="DF756" s="362"/>
      <c r="DG756" s="362"/>
      <c r="DH756" s="362"/>
    </row>
    <row r="757">
      <c r="A757" s="41">
        <v>757.0</v>
      </c>
      <c r="B757" s="1132" t="s">
        <v>145</v>
      </c>
      <c r="C757" s="418" t="s">
        <v>108</v>
      </c>
      <c r="D757" s="418" t="s">
        <v>146</v>
      </c>
      <c r="E757" s="362"/>
      <c r="F757" s="433" t="s">
        <v>4125</v>
      </c>
      <c r="G757" s="427" t="s">
        <v>4138</v>
      </c>
      <c r="H757" s="1100" t="s">
        <v>146</v>
      </c>
      <c r="I757" s="1133">
        <v>45687.0</v>
      </c>
      <c r="J757" s="1152">
        <v>45722.0</v>
      </c>
      <c r="K757" s="430" t="s">
        <v>4139</v>
      </c>
      <c r="L757" s="1150" t="s">
        <v>4140</v>
      </c>
      <c r="M757" s="1100" t="s">
        <v>4083</v>
      </c>
      <c r="N757" s="1100" t="s">
        <v>4084</v>
      </c>
      <c r="O757" s="1134" t="s">
        <v>4085</v>
      </c>
      <c r="P757" s="1100" t="str">
        <f t="shared" si="37"/>
        <v>10.1177--0956797615612202.pdf</v>
      </c>
      <c r="Q757" s="49" t="str">
        <f t="array" ref="Q757"> if(iserror(MATCH(V757, 'File Links'!C:C, 0)), "N/A", HYPERLINK(INDEX('File Links'!B:B, MATCH(P757, 'File Links'!C:C, 0))))</f>
        <v>https://drive.google.com/file/d/1d70WNl03Y6R-FQ2zFUG_7JzLtb7KIhMn/view?usp=drivesdk</v>
      </c>
      <c r="R757" s="1100" t="s">
        <v>3646</v>
      </c>
      <c r="S757" s="1100" t="s">
        <v>3647</v>
      </c>
      <c r="T757" s="433"/>
      <c r="U757" s="153">
        <v>1.0</v>
      </c>
      <c r="V757" s="1100" t="str">
        <f t="shared" si="41"/>
        <v>10.1098--rsos.231240.pdf</v>
      </c>
      <c r="W757" s="1100" t="s">
        <v>157</v>
      </c>
      <c r="X757" s="51" t="str">
        <f t="array" ref="X757"> if(iserror(MATCH(V757, 'File Links'!C:C, 0)), "N/A", HYPERLINK(INDEX('File Links'!B:B, MATCH(V757, 'File Links'!C:C, 0))))</f>
        <v>https://drive.google.com/file/d/17gaf2Zy_ljFfcAEDk5L8GBnTl5i7RGJE/view?usp=drivesdk</v>
      </c>
      <c r="Y757" s="433"/>
      <c r="Z757" s="1100" t="s">
        <v>219</v>
      </c>
      <c r="AA757" s="1100" t="s">
        <v>4086</v>
      </c>
      <c r="AB757" s="1100" t="s">
        <v>4104</v>
      </c>
      <c r="AC757" s="1100" t="s">
        <v>4141</v>
      </c>
      <c r="AD757" s="1100" t="s">
        <v>4142</v>
      </c>
      <c r="AE757" s="1134">
        <v>3.0</v>
      </c>
      <c r="AF757" s="1134">
        <v>88.0</v>
      </c>
      <c r="AG757" s="1134">
        <v>0.62</v>
      </c>
      <c r="AH757" s="1134" t="s">
        <v>166</v>
      </c>
      <c r="AI757" s="1134" t="s">
        <v>210</v>
      </c>
      <c r="AJ757" s="1135">
        <v>0.005</v>
      </c>
      <c r="AK757" s="427" t="s">
        <v>165</v>
      </c>
      <c r="AL757" s="427" t="s">
        <v>179</v>
      </c>
      <c r="AM757" s="1100" t="s">
        <v>134</v>
      </c>
      <c r="AN757" s="1132" t="s">
        <v>131</v>
      </c>
      <c r="AO757" s="1134">
        <v>119.0</v>
      </c>
      <c r="AP757" s="1134">
        <v>0.72</v>
      </c>
      <c r="AQ757" s="1134" t="s">
        <v>166</v>
      </c>
      <c r="AR757" s="1153" t="s">
        <v>125</v>
      </c>
      <c r="AS757" s="1134">
        <v>0.001</v>
      </c>
      <c r="AT757" s="1100" t="s">
        <v>128</v>
      </c>
      <c r="AU757" s="1100" t="s">
        <v>179</v>
      </c>
      <c r="AV757" s="1100" t="s">
        <v>134</v>
      </c>
      <c r="AW757" s="1132" t="s">
        <v>131</v>
      </c>
      <c r="AX757" s="433" t="s">
        <v>136</v>
      </c>
      <c r="AY757" s="362"/>
      <c r="AZ757" s="1132" t="s">
        <v>4132</v>
      </c>
      <c r="BA757" s="362"/>
      <c r="BB757" s="362"/>
      <c r="BC757" s="362"/>
      <c r="BD757" s="362"/>
      <c r="BE757" s="362"/>
      <c r="BF757" s="362"/>
      <c r="BG757" s="362"/>
      <c r="BH757" s="362"/>
      <c r="BI757" s="362"/>
      <c r="BJ757" s="362"/>
      <c r="BK757" s="362"/>
      <c r="BL757" s="362"/>
      <c r="BM757" s="362"/>
      <c r="BN757" s="362"/>
      <c r="BO757" s="362"/>
      <c r="BP757" s="362"/>
      <c r="BQ757" s="362"/>
      <c r="BR757" s="362"/>
      <c r="BS757" s="362"/>
      <c r="BT757" s="362"/>
      <c r="BU757" s="362"/>
      <c r="BV757" s="362"/>
      <c r="BW757" s="362"/>
      <c r="BX757" s="362"/>
      <c r="BY757" s="362"/>
      <c r="BZ757" s="362"/>
      <c r="CA757" s="362"/>
      <c r="CB757" s="362"/>
      <c r="CC757" s="362"/>
      <c r="CD757" s="362"/>
      <c r="CE757" s="362"/>
      <c r="CF757" s="362"/>
      <c r="CG757" s="362"/>
      <c r="CH757" s="362"/>
      <c r="CI757" s="362"/>
      <c r="CJ757" s="362"/>
      <c r="CK757" s="362"/>
      <c r="CL757" s="362"/>
      <c r="CM757" s="362"/>
      <c r="CN757" s="362"/>
      <c r="CO757" s="362"/>
      <c r="CP757" s="362"/>
      <c r="CQ757" s="362"/>
      <c r="CR757" s="362"/>
      <c r="CS757" s="362"/>
      <c r="CT757" s="362"/>
      <c r="CU757" s="362"/>
      <c r="CV757" s="362"/>
      <c r="CW757" s="362"/>
      <c r="CX757" s="362"/>
      <c r="CY757" s="362"/>
      <c r="CZ757" s="362"/>
      <c r="DA757" s="362"/>
      <c r="DB757" s="362"/>
      <c r="DC757" s="362"/>
      <c r="DD757" s="362"/>
      <c r="DE757" s="362"/>
      <c r="DF757" s="362"/>
      <c r="DG757" s="362"/>
      <c r="DH757" s="362"/>
    </row>
    <row r="758">
      <c r="A758" s="41">
        <v>758.0</v>
      </c>
      <c r="B758" s="1132" t="s">
        <v>145</v>
      </c>
      <c r="C758" s="418" t="s">
        <v>108</v>
      </c>
      <c r="D758" s="418" t="s">
        <v>146</v>
      </c>
      <c r="E758" s="362"/>
      <c r="F758" s="433" t="s">
        <v>4143</v>
      </c>
      <c r="G758" s="427" t="s">
        <v>4144</v>
      </c>
      <c r="H758" s="1100" t="s">
        <v>146</v>
      </c>
      <c r="I758" s="1133">
        <v>45687.0</v>
      </c>
      <c r="J758" s="1133">
        <v>45692.0</v>
      </c>
      <c r="K758" s="430" t="s">
        <v>4145</v>
      </c>
      <c r="L758" s="1132" t="s">
        <v>4146</v>
      </c>
      <c r="M758" s="1100" t="s">
        <v>4083</v>
      </c>
      <c r="N758" s="1100" t="s">
        <v>4084</v>
      </c>
      <c r="O758" s="1134">
        <v>2.0</v>
      </c>
      <c r="P758" s="1100" t="str">
        <f t="shared" si="37"/>
        <v>10.1177--0956797615612202.pdf</v>
      </c>
      <c r="Q758" s="49" t="str">
        <f t="array" ref="Q758"> if(iserror(MATCH(V758, 'File Links'!C:C, 0)), "N/A", HYPERLINK(INDEX('File Links'!B:B, MATCH(P758, 'File Links'!C:C, 0))))</f>
        <v>https://drive.google.com/file/d/1d70WNl03Y6R-FQ2zFUG_7JzLtb7KIhMn/view?usp=drivesdk</v>
      </c>
      <c r="R758" s="1100" t="s">
        <v>3646</v>
      </c>
      <c r="S758" s="1100" t="s">
        <v>3647</v>
      </c>
      <c r="T758" s="433"/>
      <c r="U758" s="153">
        <v>1.0</v>
      </c>
      <c r="V758" s="1100" t="str">
        <f t="shared" si="41"/>
        <v>10.1098--rsos.231240.pdf</v>
      </c>
      <c r="W758" s="1100" t="s">
        <v>157</v>
      </c>
      <c r="X758" s="51" t="str">
        <f t="array" ref="X758"> if(iserror(MATCH(V758, 'File Links'!C:C, 0)), "N/A", HYPERLINK(INDEX('File Links'!B:B, MATCH(V758, 'File Links'!C:C, 0))))</f>
        <v>https://drive.google.com/file/d/17gaf2Zy_ljFfcAEDk5L8GBnTl5i7RGJE/view?usp=drivesdk</v>
      </c>
      <c r="Y758" s="433"/>
      <c r="Z758" s="1100" t="s">
        <v>219</v>
      </c>
      <c r="AA758" s="1100" t="s">
        <v>4086</v>
      </c>
      <c r="AB758" s="1100" t="s">
        <v>4104</v>
      </c>
      <c r="AC758" s="1100" t="s">
        <v>4147</v>
      </c>
      <c r="AD758" s="1100" t="s">
        <v>4148</v>
      </c>
      <c r="AE758" s="1142">
        <v>8.0</v>
      </c>
      <c r="AF758" s="1134">
        <v>118.0</v>
      </c>
      <c r="AG758" s="1142" t="s">
        <v>4149</v>
      </c>
      <c r="AH758" s="1134" t="s">
        <v>127</v>
      </c>
      <c r="AI758" s="1142" t="s">
        <v>606</v>
      </c>
      <c r="AJ758" s="1143">
        <v>0.01</v>
      </c>
      <c r="AK758" s="427" t="s">
        <v>165</v>
      </c>
      <c r="AL758" s="427" t="s">
        <v>179</v>
      </c>
      <c r="AM758" s="1100" t="s">
        <v>134</v>
      </c>
      <c r="AN758" s="1154" t="s">
        <v>131</v>
      </c>
      <c r="AO758" s="1134">
        <v>78.0</v>
      </c>
      <c r="AP758" s="1142">
        <v>0.56</v>
      </c>
      <c r="AQ758" s="1142" t="s">
        <v>166</v>
      </c>
      <c r="AR758" s="1155" t="s">
        <v>4150</v>
      </c>
      <c r="AS758" s="1134">
        <v>0.014</v>
      </c>
      <c r="AT758" s="1100" t="s">
        <v>165</v>
      </c>
      <c r="AU758" s="1100" t="s">
        <v>179</v>
      </c>
      <c r="AV758" s="1100" t="s">
        <v>134</v>
      </c>
      <c r="AW758" s="433"/>
      <c r="AX758" s="433" t="s">
        <v>136</v>
      </c>
      <c r="AY758" s="362"/>
      <c r="AZ758" s="1132" t="s">
        <v>4092</v>
      </c>
      <c r="BA758" s="362"/>
      <c r="BB758" s="362"/>
      <c r="BC758" s="362"/>
      <c r="BD758" s="362"/>
      <c r="BE758" s="362"/>
      <c r="BF758" s="362"/>
      <c r="BG758" s="362"/>
      <c r="BH758" s="362"/>
      <c r="BI758" s="362"/>
      <c r="BJ758" s="362"/>
      <c r="BK758" s="362"/>
      <c r="BL758" s="362"/>
      <c r="BM758" s="362"/>
      <c r="BN758" s="362"/>
      <c r="BO758" s="362"/>
      <c r="BP758" s="362"/>
      <c r="BQ758" s="362"/>
      <c r="BR758" s="362"/>
      <c r="BS758" s="362"/>
      <c r="BT758" s="362"/>
      <c r="BU758" s="362"/>
      <c r="BV758" s="362"/>
      <c r="BW758" s="362"/>
      <c r="BX758" s="362"/>
      <c r="BY758" s="362"/>
      <c r="BZ758" s="362"/>
      <c r="CA758" s="362"/>
      <c r="CB758" s="362"/>
      <c r="CC758" s="362"/>
      <c r="CD758" s="362"/>
      <c r="CE758" s="362"/>
      <c r="CF758" s="362"/>
      <c r="CG758" s="362"/>
      <c r="CH758" s="362"/>
      <c r="CI758" s="362"/>
      <c r="CJ758" s="362"/>
      <c r="CK758" s="362"/>
      <c r="CL758" s="362"/>
      <c r="CM758" s="362"/>
      <c r="CN758" s="362"/>
      <c r="CO758" s="362"/>
      <c r="CP758" s="362"/>
      <c r="CQ758" s="362"/>
      <c r="CR758" s="362"/>
      <c r="CS758" s="362"/>
      <c r="CT758" s="362"/>
      <c r="CU758" s="362"/>
      <c r="CV758" s="362"/>
      <c r="CW758" s="362"/>
      <c r="CX758" s="362"/>
      <c r="CY758" s="362"/>
      <c r="CZ758" s="362"/>
      <c r="DA758" s="362"/>
      <c r="DB758" s="362"/>
      <c r="DC758" s="362"/>
      <c r="DD758" s="362"/>
      <c r="DE758" s="362"/>
      <c r="DF758" s="362"/>
      <c r="DG758" s="362"/>
      <c r="DH758" s="362"/>
    </row>
    <row r="759">
      <c r="A759" s="41">
        <v>759.0</v>
      </c>
      <c r="B759" s="1132" t="s">
        <v>107</v>
      </c>
      <c r="C759" s="418" t="s">
        <v>108</v>
      </c>
      <c r="D759" s="418" t="s">
        <v>146</v>
      </c>
      <c r="E759" s="362"/>
      <c r="F759" s="433" t="s">
        <v>4151</v>
      </c>
      <c r="G759" s="427" t="s">
        <v>4152</v>
      </c>
      <c r="H759" s="1100" t="s">
        <v>146</v>
      </c>
      <c r="I759" s="1133">
        <v>45687.0</v>
      </c>
      <c r="J759" s="1133">
        <v>45692.0</v>
      </c>
      <c r="K759" s="430" t="s">
        <v>4153</v>
      </c>
      <c r="L759" s="1132" t="s">
        <v>4154</v>
      </c>
      <c r="M759" s="1100" t="s">
        <v>4083</v>
      </c>
      <c r="N759" s="1100" t="s">
        <v>4084</v>
      </c>
      <c r="O759" s="1134">
        <v>2.0</v>
      </c>
      <c r="P759" s="1100" t="str">
        <f t="shared" si="37"/>
        <v>10.1177--0956797615612202.pdf</v>
      </c>
      <c r="Q759" s="49" t="str">
        <f t="array" ref="Q759"> if(iserror(MATCH(V759, 'File Links'!C:C, 0)), "N/A", HYPERLINK(INDEX('File Links'!B:B, MATCH(P759, 'File Links'!C:C, 0))))</f>
        <v>https://drive.google.com/file/d/1d70WNl03Y6R-FQ2zFUG_7JzLtb7KIhMn/view?usp=drivesdk</v>
      </c>
      <c r="R759" s="1100" t="s">
        <v>3646</v>
      </c>
      <c r="S759" s="1100" t="s">
        <v>3647</v>
      </c>
      <c r="T759" s="433"/>
      <c r="U759" s="153">
        <v>1.0</v>
      </c>
      <c r="V759" s="1100" t="str">
        <f t="shared" si="41"/>
        <v>10.1098--rsos.231240.pdf</v>
      </c>
      <c r="W759" s="1100" t="s">
        <v>157</v>
      </c>
      <c r="X759" s="51" t="str">
        <f t="array" ref="X759"> if(iserror(MATCH(V759, 'File Links'!C:C, 0)), "N/A", HYPERLINK(INDEX('File Links'!B:B, MATCH(V759, 'File Links'!C:C, 0))))</f>
        <v>https://drive.google.com/file/d/17gaf2Zy_ljFfcAEDk5L8GBnTl5i7RGJE/view?usp=drivesdk</v>
      </c>
      <c r="Y759" s="433"/>
      <c r="Z759" s="1100" t="s">
        <v>219</v>
      </c>
      <c r="AA759" s="1100" t="s">
        <v>4086</v>
      </c>
      <c r="AB759" s="1100" t="s">
        <v>4104</v>
      </c>
      <c r="AC759" s="1100" t="s">
        <v>4155</v>
      </c>
      <c r="AD759" s="1100" t="s">
        <v>4156</v>
      </c>
      <c r="AE759" s="1142">
        <v>4.0</v>
      </c>
      <c r="AF759" s="1134">
        <v>118.0</v>
      </c>
      <c r="AG759" s="1142">
        <v>0.6</v>
      </c>
      <c r="AH759" s="1134" t="s">
        <v>166</v>
      </c>
      <c r="AI759" s="1142" t="s">
        <v>843</v>
      </c>
      <c r="AJ759" s="1143">
        <v>0.002</v>
      </c>
      <c r="AK759" s="427" t="s">
        <v>165</v>
      </c>
      <c r="AL759" s="427" t="s">
        <v>179</v>
      </c>
      <c r="AM759" s="1100" t="s">
        <v>134</v>
      </c>
      <c r="AN759" s="1154" t="s">
        <v>131</v>
      </c>
      <c r="AO759" s="1134">
        <v>78.0</v>
      </c>
      <c r="AP759" s="1142">
        <v>0.56</v>
      </c>
      <c r="AQ759" s="1142" t="s">
        <v>166</v>
      </c>
      <c r="AR759" s="1142" t="s">
        <v>625</v>
      </c>
      <c r="AS759" s="1134">
        <v>0.014</v>
      </c>
      <c r="AT759" s="1100" t="s">
        <v>165</v>
      </c>
      <c r="AU759" s="1100" t="s">
        <v>179</v>
      </c>
      <c r="AV759" s="1100" t="s">
        <v>134</v>
      </c>
      <c r="AW759" s="433"/>
      <c r="AX759" s="433" t="s">
        <v>136</v>
      </c>
      <c r="AY759" s="362"/>
      <c r="AZ759" s="1132" t="s">
        <v>4092</v>
      </c>
      <c r="BA759" s="362"/>
      <c r="BB759" s="362"/>
      <c r="BC759" s="362"/>
      <c r="BD759" s="362"/>
      <c r="BE759" s="362"/>
      <c r="BF759" s="362"/>
      <c r="BG759" s="362"/>
      <c r="BH759" s="362"/>
      <c r="BI759" s="362"/>
      <c r="BJ759" s="362"/>
      <c r="BK759" s="362"/>
      <c r="BL759" s="362"/>
      <c r="BM759" s="362"/>
      <c r="BN759" s="362"/>
      <c r="BO759" s="362"/>
      <c r="BP759" s="362"/>
      <c r="BQ759" s="362"/>
      <c r="BR759" s="362"/>
      <c r="BS759" s="362"/>
      <c r="BT759" s="362"/>
      <c r="BU759" s="362"/>
      <c r="BV759" s="362"/>
      <c r="BW759" s="362"/>
      <c r="BX759" s="362"/>
      <c r="BY759" s="362"/>
      <c r="BZ759" s="362"/>
      <c r="CA759" s="362"/>
      <c r="CB759" s="362"/>
      <c r="CC759" s="362"/>
      <c r="CD759" s="362"/>
      <c r="CE759" s="362"/>
      <c r="CF759" s="362"/>
      <c r="CG759" s="362"/>
      <c r="CH759" s="362"/>
      <c r="CI759" s="362"/>
      <c r="CJ759" s="362"/>
      <c r="CK759" s="362"/>
      <c r="CL759" s="362"/>
      <c r="CM759" s="362"/>
      <c r="CN759" s="362"/>
      <c r="CO759" s="362"/>
      <c r="CP759" s="362"/>
      <c r="CQ759" s="362"/>
      <c r="CR759" s="362"/>
      <c r="CS759" s="362"/>
      <c r="CT759" s="362"/>
      <c r="CU759" s="362"/>
      <c r="CV759" s="362"/>
      <c r="CW759" s="362"/>
      <c r="CX759" s="362"/>
      <c r="CY759" s="362"/>
      <c r="CZ759" s="362"/>
      <c r="DA759" s="362"/>
      <c r="DB759" s="362"/>
      <c r="DC759" s="362"/>
      <c r="DD759" s="362"/>
      <c r="DE759" s="362"/>
      <c r="DF759" s="362"/>
      <c r="DG759" s="362"/>
      <c r="DH759" s="362"/>
    </row>
    <row r="760">
      <c r="A760" s="41">
        <v>760.0</v>
      </c>
      <c r="B760" s="91" t="s">
        <v>107</v>
      </c>
      <c r="C760" s="90" t="s">
        <v>108</v>
      </c>
      <c r="D760" s="90" t="s">
        <v>241</v>
      </c>
      <c r="E760" s="89"/>
      <c r="F760" s="92" t="s">
        <v>4157</v>
      </c>
      <c r="G760" s="74" t="s">
        <v>4158</v>
      </c>
      <c r="H760" s="92" t="s">
        <v>242</v>
      </c>
      <c r="I760" s="850">
        <v>45663.0</v>
      </c>
      <c r="J760" s="850">
        <v>45692.0</v>
      </c>
      <c r="K760" s="83" t="s">
        <v>3676</v>
      </c>
      <c r="L760" s="1132" t="s">
        <v>4154</v>
      </c>
      <c r="M760" s="92" t="s">
        <v>4159</v>
      </c>
      <c r="N760" s="92" t="s">
        <v>4160</v>
      </c>
      <c r="O760" s="91"/>
      <c r="P760" s="92" t="str">
        <f t="shared" si="37"/>
        <v>10.1177--147470491100900206.pdf</v>
      </c>
      <c r="Q760" s="49" t="str">
        <f t="array" ref="Q760"> if(iserror(MATCH(V760, 'File Links'!C:C, 0)), "N/A", HYPERLINK(INDEX('File Links'!B:B, MATCH(P760, 'File Links'!C:C, 0))))</f>
        <v>https://drive.google.com/file/d/1VohCyZYrYeQ8wnGKTyDD2fOk8y16yZw3/view?usp=drivesdk</v>
      </c>
      <c r="R760" s="92" t="s">
        <v>3646</v>
      </c>
      <c r="S760" s="92" t="s">
        <v>3647</v>
      </c>
      <c r="T760" s="91"/>
      <c r="U760" s="153">
        <v>1.0</v>
      </c>
      <c r="V760" s="92" t="str">
        <f t="shared" si="41"/>
        <v>10.1098--rsos.231240.pdf</v>
      </c>
      <c r="W760" s="92" t="s">
        <v>317</v>
      </c>
      <c r="X760" s="51" t="str">
        <f t="array" ref="X760"> if(iserror(MATCH(V760, 'File Links'!C:C, 0)), "N/A", HYPERLINK(INDEX('File Links'!B:B, MATCH(V760, 'File Links'!C:C, 0))))</f>
        <v>https://drive.google.com/file/d/17gaf2Zy_ljFfcAEDk5L8GBnTl5i7RGJE/view?usp=drivesdk</v>
      </c>
      <c r="Y760" s="91"/>
      <c r="Z760" s="92" t="s">
        <v>2933</v>
      </c>
      <c r="AA760" s="91"/>
      <c r="AB760" s="91"/>
      <c r="AC760" s="91"/>
      <c r="AD760" s="92" t="s">
        <v>131</v>
      </c>
      <c r="AE760" s="92" t="s">
        <v>131</v>
      </c>
      <c r="AF760" s="95">
        <v>91.0</v>
      </c>
      <c r="AG760" s="92" t="s">
        <v>131</v>
      </c>
      <c r="AH760" s="164" t="s">
        <v>131</v>
      </c>
      <c r="AI760" s="92" t="s">
        <v>131</v>
      </c>
      <c r="AJ760" s="96" t="s">
        <v>131</v>
      </c>
      <c r="AK760" s="80"/>
      <c r="AL760" s="74" t="s">
        <v>179</v>
      </c>
      <c r="AM760" s="92" t="s">
        <v>1898</v>
      </c>
      <c r="AN760" s="126" t="s">
        <v>131</v>
      </c>
      <c r="AO760" s="95">
        <v>90.0</v>
      </c>
      <c r="AP760" s="92" t="s">
        <v>131</v>
      </c>
      <c r="AQ760" s="91"/>
      <c r="AR760" s="91"/>
      <c r="AS760" s="92" t="s">
        <v>131</v>
      </c>
      <c r="AT760" s="91"/>
      <c r="AU760" s="92" t="s">
        <v>179</v>
      </c>
      <c r="AV760" s="92" t="s">
        <v>1898</v>
      </c>
      <c r="AW760" s="91"/>
      <c r="AX760" s="92" t="s">
        <v>136</v>
      </c>
      <c r="AY760" s="89"/>
      <c r="AZ760" s="91" t="s">
        <v>146</v>
      </c>
      <c r="BA760" s="89"/>
      <c r="BB760" s="89"/>
      <c r="BC760" s="89"/>
      <c r="BD760" s="89"/>
      <c r="BE760" s="89"/>
      <c r="BF760" s="89"/>
      <c r="BG760" s="89"/>
      <c r="BH760" s="89"/>
      <c r="BI760" s="89"/>
      <c r="BJ760" s="89"/>
      <c r="BK760" s="89"/>
      <c r="BL760" s="89"/>
      <c r="BM760" s="89"/>
      <c r="BN760" s="89"/>
      <c r="BO760" s="89"/>
      <c r="BP760" s="89"/>
      <c r="BQ760" s="89"/>
      <c r="BR760" s="89"/>
      <c r="BS760" s="89"/>
      <c r="BT760" s="89"/>
      <c r="BU760" s="89"/>
      <c r="BV760" s="89"/>
      <c r="BW760" s="89"/>
      <c r="BX760" s="89"/>
      <c r="BY760" s="89"/>
      <c r="BZ760" s="89"/>
      <c r="CA760" s="89"/>
      <c r="CB760" s="89"/>
      <c r="CC760" s="89"/>
      <c r="CD760" s="89"/>
      <c r="CE760" s="89"/>
      <c r="CF760" s="89"/>
      <c r="CG760" s="89"/>
      <c r="CH760" s="89"/>
      <c r="CI760" s="89"/>
      <c r="CJ760" s="89"/>
      <c r="CK760" s="89"/>
      <c r="CL760" s="89"/>
      <c r="CM760" s="89"/>
      <c r="CN760" s="89"/>
      <c r="CO760" s="89"/>
      <c r="CP760" s="89"/>
      <c r="CQ760" s="89"/>
      <c r="CR760" s="89"/>
      <c r="CS760" s="89"/>
      <c r="CT760" s="89"/>
      <c r="CU760" s="89"/>
      <c r="CV760" s="89"/>
      <c r="CW760" s="89"/>
      <c r="CX760" s="89"/>
      <c r="CY760" s="89"/>
      <c r="CZ760" s="89"/>
      <c r="DA760" s="89"/>
      <c r="DB760" s="89"/>
      <c r="DC760" s="89"/>
      <c r="DD760" s="89"/>
      <c r="DE760" s="89"/>
      <c r="DF760" s="89"/>
      <c r="DG760" s="89"/>
      <c r="DH760" s="89"/>
    </row>
    <row r="761">
      <c r="A761" s="41">
        <v>761.0</v>
      </c>
      <c r="B761" s="77" t="s">
        <v>107</v>
      </c>
      <c r="C761" s="90" t="s">
        <v>108</v>
      </c>
      <c r="D761" s="90" t="s">
        <v>146</v>
      </c>
      <c r="E761" s="89"/>
      <c r="F761" s="91" t="s">
        <v>4158</v>
      </c>
      <c r="G761" s="74" t="s">
        <v>4157</v>
      </c>
      <c r="H761" s="92" t="s">
        <v>146</v>
      </c>
      <c r="I761" s="850">
        <v>45687.0</v>
      </c>
      <c r="J761" s="850">
        <v>45692.0</v>
      </c>
      <c r="K761" s="83" t="s">
        <v>4161</v>
      </c>
      <c r="L761" s="1132" t="s">
        <v>4154</v>
      </c>
      <c r="M761" s="92" t="s">
        <v>4159</v>
      </c>
      <c r="N761" s="92" t="s">
        <v>4160</v>
      </c>
      <c r="O761" s="95">
        <v>1.0</v>
      </c>
      <c r="P761" s="92" t="str">
        <f t="shared" si="37"/>
        <v>10.1177--147470491100900206.pdf</v>
      </c>
      <c r="Q761" s="49" t="str">
        <f t="array" ref="Q761"> if(iserror(MATCH(V761, 'File Links'!C:C, 0)), "N/A", HYPERLINK(INDEX('File Links'!B:B, MATCH(P761, 'File Links'!C:C, 0))))</f>
        <v>https://drive.google.com/file/d/1VohCyZYrYeQ8wnGKTyDD2fOk8y16yZw3/view?usp=drivesdk</v>
      </c>
      <c r="R761" s="92" t="s">
        <v>3646</v>
      </c>
      <c r="S761" s="92" t="s">
        <v>3647</v>
      </c>
      <c r="T761" s="91"/>
      <c r="U761" s="153">
        <v>1.0</v>
      </c>
      <c r="V761" s="92" t="s">
        <v>3651</v>
      </c>
      <c r="W761" s="92" t="s">
        <v>157</v>
      </c>
      <c r="X761" s="51" t="str">
        <f t="array" ref="X761"> if(iserror(MATCH(V761, 'File Links'!C:C, 0)), "N/A", HYPERLINK(INDEX('File Links'!B:B, MATCH(V761, 'File Links'!C:C, 0))))</f>
        <v>https://drive.google.com/file/d/17gaf2Zy_ljFfcAEDk5L8GBnTl5i7RGJE/view?usp=drivesdk</v>
      </c>
      <c r="Y761" s="92" t="s">
        <v>4162</v>
      </c>
      <c r="Z761" s="91"/>
      <c r="AA761" s="91"/>
      <c r="AB761" s="91"/>
      <c r="AC761" s="91"/>
      <c r="AD761" s="91"/>
      <c r="AE761" s="91"/>
      <c r="AF761" s="91"/>
      <c r="AG761" s="91"/>
      <c r="AH761" s="91"/>
      <c r="AI761" s="91"/>
      <c r="AJ761" s="592"/>
      <c r="AK761" s="80"/>
      <c r="AL761" s="80"/>
      <c r="AM761" s="91"/>
      <c r="AN761" s="126" t="s">
        <v>131</v>
      </c>
      <c r="AO761" s="91"/>
      <c r="AP761" s="91"/>
      <c r="AQ761" s="91"/>
      <c r="AR761" s="91"/>
      <c r="AS761" s="91"/>
      <c r="AT761" s="91"/>
      <c r="AU761" s="91"/>
      <c r="AV761" s="91"/>
      <c r="AW761" s="91"/>
      <c r="AX761" s="91"/>
      <c r="AY761" s="89"/>
      <c r="AZ761" s="91" t="s">
        <v>146</v>
      </c>
      <c r="BA761" s="89"/>
      <c r="BB761" s="89"/>
      <c r="BC761" s="89"/>
      <c r="BD761" s="89"/>
      <c r="BE761" s="89"/>
      <c r="BF761" s="89"/>
      <c r="BG761" s="89"/>
      <c r="BH761" s="89"/>
      <c r="BI761" s="89"/>
      <c r="BJ761" s="89"/>
      <c r="BK761" s="89"/>
      <c r="BL761" s="89"/>
      <c r="BM761" s="89"/>
      <c r="BN761" s="89"/>
      <c r="BO761" s="89"/>
      <c r="BP761" s="89"/>
      <c r="BQ761" s="89"/>
      <c r="BR761" s="89"/>
      <c r="BS761" s="89"/>
      <c r="BT761" s="89"/>
      <c r="BU761" s="89"/>
      <c r="BV761" s="89"/>
      <c r="BW761" s="89"/>
      <c r="BX761" s="89"/>
      <c r="BY761" s="89"/>
      <c r="BZ761" s="89"/>
      <c r="CA761" s="89"/>
      <c r="CB761" s="89"/>
      <c r="CC761" s="89"/>
      <c r="CD761" s="89"/>
      <c r="CE761" s="89"/>
      <c r="CF761" s="89"/>
      <c r="CG761" s="89"/>
      <c r="CH761" s="89"/>
      <c r="CI761" s="89"/>
      <c r="CJ761" s="89"/>
      <c r="CK761" s="89"/>
      <c r="CL761" s="89"/>
      <c r="CM761" s="89"/>
      <c r="CN761" s="89"/>
      <c r="CO761" s="89"/>
      <c r="CP761" s="89"/>
      <c r="CQ761" s="89"/>
      <c r="CR761" s="89"/>
      <c r="CS761" s="89"/>
      <c r="CT761" s="89"/>
      <c r="CU761" s="89"/>
      <c r="CV761" s="89"/>
      <c r="CW761" s="89"/>
      <c r="CX761" s="89"/>
      <c r="CY761" s="89"/>
      <c r="CZ761" s="89"/>
      <c r="DA761" s="89"/>
      <c r="DB761" s="89"/>
      <c r="DC761" s="89"/>
      <c r="DD761" s="89"/>
      <c r="DE761" s="89"/>
      <c r="DF761" s="89"/>
      <c r="DG761" s="89"/>
      <c r="DH761" s="89"/>
    </row>
    <row r="762" ht="18.75" customHeight="1">
      <c r="A762" s="41">
        <v>762.0</v>
      </c>
      <c r="B762" s="77" t="s">
        <v>107</v>
      </c>
      <c r="C762" s="418" t="s">
        <v>108</v>
      </c>
      <c r="D762" s="418" t="s">
        <v>146</v>
      </c>
      <c r="E762" s="362"/>
      <c r="F762" s="433" t="s">
        <v>4163</v>
      </c>
      <c r="G762" s="427" t="s">
        <v>4164</v>
      </c>
      <c r="H762" s="1100" t="s">
        <v>146</v>
      </c>
      <c r="I762" s="1133">
        <v>45687.0</v>
      </c>
      <c r="J762" s="1133">
        <v>45692.0</v>
      </c>
      <c r="K762" s="430" t="s">
        <v>4165</v>
      </c>
      <c r="L762" s="1132" t="s">
        <v>4166</v>
      </c>
      <c r="M762" s="1100" t="s">
        <v>4083</v>
      </c>
      <c r="N762" s="1100" t="s">
        <v>4084</v>
      </c>
      <c r="O762" s="1134">
        <v>3.0</v>
      </c>
      <c r="P762" s="1100" t="str">
        <f t="shared" si="37"/>
        <v>10.1177--0956797615612202.pdf</v>
      </c>
      <c r="Q762" s="49" t="str">
        <f t="array" ref="Q762"> if(iserror(MATCH(V762, 'File Links'!C:C, 0)), "N/A", HYPERLINK(INDEX('File Links'!B:B, MATCH(P762, 'File Links'!C:C, 0))))</f>
        <v>https://drive.google.com/file/d/1d70WNl03Y6R-FQ2zFUG_7JzLtb7KIhMn/view?usp=drivesdk</v>
      </c>
      <c r="R762" s="1100" t="s">
        <v>3646</v>
      </c>
      <c r="S762" s="1100" t="s">
        <v>3647</v>
      </c>
      <c r="T762" s="433"/>
      <c r="U762" s="153">
        <v>1.0</v>
      </c>
      <c r="V762" s="1100" t="str">
        <f t="shared" ref="V762:V780" si="42"> hyperlink(vlookup(lower(S762),#REF!, 2, FALSE), SUBSTITUTE(lower(S762), "/", "--") &amp;  ".pdf")</f>
        <v>10.1098--rsos.231240.pdf</v>
      </c>
      <c r="W762" s="1100" t="s">
        <v>157</v>
      </c>
      <c r="X762" s="51" t="str">
        <f t="array" ref="X762"> if(iserror(MATCH(V762, 'File Links'!C:C, 0)), "N/A", HYPERLINK(INDEX('File Links'!B:B, MATCH(V762, 'File Links'!C:C, 0))))</f>
        <v>https://drive.google.com/file/d/17gaf2Zy_ljFfcAEDk5L8GBnTl5i7RGJE/view?usp=drivesdk</v>
      </c>
      <c r="Y762" s="433"/>
      <c r="Z762" s="1100" t="s">
        <v>219</v>
      </c>
      <c r="AA762" s="1100" t="s">
        <v>4086</v>
      </c>
      <c r="AB762" s="1100" t="s">
        <v>4104</v>
      </c>
      <c r="AC762" s="433"/>
      <c r="AD762" s="1100" t="s">
        <v>4167</v>
      </c>
      <c r="AE762" s="1156">
        <v>45813.0</v>
      </c>
      <c r="AF762" s="1148">
        <v>133.0</v>
      </c>
      <c r="AG762" s="1142">
        <v>0.53</v>
      </c>
      <c r="AH762" s="1134" t="s">
        <v>166</v>
      </c>
      <c r="AI762" s="1142" t="s">
        <v>133</v>
      </c>
      <c r="AJ762" s="1143">
        <v>0.01</v>
      </c>
      <c r="AK762" s="427" t="s">
        <v>128</v>
      </c>
      <c r="AL762" s="427" t="s">
        <v>179</v>
      </c>
      <c r="AM762" s="1100" t="s">
        <v>134</v>
      </c>
      <c r="AN762" s="1132" t="s">
        <v>131</v>
      </c>
      <c r="AO762" s="1142">
        <v>128.0</v>
      </c>
      <c r="AP762" s="1157">
        <v>24.0</v>
      </c>
      <c r="AQ762" s="1134" t="s">
        <v>980</v>
      </c>
      <c r="AR762" s="433"/>
      <c r="AS762" s="1134">
        <v>0.0126</v>
      </c>
      <c r="AT762" s="1100" t="s">
        <v>165</v>
      </c>
      <c r="AU762" s="1100" t="s">
        <v>179</v>
      </c>
      <c r="AV762" s="1100" t="s">
        <v>134</v>
      </c>
      <c r="AW762" s="433"/>
      <c r="AX762" s="433" t="s">
        <v>144</v>
      </c>
      <c r="AY762" s="362"/>
      <c r="AZ762" s="1132" t="s">
        <v>4092</v>
      </c>
      <c r="BA762" s="362"/>
      <c r="BB762" s="362"/>
      <c r="BC762" s="362"/>
      <c r="BD762" s="362"/>
      <c r="BE762" s="362"/>
      <c r="BF762" s="362"/>
      <c r="BG762" s="362"/>
      <c r="BH762" s="362"/>
      <c r="BI762" s="362"/>
      <c r="BJ762" s="362"/>
      <c r="BK762" s="362"/>
      <c r="BL762" s="362"/>
      <c r="BM762" s="362"/>
      <c r="BN762" s="362"/>
      <c r="BO762" s="362"/>
      <c r="BP762" s="362"/>
      <c r="BQ762" s="362"/>
      <c r="BR762" s="362"/>
      <c r="BS762" s="362"/>
      <c r="BT762" s="362"/>
      <c r="BU762" s="362"/>
      <c r="BV762" s="362"/>
      <c r="BW762" s="362"/>
      <c r="BX762" s="362"/>
      <c r="BY762" s="362"/>
      <c r="BZ762" s="362"/>
      <c r="CA762" s="362"/>
      <c r="CB762" s="362"/>
      <c r="CC762" s="362"/>
      <c r="CD762" s="362"/>
      <c r="CE762" s="362"/>
      <c r="CF762" s="362"/>
      <c r="CG762" s="362"/>
      <c r="CH762" s="362"/>
      <c r="CI762" s="362"/>
      <c r="CJ762" s="362"/>
      <c r="CK762" s="362"/>
      <c r="CL762" s="362"/>
      <c r="CM762" s="362"/>
      <c r="CN762" s="362"/>
      <c r="CO762" s="362"/>
      <c r="CP762" s="362"/>
      <c r="CQ762" s="362"/>
      <c r="CR762" s="362"/>
      <c r="CS762" s="362"/>
      <c r="CT762" s="362"/>
      <c r="CU762" s="362"/>
      <c r="CV762" s="362"/>
      <c r="CW762" s="362"/>
      <c r="CX762" s="362"/>
      <c r="CY762" s="362"/>
      <c r="CZ762" s="362"/>
      <c r="DA762" s="362"/>
      <c r="DB762" s="362"/>
      <c r="DC762" s="362"/>
      <c r="DD762" s="362"/>
      <c r="DE762" s="362"/>
      <c r="DF762" s="362"/>
      <c r="DG762" s="362"/>
      <c r="DH762" s="362"/>
    </row>
    <row r="763" ht="25.5" customHeight="1">
      <c r="A763" s="41">
        <v>763.0</v>
      </c>
      <c r="B763" s="77" t="s">
        <v>107</v>
      </c>
      <c r="C763" s="418" t="s">
        <v>108</v>
      </c>
      <c r="D763" s="418" t="s">
        <v>146</v>
      </c>
      <c r="E763" s="362"/>
      <c r="F763" s="433" t="s">
        <v>4163</v>
      </c>
      <c r="G763" s="427" t="s">
        <v>4164</v>
      </c>
      <c r="H763" s="1100" t="s">
        <v>146</v>
      </c>
      <c r="I763" s="1133">
        <v>45687.0</v>
      </c>
      <c r="J763" s="1133">
        <v>45692.0</v>
      </c>
      <c r="K763" s="430" t="s">
        <v>4168</v>
      </c>
      <c r="L763" s="1132" t="s">
        <v>4154</v>
      </c>
      <c r="M763" s="1100" t="s">
        <v>4083</v>
      </c>
      <c r="N763" s="1100" t="s">
        <v>4084</v>
      </c>
      <c r="O763" s="1134">
        <v>3.0</v>
      </c>
      <c r="P763" s="1100" t="str">
        <f t="shared" si="37"/>
        <v>10.1177--0956797615612202.pdf</v>
      </c>
      <c r="Q763" s="49" t="str">
        <f t="array" ref="Q763"> if(iserror(MATCH(V763, 'File Links'!C:C, 0)), "N/A", HYPERLINK(INDEX('File Links'!B:B, MATCH(P763, 'File Links'!C:C, 0))))</f>
        <v>https://drive.google.com/file/d/1d70WNl03Y6R-FQ2zFUG_7JzLtb7KIhMn/view?usp=drivesdk</v>
      </c>
      <c r="R763" s="1100" t="s">
        <v>3646</v>
      </c>
      <c r="S763" s="1100" t="s">
        <v>3647</v>
      </c>
      <c r="T763" s="433"/>
      <c r="U763" s="153">
        <v>1.0</v>
      </c>
      <c r="V763" s="1100" t="str">
        <f t="shared" si="42"/>
        <v>10.1098--rsos.231240.pdf</v>
      </c>
      <c r="W763" s="1100" t="s">
        <v>157</v>
      </c>
      <c r="X763" s="51" t="str">
        <f t="array" ref="X763"> if(iserror(MATCH(V763, 'File Links'!C:C, 0)), "N/A", HYPERLINK(INDEX('File Links'!B:B, MATCH(V763, 'File Links'!C:C, 0))))</f>
        <v>https://drive.google.com/file/d/17gaf2Zy_ljFfcAEDk5L8GBnTl5i7RGJE/view?usp=drivesdk</v>
      </c>
      <c r="Y763" s="433"/>
      <c r="Z763" s="1100" t="s">
        <v>219</v>
      </c>
      <c r="AA763" s="1100" t="s">
        <v>4086</v>
      </c>
      <c r="AB763" s="1100" t="s">
        <v>4104</v>
      </c>
      <c r="AC763" s="1100" t="s">
        <v>4169</v>
      </c>
      <c r="AD763" s="1100" t="s">
        <v>4170</v>
      </c>
      <c r="AE763" s="1142">
        <v>6.0</v>
      </c>
      <c r="AF763" s="1134">
        <v>145.0</v>
      </c>
      <c r="AG763" s="1142" t="s">
        <v>4171</v>
      </c>
      <c r="AH763" s="1134" t="s">
        <v>127</v>
      </c>
      <c r="AI763" s="1142" t="s">
        <v>133</v>
      </c>
      <c r="AJ763" s="425"/>
      <c r="AK763" s="423"/>
      <c r="AL763" s="427" t="s">
        <v>179</v>
      </c>
      <c r="AM763" s="1100" t="s">
        <v>134</v>
      </c>
      <c r="AN763" s="1132" t="s">
        <v>131</v>
      </c>
      <c r="AO763" s="1142">
        <v>128.0</v>
      </c>
      <c r="AP763" s="1142">
        <v>0.3</v>
      </c>
      <c r="AQ763" s="1134" t="s">
        <v>980</v>
      </c>
      <c r="AR763" s="433"/>
      <c r="AS763" s="1134">
        <v>0.88295</v>
      </c>
      <c r="AT763" s="1100" t="s">
        <v>165</v>
      </c>
      <c r="AU763" s="1100" t="s">
        <v>179</v>
      </c>
      <c r="AV763" s="1100" t="s">
        <v>134</v>
      </c>
      <c r="AW763" s="433"/>
      <c r="AX763" s="433" t="s">
        <v>144</v>
      </c>
      <c r="AY763" s="362"/>
      <c r="AZ763" s="1132" t="s">
        <v>4092</v>
      </c>
      <c r="BA763" s="362"/>
      <c r="BB763" s="362"/>
      <c r="BC763" s="362"/>
      <c r="BD763" s="362"/>
      <c r="BE763" s="362"/>
      <c r="BF763" s="362"/>
      <c r="BG763" s="362"/>
      <c r="BH763" s="362"/>
      <c r="BI763" s="362"/>
      <c r="BJ763" s="362"/>
      <c r="BK763" s="362"/>
      <c r="BL763" s="362"/>
      <c r="BM763" s="362"/>
      <c r="BN763" s="362"/>
      <c r="BO763" s="362"/>
      <c r="BP763" s="362"/>
      <c r="BQ763" s="362"/>
      <c r="BR763" s="362"/>
      <c r="BS763" s="362"/>
      <c r="BT763" s="362"/>
      <c r="BU763" s="362"/>
      <c r="BV763" s="362"/>
      <c r="BW763" s="362"/>
      <c r="BX763" s="362"/>
      <c r="BY763" s="362"/>
      <c r="BZ763" s="362"/>
      <c r="CA763" s="362"/>
      <c r="CB763" s="362"/>
      <c r="CC763" s="362"/>
      <c r="CD763" s="362"/>
      <c r="CE763" s="362"/>
      <c r="CF763" s="362"/>
      <c r="CG763" s="362"/>
      <c r="CH763" s="362"/>
      <c r="CI763" s="362"/>
      <c r="CJ763" s="362"/>
      <c r="CK763" s="362"/>
      <c r="CL763" s="362"/>
      <c r="CM763" s="362"/>
      <c r="CN763" s="362"/>
      <c r="CO763" s="362"/>
      <c r="CP763" s="362"/>
      <c r="CQ763" s="362"/>
      <c r="CR763" s="362"/>
      <c r="CS763" s="362"/>
      <c r="CT763" s="362"/>
      <c r="CU763" s="362"/>
      <c r="CV763" s="362"/>
      <c r="CW763" s="362"/>
      <c r="CX763" s="362"/>
      <c r="CY763" s="362"/>
      <c r="CZ763" s="362"/>
      <c r="DA763" s="362"/>
      <c r="DB763" s="362"/>
      <c r="DC763" s="362"/>
      <c r="DD763" s="362"/>
      <c r="DE763" s="362"/>
      <c r="DF763" s="362"/>
      <c r="DG763" s="362"/>
      <c r="DH763" s="362"/>
    </row>
    <row r="764">
      <c r="A764" s="41">
        <v>764.0</v>
      </c>
      <c r="B764" s="77" t="s">
        <v>107</v>
      </c>
      <c r="C764" s="418" t="s">
        <v>108</v>
      </c>
      <c r="D764" s="418" t="s">
        <v>146</v>
      </c>
      <c r="E764" s="362"/>
      <c r="F764" s="433" t="s">
        <v>4163</v>
      </c>
      <c r="G764" s="427" t="s">
        <v>4164</v>
      </c>
      <c r="H764" s="1100" t="s">
        <v>146</v>
      </c>
      <c r="I764" s="1133">
        <v>45687.0</v>
      </c>
      <c r="J764" s="1133">
        <v>45692.0</v>
      </c>
      <c r="K764" s="430" t="s">
        <v>4172</v>
      </c>
      <c r="L764" s="1132" t="s">
        <v>4154</v>
      </c>
      <c r="M764" s="1100" t="s">
        <v>4083</v>
      </c>
      <c r="N764" s="1100" t="s">
        <v>4084</v>
      </c>
      <c r="O764" s="1134">
        <v>3.0</v>
      </c>
      <c r="P764" s="1100" t="str">
        <f t="shared" si="37"/>
        <v>10.1177--0956797615612202.pdf</v>
      </c>
      <c r="Q764" s="49" t="str">
        <f t="array" ref="Q764"> if(iserror(MATCH(V764, 'File Links'!C:C, 0)), "N/A", HYPERLINK(INDEX('File Links'!B:B, MATCH(P764, 'File Links'!C:C, 0))))</f>
        <v>https://drive.google.com/file/d/1d70WNl03Y6R-FQ2zFUG_7JzLtb7KIhMn/view?usp=drivesdk</v>
      </c>
      <c r="R764" s="1100" t="s">
        <v>3646</v>
      </c>
      <c r="S764" s="1100" t="s">
        <v>3647</v>
      </c>
      <c r="T764" s="433"/>
      <c r="U764" s="153">
        <v>1.0</v>
      </c>
      <c r="V764" s="1100" t="str">
        <f t="shared" si="42"/>
        <v>10.1098--rsos.231240.pdf</v>
      </c>
      <c r="W764" s="1100" t="s">
        <v>157</v>
      </c>
      <c r="X764" s="51" t="str">
        <f t="array" ref="X764"> if(iserror(MATCH(V764, 'File Links'!C:C, 0)), "N/A", HYPERLINK(INDEX('File Links'!B:B, MATCH(V764, 'File Links'!C:C, 0))))</f>
        <v>https://drive.google.com/file/d/17gaf2Zy_ljFfcAEDk5L8GBnTl5i7RGJE/view?usp=drivesdk</v>
      </c>
      <c r="Y764" s="433"/>
      <c r="Z764" s="1100" t="s">
        <v>219</v>
      </c>
      <c r="AA764" s="1100" t="s">
        <v>4086</v>
      </c>
      <c r="AB764" s="1100" t="s">
        <v>4104</v>
      </c>
      <c r="AC764" s="1100" t="s">
        <v>4173</v>
      </c>
      <c r="AD764" s="1100" t="s">
        <v>4174</v>
      </c>
      <c r="AE764" s="1142">
        <v>6.0</v>
      </c>
      <c r="AF764" s="1134">
        <v>145.0</v>
      </c>
      <c r="AG764" s="1142" t="s">
        <v>4175</v>
      </c>
      <c r="AH764" s="1134" t="s">
        <v>127</v>
      </c>
      <c r="AI764" s="1142" t="s">
        <v>133</v>
      </c>
      <c r="AJ764" s="425"/>
      <c r="AK764" s="423"/>
      <c r="AL764" s="427" t="s">
        <v>179</v>
      </c>
      <c r="AM764" s="1100" t="s">
        <v>134</v>
      </c>
      <c r="AN764" s="1132" t="s">
        <v>131</v>
      </c>
      <c r="AO764" s="1142">
        <v>128.0</v>
      </c>
      <c r="AP764" s="1157">
        <v>3.222</v>
      </c>
      <c r="AQ764" s="1134" t="s">
        <v>980</v>
      </c>
      <c r="AR764" s="433"/>
      <c r="AS764" s="1134">
        <v>0.199011</v>
      </c>
      <c r="AT764" s="1100" t="s">
        <v>165</v>
      </c>
      <c r="AU764" s="1100" t="s">
        <v>179</v>
      </c>
      <c r="AV764" s="1100" t="s">
        <v>134</v>
      </c>
      <c r="AW764" s="433"/>
      <c r="AX764" s="433" t="s">
        <v>144</v>
      </c>
      <c r="AY764" s="362"/>
      <c r="AZ764" s="1132" t="s">
        <v>4092</v>
      </c>
      <c r="BA764" s="362"/>
      <c r="BB764" s="362"/>
      <c r="BC764" s="362"/>
      <c r="BD764" s="362"/>
      <c r="BE764" s="362"/>
      <c r="BF764" s="362"/>
      <c r="BG764" s="362"/>
      <c r="BH764" s="362"/>
      <c r="BI764" s="362"/>
      <c r="BJ764" s="362"/>
      <c r="BK764" s="362"/>
      <c r="BL764" s="362"/>
      <c r="BM764" s="362"/>
      <c r="BN764" s="362"/>
      <c r="BO764" s="362"/>
      <c r="BP764" s="362"/>
      <c r="BQ764" s="362"/>
      <c r="BR764" s="362"/>
      <c r="BS764" s="362"/>
      <c r="BT764" s="362"/>
      <c r="BU764" s="362"/>
      <c r="BV764" s="362"/>
      <c r="BW764" s="362"/>
      <c r="BX764" s="362"/>
      <c r="BY764" s="362"/>
      <c r="BZ764" s="362"/>
      <c r="CA764" s="362"/>
      <c r="CB764" s="362"/>
      <c r="CC764" s="362"/>
      <c r="CD764" s="362"/>
      <c r="CE764" s="362"/>
      <c r="CF764" s="362"/>
      <c r="CG764" s="362"/>
      <c r="CH764" s="362"/>
      <c r="CI764" s="362"/>
      <c r="CJ764" s="362"/>
      <c r="CK764" s="362"/>
      <c r="CL764" s="362"/>
      <c r="CM764" s="362"/>
      <c r="CN764" s="362"/>
      <c r="CO764" s="362"/>
      <c r="CP764" s="362"/>
      <c r="CQ764" s="362"/>
      <c r="CR764" s="362"/>
      <c r="CS764" s="362"/>
      <c r="CT764" s="362"/>
      <c r="CU764" s="362"/>
      <c r="CV764" s="362"/>
      <c r="CW764" s="362"/>
      <c r="CX764" s="362"/>
      <c r="CY764" s="362"/>
      <c r="CZ764" s="362"/>
      <c r="DA764" s="362"/>
      <c r="DB764" s="362"/>
      <c r="DC764" s="362"/>
      <c r="DD764" s="362"/>
      <c r="DE764" s="362"/>
      <c r="DF764" s="362"/>
      <c r="DG764" s="362"/>
      <c r="DH764" s="362"/>
    </row>
    <row r="765">
      <c r="A765" s="41">
        <v>765.0</v>
      </c>
      <c r="B765" s="65" t="s">
        <v>107</v>
      </c>
      <c r="C765" s="59" t="s">
        <v>108</v>
      </c>
      <c r="D765" s="59" t="s">
        <v>241</v>
      </c>
      <c r="F765" s="156" t="s">
        <v>4176</v>
      </c>
      <c r="G765" s="54" t="s">
        <v>4177</v>
      </c>
      <c r="H765" s="156" t="s">
        <v>242</v>
      </c>
      <c r="I765" s="149">
        <v>45670.0</v>
      </c>
      <c r="J765" s="149">
        <v>45692.0</v>
      </c>
      <c r="K765" s="65"/>
      <c r="L765" s="156" t="s">
        <v>3683</v>
      </c>
      <c r="M765" s="156" t="s">
        <v>4178</v>
      </c>
      <c r="N765" s="156" t="s">
        <v>4179</v>
      </c>
      <c r="O765" s="65"/>
      <c r="P765" s="156" t="str">
        <f t="shared" si="37"/>
        <v>10.1177--0956797615598739.pdf</v>
      </c>
      <c r="Q765" s="49" t="str">
        <f t="array" ref="Q765"> if(iserror(MATCH(V765, 'File Links'!C:C, 0)), "N/A", HYPERLINK(INDEX('File Links'!B:B, MATCH(P765, 'File Links'!C:C, 0))))</f>
        <v>https://drive.google.com/file/d/1pCInedMgb6ub4Ncim1wJ4bHJ2ouwc85m/view?usp=drivesdk</v>
      </c>
      <c r="R765" s="156" t="s">
        <v>3646</v>
      </c>
      <c r="S765" s="156" t="s">
        <v>3647</v>
      </c>
      <c r="T765" s="65"/>
      <c r="U765" s="153">
        <v>1.0</v>
      </c>
      <c r="V765" s="195" t="str">
        <f t="shared" si="42"/>
        <v>10.1098--rsos.231240.pdf</v>
      </c>
      <c r="W765" s="156" t="s">
        <v>317</v>
      </c>
      <c r="X765" s="51" t="str">
        <f t="array" ref="X765"> if(iserror(MATCH(V765, 'File Links'!C:C, 0)), "N/A", HYPERLINK(INDEX('File Links'!B:B, MATCH(V765, 'File Links'!C:C, 0))))</f>
        <v>https://drive.google.com/file/d/17gaf2Zy_ljFfcAEDk5L8GBnTl5i7RGJE/view?usp=drivesdk</v>
      </c>
      <c r="Y765" s="65"/>
      <c r="Z765" s="156" t="s">
        <v>219</v>
      </c>
      <c r="AA765" s="65"/>
      <c r="AB765" s="156" t="s">
        <v>4180</v>
      </c>
      <c r="AC765" s="65"/>
      <c r="AD765" s="156" t="s">
        <v>4181</v>
      </c>
      <c r="AE765" s="1056">
        <v>3.0</v>
      </c>
      <c r="AF765" s="153">
        <v>80.0</v>
      </c>
      <c r="AG765" s="153">
        <v>75.02</v>
      </c>
      <c r="AH765" s="156" t="s">
        <v>1024</v>
      </c>
      <c r="AI765" s="156" t="s">
        <v>489</v>
      </c>
      <c r="AJ765" s="706">
        <v>0.001</v>
      </c>
      <c r="AK765" s="54" t="s">
        <v>128</v>
      </c>
      <c r="AL765" s="54" t="s">
        <v>179</v>
      </c>
      <c r="AM765" s="156" t="s">
        <v>134</v>
      </c>
      <c r="AN765" s="126" t="s">
        <v>131</v>
      </c>
      <c r="AO765" s="153">
        <v>84.0</v>
      </c>
      <c r="AP765" s="153">
        <v>1.91434434878218</v>
      </c>
      <c r="AQ765" s="156" t="s">
        <v>166</v>
      </c>
      <c r="AR765" s="65"/>
      <c r="AS765" s="1058">
        <v>2.03963080148808E-13</v>
      </c>
      <c r="AT765" s="156" t="s">
        <v>165</v>
      </c>
      <c r="AU765" s="156" t="s">
        <v>179</v>
      </c>
      <c r="AV765" s="156" t="s">
        <v>134</v>
      </c>
      <c r="AW765" s="65"/>
      <c r="AX765" s="156" t="s">
        <v>136</v>
      </c>
      <c r="AZ765" s="65" t="s">
        <v>146</v>
      </c>
      <c r="BA765" s="89"/>
    </row>
    <row r="766">
      <c r="A766" s="107">
        <v>766.0</v>
      </c>
      <c r="B766" s="144" t="s">
        <v>145</v>
      </c>
      <c r="C766" s="146" t="s">
        <v>108</v>
      </c>
      <c r="D766" s="146" t="s">
        <v>146</v>
      </c>
      <c r="E766" s="69"/>
      <c r="F766" s="108" t="s">
        <v>4177</v>
      </c>
      <c r="G766" s="109" t="s">
        <v>4182</v>
      </c>
      <c r="H766" s="119" t="s">
        <v>146</v>
      </c>
      <c r="I766" s="414">
        <v>45687.0</v>
      </c>
      <c r="J766" s="414">
        <v>45692.0</v>
      </c>
      <c r="K766" s="1118" t="s">
        <v>4183</v>
      </c>
      <c r="L766" s="113" t="s">
        <v>4184</v>
      </c>
      <c r="M766" s="119" t="s">
        <v>4178</v>
      </c>
      <c r="N766" s="119" t="s">
        <v>4179</v>
      </c>
      <c r="O766" s="534">
        <v>1.0</v>
      </c>
      <c r="P766" s="119" t="str">
        <f t="shared" si="37"/>
        <v>10.1177--0956797615598739.pdf</v>
      </c>
      <c r="Q766" s="1158" t="str">
        <f t="array" ref="Q766"> if(iserror(MATCH(V766, 'File Links'!C:C, 0)), "N/A", HYPERLINK(INDEX('File Links'!B:B, MATCH(P766, 'File Links'!C:C, 0))))</f>
        <v>https://drive.google.com/file/d/1pCInedMgb6ub4Ncim1wJ4bHJ2ouwc85m/view?usp=drivesdk</v>
      </c>
      <c r="R766" s="119" t="s">
        <v>3646</v>
      </c>
      <c r="S766" s="119" t="s">
        <v>3647</v>
      </c>
      <c r="T766" s="777" t="s">
        <v>4185</v>
      </c>
      <c r="U766" s="534">
        <v>1.0</v>
      </c>
      <c r="V766" s="119" t="str">
        <f t="shared" si="42"/>
        <v>10.1098--rsos.231240.pdf</v>
      </c>
      <c r="W766" s="119" t="s">
        <v>3719</v>
      </c>
      <c r="X766" s="1159" t="str">
        <f t="array" ref="X766"> if(iserror(MATCH(V766, 'File Links'!C:C, 0)), "N/A", HYPERLINK(INDEX('File Links'!B:B, MATCH(V766, 'File Links'!C:C, 0))))</f>
        <v>https://drive.google.com/file/d/17gaf2Zy_ljFfcAEDk5L8GBnTl5i7RGJE/view?usp=drivesdk</v>
      </c>
      <c r="Y766" s="108"/>
      <c r="Z766" s="119" t="s">
        <v>219</v>
      </c>
      <c r="AA766" s="119" t="s">
        <v>4186</v>
      </c>
      <c r="AB766" s="215" t="s">
        <v>4187</v>
      </c>
      <c r="AC766" s="119" t="s">
        <v>4188</v>
      </c>
      <c r="AD766" s="119" t="s">
        <v>4189</v>
      </c>
      <c r="AE766" s="534">
        <v>4.0</v>
      </c>
      <c r="AF766" s="534">
        <v>80.0</v>
      </c>
      <c r="AG766" s="534">
        <v>0.49</v>
      </c>
      <c r="AH766" s="534" t="s">
        <v>867</v>
      </c>
      <c r="AI766" s="534" t="s">
        <v>843</v>
      </c>
      <c r="AJ766" s="363">
        <v>0.001</v>
      </c>
      <c r="AK766" s="109" t="s">
        <v>128</v>
      </c>
      <c r="AL766" s="109" t="s">
        <v>179</v>
      </c>
      <c r="AM766" s="119" t="s">
        <v>134</v>
      </c>
      <c r="AN766" s="144" t="s">
        <v>131</v>
      </c>
      <c r="AO766" s="680">
        <v>64.0</v>
      </c>
      <c r="AP766" s="680" t="s">
        <v>4190</v>
      </c>
      <c r="AQ766" s="534" t="s">
        <v>127</v>
      </c>
      <c r="AR766" s="1160" t="s">
        <v>4185</v>
      </c>
      <c r="AS766" s="534">
        <v>0.0169</v>
      </c>
      <c r="AT766" s="119" t="s">
        <v>165</v>
      </c>
      <c r="AU766" s="119" t="s">
        <v>179</v>
      </c>
      <c r="AV766" s="119" t="s">
        <v>134</v>
      </c>
      <c r="AW766" s="144" t="s">
        <v>131</v>
      </c>
      <c r="AX766" s="108" t="s">
        <v>144</v>
      </c>
      <c r="AY766" s="69"/>
      <c r="AZ766" s="144" t="s">
        <v>3756</v>
      </c>
      <c r="BA766" s="69"/>
      <c r="BB766" s="69"/>
      <c r="BC766" s="69"/>
      <c r="BD766" s="69"/>
      <c r="BE766" s="69"/>
      <c r="BF766" s="69"/>
      <c r="BG766" s="69"/>
      <c r="BH766" s="69"/>
      <c r="BI766" s="69"/>
      <c r="BJ766" s="69"/>
      <c r="BK766" s="69"/>
      <c r="BL766" s="69"/>
      <c r="BM766" s="69"/>
      <c r="BN766" s="69"/>
      <c r="BO766" s="69"/>
      <c r="BP766" s="69"/>
      <c r="BQ766" s="69"/>
      <c r="BR766" s="69"/>
      <c r="BS766" s="69"/>
      <c r="BT766" s="69"/>
      <c r="BU766" s="69"/>
      <c r="BV766" s="69"/>
      <c r="BW766" s="69"/>
      <c r="BX766" s="69"/>
      <c r="BY766" s="69"/>
      <c r="BZ766" s="69"/>
      <c r="CA766" s="69"/>
      <c r="CB766" s="69"/>
      <c r="CC766" s="69"/>
      <c r="CD766" s="69"/>
      <c r="CE766" s="69"/>
      <c r="CF766" s="69"/>
      <c r="CG766" s="69"/>
      <c r="CH766" s="69"/>
      <c r="CI766" s="69"/>
      <c r="CJ766" s="69"/>
      <c r="CK766" s="69"/>
      <c r="CL766" s="69"/>
      <c r="CM766" s="69"/>
      <c r="CN766" s="69"/>
      <c r="CO766" s="69"/>
      <c r="CP766" s="69"/>
      <c r="CQ766" s="69"/>
      <c r="CR766" s="69"/>
      <c r="CS766" s="69"/>
      <c r="CT766" s="69"/>
      <c r="CU766" s="69"/>
      <c r="CV766" s="69"/>
      <c r="CW766" s="69"/>
      <c r="CX766" s="69"/>
      <c r="CY766" s="69"/>
      <c r="CZ766" s="69"/>
      <c r="DA766" s="69"/>
      <c r="DB766" s="69"/>
      <c r="DC766" s="69"/>
      <c r="DD766" s="69"/>
      <c r="DE766" s="69"/>
      <c r="DF766" s="69"/>
      <c r="DG766" s="69"/>
      <c r="DH766" s="69"/>
    </row>
    <row r="767">
      <c r="A767" s="107">
        <v>767.0</v>
      </c>
      <c r="B767" s="144" t="s">
        <v>145</v>
      </c>
      <c r="C767" s="146" t="s">
        <v>108</v>
      </c>
      <c r="D767" s="146" t="s">
        <v>146</v>
      </c>
      <c r="E767" s="69"/>
      <c r="F767" s="108" t="s">
        <v>4177</v>
      </c>
      <c r="G767" s="109" t="s">
        <v>4191</v>
      </c>
      <c r="H767" s="119" t="s">
        <v>146</v>
      </c>
      <c r="I767" s="414">
        <v>45687.0</v>
      </c>
      <c r="J767" s="414">
        <v>45692.0</v>
      </c>
      <c r="K767" s="1118" t="s">
        <v>4192</v>
      </c>
      <c r="L767" s="113" t="s">
        <v>4184</v>
      </c>
      <c r="M767" s="119" t="s">
        <v>4178</v>
      </c>
      <c r="N767" s="119" t="s">
        <v>4179</v>
      </c>
      <c r="O767" s="534">
        <v>1.0</v>
      </c>
      <c r="P767" s="119" t="str">
        <f t="shared" si="37"/>
        <v>10.1177--0956797615598739.pdf</v>
      </c>
      <c r="Q767" s="1158" t="str">
        <f t="array" ref="Q767"> if(iserror(MATCH(V767, 'File Links'!C:C, 0)), "N/A", HYPERLINK(INDEX('File Links'!B:B, MATCH(P767, 'File Links'!C:C, 0))))</f>
        <v>https://drive.google.com/file/d/1pCInedMgb6ub4Ncim1wJ4bHJ2ouwc85m/view?usp=drivesdk</v>
      </c>
      <c r="R767" s="119" t="s">
        <v>3646</v>
      </c>
      <c r="S767" s="119" t="s">
        <v>3647</v>
      </c>
      <c r="T767" s="777" t="s">
        <v>4185</v>
      </c>
      <c r="U767" s="534">
        <v>1.0</v>
      </c>
      <c r="V767" s="119" t="str">
        <f t="shared" si="42"/>
        <v>10.1098--rsos.231240.pdf</v>
      </c>
      <c r="W767" s="119" t="s">
        <v>3719</v>
      </c>
      <c r="X767" s="1159" t="str">
        <f t="array" ref="X767"> if(iserror(MATCH(V767, 'File Links'!C:C, 0)), "N/A", HYPERLINK(INDEX('File Links'!B:B, MATCH(V767, 'File Links'!C:C, 0))))</f>
        <v>https://drive.google.com/file/d/17gaf2Zy_ljFfcAEDk5L8GBnTl5i7RGJE/view?usp=drivesdk</v>
      </c>
      <c r="Y767" s="108"/>
      <c r="Z767" s="119" t="s">
        <v>219</v>
      </c>
      <c r="AA767" s="119" t="s">
        <v>4186</v>
      </c>
      <c r="AB767" s="215" t="s">
        <v>4187</v>
      </c>
      <c r="AC767" s="119" t="s">
        <v>4193</v>
      </c>
      <c r="AD767" s="119" t="s">
        <v>4194</v>
      </c>
      <c r="AE767" s="1106">
        <v>4.0</v>
      </c>
      <c r="AF767" s="534">
        <v>80.0</v>
      </c>
      <c r="AG767" s="1106">
        <v>0.04</v>
      </c>
      <c r="AH767" s="534" t="s">
        <v>867</v>
      </c>
      <c r="AI767" s="1106" t="s">
        <v>843</v>
      </c>
      <c r="AJ767" s="1107">
        <v>0.84</v>
      </c>
      <c r="AK767" s="109" t="s">
        <v>165</v>
      </c>
      <c r="AL767" s="109" t="s">
        <v>179</v>
      </c>
      <c r="AM767" s="119" t="s">
        <v>134</v>
      </c>
      <c r="AN767" s="144" t="s">
        <v>131</v>
      </c>
      <c r="AO767" s="680">
        <v>64.0</v>
      </c>
      <c r="AP767" s="1161" t="s">
        <v>4195</v>
      </c>
      <c r="AQ767" s="534" t="s">
        <v>127</v>
      </c>
      <c r="AR767" s="1160" t="s">
        <v>4185</v>
      </c>
      <c r="AS767" s="534">
        <v>0.8952</v>
      </c>
      <c r="AT767" s="119" t="s">
        <v>165</v>
      </c>
      <c r="AU767" s="119" t="s">
        <v>179</v>
      </c>
      <c r="AV767" s="119" t="s">
        <v>134</v>
      </c>
      <c r="AW767" s="144" t="s">
        <v>131</v>
      </c>
      <c r="AX767" s="108" t="s">
        <v>144</v>
      </c>
      <c r="AY767" s="69"/>
      <c r="AZ767" s="144" t="s">
        <v>3756</v>
      </c>
      <c r="BA767" s="69"/>
      <c r="BB767" s="69"/>
      <c r="BC767" s="69"/>
      <c r="BD767" s="69"/>
      <c r="BE767" s="69"/>
      <c r="BF767" s="69"/>
      <c r="BG767" s="69"/>
      <c r="BH767" s="69"/>
      <c r="BI767" s="69"/>
      <c r="BJ767" s="69"/>
      <c r="BK767" s="69"/>
      <c r="BL767" s="69"/>
      <c r="BM767" s="69"/>
      <c r="BN767" s="69"/>
      <c r="BO767" s="69"/>
      <c r="BP767" s="69"/>
      <c r="BQ767" s="69"/>
      <c r="BR767" s="69"/>
      <c r="BS767" s="69"/>
      <c r="BT767" s="69"/>
      <c r="BU767" s="69"/>
      <c r="BV767" s="69"/>
      <c r="BW767" s="69"/>
      <c r="BX767" s="69"/>
      <c r="BY767" s="69"/>
      <c r="BZ767" s="69"/>
      <c r="CA767" s="69"/>
      <c r="CB767" s="69"/>
      <c r="CC767" s="69"/>
      <c r="CD767" s="69"/>
      <c r="CE767" s="69"/>
      <c r="CF767" s="69"/>
      <c r="CG767" s="69"/>
      <c r="CH767" s="69"/>
      <c r="CI767" s="69"/>
      <c r="CJ767" s="69"/>
      <c r="CK767" s="69"/>
      <c r="CL767" s="69"/>
      <c r="CM767" s="69"/>
      <c r="CN767" s="69"/>
      <c r="CO767" s="69"/>
      <c r="CP767" s="69"/>
      <c r="CQ767" s="69"/>
      <c r="CR767" s="69"/>
      <c r="CS767" s="69"/>
      <c r="CT767" s="69"/>
      <c r="CU767" s="69"/>
      <c r="CV767" s="69"/>
      <c r="CW767" s="69"/>
      <c r="CX767" s="69"/>
      <c r="CY767" s="69"/>
      <c r="CZ767" s="69"/>
      <c r="DA767" s="69"/>
      <c r="DB767" s="69"/>
      <c r="DC767" s="69"/>
      <c r="DD767" s="69"/>
      <c r="DE767" s="69"/>
      <c r="DF767" s="69"/>
      <c r="DG767" s="69"/>
      <c r="DH767" s="69"/>
    </row>
    <row r="768">
      <c r="A768" s="107">
        <v>768.0</v>
      </c>
      <c r="B768" s="144" t="s">
        <v>145</v>
      </c>
      <c r="C768" s="146" t="s">
        <v>108</v>
      </c>
      <c r="D768" s="146" t="s">
        <v>146</v>
      </c>
      <c r="E768" s="69"/>
      <c r="F768" s="108" t="s">
        <v>4177</v>
      </c>
      <c r="G768" s="109" t="s">
        <v>4196</v>
      </c>
      <c r="H768" s="119" t="s">
        <v>146</v>
      </c>
      <c r="I768" s="414">
        <v>45687.0</v>
      </c>
      <c r="J768" s="414">
        <v>45692.0</v>
      </c>
      <c r="K768" s="1118" t="s">
        <v>4197</v>
      </c>
      <c r="L768" s="113" t="s">
        <v>4184</v>
      </c>
      <c r="M768" s="119" t="s">
        <v>4178</v>
      </c>
      <c r="N768" s="119" t="s">
        <v>4179</v>
      </c>
      <c r="O768" s="534">
        <v>1.0</v>
      </c>
      <c r="P768" s="119" t="str">
        <f t="shared" si="37"/>
        <v>10.1177--0956797615598739.pdf</v>
      </c>
      <c r="Q768" s="1158" t="str">
        <f t="array" ref="Q768"> if(iserror(MATCH(V768, 'File Links'!C:C, 0)), "N/A", HYPERLINK(INDEX('File Links'!B:B, MATCH(P768, 'File Links'!C:C, 0))))</f>
        <v>https://drive.google.com/file/d/1pCInedMgb6ub4Ncim1wJ4bHJ2ouwc85m/view?usp=drivesdk</v>
      </c>
      <c r="R768" s="119" t="s">
        <v>3646</v>
      </c>
      <c r="S768" s="119" t="s">
        <v>3647</v>
      </c>
      <c r="T768" s="777" t="s">
        <v>4185</v>
      </c>
      <c r="U768" s="534">
        <v>1.0</v>
      </c>
      <c r="V768" s="119" t="str">
        <f t="shared" si="42"/>
        <v>10.1098--rsos.231240.pdf</v>
      </c>
      <c r="W768" s="119" t="s">
        <v>3719</v>
      </c>
      <c r="X768" s="1159" t="str">
        <f t="array" ref="X768"> if(iserror(MATCH(V768, 'File Links'!C:C, 0)), "N/A", HYPERLINK(INDEX('File Links'!B:B, MATCH(V768, 'File Links'!C:C, 0))))</f>
        <v>https://drive.google.com/file/d/17gaf2Zy_ljFfcAEDk5L8GBnTl5i7RGJE/view?usp=drivesdk</v>
      </c>
      <c r="Y768" s="108"/>
      <c r="Z768" s="119" t="s">
        <v>219</v>
      </c>
      <c r="AA768" s="119" t="s">
        <v>4186</v>
      </c>
      <c r="AB768" s="215" t="s">
        <v>4187</v>
      </c>
      <c r="AC768" s="119" t="s">
        <v>4198</v>
      </c>
      <c r="AD768" s="119" t="s">
        <v>4199</v>
      </c>
      <c r="AE768" s="1106">
        <v>4.0</v>
      </c>
      <c r="AF768" s="534">
        <v>80.0</v>
      </c>
      <c r="AG768" s="1106">
        <v>1.25</v>
      </c>
      <c r="AH768" s="534" t="s">
        <v>166</v>
      </c>
      <c r="AI768" s="1106" t="s">
        <v>843</v>
      </c>
      <c r="AJ768" s="1107">
        <v>0.001</v>
      </c>
      <c r="AK768" s="109" t="s">
        <v>128</v>
      </c>
      <c r="AL768" s="109" t="s">
        <v>179</v>
      </c>
      <c r="AM768" s="119" t="s">
        <v>134</v>
      </c>
      <c r="AN768" s="144" t="s">
        <v>131</v>
      </c>
      <c r="AO768" s="680">
        <v>64.0</v>
      </c>
      <c r="AP768" s="1106">
        <v>0.7293456</v>
      </c>
      <c r="AQ768" s="1106" t="s">
        <v>166</v>
      </c>
      <c r="AR768" s="1160" t="s">
        <v>4185</v>
      </c>
      <c r="AS768" s="534">
        <v>0.076</v>
      </c>
      <c r="AT768" s="119" t="s">
        <v>165</v>
      </c>
      <c r="AU768" s="119" t="s">
        <v>179</v>
      </c>
      <c r="AV768" s="119" t="s">
        <v>134</v>
      </c>
      <c r="AW768" s="144" t="s">
        <v>131</v>
      </c>
      <c r="AX768" s="108" t="s">
        <v>144</v>
      </c>
      <c r="AY768" s="69"/>
      <c r="AZ768" s="144" t="s">
        <v>3756</v>
      </c>
      <c r="BA768" s="69"/>
      <c r="BB768" s="69"/>
      <c r="BC768" s="69"/>
      <c r="BD768" s="69"/>
      <c r="BE768" s="69"/>
      <c r="BF768" s="69"/>
      <c r="BG768" s="69"/>
      <c r="BH768" s="69"/>
      <c r="BI768" s="69"/>
      <c r="BJ768" s="69"/>
      <c r="BK768" s="69"/>
      <c r="BL768" s="69"/>
      <c r="BM768" s="69"/>
      <c r="BN768" s="69"/>
      <c r="BO768" s="69"/>
      <c r="BP768" s="69"/>
      <c r="BQ768" s="69"/>
      <c r="BR768" s="69"/>
      <c r="BS768" s="69"/>
      <c r="BT768" s="69"/>
      <c r="BU768" s="69"/>
      <c r="BV768" s="69"/>
      <c r="BW768" s="69"/>
      <c r="BX768" s="69"/>
      <c r="BY768" s="69"/>
      <c r="BZ768" s="69"/>
      <c r="CA768" s="69"/>
      <c r="CB768" s="69"/>
      <c r="CC768" s="69"/>
      <c r="CD768" s="69"/>
      <c r="CE768" s="69"/>
      <c r="CF768" s="69"/>
      <c r="CG768" s="69"/>
      <c r="CH768" s="69"/>
      <c r="CI768" s="69"/>
      <c r="CJ768" s="69"/>
      <c r="CK768" s="69"/>
      <c r="CL768" s="69"/>
      <c r="CM768" s="69"/>
      <c r="CN768" s="69"/>
      <c r="CO768" s="69"/>
      <c r="CP768" s="69"/>
      <c r="CQ768" s="69"/>
      <c r="CR768" s="69"/>
      <c r="CS768" s="69"/>
      <c r="CT768" s="69"/>
      <c r="CU768" s="69"/>
      <c r="CV768" s="69"/>
      <c r="CW768" s="69"/>
      <c r="CX768" s="69"/>
      <c r="CY768" s="69"/>
      <c r="CZ768" s="69"/>
      <c r="DA768" s="69"/>
      <c r="DB768" s="69"/>
      <c r="DC768" s="69"/>
      <c r="DD768" s="69"/>
      <c r="DE768" s="69"/>
      <c r="DF768" s="69"/>
      <c r="DG768" s="69"/>
      <c r="DH768" s="69"/>
    </row>
    <row r="769">
      <c r="A769" s="107">
        <v>769.0</v>
      </c>
      <c r="B769" s="144" t="s">
        <v>145</v>
      </c>
      <c r="C769" s="146" t="s">
        <v>108</v>
      </c>
      <c r="D769" s="146" t="s">
        <v>146</v>
      </c>
      <c r="E769" s="69"/>
      <c r="F769" s="108" t="s">
        <v>4177</v>
      </c>
      <c r="G769" s="109" t="s">
        <v>4200</v>
      </c>
      <c r="H769" s="119" t="s">
        <v>146</v>
      </c>
      <c r="I769" s="414">
        <v>45687.0</v>
      </c>
      <c r="J769" s="414">
        <v>45692.0</v>
      </c>
      <c r="K769" s="1118" t="s">
        <v>4201</v>
      </c>
      <c r="L769" s="113" t="s">
        <v>4184</v>
      </c>
      <c r="M769" s="119" t="s">
        <v>4178</v>
      </c>
      <c r="N769" s="119" t="s">
        <v>4179</v>
      </c>
      <c r="O769" s="534">
        <v>1.0</v>
      </c>
      <c r="P769" s="119" t="str">
        <f t="shared" si="37"/>
        <v>10.1177--0956797615598739.pdf</v>
      </c>
      <c r="Q769" s="1158" t="str">
        <f t="array" ref="Q769"> if(iserror(MATCH(V769, 'File Links'!C:C, 0)), "N/A", HYPERLINK(INDEX('File Links'!B:B, MATCH(P769, 'File Links'!C:C, 0))))</f>
        <v>https://drive.google.com/file/d/1pCInedMgb6ub4Ncim1wJ4bHJ2ouwc85m/view?usp=drivesdk</v>
      </c>
      <c r="R769" s="119" t="s">
        <v>3646</v>
      </c>
      <c r="S769" s="119" t="s">
        <v>3647</v>
      </c>
      <c r="T769" s="777" t="s">
        <v>4185</v>
      </c>
      <c r="U769" s="534">
        <v>1.0</v>
      </c>
      <c r="V769" s="119" t="str">
        <f t="shared" si="42"/>
        <v>10.1098--rsos.231240.pdf</v>
      </c>
      <c r="W769" s="119" t="s">
        <v>3719</v>
      </c>
      <c r="X769" s="1159" t="str">
        <f t="array" ref="X769"> if(iserror(MATCH(V769, 'File Links'!C:C, 0)), "N/A", HYPERLINK(INDEX('File Links'!B:B, MATCH(V769, 'File Links'!C:C, 0))))</f>
        <v>https://drive.google.com/file/d/17gaf2Zy_ljFfcAEDk5L8GBnTl5i7RGJE/view?usp=drivesdk</v>
      </c>
      <c r="Y769" s="108"/>
      <c r="Z769" s="119" t="s">
        <v>219</v>
      </c>
      <c r="AA769" s="119" t="s">
        <v>4186</v>
      </c>
      <c r="AB769" s="215" t="s">
        <v>4187</v>
      </c>
      <c r="AC769" s="119" t="s">
        <v>4202</v>
      </c>
      <c r="AD769" s="119" t="s">
        <v>4203</v>
      </c>
      <c r="AE769" s="1106">
        <v>4.0</v>
      </c>
      <c r="AF769" s="534">
        <v>80.0</v>
      </c>
      <c r="AG769" s="1106">
        <v>0.94</v>
      </c>
      <c r="AH769" s="534" t="s">
        <v>166</v>
      </c>
      <c r="AI769" s="1106" t="s">
        <v>843</v>
      </c>
      <c r="AJ769" s="1107">
        <v>0.001</v>
      </c>
      <c r="AK769" s="109" t="s">
        <v>128</v>
      </c>
      <c r="AL769" s="109" t="s">
        <v>179</v>
      </c>
      <c r="AM769" s="119" t="s">
        <v>134</v>
      </c>
      <c r="AN769" s="144" t="s">
        <v>131</v>
      </c>
      <c r="AO769" s="680">
        <v>64.0</v>
      </c>
      <c r="AP769" s="1106">
        <v>0.9725716</v>
      </c>
      <c r="AQ769" s="1106" t="s">
        <v>166</v>
      </c>
      <c r="AR769" s="1160" t="s">
        <v>4185</v>
      </c>
      <c r="AS769" s="534">
        <v>0.144</v>
      </c>
      <c r="AT769" s="119" t="s">
        <v>165</v>
      </c>
      <c r="AU769" s="119" t="s">
        <v>179</v>
      </c>
      <c r="AV769" s="119" t="s">
        <v>134</v>
      </c>
      <c r="AW769" s="144" t="s">
        <v>131</v>
      </c>
      <c r="AX769" s="108" t="s">
        <v>144</v>
      </c>
      <c r="AY769" s="69"/>
      <c r="AZ769" s="144" t="s">
        <v>3756</v>
      </c>
      <c r="BA769" s="69"/>
      <c r="BB769" s="69"/>
      <c r="BC769" s="69"/>
      <c r="BD769" s="69"/>
      <c r="BE769" s="69"/>
      <c r="BF769" s="69"/>
      <c r="BG769" s="69"/>
      <c r="BH769" s="69"/>
      <c r="BI769" s="69"/>
      <c r="BJ769" s="69"/>
      <c r="BK769" s="69"/>
      <c r="BL769" s="69"/>
      <c r="BM769" s="69"/>
      <c r="BN769" s="69"/>
      <c r="BO769" s="69"/>
      <c r="BP769" s="69"/>
      <c r="BQ769" s="69"/>
      <c r="BR769" s="69"/>
      <c r="BS769" s="69"/>
      <c r="BT769" s="69"/>
      <c r="BU769" s="69"/>
      <c r="BV769" s="69"/>
      <c r="BW769" s="69"/>
      <c r="BX769" s="69"/>
      <c r="BY769" s="69"/>
      <c r="BZ769" s="69"/>
      <c r="CA769" s="69"/>
      <c r="CB769" s="69"/>
      <c r="CC769" s="69"/>
      <c r="CD769" s="69"/>
      <c r="CE769" s="69"/>
      <c r="CF769" s="69"/>
      <c r="CG769" s="69"/>
      <c r="CH769" s="69"/>
      <c r="CI769" s="69"/>
      <c r="CJ769" s="69"/>
      <c r="CK769" s="69"/>
      <c r="CL769" s="69"/>
      <c r="CM769" s="69"/>
      <c r="CN769" s="69"/>
      <c r="CO769" s="69"/>
      <c r="CP769" s="69"/>
      <c r="CQ769" s="69"/>
      <c r="CR769" s="69"/>
      <c r="CS769" s="69"/>
      <c r="CT769" s="69"/>
      <c r="CU769" s="69"/>
      <c r="CV769" s="69"/>
      <c r="CW769" s="69"/>
      <c r="CX769" s="69"/>
      <c r="CY769" s="69"/>
      <c r="CZ769" s="69"/>
      <c r="DA769" s="69"/>
      <c r="DB769" s="69"/>
      <c r="DC769" s="69"/>
      <c r="DD769" s="69"/>
      <c r="DE769" s="69"/>
      <c r="DF769" s="69"/>
      <c r="DG769" s="69"/>
      <c r="DH769" s="69"/>
    </row>
    <row r="770">
      <c r="A770" s="107">
        <v>770.0</v>
      </c>
      <c r="B770" s="144" t="s">
        <v>145</v>
      </c>
      <c r="C770" s="146" t="s">
        <v>108</v>
      </c>
      <c r="D770" s="146" t="s">
        <v>146</v>
      </c>
      <c r="E770" s="69"/>
      <c r="F770" s="108" t="s">
        <v>4177</v>
      </c>
      <c r="G770" s="109" t="s">
        <v>4204</v>
      </c>
      <c r="H770" s="119" t="s">
        <v>146</v>
      </c>
      <c r="I770" s="414">
        <v>45687.0</v>
      </c>
      <c r="J770" s="414">
        <v>45692.0</v>
      </c>
      <c r="K770" s="1118" t="s">
        <v>4205</v>
      </c>
      <c r="L770" s="113" t="s">
        <v>4184</v>
      </c>
      <c r="M770" s="119" t="s">
        <v>4178</v>
      </c>
      <c r="N770" s="119" t="s">
        <v>4179</v>
      </c>
      <c r="O770" s="534">
        <v>1.0</v>
      </c>
      <c r="P770" s="119" t="str">
        <f t="shared" si="37"/>
        <v>10.1177--0956797615598739.pdf</v>
      </c>
      <c r="Q770" s="1158" t="str">
        <f t="array" ref="Q770"> if(iserror(MATCH(V770, 'File Links'!C:C, 0)), "N/A", HYPERLINK(INDEX('File Links'!B:B, MATCH(P770, 'File Links'!C:C, 0))))</f>
        <v>https://drive.google.com/file/d/1pCInedMgb6ub4Ncim1wJ4bHJ2ouwc85m/view?usp=drivesdk</v>
      </c>
      <c r="R770" s="119" t="s">
        <v>3646</v>
      </c>
      <c r="S770" s="119" t="s">
        <v>3647</v>
      </c>
      <c r="T770" s="777" t="s">
        <v>4185</v>
      </c>
      <c r="U770" s="534">
        <v>1.0</v>
      </c>
      <c r="V770" s="119" t="str">
        <f t="shared" si="42"/>
        <v>10.1098--rsos.231240.pdf</v>
      </c>
      <c r="W770" s="119" t="s">
        <v>3719</v>
      </c>
      <c r="X770" s="1159" t="str">
        <f t="array" ref="X770"> if(iserror(MATCH(V770, 'File Links'!C:C, 0)), "N/A", HYPERLINK(INDEX('File Links'!B:B, MATCH(V770, 'File Links'!C:C, 0))))</f>
        <v>https://drive.google.com/file/d/17gaf2Zy_ljFfcAEDk5L8GBnTl5i7RGJE/view?usp=drivesdk</v>
      </c>
      <c r="Y770" s="108"/>
      <c r="Z770" s="119" t="s">
        <v>219</v>
      </c>
      <c r="AA770" s="119" t="s">
        <v>4186</v>
      </c>
      <c r="AB770" s="215" t="s">
        <v>4187</v>
      </c>
      <c r="AC770" s="119" t="s">
        <v>4206</v>
      </c>
      <c r="AD770" s="119" t="s">
        <v>4207</v>
      </c>
      <c r="AE770" s="1106">
        <v>4.0</v>
      </c>
      <c r="AF770" s="534">
        <v>80.0</v>
      </c>
      <c r="AG770" s="1106">
        <v>0.71</v>
      </c>
      <c r="AH770" s="534" t="s">
        <v>166</v>
      </c>
      <c r="AI770" s="1106" t="s">
        <v>843</v>
      </c>
      <c r="AJ770" s="1107">
        <v>0.002</v>
      </c>
      <c r="AK770" s="109" t="s">
        <v>165</v>
      </c>
      <c r="AL770" s="109" t="s">
        <v>179</v>
      </c>
      <c r="AM770" s="119" t="s">
        <v>134</v>
      </c>
      <c r="AN770" s="144" t="s">
        <v>131</v>
      </c>
      <c r="AO770" s="680">
        <v>64.0</v>
      </c>
      <c r="AP770" s="1106">
        <v>0.1427911</v>
      </c>
      <c r="AQ770" s="1106" t="s">
        <v>166</v>
      </c>
      <c r="AR770" s="1160" t="s">
        <v>4185</v>
      </c>
      <c r="AS770" s="534">
        <v>0.689</v>
      </c>
      <c r="AT770" s="119" t="s">
        <v>165</v>
      </c>
      <c r="AU770" s="119" t="s">
        <v>179</v>
      </c>
      <c r="AV770" s="119" t="s">
        <v>134</v>
      </c>
      <c r="AW770" s="144" t="s">
        <v>131</v>
      </c>
      <c r="AX770" s="108" t="s">
        <v>144</v>
      </c>
      <c r="AY770" s="69"/>
      <c r="AZ770" s="144" t="s">
        <v>3756</v>
      </c>
      <c r="BA770" s="69"/>
      <c r="BB770" s="69"/>
      <c r="BC770" s="69"/>
      <c r="BD770" s="69"/>
      <c r="BE770" s="69"/>
      <c r="BF770" s="69"/>
      <c r="BG770" s="69"/>
      <c r="BH770" s="69"/>
      <c r="BI770" s="69"/>
      <c r="BJ770" s="69"/>
      <c r="BK770" s="69"/>
      <c r="BL770" s="69"/>
      <c r="BM770" s="69"/>
      <c r="BN770" s="69"/>
      <c r="BO770" s="69"/>
      <c r="BP770" s="69"/>
      <c r="BQ770" s="69"/>
      <c r="BR770" s="69"/>
      <c r="BS770" s="69"/>
      <c r="BT770" s="69"/>
      <c r="BU770" s="69"/>
      <c r="BV770" s="69"/>
      <c r="BW770" s="69"/>
      <c r="BX770" s="69"/>
      <c r="BY770" s="69"/>
      <c r="BZ770" s="69"/>
      <c r="CA770" s="69"/>
      <c r="CB770" s="69"/>
      <c r="CC770" s="69"/>
      <c r="CD770" s="69"/>
      <c r="CE770" s="69"/>
      <c r="CF770" s="69"/>
      <c r="CG770" s="69"/>
      <c r="CH770" s="69"/>
      <c r="CI770" s="69"/>
      <c r="CJ770" s="69"/>
      <c r="CK770" s="69"/>
      <c r="CL770" s="69"/>
      <c r="CM770" s="69"/>
      <c r="CN770" s="69"/>
      <c r="CO770" s="69"/>
      <c r="CP770" s="69"/>
      <c r="CQ770" s="69"/>
      <c r="CR770" s="69"/>
      <c r="CS770" s="69"/>
      <c r="CT770" s="69"/>
      <c r="CU770" s="69"/>
      <c r="CV770" s="69"/>
      <c r="CW770" s="69"/>
      <c r="CX770" s="69"/>
      <c r="CY770" s="69"/>
      <c r="CZ770" s="69"/>
      <c r="DA770" s="69"/>
      <c r="DB770" s="69"/>
      <c r="DC770" s="69"/>
      <c r="DD770" s="69"/>
      <c r="DE770" s="69"/>
      <c r="DF770" s="69"/>
      <c r="DG770" s="69"/>
      <c r="DH770" s="69"/>
    </row>
    <row r="771">
      <c r="A771" s="107">
        <v>771.0</v>
      </c>
      <c r="B771" s="144" t="s">
        <v>145</v>
      </c>
      <c r="C771" s="146" t="s">
        <v>108</v>
      </c>
      <c r="D771" s="146" t="s">
        <v>146</v>
      </c>
      <c r="E771" s="69"/>
      <c r="F771" s="108" t="s">
        <v>4177</v>
      </c>
      <c r="G771" s="109" t="s">
        <v>4208</v>
      </c>
      <c r="H771" s="119" t="s">
        <v>146</v>
      </c>
      <c r="I771" s="414">
        <v>45687.0</v>
      </c>
      <c r="J771" s="414">
        <v>45692.0</v>
      </c>
      <c r="K771" s="1118" t="s">
        <v>4209</v>
      </c>
      <c r="L771" s="113" t="s">
        <v>4184</v>
      </c>
      <c r="M771" s="119" t="s">
        <v>4178</v>
      </c>
      <c r="N771" s="119" t="s">
        <v>4179</v>
      </c>
      <c r="O771" s="534">
        <v>1.0</v>
      </c>
      <c r="P771" s="119" t="str">
        <f t="shared" si="37"/>
        <v>10.1177--0956797615598739.pdf</v>
      </c>
      <c r="Q771" s="1158" t="str">
        <f t="array" ref="Q771"> if(iserror(MATCH(V771, 'File Links'!C:C, 0)), "N/A", HYPERLINK(INDEX('File Links'!B:B, MATCH(P771, 'File Links'!C:C, 0))))</f>
        <v>https://drive.google.com/file/d/1pCInedMgb6ub4Ncim1wJ4bHJ2ouwc85m/view?usp=drivesdk</v>
      </c>
      <c r="R771" s="119" t="s">
        <v>3646</v>
      </c>
      <c r="S771" s="119" t="s">
        <v>3647</v>
      </c>
      <c r="T771" s="777" t="s">
        <v>4185</v>
      </c>
      <c r="U771" s="534">
        <v>1.0</v>
      </c>
      <c r="V771" s="119" t="str">
        <f t="shared" si="42"/>
        <v>10.1098--rsos.231240.pdf</v>
      </c>
      <c r="W771" s="119" t="s">
        <v>3719</v>
      </c>
      <c r="X771" s="1159" t="str">
        <f t="array" ref="X771"> if(iserror(MATCH(V771, 'File Links'!C:C, 0)), "N/A", HYPERLINK(INDEX('File Links'!B:B, MATCH(V771, 'File Links'!C:C, 0))))</f>
        <v>https://drive.google.com/file/d/17gaf2Zy_ljFfcAEDk5L8GBnTl5i7RGJE/view?usp=drivesdk</v>
      </c>
      <c r="Y771" s="108"/>
      <c r="Z771" s="119" t="s">
        <v>219</v>
      </c>
      <c r="AA771" s="119" t="s">
        <v>4186</v>
      </c>
      <c r="AB771" s="215" t="s">
        <v>4187</v>
      </c>
      <c r="AC771" s="119" t="s">
        <v>4210</v>
      </c>
      <c r="AD771" s="119" t="s">
        <v>4211</v>
      </c>
      <c r="AE771" s="1106">
        <v>4.0</v>
      </c>
      <c r="AF771" s="534">
        <v>80.0</v>
      </c>
      <c r="AG771" s="1106" t="s">
        <v>4212</v>
      </c>
      <c r="AH771" s="534" t="s">
        <v>127</v>
      </c>
      <c r="AI771" s="1106" t="s">
        <v>843</v>
      </c>
      <c r="AJ771" s="1107">
        <v>0.536</v>
      </c>
      <c r="AK771" s="109" t="s">
        <v>165</v>
      </c>
      <c r="AL771" s="109" t="s">
        <v>179</v>
      </c>
      <c r="AM771" s="119" t="s">
        <v>134</v>
      </c>
      <c r="AN771" s="144" t="s">
        <v>131</v>
      </c>
      <c r="AO771" s="680">
        <v>64.0</v>
      </c>
      <c r="AP771" s="1106">
        <v>0.23</v>
      </c>
      <c r="AQ771" s="1106" t="s">
        <v>166</v>
      </c>
      <c r="AR771" s="1160" t="s">
        <v>4185</v>
      </c>
      <c r="AS771" s="534">
        <v>0.52</v>
      </c>
      <c r="AT771" s="119" t="s">
        <v>165</v>
      </c>
      <c r="AU771" s="119" t="s">
        <v>179</v>
      </c>
      <c r="AV771" s="119" t="s">
        <v>134</v>
      </c>
      <c r="AW771" s="144" t="s">
        <v>131</v>
      </c>
      <c r="AX771" s="108" t="s">
        <v>144</v>
      </c>
      <c r="AY771" s="69"/>
      <c r="AZ771" s="144" t="s">
        <v>3756</v>
      </c>
      <c r="BA771" s="69"/>
      <c r="BB771" s="69"/>
      <c r="BC771" s="69"/>
      <c r="BD771" s="69"/>
      <c r="BE771" s="69"/>
      <c r="BF771" s="69"/>
      <c r="BG771" s="69"/>
      <c r="BH771" s="69"/>
      <c r="BI771" s="69"/>
      <c r="BJ771" s="69"/>
      <c r="BK771" s="69"/>
      <c r="BL771" s="69"/>
      <c r="BM771" s="69"/>
      <c r="BN771" s="69"/>
      <c r="BO771" s="69"/>
      <c r="BP771" s="69"/>
      <c r="BQ771" s="69"/>
      <c r="BR771" s="69"/>
      <c r="BS771" s="69"/>
      <c r="BT771" s="69"/>
      <c r="BU771" s="69"/>
      <c r="BV771" s="69"/>
      <c r="BW771" s="69"/>
      <c r="BX771" s="69"/>
      <c r="BY771" s="69"/>
      <c r="BZ771" s="69"/>
      <c r="CA771" s="69"/>
      <c r="CB771" s="69"/>
      <c r="CC771" s="69"/>
      <c r="CD771" s="69"/>
      <c r="CE771" s="69"/>
      <c r="CF771" s="69"/>
      <c r="CG771" s="69"/>
      <c r="CH771" s="69"/>
      <c r="CI771" s="69"/>
      <c r="CJ771" s="69"/>
      <c r="CK771" s="69"/>
      <c r="CL771" s="69"/>
      <c r="CM771" s="69"/>
      <c r="CN771" s="69"/>
      <c r="CO771" s="69"/>
      <c r="CP771" s="69"/>
      <c r="CQ771" s="69"/>
      <c r="CR771" s="69"/>
      <c r="CS771" s="69"/>
      <c r="CT771" s="69"/>
      <c r="CU771" s="69"/>
      <c r="CV771" s="69"/>
      <c r="CW771" s="69"/>
      <c r="CX771" s="69"/>
      <c r="CY771" s="69"/>
      <c r="CZ771" s="69"/>
      <c r="DA771" s="69"/>
      <c r="DB771" s="69"/>
      <c r="DC771" s="69"/>
      <c r="DD771" s="69"/>
      <c r="DE771" s="69"/>
      <c r="DF771" s="69"/>
      <c r="DG771" s="69"/>
      <c r="DH771" s="69"/>
    </row>
    <row r="772">
      <c r="A772" s="41">
        <v>772.0</v>
      </c>
      <c r="B772" s="65" t="s">
        <v>107</v>
      </c>
      <c r="C772" s="59" t="s">
        <v>108</v>
      </c>
      <c r="D772" s="59" t="s">
        <v>241</v>
      </c>
      <c r="F772" s="156" t="s">
        <v>4213</v>
      </c>
      <c r="G772" s="54" t="s">
        <v>4214</v>
      </c>
      <c r="H772" s="156" t="s">
        <v>242</v>
      </c>
      <c r="I772" s="149">
        <v>45670.0</v>
      </c>
      <c r="J772" s="149">
        <v>45692.0</v>
      </c>
      <c r="K772" s="434" t="s">
        <v>4215</v>
      </c>
      <c r="L772" s="156" t="s">
        <v>3683</v>
      </c>
      <c r="M772" s="156" t="s">
        <v>4216</v>
      </c>
      <c r="N772" s="156" t="s">
        <v>4217</v>
      </c>
      <c r="O772" s="65"/>
      <c r="P772" s="156" t="str">
        <f t="shared" si="37"/>
        <v>10.1016--j.neuropsychologia.2009.05.011.pdf</v>
      </c>
      <c r="Q772" s="49" t="str">
        <f t="array" ref="Q772"> if(iserror(MATCH(V772, 'File Links'!C:C, 0)), "N/A", HYPERLINK(INDEX('File Links'!B:B, MATCH(P772, 'File Links'!C:C, 0))))</f>
        <v>https://drive.google.com/file/d/1Wo_ZWAFaujgNZeZ0tdEdLIIUT-PUrDAy/view?usp=drivesdk</v>
      </c>
      <c r="R772" s="156" t="s">
        <v>3646</v>
      </c>
      <c r="S772" s="156" t="s">
        <v>3647</v>
      </c>
      <c r="T772" s="65"/>
      <c r="U772" s="153">
        <v>1.0</v>
      </c>
      <c r="V772" s="195" t="str">
        <f t="shared" si="42"/>
        <v>10.1098--rsos.231240.pdf</v>
      </c>
      <c r="W772" s="156" t="s">
        <v>3719</v>
      </c>
      <c r="X772" s="51" t="str">
        <f t="array" ref="X772"> if(iserror(MATCH(V772, 'File Links'!C:C, 0)), "N/A", HYPERLINK(INDEX('File Links'!B:B, MATCH(V772, 'File Links'!C:C, 0))))</f>
        <v>https://drive.google.com/file/d/17gaf2Zy_ljFfcAEDk5L8GBnTl5i7RGJE/view?usp=drivesdk</v>
      </c>
      <c r="Y772" s="65"/>
      <c r="Z772" s="156" t="s">
        <v>141</v>
      </c>
      <c r="AA772" s="65"/>
      <c r="AB772" s="65"/>
      <c r="AC772" s="65"/>
      <c r="AD772" s="156" t="s">
        <v>4218</v>
      </c>
      <c r="AE772" s="1056">
        <v>2617.0</v>
      </c>
      <c r="AF772" s="153">
        <v>15.0</v>
      </c>
      <c r="AG772" s="126" t="s">
        <v>4219</v>
      </c>
      <c r="AH772" s="116" t="s">
        <v>127</v>
      </c>
      <c r="AI772" s="1057" t="s">
        <v>4220</v>
      </c>
      <c r="AJ772" s="706">
        <v>0.06</v>
      </c>
      <c r="AK772" s="54" t="s">
        <v>165</v>
      </c>
      <c r="AL772" s="54" t="s">
        <v>179</v>
      </c>
      <c r="AM772" s="156" t="s">
        <v>134</v>
      </c>
      <c r="AN772" s="126" t="s">
        <v>131</v>
      </c>
      <c r="AO772" s="153">
        <v>17.0</v>
      </c>
      <c r="AP772" s="153">
        <v>0.24</v>
      </c>
      <c r="AQ772" s="156" t="s">
        <v>1024</v>
      </c>
      <c r="AR772" s="65"/>
      <c r="AS772" s="153">
        <v>0.63</v>
      </c>
      <c r="AT772" s="156" t="s">
        <v>165</v>
      </c>
      <c r="AU772" s="156" t="s">
        <v>179</v>
      </c>
      <c r="AV772" s="156" t="s">
        <v>134</v>
      </c>
      <c r="AW772" s="65"/>
      <c r="AX772" s="156" t="s">
        <v>136</v>
      </c>
      <c r="AZ772" s="65" t="s">
        <v>146</v>
      </c>
      <c r="BA772" s="89"/>
    </row>
    <row r="773">
      <c r="A773" s="41">
        <v>773.0</v>
      </c>
      <c r="B773" s="126" t="s">
        <v>145</v>
      </c>
      <c r="C773" s="59" t="s">
        <v>108</v>
      </c>
      <c r="D773" s="59" t="s">
        <v>146</v>
      </c>
      <c r="F773" s="65" t="s">
        <v>4214</v>
      </c>
      <c r="G773" s="54" t="s">
        <v>4213</v>
      </c>
      <c r="H773" s="156" t="s">
        <v>146</v>
      </c>
      <c r="I773" s="149">
        <v>45687.0</v>
      </c>
      <c r="J773" s="149">
        <v>45692.0</v>
      </c>
      <c r="K773" s="434" t="s">
        <v>4221</v>
      </c>
      <c r="L773" s="65"/>
      <c r="M773" s="156" t="s">
        <v>4216</v>
      </c>
      <c r="N773" s="156" t="s">
        <v>4217</v>
      </c>
      <c r="O773" s="153">
        <v>1.0</v>
      </c>
      <c r="P773" s="156" t="str">
        <f t="shared" si="37"/>
        <v>10.1016--j.neuropsychologia.2009.05.011.pdf</v>
      </c>
      <c r="Q773" s="49" t="str">
        <f t="array" ref="Q773"> if(iserror(MATCH(V773, 'File Links'!C:C, 0)), "N/A", HYPERLINK(INDEX('File Links'!B:B, MATCH(P773, 'File Links'!C:C, 0))))</f>
        <v>https://drive.google.com/file/d/1Wo_ZWAFaujgNZeZ0tdEdLIIUT-PUrDAy/view?usp=drivesdk</v>
      </c>
      <c r="R773" s="156" t="s">
        <v>3646</v>
      </c>
      <c r="S773" s="156" t="s">
        <v>3647</v>
      </c>
      <c r="T773" s="65"/>
      <c r="U773" s="153">
        <v>1.0</v>
      </c>
      <c r="V773" s="195" t="str">
        <f t="shared" si="42"/>
        <v>10.1098--rsos.231240.pdf</v>
      </c>
      <c r="W773" s="156" t="s">
        <v>3719</v>
      </c>
      <c r="X773" s="51" t="str">
        <f t="array" ref="X773"> if(iserror(MATCH(V773, 'File Links'!C:C, 0)), "N/A", HYPERLINK(INDEX('File Links'!B:B, MATCH(V773, 'File Links'!C:C, 0))))</f>
        <v>https://drive.google.com/file/d/17gaf2Zy_ljFfcAEDk5L8GBnTl5i7RGJE/view?usp=drivesdk</v>
      </c>
      <c r="Y773" s="65"/>
      <c r="Z773" s="156" t="s">
        <v>141</v>
      </c>
      <c r="AA773" s="156" t="s">
        <v>4222</v>
      </c>
      <c r="AB773" s="156" t="s">
        <v>4223</v>
      </c>
      <c r="AC773" s="156" t="s">
        <v>4224</v>
      </c>
      <c r="AD773" s="148" t="s">
        <v>4225</v>
      </c>
      <c r="AE773" s="158" t="s">
        <v>4226</v>
      </c>
      <c r="AF773" s="153">
        <v>15.0</v>
      </c>
      <c r="AG773" s="158" t="s">
        <v>4227</v>
      </c>
      <c r="AH773" s="153" t="s">
        <v>127</v>
      </c>
      <c r="AI773" s="158" t="s">
        <v>4226</v>
      </c>
      <c r="AJ773" s="706">
        <v>0.06</v>
      </c>
      <c r="AK773" s="54" t="s">
        <v>165</v>
      </c>
      <c r="AL773" s="54" t="s">
        <v>179</v>
      </c>
      <c r="AM773" s="156" t="s">
        <v>134</v>
      </c>
      <c r="AN773" s="126" t="s">
        <v>131</v>
      </c>
      <c r="AO773" s="153">
        <v>17.0</v>
      </c>
      <c r="AP773" s="158" t="s">
        <v>4228</v>
      </c>
      <c r="AQ773" s="153" t="s">
        <v>127</v>
      </c>
      <c r="AR773" s="153" t="s">
        <v>843</v>
      </c>
      <c r="AS773" s="153">
        <v>0.63</v>
      </c>
      <c r="AT773" s="156" t="s">
        <v>165</v>
      </c>
      <c r="AU773" s="156" t="s">
        <v>179</v>
      </c>
      <c r="AV773" s="156" t="s">
        <v>134</v>
      </c>
      <c r="AW773" s="65"/>
      <c r="AX773" s="65" t="s">
        <v>144</v>
      </c>
      <c r="AZ773" s="126" t="s">
        <v>3673</v>
      </c>
      <c r="BA773" s="89"/>
    </row>
    <row r="774">
      <c r="A774" s="107">
        <v>774.0</v>
      </c>
      <c r="B774" s="108" t="s">
        <v>107</v>
      </c>
      <c r="C774" s="146" t="s">
        <v>108</v>
      </c>
      <c r="D774" s="146" t="s">
        <v>241</v>
      </c>
      <c r="E774" s="69"/>
      <c r="F774" s="119" t="s">
        <v>4229</v>
      </c>
      <c r="G774" s="109" t="s">
        <v>4230</v>
      </c>
      <c r="H774" s="119" t="s">
        <v>242</v>
      </c>
      <c r="I774" s="414">
        <v>45670.0</v>
      </c>
      <c r="J774" s="414">
        <v>45692.0</v>
      </c>
      <c r="K774" s="215" t="s">
        <v>4215</v>
      </c>
      <c r="L774" s="119" t="s">
        <v>3683</v>
      </c>
      <c r="M774" s="119" t="s">
        <v>4231</v>
      </c>
      <c r="N774" s="119" t="s">
        <v>4232</v>
      </c>
      <c r="O774" s="108"/>
      <c r="P774" s="119" t="str">
        <f t="shared" si="37"/>
        <v>10.1037--a0028216.pdf</v>
      </c>
      <c r="Q774" s="1158" t="str">
        <f t="array" ref="Q774"> if(iserror(MATCH(V774, 'File Links'!C:C, 0)), "N/A", HYPERLINK(INDEX('File Links'!B:B, MATCH(P774, 'File Links'!C:C, 0))))</f>
        <v>https://drive.google.com/file/d/1IK98kxqzXUKr6oiSy5Yh1iZIS2v8ZtnC/view?usp=drivesdk</v>
      </c>
      <c r="R774" s="119" t="s">
        <v>3646</v>
      </c>
      <c r="S774" s="119" t="s">
        <v>3647</v>
      </c>
      <c r="T774" s="777" t="s">
        <v>4233</v>
      </c>
      <c r="U774" s="534">
        <v>1.0</v>
      </c>
      <c r="V774" s="119" t="str">
        <f t="shared" si="42"/>
        <v>10.1098--rsos.231240.pdf</v>
      </c>
      <c r="W774" s="119" t="s">
        <v>3719</v>
      </c>
      <c r="X774" s="1159" t="str">
        <f t="array" ref="X774"> if(iserror(MATCH(V774, 'File Links'!C:C, 0)), "N/A", HYPERLINK(INDEX('File Links'!B:B, MATCH(V774, 'File Links'!C:C, 0))))</f>
        <v>https://drive.google.com/file/d/17gaf2Zy_ljFfcAEDk5L8GBnTl5i7RGJE/view?usp=drivesdk</v>
      </c>
      <c r="Y774" s="108"/>
      <c r="Z774" s="119" t="s">
        <v>203</v>
      </c>
      <c r="AA774" s="108"/>
      <c r="AB774" s="119" t="s">
        <v>4234</v>
      </c>
      <c r="AC774" s="108"/>
      <c r="AD774" s="113" t="s">
        <v>4235</v>
      </c>
      <c r="AE774" s="1103">
        <v>1680.0</v>
      </c>
      <c r="AF774" s="534">
        <v>277.0</v>
      </c>
      <c r="AG774" s="680" t="s">
        <v>4236</v>
      </c>
      <c r="AH774" s="113" t="s">
        <v>127</v>
      </c>
      <c r="AI774" s="776" t="s">
        <v>4237</v>
      </c>
      <c r="AJ774" s="363">
        <v>0.005</v>
      </c>
      <c r="AK774" s="109" t="s">
        <v>128</v>
      </c>
      <c r="AL774" s="109" t="s">
        <v>179</v>
      </c>
      <c r="AM774" s="119" t="s">
        <v>134</v>
      </c>
      <c r="AN774" s="144" t="s">
        <v>131</v>
      </c>
      <c r="AO774" s="534">
        <v>292.0</v>
      </c>
      <c r="AP774" s="534">
        <v>203.397</v>
      </c>
      <c r="AQ774" s="119" t="s">
        <v>1024</v>
      </c>
      <c r="AR774" s="108"/>
      <c r="AS774" s="534">
        <v>0.001</v>
      </c>
      <c r="AT774" s="119" t="s">
        <v>128</v>
      </c>
      <c r="AU774" s="119" t="s">
        <v>211</v>
      </c>
      <c r="AV774" s="119" t="s">
        <v>134</v>
      </c>
      <c r="AW774" s="144" t="s">
        <v>131</v>
      </c>
      <c r="AX774" s="119" t="s">
        <v>136</v>
      </c>
      <c r="AY774" s="69"/>
      <c r="AZ774" s="108" t="s">
        <v>146</v>
      </c>
      <c r="BA774" s="69"/>
      <c r="BB774" s="69"/>
      <c r="BC774" s="69"/>
      <c r="BD774" s="69"/>
      <c r="BE774" s="69"/>
      <c r="BF774" s="69"/>
      <c r="BG774" s="69"/>
      <c r="BH774" s="69"/>
      <c r="BI774" s="69"/>
      <c r="BJ774" s="69"/>
      <c r="BK774" s="69"/>
      <c r="BL774" s="69"/>
      <c r="BM774" s="69"/>
      <c r="BN774" s="69"/>
      <c r="BO774" s="69"/>
      <c r="BP774" s="69"/>
      <c r="BQ774" s="69"/>
      <c r="BR774" s="69"/>
      <c r="BS774" s="69"/>
      <c r="BT774" s="69"/>
      <c r="BU774" s="69"/>
      <c r="BV774" s="69"/>
      <c r="BW774" s="69"/>
      <c r="BX774" s="69"/>
      <c r="BY774" s="69"/>
      <c r="BZ774" s="69"/>
      <c r="CA774" s="69"/>
      <c r="CB774" s="69"/>
      <c r="CC774" s="69"/>
      <c r="CD774" s="69"/>
      <c r="CE774" s="69"/>
      <c r="CF774" s="69"/>
      <c r="CG774" s="69"/>
      <c r="CH774" s="69"/>
      <c r="CI774" s="69"/>
      <c r="CJ774" s="69"/>
      <c r="CK774" s="69"/>
      <c r="CL774" s="69"/>
      <c r="CM774" s="69"/>
      <c r="CN774" s="69"/>
      <c r="CO774" s="69"/>
      <c r="CP774" s="69"/>
      <c r="CQ774" s="69"/>
      <c r="CR774" s="69"/>
      <c r="CS774" s="69"/>
      <c r="CT774" s="69"/>
      <c r="CU774" s="69"/>
      <c r="CV774" s="69"/>
      <c r="CW774" s="69"/>
      <c r="CX774" s="69"/>
      <c r="CY774" s="69"/>
      <c r="CZ774" s="69"/>
      <c r="DA774" s="69"/>
      <c r="DB774" s="69"/>
      <c r="DC774" s="69"/>
      <c r="DD774" s="69"/>
      <c r="DE774" s="69"/>
      <c r="DF774" s="69"/>
      <c r="DG774" s="69"/>
      <c r="DH774" s="69"/>
    </row>
    <row r="775">
      <c r="A775" s="107">
        <v>775.0</v>
      </c>
      <c r="B775" s="126" t="s">
        <v>145</v>
      </c>
      <c r="C775" s="146" t="s">
        <v>108</v>
      </c>
      <c r="D775" s="146" t="s">
        <v>146</v>
      </c>
      <c r="E775" s="69"/>
      <c r="F775" s="108" t="s">
        <v>4230</v>
      </c>
      <c r="G775" s="109" t="s">
        <v>4238</v>
      </c>
      <c r="H775" s="119" t="s">
        <v>146</v>
      </c>
      <c r="I775" s="414">
        <v>45687.0</v>
      </c>
      <c r="J775" s="414">
        <v>45692.0</v>
      </c>
      <c r="K775" s="215" t="s">
        <v>4239</v>
      </c>
      <c r="L775" s="108"/>
      <c r="M775" s="119" t="s">
        <v>4231</v>
      </c>
      <c r="N775" s="119" t="s">
        <v>4232</v>
      </c>
      <c r="O775" s="534">
        <v>2.0</v>
      </c>
      <c r="P775" s="119" t="str">
        <f t="shared" si="37"/>
        <v>10.1037--a0028216.pdf</v>
      </c>
      <c r="Q775" s="1158" t="str">
        <f t="array" ref="Q775"> if(iserror(MATCH(V775, 'File Links'!C:C, 0)), "N/A", HYPERLINK(INDEX('File Links'!B:B, MATCH(P775, 'File Links'!C:C, 0))))</f>
        <v>https://drive.google.com/file/d/1IK98kxqzXUKr6oiSy5Yh1iZIS2v8ZtnC/view?usp=drivesdk</v>
      </c>
      <c r="R775" s="119" t="s">
        <v>3646</v>
      </c>
      <c r="S775" s="119" t="s">
        <v>3647</v>
      </c>
      <c r="T775" s="777" t="s">
        <v>4233</v>
      </c>
      <c r="U775" s="534">
        <v>1.0</v>
      </c>
      <c r="V775" s="119" t="str">
        <f t="shared" si="42"/>
        <v>10.1098--rsos.231240.pdf</v>
      </c>
      <c r="W775" s="119" t="s">
        <v>3719</v>
      </c>
      <c r="X775" s="1159" t="str">
        <f t="array" ref="X775"> if(iserror(MATCH(V775, 'File Links'!C:C, 0)), "N/A", HYPERLINK(INDEX('File Links'!B:B, MATCH(V775, 'File Links'!C:C, 0))))</f>
        <v>https://drive.google.com/file/d/17gaf2Zy_ljFfcAEDk5L8GBnTl5i7RGJE/view?usp=drivesdk</v>
      </c>
      <c r="Y775" s="108"/>
      <c r="Z775" s="119" t="s">
        <v>141</v>
      </c>
      <c r="AA775" s="119" t="s">
        <v>4240</v>
      </c>
      <c r="AB775" s="119" t="s">
        <v>4241</v>
      </c>
      <c r="AC775" s="119" t="s">
        <v>4242</v>
      </c>
      <c r="AD775" s="119" t="s">
        <v>4243</v>
      </c>
      <c r="AE775" s="534">
        <v>6.0</v>
      </c>
      <c r="AF775" s="534">
        <v>277.0</v>
      </c>
      <c r="AG775" s="534">
        <v>0.31</v>
      </c>
      <c r="AH775" s="534" t="s">
        <v>867</v>
      </c>
      <c r="AI775" s="534" t="s">
        <v>133</v>
      </c>
      <c r="AJ775" s="363">
        <v>0.005</v>
      </c>
      <c r="AK775" s="109" t="s">
        <v>128</v>
      </c>
      <c r="AL775" s="109" t="s">
        <v>179</v>
      </c>
      <c r="AM775" s="119" t="s">
        <v>134</v>
      </c>
      <c r="AN775" s="144" t="s">
        <v>131</v>
      </c>
      <c r="AO775" s="534">
        <v>292.0</v>
      </c>
      <c r="AP775" s="534">
        <v>0.4</v>
      </c>
      <c r="AQ775" s="534" t="s">
        <v>867</v>
      </c>
      <c r="AR775" s="534" t="s">
        <v>806</v>
      </c>
      <c r="AS775" s="534">
        <v>0.001</v>
      </c>
      <c r="AT775" s="119" t="s">
        <v>128</v>
      </c>
      <c r="AU775" s="119" t="s">
        <v>211</v>
      </c>
      <c r="AV775" s="119" t="s">
        <v>134</v>
      </c>
      <c r="AW775" s="144" t="s">
        <v>131</v>
      </c>
      <c r="AX775" s="108" t="s">
        <v>144</v>
      </c>
      <c r="AY775" s="69"/>
      <c r="AZ775" s="108" t="s">
        <v>146</v>
      </c>
      <c r="BA775" s="69"/>
      <c r="BB775" s="69"/>
      <c r="BC775" s="69"/>
      <c r="BD775" s="69"/>
      <c r="BE775" s="69"/>
      <c r="BF775" s="69"/>
      <c r="BG775" s="69"/>
      <c r="BH775" s="69"/>
      <c r="BI775" s="69"/>
      <c r="BJ775" s="69"/>
      <c r="BK775" s="69"/>
      <c r="BL775" s="69"/>
      <c r="BM775" s="69"/>
      <c r="BN775" s="69"/>
      <c r="BO775" s="69"/>
      <c r="BP775" s="69"/>
      <c r="BQ775" s="69"/>
      <c r="BR775" s="69"/>
      <c r="BS775" s="69"/>
      <c r="BT775" s="69"/>
      <c r="BU775" s="69"/>
      <c r="BV775" s="69"/>
      <c r="BW775" s="69"/>
      <c r="BX775" s="69"/>
      <c r="BY775" s="69"/>
      <c r="BZ775" s="69"/>
      <c r="CA775" s="69"/>
      <c r="CB775" s="69"/>
      <c r="CC775" s="69"/>
      <c r="CD775" s="69"/>
      <c r="CE775" s="69"/>
      <c r="CF775" s="69"/>
      <c r="CG775" s="69"/>
      <c r="CH775" s="69"/>
      <c r="CI775" s="69"/>
      <c r="CJ775" s="69"/>
      <c r="CK775" s="69"/>
      <c r="CL775" s="69"/>
      <c r="CM775" s="69"/>
      <c r="CN775" s="69"/>
      <c r="CO775" s="69"/>
      <c r="CP775" s="69"/>
      <c r="CQ775" s="69"/>
      <c r="CR775" s="69"/>
      <c r="CS775" s="69"/>
      <c r="CT775" s="69"/>
      <c r="CU775" s="69"/>
      <c r="CV775" s="69"/>
      <c r="CW775" s="69"/>
      <c r="CX775" s="69"/>
      <c r="CY775" s="69"/>
      <c r="CZ775" s="69"/>
      <c r="DA775" s="69"/>
      <c r="DB775" s="69"/>
      <c r="DC775" s="69"/>
      <c r="DD775" s="69"/>
      <c r="DE775" s="69"/>
      <c r="DF775" s="69"/>
      <c r="DG775" s="69"/>
      <c r="DH775" s="69"/>
    </row>
    <row r="776">
      <c r="A776" s="107">
        <v>776.0</v>
      </c>
      <c r="B776" s="126" t="s">
        <v>145</v>
      </c>
      <c r="C776" s="146" t="s">
        <v>108</v>
      </c>
      <c r="D776" s="146" t="s">
        <v>146</v>
      </c>
      <c r="E776" s="69"/>
      <c r="F776" s="108" t="s">
        <v>4230</v>
      </c>
      <c r="G776" s="109" t="s">
        <v>4244</v>
      </c>
      <c r="H776" s="119" t="s">
        <v>146</v>
      </c>
      <c r="I776" s="414">
        <v>45687.0</v>
      </c>
      <c r="J776" s="414">
        <v>45692.0</v>
      </c>
      <c r="K776" s="215" t="s">
        <v>4239</v>
      </c>
      <c r="L776" s="108"/>
      <c r="M776" s="119" t="s">
        <v>4231</v>
      </c>
      <c r="N776" s="119" t="s">
        <v>4232</v>
      </c>
      <c r="O776" s="534">
        <v>2.0</v>
      </c>
      <c r="P776" s="119" t="str">
        <f t="shared" si="37"/>
        <v>10.1037--a0028216.pdf</v>
      </c>
      <c r="Q776" s="1158" t="str">
        <f t="array" ref="Q776"> if(iserror(MATCH(V776, 'File Links'!C:C, 0)), "N/A", HYPERLINK(INDEX('File Links'!B:B, MATCH(P776, 'File Links'!C:C, 0))))</f>
        <v>https://drive.google.com/file/d/1IK98kxqzXUKr6oiSy5Yh1iZIS2v8ZtnC/view?usp=drivesdk</v>
      </c>
      <c r="R776" s="119" t="s">
        <v>3646</v>
      </c>
      <c r="S776" s="119" t="s">
        <v>3647</v>
      </c>
      <c r="T776" s="777" t="s">
        <v>4233</v>
      </c>
      <c r="U776" s="534">
        <v>1.0</v>
      </c>
      <c r="V776" s="119" t="str">
        <f t="shared" si="42"/>
        <v>10.1098--rsos.231240.pdf</v>
      </c>
      <c r="W776" s="119" t="s">
        <v>3719</v>
      </c>
      <c r="X776" s="1159" t="str">
        <f t="array" ref="X776"> if(iserror(MATCH(V776, 'File Links'!C:C, 0)), "N/A", HYPERLINK(INDEX('File Links'!B:B, MATCH(V776, 'File Links'!C:C, 0))))</f>
        <v>https://drive.google.com/file/d/17gaf2Zy_ljFfcAEDk5L8GBnTl5i7RGJE/view?usp=drivesdk</v>
      </c>
      <c r="Y776" s="108"/>
      <c r="Z776" s="119" t="s">
        <v>141</v>
      </c>
      <c r="AA776" s="119" t="s">
        <v>4240</v>
      </c>
      <c r="AB776" s="119" t="s">
        <v>4241</v>
      </c>
      <c r="AC776" s="119" t="s">
        <v>4245</v>
      </c>
      <c r="AD776" s="119" t="s">
        <v>4246</v>
      </c>
      <c r="AE776" s="534">
        <v>6.0</v>
      </c>
      <c r="AF776" s="534">
        <v>277.0</v>
      </c>
      <c r="AG776" s="1106">
        <v>0.13</v>
      </c>
      <c r="AH776" s="534" t="s">
        <v>867</v>
      </c>
      <c r="AI776" s="534" t="s">
        <v>133</v>
      </c>
      <c r="AJ776" s="363">
        <v>0.005</v>
      </c>
      <c r="AK776" s="109" t="s">
        <v>128</v>
      </c>
      <c r="AL776" s="109" t="s">
        <v>179</v>
      </c>
      <c r="AM776" s="119" t="s">
        <v>134</v>
      </c>
      <c r="AN776" s="144" t="s">
        <v>131</v>
      </c>
      <c r="AO776" s="534">
        <v>292.0</v>
      </c>
      <c r="AP776" s="1106">
        <v>0.006</v>
      </c>
      <c r="AQ776" s="534" t="s">
        <v>867</v>
      </c>
      <c r="AR776" s="534" t="s">
        <v>806</v>
      </c>
      <c r="AS776" s="534">
        <v>0.169</v>
      </c>
      <c r="AT776" s="119" t="s">
        <v>165</v>
      </c>
      <c r="AU776" s="119" t="s">
        <v>211</v>
      </c>
      <c r="AV776" s="119" t="s">
        <v>134</v>
      </c>
      <c r="AW776" s="144" t="s">
        <v>131</v>
      </c>
      <c r="AX776" s="108" t="s">
        <v>144</v>
      </c>
      <c r="AY776" s="69"/>
      <c r="AZ776" s="108" t="s">
        <v>146</v>
      </c>
      <c r="BA776" s="69"/>
      <c r="BB776" s="69"/>
      <c r="BC776" s="69"/>
      <c r="BD776" s="69"/>
      <c r="BE776" s="69"/>
      <c r="BF776" s="69"/>
      <c r="BG776" s="69"/>
      <c r="BH776" s="69"/>
      <c r="BI776" s="69"/>
      <c r="BJ776" s="69"/>
      <c r="BK776" s="69"/>
      <c r="BL776" s="69"/>
      <c r="BM776" s="69"/>
      <c r="BN776" s="69"/>
      <c r="BO776" s="69"/>
      <c r="BP776" s="69"/>
      <c r="BQ776" s="69"/>
      <c r="BR776" s="69"/>
      <c r="BS776" s="69"/>
      <c r="BT776" s="69"/>
      <c r="BU776" s="69"/>
      <c r="BV776" s="69"/>
      <c r="BW776" s="69"/>
      <c r="BX776" s="69"/>
      <c r="BY776" s="69"/>
      <c r="BZ776" s="69"/>
      <c r="CA776" s="69"/>
      <c r="CB776" s="69"/>
      <c r="CC776" s="69"/>
      <c r="CD776" s="69"/>
      <c r="CE776" s="69"/>
      <c r="CF776" s="69"/>
      <c r="CG776" s="69"/>
      <c r="CH776" s="69"/>
      <c r="CI776" s="69"/>
      <c r="CJ776" s="69"/>
      <c r="CK776" s="69"/>
      <c r="CL776" s="69"/>
      <c r="CM776" s="69"/>
      <c r="CN776" s="69"/>
      <c r="CO776" s="69"/>
      <c r="CP776" s="69"/>
      <c r="CQ776" s="69"/>
      <c r="CR776" s="69"/>
      <c r="CS776" s="69"/>
      <c r="CT776" s="69"/>
      <c r="CU776" s="69"/>
      <c r="CV776" s="69"/>
      <c r="CW776" s="69"/>
      <c r="CX776" s="69"/>
      <c r="CY776" s="69"/>
      <c r="CZ776" s="69"/>
      <c r="DA776" s="69"/>
      <c r="DB776" s="69"/>
      <c r="DC776" s="69"/>
      <c r="DD776" s="69"/>
      <c r="DE776" s="69"/>
      <c r="DF776" s="69"/>
      <c r="DG776" s="69"/>
      <c r="DH776" s="69"/>
    </row>
    <row r="777">
      <c r="A777" s="107">
        <v>777.0</v>
      </c>
      <c r="B777" s="126" t="s">
        <v>145</v>
      </c>
      <c r="C777" s="146" t="s">
        <v>108</v>
      </c>
      <c r="D777" s="146" t="s">
        <v>146</v>
      </c>
      <c r="E777" s="69"/>
      <c r="F777" s="108" t="s">
        <v>4230</v>
      </c>
      <c r="G777" s="109" t="s">
        <v>4247</v>
      </c>
      <c r="H777" s="119" t="s">
        <v>146</v>
      </c>
      <c r="I777" s="414">
        <v>45687.0</v>
      </c>
      <c r="J777" s="414">
        <v>45692.0</v>
      </c>
      <c r="K777" s="215" t="s">
        <v>4239</v>
      </c>
      <c r="L777" s="108"/>
      <c r="M777" s="119" t="s">
        <v>4231</v>
      </c>
      <c r="N777" s="119" t="s">
        <v>4232</v>
      </c>
      <c r="O777" s="534">
        <v>2.0</v>
      </c>
      <c r="P777" s="119" t="str">
        <f t="shared" si="37"/>
        <v>10.1037--a0028216.pdf</v>
      </c>
      <c r="Q777" s="1158" t="str">
        <f t="array" ref="Q777"> if(iserror(MATCH(V777, 'File Links'!C:C, 0)), "N/A", HYPERLINK(INDEX('File Links'!B:B, MATCH(P777, 'File Links'!C:C, 0))))</f>
        <v>https://drive.google.com/file/d/1IK98kxqzXUKr6oiSy5Yh1iZIS2v8ZtnC/view?usp=drivesdk</v>
      </c>
      <c r="R777" s="119" t="s">
        <v>3646</v>
      </c>
      <c r="S777" s="119" t="s">
        <v>3647</v>
      </c>
      <c r="T777" s="777" t="s">
        <v>4233</v>
      </c>
      <c r="U777" s="534">
        <v>1.0</v>
      </c>
      <c r="V777" s="119" t="str">
        <f t="shared" si="42"/>
        <v>10.1098--rsos.231240.pdf</v>
      </c>
      <c r="W777" s="119" t="s">
        <v>3719</v>
      </c>
      <c r="X777" s="1159" t="str">
        <f t="array" ref="X777"> if(iserror(MATCH(V777, 'File Links'!C:C, 0)), "N/A", HYPERLINK(INDEX('File Links'!B:B, MATCH(V777, 'File Links'!C:C, 0))))</f>
        <v>https://drive.google.com/file/d/17gaf2Zy_ljFfcAEDk5L8GBnTl5i7RGJE/view?usp=drivesdk</v>
      </c>
      <c r="Y777" s="108"/>
      <c r="Z777" s="119" t="s">
        <v>141</v>
      </c>
      <c r="AA777" s="119" t="s">
        <v>4240</v>
      </c>
      <c r="AB777" s="119" t="s">
        <v>4241</v>
      </c>
      <c r="AC777" s="119" t="s">
        <v>4248</v>
      </c>
      <c r="AD777" s="119" t="s">
        <v>4249</v>
      </c>
      <c r="AE777" s="534">
        <v>6.0</v>
      </c>
      <c r="AF777" s="534">
        <v>277.0</v>
      </c>
      <c r="AG777" s="1106">
        <v>0.06</v>
      </c>
      <c r="AH777" s="534" t="s">
        <v>867</v>
      </c>
      <c r="AI777" s="534" t="s">
        <v>133</v>
      </c>
      <c r="AJ777" s="363">
        <v>0.005</v>
      </c>
      <c r="AK777" s="109" t="s">
        <v>128</v>
      </c>
      <c r="AL777" s="109" t="s">
        <v>179</v>
      </c>
      <c r="AM777" s="119" t="s">
        <v>134</v>
      </c>
      <c r="AN777" s="144" t="s">
        <v>131</v>
      </c>
      <c r="AO777" s="534">
        <v>292.0</v>
      </c>
      <c r="AP777" s="1106">
        <v>0.05</v>
      </c>
      <c r="AQ777" s="534" t="s">
        <v>867</v>
      </c>
      <c r="AR777" s="534" t="s">
        <v>806</v>
      </c>
      <c r="AS777" s="534">
        <v>0.001</v>
      </c>
      <c r="AT777" s="119" t="s">
        <v>128</v>
      </c>
      <c r="AU777" s="119" t="s">
        <v>211</v>
      </c>
      <c r="AV777" s="119" t="s">
        <v>134</v>
      </c>
      <c r="AW777" s="144" t="s">
        <v>131</v>
      </c>
      <c r="AX777" s="108" t="s">
        <v>144</v>
      </c>
      <c r="AY777" s="69"/>
      <c r="AZ777" s="108" t="s">
        <v>146</v>
      </c>
      <c r="BA777" s="69"/>
      <c r="BB777" s="69"/>
      <c r="BC777" s="69"/>
      <c r="BD777" s="69"/>
      <c r="BE777" s="69"/>
      <c r="BF777" s="69"/>
      <c r="BG777" s="69"/>
      <c r="BH777" s="69"/>
      <c r="BI777" s="69"/>
      <c r="BJ777" s="69"/>
      <c r="BK777" s="69"/>
      <c r="BL777" s="69"/>
      <c r="BM777" s="69"/>
      <c r="BN777" s="69"/>
      <c r="BO777" s="69"/>
      <c r="BP777" s="69"/>
      <c r="BQ777" s="69"/>
      <c r="BR777" s="69"/>
      <c r="BS777" s="69"/>
      <c r="BT777" s="69"/>
      <c r="BU777" s="69"/>
      <c r="BV777" s="69"/>
      <c r="BW777" s="69"/>
      <c r="BX777" s="69"/>
      <c r="BY777" s="69"/>
      <c r="BZ777" s="69"/>
      <c r="CA777" s="69"/>
      <c r="CB777" s="69"/>
      <c r="CC777" s="69"/>
      <c r="CD777" s="69"/>
      <c r="CE777" s="69"/>
      <c r="CF777" s="69"/>
      <c r="CG777" s="69"/>
      <c r="CH777" s="69"/>
      <c r="CI777" s="69"/>
      <c r="CJ777" s="69"/>
      <c r="CK777" s="69"/>
      <c r="CL777" s="69"/>
      <c r="CM777" s="69"/>
      <c r="CN777" s="69"/>
      <c r="CO777" s="69"/>
      <c r="CP777" s="69"/>
      <c r="CQ777" s="69"/>
      <c r="CR777" s="69"/>
      <c r="CS777" s="69"/>
      <c r="CT777" s="69"/>
      <c r="CU777" s="69"/>
      <c r="CV777" s="69"/>
      <c r="CW777" s="69"/>
      <c r="CX777" s="69"/>
      <c r="CY777" s="69"/>
      <c r="CZ777" s="69"/>
      <c r="DA777" s="69"/>
      <c r="DB777" s="69"/>
      <c r="DC777" s="69"/>
      <c r="DD777" s="69"/>
      <c r="DE777" s="69"/>
      <c r="DF777" s="69"/>
      <c r="DG777" s="69"/>
      <c r="DH777" s="69"/>
    </row>
    <row r="778">
      <c r="A778" s="107">
        <v>778.0</v>
      </c>
      <c r="B778" s="126" t="s">
        <v>145</v>
      </c>
      <c r="C778" s="146" t="s">
        <v>108</v>
      </c>
      <c r="D778" s="146" t="s">
        <v>146</v>
      </c>
      <c r="E778" s="69"/>
      <c r="F778" s="108" t="s">
        <v>4230</v>
      </c>
      <c r="G778" s="109" t="s">
        <v>4250</v>
      </c>
      <c r="H778" s="119" t="s">
        <v>146</v>
      </c>
      <c r="I778" s="414">
        <v>45687.0</v>
      </c>
      <c r="J778" s="414">
        <v>45692.0</v>
      </c>
      <c r="K778" s="215" t="s">
        <v>4239</v>
      </c>
      <c r="L778" s="108"/>
      <c r="M778" s="119" t="s">
        <v>4231</v>
      </c>
      <c r="N778" s="119" t="s">
        <v>4232</v>
      </c>
      <c r="O778" s="534">
        <v>2.0</v>
      </c>
      <c r="P778" s="119" t="str">
        <f t="shared" si="37"/>
        <v>10.1037--a0028216.pdf</v>
      </c>
      <c r="Q778" s="1158" t="str">
        <f t="array" ref="Q778"> if(iserror(MATCH(V778, 'File Links'!C:C, 0)), "N/A", HYPERLINK(INDEX('File Links'!B:B, MATCH(P778, 'File Links'!C:C, 0))))</f>
        <v>https://drive.google.com/file/d/1IK98kxqzXUKr6oiSy5Yh1iZIS2v8ZtnC/view?usp=drivesdk</v>
      </c>
      <c r="R778" s="119" t="s">
        <v>3646</v>
      </c>
      <c r="S778" s="119" t="s">
        <v>3647</v>
      </c>
      <c r="T778" s="777" t="s">
        <v>4233</v>
      </c>
      <c r="U778" s="534">
        <v>1.0</v>
      </c>
      <c r="V778" s="119" t="str">
        <f t="shared" si="42"/>
        <v>10.1098--rsos.231240.pdf</v>
      </c>
      <c r="W778" s="119" t="s">
        <v>3719</v>
      </c>
      <c r="X778" s="1159" t="str">
        <f t="array" ref="X778"> if(iserror(MATCH(V778, 'File Links'!C:C, 0)), "N/A", HYPERLINK(INDEX('File Links'!B:B, MATCH(V778, 'File Links'!C:C, 0))))</f>
        <v>https://drive.google.com/file/d/17gaf2Zy_ljFfcAEDk5L8GBnTl5i7RGJE/view?usp=drivesdk</v>
      </c>
      <c r="Y778" s="108"/>
      <c r="Z778" s="119" t="s">
        <v>141</v>
      </c>
      <c r="AA778" s="119" t="s">
        <v>4240</v>
      </c>
      <c r="AB778" s="119" t="s">
        <v>4241</v>
      </c>
      <c r="AC778" s="119" t="s">
        <v>4251</v>
      </c>
      <c r="AD778" s="119" t="s">
        <v>4252</v>
      </c>
      <c r="AE778" s="534">
        <v>6.0</v>
      </c>
      <c r="AF778" s="534">
        <v>277.0</v>
      </c>
      <c r="AG778" s="1106">
        <v>0.18</v>
      </c>
      <c r="AH778" s="534" t="s">
        <v>867</v>
      </c>
      <c r="AI778" s="534" t="s">
        <v>133</v>
      </c>
      <c r="AJ778" s="363">
        <v>0.005</v>
      </c>
      <c r="AK778" s="109" t="s">
        <v>128</v>
      </c>
      <c r="AL778" s="109" t="s">
        <v>179</v>
      </c>
      <c r="AM778" s="119" t="s">
        <v>134</v>
      </c>
      <c r="AN778" s="144" t="s">
        <v>131</v>
      </c>
      <c r="AO778" s="534">
        <v>292.0</v>
      </c>
      <c r="AP778" s="1106">
        <v>0.1</v>
      </c>
      <c r="AQ778" s="534" t="s">
        <v>867</v>
      </c>
      <c r="AR778" s="534" t="s">
        <v>806</v>
      </c>
      <c r="AS778" s="534">
        <v>0.001</v>
      </c>
      <c r="AT778" s="119" t="s">
        <v>128</v>
      </c>
      <c r="AU778" s="119" t="s">
        <v>211</v>
      </c>
      <c r="AV778" s="119" t="s">
        <v>134</v>
      </c>
      <c r="AW778" s="144" t="s">
        <v>131</v>
      </c>
      <c r="AX778" s="108" t="s">
        <v>144</v>
      </c>
      <c r="AY778" s="69"/>
      <c r="AZ778" s="108" t="s">
        <v>146</v>
      </c>
      <c r="BA778" s="69"/>
      <c r="BB778" s="69"/>
      <c r="BC778" s="69"/>
      <c r="BD778" s="69"/>
      <c r="BE778" s="69"/>
      <c r="BF778" s="69"/>
      <c r="BG778" s="69"/>
      <c r="BH778" s="69"/>
      <c r="BI778" s="69"/>
      <c r="BJ778" s="69"/>
      <c r="BK778" s="69"/>
      <c r="BL778" s="69"/>
      <c r="BM778" s="69"/>
      <c r="BN778" s="69"/>
      <c r="BO778" s="69"/>
      <c r="BP778" s="69"/>
      <c r="BQ778" s="69"/>
      <c r="BR778" s="69"/>
      <c r="BS778" s="69"/>
      <c r="BT778" s="69"/>
      <c r="BU778" s="69"/>
      <c r="BV778" s="69"/>
      <c r="BW778" s="69"/>
      <c r="BX778" s="69"/>
      <c r="BY778" s="69"/>
      <c r="BZ778" s="69"/>
      <c r="CA778" s="69"/>
      <c r="CB778" s="69"/>
      <c r="CC778" s="69"/>
      <c r="CD778" s="69"/>
      <c r="CE778" s="69"/>
      <c r="CF778" s="69"/>
      <c r="CG778" s="69"/>
      <c r="CH778" s="69"/>
      <c r="CI778" s="69"/>
      <c r="CJ778" s="69"/>
      <c r="CK778" s="69"/>
      <c r="CL778" s="69"/>
      <c r="CM778" s="69"/>
      <c r="CN778" s="69"/>
      <c r="CO778" s="69"/>
      <c r="CP778" s="69"/>
      <c r="CQ778" s="69"/>
      <c r="CR778" s="69"/>
      <c r="CS778" s="69"/>
      <c r="CT778" s="69"/>
      <c r="CU778" s="69"/>
      <c r="CV778" s="69"/>
      <c r="CW778" s="69"/>
      <c r="CX778" s="69"/>
      <c r="CY778" s="69"/>
      <c r="CZ778" s="69"/>
      <c r="DA778" s="69"/>
      <c r="DB778" s="69"/>
      <c r="DC778" s="69"/>
      <c r="DD778" s="69"/>
      <c r="DE778" s="69"/>
      <c r="DF778" s="69"/>
      <c r="DG778" s="69"/>
      <c r="DH778" s="69"/>
    </row>
    <row r="779">
      <c r="A779" s="107">
        <v>779.0</v>
      </c>
      <c r="B779" s="126" t="s">
        <v>145</v>
      </c>
      <c r="C779" s="146" t="s">
        <v>108</v>
      </c>
      <c r="D779" s="146" t="s">
        <v>146</v>
      </c>
      <c r="E779" s="69"/>
      <c r="F779" s="108" t="s">
        <v>4230</v>
      </c>
      <c r="G779" s="109" t="s">
        <v>4253</v>
      </c>
      <c r="H779" s="119" t="s">
        <v>146</v>
      </c>
      <c r="I779" s="414">
        <v>45687.0</v>
      </c>
      <c r="J779" s="414">
        <v>45692.0</v>
      </c>
      <c r="K779" s="215" t="s">
        <v>4254</v>
      </c>
      <c r="L779" s="144" t="s">
        <v>4255</v>
      </c>
      <c r="M779" s="119" t="s">
        <v>4231</v>
      </c>
      <c r="N779" s="119" t="s">
        <v>4232</v>
      </c>
      <c r="O779" s="534">
        <v>2.0</v>
      </c>
      <c r="P779" s="119" t="str">
        <f t="shared" si="37"/>
        <v>10.1037--a0028216.pdf</v>
      </c>
      <c r="Q779" s="1158" t="str">
        <f t="array" ref="Q779"> if(iserror(MATCH(V779, 'File Links'!C:C, 0)), "N/A", HYPERLINK(INDEX('File Links'!B:B, MATCH(P779, 'File Links'!C:C, 0))))</f>
        <v>https://drive.google.com/file/d/1IK98kxqzXUKr6oiSy5Yh1iZIS2v8ZtnC/view?usp=drivesdk</v>
      </c>
      <c r="R779" s="119" t="s">
        <v>3646</v>
      </c>
      <c r="S779" s="119" t="s">
        <v>3647</v>
      </c>
      <c r="T779" s="777" t="s">
        <v>4233</v>
      </c>
      <c r="U779" s="534">
        <v>1.0</v>
      </c>
      <c r="V779" s="119" t="str">
        <f t="shared" si="42"/>
        <v>10.1098--rsos.231240.pdf</v>
      </c>
      <c r="W779" s="119" t="s">
        <v>3719</v>
      </c>
      <c r="X779" s="1159" t="str">
        <f t="array" ref="X779"> if(iserror(MATCH(V779, 'File Links'!C:C, 0)), "N/A", HYPERLINK(INDEX('File Links'!B:B, MATCH(V779, 'File Links'!C:C, 0))))</f>
        <v>https://drive.google.com/file/d/17gaf2Zy_ljFfcAEDk5L8GBnTl5i7RGJE/view?usp=drivesdk</v>
      </c>
      <c r="Y779" s="108"/>
      <c r="Z779" s="119" t="s">
        <v>141</v>
      </c>
      <c r="AA779" s="119" t="s">
        <v>4240</v>
      </c>
      <c r="AB779" s="119" t="s">
        <v>4241</v>
      </c>
      <c r="AC779" s="119" t="s">
        <v>4256</v>
      </c>
      <c r="AD779" s="119" t="s">
        <v>4257</v>
      </c>
      <c r="AE779" s="534">
        <v>6.0</v>
      </c>
      <c r="AF779" s="534">
        <v>277.0</v>
      </c>
      <c r="AG779" s="1106">
        <v>0.15</v>
      </c>
      <c r="AH779" s="534" t="s">
        <v>867</v>
      </c>
      <c r="AI779" s="534" t="s">
        <v>133</v>
      </c>
      <c r="AJ779" s="363">
        <v>0.005</v>
      </c>
      <c r="AK779" s="109" t="s">
        <v>128</v>
      </c>
      <c r="AL779" s="109" t="s">
        <v>179</v>
      </c>
      <c r="AM779" s="119" t="s">
        <v>134</v>
      </c>
      <c r="AN779" s="144" t="s">
        <v>131</v>
      </c>
      <c r="AO779" s="534">
        <v>292.0</v>
      </c>
      <c r="AP779" s="1106">
        <v>0.029</v>
      </c>
      <c r="AQ779" s="534" t="s">
        <v>867</v>
      </c>
      <c r="AR779" s="534" t="s">
        <v>806</v>
      </c>
      <c r="AS779" s="534">
        <v>0.001</v>
      </c>
      <c r="AT779" s="119" t="s">
        <v>128</v>
      </c>
      <c r="AU779" s="119" t="s">
        <v>211</v>
      </c>
      <c r="AV779" s="119" t="s">
        <v>134</v>
      </c>
      <c r="AW779" s="144" t="s">
        <v>131</v>
      </c>
      <c r="AX779" s="108" t="s">
        <v>144</v>
      </c>
      <c r="AY779" s="69"/>
      <c r="AZ779" s="144" t="s">
        <v>3756</v>
      </c>
      <c r="BA779" s="69"/>
      <c r="BB779" s="69"/>
      <c r="BC779" s="69"/>
      <c r="BD779" s="69"/>
      <c r="BE779" s="69"/>
      <c r="BF779" s="69"/>
      <c r="BG779" s="69"/>
      <c r="BH779" s="69"/>
      <c r="BI779" s="69"/>
      <c r="BJ779" s="69"/>
      <c r="BK779" s="69"/>
      <c r="BL779" s="69"/>
      <c r="BM779" s="69"/>
      <c r="BN779" s="69"/>
      <c r="BO779" s="69"/>
      <c r="BP779" s="69"/>
      <c r="BQ779" s="69"/>
      <c r="BR779" s="69"/>
      <c r="BS779" s="69"/>
      <c r="BT779" s="69"/>
      <c r="BU779" s="69"/>
      <c r="BV779" s="69"/>
      <c r="BW779" s="69"/>
      <c r="BX779" s="69"/>
      <c r="BY779" s="69"/>
      <c r="BZ779" s="69"/>
      <c r="CA779" s="69"/>
      <c r="CB779" s="69"/>
      <c r="CC779" s="69"/>
      <c r="CD779" s="69"/>
      <c r="CE779" s="69"/>
      <c r="CF779" s="69"/>
      <c r="CG779" s="69"/>
      <c r="CH779" s="69"/>
      <c r="CI779" s="69"/>
      <c r="CJ779" s="69"/>
      <c r="CK779" s="69"/>
      <c r="CL779" s="69"/>
      <c r="CM779" s="69"/>
      <c r="CN779" s="69"/>
      <c r="CO779" s="69"/>
      <c r="CP779" s="69"/>
      <c r="CQ779" s="69"/>
      <c r="CR779" s="69"/>
      <c r="CS779" s="69"/>
      <c r="CT779" s="69"/>
      <c r="CU779" s="69"/>
      <c r="CV779" s="69"/>
      <c r="CW779" s="69"/>
      <c r="CX779" s="69"/>
      <c r="CY779" s="69"/>
      <c r="CZ779" s="69"/>
      <c r="DA779" s="69"/>
      <c r="DB779" s="69"/>
      <c r="DC779" s="69"/>
      <c r="DD779" s="69"/>
      <c r="DE779" s="69"/>
      <c r="DF779" s="69"/>
      <c r="DG779" s="69"/>
      <c r="DH779" s="69"/>
    </row>
    <row r="780">
      <c r="A780" s="168">
        <v>780.0</v>
      </c>
      <c r="B780" s="177" t="s">
        <v>107</v>
      </c>
      <c r="C780" s="165" t="s">
        <v>108</v>
      </c>
      <c r="D780" s="165" t="s">
        <v>241</v>
      </c>
      <c r="E780" s="161"/>
      <c r="F780" s="729" t="s">
        <v>4258</v>
      </c>
      <c r="G780" s="183" t="s">
        <v>4259</v>
      </c>
      <c r="H780" s="729" t="s">
        <v>242</v>
      </c>
      <c r="I780" s="730">
        <v>45670.0</v>
      </c>
      <c r="J780" s="730">
        <v>45692.0</v>
      </c>
      <c r="K780" s="1162" t="s">
        <v>3676</v>
      </c>
      <c r="L780" s="177"/>
      <c r="M780" s="729" t="s">
        <v>4260</v>
      </c>
      <c r="N780" s="729" t="s">
        <v>4261</v>
      </c>
      <c r="O780" s="177"/>
      <c r="P780" s="729" t="str">
        <f t="shared" si="37"/>
        <v>10.1145--2470654.2481281.pdf</v>
      </c>
      <c r="Q780" s="1163" t="str">
        <f t="array" ref="Q780"> if(iserror(MATCH(V780, 'File Links'!C:C, 0)), "N/A", HYPERLINK(INDEX('File Links'!B:B, MATCH(P780, 'File Links'!C:C, 0))))</f>
        <v>https://drive.google.com/file/d/1gQEP5IJLffmqgeBD8cJqZD1njhiICXaO/view?usp=drivesdk</v>
      </c>
      <c r="R780" s="729" t="s">
        <v>3646</v>
      </c>
      <c r="S780" s="729" t="s">
        <v>3647</v>
      </c>
      <c r="T780" s="177"/>
      <c r="U780" s="180">
        <v>1.0</v>
      </c>
      <c r="V780" s="729" t="str">
        <f t="shared" si="42"/>
        <v>10.1098--rsos.231240.pdf</v>
      </c>
      <c r="W780" s="729" t="s">
        <v>3658</v>
      </c>
      <c r="X780" s="1164" t="str">
        <f t="array" ref="X780"> if(iserror(MATCH(V780, 'File Links'!C:C, 0)), "N/A", HYPERLINK(INDEX('File Links'!B:B, MATCH(V780, 'File Links'!C:C, 0))))</f>
        <v>https://drive.google.com/file/d/17gaf2Zy_ljFfcAEDk5L8GBnTl5i7RGJE/view?usp=drivesdk</v>
      </c>
      <c r="Y780" s="177"/>
      <c r="Z780" s="729" t="s">
        <v>2072</v>
      </c>
      <c r="AA780" s="177"/>
      <c r="AB780" s="177"/>
      <c r="AC780" s="177"/>
      <c r="AD780" s="729" t="s">
        <v>131</v>
      </c>
      <c r="AE780" s="729" t="s">
        <v>131</v>
      </c>
      <c r="AF780" s="180">
        <v>184.0</v>
      </c>
      <c r="AG780" s="729" t="s">
        <v>131</v>
      </c>
      <c r="AH780" s="164" t="s">
        <v>131</v>
      </c>
      <c r="AI780" s="729" t="s">
        <v>131</v>
      </c>
      <c r="AJ780" s="733" t="s">
        <v>131</v>
      </c>
      <c r="AK780" s="734"/>
      <c r="AL780" s="183" t="s">
        <v>179</v>
      </c>
      <c r="AM780" s="729" t="s">
        <v>1898</v>
      </c>
      <c r="AN780" s="172" t="s">
        <v>131</v>
      </c>
      <c r="AO780" s="180">
        <v>82.0</v>
      </c>
      <c r="AP780" s="729" t="s">
        <v>131</v>
      </c>
      <c r="AQ780" s="177"/>
      <c r="AR780" s="177"/>
      <c r="AS780" s="729" t="s">
        <v>131</v>
      </c>
      <c r="AT780" s="177"/>
      <c r="AU780" s="729" t="s">
        <v>179</v>
      </c>
      <c r="AV780" s="729" t="s">
        <v>1898</v>
      </c>
      <c r="AW780" s="144" t="s">
        <v>131</v>
      </c>
      <c r="AX780" s="729" t="s">
        <v>136</v>
      </c>
      <c r="AY780" s="161"/>
      <c r="AZ780" s="177" t="s">
        <v>146</v>
      </c>
      <c r="BA780" s="161"/>
      <c r="BB780" s="161"/>
      <c r="BC780" s="161"/>
      <c r="BD780" s="161"/>
      <c r="BE780" s="161"/>
      <c r="BF780" s="161"/>
      <c r="BG780" s="161"/>
      <c r="BH780" s="161"/>
      <c r="BI780" s="161"/>
      <c r="BJ780" s="161"/>
      <c r="BK780" s="161"/>
      <c r="BL780" s="161"/>
      <c r="BM780" s="161"/>
      <c r="BN780" s="161"/>
      <c r="BO780" s="161"/>
      <c r="BP780" s="161"/>
      <c r="BQ780" s="161"/>
      <c r="BR780" s="161"/>
      <c r="BS780" s="161"/>
      <c r="BT780" s="161"/>
      <c r="BU780" s="161"/>
      <c r="BV780" s="161"/>
      <c r="BW780" s="161"/>
      <c r="BX780" s="161"/>
      <c r="BY780" s="161"/>
      <c r="BZ780" s="161"/>
      <c r="CA780" s="161"/>
      <c r="CB780" s="161"/>
      <c r="CC780" s="161"/>
      <c r="CD780" s="161"/>
      <c r="CE780" s="161"/>
      <c r="CF780" s="161"/>
      <c r="CG780" s="161"/>
      <c r="CH780" s="161"/>
      <c r="CI780" s="161"/>
      <c r="CJ780" s="161"/>
      <c r="CK780" s="161"/>
      <c r="CL780" s="161"/>
      <c r="CM780" s="161"/>
      <c r="CN780" s="161"/>
      <c r="CO780" s="161"/>
      <c r="CP780" s="161"/>
      <c r="CQ780" s="161"/>
      <c r="CR780" s="161"/>
      <c r="CS780" s="161"/>
      <c r="CT780" s="161"/>
      <c r="CU780" s="161"/>
      <c r="CV780" s="161"/>
      <c r="CW780" s="161"/>
      <c r="CX780" s="161"/>
      <c r="CY780" s="161"/>
      <c r="CZ780" s="161"/>
      <c r="DA780" s="161"/>
      <c r="DB780" s="161"/>
      <c r="DC780" s="161"/>
      <c r="DD780" s="161"/>
      <c r="DE780" s="161"/>
      <c r="DF780" s="161"/>
      <c r="DG780" s="161"/>
      <c r="DH780" s="161"/>
    </row>
    <row r="781">
      <c r="A781" s="168">
        <v>781.0</v>
      </c>
      <c r="B781" s="172" t="s">
        <v>107</v>
      </c>
      <c r="C781" s="165" t="s">
        <v>108</v>
      </c>
      <c r="D781" s="165" t="s">
        <v>146</v>
      </c>
      <c r="E781" s="161"/>
      <c r="F781" s="177" t="s">
        <v>4259</v>
      </c>
      <c r="G781" s="183" t="s">
        <v>4258</v>
      </c>
      <c r="H781" s="729" t="s">
        <v>146</v>
      </c>
      <c r="I781" s="730">
        <v>45687.0</v>
      </c>
      <c r="J781" s="730">
        <v>45692.0</v>
      </c>
      <c r="K781" s="1162" t="s">
        <v>4239</v>
      </c>
      <c r="L781" s="177"/>
      <c r="M781" s="729" t="s">
        <v>4260</v>
      </c>
      <c r="N781" s="729" t="s">
        <v>4261</v>
      </c>
      <c r="O781" s="180">
        <v>1.0</v>
      </c>
      <c r="P781" s="729" t="str">
        <f t="shared" si="37"/>
        <v>10.1145--2470654.2481281.pdf</v>
      </c>
      <c r="Q781" s="1163" t="str">
        <f t="array" ref="Q781"> if(iserror(MATCH(V781, 'File Links'!C:C, 0)), "N/A", HYPERLINK(INDEX('File Links'!B:B, MATCH(P781, 'File Links'!C:C, 0))))</f>
        <v>https://drive.google.com/file/d/1gQEP5IJLffmqgeBD8cJqZD1njhiICXaO/view?usp=drivesdk</v>
      </c>
      <c r="R781" s="729" t="s">
        <v>3646</v>
      </c>
      <c r="S781" s="729" t="s">
        <v>3647</v>
      </c>
      <c r="T781" s="177"/>
      <c r="U781" s="180">
        <v>1.0</v>
      </c>
      <c r="V781" s="729" t="s">
        <v>3651</v>
      </c>
      <c r="W781" s="177"/>
      <c r="X781" s="1164" t="str">
        <f t="array" ref="X781"> if(iserror(MATCH(V781, 'File Links'!C:C, 0)), "N/A", HYPERLINK(INDEX('File Links'!B:B, MATCH(V781, 'File Links'!C:C, 0))))</f>
        <v>https://drive.google.com/file/d/17gaf2Zy_ljFfcAEDk5L8GBnTl5i7RGJE/view?usp=drivesdk</v>
      </c>
      <c r="Y781" s="729" t="s">
        <v>3652</v>
      </c>
      <c r="Z781" s="177"/>
      <c r="AA781" s="177"/>
      <c r="AB781" s="177"/>
      <c r="AC781" s="177"/>
      <c r="AD781" s="177"/>
      <c r="AE781" s="177"/>
      <c r="AF781" s="177"/>
      <c r="AG781" s="177"/>
      <c r="AH781" s="177"/>
      <c r="AI781" s="177"/>
      <c r="AJ781" s="737"/>
      <c r="AK781" s="734"/>
      <c r="AL781" s="734"/>
      <c r="AM781" s="177"/>
      <c r="AN781" s="172" t="s">
        <v>131</v>
      </c>
      <c r="AO781" s="177"/>
      <c r="AP781" s="177"/>
      <c r="AQ781" s="177"/>
      <c r="AR781" s="177"/>
      <c r="AS781" s="177"/>
      <c r="AT781" s="177"/>
      <c r="AU781" s="177"/>
      <c r="AV781" s="177"/>
      <c r="AW781" s="144" t="s">
        <v>131</v>
      </c>
      <c r="AX781" s="177"/>
      <c r="AY781" s="161"/>
      <c r="AZ781" s="177" t="s">
        <v>146</v>
      </c>
      <c r="BA781" s="161"/>
      <c r="BB781" s="161"/>
      <c r="BC781" s="161"/>
      <c r="BD781" s="161"/>
      <c r="BE781" s="161"/>
      <c r="BF781" s="161"/>
      <c r="BG781" s="161"/>
      <c r="BH781" s="161"/>
      <c r="BI781" s="161"/>
      <c r="BJ781" s="161"/>
      <c r="BK781" s="161"/>
      <c r="BL781" s="161"/>
      <c r="BM781" s="161"/>
      <c r="BN781" s="161"/>
      <c r="BO781" s="161"/>
      <c r="BP781" s="161"/>
      <c r="BQ781" s="161"/>
      <c r="BR781" s="161"/>
      <c r="BS781" s="161"/>
      <c r="BT781" s="161"/>
      <c r="BU781" s="161"/>
      <c r="BV781" s="161"/>
      <c r="BW781" s="161"/>
      <c r="BX781" s="161"/>
      <c r="BY781" s="161"/>
      <c r="BZ781" s="161"/>
      <c r="CA781" s="161"/>
      <c r="CB781" s="161"/>
      <c r="CC781" s="161"/>
      <c r="CD781" s="161"/>
      <c r="CE781" s="161"/>
      <c r="CF781" s="161"/>
      <c r="CG781" s="161"/>
      <c r="CH781" s="161"/>
      <c r="CI781" s="161"/>
      <c r="CJ781" s="161"/>
      <c r="CK781" s="161"/>
      <c r="CL781" s="161"/>
      <c r="CM781" s="161"/>
      <c r="CN781" s="161"/>
      <c r="CO781" s="161"/>
      <c r="CP781" s="161"/>
      <c r="CQ781" s="161"/>
      <c r="CR781" s="161"/>
      <c r="CS781" s="161"/>
      <c r="CT781" s="161"/>
      <c r="CU781" s="161"/>
      <c r="CV781" s="161"/>
      <c r="CW781" s="161"/>
      <c r="CX781" s="161"/>
      <c r="CY781" s="161"/>
      <c r="CZ781" s="161"/>
      <c r="DA781" s="161"/>
      <c r="DB781" s="161"/>
      <c r="DC781" s="161"/>
      <c r="DD781" s="161"/>
      <c r="DE781" s="161"/>
      <c r="DF781" s="161"/>
      <c r="DG781" s="161"/>
      <c r="DH781" s="161"/>
    </row>
    <row r="782">
      <c r="A782" s="686">
        <v>782.0</v>
      </c>
      <c r="B782" s="187" t="s">
        <v>107</v>
      </c>
      <c r="C782" s="185" t="s">
        <v>108</v>
      </c>
      <c r="D782" s="185" t="s">
        <v>241</v>
      </c>
      <c r="E782" s="186"/>
      <c r="F782" s="195" t="s">
        <v>4262</v>
      </c>
      <c r="G782" s="55" t="s">
        <v>4263</v>
      </c>
      <c r="H782" s="195" t="s">
        <v>242</v>
      </c>
      <c r="I782" s="188">
        <v>45670.0</v>
      </c>
      <c r="J782" s="188">
        <v>45692.0</v>
      </c>
      <c r="K782" s="187"/>
      <c r="L782" s="195" t="s">
        <v>3683</v>
      </c>
      <c r="M782" s="195" t="s">
        <v>4264</v>
      </c>
      <c r="N782" s="195" t="s">
        <v>4265</v>
      </c>
      <c r="O782" s="187"/>
      <c r="P782" s="195" t="str">
        <f t="shared" si="37"/>
        <v>10.1016--j.jesp.2018.05.006.pdf</v>
      </c>
      <c r="Q782" s="1165" t="str">
        <f t="array" ref="Q782"> if(iserror(MATCH(V782, 'File Links'!C:C, 0)), "N/A", HYPERLINK(INDEX('File Links'!B:B, MATCH(P782, 'File Links'!C:C, 0))))</f>
        <v>https://drive.google.com/file/d/1bbOr5sJJaSFgt-aKadq5yMvKA8ywD97U/view?usp=drivesdk</v>
      </c>
      <c r="R782" s="195" t="s">
        <v>3646</v>
      </c>
      <c r="S782" s="195" t="s">
        <v>3647</v>
      </c>
      <c r="T782" s="187"/>
      <c r="U782" s="755">
        <v>1.0</v>
      </c>
      <c r="V782" s="195" t="str">
        <f t="shared" ref="V782:V809" si="43"> hyperlink(vlookup(lower(S782),#REF!, 2, FALSE), SUBSTITUTE(lower(S782), "/", "--") &amp;  ".pdf")</f>
        <v>10.1098--rsos.231240.pdf</v>
      </c>
      <c r="W782" s="195" t="s">
        <v>3719</v>
      </c>
      <c r="X782" s="1166" t="str">
        <f t="array" ref="X782"> if(iserror(MATCH(V782, 'File Links'!C:C, 0)), "N/A", HYPERLINK(INDEX('File Links'!B:B, MATCH(V782, 'File Links'!C:C, 0))))</f>
        <v>https://drive.google.com/file/d/17gaf2Zy_ljFfcAEDk5L8GBnTl5i7RGJE/view?usp=drivesdk</v>
      </c>
      <c r="Y782" s="187"/>
      <c r="Z782" s="195" t="s">
        <v>219</v>
      </c>
      <c r="AA782" s="187"/>
      <c r="AB782" s="187"/>
      <c r="AC782" s="187"/>
      <c r="AD782" s="195" t="s">
        <v>4266</v>
      </c>
      <c r="AE782" s="987">
        <v>29.0</v>
      </c>
      <c r="AF782" s="755">
        <v>350.0</v>
      </c>
      <c r="AG782" s="755">
        <v>0.024</v>
      </c>
      <c r="AH782" s="572" t="s">
        <v>166</v>
      </c>
      <c r="AI782" s="1167" t="s">
        <v>4267</v>
      </c>
      <c r="AJ782" s="872">
        <v>0.003</v>
      </c>
      <c r="AK782" s="55" t="s">
        <v>165</v>
      </c>
      <c r="AL782" s="55" t="s">
        <v>211</v>
      </c>
      <c r="AM782" s="195" t="s">
        <v>134</v>
      </c>
      <c r="AN782" s="371" t="s">
        <v>131</v>
      </c>
      <c r="AO782" s="755">
        <v>208.0</v>
      </c>
      <c r="AP782" s="755">
        <v>-0.38123103406236</v>
      </c>
      <c r="AQ782" s="195" t="s">
        <v>166</v>
      </c>
      <c r="AR782" s="187"/>
      <c r="AS782" s="1168">
        <v>1.20468940918332E-7</v>
      </c>
      <c r="AT782" s="195" t="s">
        <v>165</v>
      </c>
      <c r="AU782" s="195" t="s">
        <v>179</v>
      </c>
      <c r="AV782" s="195" t="s">
        <v>134</v>
      </c>
      <c r="AW782" s="144" t="s">
        <v>131</v>
      </c>
      <c r="AX782" s="195" t="s">
        <v>136</v>
      </c>
      <c r="AY782" s="186"/>
      <c r="AZ782" s="187" t="s">
        <v>146</v>
      </c>
      <c r="BA782" s="186"/>
      <c r="BB782" s="186"/>
      <c r="BC782" s="186"/>
      <c r="BD782" s="186"/>
      <c r="BE782" s="186"/>
      <c r="BF782" s="186"/>
      <c r="BG782" s="186"/>
      <c r="BH782" s="186"/>
      <c r="BI782" s="186"/>
      <c r="BJ782" s="186"/>
      <c r="BK782" s="186"/>
      <c r="BL782" s="186"/>
      <c r="BM782" s="186"/>
      <c r="BN782" s="186"/>
      <c r="BO782" s="186"/>
      <c r="BP782" s="186"/>
      <c r="BQ782" s="186"/>
      <c r="BR782" s="186"/>
      <c r="BS782" s="186"/>
      <c r="BT782" s="186"/>
      <c r="BU782" s="186"/>
      <c r="BV782" s="186"/>
      <c r="BW782" s="186"/>
      <c r="BX782" s="186"/>
      <c r="BY782" s="186"/>
      <c r="BZ782" s="186"/>
      <c r="CA782" s="186"/>
      <c r="CB782" s="186"/>
      <c r="CC782" s="186"/>
      <c r="CD782" s="186"/>
      <c r="CE782" s="186"/>
      <c r="CF782" s="186"/>
      <c r="CG782" s="186"/>
      <c r="CH782" s="186"/>
      <c r="CI782" s="186"/>
      <c r="CJ782" s="186"/>
      <c r="CK782" s="186"/>
      <c r="CL782" s="186"/>
      <c r="CM782" s="186"/>
      <c r="CN782" s="186"/>
      <c r="CO782" s="186"/>
      <c r="CP782" s="186"/>
      <c r="CQ782" s="186"/>
      <c r="CR782" s="186"/>
      <c r="CS782" s="186"/>
      <c r="CT782" s="186"/>
      <c r="CU782" s="186"/>
      <c r="CV782" s="186"/>
      <c r="CW782" s="186"/>
      <c r="CX782" s="186"/>
      <c r="CY782" s="186"/>
      <c r="CZ782" s="186"/>
      <c r="DA782" s="186"/>
      <c r="DB782" s="186"/>
      <c r="DC782" s="186"/>
      <c r="DD782" s="186"/>
      <c r="DE782" s="186"/>
      <c r="DF782" s="186"/>
      <c r="DG782" s="186"/>
      <c r="DH782" s="186"/>
    </row>
    <row r="783">
      <c r="A783" s="686">
        <v>783.0</v>
      </c>
      <c r="B783" s="371" t="s">
        <v>145</v>
      </c>
      <c r="C783" s="185" t="s">
        <v>108</v>
      </c>
      <c r="D783" s="185" t="s">
        <v>146</v>
      </c>
      <c r="E783" s="186"/>
      <c r="F783" s="187" t="s">
        <v>4263</v>
      </c>
      <c r="G783" s="55" t="s">
        <v>4268</v>
      </c>
      <c r="H783" s="195" t="s">
        <v>146</v>
      </c>
      <c r="I783" s="188">
        <v>45687.0</v>
      </c>
      <c r="J783" s="188">
        <v>45692.0</v>
      </c>
      <c r="K783" s="366" t="s">
        <v>4269</v>
      </c>
      <c r="L783" s="187"/>
      <c r="M783" s="195" t="s">
        <v>4264</v>
      </c>
      <c r="N783" s="195" t="s">
        <v>4265</v>
      </c>
      <c r="O783" s="755">
        <v>5.0</v>
      </c>
      <c r="P783" s="195" t="str">
        <f t="shared" si="37"/>
        <v>10.1016--j.jesp.2018.05.006.pdf</v>
      </c>
      <c r="Q783" s="1165" t="str">
        <f t="array" ref="Q783"> if(iserror(MATCH(V783, 'File Links'!C:C, 0)), "N/A", HYPERLINK(INDEX('File Links'!B:B, MATCH(P783, 'File Links'!C:C, 0))))</f>
        <v>https://drive.google.com/file/d/1bbOr5sJJaSFgt-aKadq5yMvKA8ywD97U/view?usp=drivesdk</v>
      </c>
      <c r="R783" s="195" t="s">
        <v>3646</v>
      </c>
      <c r="S783" s="195" t="s">
        <v>3647</v>
      </c>
      <c r="T783" s="986" t="s">
        <v>4270</v>
      </c>
      <c r="U783" s="755">
        <v>1.0</v>
      </c>
      <c r="V783" s="195" t="str">
        <f t="shared" si="43"/>
        <v>10.1098--rsos.231240.pdf</v>
      </c>
      <c r="W783" s="195" t="s">
        <v>3719</v>
      </c>
      <c r="X783" s="1166" t="str">
        <f t="array" ref="X783"> if(iserror(MATCH(V783, 'File Links'!C:C, 0)), "N/A", HYPERLINK(INDEX('File Links'!B:B, MATCH(V783, 'File Links'!C:C, 0))))</f>
        <v>https://drive.google.com/file/d/17gaf2Zy_ljFfcAEDk5L8GBnTl5i7RGJE/view?usp=drivesdk</v>
      </c>
      <c r="Y783" s="187"/>
      <c r="Z783" s="195" t="s">
        <v>219</v>
      </c>
      <c r="AA783" s="195" t="s">
        <v>4271</v>
      </c>
      <c r="AB783" s="195" t="s">
        <v>4272</v>
      </c>
      <c r="AC783" s="195" t="s">
        <v>4273</v>
      </c>
      <c r="AD783" s="572" t="s">
        <v>4274</v>
      </c>
      <c r="AE783" s="792" t="s">
        <v>4275</v>
      </c>
      <c r="AF783" s="755">
        <v>350.0</v>
      </c>
      <c r="AG783" s="792">
        <v>0.373</v>
      </c>
      <c r="AH783" s="792" t="s">
        <v>166</v>
      </c>
      <c r="AI783" s="792" t="s">
        <v>4276</v>
      </c>
      <c r="AJ783" s="872">
        <v>0.003</v>
      </c>
      <c r="AK783" s="55" t="s">
        <v>165</v>
      </c>
      <c r="AL783" s="572" t="s">
        <v>179</v>
      </c>
      <c r="AM783" s="572" t="s">
        <v>130</v>
      </c>
      <c r="AN783" s="371" t="s">
        <v>131</v>
      </c>
      <c r="AO783" s="755">
        <v>208.0</v>
      </c>
      <c r="AP783" s="792">
        <v>-0.193</v>
      </c>
      <c r="AQ783" s="792" t="s">
        <v>166</v>
      </c>
      <c r="AR783" s="792" t="s">
        <v>4277</v>
      </c>
      <c r="AS783" s="792">
        <v>0.1663</v>
      </c>
      <c r="AT783" s="195" t="s">
        <v>165</v>
      </c>
      <c r="AU783" s="572" t="s">
        <v>129</v>
      </c>
      <c r="AV783" s="572" t="s">
        <v>130</v>
      </c>
      <c r="AW783" s="144" t="s">
        <v>131</v>
      </c>
      <c r="AX783" s="187" t="s">
        <v>136</v>
      </c>
      <c r="AY783" s="186"/>
      <c r="AZ783" s="371" t="s">
        <v>3673</v>
      </c>
      <c r="BA783" s="186"/>
      <c r="BB783" s="186"/>
      <c r="BC783" s="186"/>
      <c r="BD783" s="186"/>
      <c r="BE783" s="186"/>
      <c r="BF783" s="186"/>
      <c r="BG783" s="186"/>
      <c r="BH783" s="186"/>
      <c r="BI783" s="186"/>
      <c r="BJ783" s="186"/>
      <c r="BK783" s="186"/>
      <c r="BL783" s="186"/>
      <c r="BM783" s="186"/>
      <c r="BN783" s="186"/>
      <c r="BO783" s="186"/>
      <c r="BP783" s="186"/>
      <c r="BQ783" s="186"/>
      <c r="BR783" s="186"/>
      <c r="BS783" s="186"/>
      <c r="BT783" s="186"/>
      <c r="BU783" s="186"/>
      <c r="BV783" s="186"/>
      <c r="BW783" s="186"/>
      <c r="BX783" s="186"/>
      <c r="BY783" s="186"/>
      <c r="BZ783" s="186"/>
      <c r="CA783" s="186"/>
      <c r="CB783" s="186"/>
      <c r="CC783" s="186"/>
      <c r="CD783" s="186"/>
      <c r="CE783" s="186"/>
      <c r="CF783" s="186"/>
      <c r="CG783" s="186"/>
      <c r="CH783" s="186"/>
      <c r="CI783" s="186"/>
      <c r="CJ783" s="186"/>
      <c r="CK783" s="186"/>
      <c r="CL783" s="186"/>
      <c r="CM783" s="186"/>
      <c r="CN783" s="186"/>
      <c r="CO783" s="186"/>
      <c r="CP783" s="186"/>
      <c r="CQ783" s="186"/>
      <c r="CR783" s="186"/>
      <c r="CS783" s="186"/>
      <c r="CT783" s="186"/>
      <c r="CU783" s="186"/>
      <c r="CV783" s="186"/>
      <c r="CW783" s="186"/>
      <c r="CX783" s="186"/>
      <c r="CY783" s="186"/>
      <c r="CZ783" s="186"/>
      <c r="DA783" s="186"/>
      <c r="DB783" s="186"/>
      <c r="DC783" s="186"/>
      <c r="DD783" s="186"/>
      <c r="DE783" s="186"/>
      <c r="DF783" s="186"/>
      <c r="DG783" s="186"/>
      <c r="DH783" s="186"/>
    </row>
    <row r="784">
      <c r="A784" s="686">
        <v>784.0</v>
      </c>
      <c r="B784" s="371" t="s">
        <v>145</v>
      </c>
      <c r="C784" s="185" t="s">
        <v>108</v>
      </c>
      <c r="D784" s="185" t="s">
        <v>146</v>
      </c>
      <c r="E784" s="186"/>
      <c r="F784" s="187" t="s">
        <v>4263</v>
      </c>
      <c r="G784" s="55" t="s">
        <v>4278</v>
      </c>
      <c r="H784" s="195" t="s">
        <v>146</v>
      </c>
      <c r="I784" s="188">
        <v>45687.0</v>
      </c>
      <c r="J784" s="188">
        <v>45692.0</v>
      </c>
      <c r="K784" s="366" t="s">
        <v>4279</v>
      </c>
      <c r="L784" s="187"/>
      <c r="M784" s="195" t="s">
        <v>4264</v>
      </c>
      <c r="N784" s="195" t="s">
        <v>4265</v>
      </c>
      <c r="O784" s="755">
        <v>5.0</v>
      </c>
      <c r="P784" s="195" t="str">
        <f t="shared" si="37"/>
        <v>10.1016--j.jesp.2018.05.006.pdf</v>
      </c>
      <c r="Q784" s="1165" t="str">
        <f t="array" ref="Q784"> if(iserror(MATCH(V784, 'File Links'!C:C, 0)), "N/A", HYPERLINK(INDEX('File Links'!B:B, MATCH(P784, 'File Links'!C:C, 0))))</f>
        <v>https://drive.google.com/file/d/1bbOr5sJJaSFgt-aKadq5yMvKA8ywD97U/view?usp=drivesdk</v>
      </c>
      <c r="R784" s="195" t="s">
        <v>3646</v>
      </c>
      <c r="S784" s="195" t="s">
        <v>3647</v>
      </c>
      <c r="T784" s="187"/>
      <c r="U784" s="755">
        <v>1.0</v>
      </c>
      <c r="V784" s="195" t="str">
        <f t="shared" si="43"/>
        <v>10.1098--rsos.231240.pdf</v>
      </c>
      <c r="W784" s="195" t="s">
        <v>3719</v>
      </c>
      <c r="X784" s="1166" t="str">
        <f t="array" ref="X784"> if(iserror(MATCH(V784, 'File Links'!C:C, 0)), "N/A", HYPERLINK(INDEX('File Links'!B:B, MATCH(V784, 'File Links'!C:C, 0))))</f>
        <v>https://drive.google.com/file/d/17gaf2Zy_ljFfcAEDk5L8GBnTl5i7RGJE/view?usp=drivesdk</v>
      </c>
      <c r="Y784" s="187"/>
      <c r="Z784" s="195" t="s">
        <v>219</v>
      </c>
      <c r="AA784" s="195" t="s">
        <v>4271</v>
      </c>
      <c r="AB784" s="195" t="s">
        <v>4272</v>
      </c>
      <c r="AC784" s="195" t="s">
        <v>4280</v>
      </c>
      <c r="AD784" s="195" t="s">
        <v>4281</v>
      </c>
      <c r="AE784" s="755">
        <v>9.0</v>
      </c>
      <c r="AF784" s="755">
        <v>350.0</v>
      </c>
      <c r="AG784" s="747">
        <v>0.004</v>
      </c>
      <c r="AH784" s="755" t="s">
        <v>132</v>
      </c>
      <c r="AI784" s="755" t="s">
        <v>621</v>
      </c>
      <c r="AJ784" s="1125">
        <v>0.187</v>
      </c>
      <c r="AK784" s="55" t="s">
        <v>165</v>
      </c>
      <c r="AL784" s="55" t="s">
        <v>211</v>
      </c>
      <c r="AM784" s="195" t="s">
        <v>134</v>
      </c>
      <c r="AN784" s="371" t="s">
        <v>131</v>
      </c>
      <c r="AO784" s="755">
        <v>208.0</v>
      </c>
      <c r="AP784" s="747">
        <v>-0.3473</v>
      </c>
      <c r="AQ784" s="755" t="s">
        <v>980</v>
      </c>
      <c r="AR784" s="747" t="s">
        <v>2222</v>
      </c>
      <c r="AS784" s="755">
        <v>0.635</v>
      </c>
      <c r="AT784" s="195" t="s">
        <v>165</v>
      </c>
      <c r="AU784" s="195" t="s">
        <v>179</v>
      </c>
      <c r="AV784" s="195" t="s">
        <v>134</v>
      </c>
      <c r="AW784" s="144" t="s">
        <v>131</v>
      </c>
      <c r="AX784" s="187" t="s">
        <v>136</v>
      </c>
      <c r="AY784" s="186"/>
      <c r="AZ784" s="187" t="s">
        <v>146</v>
      </c>
      <c r="BA784" s="186"/>
      <c r="BB784" s="186"/>
      <c r="BC784" s="186"/>
      <c r="BD784" s="186"/>
      <c r="BE784" s="186"/>
      <c r="BF784" s="186"/>
      <c r="BG784" s="186"/>
      <c r="BH784" s="186"/>
      <c r="BI784" s="186"/>
      <c r="BJ784" s="186"/>
      <c r="BK784" s="186"/>
      <c r="BL784" s="186"/>
      <c r="BM784" s="186"/>
      <c r="BN784" s="186"/>
      <c r="BO784" s="186"/>
      <c r="BP784" s="186"/>
      <c r="BQ784" s="186"/>
      <c r="BR784" s="186"/>
      <c r="BS784" s="186"/>
      <c r="BT784" s="186"/>
      <c r="BU784" s="186"/>
      <c r="BV784" s="186"/>
      <c r="BW784" s="186"/>
      <c r="BX784" s="186"/>
      <c r="BY784" s="186"/>
      <c r="BZ784" s="186"/>
      <c r="CA784" s="186"/>
      <c r="CB784" s="186"/>
      <c r="CC784" s="186"/>
      <c r="CD784" s="186"/>
      <c r="CE784" s="186"/>
      <c r="CF784" s="186"/>
      <c r="CG784" s="186"/>
      <c r="CH784" s="186"/>
      <c r="CI784" s="186"/>
      <c r="CJ784" s="186"/>
      <c r="CK784" s="186"/>
      <c r="CL784" s="186"/>
      <c r="CM784" s="186"/>
      <c r="CN784" s="186"/>
      <c r="CO784" s="186"/>
      <c r="CP784" s="186"/>
      <c r="CQ784" s="186"/>
      <c r="CR784" s="186"/>
      <c r="CS784" s="186"/>
      <c r="CT784" s="186"/>
      <c r="CU784" s="186"/>
      <c r="CV784" s="186"/>
      <c r="CW784" s="186"/>
      <c r="CX784" s="186"/>
      <c r="CY784" s="186"/>
      <c r="CZ784" s="186"/>
      <c r="DA784" s="186"/>
      <c r="DB784" s="186"/>
      <c r="DC784" s="186"/>
      <c r="DD784" s="186"/>
      <c r="DE784" s="186"/>
      <c r="DF784" s="186"/>
      <c r="DG784" s="186"/>
      <c r="DH784" s="186"/>
    </row>
    <row r="785">
      <c r="A785" s="686">
        <v>785.0</v>
      </c>
      <c r="B785" s="371" t="s">
        <v>145</v>
      </c>
      <c r="C785" s="185" t="s">
        <v>108</v>
      </c>
      <c r="D785" s="185" t="s">
        <v>146</v>
      </c>
      <c r="E785" s="186"/>
      <c r="F785" s="187" t="s">
        <v>4263</v>
      </c>
      <c r="G785" s="55" t="s">
        <v>4282</v>
      </c>
      <c r="H785" s="195" t="s">
        <v>146</v>
      </c>
      <c r="I785" s="188">
        <v>45687.0</v>
      </c>
      <c r="J785" s="188">
        <v>45692.0</v>
      </c>
      <c r="K785" s="366" t="s">
        <v>4279</v>
      </c>
      <c r="L785" s="187"/>
      <c r="M785" s="195" t="s">
        <v>4264</v>
      </c>
      <c r="N785" s="195" t="s">
        <v>4265</v>
      </c>
      <c r="O785" s="755">
        <v>5.0</v>
      </c>
      <c r="P785" s="195" t="str">
        <f t="shared" si="37"/>
        <v>10.1016--j.jesp.2018.05.006.pdf</v>
      </c>
      <c r="Q785" s="1165" t="str">
        <f t="array" ref="Q785"> if(iserror(MATCH(V785, 'File Links'!C:C, 0)), "N/A", HYPERLINK(INDEX('File Links'!B:B, MATCH(P785, 'File Links'!C:C, 0))))</f>
        <v>https://drive.google.com/file/d/1bbOr5sJJaSFgt-aKadq5yMvKA8ywD97U/view?usp=drivesdk</v>
      </c>
      <c r="R785" s="195" t="s">
        <v>3646</v>
      </c>
      <c r="S785" s="195" t="s">
        <v>3647</v>
      </c>
      <c r="T785" s="187"/>
      <c r="U785" s="755">
        <v>1.0</v>
      </c>
      <c r="V785" s="195" t="str">
        <f t="shared" si="43"/>
        <v>10.1098--rsos.231240.pdf</v>
      </c>
      <c r="W785" s="195" t="s">
        <v>3719</v>
      </c>
      <c r="X785" s="1166" t="str">
        <f t="array" ref="X785"> if(iserror(MATCH(V785, 'File Links'!C:C, 0)), "N/A", HYPERLINK(INDEX('File Links'!B:B, MATCH(V785, 'File Links'!C:C, 0))))</f>
        <v>https://drive.google.com/file/d/17gaf2Zy_ljFfcAEDk5L8GBnTl5i7RGJE/view?usp=drivesdk</v>
      </c>
      <c r="Y785" s="187"/>
      <c r="Z785" s="195" t="s">
        <v>219</v>
      </c>
      <c r="AA785" s="195" t="s">
        <v>4271</v>
      </c>
      <c r="AB785" s="195" t="s">
        <v>4272</v>
      </c>
      <c r="AC785" s="195" t="s">
        <v>4283</v>
      </c>
      <c r="AD785" s="195" t="s">
        <v>4284</v>
      </c>
      <c r="AE785" s="1169">
        <v>45908.0</v>
      </c>
      <c r="AF785" s="755">
        <v>350.0</v>
      </c>
      <c r="AG785" s="747">
        <v>0.029</v>
      </c>
      <c r="AH785" s="755" t="s">
        <v>132</v>
      </c>
      <c r="AI785" s="747" t="s">
        <v>621</v>
      </c>
      <c r="AJ785" s="1125">
        <v>0.001</v>
      </c>
      <c r="AK785" s="55" t="s">
        <v>165</v>
      </c>
      <c r="AL785" s="55" t="s">
        <v>211</v>
      </c>
      <c r="AM785" s="195" t="s">
        <v>134</v>
      </c>
      <c r="AN785" s="371" t="s">
        <v>131</v>
      </c>
      <c r="AO785" s="755">
        <v>208.0</v>
      </c>
      <c r="AP785" s="747">
        <v>0.849</v>
      </c>
      <c r="AQ785" s="755" t="s">
        <v>980</v>
      </c>
      <c r="AR785" s="747" t="s">
        <v>2222</v>
      </c>
      <c r="AS785" s="755">
        <v>0.191</v>
      </c>
      <c r="AT785" s="195" t="s">
        <v>165</v>
      </c>
      <c r="AU785" s="195" t="s">
        <v>179</v>
      </c>
      <c r="AV785" s="195" t="s">
        <v>134</v>
      </c>
      <c r="AW785" s="144" t="s">
        <v>131</v>
      </c>
      <c r="AX785" s="187" t="s">
        <v>136</v>
      </c>
      <c r="AY785" s="186"/>
      <c r="AZ785" s="187" t="s">
        <v>146</v>
      </c>
      <c r="BA785" s="186"/>
      <c r="BB785" s="186"/>
      <c r="BC785" s="186"/>
      <c r="BD785" s="186"/>
      <c r="BE785" s="186"/>
      <c r="BF785" s="186"/>
      <c r="BG785" s="186"/>
      <c r="BH785" s="186"/>
      <c r="BI785" s="186"/>
      <c r="BJ785" s="186"/>
      <c r="BK785" s="186"/>
      <c r="BL785" s="186"/>
      <c r="BM785" s="186"/>
      <c r="BN785" s="186"/>
      <c r="BO785" s="186"/>
      <c r="BP785" s="186"/>
      <c r="BQ785" s="186"/>
      <c r="BR785" s="186"/>
      <c r="BS785" s="186"/>
      <c r="BT785" s="186"/>
      <c r="BU785" s="186"/>
      <c r="BV785" s="186"/>
      <c r="BW785" s="186"/>
      <c r="BX785" s="186"/>
      <c r="BY785" s="186"/>
      <c r="BZ785" s="186"/>
      <c r="CA785" s="186"/>
      <c r="CB785" s="186"/>
      <c r="CC785" s="186"/>
      <c r="CD785" s="186"/>
      <c r="CE785" s="186"/>
      <c r="CF785" s="186"/>
      <c r="CG785" s="186"/>
      <c r="CH785" s="186"/>
      <c r="CI785" s="186"/>
      <c r="CJ785" s="186"/>
      <c r="CK785" s="186"/>
      <c r="CL785" s="186"/>
      <c r="CM785" s="186"/>
      <c r="CN785" s="186"/>
      <c r="CO785" s="186"/>
      <c r="CP785" s="186"/>
      <c r="CQ785" s="186"/>
      <c r="CR785" s="186"/>
      <c r="CS785" s="186"/>
      <c r="CT785" s="186"/>
      <c r="CU785" s="186"/>
      <c r="CV785" s="186"/>
      <c r="CW785" s="186"/>
      <c r="CX785" s="186"/>
      <c r="CY785" s="186"/>
      <c r="CZ785" s="186"/>
      <c r="DA785" s="186"/>
      <c r="DB785" s="186"/>
      <c r="DC785" s="186"/>
      <c r="DD785" s="186"/>
      <c r="DE785" s="186"/>
      <c r="DF785" s="186"/>
      <c r="DG785" s="186"/>
      <c r="DH785" s="186"/>
    </row>
    <row r="786">
      <c r="A786" s="325">
        <v>786.0</v>
      </c>
      <c r="B786" s="328" t="s">
        <v>107</v>
      </c>
      <c r="C786" s="322" t="s">
        <v>108</v>
      </c>
      <c r="D786" s="322" t="s">
        <v>241</v>
      </c>
      <c r="E786" s="223"/>
      <c r="F786" s="241" t="s">
        <v>4285</v>
      </c>
      <c r="G786" s="409" t="s">
        <v>4286</v>
      </c>
      <c r="H786" s="241" t="s">
        <v>242</v>
      </c>
      <c r="I786" s="655">
        <v>45670.0</v>
      </c>
      <c r="J786" s="655">
        <v>45692.0</v>
      </c>
      <c r="K786" s="328"/>
      <c r="L786" s="241" t="s">
        <v>3683</v>
      </c>
      <c r="M786" s="241" t="s">
        <v>4287</v>
      </c>
      <c r="N786" s="241" t="s">
        <v>4288</v>
      </c>
      <c r="O786" s="328"/>
      <c r="P786" s="241" t="str">
        <f t="shared" si="37"/>
        <v>10.1177--0956797612444613.pdf</v>
      </c>
      <c r="Q786" s="658" t="str">
        <f t="array" ref="Q786"> if(iserror(MATCH(V786, 'File Links'!C:C, 0)), "N/A", HYPERLINK(INDEX('File Links'!B:B, MATCH(P786, 'File Links'!C:C, 0))))</f>
        <v>https://drive.google.com/file/d/1YxSLKvJhCAZvjLwh2Dxi3CO9YKNSkWkP/view?usp=drivesdk</v>
      </c>
      <c r="R786" s="241" t="s">
        <v>3646</v>
      </c>
      <c r="S786" s="241" t="s">
        <v>3647</v>
      </c>
      <c r="T786" s="328"/>
      <c r="U786" s="331">
        <v>1.0</v>
      </c>
      <c r="V786" s="241" t="str">
        <f t="shared" si="43"/>
        <v>10.1098--rsos.231240.pdf</v>
      </c>
      <c r="W786" s="321" t="s">
        <v>4289</v>
      </c>
      <c r="X786" s="1170" t="str">
        <f t="array" ref="X786"> if(iserror(MATCH(V786, 'File Links'!C:C, 0)), "N/A", HYPERLINK(INDEX('File Links'!B:B, MATCH(V786, 'File Links'!C:C, 0))))</f>
        <v>https://drive.google.com/file/d/17gaf2Zy_ljFfcAEDk5L8GBnTl5i7RGJE/view?usp=drivesdk</v>
      </c>
      <c r="Y786" s="328"/>
      <c r="Z786" s="241" t="s">
        <v>141</v>
      </c>
      <c r="AA786" s="328"/>
      <c r="AB786" s="241" t="s">
        <v>4290</v>
      </c>
      <c r="AC786" s="328"/>
      <c r="AD786" s="241" t="s">
        <v>4291</v>
      </c>
      <c r="AE786" s="1171">
        <v>1259.0</v>
      </c>
      <c r="AF786" s="331">
        <v>18.0</v>
      </c>
      <c r="AG786" s="241" t="s">
        <v>4292</v>
      </c>
      <c r="AH786" s="241" t="s">
        <v>166</v>
      </c>
      <c r="AI786" s="1172" t="s">
        <v>4293</v>
      </c>
      <c r="AJ786" s="1173">
        <v>0.05</v>
      </c>
      <c r="AK786" s="409" t="s">
        <v>128</v>
      </c>
      <c r="AL786" s="409" t="s">
        <v>179</v>
      </c>
      <c r="AM786" s="241" t="s">
        <v>134</v>
      </c>
      <c r="AN786" s="327" t="s">
        <v>131</v>
      </c>
      <c r="AO786" s="331">
        <v>45.0</v>
      </c>
      <c r="AP786" s="331">
        <v>0.494916379019953</v>
      </c>
      <c r="AQ786" s="241" t="s">
        <v>166</v>
      </c>
      <c r="AR786" s="328"/>
      <c r="AS786" s="331">
        <v>0.00181562866269216</v>
      </c>
      <c r="AT786" s="241" t="s">
        <v>165</v>
      </c>
      <c r="AU786" s="241" t="s">
        <v>179</v>
      </c>
      <c r="AV786" s="241" t="s">
        <v>134</v>
      </c>
      <c r="AW786" s="144" t="s">
        <v>131</v>
      </c>
      <c r="AX786" s="241" t="s">
        <v>136</v>
      </c>
      <c r="AY786" s="223"/>
      <c r="AZ786" s="328" t="s">
        <v>146</v>
      </c>
      <c r="BA786" s="223"/>
      <c r="BB786" s="223"/>
      <c r="BC786" s="223"/>
      <c r="BD786" s="223"/>
      <c r="BE786" s="223"/>
      <c r="BF786" s="223"/>
      <c r="BG786" s="223"/>
      <c r="BH786" s="223"/>
      <c r="BI786" s="223"/>
      <c r="BJ786" s="223"/>
      <c r="BK786" s="223"/>
      <c r="BL786" s="223"/>
      <c r="BM786" s="223"/>
      <c r="BN786" s="223"/>
      <c r="BO786" s="223"/>
      <c r="BP786" s="223"/>
      <c r="BQ786" s="223"/>
      <c r="BR786" s="223"/>
      <c r="BS786" s="223"/>
      <c r="BT786" s="223"/>
      <c r="BU786" s="223"/>
      <c r="BV786" s="223"/>
      <c r="BW786" s="223"/>
      <c r="BX786" s="223"/>
      <c r="BY786" s="223"/>
      <c r="BZ786" s="223"/>
      <c r="CA786" s="223"/>
      <c r="CB786" s="223"/>
      <c r="CC786" s="223"/>
      <c r="CD786" s="223"/>
      <c r="CE786" s="223"/>
      <c r="CF786" s="223"/>
      <c r="CG786" s="223"/>
      <c r="CH786" s="223"/>
      <c r="CI786" s="223"/>
      <c r="CJ786" s="223"/>
      <c r="CK786" s="223"/>
      <c r="CL786" s="223"/>
      <c r="CM786" s="223"/>
      <c r="CN786" s="223"/>
      <c r="CO786" s="223"/>
      <c r="CP786" s="223"/>
      <c r="CQ786" s="223"/>
      <c r="CR786" s="223"/>
      <c r="CS786" s="223"/>
      <c r="CT786" s="223"/>
      <c r="CU786" s="223"/>
      <c r="CV786" s="223"/>
      <c r="CW786" s="223"/>
      <c r="CX786" s="223"/>
      <c r="CY786" s="223"/>
      <c r="CZ786" s="223"/>
      <c r="DA786" s="223"/>
      <c r="DB786" s="223"/>
      <c r="DC786" s="223"/>
      <c r="DD786" s="223"/>
      <c r="DE786" s="223"/>
      <c r="DF786" s="223"/>
      <c r="DG786" s="223"/>
      <c r="DH786" s="223"/>
    </row>
    <row r="787">
      <c r="A787" s="325">
        <v>787.0</v>
      </c>
      <c r="B787" s="328" t="s">
        <v>107</v>
      </c>
      <c r="C787" s="322" t="s">
        <v>108</v>
      </c>
      <c r="D787" s="322" t="s">
        <v>146</v>
      </c>
      <c r="E787" s="223"/>
      <c r="F787" s="328" t="s">
        <v>4286</v>
      </c>
      <c r="G787" s="409" t="s">
        <v>4285</v>
      </c>
      <c r="H787" s="241" t="s">
        <v>146</v>
      </c>
      <c r="I787" s="655">
        <v>45687.0</v>
      </c>
      <c r="J787" s="655">
        <v>45692.0</v>
      </c>
      <c r="K787" s="384" t="s">
        <v>4294</v>
      </c>
      <c r="L787" s="328"/>
      <c r="M787" s="241" t="s">
        <v>4287</v>
      </c>
      <c r="N787" s="241" t="s">
        <v>4288</v>
      </c>
      <c r="O787" s="331">
        <v>1.0</v>
      </c>
      <c r="P787" s="241" t="str">
        <f t="shared" si="37"/>
        <v>10.1177--0956797612444613.pdf</v>
      </c>
      <c r="Q787" s="658" t="str">
        <f t="array" ref="Q787"> if(iserror(MATCH(V787, 'File Links'!C:C, 0)), "N/A", HYPERLINK(INDEX('File Links'!B:B, MATCH(P787, 'File Links'!C:C, 0))))</f>
        <v>https://drive.google.com/file/d/1YxSLKvJhCAZvjLwh2Dxi3CO9YKNSkWkP/view?usp=drivesdk</v>
      </c>
      <c r="R787" s="241" t="s">
        <v>3646</v>
      </c>
      <c r="S787" s="241" t="s">
        <v>3647</v>
      </c>
      <c r="T787" s="328"/>
      <c r="U787" s="331">
        <v>1.0</v>
      </c>
      <c r="V787" s="241" t="str">
        <f t="shared" si="43"/>
        <v>10.1098--rsos.231240.pdf</v>
      </c>
      <c r="W787" s="321" t="s">
        <v>4289</v>
      </c>
      <c r="X787" s="1170" t="str">
        <f t="array" ref="X787"> if(iserror(MATCH(V787, 'File Links'!C:C, 0)), "N/A", HYPERLINK(INDEX('File Links'!B:B, MATCH(V787, 'File Links'!C:C, 0))))</f>
        <v>https://drive.google.com/file/d/17gaf2Zy_ljFfcAEDk5L8GBnTl5i7RGJE/view?usp=drivesdk</v>
      </c>
      <c r="Y787" s="328"/>
      <c r="Z787" s="241" t="s">
        <v>141</v>
      </c>
      <c r="AA787" s="241" t="s">
        <v>4295</v>
      </c>
      <c r="AB787" s="241" t="s">
        <v>4296</v>
      </c>
      <c r="AC787" s="241" t="s">
        <v>4297</v>
      </c>
      <c r="AD787" s="241" t="s">
        <v>4298</v>
      </c>
      <c r="AE787" s="331">
        <v>5.0</v>
      </c>
      <c r="AF787" s="331">
        <v>18.0</v>
      </c>
      <c r="AG787" s="1174">
        <v>0.612825877028341</v>
      </c>
      <c r="AH787" s="331" t="s">
        <v>166</v>
      </c>
      <c r="AI787" s="331" t="s">
        <v>806</v>
      </c>
      <c r="AJ787" s="1173">
        <v>0.05</v>
      </c>
      <c r="AK787" s="409" t="s">
        <v>128</v>
      </c>
      <c r="AL787" s="409" t="s">
        <v>179</v>
      </c>
      <c r="AM787" s="241" t="s">
        <v>134</v>
      </c>
      <c r="AN787" s="327" t="s">
        <v>131</v>
      </c>
      <c r="AO787" s="331">
        <v>45.0</v>
      </c>
      <c r="AP787" s="1175">
        <v>0.494916379019953</v>
      </c>
      <c r="AQ787" s="331" t="s">
        <v>166</v>
      </c>
      <c r="AR787" s="328"/>
      <c r="AS787" s="331">
        <v>0.00181562866269216</v>
      </c>
      <c r="AT787" s="241" t="s">
        <v>165</v>
      </c>
      <c r="AU787" s="241" t="s">
        <v>179</v>
      </c>
      <c r="AV787" s="241" t="s">
        <v>134</v>
      </c>
      <c r="AW787" s="144" t="s">
        <v>131</v>
      </c>
      <c r="AX787" s="328" t="s">
        <v>136</v>
      </c>
      <c r="AY787" s="223"/>
      <c r="AZ787" s="328" t="s">
        <v>146</v>
      </c>
      <c r="BA787" s="223"/>
      <c r="BB787" s="223"/>
      <c r="BC787" s="223"/>
      <c r="BD787" s="223"/>
      <c r="BE787" s="223"/>
      <c r="BF787" s="223"/>
      <c r="BG787" s="223"/>
      <c r="BH787" s="223"/>
      <c r="BI787" s="223"/>
      <c r="BJ787" s="223"/>
      <c r="BK787" s="223"/>
      <c r="BL787" s="223"/>
      <c r="BM787" s="223"/>
      <c r="BN787" s="223"/>
      <c r="BO787" s="223"/>
      <c r="BP787" s="223"/>
      <c r="BQ787" s="223"/>
      <c r="BR787" s="223"/>
      <c r="BS787" s="223"/>
      <c r="BT787" s="223"/>
      <c r="BU787" s="223"/>
      <c r="BV787" s="223"/>
      <c r="BW787" s="223"/>
      <c r="BX787" s="223"/>
      <c r="BY787" s="223"/>
      <c r="BZ787" s="223"/>
      <c r="CA787" s="223"/>
      <c r="CB787" s="223"/>
      <c r="CC787" s="223"/>
      <c r="CD787" s="223"/>
      <c r="CE787" s="223"/>
      <c r="CF787" s="223"/>
      <c r="CG787" s="223"/>
      <c r="CH787" s="223"/>
      <c r="CI787" s="223"/>
      <c r="CJ787" s="223"/>
      <c r="CK787" s="223"/>
      <c r="CL787" s="223"/>
      <c r="CM787" s="223"/>
      <c r="CN787" s="223"/>
      <c r="CO787" s="223"/>
      <c r="CP787" s="223"/>
      <c r="CQ787" s="223"/>
      <c r="CR787" s="223"/>
      <c r="CS787" s="223"/>
      <c r="CT787" s="223"/>
      <c r="CU787" s="223"/>
      <c r="CV787" s="223"/>
      <c r="CW787" s="223"/>
      <c r="CX787" s="223"/>
      <c r="CY787" s="223"/>
      <c r="CZ787" s="223"/>
      <c r="DA787" s="223"/>
      <c r="DB787" s="223"/>
      <c r="DC787" s="223"/>
      <c r="DD787" s="223"/>
      <c r="DE787" s="223"/>
      <c r="DF787" s="223"/>
      <c r="DG787" s="223"/>
      <c r="DH787" s="223"/>
    </row>
    <row r="788">
      <c r="A788" s="107">
        <v>788.0</v>
      </c>
      <c r="B788" s="108" t="s">
        <v>583</v>
      </c>
      <c r="C788" s="146" t="s">
        <v>108</v>
      </c>
      <c r="D788" s="146" t="s">
        <v>241</v>
      </c>
      <c r="E788" s="69"/>
      <c r="F788" s="119" t="s">
        <v>4299</v>
      </c>
      <c r="G788" s="109" t="s">
        <v>4300</v>
      </c>
      <c r="H788" s="119" t="s">
        <v>242</v>
      </c>
      <c r="I788" s="414">
        <v>45670.0</v>
      </c>
      <c r="J788" s="414">
        <v>45692.0</v>
      </c>
      <c r="K788" s="215" t="s">
        <v>4301</v>
      </c>
      <c r="L788" s="119" t="s">
        <v>4302</v>
      </c>
      <c r="M788" s="119" t="s">
        <v>4303</v>
      </c>
      <c r="N788" s="119" t="s">
        <v>4304</v>
      </c>
      <c r="O788" s="144">
        <v>6.0</v>
      </c>
      <c r="P788" s="119" t="str">
        <f t="shared" si="37"/>
        <v>10.1037--0022-3514.95.2.293.pdf</v>
      </c>
      <c r="Q788" s="1158" t="str">
        <f t="array" ref="Q788"> if(iserror(MATCH(V788, 'File Links'!C:C, 0)), "N/A", HYPERLINK(INDEX('File Links'!B:B, MATCH(P788, 'File Links'!C:C, 0))))</f>
        <v>https://drive.google.com/file/d/1Gkz07e_5xnoHy7zdKAHfWY6layqbA2lX/view?usp=drivesdk</v>
      </c>
      <c r="R788" s="119" t="s">
        <v>3646</v>
      </c>
      <c r="S788" s="119" t="s">
        <v>3647</v>
      </c>
      <c r="T788" s="108"/>
      <c r="U788" s="534">
        <v>1.0</v>
      </c>
      <c r="V788" s="119" t="str">
        <f t="shared" si="43"/>
        <v>10.1098--rsos.231240.pdf</v>
      </c>
      <c r="W788" s="113" t="s">
        <v>3719</v>
      </c>
      <c r="X788" s="1159" t="str">
        <f t="array" ref="X788"> if(iserror(MATCH(V788, 'File Links'!C:C, 0)), "N/A", HYPERLINK(INDEX('File Links'!B:B, MATCH(V788, 'File Links'!C:C, 0))))</f>
        <v>https://drive.google.com/file/d/17gaf2Zy_ljFfcAEDk5L8GBnTl5i7RGJE/view?usp=drivesdk</v>
      </c>
      <c r="Y788" s="108"/>
      <c r="Z788" s="119" t="s">
        <v>219</v>
      </c>
      <c r="AA788" s="1176" t="s">
        <v>4305</v>
      </c>
      <c r="AB788" s="119" t="s">
        <v>4306</v>
      </c>
      <c r="AC788" s="108"/>
      <c r="AD788" s="119" t="s">
        <v>4307</v>
      </c>
      <c r="AE788" s="1103">
        <v>302.0</v>
      </c>
      <c r="AF788" s="534">
        <v>120.0</v>
      </c>
      <c r="AG788" s="534">
        <v>4.15</v>
      </c>
      <c r="AH788" s="119" t="s">
        <v>1024</v>
      </c>
      <c r="AI788" s="776" t="s">
        <v>4308</v>
      </c>
      <c r="AJ788" s="363">
        <v>0.05</v>
      </c>
      <c r="AK788" s="109" t="s">
        <v>128</v>
      </c>
      <c r="AL788" s="109" t="s">
        <v>129</v>
      </c>
      <c r="AM788" s="119" t="s">
        <v>134</v>
      </c>
      <c r="AN788" s="144" t="s">
        <v>131</v>
      </c>
      <c r="AO788" s="534">
        <v>226.0</v>
      </c>
      <c r="AP788" s="1103">
        <v>10.275</v>
      </c>
      <c r="AQ788" s="776" t="s">
        <v>1024</v>
      </c>
      <c r="AR788" s="108"/>
      <c r="AS788" s="534">
        <v>0.002</v>
      </c>
      <c r="AT788" s="119" t="s">
        <v>165</v>
      </c>
      <c r="AU788" s="119" t="s">
        <v>129</v>
      </c>
      <c r="AV788" s="119" t="s">
        <v>134</v>
      </c>
      <c r="AW788" s="126" t="s">
        <v>131</v>
      </c>
      <c r="AX788" s="776" t="s">
        <v>136</v>
      </c>
      <c r="AY788" s="69"/>
      <c r="AZ788" s="108" t="s">
        <v>146</v>
      </c>
      <c r="BA788" s="69"/>
      <c r="BB788" s="69"/>
      <c r="BC788" s="69"/>
      <c r="BD788" s="69"/>
      <c r="BE788" s="69"/>
      <c r="BF788" s="69"/>
      <c r="BG788" s="69"/>
      <c r="BH788" s="69"/>
      <c r="BI788" s="69"/>
      <c r="BJ788" s="69"/>
      <c r="BK788" s="69"/>
      <c r="BL788" s="69"/>
      <c r="BM788" s="69"/>
      <c r="BN788" s="69"/>
      <c r="BO788" s="69"/>
      <c r="BP788" s="69"/>
      <c r="BQ788" s="69"/>
      <c r="BR788" s="69"/>
      <c r="BS788" s="69"/>
      <c r="BT788" s="69"/>
      <c r="BU788" s="69"/>
      <c r="BV788" s="69"/>
      <c r="BW788" s="69"/>
      <c r="BX788" s="69"/>
      <c r="BY788" s="69"/>
      <c r="BZ788" s="69"/>
      <c r="CA788" s="69"/>
      <c r="CB788" s="69"/>
      <c r="CC788" s="69"/>
      <c r="CD788" s="69"/>
      <c r="CE788" s="69"/>
      <c r="CF788" s="69"/>
      <c r="CG788" s="69"/>
      <c r="CH788" s="69"/>
      <c r="CI788" s="69"/>
      <c r="CJ788" s="69"/>
      <c r="CK788" s="69"/>
      <c r="CL788" s="69"/>
      <c r="CM788" s="69"/>
      <c r="CN788" s="69"/>
      <c r="CO788" s="69"/>
      <c r="CP788" s="69"/>
      <c r="CQ788" s="69"/>
      <c r="CR788" s="69"/>
      <c r="CS788" s="69"/>
      <c r="CT788" s="69"/>
      <c r="CU788" s="69"/>
      <c r="CV788" s="69"/>
      <c r="CW788" s="69"/>
      <c r="CX788" s="69"/>
      <c r="CY788" s="69"/>
      <c r="CZ788" s="69"/>
      <c r="DA788" s="69"/>
      <c r="DB788" s="69"/>
      <c r="DC788" s="69"/>
      <c r="DD788" s="69"/>
      <c r="DE788" s="69"/>
      <c r="DF788" s="69"/>
      <c r="DG788" s="69"/>
      <c r="DH788" s="69"/>
    </row>
    <row r="789">
      <c r="A789" s="107">
        <v>789.0</v>
      </c>
      <c r="B789" s="144" t="s">
        <v>145</v>
      </c>
      <c r="C789" s="146" t="s">
        <v>108</v>
      </c>
      <c r="D789" s="146" t="s">
        <v>146</v>
      </c>
      <c r="E789" s="69"/>
      <c r="F789" s="108" t="s">
        <v>4300</v>
      </c>
      <c r="G789" s="109" t="s">
        <v>4309</v>
      </c>
      <c r="H789" s="119" t="s">
        <v>146</v>
      </c>
      <c r="I789" s="414">
        <v>45687.0</v>
      </c>
      <c r="J789" s="414">
        <v>45692.0</v>
      </c>
      <c r="K789" s="215" t="s">
        <v>4310</v>
      </c>
      <c r="L789" s="108"/>
      <c r="M789" s="119" t="s">
        <v>4303</v>
      </c>
      <c r="N789" s="119" t="s">
        <v>4304</v>
      </c>
      <c r="O789" s="534">
        <v>6.0</v>
      </c>
      <c r="P789" s="119" t="str">
        <f t="shared" si="37"/>
        <v>10.1037--0022-3514.95.2.293.pdf</v>
      </c>
      <c r="Q789" s="1158" t="str">
        <f t="array" ref="Q789"> if(iserror(MATCH(V789, 'File Links'!C:C, 0)), "N/A", HYPERLINK(INDEX('File Links'!B:B, MATCH(P789, 'File Links'!C:C, 0))))</f>
        <v>https://drive.google.com/file/d/1Gkz07e_5xnoHy7zdKAHfWY6layqbA2lX/view?usp=drivesdk</v>
      </c>
      <c r="R789" s="119" t="s">
        <v>3646</v>
      </c>
      <c r="S789" s="119" t="s">
        <v>3647</v>
      </c>
      <c r="T789" s="777" t="s">
        <v>4311</v>
      </c>
      <c r="U789" s="534">
        <v>1.0</v>
      </c>
      <c r="V789" s="119" t="str">
        <f t="shared" si="43"/>
        <v>10.1098--rsos.231240.pdf</v>
      </c>
      <c r="W789" s="113" t="s">
        <v>3719</v>
      </c>
      <c r="X789" s="1159" t="str">
        <f t="array" ref="X789"> if(iserror(MATCH(V789, 'File Links'!C:C, 0)), "N/A", HYPERLINK(INDEX('File Links'!B:B, MATCH(V789, 'File Links'!C:C, 0))))</f>
        <v>https://drive.google.com/file/d/17gaf2Zy_ljFfcAEDk5L8GBnTl5i7RGJE/view?usp=drivesdk</v>
      </c>
      <c r="Y789" s="108"/>
      <c r="Z789" s="119" t="s">
        <v>219</v>
      </c>
      <c r="AA789" s="1176" t="s">
        <v>4305</v>
      </c>
      <c r="AB789" s="119" t="s">
        <v>4306</v>
      </c>
      <c r="AC789" s="119" t="s">
        <v>4312</v>
      </c>
      <c r="AD789" s="119" t="s">
        <v>4313</v>
      </c>
      <c r="AE789" s="534">
        <v>10.0</v>
      </c>
      <c r="AF789" s="534">
        <v>120.0</v>
      </c>
      <c r="AG789" s="534" t="s">
        <v>4314</v>
      </c>
      <c r="AH789" s="534" t="s">
        <v>127</v>
      </c>
      <c r="AI789" s="534" t="s">
        <v>625</v>
      </c>
      <c r="AJ789" s="363">
        <v>0.001</v>
      </c>
      <c r="AK789" s="109" t="s">
        <v>128</v>
      </c>
      <c r="AL789" s="109" t="s">
        <v>129</v>
      </c>
      <c r="AM789" s="119" t="s">
        <v>134</v>
      </c>
      <c r="AN789" s="144" t="s">
        <v>131</v>
      </c>
      <c r="AO789" s="534">
        <v>226.0</v>
      </c>
      <c r="AP789" s="534" t="s">
        <v>4315</v>
      </c>
      <c r="AQ789" s="534" t="s">
        <v>127</v>
      </c>
      <c r="AR789" s="1177" t="s">
        <v>4316</v>
      </c>
      <c r="AS789" s="534">
        <v>0.002</v>
      </c>
      <c r="AT789" s="119" t="s">
        <v>165</v>
      </c>
      <c r="AU789" s="119" t="s">
        <v>129</v>
      </c>
      <c r="AV789" s="119" t="s">
        <v>134</v>
      </c>
      <c r="AW789" s="126" t="s">
        <v>131</v>
      </c>
      <c r="AX789" s="108" t="s">
        <v>144</v>
      </c>
      <c r="AY789" s="69"/>
      <c r="AZ789" s="108" t="s">
        <v>146</v>
      </c>
      <c r="BA789" s="69"/>
      <c r="BB789" s="69"/>
      <c r="BC789" s="69"/>
      <c r="BD789" s="69"/>
      <c r="BE789" s="69"/>
      <c r="BF789" s="69"/>
      <c r="BG789" s="69"/>
      <c r="BH789" s="69"/>
      <c r="BI789" s="69"/>
      <c r="BJ789" s="69"/>
      <c r="BK789" s="69"/>
      <c r="BL789" s="69"/>
      <c r="BM789" s="69"/>
      <c r="BN789" s="69"/>
      <c r="BO789" s="69"/>
      <c r="BP789" s="69"/>
      <c r="BQ789" s="69"/>
      <c r="BR789" s="69"/>
      <c r="BS789" s="69"/>
      <c r="BT789" s="69"/>
      <c r="BU789" s="69"/>
      <c r="BV789" s="69"/>
      <c r="BW789" s="69"/>
      <c r="BX789" s="69"/>
      <c r="BY789" s="69"/>
      <c r="BZ789" s="69"/>
      <c r="CA789" s="69"/>
      <c r="CB789" s="69"/>
      <c r="CC789" s="69"/>
      <c r="CD789" s="69"/>
      <c r="CE789" s="69"/>
      <c r="CF789" s="69"/>
      <c r="CG789" s="69"/>
      <c r="CH789" s="69"/>
      <c r="CI789" s="69"/>
      <c r="CJ789" s="69"/>
      <c r="CK789" s="69"/>
      <c r="CL789" s="69"/>
      <c r="CM789" s="69"/>
      <c r="CN789" s="69"/>
      <c r="CO789" s="69"/>
      <c r="CP789" s="69"/>
      <c r="CQ789" s="69"/>
      <c r="CR789" s="69"/>
      <c r="CS789" s="69"/>
      <c r="CT789" s="69"/>
      <c r="CU789" s="69"/>
      <c r="CV789" s="69"/>
      <c r="CW789" s="69"/>
      <c r="CX789" s="69"/>
      <c r="CY789" s="69"/>
      <c r="CZ789" s="69"/>
      <c r="DA789" s="69"/>
      <c r="DB789" s="69"/>
      <c r="DC789" s="69"/>
      <c r="DD789" s="69"/>
      <c r="DE789" s="69"/>
      <c r="DF789" s="69"/>
      <c r="DG789" s="69"/>
      <c r="DH789" s="69"/>
    </row>
    <row r="790">
      <c r="A790" s="107">
        <v>790.0</v>
      </c>
      <c r="B790" s="144" t="s">
        <v>145</v>
      </c>
      <c r="C790" s="146" t="s">
        <v>108</v>
      </c>
      <c r="D790" s="146" t="s">
        <v>146</v>
      </c>
      <c r="E790" s="69"/>
      <c r="F790" s="108" t="s">
        <v>4300</v>
      </c>
      <c r="G790" s="109" t="s">
        <v>4317</v>
      </c>
      <c r="H790" s="119" t="s">
        <v>146</v>
      </c>
      <c r="I790" s="414">
        <v>45687.0</v>
      </c>
      <c r="J790" s="414">
        <v>45692.0</v>
      </c>
      <c r="K790" s="215" t="s">
        <v>4310</v>
      </c>
      <c r="L790" s="108"/>
      <c r="M790" s="119" t="s">
        <v>4303</v>
      </c>
      <c r="N790" s="144" t="s">
        <v>4304</v>
      </c>
      <c r="O790" s="534">
        <v>6.0</v>
      </c>
      <c r="P790" s="119" t="str">
        <f t="shared" si="37"/>
        <v>10.1037--0022-3514.95.2.293.pdf</v>
      </c>
      <c r="Q790" s="1158" t="str">
        <f t="array" ref="Q790"> if(iserror(MATCH(V790, 'File Links'!C:C, 0)), "N/A", HYPERLINK(INDEX('File Links'!B:B, MATCH(P790, 'File Links'!C:C, 0))))</f>
        <v>https://drive.google.com/file/d/1Gkz07e_5xnoHy7zdKAHfWY6layqbA2lX/view?usp=drivesdk</v>
      </c>
      <c r="R790" s="119" t="s">
        <v>3646</v>
      </c>
      <c r="S790" s="119" t="s">
        <v>3647</v>
      </c>
      <c r="T790" s="777" t="s">
        <v>4311</v>
      </c>
      <c r="U790" s="534">
        <v>1.0</v>
      </c>
      <c r="V790" s="119" t="str">
        <f t="shared" si="43"/>
        <v>10.1098--rsos.231240.pdf</v>
      </c>
      <c r="W790" s="113" t="s">
        <v>3719</v>
      </c>
      <c r="X790" s="1159" t="str">
        <f t="array" ref="X790"> if(iserror(MATCH(V790, 'File Links'!C:C, 0)), "N/A", HYPERLINK(INDEX('File Links'!B:B, MATCH(V790, 'File Links'!C:C, 0))))</f>
        <v>https://drive.google.com/file/d/17gaf2Zy_ljFfcAEDk5L8GBnTl5i7RGJE/view?usp=drivesdk</v>
      </c>
      <c r="Y790" s="108"/>
      <c r="Z790" s="119" t="s">
        <v>219</v>
      </c>
      <c r="AA790" s="1176" t="s">
        <v>4305</v>
      </c>
      <c r="AB790" s="119" t="s">
        <v>4306</v>
      </c>
      <c r="AC790" s="119" t="s">
        <v>4318</v>
      </c>
      <c r="AD790" s="119" t="s">
        <v>4319</v>
      </c>
      <c r="AE790" s="534">
        <v>10.0</v>
      </c>
      <c r="AF790" s="534">
        <v>120.0</v>
      </c>
      <c r="AG790" s="1106" t="s">
        <v>4320</v>
      </c>
      <c r="AH790" s="534" t="s">
        <v>127</v>
      </c>
      <c r="AI790" s="534" t="s">
        <v>625</v>
      </c>
      <c r="AJ790" s="363">
        <v>0.001</v>
      </c>
      <c r="AK790" s="109" t="s">
        <v>128</v>
      </c>
      <c r="AL790" s="109" t="s">
        <v>129</v>
      </c>
      <c r="AM790" s="119" t="s">
        <v>134</v>
      </c>
      <c r="AN790" s="144" t="s">
        <v>131</v>
      </c>
      <c r="AO790" s="534">
        <v>226.0</v>
      </c>
      <c r="AP790" s="1106" t="s">
        <v>4321</v>
      </c>
      <c r="AQ790" s="534" t="s">
        <v>127</v>
      </c>
      <c r="AR790" s="1177" t="s">
        <v>4322</v>
      </c>
      <c r="AS790" s="534">
        <v>0.48</v>
      </c>
      <c r="AT790" s="119" t="s">
        <v>165</v>
      </c>
      <c r="AU790" s="119" t="s">
        <v>129</v>
      </c>
      <c r="AV790" s="119" t="s">
        <v>134</v>
      </c>
      <c r="AW790" s="126" t="s">
        <v>131</v>
      </c>
      <c r="AX790" s="108" t="s">
        <v>144</v>
      </c>
      <c r="AY790" s="69"/>
      <c r="AZ790" s="108" t="s">
        <v>146</v>
      </c>
      <c r="BA790" s="69"/>
      <c r="BB790" s="69"/>
      <c r="BC790" s="69"/>
      <c r="BD790" s="69"/>
      <c r="BE790" s="69"/>
      <c r="BF790" s="69"/>
      <c r="BG790" s="69"/>
      <c r="BH790" s="69"/>
      <c r="BI790" s="69"/>
      <c r="BJ790" s="69"/>
      <c r="BK790" s="69"/>
      <c r="BL790" s="69"/>
      <c r="BM790" s="69"/>
      <c r="BN790" s="69"/>
      <c r="BO790" s="69"/>
      <c r="BP790" s="69"/>
      <c r="BQ790" s="69"/>
      <c r="BR790" s="69"/>
      <c r="BS790" s="69"/>
      <c r="BT790" s="69"/>
      <c r="BU790" s="69"/>
      <c r="BV790" s="69"/>
      <c r="BW790" s="69"/>
      <c r="BX790" s="69"/>
      <c r="BY790" s="69"/>
      <c r="BZ790" s="69"/>
      <c r="CA790" s="69"/>
      <c r="CB790" s="69"/>
      <c r="CC790" s="69"/>
      <c r="CD790" s="69"/>
      <c r="CE790" s="69"/>
      <c r="CF790" s="69"/>
      <c r="CG790" s="69"/>
      <c r="CH790" s="69"/>
      <c r="CI790" s="69"/>
      <c r="CJ790" s="69"/>
      <c r="CK790" s="69"/>
      <c r="CL790" s="69"/>
      <c r="CM790" s="69"/>
      <c r="CN790" s="69"/>
      <c r="CO790" s="69"/>
      <c r="CP790" s="69"/>
      <c r="CQ790" s="69"/>
      <c r="CR790" s="69"/>
      <c r="CS790" s="69"/>
      <c r="CT790" s="69"/>
      <c r="CU790" s="69"/>
      <c r="CV790" s="69"/>
      <c r="CW790" s="69"/>
      <c r="CX790" s="69"/>
      <c r="CY790" s="69"/>
      <c r="CZ790" s="69"/>
      <c r="DA790" s="69"/>
      <c r="DB790" s="69"/>
      <c r="DC790" s="69"/>
      <c r="DD790" s="69"/>
      <c r="DE790" s="69"/>
      <c r="DF790" s="69"/>
      <c r="DG790" s="69"/>
      <c r="DH790" s="69"/>
    </row>
    <row r="791">
      <c r="A791" s="107">
        <v>791.0</v>
      </c>
      <c r="B791" s="144" t="s">
        <v>145</v>
      </c>
      <c r="C791" s="146" t="s">
        <v>108</v>
      </c>
      <c r="D791" s="146" t="s">
        <v>146</v>
      </c>
      <c r="E791" s="69"/>
      <c r="F791" s="108" t="s">
        <v>4300</v>
      </c>
      <c r="G791" s="109" t="s">
        <v>4323</v>
      </c>
      <c r="H791" s="119" t="s">
        <v>146</v>
      </c>
      <c r="I791" s="414">
        <v>45687.0</v>
      </c>
      <c r="J791" s="414">
        <v>45692.0</v>
      </c>
      <c r="K791" s="215" t="s">
        <v>4324</v>
      </c>
      <c r="L791" s="119" t="s">
        <v>4325</v>
      </c>
      <c r="M791" s="119" t="s">
        <v>4303</v>
      </c>
      <c r="N791" s="119" t="s">
        <v>4326</v>
      </c>
      <c r="O791" s="534">
        <v>6.0</v>
      </c>
      <c r="P791" s="119" t="str">
        <f t="shared" si="37"/>
        <v>10.1037--pspi0000081.pdf</v>
      </c>
      <c r="Q791" s="1158" t="str">
        <f t="array" ref="Q791"> if(iserror(MATCH(V791, 'File Links'!C:C, 0)), "N/A", HYPERLINK(INDEX('File Links'!B:B, MATCH(P791, 'File Links'!C:C, 0))))</f>
        <v>https://drive.google.com/file/d/1GTnjtSM79S6hEZLXrpWxGtZd34NCBmBN/view?usp=drivesdk</v>
      </c>
      <c r="R791" s="119" t="s">
        <v>3646</v>
      </c>
      <c r="S791" s="119" t="s">
        <v>3647</v>
      </c>
      <c r="T791" s="777" t="s">
        <v>4311</v>
      </c>
      <c r="U791" s="534">
        <v>1.0</v>
      </c>
      <c r="V791" s="119" t="str">
        <f t="shared" si="43"/>
        <v>10.1098--rsos.231240.pdf</v>
      </c>
      <c r="W791" s="113" t="s">
        <v>3719</v>
      </c>
      <c r="X791" s="1159" t="str">
        <f t="array" ref="X791"> if(iserror(MATCH(V791, 'File Links'!C:C, 0)), "N/A", HYPERLINK(INDEX('File Links'!B:B, MATCH(V791, 'File Links'!C:C, 0))))</f>
        <v>https://drive.google.com/file/d/17gaf2Zy_ljFfcAEDk5L8GBnTl5i7RGJE/view?usp=drivesdk</v>
      </c>
      <c r="Y791" s="108"/>
      <c r="Z791" s="119" t="s">
        <v>219</v>
      </c>
      <c r="AA791" s="1176" t="s">
        <v>4305</v>
      </c>
      <c r="AB791" s="119" t="s">
        <v>4306</v>
      </c>
      <c r="AC791" s="119" t="s">
        <v>4327</v>
      </c>
      <c r="AD791" s="119" t="s">
        <v>4328</v>
      </c>
      <c r="AE791" s="534">
        <v>10.0</v>
      </c>
      <c r="AF791" s="534">
        <v>120.0</v>
      </c>
      <c r="AG791" s="1106" t="s">
        <v>4329</v>
      </c>
      <c r="AH791" s="534" t="s">
        <v>127</v>
      </c>
      <c r="AI791" s="534" t="s">
        <v>625</v>
      </c>
      <c r="AJ791" s="363">
        <v>0.05</v>
      </c>
      <c r="AK791" s="109" t="s">
        <v>128</v>
      </c>
      <c r="AL791" s="109" t="s">
        <v>129</v>
      </c>
      <c r="AM791" s="119" t="s">
        <v>134</v>
      </c>
      <c r="AN791" s="144" t="s">
        <v>131</v>
      </c>
      <c r="AO791" s="534">
        <v>226.0</v>
      </c>
      <c r="AP791" s="1106" t="s">
        <v>4330</v>
      </c>
      <c r="AQ791" s="534" t="s">
        <v>127</v>
      </c>
      <c r="AR791" s="1177" t="s">
        <v>4331</v>
      </c>
      <c r="AS791" s="534">
        <v>0.961</v>
      </c>
      <c r="AT791" s="119" t="s">
        <v>165</v>
      </c>
      <c r="AU791" s="119" t="s">
        <v>129</v>
      </c>
      <c r="AV791" s="119" t="s">
        <v>134</v>
      </c>
      <c r="AW791" s="126" t="s">
        <v>131</v>
      </c>
      <c r="AX791" s="108" t="s">
        <v>144</v>
      </c>
      <c r="AY791" s="69"/>
      <c r="AZ791" s="108" t="s">
        <v>146</v>
      </c>
      <c r="BA791" s="69"/>
      <c r="BB791" s="69"/>
      <c r="BC791" s="69"/>
      <c r="BD791" s="69"/>
      <c r="BE791" s="69"/>
      <c r="BF791" s="69"/>
      <c r="BG791" s="69"/>
      <c r="BH791" s="69"/>
      <c r="BI791" s="69"/>
      <c r="BJ791" s="69"/>
      <c r="BK791" s="69"/>
      <c r="BL791" s="69"/>
      <c r="BM791" s="69"/>
      <c r="BN791" s="69"/>
      <c r="BO791" s="69"/>
      <c r="BP791" s="69"/>
      <c r="BQ791" s="69"/>
      <c r="BR791" s="69"/>
      <c r="BS791" s="69"/>
      <c r="BT791" s="69"/>
      <c r="BU791" s="69"/>
      <c r="BV791" s="69"/>
      <c r="BW791" s="69"/>
      <c r="BX791" s="69"/>
      <c r="BY791" s="69"/>
      <c r="BZ791" s="69"/>
      <c r="CA791" s="69"/>
      <c r="CB791" s="69"/>
      <c r="CC791" s="69"/>
      <c r="CD791" s="69"/>
      <c r="CE791" s="69"/>
      <c r="CF791" s="69"/>
      <c r="CG791" s="69"/>
      <c r="CH791" s="69"/>
      <c r="CI791" s="69"/>
      <c r="CJ791" s="69"/>
      <c r="CK791" s="69"/>
      <c r="CL791" s="69"/>
      <c r="CM791" s="69"/>
      <c r="CN791" s="69"/>
      <c r="CO791" s="69"/>
      <c r="CP791" s="69"/>
      <c r="CQ791" s="69"/>
      <c r="CR791" s="69"/>
      <c r="CS791" s="69"/>
      <c r="CT791" s="69"/>
      <c r="CU791" s="69"/>
      <c r="CV791" s="69"/>
      <c r="CW791" s="69"/>
      <c r="CX791" s="69"/>
      <c r="CY791" s="69"/>
      <c r="CZ791" s="69"/>
      <c r="DA791" s="69"/>
      <c r="DB791" s="69"/>
      <c r="DC791" s="69"/>
      <c r="DD791" s="69"/>
      <c r="DE791" s="69"/>
      <c r="DF791" s="69"/>
      <c r="DG791" s="69"/>
      <c r="DH791" s="69"/>
    </row>
    <row r="792">
      <c r="A792" s="325">
        <v>792.0</v>
      </c>
      <c r="B792" s="328" t="s">
        <v>107</v>
      </c>
      <c r="C792" s="322" t="s">
        <v>108</v>
      </c>
      <c r="D792" s="322" t="s">
        <v>241</v>
      </c>
      <c r="E792" s="223"/>
      <c r="F792" s="241" t="s">
        <v>4332</v>
      </c>
      <c r="G792" s="409" t="s">
        <v>4333</v>
      </c>
      <c r="H792" s="241" t="s">
        <v>242</v>
      </c>
      <c r="I792" s="655">
        <v>45670.0</v>
      </c>
      <c r="J792" s="655">
        <v>45692.0</v>
      </c>
      <c r="K792" s="328"/>
      <c r="L792" s="328"/>
      <c r="M792" s="241" t="s">
        <v>4334</v>
      </c>
      <c r="N792" s="241" t="s">
        <v>4326</v>
      </c>
      <c r="O792" s="328"/>
      <c r="P792" s="241" t="str">
        <f t="shared" si="37"/>
        <v>10.1037--pspi0000081.pdf</v>
      </c>
      <c r="Q792" s="658" t="str">
        <f t="array" ref="Q792"> if(iserror(MATCH(V792, 'File Links'!C:C, 0)), "N/A", HYPERLINK(INDEX('File Links'!B:B, MATCH(P792, 'File Links'!C:C, 0))))</f>
        <v>https://drive.google.com/file/d/1GTnjtSM79S6hEZLXrpWxGtZd34NCBmBN/view?usp=drivesdk</v>
      </c>
      <c r="R792" s="241" t="s">
        <v>3646</v>
      </c>
      <c r="S792" s="241" t="s">
        <v>3647</v>
      </c>
      <c r="T792" s="660" t="s">
        <v>4335</v>
      </c>
      <c r="U792" s="331">
        <v>1.0</v>
      </c>
      <c r="V792" s="241" t="str">
        <f t="shared" si="43"/>
        <v>10.1098--rsos.231240.pdf</v>
      </c>
      <c r="W792" s="241" t="s">
        <v>3658</v>
      </c>
      <c r="X792" s="1170" t="str">
        <f t="array" ref="X792"> if(iserror(MATCH(V792, 'File Links'!C:C, 0)), "N/A", HYPERLINK(INDEX('File Links'!B:B, MATCH(V792, 'File Links'!C:C, 0))))</f>
        <v>https://drive.google.com/file/d/17gaf2Zy_ljFfcAEDk5L8GBnTl5i7RGJE/view?usp=drivesdk</v>
      </c>
      <c r="Y792" s="328"/>
      <c r="Z792" s="241" t="s">
        <v>219</v>
      </c>
      <c r="AA792" s="328"/>
      <c r="AB792" s="241" t="s">
        <v>4336</v>
      </c>
      <c r="AC792" s="328"/>
      <c r="AD792" s="241" t="s">
        <v>4337</v>
      </c>
      <c r="AE792" s="331">
        <v>466.0</v>
      </c>
      <c r="AF792" s="331">
        <v>155.0</v>
      </c>
      <c r="AG792" s="241" t="s">
        <v>131</v>
      </c>
      <c r="AH792" s="321" t="s">
        <v>131</v>
      </c>
      <c r="AI792" s="241" t="s">
        <v>4338</v>
      </c>
      <c r="AJ792" s="1173">
        <v>0.91</v>
      </c>
      <c r="AK792" s="409" t="s">
        <v>165</v>
      </c>
      <c r="AL792" s="409" t="s">
        <v>179</v>
      </c>
      <c r="AM792" s="321" t="s">
        <v>130</v>
      </c>
      <c r="AN792" s="663" t="s">
        <v>4339</v>
      </c>
      <c r="AO792" s="331">
        <v>152.0</v>
      </c>
      <c r="AP792" s="241" t="s">
        <v>131</v>
      </c>
      <c r="AQ792" s="328"/>
      <c r="AR792" s="328"/>
      <c r="AS792" s="331">
        <v>0.09</v>
      </c>
      <c r="AT792" s="241" t="s">
        <v>165</v>
      </c>
      <c r="AU792" s="241" t="s">
        <v>179</v>
      </c>
      <c r="AV792" s="321" t="s">
        <v>130</v>
      </c>
      <c r="AW792" s="126" t="s">
        <v>131</v>
      </c>
      <c r="AX792" s="241" t="s">
        <v>136</v>
      </c>
      <c r="AY792" s="223"/>
      <c r="AZ792" s="328" t="s">
        <v>146</v>
      </c>
      <c r="BA792" s="223"/>
      <c r="BB792" s="223"/>
      <c r="BC792" s="223"/>
      <c r="BD792" s="223"/>
      <c r="BE792" s="223"/>
      <c r="BF792" s="223"/>
      <c r="BG792" s="223"/>
      <c r="BH792" s="223"/>
      <c r="BI792" s="223"/>
      <c r="BJ792" s="223"/>
      <c r="BK792" s="223"/>
      <c r="BL792" s="223"/>
      <c r="BM792" s="223"/>
      <c r="BN792" s="223"/>
      <c r="BO792" s="223"/>
      <c r="BP792" s="223"/>
      <c r="BQ792" s="223"/>
      <c r="BR792" s="223"/>
      <c r="BS792" s="223"/>
      <c r="BT792" s="223"/>
      <c r="BU792" s="223"/>
      <c r="BV792" s="223"/>
      <c r="BW792" s="223"/>
      <c r="BX792" s="223"/>
      <c r="BY792" s="223"/>
      <c r="BZ792" s="223"/>
      <c r="CA792" s="223"/>
      <c r="CB792" s="223"/>
      <c r="CC792" s="223"/>
      <c r="CD792" s="223"/>
      <c r="CE792" s="223"/>
      <c r="CF792" s="223"/>
      <c r="CG792" s="223"/>
      <c r="CH792" s="223"/>
      <c r="CI792" s="223"/>
      <c r="CJ792" s="223"/>
      <c r="CK792" s="223"/>
      <c r="CL792" s="223"/>
      <c r="CM792" s="223"/>
      <c r="CN792" s="223"/>
      <c r="CO792" s="223"/>
      <c r="CP792" s="223"/>
      <c r="CQ792" s="223"/>
      <c r="CR792" s="223"/>
      <c r="CS792" s="223"/>
      <c r="CT792" s="223"/>
      <c r="CU792" s="223"/>
      <c r="CV792" s="223"/>
      <c r="CW792" s="223"/>
      <c r="CX792" s="223"/>
      <c r="CY792" s="223"/>
      <c r="CZ792" s="223"/>
      <c r="DA792" s="223"/>
      <c r="DB792" s="223"/>
      <c r="DC792" s="223"/>
      <c r="DD792" s="223"/>
      <c r="DE792" s="223"/>
      <c r="DF792" s="223"/>
      <c r="DG792" s="223"/>
      <c r="DH792" s="223"/>
    </row>
    <row r="793">
      <c r="A793" s="325">
        <v>793.0</v>
      </c>
      <c r="B793" s="327" t="s">
        <v>145</v>
      </c>
      <c r="C793" s="322" t="s">
        <v>108</v>
      </c>
      <c r="D793" s="322" t="s">
        <v>146</v>
      </c>
      <c r="E793" s="223"/>
      <c r="F793" s="328" t="s">
        <v>4333</v>
      </c>
      <c r="G793" s="409" t="s">
        <v>4340</v>
      </c>
      <c r="H793" s="241" t="s">
        <v>146</v>
      </c>
      <c r="I793" s="655">
        <v>45687.0</v>
      </c>
      <c r="J793" s="655">
        <v>45692.0</v>
      </c>
      <c r="K793" s="384" t="s">
        <v>4341</v>
      </c>
      <c r="L793" s="1178" t="s">
        <v>4342</v>
      </c>
      <c r="M793" s="241" t="s">
        <v>4334</v>
      </c>
      <c r="N793" s="241" t="s">
        <v>4326</v>
      </c>
      <c r="O793" s="331">
        <v>3.0</v>
      </c>
      <c r="P793" s="241" t="str">
        <f t="shared" si="37"/>
        <v>10.1037--pspi0000081.pdf</v>
      </c>
      <c r="Q793" s="658" t="str">
        <f t="array" ref="Q793"> if(iserror(MATCH(V793, 'File Links'!C:C, 0)), "N/A", HYPERLINK(INDEX('File Links'!B:B, MATCH(P793, 'File Links'!C:C, 0))))</f>
        <v>https://drive.google.com/file/d/1GTnjtSM79S6hEZLXrpWxGtZd34NCBmBN/view?usp=drivesdk</v>
      </c>
      <c r="R793" s="241" t="s">
        <v>3646</v>
      </c>
      <c r="S793" s="241" t="s">
        <v>3647</v>
      </c>
      <c r="T793" s="660" t="s">
        <v>4335</v>
      </c>
      <c r="U793" s="331">
        <v>1.0</v>
      </c>
      <c r="V793" s="241" t="str">
        <f t="shared" si="43"/>
        <v>10.1098--rsos.231240.pdf</v>
      </c>
      <c r="W793" s="241" t="s">
        <v>3664</v>
      </c>
      <c r="X793" s="1170" t="str">
        <f t="array" ref="X793"> if(iserror(MATCH(V793, 'File Links'!C:C, 0)), "N/A", HYPERLINK(INDEX('File Links'!B:B, MATCH(V793, 'File Links'!C:C, 0))))</f>
        <v>https://drive.google.com/file/d/17gaf2Zy_ljFfcAEDk5L8GBnTl5i7RGJE/view?usp=drivesdk</v>
      </c>
      <c r="Y793" s="328"/>
      <c r="Z793" s="241" t="s">
        <v>219</v>
      </c>
      <c r="AA793" s="241" t="s">
        <v>4343</v>
      </c>
      <c r="AB793" s="241" t="s">
        <v>4344</v>
      </c>
      <c r="AC793" s="241" t="s">
        <v>4345</v>
      </c>
      <c r="AD793" s="241" t="s">
        <v>4346</v>
      </c>
      <c r="AE793" s="1175">
        <v>11.0</v>
      </c>
      <c r="AF793" s="331">
        <v>155.0</v>
      </c>
      <c r="AG793" s="1175">
        <v>1.06</v>
      </c>
      <c r="AH793" s="331" t="s">
        <v>980</v>
      </c>
      <c r="AI793" s="1175" t="s">
        <v>300</v>
      </c>
      <c r="AJ793" s="1179">
        <v>0.002</v>
      </c>
      <c r="AK793" s="409" t="s">
        <v>165</v>
      </c>
      <c r="AL793" s="409" t="s">
        <v>179</v>
      </c>
      <c r="AM793" s="321" t="s">
        <v>130</v>
      </c>
      <c r="AN793" s="327" t="s">
        <v>131</v>
      </c>
      <c r="AO793" s="331">
        <v>152.0</v>
      </c>
      <c r="AP793" s="1175">
        <v>-0.9943</v>
      </c>
      <c r="AQ793" s="331" t="s">
        <v>980</v>
      </c>
      <c r="AR793" s="1180" t="s">
        <v>4347</v>
      </c>
      <c r="AS793" s="331">
        <v>0.00662</v>
      </c>
      <c r="AT793" s="241" t="s">
        <v>165</v>
      </c>
      <c r="AU793" s="241" t="s">
        <v>179</v>
      </c>
      <c r="AV793" s="321" t="s">
        <v>130</v>
      </c>
      <c r="AW793" s="126" t="s">
        <v>131</v>
      </c>
      <c r="AX793" s="328" t="s">
        <v>136</v>
      </c>
      <c r="AY793" s="223"/>
      <c r="AZ793" s="328" t="s">
        <v>146</v>
      </c>
      <c r="BA793" s="223"/>
      <c r="BB793" s="223"/>
      <c r="BC793" s="223"/>
      <c r="BD793" s="223"/>
      <c r="BE793" s="223"/>
      <c r="BF793" s="223"/>
      <c r="BG793" s="223"/>
      <c r="BH793" s="223"/>
      <c r="BI793" s="223"/>
      <c r="BJ793" s="223"/>
      <c r="BK793" s="223"/>
      <c r="BL793" s="223"/>
      <c r="BM793" s="223"/>
      <c r="BN793" s="223"/>
      <c r="BO793" s="223"/>
      <c r="BP793" s="223"/>
      <c r="BQ793" s="223"/>
      <c r="BR793" s="223"/>
      <c r="BS793" s="223"/>
      <c r="BT793" s="223"/>
      <c r="BU793" s="223"/>
      <c r="BV793" s="223"/>
      <c r="BW793" s="223"/>
      <c r="BX793" s="223"/>
      <c r="BY793" s="223"/>
      <c r="BZ793" s="223"/>
      <c r="CA793" s="223"/>
      <c r="CB793" s="223"/>
      <c r="CC793" s="223"/>
      <c r="CD793" s="223"/>
      <c r="CE793" s="223"/>
      <c r="CF793" s="223"/>
      <c r="CG793" s="223"/>
      <c r="CH793" s="223"/>
      <c r="CI793" s="223"/>
      <c r="CJ793" s="223"/>
      <c r="CK793" s="223"/>
      <c r="CL793" s="223"/>
      <c r="CM793" s="223"/>
      <c r="CN793" s="223"/>
      <c r="CO793" s="223"/>
      <c r="CP793" s="223"/>
      <c r="CQ793" s="223"/>
      <c r="CR793" s="223"/>
      <c r="CS793" s="223"/>
      <c r="CT793" s="223"/>
      <c r="CU793" s="223"/>
      <c r="CV793" s="223"/>
      <c r="CW793" s="223"/>
      <c r="CX793" s="223"/>
      <c r="CY793" s="223"/>
      <c r="CZ793" s="223"/>
      <c r="DA793" s="223"/>
      <c r="DB793" s="223"/>
      <c r="DC793" s="223"/>
      <c r="DD793" s="223"/>
      <c r="DE793" s="223"/>
      <c r="DF793" s="223"/>
      <c r="DG793" s="223"/>
      <c r="DH793" s="223"/>
    </row>
    <row r="794">
      <c r="A794" s="325">
        <v>794.0</v>
      </c>
      <c r="B794" s="327" t="s">
        <v>145</v>
      </c>
      <c r="C794" s="322" t="s">
        <v>108</v>
      </c>
      <c r="D794" s="322" t="s">
        <v>146</v>
      </c>
      <c r="E794" s="223"/>
      <c r="F794" s="328" t="s">
        <v>4333</v>
      </c>
      <c r="G794" s="409" t="s">
        <v>4348</v>
      </c>
      <c r="H794" s="241" t="s">
        <v>146</v>
      </c>
      <c r="I794" s="655">
        <v>45687.0</v>
      </c>
      <c r="J794" s="655">
        <v>45692.0</v>
      </c>
      <c r="K794" s="384" t="s">
        <v>4341</v>
      </c>
      <c r="L794" s="1178" t="s">
        <v>4349</v>
      </c>
      <c r="M794" s="241" t="s">
        <v>4334</v>
      </c>
      <c r="N794" s="241" t="s">
        <v>4326</v>
      </c>
      <c r="O794" s="331">
        <v>3.0</v>
      </c>
      <c r="P794" s="241" t="str">
        <f t="shared" si="37"/>
        <v>10.1037--pspi0000081.pdf</v>
      </c>
      <c r="Q794" s="658" t="str">
        <f t="array" ref="Q794"> if(iserror(MATCH(V794, 'File Links'!C:C, 0)), "N/A", HYPERLINK(INDEX('File Links'!B:B, MATCH(P794, 'File Links'!C:C, 0))))</f>
        <v>https://drive.google.com/file/d/1GTnjtSM79S6hEZLXrpWxGtZd34NCBmBN/view?usp=drivesdk</v>
      </c>
      <c r="R794" s="241" t="s">
        <v>3646</v>
      </c>
      <c r="S794" s="241" t="s">
        <v>3647</v>
      </c>
      <c r="T794" s="660" t="s">
        <v>4335</v>
      </c>
      <c r="U794" s="331">
        <v>1.0</v>
      </c>
      <c r="V794" s="241" t="str">
        <f t="shared" si="43"/>
        <v>10.1098--rsos.231240.pdf</v>
      </c>
      <c r="W794" s="241" t="s">
        <v>3664</v>
      </c>
      <c r="X794" s="1170" t="str">
        <f t="array" ref="X794"> if(iserror(MATCH(V794, 'File Links'!C:C, 0)), "N/A", HYPERLINK(INDEX('File Links'!B:B, MATCH(V794, 'File Links'!C:C, 0))))</f>
        <v>https://drive.google.com/file/d/17gaf2Zy_ljFfcAEDk5L8GBnTl5i7RGJE/view?usp=drivesdk</v>
      </c>
      <c r="Y794" s="328"/>
      <c r="Z794" s="241" t="s">
        <v>219</v>
      </c>
      <c r="AA794" s="241" t="s">
        <v>4343</v>
      </c>
      <c r="AB794" s="241" t="s">
        <v>4344</v>
      </c>
      <c r="AC794" s="241" t="s">
        <v>4350</v>
      </c>
      <c r="AD794" s="241" t="s">
        <v>4351</v>
      </c>
      <c r="AE794" s="1175">
        <v>11.0</v>
      </c>
      <c r="AF794" s="331">
        <v>155.0</v>
      </c>
      <c r="AG794" s="1175">
        <v>-0.31</v>
      </c>
      <c r="AH794" s="331" t="s">
        <v>980</v>
      </c>
      <c r="AI794" s="1175" t="s">
        <v>300</v>
      </c>
      <c r="AJ794" s="1179">
        <v>0.36</v>
      </c>
      <c r="AK794" s="409" t="s">
        <v>165</v>
      </c>
      <c r="AL794" s="409" t="s">
        <v>179</v>
      </c>
      <c r="AM794" s="321" t="s">
        <v>130</v>
      </c>
      <c r="AN794" s="327" t="s">
        <v>131</v>
      </c>
      <c r="AO794" s="331">
        <v>152.0</v>
      </c>
      <c r="AP794" s="1175">
        <v>0.04378</v>
      </c>
      <c r="AQ794" s="331" t="s">
        <v>980</v>
      </c>
      <c r="AR794" s="1181" t="s">
        <v>4352</v>
      </c>
      <c r="AS794" s="331">
        <v>0.90065</v>
      </c>
      <c r="AT794" s="241" t="s">
        <v>165</v>
      </c>
      <c r="AU794" s="241" t="s">
        <v>179</v>
      </c>
      <c r="AV794" s="321" t="s">
        <v>130</v>
      </c>
      <c r="AW794" s="126" t="s">
        <v>131</v>
      </c>
      <c r="AX794" s="328" t="s">
        <v>136</v>
      </c>
      <c r="AY794" s="223"/>
      <c r="AZ794" s="328" t="s">
        <v>146</v>
      </c>
      <c r="BA794" s="223"/>
      <c r="BB794" s="223"/>
      <c r="BC794" s="223"/>
      <c r="BD794" s="223"/>
      <c r="BE794" s="223"/>
      <c r="BF794" s="223"/>
      <c r="BG794" s="223"/>
      <c r="BH794" s="223"/>
      <c r="BI794" s="223"/>
      <c r="BJ794" s="223"/>
      <c r="BK794" s="223"/>
      <c r="BL794" s="223"/>
      <c r="BM794" s="223"/>
      <c r="BN794" s="223"/>
      <c r="BO794" s="223"/>
      <c r="BP794" s="223"/>
      <c r="BQ794" s="223"/>
      <c r="BR794" s="223"/>
      <c r="BS794" s="223"/>
      <c r="BT794" s="223"/>
      <c r="BU794" s="223"/>
      <c r="BV794" s="223"/>
      <c r="BW794" s="223"/>
      <c r="BX794" s="223"/>
      <c r="BY794" s="223"/>
      <c r="BZ794" s="223"/>
      <c r="CA794" s="223"/>
      <c r="CB794" s="223"/>
      <c r="CC794" s="223"/>
      <c r="CD794" s="223"/>
      <c r="CE794" s="223"/>
      <c r="CF794" s="223"/>
      <c r="CG794" s="223"/>
      <c r="CH794" s="223"/>
      <c r="CI794" s="223"/>
      <c r="CJ794" s="223"/>
      <c r="CK794" s="223"/>
      <c r="CL794" s="223"/>
      <c r="CM794" s="223"/>
      <c r="CN794" s="223"/>
      <c r="CO794" s="223"/>
      <c r="CP794" s="223"/>
      <c r="CQ794" s="223"/>
      <c r="CR794" s="223"/>
      <c r="CS794" s="223"/>
      <c r="CT794" s="223"/>
      <c r="CU794" s="223"/>
      <c r="CV794" s="223"/>
      <c r="CW794" s="223"/>
      <c r="CX794" s="223"/>
      <c r="CY794" s="223"/>
      <c r="CZ794" s="223"/>
      <c r="DA794" s="223"/>
      <c r="DB794" s="223"/>
      <c r="DC794" s="223"/>
      <c r="DD794" s="223"/>
      <c r="DE794" s="223"/>
      <c r="DF794" s="223"/>
      <c r="DG794" s="223"/>
      <c r="DH794" s="223"/>
    </row>
    <row r="795">
      <c r="A795" s="325">
        <v>795.0</v>
      </c>
      <c r="B795" s="327" t="s">
        <v>145</v>
      </c>
      <c r="C795" s="322" t="s">
        <v>108</v>
      </c>
      <c r="D795" s="322" t="s">
        <v>146</v>
      </c>
      <c r="E795" s="223"/>
      <c r="F795" s="328" t="s">
        <v>4333</v>
      </c>
      <c r="G795" s="409" t="s">
        <v>4353</v>
      </c>
      <c r="H795" s="241" t="s">
        <v>146</v>
      </c>
      <c r="I795" s="655">
        <v>45687.0</v>
      </c>
      <c r="J795" s="655">
        <v>45692.0</v>
      </c>
      <c r="K795" s="384" t="s">
        <v>4341</v>
      </c>
      <c r="L795" s="1178" t="s">
        <v>4354</v>
      </c>
      <c r="M795" s="241" t="s">
        <v>4334</v>
      </c>
      <c r="N795" s="241" t="s">
        <v>4326</v>
      </c>
      <c r="O795" s="331">
        <v>3.0</v>
      </c>
      <c r="P795" s="241" t="str">
        <f t="shared" si="37"/>
        <v>10.1037--pspi0000081.pdf</v>
      </c>
      <c r="Q795" s="658" t="str">
        <f t="array" ref="Q795"> if(iserror(MATCH(V795, 'File Links'!C:C, 0)), "N/A", HYPERLINK(INDEX('File Links'!B:B, MATCH(P795, 'File Links'!C:C, 0))))</f>
        <v>https://drive.google.com/file/d/1GTnjtSM79S6hEZLXrpWxGtZd34NCBmBN/view?usp=drivesdk</v>
      </c>
      <c r="R795" s="241" t="s">
        <v>3646</v>
      </c>
      <c r="S795" s="241" t="s">
        <v>3647</v>
      </c>
      <c r="T795" s="660" t="s">
        <v>4335</v>
      </c>
      <c r="U795" s="331">
        <v>1.0</v>
      </c>
      <c r="V795" s="241" t="str">
        <f t="shared" si="43"/>
        <v>10.1098--rsos.231240.pdf</v>
      </c>
      <c r="W795" s="241" t="s">
        <v>3664</v>
      </c>
      <c r="X795" s="1170" t="str">
        <f t="array" ref="X795"> if(iserror(MATCH(V795, 'File Links'!C:C, 0)), "N/A", HYPERLINK(INDEX('File Links'!B:B, MATCH(V795, 'File Links'!C:C, 0))))</f>
        <v>https://drive.google.com/file/d/17gaf2Zy_ljFfcAEDk5L8GBnTl5i7RGJE/view?usp=drivesdk</v>
      </c>
      <c r="Y795" s="328"/>
      <c r="Z795" s="241" t="s">
        <v>219</v>
      </c>
      <c r="AA795" s="241" t="s">
        <v>4343</v>
      </c>
      <c r="AB795" s="241" t="s">
        <v>4344</v>
      </c>
      <c r="AC795" s="241" t="s">
        <v>4355</v>
      </c>
      <c r="AD795" s="241" t="s">
        <v>4356</v>
      </c>
      <c r="AE795" s="1175">
        <v>11.0</v>
      </c>
      <c r="AF795" s="331">
        <v>155.0</v>
      </c>
      <c r="AG795" s="1175">
        <v>0.87</v>
      </c>
      <c r="AH795" s="331" t="s">
        <v>980</v>
      </c>
      <c r="AI795" s="1175" t="s">
        <v>300</v>
      </c>
      <c r="AJ795" s="1179">
        <v>0.01</v>
      </c>
      <c r="AK795" s="409" t="s">
        <v>165</v>
      </c>
      <c r="AL795" s="409" t="s">
        <v>179</v>
      </c>
      <c r="AM795" s="321" t="s">
        <v>130</v>
      </c>
      <c r="AN795" s="327" t="s">
        <v>131</v>
      </c>
      <c r="AO795" s="331">
        <v>152.0</v>
      </c>
      <c r="AP795" s="1175">
        <v>0.9505</v>
      </c>
      <c r="AQ795" s="331" t="s">
        <v>980</v>
      </c>
      <c r="AR795" s="1181" t="s">
        <v>4357</v>
      </c>
      <c r="AS795" s="331">
        <v>0.00905</v>
      </c>
      <c r="AT795" s="241" t="s">
        <v>165</v>
      </c>
      <c r="AU795" s="241" t="s">
        <v>179</v>
      </c>
      <c r="AV795" s="321" t="s">
        <v>130</v>
      </c>
      <c r="AW795" s="126" t="s">
        <v>131</v>
      </c>
      <c r="AX795" s="328" t="s">
        <v>136</v>
      </c>
      <c r="AY795" s="223"/>
      <c r="AZ795" s="328" t="s">
        <v>146</v>
      </c>
      <c r="BA795" s="223"/>
      <c r="BB795" s="223"/>
      <c r="BC795" s="223"/>
      <c r="BD795" s="223"/>
      <c r="BE795" s="223"/>
      <c r="BF795" s="223"/>
      <c r="BG795" s="223"/>
      <c r="BH795" s="223"/>
      <c r="BI795" s="223"/>
      <c r="BJ795" s="223"/>
      <c r="BK795" s="223"/>
      <c r="BL795" s="223"/>
      <c r="BM795" s="223"/>
      <c r="BN795" s="223"/>
      <c r="BO795" s="223"/>
      <c r="BP795" s="223"/>
      <c r="BQ795" s="223"/>
      <c r="BR795" s="223"/>
      <c r="BS795" s="223"/>
      <c r="BT795" s="223"/>
      <c r="BU795" s="223"/>
      <c r="BV795" s="223"/>
      <c r="BW795" s="223"/>
      <c r="BX795" s="223"/>
      <c r="BY795" s="223"/>
      <c r="BZ795" s="223"/>
      <c r="CA795" s="223"/>
      <c r="CB795" s="223"/>
      <c r="CC795" s="223"/>
      <c r="CD795" s="223"/>
      <c r="CE795" s="223"/>
      <c r="CF795" s="223"/>
      <c r="CG795" s="223"/>
      <c r="CH795" s="223"/>
      <c r="CI795" s="223"/>
      <c r="CJ795" s="223"/>
      <c r="CK795" s="223"/>
      <c r="CL795" s="223"/>
      <c r="CM795" s="223"/>
      <c r="CN795" s="223"/>
      <c r="CO795" s="223"/>
      <c r="CP795" s="223"/>
      <c r="CQ795" s="223"/>
      <c r="CR795" s="223"/>
      <c r="CS795" s="223"/>
      <c r="CT795" s="223"/>
      <c r="CU795" s="223"/>
      <c r="CV795" s="223"/>
      <c r="CW795" s="223"/>
      <c r="CX795" s="223"/>
      <c r="CY795" s="223"/>
      <c r="CZ795" s="223"/>
      <c r="DA795" s="223"/>
      <c r="DB795" s="223"/>
      <c r="DC795" s="223"/>
      <c r="DD795" s="223"/>
      <c r="DE795" s="223"/>
      <c r="DF795" s="223"/>
      <c r="DG795" s="223"/>
      <c r="DH795" s="223"/>
    </row>
    <row r="796">
      <c r="A796" s="325">
        <v>796.0</v>
      </c>
      <c r="B796" s="327" t="s">
        <v>145</v>
      </c>
      <c r="C796" s="322" t="s">
        <v>108</v>
      </c>
      <c r="D796" s="322" t="s">
        <v>146</v>
      </c>
      <c r="E796" s="223"/>
      <c r="F796" s="328" t="s">
        <v>4333</v>
      </c>
      <c r="G796" s="409" t="s">
        <v>4358</v>
      </c>
      <c r="H796" s="241" t="s">
        <v>146</v>
      </c>
      <c r="I796" s="655">
        <v>45687.0</v>
      </c>
      <c r="J796" s="655">
        <v>45692.0</v>
      </c>
      <c r="K796" s="384" t="s">
        <v>4341</v>
      </c>
      <c r="L796" s="1178" t="s">
        <v>4359</v>
      </c>
      <c r="M796" s="241" t="s">
        <v>4334</v>
      </c>
      <c r="N796" s="241" t="s">
        <v>4326</v>
      </c>
      <c r="O796" s="331">
        <v>3.0</v>
      </c>
      <c r="P796" s="241" t="str">
        <f t="shared" si="37"/>
        <v>10.1037--pspi0000081.pdf</v>
      </c>
      <c r="Q796" s="658" t="str">
        <f t="array" ref="Q796"> if(iserror(MATCH(V796, 'File Links'!C:C, 0)), "N/A", HYPERLINK(INDEX('File Links'!B:B, MATCH(P796, 'File Links'!C:C, 0))))</f>
        <v>https://drive.google.com/file/d/1GTnjtSM79S6hEZLXrpWxGtZd34NCBmBN/view?usp=drivesdk</v>
      </c>
      <c r="R796" s="241" t="s">
        <v>3646</v>
      </c>
      <c r="S796" s="241" t="s">
        <v>3647</v>
      </c>
      <c r="T796" s="660" t="s">
        <v>4335</v>
      </c>
      <c r="U796" s="331">
        <v>1.0</v>
      </c>
      <c r="V796" s="241" t="str">
        <f t="shared" si="43"/>
        <v>10.1098--rsos.231240.pdf</v>
      </c>
      <c r="W796" s="241" t="s">
        <v>3664</v>
      </c>
      <c r="X796" s="1170" t="str">
        <f t="array" ref="X796"> if(iserror(MATCH(V796, 'File Links'!C:C, 0)), "N/A", HYPERLINK(INDEX('File Links'!B:B, MATCH(V796, 'File Links'!C:C, 0))))</f>
        <v>https://drive.google.com/file/d/17gaf2Zy_ljFfcAEDk5L8GBnTl5i7RGJE/view?usp=drivesdk</v>
      </c>
      <c r="Y796" s="328"/>
      <c r="Z796" s="241" t="s">
        <v>219</v>
      </c>
      <c r="AA796" s="241" t="s">
        <v>4343</v>
      </c>
      <c r="AB796" s="241" t="s">
        <v>4344</v>
      </c>
      <c r="AC796" s="241" t="s">
        <v>4360</v>
      </c>
      <c r="AD796" s="241" t="s">
        <v>4361</v>
      </c>
      <c r="AE796" s="1175">
        <v>11.0</v>
      </c>
      <c r="AF796" s="331">
        <v>155.0</v>
      </c>
      <c r="AG796" s="1175">
        <v>0.04</v>
      </c>
      <c r="AH796" s="331" t="s">
        <v>980</v>
      </c>
      <c r="AI796" s="1175" t="s">
        <v>300</v>
      </c>
      <c r="AJ796" s="1179">
        <v>0.91</v>
      </c>
      <c r="AK796" s="409" t="s">
        <v>165</v>
      </c>
      <c r="AL796" s="409" t="s">
        <v>179</v>
      </c>
      <c r="AM796" s="321" t="s">
        <v>130</v>
      </c>
      <c r="AN796" s="327" t="s">
        <v>131</v>
      </c>
      <c r="AO796" s="331">
        <v>152.0</v>
      </c>
      <c r="AP796" s="1175">
        <v>-0.04378</v>
      </c>
      <c r="AQ796" s="331" t="s">
        <v>980</v>
      </c>
      <c r="AR796" s="1181" t="s">
        <v>4362</v>
      </c>
      <c r="AS796" s="331">
        <v>0.90065</v>
      </c>
      <c r="AT796" s="241" t="s">
        <v>165</v>
      </c>
      <c r="AU796" s="241" t="s">
        <v>179</v>
      </c>
      <c r="AV796" s="321" t="s">
        <v>130</v>
      </c>
      <c r="AW796" s="126" t="s">
        <v>131</v>
      </c>
      <c r="AX796" s="328" t="s">
        <v>136</v>
      </c>
      <c r="AY796" s="223"/>
      <c r="AZ796" s="328" t="s">
        <v>146</v>
      </c>
      <c r="BA796" s="223"/>
      <c r="BB796" s="223"/>
      <c r="BC796" s="223"/>
      <c r="BD796" s="223"/>
      <c r="BE796" s="223"/>
      <c r="BF796" s="223"/>
      <c r="BG796" s="223"/>
      <c r="BH796" s="223"/>
      <c r="BI796" s="223"/>
      <c r="BJ796" s="223"/>
      <c r="BK796" s="223"/>
      <c r="BL796" s="223"/>
      <c r="BM796" s="223"/>
      <c r="BN796" s="223"/>
      <c r="BO796" s="223"/>
      <c r="BP796" s="223"/>
      <c r="BQ796" s="223"/>
      <c r="BR796" s="223"/>
      <c r="BS796" s="223"/>
      <c r="BT796" s="223"/>
      <c r="BU796" s="223"/>
      <c r="BV796" s="223"/>
      <c r="BW796" s="223"/>
      <c r="BX796" s="223"/>
      <c r="BY796" s="223"/>
      <c r="BZ796" s="223"/>
      <c r="CA796" s="223"/>
      <c r="CB796" s="223"/>
      <c r="CC796" s="223"/>
      <c r="CD796" s="223"/>
      <c r="CE796" s="223"/>
      <c r="CF796" s="223"/>
      <c r="CG796" s="223"/>
      <c r="CH796" s="223"/>
      <c r="CI796" s="223"/>
      <c r="CJ796" s="223"/>
      <c r="CK796" s="223"/>
      <c r="CL796" s="223"/>
      <c r="CM796" s="223"/>
      <c r="CN796" s="223"/>
      <c r="CO796" s="223"/>
      <c r="CP796" s="223"/>
      <c r="CQ796" s="223"/>
      <c r="CR796" s="223"/>
      <c r="CS796" s="223"/>
      <c r="CT796" s="223"/>
      <c r="CU796" s="223"/>
      <c r="CV796" s="223"/>
      <c r="CW796" s="223"/>
      <c r="CX796" s="223"/>
      <c r="CY796" s="223"/>
      <c r="CZ796" s="223"/>
      <c r="DA796" s="223"/>
      <c r="DB796" s="223"/>
      <c r="DC796" s="223"/>
      <c r="DD796" s="223"/>
      <c r="DE796" s="223"/>
      <c r="DF796" s="223"/>
      <c r="DG796" s="223"/>
      <c r="DH796" s="223"/>
    </row>
    <row r="797">
      <c r="A797" s="325">
        <v>797.0</v>
      </c>
      <c r="B797" s="327" t="s">
        <v>145</v>
      </c>
      <c r="C797" s="322" t="s">
        <v>108</v>
      </c>
      <c r="D797" s="322" t="s">
        <v>146</v>
      </c>
      <c r="E797" s="223"/>
      <c r="F797" s="328" t="s">
        <v>4333</v>
      </c>
      <c r="G797" s="409" t="s">
        <v>4363</v>
      </c>
      <c r="H797" s="241" t="s">
        <v>146</v>
      </c>
      <c r="I797" s="655">
        <v>45687.0</v>
      </c>
      <c r="J797" s="655">
        <v>45692.0</v>
      </c>
      <c r="K797" s="384" t="s">
        <v>4341</v>
      </c>
      <c r="L797" s="1178" t="s">
        <v>4364</v>
      </c>
      <c r="M797" s="241" t="s">
        <v>4334</v>
      </c>
      <c r="N797" s="241" t="s">
        <v>4326</v>
      </c>
      <c r="O797" s="331">
        <v>3.0</v>
      </c>
      <c r="P797" s="241" t="str">
        <f t="shared" si="37"/>
        <v>10.1037--pspi0000081.pdf</v>
      </c>
      <c r="Q797" s="658" t="str">
        <f t="array" ref="Q797"> if(iserror(MATCH(V797, 'File Links'!C:C, 0)), "N/A", HYPERLINK(INDEX('File Links'!B:B, MATCH(P797, 'File Links'!C:C, 0))))</f>
        <v>https://drive.google.com/file/d/1GTnjtSM79S6hEZLXrpWxGtZd34NCBmBN/view?usp=drivesdk</v>
      </c>
      <c r="R797" s="241" t="s">
        <v>3646</v>
      </c>
      <c r="S797" s="241" t="s">
        <v>3647</v>
      </c>
      <c r="T797" s="660" t="s">
        <v>4335</v>
      </c>
      <c r="U797" s="331">
        <v>1.0</v>
      </c>
      <c r="V797" s="241" t="str">
        <f t="shared" si="43"/>
        <v>10.1098--rsos.231240.pdf</v>
      </c>
      <c r="W797" s="241" t="s">
        <v>3664</v>
      </c>
      <c r="X797" s="1170" t="str">
        <f t="array" ref="X797"> if(iserror(MATCH(V797, 'File Links'!C:C, 0)), "N/A", HYPERLINK(INDEX('File Links'!B:B, MATCH(V797, 'File Links'!C:C, 0))))</f>
        <v>https://drive.google.com/file/d/17gaf2Zy_ljFfcAEDk5L8GBnTl5i7RGJE/view?usp=drivesdk</v>
      </c>
      <c r="Y797" s="328"/>
      <c r="Z797" s="241" t="s">
        <v>219</v>
      </c>
      <c r="AA797" s="241" t="s">
        <v>4343</v>
      </c>
      <c r="AB797" s="241" t="s">
        <v>4344</v>
      </c>
      <c r="AC797" s="241" t="s">
        <v>4365</v>
      </c>
      <c r="AD797" s="241" t="s">
        <v>4366</v>
      </c>
      <c r="AE797" s="1175">
        <v>11.0</v>
      </c>
      <c r="AF797" s="331">
        <v>155.0</v>
      </c>
      <c r="AG797" s="1175">
        <v>-1.0</v>
      </c>
      <c r="AH797" s="331" t="s">
        <v>980</v>
      </c>
      <c r="AI797" s="1175" t="s">
        <v>300</v>
      </c>
      <c r="AJ797" s="1179">
        <v>0.002</v>
      </c>
      <c r="AK797" s="409" t="s">
        <v>165</v>
      </c>
      <c r="AL797" s="409" t="s">
        <v>179</v>
      </c>
      <c r="AM797" s="321" t="s">
        <v>130</v>
      </c>
      <c r="AN797" s="327" t="s">
        <v>131</v>
      </c>
      <c r="AO797" s="331">
        <v>152.0</v>
      </c>
      <c r="AP797" s="1175">
        <v>-2.0041</v>
      </c>
      <c r="AQ797" s="331" t="s">
        <v>980</v>
      </c>
      <c r="AR797" s="1181" t="s">
        <v>4367</v>
      </c>
      <c r="AS797" s="331">
        <f>4.42 * 10^-9</f>
        <v>0.00000000442</v>
      </c>
      <c r="AT797" s="241" t="s">
        <v>165</v>
      </c>
      <c r="AU797" s="241" t="s">
        <v>179</v>
      </c>
      <c r="AV797" s="321" t="s">
        <v>130</v>
      </c>
      <c r="AW797" s="126" t="s">
        <v>131</v>
      </c>
      <c r="AX797" s="328" t="s">
        <v>136</v>
      </c>
      <c r="AY797" s="223"/>
      <c r="AZ797" s="328" t="s">
        <v>146</v>
      </c>
      <c r="BA797" s="223"/>
      <c r="BB797" s="223"/>
      <c r="BC797" s="223"/>
      <c r="BD797" s="223"/>
      <c r="BE797" s="223"/>
      <c r="BF797" s="223"/>
      <c r="BG797" s="223"/>
      <c r="BH797" s="223"/>
      <c r="BI797" s="223"/>
      <c r="BJ797" s="223"/>
      <c r="BK797" s="223"/>
      <c r="BL797" s="223"/>
      <c r="BM797" s="223"/>
      <c r="BN797" s="223"/>
      <c r="BO797" s="223"/>
      <c r="BP797" s="223"/>
      <c r="BQ797" s="223"/>
      <c r="BR797" s="223"/>
      <c r="BS797" s="223"/>
      <c r="BT797" s="223"/>
      <c r="BU797" s="223"/>
      <c r="BV797" s="223"/>
      <c r="BW797" s="223"/>
      <c r="BX797" s="223"/>
      <c r="BY797" s="223"/>
      <c r="BZ797" s="223"/>
      <c r="CA797" s="223"/>
      <c r="CB797" s="223"/>
      <c r="CC797" s="223"/>
      <c r="CD797" s="223"/>
      <c r="CE797" s="223"/>
      <c r="CF797" s="223"/>
      <c r="CG797" s="223"/>
      <c r="CH797" s="223"/>
      <c r="CI797" s="223"/>
      <c r="CJ797" s="223"/>
      <c r="CK797" s="223"/>
      <c r="CL797" s="223"/>
      <c r="CM797" s="223"/>
      <c r="CN797" s="223"/>
      <c r="CO797" s="223"/>
      <c r="CP797" s="223"/>
      <c r="CQ797" s="223"/>
      <c r="CR797" s="223"/>
      <c r="CS797" s="223"/>
      <c r="CT797" s="223"/>
      <c r="CU797" s="223"/>
      <c r="CV797" s="223"/>
      <c r="CW797" s="223"/>
      <c r="CX797" s="223"/>
      <c r="CY797" s="223"/>
      <c r="CZ797" s="223"/>
      <c r="DA797" s="223"/>
      <c r="DB797" s="223"/>
      <c r="DC797" s="223"/>
      <c r="DD797" s="223"/>
      <c r="DE797" s="223"/>
      <c r="DF797" s="223"/>
      <c r="DG797" s="223"/>
      <c r="DH797" s="223"/>
    </row>
    <row r="798">
      <c r="A798" s="325">
        <v>798.0</v>
      </c>
      <c r="B798" s="327" t="s">
        <v>145</v>
      </c>
      <c r="C798" s="322" t="s">
        <v>108</v>
      </c>
      <c r="D798" s="322" t="s">
        <v>146</v>
      </c>
      <c r="E798" s="223"/>
      <c r="F798" s="328" t="s">
        <v>4333</v>
      </c>
      <c r="G798" s="409" t="s">
        <v>4368</v>
      </c>
      <c r="H798" s="241" t="s">
        <v>146</v>
      </c>
      <c r="I798" s="655">
        <v>45687.0</v>
      </c>
      <c r="J798" s="655">
        <v>45692.0</v>
      </c>
      <c r="K798" s="384" t="s">
        <v>4341</v>
      </c>
      <c r="L798" s="1178" t="s">
        <v>4369</v>
      </c>
      <c r="M798" s="241" t="s">
        <v>4334</v>
      </c>
      <c r="N798" s="241" t="s">
        <v>4326</v>
      </c>
      <c r="O798" s="331">
        <v>3.0</v>
      </c>
      <c r="P798" s="241" t="str">
        <f t="shared" si="37"/>
        <v>10.1037--pspi0000081.pdf</v>
      </c>
      <c r="Q798" s="658" t="str">
        <f t="array" ref="Q798"> if(iserror(MATCH(V798, 'File Links'!C:C, 0)), "N/A", HYPERLINK(INDEX('File Links'!B:B, MATCH(P798, 'File Links'!C:C, 0))))</f>
        <v>https://drive.google.com/file/d/1GTnjtSM79S6hEZLXrpWxGtZd34NCBmBN/view?usp=drivesdk</v>
      </c>
      <c r="R798" s="241" t="s">
        <v>3646</v>
      </c>
      <c r="S798" s="241" t="s">
        <v>3647</v>
      </c>
      <c r="T798" s="660" t="s">
        <v>4335</v>
      </c>
      <c r="U798" s="331">
        <v>1.0</v>
      </c>
      <c r="V798" s="241" t="str">
        <f t="shared" si="43"/>
        <v>10.1098--rsos.231240.pdf</v>
      </c>
      <c r="W798" s="241" t="s">
        <v>3664</v>
      </c>
      <c r="X798" s="1170" t="str">
        <f t="array" ref="X798"> if(iserror(MATCH(V798, 'File Links'!C:C, 0)), "N/A", HYPERLINK(INDEX('File Links'!B:B, MATCH(V798, 'File Links'!C:C, 0))))</f>
        <v>https://drive.google.com/file/d/17gaf2Zy_ljFfcAEDk5L8GBnTl5i7RGJE/view?usp=drivesdk</v>
      </c>
      <c r="Y798" s="328"/>
      <c r="Z798" s="241" t="s">
        <v>219</v>
      </c>
      <c r="AA798" s="241" t="s">
        <v>4343</v>
      </c>
      <c r="AB798" s="241" t="s">
        <v>4344</v>
      </c>
      <c r="AC798" s="241" t="s">
        <v>4370</v>
      </c>
      <c r="AD798" s="241" t="s">
        <v>4371</v>
      </c>
      <c r="AE798" s="1175">
        <v>11.0</v>
      </c>
      <c r="AF798" s="331">
        <v>155.0</v>
      </c>
      <c r="AG798" s="1175">
        <v>-1.36</v>
      </c>
      <c r="AH798" s="331" t="s">
        <v>980</v>
      </c>
      <c r="AI798" s="1175" t="s">
        <v>300</v>
      </c>
      <c r="AJ798" s="1179">
        <v>0.001</v>
      </c>
      <c r="AK798" s="409" t="s">
        <v>128</v>
      </c>
      <c r="AL798" s="409" t="s">
        <v>179</v>
      </c>
      <c r="AM798" s="321" t="s">
        <v>130</v>
      </c>
      <c r="AN798" s="327" t="s">
        <v>131</v>
      </c>
      <c r="AO798" s="331">
        <v>152.0</v>
      </c>
      <c r="AP798" s="1175">
        <v>-1.401</v>
      </c>
      <c r="AQ798" s="331" t="s">
        <v>980</v>
      </c>
      <c r="AR798" s="1181" t="s">
        <v>4367</v>
      </c>
      <c r="AS798" s="331">
        <f>2.24 * 10^-5</f>
        <v>0.0000224</v>
      </c>
      <c r="AT798" s="241" t="s">
        <v>165</v>
      </c>
      <c r="AU798" s="241" t="s">
        <v>179</v>
      </c>
      <c r="AV798" s="321" t="s">
        <v>130</v>
      </c>
      <c r="AW798" s="126" t="s">
        <v>131</v>
      </c>
      <c r="AX798" s="328" t="s">
        <v>136</v>
      </c>
      <c r="AY798" s="223"/>
      <c r="AZ798" s="328" t="s">
        <v>146</v>
      </c>
      <c r="BA798" s="223"/>
      <c r="BB798" s="223"/>
      <c r="BC798" s="223"/>
      <c r="BD798" s="223"/>
      <c r="BE798" s="223"/>
      <c r="BF798" s="223"/>
      <c r="BG798" s="223"/>
      <c r="BH798" s="223"/>
      <c r="BI798" s="223"/>
      <c r="BJ798" s="223"/>
      <c r="BK798" s="223"/>
      <c r="BL798" s="223"/>
      <c r="BM798" s="223"/>
      <c r="BN798" s="223"/>
      <c r="BO798" s="223"/>
      <c r="BP798" s="223"/>
      <c r="BQ798" s="223"/>
      <c r="BR798" s="223"/>
      <c r="BS798" s="223"/>
      <c r="BT798" s="223"/>
      <c r="BU798" s="223"/>
      <c r="BV798" s="223"/>
      <c r="BW798" s="223"/>
      <c r="BX798" s="223"/>
      <c r="BY798" s="223"/>
      <c r="BZ798" s="223"/>
      <c r="CA798" s="223"/>
      <c r="CB798" s="223"/>
      <c r="CC798" s="223"/>
      <c r="CD798" s="223"/>
      <c r="CE798" s="223"/>
      <c r="CF798" s="223"/>
      <c r="CG798" s="223"/>
      <c r="CH798" s="223"/>
      <c r="CI798" s="223"/>
      <c r="CJ798" s="223"/>
      <c r="CK798" s="223"/>
      <c r="CL798" s="223"/>
      <c r="CM798" s="223"/>
      <c r="CN798" s="223"/>
      <c r="CO798" s="223"/>
      <c r="CP798" s="223"/>
      <c r="CQ798" s="223"/>
      <c r="CR798" s="223"/>
      <c r="CS798" s="223"/>
      <c r="CT798" s="223"/>
      <c r="CU798" s="223"/>
      <c r="CV798" s="223"/>
      <c r="CW798" s="223"/>
      <c r="CX798" s="223"/>
      <c r="CY798" s="223"/>
      <c r="CZ798" s="223"/>
      <c r="DA798" s="223"/>
      <c r="DB798" s="223"/>
      <c r="DC798" s="223"/>
      <c r="DD798" s="223"/>
      <c r="DE798" s="223"/>
      <c r="DF798" s="223"/>
      <c r="DG798" s="223"/>
      <c r="DH798" s="223"/>
    </row>
    <row r="799">
      <c r="A799" s="325">
        <v>799.0</v>
      </c>
      <c r="B799" s="327" t="s">
        <v>145</v>
      </c>
      <c r="C799" s="322" t="s">
        <v>108</v>
      </c>
      <c r="D799" s="322" t="s">
        <v>146</v>
      </c>
      <c r="E799" s="223"/>
      <c r="F799" s="328" t="s">
        <v>4333</v>
      </c>
      <c r="G799" s="409" t="s">
        <v>4372</v>
      </c>
      <c r="H799" s="241" t="s">
        <v>146</v>
      </c>
      <c r="I799" s="655">
        <v>45687.0</v>
      </c>
      <c r="J799" s="655">
        <v>45692.0</v>
      </c>
      <c r="K799" s="384" t="s">
        <v>4341</v>
      </c>
      <c r="L799" s="1178" t="s">
        <v>4373</v>
      </c>
      <c r="M799" s="241" t="s">
        <v>4334</v>
      </c>
      <c r="N799" s="241" t="s">
        <v>4326</v>
      </c>
      <c r="O799" s="331">
        <v>3.0</v>
      </c>
      <c r="P799" s="241" t="str">
        <f t="shared" si="37"/>
        <v>10.1037--pspi0000081.pdf</v>
      </c>
      <c r="Q799" s="658" t="str">
        <f t="array" ref="Q799"> if(iserror(MATCH(V799, 'File Links'!C:C, 0)), "N/A", HYPERLINK(INDEX('File Links'!B:B, MATCH(P799, 'File Links'!C:C, 0))))</f>
        <v>https://drive.google.com/file/d/1GTnjtSM79S6hEZLXrpWxGtZd34NCBmBN/view?usp=drivesdk</v>
      </c>
      <c r="R799" s="241" t="s">
        <v>3646</v>
      </c>
      <c r="S799" s="241" t="s">
        <v>3647</v>
      </c>
      <c r="T799" s="660" t="s">
        <v>4335</v>
      </c>
      <c r="U799" s="331">
        <v>1.0</v>
      </c>
      <c r="V799" s="241" t="str">
        <f t="shared" si="43"/>
        <v>10.1098--rsos.231240.pdf</v>
      </c>
      <c r="W799" s="241" t="s">
        <v>3664</v>
      </c>
      <c r="X799" s="1170" t="str">
        <f t="array" ref="X799"> if(iserror(MATCH(V799, 'File Links'!C:C, 0)), "N/A", HYPERLINK(INDEX('File Links'!B:B, MATCH(V799, 'File Links'!C:C, 0))))</f>
        <v>https://drive.google.com/file/d/17gaf2Zy_ljFfcAEDk5L8GBnTl5i7RGJE/view?usp=drivesdk</v>
      </c>
      <c r="Y799" s="328"/>
      <c r="Z799" s="241" t="s">
        <v>219</v>
      </c>
      <c r="AA799" s="241" t="s">
        <v>4343</v>
      </c>
      <c r="AB799" s="241" t="s">
        <v>4344</v>
      </c>
      <c r="AC799" s="241" t="s">
        <v>4374</v>
      </c>
      <c r="AD799" s="241" t="s">
        <v>4375</v>
      </c>
      <c r="AE799" s="1175">
        <v>11.0</v>
      </c>
      <c r="AF799" s="331">
        <v>155.0</v>
      </c>
      <c r="AG799" s="1175">
        <v>0.36</v>
      </c>
      <c r="AH799" s="331" t="s">
        <v>980</v>
      </c>
      <c r="AI799" s="1175" t="s">
        <v>300</v>
      </c>
      <c r="AJ799" s="1179">
        <v>0.26</v>
      </c>
      <c r="AK799" s="409" t="s">
        <v>165</v>
      </c>
      <c r="AL799" s="409" t="s">
        <v>179</v>
      </c>
      <c r="AM799" s="321" t="s">
        <v>130</v>
      </c>
      <c r="AN799" s="327" t="s">
        <v>131</v>
      </c>
      <c r="AO799" s="331">
        <v>152.0</v>
      </c>
      <c r="AP799" s="1175">
        <v>-0.603</v>
      </c>
      <c r="AQ799" s="331" t="s">
        <v>980</v>
      </c>
      <c r="AR799" s="1181" t="s">
        <v>4367</v>
      </c>
      <c r="AS799" s="331">
        <v>0.0549</v>
      </c>
      <c r="AT799" s="241" t="s">
        <v>165</v>
      </c>
      <c r="AU799" s="241" t="s">
        <v>179</v>
      </c>
      <c r="AV799" s="321" t="s">
        <v>130</v>
      </c>
      <c r="AW799" s="126" t="s">
        <v>131</v>
      </c>
      <c r="AX799" s="328" t="s">
        <v>136</v>
      </c>
      <c r="AY799" s="223"/>
      <c r="AZ799" s="328" t="s">
        <v>146</v>
      </c>
      <c r="BA799" s="223"/>
      <c r="BB799" s="223"/>
      <c r="BC799" s="223"/>
      <c r="BD799" s="223"/>
      <c r="BE799" s="223"/>
      <c r="BF799" s="223"/>
      <c r="BG799" s="223"/>
      <c r="BH799" s="223"/>
      <c r="BI799" s="223"/>
      <c r="BJ799" s="223"/>
      <c r="BK799" s="223"/>
      <c r="BL799" s="223"/>
      <c r="BM799" s="223"/>
      <c r="BN799" s="223"/>
      <c r="BO799" s="223"/>
      <c r="BP799" s="223"/>
      <c r="BQ799" s="223"/>
      <c r="BR799" s="223"/>
      <c r="BS799" s="223"/>
      <c r="BT799" s="223"/>
      <c r="BU799" s="223"/>
      <c r="BV799" s="223"/>
      <c r="BW799" s="223"/>
      <c r="BX799" s="223"/>
      <c r="BY799" s="223"/>
      <c r="BZ799" s="223"/>
      <c r="CA799" s="223"/>
      <c r="CB799" s="223"/>
      <c r="CC799" s="223"/>
      <c r="CD799" s="223"/>
      <c r="CE799" s="223"/>
      <c r="CF799" s="223"/>
      <c r="CG799" s="223"/>
      <c r="CH799" s="223"/>
      <c r="CI799" s="223"/>
      <c r="CJ799" s="223"/>
      <c r="CK799" s="223"/>
      <c r="CL799" s="223"/>
      <c r="CM799" s="223"/>
      <c r="CN799" s="223"/>
      <c r="CO799" s="223"/>
      <c r="CP799" s="223"/>
      <c r="CQ799" s="223"/>
      <c r="CR799" s="223"/>
      <c r="CS799" s="223"/>
      <c r="CT799" s="223"/>
      <c r="CU799" s="223"/>
      <c r="CV799" s="223"/>
      <c r="CW799" s="223"/>
      <c r="CX799" s="223"/>
      <c r="CY799" s="223"/>
      <c r="CZ799" s="223"/>
      <c r="DA799" s="223"/>
      <c r="DB799" s="223"/>
      <c r="DC799" s="223"/>
      <c r="DD799" s="223"/>
      <c r="DE799" s="223"/>
      <c r="DF799" s="223"/>
      <c r="DG799" s="223"/>
      <c r="DH799" s="223"/>
    </row>
    <row r="800">
      <c r="A800" s="325">
        <v>800.0</v>
      </c>
      <c r="B800" s="327" t="s">
        <v>145</v>
      </c>
      <c r="C800" s="322" t="s">
        <v>108</v>
      </c>
      <c r="D800" s="322" t="s">
        <v>146</v>
      </c>
      <c r="E800" s="223"/>
      <c r="F800" s="328" t="s">
        <v>4333</v>
      </c>
      <c r="G800" s="409" t="s">
        <v>4376</v>
      </c>
      <c r="H800" s="241" t="s">
        <v>146</v>
      </c>
      <c r="I800" s="655">
        <v>45687.0</v>
      </c>
      <c r="J800" s="655">
        <v>45692.0</v>
      </c>
      <c r="K800" s="384" t="s">
        <v>4341</v>
      </c>
      <c r="L800" s="1178" t="s">
        <v>4377</v>
      </c>
      <c r="M800" s="241" t="s">
        <v>4334</v>
      </c>
      <c r="N800" s="241" t="s">
        <v>4326</v>
      </c>
      <c r="O800" s="331">
        <v>3.0</v>
      </c>
      <c r="P800" s="241" t="str">
        <f t="shared" si="37"/>
        <v>10.1037--pspi0000081.pdf</v>
      </c>
      <c r="Q800" s="658" t="str">
        <f t="array" ref="Q800"> if(iserror(MATCH(V800, 'File Links'!C:C, 0)), "N/A", HYPERLINK(INDEX('File Links'!B:B, MATCH(P800, 'File Links'!C:C, 0))))</f>
        <v>https://drive.google.com/file/d/1GTnjtSM79S6hEZLXrpWxGtZd34NCBmBN/view?usp=drivesdk</v>
      </c>
      <c r="R800" s="241" t="s">
        <v>3646</v>
      </c>
      <c r="S800" s="241" t="s">
        <v>3647</v>
      </c>
      <c r="T800" s="660" t="s">
        <v>4335</v>
      </c>
      <c r="U800" s="331">
        <v>1.0</v>
      </c>
      <c r="V800" s="241" t="str">
        <f t="shared" si="43"/>
        <v>10.1098--rsos.231240.pdf</v>
      </c>
      <c r="W800" s="241" t="s">
        <v>3664</v>
      </c>
      <c r="X800" s="1170" t="str">
        <f t="array" ref="X800"> if(iserror(MATCH(V800, 'File Links'!C:C, 0)), "N/A", HYPERLINK(INDEX('File Links'!B:B, MATCH(V800, 'File Links'!C:C, 0))))</f>
        <v>https://drive.google.com/file/d/17gaf2Zy_ljFfcAEDk5L8GBnTl5i7RGJE/view?usp=drivesdk</v>
      </c>
      <c r="Y800" s="328"/>
      <c r="Z800" s="241" t="s">
        <v>219</v>
      </c>
      <c r="AA800" s="241" t="s">
        <v>4343</v>
      </c>
      <c r="AB800" s="241" t="s">
        <v>4344</v>
      </c>
      <c r="AC800" s="241" t="s">
        <v>4378</v>
      </c>
      <c r="AD800" s="241" t="s">
        <v>4379</v>
      </c>
      <c r="AE800" s="1175">
        <v>11.0</v>
      </c>
      <c r="AF800" s="331">
        <v>155.0</v>
      </c>
      <c r="AG800" s="1175">
        <v>-0.78</v>
      </c>
      <c r="AH800" s="331" t="s">
        <v>980</v>
      </c>
      <c r="AI800" s="1175" t="s">
        <v>300</v>
      </c>
      <c r="AJ800" s="1179">
        <v>0.02</v>
      </c>
      <c r="AK800" s="409" t="s">
        <v>165</v>
      </c>
      <c r="AL800" s="409" t="s">
        <v>179</v>
      </c>
      <c r="AM800" s="321" t="s">
        <v>130</v>
      </c>
      <c r="AN800" s="327" t="s">
        <v>131</v>
      </c>
      <c r="AO800" s="331">
        <v>152.0</v>
      </c>
      <c r="AP800" s="1175">
        <v>-1.48</v>
      </c>
      <c r="AQ800" s="331" t="s">
        <v>980</v>
      </c>
      <c r="AR800" s="1181" t="s">
        <v>4380</v>
      </c>
      <c r="AS800" s="331">
        <f>1.06 * 10^-5</f>
        <v>0.0000106</v>
      </c>
      <c r="AT800" s="241" t="s">
        <v>165</v>
      </c>
      <c r="AU800" s="241" t="s">
        <v>179</v>
      </c>
      <c r="AV800" s="321" t="s">
        <v>130</v>
      </c>
      <c r="AW800" s="126" t="s">
        <v>131</v>
      </c>
      <c r="AX800" s="328" t="s">
        <v>136</v>
      </c>
      <c r="AY800" s="223"/>
      <c r="AZ800" s="328" t="s">
        <v>146</v>
      </c>
      <c r="BA800" s="223"/>
      <c r="BB800" s="223"/>
      <c r="BC800" s="223"/>
      <c r="BD800" s="223"/>
      <c r="BE800" s="223"/>
      <c r="BF800" s="223"/>
      <c r="BG800" s="223"/>
      <c r="BH800" s="223"/>
      <c r="BI800" s="223"/>
      <c r="BJ800" s="223"/>
      <c r="BK800" s="223"/>
      <c r="BL800" s="223"/>
      <c r="BM800" s="223"/>
      <c r="BN800" s="223"/>
      <c r="BO800" s="223"/>
      <c r="BP800" s="223"/>
      <c r="BQ800" s="223"/>
      <c r="BR800" s="223"/>
      <c r="BS800" s="223"/>
      <c r="BT800" s="223"/>
      <c r="BU800" s="223"/>
      <c r="BV800" s="223"/>
      <c r="BW800" s="223"/>
      <c r="BX800" s="223"/>
      <c r="BY800" s="223"/>
      <c r="BZ800" s="223"/>
      <c r="CA800" s="223"/>
      <c r="CB800" s="223"/>
      <c r="CC800" s="223"/>
      <c r="CD800" s="223"/>
      <c r="CE800" s="223"/>
      <c r="CF800" s="223"/>
      <c r="CG800" s="223"/>
      <c r="CH800" s="223"/>
      <c r="CI800" s="223"/>
      <c r="CJ800" s="223"/>
      <c r="CK800" s="223"/>
      <c r="CL800" s="223"/>
      <c r="CM800" s="223"/>
      <c r="CN800" s="223"/>
      <c r="CO800" s="223"/>
      <c r="CP800" s="223"/>
      <c r="CQ800" s="223"/>
      <c r="CR800" s="223"/>
      <c r="CS800" s="223"/>
      <c r="CT800" s="223"/>
      <c r="CU800" s="223"/>
      <c r="CV800" s="223"/>
      <c r="CW800" s="223"/>
      <c r="CX800" s="223"/>
      <c r="CY800" s="223"/>
      <c r="CZ800" s="223"/>
      <c r="DA800" s="223"/>
      <c r="DB800" s="223"/>
      <c r="DC800" s="223"/>
      <c r="DD800" s="223"/>
      <c r="DE800" s="223"/>
      <c r="DF800" s="223"/>
      <c r="DG800" s="223"/>
      <c r="DH800" s="223"/>
    </row>
    <row r="801">
      <c r="A801" s="325">
        <v>801.0</v>
      </c>
      <c r="B801" s="327" t="s">
        <v>145</v>
      </c>
      <c r="C801" s="322" t="s">
        <v>108</v>
      </c>
      <c r="D801" s="322" t="s">
        <v>146</v>
      </c>
      <c r="E801" s="223"/>
      <c r="F801" s="328" t="s">
        <v>4333</v>
      </c>
      <c r="G801" s="409" t="s">
        <v>4381</v>
      </c>
      <c r="H801" s="241" t="s">
        <v>146</v>
      </c>
      <c r="I801" s="655">
        <v>45687.0</v>
      </c>
      <c r="J801" s="655">
        <v>45692.0</v>
      </c>
      <c r="K801" s="384" t="s">
        <v>4341</v>
      </c>
      <c r="L801" s="1178" t="s">
        <v>4382</v>
      </c>
      <c r="M801" s="241" t="s">
        <v>4334</v>
      </c>
      <c r="N801" s="241" t="s">
        <v>4326</v>
      </c>
      <c r="O801" s="331">
        <v>3.0</v>
      </c>
      <c r="P801" s="241" t="str">
        <f t="shared" si="37"/>
        <v>10.1037--pspi0000081.pdf</v>
      </c>
      <c r="Q801" s="658" t="str">
        <f t="array" ref="Q801"> if(iserror(MATCH(V801, 'File Links'!C:C, 0)), "N/A", HYPERLINK(INDEX('File Links'!B:B, MATCH(P801, 'File Links'!C:C, 0))))</f>
        <v>https://drive.google.com/file/d/1GTnjtSM79S6hEZLXrpWxGtZd34NCBmBN/view?usp=drivesdk</v>
      </c>
      <c r="R801" s="241" t="s">
        <v>3646</v>
      </c>
      <c r="S801" s="241" t="s">
        <v>3647</v>
      </c>
      <c r="T801" s="660" t="s">
        <v>4335</v>
      </c>
      <c r="U801" s="331">
        <v>1.0</v>
      </c>
      <c r="V801" s="241" t="str">
        <f t="shared" si="43"/>
        <v>10.1098--rsos.231240.pdf</v>
      </c>
      <c r="W801" s="241" t="s">
        <v>3664</v>
      </c>
      <c r="X801" s="1170" t="str">
        <f t="array" ref="X801"> if(iserror(MATCH(V801, 'File Links'!C:C, 0)), "N/A", HYPERLINK(INDEX('File Links'!B:B, MATCH(V801, 'File Links'!C:C, 0))))</f>
        <v>https://drive.google.com/file/d/17gaf2Zy_ljFfcAEDk5L8GBnTl5i7RGJE/view?usp=drivesdk</v>
      </c>
      <c r="Y801" s="328"/>
      <c r="Z801" s="241" t="s">
        <v>219</v>
      </c>
      <c r="AA801" s="241" t="s">
        <v>4343</v>
      </c>
      <c r="AB801" s="241" t="s">
        <v>4344</v>
      </c>
      <c r="AC801" s="241" t="s">
        <v>4383</v>
      </c>
      <c r="AD801" s="241" t="s">
        <v>4384</v>
      </c>
      <c r="AE801" s="1175">
        <v>11.0</v>
      </c>
      <c r="AF801" s="331">
        <v>155.0</v>
      </c>
      <c r="AG801" s="1175">
        <v>-0.77</v>
      </c>
      <c r="AH801" s="331" t="s">
        <v>980</v>
      </c>
      <c r="AI801" s="1175" t="s">
        <v>300</v>
      </c>
      <c r="AJ801" s="1179">
        <v>0.03</v>
      </c>
      <c r="AK801" s="409" t="s">
        <v>165</v>
      </c>
      <c r="AL801" s="409" t="s">
        <v>179</v>
      </c>
      <c r="AM801" s="321" t="s">
        <v>130</v>
      </c>
      <c r="AN801" s="327" t="s">
        <v>131</v>
      </c>
      <c r="AO801" s="331">
        <v>152.0</v>
      </c>
      <c r="AP801" s="1175">
        <v>-1.0783</v>
      </c>
      <c r="AQ801" s="331" t="s">
        <v>980</v>
      </c>
      <c r="AR801" s="1181" t="s">
        <v>4380</v>
      </c>
      <c r="AS801" s="331">
        <v>0.00107</v>
      </c>
      <c r="AT801" s="241" t="s">
        <v>165</v>
      </c>
      <c r="AU801" s="241" t="s">
        <v>179</v>
      </c>
      <c r="AV801" s="321" t="s">
        <v>130</v>
      </c>
      <c r="AW801" s="126" t="s">
        <v>131</v>
      </c>
      <c r="AX801" s="328" t="s">
        <v>136</v>
      </c>
      <c r="AY801" s="223"/>
      <c r="AZ801" s="328" t="s">
        <v>146</v>
      </c>
      <c r="BA801" s="223"/>
      <c r="BB801" s="223"/>
      <c r="BC801" s="223"/>
      <c r="BD801" s="223"/>
      <c r="BE801" s="223"/>
      <c r="BF801" s="223"/>
      <c r="BG801" s="223"/>
      <c r="BH801" s="223"/>
      <c r="BI801" s="223"/>
      <c r="BJ801" s="223"/>
      <c r="BK801" s="223"/>
      <c r="BL801" s="223"/>
      <c r="BM801" s="223"/>
      <c r="BN801" s="223"/>
      <c r="BO801" s="223"/>
      <c r="BP801" s="223"/>
      <c r="BQ801" s="223"/>
      <c r="BR801" s="223"/>
      <c r="BS801" s="223"/>
      <c r="BT801" s="223"/>
      <c r="BU801" s="223"/>
      <c r="BV801" s="223"/>
      <c r="BW801" s="223"/>
      <c r="BX801" s="223"/>
      <c r="BY801" s="223"/>
      <c r="BZ801" s="223"/>
      <c r="CA801" s="223"/>
      <c r="CB801" s="223"/>
      <c r="CC801" s="223"/>
      <c r="CD801" s="223"/>
      <c r="CE801" s="223"/>
      <c r="CF801" s="223"/>
      <c r="CG801" s="223"/>
      <c r="CH801" s="223"/>
      <c r="CI801" s="223"/>
      <c r="CJ801" s="223"/>
      <c r="CK801" s="223"/>
      <c r="CL801" s="223"/>
      <c r="CM801" s="223"/>
      <c r="CN801" s="223"/>
      <c r="CO801" s="223"/>
      <c r="CP801" s="223"/>
      <c r="CQ801" s="223"/>
      <c r="CR801" s="223"/>
      <c r="CS801" s="223"/>
      <c r="CT801" s="223"/>
      <c r="CU801" s="223"/>
      <c r="CV801" s="223"/>
      <c r="CW801" s="223"/>
      <c r="CX801" s="223"/>
      <c r="CY801" s="223"/>
      <c r="CZ801" s="223"/>
      <c r="DA801" s="223"/>
      <c r="DB801" s="223"/>
      <c r="DC801" s="223"/>
      <c r="DD801" s="223"/>
      <c r="DE801" s="223"/>
      <c r="DF801" s="223"/>
      <c r="DG801" s="223"/>
      <c r="DH801" s="223"/>
    </row>
    <row r="802">
      <c r="A802" s="325">
        <v>802.0</v>
      </c>
      <c r="B802" s="327" t="s">
        <v>145</v>
      </c>
      <c r="C802" s="322" t="s">
        <v>108</v>
      </c>
      <c r="D802" s="322" t="s">
        <v>146</v>
      </c>
      <c r="E802" s="223"/>
      <c r="F802" s="328" t="s">
        <v>4333</v>
      </c>
      <c r="G802" s="409" t="s">
        <v>4385</v>
      </c>
      <c r="H802" s="241" t="s">
        <v>146</v>
      </c>
      <c r="I802" s="655">
        <v>45687.0</v>
      </c>
      <c r="J802" s="655">
        <v>45692.0</v>
      </c>
      <c r="K802" s="384" t="s">
        <v>4341</v>
      </c>
      <c r="L802" s="1178" t="s">
        <v>4386</v>
      </c>
      <c r="M802" s="241" t="s">
        <v>4334</v>
      </c>
      <c r="N802" s="241" t="s">
        <v>4326</v>
      </c>
      <c r="O802" s="331">
        <v>3.0</v>
      </c>
      <c r="P802" s="241" t="str">
        <f t="shared" si="37"/>
        <v>10.1037--pspi0000081.pdf</v>
      </c>
      <c r="Q802" s="658" t="str">
        <f t="array" ref="Q802"> if(iserror(MATCH(V802, 'File Links'!C:C, 0)), "N/A", HYPERLINK(INDEX('File Links'!B:B, MATCH(P802, 'File Links'!C:C, 0))))</f>
        <v>https://drive.google.com/file/d/1GTnjtSM79S6hEZLXrpWxGtZd34NCBmBN/view?usp=drivesdk</v>
      </c>
      <c r="R802" s="241" t="s">
        <v>3646</v>
      </c>
      <c r="S802" s="241" t="s">
        <v>3647</v>
      </c>
      <c r="T802" s="660" t="s">
        <v>4335</v>
      </c>
      <c r="U802" s="331">
        <v>1.0</v>
      </c>
      <c r="V802" s="241" t="str">
        <f t="shared" si="43"/>
        <v>10.1098--rsos.231240.pdf</v>
      </c>
      <c r="W802" s="241" t="s">
        <v>3664</v>
      </c>
      <c r="X802" s="1170" t="str">
        <f t="array" ref="X802"> if(iserror(MATCH(V802, 'File Links'!C:C, 0)), "N/A", HYPERLINK(INDEX('File Links'!B:B, MATCH(V802, 'File Links'!C:C, 0))))</f>
        <v>https://drive.google.com/file/d/17gaf2Zy_ljFfcAEDk5L8GBnTl5i7RGJE/view?usp=drivesdk</v>
      </c>
      <c r="Y802" s="328"/>
      <c r="Z802" s="241" t="s">
        <v>219</v>
      </c>
      <c r="AA802" s="241" t="s">
        <v>4343</v>
      </c>
      <c r="AB802" s="241" t="s">
        <v>4344</v>
      </c>
      <c r="AC802" s="241" t="s">
        <v>4387</v>
      </c>
      <c r="AD802" s="241" t="s">
        <v>4388</v>
      </c>
      <c r="AE802" s="1175">
        <v>11.0</v>
      </c>
      <c r="AF802" s="331">
        <v>155.0</v>
      </c>
      <c r="AG802" s="1175">
        <v>-0.01</v>
      </c>
      <c r="AH802" s="331" t="s">
        <v>980</v>
      </c>
      <c r="AI802" s="1175" t="s">
        <v>300</v>
      </c>
      <c r="AJ802" s="1179">
        <v>0.97</v>
      </c>
      <c r="AK802" s="409" t="s">
        <v>165</v>
      </c>
      <c r="AL802" s="409" t="s">
        <v>179</v>
      </c>
      <c r="AM802" s="321" t="s">
        <v>130</v>
      </c>
      <c r="AN802" s="327" t="s">
        <v>131</v>
      </c>
      <c r="AO802" s="331">
        <v>152.0</v>
      </c>
      <c r="AP802" s="1175">
        <v>-0.4017</v>
      </c>
      <c r="AQ802" s="331" t="s">
        <v>980</v>
      </c>
      <c r="AR802" s="1181" t="s">
        <v>4380</v>
      </c>
      <c r="AS802" s="331">
        <v>0.20379</v>
      </c>
      <c r="AT802" s="241" t="s">
        <v>165</v>
      </c>
      <c r="AU802" s="241" t="s">
        <v>179</v>
      </c>
      <c r="AV802" s="321" t="s">
        <v>130</v>
      </c>
      <c r="AW802" s="126" t="s">
        <v>131</v>
      </c>
      <c r="AX802" s="328" t="s">
        <v>136</v>
      </c>
      <c r="AY802" s="223"/>
      <c r="AZ802" s="328" t="s">
        <v>146</v>
      </c>
      <c r="BA802" s="223"/>
      <c r="BB802" s="223"/>
      <c r="BC802" s="223"/>
      <c r="BD802" s="223"/>
      <c r="BE802" s="223"/>
      <c r="BF802" s="223"/>
      <c r="BG802" s="223"/>
      <c r="BH802" s="223"/>
      <c r="BI802" s="223"/>
      <c r="BJ802" s="223"/>
      <c r="BK802" s="223"/>
      <c r="BL802" s="223"/>
      <c r="BM802" s="223"/>
      <c r="BN802" s="223"/>
      <c r="BO802" s="223"/>
      <c r="BP802" s="223"/>
      <c r="BQ802" s="223"/>
      <c r="BR802" s="223"/>
      <c r="BS802" s="223"/>
      <c r="BT802" s="223"/>
      <c r="BU802" s="223"/>
      <c r="BV802" s="223"/>
      <c r="BW802" s="223"/>
      <c r="BX802" s="223"/>
      <c r="BY802" s="223"/>
      <c r="BZ802" s="223"/>
      <c r="CA802" s="223"/>
      <c r="CB802" s="223"/>
      <c r="CC802" s="223"/>
      <c r="CD802" s="223"/>
      <c r="CE802" s="223"/>
      <c r="CF802" s="223"/>
      <c r="CG802" s="223"/>
      <c r="CH802" s="223"/>
      <c r="CI802" s="223"/>
      <c r="CJ802" s="223"/>
      <c r="CK802" s="223"/>
      <c r="CL802" s="223"/>
      <c r="CM802" s="223"/>
      <c r="CN802" s="223"/>
      <c r="CO802" s="223"/>
      <c r="CP802" s="223"/>
      <c r="CQ802" s="223"/>
      <c r="CR802" s="223"/>
      <c r="CS802" s="223"/>
      <c r="CT802" s="223"/>
      <c r="CU802" s="223"/>
      <c r="CV802" s="223"/>
      <c r="CW802" s="223"/>
      <c r="CX802" s="223"/>
      <c r="CY802" s="223"/>
      <c r="CZ802" s="223"/>
      <c r="DA802" s="223"/>
      <c r="DB802" s="223"/>
      <c r="DC802" s="223"/>
      <c r="DD802" s="223"/>
      <c r="DE802" s="223"/>
      <c r="DF802" s="223"/>
      <c r="DG802" s="223"/>
      <c r="DH802" s="223"/>
    </row>
    <row r="803">
      <c r="A803" s="686">
        <v>803.0</v>
      </c>
      <c r="B803" s="65" t="s">
        <v>107</v>
      </c>
      <c r="C803" s="185" t="s">
        <v>108</v>
      </c>
      <c r="D803" s="185" t="s">
        <v>241</v>
      </c>
      <c r="E803" s="186"/>
      <c r="F803" s="195" t="s">
        <v>4389</v>
      </c>
      <c r="G803" s="55" t="s">
        <v>4390</v>
      </c>
      <c r="H803" s="195" t="s">
        <v>242</v>
      </c>
      <c r="I803" s="188">
        <v>45670.0</v>
      </c>
      <c r="J803" s="188">
        <v>45692.0</v>
      </c>
      <c r="K803" s="366" t="s">
        <v>4391</v>
      </c>
      <c r="L803" s="195" t="s">
        <v>4392</v>
      </c>
      <c r="M803" s="195" t="s">
        <v>4393</v>
      </c>
      <c r="N803" s="195" t="s">
        <v>4394</v>
      </c>
      <c r="O803" s="187"/>
      <c r="P803" s="195" t="str">
        <f t="shared" si="37"/>
        <v>10.1177--0956797619855382.pdf</v>
      </c>
      <c r="Q803" s="1165" t="str">
        <f t="array" ref="Q803"> if(iserror(MATCH(V803, 'File Links'!C:C, 0)), "N/A", HYPERLINK(INDEX('File Links'!B:B, MATCH(P803, 'File Links'!C:C, 0))))</f>
        <v>https://drive.google.com/file/d/1ITD043otUXSzSXwJBI77ZEGc7YfO0lXl/view?usp=drivesdk</v>
      </c>
      <c r="R803" s="195" t="s">
        <v>3646</v>
      </c>
      <c r="S803" s="195" t="s">
        <v>3647</v>
      </c>
      <c r="T803" s="986" t="s">
        <v>4395</v>
      </c>
      <c r="U803" s="755">
        <v>1.0</v>
      </c>
      <c r="V803" s="195" t="str">
        <f t="shared" si="43"/>
        <v>10.1098--rsos.231240.pdf</v>
      </c>
      <c r="W803" s="195" t="s">
        <v>3800</v>
      </c>
      <c r="X803" s="1166" t="str">
        <f t="array" ref="X803"> if(iserror(MATCH(V803, 'File Links'!C:C, 0)), "N/A", HYPERLINK(INDEX('File Links'!B:B, MATCH(V803, 'File Links'!C:C, 0))))</f>
        <v>https://drive.google.com/file/d/17gaf2Zy_ljFfcAEDk5L8GBnTl5i7RGJE/view?usp=drivesdk</v>
      </c>
      <c r="Y803" s="187"/>
      <c r="Z803" s="1167" t="s">
        <v>496</v>
      </c>
      <c r="AA803" s="195" t="s">
        <v>4396</v>
      </c>
      <c r="AB803" s="195" t="s">
        <v>4397</v>
      </c>
      <c r="AC803" s="195" t="s">
        <v>4398</v>
      </c>
      <c r="AD803" s="195" t="s">
        <v>4399</v>
      </c>
      <c r="AE803" s="755">
        <v>3.0</v>
      </c>
      <c r="AF803" s="755">
        <v>177.0</v>
      </c>
      <c r="AG803" s="755">
        <v>0.56766426264502</v>
      </c>
      <c r="AH803" s="195" t="s">
        <v>166</v>
      </c>
      <c r="AI803" s="755" t="s">
        <v>500</v>
      </c>
      <c r="AJ803" s="1182">
        <f>2.52625057832611*10^-12</f>
        <v>0</v>
      </c>
      <c r="AK803" s="55" t="s">
        <v>165</v>
      </c>
      <c r="AL803" s="55" t="s">
        <v>179</v>
      </c>
      <c r="AM803" s="195" t="s">
        <v>130</v>
      </c>
      <c r="AN803" s="1183" t="s">
        <v>4400</v>
      </c>
      <c r="AO803" s="755">
        <v>157.0</v>
      </c>
      <c r="AP803" s="755">
        <v>0.398805704566971</v>
      </c>
      <c r="AQ803" s="195" t="s">
        <v>166</v>
      </c>
      <c r="AR803" s="986" t="s">
        <v>4395</v>
      </c>
      <c r="AS803" s="1184">
        <f>1.66062956998421*10^-6</f>
        <v>0.00000166062957</v>
      </c>
      <c r="AT803" s="195" t="s">
        <v>165</v>
      </c>
      <c r="AU803" s="195" t="s">
        <v>179</v>
      </c>
      <c r="AV803" s="195" t="s">
        <v>130</v>
      </c>
      <c r="AW803" s="371" t="s">
        <v>131</v>
      </c>
      <c r="AX803" s="195" t="s">
        <v>136</v>
      </c>
      <c r="AY803" s="186"/>
      <c r="AZ803" s="187" t="s">
        <v>146</v>
      </c>
      <c r="BA803" s="186"/>
      <c r="BB803" s="186"/>
      <c r="BC803" s="186"/>
      <c r="BD803" s="186"/>
      <c r="BE803" s="186"/>
      <c r="BF803" s="186"/>
      <c r="BG803" s="186"/>
      <c r="BH803" s="186"/>
      <c r="BI803" s="186"/>
      <c r="BJ803" s="186"/>
      <c r="BK803" s="186"/>
      <c r="BL803" s="186"/>
      <c r="BM803" s="186"/>
      <c r="BN803" s="186"/>
      <c r="BO803" s="186"/>
      <c r="BP803" s="186"/>
      <c r="BQ803" s="186"/>
      <c r="BR803" s="186"/>
      <c r="BS803" s="186"/>
      <c r="BT803" s="186"/>
      <c r="BU803" s="186"/>
      <c r="BV803" s="186"/>
      <c r="BW803" s="186"/>
      <c r="BX803" s="186"/>
      <c r="BY803" s="186"/>
      <c r="BZ803" s="186"/>
      <c r="CA803" s="186"/>
      <c r="CB803" s="186"/>
      <c r="CC803" s="186"/>
      <c r="CD803" s="186"/>
      <c r="CE803" s="186"/>
      <c r="CF803" s="186"/>
      <c r="CG803" s="186"/>
      <c r="CH803" s="186"/>
      <c r="CI803" s="186"/>
      <c r="CJ803" s="186"/>
      <c r="CK803" s="186"/>
      <c r="CL803" s="186"/>
      <c r="CM803" s="186"/>
      <c r="CN803" s="186"/>
      <c r="CO803" s="186"/>
      <c r="CP803" s="186"/>
      <c r="CQ803" s="186"/>
      <c r="CR803" s="186"/>
      <c r="CS803" s="186"/>
      <c r="CT803" s="186"/>
      <c r="CU803" s="186"/>
      <c r="CV803" s="186"/>
      <c r="CW803" s="186"/>
      <c r="CX803" s="186"/>
      <c r="CY803" s="186"/>
      <c r="CZ803" s="186"/>
      <c r="DA803" s="186"/>
      <c r="DB803" s="186"/>
      <c r="DC803" s="186"/>
      <c r="DD803" s="186"/>
      <c r="DE803" s="186"/>
      <c r="DF803" s="186"/>
      <c r="DG803" s="186"/>
      <c r="DH803" s="186"/>
    </row>
    <row r="804">
      <c r="A804" s="686">
        <v>804.0</v>
      </c>
      <c r="B804" s="327" t="s">
        <v>145</v>
      </c>
      <c r="C804" s="185" t="s">
        <v>108</v>
      </c>
      <c r="D804" s="185" t="s">
        <v>146</v>
      </c>
      <c r="E804" s="186"/>
      <c r="F804" s="187" t="s">
        <v>4390</v>
      </c>
      <c r="G804" s="55" t="s">
        <v>4401</v>
      </c>
      <c r="H804" s="195" t="s">
        <v>146</v>
      </c>
      <c r="I804" s="188">
        <v>45687.0</v>
      </c>
      <c r="J804" s="188">
        <v>45692.0</v>
      </c>
      <c r="K804" s="1095" t="s">
        <v>4402</v>
      </c>
      <c r="L804" s="187"/>
      <c r="M804" s="195" t="s">
        <v>4393</v>
      </c>
      <c r="N804" s="195" t="s">
        <v>4394</v>
      </c>
      <c r="O804" s="755">
        <v>1.0</v>
      </c>
      <c r="P804" s="195" t="str">
        <f t="shared" si="37"/>
        <v>10.1177--0956797619855382.pdf</v>
      </c>
      <c r="Q804" s="1165" t="str">
        <f t="array" ref="Q804"> if(iserror(MATCH(V804, 'File Links'!C:C, 0)), "N/A", HYPERLINK(INDEX('File Links'!B:B, MATCH(P804, 'File Links'!C:C, 0))))</f>
        <v>https://drive.google.com/file/d/1ITD043otUXSzSXwJBI77ZEGc7YfO0lXl/view?usp=drivesdk</v>
      </c>
      <c r="R804" s="195" t="s">
        <v>3646</v>
      </c>
      <c r="S804" s="195" t="s">
        <v>3647</v>
      </c>
      <c r="T804" s="986" t="s">
        <v>4395</v>
      </c>
      <c r="U804" s="755">
        <v>1.0</v>
      </c>
      <c r="V804" s="195" t="str">
        <f t="shared" si="43"/>
        <v>10.1098--rsos.231240.pdf</v>
      </c>
      <c r="W804" s="195" t="s">
        <v>3800</v>
      </c>
      <c r="X804" s="1166" t="str">
        <f t="array" ref="X804"> if(iserror(MATCH(V804, 'File Links'!C:C, 0)), "N/A", HYPERLINK(INDEX('File Links'!B:B, MATCH(V804, 'File Links'!C:C, 0))))</f>
        <v>https://drive.google.com/file/d/17gaf2Zy_ljFfcAEDk5L8GBnTl5i7RGJE/view?usp=drivesdk</v>
      </c>
      <c r="Y804" s="187"/>
      <c r="Z804" s="195" t="s">
        <v>940</v>
      </c>
      <c r="AA804" s="195" t="s">
        <v>4396</v>
      </c>
      <c r="AB804" s="195" t="s">
        <v>4397</v>
      </c>
      <c r="AC804" s="195" t="s">
        <v>4403</v>
      </c>
      <c r="AD804" s="195" t="s">
        <v>4404</v>
      </c>
      <c r="AE804" s="755">
        <v>4.0</v>
      </c>
      <c r="AF804" s="755">
        <v>177.0</v>
      </c>
      <c r="AG804" s="755">
        <v>9.599</v>
      </c>
      <c r="AH804" s="755" t="s">
        <v>980</v>
      </c>
      <c r="AI804" s="755" t="s">
        <v>843</v>
      </c>
      <c r="AJ804" s="872">
        <v>0.001</v>
      </c>
      <c r="AK804" s="55" t="s">
        <v>128</v>
      </c>
      <c r="AL804" s="55" t="s">
        <v>179</v>
      </c>
      <c r="AM804" s="195" t="s">
        <v>130</v>
      </c>
      <c r="AN804" s="371" t="s">
        <v>131</v>
      </c>
      <c r="AO804" s="755">
        <v>157.0</v>
      </c>
      <c r="AP804" s="755">
        <v>-6.8322</v>
      </c>
      <c r="AQ804" s="755" t="s">
        <v>980</v>
      </c>
      <c r="AR804" s="986" t="s">
        <v>4395</v>
      </c>
      <c r="AS804" s="371" t="s">
        <v>131</v>
      </c>
      <c r="AT804" s="187"/>
      <c r="AU804" s="195" t="s">
        <v>179</v>
      </c>
      <c r="AV804" s="195" t="s">
        <v>130</v>
      </c>
      <c r="AW804" s="874" t="s">
        <v>4405</v>
      </c>
      <c r="AX804" s="187" t="s">
        <v>136</v>
      </c>
      <c r="AY804" s="186"/>
      <c r="AZ804" s="187" t="s">
        <v>146</v>
      </c>
      <c r="BA804" s="186"/>
      <c r="BB804" s="186"/>
      <c r="BC804" s="186"/>
      <c r="BD804" s="186"/>
      <c r="BE804" s="186"/>
      <c r="BF804" s="186"/>
      <c r="BG804" s="186"/>
      <c r="BH804" s="186"/>
      <c r="BI804" s="186"/>
      <c r="BJ804" s="186"/>
      <c r="BK804" s="186"/>
      <c r="BL804" s="186"/>
      <c r="BM804" s="186"/>
      <c r="BN804" s="186"/>
      <c r="BO804" s="186"/>
      <c r="BP804" s="186"/>
      <c r="BQ804" s="186"/>
      <c r="BR804" s="186"/>
      <c r="BS804" s="186"/>
      <c r="BT804" s="186"/>
      <c r="BU804" s="186"/>
      <c r="BV804" s="186"/>
      <c r="BW804" s="186"/>
      <c r="BX804" s="186"/>
      <c r="BY804" s="186"/>
      <c r="BZ804" s="186"/>
      <c r="CA804" s="186"/>
      <c r="CB804" s="186"/>
      <c r="CC804" s="186"/>
      <c r="CD804" s="186"/>
      <c r="CE804" s="186"/>
      <c r="CF804" s="186"/>
      <c r="CG804" s="186"/>
      <c r="CH804" s="186"/>
      <c r="CI804" s="186"/>
      <c r="CJ804" s="186"/>
      <c r="CK804" s="186"/>
      <c r="CL804" s="186"/>
      <c r="CM804" s="186"/>
      <c r="CN804" s="186"/>
      <c r="CO804" s="186"/>
      <c r="CP804" s="186"/>
      <c r="CQ804" s="186"/>
      <c r="CR804" s="186"/>
      <c r="CS804" s="186"/>
      <c r="CT804" s="186"/>
      <c r="CU804" s="186"/>
      <c r="CV804" s="186"/>
      <c r="CW804" s="186"/>
      <c r="CX804" s="186"/>
      <c r="CY804" s="186"/>
      <c r="CZ804" s="186"/>
      <c r="DA804" s="186"/>
      <c r="DB804" s="186"/>
      <c r="DC804" s="186"/>
      <c r="DD804" s="186"/>
      <c r="DE804" s="186"/>
      <c r="DF804" s="186"/>
      <c r="DG804" s="186"/>
      <c r="DH804" s="186"/>
    </row>
    <row r="805" ht="36.75" customHeight="1">
      <c r="A805" s="686">
        <v>805.0</v>
      </c>
      <c r="B805" s="327" t="s">
        <v>145</v>
      </c>
      <c r="C805" s="185" t="s">
        <v>108</v>
      </c>
      <c r="D805" s="185" t="s">
        <v>146</v>
      </c>
      <c r="E805" s="186"/>
      <c r="F805" s="187" t="s">
        <v>4390</v>
      </c>
      <c r="G805" s="55" t="s">
        <v>4406</v>
      </c>
      <c r="H805" s="195" t="s">
        <v>146</v>
      </c>
      <c r="I805" s="188">
        <v>45687.0</v>
      </c>
      <c r="J805" s="188">
        <v>45692.0</v>
      </c>
      <c r="K805" s="1095" t="s">
        <v>4407</v>
      </c>
      <c r="L805" s="187"/>
      <c r="M805" s="195" t="s">
        <v>4393</v>
      </c>
      <c r="N805" s="195" t="s">
        <v>4394</v>
      </c>
      <c r="O805" s="755">
        <v>1.0</v>
      </c>
      <c r="P805" s="195" t="str">
        <f t="shared" si="37"/>
        <v>10.1177--0956797619855382.pdf</v>
      </c>
      <c r="Q805" s="1165" t="str">
        <f t="array" ref="Q805"> if(iserror(MATCH(V805, 'File Links'!C:C, 0)), "N/A", HYPERLINK(INDEX('File Links'!B:B, MATCH(P805, 'File Links'!C:C, 0))))</f>
        <v>https://drive.google.com/file/d/1ITD043otUXSzSXwJBI77ZEGc7YfO0lXl/view?usp=drivesdk</v>
      </c>
      <c r="R805" s="195" t="s">
        <v>3646</v>
      </c>
      <c r="S805" s="195" t="s">
        <v>3647</v>
      </c>
      <c r="T805" s="986" t="s">
        <v>4395</v>
      </c>
      <c r="U805" s="755">
        <v>1.0</v>
      </c>
      <c r="V805" s="195" t="str">
        <f t="shared" si="43"/>
        <v>10.1098--rsos.231240.pdf</v>
      </c>
      <c r="W805" s="195" t="s">
        <v>3800</v>
      </c>
      <c r="X805" s="1166" t="str">
        <f t="array" ref="X805"> if(iserror(MATCH(V805, 'File Links'!C:C, 0)), "N/A", HYPERLINK(INDEX('File Links'!B:B, MATCH(V805, 'File Links'!C:C, 0))))</f>
        <v>https://drive.google.com/file/d/17gaf2Zy_ljFfcAEDk5L8GBnTl5i7RGJE/view?usp=drivesdk</v>
      </c>
      <c r="Y805" s="187"/>
      <c r="Z805" s="195" t="s">
        <v>940</v>
      </c>
      <c r="AA805" s="195" t="s">
        <v>4396</v>
      </c>
      <c r="AB805" s="195" t="s">
        <v>4397</v>
      </c>
      <c r="AC805" s="195" t="s">
        <v>4408</v>
      </c>
      <c r="AD805" s="195" t="s">
        <v>4409</v>
      </c>
      <c r="AE805" s="755">
        <v>4.0</v>
      </c>
      <c r="AF805" s="755">
        <v>177.0</v>
      </c>
      <c r="AG805" s="747">
        <v>9.199</v>
      </c>
      <c r="AH805" s="755" t="s">
        <v>980</v>
      </c>
      <c r="AI805" s="755" t="s">
        <v>843</v>
      </c>
      <c r="AJ805" s="1125">
        <v>0.001</v>
      </c>
      <c r="AK805" s="55" t="s">
        <v>128</v>
      </c>
      <c r="AL805" s="55" t="s">
        <v>179</v>
      </c>
      <c r="AM805" s="195" t="s">
        <v>130</v>
      </c>
      <c r="AN805" s="371" t="s">
        <v>131</v>
      </c>
      <c r="AO805" s="755">
        <v>157.0</v>
      </c>
      <c r="AP805" s="755">
        <v>7.356</v>
      </c>
      <c r="AQ805" s="755" t="s">
        <v>980</v>
      </c>
      <c r="AR805" s="986" t="s">
        <v>4395</v>
      </c>
      <c r="AS805" s="371" t="s">
        <v>131</v>
      </c>
      <c r="AT805" s="187"/>
      <c r="AU805" s="195" t="s">
        <v>179</v>
      </c>
      <c r="AV805" s="195" t="s">
        <v>130</v>
      </c>
      <c r="AW805" s="874" t="s">
        <v>4405</v>
      </c>
      <c r="AX805" s="187" t="s">
        <v>136</v>
      </c>
      <c r="AY805" s="186"/>
      <c r="AZ805" s="187" t="s">
        <v>146</v>
      </c>
      <c r="BA805" s="186"/>
      <c r="BB805" s="186"/>
      <c r="BC805" s="186"/>
      <c r="BD805" s="186"/>
      <c r="BE805" s="186"/>
      <c r="BF805" s="186"/>
      <c r="BG805" s="186"/>
      <c r="BH805" s="186"/>
      <c r="BI805" s="186"/>
      <c r="BJ805" s="186"/>
      <c r="BK805" s="186"/>
      <c r="BL805" s="186"/>
      <c r="BM805" s="186"/>
      <c r="BN805" s="186"/>
      <c r="BO805" s="186"/>
      <c r="BP805" s="186"/>
      <c r="BQ805" s="186"/>
      <c r="BR805" s="186"/>
      <c r="BS805" s="186"/>
      <c r="BT805" s="186"/>
      <c r="BU805" s="186"/>
      <c r="BV805" s="186"/>
      <c r="BW805" s="186"/>
      <c r="BX805" s="186"/>
      <c r="BY805" s="186"/>
      <c r="BZ805" s="186"/>
      <c r="CA805" s="186"/>
      <c r="CB805" s="186"/>
      <c r="CC805" s="186"/>
      <c r="CD805" s="186"/>
      <c r="CE805" s="186"/>
      <c r="CF805" s="186"/>
      <c r="CG805" s="186"/>
      <c r="CH805" s="186"/>
      <c r="CI805" s="186"/>
      <c r="CJ805" s="186"/>
      <c r="CK805" s="186"/>
      <c r="CL805" s="186"/>
      <c r="CM805" s="186"/>
      <c r="CN805" s="186"/>
      <c r="CO805" s="186"/>
      <c r="CP805" s="186"/>
      <c r="CQ805" s="186"/>
      <c r="CR805" s="186"/>
      <c r="CS805" s="186"/>
      <c r="CT805" s="186"/>
      <c r="CU805" s="186"/>
      <c r="CV805" s="186"/>
      <c r="CW805" s="186"/>
      <c r="CX805" s="186"/>
      <c r="CY805" s="186"/>
      <c r="CZ805" s="186"/>
      <c r="DA805" s="186"/>
      <c r="DB805" s="186"/>
      <c r="DC805" s="186"/>
      <c r="DD805" s="186"/>
      <c r="DE805" s="186"/>
      <c r="DF805" s="186"/>
      <c r="DG805" s="186"/>
      <c r="DH805" s="186"/>
    </row>
    <row r="806">
      <c r="A806" s="686">
        <v>806.0</v>
      </c>
      <c r="B806" s="327" t="s">
        <v>145</v>
      </c>
      <c r="C806" s="185" t="s">
        <v>108</v>
      </c>
      <c r="D806" s="185" t="s">
        <v>146</v>
      </c>
      <c r="E806" s="186"/>
      <c r="F806" s="187" t="s">
        <v>4390</v>
      </c>
      <c r="G806" s="55" t="s">
        <v>4410</v>
      </c>
      <c r="H806" s="195" t="s">
        <v>146</v>
      </c>
      <c r="I806" s="188">
        <v>45687.0</v>
      </c>
      <c r="J806" s="188">
        <v>45692.0</v>
      </c>
      <c r="K806" s="1095" t="s">
        <v>4411</v>
      </c>
      <c r="L806" s="187"/>
      <c r="M806" s="195" t="s">
        <v>4393</v>
      </c>
      <c r="N806" s="195" t="s">
        <v>4394</v>
      </c>
      <c r="O806" s="755">
        <v>1.0</v>
      </c>
      <c r="P806" s="195" t="str">
        <f t="shared" si="37"/>
        <v>10.1177--0956797619855382.pdf</v>
      </c>
      <c r="Q806" s="1165" t="str">
        <f t="array" ref="Q806"> if(iserror(MATCH(V806, 'File Links'!C:C, 0)), "N/A", HYPERLINK(INDEX('File Links'!B:B, MATCH(P806, 'File Links'!C:C, 0))))</f>
        <v>https://drive.google.com/file/d/1ITD043otUXSzSXwJBI77ZEGc7YfO0lXl/view?usp=drivesdk</v>
      </c>
      <c r="R806" s="195" t="s">
        <v>3646</v>
      </c>
      <c r="S806" s="195" t="s">
        <v>3647</v>
      </c>
      <c r="T806" s="986" t="s">
        <v>4395</v>
      </c>
      <c r="U806" s="755">
        <v>1.0</v>
      </c>
      <c r="V806" s="195" t="str">
        <f t="shared" si="43"/>
        <v>10.1098--rsos.231240.pdf</v>
      </c>
      <c r="W806" s="195" t="s">
        <v>3800</v>
      </c>
      <c r="X806" s="1166" t="str">
        <f t="array" ref="X806"> if(iserror(MATCH(V806, 'File Links'!C:C, 0)), "N/A", HYPERLINK(INDEX('File Links'!B:B, MATCH(V806, 'File Links'!C:C, 0))))</f>
        <v>https://drive.google.com/file/d/17gaf2Zy_ljFfcAEDk5L8GBnTl5i7RGJE/view?usp=drivesdk</v>
      </c>
      <c r="Y806" s="187"/>
      <c r="Z806" s="195" t="s">
        <v>940</v>
      </c>
      <c r="AA806" s="195" t="s">
        <v>4396</v>
      </c>
      <c r="AB806" s="195" t="s">
        <v>4397</v>
      </c>
      <c r="AC806" s="195" t="s">
        <v>4412</v>
      </c>
      <c r="AD806" s="195" t="s">
        <v>4413</v>
      </c>
      <c r="AE806" s="755">
        <v>4.0</v>
      </c>
      <c r="AF806" s="755">
        <v>177.0</v>
      </c>
      <c r="AG806" s="747">
        <v>3.4</v>
      </c>
      <c r="AH806" s="755" t="s">
        <v>980</v>
      </c>
      <c r="AI806" s="755" t="s">
        <v>843</v>
      </c>
      <c r="AJ806" s="1125">
        <v>0.625</v>
      </c>
      <c r="AK806" s="55" t="s">
        <v>165</v>
      </c>
      <c r="AL806" s="55" t="s">
        <v>179</v>
      </c>
      <c r="AM806" s="195" t="s">
        <v>130</v>
      </c>
      <c r="AN806" s="371" t="s">
        <v>131</v>
      </c>
      <c r="AO806" s="755">
        <v>157.0</v>
      </c>
      <c r="AP806" s="755">
        <v>-3.523</v>
      </c>
      <c r="AQ806" s="755" t="s">
        <v>980</v>
      </c>
      <c r="AR806" s="986" t="s">
        <v>4395</v>
      </c>
      <c r="AS806" s="371" t="s">
        <v>131</v>
      </c>
      <c r="AT806" s="187"/>
      <c r="AU806" s="195" t="s">
        <v>179</v>
      </c>
      <c r="AV806" s="195" t="s">
        <v>130</v>
      </c>
      <c r="AW806" s="874" t="s">
        <v>4405</v>
      </c>
      <c r="AX806" s="187" t="s">
        <v>136</v>
      </c>
      <c r="AY806" s="186"/>
      <c r="AZ806" s="187" t="s">
        <v>146</v>
      </c>
      <c r="BA806" s="186"/>
      <c r="BB806" s="186"/>
      <c r="BC806" s="186"/>
      <c r="BD806" s="186"/>
      <c r="BE806" s="186"/>
      <c r="BF806" s="186"/>
      <c r="BG806" s="186"/>
      <c r="BH806" s="186"/>
      <c r="BI806" s="186"/>
      <c r="BJ806" s="186"/>
      <c r="BK806" s="186"/>
      <c r="BL806" s="186"/>
      <c r="BM806" s="186"/>
      <c r="BN806" s="186"/>
      <c r="BO806" s="186"/>
      <c r="BP806" s="186"/>
      <c r="BQ806" s="186"/>
      <c r="BR806" s="186"/>
      <c r="BS806" s="186"/>
      <c r="BT806" s="186"/>
      <c r="BU806" s="186"/>
      <c r="BV806" s="186"/>
      <c r="BW806" s="186"/>
      <c r="BX806" s="186"/>
      <c r="BY806" s="186"/>
      <c r="BZ806" s="186"/>
      <c r="CA806" s="186"/>
      <c r="CB806" s="186"/>
      <c r="CC806" s="186"/>
      <c r="CD806" s="186"/>
      <c r="CE806" s="186"/>
      <c r="CF806" s="186"/>
      <c r="CG806" s="186"/>
      <c r="CH806" s="186"/>
      <c r="CI806" s="186"/>
      <c r="CJ806" s="186"/>
      <c r="CK806" s="186"/>
      <c r="CL806" s="186"/>
      <c r="CM806" s="186"/>
      <c r="CN806" s="186"/>
      <c r="CO806" s="186"/>
      <c r="CP806" s="186"/>
      <c r="CQ806" s="186"/>
      <c r="CR806" s="186"/>
      <c r="CS806" s="186"/>
      <c r="CT806" s="186"/>
      <c r="CU806" s="186"/>
      <c r="CV806" s="186"/>
      <c r="CW806" s="186"/>
      <c r="CX806" s="186"/>
      <c r="CY806" s="186"/>
      <c r="CZ806" s="186"/>
      <c r="DA806" s="186"/>
      <c r="DB806" s="186"/>
      <c r="DC806" s="186"/>
      <c r="DD806" s="186"/>
      <c r="DE806" s="186"/>
      <c r="DF806" s="186"/>
      <c r="DG806" s="186"/>
      <c r="DH806" s="186"/>
    </row>
    <row r="807">
      <c r="A807" s="41">
        <v>807.0</v>
      </c>
      <c r="B807" s="65" t="s">
        <v>107</v>
      </c>
      <c r="C807" s="59" t="s">
        <v>108</v>
      </c>
      <c r="D807" s="59" t="s">
        <v>241</v>
      </c>
      <c r="F807" s="156" t="s">
        <v>4414</v>
      </c>
      <c r="G807" s="54" t="s">
        <v>4415</v>
      </c>
      <c r="H807" s="156" t="s">
        <v>242</v>
      </c>
      <c r="I807" s="149">
        <v>45663.0</v>
      </c>
      <c r="J807" s="149">
        <v>45692.0</v>
      </c>
      <c r="K807" s="65"/>
      <c r="L807" s="156" t="s">
        <v>3683</v>
      </c>
      <c r="M807" s="156" t="s">
        <v>4416</v>
      </c>
      <c r="N807" s="156" t="s">
        <v>4417</v>
      </c>
      <c r="O807" s="65"/>
      <c r="P807" s="156" t="str">
        <f t="shared" si="37"/>
        <v>10.1177--0956797610397956.pdf</v>
      </c>
      <c r="Q807" s="49" t="str">
        <f t="array" ref="Q807"> if(iserror(MATCH(V807, 'File Links'!C:C, 0)), "N/A", HYPERLINK(INDEX('File Links'!B:B, MATCH(P807, 'File Links'!C:C, 0))))</f>
        <v>https://drive.google.com/file/d/10j2TatiM7HXzQ8gGJAAToPEOpY8k8IgA/view?usp=drivesdk</v>
      </c>
      <c r="R807" s="156" t="s">
        <v>3646</v>
      </c>
      <c r="S807" s="156" t="s">
        <v>3647</v>
      </c>
      <c r="T807" s="120" t="s">
        <v>4418</v>
      </c>
      <c r="U807" s="153">
        <v>1.0</v>
      </c>
      <c r="V807" s="195" t="str">
        <f t="shared" si="43"/>
        <v>10.1098--rsos.231240.pdf</v>
      </c>
      <c r="W807" s="156" t="s">
        <v>317</v>
      </c>
      <c r="X807" s="51" t="str">
        <f t="array" ref="X807"> if(iserror(MATCH(V807, 'File Links'!C:C, 0)), "N/A", HYPERLINK(INDEX('File Links'!B:B, MATCH(V807, 'File Links'!C:C, 0))))</f>
        <v>https://drive.google.com/file/d/17gaf2Zy_ljFfcAEDk5L8GBnTl5i7RGJE/view?usp=drivesdk</v>
      </c>
      <c r="Y807" s="65"/>
      <c r="Z807" s="156" t="s">
        <v>141</v>
      </c>
      <c r="AA807" s="65"/>
      <c r="AB807" s="156" t="s">
        <v>4419</v>
      </c>
      <c r="AC807" s="65"/>
      <c r="AD807" s="156" t="s">
        <v>4420</v>
      </c>
      <c r="AE807" s="1056">
        <v>386.0</v>
      </c>
      <c r="AF807" s="1056">
        <v>20.0</v>
      </c>
      <c r="AG807" s="153">
        <v>0.909968602284088</v>
      </c>
      <c r="AH807" s="156" t="s">
        <v>166</v>
      </c>
      <c r="AI807" s="1057" t="s">
        <v>4421</v>
      </c>
      <c r="AJ807" s="706">
        <v>4.0E-4</v>
      </c>
      <c r="AK807" s="54" t="s">
        <v>165</v>
      </c>
      <c r="AL807" s="54" t="s">
        <v>179</v>
      </c>
      <c r="AM807" s="156" t="s">
        <v>130</v>
      </c>
      <c r="AN807" s="126" t="s">
        <v>131</v>
      </c>
      <c r="AO807" s="153">
        <v>19.0</v>
      </c>
      <c r="AP807" s="153">
        <v>1.16543192806245</v>
      </c>
      <c r="AQ807" s="156" t="s">
        <v>166</v>
      </c>
      <c r="AR807" s="65"/>
      <c r="AS807" s="1185">
        <v>7.8106E-5</v>
      </c>
      <c r="AT807" s="156" t="s">
        <v>165</v>
      </c>
      <c r="AU807" s="156" t="s">
        <v>179</v>
      </c>
      <c r="AV807" s="156" t="s">
        <v>130</v>
      </c>
      <c r="AW807" s="126" t="s">
        <v>131</v>
      </c>
      <c r="AX807" s="156" t="s">
        <v>136</v>
      </c>
      <c r="AZ807" s="65" t="s">
        <v>146</v>
      </c>
      <c r="BA807" s="89"/>
      <c r="BB807" s="69"/>
      <c r="BC807" s="69"/>
      <c r="BD807" s="69"/>
      <c r="BE807" s="69"/>
      <c r="BF807" s="69"/>
      <c r="BG807" s="69"/>
      <c r="BH807" s="69"/>
      <c r="BI807" s="69"/>
      <c r="BJ807" s="69"/>
      <c r="BK807" s="69"/>
      <c r="BL807" s="69"/>
      <c r="BM807" s="69"/>
      <c r="BN807" s="69"/>
      <c r="BO807" s="69"/>
      <c r="BP807" s="69"/>
      <c r="BQ807" s="69"/>
      <c r="BR807" s="69"/>
      <c r="BS807" s="69"/>
      <c r="BT807" s="69"/>
      <c r="BU807" s="69"/>
      <c r="BV807" s="69"/>
      <c r="BW807" s="69"/>
      <c r="BX807" s="69"/>
      <c r="BY807" s="69"/>
      <c r="BZ807" s="69"/>
      <c r="CA807" s="69"/>
      <c r="CB807" s="69"/>
      <c r="CC807" s="69"/>
      <c r="CD807" s="69"/>
      <c r="CE807" s="69"/>
      <c r="CF807" s="69"/>
      <c r="CG807" s="69"/>
      <c r="CH807" s="69"/>
      <c r="CI807" s="69"/>
      <c r="CJ807" s="69"/>
      <c r="CK807" s="69"/>
      <c r="CL807" s="69"/>
      <c r="CM807" s="69"/>
      <c r="CN807" s="69"/>
      <c r="CO807" s="69"/>
      <c r="CP807" s="69"/>
      <c r="CQ807" s="69"/>
      <c r="CR807" s="69"/>
      <c r="CS807" s="69"/>
      <c r="CT807" s="69"/>
      <c r="CU807" s="69"/>
      <c r="CV807" s="69"/>
      <c r="CW807" s="69"/>
      <c r="CX807" s="69"/>
      <c r="CY807" s="69"/>
      <c r="CZ807" s="69"/>
      <c r="DA807" s="69"/>
      <c r="DB807" s="69"/>
      <c r="DC807" s="69"/>
      <c r="DD807" s="69"/>
      <c r="DE807" s="69"/>
      <c r="DF807" s="69"/>
      <c r="DG807" s="69"/>
      <c r="DH807" s="69"/>
    </row>
    <row r="808">
      <c r="A808" s="41">
        <v>808.0</v>
      </c>
      <c r="B808" s="126" t="s">
        <v>145</v>
      </c>
      <c r="C808" s="59" t="s">
        <v>108</v>
      </c>
      <c r="D808" s="59" t="s">
        <v>146</v>
      </c>
      <c r="F808" s="65" t="s">
        <v>4415</v>
      </c>
      <c r="G808" s="54" t="s">
        <v>4414</v>
      </c>
      <c r="H808" s="156" t="s">
        <v>146</v>
      </c>
      <c r="I808" s="149">
        <v>45687.0</v>
      </c>
      <c r="J808" s="149">
        <v>45692.0</v>
      </c>
      <c r="K808" s="434" t="s">
        <v>4422</v>
      </c>
      <c r="L808" s="65"/>
      <c r="M808" s="156" t="s">
        <v>4416</v>
      </c>
      <c r="N808" s="156" t="s">
        <v>4417</v>
      </c>
      <c r="O808" s="153">
        <v>1.0</v>
      </c>
      <c r="P808" s="156" t="str">
        <f t="shared" si="37"/>
        <v>10.1177--0956797610397956.pdf</v>
      </c>
      <c r="Q808" s="49" t="str">
        <f t="array" ref="Q808"> if(iserror(MATCH(V808, 'File Links'!C:C, 0)), "N/A", HYPERLINK(INDEX('File Links'!B:B, MATCH(P808, 'File Links'!C:C, 0))))</f>
        <v>https://drive.google.com/file/d/10j2TatiM7HXzQ8gGJAAToPEOpY8k8IgA/view?usp=drivesdk</v>
      </c>
      <c r="R808" s="156" t="s">
        <v>3646</v>
      </c>
      <c r="S808" s="156" t="s">
        <v>3647</v>
      </c>
      <c r="T808" s="120" t="s">
        <v>4418</v>
      </c>
      <c r="U808" s="153">
        <v>1.0</v>
      </c>
      <c r="V808" s="195" t="str">
        <f t="shared" si="43"/>
        <v>10.1098--rsos.231240.pdf</v>
      </c>
      <c r="W808" s="156" t="s">
        <v>3719</v>
      </c>
      <c r="X808" s="51" t="str">
        <f t="array" ref="X808"> if(iserror(MATCH(V808, 'File Links'!C:C, 0)), "N/A", HYPERLINK(INDEX('File Links'!B:B, MATCH(V808, 'File Links'!C:C, 0))))</f>
        <v>https://drive.google.com/file/d/17gaf2Zy_ljFfcAEDk5L8GBnTl5i7RGJE/view?usp=drivesdk</v>
      </c>
      <c r="Y808" s="65"/>
      <c r="Z808" s="156" t="s">
        <v>141</v>
      </c>
      <c r="AA808" s="148" t="s">
        <v>4423</v>
      </c>
      <c r="AB808" s="156" t="s">
        <v>4424</v>
      </c>
      <c r="AC808" s="156" t="s">
        <v>4425</v>
      </c>
      <c r="AD808" s="148" t="s">
        <v>4426</v>
      </c>
      <c r="AE808" s="153">
        <v>3.0</v>
      </c>
      <c r="AF808" s="153">
        <v>21.0</v>
      </c>
      <c r="AG808" s="153" t="s">
        <v>4427</v>
      </c>
      <c r="AH808" s="153" t="s">
        <v>127</v>
      </c>
      <c r="AI808" s="153" t="s">
        <v>210</v>
      </c>
      <c r="AJ808" s="706">
        <v>4.0E-4</v>
      </c>
      <c r="AK808" s="54" t="s">
        <v>165</v>
      </c>
      <c r="AL808" s="54" t="s">
        <v>179</v>
      </c>
      <c r="AM808" s="156" t="s">
        <v>130</v>
      </c>
      <c r="AN808" s="126" t="s">
        <v>131</v>
      </c>
      <c r="AO808" s="153">
        <v>19.0</v>
      </c>
      <c r="AP808" s="153" t="s">
        <v>4428</v>
      </c>
      <c r="AQ808" s="153" t="s">
        <v>127</v>
      </c>
      <c r="AR808" s="153" t="s">
        <v>806</v>
      </c>
      <c r="AS808" s="153">
        <f>3.9*10^-5</f>
        <v>0.000039</v>
      </c>
      <c r="AT808" s="156" t="s">
        <v>165</v>
      </c>
      <c r="AU808" s="156" t="s">
        <v>179</v>
      </c>
      <c r="AV808" s="156" t="s">
        <v>130</v>
      </c>
      <c r="AW808" s="126" t="s">
        <v>131</v>
      </c>
      <c r="AX808" s="65" t="s">
        <v>136</v>
      </c>
      <c r="AZ808" s="126" t="s">
        <v>3673</v>
      </c>
      <c r="BB808" s="69"/>
      <c r="BC808" s="69"/>
      <c r="BD808" s="69"/>
      <c r="BE808" s="69"/>
      <c r="BF808" s="69"/>
      <c r="BG808" s="69"/>
      <c r="BH808" s="69"/>
      <c r="BI808" s="69"/>
      <c r="BJ808" s="69"/>
      <c r="BK808" s="69"/>
      <c r="BL808" s="69"/>
      <c r="BM808" s="69"/>
      <c r="BN808" s="69"/>
      <c r="BO808" s="69"/>
      <c r="BP808" s="69"/>
      <c r="BQ808" s="69"/>
      <c r="BR808" s="69"/>
      <c r="BS808" s="69"/>
      <c r="BT808" s="69"/>
      <c r="BU808" s="69"/>
      <c r="BV808" s="69"/>
      <c r="BW808" s="69"/>
      <c r="BX808" s="69"/>
      <c r="BY808" s="69"/>
      <c r="BZ808" s="69"/>
      <c r="CA808" s="69"/>
      <c r="CB808" s="69"/>
      <c r="CC808" s="69"/>
      <c r="CD808" s="69"/>
      <c r="CE808" s="69"/>
      <c r="CF808" s="69"/>
      <c r="CG808" s="69"/>
      <c r="CH808" s="69"/>
      <c r="CI808" s="69"/>
      <c r="CJ808" s="69"/>
      <c r="CK808" s="69"/>
      <c r="CL808" s="69"/>
      <c r="CM808" s="69"/>
      <c r="CN808" s="69"/>
      <c r="CO808" s="69"/>
      <c r="CP808" s="69"/>
      <c r="CQ808" s="69"/>
      <c r="CR808" s="69"/>
      <c r="CS808" s="69"/>
      <c r="CT808" s="69"/>
      <c r="CU808" s="69"/>
      <c r="CV808" s="69"/>
      <c r="CW808" s="69"/>
      <c r="CX808" s="69"/>
      <c r="CY808" s="69"/>
      <c r="CZ808" s="69"/>
      <c r="DA808" s="69"/>
      <c r="DB808" s="69"/>
      <c r="DC808" s="69"/>
      <c r="DD808" s="69"/>
      <c r="DE808" s="69"/>
      <c r="DF808" s="69"/>
      <c r="DG808" s="69"/>
      <c r="DH808" s="69"/>
    </row>
    <row r="809">
      <c r="A809" s="71">
        <v>809.0</v>
      </c>
      <c r="B809" s="91" t="s">
        <v>107</v>
      </c>
      <c r="C809" s="90" t="s">
        <v>108</v>
      </c>
      <c r="D809" s="90" t="s">
        <v>241</v>
      </c>
      <c r="E809" s="89"/>
      <c r="F809" s="92" t="s">
        <v>4429</v>
      </c>
      <c r="G809" s="74" t="s">
        <v>4430</v>
      </c>
      <c r="H809" s="92" t="s">
        <v>242</v>
      </c>
      <c r="I809" s="850">
        <v>45670.0</v>
      </c>
      <c r="J809" s="850">
        <v>45692.0</v>
      </c>
      <c r="K809" s="83" t="s">
        <v>3676</v>
      </c>
      <c r="L809" s="91"/>
      <c r="M809" s="92" t="s">
        <v>4431</v>
      </c>
      <c r="N809" s="92" t="s">
        <v>4432</v>
      </c>
      <c r="O809" s="91"/>
      <c r="P809" s="92" t="str">
        <f t="shared" si="37"/>
        <v>10.1177--0956797617706082.pdf</v>
      </c>
      <c r="Q809" s="890" t="str">
        <f t="array" ref="Q809"> if(iserror(MATCH(V809, 'File Links'!C:C, 0)), "N/A", HYPERLINK(INDEX('File Links'!B:B, MATCH(P809, 'File Links'!C:C, 0))))</f>
        <v>https://drive.google.com/file/d/104J0KhnQN8hx7uBldyQ1evQEW8N7petE/view?usp=drivesdk</v>
      </c>
      <c r="R809" s="92" t="s">
        <v>3646</v>
      </c>
      <c r="S809" s="92" t="s">
        <v>3647</v>
      </c>
      <c r="T809" s="91"/>
      <c r="U809" s="95">
        <v>1.0</v>
      </c>
      <c r="V809" s="92" t="str">
        <f t="shared" si="43"/>
        <v>10.1098--rsos.231240.pdf</v>
      </c>
      <c r="W809" s="92" t="s">
        <v>3658</v>
      </c>
      <c r="X809" s="891" t="str">
        <f t="array" ref="X809"> if(iserror(MATCH(V809, 'File Links'!C:C, 0)), "N/A", HYPERLINK(INDEX('File Links'!B:B, MATCH(V809, 'File Links'!C:C, 0))))</f>
        <v>https://drive.google.com/file/d/17gaf2Zy_ljFfcAEDk5L8GBnTl5i7RGJE/view?usp=drivesdk</v>
      </c>
      <c r="Y809" s="91"/>
      <c r="Z809" s="92" t="s">
        <v>219</v>
      </c>
      <c r="AA809" s="91"/>
      <c r="AB809" s="91"/>
      <c r="AC809" s="91"/>
      <c r="AD809" s="92" t="s">
        <v>131</v>
      </c>
      <c r="AE809" s="92" t="s">
        <v>131</v>
      </c>
      <c r="AF809" s="95">
        <v>73.0</v>
      </c>
      <c r="AG809" s="92" t="s">
        <v>131</v>
      </c>
      <c r="AH809" s="98" t="s">
        <v>131</v>
      </c>
      <c r="AI809" s="92" t="s">
        <v>131</v>
      </c>
      <c r="AJ809" s="96" t="s">
        <v>131</v>
      </c>
      <c r="AK809" s="80"/>
      <c r="AL809" s="74" t="s">
        <v>179</v>
      </c>
      <c r="AM809" s="92" t="s">
        <v>1898</v>
      </c>
      <c r="AN809" s="77" t="s">
        <v>131</v>
      </c>
      <c r="AO809" s="95">
        <v>51.0</v>
      </c>
      <c r="AP809" s="92" t="s">
        <v>131</v>
      </c>
      <c r="AQ809" s="91"/>
      <c r="AR809" s="1150" t="s">
        <v>4113</v>
      </c>
      <c r="AS809" s="92" t="s">
        <v>131</v>
      </c>
      <c r="AT809" s="91"/>
      <c r="AU809" s="92" t="s">
        <v>179</v>
      </c>
      <c r="AV809" s="92" t="s">
        <v>1898</v>
      </c>
      <c r="AW809" s="126" t="s">
        <v>131</v>
      </c>
      <c r="AX809" s="92" t="s">
        <v>136</v>
      </c>
      <c r="AY809" s="89"/>
      <c r="AZ809" s="91" t="s">
        <v>146</v>
      </c>
      <c r="BA809" s="89"/>
      <c r="BB809" s="89"/>
      <c r="BC809" s="89"/>
      <c r="BD809" s="89"/>
      <c r="BE809" s="89"/>
      <c r="BF809" s="89"/>
      <c r="BG809" s="89"/>
      <c r="BH809" s="89"/>
      <c r="BI809" s="89"/>
      <c r="BJ809" s="89"/>
      <c r="BK809" s="89"/>
      <c r="BL809" s="89"/>
      <c r="BM809" s="89"/>
      <c r="BN809" s="89"/>
      <c r="BO809" s="89"/>
      <c r="BP809" s="89"/>
      <c r="BQ809" s="89"/>
      <c r="BR809" s="89"/>
      <c r="BS809" s="89"/>
      <c r="BT809" s="89"/>
      <c r="BU809" s="89"/>
      <c r="BV809" s="89"/>
      <c r="BW809" s="89"/>
      <c r="BX809" s="89"/>
      <c r="BY809" s="89"/>
      <c r="BZ809" s="89"/>
      <c r="CA809" s="89"/>
      <c r="CB809" s="89"/>
      <c r="CC809" s="89"/>
      <c r="CD809" s="89"/>
      <c r="CE809" s="89"/>
      <c r="CF809" s="89"/>
      <c r="CG809" s="89"/>
      <c r="CH809" s="89"/>
      <c r="CI809" s="89"/>
      <c r="CJ809" s="89"/>
      <c r="CK809" s="89"/>
      <c r="CL809" s="89"/>
      <c r="CM809" s="89"/>
      <c r="CN809" s="89"/>
      <c r="CO809" s="89"/>
      <c r="CP809" s="89"/>
      <c r="CQ809" s="89"/>
      <c r="CR809" s="89"/>
      <c r="CS809" s="89"/>
      <c r="CT809" s="89"/>
      <c r="CU809" s="89"/>
      <c r="CV809" s="89"/>
      <c r="CW809" s="89"/>
      <c r="CX809" s="89"/>
      <c r="CY809" s="89"/>
      <c r="CZ809" s="89"/>
      <c r="DA809" s="89"/>
      <c r="DB809" s="89"/>
      <c r="DC809" s="89"/>
      <c r="DD809" s="89"/>
      <c r="DE809" s="89"/>
      <c r="DF809" s="89"/>
      <c r="DG809" s="89"/>
      <c r="DH809" s="89"/>
    </row>
    <row r="810">
      <c r="A810" s="71">
        <v>810.0</v>
      </c>
      <c r="B810" s="77" t="s">
        <v>107</v>
      </c>
      <c r="C810" s="90" t="s">
        <v>108</v>
      </c>
      <c r="D810" s="90" t="s">
        <v>146</v>
      </c>
      <c r="E810" s="89"/>
      <c r="F810" s="91" t="s">
        <v>4430</v>
      </c>
      <c r="G810" s="74" t="s">
        <v>4429</v>
      </c>
      <c r="H810" s="92" t="s">
        <v>146</v>
      </c>
      <c r="I810" s="850">
        <v>45687.0</v>
      </c>
      <c r="J810" s="850">
        <v>45692.0</v>
      </c>
      <c r="K810" s="91"/>
      <c r="L810" s="91"/>
      <c r="M810" s="92" t="s">
        <v>4431</v>
      </c>
      <c r="N810" s="92" t="s">
        <v>4432</v>
      </c>
      <c r="O810" s="95" t="s">
        <v>4433</v>
      </c>
      <c r="P810" s="92" t="str">
        <f t="shared" si="37"/>
        <v>10.1177--0956797617706082.pdf</v>
      </c>
      <c r="Q810" s="890" t="str">
        <f t="array" ref="Q810"> if(iserror(MATCH(V810, 'File Links'!C:C, 0)), "N/A", HYPERLINK(INDEX('File Links'!B:B, MATCH(P810, 'File Links'!C:C, 0))))</f>
        <v>https://drive.google.com/file/d/104J0KhnQN8hx7uBldyQ1evQEW8N7petE/view?usp=drivesdk</v>
      </c>
      <c r="R810" s="92" t="s">
        <v>3646</v>
      </c>
      <c r="S810" s="92" t="s">
        <v>3647</v>
      </c>
      <c r="T810" s="91"/>
      <c r="U810" s="95">
        <v>1.0</v>
      </c>
      <c r="V810" s="92" t="s">
        <v>3651</v>
      </c>
      <c r="W810" s="91"/>
      <c r="X810" s="891" t="str">
        <f t="array" ref="X810"> if(iserror(MATCH(V810, 'File Links'!C:C, 0)), "N/A", HYPERLINK(INDEX('File Links'!B:B, MATCH(V810, 'File Links'!C:C, 0))))</f>
        <v>https://drive.google.com/file/d/17gaf2Zy_ljFfcAEDk5L8GBnTl5i7RGJE/view?usp=drivesdk</v>
      </c>
      <c r="Y810" s="92" t="s">
        <v>3652</v>
      </c>
      <c r="Z810" s="91"/>
      <c r="AA810" s="91"/>
      <c r="AB810" s="91"/>
      <c r="AC810" s="91"/>
      <c r="AD810" s="91"/>
      <c r="AE810" s="91"/>
      <c r="AF810" s="91"/>
      <c r="AG810" s="91"/>
      <c r="AH810" s="91"/>
      <c r="AI810" s="91"/>
      <c r="AJ810" s="592"/>
      <c r="AK810" s="80"/>
      <c r="AL810" s="80"/>
      <c r="AM810" s="91"/>
      <c r="AN810" s="77" t="s">
        <v>131</v>
      </c>
      <c r="AO810" s="91"/>
      <c r="AP810" s="91"/>
      <c r="AQ810" s="91"/>
      <c r="AR810" s="1150" t="s">
        <v>4113</v>
      </c>
      <c r="AS810" s="91"/>
      <c r="AT810" s="91"/>
      <c r="AU810" s="91"/>
      <c r="AV810" s="91"/>
      <c r="AW810" s="126" t="s">
        <v>131</v>
      </c>
      <c r="AX810" s="91"/>
      <c r="AY810" s="89"/>
      <c r="AZ810" s="91" t="s">
        <v>146</v>
      </c>
      <c r="BA810" s="89"/>
      <c r="BB810" s="89"/>
      <c r="BC810" s="89"/>
      <c r="BD810" s="89"/>
      <c r="BE810" s="89"/>
      <c r="BF810" s="89"/>
      <c r="BG810" s="89"/>
      <c r="BH810" s="89"/>
      <c r="BI810" s="89"/>
      <c r="BJ810" s="89"/>
      <c r="BK810" s="89"/>
      <c r="BL810" s="89"/>
      <c r="BM810" s="89"/>
      <c r="BN810" s="89"/>
      <c r="BO810" s="89"/>
      <c r="BP810" s="89"/>
      <c r="BQ810" s="89"/>
      <c r="BR810" s="89"/>
      <c r="BS810" s="89"/>
      <c r="BT810" s="89"/>
      <c r="BU810" s="89"/>
      <c r="BV810" s="89"/>
      <c r="BW810" s="89"/>
      <c r="BX810" s="89"/>
      <c r="BY810" s="89"/>
      <c r="BZ810" s="89"/>
      <c r="CA810" s="89"/>
      <c r="CB810" s="89"/>
      <c r="CC810" s="89"/>
      <c r="CD810" s="89"/>
      <c r="CE810" s="89"/>
      <c r="CF810" s="89"/>
      <c r="CG810" s="89"/>
      <c r="CH810" s="89"/>
      <c r="CI810" s="89"/>
      <c r="CJ810" s="89"/>
      <c r="CK810" s="89"/>
      <c r="CL810" s="89"/>
      <c r="CM810" s="89"/>
      <c r="CN810" s="89"/>
      <c r="CO810" s="89"/>
      <c r="CP810" s="89"/>
      <c r="CQ810" s="89"/>
      <c r="CR810" s="89"/>
      <c r="CS810" s="89"/>
      <c r="CT810" s="89"/>
      <c r="CU810" s="89"/>
      <c r="CV810" s="89"/>
      <c r="CW810" s="89"/>
      <c r="CX810" s="89"/>
      <c r="CY810" s="89"/>
      <c r="CZ810" s="89"/>
      <c r="DA810" s="89"/>
      <c r="DB810" s="89"/>
      <c r="DC810" s="89"/>
      <c r="DD810" s="89"/>
      <c r="DE810" s="89"/>
      <c r="DF810" s="89"/>
      <c r="DG810" s="89"/>
      <c r="DH810" s="89"/>
    </row>
    <row r="811">
      <c r="A811" s="41">
        <v>811.0</v>
      </c>
      <c r="B811" s="65" t="s">
        <v>107</v>
      </c>
      <c r="C811" s="59" t="s">
        <v>108</v>
      </c>
      <c r="D811" s="59" t="s">
        <v>241</v>
      </c>
      <c r="F811" s="156" t="s">
        <v>4434</v>
      </c>
      <c r="G811" s="54" t="s">
        <v>4435</v>
      </c>
      <c r="H811" s="156" t="s">
        <v>242</v>
      </c>
      <c r="I811" s="149">
        <v>45670.0</v>
      </c>
      <c r="J811" s="149">
        <v>45692.0</v>
      </c>
      <c r="K811" s="434" t="s">
        <v>4436</v>
      </c>
      <c r="L811" s="65"/>
      <c r="M811" s="156" t="s">
        <v>4437</v>
      </c>
      <c r="N811" s="156" t="s">
        <v>4438</v>
      </c>
      <c r="O811" s="65"/>
      <c r="P811" s="156" t="str">
        <f t="shared" si="37"/>
        <v>10.1523--jneurosci.18-23-10105.1998.pdf</v>
      </c>
      <c r="Q811" s="49" t="str">
        <f t="array" ref="Q811"> if(iserror(MATCH(V811, 'File Links'!C:C, 0)), "N/A", HYPERLINK(INDEX('File Links'!B:B, MATCH(P811, 'File Links'!C:C, 0))))</f>
        <v>https://drive.google.com/file/d/1tMrBtPVk07Vt3IgjI_4ese_KDvqQCuKK/view?usp=drivesdk</v>
      </c>
      <c r="R811" s="156" t="s">
        <v>3646</v>
      </c>
      <c r="S811" s="156" t="s">
        <v>3647</v>
      </c>
      <c r="T811" s="65"/>
      <c r="U811" s="153">
        <v>1.0</v>
      </c>
      <c r="V811" s="195" t="str">
        <f> hyperlink(vlookup(lower(S811),#REF!, 2, FALSE), SUBSTITUTE(lower(S811), "/", "--") &amp;  ".pdf")</f>
        <v>10.1098--rsos.231240.pdf</v>
      </c>
      <c r="W811" s="156" t="s">
        <v>3686</v>
      </c>
      <c r="X811" s="51" t="str">
        <f t="array" ref="X811"> if(iserror(MATCH(V811, 'File Links'!C:C, 0)), "N/A", HYPERLINK(INDEX('File Links'!B:B, MATCH(V811, 'File Links'!C:C, 0))))</f>
        <v>https://drive.google.com/file/d/17gaf2Zy_ljFfcAEDk5L8GBnTl5i7RGJE/view?usp=drivesdk</v>
      </c>
      <c r="Y811" s="65"/>
      <c r="Z811" s="156" t="s">
        <v>141</v>
      </c>
      <c r="AA811" s="65"/>
      <c r="AB811" s="65"/>
      <c r="AC811" s="65"/>
      <c r="AD811" s="156" t="s">
        <v>131</v>
      </c>
      <c r="AE811" s="156" t="s">
        <v>131</v>
      </c>
      <c r="AF811" s="153">
        <v>5.0</v>
      </c>
      <c r="AG811" s="156" t="s">
        <v>131</v>
      </c>
      <c r="AH811" s="164" t="s">
        <v>131</v>
      </c>
      <c r="AI811" s="156" t="s">
        <v>131</v>
      </c>
      <c r="AJ811" s="336" t="s">
        <v>131</v>
      </c>
      <c r="AK811" s="58"/>
      <c r="AL811" s="54" t="s">
        <v>179</v>
      </c>
      <c r="AM811" s="156" t="s">
        <v>1898</v>
      </c>
      <c r="AN811" s="126" t="s">
        <v>131</v>
      </c>
      <c r="AO811" s="153">
        <v>5.0</v>
      </c>
      <c r="AP811" s="156" t="s">
        <v>131</v>
      </c>
      <c r="AQ811" s="65"/>
      <c r="AR811" s="1150" t="s">
        <v>4113</v>
      </c>
      <c r="AS811" s="156" t="s">
        <v>131</v>
      </c>
      <c r="AT811" s="65"/>
      <c r="AU811" s="156" t="s">
        <v>179</v>
      </c>
      <c r="AV811" s="156" t="s">
        <v>1898</v>
      </c>
      <c r="AW811" s="126" t="s">
        <v>131</v>
      </c>
      <c r="AX811" s="156" t="s">
        <v>144</v>
      </c>
      <c r="AZ811" s="65" t="s">
        <v>146</v>
      </c>
      <c r="BB811" s="161"/>
      <c r="BC811" s="161"/>
      <c r="BD811" s="161"/>
      <c r="BE811" s="161"/>
      <c r="BF811" s="161"/>
      <c r="BG811" s="161"/>
      <c r="BH811" s="161"/>
      <c r="BI811" s="161"/>
      <c r="BJ811" s="161"/>
      <c r="BK811" s="161"/>
      <c r="BL811" s="161"/>
      <c r="BM811" s="161"/>
      <c r="BN811" s="161"/>
      <c r="BO811" s="161"/>
      <c r="BP811" s="161"/>
      <c r="BQ811" s="161"/>
      <c r="BR811" s="161"/>
      <c r="BS811" s="161"/>
      <c r="BT811" s="161"/>
      <c r="BU811" s="161"/>
      <c r="BV811" s="161"/>
      <c r="BW811" s="161"/>
      <c r="BX811" s="161"/>
      <c r="BY811" s="161"/>
      <c r="BZ811" s="161"/>
      <c r="CA811" s="161"/>
      <c r="CB811" s="161"/>
      <c r="CC811" s="161"/>
      <c r="CD811" s="161"/>
      <c r="CE811" s="161"/>
      <c r="CF811" s="161"/>
      <c r="CG811" s="161"/>
      <c r="CH811" s="161"/>
      <c r="CI811" s="161"/>
      <c r="CJ811" s="161"/>
      <c r="CK811" s="161"/>
      <c r="CL811" s="161"/>
      <c r="CM811" s="161"/>
      <c r="CN811" s="161"/>
      <c r="CO811" s="161"/>
      <c r="CP811" s="161"/>
      <c r="CQ811" s="161"/>
      <c r="CR811" s="161"/>
      <c r="CS811" s="161"/>
      <c r="CT811" s="161"/>
      <c r="CU811" s="161"/>
      <c r="CV811" s="161"/>
      <c r="CW811" s="161"/>
      <c r="CX811" s="161"/>
      <c r="CY811" s="161"/>
      <c r="CZ811" s="161"/>
      <c r="DA811" s="161"/>
      <c r="DB811" s="161"/>
      <c r="DC811" s="161"/>
      <c r="DD811" s="161"/>
      <c r="DE811" s="161"/>
      <c r="DF811" s="161"/>
      <c r="DG811" s="161"/>
      <c r="DH811" s="161"/>
    </row>
    <row r="812">
      <c r="A812" s="41">
        <v>812.0</v>
      </c>
      <c r="B812" s="126" t="s">
        <v>107</v>
      </c>
      <c r="C812" s="59" t="s">
        <v>108</v>
      </c>
      <c r="D812" s="59" t="s">
        <v>146</v>
      </c>
      <c r="F812" s="65" t="s">
        <v>4435</v>
      </c>
      <c r="G812" s="54" t="s">
        <v>4434</v>
      </c>
      <c r="H812" s="156" t="s">
        <v>146</v>
      </c>
      <c r="I812" s="149">
        <v>45687.0</v>
      </c>
      <c r="J812" s="149">
        <v>45692.0</v>
      </c>
      <c r="K812" s="65"/>
      <c r="L812" s="65"/>
      <c r="M812" s="156" t="s">
        <v>4437</v>
      </c>
      <c r="N812" s="156" t="s">
        <v>4438</v>
      </c>
      <c r="O812" s="153">
        <v>3.0</v>
      </c>
      <c r="P812" s="156" t="str">
        <f t="shared" si="37"/>
        <v>10.1523--jneurosci.18-23-10105.1998.pdf</v>
      </c>
      <c r="Q812" s="49" t="str">
        <f t="array" ref="Q812"> if(iserror(MATCH(V812, 'File Links'!C:C, 0)), "N/A", HYPERLINK(INDEX('File Links'!B:B, MATCH(P812, 'File Links'!C:C, 0))))</f>
        <v>https://drive.google.com/file/d/1tMrBtPVk07Vt3IgjI_4ese_KDvqQCuKK/view?usp=drivesdk</v>
      </c>
      <c r="R812" s="156" t="s">
        <v>3646</v>
      </c>
      <c r="S812" s="156" t="s">
        <v>3647</v>
      </c>
      <c r="T812" s="65"/>
      <c r="U812" s="153">
        <v>1.0</v>
      </c>
      <c r="V812" s="379" t="s">
        <v>3651</v>
      </c>
      <c r="W812" s="1112" t="s">
        <v>3689</v>
      </c>
      <c r="X812" s="51" t="str">
        <f t="array" ref="X812"> if(iserror(MATCH(V812, 'File Links'!C:C, 0)), "N/A", HYPERLINK(INDEX('File Links'!B:B, MATCH(V812, 'File Links'!C:C, 0))))</f>
        <v>https://drive.google.com/file/d/17gaf2Zy_ljFfcAEDk5L8GBnTl5i7RGJE/view?usp=drivesdk</v>
      </c>
      <c r="Y812" s="156" t="s">
        <v>3652</v>
      </c>
      <c r="Z812" s="65"/>
      <c r="AA812" s="65"/>
      <c r="AB812" s="65"/>
      <c r="AC812" s="65"/>
      <c r="AD812" s="65"/>
      <c r="AE812" s="65"/>
      <c r="AF812" s="65"/>
      <c r="AG812" s="65"/>
      <c r="AH812" s="65"/>
      <c r="AI812" s="65"/>
      <c r="AJ812" s="335"/>
      <c r="AK812" s="58"/>
      <c r="AL812" s="58"/>
      <c r="AM812" s="65"/>
      <c r="AN812" s="126" t="s">
        <v>131</v>
      </c>
      <c r="AO812" s="65"/>
      <c r="AP812" s="65"/>
      <c r="AQ812" s="65"/>
      <c r="AR812" s="1150" t="s">
        <v>4113</v>
      </c>
      <c r="AS812" s="65"/>
      <c r="AT812" s="65"/>
      <c r="AU812" s="65"/>
      <c r="AV812" s="65"/>
      <c r="AW812" s="126" t="s">
        <v>131</v>
      </c>
      <c r="AX812" s="65"/>
      <c r="AZ812" s="65" t="s">
        <v>146</v>
      </c>
    </row>
    <row r="813">
      <c r="A813" s="71">
        <v>813.0</v>
      </c>
      <c r="B813" s="91" t="s">
        <v>107</v>
      </c>
      <c r="C813" s="90" t="s">
        <v>108</v>
      </c>
      <c r="D813" s="90" t="s">
        <v>241</v>
      </c>
      <c r="E813" s="89"/>
      <c r="F813" s="92" t="s">
        <v>4439</v>
      </c>
      <c r="G813" s="74" t="s">
        <v>4440</v>
      </c>
      <c r="H813" s="92" t="s">
        <v>242</v>
      </c>
      <c r="I813" s="850">
        <v>45670.0</v>
      </c>
      <c r="J813" s="850">
        <v>45692.0</v>
      </c>
      <c r="K813" s="91"/>
      <c r="L813" s="92" t="s">
        <v>3683</v>
      </c>
      <c r="M813" s="92" t="s">
        <v>4441</v>
      </c>
      <c r="N813" s="92" t="s">
        <v>4442</v>
      </c>
      <c r="O813" s="91"/>
      <c r="P813" s="92" t="str">
        <f t="shared" si="37"/>
        <v>10.1177--0956797609359908.pdf</v>
      </c>
      <c r="Q813" s="890" t="str">
        <f t="array" ref="Q813"> if(iserror(MATCH(V813, 'File Links'!C:C, 0)), "N/A", HYPERLINK(INDEX('File Links'!B:B, MATCH(P813, 'File Links'!C:C, 0))))</f>
        <v>https://drive.google.com/file/d/1CX-X4yZPIliMfb05V-exrVifx5i5gyZu/view?usp=drivesdk</v>
      </c>
      <c r="R813" s="92" t="s">
        <v>3646</v>
      </c>
      <c r="S813" s="92" t="s">
        <v>3647</v>
      </c>
      <c r="T813" s="91"/>
      <c r="U813" s="95">
        <v>1.0</v>
      </c>
      <c r="V813" s="92" t="str">
        <f t="shared" ref="V813:V819" si="44"> hyperlink(vlookup(lower(S813),#REF!, 2, FALSE), SUBSTITUTE(lower(S813), "/", "--") &amp;  ".pdf")</f>
        <v>10.1098--rsos.231240.pdf</v>
      </c>
      <c r="W813" s="92" t="s">
        <v>3658</v>
      </c>
      <c r="X813" s="891" t="str">
        <f t="array" ref="X813"> if(iserror(MATCH(V813, 'File Links'!C:C, 0)), "N/A", HYPERLINK(INDEX('File Links'!B:B, MATCH(V813, 'File Links'!C:C, 0))))</f>
        <v>https://drive.google.com/file/d/17gaf2Zy_ljFfcAEDk5L8GBnTl5i7RGJE/view?usp=drivesdk</v>
      </c>
      <c r="Y813" s="91"/>
      <c r="Z813" s="92" t="s">
        <v>219</v>
      </c>
      <c r="AA813" s="91"/>
      <c r="AB813" s="92" t="s">
        <v>4336</v>
      </c>
      <c r="AC813" s="91"/>
      <c r="AD813" s="92" t="s">
        <v>4443</v>
      </c>
      <c r="AE813" s="1098">
        <v>394.0</v>
      </c>
      <c r="AF813" s="95">
        <v>128.0</v>
      </c>
      <c r="AG813" s="95">
        <v>1.03</v>
      </c>
      <c r="AH813" s="92" t="s">
        <v>166</v>
      </c>
      <c r="AI813" s="1099" t="s">
        <v>4444</v>
      </c>
      <c r="AJ813" s="630">
        <v>0.001</v>
      </c>
      <c r="AK813" s="74" t="s">
        <v>128</v>
      </c>
      <c r="AL813" s="74" t="s">
        <v>179</v>
      </c>
      <c r="AM813" s="92" t="s">
        <v>134</v>
      </c>
      <c r="AN813" s="77" t="s">
        <v>131</v>
      </c>
      <c r="AO813" s="95">
        <v>63.0</v>
      </c>
      <c r="AP813" s="95">
        <v>0.392151574194031</v>
      </c>
      <c r="AQ813" s="92" t="s">
        <v>166</v>
      </c>
      <c r="AR813" s="1150" t="s">
        <v>4113</v>
      </c>
      <c r="AS813" s="95">
        <v>0.254372799634103</v>
      </c>
      <c r="AT813" s="92" t="s">
        <v>165</v>
      </c>
      <c r="AU813" s="92" t="s">
        <v>179</v>
      </c>
      <c r="AV813" s="92" t="s">
        <v>134</v>
      </c>
      <c r="AW813" s="126" t="s">
        <v>131</v>
      </c>
      <c r="AX813" s="92" t="s">
        <v>136</v>
      </c>
      <c r="AY813" s="89"/>
      <c r="AZ813" s="91" t="s">
        <v>146</v>
      </c>
      <c r="BA813" s="89"/>
      <c r="BB813" s="89"/>
      <c r="BC813" s="89"/>
      <c r="BD813" s="89"/>
      <c r="BE813" s="89"/>
      <c r="BF813" s="89"/>
      <c r="BG813" s="89"/>
      <c r="BH813" s="89"/>
      <c r="BI813" s="89"/>
      <c r="BJ813" s="89"/>
      <c r="BK813" s="89"/>
      <c r="BL813" s="89"/>
      <c r="BM813" s="89"/>
      <c r="BN813" s="89"/>
      <c r="BO813" s="89"/>
      <c r="BP813" s="89"/>
      <c r="BQ813" s="89"/>
      <c r="BR813" s="89"/>
      <c r="BS813" s="89"/>
      <c r="BT813" s="89"/>
      <c r="BU813" s="89"/>
      <c r="BV813" s="89"/>
      <c r="BW813" s="89"/>
      <c r="BX813" s="89"/>
      <c r="BY813" s="89"/>
      <c r="BZ813" s="89"/>
      <c r="CA813" s="89"/>
      <c r="CB813" s="89"/>
      <c r="CC813" s="89"/>
      <c r="CD813" s="89"/>
      <c r="CE813" s="89"/>
      <c r="CF813" s="89"/>
      <c r="CG813" s="89"/>
      <c r="CH813" s="89"/>
      <c r="CI813" s="89"/>
      <c r="CJ813" s="89"/>
      <c r="CK813" s="89"/>
      <c r="CL813" s="89"/>
      <c r="CM813" s="89"/>
      <c r="CN813" s="89"/>
      <c r="CO813" s="89"/>
      <c r="CP813" s="89"/>
      <c r="CQ813" s="89"/>
      <c r="CR813" s="89"/>
      <c r="CS813" s="89"/>
      <c r="CT813" s="89"/>
      <c r="CU813" s="89"/>
      <c r="CV813" s="89"/>
      <c r="CW813" s="89"/>
      <c r="CX813" s="89"/>
      <c r="CY813" s="89"/>
      <c r="CZ813" s="89"/>
      <c r="DA813" s="89"/>
      <c r="DB813" s="89"/>
      <c r="DC813" s="89"/>
      <c r="DD813" s="89"/>
      <c r="DE813" s="89"/>
      <c r="DF813" s="89"/>
      <c r="DG813" s="89"/>
      <c r="DH813" s="89"/>
    </row>
    <row r="814">
      <c r="A814" s="71">
        <v>814.0</v>
      </c>
      <c r="B814" s="77" t="s">
        <v>145</v>
      </c>
      <c r="C814" s="90" t="s">
        <v>108</v>
      </c>
      <c r="D814" s="90" t="s">
        <v>146</v>
      </c>
      <c r="E814" s="89"/>
      <c r="F814" s="91" t="s">
        <v>4440</v>
      </c>
      <c r="G814" s="74" t="s">
        <v>4439</v>
      </c>
      <c r="H814" s="92" t="s">
        <v>146</v>
      </c>
      <c r="I814" s="850">
        <v>45687.0</v>
      </c>
      <c r="J814" s="850">
        <v>45692.0</v>
      </c>
      <c r="K814" s="83" t="s">
        <v>4445</v>
      </c>
      <c r="L814" s="91"/>
      <c r="M814" s="92" t="s">
        <v>4441</v>
      </c>
      <c r="N814" s="92" t="s">
        <v>4442</v>
      </c>
      <c r="O814" s="95">
        <v>3.0</v>
      </c>
      <c r="P814" s="92" t="str">
        <f t="shared" si="37"/>
        <v>10.1177--0956797609359908.pdf</v>
      </c>
      <c r="Q814" s="890" t="str">
        <f t="array" ref="Q814"> if(iserror(MATCH(V814, 'File Links'!C:C, 0)), "N/A", HYPERLINK(INDEX('File Links'!B:B, MATCH(P814, 'File Links'!C:C, 0))))</f>
        <v>https://drive.google.com/file/d/1CX-X4yZPIliMfb05V-exrVifx5i5gyZu/view?usp=drivesdk</v>
      </c>
      <c r="R814" s="92" t="s">
        <v>3646</v>
      </c>
      <c r="S814" s="92" t="s">
        <v>3647</v>
      </c>
      <c r="T814" s="91"/>
      <c r="U814" s="95">
        <v>1.0</v>
      </c>
      <c r="V814" s="92" t="str">
        <f t="shared" si="44"/>
        <v>10.1098--rsos.231240.pdf</v>
      </c>
      <c r="W814" s="92" t="s">
        <v>3664</v>
      </c>
      <c r="X814" s="891" t="str">
        <f t="array" ref="X814"> if(iserror(MATCH(V814, 'File Links'!C:C, 0)), "N/A", HYPERLINK(INDEX('File Links'!B:B, MATCH(V814, 'File Links'!C:C, 0))))</f>
        <v>https://drive.google.com/file/d/17gaf2Zy_ljFfcAEDk5L8GBnTl5i7RGJE/view?usp=drivesdk</v>
      </c>
      <c r="Y814" s="91"/>
      <c r="Z814" s="92" t="s">
        <v>219</v>
      </c>
      <c r="AA814" s="92" t="s">
        <v>4446</v>
      </c>
      <c r="AB814" s="92" t="s">
        <v>4447</v>
      </c>
      <c r="AC814" s="92" t="s">
        <v>4448</v>
      </c>
      <c r="AD814" s="92" t="s">
        <v>4449</v>
      </c>
      <c r="AE814" s="95">
        <v>4.0</v>
      </c>
      <c r="AF814" s="95">
        <v>128.0</v>
      </c>
      <c r="AG814" s="95">
        <v>1.03</v>
      </c>
      <c r="AH814" s="95" t="s">
        <v>166</v>
      </c>
      <c r="AI814" s="95" t="s">
        <v>843</v>
      </c>
      <c r="AJ814" s="630">
        <v>0.001</v>
      </c>
      <c r="AK814" s="74" t="s">
        <v>128</v>
      </c>
      <c r="AL814" s="74" t="s">
        <v>179</v>
      </c>
      <c r="AM814" s="77" t="s">
        <v>134</v>
      </c>
      <c r="AN814" s="77" t="s">
        <v>131</v>
      </c>
      <c r="AO814" s="95">
        <v>63.0</v>
      </c>
      <c r="AP814" s="95">
        <v>0.392151574194031</v>
      </c>
      <c r="AQ814" s="95" t="s">
        <v>166</v>
      </c>
      <c r="AR814" s="1150" t="s">
        <v>4113</v>
      </c>
      <c r="AS814" s="95">
        <v>0.254372799634103</v>
      </c>
      <c r="AT814" s="92" t="s">
        <v>165</v>
      </c>
      <c r="AU814" s="92" t="s">
        <v>179</v>
      </c>
      <c r="AV814" s="98" t="s">
        <v>134</v>
      </c>
      <c r="AW814" s="126" t="s">
        <v>131</v>
      </c>
      <c r="AX814" s="91" t="s">
        <v>136</v>
      </c>
      <c r="AY814" s="89"/>
      <c r="AZ814" s="91" t="s">
        <v>146</v>
      </c>
      <c r="BA814" s="89"/>
      <c r="BB814" s="89"/>
      <c r="BC814" s="89"/>
      <c r="BD814" s="89"/>
      <c r="BE814" s="89"/>
      <c r="BF814" s="89"/>
      <c r="BG814" s="89"/>
      <c r="BH814" s="89"/>
      <c r="BI814" s="89"/>
      <c r="BJ814" s="89"/>
      <c r="BK814" s="89"/>
      <c r="BL814" s="89"/>
      <c r="BM814" s="89"/>
      <c r="BN814" s="89"/>
      <c r="BO814" s="89"/>
      <c r="BP814" s="89"/>
      <c r="BQ814" s="89"/>
      <c r="BR814" s="89"/>
      <c r="BS814" s="89"/>
      <c r="BT814" s="89"/>
      <c r="BU814" s="89"/>
      <c r="BV814" s="89"/>
      <c r="BW814" s="89"/>
      <c r="BX814" s="89"/>
      <c r="BY814" s="89"/>
      <c r="BZ814" s="89"/>
      <c r="CA814" s="89"/>
      <c r="CB814" s="89"/>
      <c r="CC814" s="89"/>
      <c r="CD814" s="89"/>
      <c r="CE814" s="89"/>
      <c r="CF814" s="89"/>
      <c r="CG814" s="89"/>
      <c r="CH814" s="89"/>
      <c r="CI814" s="89"/>
      <c r="CJ814" s="89"/>
      <c r="CK814" s="89"/>
      <c r="CL814" s="89"/>
      <c r="CM814" s="89"/>
      <c r="CN814" s="89"/>
      <c r="CO814" s="89"/>
      <c r="CP814" s="89"/>
      <c r="CQ814" s="89"/>
      <c r="CR814" s="89"/>
      <c r="CS814" s="89"/>
      <c r="CT814" s="89"/>
      <c r="CU814" s="89"/>
      <c r="CV814" s="89"/>
      <c r="CW814" s="89"/>
      <c r="CX814" s="89"/>
      <c r="CY814" s="89"/>
      <c r="CZ814" s="89"/>
      <c r="DA814" s="89"/>
      <c r="DB814" s="89"/>
      <c r="DC814" s="89"/>
      <c r="DD814" s="89"/>
      <c r="DE814" s="89"/>
      <c r="DF814" s="89"/>
      <c r="DG814" s="89"/>
      <c r="DH814" s="89"/>
    </row>
    <row r="815">
      <c r="A815" s="168">
        <v>815.0</v>
      </c>
      <c r="B815" s="177" t="s">
        <v>107</v>
      </c>
      <c r="C815" s="165" t="s">
        <v>108</v>
      </c>
      <c r="D815" s="165" t="s">
        <v>241</v>
      </c>
      <c r="E815" s="161"/>
      <c r="F815" s="729" t="s">
        <v>4450</v>
      </c>
      <c r="G815" s="183" t="s">
        <v>4451</v>
      </c>
      <c r="H815" s="729" t="s">
        <v>242</v>
      </c>
      <c r="I815" s="730">
        <v>45670.0</v>
      </c>
      <c r="J815" s="730">
        <v>45692.0</v>
      </c>
      <c r="K815" s="177"/>
      <c r="L815" s="729" t="s">
        <v>3683</v>
      </c>
      <c r="M815" s="729" t="s">
        <v>4452</v>
      </c>
      <c r="N815" s="729" t="s">
        <v>4453</v>
      </c>
      <c r="O815" s="177"/>
      <c r="P815" s="729" t="str">
        <f t="shared" si="37"/>
        <v>10.1177--0956797611434540.pdf</v>
      </c>
      <c r="Q815" s="1163" t="str">
        <f t="array" ref="Q815"> if(iserror(MATCH(V815, 'File Links'!C:C, 0)), "N/A", HYPERLINK(INDEX('File Links'!B:B, MATCH(P815, 'File Links'!C:C, 0))))</f>
        <v>https://drive.google.com/file/d/1e8g4jGrxeuAKV2niPFAdDVB88LKnVgdm/view?usp=drivesdk</v>
      </c>
      <c r="R815" s="729" t="s">
        <v>3646</v>
      </c>
      <c r="S815" s="729" t="s">
        <v>3647</v>
      </c>
      <c r="T815" s="177"/>
      <c r="U815" s="180">
        <v>1.0</v>
      </c>
      <c r="V815" s="729" t="str">
        <f t="shared" si="44"/>
        <v>10.1098--rsos.231240.pdf</v>
      </c>
      <c r="W815" s="729" t="s">
        <v>317</v>
      </c>
      <c r="X815" s="1164" t="str">
        <f t="array" ref="X815"> if(iserror(MATCH(V815, 'File Links'!C:C, 0)), "N/A", HYPERLINK(INDEX('File Links'!B:B, MATCH(V815, 'File Links'!C:C, 0))))</f>
        <v>https://drive.google.com/file/d/17gaf2Zy_ljFfcAEDk5L8GBnTl5i7RGJE/view?usp=drivesdk</v>
      </c>
      <c r="Y815" s="177"/>
      <c r="Z815" s="729" t="s">
        <v>219</v>
      </c>
      <c r="AA815" s="177"/>
      <c r="AB815" s="729" t="s">
        <v>4419</v>
      </c>
      <c r="AC815" s="177"/>
      <c r="AD815" s="729" t="s">
        <v>4454</v>
      </c>
      <c r="AE815" s="1186">
        <v>798.0</v>
      </c>
      <c r="AF815" s="180">
        <v>48.0</v>
      </c>
      <c r="AG815" s="180">
        <v>0.594</v>
      </c>
      <c r="AH815" s="729" t="s">
        <v>166</v>
      </c>
      <c r="AI815" s="1187" t="s">
        <v>4455</v>
      </c>
      <c r="AJ815" s="830">
        <v>0.03</v>
      </c>
      <c r="AK815" s="183" t="s">
        <v>128</v>
      </c>
      <c r="AL815" s="183" t="s">
        <v>179</v>
      </c>
      <c r="AM815" s="729" t="s">
        <v>130</v>
      </c>
      <c r="AN815" s="172" t="s">
        <v>131</v>
      </c>
      <c r="AO815" s="180">
        <v>51.0</v>
      </c>
      <c r="AP815" s="180">
        <v>0.00884651736929382</v>
      </c>
      <c r="AQ815" s="729" t="s">
        <v>166</v>
      </c>
      <c r="AR815" s="1150" t="s">
        <v>4113</v>
      </c>
      <c r="AS815" s="180">
        <v>0.976202719702489</v>
      </c>
      <c r="AT815" s="729" t="s">
        <v>165</v>
      </c>
      <c r="AU815" s="729" t="s">
        <v>179</v>
      </c>
      <c r="AV815" s="729" t="s">
        <v>1898</v>
      </c>
      <c r="AW815" s="126" t="s">
        <v>131</v>
      </c>
      <c r="AX815" s="729" t="s">
        <v>136</v>
      </c>
      <c r="AY815" s="161"/>
      <c r="AZ815" s="177" t="s">
        <v>146</v>
      </c>
      <c r="BA815" s="161"/>
      <c r="BB815" s="161"/>
      <c r="BC815" s="161"/>
      <c r="BD815" s="161"/>
      <c r="BE815" s="161"/>
      <c r="BF815" s="161"/>
      <c r="BG815" s="161"/>
      <c r="BH815" s="161"/>
      <c r="BI815" s="161"/>
      <c r="BJ815" s="161"/>
      <c r="BK815" s="161"/>
      <c r="BL815" s="161"/>
      <c r="BM815" s="161"/>
      <c r="BN815" s="161"/>
      <c r="BO815" s="161"/>
      <c r="BP815" s="161"/>
      <c r="BQ815" s="161"/>
      <c r="BR815" s="161"/>
      <c r="BS815" s="161"/>
      <c r="BT815" s="161"/>
      <c r="BU815" s="161"/>
      <c r="BV815" s="161"/>
      <c r="BW815" s="161"/>
      <c r="BX815" s="161"/>
      <c r="BY815" s="161"/>
      <c r="BZ815" s="161"/>
      <c r="CA815" s="161"/>
      <c r="CB815" s="161"/>
      <c r="CC815" s="161"/>
      <c r="CD815" s="161"/>
      <c r="CE815" s="161"/>
      <c r="CF815" s="161"/>
      <c r="CG815" s="161"/>
      <c r="CH815" s="161"/>
      <c r="CI815" s="161"/>
      <c r="CJ815" s="161"/>
      <c r="CK815" s="161"/>
      <c r="CL815" s="161"/>
      <c r="CM815" s="161"/>
      <c r="CN815" s="161"/>
      <c r="CO815" s="161"/>
      <c r="CP815" s="161"/>
      <c r="CQ815" s="161"/>
      <c r="CR815" s="161"/>
      <c r="CS815" s="161"/>
      <c r="CT815" s="161"/>
      <c r="CU815" s="161"/>
      <c r="CV815" s="161"/>
      <c r="CW815" s="161"/>
      <c r="CX815" s="161"/>
      <c r="CY815" s="161"/>
      <c r="CZ815" s="161"/>
      <c r="DA815" s="161"/>
      <c r="DB815" s="161"/>
      <c r="DC815" s="161"/>
      <c r="DD815" s="161"/>
      <c r="DE815" s="161"/>
      <c r="DF815" s="161"/>
      <c r="DG815" s="161"/>
      <c r="DH815" s="161"/>
    </row>
    <row r="816">
      <c r="A816" s="168">
        <v>816.0</v>
      </c>
      <c r="B816" s="172" t="s">
        <v>145</v>
      </c>
      <c r="C816" s="165" t="s">
        <v>108</v>
      </c>
      <c r="D816" s="165" t="s">
        <v>146</v>
      </c>
      <c r="E816" s="161"/>
      <c r="F816" s="177" t="s">
        <v>4451</v>
      </c>
      <c r="G816" s="183" t="s">
        <v>4450</v>
      </c>
      <c r="H816" s="729" t="s">
        <v>146</v>
      </c>
      <c r="I816" s="730">
        <v>45687.0</v>
      </c>
      <c r="J816" s="730">
        <v>45692.0</v>
      </c>
      <c r="K816" s="177"/>
      <c r="L816" s="177"/>
      <c r="M816" s="729" t="s">
        <v>4452</v>
      </c>
      <c r="N816" s="729" t="s">
        <v>4453</v>
      </c>
      <c r="O816" s="180">
        <v>1.0</v>
      </c>
      <c r="P816" s="729" t="str">
        <f t="shared" si="37"/>
        <v>10.1177--0956797611434540.pdf</v>
      </c>
      <c r="Q816" s="1163" t="str">
        <f t="array" ref="Q816"> if(iserror(MATCH(V816, 'File Links'!C:C, 0)), "N/A", HYPERLINK(INDEX('File Links'!B:B, MATCH(P816, 'File Links'!C:C, 0))))</f>
        <v>https://drive.google.com/file/d/1e8g4jGrxeuAKV2niPFAdDVB88LKnVgdm/view?usp=drivesdk</v>
      </c>
      <c r="R816" s="729" t="s">
        <v>3646</v>
      </c>
      <c r="S816" s="729" t="s">
        <v>3647</v>
      </c>
      <c r="T816" s="177"/>
      <c r="U816" s="180">
        <v>1.0</v>
      </c>
      <c r="V816" s="729" t="str">
        <f t="shared" si="44"/>
        <v>10.1098--rsos.231240.pdf</v>
      </c>
      <c r="W816" s="729" t="s">
        <v>3719</v>
      </c>
      <c r="X816" s="1164" t="str">
        <f t="array" ref="X816"> if(iserror(MATCH(V816, 'File Links'!C:C, 0)), "N/A", HYPERLINK(INDEX('File Links'!B:B, MATCH(V816, 'File Links'!C:C, 0))))</f>
        <v>https://drive.google.com/file/d/17gaf2Zy_ljFfcAEDk5L8GBnTl5i7RGJE/view?usp=drivesdk</v>
      </c>
      <c r="Y816" s="177"/>
      <c r="Z816" s="729" t="s">
        <v>219</v>
      </c>
      <c r="AA816" s="729" t="s">
        <v>4456</v>
      </c>
      <c r="AB816" s="729" t="s">
        <v>4457</v>
      </c>
      <c r="AC816" s="729" t="s">
        <v>4458</v>
      </c>
      <c r="AD816" s="729" t="s">
        <v>4459</v>
      </c>
      <c r="AE816" s="180">
        <v>3.0</v>
      </c>
      <c r="AF816" s="180">
        <v>48.0</v>
      </c>
      <c r="AG816" s="180">
        <v>0.594</v>
      </c>
      <c r="AH816" s="180" t="s">
        <v>166</v>
      </c>
      <c r="AI816" s="180" t="s">
        <v>210</v>
      </c>
      <c r="AJ816" s="830">
        <v>0.03</v>
      </c>
      <c r="AK816" s="183" t="s">
        <v>128</v>
      </c>
      <c r="AL816" s="183" t="s">
        <v>179</v>
      </c>
      <c r="AM816" s="177" t="s">
        <v>130</v>
      </c>
      <c r="AN816" s="172" t="s">
        <v>131</v>
      </c>
      <c r="AO816" s="180">
        <v>51.0</v>
      </c>
      <c r="AP816" s="180">
        <v>0.00884651736929382</v>
      </c>
      <c r="AQ816" s="180" t="s">
        <v>166</v>
      </c>
      <c r="AR816" s="1150" t="s">
        <v>4113</v>
      </c>
      <c r="AS816" s="180">
        <v>0.976202719702489</v>
      </c>
      <c r="AT816" s="729" t="s">
        <v>165</v>
      </c>
      <c r="AU816" s="729" t="s">
        <v>179</v>
      </c>
      <c r="AV816" s="729" t="s">
        <v>1898</v>
      </c>
      <c r="AW816" s="126" t="s">
        <v>131</v>
      </c>
      <c r="AX816" s="177" t="s">
        <v>136</v>
      </c>
      <c r="AY816" s="161"/>
      <c r="AZ816" s="177" t="s">
        <v>146</v>
      </c>
      <c r="BA816" s="161"/>
      <c r="BB816" s="161"/>
      <c r="BC816" s="161"/>
      <c r="BD816" s="161"/>
      <c r="BE816" s="161"/>
      <c r="BF816" s="161"/>
      <c r="BG816" s="161"/>
      <c r="BH816" s="161"/>
      <c r="BI816" s="161"/>
      <c r="BJ816" s="161"/>
      <c r="BK816" s="161"/>
      <c r="BL816" s="161"/>
      <c r="BM816" s="161"/>
      <c r="BN816" s="161"/>
      <c r="BO816" s="161"/>
      <c r="BP816" s="161"/>
      <c r="BQ816" s="161"/>
      <c r="BR816" s="161"/>
      <c r="BS816" s="161"/>
      <c r="BT816" s="161"/>
      <c r="BU816" s="161"/>
      <c r="BV816" s="161"/>
      <c r="BW816" s="161"/>
      <c r="BX816" s="161"/>
      <c r="BY816" s="161"/>
      <c r="BZ816" s="161"/>
      <c r="CA816" s="161"/>
      <c r="CB816" s="161"/>
      <c r="CC816" s="161"/>
      <c r="CD816" s="161"/>
      <c r="CE816" s="161"/>
      <c r="CF816" s="161"/>
      <c r="CG816" s="161"/>
      <c r="CH816" s="161"/>
      <c r="CI816" s="161"/>
      <c r="CJ816" s="161"/>
      <c r="CK816" s="161"/>
      <c r="CL816" s="161"/>
      <c r="CM816" s="161"/>
      <c r="CN816" s="161"/>
      <c r="CO816" s="161"/>
      <c r="CP816" s="161"/>
      <c r="CQ816" s="161"/>
      <c r="CR816" s="161"/>
      <c r="CS816" s="161"/>
      <c r="CT816" s="161"/>
      <c r="CU816" s="161"/>
      <c r="CV816" s="161"/>
      <c r="CW816" s="161"/>
      <c r="CX816" s="161"/>
      <c r="CY816" s="161"/>
      <c r="CZ816" s="161"/>
      <c r="DA816" s="161"/>
      <c r="DB816" s="161"/>
      <c r="DC816" s="161"/>
      <c r="DD816" s="161"/>
      <c r="DE816" s="161"/>
      <c r="DF816" s="161"/>
      <c r="DG816" s="161"/>
      <c r="DH816" s="161"/>
    </row>
    <row r="817">
      <c r="A817" s="41">
        <v>817.0</v>
      </c>
      <c r="B817" s="65" t="s">
        <v>107</v>
      </c>
      <c r="C817" s="59" t="s">
        <v>108</v>
      </c>
      <c r="D817" s="59" t="s">
        <v>241</v>
      </c>
      <c r="F817" s="156" t="s">
        <v>4460</v>
      </c>
      <c r="G817" s="54" t="s">
        <v>4461</v>
      </c>
      <c r="H817" s="156" t="s">
        <v>242</v>
      </c>
      <c r="I817" s="149">
        <v>45670.0</v>
      </c>
      <c r="J817" s="149">
        <v>45692.0</v>
      </c>
      <c r="K817" s="65"/>
      <c r="L817" s="156" t="s">
        <v>3683</v>
      </c>
      <c r="M817" s="156" t="s">
        <v>4462</v>
      </c>
      <c r="N817" s="156" t="s">
        <v>4463</v>
      </c>
      <c r="O817" s="65"/>
      <c r="P817" s="156" t="str">
        <f t="shared" si="37"/>
        <v>10.1177--0956797614558718.pdf</v>
      </c>
      <c r="Q817" s="49" t="str">
        <f t="array" ref="Q817"> if(iserror(MATCH(V817, 'File Links'!C:C, 0)), "N/A", HYPERLINK(INDEX('File Links'!B:B, MATCH(P817, 'File Links'!C:C, 0))))</f>
        <v>https://drive.google.com/file/d/1VCKoEhCkZgWeNPsAklTrHzvyEtDe0UpM/view?usp=drivesdk</v>
      </c>
      <c r="R817" s="156" t="s">
        <v>3646</v>
      </c>
      <c r="S817" s="156" t="s">
        <v>3647</v>
      </c>
      <c r="T817" s="65"/>
      <c r="U817" s="153">
        <v>1.0</v>
      </c>
      <c r="V817" s="195" t="str">
        <f t="shared" si="44"/>
        <v>10.1098--rsos.231240.pdf</v>
      </c>
      <c r="W817" s="156" t="s">
        <v>3797</v>
      </c>
      <c r="X817" s="51" t="str">
        <f t="array" ref="X817"> if(iserror(MATCH(V817, 'File Links'!C:C, 0)), "N/A", HYPERLINK(INDEX('File Links'!B:B, MATCH(V817, 'File Links'!C:C, 0))))</f>
        <v>https://drive.google.com/file/d/17gaf2Zy_ljFfcAEDk5L8GBnTl5i7RGJE/view?usp=drivesdk</v>
      </c>
      <c r="Y817" s="65"/>
      <c r="Z817" s="156" t="s">
        <v>219</v>
      </c>
      <c r="AA817" s="65"/>
      <c r="AB817" s="156" t="s">
        <v>4464</v>
      </c>
      <c r="AC817" s="65"/>
      <c r="AD817" s="156" t="s">
        <v>4465</v>
      </c>
      <c r="AE817" s="1056">
        <v>172.0</v>
      </c>
      <c r="AF817" s="153">
        <v>288.0</v>
      </c>
      <c r="AG817" s="153">
        <v>0.76</v>
      </c>
      <c r="AH817" s="156" t="s">
        <v>166</v>
      </c>
      <c r="AI817" s="1057" t="s">
        <v>4466</v>
      </c>
      <c r="AJ817" s="706">
        <v>0.001</v>
      </c>
      <c r="AK817" s="54" t="s">
        <v>128</v>
      </c>
      <c r="AL817" s="54" t="s">
        <v>179</v>
      </c>
      <c r="AM817" s="156" t="s">
        <v>1898</v>
      </c>
      <c r="AN817" s="126" t="s">
        <v>131</v>
      </c>
      <c r="AO817" s="153">
        <v>143.0</v>
      </c>
      <c r="AP817" s="153">
        <v>0.927847827173882</v>
      </c>
      <c r="AQ817" s="156" t="s">
        <v>166</v>
      </c>
      <c r="AR817" s="1150" t="s">
        <v>4113</v>
      </c>
      <c r="AS817" s="1058">
        <v>7.47984211800734E-21</v>
      </c>
      <c r="AT817" s="156" t="s">
        <v>165</v>
      </c>
      <c r="AU817" s="156" t="s">
        <v>179</v>
      </c>
      <c r="AV817" s="156" t="s">
        <v>1898</v>
      </c>
      <c r="AW817" s="126" t="s">
        <v>131</v>
      </c>
      <c r="AX817" s="156" t="s">
        <v>136</v>
      </c>
      <c r="AZ817" s="65" t="s">
        <v>146</v>
      </c>
      <c r="BB817" s="186"/>
      <c r="BC817" s="186"/>
      <c r="BD817" s="186"/>
      <c r="BE817" s="186"/>
      <c r="BF817" s="186"/>
      <c r="BG817" s="186"/>
      <c r="BH817" s="186"/>
      <c r="BI817" s="186"/>
      <c r="BJ817" s="186"/>
      <c r="BK817" s="186"/>
      <c r="BL817" s="186"/>
      <c r="BM817" s="186"/>
      <c r="BN817" s="186"/>
      <c r="BO817" s="186"/>
      <c r="BP817" s="186"/>
      <c r="BQ817" s="186"/>
      <c r="BR817" s="186"/>
      <c r="BS817" s="186"/>
      <c r="BT817" s="186"/>
      <c r="BU817" s="186"/>
      <c r="BV817" s="186"/>
      <c r="BW817" s="186"/>
      <c r="BX817" s="186"/>
      <c r="BY817" s="186"/>
      <c r="BZ817" s="186"/>
      <c r="CA817" s="186"/>
      <c r="CB817" s="186"/>
      <c r="CC817" s="186"/>
      <c r="CD817" s="186"/>
      <c r="CE817" s="186"/>
      <c r="CF817" s="186"/>
      <c r="CG817" s="186"/>
      <c r="CH817" s="186"/>
      <c r="CI817" s="186"/>
      <c r="CJ817" s="186"/>
      <c r="CK817" s="186"/>
      <c r="CL817" s="186"/>
      <c r="CM817" s="186"/>
      <c r="CN817" s="186"/>
      <c r="CO817" s="186"/>
      <c r="CP817" s="186"/>
      <c r="CQ817" s="186"/>
      <c r="CR817" s="186"/>
      <c r="CS817" s="186"/>
      <c r="CT817" s="186"/>
      <c r="CU817" s="186"/>
      <c r="CV817" s="186"/>
      <c r="CW817" s="186"/>
      <c r="CX817" s="186"/>
      <c r="CY817" s="186"/>
      <c r="CZ817" s="186"/>
      <c r="DA817" s="186"/>
      <c r="DB817" s="186"/>
      <c r="DC817" s="186"/>
      <c r="DD817" s="186"/>
      <c r="DE817" s="186"/>
      <c r="DF817" s="186"/>
      <c r="DG817" s="186"/>
      <c r="DH817" s="186"/>
    </row>
    <row r="818">
      <c r="A818" s="41">
        <v>818.0</v>
      </c>
      <c r="B818" s="126" t="s">
        <v>145</v>
      </c>
      <c r="C818" s="59" t="s">
        <v>108</v>
      </c>
      <c r="D818" s="59" t="s">
        <v>146</v>
      </c>
      <c r="F818" s="65" t="s">
        <v>4461</v>
      </c>
      <c r="G818" s="54" t="s">
        <v>4460</v>
      </c>
      <c r="H818" s="156" t="s">
        <v>146</v>
      </c>
      <c r="I818" s="149">
        <v>45687.0</v>
      </c>
      <c r="J818" s="149">
        <v>45692.0</v>
      </c>
      <c r="K818" s="1052" t="s">
        <v>4467</v>
      </c>
      <c r="L818" s="126" t="s">
        <v>4468</v>
      </c>
      <c r="M818" s="156" t="s">
        <v>4462</v>
      </c>
      <c r="N818" s="156" t="s">
        <v>4463</v>
      </c>
      <c r="O818" s="153" t="s">
        <v>4085</v>
      </c>
      <c r="P818" s="156" t="str">
        <f t="shared" si="37"/>
        <v>10.1177--0956797614558718.pdf</v>
      </c>
      <c r="Q818" s="49" t="str">
        <f t="array" ref="Q818"> if(iserror(MATCH(V818, 'File Links'!C:C, 0)), "N/A", HYPERLINK(INDEX('File Links'!B:B, MATCH(P818, 'File Links'!C:C, 0))))</f>
        <v>https://drive.google.com/file/d/1VCKoEhCkZgWeNPsAklTrHzvyEtDe0UpM/view?usp=drivesdk</v>
      </c>
      <c r="R818" s="156" t="s">
        <v>3646</v>
      </c>
      <c r="S818" s="156" t="s">
        <v>3647</v>
      </c>
      <c r="T818" s="126"/>
      <c r="U818" s="153">
        <v>1.0</v>
      </c>
      <c r="V818" s="195" t="str">
        <f t="shared" si="44"/>
        <v>10.1098--rsos.231240.pdf</v>
      </c>
      <c r="W818" s="156" t="s">
        <v>3800</v>
      </c>
      <c r="X818" s="51" t="str">
        <f t="array" ref="X818"> if(iserror(MATCH(V818, 'File Links'!C:C, 0)), "N/A", HYPERLINK(INDEX('File Links'!B:B, MATCH(V818, 'File Links'!C:C, 0))))</f>
        <v>https://drive.google.com/file/d/17gaf2Zy_ljFfcAEDk5L8GBnTl5i7RGJE/view?usp=drivesdk</v>
      </c>
      <c r="Y818" s="43"/>
      <c r="Z818" s="156" t="s">
        <v>219</v>
      </c>
      <c r="AA818" s="156" t="s">
        <v>4469</v>
      </c>
      <c r="AB818" s="156" t="s">
        <v>4470</v>
      </c>
      <c r="AC818" s="148" t="s">
        <v>4471</v>
      </c>
      <c r="AD818" s="156" t="s">
        <v>4472</v>
      </c>
      <c r="AE818" s="158" t="s">
        <v>4466</v>
      </c>
      <c r="AF818" s="153">
        <v>288.0</v>
      </c>
      <c r="AG818" s="153">
        <v>0.76</v>
      </c>
      <c r="AH818" s="153" t="s">
        <v>166</v>
      </c>
      <c r="AI818" s="158" t="s">
        <v>4466</v>
      </c>
      <c r="AJ818" s="706">
        <v>0.001</v>
      </c>
      <c r="AK818" s="54" t="s">
        <v>128</v>
      </c>
      <c r="AL818" s="54" t="s">
        <v>179</v>
      </c>
      <c r="AM818" s="148" t="s">
        <v>130</v>
      </c>
      <c r="AN818" s="126" t="s">
        <v>131</v>
      </c>
      <c r="AO818" s="153">
        <v>143.0</v>
      </c>
      <c r="AP818" s="158">
        <v>0.9655053</v>
      </c>
      <c r="AQ818" s="153" t="s">
        <v>166</v>
      </c>
      <c r="AR818" s="1150" t="s">
        <v>4113</v>
      </c>
      <c r="AS818" s="158">
        <v>0.01</v>
      </c>
      <c r="AT818" s="148" t="s">
        <v>128</v>
      </c>
      <c r="AU818" s="156" t="s">
        <v>179</v>
      </c>
      <c r="AV818" s="148" t="s">
        <v>130</v>
      </c>
      <c r="AW818" s="432" t="s">
        <v>4473</v>
      </c>
      <c r="AX818" s="65" t="s">
        <v>136</v>
      </c>
      <c r="AZ818" s="126" t="s">
        <v>3673</v>
      </c>
      <c r="BB818" s="481"/>
      <c r="BC818" s="481"/>
      <c r="BD818" s="481"/>
      <c r="BE818" s="481"/>
      <c r="BF818" s="481"/>
      <c r="BG818" s="481"/>
      <c r="BH818" s="481"/>
      <c r="BI818" s="481"/>
      <c r="BJ818" s="481"/>
      <c r="BK818" s="481"/>
      <c r="BL818" s="481"/>
      <c r="BM818" s="481"/>
      <c r="BN818" s="481"/>
      <c r="BO818" s="481"/>
      <c r="BP818" s="481"/>
      <c r="BQ818" s="481"/>
      <c r="BR818" s="481"/>
      <c r="BS818" s="481"/>
      <c r="BT818" s="481"/>
      <c r="BU818" s="481"/>
      <c r="BV818" s="481"/>
      <c r="BW818" s="481"/>
      <c r="BX818" s="481"/>
      <c r="BY818" s="481"/>
      <c r="BZ818" s="481"/>
      <c r="CA818" s="481"/>
      <c r="CB818" s="481"/>
      <c r="CC818" s="481"/>
      <c r="CD818" s="481"/>
      <c r="CE818" s="481"/>
      <c r="CF818" s="481"/>
      <c r="CG818" s="481"/>
      <c r="CH818" s="481"/>
      <c r="CI818" s="481"/>
      <c r="CJ818" s="481"/>
      <c r="CK818" s="481"/>
      <c r="CL818" s="481"/>
      <c r="CM818" s="481"/>
      <c r="CN818" s="481"/>
      <c r="CO818" s="481"/>
      <c r="CP818" s="481"/>
      <c r="CQ818" s="481"/>
      <c r="CR818" s="481"/>
      <c r="CS818" s="481"/>
      <c r="CT818" s="481"/>
      <c r="CU818" s="481"/>
      <c r="CV818" s="481"/>
      <c r="CW818" s="481"/>
      <c r="CX818" s="481"/>
      <c r="CY818" s="481"/>
      <c r="CZ818" s="481"/>
      <c r="DA818" s="481"/>
      <c r="DB818" s="481"/>
      <c r="DC818" s="481"/>
      <c r="DD818" s="481"/>
      <c r="DE818" s="481"/>
      <c r="DF818" s="481"/>
      <c r="DG818" s="481"/>
      <c r="DH818" s="481"/>
    </row>
    <row r="819">
      <c r="A819" s="107">
        <v>819.0</v>
      </c>
      <c r="B819" s="108" t="s">
        <v>107</v>
      </c>
      <c r="C819" s="146" t="s">
        <v>108</v>
      </c>
      <c r="D819" s="146" t="s">
        <v>241</v>
      </c>
      <c r="E819" s="69"/>
      <c r="F819" s="119" t="s">
        <v>4474</v>
      </c>
      <c r="G819" s="109" t="s">
        <v>4475</v>
      </c>
      <c r="H819" s="119" t="s">
        <v>242</v>
      </c>
      <c r="I819" s="414">
        <v>45670.0</v>
      </c>
      <c r="J819" s="414">
        <v>45692.0</v>
      </c>
      <c r="K819" s="215" t="s">
        <v>4476</v>
      </c>
      <c r="L819" s="108"/>
      <c r="M819" s="119" t="s">
        <v>4477</v>
      </c>
      <c r="N819" s="119" t="s">
        <v>4478</v>
      </c>
      <c r="O819" s="108"/>
      <c r="P819" s="119" t="str">
        <f t="shared" si="37"/>
        <v>10.1523--jneurosci.2377-10.2010.pdf</v>
      </c>
      <c r="Q819" s="1158" t="str">
        <f t="array" ref="Q819"> if(iserror(MATCH(V819, 'File Links'!C:C, 0)), "N/A", HYPERLINK(INDEX('File Links'!B:B, MATCH(P819, 'File Links'!C:C, 0))))</f>
        <v>https://drive.google.com/file/d/1tNWBEIyqVAkKjP7KUoSu2t3rEj4DPo_A/view?usp=drivesdk</v>
      </c>
      <c r="R819" s="119" t="s">
        <v>3646</v>
      </c>
      <c r="S819" s="119" t="s">
        <v>3647</v>
      </c>
      <c r="T819" s="108"/>
      <c r="U819" s="534">
        <v>1.0</v>
      </c>
      <c r="V819" s="119" t="str">
        <f t="shared" si="44"/>
        <v>10.1098--rsos.231240.pdf</v>
      </c>
      <c r="W819" s="119" t="s">
        <v>317</v>
      </c>
      <c r="X819" s="1159" t="str">
        <f t="array" ref="X819"> if(iserror(MATCH(V819, 'File Links'!C:C, 0)), "N/A", HYPERLINK(INDEX('File Links'!B:B, MATCH(V819, 'File Links'!C:C, 0))))</f>
        <v>https://drive.google.com/file/d/17gaf2Zy_ljFfcAEDk5L8GBnTl5i7RGJE/view?usp=drivesdk</v>
      </c>
      <c r="Y819" s="108"/>
      <c r="Z819" s="119" t="s">
        <v>141</v>
      </c>
      <c r="AA819" s="108"/>
      <c r="AB819" s="108"/>
      <c r="AC819" s="108"/>
      <c r="AD819" s="119" t="s">
        <v>131</v>
      </c>
      <c r="AE819" s="119" t="s">
        <v>131</v>
      </c>
      <c r="AF819" s="534">
        <v>39.0</v>
      </c>
      <c r="AG819" s="119" t="s">
        <v>131</v>
      </c>
      <c r="AH819" s="113" t="s">
        <v>131</v>
      </c>
      <c r="AI819" s="119" t="s">
        <v>131</v>
      </c>
      <c r="AJ819" s="118" t="s">
        <v>131</v>
      </c>
      <c r="AK819" s="111"/>
      <c r="AL819" s="109" t="s">
        <v>179</v>
      </c>
      <c r="AM819" s="119" t="s">
        <v>1898</v>
      </c>
      <c r="AN819" s="144" t="s">
        <v>131</v>
      </c>
      <c r="AO819" s="534">
        <v>20.0</v>
      </c>
      <c r="AP819" s="119" t="s">
        <v>131</v>
      </c>
      <c r="AQ819" s="108"/>
      <c r="AR819" s="1150" t="s">
        <v>4113</v>
      </c>
      <c r="AS819" s="119" t="s">
        <v>131</v>
      </c>
      <c r="AT819" s="119" t="s">
        <v>165</v>
      </c>
      <c r="AU819" s="119" t="s">
        <v>179</v>
      </c>
      <c r="AV819" s="119" t="s">
        <v>1898</v>
      </c>
      <c r="AW819" s="126" t="s">
        <v>131</v>
      </c>
      <c r="AX819" s="119" t="s">
        <v>136</v>
      </c>
      <c r="AY819" s="69"/>
      <c r="AZ819" s="108" t="s">
        <v>146</v>
      </c>
      <c r="BA819" s="69"/>
      <c r="BB819" s="69"/>
      <c r="BC819" s="69"/>
      <c r="BD819" s="69"/>
      <c r="BE819" s="69"/>
      <c r="BF819" s="69"/>
      <c r="BG819" s="69"/>
      <c r="BH819" s="69"/>
      <c r="BI819" s="69"/>
      <c r="BJ819" s="69"/>
      <c r="BK819" s="69"/>
      <c r="BL819" s="69"/>
      <c r="BM819" s="69"/>
      <c r="BN819" s="69"/>
      <c r="BO819" s="69"/>
      <c r="BP819" s="69"/>
      <c r="BQ819" s="69"/>
      <c r="BR819" s="69"/>
      <c r="BS819" s="69"/>
      <c r="BT819" s="69"/>
      <c r="BU819" s="69"/>
      <c r="BV819" s="69"/>
      <c r="BW819" s="69"/>
      <c r="BX819" s="69"/>
      <c r="BY819" s="69"/>
      <c r="BZ819" s="69"/>
      <c r="CA819" s="69"/>
      <c r="CB819" s="69"/>
      <c r="CC819" s="69"/>
      <c r="CD819" s="69"/>
      <c r="CE819" s="69"/>
      <c r="CF819" s="69"/>
      <c r="CG819" s="69"/>
      <c r="CH819" s="69"/>
      <c r="CI819" s="69"/>
      <c r="CJ819" s="69"/>
      <c r="CK819" s="69"/>
      <c r="CL819" s="69"/>
      <c r="CM819" s="69"/>
      <c r="CN819" s="69"/>
      <c r="CO819" s="69"/>
      <c r="CP819" s="69"/>
      <c r="CQ819" s="69"/>
      <c r="CR819" s="69"/>
      <c r="CS819" s="69"/>
      <c r="CT819" s="69"/>
      <c r="CU819" s="69"/>
      <c r="CV819" s="69"/>
      <c r="CW819" s="69"/>
      <c r="CX819" s="69"/>
      <c r="CY819" s="69"/>
      <c r="CZ819" s="69"/>
      <c r="DA819" s="69"/>
      <c r="DB819" s="69"/>
      <c r="DC819" s="69"/>
      <c r="DD819" s="69"/>
      <c r="DE819" s="69"/>
      <c r="DF819" s="69"/>
      <c r="DG819" s="69"/>
      <c r="DH819" s="69"/>
    </row>
    <row r="820">
      <c r="A820" s="107">
        <v>820.0</v>
      </c>
      <c r="B820" s="144" t="s">
        <v>107</v>
      </c>
      <c r="C820" s="146" t="s">
        <v>108</v>
      </c>
      <c r="D820" s="146" t="s">
        <v>146</v>
      </c>
      <c r="E820" s="69"/>
      <c r="F820" s="108" t="s">
        <v>4475</v>
      </c>
      <c r="G820" s="109" t="s">
        <v>4474</v>
      </c>
      <c r="H820" s="119" t="s">
        <v>146</v>
      </c>
      <c r="I820" s="414">
        <v>45687.0</v>
      </c>
      <c r="J820" s="414">
        <v>45692.0</v>
      </c>
      <c r="K820" s="215" t="s">
        <v>4479</v>
      </c>
      <c r="L820" s="108"/>
      <c r="M820" s="119" t="s">
        <v>4477</v>
      </c>
      <c r="N820" s="119" t="s">
        <v>4478</v>
      </c>
      <c r="O820" s="534">
        <v>1.0</v>
      </c>
      <c r="P820" s="119" t="str">
        <f t="shared" si="37"/>
        <v>10.1523--jneurosci.2377-10.2010.pdf</v>
      </c>
      <c r="Q820" s="1158" t="str">
        <f t="array" ref="Q820"> if(iserror(MATCH(V820, 'File Links'!C:C, 0)), "N/A", HYPERLINK(INDEX('File Links'!B:B, MATCH(P820, 'File Links'!C:C, 0))))</f>
        <v>https://drive.google.com/file/d/1tNWBEIyqVAkKjP7KUoSu2t3rEj4DPo_A/view?usp=drivesdk</v>
      </c>
      <c r="R820" s="119" t="s">
        <v>3646</v>
      </c>
      <c r="S820" s="119" t="s">
        <v>3647</v>
      </c>
      <c r="T820" s="108"/>
      <c r="U820" s="534">
        <v>1.0</v>
      </c>
      <c r="V820" s="119" t="s">
        <v>3651</v>
      </c>
      <c r="W820" s="119" t="s">
        <v>3719</v>
      </c>
      <c r="X820" s="1159" t="str">
        <f t="array" ref="X820"> if(iserror(MATCH(V820, 'File Links'!C:C, 0)), "N/A", HYPERLINK(INDEX('File Links'!B:B, MATCH(V820, 'File Links'!C:C, 0))))</f>
        <v>https://drive.google.com/file/d/17gaf2Zy_ljFfcAEDk5L8GBnTl5i7RGJE/view?usp=drivesdk</v>
      </c>
      <c r="Y820" s="119" t="s">
        <v>4480</v>
      </c>
      <c r="Z820" s="108"/>
      <c r="AA820" s="108"/>
      <c r="AB820" s="108"/>
      <c r="AC820" s="108"/>
      <c r="AD820" s="108"/>
      <c r="AE820" s="108"/>
      <c r="AF820" s="108"/>
      <c r="AG820" s="108"/>
      <c r="AH820" s="108"/>
      <c r="AI820" s="108"/>
      <c r="AJ820" s="117"/>
      <c r="AK820" s="111"/>
      <c r="AL820" s="111"/>
      <c r="AM820" s="108"/>
      <c r="AN820" s="144" t="s">
        <v>131</v>
      </c>
      <c r="AO820" s="108"/>
      <c r="AP820" s="108"/>
      <c r="AQ820" s="108"/>
      <c r="AR820" s="1150" t="s">
        <v>4113</v>
      </c>
      <c r="AS820" s="108"/>
      <c r="AT820" s="108"/>
      <c r="AU820" s="108"/>
      <c r="AV820" s="108"/>
      <c r="AW820" s="126" t="s">
        <v>131</v>
      </c>
      <c r="AX820" s="108"/>
      <c r="AY820" s="69"/>
      <c r="AZ820" s="108" t="s">
        <v>146</v>
      </c>
      <c r="BA820" s="69"/>
      <c r="BB820" s="69"/>
      <c r="BC820" s="69"/>
      <c r="BD820" s="69"/>
      <c r="BE820" s="69"/>
      <c r="BF820" s="69"/>
      <c r="BG820" s="69"/>
      <c r="BH820" s="69"/>
      <c r="BI820" s="69"/>
      <c r="BJ820" s="69"/>
      <c r="BK820" s="69"/>
      <c r="BL820" s="69"/>
      <c r="BM820" s="69"/>
      <c r="BN820" s="69"/>
      <c r="BO820" s="69"/>
      <c r="BP820" s="69"/>
      <c r="BQ820" s="69"/>
      <c r="BR820" s="69"/>
      <c r="BS820" s="69"/>
      <c r="BT820" s="69"/>
      <c r="BU820" s="69"/>
      <c r="BV820" s="69"/>
      <c r="BW820" s="69"/>
      <c r="BX820" s="69"/>
      <c r="BY820" s="69"/>
      <c r="BZ820" s="69"/>
      <c r="CA820" s="69"/>
      <c r="CB820" s="69"/>
      <c r="CC820" s="69"/>
      <c r="CD820" s="69"/>
      <c r="CE820" s="69"/>
      <c r="CF820" s="69"/>
      <c r="CG820" s="69"/>
      <c r="CH820" s="69"/>
      <c r="CI820" s="69"/>
      <c r="CJ820" s="69"/>
      <c r="CK820" s="69"/>
      <c r="CL820" s="69"/>
      <c r="CM820" s="69"/>
      <c r="CN820" s="69"/>
      <c r="CO820" s="69"/>
      <c r="CP820" s="69"/>
      <c r="CQ820" s="69"/>
      <c r="CR820" s="69"/>
      <c r="CS820" s="69"/>
      <c r="CT820" s="69"/>
      <c r="CU820" s="69"/>
      <c r="CV820" s="69"/>
      <c r="CW820" s="69"/>
      <c r="CX820" s="69"/>
      <c r="CY820" s="69"/>
      <c r="CZ820" s="69"/>
      <c r="DA820" s="69"/>
      <c r="DB820" s="69"/>
      <c r="DC820" s="69"/>
      <c r="DD820" s="69"/>
      <c r="DE820" s="69"/>
      <c r="DF820" s="69"/>
      <c r="DG820" s="69"/>
      <c r="DH820" s="69"/>
    </row>
    <row r="821">
      <c r="A821" s="41">
        <v>821.0</v>
      </c>
      <c r="B821" s="65" t="s">
        <v>583</v>
      </c>
      <c r="C821" s="59" t="s">
        <v>108</v>
      </c>
      <c r="D821" s="59" t="s">
        <v>146</v>
      </c>
      <c r="F821" s="65" t="s">
        <v>4481</v>
      </c>
      <c r="G821" s="54" t="s">
        <v>4482</v>
      </c>
      <c r="H821" s="156" t="s">
        <v>146</v>
      </c>
      <c r="I821" s="149">
        <v>45687.0</v>
      </c>
      <c r="J821" s="149">
        <v>45692.0</v>
      </c>
      <c r="K821" s="434" t="s">
        <v>4483</v>
      </c>
      <c r="L821" s="156" t="s">
        <v>4484</v>
      </c>
      <c r="M821" s="156" t="s">
        <v>4485</v>
      </c>
      <c r="N821" s="156" t="s">
        <v>4486</v>
      </c>
      <c r="O821" s="153">
        <v>1.0</v>
      </c>
      <c r="P821" s="156" t="str">
        <f t="shared" si="37"/>
        <v>10.1111--j.1467-9280.2008.02227.x.pdf</v>
      </c>
      <c r="Q821" s="49" t="str">
        <f t="array" ref="Q821"> if(iserror(MATCH(V821, 'File Links'!C:C, 0)), "N/A", HYPERLINK(INDEX('File Links'!B:B, MATCH(P821, 'File Links'!C:C, 0))))</f>
        <v>https://drive.google.com/file/d/1WZ-wmp0ZBZO-MwxvYanAL8j3J4k47183/view?usp=drivesdk</v>
      </c>
      <c r="R821" s="156" t="s">
        <v>3646</v>
      </c>
      <c r="S821" s="156" t="s">
        <v>3647</v>
      </c>
      <c r="T821" s="65"/>
      <c r="U821" s="153">
        <v>1.0</v>
      </c>
      <c r="V821" s="195" t="str">
        <f t="shared" ref="V821:V823" si="45"> hyperlink(vlookup(lower(S821),#REF!, 2, FALSE), SUBSTITUTE(lower(S821), "/", "--") &amp;  ".pdf")</f>
        <v>10.1098--rsos.231240.pdf</v>
      </c>
      <c r="W821" s="156" t="s">
        <v>3664</v>
      </c>
      <c r="X821" s="51" t="str">
        <f t="array" ref="X821"> if(iserror(MATCH(V821, 'File Links'!C:C, 0)), "N/A", HYPERLINK(INDEX('File Links'!B:B, MATCH(V821, 'File Links'!C:C, 0))))</f>
        <v>https://drive.google.com/file/d/17gaf2Zy_ljFfcAEDk5L8GBnTl5i7RGJE/view?usp=drivesdk</v>
      </c>
      <c r="Y821" s="65"/>
      <c r="Z821" s="156" t="s">
        <v>219</v>
      </c>
      <c r="AA821" s="156" t="s">
        <v>4487</v>
      </c>
      <c r="AB821" s="156" t="s">
        <v>4488</v>
      </c>
      <c r="AC821" s="156" t="s">
        <v>4489</v>
      </c>
      <c r="AD821" s="156" t="s">
        <v>4490</v>
      </c>
      <c r="AE821" s="153">
        <v>3.0</v>
      </c>
      <c r="AF821" s="153">
        <v>40.0</v>
      </c>
      <c r="AG821" s="153">
        <v>0.9</v>
      </c>
      <c r="AH821" s="153" t="s">
        <v>867</v>
      </c>
      <c r="AI821" s="153" t="s">
        <v>210</v>
      </c>
      <c r="AJ821" s="335"/>
      <c r="AK821" s="58"/>
      <c r="AL821" s="54" t="s">
        <v>129</v>
      </c>
      <c r="AM821" s="65" t="s">
        <v>130</v>
      </c>
      <c r="AN821" s="126" t="s">
        <v>131</v>
      </c>
      <c r="AO821" s="153">
        <v>90.0</v>
      </c>
      <c r="AP821" s="153">
        <v>0.0984246993206124</v>
      </c>
      <c r="AQ821" s="153" t="s">
        <v>166</v>
      </c>
      <c r="AR821" s="1150" t="s">
        <v>4113</v>
      </c>
      <c r="AS821" s="153">
        <v>0.355669153365095</v>
      </c>
      <c r="AT821" s="156" t="s">
        <v>165</v>
      </c>
      <c r="AU821" s="156" t="s">
        <v>129</v>
      </c>
      <c r="AV821" s="65" t="s">
        <v>130</v>
      </c>
      <c r="AW821" s="126" t="s">
        <v>131</v>
      </c>
      <c r="AX821" s="65" t="s">
        <v>136</v>
      </c>
      <c r="AZ821" s="65" t="s">
        <v>146</v>
      </c>
      <c r="BB821" s="69"/>
      <c r="BC821" s="69"/>
      <c r="BD821" s="69"/>
      <c r="BE821" s="69"/>
      <c r="BF821" s="69"/>
      <c r="BG821" s="69"/>
      <c r="BH821" s="69"/>
      <c r="BI821" s="69"/>
      <c r="BJ821" s="69"/>
      <c r="BK821" s="69"/>
      <c r="BL821" s="69"/>
      <c r="BM821" s="69"/>
      <c r="BN821" s="69"/>
      <c r="BO821" s="69"/>
      <c r="BP821" s="69"/>
      <c r="BQ821" s="69"/>
      <c r="BR821" s="69"/>
      <c r="BS821" s="69"/>
      <c r="BT821" s="69"/>
      <c r="BU821" s="69"/>
      <c r="BV821" s="69"/>
      <c r="BW821" s="69"/>
      <c r="BX821" s="69"/>
      <c r="BY821" s="69"/>
      <c r="BZ821" s="69"/>
      <c r="CA821" s="69"/>
      <c r="CB821" s="69"/>
      <c r="CC821" s="69"/>
      <c r="CD821" s="69"/>
      <c r="CE821" s="69"/>
      <c r="CF821" s="69"/>
      <c r="CG821" s="69"/>
      <c r="CH821" s="69"/>
      <c r="CI821" s="69"/>
      <c r="CJ821" s="69"/>
      <c r="CK821" s="69"/>
      <c r="CL821" s="69"/>
      <c r="CM821" s="69"/>
      <c r="CN821" s="69"/>
      <c r="CO821" s="69"/>
      <c r="CP821" s="69"/>
      <c r="CQ821" s="69"/>
      <c r="CR821" s="69"/>
      <c r="CS821" s="69"/>
      <c r="CT821" s="69"/>
      <c r="CU821" s="69"/>
      <c r="CV821" s="69"/>
      <c r="CW821" s="69"/>
      <c r="CX821" s="69"/>
      <c r="CY821" s="69"/>
      <c r="CZ821" s="69"/>
      <c r="DA821" s="69"/>
      <c r="DB821" s="69"/>
      <c r="DC821" s="69"/>
      <c r="DD821" s="69"/>
      <c r="DE821" s="69"/>
      <c r="DF821" s="69"/>
      <c r="DG821" s="69"/>
      <c r="DH821" s="69"/>
    </row>
    <row r="822">
      <c r="A822" s="41">
        <v>822.0</v>
      </c>
      <c r="B822" s="65" t="s">
        <v>107</v>
      </c>
      <c r="C822" s="59" t="s">
        <v>108</v>
      </c>
      <c r="D822" s="59" t="s">
        <v>241</v>
      </c>
      <c r="F822" s="156" t="s">
        <v>4491</v>
      </c>
      <c r="G822" s="54" t="s">
        <v>4492</v>
      </c>
      <c r="H822" s="156" t="s">
        <v>242</v>
      </c>
      <c r="I822" s="149">
        <v>45670.0</v>
      </c>
      <c r="J822" s="149">
        <v>45692.0</v>
      </c>
      <c r="K822" s="434" t="s">
        <v>4493</v>
      </c>
      <c r="L822" s="156" t="s">
        <v>4494</v>
      </c>
      <c r="M822" s="156" t="s">
        <v>4495</v>
      </c>
      <c r="N822" s="156" t="s">
        <v>4496</v>
      </c>
      <c r="O822" s="65"/>
      <c r="P822" s="156" t="str">
        <f t="shared" si="37"/>
        <v>10.1177--0956797615573516.pdf</v>
      </c>
      <c r="Q822" s="49" t="str">
        <f t="array" ref="Q822"> if(iserror(MATCH(V822, 'File Links'!C:C, 0)), "N/A", HYPERLINK(INDEX('File Links'!B:B, MATCH(P822, 'File Links'!C:C, 0))))</f>
        <v>https://drive.google.com/file/d/1JoVItYnEA8vA70xzVLnQEC3dgxMW-0on/view?usp=drivesdk</v>
      </c>
      <c r="R822" s="156" t="s">
        <v>3646</v>
      </c>
      <c r="S822" s="156" t="s">
        <v>3647</v>
      </c>
      <c r="T822" s="65"/>
      <c r="U822" s="153">
        <v>1.0</v>
      </c>
      <c r="V822" s="195" t="str">
        <f t="shared" si="45"/>
        <v>10.1098--rsos.231240.pdf</v>
      </c>
      <c r="W822" s="156" t="s">
        <v>317</v>
      </c>
      <c r="X822" s="51" t="str">
        <f t="array" ref="X822"> if(iserror(MATCH(V822, 'File Links'!C:C, 0)), "N/A", HYPERLINK(INDEX('File Links'!B:B, MATCH(V822, 'File Links'!C:C, 0))))</f>
        <v>https://drive.google.com/file/d/17gaf2Zy_ljFfcAEDk5L8GBnTl5i7RGJE/view?usp=drivesdk</v>
      </c>
      <c r="Y822" s="65"/>
      <c r="Z822" s="156" t="s">
        <v>219</v>
      </c>
      <c r="AA822" s="65"/>
      <c r="AB822" s="156" t="s">
        <v>3798</v>
      </c>
      <c r="AC822" s="65"/>
      <c r="AD822" s="156" t="s">
        <v>4497</v>
      </c>
      <c r="AE822" s="153">
        <v>8.0</v>
      </c>
      <c r="AF822" s="1056">
        <v>555.0</v>
      </c>
      <c r="AG822" s="153">
        <v>0.21</v>
      </c>
      <c r="AH822" s="156" t="s">
        <v>166</v>
      </c>
      <c r="AI822" s="156" t="s">
        <v>606</v>
      </c>
      <c r="AJ822" s="706">
        <v>0.093</v>
      </c>
      <c r="AK822" s="54" t="s">
        <v>165</v>
      </c>
      <c r="AL822" s="54" t="s">
        <v>129</v>
      </c>
      <c r="AM822" s="156" t="s">
        <v>134</v>
      </c>
      <c r="AN822" s="126" t="s">
        <v>131</v>
      </c>
      <c r="AO822" s="153">
        <v>124.0</v>
      </c>
      <c r="AP822" s="153">
        <v>-0.0580348785702567</v>
      </c>
      <c r="AQ822" s="156" t="s">
        <v>166</v>
      </c>
      <c r="AR822" s="1150" t="s">
        <v>4113</v>
      </c>
      <c r="AS822" s="153">
        <v>0.521018327214011</v>
      </c>
      <c r="AT822" s="156" t="s">
        <v>165</v>
      </c>
      <c r="AU822" s="156" t="s">
        <v>129</v>
      </c>
      <c r="AV822" s="156" t="s">
        <v>134</v>
      </c>
      <c r="AW822" s="126" t="s">
        <v>131</v>
      </c>
      <c r="AX822" s="156" t="s">
        <v>136</v>
      </c>
      <c r="AZ822" s="65" t="s">
        <v>146</v>
      </c>
      <c r="BB822" s="186"/>
      <c r="BC822" s="186"/>
      <c r="BD822" s="186"/>
      <c r="BE822" s="186"/>
      <c r="BF822" s="186"/>
      <c r="BG822" s="186"/>
      <c r="BH822" s="186"/>
      <c r="BI822" s="186"/>
      <c r="BJ822" s="186"/>
      <c r="BK822" s="186"/>
      <c r="BL822" s="186"/>
      <c r="BM822" s="186"/>
      <c r="BN822" s="186"/>
      <c r="BO822" s="186"/>
      <c r="BP822" s="186"/>
      <c r="BQ822" s="186"/>
      <c r="BR822" s="186"/>
      <c r="BS822" s="186"/>
      <c r="BT822" s="186"/>
      <c r="BU822" s="186"/>
      <c r="BV822" s="186"/>
      <c r="BW822" s="186"/>
      <c r="BX822" s="186"/>
      <c r="BY822" s="186"/>
      <c r="BZ822" s="186"/>
      <c r="CA822" s="186"/>
      <c r="CB822" s="186"/>
      <c r="CC822" s="186"/>
      <c r="CD822" s="186"/>
      <c r="CE822" s="186"/>
      <c r="CF822" s="186"/>
      <c r="CG822" s="186"/>
      <c r="CH822" s="186"/>
      <c r="CI822" s="186"/>
      <c r="CJ822" s="186"/>
      <c r="CK822" s="186"/>
      <c r="CL822" s="186"/>
      <c r="CM822" s="186"/>
      <c r="CN822" s="186"/>
      <c r="CO822" s="186"/>
      <c r="CP822" s="186"/>
      <c r="CQ822" s="186"/>
      <c r="CR822" s="186"/>
      <c r="CS822" s="186"/>
      <c r="CT822" s="186"/>
      <c r="CU822" s="186"/>
      <c r="CV822" s="186"/>
      <c r="CW822" s="186"/>
      <c r="CX822" s="186"/>
      <c r="CY822" s="186"/>
      <c r="CZ822" s="186"/>
      <c r="DA822" s="186"/>
      <c r="DB822" s="186"/>
      <c r="DC822" s="186"/>
      <c r="DD822" s="186"/>
      <c r="DE822" s="186"/>
      <c r="DF822" s="186"/>
      <c r="DG822" s="186"/>
      <c r="DH822" s="186"/>
    </row>
    <row r="823">
      <c r="A823" s="41">
        <v>823.0</v>
      </c>
      <c r="B823" s="126" t="s">
        <v>145</v>
      </c>
      <c r="C823" s="59" t="s">
        <v>108</v>
      </c>
      <c r="D823" s="1060" t="s">
        <v>146</v>
      </c>
      <c r="E823" s="1060" t="s">
        <v>3913</v>
      </c>
      <c r="F823" s="65" t="s">
        <v>4492</v>
      </c>
      <c r="G823" s="54" t="s">
        <v>4498</v>
      </c>
      <c r="H823" s="156" t="s">
        <v>146</v>
      </c>
      <c r="I823" s="149">
        <v>45687.0</v>
      </c>
      <c r="J823" s="149">
        <v>45692.0</v>
      </c>
      <c r="K823" s="434"/>
      <c r="L823" s="148" t="s">
        <v>4499</v>
      </c>
      <c r="M823" s="156" t="s">
        <v>4495</v>
      </c>
      <c r="N823" s="156" t="s">
        <v>4496</v>
      </c>
      <c r="O823" s="153">
        <v>2.0</v>
      </c>
      <c r="P823" s="156" t="str">
        <f t="shared" si="37"/>
        <v>10.1177--0956797615573516.pdf</v>
      </c>
      <c r="Q823" s="49" t="str">
        <f t="array" ref="Q823"> if(iserror(MATCH(V823, 'File Links'!C:C, 0)), "N/A", HYPERLINK(INDEX('File Links'!B:B, MATCH(P823, 'File Links'!C:C, 0))))</f>
        <v>https://drive.google.com/file/d/1JoVItYnEA8vA70xzVLnQEC3dgxMW-0on/view?usp=drivesdk</v>
      </c>
      <c r="R823" s="156" t="s">
        <v>3646</v>
      </c>
      <c r="S823" s="156" t="s">
        <v>3647</v>
      </c>
      <c r="T823" s="65"/>
      <c r="U823" s="153">
        <v>1.0</v>
      </c>
      <c r="V823" s="195" t="str">
        <f t="shared" si="45"/>
        <v>10.1098--rsos.231240.pdf</v>
      </c>
      <c r="W823" s="156" t="s">
        <v>3719</v>
      </c>
      <c r="X823" s="51" t="str">
        <f t="array" ref="X823"> if(iserror(MATCH(V823, 'File Links'!C:C, 0)), "N/A", HYPERLINK(INDEX('File Links'!B:B, MATCH(V823, 'File Links'!C:C, 0))))</f>
        <v>https://drive.google.com/file/d/17gaf2Zy_ljFfcAEDk5L8GBnTl5i7RGJE/view?usp=drivesdk</v>
      </c>
      <c r="Y823" s="65"/>
      <c r="Z823" s="156" t="s">
        <v>219</v>
      </c>
      <c r="AA823" s="156" t="s">
        <v>4500</v>
      </c>
      <c r="AB823" s="156" t="s">
        <v>4501</v>
      </c>
      <c r="AC823" s="156" t="s">
        <v>4502</v>
      </c>
      <c r="AD823" s="156" t="s">
        <v>4503</v>
      </c>
      <c r="AE823" s="153">
        <v>6.0</v>
      </c>
      <c r="AF823" s="1056">
        <v>555.0</v>
      </c>
      <c r="AG823" s="158">
        <v>0.625</v>
      </c>
      <c r="AH823" s="148" t="s">
        <v>166</v>
      </c>
      <c r="AI823" s="158" t="s">
        <v>4504</v>
      </c>
      <c r="AJ823" s="706">
        <v>0.001</v>
      </c>
      <c r="AK823" s="54" t="s">
        <v>165</v>
      </c>
      <c r="AL823" s="54" t="s">
        <v>129</v>
      </c>
      <c r="AM823" s="156" t="s">
        <v>134</v>
      </c>
      <c r="AN823" s="126" t="s">
        <v>131</v>
      </c>
      <c r="AO823" s="153">
        <v>50.0</v>
      </c>
      <c r="AP823" s="153">
        <v>-0.0580348785702567</v>
      </c>
      <c r="AQ823" s="156" t="s">
        <v>166</v>
      </c>
      <c r="AR823" s="1150" t="s">
        <v>4113</v>
      </c>
      <c r="AS823" s="153">
        <f>0.521018327214011</f>
        <v>0.5210183272</v>
      </c>
      <c r="AT823" s="156" t="s">
        <v>165</v>
      </c>
      <c r="AU823" s="156" t="s">
        <v>129</v>
      </c>
      <c r="AV823" s="156" t="s">
        <v>134</v>
      </c>
      <c r="AW823" s="126" t="s">
        <v>131</v>
      </c>
      <c r="AX823" s="65" t="s">
        <v>136</v>
      </c>
      <c r="AZ823" s="126" t="s">
        <v>3673</v>
      </c>
      <c r="BB823" s="186"/>
      <c r="BC823" s="186"/>
      <c r="BD823" s="186"/>
      <c r="BE823" s="186"/>
      <c r="BF823" s="186"/>
      <c r="BG823" s="186"/>
      <c r="BH823" s="186"/>
      <c r="BI823" s="186"/>
      <c r="BJ823" s="186"/>
      <c r="BK823" s="186"/>
      <c r="BL823" s="186"/>
      <c r="BM823" s="186"/>
      <c r="BN823" s="186"/>
      <c r="BO823" s="186"/>
      <c r="BP823" s="186"/>
      <c r="BQ823" s="186"/>
      <c r="BR823" s="186"/>
      <c r="BS823" s="186"/>
      <c r="BT823" s="186"/>
      <c r="BU823" s="186"/>
      <c r="BV823" s="186"/>
      <c r="BW823" s="186"/>
      <c r="BX823" s="186"/>
      <c r="BY823" s="186"/>
      <c r="BZ823" s="186"/>
      <c r="CA823" s="186"/>
      <c r="CB823" s="186"/>
      <c r="CC823" s="186"/>
      <c r="CD823" s="186"/>
      <c r="CE823" s="186"/>
      <c r="CF823" s="186"/>
      <c r="CG823" s="186"/>
      <c r="CH823" s="186"/>
      <c r="CI823" s="186"/>
      <c r="CJ823" s="186"/>
      <c r="CK823" s="186"/>
      <c r="CL823" s="186"/>
      <c r="CM823" s="186"/>
      <c r="CN823" s="186"/>
      <c r="CO823" s="186"/>
      <c r="CP823" s="186"/>
      <c r="CQ823" s="186"/>
      <c r="CR823" s="186"/>
      <c r="CS823" s="186"/>
      <c r="CT823" s="186"/>
      <c r="CU823" s="186"/>
      <c r="CV823" s="186"/>
      <c r="CW823" s="186"/>
      <c r="CX823" s="186"/>
      <c r="CY823" s="186"/>
      <c r="CZ823" s="186"/>
      <c r="DA823" s="186"/>
      <c r="DB823" s="186"/>
      <c r="DC823" s="186"/>
      <c r="DD823" s="186"/>
      <c r="DE823" s="186"/>
      <c r="DF823" s="186"/>
      <c r="DG823" s="186"/>
      <c r="DH823" s="186"/>
    </row>
    <row r="824">
      <c r="A824" s="41">
        <v>824.0</v>
      </c>
      <c r="B824" s="65" t="s">
        <v>107</v>
      </c>
      <c r="C824" s="59" t="s">
        <v>108</v>
      </c>
      <c r="D824" s="59" t="s">
        <v>146</v>
      </c>
      <c r="F824" s="65" t="s">
        <v>4492</v>
      </c>
      <c r="G824" s="54" t="s">
        <v>4491</v>
      </c>
      <c r="H824" s="156" t="s">
        <v>146</v>
      </c>
      <c r="I824" s="149">
        <v>45687.0</v>
      </c>
      <c r="J824" s="149">
        <v>45692.0</v>
      </c>
      <c r="K824" s="1052" t="s">
        <v>4505</v>
      </c>
      <c r="L824" s="65"/>
      <c r="M824" s="156" t="s">
        <v>4495</v>
      </c>
      <c r="N824" s="156" t="s">
        <v>4496</v>
      </c>
      <c r="O824" s="153">
        <v>3.0</v>
      </c>
      <c r="P824" s="156" t="str">
        <f t="shared" si="37"/>
        <v>10.1177--0956797615573516.pdf</v>
      </c>
      <c r="Q824" s="49" t="str">
        <f t="array" ref="Q824"> if(iserror(MATCH(V824, 'File Links'!C:C, 0)), "N/A", HYPERLINK(INDEX('File Links'!B:B, MATCH(P824, 'File Links'!C:C, 0))))</f>
        <v>https://drive.google.com/file/d/1JoVItYnEA8vA70xzVLnQEC3dgxMW-0on/view?usp=drivesdk</v>
      </c>
      <c r="R824" s="156" t="s">
        <v>3646</v>
      </c>
      <c r="S824" s="156" t="s">
        <v>3647</v>
      </c>
      <c r="T824" s="65"/>
      <c r="U824" s="153">
        <v>1.0</v>
      </c>
      <c r="V824" s="379" t="s">
        <v>3651</v>
      </c>
      <c r="W824" s="65"/>
      <c r="X824" s="51" t="str">
        <f t="array" ref="X824"> if(iserror(MATCH(V824, 'File Links'!C:C, 0)), "N/A", HYPERLINK(INDEX('File Links'!B:B, MATCH(V824, 'File Links'!C:C, 0))))</f>
        <v>https://drive.google.com/file/d/17gaf2Zy_ljFfcAEDk5L8GBnTl5i7RGJE/view?usp=drivesdk</v>
      </c>
      <c r="Y824" s="156" t="s">
        <v>3652</v>
      </c>
      <c r="Z824" s="65"/>
      <c r="AA824" s="65"/>
      <c r="AB824" s="65"/>
      <c r="AC824" s="65"/>
      <c r="AD824" s="65"/>
      <c r="AE824" s="65"/>
      <c r="AF824" s="65"/>
      <c r="AG824" s="65"/>
      <c r="AH824" s="65"/>
      <c r="AI824" s="65"/>
      <c r="AJ824" s="335"/>
      <c r="AK824" s="58"/>
      <c r="AL824" s="58"/>
      <c r="AM824" s="65"/>
      <c r="AN824" s="126" t="s">
        <v>131</v>
      </c>
      <c r="AO824" s="65"/>
      <c r="AP824" s="65"/>
      <c r="AQ824" s="65"/>
      <c r="AR824" s="1150" t="s">
        <v>4113</v>
      </c>
      <c r="AS824" s="65"/>
      <c r="AT824" s="65"/>
      <c r="AU824" s="156" t="s">
        <v>129</v>
      </c>
      <c r="AV824" s="156" t="s">
        <v>134</v>
      </c>
      <c r="AW824" s="126" t="s">
        <v>131</v>
      </c>
      <c r="AX824" s="65"/>
      <c r="AZ824" s="65" t="s">
        <v>146</v>
      </c>
    </row>
    <row r="825">
      <c r="A825" s="107">
        <v>825.0</v>
      </c>
      <c r="B825" s="144" t="s">
        <v>145</v>
      </c>
      <c r="C825" s="146" t="s">
        <v>108</v>
      </c>
      <c r="D825" s="146" t="s">
        <v>146</v>
      </c>
      <c r="E825" s="69"/>
      <c r="F825" s="108" t="s">
        <v>4506</v>
      </c>
      <c r="G825" s="109" t="s">
        <v>4507</v>
      </c>
      <c r="H825" s="119" t="s">
        <v>146</v>
      </c>
      <c r="I825" s="414">
        <v>45687.0</v>
      </c>
      <c r="J825" s="414">
        <v>45692.0</v>
      </c>
      <c r="K825" s="1118" t="s">
        <v>4508</v>
      </c>
      <c r="L825" s="108"/>
      <c r="M825" s="119" t="s">
        <v>4495</v>
      </c>
      <c r="N825" s="119" t="s">
        <v>4496</v>
      </c>
      <c r="O825" s="534">
        <v>2.0</v>
      </c>
      <c r="P825" s="119" t="str">
        <f t="shared" si="37"/>
        <v>10.1177--0956797615573516.pdf</v>
      </c>
      <c r="Q825" s="1158" t="str">
        <f t="array" ref="Q825"> if(iserror(MATCH(V825, 'File Links'!C:C, 0)), "N/A", HYPERLINK(INDEX('File Links'!B:B, MATCH(P825, 'File Links'!C:C, 0))))</f>
        <v>https://drive.google.com/file/d/1JoVItYnEA8vA70xzVLnQEC3dgxMW-0on/view?usp=drivesdk</v>
      </c>
      <c r="R825" s="119" t="s">
        <v>3646</v>
      </c>
      <c r="S825" s="119" t="s">
        <v>3647</v>
      </c>
      <c r="T825" s="108"/>
      <c r="U825" s="534">
        <v>1.0</v>
      </c>
      <c r="V825" s="119" t="str">
        <f t="shared" ref="V825:V867" si="46"> hyperlink(vlookup(lower(S825),#REF!, 2, FALSE), SUBSTITUTE(lower(S825), "/", "--") &amp;  ".pdf")</f>
        <v>10.1098--rsos.231240.pdf</v>
      </c>
      <c r="W825" s="119" t="s">
        <v>3800</v>
      </c>
      <c r="X825" s="1159" t="str">
        <f t="array" ref="X825"> if(iserror(MATCH(V825, 'File Links'!C:C, 0)), "N/A", HYPERLINK(INDEX('File Links'!B:B, MATCH(V825, 'File Links'!C:C, 0))))</f>
        <v>https://drive.google.com/file/d/17gaf2Zy_ljFfcAEDk5L8GBnTl5i7RGJE/view?usp=drivesdk</v>
      </c>
      <c r="Y825" s="108"/>
      <c r="Z825" s="119" t="s">
        <v>219</v>
      </c>
      <c r="AA825" s="119" t="s">
        <v>4500</v>
      </c>
      <c r="AB825" s="119" t="s">
        <v>4501</v>
      </c>
      <c r="AC825" s="119" t="s">
        <v>4509</v>
      </c>
      <c r="AD825" s="119" t="s">
        <v>4510</v>
      </c>
      <c r="AE825" s="534">
        <v>6.0</v>
      </c>
      <c r="AF825" s="534">
        <v>151.0</v>
      </c>
      <c r="AG825" s="534">
        <v>0.07</v>
      </c>
      <c r="AH825" s="534" t="s">
        <v>132</v>
      </c>
      <c r="AI825" s="534" t="s">
        <v>133</v>
      </c>
      <c r="AJ825" s="1107">
        <v>0.001</v>
      </c>
      <c r="AK825" s="109" t="s">
        <v>128</v>
      </c>
      <c r="AL825" s="109" t="s">
        <v>129</v>
      </c>
      <c r="AM825" s="119" t="s">
        <v>134</v>
      </c>
      <c r="AN825" s="144" t="s">
        <v>131</v>
      </c>
      <c r="AO825" s="534">
        <v>50.0</v>
      </c>
      <c r="AP825" s="1188">
        <v>0.07</v>
      </c>
      <c r="AQ825" s="534" t="s">
        <v>867</v>
      </c>
      <c r="AR825" s="534" t="s">
        <v>606</v>
      </c>
      <c r="AS825" s="534">
        <v>0.002</v>
      </c>
      <c r="AT825" s="119" t="s">
        <v>165</v>
      </c>
      <c r="AU825" s="119" t="s">
        <v>129</v>
      </c>
      <c r="AV825" s="119" t="s">
        <v>134</v>
      </c>
      <c r="AW825" s="126" t="s">
        <v>131</v>
      </c>
      <c r="AX825" s="108" t="s">
        <v>136</v>
      </c>
      <c r="AY825" s="69"/>
      <c r="AZ825" s="108" t="s">
        <v>146</v>
      </c>
      <c r="BA825" s="69"/>
      <c r="BB825" s="69"/>
      <c r="BC825" s="69"/>
      <c r="BD825" s="69"/>
      <c r="BE825" s="69"/>
      <c r="BF825" s="69"/>
      <c r="BG825" s="69"/>
      <c r="BH825" s="69"/>
      <c r="BI825" s="69"/>
      <c r="BJ825" s="69"/>
      <c r="BK825" s="69"/>
      <c r="BL825" s="69"/>
      <c r="BM825" s="69"/>
      <c r="BN825" s="69"/>
      <c r="BO825" s="69"/>
      <c r="BP825" s="69"/>
      <c r="BQ825" s="69"/>
      <c r="BR825" s="69"/>
      <c r="BS825" s="69"/>
      <c r="BT825" s="69"/>
      <c r="BU825" s="69"/>
      <c r="BV825" s="69"/>
      <c r="BW825" s="69"/>
      <c r="BX825" s="69"/>
      <c r="BY825" s="69"/>
      <c r="BZ825" s="69"/>
      <c r="CA825" s="69"/>
      <c r="CB825" s="69"/>
      <c r="CC825" s="69"/>
      <c r="CD825" s="69"/>
      <c r="CE825" s="69"/>
      <c r="CF825" s="69"/>
      <c r="CG825" s="69"/>
      <c r="CH825" s="69"/>
      <c r="CI825" s="69"/>
      <c r="CJ825" s="69"/>
      <c r="CK825" s="69"/>
      <c r="CL825" s="69"/>
      <c r="CM825" s="69"/>
      <c r="CN825" s="69"/>
      <c r="CO825" s="69"/>
      <c r="CP825" s="69"/>
      <c r="CQ825" s="69"/>
      <c r="CR825" s="69"/>
      <c r="CS825" s="69"/>
      <c r="CT825" s="69"/>
      <c r="CU825" s="69"/>
      <c r="CV825" s="69"/>
      <c r="CW825" s="69"/>
      <c r="CX825" s="69"/>
      <c r="CY825" s="69"/>
      <c r="CZ825" s="69"/>
      <c r="DA825" s="69"/>
      <c r="DB825" s="69"/>
      <c r="DC825" s="69"/>
      <c r="DD825" s="69"/>
      <c r="DE825" s="69"/>
      <c r="DF825" s="69"/>
      <c r="DG825" s="69"/>
      <c r="DH825" s="69"/>
    </row>
    <row r="826">
      <c r="A826" s="107">
        <v>826.0</v>
      </c>
      <c r="B826" s="108" t="s">
        <v>107</v>
      </c>
      <c r="C826" s="146" t="s">
        <v>108</v>
      </c>
      <c r="D826" s="146" t="s">
        <v>241</v>
      </c>
      <c r="E826" s="69"/>
      <c r="F826" s="108" t="s">
        <v>4506</v>
      </c>
      <c r="G826" s="109" t="s">
        <v>4511</v>
      </c>
      <c r="H826" s="119" t="s">
        <v>242</v>
      </c>
      <c r="I826" s="414">
        <v>45670.0</v>
      </c>
      <c r="J826" s="414">
        <v>45692.0</v>
      </c>
      <c r="K826" s="215" t="s">
        <v>4512</v>
      </c>
      <c r="L826" s="108" t="s">
        <v>4513</v>
      </c>
      <c r="M826" s="119" t="s">
        <v>4495</v>
      </c>
      <c r="N826" s="119" t="s">
        <v>4496</v>
      </c>
      <c r="O826" s="108"/>
      <c r="P826" s="119" t="str">
        <f t="shared" si="37"/>
        <v>10.1177--0956797615573516.pdf</v>
      </c>
      <c r="Q826" s="1158" t="str">
        <f t="array" ref="Q826"> if(iserror(MATCH(V826, 'File Links'!C:C, 0)), "N/A", HYPERLINK(INDEX('File Links'!B:B, MATCH(P826, 'File Links'!C:C, 0))))</f>
        <v>https://drive.google.com/file/d/1JoVItYnEA8vA70xzVLnQEC3dgxMW-0on/view?usp=drivesdk</v>
      </c>
      <c r="R826" s="119" t="s">
        <v>3646</v>
      </c>
      <c r="S826" s="119" t="s">
        <v>3647</v>
      </c>
      <c r="T826" s="108"/>
      <c r="U826" s="534">
        <v>1.0</v>
      </c>
      <c r="V826" s="119" t="str">
        <f t="shared" si="46"/>
        <v>10.1098--rsos.231240.pdf</v>
      </c>
      <c r="W826" s="119" t="s">
        <v>3800</v>
      </c>
      <c r="X826" s="1159" t="str">
        <f t="array" ref="X826"> if(iserror(MATCH(V826, 'File Links'!C:C, 0)), "N/A", HYPERLINK(INDEX('File Links'!B:B, MATCH(V826, 'File Links'!C:C, 0))))</f>
        <v>https://drive.google.com/file/d/17gaf2Zy_ljFfcAEDk5L8GBnTl5i7RGJE/view?usp=drivesdk</v>
      </c>
      <c r="Y826" s="108"/>
      <c r="Z826" s="119" t="s">
        <v>219</v>
      </c>
      <c r="AA826" s="108"/>
      <c r="AB826" s="119" t="s">
        <v>4514</v>
      </c>
      <c r="AC826" s="108"/>
      <c r="AD826" s="119" t="s">
        <v>4515</v>
      </c>
      <c r="AE826" s="534">
        <v>2.0</v>
      </c>
      <c r="AF826" s="534">
        <v>151.0</v>
      </c>
      <c r="AG826" s="1103">
        <v>0.7</v>
      </c>
      <c r="AH826" s="119" t="s">
        <v>132</v>
      </c>
      <c r="AI826" s="119" t="s">
        <v>133</v>
      </c>
      <c r="AJ826" s="363">
        <v>0.001</v>
      </c>
      <c r="AK826" s="109" t="s">
        <v>165</v>
      </c>
      <c r="AL826" s="109" t="s">
        <v>129</v>
      </c>
      <c r="AM826" s="119" t="s">
        <v>134</v>
      </c>
      <c r="AN826" s="144" t="s">
        <v>131</v>
      </c>
      <c r="AO826" s="534">
        <v>50.0</v>
      </c>
      <c r="AP826" s="534">
        <v>3.63</v>
      </c>
      <c r="AQ826" s="119" t="s">
        <v>1024</v>
      </c>
      <c r="AR826" s="108"/>
      <c r="AS826" s="534">
        <v>0.002</v>
      </c>
      <c r="AT826" s="119" t="s">
        <v>165</v>
      </c>
      <c r="AU826" s="119" t="s">
        <v>129</v>
      </c>
      <c r="AV826" s="119" t="s">
        <v>134</v>
      </c>
      <c r="AW826" s="126" t="s">
        <v>131</v>
      </c>
      <c r="AX826" s="119" t="s">
        <v>136</v>
      </c>
      <c r="AY826" s="69"/>
      <c r="AZ826" s="108" t="s">
        <v>146</v>
      </c>
      <c r="BA826" s="69"/>
      <c r="BB826" s="69"/>
      <c r="BC826" s="69"/>
      <c r="BD826" s="69"/>
      <c r="BE826" s="69"/>
      <c r="BF826" s="69"/>
      <c r="BG826" s="69"/>
      <c r="BH826" s="69"/>
      <c r="BI826" s="69"/>
      <c r="BJ826" s="69"/>
      <c r="BK826" s="69"/>
      <c r="BL826" s="69"/>
      <c r="BM826" s="69"/>
      <c r="BN826" s="69"/>
      <c r="BO826" s="69"/>
      <c r="BP826" s="69"/>
      <c r="BQ826" s="69"/>
      <c r="BR826" s="69"/>
      <c r="BS826" s="69"/>
      <c r="BT826" s="69"/>
      <c r="BU826" s="69"/>
      <c r="BV826" s="69"/>
      <c r="BW826" s="69"/>
      <c r="BX826" s="69"/>
      <c r="BY826" s="69"/>
      <c r="BZ826" s="69"/>
      <c r="CA826" s="69"/>
      <c r="CB826" s="69"/>
      <c r="CC826" s="69"/>
      <c r="CD826" s="69"/>
      <c r="CE826" s="69"/>
      <c r="CF826" s="69"/>
      <c r="CG826" s="69"/>
      <c r="CH826" s="69"/>
      <c r="CI826" s="69"/>
      <c r="CJ826" s="69"/>
      <c r="CK826" s="69"/>
      <c r="CL826" s="69"/>
      <c r="CM826" s="69"/>
      <c r="CN826" s="69"/>
      <c r="CO826" s="69"/>
      <c r="CP826" s="69"/>
      <c r="CQ826" s="69"/>
      <c r="CR826" s="69"/>
      <c r="CS826" s="69"/>
      <c r="CT826" s="69"/>
      <c r="CU826" s="69"/>
      <c r="CV826" s="69"/>
      <c r="CW826" s="69"/>
      <c r="CX826" s="69"/>
      <c r="CY826" s="69"/>
      <c r="CZ826" s="69"/>
      <c r="DA826" s="69"/>
      <c r="DB826" s="69"/>
      <c r="DC826" s="69"/>
      <c r="DD826" s="69"/>
      <c r="DE826" s="69"/>
      <c r="DF826" s="69"/>
      <c r="DG826" s="69"/>
      <c r="DH826" s="69"/>
    </row>
    <row r="827">
      <c r="A827" s="107">
        <v>827.0</v>
      </c>
      <c r="B827" s="144" t="s">
        <v>4516</v>
      </c>
      <c r="C827" s="146" t="s">
        <v>108</v>
      </c>
      <c r="D827" s="146" t="s">
        <v>146</v>
      </c>
      <c r="E827" s="69"/>
      <c r="F827" s="108" t="s">
        <v>4506</v>
      </c>
      <c r="G827" s="109" t="s">
        <v>4517</v>
      </c>
      <c r="H827" s="119" t="s">
        <v>146</v>
      </c>
      <c r="I827" s="414">
        <v>45687.0</v>
      </c>
      <c r="J827" s="414">
        <v>45692.0</v>
      </c>
      <c r="K827" s="1118" t="s">
        <v>4518</v>
      </c>
      <c r="L827" s="108"/>
      <c r="M827" s="119" t="s">
        <v>4495</v>
      </c>
      <c r="N827" s="119" t="s">
        <v>4496</v>
      </c>
      <c r="O827" s="534">
        <v>2.0</v>
      </c>
      <c r="P827" s="119" t="str">
        <f t="shared" si="37"/>
        <v>10.1177--0956797615573516.pdf</v>
      </c>
      <c r="Q827" s="1158" t="str">
        <f t="array" ref="Q827"> if(iserror(MATCH(V827, 'File Links'!C:C, 0)), "N/A", HYPERLINK(INDEX('File Links'!B:B, MATCH(P827, 'File Links'!C:C, 0))))</f>
        <v>https://drive.google.com/file/d/1JoVItYnEA8vA70xzVLnQEC3dgxMW-0on/view?usp=drivesdk</v>
      </c>
      <c r="R827" s="119" t="s">
        <v>3646</v>
      </c>
      <c r="S827" s="119" t="s">
        <v>3647</v>
      </c>
      <c r="T827" s="108"/>
      <c r="U827" s="534">
        <v>1.0</v>
      </c>
      <c r="V827" s="119" t="str">
        <f t="shared" si="46"/>
        <v>10.1098--rsos.231240.pdf</v>
      </c>
      <c r="W827" s="119" t="s">
        <v>3800</v>
      </c>
      <c r="X827" s="1159" t="str">
        <f t="array" ref="X827"> if(iserror(MATCH(V827, 'File Links'!C:C, 0)), "N/A", HYPERLINK(INDEX('File Links'!B:B, MATCH(V827, 'File Links'!C:C, 0))))</f>
        <v>https://drive.google.com/file/d/17gaf2Zy_ljFfcAEDk5L8GBnTl5i7RGJE/view?usp=drivesdk</v>
      </c>
      <c r="Y827" s="108"/>
      <c r="Z827" s="119" t="s">
        <v>219</v>
      </c>
      <c r="AA827" s="119" t="s">
        <v>4500</v>
      </c>
      <c r="AB827" s="119" t="s">
        <v>4501</v>
      </c>
      <c r="AC827" s="119" t="s">
        <v>4519</v>
      </c>
      <c r="AD827" s="119" t="s">
        <v>4520</v>
      </c>
      <c r="AE827" s="534">
        <v>6.0</v>
      </c>
      <c r="AF827" s="534">
        <v>151.0</v>
      </c>
      <c r="AG827" s="534" t="s">
        <v>4521</v>
      </c>
      <c r="AH827" s="534" t="s">
        <v>127</v>
      </c>
      <c r="AI827" s="534" t="s">
        <v>133</v>
      </c>
      <c r="AJ827" s="363">
        <v>0.001</v>
      </c>
      <c r="AK827" s="109" t="s">
        <v>128</v>
      </c>
      <c r="AL827" s="109" t="s">
        <v>129</v>
      </c>
      <c r="AM827" s="119" t="s">
        <v>134</v>
      </c>
      <c r="AN827" s="144" t="s">
        <v>131</v>
      </c>
      <c r="AO827" s="534">
        <v>50.0</v>
      </c>
      <c r="AP827" s="534" t="s">
        <v>4522</v>
      </c>
      <c r="AQ827" s="534" t="s">
        <v>127</v>
      </c>
      <c r="AR827" s="534" t="s">
        <v>606</v>
      </c>
      <c r="AS827" s="534">
        <v>0.001</v>
      </c>
      <c r="AT827" s="119" t="s">
        <v>128</v>
      </c>
      <c r="AU827" s="119" t="s">
        <v>129</v>
      </c>
      <c r="AV827" s="119" t="s">
        <v>134</v>
      </c>
      <c r="AW827" s="126" t="s">
        <v>131</v>
      </c>
      <c r="AX827" s="108" t="s">
        <v>136</v>
      </c>
      <c r="AY827" s="69"/>
      <c r="AZ827" s="108" t="s">
        <v>146</v>
      </c>
      <c r="BA827" s="69"/>
      <c r="BB827" s="69"/>
      <c r="BC827" s="69"/>
      <c r="BD827" s="69"/>
      <c r="BE827" s="69"/>
      <c r="BF827" s="69"/>
      <c r="BG827" s="69"/>
      <c r="BH827" s="69"/>
      <c r="BI827" s="69"/>
      <c r="BJ827" s="69"/>
      <c r="BK827" s="69"/>
      <c r="BL827" s="69"/>
      <c r="BM827" s="69"/>
      <c r="BN827" s="69"/>
      <c r="BO827" s="69"/>
      <c r="BP827" s="69"/>
      <c r="BQ827" s="69"/>
      <c r="BR827" s="69"/>
      <c r="BS827" s="69"/>
      <c r="BT827" s="69"/>
      <c r="BU827" s="69"/>
      <c r="BV827" s="69"/>
      <c r="BW827" s="69"/>
      <c r="BX827" s="69"/>
      <c r="BY827" s="69"/>
      <c r="BZ827" s="69"/>
      <c r="CA827" s="69"/>
      <c r="CB827" s="69"/>
      <c r="CC827" s="69"/>
      <c r="CD827" s="69"/>
      <c r="CE827" s="69"/>
      <c r="CF827" s="69"/>
      <c r="CG827" s="69"/>
      <c r="CH827" s="69"/>
      <c r="CI827" s="69"/>
      <c r="CJ827" s="69"/>
      <c r="CK827" s="69"/>
      <c r="CL827" s="69"/>
      <c r="CM827" s="69"/>
      <c r="CN827" s="69"/>
      <c r="CO827" s="69"/>
      <c r="CP827" s="69"/>
      <c r="CQ827" s="69"/>
      <c r="CR827" s="69"/>
      <c r="CS827" s="69"/>
      <c r="CT827" s="69"/>
      <c r="CU827" s="69"/>
      <c r="CV827" s="69"/>
      <c r="CW827" s="69"/>
      <c r="CX827" s="69"/>
      <c r="CY827" s="69"/>
      <c r="CZ827" s="69"/>
      <c r="DA827" s="69"/>
      <c r="DB827" s="69"/>
      <c r="DC827" s="69"/>
      <c r="DD827" s="69"/>
      <c r="DE827" s="69"/>
      <c r="DF827" s="69"/>
      <c r="DG827" s="69"/>
      <c r="DH827" s="69"/>
    </row>
    <row r="828">
      <c r="A828" s="107">
        <v>828.0</v>
      </c>
      <c r="B828" s="144" t="s">
        <v>4516</v>
      </c>
      <c r="C828" s="146" t="s">
        <v>108</v>
      </c>
      <c r="D828" s="146" t="s">
        <v>146</v>
      </c>
      <c r="E828" s="69"/>
      <c r="F828" s="108" t="s">
        <v>4506</v>
      </c>
      <c r="G828" s="109" t="s">
        <v>4523</v>
      </c>
      <c r="H828" s="119" t="s">
        <v>146</v>
      </c>
      <c r="I828" s="414">
        <v>45687.0</v>
      </c>
      <c r="J828" s="414">
        <v>45692.0</v>
      </c>
      <c r="K828" s="1118" t="s">
        <v>4524</v>
      </c>
      <c r="L828" s="108"/>
      <c r="M828" s="119" t="s">
        <v>4495</v>
      </c>
      <c r="N828" s="119" t="s">
        <v>4496</v>
      </c>
      <c r="O828" s="534">
        <v>2.0</v>
      </c>
      <c r="P828" s="119" t="str">
        <f t="shared" si="37"/>
        <v>10.1177--0956797615573516.pdf</v>
      </c>
      <c r="Q828" s="1158" t="str">
        <f t="array" ref="Q828"> if(iserror(MATCH(V828, 'File Links'!C:C, 0)), "N/A", HYPERLINK(INDEX('File Links'!B:B, MATCH(P828, 'File Links'!C:C, 0))))</f>
        <v>https://drive.google.com/file/d/1JoVItYnEA8vA70xzVLnQEC3dgxMW-0on/view?usp=drivesdk</v>
      </c>
      <c r="R828" s="119" t="s">
        <v>3646</v>
      </c>
      <c r="S828" s="119" t="s">
        <v>3647</v>
      </c>
      <c r="T828" s="108"/>
      <c r="U828" s="534">
        <v>1.0</v>
      </c>
      <c r="V828" s="119" t="str">
        <f t="shared" si="46"/>
        <v>10.1098--rsos.231240.pdf</v>
      </c>
      <c r="W828" s="119" t="s">
        <v>3800</v>
      </c>
      <c r="X828" s="1159" t="str">
        <f t="array" ref="X828"> if(iserror(MATCH(V828, 'File Links'!C:C, 0)), "N/A", HYPERLINK(INDEX('File Links'!B:B, MATCH(V828, 'File Links'!C:C, 0))))</f>
        <v>https://drive.google.com/file/d/17gaf2Zy_ljFfcAEDk5L8GBnTl5i7RGJE/view?usp=drivesdk</v>
      </c>
      <c r="Y828" s="108"/>
      <c r="Z828" s="119" t="s">
        <v>219</v>
      </c>
      <c r="AA828" s="119" t="s">
        <v>4500</v>
      </c>
      <c r="AB828" s="119" t="s">
        <v>4501</v>
      </c>
      <c r="AC828" s="119" t="s">
        <v>4502</v>
      </c>
      <c r="AD828" s="119" t="s">
        <v>4520</v>
      </c>
      <c r="AE828" s="534">
        <v>6.0</v>
      </c>
      <c r="AF828" s="534">
        <v>151.0</v>
      </c>
      <c r="AG828" s="534" t="s">
        <v>4525</v>
      </c>
      <c r="AH828" s="534" t="s">
        <v>127</v>
      </c>
      <c r="AI828" s="534" t="s">
        <v>133</v>
      </c>
      <c r="AJ828" s="363">
        <v>0.15</v>
      </c>
      <c r="AK828" s="109" t="s">
        <v>165</v>
      </c>
      <c r="AL828" s="109" t="s">
        <v>129</v>
      </c>
      <c r="AM828" s="119" t="s">
        <v>134</v>
      </c>
      <c r="AN828" s="144" t="s">
        <v>131</v>
      </c>
      <c r="AO828" s="534">
        <v>50.0</v>
      </c>
      <c r="AP828" s="534" t="s">
        <v>4526</v>
      </c>
      <c r="AQ828" s="534" t="s">
        <v>127</v>
      </c>
      <c r="AR828" s="534" t="s">
        <v>606</v>
      </c>
      <c r="AS828" s="534">
        <v>0.238</v>
      </c>
      <c r="AT828" s="119" t="s">
        <v>165</v>
      </c>
      <c r="AU828" s="119" t="s">
        <v>129</v>
      </c>
      <c r="AV828" s="119" t="s">
        <v>134</v>
      </c>
      <c r="AW828" s="126" t="s">
        <v>131</v>
      </c>
      <c r="AX828" s="108" t="s">
        <v>136</v>
      </c>
      <c r="AY828" s="69"/>
      <c r="AZ828" s="108" t="s">
        <v>146</v>
      </c>
      <c r="BA828" s="69"/>
      <c r="BB828" s="69"/>
      <c r="BC828" s="69"/>
      <c r="BD828" s="69"/>
      <c r="BE828" s="69"/>
      <c r="BF828" s="69"/>
      <c r="BG828" s="69"/>
      <c r="BH828" s="69"/>
      <c r="BI828" s="69"/>
      <c r="BJ828" s="69"/>
      <c r="BK828" s="69"/>
      <c r="BL828" s="69"/>
      <c r="BM828" s="69"/>
      <c r="BN828" s="69"/>
      <c r="BO828" s="69"/>
      <c r="BP828" s="69"/>
      <c r="BQ828" s="69"/>
      <c r="BR828" s="69"/>
      <c r="BS828" s="69"/>
      <c r="BT828" s="69"/>
      <c r="BU828" s="69"/>
      <c r="BV828" s="69"/>
      <c r="BW828" s="69"/>
      <c r="BX828" s="69"/>
      <c r="BY828" s="69"/>
      <c r="BZ828" s="69"/>
      <c r="CA828" s="69"/>
      <c r="CB828" s="69"/>
      <c r="CC828" s="69"/>
      <c r="CD828" s="69"/>
      <c r="CE828" s="69"/>
      <c r="CF828" s="69"/>
      <c r="CG828" s="69"/>
      <c r="CH828" s="69"/>
      <c r="CI828" s="69"/>
      <c r="CJ828" s="69"/>
      <c r="CK828" s="69"/>
      <c r="CL828" s="69"/>
      <c r="CM828" s="69"/>
      <c r="CN828" s="69"/>
      <c r="CO828" s="69"/>
      <c r="CP828" s="69"/>
      <c r="CQ828" s="69"/>
      <c r="CR828" s="69"/>
      <c r="CS828" s="69"/>
      <c r="CT828" s="69"/>
      <c r="CU828" s="69"/>
      <c r="CV828" s="69"/>
      <c r="CW828" s="69"/>
      <c r="CX828" s="69"/>
      <c r="CY828" s="69"/>
      <c r="CZ828" s="69"/>
      <c r="DA828" s="69"/>
      <c r="DB828" s="69"/>
      <c r="DC828" s="69"/>
      <c r="DD828" s="69"/>
      <c r="DE828" s="69"/>
      <c r="DF828" s="69"/>
      <c r="DG828" s="69"/>
      <c r="DH828" s="69"/>
    </row>
    <row r="829">
      <c r="A829" s="107">
        <v>829.0</v>
      </c>
      <c r="B829" s="144" t="s">
        <v>4516</v>
      </c>
      <c r="C829" s="146" t="s">
        <v>108</v>
      </c>
      <c r="D829" s="146" t="s">
        <v>146</v>
      </c>
      <c r="E829" s="69"/>
      <c r="F829" s="108" t="s">
        <v>4506</v>
      </c>
      <c r="G829" s="109" t="s">
        <v>4527</v>
      </c>
      <c r="H829" s="119" t="s">
        <v>146</v>
      </c>
      <c r="I829" s="414">
        <v>45687.0</v>
      </c>
      <c r="J829" s="414">
        <v>45692.0</v>
      </c>
      <c r="K829" s="1118" t="s">
        <v>4528</v>
      </c>
      <c r="L829" s="108"/>
      <c r="M829" s="119" t="s">
        <v>4495</v>
      </c>
      <c r="N829" s="119" t="s">
        <v>4496</v>
      </c>
      <c r="O829" s="534">
        <v>2.0</v>
      </c>
      <c r="P829" s="119" t="str">
        <f t="shared" si="37"/>
        <v>10.1177--0956797615573516.pdf</v>
      </c>
      <c r="Q829" s="1158" t="str">
        <f t="array" ref="Q829"> if(iserror(MATCH(V829, 'File Links'!C:C, 0)), "N/A", HYPERLINK(INDEX('File Links'!B:B, MATCH(P829, 'File Links'!C:C, 0))))</f>
        <v>https://drive.google.com/file/d/1JoVItYnEA8vA70xzVLnQEC3dgxMW-0on/view?usp=drivesdk</v>
      </c>
      <c r="R829" s="119" t="s">
        <v>3646</v>
      </c>
      <c r="S829" s="119" t="s">
        <v>3647</v>
      </c>
      <c r="T829" s="108"/>
      <c r="U829" s="534">
        <v>1.0</v>
      </c>
      <c r="V829" s="119" t="str">
        <f t="shared" si="46"/>
        <v>10.1098--rsos.231240.pdf</v>
      </c>
      <c r="W829" s="119" t="s">
        <v>3800</v>
      </c>
      <c r="X829" s="1159" t="str">
        <f t="array" ref="X829"> if(iserror(MATCH(V829, 'File Links'!C:C, 0)), "N/A", HYPERLINK(INDEX('File Links'!B:B, MATCH(V829, 'File Links'!C:C, 0))))</f>
        <v>https://drive.google.com/file/d/17gaf2Zy_ljFfcAEDk5L8GBnTl5i7RGJE/view?usp=drivesdk</v>
      </c>
      <c r="Y829" s="108"/>
      <c r="Z829" s="119" t="s">
        <v>219</v>
      </c>
      <c r="AA829" s="119" t="s">
        <v>4500</v>
      </c>
      <c r="AB829" s="119" t="s">
        <v>4501</v>
      </c>
      <c r="AC829" s="119" t="s">
        <v>4529</v>
      </c>
      <c r="AD829" s="119" t="s">
        <v>4530</v>
      </c>
      <c r="AE829" s="534">
        <v>6.0</v>
      </c>
      <c r="AF829" s="534">
        <v>151.0</v>
      </c>
      <c r="AG829" s="534">
        <v>0.07</v>
      </c>
      <c r="AH829" s="534" t="s">
        <v>132</v>
      </c>
      <c r="AI829" s="534" t="s">
        <v>133</v>
      </c>
      <c r="AJ829" s="363">
        <v>0.001</v>
      </c>
      <c r="AK829" s="109" t="s">
        <v>165</v>
      </c>
      <c r="AL829" s="109" t="s">
        <v>129</v>
      </c>
      <c r="AM829" s="119" t="s">
        <v>134</v>
      </c>
      <c r="AN829" s="144" t="s">
        <v>131</v>
      </c>
      <c r="AO829" s="534">
        <v>50.0</v>
      </c>
      <c r="AP829" s="534" t="s">
        <v>4531</v>
      </c>
      <c r="AQ829" s="534" t="s">
        <v>127</v>
      </c>
      <c r="AR829" s="534" t="s">
        <v>605</v>
      </c>
      <c r="AS829" s="534">
        <v>0.071</v>
      </c>
      <c r="AT829" s="119" t="s">
        <v>165</v>
      </c>
      <c r="AU829" s="119" t="s">
        <v>129</v>
      </c>
      <c r="AV829" s="119" t="s">
        <v>134</v>
      </c>
      <c r="AW829" s="126" t="s">
        <v>131</v>
      </c>
      <c r="AX829" s="108" t="s">
        <v>136</v>
      </c>
      <c r="AY829" s="69"/>
      <c r="AZ829" s="108" t="s">
        <v>146</v>
      </c>
      <c r="BA829" s="69"/>
      <c r="BB829" s="69"/>
      <c r="BC829" s="69"/>
      <c r="BD829" s="69"/>
      <c r="BE829" s="69"/>
      <c r="BF829" s="69"/>
      <c r="BG829" s="69"/>
      <c r="BH829" s="69"/>
      <c r="BI829" s="69"/>
      <c r="BJ829" s="69"/>
      <c r="BK829" s="69"/>
      <c r="BL829" s="69"/>
      <c r="BM829" s="69"/>
      <c r="BN829" s="69"/>
      <c r="BO829" s="69"/>
      <c r="BP829" s="69"/>
      <c r="BQ829" s="69"/>
      <c r="BR829" s="69"/>
      <c r="BS829" s="69"/>
      <c r="BT829" s="69"/>
      <c r="BU829" s="69"/>
      <c r="BV829" s="69"/>
      <c r="BW829" s="69"/>
      <c r="BX829" s="69"/>
      <c r="BY829" s="69"/>
      <c r="BZ829" s="69"/>
      <c r="CA829" s="69"/>
      <c r="CB829" s="69"/>
      <c r="CC829" s="69"/>
      <c r="CD829" s="69"/>
      <c r="CE829" s="69"/>
      <c r="CF829" s="69"/>
      <c r="CG829" s="69"/>
      <c r="CH829" s="69"/>
      <c r="CI829" s="69"/>
      <c r="CJ829" s="69"/>
      <c r="CK829" s="69"/>
      <c r="CL829" s="69"/>
      <c r="CM829" s="69"/>
      <c r="CN829" s="69"/>
      <c r="CO829" s="69"/>
      <c r="CP829" s="69"/>
      <c r="CQ829" s="69"/>
      <c r="CR829" s="69"/>
      <c r="CS829" s="69"/>
      <c r="CT829" s="69"/>
      <c r="CU829" s="69"/>
      <c r="CV829" s="69"/>
      <c r="CW829" s="69"/>
      <c r="CX829" s="69"/>
      <c r="CY829" s="69"/>
      <c r="CZ829" s="69"/>
      <c r="DA829" s="69"/>
      <c r="DB829" s="69"/>
      <c r="DC829" s="69"/>
      <c r="DD829" s="69"/>
      <c r="DE829" s="69"/>
      <c r="DF829" s="69"/>
      <c r="DG829" s="69"/>
      <c r="DH829" s="69"/>
    </row>
    <row r="830">
      <c r="A830" s="107">
        <v>830.0</v>
      </c>
      <c r="B830" s="108" t="s">
        <v>107</v>
      </c>
      <c r="C830" s="146" t="s">
        <v>108</v>
      </c>
      <c r="D830" s="146" t="s">
        <v>241</v>
      </c>
      <c r="E830" s="69"/>
      <c r="F830" s="108" t="s">
        <v>4506</v>
      </c>
      <c r="G830" s="109" t="s">
        <v>4498</v>
      </c>
      <c r="H830" s="119" t="s">
        <v>242</v>
      </c>
      <c r="I830" s="414">
        <v>45670.0</v>
      </c>
      <c r="J830" s="414">
        <v>45692.0</v>
      </c>
      <c r="K830" s="108"/>
      <c r="L830" s="108" t="s">
        <v>4513</v>
      </c>
      <c r="M830" s="119" t="s">
        <v>4495</v>
      </c>
      <c r="N830" s="119" t="s">
        <v>4496</v>
      </c>
      <c r="O830" s="108"/>
      <c r="P830" s="119" t="str">
        <f t="shared" si="37"/>
        <v>10.1177--0956797615573516.pdf</v>
      </c>
      <c r="Q830" s="1158" t="str">
        <f t="array" ref="Q830"> if(iserror(MATCH(V830, 'File Links'!C:C, 0)), "N/A", HYPERLINK(INDEX('File Links'!B:B, MATCH(P830, 'File Links'!C:C, 0))))</f>
        <v>https://drive.google.com/file/d/1JoVItYnEA8vA70xzVLnQEC3dgxMW-0on/view?usp=drivesdk</v>
      </c>
      <c r="R830" s="119" t="s">
        <v>3646</v>
      </c>
      <c r="S830" s="119" t="s">
        <v>3647</v>
      </c>
      <c r="T830" s="108"/>
      <c r="U830" s="534">
        <v>1.0</v>
      </c>
      <c r="V830" s="119" t="str">
        <f t="shared" si="46"/>
        <v>10.1098--rsos.231240.pdf</v>
      </c>
      <c r="W830" s="119" t="s">
        <v>3800</v>
      </c>
      <c r="X830" s="1159" t="str">
        <f t="array" ref="X830"> if(iserror(MATCH(V830, 'File Links'!C:C, 0)), "N/A", HYPERLINK(INDEX('File Links'!B:B, MATCH(V830, 'File Links'!C:C, 0))))</f>
        <v>https://drive.google.com/file/d/17gaf2Zy_ljFfcAEDk5L8GBnTl5i7RGJE/view?usp=drivesdk</v>
      </c>
      <c r="Y830" s="108"/>
      <c r="Z830" s="119" t="s">
        <v>219</v>
      </c>
      <c r="AA830" s="108"/>
      <c r="AB830" s="119" t="s">
        <v>4532</v>
      </c>
      <c r="AC830" s="108"/>
      <c r="AD830" s="119" t="s">
        <v>4515</v>
      </c>
      <c r="AE830" s="534">
        <v>2.0</v>
      </c>
      <c r="AF830" s="534">
        <v>151.0</v>
      </c>
      <c r="AG830" s="1103">
        <v>0.7</v>
      </c>
      <c r="AH830" s="119" t="s">
        <v>132</v>
      </c>
      <c r="AI830" s="119" t="s">
        <v>133</v>
      </c>
      <c r="AJ830" s="363">
        <v>0.001</v>
      </c>
      <c r="AK830" s="109" t="s">
        <v>165</v>
      </c>
      <c r="AL830" s="109" t="s">
        <v>129</v>
      </c>
      <c r="AM830" s="119" t="s">
        <v>134</v>
      </c>
      <c r="AN830" s="144" t="s">
        <v>131</v>
      </c>
      <c r="AO830" s="534">
        <v>50.0</v>
      </c>
      <c r="AP830" s="534">
        <v>3.43</v>
      </c>
      <c r="AQ830" s="119" t="s">
        <v>1024</v>
      </c>
      <c r="AR830" s="108"/>
      <c r="AS830" s="534">
        <v>0.071</v>
      </c>
      <c r="AT830" s="119" t="s">
        <v>165</v>
      </c>
      <c r="AU830" s="119" t="s">
        <v>129</v>
      </c>
      <c r="AV830" s="119" t="s">
        <v>134</v>
      </c>
      <c r="AW830" s="126" t="s">
        <v>131</v>
      </c>
      <c r="AX830" s="119" t="s">
        <v>136</v>
      </c>
      <c r="AY830" s="69"/>
      <c r="AZ830" s="108" t="s">
        <v>146</v>
      </c>
      <c r="BA830" s="69"/>
      <c r="BB830" s="69"/>
      <c r="BC830" s="69"/>
      <c r="BD830" s="69"/>
      <c r="BE830" s="69"/>
      <c r="BF830" s="69"/>
      <c r="BG830" s="69"/>
      <c r="BH830" s="69"/>
      <c r="BI830" s="69"/>
      <c r="BJ830" s="69"/>
      <c r="BK830" s="69"/>
      <c r="BL830" s="69"/>
      <c r="BM830" s="69"/>
      <c r="BN830" s="69"/>
      <c r="BO830" s="69"/>
      <c r="BP830" s="69"/>
      <c r="BQ830" s="69"/>
      <c r="BR830" s="69"/>
      <c r="BS830" s="69"/>
      <c r="BT830" s="69"/>
      <c r="BU830" s="69"/>
      <c r="BV830" s="69"/>
      <c r="BW830" s="69"/>
      <c r="BX830" s="69"/>
      <c r="BY830" s="69"/>
      <c r="BZ830" s="69"/>
      <c r="CA830" s="69"/>
      <c r="CB830" s="69"/>
      <c r="CC830" s="69"/>
      <c r="CD830" s="69"/>
      <c r="CE830" s="69"/>
      <c r="CF830" s="69"/>
      <c r="CG830" s="69"/>
      <c r="CH830" s="69"/>
      <c r="CI830" s="69"/>
      <c r="CJ830" s="69"/>
      <c r="CK830" s="69"/>
      <c r="CL830" s="69"/>
      <c r="CM830" s="69"/>
      <c r="CN830" s="69"/>
      <c r="CO830" s="69"/>
      <c r="CP830" s="69"/>
      <c r="CQ830" s="69"/>
      <c r="CR830" s="69"/>
      <c r="CS830" s="69"/>
      <c r="CT830" s="69"/>
      <c r="CU830" s="69"/>
      <c r="CV830" s="69"/>
      <c r="CW830" s="69"/>
      <c r="CX830" s="69"/>
      <c r="CY830" s="69"/>
      <c r="CZ830" s="69"/>
      <c r="DA830" s="69"/>
      <c r="DB830" s="69"/>
      <c r="DC830" s="69"/>
      <c r="DD830" s="69"/>
      <c r="DE830" s="69"/>
      <c r="DF830" s="69"/>
      <c r="DG830" s="69"/>
      <c r="DH830" s="69"/>
    </row>
    <row r="831">
      <c r="A831" s="107">
        <v>831.0</v>
      </c>
      <c r="B831" s="144" t="s">
        <v>4516</v>
      </c>
      <c r="C831" s="146" t="s">
        <v>108</v>
      </c>
      <c r="D831" s="146" t="s">
        <v>146</v>
      </c>
      <c r="E831" s="69"/>
      <c r="F831" s="108" t="s">
        <v>4506</v>
      </c>
      <c r="G831" s="109" t="s">
        <v>4533</v>
      </c>
      <c r="H831" s="119" t="s">
        <v>146</v>
      </c>
      <c r="I831" s="414">
        <v>45687.0</v>
      </c>
      <c r="J831" s="414">
        <v>45692.0</v>
      </c>
      <c r="K831" s="1118" t="s">
        <v>4534</v>
      </c>
      <c r="L831" s="108"/>
      <c r="M831" s="119" t="s">
        <v>4495</v>
      </c>
      <c r="N831" s="119" t="s">
        <v>4496</v>
      </c>
      <c r="O831" s="534">
        <v>2.0</v>
      </c>
      <c r="P831" s="119" t="str">
        <f t="shared" si="37"/>
        <v>10.1177--0956797615573516.pdf</v>
      </c>
      <c r="Q831" s="1158" t="str">
        <f t="array" ref="Q831"> if(iserror(MATCH(V831, 'File Links'!C:C, 0)), "N/A", HYPERLINK(INDEX('File Links'!B:B, MATCH(P831, 'File Links'!C:C, 0))))</f>
        <v>https://drive.google.com/file/d/1JoVItYnEA8vA70xzVLnQEC3dgxMW-0on/view?usp=drivesdk</v>
      </c>
      <c r="R831" s="119" t="s">
        <v>3646</v>
      </c>
      <c r="S831" s="119" t="s">
        <v>3647</v>
      </c>
      <c r="T831" s="108"/>
      <c r="U831" s="534">
        <v>1.0</v>
      </c>
      <c r="V831" s="119" t="str">
        <f t="shared" si="46"/>
        <v>10.1098--rsos.231240.pdf</v>
      </c>
      <c r="W831" s="119" t="s">
        <v>3800</v>
      </c>
      <c r="X831" s="1159" t="str">
        <f t="array" ref="X831"> if(iserror(MATCH(V831, 'File Links'!C:C, 0)), "N/A", HYPERLINK(INDEX('File Links'!B:B, MATCH(V831, 'File Links'!C:C, 0))))</f>
        <v>https://drive.google.com/file/d/17gaf2Zy_ljFfcAEDk5L8GBnTl5i7RGJE/view?usp=drivesdk</v>
      </c>
      <c r="Y831" s="108"/>
      <c r="Z831" s="119" t="s">
        <v>219</v>
      </c>
      <c r="AA831" s="119" t="s">
        <v>4500</v>
      </c>
      <c r="AB831" s="119" t="s">
        <v>4501</v>
      </c>
      <c r="AC831" s="119" t="s">
        <v>4535</v>
      </c>
      <c r="AD831" s="119" t="s">
        <v>4536</v>
      </c>
      <c r="AE831" s="534">
        <v>6.0</v>
      </c>
      <c r="AF831" s="534">
        <v>151.0</v>
      </c>
      <c r="AG831" s="534">
        <v>0.08</v>
      </c>
      <c r="AH831" s="534" t="s">
        <v>132</v>
      </c>
      <c r="AI831" s="534" t="s">
        <v>133</v>
      </c>
      <c r="AJ831" s="363">
        <v>0.001</v>
      </c>
      <c r="AK831" s="109" t="s">
        <v>128</v>
      </c>
      <c r="AL831" s="109" t="s">
        <v>129</v>
      </c>
      <c r="AM831" s="119" t="s">
        <v>134</v>
      </c>
      <c r="AN831" s="144" t="s">
        <v>131</v>
      </c>
      <c r="AO831" s="534">
        <v>50.0</v>
      </c>
      <c r="AP831" s="534" t="s">
        <v>4537</v>
      </c>
      <c r="AQ831" s="534" t="s">
        <v>127</v>
      </c>
      <c r="AR831" s="534" t="s">
        <v>605</v>
      </c>
      <c r="AS831" s="534">
        <v>0.07</v>
      </c>
      <c r="AT831" s="119" t="s">
        <v>165</v>
      </c>
      <c r="AU831" s="119" t="s">
        <v>129</v>
      </c>
      <c r="AV831" s="119" t="s">
        <v>134</v>
      </c>
      <c r="AW831" s="126" t="s">
        <v>131</v>
      </c>
      <c r="AX831" s="108" t="s">
        <v>136</v>
      </c>
      <c r="AY831" s="69"/>
      <c r="AZ831" s="108" t="s">
        <v>146</v>
      </c>
      <c r="BA831" s="69"/>
      <c r="BB831" s="69"/>
      <c r="BC831" s="69"/>
      <c r="BD831" s="69"/>
      <c r="BE831" s="69"/>
      <c r="BF831" s="69"/>
      <c r="BG831" s="69"/>
      <c r="BH831" s="69"/>
      <c r="BI831" s="69"/>
      <c r="BJ831" s="69"/>
      <c r="BK831" s="69"/>
      <c r="BL831" s="69"/>
      <c r="BM831" s="69"/>
      <c r="BN831" s="69"/>
      <c r="BO831" s="69"/>
      <c r="BP831" s="69"/>
      <c r="BQ831" s="69"/>
      <c r="BR831" s="69"/>
      <c r="BS831" s="69"/>
      <c r="BT831" s="69"/>
      <c r="BU831" s="69"/>
      <c r="BV831" s="69"/>
      <c r="BW831" s="69"/>
      <c r="BX831" s="69"/>
      <c r="BY831" s="69"/>
      <c r="BZ831" s="69"/>
      <c r="CA831" s="69"/>
      <c r="CB831" s="69"/>
      <c r="CC831" s="69"/>
      <c r="CD831" s="69"/>
      <c r="CE831" s="69"/>
      <c r="CF831" s="69"/>
      <c r="CG831" s="69"/>
      <c r="CH831" s="69"/>
      <c r="CI831" s="69"/>
      <c r="CJ831" s="69"/>
      <c r="CK831" s="69"/>
      <c r="CL831" s="69"/>
      <c r="CM831" s="69"/>
      <c r="CN831" s="69"/>
      <c r="CO831" s="69"/>
      <c r="CP831" s="69"/>
      <c r="CQ831" s="69"/>
      <c r="CR831" s="69"/>
      <c r="CS831" s="69"/>
      <c r="CT831" s="69"/>
      <c r="CU831" s="69"/>
      <c r="CV831" s="69"/>
      <c r="CW831" s="69"/>
      <c r="CX831" s="69"/>
      <c r="CY831" s="69"/>
      <c r="CZ831" s="69"/>
      <c r="DA831" s="69"/>
      <c r="DB831" s="69"/>
      <c r="DC831" s="69"/>
      <c r="DD831" s="69"/>
      <c r="DE831" s="69"/>
      <c r="DF831" s="69"/>
      <c r="DG831" s="69"/>
      <c r="DH831" s="69"/>
    </row>
    <row r="832">
      <c r="A832" s="107">
        <v>832.0</v>
      </c>
      <c r="B832" s="108" t="s">
        <v>107</v>
      </c>
      <c r="C832" s="146" t="s">
        <v>108</v>
      </c>
      <c r="D832" s="146" t="s">
        <v>241</v>
      </c>
      <c r="E832" s="69"/>
      <c r="F832" s="108" t="s">
        <v>4506</v>
      </c>
      <c r="G832" s="109" t="s">
        <v>4538</v>
      </c>
      <c r="H832" s="119" t="s">
        <v>242</v>
      </c>
      <c r="I832" s="414">
        <v>45670.0</v>
      </c>
      <c r="J832" s="414">
        <v>45692.0</v>
      </c>
      <c r="K832" s="108"/>
      <c r="L832" s="108"/>
      <c r="M832" s="119" t="s">
        <v>4495</v>
      </c>
      <c r="N832" s="119" t="s">
        <v>4496</v>
      </c>
      <c r="O832" s="108"/>
      <c r="P832" s="119" t="str">
        <f t="shared" si="37"/>
        <v>10.1177--0956797615573516.pdf</v>
      </c>
      <c r="Q832" s="1158" t="str">
        <f t="array" ref="Q832"> if(iserror(MATCH(V832, 'File Links'!C:C, 0)), "N/A", HYPERLINK(INDEX('File Links'!B:B, MATCH(P832, 'File Links'!C:C, 0))))</f>
        <v>https://drive.google.com/file/d/1JoVItYnEA8vA70xzVLnQEC3dgxMW-0on/view?usp=drivesdk</v>
      </c>
      <c r="R832" s="119" t="s">
        <v>3646</v>
      </c>
      <c r="S832" s="119" t="s">
        <v>3647</v>
      </c>
      <c r="T832" s="108"/>
      <c r="U832" s="534">
        <v>1.0</v>
      </c>
      <c r="V832" s="119" t="str">
        <f t="shared" si="46"/>
        <v>10.1098--rsos.231240.pdf</v>
      </c>
      <c r="W832" s="119" t="s">
        <v>3800</v>
      </c>
      <c r="X832" s="1159" t="str">
        <f t="array" ref="X832"> if(iserror(MATCH(V832, 'File Links'!C:C, 0)), "N/A", HYPERLINK(INDEX('File Links'!B:B, MATCH(V832, 'File Links'!C:C, 0))))</f>
        <v>https://drive.google.com/file/d/17gaf2Zy_ljFfcAEDk5L8GBnTl5i7RGJE/view?usp=drivesdk</v>
      </c>
      <c r="Y832" s="108"/>
      <c r="Z832" s="119" t="s">
        <v>219</v>
      </c>
      <c r="AA832" s="108"/>
      <c r="AB832" s="119" t="s">
        <v>4539</v>
      </c>
      <c r="AC832" s="108"/>
      <c r="AD832" s="119" t="s">
        <v>4515</v>
      </c>
      <c r="AE832" s="534">
        <v>2.0</v>
      </c>
      <c r="AF832" s="534">
        <v>151.0</v>
      </c>
      <c r="AG832" s="534">
        <v>0.8</v>
      </c>
      <c r="AH832" s="119" t="s">
        <v>132</v>
      </c>
      <c r="AI832" s="119" t="s">
        <v>133</v>
      </c>
      <c r="AJ832" s="363">
        <v>0.001</v>
      </c>
      <c r="AK832" s="109" t="s">
        <v>128</v>
      </c>
      <c r="AL832" s="109" t="s">
        <v>129</v>
      </c>
      <c r="AM832" s="119" t="s">
        <v>134</v>
      </c>
      <c r="AN832" s="144" t="s">
        <v>131</v>
      </c>
      <c r="AO832" s="534">
        <v>50.0</v>
      </c>
      <c r="AP832" s="534">
        <v>3.44</v>
      </c>
      <c r="AQ832" s="119" t="s">
        <v>1024</v>
      </c>
      <c r="AR832" s="108"/>
      <c r="AS832" s="534">
        <v>0.07</v>
      </c>
      <c r="AT832" s="119" t="s">
        <v>165</v>
      </c>
      <c r="AU832" s="119" t="s">
        <v>129</v>
      </c>
      <c r="AV832" s="119" t="s">
        <v>134</v>
      </c>
      <c r="AW832" s="126" t="s">
        <v>131</v>
      </c>
      <c r="AX832" s="119" t="s">
        <v>136</v>
      </c>
      <c r="AY832" s="69"/>
      <c r="AZ832" s="108" t="s">
        <v>146</v>
      </c>
      <c r="BA832" s="69"/>
      <c r="BB832" s="69"/>
      <c r="BC832" s="69"/>
      <c r="BD832" s="69"/>
      <c r="BE832" s="69"/>
      <c r="BF832" s="69"/>
      <c r="BG832" s="69"/>
      <c r="BH832" s="69"/>
      <c r="BI832" s="69"/>
      <c r="BJ832" s="69"/>
      <c r="BK832" s="69"/>
      <c r="BL832" s="69"/>
      <c r="BM832" s="69"/>
      <c r="BN832" s="69"/>
      <c r="BO832" s="69"/>
      <c r="BP832" s="69"/>
      <c r="BQ832" s="69"/>
      <c r="BR832" s="69"/>
      <c r="BS832" s="69"/>
      <c r="BT832" s="69"/>
      <c r="BU832" s="69"/>
      <c r="BV832" s="69"/>
      <c r="BW832" s="69"/>
      <c r="BX832" s="69"/>
      <c r="BY832" s="69"/>
      <c r="BZ832" s="69"/>
      <c r="CA832" s="69"/>
      <c r="CB832" s="69"/>
      <c r="CC832" s="69"/>
      <c r="CD832" s="69"/>
      <c r="CE832" s="69"/>
      <c r="CF832" s="69"/>
      <c r="CG832" s="69"/>
      <c r="CH832" s="69"/>
      <c r="CI832" s="69"/>
      <c r="CJ832" s="69"/>
      <c r="CK832" s="69"/>
      <c r="CL832" s="69"/>
      <c r="CM832" s="69"/>
      <c r="CN832" s="69"/>
      <c r="CO832" s="69"/>
      <c r="CP832" s="69"/>
      <c r="CQ832" s="69"/>
      <c r="CR832" s="69"/>
      <c r="CS832" s="69"/>
      <c r="CT832" s="69"/>
      <c r="CU832" s="69"/>
      <c r="CV832" s="69"/>
      <c r="CW832" s="69"/>
      <c r="CX832" s="69"/>
      <c r="CY832" s="69"/>
      <c r="CZ832" s="69"/>
      <c r="DA832" s="69"/>
      <c r="DB832" s="69"/>
      <c r="DC832" s="69"/>
      <c r="DD832" s="69"/>
      <c r="DE832" s="69"/>
      <c r="DF832" s="69"/>
      <c r="DG832" s="69"/>
      <c r="DH832" s="69"/>
    </row>
    <row r="833">
      <c r="A833" s="107">
        <v>833.0</v>
      </c>
      <c r="B833" s="144" t="s">
        <v>4516</v>
      </c>
      <c r="C833" s="146" t="s">
        <v>108</v>
      </c>
      <c r="D833" s="146" t="s">
        <v>146</v>
      </c>
      <c r="E833" s="69"/>
      <c r="F833" s="108" t="s">
        <v>4506</v>
      </c>
      <c r="G833" s="109" t="s">
        <v>4540</v>
      </c>
      <c r="H833" s="119" t="s">
        <v>146</v>
      </c>
      <c r="I833" s="414">
        <v>45687.0</v>
      </c>
      <c r="J833" s="414">
        <v>45692.0</v>
      </c>
      <c r="K833" s="1118" t="s">
        <v>4541</v>
      </c>
      <c r="L833" s="108"/>
      <c r="M833" s="119" t="s">
        <v>4495</v>
      </c>
      <c r="N833" s="119" t="s">
        <v>4496</v>
      </c>
      <c r="O833" s="534">
        <v>2.0</v>
      </c>
      <c r="P833" s="119" t="str">
        <f t="shared" si="37"/>
        <v>10.1177--0956797615573516.pdf</v>
      </c>
      <c r="Q833" s="1158" t="str">
        <f t="array" ref="Q833"> if(iserror(MATCH(V833, 'File Links'!C:C, 0)), "N/A", HYPERLINK(INDEX('File Links'!B:B, MATCH(P833, 'File Links'!C:C, 0))))</f>
        <v>https://drive.google.com/file/d/1JoVItYnEA8vA70xzVLnQEC3dgxMW-0on/view?usp=drivesdk</v>
      </c>
      <c r="R833" s="119" t="s">
        <v>3646</v>
      </c>
      <c r="S833" s="119" t="s">
        <v>3647</v>
      </c>
      <c r="T833" s="108"/>
      <c r="U833" s="534">
        <v>1.0</v>
      </c>
      <c r="V833" s="119" t="str">
        <f t="shared" si="46"/>
        <v>10.1098--rsos.231240.pdf</v>
      </c>
      <c r="W833" s="119" t="s">
        <v>3800</v>
      </c>
      <c r="X833" s="1159" t="str">
        <f t="array" ref="X833"> if(iserror(MATCH(V833, 'File Links'!C:C, 0)), "N/A", HYPERLINK(INDEX('File Links'!B:B, MATCH(V833, 'File Links'!C:C, 0))))</f>
        <v>https://drive.google.com/file/d/17gaf2Zy_ljFfcAEDk5L8GBnTl5i7RGJE/view?usp=drivesdk</v>
      </c>
      <c r="Y833" s="108"/>
      <c r="Z833" s="119" t="s">
        <v>219</v>
      </c>
      <c r="AA833" s="119" t="s">
        <v>4500</v>
      </c>
      <c r="AB833" s="119" t="s">
        <v>4501</v>
      </c>
      <c r="AC833" s="119" t="s">
        <v>4542</v>
      </c>
      <c r="AD833" s="119" t="s">
        <v>4543</v>
      </c>
      <c r="AE833" s="534">
        <v>6.0</v>
      </c>
      <c r="AF833" s="534">
        <v>151.0</v>
      </c>
      <c r="AG833" s="534">
        <v>0.03</v>
      </c>
      <c r="AH833" s="534" t="s">
        <v>132</v>
      </c>
      <c r="AI833" s="534" t="s">
        <v>133</v>
      </c>
      <c r="AJ833" s="363">
        <v>0.054</v>
      </c>
      <c r="AK833" s="109" t="s">
        <v>165</v>
      </c>
      <c r="AL833" s="109" t="s">
        <v>129</v>
      </c>
      <c r="AM833" s="119" t="s">
        <v>134</v>
      </c>
      <c r="AN833" s="144" t="s">
        <v>131</v>
      </c>
      <c r="AO833" s="534">
        <v>50.0</v>
      </c>
      <c r="AP833" s="534" t="s">
        <v>4544</v>
      </c>
      <c r="AQ833" s="534" t="s">
        <v>127</v>
      </c>
      <c r="AR833" s="534" t="s">
        <v>605</v>
      </c>
      <c r="AS833" s="534">
        <v>0.076</v>
      </c>
      <c r="AT833" s="119" t="s">
        <v>165</v>
      </c>
      <c r="AU833" s="119" t="s">
        <v>129</v>
      </c>
      <c r="AV833" s="119" t="s">
        <v>134</v>
      </c>
      <c r="AW833" s="126" t="s">
        <v>131</v>
      </c>
      <c r="AX833" s="108" t="s">
        <v>136</v>
      </c>
      <c r="AY833" s="69"/>
      <c r="AZ833" s="108" t="s">
        <v>146</v>
      </c>
      <c r="BA833" s="69"/>
      <c r="BB833" s="69"/>
      <c r="BC833" s="69"/>
      <c r="BD833" s="69"/>
      <c r="BE833" s="69"/>
      <c r="BF833" s="69"/>
      <c r="BG833" s="69"/>
      <c r="BH833" s="69"/>
      <c r="BI833" s="69"/>
      <c r="BJ833" s="69"/>
      <c r="BK833" s="69"/>
      <c r="BL833" s="69"/>
      <c r="BM833" s="69"/>
      <c r="BN833" s="69"/>
      <c r="BO833" s="69"/>
      <c r="BP833" s="69"/>
      <c r="BQ833" s="69"/>
      <c r="BR833" s="69"/>
      <c r="BS833" s="69"/>
      <c r="BT833" s="69"/>
      <c r="BU833" s="69"/>
      <c r="BV833" s="69"/>
      <c r="BW833" s="69"/>
      <c r="BX833" s="69"/>
      <c r="BY833" s="69"/>
      <c r="BZ833" s="69"/>
      <c r="CA833" s="69"/>
      <c r="CB833" s="69"/>
      <c r="CC833" s="69"/>
      <c r="CD833" s="69"/>
      <c r="CE833" s="69"/>
      <c r="CF833" s="69"/>
      <c r="CG833" s="69"/>
      <c r="CH833" s="69"/>
      <c r="CI833" s="69"/>
      <c r="CJ833" s="69"/>
      <c r="CK833" s="69"/>
      <c r="CL833" s="69"/>
      <c r="CM833" s="69"/>
      <c r="CN833" s="69"/>
      <c r="CO833" s="69"/>
      <c r="CP833" s="69"/>
      <c r="CQ833" s="69"/>
      <c r="CR833" s="69"/>
      <c r="CS833" s="69"/>
      <c r="CT833" s="69"/>
      <c r="CU833" s="69"/>
      <c r="CV833" s="69"/>
      <c r="CW833" s="69"/>
      <c r="CX833" s="69"/>
      <c r="CY833" s="69"/>
      <c r="CZ833" s="69"/>
      <c r="DA833" s="69"/>
      <c r="DB833" s="69"/>
      <c r="DC833" s="69"/>
      <c r="DD833" s="69"/>
      <c r="DE833" s="69"/>
      <c r="DF833" s="69"/>
      <c r="DG833" s="69"/>
      <c r="DH833" s="69"/>
    </row>
    <row r="834">
      <c r="A834" s="107">
        <v>834.0</v>
      </c>
      <c r="B834" s="108" t="s">
        <v>107</v>
      </c>
      <c r="C834" s="146" t="s">
        <v>108</v>
      </c>
      <c r="D834" s="146" t="s">
        <v>241</v>
      </c>
      <c r="E834" s="69"/>
      <c r="F834" s="108" t="s">
        <v>4506</v>
      </c>
      <c r="G834" s="109" t="s">
        <v>4545</v>
      </c>
      <c r="H834" s="119" t="s">
        <v>242</v>
      </c>
      <c r="I834" s="414">
        <v>45670.0</v>
      </c>
      <c r="J834" s="414">
        <v>45692.0</v>
      </c>
      <c r="K834" s="108"/>
      <c r="L834" s="108" t="s">
        <v>4513</v>
      </c>
      <c r="M834" s="119" t="s">
        <v>4495</v>
      </c>
      <c r="N834" s="119" t="s">
        <v>4496</v>
      </c>
      <c r="O834" s="108"/>
      <c r="P834" s="119" t="str">
        <f t="shared" si="37"/>
        <v>10.1177--0956797615573516.pdf</v>
      </c>
      <c r="Q834" s="1158" t="str">
        <f t="array" ref="Q834"> if(iserror(MATCH(V834, 'File Links'!C:C, 0)), "N/A", HYPERLINK(INDEX('File Links'!B:B, MATCH(P834, 'File Links'!C:C, 0))))</f>
        <v>https://drive.google.com/file/d/1JoVItYnEA8vA70xzVLnQEC3dgxMW-0on/view?usp=drivesdk</v>
      </c>
      <c r="R834" s="119" t="s">
        <v>3646</v>
      </c>
      <c r="S834" s="119" t="s">
        <v>3647</v>
      </c>
      <c r="T834" s="108"/>
      <c r="U834" s="534">
        <v>1.0</v>
      </c>
      <c r="V834" s="119" t="str">
        <f t="shared" si="46"/>
        <v>10.1098--rsos.231240.pdf</v>
      </c>
      <c r="W834" s="119" t="s">
        <v>3800</v>
      </c>
      <c r="X834" s="1159" t="str">
        <f t="array" ref="X834"> if(iserror(MATCH(V834, 'File Links'!C:C, 0)), "N/A", HYPERLINK(INDEX('File Links'!B:B, MATCH(V834, 'File Links'!C:C, 0))))</f>
        <v>https://drive.google.com/file/d/17gaf2Zy_ljFfcAEDk5L8GBnTl5i7RGJE/view?usp=drivesdk</v>
      </c>
      <c r="Y834" s="108"/>
      <c r="Z834" s="119" t="s">
        <v>219</v>
      </c>
      <c r="AA834" s="108"/>
      <c r="AB834" s="119" t="s">
        <v>4546</v>
      </c>
      <c r="AC834" s="108"/>
      <c r="AD834" s="119" t="s">
        <v>4515</v>
      </c>
      <c r="AE834" s="534">
        <v>2.0</v>
      </c>
      <c r="AF834" s="534">
        <v>151.0</v>
      </c>
      <c r="AG834" s="1103">
        <v>0.3</v>
      </c>
      <c r="AH834" s="119" t="s">
        <v>132</v>
      </c>
      <c r="AI834" s="119" t="s">
        <v>133</v>
      </c>
      <c r="AJ834" s="363">
        <v>0.054</v>
      </c>
      <c r="AK834" s="109" t="s">
        <v>165</v>
      </c>
      <c r="AL834" s="109" t="s">
        <v>129</v>
      </c>
      <c r="AM834" s="119" t="s">
        <v>134</v>
      </c>
      <c r="AN834" s="144" t="s">
        <v>131</v>
      </c>
      <c r="AO834" s="534">
        <v>50.0</v>
      </c>
      <c r="AP834" s="534">
        <v>3.31</v>
      </c>
      <c r="AQ834" s="119" t="s">
        <v>1024</v>
      </c>
      <c r="AR834" s="108"/>
      <c r="AS834" s="534">
        <v>0.076</v>
      </c>
      <c r="AT834" s="119" t="s">
        <v>165</v>
      </c>
      <c r="AU834" s="119" t="s">
        <v>129</v>
      </c>
      <c r="AV834" s="119" t="s">
        <v>134</v>
      </c>
      <c r="AW834" s="126" t="s">
        <v>131</v>
      </c>
      <c r="AX834" s="119" t="s">
        <v>136</v>
      </c>
      <c r="AY834" s="69"/>
      <c r="AZ834" s="108" t="s">
        <v>146</v>
      </c>
      <c r="BA834" s="69"/>
      <c r="BB834" s="69"/>
      <c r="BC834" s="69"/>
      <c r="BD834" s="69"/>
      <c r="BE834" s="69"/>
      <c r="BF834" s="69"/>
      <c r="BG834" s="69"/>
      <c r="BH834" s="69"/>
      <c r="BI834" s="69"/>
      <c r="BJ834" s="69"/>
      <c r="BK834" s="69"/>
      <c r="BL834" s="69"/>
      <c r="BM834" s="69"/>
      <c r="BN834" s="69"/>
      <c r="BO834" s="69"/>
      <c r="BP834" s="69"/>
      <c r="BQ834" s="69"/>
      <c r="BR834" s="69"/>
      <c r="BS834" s="69"/>
      <c r="BT834" s="69"/>
      <c r="BU834" s="69"/>
      <c r="BV834" s="69"/>
      <c r="BW834" s="69"/>
      <c r="BX834" s="69"/>
      <c r="BY834" s="69"/>
      <c r="BZ834" s="69"/>
      <c r="CA834" s="69"/>
      <c r="CB834" s="69"/>
      <c r="CC834" s="69"/>
      <c r="CD834" s="69"/>
      <c r="CE834" s="69"/>
      <c r="CF834" s="69"/>
      <c r="CG834" s="69"/>
      <c r="CH834" s="69"/>
      <c r="CI834" s="69"/>
      <c r="CJ834" s="69"/>
      <c r="CK834" s="69"/>
      <c r="CL834" s="69"/>
      <c r="CM834" s="69"/>
      <c r="CN834" s="69"/>
      <c r="CO834" s="69"/>
      <c r="CP834" s="69"/>
      <c r="CQ834" s="69"/>
      <c r="CR834" s="69"/>
      <c r="CS834" s="69"/>
      <c r="CT834" s="69"/>
      <c r="CU834" s="69"/>
      <c r="CV834" s="69"/>
      <c r="CW834" s="69"/>
      <c r="CX834" s="69"/>
      <c r="CY834" s="69"/>
      <c r="CZ834" s="69"/>
      <c r="DA834" s="69"/>
      <c r="DB834" s="69"/>
      <c r="DC834" s="69"/>
      <c r="DD834" s="69"/>
      <c r="DE834" s="69"/>
      <c r="DF834" s="69"/>
      <c r="DG834" s="69"/>
      <c r="DH834" s="69"/>
    </row>
    <row r="835">
      <c r="A835" s="107">
        <v>835.0</v>
      </c>
      <c r="B835" s="144" t="s">
        <v>4516</v>
      </c>
      <c r="C835" s="146" t="s">
        <v>108</v>
      </c>
      <c r="D835" s="146" t="s">
        <v>146</v>
      </c>
      <c r="E835" s="69"/>
      <c r="F835" s="108" t="s">
        <v>4506</v>
      </c>
      <c r="G835" s="109" t="s">
        <v>4547</v>
      </c>
      <c r="H835" s="119" t="s">
        <v>146</v>
      </c>
      <c r="I835" s="414">
        <v>45687.0</v>
      </c>
      <c r="J835" s="414">
        <v>45692.0</v>
      </c>
      <c r="K835" s="1118" t="s">
        <v>4548</v>
      </c>
      <c r="L835" s="108"/>
      <c r="M835" s="119" t="s">
        <v>4495</v>
      </c>
      <c r="N835" s="119" t="s">
        <v>4496</v>
      </c>
      <c r="O835" s="534">
        <v>2.0</v>
      </c>
      <c r="P835" s="119" t="str">
        <f t="shared" si="37"/>
        <v>10.1177--0956797615573516.pdf</v>
      </c>
      <c r="Q835" s="1158" t="str">
        <f t="array" ref="Q835"> if(iserror(MATCH(V835, 'File Links'!C:C, 0)), "N/A", HYPERLINK(INDEX('File Links'!B:B, MATCH(P835, 'File Links'!C:C, 0))))</f>
        <v>https://drive.google.com/file/d/1JoVItYnEA8vA70xzVLnQEC3dgxMW-0on/view?usp=drivesdk</v>
      </c>
      <c r="R835" s="119" t="s">
        <v>3646</v>
      </c>
      <c r="S835" s="119" t="s">
        <v>3647</v>
      </c>
      <c r="T835" s="108"/>
      <c r="U835" s="534">
        <v>1.0</v>
      </c>
      <c r="V835" s="119" t="str">
        <f t="shared" si="46"/>
        <v>10.1098--rsos.231240.pdf</v>
      </c>
      <c r="W835" s="119" t="s">
        <v>3800</v>
      </c>
      <c r="X835" s="1159" t="str">
        <f t="array" ref="X835"> if(iserror(MATCH(V835, 'File Links'!C:C, 0)), "N/A", HYPERLINK(INDEX('File Links'!B:B, MATCH(V835, 'File Links'!C:C, 0))))</f>
        <v>https://drive.google.com/file/d/17gaf2Zy_ljFfcAEDk5L8GBnTl5i7RGJE/view?usp=drivesdk</v>
      </c>
      <c r="Y835" s="108"/>
      <c r="Z835" s="119" t="s">
        <v>219</v>
      </c>
      <c r="AA835" s="119" t="s">
        <v>4500</v>
      </c>
      <c r="AB835" s="119" t="s">
        <v>4501</v>
      </c>
      <c r="AC835" s="119" t="s">
        <v>4549</v>
      </c>
      <c r="AD835" s="119" t="s">
        <v>4550</v>
      </c>
      <c r="AE835" s="534">
        <v>6.0</v>
      </c>
      <c r="AF835" s="534">
        <v>151.0</v>
      </c>
      <c r="AG835" s="534">
        <v>0.07</v>
      </c>
      <c r="AH835" s="534" t="s">
        <v>132</v>
      </c>
      <c r="AI835" s="534" t="s">
        <v>133</v>
      </c>
      <c r="AJ835" s="363">
        <v>0.001</v>
      </c>
      <c r="AK835" s="109" t="s">
        <v>165</v>
      </c>
      <c r="AL835" s="109" t="s">
        <v>129</v>
      </c>
      <c r="AM835" s="119" t="s">
        <v>134</v>
      </c>
      <c r="AN835" s="144" t="s">
        <v>131</v>
      </c>
      <c r="AO835" s="534">
        <v>50.0</v>
      </c>
      <c r="AP835" s="534" t="s">
        <v>4551</v>
      </c>
      <c r="AQ835" s="534" t="s">
        <v>127</v>
      </c>
      <c r="AR835" s="534" t="s">
        <v>605</v>
      </c>
      <c r="AS835" s="534">
        <v>0.01</v>
      </c>
      <c r="AT835" s="119" t="s">
        <v>165</v>
      </c>
      <c r="AU835" s="119" t="s">
        <v>129</v>
      </c>
      <c r="AV835" s="119" t="s">
        <v>134</v>
      </c>
      <c r="AW835" s="126" t="s">
        <v>131</v>
      </c>
      <c r="AX835" s="108" t="s">
        <v>136</v>
      </c>
      <c r="AY835" s="69"/>
      <c r="AZ835" s="108" t="s">
        <v>146</v>
      </c>
      <c r="BA835" s="69"/>
      <c r="BB835" s="69"/>
      <c r="BC835" s="69"/>
      <c r="BD835" s="69"/>
      <c r="BE835" s="69"/>
      <c r="BF835" s="69"/>
      <c r="BG835" s="69"/>
      <c r="BH835" s="69"/>
      <c r="BI835" s="69"/>
      <c r="BJ835" s="69"/>
      <c r="BK835" s="69"/>
      <c r="BL835" s="69"/>
      <c r="BM835" s="69"/>
      <c r="BN835" s="69"/>
      <c r="BO835" s="69"/>
      <c r="BP835" s="69"/>
      <c r="BQ835" s="69"/>
      <c r="BR835" s="69"/>
      <c r="BS835" s="69"/>
      <c r="BT835" s="69"/>
      <c r="BU835" s="69"/>
      <c r="BV835" s="69"/>
      <c r="BW835" s="69"/>
      <c r="BX835" s="69"/>
      <c r="BY835" s="69"/>
      <c r="BZ835" s="69"/>
      <c r="CA835" s="69"/>
      <c r="CB835" s="69"/>
      <c r="CC835" s="69"/>
      <c r="CD835" s="69"/>
      <c r="CE835" s="69"/>
      <c r="CF835" s="69"/>
      <c r="CG835" s="69"/>
      <c r="CH835" s="69"/>
      <c r="CI835" s="69"/>
      <c r="CJ835" s="69"/>
      <c r="CK835" s="69"/>
      <c r="CL835" s="69"/>
      <c r="CM835" s="69"/>
      <c r="CN835" s="69"/>
      <c r="CO835" s="69"/>
      <c r="CP835" s="69"/>
      <c r="CQ835" s="69"/>
      <c r="CR835" s="69"/>
      <c r="CS835" s="69"/>
      <c r="CT835" s="69"/>
      <c r="CU835" s="69"/>
      <c r="CV835" s="69"/>
      <c r="CW835" s="69"/>
      <c r="CX835" s="69"/>
      <c r="CY835" s="69"/>
      <c r="CZ835" s="69"/>
      <c r="DA835" s="69"/>
      <c r="DB835" s="69"/>
      <c r="DC835" s="69"/>
      <c r="DD835" s="69"/>
      <c r="DE835" s="69"/>
      <c r="DF835" s="69"/>
      <c r="DG835" s="69"/>
      <c r="DH835" s="69"/>
    </row>
    <row r="836">
      <c r="A836" s="107">
        <v>836.0</v>
      </c>
      <c r="B836" s="108" t="s">
        <v>107</v>
      </c>
      <c r="C836" s="146" t="s">
        <v>108</v>
      </c>
      <c r="D836" s="146" t="s">
        <v>241</v>
      </c>
      <c r="E836" s="69"/>
      <c r="F836" s="108" t="s">
        <v>4506</v>
      </c>
      <c r="G836" s="109" t="s">
        <v>4552</v>
      </c>
      <c r="H836" s="119" t="s">
        <v>242</v>
      </c>
      <c r="I836" s="414">
        <v>45670.0</v>
      </c>
      <c r="J836" s="414">
        <v>45692.0</v>
      </c>
      <c r="K836" s="108"/>
      <c r="L836" s="108" t="s">
        <v>4513</v>
      </c>
      <c r="M836" s="119" t="s">
        <v>4495</v>
      </c>
      <c r="N836" s="119" t="s">
        <v>4496</v>
      </c>
      <c r="O836" s="108"/>
      <c r="P836" s="119" t="str">
        <f t="shared" si="37"/>
        <v>10.1177--0956797615573516.pdf</v>
      </c>
      <c r="Q836" s="1158" t="str">
        <f t="array" ref="Q836"> if(iserror(MATCH(V836, 'File Links'!C:C, 0)), "N/A", HYPERLINK(INDEX('File Links'!B:B, MATCH(P836, 'File Links'!C:C, 0))))</f>
        <v>https://drive.google.com/file/d/1JoVItYnEA8vA70xzVLnQEC3dgxMW-0on/view?usp=drivesdk</v>
      </c>
      <c r="R836" s="119" t="s">
        <v>3646</v>
      </c>
      <c r="S836" s="119" t="s">
        <v>3647</v>
      </c>
      <c r="T836" s="108"/>
      <c r="U836" s="534">
        <v>1.0</v>
      </c>
      <c r="V836" s="119" t="str">
        <f t="shared" si="46"/>
        <v>10.1098--rsos.231240.pdf</v>
      </c>
      <c r="W836" s="119" t="s">
        <v>3800</v>
      </c>
      <c r="X836" s="1159" t="str">
        <f t="array" ref="X836"> if(iserror(MATCH(V836, 'File Links'!C:C, 0)), "N/A", HYPERLINK(INDEX('File Links'!B:B, MATCH(V836, 'File Links'!C:C, 0))))</f>
        <v>https://drive.google.com/file/d/17gaf2Zy_ljFfcAEDk5L8GBnTl5i7RGJE/view?usp=drivesdk</v>
      </c>
      <c r="Y836" s="108"/>
      <c r="Z836" s="119" t="s">
        <v>219</v>
      </c>
      <c r="AA836" s="108"/>
      <c r="AB836" s="119" t="s">
        <v>4553</v>
      </c>
      <c r="AC836" s="108"/>
      <c r="AD836" s="119" t="s">
        <v>4515</v>
      </c>
      <c r="AE836" s="534">
        <v>2.0</v>
      </c>
      <c r="AF836" s="534">
        <v>151.0</v>
      </c>
      <c r="AG836" s="1103">
        <v>0.7</v>
      </c>
      <c r="AH836" s="119" t="s">
        <v>132</v>
      </c>
      <c r="AI836" s="119" t="s">
        <v>133</v>
      </c>
      <c r="AJ836" s="363">
        <v>0.001</v>
      </c>
      <c r="AK836" s="109" t="s">
        <v>165</v>
      </c>
      <c r="AL836" s="109" t="s">
        <v>129</v>
      </c>
      <c r="AM836" s="119" t="s">
        <v>134</v>
      </c>
      <c r="AN836" s="144" t="s">
        <v>131</v>
      </c>
      <c r="AO836" s="534">
        <v>50.0</v>
      </c>
      <c r="AP836" s="534">
        <v>7.29</v>
      </c>
      <c r="AQ836" s="119" t="s">
        <v>1024</v>
      </c>
      <c r="AR836" s="108"/>
      <c r="AS836" s="534">
        <v>0.01</v>
      </c>
      <c r="AT836" s="119" t="s">
        <v>165</v>
      </c>
      <c r="AU836" s="119" t="s">
        <v>129</v>
      </c>
      <c r="AV836" s="119" t="s">
        <v>134</v>
      </c>
      <c r="AW836" s="126" t="s">
        <v>131</v>
      </c>
      <c r="AX836" s="119" t="s">
        <v>136</v>
      </c>
      <c r="AY836" s="69"/>
      <c r="AZ836" s="108" t="s">
        <v>146</v>
      </c>
      <c r="BA836" s="69"/>
      <c r="BB836" s="69"/>
      <c r="BC836" s="69"/>
      <c r="BD836" s="69"/>
      <c r="BE836" s="69"/>
      <c r="BF836" s="69"/>
      <c r="BG836" s="69"/>
      <c r="BH836" s="69"/>
      <c r="BI836" s="69"/>
      <c r="BJ836" s="69"/>
      <c r="BK836" s="69"/>
      <c r="BL836" s="69"/>
      <c r="BM836" s="69"/>
      <c r="BN836" s="69"/>
      <c r="BO836" s="69"/>
      <c r="BP836" s="69"/>
      <c r="BQ836" s="69"/>
      <c r="BR836" s="69"/>
      <c r="BS836" s="69"/>
      <c r="BT836" s="69"/>
      <c r="BU836" s="69"/>
      <c r="BV836" s="69"/>
      <c r="BW836" s="69"/>
      <c r="BX836" s="69"/>
      <c r="BY836" s="69"/>
      <c r="BZ836" s="69"/>
      <c r="CA836" s="69"/>
      <c r="CB836" s="69"/>
      <c r="CC836" s="69"/>
      <c r="CD836" s="69"/>
      <c r="CE836" s="69"/>
      <c r="CF836" s="69"/>
      <c r="CG836" s="69"/>
      <c r="CH836" s="69"/>
      <c r="CI836" s="69"/>
      <c r="CJ836" s="69"/>
      <c r="CK836" s="69"/>
      <c r="CL836" s="69"/>
      <c r="CM836" s="69"/>
      <c r="CN836" s="69"/>
      <c r="CO836" s="69"/>
      <c r="CP836" s="69"/>
      <c r="CQ836" s="69"/>
      <c r="CR836" s="69"/>
      <c r="CS836" s="69"/>
      <c r="CT836" s="69"/>
      <c r="CU836" s="69"/>
      <c r="CV836" s="69"/>
      <c r="CW836" s="69"/>
      <c r="CX836" s="69"/>
      <c r="CY836" s="69"/>
      <c r="CZ836" s="69"/>
      <c r="DA836" s="69"/>
      <c r="DB836" s="69"/>
      <c r="DC836" s="69"/>
      <c r="DD836" s="69"/>
      <c r="DE836" s="69"/>
      <c r="DF836" s="69"/>
      <c r="DG836" s="69"/>
      <c r="DH836" s="69"/>
    </row>
    <row r="837">
      <c r="A837" s="107">
        <v>837.0</v>
      </c>
      <c r="B837" s="144" t="s">
        <v>4516</v>
      </c>
      <c r="C837" s="146" t="s">
        <v>108</v>
      </c>
      <c r="D837" s="146" t="s">
        <v>146</v>
      </c>
      <c r="E837" s="69"/>
      <c r="F837" s="108" t="s">
        <v>4506</v>
      </c>
      <c r="G837" s="109" t="s">
        <v>4554</v>
      </c>
      <c r="H837" s="119" t="s">
        <v>146</v>
      </c>
      <c r="I837" s="414">
        <v>45687.0</v>
      </c>
      <c r="J837" s="414">
        <v>45692.0</v>
      </c>
      <c r="K837" s="1118" t="s">
        <v>4555</v>
      </c>
      <c r="L837" s="108"/>
      <c r="M837" s="119" t="s">
        <v>4495</v>
      </c>
      <c r="N837" s="119" t="s">
        <v>4496</v>
      </c>
      <c r="O837" s="534">
        <v>2.0</v>
      </c>
      <c r="P837" s="119" t="str">
        <f t="shared" si="37"/>
        <v>10.1177--0956797615573516.pdf</v>
      </c>
      <c r="Q837" s="1158" t="str">
        <f t="array" ref="Q837"> if(iserror(MATCH(V837, 'File Links'!C:C, 0)), "N/A", HYPERLINK(INDEX('File Links'!B:B, MATCH(P837, 'File Links'!C:C, 0))))</f>
        <v>https://drive.google.com/file/d/1JoVItYnEA8vA70xzVLnQEC3dgxMW-0on/view?usp=drivesdk</v>
      </c>
      <c r="R837" s="119" t="s">
        <v>3646</v>
      </c>
      <c r="S837" s="119" t="s">
        <v>3647</v>
      </c>
      <c r="T837" s="108"/>
      <c r="U837" s="534">
        <v>1.0</v>
      </c>
      <c r="V837" s="119" t="str">
        <f t="shared" si="46"/>
        <v>10.1098--rsos.231240.pdf</v>
      </c>
      <c r="W837" s="119" t="s">
        <v>3800</v>
      </c>
      <c r="X837" s="1159" t="str">
        <f t="array" ref="X837"> if(iserror(MATCH(V837, 'File Links'!C:C, 0)), "N/A", HYPERLINK(INDEX('File Links'!B:B, MATCH(V837, 'File Links'!C:C, 0))))</f>
        <v>https://drive.google.com/file/d/17gaf2Zy_ljFfcAEDk5L8GBnTl5i7RGJE/view?usp=drivesdk</v>
      </c>
      <c r="Y837" s="108"/>
      <c r="Z837" s="119" t="s">
        <v>219</v>
      </c>
      <c r="AA837" s="119" t="s">
        <v>4500</v>
      </c>
      <c r="AB837" s="119" t="s">
        <v>4501</v>
      </c>
      <c r="AC837" s="119" t="s">
        <v>4556</v>
      </c>
      <c r="AD837" s="119" t="s">
        <v>4557</v>
      </c>
      <c r="AE837" s="534">
        <v>6.0</v>
      </c>
      <c r="AF837" s="534">
        <v>151.0</v>
      </c>
      <c r="AG837" s="534">
        <v>0.01</v>
      </c>
      <c r="AH837" s="534" t="s">
        <v>132</v>
      </c>
      <c r="AI837" s="534" t="s">
        <v>133</v>
      </c>
      <c r="AJ837" s="363">
        <v>0.25</v>
      </c>
      <c r="AK837" s="109" t="s">
        <v>328</v>
      </c>
      <c r="AL837" s="109" t="s">
        <v>129</v>
      </c>
      <c r="AM837" s="119" t="s">
        <v>134</v>
      </c>
      <c r="AN837" s="144" t="s">
        <v>131</v>
      </c>
      <c r="AO837" s="534">
        <v>50.0</v>
      </c>
      <c r="AP837" s="534" t="s">
        <v>4558</v>
      </c>
      <c r="AQ837" s="534" t="s">
        <v>127</v>
      </c>
      <c r="AR837" s="534" t="s">
        <v>605</v>
      </c>
      <c r="AS837" s="534">
        <v>0.672</v>
      </c>
      <c r="AT837" s="119" t="s">
        <v>165</v>
      </c>
      <c r="AU837" s="119" t="s">
        <v>129</v>
      </c>
      <c r="AV837" s="119" t="s">
        <v>134</v>
      </c>
      <c r="AW837" s="126" t="s">
        <v>131</v>
      </c>
      <c r="AX837" s="108" t="s">
        <v>136</v>
      </c>
      <c r="AY837" s="69"/>
      <c r="AZ837" s="108" t="s">
        <v>146</v>
      </c>
      <c r="BA837" s="69"/>
      <c r="BB837" s="69"/>
      <c r="BC837" s="69"/>
      <c r="BD837" s="69"/>
      <c r="BE837" s="69"/>
      <c r="BF837" s="69"/>
      <c r="BG837" s="69"/>
      <c r="BH837" s="69"/>
      <c r="BI837" s="69"/>
      <c r="BJ837" s="69"/>
      <c r="BK837" s="69"/>
      <c r="BL837" s="69"/>
      <c r="BM837" s="69"/>
      <c r="BN837" s="69"/>
      <c r="BO837" s="69"/>
      <c r="BP837" s="69"/>
      <c r="BQ837" s="69"/>
      <c r="BR837" s="69"/>
      <c r="BS837" s="69"/>
      <c r="BT837" s="69"/>
      <c r="BU837" s="69"/>
      <c r="BV837" s="69"/>
      <c r="BW837" s="69"/>
      <c r="BX837" s="69"/>
      <c r="BY837" s="69"/>
      <c r="BZ837" s="69"/>
      <c r="CA837" s="69"/>
      <c r="CB837" s="69"/>
      <c r="CC837" s="69"/>
      <c r="CD837" s="69"/>
      <c r="CE837" s="69"/>
      <c r="CF837" s="69"/>
      <c r="CG837" s="69"/>
      <c r="CH837" s="69"/>
      <c r="CI837" s="69"/>
      <c r="CJ837" s="69"/>
      <c r="CK837" s="69"/>
      <c r="CL837" s="69"/>
      <c r="CM837" s="69"/>
      <c r="CN837" s="69"/>
      <c r="CO837" s="69"/>
      <c r="CP837" s="69"/>
      <c r="CQ837" s="69"/>
      <c r="CR837" s="69"/>
      <c r="CS837" s="69"/>
      <c r="CT837" s="69"/>
      <c r="CU837" s="69"/>
      <c r="CV837" s="69"/>
      <c r="CW837" s="69"/>
      <c r="CX837" s="69"/>
      <c r="CY837" s="69"/>
      <c r="CZ837" s="69"/>
      <c r="DA837" s="69"/>
      <c r="DB837" s="69"/>
      <c r="DC837" s="69"/>
      <c r="DD837" s="69"/>
      <c r="DE837" s="69"/>
      <c r="DF837" s="69"/>
      <c r="DG837" s="69"/>
      <c r="DH837" s="69"/>
    </row>
    <row r="838">
      <c r="A838" s="107">
        <v>838.0</v>
      </c>
      <c r="B838" s="108" t="s">
        <v>107</v>
      </c>
      <c r="C838" s="146" t="s">
        <v>108</v>
      </c>
      <c r="D838" s="146" t="s">
        <v>241</v>
      </c>
      <c r="E838" s="69"/>
      <c r="F838" s="108" t="s">
        <v>4506</v>
      </c>
      <c r="G838" s="109" t="s">
        <v>4559</v>
      </c>
      <c r="H838" s="119" t="s">
        <v>242</v>
      </c>
      <c r="I838" s="414">
        <v>45670.0</v>
      </c>
      <c r="J838" s="414">
        <v>45692.0</v>
      </c>
      <c r="K838" s="108"/>
      <c r="L838" s="108"/>
      <c r="M838" s="119" t="s">
        <v>4495</v>
      </c>
      <c r="N838" s="119" t="s">
        <v>4496</v>
      </c>
      <c r="O838" s="108"/>
      <c r="P838" s="119" t="str">
        <f t="shared" si="37"/>
        <v>10.1177--0956797615573516.pdf</v>
      </c>
      <c r="Q838" s="1158" t="str">
        <f t="array" ref="Q838"> if(iserror(MATCH(V838, 'File Links'!C:C, 0)), "N/A", HYPERLINK(INDEX('File Links'!B:B, MATCH(P838, 'File Links'!C:C, 0))))</f>
        <v>https://drive.google.com/file/d/1JoVItYnEA8vA70xzVLnQEC3dgxMW-0on/view?usp=drivesdk</v>
      </c>
      <c r="R838" s="119" t="s">
        <v>3646</v>
      </c>
      <c r="S838" s="119" t="s">
        <v>3647</v>
      </c>
      <c r="T838" s="108"/>
      <c r="U838" s="534">
        <v>1.0</v>
      </c>
      <c r="V838" s="119" t="str">
        <f t="shared" si="46"/>
        <v>10.1098--rsos.231240.pdf</v>
      </c>
      <c r="W838" s="119" t="s">
        <v>3800</v>
      </c>
      <c r="X838" s="1159" t="str">
        <f t="array" ref="X838"> if(iserror(MATCH(V838, 'File Links'!C:C, 0)), "N/A", HYPERLINK(INDEX('File Links'!B:B, MATCH(V838, 'File Links'!C:C, 0))))</f>
        <v>https://drive.google.com/file/d/17gaf2Zy_ljFfcAEDk5L8GBnTl5i7RGJE/view?usp=drivesdk</v>
      </c>
      <c r="Y838" s="108"/>
      <c r="Z838" s="119" t="s">
        <v>219</v>
      </c>
      <c r="AA838" s="108"/>
      <c r="AB838" s="119" t="s">
        <v>4560</v>
      </c>
      <c r="AC838" s="108"/>
      <c r="AD838" s="119" t="s">
        <v>4515</v>
      </c>
      <c r="AE838" s="534">
        <v>2.0</v>
      </c>
      <c r="AF838" s="534">
        <v>151.0</v>
      </c>
      <c r="AG838" s="534">
        <v>0.01</v>
      </c>
      <c r="AH838" s="119" t="s">
        <v>132</v>
      </c>
      <c r="AI838" s="119" t="s">
        <v>133</v>
      </c>
      <c r="AJ838" s="363">
        <v>0.25</v>
      </c>
      <c r="AK838" s="109" t="s">
        <v>328</v>
      </c>
      <c r="AL838" s="109" t="s">
        <v>129</v>
      </c>
      <c r="AM838" s="119" t="s">
        <v>134</v>
      </c>
      <c r="AN838" s="144" t="s">
        <v>131</v>
      </c>
      <c r="AO838" s="534">
        <v>50.0</v>
      </c>
      <c r="AP838" s="534">
        <v>0.18</v>
      </c>
      <c r="AQ838" s="119" t="s">
        <v>1024</v>
      </c>
      <c r="AR838" s="108"/>
      <c r="AS838" s="534">
        <v>0.672</v>
      </c>
      <c r="AT838" s="119" t="s">
        <v>165</v>
      </c>
      <c r="AU838" s="119" t="s">
        <v>129</v>
      </c>
      <c r="AV838" s="119" t="s">
        <v>134</v>
      </c>
      <c r="AW838" s="126" t="s">
        <v>131</v>
      </c>
      <c r="AX838" s="119" t="s">
        <v>136</v>
      </c>
      <c r="AY838" s="69"/>
      <c r="AZ838" s="108" t="s">
        <v>146</v>
      </c>
      <c r="BA838" s="69"/>
      <c r="BB838" s="69"/>
      <c r="BC838" s="69"/>
      <c r="BD838" s="69"/>
      <c r="BE838" s="69"/>
      <c r="BF838" s="69"/>
      <c r="BG838" s="69"/>
      <c r="BH838" s="69"/>
      <c r="BI838" s="69"/>
      <c r="BJ838" s="69"/>
      <c r="BK838" s="69"/>
      <c r="BL838" s="69"/>
      <c r="BM838" s="69"/>
      <c r="BN838" s="69"/>
      <c r="BO838" s="69"/>
      <c r="BP838" s="69"/>
      <c r="BQ838" s="69"/>
      <c r="BR838" s="69"/>
      <c r="BS838" s="69"/>
      <c r="BT838" s="69"/>
      <c r="BU838" s="69"/>
      <c r="BV838" s="69"/>
      <c r="BW838" s="69"/>
      <c r="BX838" s="69"/>
      <c r="BY838" s="69"/>
      <c r="BZ838" s="69"/>
      <c r="CA838" s="69"/>
      <c r="CB838" s="69"/>
      <c r="CC838" s="69"/>
      <c r="CD838" s="69"/>
      <c r="CE838" s="69"/>
      <c r="CF838" s="69"/>
      <c r="CG838" s="69"/>
      <c r="CH838" s="69"/>
      <c r="CI838" s="69"/>
      <c r="CJ838" s="69"/>
      <c r="CK838" s="69"/>
      <c r="CL838" s="69"/>
      <c r="CM838" s="69"/>
      <c r="CN838" s="69"/>
      <c r="CO838" s="69"/>
      <c r="CP838" s="69"/>
      <c r="CQ838" s="69"/>
      <c r="CR838" s="69"/>
      <c r="CS838" s="69"/>
      <c r="CT838" s="69"/>
      <c r="CU838" s="69"/>
      <c r="CV838" s="69"/>
      <c r="CW838" s="69"/>
      <c r="CX838" s="69"/>
      <c r="CY838" s="69"/>
      <c r="CZ838" s="69"/>
      <c r="DA838" s="69"/>
      <c r="DB838" s="69"/>
      <c r="DC838" s="69"/>
      <c r="DD838" s="69"/>
      <c r="DE838" s="69"/>
      <c r="DF838" s="69"/>
      <c r="DG838" s="69"/>
      <c r="DH838" s="69"/>
    </row>
    <row r="839">
      <c r="A839" s="107">
        <v>839.0</v>
      </c>
      <c r="B839" s="144" t="s">
        <v>4516</v>
      </c>
      <c r="C839" s="146" t="s">
        <v>108</v>
      </c>
      <c r="D839" s="146" t="s">
        <v>146</v>
      </c>
      <c r="E839" s="69"/>
      <c r="F839" s="108" t="s">
        <v>4506</v>
      </c>
      <c r="G839" s="109" t="s">
        <v>4561</v>
      </c>
      <c r="H839" s="119" t="s">
        <v>146</v>
      </c>
      <c r="I839" s="414">
        <v>45687.0</v>
      </c>
      <c r="J839" s="414">
        <v>45692.0</v>
      </c>
      <c r="K839" s="1118" t="s">
        <v>4562</v>
      </c>
      <c r="L839" s="108"/>
      <c r="M839" s="119" t="s">
        <v>4495</v>
      </c>
      <c r="N839" s="119" t="s">
        <v>4496</v>
      </c>
      <c r="O839" s="534">
        <v>2.0</v>
      </c>
      <c r="P839" s="119" t="str">
        <f t="shared" si="37"/>
        <v>10.1177--0956797615573516.pdf</v>
      </c>
      <c r="Q839" s="1158" t="str">
        <f t="array" ref="Q839"> if(iserror(MATCH(V839, 'File Links'!C:C, 0)), "N/A", HYPERLINK(INDEX('File Links'!B:B, MATCH(P839, 'File Links'!C:C, 0))))</f>
        <v>https://drive.google.com/file/d/1JoVItYnEA8vA70xzVLnQEC3dgxMW-0on/view?usp=drivesdk</v>
      </c>
      <c r="R839" s="119" t="s">
        <v>3646</v>
      </c>
      <c r="S839" s="119" t="s">
        <v>3647</v>
      </c>
      <c r="T839" s="108"/>
      <c r="U839" s="534">
        <v>1.0</v>
      </c>
      <c r="V839" s="119" t="str">
        <f t="shared" si="46"/>
        <v>10.1098--rsos.231240.pdf</v>
      </c>
      <c r="W839" s="119" t="s">
        <v>3800</v>
      </c>
      <c r="X839" s="1159" t="str">
        <f t="array" ref="X839"> if(iserror(MATCH(V839, 'File Links'!C:C, 0)), "N/A", HYPERLINK(INDEX('File Links'!B:B, MATCH(V839, 'File Links'!C:C, 0))))</f>
        <v>https://drive.google.com/file/d/17gaf2Zy_ljFfcAEDk5L8GBnTl5i7RGJE/view?usp=drivesdk</v>
      </c>
      <c r="Y839" s="108"/>
      <c r="Z839" s="119" t="s">
        <v>219</v>
      </c>
      <c r="AA839" s="119" t="s">
        <v>4500</v>
      </c>
      <c r="AB839" s="119" t="s">
        <v>4501</v>
      </c>
      <c r="AC839" s="119" t="s">
        <v>4563</v>
      </c>
      <c r="AD839" s="119" t="s">
        <v>4564</v>
      </c>
      <c r="AE839" s="534">
        <v>6.0</v>
      </c>
      <c r="AF839" s="534">
        <v>151.0</v>
      </c>
      <c r="AG839" s="534">
        <v>0.002</v>
      </c>
      <c r="AH839" s="534" t="s">
        <v>132</v>
      </c>
      <c r="AI839" s="534" t="s">
        <v>133</v>
      </c>
      <c r="AJ839" s="363">
        <v>0.25</v>
      </c>
      <c r="AK839" s="109" t="s">
        <v>328</v>
      </c>
      <c r="AL839" s="109" t="s">
        <v>129</v>
      </c>
      <c r="AM839" s="119" t="s">
        <v>134</v>
      </c>
      <c r="AN839" s="144" t="s">
        <v>131</v>
      </c>
      <c r="AO839" s="534">
        <v>50.0</v>
      </c>
      <c r="AP839" s="534" t="s">
        <v>4565</v>
      </c>
      <c r="AQ839" s="534" t="s">
        <v>127</v>
      </c>
      <c r="AR839" s="534" t="s">
        <v>605</v>
      </c>
      <c r="AS839" s="534">
        <v>0.847</v>
      </c>
      <c r="AT839" s="119" t="s">
        <v>165</v>
      </c>
      <c r="AU839" s="119" t="s">
        <v>129</v>
      </c>
      <c r="AV839" s="119" t="s">
        <v>134</v>
      </c>
      <c r="AW839" s="126" t="s">
        <v>131</v>
      </c>
      <c r="AX839" s="108" t="s">
        <v>136</v>
      </c>
      <c r="AY839" s="69"/>
      <c r="AZ839" s="108" t="s">
        <v>146</v>
      </c>
      <c r="BA839" s="69"/>
      <c r="BB839" s="69"/>
      <c r="BC839" s="69"/>
      <c r="BD839" s="69"/>
      <c r="BE839" s="69"/>
      <c r="BF839" s="69"/>
      <c r="BG839" s="69"/>
      <c r="BH839" s="69"/>
      <c r="BI839" s="69"/>
      <c r="BJ839" s="69"/>
      <c r="BK839" s="69"/>
      <c r="BL839" s="69"/>
      <c r="BM839" s="69"/>
      <c r="BN839" s="69"/>
      <c r="BO839" s="69"/>
      <c r="BP839" s="69"/>
      <c r="BQ839" s="69"/>
      <c r="BR839" s="69"/>
      <c r="BS839" s="69"/>
      <c r="BT839" s="69"/>
      <c r="BU839" s="69"/>
      <c r="BV839" s="69"/>
      <c r="BW839" s="69"/>
      <c r="BX839" s="69"/>
      <c r="BY839" s="69"/>
      <c r="BZ839" s="69"/>
      <c r="CA839" s="69"/>
      <c r="CB839" s="69"/>
      <c r="CC839" s="69"/>
      <c r="CD839" s="69"/>
      <c r="CE839" s="69"/>
      <c r="CF839" s="69"/>
      <c r="CG839" s="69"/>
      <c r="CH839" s="69"/>
      <c r="CI839" s="69"/>
      <c r="CJ839" s="69"/>
      <c r="CK839" s="69"/>
      <c r="CL839" s="69"/>
      <c r="CM839" s="69"/>
      <c r="CN839" s="69"/>
      <c r="CO839" s="69"/>
      <c r="CP839" s="69"/>
      <c r="CQ839" s="69"/>
      <c r="CR839" s="69"/>
      <c r="CS839" s="69"/>
      <c r="CT839" s="69"/>
      <c r="CU839" s="69"/>
      <c r="CV839" s="69"/>
      <c r="CW839" s="69"/>
      <c r="CX839" s="69"/>
      <c r="CY839" s="69"/>
      <c r="CZ839" s="69"/>
      <c r="DA839" s="69"/>
      <c r="DB839" s="69"/>
      <c r="DC839" s="69"/>
      <c r="DD839" s="69"/>
      <c r="DE839" s="69"/>
      <c r="DF839" s="69"/>
      <c r="DG839" s="69"/>
      <c r="DH839" s="69"/>
    </row>
    <row r="840">
      <c r="A840" s="107">
        <v>840.0</v>
      </c>
      <c r="B840" s="108" t="s">
        <v>107</v>
      </c>
      <c r="C840" s="146" t="s">
        <v>108</v>
      </c>
      <c r="D840" s="146" t="s">
        <v>241</v>
      </c>
      <c r="E840" s="69"/>
      <c r="F840" s="108" t="s">
        <v>4506</v>
      </c>
      <c r="G840" s="109" t="s">
        <v>4566</v>
      </c>
      <c r="H840" s="119" t="s">
        <v>242</v>
      </c>
      <c r="I840" s="414">
        <v>45670.0</v>
      </c>
      <c r="J840" s="414">
        <v>45692.0</v>
      </c>
      <c r="K840" s="108"/>
      <c r="L840" s="108"/>
      <c r="M840" s="119" t="s">
        <v>4495</v>
      </c>
      <c r="N840" s="119" t="s">
        <v>4496</v>
      </c>
      <c r="O840" s="108"/>
      <c r="P840" s="119" t="str">
        <f t="shared" si="37"/>
        <v>10.1177--0956797615573516.pdf</v>
      </c>
      <c r="Q840" s="1158" t="str">
        <f t="array" ref="Q840"> if(iserror(MATCH(V840, 'File Links'!C:C, 0)), "N/A", HYPERLINK(INDEX('File Links'!B:B, MATCH(P840, 'File Links'!C:C, 0))))</f>
        <v>https://drive.google.com/file/d/1JoVItYnEA8vA70xzVLnQEC3dgxMW-0on/view?usp=drivesdk</v>
      </c>
      <c r="R840" s="119" t="s">
        <v>3646</v>
      </c>
      <c r="S840" s="119" t="s">
        <v>3647</v>
      </c>
      <c r="T840" s="108"/>
      <c r="U840" s="534">
        <v>1.0</v>
      </c>
      <c r="V840" s="119" t="str">
        <f t="shared" si="46"/>
        <v>10.1098--rsos.231240.pdf</v>
      </c>
      <c r="W840" s="119" t="s">
        <v>3800</v>
      </c>
      <c r="X840" s="1159" t="str">
        <f t="array" ref="X840"> if(iserror(MATCH(V840, 'File Links'!C:C, 0)), "N/A", HYPERLINK(INDEX('File Links'!B:B, MATCH(V840, 'File Links'!C:C, 0))))</f>
        <v>https://drive.google.com/file/d/17gaf2Zy_ljFfcAEDk5L8GBnTl5i7RGJE/view?usp=drivesdk</v>
      </c>
      <c r="Y840" s="108"/>
      <c r="Z840" s="119" t="s">
        <v>219</v>
      </c>
      <c r="AA840" s="108"/>
      <c r="AB840" s="119" t="s">
        <v>4567</v>
      </c>
      <c r="AC840" s="108"/>
      <c r="AD840" s="119" t="s">
        <v>4515</v>
      </c>
      <c r="AE840" s="534">
        <v>2.0</v>
      </c>
      <c r="AF840" s="534">
        <v>151.0</v>
      </c>
      <c r="AG840" s="534">
        <v>0.002</v>
      </c>
      <c r="AH840" s="119" t="s">
        <v>132</v>
      </c>
      <c r="AI840" s="119" t="s">
        <v>133</v>
      </c>
      <c r="AJ840" s="363">
        <v>0.25</v>
      </c>
      <c r="AK840" s="109" t="s">
        <v>328</v>
      </c>
      <c r="AL840" s="109" t="s">
        <v>129</v>
      </c>
      <c r="AM840" s="119" t="s">
        <v>134</v>
      </c>
      <c r="AN840" s="144" t="s">
        <v>131</v>
      </c>
      <c r="AO840" s="534">
        <v>50.0</v>
      </c>
      <c r="AP840" s="534">
        <v>0.04</v>
      </c>
      <c r="AQ840" s="119" t="s">
        <v>1024</v>
      </c>
      <c r="AR840" s="108"/>
      <c r="AS840" s="534">
        <v>0.847</v>
      </c>
      <c r="AT840" s="119" t="s">
        <v>165</v>
      </c>
      <c r="AU840" s="119" t="s">
        <v>129</v>
      </c>
      <c r="AV840" s="119" t="s">
        <v>134</v>
      </c>
      <c r="AW840" s="126" t="s">
        <v>131</v>
      </c>
      <c r="AX840" s="119" t="s">
        <v>136</v>
      </c>
      <c r="AY840" s="69"/>
      <c r="AZ840" s="108" t="s">
        <v>146</v>
      </c>
      <c r="BA840" s="69"/>
      <c r="BB840" s="69"/>
      <c r="BC840" s="69"/>
      <c r="BD840" s="69"/>
      <c r="BE840" s="69"/>
      <c r="BF840" s="69"/>
      <c r="BG840" s="69"/>
      <c r="BH840" s="69"/>
      <c r="BI840" s="69"/>
      <c r="BJ840" s="69"/>
      <c r="BK840" s="69"/>
      <c r="BL840" s="69"/>
      <c r="BM840" s="69"/>
      <c r="BN840" s="69"/>
      <c r="BO840" s="69"/>
      <c r="BP840" s="69"/>
      <c r="BQ840" s="69"/>
      <c r="BR840" s="69"/>
      <c r="BS840" s="69"/>
      <c r="BT840" s="69"/>
      <c r="BU840" s="69"/>
      <c r="BV840" s="69"/>
      <c r="BW840" s="69"/>
      <c r="BX840" s="69"/>
      <c r="BY840" s="69"/>
      <c r="BZ840" s="69"/>
      <c r="CA840" s="69"/>
      <c r="CB840" s="69"/>
      <c r="CC840" s="69"/>
      <c r="CD840" s="69"/>
      <c r="CE840" s="69"/>
      <c r="CF840" s="69"/>
      <c r="CG840" s="69"/>
      <c r="CH840" s="69"/>
      <c r="CI840" s="69"/>
      <c r="CJ840" s="69"/>
      <c r="CK840" s="69"/>
      <c r="CL840" s="69"/>
      <c r="CM840" s="69"/>
      <c r="CN840" s="69"/>
      <c r="CO840" s="69"/>
      <c r="CP840" s="69"/>
      <c r="CQ840" s="69"/>
      <c r="CR840" s="69"/>
      <c r="CS840" s="69"/>
      <c r="CT840" s="69"/>
      <c r="CU840" s="69"/>
      <c r="CV840" s="69"/>
      <c r="CW840" s="69"/>
      <c r="CX840" s="69"/>
      <c r="CY840" s="69"/>
      <c r="CZ840" s="69"/>
      <c r="DA840" s="69"/>
      <c r="DB840" s="69"/>
      <c r="DC840" s="69"/>
      <c r="DD840" s="69"/>
      <c r="DE840" s="69"/>
      <c r="DF840" s="69"/>
      <c r="DG840" s="69"/>
      <c r="DH840" s="69"/>
    </row>
    <row r="841">
      <c r="A841" s="107">
        <v>841.0</v>
      </c>
      <c r="B841" s="144" t="s">
        <v>4516</v>
      </c>
      <c r="C841" s="146" t="s">
        <v>108</v>
      </c>
      <c r="D841" s="146" t="s">
        <v>146</v>
      </c>
      <c r="E841" s="69"/>
      <c r="F841" s="108" t="s">
        <v>4506</v>
      </c>
      <c r="G841" s="109" t="s">
        <v>4568</v>
      </c>
      <c r="H841" s="119" t="s">
        <v>146</v>
      </c>
      <c r="I841" s="414">
        <v>45687.0</v>
      </c>
      <c r="J841" s="414">
        <v>45692.0</v>
      </c>
      <c r="K841" s="1118" t="s">
        <v>4569</v>
      </c>
      <c r="L841" s="108"/>
      <c r="M841" s="119" t="s">
        <v>4495</v>
      </c>
      <c r="N841" s="119" t="s">
        <v>4496</v>
      </c>
      <c r="O841" s="534">
        <v>2.0</v>
      </c>
      <c r="P841" s="119" t="str">
        <f t="shared" si="37"/>
        <v>10.1177--0956797615573516.pdf</v>
      </c>
      <c r="Q841" s="1158" t="str">
        <f t="array" ref="Q841"> if(iserror(MATCH(V841, 'File Links'!C:C, 0)), "N/A", HYPERLINK(INDEX('File Links'!B:B, MATCH(P841, 'File Links'!C:C, 0))))</f>
        <v>https://drive.google.com/file/d/1JoVItYnEA8vA70xzVLnQEC3dgxMW-0on/view?usp=drivesdk</v>
      </c>
      <c r="R841" s="119" t="s">
        <v>3646</v>
      </c>
      <c r="S841" s="119" t="s">
        <v>3647</v>
      </c>
      <c r="T841" s="108"/>
      <c r="U841" s="534">
        <v>1.0</v>
      </c>
      <c r="V841" s="119" t="str">
        <f t="shared" si="46"/>
        <v>10.1098--rsos.231240.pdf</v>
      </c>
      <c r="W841" s="119" t="s">
        <v>3800</v>
      </c>
      <c r="X841" s="1159" t="str">
        <f t="array" ref="X841"> if(iserror(MATCH(V841, 'File Links'!C:C, 0)), "N/A", HYPERLINK(INDEX('File Links'!B:B, MATCH(V841, 'File Links'!C:C, 0))))</f>
        <v>https://drive.google.com/file/d/17gaf2Zy_ljFfcAEDk5L8GBnTl5i7RGJE/view?usp=drivesdk</v>
      </c>
      <c r="Y841" s="108"/>
      <c r="Z841" s="119" t="s">
        <v>219</v>
      </c>
      <c r="AA841" s="119" t="s">
        <v>4500</v>
      </c>
      <c r="AB841" s="119" t="s">
        <v>4501</v>
      </c>
      <c r="AC841" s="119" t="s">
        <v>4570</v>
      </c>
      <c r="AD841" s="119" t="s">
        <v>4571</v>
      </c>
      <c r="AE841" s="534">
        <v>6.0</v>
      </c>
      <c r="AF841" s="534">
        <v>151.0</v>
      </c>
      <c r="AG841" s="534">
        <v>0.02</v>
      </c>
      <c r="AH841" s="534" t="s">
        <v>132</v>
      </c>
      <c r="AI841" s="534" t="s">
        <v>133</v>
      </c>
      <c r="AJ841" s="363">
        <v>0.1</v>
      </c>
      <c r="AK841" s="109" t="s">
        <v>165</v>
      </c>
      <c r="AL841" s="109" t="s">
        <v>129</v>
      </c>
      <c r="AM841" s="119" t="s">
        <v>134</v>
      </c>
      <c r="AN841" s="144" t="s">
        <v>131</v>
      </c>
      <c r="AO841" s="534">
        <v>50.0</v>
      </c>
      <c r="AP841" s="534" t="s">
        <v>4572</v>
      </c>
      <c r="AQ841" s="534" t="s">
        <v>127</v>
      </c>
      <c r="AR841" s="534" t="s">
        <v>605</v>
      </c>
      <c r="AS841" s="534">
        <v>0.598</v>
      </c>
      <c r="AT841" s="119" t="s">
        <v>165</v>
      </c>
      <c r="AU841" s="119" t="s">
        <v>129</v>
      </c>
      <c r="AV841" s="119" t="s">
        <v>134</v>
      </c>
      <c r="AW841" s="126" t="s">
        <v>131</v>
      </c>
      <c r="AX841" s="108" t="s">
        <v>136</v>
      </c>
      <c r="AY841" s="69"/>
      <c r="AZ841" s="108" t="s">
        <v>146</v>
      </c>
      <c r="BA841" s="69"/>
      <c r="BB841" s="69"/>
      <c r="BC841" s="69"/>
      <c r="BD841" s="69"/>
      <c r="BE841" s="69"/>
      <c r="BF841" s="69"/>
      <c r="BG841" s="69"/>
      <c r="BH841" s="69"/>
      <c r="BI841" s="69"/>
      <c r="BJ841" s="69"/>
      <c r="BK841" s="69"/>
      <c r="BL841" s="69"/>
      <c r="BM841" s="69"/>
      <c r="BN841" s="69"/>
      <c r="BO841" s="69"/>
      <c r="BP841" s="69"/>
      <c r="BQ841" s="69"/>
      <c r="BR841" s="69"/>
      <c r="BS841" s="69"/>
      <c r="BT841" s="69"/>
      <c r="BU841" s="69"/>
      <c r="BV841" s="69"/>
      <c r="BW841" s="69"/>
      <c r="BX841" s="69"/>
      <c r="BY841" s="69"/>
      <c r="BZ841" s="69"/>
      <c r="CA841" s="69"/>
      <c r="CB841" s="69"/>
      <c r="CC841" s="69"/>
      <c r="CD841" s="69"/>
      <c r="CE841" s="69"/>
      <c r="CF841" s="69"/>
      <c r="CG841" s="69"/>
      <c r="CH841" s="69"/>
      <c r="CI841" s="69"/>
      <c r="CJ841" s="69"/>
      <c r="CK841" s="69"/>
      <c r="CL841" s="69"/>
      <c r="CM841" s="69"/>
      <c r="CN841" s="69"/>
      <c r="CO841" s="69"/>
      <c r="CP841" s="69"/>
      <c r="CQ841" s="69"/>
      <c r="CR841" s="69"/>
      <c r="CS841" s="69"/>
      <c r="CT841" s="69"/>
      <c r="CU841" s="69"/>
      <c r="CV841" s="69"/>
      <c r="CW841" s="69"/>
      <c r="CX841" s="69"/>
      <c r="CY841" s="69"/>
      <c r="CZ841" s="69"/>
      <c r="DA841" s="69"/>
      <c r="DB841" s="69"/>
      <c r="DC841" s="69"/>
      <c r="DD841" s="69"/>
      <c r="DE841" s="69"/>
      <c r="DF841" s="69"/>
      <c r="DG841" s="69"/>
      <c r="DH841" s="69"/>
    </row>
    <row r="842">
      <c r="A842" s="107">
        <v>842.0</v>
      </c>
      <c r="B842" s="108" t="s">
        <v>107</v>
      </c>
      <c r="C842" s="146" t="s">
        <v>108</v>
      </c>
      <c r="D842" s="146" t="s">
        <v>241</v>
      </c>
      <c r="E842" s="69"/>
      <c r="F842" s="108" t="s">
        <v>4506</v>
      </c>
      <c r="G842" s="109" t="s">
        <v>4566</v>
      </c>
      <c r="H842" s="119" t="s">
        <v>242</v>
      </c>
      <c r="I842" s="414">
        <v>45670.0</v>
      </c>
      <c r="J842" s="414">
        <v>45692.0</v>
      </c>
      <c r="K842" s="108"/>
      <c r="L842" s="108" t="s">
        <v>4513</v>
      </c>
      <c r="M842" s="119" t="s">
        <v>4495</v>
      </c>
      <c r="N842" s="119" t="s">
        <v>4496</v>
      </c>
      <c r="O842" s="108"/>
      <c r="P842" s="119" t="str">
        <f t="shared" si="37"/>
        <v>10.1177--0956797615573516.pdf</v>
      </c>
      <c r="Q842" s="1158" t="str">
        <f t="array" ref="Q842"> if(iserror(MATCH(V842, 'File Links'!C:C, 0)), "N/A", HYPERLINK(INDEX('File Links'!B:B, MATCH(P842, 'File Links'!C:C, 0))))</f>
        <v>https://drive.google.com/file/d/1JoVItYnEA8vA70xzVLnQEC3dgxMW-0on/view?usp=drivesdk</v>
      </c>
      <c r="R842" s="119" t="s">
        <v>3646</v>
      </c>
      <c r="S842" s="119" t="s">
        <v>3647</v>
      </c>
      <c r="T842" s="108"/>
      <c r="U842" s="534">
        <v>1.0</v>
      </c>
      <c r="V842" s="119" t="str">
        <f t="shared" si="46"/>
        <v>10.1098--rsos.231240.pdf</v>
      </c>
      <c r="W842" s="119" t="s">
        <v>3800</v>
      </c>
      <c r="X842" s="1159" t="str">
        <f t="array" ref="X842"> if(iserror(MATCH(V842, 'File Links'!C:C, 0)), "N/A", HYPERLINK(INDEX('File Links'!B:B, MATCH(V842, 'File Links'!C:C, 0))))</f>
        <v>https://drive.google.com/file/d/17gaf2Zy_ljFfcAEDk5L8GBnTl5i7RGJE/view?usp=drivesdk</v>
      </c>
      <c r="Y842" s="108"/>
      <c r="Z842" s="119" t="s">
        <v>219</v>
      </c>
      <c r="AA842" s="108"/>
      <c r="AB842" s="119" t="s">
        <v>4573</v>
      </c>
      <c r="AC842" s="108"/>
      <c r="AD842" s="119" t="s">
        <v>4515</v>
      </c>
      <c r="AE842" s="534">
        <v>2.0</v>
      </c>
      <c r="AF842" s="534">
        <v>151.0</v>
      </c>
      <c r="AG842" s="1103">
        <v>0.2</v>
      </c>
      <c r="AH842" s="119" t="s">
        <v>132</v>
      </c>
      <c r="AI842" s="119" t="s">
        <v>133</v>
      </c>
      <c r="AJ842" s="363">
        <v>0.1</v>
      </c>
      <c r="AK842" s="109" t="s">
        <v>165</v>
      </c>
      <c r="AL842" s="109" t="s">
        <v>129</v>
      </c>
      <c r="AM842" s="119" t="s">
        <v>134</v>
      </c>
      <c r="AN842" s="144" t="s">
        <v>131</v>
      </c>
      <c r="AO842" s="534">
        <v>50.0</v>
      </c>
      <c r="AP842" s="534">
        <v>0.28</v>
      </c>
      <c r="AQ842" s="119" t="s">
        <v>1024</v>
      </c>
      <c r="AR842" s="108"/>
      <c r="AS842" s="534">
        <v>0.598</v>
      </c>
      <c r="AT842" s="119" t="s">
        <v>165</v>
      </c>
      <c r="AU842" s="119" t="s">
        <v>129</v>
      </c>
      <c r="AV842" s="119" t="s">
        <v>134</v>
      </c>
      <c r="AW842" s="126" t="s">
        <v>131</v>
      </c>
      <c r="AX842" s="119" t="s">
        <v>136</v>
      </c>
      <c r="AY842" s="69"/>
      <c r="AZ842" s="108" t="s">
        <v>146</v>
      </c>
      <c r="BA842" s="69"/>
      <c r="BB842" s="69"/>
      <c r="BC842" s="69"/>
      <c r="BD842" s="69"/>
      <c r="BE842" s="69"/>
      <c r="BF842" s="69"/>
      <c r="BG842" s="69"/>
      <c r="BH842" s="69"/>
      <c r="BI842" s="69"/>
      <c r="BJ842" s="69"/>
      <c r="BK842" s="69"/>
      <c r="BL842" s="69"/>
      <c r="BM842" s="69"/>
      <c r="BN842" s="69"/>
      <c r="BO842" s="69"/>
      <c r="BP842" s="69"/>
      <c r="BQ842" s="69"/>
      <c r="BR842" s="69"/>
      <c r="BS842" s="69"/>
      <c r="BT842" s="69"/>
      <c r="BU842" s="69"/>
      <c r="BV842" s="69"/>
      <c r="BW842" s="69"/>
      <c r="BX842" s="69"/>
      <c r="BY842" s="69"/>
      <c r="BZ842" s="69"/>
      <c r="CA842" s="69"/>
      <c r="CB842" s="69"/>
      <c r="CC842" s="69"/>
      <c r="CD842" s="69"/>
      <c r="CE842" s="69"/>
      <c r="CF842" s="69"/>
      <c r="CG842" s="69"/>
      <c r="CH842" s="69"/>
      <c r="CI842" s="69"/>
      <c r="CJ842" s="69"/>
      <c r="CK842" s="69"/>
      <c r="CL842" s="69"/>
      <c r="CM842" s="69"/>
      <c r="CN842" s="69"/>
      <c r="CO842" s="69"/>
      <c r="CP842" s="69"/>
      <c r="CQ842" s="69"/>
      <c r="CR842" s="69"/>
      <c r="CS842" s="69"/>
      <c r="CT842" s="69"/>
      <c r="CU842" s="69"/>
      <c r="CV842" s="69"/>
      <c r="CW842" s="69"/>
      <c r="CX842" s="69"/>
      <c r="CY842" s="69"/>
      <c r="CZ842" s="69"/>
      <c r="DA842" s="69"/>
      <c r="DB842" s="69"/>
      <c r="DC842" s="69"/>
      <c r="DD842" s="69"/>
      <c r="DE842" s="69"/>
      <c r="DF842" s="69"/>
      <c r="DG842" s="69"/>
      <c r="DH842" s="69"/>
    </row>
    <row r="843">
      <c r="A843" s="325">
        <v>843.0</v>
      </c>
      <c r="B843" s="328" t="s">
        <v>107</v>
      </c>
      <c r="C843" s="322" t="s">
        <v>108</v>
      </c>
      <c r="D843" s="322" t="s">
        <v>241</v>
      </c>
      <c r="E843" s="223"/>
      <c r="F843" s="241" t="s">
        <v>4574</v>
      </c>
      <c r="G843" s="409" t="s">
        <v>4575</v>
      </c>
      <c r="H843" s="241" t="s">
        <v>242</v>
      </c>
      <c r="I843" s="655">
        <v>45670.0</v>
      </c>
      <c r="J843" s="655">
        <v>45692.0</v>
      </c>
      <c r="K843" s="328"/>
      <c r="L843" s="328"/>
      <c r="M843" s="241" t="s">
        <v>4576</v>
      </c>
      <c r="N843" s="241" t="s">
        <v>4577</v>
      </c>
      <c r="O843" s="328"/>
      <c r="P843" s="241" t="str">
        <f t="shared" si="37"/>
        <v>10.1177--1948550619849426.pdf</v>
      </c>
      <c r="Q843" s="658" t="str">
        <f t="array" ref="Q843"> if(iserror(MATCH(V843, 'File Links'!C:C, 0)), "N/A", HYPERLINK(INDEX('File Links'!B:B, MATCH(P843, 'File Links'!C:C, 0))))</f>
        <v>https://drive.google.com/file/d/14jCdpBA20GeEpZdlt1OEEDrVjc2kp6h7/view?usp=drivesdk</v>
      </c>
      <c r="R843" s="241" t="s">
        <v>3646</v>
      </c>
      <c r="S843" s="241" t="s">
        <v>3647</v>
      </c>
      <c r="T843" s="328"/>
      <c r="U843" s="331">
        <v>1.0</v>
      </c>
      <c r="V843" s="241" t="str">
        <f t="shared" si="46"/>
        <v>10.1098--rsos.231240.pdf</v>
      </c>
      <c r="W843" s="241" t="s">
        <v>3658</v>
      </c>
      <c r="X843" s="1170" t="str">
        <f t="array" ref="X843"> if(iserror(MATCH(V843, 'File Links'!C:C, 0)), "N/A", HYPERLINK(INDEX('File Links'!B:B, MATCH(V843, 'File Links'!C:C, 0))))</f>
        <v>https://drive.google.com/file/d/17gaf2Zy_ljFfcAEDk5L8GBnTl5i7RGJE/view?usp=drivesdk</v>
      </c>
      <c r="Y843" s="328"/>
      <c r="Z843" s="241" t="s">
        <v>219</v>
      </c>
      <c r="AA843" s="328"/>
      <c r="AB843" s="328"/>
      <c r="AC843" s="328"/>
      <c r="AD843" s="321" t="s">
        <v>4578</v>
      </c>
      <c r="AE843" s="331">
        <v>6.0</v>
      </c>
      <c r="AF843" s="331">
        <v>101.0</v>
      </c>
      <c r="AG843" s="1189" t="s">
        <v>4579</v>
      </c>
      <c r="AH843" s="321" t="s">
        <v>127</v>
      </c>
      <c r="AI843" s="241" t="s">
        <v>133</v>
      </c>
      <c r="AJ843" s="1173">
        <v>0.001</v>
      </c>
      <c r="AK843" s="409" t="s">
        <v>128</v>
      </c>
      <c r="AL843" s="409" t="s">
        <v>211</v>
      </c>
      <c r="AM843" s="241" t="s">
        <v>134</v>
      </c>
      <c r="AN843" s="663" t="s">
        <v>4580</v>
      </c>
      <c r="AO843" s="331">
        <v>104.0</v>
      </c>
      <c r="AP843" s="331">
        <v>0.166673333200005</v>
      </c>
      <c r="AQ843" s="241" t="s">
        <v>166</v>
      </c>
      <c r="AR843" s="328"/>
      <c r="AS843" s="331">
        <v>0.0986966719237651</v>
      </c>
      <c r="AT843" s="241" t="s">
        <v>165</v>
      </c>
      <c r="AU843" s="241" t="s">
        <v>179</v>
      </c>
      <c r="AV843" s="241" t="s">
        <v>134</v>
      </c>
      <c r="AW843" s="126" t="s">
        <v>131</v>
      </c>
      <c r="AX843" s="241" t="s">
        <v>136</v>
      </c>
      <c r="AY843" s="223"/>
      <c r="AZ843" s="328" t="s">
        <v>146</v>
      </c>
      <c r="BA843" s="223"/>
      <c r="BB843" s="223"/>
      <c r="BC843" s="223"/>
      <c r="BD843" s="223"/>
      <c r="BE843" s="223"/>
      <c r="BF843" s="223"/>
      <c r="BG843" s="223"/>
      <c r="BH843" s="223"/>
      <c r="BI843" s="223"/>
      <c r="BJ843" s="223"/>
      <c r="BK843" s="223"/>
      <c r="BL843" s="223"/>
      <c r="BM843" s="223"/>
      <c r="BN843" s="223"/>
      <c r="BO843" s="223"/>
      <c r="BP843" s="223"/>
      <c r="BQ843" s="223"/>
      <c r="BR843" s="223"/>
      <c r="BS843" s="223"/>
      <c r="BT843" s="223"/>
      <c r="BU843" s="223"/>
      <c r="BV843" s="223"/>
      <c r="BW843" s="223"/>
      <c r="BX843" s="223"/>
      <c r="BY843" s="223"/>
      <c r="BZ843" s="223"/>
      <c r="CA843" s="223"/>
      <c r="CB843" s="223"/>
      <c r="CC843" s="223"/>
      <c r="CD843" s="223"/>
      <c r="CE843" s="223"/>
      <c r="CF843" s="223"/>
      <c r="CG843" s="223"/>
      <c r="CH843" s="223"/>
      <c r="CI843" s="223"/>
      <c r="CJ843" s="223"/>
      <c r="CK843" s="223"/>
      <c r="CL843" s="223"/>
      <c r="CM843" s="223"/>
      <c r="CN843" s="223"/>
      <c r="CO843" s="223"/>
      <c r="CP843" s="223"/>
      <c r="CQ843" s="223"/>
      <c r="CR843" s="223"/>
      <c r="CS843" s="223"/>
      <c r="CT843" s="223"/>
      <c r="CU843" s="223"/>
      <c r="CV843" s="223"/>
      <c r="CW843" s="223"/>
      <c r="CX843" s="223"/>
      <c r="CY843" s="223"/>
      <c r="CZ843" s="223"/>
      <c r="DA843" s="223"/>
      <c r="DB843" s="223"/>
      <c r="DC843" s="223"/>
      <c r="DD843" s="223"/>
      <c r="DE843" s="223"/>
      <c r="DF843" s="223"/>
      <c r="DG843" s="223"/>
      <c r="DH843" s="223"/>
    </row>
    <row r="844">
      <c r="A844" s="325">
        <v>844.0</v>
      </c>
      <c r="B844" s="327" t="s">
        <v>145</v>
      </c>
      <c r="C844" s="322" t="s">
        <v>108</v>
      </c>
      <c r="D844" s="322" t="s">
        <v>146</v>
      </c>
      <c r="E844" s="223"/>
      <c r="F844" s="328" t="s">
        <v>4575</v>
      </c>
      <c r="G844" s="409" t="s">
        <v>4581</v>
      </c>
      <c r="H844" s="241" t="s">
        <v>146</v>
      </c>
      <c r="I844" s="655">
        <v>45687.0</v>
      </c>
      <c r="J844" s="655">
        <v>45692.0</v>
      </c>
      <c r="K844" s="393" t="s">
        <v>4582</v>
      </c>
      <c r="L844" s="328"/>
      <c r="M844" s="241" t="s">
        <v>4576</v>
      </c>
      <c r="N844" s="241" t="s">
        <v>4577</v>
      </c>
      <c r="O844" s="331">
        <v>4.0</v>
      </c>
      <c r="P844" s="241" t="str">
        <f t="shared" si="37"/>
        <v>10.1177--1948550619849426.pdf</v>
      </c>
      <c r="Q844" s="658" t="str">
        <f t="array" ref="Q844"> if(iserror(MATCH(V844, 'File Links'!C:C, 0)), "N/A", HYPERLINK(INDEX('File Links'!B:B, MATCH(P844, 'File Links'!C:C, 0))))</f>
        <v>https://drive.google.com/file/d/14jCdpBA20GeEpZdlt1OEEDrVjc2kp6h7/view?usp=drivesdk</v>
      </c>
      <c r="R844" s="241" t="s">
        <v>3646</v>
      </c>
      <c r="S844" s="241" t="s">
        <v>3647</v>
      </c>
      <c r="T844" s="660" t="s">
        <v>4583</v>
      </c>
      <c r="U844" s="331">
        <v>1.0</v>
      </c>
      <c r="V844" s="241" t="str">
        <f t="shared" si="46"/>
        <v>10.1098--rsos.231240.pdf</v>
      </c>
      <c r="W844" s="241" t="s">
        <v>3664</v>
      </c>
      <c r="X844" s="1170" t="str">
        <f t="array" ref="X844"> if(iserror(MATCH(V844, 'File Links'!C:C, 0)), "N/A", HYPERLINK(INDEX('File Links'!B:B, MATCH(V844, 'File Links'!C:C, 0))))</f>
        <v>https://drive.google.com/file/d/17gaf2Zy_ljFfcAEDk5L8GBnTl5i7RGJE/view?usp=drivesdk</v>
      </c>
      <c r="Y844" s="328"/>
      <c r="Z844" s="241" t="s">
        <v>219</v>
      </c>
      <c r="AA844" s="241" t="s">
        <v>4584</v>
      </c>
      <c r="AB844" s="241" t="s">
        <v>4585</v>
      </c>
      <c r="AC844" s="241" t="s">
        <v>4586</v>
      </c>
      <c r="AD844" s="241" t="s">
        <v>4587</v>
      </c>
      <c r="AE844" s="331">
        <v>6.0</v>
      </c>
      <c r="AF844" s="331">
        <v>101.0</v>
      </c>
      <c r="AG844" s="331">
        <v>0.52</v>
      </c>
      <c r="AH844" s="331" t="s">
        <v>166</v>
      </c>
      <c r="AI844" s="331" t="s">
        <v>133</v>
      </c>
      <c r="AJ844" s="1173">
        <v>0.001</v>
      </c>
      <c r="AK844" s="409" t="s">
        <v>165</v>
      </c>
      <c r="AL844" s="409" t="s">
        <v>211</v>
      </c>
      <c r="AM844" s="241" t="s">
        <v>134</v>
      </c>
      <c r="AN844" s="1035" t="s">
        <v>4588</v>
      </c>
      <c r="AO844" s="331">
        <v>104.0</v>
      </c>
      <c r="AP844" s="331" t="s">
        <v>4589</v>
      </c>
      <c r="AQ844" s="331" t="s">
        <v>127</v>
      </c>
      <c r="AR844" s="1175" t="s">
        <v>125</v>
      </c>
      <c r="AS844" s="331">
        <v>0.1407</v>
      </c>
      <c r="AT844" s="241" t="s">
        <v>165</v>
      </c>
      <c r="AU844" s="241" t="s">
        <v>179</v>
      </c>
      <c r="AV844" s="241" t="s">
        <v>134</v>
      </c>
      <c r="AW844" s="126" t="s">
        <v>131</v>
      </c>
      <c r="AX844" s="328" t="s">
        <v>144</v>
      </c>
      <c r="AY844" s="223"/>
      <c r="AZ844" s="328" t="s">
        <v>146</v>
      </c>
      <c r="BA844" s="223"/>
      <c r="BB844" s="223"/>
      <c r="BC844" s="223"/>
      <c r="BD844" s="223"/>
      <c r="BE844" s="223"/>
      <c r="BF844" s="223"/>
      <c r="BG844" s="223"/>
      <c r="BH844" s="223"/>
      <c r="BI844" s="223"/>
      <c r="BJ844" s="223"/>
      <c r="BK844" s="223"/>
      <c r="BL844" s="223"/>
      <c r="BM844" s="223"/>
      <c r="BN844" s="223"/>
      <c r="BO844" s="223"/>
      <c r="BP844" s="223"/>
      <c r="BQ844" s="223"/>
      <c r="BR844" s="223"/>
      <c r="BS844" s="223"/>
      <c r="BT844" s="223"/>
      <c r="BU844" s="223"/>
      <c r="BV844" s="223"/>
      <c r="BW844" s="223"/>
      <c r="BX844" s="223"/>
      <c r="BY844" s="223"/>
      <c r="BZ844" s="223"/>
      <c r="CA844" s="223"/>
      <c r="CB844" s="223"/>
      <c r="CC844" s="223"/>
      <c r="CD844" s="223"/>
      <c r="CE844" s="223"/>
      <c r="CF844" s="223"/>
      <c r="CG844" s="223"/>
      <c r="CH844" s="223"/>
      <c r="CI844" s="223"/>
      <c r="CJ844" s="223"/>
      <c r="CK844" s="223"/>
      <c r="CL844" s="223"/>
      <c r="CM844" s="223"/>
      <c r="CN844" s="223"/>
      <c r="CO844" s="223"/>
      <c r="CP844" s="223"/>
      <c r="CQ844" s="223"/>
      <c r="CR844" s="223"/>
      <c r="CS844" s="223"/>
      <c r="CT844" s="223"/>
      <c r="CU844" s="223"/>
      <c r="CV844" s="223"/>
      <c r="CW844" s="223"/>
      <c r="CX844" s="223"/>
      <c r="CY844" s="223"/>
      <c r="CZ844" s="223"/>
      <c r="DA844" s="223"/>
      <c r="DB844" s="223"/>
      <c r="DC844" s="223"/>
      <c r="DD844" s="223"/>
      <c r="DE844" s="223"/>
      <c r="DF844" s="223"/>
      <c r="DG844" s="223"/>
      <c r="DH844" s="223"/>
    </row>
    <row r="845">
      <c r="A845" s="325">
        <v>845.0</v>
      </c>
      <c r="B845" s="327" t="s">
        <v>145</v>
      </c>
      <c r="C845" s="322" t="s">
        <v>108</v>
      </c>
      <c r="D845" s="322" t="s">
        <v>146</v>
      </c>
      <c r="E845" s="223"/>
      <c r="F845" s="328" t="s">
        <v>4575</v>
      </c>
      <c r="G845" s="409" t="s">
        <v>4590</v>
      </c>
      <c r="H845" s="241" t="s">
        <v>146</v>
      </c>
      <c r="I845" s="655">
        <v>45687.0</v>
      </c>
      <c r="J845" s="655">
        <v>45692.0</v>
      </c>
      <c r="K845" s="393" t="s">
        <v>4591</v>
      </c>
      <c r="L845" s="328"/>
      <c r="M845" s="241" t="s">
        <v>4576</v>
      </c>
      <c r="N845" s="241" t="s">
        <v>4577</v>
      </c>
      <c r="O845" s="331">
        <v>4.0</v>
      </c>
      <c r="P845" s="241" t="str">
        <f t="shared" si="37"/>
        <v>10.1177--1948550619849426.pdf</v>
      </c>
      <c r="Q845" s="658" t="str">
        <f t="array" ref="Q845"> if(iserror(MATCH(V845, 'File Links'!C:C, 0)), "N/A", HYPERLINK(INDEX('File Links'!B:B, MATCH(P845, 'File Links'!C:C, 0))))</f>
        <v>https://drive.google.com/file/d/14jCdpBA20GeEpZdlt1OEEDrVjc2kp6h7/view?usp=drivesdk</v>
      </c>
      <c r="R845" s="241" t="s">
        <v>3646</v>
      </c>
      <c r="S845" s="241" t="s">
        <v>3647</v>
      </c>
      <c r="T845" s="660" t="s">
        <v>4583</v>
      </c>
      <c r="U845" s="331">
        <v>1.0</v>
      </c>
      <c r="V845" s="241" t="str">
        <f t="shared" si="46"/>
        <v>10.1098--rsos.231240.pdf</v>
      </c>
      <c r="W845" s="241" t="s">
        <v>3664</v>
      </c>
      <c r="X845" s="1170" t="str">
        <f t="array" ref="X845"> if(iserror(MATCH(V845, 'File Links'!C:C, 0)), "N/A", HYPERLINK(INDEX('File Links'!B:B, MATCH(V845, 'File Links'!C:C, 0))))</f>
        <v>https://drive.google.com/file/d/17gaf2Zy_ljFfcAEDk5L8GBnTl5i7RGJE/view?usp=drivesdk</v>
      </c>
      <c r="Y845" s="328"/>
      <c r="Z845" s="241" t="s">
        <v>219</v>
      </c>
      <c r="AA845" s="241" t="s">
        <v>4584</v>
      </c>
      <c r="AB845" s="241" t="s">
        <v>4585</v>
      </c>
      <c r="AC845" s="241" t="s">
        <v>4592</v>
      </c>
      <c r="AD845" s="241" t="s">
        <v>4593</v>
      </c>
      <c r="AE845" s="1175">
        <v>6.0</v>
      </c>
      <c r="AF845" s="331">
        <v>101.0</v>
      </c>
      <c r="AG845" s="1175">
        <v>0.34</v>
      </c>
      <c r="AH845" s="331" t="s">
        <v>166</v>
      </c>
      <c r="AI845" s="1175" t="s">
        <v>133</v>
      </c>
      <c r="AJ845" s="1179">
        <v>0.005</v>
      </c>
      <c r="AK845" s="409" t="s">
        <v>165</v>
      </c>
      <c r="AL845" s="409" t="s">
        <v>211</v>
      </c>
      <c r="AM845" s="241" t="s">
        <v>134</v>
      </c>
      <c r="AN845" s="1035" t="s">
        <v>4588</v>
      </c>
      <c r="AO845" s="331">
        <v>104.0</v>
      </c>
      <c r="AP845" s="331" t="s">
        <v>4594</v>
      </c>
      <c r="AQ845" s="331" t="s">
        <v>127</v>
      </c>
      <c r="AR845" s="1175" t="s">
        <v>125</v>
      </c>
      <c r="AS845" s="331">
        <v>0.0115</v>
      </c>
      <c r="AT845" s="241" t="s">
        <v>165</v>
      </c>
      <c r="AU845" s="241" t="s">
        <v>179</v>
      </c>
      <c r="AV845" s="241" t="s">
        <v>134</v>
      </c>
      <c r="AW845" s="126" t="s">
        <v>131</v>
      </c>
      <c r="AX845" s="328" t="s">
        <v>144</v>
      </c>
      <c r="AY845" s="223"/>
      <c r="AZ845" s="328" t="s">
        <v>146</v>
      </c>
      <c r="BA845" s="223"/>
      <c r="BB845" s="223"/>
      <c r="BC845" s="223"/>
      <c r="BD845" s="223"/>
      <c r="BE845" s="223"/>
      <c r="BF845" s="223"/>
      <c r="BG845" s="223"/>
      <c r="BH845" s="223"/>
      <c r="BI845" s="223"/>
      <c r="BJ845" s="223"/>
      <c r="BK845" s="223"/>
      <c r="BL845" s="223"/>
      <c r="BM845" s="223"/>
      <c r="BN845" s="223"/>
      <c r="BO845" s="223"/>
      <c r="BP845" s="223"/>
      <c r="BQ845" s="223"/>
      <c r="BR845" s="223"/>
      <c r="BS845" s="223"/>
      <c r="BT845" s="223"/>
      <c r="BU845" s="223"/>
      <c r="BV845" s="223"/>
      <c r="BW845" s="223"/>
      <c r="BX845" s="223"/>
      <c r="BY845" s="223"/>
      <c r="BZ845" s="223"/>
      <c r="CA845" s="223"/>
      <c r="CB845" s="223"/>
      <c r="CC845" s="223"/>
      <c r="CD845" s="223"/>
      <c r="CE845" s="223"/>
      <c r="CF845" s="223"/>
      <c r="CG845" s="223"/>
      <c r="CH845" s="223"/>
      <c r="CI845" s="223"/>
      <c r="CJ845" s="223"/>
      <c r="CK845" s="223"/>
      <c r="CL845" s="223"/>
      <c r="CM845" s="223"/>
      <c r="CN845" s="223"/>
      <c r="CO845" s="223"/>
      <c r="CP845" s="223"/>
      <c r="CQ845" s="223"/>
      <c r="CR845" s="223"/>
      <c r="CS845" s="223"/>
      <c r="CT845" s="223"/>
      <c r="CU845" s="223"/>
      <c r="CV845" s="223"/>
      <c r="CW845" s="223"/>
      <c r="CX845" s="223"/>
      <c r="CY845" s="223"/>
      <c r="CZ845" s="223"/>
      <c r="DA845" s="223"/>
      <c r="DB845" s="223"/>
      <c r="DC845" s="223"/>
      <c r="DD845" s="223"/>
      <c r="DE845" s="223"/>
      <c r="DF845" s="223"/>
      <c r="DG845" s="223"/>
      <c r="DH845" s="223"/>
    </row>
    <row r="846">
      <c r="A846" s="325">
        <v>846.0</v>
      </c>
      <c r="B846" s="327" t="s">
        <v>145</v>
      </c>
      <c r="C846" s="322" t="s">
        <v>108</v>
      </c>
      <c r="D846" s="322" t="s">
        <v>146</v>
      </c>
      <c r="E846" s="223"/>
      <c r="F846" s="328" t="s">
        <v>4575</v>
      </c>
      <c r="G846" s="409" t="s">
        <v>4595</v>
      </c>
      <c r="H846" s="241" t="s">
        <v>146</v>
      </c>
      <c r="I846" s="655">
        <v>45687.0</v>
      </c>
      <c r="J846" s="655">
        <v>45692.0</v>
      </c>
      <c r="K846" s="393" t="s">
        <v>4596</v>
      </c>
      <c r="L846" s="328"/>
      <c r="M846" s="241" t="s">
        <v>4576</v>
      </c>
      <c r="N846" s="241" t="s">
        <v>4577</v>
      </c>
      <c r="O846" s="331">
        <v>4.0</v>
      </c>
      <c r="P846" s="241" t="str">
        <f t="shared" si="37"/>
        <v>10.1177--1948550619849426.pdf</v>
      </c>
      <c r="Q846" s="658" t="str">
        <f t="array" ref="Q846"> if(iserror(MATCH(V846, 'File Links'!C:C, 0)), "N/A", HYPERLINK(INDEX('File Links'!B:B, MATCH(P846, 'File Links'!C:C, 0))))</f>
        <v>https://drive.google.com/file/d/14jCdpBA20GeEpZdlt1OEEDrVjc2kp6h7/view?usp=drivesdk</v>
      </c>
      <c r="R846" s="241" t="s">
        <v>3646</v>
      </c>
      <c r="S846" s="241" t="s">
        <v>3647</v>
      </c>
      <c r="T846" s="660" t="s">
        <v>4583</v>
      </c>
      <c r="U846" s="331">
        <v>1.0</v>
      </c>
      <c r="V846" s="241" t="str">
        <f t="shared" si="46"/>
        <v>10.1098--rsos.231240.pdf</v>
      </c>
      <c r="W846" s="241" t="s">
        <v>3664</v>
      </c>
      <c r="X846" s="1170" t="str">
        <f t="array" ref="X846"> if(iserror(MATCH(V846, 'File Links'!C:C, 0)), "N/A", HYPERLINK(INDEX('File Links'!B:B, MATCH(V846, 'File Links'!C:C, 0))))</f>
        <v>https://drive.google.com/file/d/17gaf2Zy_ljFfcAEDk5L8GBnTl5i7RGJE/view?usp=drivesdk</v>
      </c>
      <c r="Y846" s="328"/>
      <c r="Z846" s="241" t="s">
        <v>219</v>
      </c>
      <c r="AA846" s="241" t="s">
        <v>4584</v>
      </c>
      <c r="AB846" s="241" t="s">
        <v>4585</v>
      </c>
      <c r="AC846" s="241" t="s">
        <v>4597</v>
      </c>
      <c r="AD846" s="241" t="s">
        <v>4598</v>
      </c>
      <c r="AE846" s="1175">
        <v>6.0</v>
      </c>
      <c r="AF846" s="331">
        <v>101.0</v>
      </c>
      <c r="AG846" s="1175" t="s">
        <v>4579</v>
      </c>
      <c r="AH846" s="331" t="s">
        <v>127</v>
      </c>
      <c r="AI846" s="1175" t="s">
        <v>133</v>
      </c>
      <c r="AJ846" s="1179">
        <v>0.001</v>
      </c>
      <c r="AK846" s="409" t="s">
        <v>128</v>
      </c>
      <c r="AL846" s="409" t="s">
        <v>211</v>
      </c>
      <c r="AM846" s="241" t="s">
        <v>134</v>
      </c>
      <c r="AN846" s="1035" t="s">
        <v>4588</v>
      </c>
      <c r="AO846" s="331">
        <v>104.0</v>
      </c>
      <c r="AP846" s="331" t="s">
        <v>4599</v>
      </c>
      <c r="AQ846" s="331" t="s">
        <v>127</v>
      </c>
      <c r="AR846" s="331" t="s">
        <v>125</v>
      </c>
      <c r="AS846" s="331">
        <v>0.0987</v>
      </c>
      <c r="AT846" s="241" t="s">
        <v>165</v>
      </c>
      <c r="AU846" s="241" t="s">
        <v>179</v>
      </c>
      <c r="AV846" s="241" t="s">
        <v>134</v>
      </c>
      <c r="AW846" s="126" t="s">
        <v>131</v>
      </c>
      <c r="AX846" s="328" t="s">
        <v>144</v>
      </c>
      <c r="AY846" s="223"/>
      <c r="AZ846" s="328" t="s">
        <v>146</v>
      </c>
      <c r="BA846" s="223"/>
      <c r="BB846" s="223"/>
      <c r="BC846" s="223"/>
      <c r="BD846" s="223"/>
      <c r="BE846" s="223"/>
      <c r="BF846" s="223"/>
      <c r="BG846" s="223"/>
      <c r="BH846" s="223"/>
      <c r="BI846" s="223"/>
      <c r="BJ846" s="223"/>
      <c r="BK846" s="223"/>
      <c r="BL846" s="223"/>
      <c r="BM846" s="223"/>
      <c r="BN846" s="223"/>
      <c r="BO846" s="223"/>
      <c r="BP846" s="223"/>
      <c r="BQ846" s="223"/>
      <c r="BR846" s="223"/>
      <c r="BS846" s="223"/>
      <c r="BT846" s="223"/>
      <c r="BU846" s="223"/>
      <c r="BV846" s="223"/>
      <c r="BW846" s="223"/>
      <c r="BX846" s="223"/>
      <c r="BY846" s="223"/>
      <c r="BZ846" s="223"/>
      <c r="CA846" s="223"/>
      <c r="CB846" s="223"/>
      <c r="CC846" s="223"/>
      <c r="CD846" s="223"/>
      <c r="CE846" s="223"/>
      <c r="CF846" s="223"/>
      <c r="CG846" s="223"/>
      <c r="CH846" s="223"/>
      <c r="CI846" s="223"/>
      <c r="CJ846" s="223"/>
      <c r="CK846" s="223"/>
      <c r="CL846" s="223"/>
      <c r="CM846" s="223"/>
      <c r="CN846" s="223"/>
      <c r="CO846" s="223"/>
      <c r="CP846" s="223"/>
      <c r="CQ846" s="223"/>
      <c r="CR846" s="223"/>
      <c r="CS846" s="223"/>
      <c r="CT846" s="223"/>
      <c r="CU846" s="223"/>
      <c r="CV846" s="223"/>
      <c r="CW846" s="223"/>
      <c r="CX846" s="223"/>
      <c r="CY846" s="223"/>
      <c r="CZ846" s="223"/>
      <c r="DA846" s="223"/>
      <c r="DB846" s="223"/>
      <c r="DC846" s="223"/>
      <c r="DD846" s="223"/>
      <c r="DE846" s="223"/>
      <c r="DF846" s="223"/>
      <c r="DG846" s="223"/>
      <c r="DH846" s="223"/>
    </row>
    <row r="847">
      <c r="A847" s="800">
        <v>847.0</v>
      </c>
      <c r="B847" s="327" t="s">
        <v>145</v>
      </c>
      <c r="C847" s="378" t="s">
        <v>108</v>
      </c>
      <c r="D847" s="378" t="s">
        <v>146</v>
      </c>
      <c r="E847" s="481"/>
      <c r="F847" s="486" t="s">
        <v>4600</v>
      </c>
      <c r="G847" s="786" t="s">
        <v>4601</v>
      </c>
      <c r="H847" s="482" t="s">
        <v>146</v>
      </c>
      <c r="I847" s="484">
        <v>45687.0</v>
      </c>
      <c r="J847" s="484">
        <v>45692.0</v>
      </c>
      <c r="K847" s="1190" t="s">
        <v>4602</v>
      </c>
      <c r="L847" s="486"/>
      <c r="M847" s="482" t="s">
        <v>4603</v>
      </c>
      <c r="N847" s="482" t="s">
        <v>4604</v>
      </c>
      <c r="O847" s="492">
        <v>2.0</v>
      </c>
      <c r="P847" s="482" t="str">
        <f t="shared" si="37"/>
        <v>10.1037--a0029649.pdf</v>
      </c>
      <c r="Q847" s="1191" t="str">
        <f t="array" ref="Q847"> if(iserror(MATCH(V847, 'File Links'!C:C, 0)), "N/A", HYPERLINK(INDEX('File Links'!B:B, MATCH(P847, 'File Links'!C:C, 0))))</f>
        <v>https://drive.google.com/file/d/1HOf675tEXfG2bMnJOIiHzWGLlDbzEY3d/view?usp=drivesdk</v>
      </c>
      <c r="R847" s="482" t="s">
        <v>3646</v>
      </c>
      <c r="S847" s="482" t="s">
        <v>3647</v>
      </c>
      <c r="T847" s="1192" t="s">
        <v>4418</v>
      </c>
      <c r="U847" s="492">
        <v>1.0</v>
      </c>
      <c r="V847" s="482" t="str">
        <f t="shared" si="46"/>
        <v>10.1098--rsos.231240.pdf</v>
      </c>
      <c r="W847" s="482" t="s">
        <v>3719</v>
      </c>
      <c r="X847" s="1193" t="str">
        <f t="array" ref="X847"> if(iserror(MATCH(V847, 'File Links'!C:C, 0)), "N/A", HYPERLINK(INDEX('File Links'!B:B, MATCH(V847, 'File Links'!C:C, 0))))</f>
        <v>https://drive.google.com/file/d/17gaf2Zy_ljFfcAEDk5L8GBnTl5i7RGJE/view?usp=drivesdk</v>
      </c>
      <c r="Y847" s="486"/>
      <c r="Z847" s="482" t="s">
        <v>141</v>
      </c>
      <c r="AA847" s="482" t="s">
        <v>4605</v>
      </c>
      <c r="AB847" s="482" t="s">
        <v>4606</v>
      </c>
      <c r="AC847" s="482" t="s">
        <v>4607</v>
      </c>
      <c r="AD847" s="482" t="s">
        <v>4608</v>
      </c>
      <c r="AE847" s="492">
        <v>9.0</v>
      </c>
      <c r="AF847" s="492">
        <v>28.0</v>
      </c>
      <c r="AG847" s="1194">
        <v>0.75</v>
      </c>
      <c r="AH847" s="492" t="s">
        <v>166</v>
      </c>
      <c r="AI847" s="492" t="s">
        <v>621</v>
      </c>
      <c r="AJ847" s="491">
        <v>0.057</v>
      </c>
      <c r="AK847" s="483" t="s">
        <v>165</v>
      </c>
      <c r="AL847" s="483" t="s">
        <v>179</v>
      </c>
      <c r="AM847" s="482" t="s">
        <v>130</v>
      </c>
      <c r="AN847" s="485" t="s">
        <v>131</v>
      </c>
      <c r="AO847" s="492">
        <v>6.0</v>
      </c>
      <c r="AP847" s="753">
        <v>0.474</v>
      </c>
      <c r="AQ847" s="492" t="s">
        <v>166</v>
      </c>
      <c r="AR847" s="492" t="s">
        <v>125</v>
      </c>
      <c r="AS847" s="485" t="s">
        <v>131</v>
      </c>
      <c r="AT847" s="486"/>
      <c r="AU847" s="482" t="s">
        <v>179</v>
      </c>
      <c r="AV847" s="482" t="s">
        <v>130</v>
      </c>
      <c r="AW847" s="126" t="s">
        <v>131</v>
      </c>
      <c r="AX847" s="486" t="s">
        <v>144</v>
      </c>
      <c r="AY847" s="481"/>
      <c r="AZ847" s="486" t="s">
        <v>146</v>
      </c>
      <c r="BA847" s="481"/>
      <c r="BB847" s="481"/>
      <c r="BC847" s="481"/>
      <c r="BD847" s="481"/>
      <c r="BE847" s="481"/>
      <c r="BF847" s="481"/>
      <c r="BG847" s="481"/>
      <c r="BH847" s="481"/>
      <c r="BI847" s="481"/>
      <c r="BJ847" s="481"/>
      <c r="BK847" s="481"/>
      <c r="BL847" s="481"/>
      <c r="BM847" s="481"/>
      <c r="BN847" s="481"/>
      <c r="BO847" s="481"/>
      <c r="BP847" s="481"/>
      <c r="BQ847" s="481"/>
      <c r="BR847" s="481"/>
      <c r="BS847" s="481"/>
      <c r="BT847" s="481"/>
      <c r="BU847" s="481"/>
      <c r="BV847" s="481"/>
      <c r="BW847" s="481"/>
      <c r="BX847" s="481"/>
      <c r="BY847" s="481"/>
      <c r="BZ847" s="481"/>
      <c r="CA847" s="481"/>
      <c r="CB847" s="481"/>
      <c r="CC847" s="481"/>
      <c r="CD847" s="481"/>
      <c r="CE847" s="481"/>
      <c r="CF847" s="481"/>
      <c r="CG847" s="481"/>
      <c r="CH847" s="481"/>
      <c r="CI847" s="481"/>
      <c r="CJ847" s="481"/>
      <c r="CK847" s="481"/>
      <c r="CL847" s="481"/>
      <c r="CM847" s="481"/>
      <c r="CN847" s="481"/>
      <c r="CO847" s="481"/>
      <c r="CP847" s="481"/>
      <c r="CQ847" s="481"/>
      <c r="CR847" s="481"/>
      <c r="CS847" s="481"/>
      <c r="CT847" s="481"/>
      <c r="CU847" s="481"/>
      <c r="CV847" s="481"/>
      <c r="CW847" s="481"/>
      <c r="CX847" s="481"/>
      <c r="CY847" s="481"/>
      <c r="CZ847" s="481"/>
      <c r="DA847" s="481"/>
      <c r="DB847" s="481"/>
      <c r="DC847" s="481"/>
      <c r="DD847" s="481"/>
      <c r="DE847" s="481"/>
      <c r="DF847" s="481"/>
      <c r="DG847" s="481"/>
      <c r="DH847" s="481"/>
    </row>
    <row r="848">
      <c r="A848" s="800">
        <v>848.0</v>
      </c>
      <c r="B848" s="327" t="s">
        <v>145</v>
      </c>
      <c r="C848" s="378" t="s">
        <v>108</v>
      </c>
      <c r="D848" s="378" t="s">
        <v>146</v>
      </c>
      <c r="E848" s="481"/>
      <c r="F848" s="486" t="s">
        <v>4600</v>
      </c>
      <c r="G848" s="786" t="s">
        <v>4609</v>
      </c>
      <c r="H848" s="482" t="s">
        <v>146</v>
      </c>
      <c r="I848" s="484">
        <v>45687.0</v>
      </c>
      <c r="J848" s="484">
        <v>45692.0</v>
      </c>
      <c r="K848" s="1190" t="s">
        <v>4602</v>
      </c>
      <c r="L848" s="486"/>
      <c r="M848" s="482" t="s">
        <v>4603</v>
      </c>
      <c r="N848" s="482" t="s">
        <v>4604</v>
      </c>
      <c r="O848" s="492">
        <v>2.0</v>
      </c>
      <c r="P848" s="482" t="str">
        <f t="shared" si="37"/>
        <v>10.1037--a0029649.pdf</v>
      </c>
      <c r="Q848" s="1191" t="str">
        <f t="array" ref="Q848"> if(iserror(MATCH(V848, 'File Links'!C:C, 0)), "N/A", HYPERLINK(INDEX('File Links'!B:B, MATCH(P848, 'File Links'!C:C, 0))))</f>
        <v>https://drive.google.com/file/d/1HOf675tEXfG2bMnJOIiHzWGLlDbzEY3d/view?usp=drivesdk</v>
      </c>
      <c r="R848" s="482" t="s">
        <v>3646</v>
      </c>
      <c r="S848" s="482" t="s">
        <v>3647</v>
      </c>
      <c r="T848" s="1192" t="s">
        <v>4418</v>
      </c>
      <c r="U848" s="492">
        <v>1.0</v>
      </c>
      <c r="V848" s="482" t="str">
        <f t="shared" si="46"/>
        <v>10.1098--rsos.231240.pdf</v>
      </c>
      <c r="W848" s="482" t="s">
        <v>3719</v>
      </c>
      <c r="X848" s="1193" t="str">
        <f t="array" ref="X848"> if(iserror(MATCH(V848, 'File Links'!C:C, 0)), "N/A", HYPERLINK(INDEX('File Links'!B:B, MATCH(V848, 'File Links'!C:C, 0))))</f>
        <v>https://drive.google.com/file/d/17gaf2Zy_ljFfcAEDk5L8GBnTl5i7RGJE/view?usp=drivesdk</v>
      </c>
      <c r="Y848" s="486"/>
      <c r="Z848" s="482" t="s">
        <v>141</v>
      </c>
      <c r="AA848" s="482" t="s">
        <v>4605</v>
      </c>
      <c r="AB848" s="482" t="s">
        <v>4606</v>
      </c>
      <c r="AC848" s="482" t="s">
        <v>4610</v>
      </c>
      <c r="AD848" s="482" t="s">
        <v>4608</v>
      </c>
      <c r="AE848" s="492">
        <v>9.0</v>
      </c>
      <c r="AF848" s="492">
        <v>28.0</v>
      </c>
      <c r="AG848" s="753">
        <v>0.78</v>
      </c>
      <c r="AH848" s="492" t="s">
        <v>166</v>
      </c>
      <c r="AI848" s="492" t="s">
        <v>621</v>
      </c>
      <c r="AJ848" s="1195">
        <v>0.05</v>
      </c>
      <c r="AK848" s="483" t="s">
        <v>165</v>
      </c>
      <c r="AL848" s="483" t="s">
        <v>179</v>
      </c>
      <c r="AM848" s="482" t="s">
        <v>130</v>
      </c>
      <c r="AN848" s="485" t="s">
        <v>131</v>
      </c>
      <c r="AO848" s="492">
        <v>6.0</v>
      </c>
      <c r="AP848" s="753">
        <v>-0.28</v>
      </c>
      <c r="AQ848" s="492" t="s">
        <v>166</v>
      </c>
      <c r="AR848" s="492" t="s">
        <v>125</v>
      </c>
      <c r="AS848" s="485" t="s">
        <v>131</v>
      </c>
      <c r="AT848" s="486"/>
      <c r="AU848" s="482" t="s">
        <v>179</v>
      </c>
      <c r="AV848" s="482" t="s">
        <v>130</v>
      </c>
      <c r="AW848" s="126" t="s">
        <v>131</v>
      </c>
      <c r="AX848" s="486" t="s">
        <v>144</v>
      </c>
      <c r="AY848" s="481"/>
      <c r="AZ848" s="486" t="s">
        <v>146</v>
      </c>
      <c r="BA848" s="481"/>
      <c r="BB848" s="481"/>
      <c r="BC848" s="481"/>
      <c r="BD848" s="481"/>
      <c r="BE848" s="481"/>
      <c r="BF848" s="481"/>
      <c r="BG848" s="481"/>
      <c r="BH848" s="481"/>
      <c r="BI848" s="481"/>
      <c r="BJ848" s="481"/>
      <c r="BK848" s="481"/>
      <c r="BL848" s="481"/>
      <c r="BM848" s="481"/>
      <c r="BN848" s="481"/>
      <c r="BO848" s="481"/>
      <c r="BP848" s="481"/>
      <c r="BQ848" s="481"/>
      <c r="BR848" s="481"/>
      <c r="BS848" s="481"/>
      <c r="BT848" s="481"/>
      <c r="BU848" s="481"/>
      <c r="BV848" s="481"/>
      <c r="BW848" s="481"/>
      <c r="BX848" s="481"/>
      <c r="BY848" s="481"/>
      <c r="BZ848" s="481"/>
      <c r="CA848" s="481"/>
      <c r="CB848" s="481"/>
      <c r="CC848" s="481"/>
      <c r="CD848" s="481"/>
      <c r="CE848" s="481"/>
      <c r="CF848" s="481"/>
      <c r="CG848" s="481"/>
      <c r="CH848" s="481"/>
      <c r="CI848" s="481"/>
      <c r="CJ848" s="481"/>
      <c r="CK848" s="481"/>
      <c r="CL848" s="481"/>
      <c r="CM848" s="481"/>
      <c r="CN848" s="481"/>
      <c r="CO848" s="481"/>
      <c r="CP848" s="481"/>
      <c r="CQ848" s="481"/>
      <c r="CR848" s="481"/>
      <c r="CS848" s="481"/>
      <c r="CT848" s="481"/>
      <c r="CU848" s="481"/>
      <c r="CV848" s="481"/>
      <c r="CW848" s="481"/>
      <c r="CX848" s="481"/>
      <c r="CY848" s="481"/>
      <c r="CZ848" s="481"/>
      <c r="DA848" s="481"/>
      <c r="DB848" s="481"/>
      <c r="DC848" s="481"/>
      <c r="DD848" s="481"/>
      <c r="DE848" s="481"/>
      <c r="DF848" s="481"/>
      <c r="DG848" s="481"/>
      <c r="DH848" s="481"/>
    </row>
    <row r="849">
      <c r="A849" s="71">
        <v>849.0</v>
      </c>
      <c r="B849" s="91" t="s">
        <v>107</v>
      </c>
      <c r="C849" s="90" t="s">
        <v>108</v>
      </c>
      <c r="D849" s="90" t="s">
        <v>241</v>
      </c>
      <c r="E849" s="89"/>
      <c r="F849" s="92" t="s">
        <v>4611</v>
      </c>
      <c r="G849" s="74" t="s">
        <v>4612</v>
      </c>
      <c r="H849" s="92" t="s">
        <v>242</v>
      </c>
      <c r="I849" s="850">
        <v>45671.0</v>
      </c>
      <c r="J849" s="850">
        <v>45692.0</v>
      </c>
      <c r="K849" s="91"/>
      <c r="L849" s="91"/>
      <c r="M849" s="92" t="s">
        <v>4613</v>
      </c>
      <c r="N849" s="92" t="s">
        <v>4614</v>
      </c>
      <c r="O849" s="91"/>
      <c r="P849" s="92" t="str">
        <f t="shared" si="37"/>
        <v>10.1177--0956797614563958.pdf</v>
      </c>
      <c r="Q849" s="890" t="str">
        <f t="array" ref="Q849"> if(iserror(MATCH(V849, 'File Links'!C:C, 0)), "N/A", HYPERLINK(INDEX('File Links'!B:B, MATCH(P849, 'File Links'!C:C, 0))))</f>
        <v>https://drive.google.com/file/d/1ATJxg7zUvA3Wg_XCJFG6phaq9LgMmPHW/view?usp=drivesdk</v>
      </c>
      <c r="R849" s="92" t="s">
        <v>3646</v>
      </c>
      <c r="S849" s="92" t="s">
        <v>3647</v>
      </c>
      <c r="T849" s="1196" t="s">
        <v>4615</v>
      </c>
      <c r="U849" s="95">
        <v>1.0</v>
      </c>
      <c r="V849" s="92" t="str">
        <f t="shared" si="46"/>
        <v>10.1098--rsos.231240.pdf</v>
      </c>
      <c r="W849" s="92" t="s">
        <v>3719</v>
      </c>
      <c r="X849" s="891" t="str">
        <f t="array" ref="X849"> if(iserror(MATCH(V849, 'File Links'!C:C, 0)), "N/A", HYPERLINK(INDEX('File Links'!B:B, MATCH(V849, 'File Links'!C:C, 0))))</f>
        <v>https://drive.google.com/file/d/17gaf2Zy_ljFfcAEDk5L8GBnTl5i7RGJE/view?usp=drivesdk</v>
      </c>
      <c r="Y849" s="91"/>
      <c r="Z849" s="92" t="s">
        <v>203</v>
      </c>
      <c r="AA849" s="91"/>
      <c r="AB849" s="91"/>
      <c r="AC849" s="91"/>
      <c r="AD849" s="92" t="s">
        <v>4616</v>
      </c>
      <c r="AE849" s="95">
        <v>5.0</v>
      </c>
      <c r="AF849" s="95">
        <v>577.0</v>
      </c>
      <c r="AG849" s="95">
        <v>5.68</v>
      </c>
      <c r="AH849" s="92" t="s">
        <v>1024</v>
      </c>
      <c r="AI849" s="92" t="s">
        <v>4617</v>
      </c>
      <c r="AJ849" s="630">
        <v>0.05</v>
      </c>
      <c r="AK849" s="74" t="s">
        <v>128</v>
      </c>
      <c r="AL849" s="74" t="s">
        <v>179</v>
      </c>
      <c r="AM849" s="92" t="s">
        <v>134</v>
      </c>
      <c r="AN849" s="77" t="s">
        <v>131</v>
      </c>
      <c r="AO849" s="95">
        <v>387.0</v>
      </c>
      <c r="AP849" s="95">
        <v>0.312413728351264</v>
      </c>
      <c r="AQ849" s="92" t="s">
        <v>166</v>
      </c>
      <c r="AR849" s="1196" t="s">
        <v>4113</v>
      </c>
      <c r="AS849" s="95">
        <v>0.00233092847095222</v>
      </c>
      <c r="AT849" s="92" t="s">
        <v>165</v>
      </c>
      <c r="AU849" s="92" t="s">
        <v>179</v>
      </c>
      <c r="AV849" s="92" t="s">
        <v>134</v>
      </c>
      <c r="AW849" s="126" t="s">
        <v>131</v>
      </c>
      <c r="AX849" s="92" t="s">
        <v>136</v>
      </c>
      <c r="AY849" s="89"/>
      <c r="AZ849" s="91" t="s">
        <v>146</v>
      </c>
      <c r="BA849" s="89"/>
      <c r="BB849" s="89"/>
      <c r="BC849" s="89"/>
      <c r="BD849" s="89"/>
      <c r="BE849" s="89"/>
      <c r="BF849" s="89"/>
      <c r="BG849" s="89"/>
      <c r="BH849" s="89"/>
      <c r="BI849" s="89"/>
      <c r="BJ849" s="89"/>
      <c r="BK849" s="89"/>
      <c r="BL849" s="89"/>
      <c r="BM849" s="89"/>
      <c r="BN849" s="89"/>
      <c r="BO849" s="89"/>
      <c r="BP849" s="89"/>
      <c r="BQ849" s="89"/>
      <c r="BR849" s="89"/>
      <c r="BS849" s="89"/>
      <c r="BT849" s="89"/>
      <c r="BU849" s="89"/>
      <c r="BV849" s="89"/>
      <c r="BW849" s="89"/>
      <c r="BX849" s="89"/>
      <c r="BY849" s="89"/>
      <c r="BZ849" s="89"/>
      <c r="CA849" s="89"/>
      <c r="CB849" s="89"/>
      <c r="CC849" s="89"/>
      <c r="CD849" s="89"/>
      <c r="CE849" s="89"/>
      <c r="CF849" s="89"/>
      <c r="CG849" s="89"/>
      <c r="CH849" s="89"/>
      <c r="CI849" s="89"/>
      <c r="CJ849" s="89"/>
      <c r="CK849" s="89"/>
      <c r="CL849" s="89"/>
      <c r="CM849" s="89"/>
      <c r="CN849" s="89"/>
      <c r="CO849" s="89"/>
      <c r="CP849" s="89"/>
      <c r="CQ849" s="89"/>
      <c r="CR849" s="89"/>
      <c r="CS849" s="89"/>
      <c r="CT849" s="89"/>
      <c r="CU849" s="89"/>
      <c r="CV849" s="89"/>
      <c r="CW849" s="89"/>
      <c r="CX849" s="89"/>
      <c r="CY849" s="89"/>
      <c r="CZ849" s="89"/>
      <c r="DA849" s="89"/>
      <c r="DB849" s="89"/>
      <c r="DC849" s="89"/>
      <c r="DD849" s="89"/>
      <c r="DE849" s="89"/>
      <c r="DF849" s="89"/>
      <c r="DG849" s="89"/>
      <c r="DH849" s="89"/>
    </row>
    <row r="850">
      <c r="A850" s="71">
        <v>850.0</v>
      </c>
      <c r="B850" s="77" t="s">
        <v>145</v>
      </c>
      <c r="C850" s="90" t="s">
        <v>108</v>
      </c>
      <c r="D850" s="90" t="s">
        <v>146</v>
      </c>
      <c r="E850" s="89"/>
      <c r="F850" s="91" t="s">
        <v>4612</v>
      </c>
      <c r="G850" s="74" t="s">
        <v>4618</v>
      </c>
      <c r="H850" s="92" t="s">
        <v>146</v>
      </c>
      <c r="I850" s="850">
        <v>45687.0</v>
      </c>
      <c r="J850" s="850">
        <v>45692.0</v>
      </c>
      <c r="K850" s="83" t="s">
        <v>4619</v>
      </c>
      <c r="L850" s="91"/>
      <c r="M850" s="92" t="s">
        <v>4613</v>
      </c>
      <c r="N850" s="92" t="s">
        <v>4614</v>
      </c>
      <c r="O850" s="95" t="s">
        <v>4620</v>
      </c>
      <c r="P850" s="92" t="str">
        <f t="shared" si="37"/>
        <v>10.1177--0956797614563958.pdf</v>
      </c>
      <c r="Q850" s="890" t="str">
        <f t="array" ref="Q850"> if(iserror(MATCH(V850, 'File Links'!C:C, 0)), "N/A", HYPERLINK(INDEX('File Links'!B:B, MATCH(P850, 'File Links'!C:C, 0))))</f>
        <v>https://drive.google.com/file/d/1ATJxg7zUvA3Wg_XCJFG6phaq9LgMmPHW/view?usp=drivesdk</v>
      </c>
      <c r="R850" s="92" t="s">
        <v>3646</v>
      </c>
      <c r="S850" s="92" t="s">
        <v>3647</v>
      </c>
      <c r="T850" s="1196" t="s">
        <v>4615</v>
      </c>
      <c r="U850" s="95">
        <v>1.0</v>
      </c>
      <c r="V850" s="92" t="str">
        <f t="shared" si="46"/>
        <v>10.1098--rsos.231240.pdf</v>
      </c>
      <c r="W850" s="92" t="s">
        <v>3719</v>
      </c>
      <c r="X850" s="891" t="str">
        <f t="array" ref="X850"> if(iserror(MATCH(V850, 'File Links'!C:C, 0)), "N/A", HYPERLINK(INDEX('File Links'!B:B, MATCH(V850, 'File Links'!C:C, 0))))</f>
        <v>https://drive.google.com/file/d/17gaf2Zy_ljFfcAEDk5L8GBnTl5i7RGJE/view?usp=drivesdk</v>
      </c>
      <c r="Y850" s="91"/>
      <c r="Z850" s="92" t="s">
        <v>940</v>
      </c>
      <c r="AA850" s="92" t="s">
        <v>4621</v>
      </c>
      <c r="AB850" s="92" t="s">
        <v>4622</v>
      </c>
      <c r="AC850" s="92" t="s">
        <v>4623</v>
      </c>
      <c r="AD850" s="92" t="s">
        <v>4624</v>
      </c>
      <c r="AE850" s="95">
        <v>3.0</v>
      </c>
      <c r="AF850" s="95">
        <v>577.0</v>
      </c>
      <c r="AG850" s="95">
        <v>0.07</v>
      </c>
      <c r="AH850" s="95" t="s">
        <v>867</v>
      </c>
      <c r="AI850" s="95" t="s">
        <v>210</v>
      </c>
      <c r="AJ850" s="630">
        <v>0.01</v>
      </c>
      <c r="AK850" s="74" t="s">
        <v>128</v>
      </c>
      <c r="AL850" s="74" t="s">
        <v>179</v>
      </c>
      <c r="AM850" s="92" t="s">
        <v>134</v>
      </c>
      <c r="AN850" s="77" t="s">
        <v>131</v>
      </c>
      <c r="AO850" s="95">
        <v>387.0</v>
      </c>
      <c r="AP850" s="1197">
        <v>1.7102</v>
      </c>
      <c r="AQ850" s="95" t="s">
        <v>980</v>
      </c>
      <c r="AR850" s="1198" t="s">
        <v>4625</v>
      </c>
      <c r="AS850" s="95">
        <v>0.00233</v>
      </c>
      <c r="AT850" s="92" t="s">
        <v>165</v>
      </c>
      <c r="AU850" s="92" t="s">
        <v>179</v>
      </c>
      <c r="AV850" s="92" t="s">
        <v>134</v>
      </c>
      <c r="AW850" s="126" t="s">
        <v>131</v>
      </c>
      <c r="AX850" s="91" t="s">
        <v>136</v>
      </c>
      <c r="AY850" s="89"/>
      <c r="AZ850" s="91" t="s">
        <v>146</v>
      </c>
      <c r="BA850" s="89"/>
      <c r="BB850" s="89"/>
      <c r="BC850" s="89"/>
      <c r="BD850" s="89"/>
      <c r="BE850" s="89"/>
      <c r="BF850" s="89"/>
      <c r="BG850" s="89"/>
      <c r="BH850" s="89"/>
      <c r="BI850" s="89"/>
      <c r="BJ850" s="89"/>
      <c r="BK850" s="89"/>
      <c r="BL850" s="89"/>
      <c r="BM850" s="89"/>
      <c r="BN850" s="89"/>
      <c r="BO850" s="89"/>
      <c r="BP850" s="89"/>
      <c r="BQ850" s="89"/>
      <c r="BR850" s="89"/>
      <c r="BS850" s="89"/>
      <c r="BT850" s="89"/>
      <c r="BU850" s="89"/>
      <c r="BV850" s="89"/>
      <c r="BW850" s="89"/>
      <c r="BX850" s="89"/>
      <c r="BY850" s="89"/>
      <c r="BZ850" s="89"/>
      <c r="CA850" s="89"/>
      <c r="CB850" s="89"/>
      <c r="CC850" s="89"/>
      <c r="CD850" s="89"/>
      <c r="CE850" s="89"/>
      <c r="CF850" s="89"/>
      <c r="CG850" s="89"/>
      <c r="CH850" s="89"/>
      <c r="CI850" s="89"/>
      <c r="CJ850" s="89"/>
      <c r="CK850" s="89"/>
      <c r="CL850" s="89"/>
      <c r="CM850" s="89"/>
      <c r="CN850" s="89"/>
      <c r="CO850" s="89"/>
      <c r="CP850" s="89"/>
      <c r="CQ850" s="89"/>
      <c r="CR850" s="89"/>
      <c r="CS850" s="89"/>
      <c r="CT850" s="89"/>
      <c r="CU850" s="89"/>
      <c r="CV850" s="89"/>
      <c r="CW850" s="89"/>
      <c r="CX850" s="89"/>
      <c r="CY850" s="89"/>
      <c r="CZ850" s="89"/>
      <c r="DA850" s="89"/>
      <c r="DB850" s="89"/>
      <c r="DC850" s="89"/>
      <c r="DD850" s="89"/>
      <c r="DE850" s="89"/>
      <c r="DF850" s="89"/>
      <c r="DG850" s="89"/>
      <c r="DH850" s="89"/>
    </row>
    <row r="851">
      <c r="A851" s="71">
        <v>851.0</v>
      </c>
      <c r="B851" s="77" t="s">
        <v>145</v>
      </c>
      <c r="C851" s="90" t="s">
        <v>108</v>
      </c>
      <c r="D851" s="90" t="s">
        <v>146</v>
      </c>
      <c r="E851" s="89"/>
      <c r="F851" s="91" t="s">
        <v>4612</v>
      </c>
      <c r="G851" s="74" t="s">
        <v>4626</v>
      </c>
      <c r="H851" s="92" t="s">
        <v>146</v>
      </c>
      <c r="I851" s="850">
        <v>45687.0</v>
      </c>
      <c r="J851" s="850">
        <v>45692.0</v>
      </c>
      <c r="K851" s="83" t="s">
        <v>4619</v>
      </c>
      <c r="L851" s="91"/>
      <c r="M851" s="92" t="s">
        <v>4613</v>
      </c>
      <c r="N851" s="92" t="s">
        <v>4614</v>
      </c>
      <c r="O851" s="95" t="s">
        <v>4620</v>
      </c>
      <c r="P851" s="92" t="str">
        <f t="shared" si="37"/>
        <v>10.1177--0956797614563958.pdf</v>
      </c>
      <c r="Q851" s="890" t="str">
        <f t="array" ref="Q851"> if(iserror(MATCH(V851, 'File Links'!C:C, 0)), "N/A", HYPERLINK(INDEX('File Links'!B:B, MATCH(P851, 'File Links'!C:C, 0))))</f>
        <v>https://drive.google.com/file/d/1ATJxg7zUvA3Wg_XCJFG6phaq9LgMmPHW/view?usp=drivesdk</v>
      </c>
      <c r="R851" s="92" t="s">
        <v>3646</v>
      </c>
      <c r="S851" s="92" t="s">
        <v>3647</v>
      </c>
      <c r="T851" s="1196" t="s">
        <v>4615</v>
      </c>
      <c r="U851" s="95">
        <v>1.0</v>
      </c>
      <c r="V851" s="92" t="str">
        <f t="shared" si="46"/>
        <v>10.1098--rsos.231240.pdf</v>
      </c>
      <c r="W851" s="92" t="s">
        <v>3719</v>
      </c>
      <c r="X851" s="891" t="str">
        <f t="array" ref="X851"> if(iserror(MATCH(V851, 'File Links'!C:C, 0)), "N/A", HYPERLINK(INDEX('File Links'!B:B, MATCH(V851, 'File Links'!C:C, 0))))</f>
        <v>https://drive.google.com/file/d/17gaf2Zy_ljFfcAEDk5L8GBnTl5i7RGJE/view?usp=drivesdk</v>
      </c>
      <c r="Y851" s="91"/>
      <c r="Z851" s="92" t="s">
        <v>940</v>
      </c>
      <c r="AA851" s="92" t="s">
        <v>4621</v>
      </c>
      <c r="AB851" s="92" t="s">
        <v>4622</v>
      </c>
      <c r="AC851" s="92" t="s">
        <v>4627</v>
      </c>
      <c r="AD851" s="92" t="s">
        <v>4628</v>
      </c>
      <c r="AE851" s="1199">
        <v>3.0</v>
      </c>
      <c r="AF851" s="95">
        <v>577.0</v>
      </c>
      <c r="AG851" s="1199">
        <v>2.27</v>
      </c>
      <c r="AH851" s="95" t="s">
        <v>980</v>
      </c>
      <c r="AI851" s="1199" t="s">
        <v>210</v>
      </c>
      <c r="AJ851" s="1200">
        <v>0.05</v>
      </c>
      <c r="AK851" s="74" t="s">
        <v>128</v>
      </c>
      <c r="AL851" s="74" t="s">
        <v>179</v>
      </c>
      <c r="AM851" s="92" t="s">
        <v>134</v>
      </c>
      <c r="AN851" s="77" t="s">
        <v>131</v>
      </c>
      <c r="AO851" s="95">
        <v>387.0</v>
      </c>
      <c r="AP851" s="1201">
        <v>1.9297272</v>
      </c>
      <c r="AQ851" s="95" t="s">
        <v>980</v>
      </c>
      <c r="AR851" s="1202" t="s">
        <v>4629</v>
      </c>
      <c r="AS851" s="95">
        <v>6.746E-4</v>
      </c>
      <c r="AT851" s="92" t="s">
        <v>165</v>
      </c>
      <c r="AU851" s="92" t="s">
        <v>179</v>
      </c>
      <c r="AV851" s="92" t="s">
        <v>134</v>
      </c>
      <c r="AW851" s="126" t="s">
        <v>131</v>
      </c>
      <c r="AX851" s="91" t="s">
        <v>136</v>
      </c>
      <c r="AY851" s="89"/>
      <c r="AZ851" s="91" t="s">
        <v>146</v>
      </c>
      <c r="BA851" s="89"/>
      <c r="BB851" s="89"/>
      <c r="BC851" s="89"/>
      <c r="BD851" s="89"/>
      <c r="BE851" s="89"/>
      <c r="BF851" s="89"/>
      <c r="BG851" s="89"/>
      <c r="BH851" s="89"/>
      <c r="BI851" s="89"/>
      <c r="BJ851" s="89"/>
      <c r="BK851" s="89"/>
      <c r="BL851" s="89"/>
      <c r="BM851" s="89"/>
      <c r="BN851" s="89"/>
      <c r="BO851" s="89"/>
      <c r="BP851" s="89"/>
      <c r="BQ851" s="89"/>
      <c r="BR851" s="89"/>
      <c r="BS851" s="89"/>
      <c r="BT851" s="89"/>
      <c r="BU851" s="89"/>
      <c r="BV851" s="89"/>
      <c r="BW851" s="89"/>
      <c r="BX851" s="89"/>
      <c r="BY851" s="89"/>
      <c r="BZ851" s="89"/>
      <c r="CA851" s="89"/>
      <c r="CB851" s="89"/>
      <c r="CC851" s="89"/>
      <c r="CD851" s="89"/>
      <c r="CE851" s="89"/>
      <c r="CF851" s="89"/>
      <c r="CG851" s="89"/>
      <c r="CH851" s="89"/>
      <c r="CI851" s="89"/>
      <c r="CJ851" s="89"/>
      <c r="CK851" s="89"/>
      <c r="CL851" s="89"/>
      <c r="CM851" s="89"/>
      <c r="CN851" s="89"/>
      <c r="CO851" s="89"/>
      <c r="CP851" s="89"/>
      <c r="CQ851" s="89"/>
      <c r="CR851" s="89"/>
      <c r="CS851" s="89"/>
      <c r="CT851" s="89"/>
      <c r="CU851" s="89"/>
      <c r="CV851" s="89"/>
      <c r="CW851" s="89"/>
      <c r="CX851" s="89"/>
      <c r="CY851" s="89"/>
      <c r="CZ851" s="89"/>
      <c r="DA851" s="89"/>
      <c r="DB851" s="89"/>
      <c r="DC851" s="89"/>
      <c r="DD851" s="89"/>
      <c r="DE851" s="89"/>
      <c r="DF851" s="89"/>
      <c r="DG851" s="89"/>
      <c r="DH851" s="89"/>
    </row>
    <row r="852">
      <c r="A852" s="71">
        <v>852.0</v>
      </c>
      <c r="B852" s="77" t="s">
        <v>145</v>
      </c>
      <c r="C852" s="90" t="s">
        <v>108</v>
      </c>
      <c r="D852" s="90" t="s">
        <v>146</v>
      </c>
      <c r="E852" s="90" t="s">
        <v>3913</v>
      </c>
      <c r="F852" s="91" t="s">
        <v>4612</v>
      </c>
      <c r="G852" s="74" t="s">
        <v>4626</v>
      </c>
      <c r="H852" s="92" t="s">
        <v>3914</v>
      </c>
      <c r="I852" s="850">
        <v>45687.0</v>
      </c>
      <c r="J852" s="850">
        <v>45692.0</v>
      </c>
      <c r="K852" s="83" t="s">
        <v>4619</v>
      </c>
      <c r="L852" s="91"/>
      <c r="M852" s="92" t="s">
        <v>4613</v>
      </c>
      <c r="N852" s="92" t="s">
        <v>4614</v>
      </c>
      <c r="O852" s="95" t="s">
        <v>4620</v>
      </c>
      <c r="P852" s="92" t="str">
        <f t="shared" si="37"/>
        <v>10.1177--0956797614563958.pdf</v>
      </c>
      <c r="Q852" s="890" t="str">
        <f t="array" ref="Q852"> if(iserror(MATCH(V852, 'File Links'!C:C, 0)), "N/A", HYPERLINK(INDEX('File Links'!B:B, MATCH(P852, 'File Links'!C:C, 0))))</f>
        <v>https://drive.google.com/file/d/1ATJxg7zUvA3Wg_XCJFG6phaq9LgMmPHW/view?usp=drivesdk</v>
      </c>
      <c r="R852" s="92" t="s">
        <v>3646</v>
      </c>
      <c r="S852" s="92" t="s">
        <v>3647</v>
      </c>
      <c r="T852" s="1196" t="s">
        <v>4615</v>
      </c>
      <c r="U852" s="95">
        <v>1.0</v>
      </c>
      <c r="V852" s="92" t="str">
        <f t="shared" si="46"/>
        <v>10.1098--rsos.231240.pdf</v>
      </c>
      <c r="W852" s="92" t="s">
        <v>3719</v>
      </c>
      <c r="X852" s="891" t="str">
        <f t="array" ref="X852"> if(iserror(MATCH(V852, 'File Links'!C:C, 0)), "N/A", HYPERLINK(INDEX('File Links'!B:B, MATCH(V852, 'File Links'!C:C, 0))))</f>
        <v>https://drive.google.com/file/d/17gaf2Zy_ljFfcAEDk5L8GBnTl5i7RGJE/view?usp=drivesdk</v>
      </c>
      <c r="Y852" s="91"/>
      <c r="Z852" s="92" t="s">
        <v>940</v>
      </c>
      <c r="AA852" s="92" t="s">
        <v>4621</v>
      </c>
      <c r="AB852" s="92" t="s">
        <v>4622</v>
      </c>
      <c r="AC852" s="91" t="s">
        <v>4630</v>
      </c>
      <c r="AD852" s="92" t="s">
        <v>4631</v>
      </c>
      <c r="AE852" s="95">
        <v>5.0</v>
      </c>
      <c r="AF852" s="95">
        <v>577.0</v>
      </c>
      <c r="AG852" s="95">
        <v>0.01</v>
      </c>
      <c r="AH852" s="95" t="s">
        <v>867</v>
      </c>
      <c r="AI852" s="92" t="s">
        <v>806</v>
      </c>
      <c r="AJ852" s="630">
        <v>0.05</v>
      </c>
      <c r="AK852" s="74" t="s">
        <v>128</v>
      </c>
      <c r="AL852" s="74" t="s">
        <v>179</v>
      </c>
      <c r="AM852" s="92" t="s">
        <v>134</v>
      </c>
      <c r="AN852" s="77" t="s">
        <v>131</v>
      </c>
      <c r="AO852" s="95">
        <v>387.0</v>
      </c>
      <c r="AP852" s="95">
        <v>0.312413728351264</v>
      </c>
      <c r="AQ852" s="92" t="s">
        <v>166</v>
      </c>
      <c r="AR852" s="1196" t="s">
        <v>4113</v>
      </c>
      <c r="AS852" s="95">
        <v>0.00233092847095222</v>
      </c>
      <c r="AT852" s="92" t="s">
        <v>165</v>
      </c>
      <c r="AU852" s="92" t="s">
        <v>179</v>
      </c>
      <c r="AV852" s="92" t="s">
        <v>134</v>
      </c>
      <c r="AW852" s="126" t="s">
        <v>131</v>
      </c>
      <c r="AX852" s="92" t="s">
        <v>136</v>
      </c>
      <c r="AY852" s="89"/>
      <c r="AZ852" s="91" t="s">
        <v>146</v>
      </c>
      <c r="BA852" s="89"/>
      <c r="BB852" s="89"/>
      <c r="BC852" s="89"/>
      <c r="BD852" s="89"/>
      <c r="BE852" s="89"/>
      <c r="BF852" s="89"/>
      <c r="BG852" s="89"/>
      <c r="BH852" s="89"/>
      <c r="BI852" s="89"/>
      <c r="BJ852" s="89"/>
      <c r="BK852" s="89"/>
      <c r="BL852" s="89"/>
      <c r="BM852" s="89"/>
      <c r="BN852" s="89"/>
      <c r="BO852" s="89"/>
      <c r="BP852" s="89"/>
      <c r="BQ852" s="89"/>
      <c r="BR852" s="89"/>
      <c r="BS852" s="89"/>
      <c r="BT852" s="89"/>
      <c r="BU852" s="89"/>
      <c r="BV852" s="89"/>
      <c r="BW852" s="89"/>
      <c r="BX852" s="89"/>
      <c r="BY852" s="89"/>
      <c r="BZ852" s="89"/>
      <c r="CA852" s="89"/>
      <c r="CB852" s="89"/>
      <c r="CC852" s="89"/>
      <c r="CD852" s="89"/>
      <c r="CE852" s="89"/>
      <c r="CF852" s="89"/>
      <c r="CG852" s="89"/>
      <c r="CH852" s="89"/>
      <c r="CI852" s="89"/>
      <c r="CJ852" s="89"/>
      <c r="CK852" s="89"/>
      <c r="CL852" s="89"/>
      <c r="CM852" s="89"/>
      <c r="CN852" s="89"/>
      <c r="CO852" s="89"/>
      <c r="CP852" s="89"/>
      <c r="CQ852" s="89"/>
      <c r="CR852" s="89"/>
      <c r="CS852" s="89"/>
      <c r="CT852" s="89"/>
      <c r="CU852" s="89"/>
      <c r="CV852" s="89"/>
      <c r="CW852" s="89"/>
      <c r="CX852" s="89"/>
      <c r="CY852" s="89"/>
      <c r="CZ852" s="89"/>
      <c r="DA852" s="89"/>
      <c r="DB852" s="89"/>
      <c r="DC852" s="89"/>
      <c r="DD852" s="89"/>
      <c r="DE852" s="89"/>
      <c r="DF852" s="89"/>
      <c r="DG852" s="89"/>
      <c r="DH852" s="89"/>
    </row>
    <row r="853">
      <c r="A853" s="71">
        <v>853.0</v>
      </c>
      <c r="B853" s="77" t="s">
        <v>145</v>
      </c>
      <c r="C853" s="90" t="s">
        <v>108</v>
      </c>
      <c r="D853" s="90" t="s">
        <v>146</v>
      </c>
      <c r="E853" s="89"/>
      <c r="F853" s="91" t="s">
        <v>4612</v>
      </c>
      <c r="G853" s="74" t="s">
        <v>4632</v>
      </c>
      <c r="H853" s="92" t="s">
        <v>146</v>
      </c>
      <c r="I853" s="850">
        <v>45687.0</v>
      </c>
      <c r="J853" s="850">
        <v>45692.0</v>
      </c>
      <c r="K853" s="83" t="s">
        <v>4619</v>
      </c>
      <c r="L853" s="91"/>
      <c r="M853" s="92" t="s">
        <v>4613</v>
      </c>
      <c r="N853" s="92" t="s">
        <v>4614</v>
      </c>
      <c r="O853" s="95" t="s">
        <v>4620</v>
      </c>
      <c r="P853" s="92" t="str">
        <f t="shared" si="37"/>
        <v>10.1177--0956797614563958.pdf</v>
      </c>
      <c r="Q853" s="890" t="str">
        <f t="array" ref="Q853"> if(iserror(MATCH(V853, 'File Links'!C:C, 0)), "N/A", HYPERLINK(INDEX('File Links'!B:B, MATCH(P853, 'File Links'!C:C, 0))))</f>
        <v>https://drive.google.com/file/d/1ATJxg7zUvA3Wg_XCJFG6phaq9LgMmPHW/view?usp=drivesdk</v>
      </c>
      <c r="R853" s="92" t="s">
        <v>3646</v>
      </c>
      <c r="S853" s="92" t="s">
        <v>3647</v>
      </c>
      <c r="T853" s="1196" t="s">
        <v>4615</v>
      </c>
      <c r="U853" s="95">
        <v>1.0</v>
      </c>
      <c r="V853" s="92" t="str">
        <f t="shared" si="46"/>
        <v>10.1098--rsos.231240.pdf</v>
      </c>
      <c r="W853" s="92" t="s">
        <v>4633</v>
      </c>
      <c r="X853" s="891" t="str">
        <f t="array" ref="X853"> if(iserror(MATCH(V853, 'File Links'!C:C, 0)), "N/A", HYPERLINK(INDEX('File Links'!B:B, MATCH(V853, 'File Links'!C:C, 0))))</f>
        <v>https://drive.google.com/file/d/17gaf2Zy_ljFfcAEDk5L8GBnTl5i7RGJE/view?usp=drivesdk</v>
      </c>
      <c r="Y853" s="91"/>
      <c r="Z853" s="92" t="s">
        <v>940</v>
      </c>
      <c r="AA853" s="92" t="s">
        <v>4621</v>
      </c>
      <c r="AB853" s="92" t="s">
        <v>4622</v>
      </c>
      <c r="AC853" s="92" t="s">
        <v>4634</v>
      </c>
      <c r="AD853" s="92" t="s">
        <v>4635</v>
      </c>
      <c r="AE853" s="1199">
        <v>5.0</v>
      </c>
      <c r="AF853" s="95">
        <v>577.0</v>
      </c>
      <c r="AG853" s="1199">
        <v>1.65</v>
      </c>
      <c r="AH853" s="95" t="s">
        <v>980</v>
      </c>
      <c r="AI853" s="1199" t="s">
        <v>806</v>
      </c>
      <c r="AJ853" s="1200">
        <v>0.01</v>
      </c>
      <c r="AK853" s="74" t="s">
        <v>128</v>
      </c>
      <c r="AL853" s="74" t="s">
        <v>179</v>
      </c>
      <c r="AM853" s="92" t="s">
        <v>134</v>
      </c>
      <c r="AN853" s="77" t="s">
        <v>131</v>
      </c>
      <c r="AO853" s="95">
        <v>387.0</v>
      </c>
      <c r="AP853" s="1201">
        <v>-1.7295006</v>
      </c>
      <c r="AQ853" s="95" t="s">
        <v>980</v>
      </c>
      <c r="AR853" s="1202" t="s">
        <v>4636</v>
      </c>
      <c r="AS853" s="95">
        <v>0.0031099</v>
      </c>
      <c r="AT853" s="92" t="s">
        <v>165</v>
      </c>
      <c r="AU853" s="92" t="s">
        <v>179</v>
      </c>
      <c r="AV853" s="92" t="s">
        <v>134</v>
      </c>
      <c r="AW853" s="126" t="s">
        <v>131</v>
      </c>
      <c r="AX853" s="91" t="s">
        <v>136</v>
      </c>
      <c r="AY853" s="89"/>
      <c r="AZ853" s="91" t="s">
        <v>146</v>
      </c>
      <c r="BA853" s="89"/>
      <c r="BB853" s="89"/>
      <c r="BC853" s="89"/>
      <c r="BD853" s="89"/>
      <c r="BE853" s="89"/>
      <c r="BF853" s="89"/>
      <c r="BG853" s="89"/>
      <c r="BH853" s="89"/>
      <c r="BI853" s="89"/>
      <c r="BJ853" s="89"/>
      <c r="BK853" s="89"/>
      <c r="BL853" s="89"/>
      <c r="BM853" s="89"/>
      <c r="BN853" s="89"/>
      <c r="BO853" s="89"/>
      <c r="BP853" s="89"/>
      <c r="BQ853" s="89"/>
      <c r="BR853" s="89"/>
      <c r="BS853" s="89"/>
      <c r="BT853" s="89"/>
      <c r="BU853" s="89"/>
      <c r="BV853" s="89"/>
      <c r="BW853" s="89"/>
      <c r="BX853" s="89"/>
      <c r="BY853" s="89"/>
      <c r="BZ853" s="89"/>
      <c r="CA853" s="89"/>
      <c r="CB853" s="89"/>
      <c r="CC853" s="89"/>
      <c r="CD853" s="89"/>
      <c r="CE853" s="89"/>
      <c r="CF853" s="89"/>
      <c r="CG853" s="89"/>
      <c r="CH853" s="89"/>
      <c r="CI853" s="89"/>
      <c r="CJ853" s="89"/>
      <c r="CK853" s="89"/>
      <c r="CL853" s="89"/>
      <c r="CM853" s="89"/>
      <c r="CN853" s="89"/>
      <c r="CO853" s="89"/>
      <c r="CP853" s="89"/>
      <c r="CQ853" s="89"/>
      <c r="CR853" s="89"/>
      <c r="CS853" s="89"/>
      <c r="CT853" s="89"/>
      <c r="CU853" s="89"/>
      <c r="CV853" s="89"/>
      <c r="CW853" s="89"/>
      <c r="CX853" s="89"/>
      <c r="CY853" s="89"/>
      <c r="CZ853" s="89"/>
      <c r="DA853" s="89"/>
      <c r="DB853" s="89"/>
      <c r="DC853" s="89"/>
      <c r="DD853" s="89"/>
      <c r="DE853" s="89"/>
      <c r="DF853" s="89"/>
      <c r="DG853" s="89"/>
      <c r="DH853" s="89"/>
    </row>
    <row r="854">
      <c r="A854" s="558">
        <v>854.0</v>
      </c>
      <c r="B854" s="1029" t="s">
        <v>107</v>
      </c>
      <c r="C854" s="535" t="s">
        <v>108</v>
      </c>
      <c r="D854" s="535" t="s">
        <v>241</v>
      </c>
      <c r="E854" s="536"/>
      <c r="F854" s="1015" t="s">
        <v>4637</v>
      </c>
      <c r="G854" s="1016" t="s">
        <v>4638</v>
      </c>
      <c r="H854" s="1015" t="s">
        <v>242</v>
      </c>
      <c r="I854" s="1042">
        <v>45671.0</v>
      </c>
      <c r="J854" s="1042">
        <v>45692.0</v>
      </c>
      <c r="K854" s="1203" t="s">
        <v>4639</v>
      </c>
      <c r="L854" s="1029"/>
      <c r="M854" s="1015" t="s">
        <v>4640</v>
      </c>
      <c r="N854" s="1015" t="s">
        <v>4641</v>
      </c>
      <c r="O854" s="1029"/>
      <c r="P854" s="1015" t="str">
        <f t="shared" si="37"/>
        <v>10.1177--0956797616651973.pdf</v>
      </c>
      <c r="Q854" s="1204" t="str">
        <f t="array" ref="Q854"> if(iserror(MATCH(V854, 'File Links'!C:C, 0)), "N/A", HYPERLINK(INDEX('File Links'!B:B, MATCH(P854, 'File Links'!C:C, 0))))</f>
        <v>https://drive.google.com/file/d/1jx9eMAYbx0cHukSi87PadaXFTzz1n_mq/view?usp=drivesdk</v>
      </c>
      <c r="R854" s="1015" t="s">
        <v>3646</v>
      </c>
      <c r="S854" s="1015" t="s">
        <v>3647</v>
      </c>
      <c r="T854" s="1029"/>
      <c r="U854" s="1044">
        <v>1.0</v>
      </c>
      <c r="V854" s="1015" t="str">
        <f t="shared" si="46"/>
        <v>10.1098--rsos.231240.pdf</v>
      </c>
      <c r="W854" s="1015" t="s">
        <v>3797</v>
      </c>
      <c r="X854" s="1205" t="str">
        <f t="array" ref="X854"> if(iserror(MATCH(V854, 'File Links'!C:C, 0)), "N/A", HYPERLINK(INDEX('File Links'!B:B, MATCH(V854, 'File Links'!C:C, 0))))</f>
        <v>https://drive.google.com/file/d/17gaf2Zy_ljFfcAEDk5L8GBnTl5i7RGJE/view?usp=drivesdk</v>
      </c>
      <c r="Y854" s="1029"/>
      <c r="Z854" s="1015" t="s">
        <v>141</v>
      </c>
      <c r="AA854" s="1029"/>
      <c r="AB854" s="1029"/>
      <c r="AC854" s="1029"/>
      <c r="AD854" s="1015" t="s">
        <v>4642</v>
      </c>
      <c r="AE854" s="1044">
        <v>3.0</v>
      </c>
      <c r="AF854" s="1044">
        <v>90.0</v>
      </c>
      <c r="AG854" s="1044">
        <v>0.212</v>
      </c>
      <c r="AH854" s="1015" t="s">
        <v>208</v>
      </c>
      <c r="AI854" s="1015" t="s">
        <v>210</v>
      </c>
      <c r="AJ854" s="1206">
        <v>0.044</v>
      </c>
      <c r="AK854" s="1016" t="s">
        <v>165</v>
      </c>
      <c r="AL854" s="1016" t="s">
        <v>179</v>
      </c>
      <c r="AM854" s="1015" t="s">
        <v>134</v>
      </c>
      <c r="AN854" s="1207" t="s">
        <v>131</v>
      </c>
      <c r="AO854" s="1044">
        <v>90.0</v>
      </c>
      <c r="AP854" s="1208">
        <v>0.395198</v>
      </c>
      <c r="AQ854" s="1024" t="s">
        <v>264</v>
      </c>
      <c r="AR854" s="1029"/>
      <c r="AS854" s="1208">
        <v>0.002447</v>
      </c>
      <c r="AT854" s="1015" t="s">
        <v>165</v>
      </c>
      <c r="AU854" s="1015" t="s">
        <v>179</v>
      </c>
      <c r="AV854" s="1015" t="s">
        <v>134</v>
      </c>
      <c r="AW854" s="126" t="s">
        <v>131</v>
      </c>
      <c r="AX854" s="1015" t="s">
        <v>136</v>
      </c>
      <c r="AY854" s="536"/>
      <c r="AZ854" s="1029" t="s">
        <v>146</v>
      </c>
      <c r="BA854" s="536"/>
      <c r="BB854" s="536"/>
      <c r="BC854" s="536"/>
      <c r="BD854" s="536"/>
      <c r="BE854" s="536"/>
      <c r="BF854" s="536"/>
      <c r="BG854" s="536"/>
      <c r="BH854" s="536"/>
      <c r="BI854" s="536"/>
      <c r="BJ854" s="536"/>
      <c r="BK854" s="536"/>
      <c r="BL854" s="536"/>
      <c r="BM854" s="536"/>
      <c r="BN854" s="536"/>
      <c r="BO854" s="536"/>
      <c r="BP854" s="536"/>
      <c r="BQ854" s="536"/>
      <c r="BR854" s="536"/>
      <c r="BS854" s="536"/>
      <c r="BT854" s="536"/>
      <c r="BU854" s="536"/>
      <c r="BV854" s="536"/>
      <c r="BW854" s="536"/>
      <c r="BX854" s="536"/>
      <c r="BY854" s="536"/>
      <c r="BZ854" s="536"/>
      <c r="CA854" s="536"/>
      <c r="CB854" s="536"/>
      <c r="CC854" s="536"/>
      <c r="CD854" s="536"/>
      <c r="CE854" s="536"/>
      <c r="CF854" s="536"/>
      <c r="CG854" s="536"/>
      <c r="CH854" s="536"/>
      <c r="CI854" s="536"/>
      <c r="CJ854" s="536"/>
      <c r="CK854" s="536"/>
      <c r="CL854" s="536"/>
      <c r="CM854" s="536"/>
      <c r="CN854" s="536"/>
      <c r="CO854" s="536"/>
      <c r="CP854" s="536"/>
      <c r="CQ854" s="536"/>
      <c r="CR854" s="536"/>
      <c r="CS854" s="536"/>
      <c r="CT854" s="536"/>
      <c r="CU854" s="536"/>
      <c r="CV854" s="536"/>
      <c r="CW854" s="536"/>
      <c r="CX854" s="536"/>
      <c r="CY854" s="536"/>
      <c r="CZ854" s="536"/>
      <c r="DA854" s="536"/>
      <c r="DB854" s="536"/>
      <c r="DC854" s="536"/>
      <c r="DD854" s="536"/>
      <c r="DE854" s="536"/>
      <c r="DF854" s="536"/>
      <c r="DG854" s="536"/>
      <c r="DH854" s="536"/>
    </row>
    <row r="855">
      <c r="A855" s="558">
        <v>855.0</v>
      </c>
      <c r="B855" s="1029" t="s">
        <v>107</v>
      </c>
      <c r="C855" s="535" t="s">
        <v>108</v>
      </c>
      <c r="D855" s="535" t="s">
        <v>146</v>
      </c>
      <c r="E855" s="536"/>
      <c r="F855" s="1029" t="s">
        <v>4638</v>
      </c>
      <c r="G855" s="1016" t="s">
        <v>4637</v>
      </c>
      <c r="H855" s="1015" t="s">
        <v>146</v>
      </c>
      <c r="I855" s="1042">
        <v>45687.0</v>
      </c>
      <c r="J855" s="1042">
        <v>45692.0</v>
      </c>
      <c r="K855" s="1209" t="s">
        <v>4643</v>
      </c>
      <c r="L855" s="1029"/>
      <c r="M855" s="1015" t="s">
        <v>4640</v>
      </c>
      <c r="N855" s="1015" t="s">
        <v>4641</v>
      </c>
      <c r="O855" s="1044">
        <v>1.0</v>
      </c>
      <c r="P855" s="1015" t="str">
        <f t="shared" si="37"/>
        <v>10.1177--0956797616651973.pdf</v>
      </c>
      <c r="Q855" s="1204" t="str">
        <f t="array" ref="Q855"> if(iserror(MATCH(V855, 'File Links'!C:C, 0)), "N/A", HYPERLINK(INDEX('File Links'!B:B, MATCH(P855, 'File Links'!C:C, 0))))</f>
        <v>https://drive.google.com/file/d/1jx9eMAYbx0cHukSi87PadaXFTzz1n_mq/view?usp=drivesdk</v>
      </c>
      <c r="R855" s="1015" t="s">
        <v>3646</v>
      </c>
      <c r="S855" s="1015" t="s">
        <v>3647</v>
      </c>
      <c r="T855" s="1029"/>
      <c r="U855" s="1044">
        <v>1.0</v>
      </c>
      <c r="V855" s="1015" t="str">
        <f t="shared" si="46"/>
        <v>10.1098--rsos.231240.pdf</v>
      </c>
      <c r="W855" s="1015" t="s">
        <v>157</v>
      </c>
      <c r="X855" s="1205" t="str">
        <f t="array" ref="X855"> if(iserror(MATCH(V855, 'File Links'!C:C, 0)), "N/A", HYPERLINK(INDEX('File Links'!B:B, MATCH(V855, 'File Links'!C:C, 0))))</f>
        <v>https://drive.google.com/file/d/17gaf2Zy_ljFfcAEDk5L8GBnTl5i7RGJE/view?usp=drivesdk</v>
      </c>
      <c r="Y855" s="1029"/>
      <c r="Z855" s="1015" t="s">
        <v>141</v>
      </c>
      <c r="AA855" s="1015" t="s">
        <v>4644</v>
      </c>
      <c r="AB855" s="1203" t="s">
        <v>4645</v>
      </c>
      <c r="AC855" s="1015" t="s">
        <v>4646</v>
      </c>
      <c r="AD855" s="1024" t="s">
        <v>4647</v>
      </c>
      <c r="AE855" s="1044">
        <v>3.0</v>
      </c>
      <c r="AF855" s="1044">
        <v>90.0</v>
      </c>
      <c r="AG855" s="1044">
        <v>0.477</v>
      </c>
      <c r="AH855" s="1044" t="s">
        <v>208</v>
      </c>
      <c r="AI855" s="1044" t="s">
        <v>210</v>
      </c>
      <c r="AJ855" s="1206">
        <v>0.001</v>
      </c>
      <c r="AK855" s="1016" t="s">
        <v>128</v>
      </c>
      <c r="AL855" s="1016" t="s">
        <v>179</v>
      </c>
      <c r="AM855" s="1015" t="s">
        <v>134</v>
      </c>
      <c r="AN855" s="1207" t="s">
        <v>131</v>
      </c>
      <c r="AO855" s="1044">
        <v>90.0</v>
      </c>
      <c r="AP855" s="1210" t="s">
        <v>4648</v>
      </c>
      <c r="AQ855" s="1211" t="s">
        <v>127</v>
      </c>
      <c r="AR855" s="1044" t="s">
        <v>625</v>
      </c>
      <c r="AS855" s="1044">
        <v>0.002447</v>
      </c>
      <c r="AT855" s="1015" t="s">
        <v>165</v>
      </c>
      <c r="AU855" s="1015" t="s">
        <v>179</v>
      </c>
      <c r="AV855" s="1015" t="s">
        <v>134</v>
      </c>
      <c r="AW855" s="126" t="s">
        <v>131</v>
      </c>
      <c r="AX855" s="1029" t="s">
        <v>136</v>
      </c>
      <c r="AY855" s="536"/>
      <c r="AZ855" s="1029" t="s">
        <v>146</v>
      </c>
      <c r="BA855" s="536"/>
      <c r="BB855" s="536"/>
      <c r="BC855" s="536"/>
      <c r="BD855" s="536"/>
      <c r="BE855" s="536"/>
      <c r="BF855" s="536"/>
      <c r="BG855" s="536"/>
      <c r="BH855" s="536"/>
      <c r="BI855" s="536"/>
      <c r="BJ855" s="536"/>
      <c r="BK855" s="536"/>
      <c r="BL855" s="536"/>
      <c r="BM855" s="536"/>
      <c r="BN855" s="536"/>
      <c r="BO855" s="536"/>
      <c r="BP855" s="536"/>
      <c r="BQ855" s="536"/>
      <c r="BR855" s="536"/>
      <c r="BS855" s="536"/>
      <c r="BT855" s="536"/>
      <c r="BU855" s="536"/>
      <c r="BV855" s="536"/>
      <c r="BW855" s="536"/>
      <c r="BX855" s="536"/>
      <c r="BY855" s="536"/>
      <c r="BZ855" s="536"/>
      <c r="CA855" s="536"/>
      <c r="CB855" s="536"/>
      <c r="CC855" s="536"/>
      <c r="CD855" s="536"/>
      <c r="CE855" s="536"/>
      <c r="CF855" s="536"/>
      <c r="CG855" s="536"/>
      <c r="CH855" s="536"/>
      <c r="CI855" s="536"/>
      <c r="CJ855" s="536"/>
      <c r="CK855" s="536"/>
      <c r="CL855" s="536"/>
      <c r="CM855" s="536"/>
      <c r="CN855" s="536"/>
      <c r="CO855" s="536"/>
      <c r="CP855" s="536"/>
      <c r="CQ855" s="536"/>
      <c r="CR855" s="536"/>
      <c r="CS855" s="536"/>
      <c r="CT855" s="536"/>
      <c r="CU855" s="536"/>
      <c r="CV855" s="536"/>
      <c r="CW855" s="536"/>
      <c r="CX855" s="536"/>
      <c r="CY855" s="536"/>
      <c r="CZ855" s="536"/>
      <c r="DA855" s="536"/>
      <c r="DB855" s="536"/>
      <c r="DC855" s="536"/>
      <c r="DD855" s="536"/>
      <c r="DE855" s="536"/>
      <c r="DF855" s="536"/>
      <c r="DG855" s="536"/>
      <c r="DH855" s="536"/>
    </row>
    <row r="856">
      <c r="A856" s="558">
        <v>856.0</v>
      </c>
      <c r="B856" s="1207" t="s">
        <v>145</v>
      </c>
      <c r="C856" s="535" t="s">
        <v>108</v>
      </c>
      <c r="D856" s="535" t="s">
        <v>146</v>
      </c>
      <c r="E856" s="536"/>
      <c r="F856" s="1029" t="s">
        <v>4638</v>
      </c>
      <c r="G856" s="1016" t="s">
        <v>4649</v>
      </c>
      <c r="H856" s="1015" t="s">
        <v>146</v>
      </c>
      <c r="I856" s="1042">
        <v>45687.0</v>
      </c>
      <c r="J856" s="1042">
        <v>45692.0</v>
      </c>
      <c r="K856" s="1209" t="s">
        <v>4650</v>
      </c>
      <c r="L856" s="1029"/>
      <c r="M856" s="1015" t="s">
        <v>4640</v>
      </c>
      <c r="N856" s="1015" t="s">
        <v>4641</v>
      </c>
      <c r="O856" s="1044">
        <v>1.0</v>
      </c>
      <c r="P856" s="1015" t="str">
        <f t="shared" si="37"/>
        <v>10.1177--0956797616651973.pdf</v>
      </c>
      <c r="Q856" s="1204" t="str">
        <f t="array" ref="Q856"> if(iserror(MATCH(V856, 'File Links'!C:C, 0)), "N/A", HYPERLINK(INDEX('File Links'!B:B, MATCH(P856, 'File Links'!C:C, 0))))</f>
        <v>https://drive.google.com/file/d/1jx9eMAYbx0cHukSi87PadaXFTzz1n_mq/view?usp=drivesdk</v>
      </c>
      <c r="R856" s="1015" t="s">
        <v>3646</v>
      </c>
      <c r="S856" s="1015" t="s">
        <v>3647</v>
      </c>
      <c r="T856" s="1029"/>
      <c r="U856" s="1044">
        <v>1.0</v>
      </c>
      <c r="V856" s="1015" t="str">
        <f t="shared" si="46"/>
        <v>10.1098--rsos.231240.pdf</v>
      </c>
      <c r="W856" s="1015" t="s">
        <v>3800</v>
      </c>
      <c r="X856" s="1205" t="str">
        <f t="array" ref="X856"> if(iserror(MATCH(V856, 'File Links'!C:C, 0)), "N/A", HYPERLINK(INDEX('File Links'!B:B, MATCH(V856, 'File Links'!C:C, 0))))</f>
        <v>https://drive.google.com/file/d/17gaf2Zy_ljFfcAEDk5L8GBnTl5i7RGJE/view?usp=drivesdk</v>
      </c>
      <c r="Y856" s="1029"/>
      <c r="Z856" s="1015" t="s">
        <v>141</v>
      </c>
      <c r="AA856" s="1015" t="s">
        <v>4644</v>
      </c>
      <c r="AB856" s="1203" t="s">
        <v>4645</v>
      </c>
      <c r="AC856" s="1015" t="s">
        <v>4651</v>
      </c>
      <c r="AD856" s="1024" t="s">
        <v>4652</v>
      </c>
      <c r="AE856" s="1212">
        <v>3.0</v>
      </c>
      <c r="AF856" s="1044">
        <v>90.0</v>
      </c>
      <c r="AG856" s="1212">
        <v>0.212</v>
      </c>
      <c r="AH856" s="1044" t="s">
        <v>208</v>
      </c>
      <c r="AI856" s="1044" t="s">
        <v>210</v>
      </c>
      <c r="AJ856" s="1206">
        <v>0.044</v>
      </c>
      <c r="AK856" s="1016" t="s">
        <v>165</v>
      </c>
      <c r="AL856" s="1016" t="s">
        <v>179</v>
      </c>
      <c r="AM856" s="1015" t="s">
        <v>134</v>
      </c>
      <c r="AN856" s="1207" t="s">
        <v>131</v>
      </c>
      <c r="AO856" s="1044">
        <v>90.0</v>
      </c>
      <c r="AP856" s="1208">
        <v>0.395198</v>
      </c>
      <c r="AQ856" s="1044" t="s">
        <v>2364</v>
      </c>
      <c r="AR856" s="1212" t="s">
        <v>625</v>
      </c>
      <c r="AS856" s="1044">
        <v>0.002447</v>
      </c>
      <c r="AT856" s="1015" t="s">
        <v>165</v>
      </c>
      <c r="AU856" s="1015" t="s">
        <v>179</v>
      </c>
      <c r="AV856" s="1015" t="s">
        <v>134</v>
      </c>
      <c r="AW856" s="126" t="s">
        <v>131</v>
      </c>
      <c r="AX856" s="1029" t="s">
        <v>136</v>
      </c>
      <c r="AY856" s="536"/>
      <c r="AZ856" s="1029" t="s">
        <v>146</v>
      </c>
      <c r="BA856" s="536"/>
      <c r="BB856" s="536"/>
      <c r="BC856" s="536"/>
      <c r="BD856" s="536"/>
      <c r="BE856" s="536"/>
      <c r="BF856" s="536"/>
      <c r="BG856" s="536"/>
      <c r="BH856" s="536"/>
      <c r="BI856" s="536"/>
      <c r="BJ856" s="536"/>
      <c r="BK856" s="536"/>
      <c r="BL856" s="536"/>
      <c r="BM856" s="536"/>
      <c r="BN856" s="536"/>
      <c r="BO856" s="536"/>
      <c r="BP856" s="536"/>
      <c r="BQ856" s="536"/>
      <c r="BR856" s="536"/>
      <c r="BS856" s="536"/>
      <c r="BT856" s="536"/>
      <c r="BU856" s="536"/>
      <c r="BV856" s="536"/>
      <c r="BW856" s="536"/>
      <c r="BX856" s="536"/>
      <c r="BY856" s="536"/>
      <c r="BZ856" s="536"/>
      <c r="CA856" s="536"/>
      <c r="CB856" s="536"/>
      <c r="CC856" s="536"/>
      <c r="CD856" s="536"/>
      <c r="CE856" s="536"/>
      <c r="CF856" s="536"/>
      <c r="CG856" s="536"/>
      <c r="CH856" s="536"/>
      <c r="CI856" s="536"/>
      <c r="CJ856" s="536"/>
      <c r="CK856" s="536"/>
      <c r="CL856" s="536"/>
      <c r="CM856" s="536"/>
      <c r="CN856" s="536"/>
      <c r="CO856" s="536"/>
      <c r="CP856" s="536"/>
      <c r="CQ856" s="536"/>
      <c r="CR856" s="536"/>
      <c r="CS856" s="536"/>
      <c r="CT856" s="536"/>
      <c r="CU856" s="536"/>
      <c r="CV856" s="536"/>
      <c r="CW856" s="536"/>
      <c r="CX856" s="536"/>
      <c r="CY856" s="536"/>
      <c r="CZ856" s="536"/>
      <c r="DA856" s="536"/>
      <c r="DB856" s="536"/>
      <c r="DC856" s="536"/>
      <c r="DD856" s="536"/>
      <c r="DE856" s="536"/>
      <c r="DF856" s="536"/>
      <c r="DG856" s="536"/>
      <c r="DH856" s="536"/>
    </row>
    <row r="857">
      <c r="A857" s="41">
        <v>857.0</v>
      </c>
      <c r="B857" s="65" t="s">
        <v>107</v>
      </c>
      <c r="C857" s="59" t="s">
        <v>108</v>
      </c>
      <c r="D857" s="59" t="s">
        <v>241</v>
      </c>
      <c r="F857" s="156" t="s">
        <v>4653</v>
      </c>
      <c r="G857" s="54" t="s">
        <v>4654</v>
      </c>
      <c r="H857" s="156" t="s">
        <v>242</v>
      </c>
      <c r="I857" s="149">
        <v>45671.0</v>
      </c>
      <c r="J857" s="149">
        <v>45692.0</v>
      </c>
      <c r="K857" s="65"/>
      <c r="L857" s="65" t="s">
        <v>3683</v>
      </c>
      <c r="M857" s="156" t="s">
        <v>4655</v>
      </c>
      <c r="N857" s="156" t="s">
        <v>4656</v>
      </c>
      <c r="O857" s="65"/>
      <c r="P857" s="156" t="str">
        <f t="shared" si="37"/>
        <v>10.1177--0956797614534693.pdf</v>
      </c>
      <c r="Q857" s="49" t="str">
        <f t="array" ref="Q857"> if(iserror(MATCH(V857, 'File Links'!C:C, 0)), "N/A", HYPERLINK(INDEX('File Links'!B:B, MATCH(P857, 'File Links'!C:C, 0))))</f>
        <v>https://drive.google.com/file/d/1dcM9NQdz9QH53PQ7hkiNVOhT5nBAY9Vn/view?usp=drivesdk</v>
      </c>
      <c r="R857" s="156" t="s">
        <v>3646</v>
      </c>
      <c r="S857" s="156" t="s">
        <v>3647</v>
      </c>
      <c r="T857" s="65"/>
      <c r="U857" s="153">
        <v>1.0</v>
      </c>
      <c r="V857" s="195" t="str">
        <f t="shared" si="46"/>
        <v>10.1098--rsos.231240.pdf</v>
      </c>
      <c r="W857" s="156" t="s">
        <v>3658</v>
      </c>
      <c r="X857" s="51" t="str">
        <f t="array" ref="X857"> if(iserror(MATCH(V857, 'File Links'!C:C, 0)), "N/A", HYPERLINK(INDEX('File Links'!B:B, MATCH(V857, 'File Links'!C:C, 0))))</f>
        <v>https://drive.google.com/file/d/17gaf2Zy_ljFfcAEDk5L8GBnTl5i7RGJE/view?usp=drivesdk</v>
      </c>
      <c r="Y857" s="65"/>
      <c r="Z857" s="156" t="s">
        <v>219</v>
      </c>
      <c r="AA857" s="65"/>
      <c r="AB857" s="156" t="s">
        <v>4657</v>
      </c>
      <c r="AC857" s="65"/>
      <c r="AD857" s="156" t="s">
        <v>4658</v>
      </c>
      <c r="AE857" s="1056">
        <v>5.0</v>
      </c>
      <c r="AF857" s="153">
        <v>88.0</v>
      </c>
      <c r="AG857" s="153">
        <v>0.45</v>
      </c>
      <c r="AH857" s="156" t="s">
        <v>166</v>
      </c>
      <c r="AI857" s="156" t="s">
        <v>4617</v>
      </c>
      <c r="AJ857" s="706">
        <v>0.04</v>
      </c>
      <c r="AK857" s="54" t="s">
        <v>165</v>
      </c>
      <c r="AL857" s="54" t="s">
        <v>179</v>
      </c>
      <c r="AM857" s="148" t="s">
        <v>130</v>
      </c>
      <c r="AN857" s="126" t="s">
        <v>131</v>
      </c>
      <c r="AO857" s="153">
        <v>64.0</v>
      </c>
      <c r="AP857" s="153">
        <v>0.125989102771126</v>
      </c>
      <c r="AQ857" s="156" t="s">
        <v>166</v>
      </c>
      <c r="AR857" s="1150" t="s">
        <v>4113</v>
      </c>
      <c r="AS857" s="153">
        <v>0.321193881265947</v>
      </c>
      <c r="AT857" s="156" t="s">
        <v>165</v>
      </c>
      <c r="AU857" s="156" t="s">
        <v>179</v>
      </c>
      <c r="AV857" s="148" t="s">
        <v>130</v>
      </c>
      <c r="AW857" s="126" t="s">
        <v>131</v>
      </c>
      <c r="AX857" s="156" t="s">
        <v>136</v>
      </c>
      <c r="AZ857" s="65" t="s">
        <v>146</v>
      </c>
      <c r="BA857" s="186"/>
    </row>
    <row r="858">
      <c r="A858" s="41">
        <v>858.0</v>
      </c>
      <c r="B858" s="126" t="s">
        <v>145</v>
      </c>
      <c r="C858" s="59" t="s">
        <v>108</v>
      </c>
      <c r="D858" s="59" t="s">
        <v>146</v>
      </c>
      <c r="F858" s="65" t="s">
        <v>4654</v>
      </c>
      <c r="G858" s="54" t="s">
        <v>4653</v>
      </c>
      <c r="H858" s="156" t="s">
        <v>146</v>
      </c>
      <c r="I858" s="149">
        <v>45687.0</v>
      </c>
      <c r="J858" s="149">
        <v>45692.0</v>
      </c>
      <c r="K858" s="434" t="s">
        <v>4659</v>
      </c>
      <c r="L858" s="65"/>
      <c r="M858" s="156" t="s">
        <v>4655</v>
      </c>
      <c r="N858" s="156" t="s">
        <v>4656</v>
      </c>
      <c r="O858" s="153">
        <v>3.0</v>
      </c>
      <c r="P858" s="156" t="str">
        <f t="shared" si="37"/>
        <v>10.1177--0956797614534693.pdf</v>
      </c>
      <c r="Q858" s="49" t="str">
        <f t="array" ref="Q858"> if(iserror(MATCH(V858, 'File Links'!C:C, 0)), "N/A", HYPERLINK(INDEX('File Links'!B:B, MATCH(P858, 'File Links'!C:C, 0))))</f>
        <v>https://drive.google.com/file/d/1dcM9NQdz9QH53PQ7hkiNVOhT5nBAY9Vn/view?usp=drivesdk</v>
      </c>
      <c r="R858" s="156" t="s">
        <v>3646</v>
      </c>
      <c r="S858" s="156" t="s">
        <v>3647</v>
      </c>
      <c r="T858" s="65"/>
      <c r="U858" s="153">
        <v>1.0</v>
      </c>
      <c r="V858" s="195" t="str">
        <f t="shared" si="46"/>
        <v>10.1098--rsos.231240.pdf</v>
      </c>
      <c r="W858" s="156" t="s">
        <v>3664</v>
      </c>
      <c r="X858" s="51" t="str">
        <f t="array" ref="X858"> if(iserror(MATCH(V858, 'File Links'!C:C, 0)), "N/A", HYPERLINK(INDEX('File Links'!B:B, MATCH(V858, 'File Links'!C:C, 0))))</f>
        <v>https://drive.google.com/file/d/17gaf2Zy_ljFfcAEDk5L8GBnTl5i7RGJE/view?usp=drivesdk</v>
      </c>
      <c r="Y858" s="65"/>
      <c r="Z858" s="156" t="s">
        <v>219</v>
      </c>
      <c r="AA858" s="156" t="s">
        <v>4660</v>
      </c>
      <c r="AB858" s="156" t="s">
        <v>4661</v>
      </c>
      <c r="AC858" s="156" t="s">
        <v>4662</v>
      </c>
      <c r="AD858" s="156" t="s">
        <v>4663</v>
      </c>
      <c r="AE858" s="153">
        <v>6.0</v>
      </c>
      <c r="AF858" s="153">
        <v>88.0</v>
      </c>
      <c r="AG858" s="153">
        <v>0.45</v>
      </c>
      <c r="AH858" s="153" t="s">
        <v>166</v>
      </c>
      <c r="AI858" s="153" t="s">
        <v>133</v>
      </c>
      <c r="AJ858" s="334">
        <v>0.04</v>
      </c>
      <c r="AK858" s="54" t="s">
        <v>165</v>
      </c>
      <c r="AL858" s="54" t="s">
        <v>179</v>
      </c>
      <c r="AM858" s="148" t="s">
        <v>130</v>
      </c>
      <c r="AN858" s="126" t="s">
        <v>131</v>
      </c>
      <c r="AO858" s="153">
        <v>64.0</v>
      </c>
      <c r="AP858" s="153">
        <v>0.125989102771126</v>
      </c>
      <c r="AQ858" s="153" t="s">
        <v>166</v>
      </c>
      <c r="AR858" s="1150" t="s">
        <v>4113</v>
      </c>
      <c r="AS858" s="153">
        <v>0.321193881265947</v>
      </c>
      <c r="AT858" s="156" t="s">
        <v>165</v>
      </c>
      <c r="AU858" s="156" t="s">
        <v>179</v>
      </c>
      <c r="AV858" s="148" t="s">
        <v>130</v>
      </c>
      <c r="AW858" s="126" t="s">
        <v>131</v>
      </c>
      <c r="AX858" s="65" t="s">
        <v>136</v>
      </c>
      <c r="AZ858" s="65" t="s">
        <v>146</v>
      </c>
    </row>
    <row r="859">
      <c r="A859" s="107">
        <v>859.0</v>
      </c>
      <c r="B859" s="108" t="s">
        <v>107</v>
      </c>
      <c r="C859" s="146" t="s">
        <v>108</v>
      </c>
      <c r="D859" s="146" t="s">
        <v>241</v>
      </c>
      <c r="E859" s="69"/>
      <c r="F859" s="119" t="s">
        <v>4664</v>
      </c>
      <c r="G859" s="109" t="s">
        <v>4665</v>
      </c>
      <c r="H859" s="119" t="s">
        <v>242</v>
      </c>
      <c r="I859" s="414">
        <v>45671.0</v>
      </c>
      <c r="J859" s="414">
        <v>45692.0</v>
      </c>
      <c r="K859" s="108"/>
      <c r="L859" s="108" t="s">
        <v>3683</v>
      </c>
      <c r="M859" s="119" t="s">
        <v>4666</v>
      </c>
      <c r="N859" s="119" t="s">
        <v>4667</v>
      </c>
      <c r="O859" s="108"/>
      <c r="P859" s="119" t="str">
        <f t="shared" si="37"/>
        <v>10.1093--workar--waac024.pdf</v>
      </c>
      <c r="Q859" s="1158" t="str">
        <f t="array" ref="Q859"> if(iserror(MATCH(V859, 'File Links'!C:C, 0)), "N/A", HYPERLINK(INDEX('File Links'!B:B, MATCH(P859, 'File Links'!C:C, 0))))</f>
        <v>https://drive.google.com/file/d/17KV68RT0MMeGKz0n7gj1Dsmt7YXSfvOC/view?usp=drivesdk</v>
      </c>
      <c r="R859" s="119" t="s">
        <v>3646</v>
      </c>
      <c r="S859" s="119" t="s">
        <v>3647</v>
      </c>
      <c r="T859" s="108"/>
      <c r="U859" s="534">
        <v>1.0</v>
      </c>
      <c r="V859" s="119" t="str">
        <f t="shared" si="46"/>
        <v>10.1098--rsos.231240.pdf</v>
      </c>
      <c r="W859" s="119" t="s">
        <v>3658</v>
      </c>
      <c r="X859" s="1159" t="str">
        <f t="array" ref="X859"> if(iserror(MATCH(V859, 'File Links'!C:C, 0)), "N/A", HYPERLINK(INDEX('File Links'!B:B, MATCH(V859, 'File Links'!C:C, 0))))</f>
        <v>https://drive.google.com/file/d/17gaf2Zy_ljFfcAEDk5L8GBnTl5i7RGJE/view?usp=drivesdk</v>
      </c>
      <c r="Y859" s="108"/>
      <c r="Z859" s="119" t="s">
        <v>219</v>
      </c>
      <c r="AA859" s="108"/>
      <c r="AB859" s="108"/>
      <c r="AC859" s="108"/>
      <c r="AD859" s="119" t="s">
        <v>4668</v>
      </c>
      <c r="AE859" s="1103">
        <v>285.0</v>
      </c>
      <c r="AF859" s="534">
        <v>555.0</v>
      </c>
      <c r="AG859" s="534">
        <v>-0.42</v>
      </c>
      <c r="AH859" s="119" t="s">
        <v>980</v>
      </c>
      <c r="AI859" s="776" t="s">
        <v>4669</v>
      </c>
      <c r="AJ859" s="363">
        <v>0.07</v>
      </c>
      <c r="AK859" s="109" t="s">
        <v>165</v>
      </c>
      <c r="AL859" s="109" t="s">
        <v>129</v>
      </c>
      <c r="AM859" s="119" t="s">
        <v>134</v>
      </c>
      <c r="AN859" s="144" t="s">
        <v>131</v>
      </c>
      <c r="AO859" s="534">
        <v>150.0</v>
      </c>
      <c r="AP859" s="534">
        <v>0.2664</v>
      </c>
      <c r="AQ859" s="119" t="s">
        <v>980</v>
      </c>
      <c r="AR859" s="108"/>
      <c r="AS859" s="119" t="s">
        <v>131</v>
      </c>
      <c r="AT859" s="108"/>
      <c r="AU859" s="119" t="s">
        <v>179</v>
      </c>
      <c r="AV859" s="119" t="s">
        <v>134</v>
      </c>
      <c r="AW859" s="108"/>
      <c r="AX859" s="119" t="s">
        <v>136</v>
      </c>
      <c r="AY859" s="69"/>
      <c r="AZ859" s="108" t="s">
        <v>146</v>
      </c>
      <c r="BA859" s="69"/>
      <c r="BB859" s="69"/>
      <c r="BC859" s="69"/>
      <c r="BD859" s="69"/>
      <c r="BE859" s="69"/>
      <c r="BF859" s="69"/>
      <c r="BG859" s="69"/>
      <c r="BH859" s="69"/>
      <c r="BI859" s="69"/>
      <c r="BJ859" s="69"/>
      <c r="BK859" s="69"/>
      <c r="BL859" s="69"/>
      <c r="BM859" s="69"/>
      <c r="BN859" s="69"/>
      <c r="BO859" s="69"/>
      <c r="BP859" s="69"/>
      <c r="BQ859" s="69"/>
      <c r="BR859" s="69"/>
      <c r="BS859" s="69"/>
      <c r="BT859" s="69"/>
      <c r="BU859" s="69"/>
      <c r="BV859" s="69"/>
      <c r="BW859" s="69"/>
      <c r="BX859" s="69"/>
      <c r="BY859" s="69"/>
      <c r="BZ859" s="69"/>
      <c r="CA859" s="69"/>
      <c r="CB859" s="69"/>
      <c r="CC859" s="69"/>
      <c r="CD859" s="69"/>
      <c r="CE859" s="69"/>
      <c r="CF859" s="69"/>
      <c r="CG859" s="69"/>
      <c r="CH859" s="69"/>
      <c r="CI859" s="69"/>
      <c r="CJ859" s="69"/>
      <c r="CK859" s="69"/>
      <c r="CL859" s="69"/>
      <c r="CM859" s="69"/>
      <c r="CN859" s="69"/>
      <c r="CO859" s="69"/>
      <c r="CP859" s="69"/>
      <c r="CQ859" s="69"/>
      <c r="CR859" s="69"/>
      <c r="CS859" s="69"/>
      <c r="CT859" s="69"/>
      <c r="CU859" s="69"/>
      <c r="CV859" s="69"/>
      <c r="CW859" s="69"/>
      <c r="CX859" s="69"/>
      <c r="CY859" s="69"/>
      <c r="CZ859" s="69"/>
      <c r="DA859" s="69"/>
      <c r="DB859" s="69"/>
      <c r="DC859" s="69"/>
      <c r="DD859" s="69"/>
      <c r="DE859" s="69"/>
      <c r="DF859" s="69"/>
      <c r="DG859" s="69"/>
      <c r="DH859" s="69"/>
    </row>
    <row r="860">
      <c r="A860" s="107">
        <v>860.0</v>
      </c>
      <c r="B860" s="144" t="s">
        <v>145</v>
      </c>
      <c r="C860" s="146" t="s">
        <v>108</v>
      </c>
      <c r="D860" s="146" t="s">
        <v>146</v>
      </c>
      <c r="E860" s="69"/>
      <c r="F860" s="108" t="s">
        <v>4665</v>
      </c>
      <c r="G860" s="109" t="s">
        <v>4670</v>
      </c>
      <c r="H860" s="119" t="s">
        <v>146</v>
      </c>
      <c r="I860" s="414">
        <v>45687.0</v>
      </c>
      <c r="J860" s="414">
        <v>45692.0</v>
      </c>
      <c r="K860" s="1118" t="s">
        <v>4671</v>
      </c>
      <c r="L860" s="144" t="s">
        <v>4672</v>
      </c>
      <c r="M860" s="119" t="s">
        <v>4666</v>
      </c>
      <c r="N860" s="119" t="s">
        <v>4667</v>
      </c>
      <c r="O860" s="534">
        <v>1.0</v>
      </c>
      <c r="P860" s="119" t="str">
        <f t="shared" si="37"/>
        <v>10.1093--workar--waac024.pdf</v>
      </c>
      <c r="Q860" s="1158" t="str">
        <f t="array" ref="Q860"> if(iserror(MATCH(V860, 'File Links'!C:C, 0)), "N/A", HYPERLINK(INDEX('File Links'!B:B, MATCH(P860, 'File Links'!C:C, 0))))</f>
        <v>https://drive.google.com/file/d/17KV68RT0MMeGKz0n7gj1Dsmt7YXSfvOC/view?usp=drivesdk</v>
      </c>
      <c r="R860" s="119" t="s">
        <v>3646</v>
      </c>
      <c r="S860" s="119" t="s">
        <v>3647</v>
      </c>
      <c r="T860" s="1160" t="s">
        <v>4673</v>
      </c>
      <c r="U860" s="534">
        <v>1.0</v>
      </c>
      <c r="V860" s="119" t="str">
        <f t="shared" si="46"/>
        <v>10.1098--rsos.231240.pdf</v>
      </c>
      <c r="W860" s="119" t="s">
        <v>3664</v>
      </c>
      <c r="X860" s="1159" t="str">
        <f t="array" ref="X860"> if(iserror(MATCH(V860, 'File Links'!C:C, 0)), "N/A", HYPERLINK(INDEX('File Links'!B:B, MATCH(V860, 'File Links'!C:C, 0))))</f>
        <v>https://drive.google.com/file/d/17gaf2Zy_ljFfcAEDk5L8GBnTl5i7RGJE/view?usp=drivesdk</v>
      </c>
      <c r="Y860" s="108"/>
      <c r="Z860" s="119" t="s">
        <v>219</v>
      </c>
      <c r="AA860" s="119" t="s">
        <v>4674</v>
      </c>
      <c r="AB860" s="119" t="s">
        <v>4675</v>
      </c>
      <c r="AC860" s="119" t="s">
        <v>4676</v>
      </c>
      <c r="AD860" s="119" t="s">
        <v>4677</v>
      </c>
      <c r="AE860" s="534">
        <v>6.0</v>
      </c>
      <c r="AF860" s="534">
        <v>555.0</v>
      </c>
      <c r="AG860" s="534">
        <v>-0.7</v>
      </c>
      <c r="AH860" s="534" t="s">
        <v>980</v>
      </c>
      <c r="AI860" s="534" t="s">
        <v>133</v>
      </c>
      <c r="AJ860" s="363">
        <v>0.002</v>
      </c>
      <c r="AK860" s="109" t="s">
        <v>165</v>
      </c>
      <c r="AL860" s="109" t="s">
        <v>129</v>
      </c>
      <c r="AM860" s="119" t="s">
        <v>134</v>
      </c>
      <c r="AN860" s="144" t="s">
        <v>131</v>
      </c>
      <c r="AO860" s="534">
        <v>150.0</v>
      </c>
      <c r="AP860" s="534">
        <v>1.3587</v>
      </c>
      <c r="AQ860" s="534" t="s">
        <v>980</v>
      </c>
      <c r="AR860" s="144" t="s">
        <v>4673</v>
      </c>
      <c r="AS860" s="534">
        <v>2.0E-4</v>
      </c>
      <c r="AT860" s="119" t="s">
        <v>165</v>
      </c>
      <c r="AU860" s="119" t="s">
        <v>179</v>
      </c>
      <c r="AV860" s="119" t="s">
        <v>134</v>
      </c>
      <c r="AW860" s="653" t="s">
        <v>4678</v>
      </c>
      <c r="AX860" s="108" t="s">
        <v>136</v>
      </c>
      <c r="AY860" s="69"/>
      <c r="AZ860" s="108" t="s">
        <v>146</v>
      </c>
      <c r="BA860" s="69"/>
      <c r="BB860" s="69"/>
      <c r="BC860" s="69"/>
      <c r="BD860" s="69"/>
      <c r="BE860" s="69"/>
      <c r="BF860" s="69"/>
      <c r="BG860" s="69"/>
      <c r="BH860" s="69"/>
      <c r="BI860" s="69"/>
      <c r="BJ860" s="69"/>
      <c r="BK860" s="69"/>
      <c r="BL860" s="69"/>
      <c r="BM860" s="69"/>
      <c r="BN860" s="69"/>
      <c r="BO860" s="69"/>
      <c r="BP860" s="69"/>
      <c r="BQ860" s="69"/>
      <c r="BR860" s="69"/>
      <c r="BS860" s="69"/>
      <c r="BT860" s="69"/>
      <c r="BU860" s="69"/>
      <c r="BV860" s="69"/>
      <c r="BW860" s="69"/>
      <c r="BX860" s="69"/>
      <c r="BY860" s="69"/>
      <c r="BZ860" s="69"/>
      <c r="CA860" s="69"/>
      <c r="CB860" s="69"/>
      <c r="CC860" s="69"/>
      <c r="CD860" s="69"/>
      <c r="CE860" s="69"/>
      <c r="CF860" s="69"/>
      <c r="CG860" s="69"/>
      <c r="CH860" s="69"/>
      <c r="CI860" s="69"/>
      <c r="CJ860" s="69"/>
      <c r="CK860" s="69"/>
      <c r="CL860" s="69"/>
      <c r="CM860" s="69"/>
      <c r="CN860" s="69"/>
      <c r="CO860" s="69"/>
      <c r="CP860" s="69"/>
      <c r="CQ860" s="69"/>
      <c r="CR860" s="69"/>
      <c r="CS860" s="69"/>
      <c r="CT860" s="69"/>
      <c r="CU860" s="69"/>
      <c r="CV860" s="69"/>
      <c r="CW860" s="69"/>
      <c r="CX860" s="69"/>
      <c r="CY860" s="69"/>
      <c r="CZ860" s="69"/>
      <c r="DA860" s="69"/>
      <c r="DB860" s="69"/>
      <c r="DC860" s="69"/>
      <c r="DD860" s="69"/>
      <c r="DE860" s="69"/>
      <c r="DF860" s="69"/>
      <c r="DG860" s="69"/>
      <c r="DH860" s="69"/>
    </row>
    <row r="861">
      <c r="A861" s="107">
        <v>861.0</v>
      </c>
      <c r="B861" s="144" t="s">
        <v>145</v>
      </c>
      <c r="C861" s="146" t="s">
        <v>108</v>
      </c>
      <c r="D861" s="146" t="s">
        <v>146</v>
      </c>
      <c r="E861" s="69"/>
      <c r="F861" s="108" t="s">
        <v>4665</v>
      </c>
      <c r="G861" s="109" t="s">
        <v>4679</v>
      </c>
      <c r="H861" s="119" t="s">
        <v>146</v>
      </c>
      <c r="I861" s="414">
        <v>45687.0</v>
      </c>
      <c r="J861" s="414">
        <v>45692.0</v>
      </c>
      <c r="K861" s="1118" t="s">
        <v>4680</v>
      </c>
      <c r="L861" s="144" t="s">
        <v>4672</v>
      </c>
      <c r="M861" s="119" t="s">
        <v>4666</v>
      </c>
      <c r="N861" s="119" t="s">
        <v>4667</v>
      </c>
      <c r="O861" s="534">
        <v>1.0</v>
      </c>
      <c r="P861" s="119" t="str">
        <f t="shared" si="37"/>
        <v>10.1093--workar--waac024.pdf</v>
      </c>
      <c r="Q861" s="1158" t="str">
        <f t="array" ref="Q861"> if(iserror(MATCH(V861, 'File Links'!C:C, 0)), "N/A", HYPERLINK(INDEX('File Links'!B:B, MATCH(P861, 'File Links'!C:C, 0))))</f>
        <v>https://drive.google.com/file/d/17KV68RT0MMeGKz0n7gj1Dsmt7YXSfvOC/view?usp=drivesdk</v>
      </c>
      <c r="R861" s="119" t="s">
        <v>3646</v>
      </c>
      <c r="S861" s="119" t="s">
        <v>3647</v>
      </c>
      <c r="T861" s="1160" t="s">
        <v>4673</v>
      </c>
      <c r="U861" s="534">
        <v>1.0</v>
      </c>
      <c r="V861" s="119" t="str">
        <f t="shared" si="46"/>
        <v>10.1098--rsos.231240.pdf</v>
      </c>
      <c r="W861" s="119" t="s">
        <v>3664</v>
      </c>
      <c r="X861" s="1159" t="str">
        <f t="array" ref="X861"> if(iserror(MATCH(V861, 'File Links'!C:C, 0)), "N/A", HYPERLINK(INDEX('File Links'!B:B, MATCH(V861, 'File Links'!C:C, 0))))</f>
        <v>https://drive.google.com/file/d/17gaf2Zy_ljFfcAEDk5L8GBnTl5i7RGJE/view?usp=drivesdk</v>
      </c>
      <c r="Y861" s="108"/>
      <c r="Z861" s="119" t="s">
        <v>219</v>
      </c>
      <c r="AA861" s="119" t="s">
        <v>4674</v>
      </c>
      <c r="AB861" s="119" t="s">
        <v>4675</v>
      </c>
      <c r="AC861" s="119" t="s">
        <v>4681</v>
      </c>
      <c r="AD861" s="119" t="s">
        <v>4682</v>
      </c>
      <c r="AE861" s="534">
        <v>6.0</v>
      </c>
      <c r="AF861" s="534">
        <v>555.0</v>
      </c>
      <c r="AG861" s="1106">
        <v>-0.42</v>
      </c>
      <c r="AH861" s="534" t="s">
        <v>980</v>
      </c>
      <c r="AI861" s="534" t="s">
        <v>133</v>
      </c>
      <c r="AJ861" s="1107">
        <v>0.07</v>
      </c>
      <c r="AK861" s="109" t="s">
        <v>165</v>
      </c>
      <c r="AL861" s="109" t="s">
        <v>129</v>
      </c>
      <c r="AM861" s="119" t="s">
        <v>134</v>
      </c>
      <c r="AN861" s="144" t="s">
        <v>131</v>
      </c>
      <c r="AO861" s="534">
        <v>150.0</v>
      </c>
      <c r="AP861" s="1106">
        <v>0.2664</v>
      </c>
      <c r="AQ861" s="534" t="s">
        <v>980</v>
      </c>
      <c r="AR861" s="144" t="s">
        <v>4673</v>
      </c>
      <c r="AS861" s="534">
        <v>0.4793</v>
      </c>
      <c r="AT861" s="119" t="s">
        <v>165</v>
      </c>
      <c r="AU861" s="119" t="s">
        <v>179</v>
      </c>
      <c r="AV861" s="119" t="s">
        <v>134</v>
      </c>
      <c r="AW861" s="653" t="s">
        <v>4678</v>
      </c>
      <c r="AX861" s="108" t="s">
        <v>136</v>
      </c>
      <c r="AY861" s="69"/>
      <c r="AZ861" s="108" t="s">
        <v>146</v>
      </c>
      <c r="BA861" s="69"/>
      <c r="BB861" s="69"/>
      <c r="BC861" s="69"/>
      <c r="BD861" s="69"/>
      <c r="BE861" s="69"/>
      <c r="BF861" s="69"/>
      <c r="BG861" s="69"/>
      <c r="BH861" s="69"/>
      <c r="BI861" s="69"/>
      <c r="BJ861" s="69"/>
      <c r="BK861" s="69"/>
      <c r="BL861" s="69"/>
      <c r="BM861" s="69"/>
      <c r="BN861" s="69"/>
      <c r="BO861" s="69"/>
      <c r="BP861" s="69"/>
      <c r="BQ861" s="69"/>
      <c r="BR861" s="69"/>
      <c r="BS861" s="69"/>
      <c r="BT861" s="69"/>
      <c r="BU861" s="69"/>
      <c r="BV861" s="69"/>
      <c r="BW861" s="69"/>
      <c r="BX861" s="69"/>
      <c r="BY861" s="69"/>
      <c r="BZ861" s="69"/>
      <c r="CA861" s="69"/>
      <c r="CB861" s="69"/>
      <c r="CC861" s="69"/>
      <c r="CD861" s="69"/>
      <c r="CE861" s="69"/>
      <c r="CF861" s="69"/>
      <c r="CG861" s="69"/>
      <c r="CH861" s="69"/>
      <c r="CI861" s="69"/>
      <c r="CJ861" s="69"/>
      <c r="CK861" s="69"/>
      <c r="CL861" s="69"/>
      <c r="CM861" s="69"/>
      <c r="CN861" s="69"/>
      <c r="CO861" s="69"/>
      <c r="CP861" s="69"/>
      <c r="CQ861" s="69"/>
      <c r="CR861" s="69"/>
      <c r="CS861" s="69"/>
      <c r="CT861" s="69"/>
      <c r="CU861" s="69"/>
      <c r="CV861" s="69"/>
      <c r="CW861" s="69"/>
      <c r="CX861" s="69"/>
      <c r="CY861" s="69"/>
      <c r="CZ861" s="69"/>
      <c r="DA861" s="69"/>
      <c r="DB861" s="69"/>
      <c r="DC861" s="69"/>
      <c r="DD861" s="69"/>
      <c r="DE861" s="69"/>
      <c r="DF861" s="69"/>
      <c r="DG861" s="69"/>
      <c r="DH861" s="69"/>
    </row>
    <row r="862">
      <c r="A862" s="107">
        <v>862.0</v>
      </c>
      <c r="B862" s="144" t="s">
        <v>145</v>
      </c>
      <c r="C862" s="146" t="s">
        <v>108</v>
      </c>
      <c r="D862" s="146" t="s">
        <v>146</v>
      </c>
      <c r="E862" s="69"/>
      <c r="F862" s="108" t="s">
        <v>4665</v>
      </c>
      <c r="G862" s="109" t="s">
        <v>4683</v>
      </c>
      <c r="H862" s="119" t="s">
        <v>146</v>
      </c>
      <c r="I862" s="414">
        <v>45687.0</v>
      </c>
      <c r="J862" s="414">
        <v>45692.0</v>
      </c>
      <c r="K862" s="1118" t="s">
        <v>4684</v>
      </c>
      <c r="L862" s="144" t="s">
        <v>4672</v>
      </c>
      <c r="M862" s="119" t="s">
        <v>4666</v>
      </c>
      <c r="N862" s="119" t="s">
        <v>4667</v>
      </c>
      <c r="O862" s="534">
        <v>1.0</v>
      </c>
      <c r="P862" s="119" t="str">
        <f t="shared" si="37"/>
        <v>10.1093--workar--waac024.pdf</v>
      </c>
      <c r="Q862" s="1158" t="str">
        <f t="array" ref="Q862"> if(iserror(MATCH(V862, 'File Links'!C:C, 0)), "N/A", HYPERLINK(INDEX('File Links'!B:B, MATCH(P862, 'File Links'!C:C, 0))))</f>
        <v>https://drive.google.com/file/d/17KV68RT0MMeGKz0n7gj1Dsmt7YXSfvOC/view?usp=drivesdk</v>
      </c>
      <c r="R862" s="119" t="s">
        <v>3646</v>
      </c>
      <c r="S862" s="119" t="s">
        <v>3647</v>
      </c>
      <c r="T862" s="1160" t="s">
        <v>4673</v>
      </c>
      <c r="U862" s="534">
        <v>1.0</v>
      </c>
      <c r="V862" s="119" t="str">
        <f t="shared" si="46"/>
        <v>10.1098--rsos.231240.pdf</v>
      </c>
      <c r="W862" s="119" t="s">
        <v>3664</v>
      </c>
      <c r="X862" s="1159" t="str">
        <f t="array" ref="X862"> if(iserror(MATCH(V862, 'File Links'!C:C, 0)), "N/A", HYPERLINK(INDEX('File Links'!B:B, MATCH(V862, 'File Links'!C:C, 0))))</f>
        <v>https://drive.google.com/file/d/17gaf2Zy_ljFfcAEDk5L8GBnTl5i7RGJE/view?usp=drivesdk</v>
      </c>
      <c r="Y862" s="108"/>
      <c r="Z862" s="119" t="s">
        <v>219</v>
      </c>
      <c r="AA862" s="119" t="s">
        <v>4674</v>
      </c>
      <c r="AB862" s="119" t="s">
        <v>4675</v>
      </c>
      <c r="AC862" s="119" t="s">
        <v>4685</v>
      </c>
      <c r="AD862" s="119" t="s">
        <v>4686</v>
      </c>
      <c r="AE862" s="534">
        <v>6.0</v>
      </c>
      <c r="AF862" s="534">
        <v>555.0</v>
      </c>
      <c r="AG862" s="1106">
        <v>-0.45</v>
      </c>
      <c r="AH862" s="534" t="s">
        <v>980</v>
      </c>
      <c r="AI862" s="534" t="s">
        <v>133</v>
      </c>
      <c r="AJ862" s="1107">
        <v>0.05</v>
      </c>
      <c r="AK862" s="109" t="s">
        <v>165</v>
      </c>
      <c r="AL862" s="109" t="s">
        <v>129</v>
      </c>
      <c r="AM862" s="119" t="s">
        <v>134</v>
      </c>
      <c r="AN862" s="144" t="s">
        <v>131</v>
      </c>
      <c r="AO862" s="534">
        <v>150.0</v>
      </c>
      <c r="AP862" s="1106">
        <v>-1.3587</v>
      </c>
      <c r="AQ862" s="534" t="s">
        <v>980</v>
      </c>
      <c r="AR862" s="144" t="s">
        <v>4673</v>
      </c>
      <c r="AS862" s="534">
        <v>2.0E-4</v>
      </c>
      <c r="AT862" s="119" t="s">
        <v>165</v>
      </c>
      <c r="AU862" s="119" t="s">
        <v>179</v>
      </c>
      <c r="AV862" s="119" t="s">
        <v>134</v>
      </c>
      <c r="AW862" s="653" t="s">
        <v>4678</v>
      </c>
      <c r="AX862" s="108" t="s">
        <v>136</v>
      </c>
      <c r="AY862" s="69"/>
      <c r="AZ862" s="108" t="s">
        <v>146</v>
      </c>
      <c r="BA862" s="69"/>
      <c r="BB862" s="69"/>
      <c r="BC862" s="69"/>
      <c r="BD862" s="69"/>
      <c r="BE862" s="69"/>
      <c r="BF862" s="69"/>
      <c r="BG862" s="69"/>
      <c r="BH862" s="69"/>
      <c r="BI862" s="69"/>
      <c r="BJ862" s="69"/>
      <c r="BK862" s="69"/>
      <c r="BL862" s="69"/>
      <c r="BM862" s="69"/>
      <c r="BN862" s="69"/>
      <c r="BO862" s="69"/>
      <c r="BP862" s="69"/>
      <c r="BQ862" s="69"/>
      <c r="BR862" s="69"/>
      <c r="BS862" s="69"/>
      <c r="BT862" s="69"/>
      <c r="BU862" s="69"/>
      <c r="BV862" s="69"/>
      <c r="BW862" s="69"/>
      <c r="BX862" s="69"/>
      <c r="BY862" s="69"/>
      <c r="BZ862" s="69"/>
      <c r="CA862" s="69"/>
      <c r="CB862" s="69"/>
      <c r="CC862" s="69"/>
      <c r="CD862" s="69"/>
      <c r="CE862" s="69"/>
      <c r="CF862" s="69"/>
      <c r="CG862" s="69"/>
      <c r="CH862" s="69"/>
      <c r="CI862" s="69"/>
      <c r="CJ862" s="69"/>
      <c r="CK862" s="69"/>
      <c r="CL862" s="69"/>
      <c r="CM862" s="69"/>
      <c r="CN862" s="69"/>
      <c r="CO862" s="69"/>
      <c r="CP862" s="69"/>
      <c r="CQ862" s="69"/>
      <c r="CR862" s="69"/>
      <c r="CS862" s="69"/>
      <c r="CT862" s="69"/>
      <c r="CU862" s="69"/>
      <c r="CV862" s="69"/>
      <c r="CW862" s="69"/>
      <c r="CX862" s="69"/>
      <c r="CY862" s="69"/>
      <c r="CZ862" s="69"/>
      <c r="DA862" s="69"/>
      <c r="DB862" s="69"/>
      <c r="DC862" s="69"/>
      <c r="DD862" s="69"/>
      <c r="DE862" s="69"/>
      <c r="DF862" s="69"/>
      <c r="DG862" s="69"/>
      <c r="DH862" s="69"/>
    </row>
    <row r="863">
      <c r="A863" s="107">
        <v>863.0</v>
      </c>
      <c r="B863" s="144" t="s">
        <v>145</v>
      </c>
      <c r="C863" s="146" t="s">
        <v>108</v>
      </c>
      <c r="D863" s="146" t="s">
        <v>146</v>
      </c>
      <c r="E863" s="69"/>
      <c r="F863" s="108" t="s">
        <v>4665</v>
      </c>
      <c r="G863" s="109" t="s">
        <v>4687</v>
      </c>
      <c r="H863" s="119" t="s">
        <v>146</v>
      </c>
      <c r="I863" s="414">
        <v>45687.0</v>
      </c>
      <c r="J863" s="414">
        <v>45692.0</v>
      </c>
      <c r="K863" s="1118" t="s">
        <v>4688</v>
      </c>
      <c r="L863" s="144" t="s">
        <v>4672</v>
      </c>
      <c r="M863" s="119" t="s">
        <v>4666</v>
      </c>
      <c r="N863" s="119" t="s">
        <v>4667</v>
      </c>
      <c r="O863" s="534">
        <v>1.0</v>
      </c>
      <c r="P863" s="119" t="str">
        <f t="shared" si="37"/>
        <v>10.1093--workar--waac024.pdf</v>
      </c>
      <c r="Q863" s="1158" t="str">
        <f t="array" ref="Q863"> if(iserror(MATCH(V863, 'File Links'!C:C, 0)), "N/A", HYPERLINK(INDEX('File Links'!B:B, MATCH(P863, 'File Links'!C:C, 0))))</f>
        <v>https://drive.google.com/file/d/17KV68RT0MMeGKz0n7gj1Dsmt7YXSfvOC/view?usp=drivesdk</v>
      </c>
      <c r="R863" s="119" t="s">
        <v>3646</v>
      </c>
      <c r="S863" s="119" t="s">
        <v>3647</v>
      </c>
      <c r="T863" s="1160" t="s">
        <v>4673</v>
      </c>
      <c r="U863" s="534">
        <v>1.0</v>
      </c>
      <c r="V863" s="119" t="str">
        <f t="shared" si="46"/>
        <v>10.1098--rsos.231240.pdf</v>
      </c>
      <c r="W863" s="119" t="s">
        <v>3664</v>
      </c>
      <c r="X863" s="1159" t="str">
        <f t="array" ref="X863"> if(iserror(MATCH(V863, 'File Links'!C:C, 0)), "N/A", HYPERLINK(INDEX('File Links'!B:B, MATCH(V863, 'File Links'!C:C, 0))))</f>
        <v>https://drive.google.com/file/d/17gaf2Zy_ljFfcAEDk5L8GBnTl5i7RGJE/view?usp=drivesdk</v>
      </c>
      <c r="Y863" s="108"/>
      <c r="Z863" s="119" t="s">
        <v>219</v>
      </c>
      <c r="AA863" s="119" t="s">
        <v>4674</v>
      </c>
      <c r="AB863" s="119" t="s">
        <v>4675</v>
      </c>
      <c r="AC863" s="119" t="s">
        <v>4689</v>
      </c>
      <c r="AD863" s="119" t="s">
        <v>4690</v>
      </c>
      <c r="AE863" s="534">
        <v>6.0</v>
      </c>
      <c r="AF863" s="534">
        <v>555.0</v>
      </c>
      <c r="AG863" s="1106">
        <v>0.17</v>
      </c>
      <c r="AH863" s="534" t="s">
        <v>980</v>
      </c>
      <c r="AI863" s="534" t="s">
        <v>133</v>
      </c>
      <c r="AJ863" s="1107">
        <v>0.29</v>
      </c>
      <c r="AK863" s="109" t="s">
        <v>165</v>
      </c>
      <c r="AL863" s="109" t="s">
        <v>129</v>
      </c>
      <c r="AM863" s="108" t="s">
        <v>130</v>
      </c>
      <c r="AN863" s="144" t="s">
        <v>131</v>
      </c>
      <c r="AO863" s="534">
        <v>150.0</v>
      </c>
      <c r="AP863" s="1106">
        <v>0.4375</v>
      </c>
      <c r="AQ863" s="534" t="s">
        <v>980</v>
      </c>
      <c r="AR863" s="144" t="s">
        <v>4673</v>
      </c>
      <c r="AS863" s="534">
        <v>0.049</v>
      </c>
      <c r="AT863" s="119" t="s">
        <v>165</v>
      </c>
      <c r="AU863" s="119" t="s">
        <v>179</v>
      </c>
      <c r="AV863" s="119" t="s">
        <v>134</v>
      </c>
      <c r="AW863" s="653" t="s">
        <v>4678</v>
      </c>
      <c r="AX863" s="108" t="s">
        <v>136</v>
      </c>
      <c r="AY863" s="69"/>
      <c r="AZ863" s="108" t="s">
        <v>146</v>
      </c>
      <c r="BA863" s="69"/>
      <c r="BB863" s="69"/>
      <c r="BC863" s="69"/>
      <c r="BD863" s="69"/>
      <c r="BE863" s="69"/>
      <c r="BF863" s="69"/>
      <c r="BG863" s="69"/>
      <c r="BH863" s="69"/>
      <c r="BI863" s="69"/>
      <c r="BJ863" s="69"/>
      <c r="BK863" s="69"/>
      <c r="BL863" s="69"/>
      <c r="BM863" s="69"/>
      <c r="BN863" s="69"/>
      <c r="BO863" s="69"/>
      <c r="BP863" s="69"/>
      <c r="BQ863" s="69"/>
      <c r="BR863" s="69"/>
      <c r="BS863" s="69"/>
      <c r="BT863" s="69"/>
      <c r="BU863" s="69"/>
      <c r="BV863" s="69"/>
      <c r="BW863" s="69"/>
      <c r="BX863" s="69"/>
      <c r="BY863" s="69"/>
      <c r="BZ863" s="69"/>
      <c r="CA863" s="69"/>
      <c r="CB863" s="69"/>
      <c r="CC863" s="69"/>
      <c r="CD863" s="69"/>
      <c r="CE863" s="69"/>
      <c r="CF863" s="69"/>
      <c r="CG863" s="69"/>
      <c r="CH863" s="69"/>
      <c r="CI863" s="69"/>
      <c r="CJ863" s="69"/>
      <c r="CK863" s="69"/>
      <c r="CL863" s="69"/>
      <c r="CM863" s="69"/>
      <c r="CN863" s="69"/>
      <c r="CO863" s="69"/>
      <c r="CP863" s="69"/>
      <c r="CQ863" s="69"/>
      <c r="CR863" s="69"/>
      <c r="CS863" s="69"/>
      <c r="CT863" s="69"/>
      <c r="CU863" s="69"/>
      <c r="CV863" s="69"/>
      <c r="CW863" s="69"/>
      <c r="CX863" s="69"/>
      <c r="CY863" s="69"/>
      <c r="CZ863" s="69"/>
      <c r="DA863" s="69"/>
      <c r="DB863" s="69"/>
      <c r="DC863" s="69"/>
      <c r="DD863" s="69"/>
      <c r="DE863" s="69"/>
      <c r="DF863" s="69"/>
      <c r="DG863" s="69"/>
      <c r="DH863" s="69"/>
    </row>
    <row r="864">
      <c r="A864" s="107">
        <v>864.0</v>
      </c>
      <c r="B864" s="144" t="s">
        <v>145</v>
      </c>
      <c r="C864" s="146" t="s">
        <v>108</v>
      </c>
      <c r="D864" s="146" t="s">
        <v>146</v>
      </c>
      <c r="E864" s="69"/>
      <c r="F864" s="108" t="s">
        <v>4665</v>
      </c>
      <c r="G864" s="109" t="s">
        <v>4691</v>
      </c>
      <c r="H864" s="119" t="s">
        <v>146</v>
      </c>
      <c r="I864" s="414">
        <v>45687.0</v>
      </c>
      <c r="J864" s="414">
        <v>45692.0</v>
      </c>
      <c r="K864" s="1118" t="s">
        <v>4692</v>
      </c>
      <c r="L864" s="144" t="s">
        <v>4672</v>
      </c>
      <c r="M864" s="119" t="s">
        <v>4666</v>
      </c>
      <c r="N864" s="119" t="s">
        <v>4667</v>
      </c>
      <c r="O864" s="534">
        <v>1.0</v>
      </c>
      <c r="P864" s="119" t="str">
        <f t="shared" si="37"/>
        <v>10.1093--workar--waac024.pdf</v>
      </c>
      <c r="Q864" s="1158" t="str">
        <f t="array" ref="Q864"> if(iserror(MATCH(V864, 'File Links'!C:C, 0)), "N/A", HYPERLINK(INDEX('File Links'!B:B, MATCH(P864, 'File Links'!C:C, 0))))</f>
        <v>https://drive.google.com/file/d/17KV68RT0MMeGKz0n7gj1Dsmt7YXSfvOC/view?usp=drivesdk</v>
      </c>
      <c r="R864" s="119" t="s">
        <v>3646</v>
      </c>
      <c r="S864" s="119" t="s">
        <v>3647</v>
      </c>
      <c r="T864" s="1160" t="s">
        <v>4673</v>
      </c>
      <c r="U864" s="534">
        <v>1.0</v>
      </c>
      <c r="V864" s="119" t="str">
        <f t="shared" si="46"/>
        <v>10.1098--rsos.231240.pdf</v>
      </c>
      <c r="W864" s="119" t="s">
        <v>3664</v>
      </c>
      <c r="X864" s="1159" t="str">
        <f t="array" ref="X864"> if(iserror(MATCH(V864, 'File Links'!C:C, 0)), "N/A", HYPERLINK(INDEX('File Links'!B:B, MATCH(V864, 'File Links'!C:C, 0))))</f>
        <v>https://drive.google.com/file/d/17gaf2Zy_ljFfcAEDk5L8GBnTl5i7RGJE/view?usp=drivesdk</v>
      </c>
      <c r="Y864" s="108"/>
      <c r="Z864" s="119" t="s">
        <v>219</v>
      </c>
      <c r="AA864" s="119" t="s">
        <v>4674</v>
      </c>
      <c r="AB864" s="119" t="s">
        <v>4675</v>
      </c>
      <c r="AC864" s="119" t="s">
        <v>4693</v>
      </c>
      <c r="AD864" s="119" t="s">
        <v>4694</v>
      </c>
      <c r="AE864" s="1106">
        <v>7.0</v>
      </c>
      <c r="AF864" s="534">
        <v>555.0</v>
      </c>
      <c r="AG864" s="1106">
        <v>0.3</v>
      </c>
      <c r="AH864" s="534" t="s">
        <v>980</v>
      </c>
      <c r="AI864" s="1106" t="s">
        <v>125</v>
      </c>
      <c r="AJ864" s="1107">
        <v>0.06</v>
      </c>
      <c r="AK864" s="109" t="s">
        <v>165</v>
      </c>
      <c r="AL864" s="109" t="s">
        <v>129</v>
      </c>
      <c r="AM864" s="108" t="s">
        <v>130</v>
      </c>
      <c r="AN864" s="144" t="s">
        <v>131</v>
      </c>
      <c r="AO864" s="534">
        <v>150.0</v>
      </c>
      <c r="AP864" s="1106">
        <v>-0.25933</v>
      </c>
      <c r="AQ864" s="534" t="s">
        <v>980</v>
      </c>
      <c r="AR864" s="144" t="s">
        <v>4673</v>
      </c>
      <c r="AS864" s="534">
        <v>0.492</v>
      </c>
      <c r="AT864" s="119" t="s">
        <v>165</v>
      </c>
      <c r="AU864" s="119" t="s">
        <v>179</v>
      </c>
      <c r="AV864" s="119" t="s">
        <v>134</v>
      </c>
      <c r="AW864" s="653" t="s">
        <v>4678</v>
      </c>
      <c r="AX864" s="108" t="s">
        <v>136</v>
      </c>
      <c r="AY864" s="69"/>
      <c r="AZ864" s="108" t="s">
        <v>146</v>
      </c>
      <c r="BA864" s="69"/>
      <c r="BB864" s="69"/>
      <c r="BC864" s="69"/>
      <c r="BD864" s="69"/>
      <c r="BE864" s="69"/>
      <c r="BF864" s="69"/>
      <c r="BG864" s="69"/>
      <c r="BH864" s="69"/>
      <c r="BI864" s="69"/>
      <c r="BJ864" s="69"/>
      <c r="BK864" s="69"/>
      <c r="BL864" s="69"/>
      <c r="BM864" s="69"/>
      <c r="BN864" s="69"/>
      <c r="BO864" s="69"/>
      <c r="BP864" s="69"/>
      <c r="BQ864" s="69"/>
      <c r="BR864" s="69"/>
      <c r="BS864" s="69"/>
      <c r="BT864" s="69"/>
      <c r="BU864" s="69"/>
      <c r="BV864" s="69"/>
      <c r="BW864" s="69"/>
      <c r="BX864" s="69"/>
      <c r="BY864" s="69"/>
      <c r="BZ864" s="69"/>
      <c r="CA864" s="69"/>
      <c r="CB864" s="69"/>
      <c r="CC864" s="69"/>
      <c r="CD864" s="69"/>
      <c r="CE864" s="69"/>
      <c r="CF864" s="69"/>
      <c r="CG864" s="69"/>
      <c r="CH864" s="69"/>
      <c r="CI864" s="69"/>
      <c r="CJ864" s="69"/>
      <c r="CK864" s="69"/>
      <c r="CL864" s="69"/>
      <c r="CM864" s="69"/>
      <c r="CN864" s="69"/>
      <c r="CO864" s="69"/>
      <c r="CP864" s="69"/>
      <c r="CQ864" s="69"/>
      <c r="CR864" s="69"/>
      <c r="CS864" s="69"/>
      <c r="CT864" s="69"/>
      <c r="CU864" s="69"/>
      <c r="CV864" s="69"/>
      <c r="CW864" s="69"/>
      <c r="CX864" s="69"/>
      <c r="CY864" s="69"/>
      <c r="CZ864" s="69"/>
      <c r="DA864" s="69"/>
      <c r="DB864" s="69"/>
      <c r="DC864" s="69"/>
      <c r="DD864" s="69"/>
      <c r="DE864" s="69"/>
      <c r="DF864" s="69"/>
      <c r="DG864" s="69"/>
      <c r="DH864" s="69"/>
    </row>
    <row r="865">
      <c r="A865" s="636">
        <v>865.0</v>
      </c>
      <c r="B865" s="395" t="s">
        <v>107</v>
      </c>
      <c r="C865" s="394" t="s">
        <v>108</v>
      </c>
      <c r="D865" s="394" t="s">
        <v>241</v>
      </c>
      <c r="E865" s="217"/>
      <c r="F865" s="404" t="s">
        <v>4695</v>
      </c>
      <c r="G865" s="404" t="s">
        <v>4696</v>
      </c>
      <c r="H865" s="404" t="s">
        <v>242</v>
      </c>
      <c r="I865" s="397">
        <v>45671.0</v>
      </c>
      <c r="J865" s="397">
        <v>45692.0</v>
      </c>
      <c r="K865" s="395"/>
      <c r="L865" s="395" t="s">
        <v>4697</v>
      </c>
      <c r="M865" s="404" t="s">
        <v>4698</v>
      </c>
      <c r="N865" s="404" t="s">
        <v>4699</v>
      </c>
      <c r="O865" s="395"/>
      <c r="P865" s="404" t="str">
        <f t="shared" si="37"/>
        <v>10.1177--0956797611418350.pdf</v>
      </c>
      <c r="Q865" s="879" t="str">
        <f t="array" ref="Q865"> if(iserror(MATCH(V865, 'File Links'!C:C, 0)), "N/A", HYPERLINK(INDEX('File Links'!B:B, MATCH(P865, 'File Links'!C:C, 0))))</f>
        <v>https://drive.google.com/file/d/1R_WL0AExjMKiypoB7mKpQqeDlLTVOzbM/view?usp=drivesdk</v>
      </c>
      <c r="R865" s="404" t="s">
        <v>3646</v>
      </c>
      <c r="S865" s="404" t="s">
        <v>3647</v>
      </c>
      <c r="T865" s="395"/>
      <c r="U865" s="725">
        <v>1.0</v>
      </c>
      <c r="V865" s="404" t="str">
        <f t="shared" si="46"/>
        <v>10.1098--rsos.231240.pdf</v>
      </c>
      <c r="W865" s="404" t="s">
        <v>317</v>
      </c>
      <c r="X865" s="880" t="str">
        <f t="array" ref="X865"> if(iserror(MATCH(V865, 'File Links'!C:C, 0)), "N/A", HYPERLINK(INDEX('File Links'!B:B, MATCH(V865, 'File Links'!C:C, 0))))</f>
        <v>https://drive.google.com/file/d/17gaf2Zy_ljFfcAEDk5L8GBnTl5i7RGJE/view?usp=drivesdk</v>
      </c>
      <c r="Y865" s="395"/>
      <c r="Z865" s="404" t="s">
        <v>203</v>
      </c>
      <c r="AA865" s="395"/>
      <c r="AB865" s="404" t="s">
        <v>4419</v>
      </c>
      <c r="AC865" s="395"/>
      <c r="AD865" s="404" t="s">
        <v>4700</v>
      </c>
      <c r="AE865" s="1213">
        <v>1391.0</v>
      </c>
      <c r="AF865" s="725">
        <v>20.0</v>
      </c>
      <c r="AG865" s="641" t="s">
        <v>4701</v>
      </c>
      <c r="AH865" s="637" t="s">
        <v>127</v>
      </c>
      <c r="AI865" s="1214" t="s">
        <v>4702</v>
      </c>
      <c r="AJ865" s="1213">
        <v>1.0E-5</v>
      </c>
      <c r="AK865" s="404" t="s">
        <v>128</v>
      </c>
      <c r="AL865" s="404" t="s">
        <v>179</v>
      </c>
      <c r="AM865" s="637" t="s">
        <v>134</v>
      </c>
      <c r="AN865" s="628" t="s">
        <v>131</v>
      </c>
      <c r="AO865" s="725">
        <v>17.0</v>
      </c>
      <c r="AP865" s="725">
        <v>3.15158690186388</v>
      </c>
      <c r="AQ865" s="404" t="s">
        <v>166</v>
      </c>
      <c r="AR865" s="395"/>
      <c r="AS865" s="1215">
        <v>1.00409150080624E-9</v>
      </c>
      <c r="AT865" s="404" t="s">
        <v>165</v>
      </c>
      <c r="AU865" s="404" t="s">
        <v>179</v>
      </c>
      <c r="AV865" s="637" t="s">
        <v>134</v>
      </c>
      <c r="AW865" s="395"/>
      <c r="AX865" s="404" t="s">
        <v>136</v>
      </c>
      <c r="AY865" s="217"/>
      <c r="AZ865" s="395" t="s">
        <v>146</v>
      </c>
      <c r="BA865" s="217"/>
      <c r="BB865" s="217"/>
      <c r="BC865" s="217"/>
      <c r="BD865" s="217"/>
      <c r="BE865" s="217"/>
      <c r="BF865" s="217"/>
      <c r="BG865" s="217"/>
      <c r="BH865" s="217"/>
      <c r="BI865" s="217"/>
      <c r="BJ865" s="217"/>
      <c r="BK865" s="217"/>
      <c r="BL865" s="217"/>
      <c r="BM865" s="217"/>
      <c r="BN865" s="217"/>
      <c r="BO865" s="217"/>
      <c r="BP865" s="217"/>
      <c r="BQ865" s="217"/>
      <c r="BR865" s="217"/>
      <c r="BS865" s="217"/>
      <c r="BT865" s="217"/>
      <c r="BU865" s="217"/>
      <c r="BV865" s="217"/>
      <c r="BW865" s="217"/>
      <c r="BX865" s="217"/>
      <c r="BY865" s="217"/>
      <c r="BZ865" s="217"/>
      <c r="CA865" s="217"/>
      <c r="CB865" s="217"/>
      <c r="CC865" s="217"/>
      <c r="CD865" s="217"/>
      <c r="CE865" s="217"/>
      <c r="CF865" s="217"/>
      <c r="CG865" s="217"/>
      <c r="CH865" s="217"/>
      <c r="CI865" s="217"/>
      <c r="CJ865" s="217"/>
      <c r="CK865" s="217"/>
      <c r="CL865" s="217"/>
      <c r="CM865" s="217"/>
      <c r="CN865" s="217"/>
      <c r="CO865" s="217"/>
      <c r="CP865" s="217"/>
      <c r="CQ865" s="217"/>
      <c r="CR865" s="217"/>
      <c r="CS865" s="217"/>
      <c r="CT865" s="217"/>
      <c r="CU865" s="217"/>
      <c r="CV865" s="217"/>
      <c r="CW865" s="217"/>
      <c r="CX865" s="217"/>
      <c r="CY865" s="217"/>
      <c r="CZ865" s="217"/>
      <c r="DA865" s="217"/>
      <c r="DB865" s="217"/>
      <c r="DC865" s="217"/>
      <c r="DD865" s="217"/>
      <c r="DE865" s="217"/>
      <c r="DF865" s="217"/>
      <c r="DG865" s="217"/>
      <c r="DH865" s="217"/>
    </row>
    <row r="866">
      <c r="A866" s="636">
        <v>866.0</v>
      </c>
      <c r="B866" s="628" t="s">
        <v>145</v>
      </c>
      <c r="C866" s="394" t="s">
        <v>108</v>
      </c>
      <c r="D866" s="394" t="s">
        <v>146</v>
      </c>
      <c r="E866" s="217"/>
      <c r="F866" s="395" t="s">
        <v>4696</v>
      </c>
      <c r="G866" s="404" t="s">
        <v>4695</v>
      </c>
      <c r="H866" s="404" t="s">
        <v>146</v>
      </c>
      <c r="I866" s="397">
        <v>45687.0</v>
      </c>
      <c r="J866" s="397">
        <v>45692.0</v>
      </c>
      <c r="K866" s="1216" t="s">
        <v>4703</v>
      </c>
      <c r="L866" s="395"/>
      <c r="M866" s="404" t="s">
        <v>4698</v>
      </c>
      <c r="N866" s="404" t="s">
        <v>4699</v>
      </c>
      <c r="O866" s="725">
        <v>1.0</v>
      </c>
      <c r="P866" s="404" t="str">
        <f t="shared" si="37"/>
        <v>10.1177--0956797611418350.pdf</v>
      </c>
      <c r="Q866" s="879" t="str">
        <f t="array" ref="Q866"> if(iserror(MATCH(V866, 'File Links'!C:C, 0)), "N/A", HYPERLINK(INDEX('File Links'!B:B, MATCH(P866, 'File Links'!C:C, 0))))</f>
        <v>https://drive.google.com/file/d/1R_WL0AExjMKiypoB7mKpQqeDlLTVOzbM/view?usp=drivesdk</v>
      </c>
      <c r="R866" s="404" t="s">
        <v>3646</v>
      </c>
      <c r="S866" s="404" t="s">
        <v>3647</v>
      </c>
      <c r="T866" s="395"/>
      <c r="U866" s="725">
        <v>1.0</v>
      </c>
      <c r="V866" s="404" t="str">
        <f t="shared" si="46"/>
        <v>10.1098--rsos.231240.pdf</v>
      </c>
      <c r="W866" s="1217" t="s">
        <v>4704</v>
      </c>
      <c r="X866" s="880" t="str">
        <f t="array" ref="X866"> if(iserror(MATCH(V866, 'File Links'!C:C, 0)), "N/A", HYPERLINK(INDEX('File Links'!B:B, MATCH(V866, 'File Links'!C:C, 0))))</f>
        <v>https://drive.google.com/file/d/17gaf2Zy_ljFfcAEDk5L8GBnTl5i7RGJE/view?usp=drivesdk</v>
      </c>
      <c r="Y866" s="395"/>
      <c r="Z866" s="404" t="s">
        <v>940</v>
      </c>
      <c r="AA866" s="404" t="s">
        <v>4705</v>
      </c>
      <c r="AB866" s="404" t="s">
        <v>4706</v>
      </c>
      <c r="AC866" s="404" t="s">
        <v>4707</v>
      </c>
      <c r="AD866" s="404" t="s">
        <v>4708</v>
      </c>
      <c r="AE866" s="725">
        <v>3.0</v>
      </c>
      <c r="AF866" s="725">
        <v>20.0</v>
      </c>
      <c r="AG866" s="725">
        <v>0.71</v>
      </c>
      <c r="AH866" s="725" t="s">
        <v>867</v>
      </c>
      <c r="AI866" s="725" t="s">
        <v>210</v>
      </c>
      <c r="AJ866" s="767">
        <v>1.0E-6</v>
      </c>
      <c r="AK866" s="404" t="s">
        <v>128</v>
      </c>
      <c r="AL866" s="404" t="s">
        <v>179</v>
      </c>
      <c r="AM866" s="637" t="s">
        <v>134</v>
      </c>
      <c r="AN866" s="628" t="s">
        <v>131</v>
      </c>
      <c r="AO866" s="725">
        <v>17.0</v>
      </c>
      <c r="AP866" s="725">
        <v>0.91</v>
      </c>
      <c r="AQ866" s="725" t="s">
        <v>132</v>
      </c>
      <c r="AR866" s="767" t="s">
        <v>605</v>
      </c>
      <c r="AS866" s="725">
        <v>0.05</v>
      </c>
      <c r="AT866" s="404" t="s">
        <v>128</v>
      </c>
      <c r="AU866" s="404" t="s">
        <v>179</v>
      </c>
      <c r="AV866" s="637" t="s">
        <v>134</v>
      </c>
      <c r="AW866" s="406" t="s">
        <v>4709</v>
      </c>
      <c r="AX866" s="395" t="s">
        <v>144</v>
      </c>
      <c r="AY866" s="217"/>
      <c r="AZ866" s="395" t="s">
        <v>146</v>
      </c>
      <c r="BA866" s="217"/>
      <c r="BB866" s="217"/>
      <c r="BC866" s="217"/>
      <c r="BD866" s="217"/>
      <c r="BE866" s="217"/>
      <c r="BF866" s="217"/>
      <c r="BG866" s="217"/>
      <c r="BH866" s="217"/>
      <c r="BI866" s="217"/>
      <c r="BJ866" s="217"/>
      <c r="BK866" s="217"/>
      <c r="BL866" s="217"/>
      <c r="BM866" s="217"/>
      <c r="BN866" s="217"/>
      <c r="BO866" s="217"/>
      <c r="BP866" s="217"/>
      <c r="BQ866" s="217"/>
      <c r="BR866" s="217"/>
      <c r="BS866" s="217"/>
      <c r="BT866" s="217"/>
      <c r="BU866" s="217"/>
      <c r="BV866" s="217"/>
      <c r="BW866" s="217"/>
      <c r="BX866" s="217"/>
      <c r="BY866" s="217"/>
      <c r="BZ866" s="217"/>
      <c r="CA866" s="217"/>
      <c r="CB866" s="217"/>
      <c r="CC866" s="217"/>
      <c r="CD866" s="217"/>
      <c r="CE866" s="217"/>
      <c r="CF866" s="217"/>
      <c r="CG866" s="217"/>
      <c r="CH866" s="217"/>
      <c r="CI866" s="217"/>
      <c r="CJ866" s="217"/>
      <c r="CK866" s="217"/>
      <c r="CL866" s="217"/>
      <c r="CM866" s="217"/>
      <c r="CN866" s="217"/>
      <c r="CO866" s="217"/>
      <c r="CP866" s="217"/>
      <c r="CQ866" s="217"/>
      <c r="CR866" s="217"/>
      <c r="CS866" s="217"/>
      <c r="CT866" s="217"/>
      <c r="CU866" s="217"/>
      <c r="CV866" s="217"/>
      <c r="CW866" s="217"/>
      <c r="CX866" s="217"/>
      <c r="CY866" s="217"/>
      <c r="CZ866" s="217"/>
      <c r="DA866" s="217"/>
      <c r="DB866" s="217"/>
      <c r="DC866" s="217"/>
      <c r="DD866" s="217"/>
      <c r="DE866" s="217"/>
      <c r="DF866" s="217"/>
      <c r="DG866" s="217"/>
      <c r="DH866" s="217"/>
    </row>
    <row r="867">
      <c r="A867" s="686">
        <v>867.0</v>
      </c>
      <c r="B867" s="371" t="s">
        <v>145</v>
      </c>
      <c r="C867" s="185" t="s">
        <v>108</v>
      </c>
      <c r="D867" s="185" t="s">
        <v>241</v>
      </c>
      <c r="E867" s="186"/>
      <c r="F867" s="195" t="s">
        <v>4710</v>
      </c>
      <c r="G867" s="195" t="s">
        <v>4711</v>
      </c>
      <c r="H867" s="195" t="s">
        <v>242</v>
      </c>
      <c r="I867" s="188">
        <v>45671.0</v>
      </c>
      <c r="J867" s="188">
        <v>45692.0</v>
      </c>
      <c r="K867" s="366" t="s">
        <v>4712</v>
      </c>
      <c r="L867" s="187" t="s">
        <v>4713</v>
      </c>
      <c r="M867" s="195" t="s">
        <v>4714</v>
      </c>
      <c r="N867" s="195" t="s">
        <v>4715</v>
      </c>
      <c r="O867" s="187"/>
      <c r="P867" s="195" t="str">
        <f t="shared" si="37"/>
        <v>10.1177--0956797612445318.pdf</v>
      </c>
      <c r="Q867" s="1165" t="str">
        <f t="array" ref="Q867"> if(iserror(MATCH(V867, 'File Links'!C:C, 0)), "N/A", HYPERLINK(INDEX('File Links'!B:B, MATCH(P867, 'File Links'!C:C, 0))))</f>
        <v>https://drive.google.com/file/d/1a3fJ6JRdrPHSo50DdCUrYLisEZcHfG31/view?usp=drivesdk</v>
      </c>
      <c r="R867" s="195" t="s">
        <v>3646</v>
      </c>
      <c r="S867" s="195" t="s">
        <v>3647</v>
      </c>
      <c r="T867" s="187"/>
      <c r="U867" s="755">
        <v>1.0</v>
      </c>
      <c r="V867" s="195" t="str">
        <f t="shared" si="46"/>
        <v>10.1098--rsos.231240.pdf</v>
      </c>
      <c r="W867" s="195" t="s">
        <v>3658</v>
      </c>
      <c r="X867" s="1166" t="str">
        <f t="array" ref="X867"> if(iserror(MATCH(V867, 'File Links'!C:C, 0)), "N/A", HYPERLINK(INDEX('File Links'!B:B, MATCH(V867, 'File Links'!C:C, 0))))</f>
        <v>https://drive.google.com/file/d/17gaf2Zy_ljFfcAEDk5L8GBnTl5i7RGJE/view?usp=drivesdk</v>
      </c>
      <c r="Y867" s="187"/>
      <c r="Z867" s="195" t="s">
        <v>219</v>
      </c>
      <c r="AA867" s="1218" t="s">
        <v>4716</v>
      </c>
      <c r="AB867" s="1092" t="s">
        <v>4717</v>
      </c>
      <c r="AC867" s="1218" t="s">
        <v>4718</v>
      </c>
      <c r="AD867" s="195" t="s">
        <v>4719</v>
      </c>
      <c r="AE867" s="1184">
        <v>3.0</v>
      </c>
      <c r="AF867" s="755">
        <v>122.0</v>
      </c>
      <c r="AG867" s="755">
        <v>0.96</v>
      </c>
      <c r="AH867" s="195" t="s">
        <v>715</v>
      </c>
      <c r="AI867" s="1092" t="s">
        <v>210</v>
      </c>
      <c r="AJ867" s="755">
        <v>0.04</v>
      </c>
      <c r="AK867" s="195" t="s">
        <v>165</v>
      </c>
      <c r="AL867" s="195" t="s">
        <v>179</v>
      </c>
      <c r="AM867" s="195" t="s">
        <v>130</v>
      </c>
      <c r="AN867" s="371" t="s">
        <v>131</v>
      </c>
      <c r="AO867" s="755">
        <v>137.0</v>
      </c>
      <c r="AP867" s="755">
        <v>0.08</v>
      </c>
      <c r="AQ867" s="195" t="s">
        <v>980</v>
      </c>
      <c r="AR867" s="1150" t="s">
        <v>4113</v>
      </c>
      <c r="AS867" s="1219" t="s">
        <v>131</v>
      </c>
      <c r="AT867" s="371" t="s">
        <v>131</v>
      </c>
      <c r="AU867" s="195" t="s">
        <v>179</v>
      </c>
      <c r="AV867" s="195" t="s">
        <v>130</v>
      </c>
      <c r="AW867" s="371" t="s">
        <v>131</v>
      </c>
      <c r="AX867" s="195" t="s">
        <v>136</v>
      </c>
      <c r="AY867" s="186"/>
      <c r="AZ867" s="187" t="s">
        <v>146</v>
      </c>
      <c r="BA867" s="186"/>
      <c r="BB867" s="186"/>
      <c r="BC867" s="186"/>
      <c r="BD867" s="186"/>
      <c r="BE867" s="186"/>
      <c r="BF867" s="186"/>
      <c r="BG867" s="186"/>
      <c r="BH867" s="186"/>
      <c r="BI867" s="186"/>
      <c r="BJ867" s="186"/>
      <c r="BK867" s="186"/>
      <c r="BL867" s="186"/>
      <c r="BM867" s="186"/>
      <c r="BN867" s="186"/>
      <c r="BO867" s="186"/>
      <c r="BP867" s="186"/>
      <c r="BQ867" s="186"/>
      <c r="BR867" s="186"/>
      <c r="BS867" s="186"/>
      <c r="BT867" s="186"/>
      <c r="BU867" s="186"/>
      <c r="BV867" s="186"/>
      <c r="BW867" s="186"/>
      <c r="BX867" s="186"/>
      <c r="BY867" s="186"/>
      <c r="BZ867" s="186"/>
      <c r="CA867" s="186"/>
      <c r="CB867" s="186"/>
      <c r="CC867" s="186"/>
      <c r="CD867" s="186"/>
      <c r="CE867" s="186"/>
      <c r="CF867" s="186"/>
      <c r="CG867" s="186"/>
      <c r="CH867" s="186"/>
      <c r="CI867" s="186"/>
      <c r="CJ867" s="186"/>
      <c r="CK867" s="186"/>
      <c r="CL867" s="186"/>
      <c r="CM867" s="186"/>
      <c r="CN867" s="186"/>
      <c r="CO867" s="186"/>
      <c r="CP867" s="186"/>
      <c r="CQ867" s="186"/>
      <c r="CR867" s="186"/>
      <c r="CS867" s="186"/>
      <c r="CT867" s="186"/>
      <c r="CU867" s="186"/>
      <c r="CV867" s="186"/>
      <c r="CW867" s="186"/>
      <c r="CX867" s="186"/>
      <c r="CY867" s="186"/>
      <c r="CZ867" s="186"/>
      <c r="DA867" s="186"/>
      <c r="DB867" s="186"/>
      <c r="DC867" s="186"/>
      <c r="DD867" s="186"/>
      <c r="DE867" s="186"/>
      <c r="DF867" s="186"/>
      <c r="DG867" s="186"/>
      <c r="DH867" s="186"/>
    </row>
    <row r="868">
      <c r="A868" s="686">
        <v>868.0</v>
      </c>
      <c r="B868" s="187" t="s">
        <v>107</v>
      </c>
      <c r="C868" s="185" t="s">
        <v>108</v>
      </c>
      <c r="D868" s="185" t="s">
        <v>146</v>
      </c>
      <c r="E868" s="186"/>
      <c r="F868" s="187" t="s">
        <v>4711</v>
      </c>
      <c r="G868" s="195" t="s">
        <v>4710</v>
      </c>
      <c r="H868" s="195" t="s">
        <v>146</v>
      </c>
      <c r="I868" s="188">
        <v>45687.0</v>
      </c>
      <c r="J868" s="188">
        <v>45692.0</v>
      </c>
      <c r="K868" s="187"/>
      <c r="L868" s="187"/>
      <c r="M868" s="195" t="s">
        <v>4714</v>
      </c>
      <c r="N868" s="195" t="s">
        <v>4715</v>
      </c>
      <c r="O868" s="755">
        <v>1.0</v>
      </c>
      <c r="P868" s="195" t="str">
        <f t="shared" si="37"/>
        <v>10.1177--0956797612445318.pdf</v>
      </c>
      <c r="Q868" s="1165" t="str">
        <f t="array" ref="Q868"> if(iserror(MATCH(V868, 'File Links'!C:C, 0)), "N/A", HYPERLINK(INDEX('File Links'!B:B, MATCH(P868, 'File Links'!C:C, 0))))</f>
        <v>https://drive.google.com/file/d/1a3fJ6JRdrPHSo50DdCUrYLisEZcHfG31/view?usp=drivesdk</v>
      </c>
      <c r="R868" s="195" t="s">
        <v>3646</v>
      </c>
      <c r="S868" s="195" t="s">
        <v>3647</v>
      </c>
      <c r="T868" s="187"/>
      <c r="U868" s="755">
        <v>1.0</v>
      </c>
      <c r="V868" s="195" t="s">
        <v>3651</v>
      </c>
      <c r="W868" s="195" t="s">
        <v>3658</v>
      </c>
      <c r="X868" s="1166" t="str">
        <f t="array" ref="X868"> if(iserror(MATCH(V868, 'File Links'!C:C, 0)), "N/A", HYPERLINK(INDEX('File Links'!B:B, MATCH(V868, 'File Links'!C:C, 0))))</f>
        <v>https://drive.google.com/file/d/17gaf2Zy_ljFfcAEDk5L8GBnTl5i7RGJE/view?usp=drivesdk</v>
      </c>
      <c r="Y868" s="195" t="s">
        <v>3652</v>
      </c>
      <c r="Z868" s="187"/>
      <c r="AA868" s="1218" t="s">
        <v>4716</v>
      </c>
      <c r="AB868" s="1092" t="s">
        <v>4717</v>
      </c>
      <c r="AC868" s="1218" t="s">
        <v>4718</v>
      </c>
      <c r="AD868" s="195" t="s">
        <v>4719</v>
      </c>
      <c r="AE868" s="187"/>
      <c r="AF868" s="187"/>
      <c r="AG868" s="187"/>
      <c r="AH868" s="187"/>
      <c r="AI868" s="187"/>
      <c r="AJ868" s="187"/>
      <c r="AK868" s="187"/>
      <c r="AL868" s="187"/>
      <c r="AM868" s="187"/>
      <c r="AN868" s="371" t="s">
        <v>131</v>
      </c>
      <c r="AO868" s="187"/>
      <c r="AP868" s="187"/>
      <c r="AQ868" s="187"/>
      <c r="AR868" s="187"/>
      <c r="AS868" s="187"/>
      <c r="AT868" s="187"/>
      <c r="AU868" s="187"/>
      <c r="AV868" s="187"/>
      <c r="AW868" s="187"/>
      <c r="AX868" s="187"/>
      <c r="AY868" s="186"/>
      <c r="AZ868" s="187" t="s">
        <v>146</v>
      </c>
      <c r="BA868" s="186"/>
      <c r="BB868" s="186"/>
      <c r="BC868" s="186"/>
      <c r="BD868" s="186"/>
      <c r="BE868" s="186"/>
      <c r="BF868" s="186"/>
      <c r="BG868" s="186"/>
      <c r="BH868" s="186"/>
      <c r="BI868" s="186"/>
      <c r="BJ868" s="186"/>
      <c r="BK868" s="186"/>
      <c r="BL868" s="186"/>
      <c r="BM868" s="186"/>
      <c r="BN868" s="186"/>
      <c r="BO868" s="186"/>
      <c r="BP868" s="186"/>
      <c r="BQ868" s="186"/>
      <c r="BR868" s="186"/>
      <c r="BS868" s="186"/>
      <c r="BT868" s="186"/>
      <c r="BU868" s="186"/>
      <c r="BV868" s="186"/>
      <c r="BW868" s="186"/>
      <c r="BX868" s="186"/>
      <c r="BY868" s="186"/>
      <c r="BZ868" s="186"/>
      <c r="CA868" s="186"/>
      <c r="CB868" s="186"/>
      <c r="CC868" s="186"/>
      <c r="CD868" s="186"/>
      <c r="CE868" s="186"/>
      <c r="CF868" s="186"/>
      <c r="CG868" s="186"/>
      <c r="CH868" s="186"/>
      <c r="CI868" s="186"/>
      <c r="CJ868" s="186"/>
      <c r="CK868" s="186"/>
      <c r="CL868" s="186"/>
      <c r="CM868" s="186"/>
      <c r="CN868" s="186"/>
      <c r="CO868" s="186"/>
      <c r="CP868" s="186"/>
      <c r="CQ868" s="186"/>
      <c r="CR868" s="186"/>
      <c r="CS868" s="186"/>
      <c r="CT868" s="186"/>
      <c r="CU868" s="186"/>
      <c r="CV868" s="186"/>
      <c r="CW868" s="186"/>
      <c r="CX868" s="186"/>
      <c r="CY868" s="186"/>
      <c r="CZ868" s="186"/>
      <c r="DA868" s="186"/>
      <c r="DB868" s="186"/>
      <c r="DC868" s="186"/>
      <c r="DD868" s="186"/>
      <c r="DE868" s="186"/>
      <c r="DF868" s="186"/>
      <c r="DG868" s="186"/>
      <c r="DH868" s="186"/>
    </row>
    <row r="869">
      <c r="A869" s="558">
        <v>869.0</v>
      </c>
      <c r="B869" s="1029" t="s">
        <v>107</v>
      </c>
      <c r="C869" s="535" t="s">
        <v>108</v>
      </c>
      <c r="D869" s="535" t="s">
        <v>241</v>
      </c>
      <c r="E869" s="536"/>
      <c r="F869" s="1015" t="s">
        <v>4720</v>
      </c>
      <c r="G869" s="1015" t="s">
        <v>4721</v>
      </c>
      <c r="H869" s="1015" t="s">
        <v>242</v>
      </c>
      <c r="I869" s="1042">
        <v>45671.0</v>
      </c>
      <c r="J869" s="1042">
        <v>45692.0</v>
      </c>
      <c r="K869" s="1203" t="s">
        <v>4722</v>
      </c>
      <c r="L869" s="1029"/>
      <c r="M869" s="1015" t="s">
        <v>4723</v>
      </c>
      <c r="N869" s="1015" t="s">
        <v>4724</v>
      </c>
      <c r="O869" s="1029"/>
      <c r="P869" s="1015" t="str">
        <f t="shared" si="37"/>
        <v>10.1177--0956797616662271.pdf</v>
      </c>
      <c r="Q869" s="1204" t="str">
        <f t="array" ref="Q869"> if(iserror(MATCH(V869, 'File Links'!C:C, 0)), "N/A", HYPERLINK(INDEX('File Links'!B:B, MATCH(P869, 'File Links'!C:C, 0))))</f>
        <v>https://drive.google.com/file/d/144ul3eCkiKHuL75LCKm6YabVN-pgBX8u/view?usp=drivesdk</v>
      </c>
      <c r="R869" s="1015" t="s">
        <v>3646</v>
      </c>
      <c r="S869" s="1015" t="s">
        <v>3647</v>
      </c>
      <c r="T869" s="1029"/>
      <c r="U869" s="1044">
        <v>1.0</v>
      </c>
      <c r="V869" s="1015" t="str">
        <f t="shared" ref="V869:V885" si="47"> hyperlink(vlookup(lower(S869),#REF!, 2, FALSE), SUBSTITUTE(lower(S869), "/", "--") &amp;  ".pdf")</f>
        <v>10.1098--rsos.231240.pdf</v>
      </c>
      <c r="W869" s="1015" t="s">
        <v>3658</v>
      </c>
      <c r="X869" s="1205" t="str">
        <f t="array" ref="X869"> if(iserror(MATCH(V869, 'File Links'!C:C, 0)), "N/A", HYPERLINK(INDEX('File Links'!B:B, MATCH(V869, 'File Links'!C:C, 0))))</f>
        <v>https://drive.google.com/file/d/17gaf2Zy_ljFfcAEDk5L8GBnTl5i7RGJE/view?usp=drivesdk</v>
      </c>
      <c r="Y869" s="1029"/>
      <c r="Z869" s="1015" t="s">
        <v>141</v>
      </c>
      <c r="AA869" s="1029"/>
      <c r="AB869" s="1015" t="s">
        <v>4725</v>
      </c>
      <c r="AC869" s="1029"/>
      <c r="AD869" s="1015" t="s">
        <v>4726</v>
      </c>
      <c r="AE869" s="1044">
        <v>5.0</v>
      </c>
      <c r="AF869" s="1044">
        <v>106.0</v>
      </c>
      <c r="AG869" s="1044">
        <v>0.124354626824745</v>
      </c>
      <c r="AH869" s="1015" t="s">
        <v>166</v>
      </c>
      <c r="AI869" s="1015" t="s">
        <v>4727</v>
      </c>
      <c r="AJ869" s="1044">
        <v>0.052</v>
      </c>
      <c r="AK869" s="1015" t="s">
        <v>165</v>
      </c>
      <c r="AL869" s="1015" t="s">
        <v>179</v>
      </c>
      <c r="AM869" s="1015" t="s">
        <v>134</v>
      </c>
      <c r="AN869" s="1207" t="s">
        <v>131</v>
      </c>
      <c r="AO869" s="1044">
        <v>158.0</v>
      </c>
      <c r="AP869" s="1044">
        <v>0.110133361942926</v>
      </c>
      <c r="AQ869" s="1015" t="s">
        <v>166</v>
      </c>
      <c r="AR869" s="1029"/>
      <c r="AS869" s="1044">
        <v>0.169558754526223</v>
      </c>
      <c r="AT869" s="1015" t="s">
        <v>165</v>
      </c>
      <c r="AU869" s="1015" t="s">
        <v>179</v>
      </c>
      <c r="AV869" s="1015" t="s">
        <v>134</v>
      </c>
      <c r="AW869" s="1029"/>
      <c r="AX869" s="1015" t="s">
        <v>136</v>
      </c>
      <c r="AY869" s="536"/>
      <c r="AZ869" s="1029" t="s">
        <v>146</v>
      </c>
      <c r="BA869" s="536"/>
      <c r="BB869" s="536"/>
      <c r="BC869" s="536"/>
      <c r="BD869" s="536"/>
      <c r="BE869" s="536"/>
      <c r="BF869" s="536"/>
      <c r="BG869" s="536"/>
      <c r="BH869" s="536"/>
      <c r="BI869" s="536"/>
      <c r="BJ869" s="536"/>
      <c r="BK869" s="536"/>
      <c r="BL869" s="536"/>
      <c r="BM869" s="536"/>
      <c r="BN869" s="536"/>
      <c r="BO869" s="536"/>
      <c r="BP869" s="536"/>
      <c r="BQ869" s="536"/>
      <c r="BR869" s="536"/>
      <c r="BS869" s="536"/>
      <c r="BT869" s="536"/>
      <c r="BU869" s="536"/>
      <c r="BV869" s="536"/>
      <c r="BW869" s="536"/>
      <c r="BX869" s="536"/>
      <c r="BY869" s="536"/>
      <c r="BZ869" s="536"/>
      <c r="CA869" s="536"/>
      <c r="CB869" s="536"/>
      <c r="CC869" s="536"/>
      <c r="CD869" s="536"/>
      <c r="CE869" s="536"/>
      <c r="CF869" s="536"/>
      <c r="CG869" s="536"/>
      <c r="CH869" s="536"/>
      <c r="CI869" s="536"/>
      <c r="CJ869" s="536"/>
      <c r="CK869" s="536"/>
      <c r="CL869" s="536"/>
      <c r="CM869" s="536"/>
      <c r="CN869" s="536"/>
      <c r="CO869" s="536"/>
      <c r="CP869" s="536"/>
      <c r="CQ869" s="536"/>
      <c r="CR869" s="536"/>
      <c r="CS869" s="536"/>
      <c r="CT869" s="536"/>
      <c r="CU869" s="536"/>
      <c r="CV869" s="536"/>
      <c r="CW869" s="536"/>
      <c r="CX869" s="536"/>
      <c r="CY869" s="536"/>
      <c r="CZ869" s="536"/>
      <c r="DA869" s="536"/>
      <c r="DB869" s="536"/>
      <c r="DC869" s="536"/>
      <c r="DD869" s="536"/>
      <c r="DE869" s="536"/>
      <c r="DF869" s="536"/>
      <c r="DG869" s="536"/>
      <c r="DH869" s="536"/>
    </row>
    <row r="870">
      <c r="A870" s="558">
        <v>870.0</v>
      </c>
      <c r="B870" s="371" t="s">
        <v>145</v>
      </c>
      <c r="C870" s="535" t="s">
        <v>108</v>
      </c>
      <c r="D870" s="535" t="s">
        <v>241</v>
      </c>
      <c r="E870" s="536"/>
      <c r="F870" s="1015" t="s">
        <v>4720</v>
      </c>
      <c r="G870" s="1015" t="s">
        <v>4728</v>
      </c>
      <c r="H870" s="1015" t="s">
        <v>242</v>
      </c>
      <c r="I870" s="1042">
        <v>45671.0</v>
      </c>
      <c r="J870" s="1042">
        <v>45692.0</v>
      </c>
      <c r="K870" s="1203" t="s">
        <v>4729</v>
      </c>
      <c r="L870" s="1029" t="s">
        <v>4730</v>
      </c>
      <c r="M870" s="1015" t="s">
        <v>4723</v>
      </c>
      <c r="N870" s="1015" t="s">
        <v>4724</v>
      </c>
      <c r="O870" s="1044">
        <v>2.0</v>
      </c>
      <c r="P870" s="1015" t="str">
        <f t="shared" si="37"/>
        <v>10.1177--0956797616662271.pdf</v>
      </c>
      <c r="Q870" s="1204" t="str">
        <f t="array" ref="Q870"> if(iserror(MATCH(V870, 'File Links'!C:C, 0)), "N/A", HYPERLINK(INDEX('File Links'!B:B, MATCH(P870, 'File Links'!C:C, 0))))</f>
        <v>https://drive.google.com/file/d/144ul3eCkiKHuL75LCKm6YabVN-pgBX8u/view?usp=drivesdk</v>
      </c>
      <c r="R870" s="1015" t="s">
        <v>3646</v>
      </c>
      <c r="S870" s="1015" t="s">
        <v>3647</v>
      </c>
      <c r="T870" s="1220" t="s">
        <v>4731</v>
      </c>
      <c r="U870" s="1044">
        <v>1.0</v>
      </c>
      <c r="V870" s="1015" t="str">
        <f t="shared" si="47"/>
        <v>10.1098--rsos.231240.pdf</v>
      </c>
      <c r="W870" s="1015" t="s">
        <v>3664</v>
      </c>
      <c r="X870" s="1205" t="str">
        <f t="array" ref="X870"> if(iserror(MATCH(V870, 'File Links'!C:C, 0)), "N/A", HYPERLINK(INDEX('File Links'!B:B, MATCH(V870, 'File Links'!C:C, 0))))</f>
        <v>https://drive.google.com/file/d/17gaf2Zy_ljFfcAEDk5L8GBnTl5i7RGJE/view?usp=drivesdk</v>
      </c>
      <c r="Y870" s="1029"/>
      <c r="Z870" s="1015" t="s">
        <v>141</v>
      </c>
      <c r="AA870" s="1221" t="s">
        <v>4732</v>
      </c>
      <c r="AB870" s="1221" t="s">
        <v>4733</v>
      </c>
      <c r="AC870" s="1221" t="s">
        <v>4734</v>
      </c>
      <c r="AD870" s="1221" t="s">
        <v>4735</v>
      </c>
      <c r="AE870" s="1044">
        <v>3.0</v>
      </c>
      <c r="AF870" s="1044">
        <v>70.0</v>
      </c>
      <c r="AG870" s="1044">
        <v>0.43</v>
      </c>
      <c r="AH870" s="1015" t="s">
        <v>166</v>
      </c>
      <c r="AI870" s="1221" t="s">
        <v>210</v>
      </c>
      <c r="AJ870" s="1044">
        <v>0.001</v>
      </c>
      <c r="AK870" s="1015" t="s">
        <v>165</v>
      </c>
      <c r="AL870" s="1015" t="s">
        <v>129</v>
      </c>
      <c r="AM870" s="1015" t="s">
        <v>130</v>
      </c>
      <c r="AN870" s="1207" t="s">
        <v>131</v>
      </c>
      <c r="AO870" s="1044">
        <v>61.0</v>
      </c>
      <c r="AP870" s="1044">
        <v>0.199479675552594</v>
      </c>
      <c r="AQ870" s="1015" t="s">
        <v>166</v>
      </c>
      <c r="AR870" s="1150" t="s">
        <v>4113</v>
      </c>
      <c r="AS870" s="1044">
        <v>0.127565381522381</v>
      </c>
      <c r="AT870" s="1015" t="s">
        <v>165</v>
      </c>
      <c r="AU870" s="1015" t="s">
        <v>179</v>
      </c>
      <c r="AV870" s="1015" t="s">
        <v>134</v>
      </c>
      <c r="AW870" s="1030" t="s">
        <v>4736</v>
      </c>
      <c r="AX870" s="1015" t="s">
        <v>136</v>
      </c>
      <c r="AY870" s="536"/>
      <c r="AZ870" s="1029" t="s">
        <v>146</v>
      </c>
      <c r="BA870" s="536"/>
      <c r="BB870" s="536"/>
      <c r="BC870" s="536"/>
      <c r="BD870" s="536"/>
      <c r="BE870" s="536"/>
      <c r="BF870" s="536"/>
      <c r="BG870" s="536"/>
      <c r="BH870" s="536"/>
      <c r="BI870" s="536"/>
      <c r="BJ870" s="536"/>
      <c r="BK870" s="536"/>
      <c r="BL870" s="536"/>
      <c r="BM870" s="536"/>
      <c r="BN870" s="536"/>
      <c r="BO870" s="536"/>
      <c r="BP870" s="536"/>
      <c r="BQ870" s="536"/>
      <c r="BR870" s="536"/>
      <c r="BS870" s="536"/>
      <c r="BT870" s="536"/>
      <c r="BU870" s="536"/>
      <c r="BV870" s="536"/>
      <c r="BW870" s="536"/>
      <c r="BX870" s="536"/>
      <c r="BY870" s="536"/>
      <c r="BZ870" s="536"/>
      <c r="CA870" s="536"/>
      <c r="CB870" s="536"/>
      <c r="CC870" s="536"/>
      <c r="CD870" s="536"/>
      <c r="CE870" s="536"/>
      <c r="CF870" s="536"/>
      <c r="CG870" s="536"/>
      <c r="CH870" s="536"/>
      <c r="CI870" s="536"/>
      <c r="CJ870" s="536"/>
      <c r="CK870" s="536"/>
      <c r="CL870" s="536"/>
      <c r="CM870" s="536"/>
      <c r="CN870" s="536"/>
      <c r="CO870" s="536"/>
      <c r="CP870" s="536"/>
      <c r="CQ870" s="536"/>
      <c r="CR870" s="536"/>
      <c r="CS870" s="536"/>
      <c r="CT870" s="536"/>
      <c r="CU870" s="536"/>
      <c r="CV870" s="536"/>
      <c r="CW870" s="536"/>
      <c r="CX870" s="536"/>
      <c r="CY870" s="536"/>
      <c r="CZ870" s="536"/>
      <c r="DA870" s="536"/>
      <c r="DB870" s="536"/>
      <c r="DC870" s="536"/>
      <c r="DD870" s="536"/>
      <c r="DE870" s="536"/>
      <c r="DF870" s="536"/>
      <c r="DG870" s="536"/>
      <c r="DH870" s="536"/>
    </row>
    <row r="871">
      <c r="A871" s="558">
        <v>871.0</v>
      </c>
      <c r="B871" s="371" t="s">
        <v>145</v>
      </c>
      <c r="C871" s="535" t="s">
        <v>108</v>
      </c>
      <c r="D871" s="535" t="s">
        <v>146</v>
      </c>
      <c r="E871" s="536"/>
      <c r="F871" s="1029" t="s">
        <v>4721</v>
      </c>
      <c r="G871" s="1015" t="s">
        <v>4737</v>
      </c>
      <c r="H871" s="1015" t="s">
        <v>146</v>
      </c>
      <c r="I871" s="1042">
        <v>45687.0</v>
      </c>
      <c r="J871" s="1042">
        <v>45692.0</v>
      </c>
      <c r="K871" s="1209" t="s">
        <v>4738</v>
      </c>
      <c r="L871" s="1029"/>
      <c r="M871" s="1015" t="s">
        <v>4723</v>
      </c>
      <c r="N871" s="1015" t="s">
        <v>4724</v>
      </c>
      <c r="O871" s="1044">
        <v>2.0</v>
      </c>
      <c r="P871" s="1015" t="str">
        <f t="shared" si="37"/>
        <v>10.1177--0956797616662271.pdf</v>
      </c>
      <c r="Q871" s="1204" t="str">
        <f t="array" ref="Q871"> if(iserror(MATCH(V871, 'File Links'!C:C, 0)), "N/A", HYPERLINK(INDEX('File Links'!B:B, MATCH(P871, 'File Links'!C:C, 0))))</f>
        <v>https://drive.google.com/file/d/144ul3eCkiKHuL75LCKm6YabVN-pgBX8u/view?usp=drivesdk</v>
      </c>
      <c r="R871" s="1015" t="s">
        <v>3646</v>
      </c>
      <c r="S871" s="1015" t="s">
        <v>3647</v>
      </c>
      <c r="T871" s="1220" t="s">
        <v>4731</v>
      </c>
      <c r="U871" s="1044">
        <v>1.0</v>
      </c>
      <c r="V871" s="1015" t="str">
        <f t="shared" si="47"/>
        <v>10.1098--rsos.231240.pdf</v>
      </c>
      <c r="W871" s="1015" t="s">
        <v>3664</v>
      </c>
      <c r="X871" s="1205" t="str">
        <f t="array" ref="X871"> if(iserror(MATCH(V871, 'File Links'!C:C, 0)), "N/A", HYPERLINK(INDEX('File Links'!B:B, MATCH(V871, 'File Links'!C:C, 0))))</f>
        <v>https://drive.google.com/file/d/17gaf2Zy_ljFfcAEDk5L8GBnTl5i7RGJE/view?usp=drivesdk</v>
      </c>
      <c r="Y871" s="1029"/>
      <c r="Z871" s="1015" t="s">
        <v>141</v>
      </c>
      <c r="AA871" s="1015" t="s">
        <v>4732</v>
      </c>
      <c r="AB871" s="1015" t="s">
        <v>4733</v>
      </c>
      <c r="AC871" s="1015" t="s">
        <v>4739</v>
      </c>
      <c r="AD871" s="1015" t="s">
        <v>4740</v>
      </c>
      <c r="AE871" s="1044">
        <v>5.0</v>
      </c>
      <c r="AF871" s="1044">
        <v>106.0</v>
      </c>
      <c r="AG871" s="1044">
        <v>0.051</v>
      </c>
      <c r="AH871" s="1044" t="s">
        <v>867</v>
      </c>
      <c r="AI871" s="1044" t="s">
        <v>806</v>
      </c>
      <c r="AJ871" s="1044">
        <v>0.004</v>
      </c>
      <c r="AK871" s="1015" t="s">
        <v>165</v>
      </c>
      <c r="AL871" s="1015" t="s">
        <v>179</v>
      </c>
      <c r="AM871" s="1015" t="s">
        <v>134</v>
      </c>
      <c r="AN871" s="1207" t="s">
        <v>131</v>
      </c>
      <c r="AO871" s="1044">
        <v>158.0</v>
      </c>
      <c r="AP871" s="1044">
        <v>0.0588836</v>
      </c>
      <c r="AQ871" s="1044" t="s">
        <v>867</v>
      </c>
      <c r="AR871" s="1150" t="s">
        <v>4731</v>
      </c>
      <c r="AS871" s="1044">
        <f>7.28*10^-5        </f>
        <v>0.0000728</v>
      </c>
      <c r="AT871" s="1015" t="s">
        <v>165</v>
      </c>
      <c r="AU871" s="1015" t="s">
        <v>179</v>
      </c>
      <c r="AV871" s="1015" t="s">
        <v>134</v>
      </c>
      <c r="AW871" s="1030" t="s">
        <v>4736</v>
      </c>
      <c r="AX871" s="1029" t="s">
        <v>136</v>
      </c>
      <c r="AY871" s="536"/>
      <c r="AZ871" s="1029" t="s">
        <v>146</v>
      </c>
      <c r="BA871" s="536"/>
      <c r="BB871" s="536"/>
      <c r="BC871" s="536"/>
      <c r="BD871" s="536"/>
      <c r="BE871" s="536"/>
      <c r="BF871" s="536"/>
      <c r="BG871" s="536"/>
      <c r="BH871" s="536"/>
      <c r="BI871" s="536"/>
      <c r="BJ871" s="536"/>
      <c r="BK871" s="536"/>
      <c r="BL871" s="536"/>
      <c r="BM871" s="536"/>
      <c r="BN871" s="536"/>
      <c r="BO871" s="536"/>
      <c r="BP871" s="536"/>
      <c r="BQ871" s="536"/>
      <c r="BR871" s="536"/>
      <c r="BS871" s="536"/>
      <c r="BT871" s="536"/>
      <c r="BU871" s="536"/>
      <c r="BV871" s="536"/>
      <c r="BW871" s="536"/>
      <c r="BX871" s="536"/>
      <c r="BY871" s="536"/>
      <c r="BZ871" s="536"/>
      <c r="CA871" s="536"/>
      <c r="CB871" s="536"/>
      <c r="CC871" s="536"/>
      <c r="CD871" s="536"/>
      <c r="CE871" s="536"/>
      <c r="CF871" s="536"/>
      <c r="CG871" s="536"/>
      <c r="CH871" s="536"/>
      <c r="CI871" s="536"/>
      <c r="CJ871" s="536"/>
      <c r="CK871" s="536"/>
      <c r="CL871" s="536"/>
      <c r="CM871" s="536"/>
      <c r="CN871" s="536"/>
      <c r="CO871" s="536"/>
      <c r="CP871" s="536"/>
      <c r="CQ871" s="536"/>
      <c r="CR871" s="536"/>
      <c r="CS871" s="536"/>
      <c r="CT871" s="536"/>
      <c r="CU871" s="536"/>
      <c r="CV871" s="536"/>
      <c r="CW871" s="536"/>
      <c r="CX871" s="536"/>
      <c r="CY871" s="536"/>
      <c r="CZ871" s="536"/>
      <c r="DA871" s="536"/>
      <c r="DB871" s="536"/>
      <c r="DC871" s="536"/>
      <c r="DD871" s="536"/>
      <c r="DE871" s="536"/>
      <c r="DF871" s="536"/>
      <c r="DG871" s="536"/>
      <c r="DH871" s="536"/>
    </row>
    <row r="872">
      <c r="A872" s="558">
        <v>872.0</v>
      </c>
      <c r="B872" s="371" t="s">
        <v>145</v>
      </c>
      <c r="C872" s="535" t="s">
        <v>108</v>
      </c>
      <c r="D872" s="535" t="s">
        <v>146</v>
      </c>
      <c r="E872" s="536"/>
      <c r="F872" s="1029" t="s">
        <v>4721</v>
      </c>
      <c r="G872" s="1015" t="s">
        <v>4728</v>
      </c>
      <c r="H872" s="1015" t="s">
        <v>146</v>
      </c>
      <c r="I872" s="1042">
        <v>45687.0</v>
      </c>
      <c r="J872" s="1042">
        <v>45692.0</v>
      </c>
      <c r="K872" s="1209" t="s">
        <v>4741</v>
      </c>
      <c r="L872" s="1029"/>
      <c r="M872" s="1015" t="s">
        <v>4723</v>
      </c>
      <c r="N872" s="1015" t="s">
        <v>4724</v>
      </c>
      <c r="O872" s="1044">
        <v>2.0</v>
      </c>
      <c r="P872" s="1015" t="str">
        <f t="shared" si="37"/>
        <v>10.1177--0956797616662271.pdf</v>
      </c>
      <c r="Q872" s="1204" t="str">
        <f t="array" ref="Q872"> if(iserror(MATCH(V872, 'File Links'!C:C, 0)), "N/A", HYPERLINK(INDEX('File Links'!B:B, MATCH(P872, 'File Links'!C:C, 0))))</f>
        <v>https://drive.google.com/file/d/144ul3eCkiKHuL75LCKm6YabVN-pgBX8u/view?usp=drivesdk</v>
      </c>
      <c r="R872" s="1015" t="s">
        <v>3646</v>
      </c>
      <c r="S872" s="1015" t="s">
        <v>3647</v>
      </c>
      <c r="T872" s="1220" t="s">
        <v>4731</v>
      </c>
      <c r="U872" s="1044">
        <v>1.0</v>
      </c>
      <c r="V872" s="1015" t="str">
        <f t="shared" si="47"/>
        <v>10.1098--rsos.231240.pdf</v>
      </c>
      <c r="W872" s="1015" t="s">
        <v>3664</v>
      </c>
      <c r="X872" s="1205" t="str">
        <f t="array" ref="X872"> if(iserror(MATCH(V872, 'File Links'!C:C, 0)), "N/A", HYPERLINK(INDEX('File Links'!B:B, MATCH(V872, 'File Links'!C:C, 0))))</f>
        <v>https://drive.google.com/file/d/17gaf2Zy_ljFfcAEDk5L8GBnTl5i7RGJE/view?usp=drivesdk</v>
      </c>
      <c r="Y872" s="1029"/>
      <c r="Z872" s="1015" t="s">
        <v>141</v>
      </c>
      <c r="AA872" s="1015" t="s">
        <v>4732</v>
      </c>
      <c r="AB872" s="1015" t="s">
        <v>4733</v>
      </c>
      <c r="AC872" s="1015" t="s">
        <v>4742</v>
      </c>
      <c r="AD872" s="1015" t="s">
        <v>4743</v>
      </c>
      <c r="AE872" s="1212">
        <v>5.0</v>
      </c>
      <c r="AF872" s="1044">
        <v>106.0</v>
      </c>
      <c r="AG872" s="1222" t="s">
        <v>4744</v>
      </c>
      <c r="AH872" s="1044" t="s">
        <v>127</v>
      </c>
      <c r="AI872" s="1212" t="s">
        <v>806</v>
      </c>
      <c r="AJ872" s="1212">
        <v>0.002</v>
      </c>
      <c r="AK872" s="1015" t="s">
        <v>165</v>
      </c>
      <c r="AL872" s="1015" t="s">
        <v>179</v>
      </c>
      <c r="AM872" s="1015" t="s">
        <v>134</v>
      </c>
      <c r="AN872" s="1207" t="s">
        <v>131</v>
      </c>
      <c r="AO872" s="1044">
        <v>158.0</v>
      </c>
      <c r="AP872" s="1212" t="s">
        <v>4745</v>
      </c>
      <c r="AQ872" s="1044" t="s">
        <v>127</v>
      </c>
      <c r="AR872" s="1150" t="s">
        <v>4731</v>
      </c>
      <c r="AS872" s="1044">
        <v>0.001</v>
      </c>
      <c r="AT872" s="1015" t="s">
        <v>165</v>
      </c>
      <c r="AU872" s="1015" t="s">
        <v>179</v>
      </c>
      <c r="AV872" s="1015" t="s">
        <v>134</v>
      </c>
      <c r="AW872" s="1030" t="s">
        <v>4736</v>
      </c>
      <c r="AX872" s="1029" t="s">
        <v>136</v>
      </c>
      <c r="AY872" s="536"/>
      <c r="AZ872" s="1029" t="s">
        <v>146</v>
      </c>
      <c r="BA872" s="536"/>
      <c r="BB872" s="536"/>
      <c r="BC872" s="536"/>
      <c r="BD872" s="536"/>
      <c r="BE872" s="536"/>
      <c r="BF872" s="536"/>
      <c r="BG872" s="536"/>
      <c r="BH872" s="536"/>
      <c r="BI872" s="536"/>
      <c r="BJ872" s="536"/>
      <c r="BK872" s="536"/>
      <c r="BL872" s="536"/>
      <c r="BM872" s="536"/>
      <c r="BN872" s="536"/>
      <c r="BO872" s="536"/>
      <c r="BP872" s="536"/>
      <c r="BQ872" s="536"/>
      <c r="BR872" s="536"/>
      <c r="BS872" s="536"/>
      <c r="BT872" s="536"/>
      <c r="BU872" s="536"/>
      <c r="BV872" s="536"/>
      <c r="BW872" s="536"/>
      <c r="BX872" s="536"/>
      <c r="BY872" s="536"/>
      <c r="BZ872" s="536"/>
      <c r="CA872" s="536"/>
      <c r="CB872" s="536"/>
      <c r="CC872" s="536"/>
      <c r="CD872" s="536"/>
      <c r="CE872" s="536"/>
      <c r="CF872" s="536"/>
      <c r="CG872" s="536"/>
      <c r="CH872" s="536"/>
      <c r="CI872" s="536"/>
      <c r="CJ872" s="536"/>
      <c r="CK872" s="536"/>
      <c r="CL872" s="536"/>
      <c r="CM872" s="536"/>
      <c r="CN872" s="536"/>
      <c r="CO872" s="536"/>
      <c r="CP872" s="536"/>
      <c r="CQ872" s="536"/>
      <c r="CR872" s="536"/>
      <c r="CS872" s="536"/>
      <c r="CT872" s="536"/>
      <c r="CU872" s="536"/>
      <c r="CV872" s="536"/>
      <c r="CW872" s="536"/>
      <c r="CX872" s="536"/>
      <c r="CY872" s="536"/>
      <c r="CZ872" s="536"/>
      <c r="DA872" s="536"/>
      <c r="DB872" s="536"/>
      <c r="DC872" s="536"/>
      <c r="DD872" s="536"/>
      <c r="DE872" s="536"/>
      <c r="DF872" s="536"/>
      <c r="DG872" s="536"/>
      <c r="DH872" s="536"/>
    </row>
    <row r="873">
      <c r="A873" s="558">
        <v>873.0</v>
      </c>
      <c r="B873" s="371" t="s">
        <v>145</v>
      </c>
      <c r="C873" s="535" t="s">
        <v>108</v>
      </c>
      <c r="D873" s="535" t="s">
        <v>146</v>
      </c>
      <c r="E873" s="536"/>
      <c r="F873" s="1029" t="s">
        <v>4721</v>
      </c>
      <c r="G873" s="1015" t="s">
        <v>4746</v>
      </c>
      <c r="H873" s="1015" t="s">
        <v>146</v>
      </c>
      <c r="I873" s="1042">
        <v>45687.0</v>
      </c>
      <c r="J873" s="1042">
        <v>45692.0</v>
      </c>
      <c r="K873" s="1209" t="s">
        <v>4747</v>
      </c>
      <c r="L873" s="1029"/>
      <c r="M873" s="1015" t="s">
        <v>4723</v>
      </c>
      <c r="N873" s="1015" t="s">
        <v>4724</v>
      </c>
      <c r="O873" s="1044">
        <v>2.0</v>
      </c>
      <c r="P873" s="1015" t="str">
        <f t="shared" si="37"/>
        <v>10.1177--0956797616662271.pdf</v>
      </c>
      <c r="Q873" s="1204" t="str">
        <f t="array" ref="Q873"> if(iserror(MATCH(V873, 'File Links'!C:C, 0)), "N/A", HYPERLINK(INDEX('File Links'!B:B, MATCH(P873, 'File Links'!C:C, 0))))</f>
        <v>https://drive.google.com/file/d/144ul3eCkiKHuL75LCKm6YabVN-pgBX8u/view?usp=drivesdk</v>
      </c>
      <c r="R873" s="1015" t="s">
        <v>3646</v>
      </c>
      <c r="S873" s="1015" t="s">
        <v>3647</v>
      </c>
      <c r="T873" s="1220" t="s">
        <v>4731</v>
      </c>
      <c r="U873" s="1044">
        <v>1.0</v>
      </c>
      <c r="V873" s="1015" t="str">
        <f t="shared" si="47"/>
        <v>10.1098--rsos.231240.pdf</v>
      </c>
      <c r="W873" s="1015" t="s">
        <v>3664</v>
      </c>
      <c r="X873" s="1205" t="str">
        <f t="array" ref="X873"> if(iserror(MATCH(V873, 'File Links'!C:C, 0)), "N/A", HYPERLINK(INDEX('File Links'!B:B, MATCH(V873, 'File Links'!C:C, 0))))</f>
        <v>https://drive.google.com/file/d/17gaf2Zy_ljFfcAEDk5L8GBnTl5i7RGJE/view?usp=drivesdk</v>
      </c>
      <c r="Y873" s="1029"/>
      <c r="Z873" s="1015" t="s">
        <v>141</v>
      </c>
      <c r="AA873" s="1015" t="s">
        <v>4732</v>
      </c>
      <c r="AB873" s="1015" t="s">
        <v>4733</v>
      </c>
      <c r="AC873" s="1015" t="s">
        <v>4748</v>
      </c>
      <c r="AD873" s="1015" t="s">
        <v>4749</v>
      </c>
      <c r="AE873" s="1212">
        <v>5.0</v>
      </c>
      <c r="AF873" s="1044">
        <v>106.0</v>
      </c>
      <c r="AG873" s="1222" t="s">
        <v>4750</v>
      </c>
      <c r="AH873" s="1044" t="s">
        <v>127</v>
      </c>
      <c r="AI873" s="1212" t="s">
        <v>806</v>
      </c>
      <c r="AJ873" s="1212">
        <v>0.052</v>
      </c>
      <c r="AK873" s="1015" t="s">
        <v>165</v>
      </c>
      <c r="AL873" s="1015" t="s">
        <v>179</v>
      </c>
      <c r="AM873" s="1015" t="s">
        <v>134</v>
      </c>
      <c r="AN873" s="1207" t="s">
        <v>131</v>
      </c>
      <c r="AO873" s="1044">
        <v>158.0</v>
      </c>
      <c r="AP873" s="1212" t="s">
        <v>4751</v>
      </c>
      <c r="AQ873" s="1044" t="s">
        <v>127</v>
      </c>
      <c r="AR873" s="1150" t="s">
        <v>4731</v>
      </c>
      <c r="AS873" s="1044">
        <v>0.01</v>
      </c>
      <c r="AT873" s="1015" t="s">
        <v>165</v>
      </c>
      <c r="AU873" s="1015" t="s">
        <v>179</v>
      </c>
      <c r="AV873" s="1015" t="s">
        <v>134</v>
      </c>
      <c r="AW873" s="1030" t="s">
        <v>4736</v>
      </c>
      <c r="AX873" s="1029" t="s">
        <v>136</v>
      </c>
      <c r="AY873" s="536"/>
      <c r="AZ873" s="1029" t="s">
        <v>146</v>
      </c>
      <c r="BA873" s="536"/>
      <c r="BB873" s="536"/>
      <c r="BC873" s="536"/>
      <c r="BD873" s="536"/>
      <c r="BE873" s="536"/>
      <c r="BF873" s="536"/>
      <c r="BG873" s="536"/>
      <c r="BH873" s="536"/>
      <c r="BI873" s="536"/>
      <c r="BJ873" s="536"/>
      <c r="BK873" s="536"/>
      <c r="BL873" s="536"/>
      <c r="BM873" s="536"/>
      <c r="BN873" s="536"/>
      <c r="BO873" s="536"/>
      <c r="BP873" s="536"/>
      <c r="BQ873" s="536"/>
      <c r="BR873" s="536"/>
      <c r="BS873" s="536"/>
      <c r="BT873" s="536"/>
      <c r="BU873" s="536"/>
      <c r="BV873" s="536"/>
      <c r="BW873" s="536"/>
      <c r="BX873" s="536"/>
      <c r="BY873" s="536"/>
      <c r="BZ873" s="536"/>
      <c r="CA873" s="536"/>
      <c r="CB873" s="536"/>
      <c r="CC873" s="536"/>
      <c r="CD873" s="536"/>
      <c r="CE873" s="536"/>
      <c r="CF873" s="536"/>
      <c r="CG873" s="536"/>
      <c r="CH873" s="536"/>
      <c r="CI873" s="536"/>
      <c r="CJ873" s="536"/>
      <c r="CK873" s="536"/>
      <c r="CL873" s="536"/>
      <c r="CM873" s="536"/>
      <c r="CN873" s="536"/>
      <c r="CO873" s="536"/>
      <c r="CP873" s="536"/>
      <c r="CQ873" s="536"/>
      <c r="CR873" s="536"/>
      <c r="CS873" s="536"/>
      <c r="CT873" s="536"/>
      <c r="CU873" s="536"/>
      <c r="CV873" s="536"/>
      <c r="CW873" s="536"/>
      <c r="CX873" s="536"/>
      <c r="CY873" s="536"/>
      <c r="CZ873" s="536"/>
      <c r="DA873" s="536"/>
      <c r="DB873" s="536"/>
      <c r="DC873" s="536"/>
      <c r="DD873" s="536"/>
      <c r="DE873" s="536"/>
      <c r="DF873" s="536"/>
      <c r="DG873" s="536"/>
      <c r="DH873" s="536"/>
    </row>
    <row r="874">
      <c r="A874" s="558">
        <v>874.0</v>
      </c>
      <c r="B874" s="371" t="s">
        <v>145</v>
      </c>
      <c r="C874" s="535" t="s">
        <v>108</v>
      </c>
      <c r="D874" s="535" t="s">
        <v>146</v>
      </c>
      <c r="E874" s="536"/>
      <c r="F874" s="1029" t="s">
        <v>4721</v>
      </c>
      <c r="G874" s="1015" t="s">
        <v>4752</v>
      </c>
      <c r="H874" s="1015" t="s">
        <v>146</v>
      </c>
      <c r="I874" s="1042">
        <v>45687.0</v>
      </c>
      <c r="J874" s="1042">
        <v>45692.0</v>
      </c>
      <c r="K874" s="1209" t="s">
        <v>4753</v>
      </c>
      <c r="L874" s="1029"/>
      <c r="M874" s="1015" t="s">
        <v>4723</v>
      </c>
      <c r="N874" s="1015" t="s">
        <v>4724</v>
      </c>
      <c r="O874" s="1044">
        <v>2.0</v>
      </c>
      <c r="P874" s="1015" t="str">
        <f t="shared" si="37"/>
        <v>10.1177--0956797616662271.pdf</v>
      </c>
      <c r="Q874" s="1204" t="str">
        <f t="array" ref="Q874"> if(iserror(MATCH(V874, 'File Links'!C:C, 0)), "N/A", HYPERLINK(INDEX('File Links'!B:B, MATCH(P874, 'File Links'!C:C, 0))))</f>
        <v>https://drive.google.com/file/d/144ul3eCkiKHuL75LCKm6YabVN-pgBX8u/view?usp=drivesdk</v>
      </c>
      <c r="R874" s="1015" t="s">
        <v>3646</v>
      </c>
      <c r="S874" s="1015" t="s">
        <v>3647</v>
      </c>
      <c r="T874" s="1220" t="s">
        <v>4731</v>
      </c>
      <c r="U874" s="1044">
        <v>1.0</v>
      </c>
      <c r="V874" s="1015" t="str">
        <f t="shared" si="47"/>
        <v>10.1098--rsos.231240.pdf</v>
      </c>
      <c r="W874" s="1015" t="s">
        <v>3664</v>
      </c>
      <c r="X874" s="1205" t="str">
        <f t="array" ref="X874"> if(iserror(MATCH(V874, 'File Links'!C:C, 0)), "N/A", HYPERLINK(INDEX('File Links'!B:B, MATCH(V874, 'File Links'!C:C, 0))))</f>
        <v>https://drive.google.com/file/d/17gaf2Zy_ljFfcAEDk5L8GBnTl5i7RGJE/view?usp=drivesdk</v>
      </c>
      <c r="Y874" s="1029"/>
      <c r="Z874" s="1015" t="s">
        <v>141</v>
      </c>
      <c r="AA874" s="1015" t="s">
        <v>4732</v>
      </c>
      <c r="AB874" s="1015" t="s">
        <v>4733</v>
      </c>
      <c r="AC874" s="1015" t="s">
        <v>4754</v>
      </c>
      <c r="AD874" s="1015" t="s">
        <v>4755</v>
      </c>
      <c r="AE874" s="1212">
        <v>5.0</v>
      </c>
      <c r="AF874" s="1044">
        <v>106.0</v>
      </c>
      <c r="AG874" s="1222" t="s">
        <v>4756</v>
      </c>
      <c r="AH874" s="1044" t="s">
        <v>127</v>
      </c>
      <c r="AI874" s="1212" t="s">
        <v>806</v>
      </c>
      <c r="AJ874" s="1212">
        <v>0.134</v>
      </c>
      <c r="AK874" s="1015" t="s">
        <v>165</v>
      </c>
      <c r="AL874" s="1015" t="s">
        <v>129</v>
      </c>
      <c r="AM874" s="1015" t="s">
        <v>130</v>
      </c>
      <c r="AN874" s="1207" t="s">
        <v>131</v>
      </c>
      <c r="AO874" s="1044">
        <v>158.0</v>
      </c>
      <c r="AP874" s="1212" t="s">
        <v>4757</v>
      </c>
      <c r="AQ874" s="1044" t="s">
        <v>127</v>
      </c>
      <c r="AR874" s="1150" t="s">
        <v>4731</v>
      </c>
      <c r="AS874" s="1044">
        <v>0.058</v>
      </c>
      <c r="AT874" s="1015" t="s">
        <v>165</v>
      </c>
      <c r="AU874" s="1015" t="s">
        <v>179</v>
      </c>
      <c r="AV874" s="1015" t="s">
        <v>134</v>
      </c>
      <c r="AW874" s="1030" t="s">
        <v>4736</v>
      </c>
      <c r="AX874" s="1029" t="s">
        <v>136</v>
      </c>
      <c r="AY874" s="536"/>
      <c r="AZ874" s="1029" t="s">
        <v>146</v>
      </c>
      <c r="BA874" s="536"/>
      <c r="BB874" s="536"/>
      <c r="BC874" s="536"/>
      <c r="BD874" s="536"/>
      <c r="BE874" s="536"/>
      <c r="BF874" s="536"/>
      <c r="BG874" s="536"/>
      <c r="BH874" s="536"/>
      <c r="BI874" s="536"/>
      <c r="BJ874" s="536"/>
      <c r="BK874" s="536"/>
      <c r="BL874" s="536"/>
      <c r="BM874" s="536"/>
      <c r="BN874" s="536"/>
      <c r="BO874" s="536"/>
      <c r="BP874" s="536"/>
      <c r="BQ874" s="536"/>
      <c r="BR874" s="536"/>
      <c r="BS874" s="536"/>
      <c r="BT874" s="536"/>
      <c r="BU874" s="536"/>
      <c r="BV874" s="536"/>
      <c r="BW874" s="536"/>
      <c r="BX874" s="536"/>
      <c r="BY874" s="536"/>
      <c r="BZ874" s="536"/>
      <c r="CA874" s="536"/>
      <c r="CB874" s="536"/>
      <c r="CC874" s="536"/>
      <c r="CD874" s="536"/>
      <c r="CE874" s="536"/>
      <c r="CF874" s="536"/>
      <c r="CG874" s="536"/>
      <c r="CH874" s="536"/>
      <c r="CI874" s="536"/>
      <c r="CJ874" s="536"/>
      <c r="CK874" s="536"/>
      <c r="CL874" s="536"/>
      <c r="CM874" s="536"/>
      <c r="CN874" s="536"/>
      <c r="CO874" s="536"/>
      <c r="CP874" s="536"/>
      <c r="CQ874" s="536"/>
      <c r="CR874" s="536"/>
      <c r="CS874" s="536"/>
      <c r="CT874" s="536"/>
      <c r="CU874" s="536"/>
      <c r="CV874" s="536"/>
      <c r="CW874" s="536"/>
      <c r="CX874" s="536"/>
      <c r="CY874" s="536"/>
      <c r="CZ874" s="536"/>
      <c r="DA874" s="536"/>
      <c r="DB874" s="536"/>
      <c r="DC874" s="536"/>
      <c r="DD874" s="536"/>
      <c r="DE874" s="536"/>
      <c r="DF874" s="536"/>
      <c r="DG874" s="536"/>
      <c r="DH874" s="536"/>
    </row>
    <row r="875">
      <c r="A875" s="41">
        <v>875.0</v>
      </c>
      <c r="B875" s="65" t="s">
        <v>107</v>
      </c>
      <c r="C875" s="59" t="s">
        <v>108</v>
      </c>
      <c r="D875" s="59" t="s">
        <v>146</v>
      </c>
      <c r="F875" s="65" t="s">
        <v>4758</v>
      </c>
      <c r="G875" s="156" t="s">
        <v>4759</v>
      </c>
      <c r="H875" s="156" t="s">
        <v>146</v>
      </c>
      <c r="I875" s="149">
        <v>45687.0</v>
      </c>
      <c r="J875" s="149">
        <v>45692.0</v>
      </c>
      <c r="K875" s="1052" t="s">
        <v>4760</v>
      </c>
      <c r="L875" s="65"/>
      <c r="M875" s="156" t="s">
        <v>4723</v>
      </c>
      <c r="N875" s="156" t="s">
        <v>4724</v>
      </c>
      <c r="O875" s="153">
        <v>1.0</v>
      </c>
      <c r="P875" s="156" t="str">
        <f t="shared" si="37"/>
        <v>10.1177--0956797616662271.pdf</v>
      </c>
      <c r="Q875" s="49" t="str">
        <f t="array" ref="Q875"> if(iserror(MATCH(V875, 'File Links'!C:C, 0)), "N/A", HYPERLINK(INDEX('File Links'!B:B, MATCH(P875, 'File Links'!C:C, 0))))</f>
        <v>https://drive.google.com/file/d/144ul3eCkiKHuL75LCKm6YabVN-pgBX8u/view?usp=drivesdk</v>
      </c>
      <c r="R875" s="156" t="s">
        <v>3646</v>
      </c>
      <c r="S875" s="156" t="s">
        <v>3647</v>
      </c>
      <c r="T875" s="65"/>
      <c r="U875" s="153">
        <v>1.0</v>
      </c>
      <c r="V875" s="195" t="str">
        <f t="shared" si="47"/>
        <v>10.1098--rsos.231240.pdf</v>
      </c>
      <c r="W875" s="156" t="s">
        <v>3664</v>
      </c>
      <c r="X875" s="51" t="str">
        <f t="array" ref="X875"> if(iserror(MATCH(V875, 'File Links'!C:C, 0)), "N/A", HYPERLINK(INDEX('File Links'!B:B, MATCH(V875, 'File Links'!C:C, 0))))</f>
        <v>https://drive.google.com/file/d/17gaf2Zy_ljFfcAEDk5L8GBnTl5i7RGJE/view?usp=drivesdk</v>
      </c>
      <c r="Y875" s="65"/>
      <c r="Z875" s="156" t="s">
        <v>141</v>
      </c>
      <c r="AA875" s="156" t="s">
        <v>4732</v>
      </c>
      <c r="AB875" s="156" t="s">
        <v>4733</v>
      </c>
      <c r="AC875" s="156" t="s">
        <v>4734</v>
      </c>
      <c r="AD875" s="156" t="s">
        <v>4735</v>
      </c>
      <c r="AE875" s="153">
        <v>3.0</v>
      </c>
      <c r="AF875" s="153">
        <v>70.0</v>
      </c>
      <c r="AG875" s="153">
        <v>0.43</v>
      </c>
      <c r="AH875" s="153" t="s">
        <v>166</v>
      </c>
      <c r="AI875" s="153" t="s">
        <v>210</v>
      </c>
      <c r="AJ875" s="333">
        <v>0.001</v>
      </c>
      <c r="AK875" s="156" t="s">
        <v>165</v>
      </c>
      <c r="AL875" s="156" t="s">
        <v>129</v>
      </c>
      <c r="AM875" s="156" t="s">
        <v>130</v>
      </c>
      <c r="AN875" s="126" t="s">
        <v>131</v>
      </c>
      <c r="AO875" s="153">
        <v>61.0</v>
      </c>
      <c r="AP875" s="1056">
        <v>0.3754939</v>
      </c>
      <c r="AQ875" s="1056" t="s">
        <v>166</v>
      </c>
      <c r="AR875" s="65"/>
      <c r="AS875" s="1056">
        <v>0.00382</v>
      </c>
      <c r="AT875" s="156" t="s">
        <v>165</v>
      </c>
      <c r="AU875" s="156" t="s">
        <v>179</v>
      </c>
      <c r="AV875" s="156" t="s">
        <v>134</v>
      </c>
      <c r="AW875" s="432" t="s">
        <v>4736</v>
      </c>
      <c r="AX875" s="65" t="s">
        <v>136</v>
      </c>
      <c r="AZ875" s="65" t="s">
        <v>146</v>
      </c>
      <c r="BA875" s="69"/>
    </row>
    <row r="876">
      <c r="A876" s="107">
        <v>876.0</v>
      </c>
      <c r="B876" s="108" t="s">
        <v>107</v>
      </c>
      <c r="C876" s="146" t="s">
        <v>108</v>
      </c>
      <c r="D876" s="146" t="s">
        <v>241</v>
      </c>
      <c r="E876" s="69"/>
      <c r="F876" s="119" t="s">
        <v>4761</v>
      </c>
      <c r="G876" s="119" t="s">
        <v>4762</v>
      </c>
      <c r="H876" s="119" t="s">
        <v>242</v>
      </c>
      <c r="I876" s="414">
        <v>45671.0</v>
      </c>
      <c r="J876" s="414">
        <v>45692.0</v>
      </c>
      <c r="K876" s="1223" t="s">
        <v>4763</v>
      </c>
      <c r="L876" s="108"/>
      <c r="M876" s="119" t="s">
        <v>4764</v>
      </c>
      <c r="N876" s="119" t="s">
        <v>4765</v>
      </c>
      <c r="O876" s="108"/>
      <c r="P876" s="119" t="str">
        <f t="shared" si="37"/>
        <v>10.1177--0956797614554955.pdf</v>
      </c>
      <c r="Q876" s="1158" t="str">
        <f t="array" ref="Q876"> if(iserror(MATCH(V876, 'File Links'!C:C, 0)), "N/A", HYPERLINK(INDEX('File Links'!B:B, MATCH(P876, 'File Links'!C:C, 0))))</f>
        <v>https://drive.google.com/file/d/1epyBwvNQIzhoIzncHzNCghI35bEcM7FS/view?usp=drivesdk</v>
      </c>
      <c r="R876" s="119" t="s">
        <v>3646</v>
      </c>
      <c r="S876" s="119" t="s">
        <v>3647</v>
      </c>
      <c r="T876" s="108"/>
      <c r="U876" s="534">
        <v>1.0</v>
      </c>
      <c r="V876" s="119" t="str">
        <f t="shared" si="47"/>
        <v>10.1098--rsos.231240.pdf</v>
      </c>
      <c r="W876" s="119" t="s">
        <v>3686</v>
      </c>
      <c r="X876" s="1159" t="str">
        <f t="array" ref="X876"> if(iserror(MATCH(V876, 'File Links'!C:C, 0)), "N/A", HYPERLINK(INDEX('File Links'!B:B, MATCH(V876, 'File Links'!C:C, 0))))</f>
        <v>https://drive.google.com/file/d/17gaf2Zy_ljFfcAEDk5L8GBnTl5i7RGJE/view?usp=drivesdk</v>
      </c>
      <c r="Y876" s="108"/>
      <c r="Z876" s="119" t="s">
        <v>219</v>
      </c>
      <c r="AA876" s="108"/>
      <c r="AB876" s="119" t="s">
        <v>4766</v>
      </c>
      <c r="AC876" s="108"/>
      <c r="AD876" s="119" t="s">
        <v>4767</v>
      </c>
      <c r="AE876" s="534">
        <v>3.0</v>
      </c>
      <c r="AF876" s="534">
        <v>48.0</v>
      </c>
      <c r="AG876" s="680" t="s">
        <v>4768</v>
      </c>
      <c r="AH876" s="113" t="s">
        <v>127</v>
      </c>
      <c r="AI876" s="119" t="s">
        <v>210</v>
      </c>
      <c r="AJ876" s="534">
        <v>0.001</v>
      </c>
      <c r="AK876" s="119" t="s">
        <v>165</v>
      </c>
      <c r="AL876" s="119" t="s">
        <v>179</v>
      </c>
      <c r="AM876" s="119" t="s">
        <v>134</v>
      </c>
      <c r="AN876" s="144" t="s">
        <v>131</v>
      </c>
      <c r="AO876" s="534">
        <v>95.0</v>
      </c>
      <c r="AP876" s="534">
        <v>91.11</v>
      </c>
      <c r="AQ876" s="119" t="s">
        <v>1024</v>
      </c>
      <c r="AR876" s="108"/>
      <c r="AS876" s="534">
        <v>0.001</v>
      </c>
      <c r="AT876" s="119" t="s">
        <v>128</v>
      </c>
      <c r="AU876" s="119" t="s">
        <v>179</v>
      </c>
      <c r="AV876" s="119" t="s">
        <v>134</v>
      </c>
      <c r="AW876" s="108"/>
      <c r="AX876" s="119" t="s">
        <v>144</v>
      </c>
      <c r="AY876" s="69"/>
      <c r="AZ876" s="108" t="s">
        <v>146</v>
      </c>
      <c r="BA876" s="69"/>
      <c r="BB876" s="69"/>
      <c r="BC876" s="69"/>
      <c r="BD876" s="69"/>
      <c r="BE876" s="69"/>
      <c r="BF876" s="69"/>
      <c r="BG876" s="69"/>
      <c r="BH876" s="69"/>
      <c r="BI876" s="69"/>
      <c r="BJ876" s="69"/>
      <c r="BK876" s="69"/>
      <c r="BL876" s="69"/>
      <c r="BM876" s="69"/>
      <c r="BN876" s="69"/>
      <c r="BO876" s="69"/>
      <c r="BP876" s="69"/>
      <c r="BQ876" s="69"/>
      <c r="BR876" s="69"/>
      <c r="BS876" s="69"/>
      <c r="BT876" s="69"/>
      <c r="BU876" s="69"/>
      <c r="BV876" s="69"/>
      <c r="BW876" s="69"/>
      <c r="BX876" s="69"/>
      <c r="BY876" s="69"/>
      <c r="BZ876" s="69"/>
      <c r="CA876" s="69"/>
      <c r="CB876" s="69"/>
      <c r="CC876" s="69"/>
      <c r="CD876" s="69"/>
      <c r="CE876" s="69"/>
      <c r="CF876" s="69"/>
      <c r="CG876" s="69"/>
      <c r="CH876" s="69"/>
      <c r="CI876" s="69"/>
      <c r="CJ876" s="69"/>
      <c r="CK876" s="69"/>
      <c r="CL876" s="69"/>
      <c r="CM876" s="69"/>
      <c r="CN876" s="69"/>
      <c r="CO876" s="69"/>
      <c r="CP876" s="69"/>
      <c r="CQ876" s="69"/>
      <c r="CR876" s="69"/>
      <c r="CS876" s="69"/>
      <c r="CT876" s="69"/>
      <c r="CU876" s="69"/>
      <c r="CV876" s="69"/>
      <c r="CW876" s="69"/>
      <c r="CX876" s="69"/>
      <c r="CY876" s="69"/>
      <c r="CZ876" s="69"/>
      <c r="DA876" s="69"/>
      <c r="DB876" s="69"/>
      <c r="DC876" s="69"/>
      <c r="DD876" s="69"/>
      <c r="DE876" s="69"/>
      <c r="DF876" s="69"/>
      <c r="DG876" s="69"/>
      <c r="DH876" s="69"/>
    </row>
    <row r="877">
      <c r="A877" s="107">
        <v>877.0</v>
      </c>
      <c r="B877" s="144" t="s">
        <v>4516</v>
      </c>
      <c r="C877" s="146" t="s">
        <v>108</v>
      </c>
      <c r="D877" s="146" t="s">
        <v>146</v>
      </c>
      <c r="E877" s="69"/>
      <c r="F877" s="108" t="s">
        <v>4762</v>
      </c>
      <c r="G877" s="119" t="s">
        <v>4769</v>
      </c>
      <c r="H877" s="119" t="s">
        <v>146</v>
      </c>
      <c r="I877" s="414">
        <v>45687.0</v>
      </c>
      <c r="J877" s="414">
        <v>45692.0</v>
      </c>
      <c r="K877" s="215" t="s">
        <v>4770</v>
      </c>
      <c r="L877" s="108"/>
      <c r="M877" s="119" t="s">
        <v>4764</v>
      </c>
      <c r="N877" s="119" t="s">
        <v>4765</v>
      </c>
      <c r="O877" s="534">
        <v>1.0</v>
      </c>
      <c r="P877" s="119" t="str">
        <f t="shared" si="37"/>
        <v>10.1177--0956797614554955.pdf</v>
      </c>
      <c r="Q877" s="1158" t="str">
        <f t="array" ref="Q877"> if(iserror(MATCH(V877, 'File Links'!C:C, 0)), "N/A", HYPERLINK(INDEX('File Links'!B:B, MATCH(P877, 'File Links'!C:C, 0))))</f>
        <v>https://drive.google.com/file/d/1epyBwvNQIzhoIzncHzNCghI35bEcM7FS/view?usp=drivesdk</v>
      </c>
      <c r="R877" s="119" t="s">
        <v>3646</v>
      </c>
      <c r="S877" s="119" t="s">
        <v>3647</v>
      </c>
      <c r="T877" s="108"/>
      <c r="U877" s="534">
        <v>1.0</v>
      </c>
      <c r="V877" s="119" t="str">
        <f t="shared" si="47"/>
        <v>10.1098--rsos.231240.pdf</v>
      </c>
      <c r="W877" s="119" t="s">
        <v>157</v>
      </c>
      <c r="X877" s="1159" t="str">
        <f t="array" ref="X877"> if(iserror(MATCH(V877, 'File Links'!C:C, 0)), "N/A", HYPERLINK(INDEX('File Links'!B:B, MATCH(V877, 'File Links'!C:C, 0))))</f>
        <v>https://drive.google.com/file/d/17gaf2Zy_ljFfcAEDk5L8GBnTl5i7RGJE/view?usp=drivesdk</v>
      </c>
      <c r="Y877" s="108"/>
      <c r="Z877" s="119" t="s">
        <v>219</v>
      </c>
      <c r="AA877" s="119" t="s">
        <v>4771</v>
      </c>
      <c r="AB877" s="119" t="s">
        <v>4772</v>
      </c>
      <c r="AC877" s="119" t="s">
        <v>4773</v>
      </c>
      <c r="AD877" s="119" t="s">
        <v>4774</v>
      </c>
      <c r="AE877" s="534">
        <v>3.0</v>
      </c>
      <c r="AF877" s="534">
        <v>48.0</v>
      </c>
      <c r="AG877" s="534">
        <v>0.99</v>
      </c>
      <c r="AH877" s="144" t="s">
        <v>2612</v>
      </c>
      <c r="AI877" s="534" t="s">
        <v>210</v>
      </c>
      <c r="AJ877" s="534">
        <v>0.001</v>
      </c>
      <c r="AK877" s="119" t="s">
        <v>128</v>
      </c>
      <c r="AL877" s="119" t="s">
        <v>179</v>
      </c>
      <c r="AM877" s="119" t="s">
        <v>134</v>
      </c>
      <c r="AN877" s="144" t="s">
        <v>131</v>
      </c>
      <c r="AO877" s="534">
        <v>95.0</v>
      </c>
      <c r="AP877" s="534">
        <v>0.97</v>
      </c>
      <c r="AQ877" s="144" t="s">
        <v>2612</v>
      </c>
      <c r="AR877" s="534" t="s">
        <v>621</v>
      </c>
      <c r="AS877" s="534">
        <v>0.001</v>
      </c>
      <c r="AT877" s="119" t="s">
        <v>128</v>
      </c>
      <c r="AU877" s="119" t="s">
        <v>179</v>
      </c>
      <c r="AV877" s="119" t="s">
        <v>134</v>
      </c>
      <c r="AW877" s="108"/>
      <c r="AX877" s="108" t="s">
        <v>144</v>
      </c>
      <c r="AY877" s="69"/>
      <c r="AZ877" s="108" t="s">
        <v>146</v>
      </c>
      <c r="BA877" s="69"/>
      <c r="BB877" s="69"/>
      <c r="BC877" s="69"/>
      <c r="BD877" s="69"/>
      <c r="BE877" s="69"/>
      <c r="BF877" s="69"/>
      <c r="BG877" s="69"/>
      <c r="BH877" s="69"/>
      <c r="BI877" s="69"/>
      <c r="BJ877" s="69"/>
      <c r="BK877" s="69"/>
      <c r="BL877" s="69"/>
      <c r="BM877" s="69"/>
      <c r="BN877" s="69"/>
      <c r="BO877" s="69"/>
      <c r="BP877" s="69"/>
      <c r="BQ877" s="69"/>
      <c r="BR877" s="69"/>
      <c r="BS877" s="69"/>
      <c r="BT877" s="69"/>
      <c r="BU877" s="69"/>
      <c r="BV877" s="69"/>
      <c r="BW877" s="69"/>
      <c r="BX877" s="69"/>
      <c r="BY877" s="69"/>
      <c r="BZ877" s="69"/>
      <c r="CA877" s="69"/>
      <c r="CB877" s="69"/>
      <c r="CC877" s="69"/>
      <c r="CD877" s="69"/>
      <c r="CE877" s="69"/>
      <c r="CF877" s="69"/>
      <c r="CG877" s="69"/>
      <c r="CH877" s="69"/>
      <c r="CI877" s="69"/>
      <c r="CJ877" s="69"/>
      <c r="CK877" s="69"/>
      <c r="CL877" s="69"/>
      <c r="CM877" s="69"/>
      <c r="CN877" s="69"/>
      <c r="CO877" s="69"/>
      <c r="CP877" s="69"/>
      <c r="CQ877" s="69"/>
      <c r="CR877" s="69"/>
      <c r="CS877" s="69"/>
      <c r="CT877" s="69"/>
      <c r="CU877" s="69"/>
      <c r="CV877" s="69"/>
      <c r="CW877" s="69"/>
      <c r="CX877" s="69"/>
      <c r="CY877" s="69"/>
      <c r="CZ877" s="69"/>
      <c r="DA877" s="69"/>
      <c r="DB877" s="69"/>
      <c r="DC877" s="69"/>
      <c r="DD877" s="69"/>
      <c r="DE877" s="69"/>
      <c r="DF877" s="69"/>
      <c r="DG877" s="69"/>
      <c r="DH877" s="69"/>
    </row>
    <row r="878">
      <c r="A878" s="107">
        <v>878.0</v>
      </c>
      <c r="B878" s="144" t="s">
        <v>4516</v>
      </c>
      <c r="C878" s="146" t="s">
        <v>108</v>
      </c>
      <c r="D878" s="146" t="s">
        <v>146</v>
      </c>
      <c r="E878" s="69"/>
      <c r="F878" s="108" t="s">
        <v>4762</v>
      </c>
      <c r="G878" s="119" t="s">
        <v>4775</v>
      </c>
      <c r="H878" s="119" t="s">
        <v>146</v>
      </c>
      <c r="I878" s="414">
        <v>45687.0</v>
      </c>
      <c r="J878" s="414">
        <v>45692.0</v>
      </c>
      <c r="K878" s="215" t="s">
        <v>4770</v>
      </c>
      <c r="L878" s="108"/>
      <c r="M878" s="119" t="s">
        <v>4764</v>
      </c>
      <c r="N878" s="119" t="s">
        <v>4765</v>
      </c>
      <c r="O878" s="534">
        <v>1.0</v>
      </c>
      <c r="P878" s="119" t="str">
        <f t="shared" si="37"/>
        <v>10.1177--0956797614554955.pdf</v>
      </c>
      <c r="Q878" s="1158" t="str">
        <f t="array" ref="Q878"> if(iserror(MATCH(V878, 'File Links'!C:C, 0)), "N/A", HYPERLINK(INDEX('File Links'!B:B, MATCH(P878, 'File Links'!C:C, 0))))</f>
        <v>https://drive.google.com/file/d/1epyBwvNQIzhoIzncHzNCghI35bEcM7FS/view?usp=drivesdk</v>
      </c>
      <c r="R878" s="119" t="s">
        <v>3646</v>
      </c>
      <c r="S878" s="119" t="s">
        <v>3647</v>
      </c>
      <c r="T878" s="108"/>
      <c r="U878" s="534">
        <v>1.0</v>
      </c>
      <c r="V878" s="119" t="str">
        <f t="shared" si="47"/>
        <v>10.1098--rsos.231240.pdf</v>
      </c>
      <c r="W878" s="119" t="s">
        <v>157</v>
      </c>
      <c r="X878" s="1159" t="str">
        <f t="array" ref="X878"> if(iserror(MATCH(V878, 'File Links'!C:C, 0)), "N/A", HYPERLINK(INDEX('File Links'!B:B, MATCH(V878, 'File Links'!C:C, 0))))</f>
        <v>https://drive.google.com/file/d/17gaf2Zy_ljFfcAEDk5L8GBnTl5i7RGJE/view?usp=drivesdk</v>
      </c>
      <c r="Y878" s="108"/>
      <c r="Z878" s="119" t="s">
        <v>219</v>
      </c>
      <c r="AA878" s="119" t="s">
        <v>4771</v>
      </c>
      <c r="AB878" s="119" t="s">
        <v>4772</v>
      </c>
      <c r="AC878" s="119" t="s">
        <v>4776</v>
      </c>
      <c r="AD878" s="119" t="s">
        <v>4777</v>
      </c>
      <c r="AE878" s="1106">
        <v>3.0</v>
      </c>
      <c r="AF878" s="534">
        <v>48.0</v>
      </c>
      <c r="AG878" s="1106">
        <v>2.27</v>
      </c>
      <c r="AH878" s="534" t="s">
        <v>980</v>
      </c>
      <c r="AI878" s="1106" t="s">
        <v>210</v>
      </c>
      <c r="AJ878" s="534">
        <v>0.001</v>
      </c>
      <c r="AK878" s="119" t="s">
        <v>128</v>
      </c>
      <c r="AL878" s="119" t="s">
        <v>179</v>
      </c>
      <c r="AM878" s="119" t="s">
        <v>134</v>
      </c>
      <c r="AN878" s="144" t="s">
        <v>131</v>
      </c>
      <c r="AO878" s="534">
        <v>95.0</v>
      </c>
      <c r="AP878" s="1106">
        <v>0.02278</v>
      </c>
      <c r="AQ878" s="534" t="s">
        <v>980</v>
      </c>
      <c r="AR878" s="534" t="s">
        <v>621</v>
      </c>
      <c r="AS878" s="534">
        <f> 6.28*10^-13</f>
        <v>0</v>
      </c>
      <c r="AT878" s="119" t="s">
        <v>128</v>
      </c>
      <c r="AU878" s="119" t="s">
        <v>179</v>
      </c>
      <c r="AV878" s="119" t="s">
        <v>134</v>
      </c>
      <c r="AW878" s="108"/>
      <c r="AX878" s="108" t="s">
        <v>144</v>
      </c>
      <c r="AY878" s="69"/>
      <c r="AZ878" s="108" t="s">
        <v>146</v>
      </c>
      <c r="BA878" s="69"/>
      <c r="BB878" s="69"/>
      <c r="BC878" s="69"/>
      <c r="BD878" s="69"/>
      <c r="BE878" s="69"/>
      <c r="BF878" s="69"/>
      <c r="BG878" s="69"/>
      <c r="BH878" s="69"/>
      <c r="BI878" s="69"/>
      <c r="BJ878" s="69"/>
      <c r="BK878" s="69"/>
      <c r="BL878" s="69"/>
      <c r="BM878" s="69"/>
      <c r="BN878" s="69"/>
      <c r="BO878" s="69"/>
      <c r="BP878" s="69"/>
      <c r="BQ878" s="69"/>
      <c r="BR878" s="69"/>
      <c r="BS878" s="69"/>
      <c r="BT878" s="69"/>
      <c r="BU878" s="69"/>
      <c r="BV878" s="69"/>
      <c r="BW878" s="69"/>
      <c r="BX878" s="69"/>
      <c r="BY878" s="69"/>
      <c r="BZ878" s="69"/>
      <c r="CA878" s="69"/>
      <c r="CB878" s="69"/>
      <c r="CC878" s="69"/>
      <c r="CD878" s="69"/>
      <c r="CE878" s="69"/>
      <c r="CF878" s="69"/>
      <c r="CG878" s="69"/>
      <c r="CH878" s="69"/>
      <c r="CI878" s="69"/>
      <c r="CJ878" s="69"/>
      <c r="CK878" s="69"/>
      <c r="CL878" s="69"/>
      <c r="CM878" s="69"/>
      <c r="CN878" s="69"/>
      <c r="CO878" s="69"/>
      <c r="CP878" s="69"/>
      <c r="CQ878" s="69"/>
      <c r="CR878" s="69"/>
      <c r="CS878" s="69"/>
      <c r="CT878" s="69"/>
      <c r="CU878" s="69"/>
      <c r="CV878" s="69"/>
      <c r="CW878" s="69"/>
      <c r="CX878" s="69"/>
      <c r="CY878" s="69"/>
      <c r="CZ878" s="69"/>
      <c r="DA878" s="69"/>
      <c r="DB878" s="69"/>
      <c r="DC878" s="69"/>
      <c r="DD878" s="69"/>
      <c r="DE878" s="69"/>
      <c r="DF878" s="69"/>
      <c r="DG878" s="69"/>
      <c r="DH878" s="69"/>
    </row>
    <row r="879">
      <c r="A879" s="107">
        <v>879.0</v>
      </c>
      <c r="B879" s="144" t="s">
        <v>4516</v>
      </c>
      <c r="C879" s="146" t="s">
        <v>108</v>
      </c>
      <c r="D879" s="146" t="s">
        <v>146</v>
      </c>
      <c r="E879" s="69"/>
      <c r="F879" s="108" t="s">
        <v>4762</v>
      </c>
      <c r="G879" s="119" t="s">
        <v>4778</v>
      </c>
      <c r="H879" s="119" t="s">
        <v>146</v>
      </c>
      <c r="I879" s="414">
        <v>45687.0</v>
      </c>
      <c r="J879" s="414">
        <v>45692.0</v>
      </c>
      <c r="K879" s="215" t="s">
        <v>4770</v>
      </c>
      <c r="L879" s="108"/>
      <c r="M879" s="119" t="s">
        <v>4764</v>
      </c>
      <c r="N879" s="119" t="s">
        <v>4765</v>
      </c>
      <c r="O879" s="534">
        <v>1.0</v>
      </c>
      <c r="P879" s="119" t="str">
        <f t="shared" si="37"/>
        <v>10.1177--0956797614554955.pdf</v>
      </c>
      <c r="Q879" s="1158" t="str">
        <f t="array" ref="Q879"> if(iserror(MATCH(V879, 'File Links'!C:C, 0)), "N/A", HYPERLINK(INDEX('File Links'!B:B, MATCH(P879, 'File Links'!C:C, 0))))</f>
        <v>https://drive.google.com/file/d/1epyBwvNQIzhoIzncHzNCghI35bEcM7FS/view?usp=drivesdk</v>
      </c>
      <c r="R879" s="119" t="s">
        <v>3646</v>
      </c>
      <c r="S879" s="119" t="s">
        <v>3647</v>
      </c>
      <c r="T879" s="108"/>
      <c r="U879" s="534">
        <v>1.0</v>
      </c>
      <c r="V879" s="119" t="str">
        <f t="shared" si="47"/>
        <v>10.1098--rsos.231240.pdf</v>
      </c>
      <c r="W879" s="119" t="s">
        <v>157</v>
      </c>
      <c r="X879" s="1159" t="str">
        <f t="array" ref="X879"> if(iserror(MATCH(V879, 'File Links'!C:C, 0)), "N/A", HYPERLINK(INDEX('File Links'!B:B, MATCH(V879, 'File Links'!C:C, 0))))</f>
        <v>https://drive.google.com/file/d/17gaf2Zy_ljFfcAEDk5L8GBnTl5i7RGJE/view?usp=drivesdk</v>
      </c>
      <c r="Y879" s="108"/>
      <c r="Z879" s="119" t="s">
        <v>219</v>
      </c>
      <c r="AA879" s="119" t="s">
        <v>4771</v>
      </c>
      <c r="AB879" s="119" t="s">
        <v>4772</v>
      </c>
      <c r="AC879" s="119" t="s">
        <v>4779</v>
      </c>
      <c r="AD879" s="119" t="s">
        <v>4780</v>
      </c>
      <c r="AE879" s="1106">
        <v>3.0</v>
      </c>
      <c r="AF879" s="534">
        <v>48.0</v>
      </c>
      <c r="AG879" s="1106">
        <v>-1.09</v>
      </c>
      <c r="AH879" s="534" t="s">
        <v>980</v>
      </c>
      <c r="AI879" s="1106" t="s">
        <v>210</v>
      </c>
      <c r="AJ879" s="534">
        <v>0.001</v>
      </c>
      <c r="AK879" s="119" t="s">
        <v>128</v>
      </c>
      <c r="AL879" s="119" t="s">
        <v>179</v>
      </c>
      <c r="AM879" s="119" t="s">
        <v>134</v>
      </c>
      <c r="AN879" s="144" t="s">
        <v>131</v>
      </c>
      <c r="AO879" s="534">
        <v>95.0</v>
      </c>
      <c r="AP879" s="1106">
        <v>-1.786E-4</v>
      </c>
      <c r="AQ879" s="534" t="s">
        <v>980</v>
      </c>
      <c r="AR879" s="534" t="s">
        <v>621</v>
      </c>
      <c r="AS879" s="534">
        <v>3.63E-4</v>
      </c>
      <c r="AT879" s="119" t="s">
        <v>165</v>
      </c>
      <c r="AU879" s="119" t="s">
        <v>179</v>
      </c>
      <c r="AV879" s="119" t="s">
        <v>134</v>
      </c>
      <c r="AW879" s="108"/>
      <c r="AX879" s="108" t="s">
        <v>144</v>
      </c>
      <c r="AY879" s="69"/>
      <c r="AZ879" s="108" t="s">
        <v>146</v>
      </c>
      <c r="BA879" s="69"/>
      <c r="BB879" s="69"/>
      <c r="BC879" s="69"/>
      <c r="BD879" s="69"/>
      <c r="BE879" s="69"/>
      <c r="BF879" s="69"/>
      <c r="BG879" s="69"/>
      <c r="BH879" s="69"/>
      <c r="BI879" s="69"/>
      <c r="BJ879" s="69"/>
      <c r="BK879" s="69"/>
      <c r="BL879" s="69"/>
      <c r="BM879" s="69"/>
      <c r="BN879" s="69"/>
      <c r="BO879" s="69"/>
      <c r="BP879" s="69"/>
      <c r="BQ879" s="69"/>
      <c r="BR879" s="69"/>
      <c r="BS879" s="69"/>
      <c r="BT879" s="69"/>
      <c r="BU879" s="69"/>
      <c r="BV879" s="69"/>
      <c r="BW879" s="69"/>
      <c r="BX879" s="69"/>
      <c r="BY879" s="69"/>
      <c r="BZ879" s="69"/>
      <c r="CA879" s="69"/>
      <c r="CB879" s="69"/>
      <c r="CC879" s="69"/>
      <c r="CD879" s="69"/>
      <c r="CE879" s="69"/>
      <c r="CF879" s="69"/>
      <c r="CG879" s="69"/>
      <c r="CH879" s="69"/>
      <c r="CI879" s="69"/>
      <c r="CJ879" s="69"/>
      <c r="CK879" s="69"/>
      <c r="CL879" s="69"/>
      <c r="CM879" s="69"/>
      <c r="CN879" s="69"/>
      <c r="CO879" s="69"/>
      <c r="CP879" s="69"/>
      <c r="CQ879" s="69"/>
      <c r="CR879" s="69"/>
      <c r="CS879" s="69"/>
      <c r="CT879" s="69"/>
      <c r="CU879" s="69"/>
      <c r="CV879" s="69"/>
      <c r="CW879" s="69"/>
      <c r="CX879" s="69"/>
      <c r="CY879" s="69"/>
      <c r="CZ879" s="69"/>
      <c r="DA879" s="69"/>
      <c r="DB879" s="69"/>
      <c r="DC879" s="69"/>
      <c r="DD879" s="69"/>
      <c r="DE879" s="69"/>
      <c r="DF879" s="69"/>
      <c r="DG879" s="69"/>
      <c r="DH879" s="69"/>
    </row>
    <row r="880">
      <c r="A880" s="107">
        <v>880.0</v>
      </c>
      <c r="B880" s="144" t="s">
        <v>4516</v>
      </c>
      <c r="C880" s="146" t="s">
        <v>108</v>
      </c>
      <c r="D880" s="146" t="s">
        <v>146</v>
      </c>
      <c r="E880" s="69"/>
      <c r="F880" s="108" t="s">
        <v>4762</v>
      </c>
      <c r="G880" s="119" t="s">
        <v>4781</v>
      </c>
      <c r="H880" s="119" t="s">
        <v>146</v>
      </c>
      <c r="I880" s="414">
        <v>45687.0</v>
      </c>
      <c r="J880" s="414">
        <v>45692.0</v>
      </c>
      <c r="K880" s="215" t="s">
        <v>4770</v>
      </c>
      <c r="L880" s="108"/>
      <c r="M880" s="119" t="s">
        <v>4764</v>
      </c>
      <c r="N880" s="119" t="s">
        <v>4765</v>
      </c>
      <c r="O880" s="534">
        <v>1.0</v>
      </c>
      <c r="P880" s="119" t="str">
        <f t="shared" si="37"/>
        <v>10.1177--0956797614554955.pdf</v>
      </c>
      <c r="Q880" s="1158" t="str">
        <f t="array" ref="Q880"> if(iserror(MATCH(V880, 'File Links'!C:C, 0)), "N/A", HYPERLINK(INDEX('File Links'!B:B, MATCH(P880, 'File Links'!C:C, 0))))</f>
        <v>https://drive.google.com/file/d/1epyBwvNQIzhoIzncHzNCghI35bEcM7FS/view?usp=drivesdk</v>
      </c>
      <c r="R880" s="119" t="s">
        <v>3646</v>
      </c>
      <c r="S880" s="119" t="s">
        <v>3647</v>
      </c>
      <c r="T880" s="108"/>
      <c r="U880" s="534">
        <v>1.0</v>
      </c>
      <c r="V880" s="119" t="str">
        <f t="shared" si="47"/>
        <v>10.1098--rsos.231240.pdf</v>
      </c>
      <c r="W880" s="119" t="s">
        <v>157</v>
      </c>
      <c r="X880" s="1159" t="str">
        <f t="array" ref="X880"> if(iserror(MATCH(V880, 'File Links'!C:C, 0)), "N/A", HYPERLINK(INDEX('File Links'!B:B, MATCH(V880, 'File Links'!C:C, 0))))</f>
        <v>https://drive.google.com/file/d/17gaf2Zy_ljFfcAEDk5L8GBnTl5i7RGJE/view?usp=drivesdk</v>
      </c>
      <c r="Y880" s="108"/>
      <c r="Z880" s="119" t="s">
        <v>219</v>
      </c>
      <c r="AA880" s="119" t="s">
        <v>4771</v>
      </c>
      <c r="AB880" s="119" t="s">
        <v>4772</v>
      </c>
      <c r="AC880" s="119" t="s">
        <v>4782</v>
      </c>
      <c r="AD880" s="119" t="s">
        <v>4783</v>
      </c>
      <c r="AE880" s="1106">
        <v>3.0</v>
      </c>
      <c r="AF880" s="534">
        <v>48.0</v>
      </c>
      <c r="AG880" s="1106">
        <v>0.34</v>
      </c>
      <c r="AH880" s="534" t="s">
        <v>980</v>
      </c>
      <c r="AI880" s="1106" t="s">
        <v>210</v>
      </c>
      <c r="AJ880" s="1106">
        <v>0.03</v>
      </c>
      <c r="AK880" s="119" t="s">
        <v>128</v>
      </c>
      <c r="AL880" s="119" t="s">
        <v>179</v>
      </c>
      <c r="AM880" s="119" t="s">
        <v>134</v>
      </c>
      <c r="AN880" s="144" t="s">
        <v>131</v>
      </c>
      <c r="AO880" s="534">
        <v>95.0</v>
      </c>
      <c r="AP880" s="1106">
        <v>-0.0195</v>
      </c>
      <c r="AQ880" s="534" t="s">
        <v>980</v>
      </c>
      <c r="AR880" s="534" t="s">
        <v>621</v>
      </c>
      <c r="AS880" s="534">
        <f>1.23*10^-9</f>
        <v>0.00000000123</v>
      </c>
      <c r="AT880" s="119" t="s">
        <v>128</v>
      </c>
      <c r="AU880" s="119" t="s">
        <v>179</v>
      </c>
      <c r="AV880" s="119" t="s">
        <v>134</v>
      </c>
      <c r="AW880" s="108"/>
      <c r="AX880" s="108" t="s">
        <v>144</v>
      </c>
      <c r="AY880" s="69"/>
      <c r="AZ880" s="108" t="s">
        <v>146</v>
      </c>
      <c r="BA880" s="69"/>
      <c r="BB880" s="69"/>
      <c r="BC880" s="69"/>
      <c r="BD880" s="69"/>
      <c r="BE880" s="69"/>
      <c r="BF880" s="69"/>
      <c r="BG880" s="69"/>
      <c r="BH880" s="69"/>
      <c r="BI880" s="69"/>
      <c r="BJ880" s="69"/>
      <c r="BK880" s="69"/>
      <c r="BL880" s="69"/>
      <c r="BM880" s="69"/>
      <c r="BN880" s="69"/>
      <c r="BO880" s="69"/>
      <c r="BP880" s="69"/>
      <c r="BQ880" s="69"/>
      <c r="BR880" s="69"/>
      <c r="BS880" s="69"/>
      <c r="BT880" s="69"/>
      <c r="BU880" s="69"/>
      <c r="BV880" s="69"/>
      <c r="BW880" s="69"/>
      <c r="BX880" s="69"/>
      <c r="BY880" s="69"/>
      <c r="BZ880" s="69"/>
      <c r="CA880" s="69"/>
      <c r="CB880" s="69"/>
      <c r="CC880" s="69"/>
      <c r="CD880" s="69"/>
      <c r="CE880" s="69"/>
      <c r="CF880" s="69"/>
      <c r="CG880" s="69"/>
      <c r="CH880" s="69"/>
      <c r="CI880" s="69"/>
      <c r="CJ880" s="69"/>
      <c r="CK880" s="69"/>
      <c r="CL880" s="69"/>
      <c r="CM880" s="69"/>
      <c r="CN880" s="69"/>
      <c r="CO880" s="69"/>
      <c r="CP880" s="69"/>
      <c r="CQ880" s="69"/>
      <c r="CR880" s="69"/>
      <c r="CS880" s="69"/>
      <c r="CT880" s="69"/>
      <c r="CU880" s="69"/>
      <c r="CV880" s="69"/>
      <c r="CW880" s="69"/>
      <c r="CX880" s="69"/>
      <c r="CY880" s="69"/>
      <c r="CZ880" s="69"/>
      <c r="DA880" s="69"/>
      <c r="DB880" s="69"/>
      <c r="DC880" s="69"/>
      <c r="DD880" s="69"/>
      <c r="DE880" s="69"/>
      <c r="DF880" s="69"/>
      <c r="DG880" s="69"/>
      <c r="DH880" s="69"/>
    </row>
    <row r="881">
      <c r="A881" s="107">
        <v>881.0</v>
      </c>
      <c r="B881" s="144" t="s">
        <v>4516</v>
      </c>
      <c r="C881" s="146" t="s">
        <v>108</v>
      </c>
      <c r="D881" s="146" t="s">
        <v>146</v>
      </c>
      <c r="E881" s="69"/>
      <c r="F881" s="108" t="s">
        <v>4762</v>
      </c>
      <c r="G881" s="119" t="s">
        <v>4784</v>
      </c>
      <c r="H881" s="119" t="s">
        <v>146</v>
      </c>
      <c r="I881" s="414">
        <v>45687.0</v>
      </c>
      <c r="J881" s="414">
        <v>45692.0</v>
      </c>
      <c r="K881" s="215" t="s">
        <v>4770</v>
      </c>
      <c r="L881" s="108"/>
      <c r="M881" s="119" t="s">
        <v>4764</v>
      </c>
      <c r="N881" s="119" t="s">
        <v>4765</v>
      </c>
      <c r="O881" s="534">
        <v>1.0</v>
      </c>
      <c r="P881" s="119" t="str">
        <f t="shared" si="37"/>
        <v>10.1177--0956797614554955.pdf</v>
      </c>
      <c r="Q881" s="1158" t="str">
        <f t="array" ref="Q881"> if(iserror(MATCH(V881, 'File Links'!C:C, 0)), "N/A", HYPERLINK(INDEX('File Links'!B:B, MATCH(P881, 'File Links'!C:C, 0))))</f>
        <v>https://drive.google.com/file/d/1epyBwvNQIzhoIzncHzNCghI35bEcM7FS/view?usp=drivesdk</v>
      </c>
      <c r="R881" s="119" t="s">
        <v>3646</v>
      </c>
      <c r="S881" s="119" t="s">
        <v>3647</v>
      </c>
      <c r="T881" s="108"/>
      <c r="U881" s="534">
        <v>1.0</v>
      </c>
      <c r="V881" s="119" t="str">
        <f t="shared" si="47"/>
        <v>10.1098--rsos.231240.pdf</v>
      </c>
      <c r="W881" s="119" t="s">
        <v>157</v>
      </c>
      <c r="X881" s="1159" t="str">
        <f t="array" ref="X881"> if(iserror(MATCH(V881, 'File Links'!C:C, 0)), "N/A", HYPERLINK(INDEX('File Links'!B:B, MATCH(V881, 'File Links'!C:C, 0))))</f>
        <v>https://drive.google.com/file/d/17gaf2Zy_ljFfcAEDk5L8GBnTl5i7RGJE/view?usp=drivesdk</v>
      </c>
      <c r="Y881" s="108"/>
      <c r="Z881" s="119" t="s">
        <v>219</v>
      </c>
      <c r="AA881" s="119" t="s">
        <v>4771</v>
      </c>
      <c r="AB881" s="119" t="s">
        <v>4772</v>
      </c>
      <c r="AC881" s="119" t="s">
        <v>4785</v>
      </c>
      <c r="AD881" s="119" t="s">
        <v>4786</v>
      </c>
      <c r="AE881" s="1106">
        <v>3.0</v>
      </c>
      <c r="AF881" s="534">
        <v>48.0</v>
      </c>
      <c r="AG881" s="1106">
        <v>-1.54</v>
      </c>
      <c r="AH881" s="534" t="s">
        <v>980</v>
      </c>
      <c r="AI881" s="1106" t="s">
        <v>210</v>
      </c>
      <c r="AJ881" s="1106">
        <v>0.001</v>
      </c>
      <c r="AK881" s="119" t="s">
        <v>128</v>
      </c>
      <c r="AL881" s="119" t="s">
        <v>129</v>
      </c>
      <c r="AM881" s="108" t="s">
        <v>130</v>
      </c>
      <c r="AN881" s="144" t="s">
        <v>131</v>
      </c>
      <c r="AO881" s="534">
        <v>95.0</v>
      </c>
      <c r="AP881" s="1106">
        <v>9.845E-5</v>
      </c>
      <c r="AQ881" s="534" t="s">
        <v>980</v>
      </c>
      <c r="AR881" s="534" t="s">
        <v>621</v>
      </c>
      <c r="AS881" s="534">
        <v>0.098598</v>
      </c>
      <c r="AT881" s="119" t="s">
        <v>165</v>
      </c>
      <c r="AU881" s="119" t="s">
        <v>179</v>
      </c>
      <c r="AV881" s="119" t="s">
        <v>134</v>
      </c>
      <c r="AW881" s="108"/>
      <c r="AX881" s="108" t="s">
        <v>144</v>
      </c>
      <c r="AY881" s="69"/>
      <c r="AZ881" s="108" t="s">
        <v>146</v>
      </c>
      <c r="BA881" s="69"/>
      <c r="BB881" s="69"/>
      <c r="BC881" s="69"/>
      <c r="BD881" s="69"/>
      <c r="BE881" s="69"/>
      <c r="BF881" s="69"/>
      <c r="BG881" s="69"/>
      <c r="BH881" s="69"/>
      <c r="BI881" s="69"/>
      <c r="BJ881" s="69"/>
      <c r="BK881" s="69"/>
      <c r="BL881" s="69"/>
      <c r="BM881" s="69"/>
      <c r="BN881" s="69"/>
      <c r="BO881" s="69"/>
      <c r="BP881" s="69"/>
      <c r="BQ881" s="69"/>
      <c r="BR881" s="69"/>
      <c r="BS881" s="69"/>
      <c r="BT881" s="69"/>
      <c r="BU881" s="69"/>
      <c r="BV881" s="69"/>
      <c r="BW881" s="69"/>
      <c r="BX881" s="69"/>
      <c r="BY881" s="69"/>
      <c r="BZ881" s="69"/>
      <c r="CA881" s="69"/>
      <c r="CB881" s="69"/>
      <c r="CC881" s="69"/>
      <c r="CD881" s="69"/>
      <c r="CE881" s="69"/>
      <c r="CF881" s="69"/>
      <c r="CG881" s="69"/>
      <c r="CH881" s="69"/>
      <c r="CI881" s="69"/>
      <c r="CJ881" s="69"/>
      <c r="CK881" s="69"/>
      <c r="CL881" s="69"/>
      <c r="CM881" s="69"/>
      <c r="CN881" s="69"/>
      <c r="CO881" s="69"/>
      <c r="CP881" s="69"/>
      <c r="CQ881" s="69"/>
      <c r="CR881" s="69"/>
      <c r="CS881" s="69"/>
      <c r="CT881" s="69"/>
      <c r="CU881" s="69"/>
      <c r="CV881" s="69"/>
      <c r="CW881" s="69"/>
      <c r="CX881" s="69"/>
      <c r="CY881" s="69"/>
      <c r="CZ881" s="69"/>
      <c r="DA881" s="69"/>
      <c r="DB881" s="69"/>
      <c r="DC881" s="69"/>
      <c r="DD881" s="69"/>
      <c r="DE881" s="69"/>
      <c r="DF881" s="69"/>
      <c r="DG881" s="69"/>
      <c r="DH881" s="69"/>
    </row>
    <row r="882">
      <c r="A882" s="107">
        <v>882.0</v>
      </c>
      <c r="B882" s="144" t="s">
        <v>4516</v>
      </c>
      <c r="C882" s="146" t="s">
        <v>108</v>
      </c>
      <c r="D882" s="146" t="s">
        <v>146</v>
      </c>
      <c r="E882" s="69"/>
      <c r="F882" s="108" t="s">
        <v>4762</v>
      </c>
      <c r="G882" s="119" t="s">
        <v>4787</v>
      </c>
      <c r="H882" s="119" t="s">
        <v>146</v>
      </c>
      <c r="I882" s="414">
        <v>45687.0</v>
      </c>
      <c r="J882" s="414">
        <v>45692.0</v>
      </c>
      <c r="K882" s="215" t="s">
        <v>4770</v>
      </c>
      <c r="L882" s="108"/>
      <c r="M882" s="119" t="s">
        <v>4764</v>
      </c>
      <c r="N882" s="119" t="s">
        <v>4765</v>
      </c>
      <c r="O882" s="534">
        <v>1.0</v>
      </c>
      <c r="P882" s="119" t="str">
        <f t="shared" si="37"/>
        <v>10.1177--0956797614554955.pdf</v>
      </c>
      <c r="Q882" s="1158" t="str">
        <f t="array" ref="Q882"> if(iserror(MATCH(V882, 'File Links'!C:C, 0)), "N/A", HYPERLINK(INDEX('File Links'!B:B, MATCH(P882, 'File Links'!C:C, 0))))</f>
        <v>https://drive.google.com/file/d/1epyBwvNQIzhoIzncHzNCghI35bEcM7FS/view?usp=drivesdk</v>
      </c>
      <c r="R882" s="119" t="s">
        <v>3646</v>
      </c>
      <c r="S882" s="119" t="s">
        <v>3647</v>
      </c>
      <c r="T882" s="108"/>
      <c r="U882" s="534">
        <v>1.0</v>
      </c>
      <c r="V882" s="119" t="str">
        <f t="shared" si="47"/>
        <v>10.1098--rsos.231240.pdf</v>
      </c>
      <c r="W882" s="119" t="s">
        <v>157</v>
      </c>
      <c r="X882" s="1159" t="str">
        <f t="array" ref="X882"> if(iserror(MATCH(V882, 'File Links'!C:C, 0)), "N/A", HYPERLINK(INDEX('File Links'!B:B, MATCH(V882, 'File Links'!C:C, 0))))</f>
        <v>https://drive.google.com/file/d/17gaf2Zy_ljFfcAEDk5L8GBnTl5i7RGJE/view?usp=drivesdk</v>
      </c>
      <c r="Y882" s="108"/>
      <c r="Z882" s="119" t="s">
        <v>219</v>
      </c>
      <c r="AA882" s="119" t="s">
        <v>4771</v>
      </c>
      <c r="AB882" s="119" t="s">
        <v>4772</v>
      </c>
      <c r="AC882" s="119" t="s">
        <v>4788</v>
      </c>
      <c r="AD882" s="119" t="s">
        <v>4789</v>
      </c>
      <c r="AE882" s="1106">
        <v>3.0</v>
      </c>
      <c r="AF882" s="534">
        <v>48.0</v>
      </c>
      <c r="AG882" s="1106">
        <v>-0.26</v>
      </c>
      <c r="AH882" s="534" t="s">
        <v>980</v>
      </c>
      <c r="AI882" s="1106" t="s">
        <v>210</v>
      </c>
      <c r="AJ882" s="1106">
        <v>0.001</v>
      </c>
      <c r="AK882" s="119" t="s">
        <v>128</v>
      </c>
      <c r="AL882" s="119" t="s">
        <v>129</v>
      </c>
      <c r="AM882" s="108" t="s">
        <v>130</v>
      </c>
      <c r="AN882" s="144" t="s">
        <v>131</v>
      </c>
      <c r="AO882" s="534">
        <v>95.0</v>
      </c>
      <c r="AP882" s="1106">
        <v>-0.09845</v>
      </c>
      <c r="AQ882" s="534" t="s">
        <v>980</v>
      </c>
      <c r="AR882" s="534" t="s">
        <v>621</v>
      </c>
      <c r="AS882" s="534">
        <v>0.207203</v>
      </c>
      <c r="AT882" s="119" t="s">
        <v>165</v>
      </c>
      <c r="AU882" s="119" t="s">
        <v>179</v>
      </c>
      <c r="AV882" s="119" t="s">
        <v>134</v>
      </c>
      <c r="AW882" s="108"/>
      <c r="AX882" s="108" t="s">
        <v>144</v>
      </c>
      <c r="AY882" s="69"/>
      <c r="AZ882" s="108" t="s">
        <v>146</v>
      </c>
      <c r="BA882" s="69"/>
      <c r="BB882" s="69"/>
      <c r="BC882" s="69"/>
      <c r="BD882" s="69"/>
      <c r="BE882" s="69"/>
      <c r="BF882" s="69"/>
      <c r="BG882" s="69"/>
      <c r="BH882" s="69"/>
      <c r="BI882" s="69"/>
      <c r="BJ882" s="69"/>
      <c r="BK882" s="69"/>
      <c r="BL882" s="69"/>
      <c r="BM882" s="69"/>
      <c r="BN882" s="69"/>
      <c r="BO882" s="69"/>
      <c r="BP882" s="69"/>
      <c r="BQ882" s="69"/>
      <c r="BR882" s="69"/>
      <c r="BS882" s="69"/>
      <c r="BT882" s="69"/>
      <c r="BU882" s="69"/>
      <c r="BV882" s="69"/>
      <c r="BW882" s="69"/>
      <c r="BX882" s="69"/>
      <c r="BY882" s="69"/>
      <c r="BZ882" s="69"/>
      <c r="CA882" s="69"/>
      <c r="CB882" s="69"/>
      <c r="CC882" s="69"/>
      <c r="CD882" s="69"/>
      <c r="CE882" s="69"/>
      <c r="CF882" s="69"/>
      <c r="CG882" s="69"/>
      <c r="CH882" s="69"/>
      <c r="CI882" s="69"/>
      <c r="CJ882" s="69"/>
      <c r="CK882" s="69"/>
      <c r="CL882" s="69"/>
      <c r="CM882" s="69"/>
      <c r="CN882" s="69"/>
      <c r="CO882" s="69"/>
      <c r="CP882" s="69"/>
      <c r="CQ882" s="69"/>
      <c r="CR882" s="69"/>
      <c r="CS882" s="69"/>
      <c r="CT882" s="69"/>
      <c r="CU882" s="69"/>
      <c r="CV882" s="69"/>
      <c r="CW882" s="69"/>
      <c r="CX882" s="69"/>
      <c r="CY882" s="69"/>
      <c r="CZ882" s="69"/>
      <c r="DA882" s="69"/>
      <c r="DB882" s="69"/>
      <c r="DC882" s="69"/>
      <c r="DD882" s="69"/>
      <c r="DE882" s="69"/>
      <c r="DF882" s="69"/>
      <c r="DG882" s="69"/>
      <c r="DH882" s="69"/>
    </row>
    <row r="883">
      <c r="A883" s="1224">
        <v>883.0</v>
      </c>
      <c r="B883" s="1225" t="s">
        <v>107</v>
      </c>
      <c r="C883" s="1226" t="s">
        <v>108</v>
      </c>
      <c r="D883" s="1226" t="s">
        <v>241</v>
      </c>
      <c r="E883" s="1227"/>
      <c r="F883" s="1228" t="s">
        <v>4790</v>
      </c>
      <c r="G883" s="1228" t="s">
        <v>4791</v>
      </c>
      <c r="H883" s="1228" t="s">
        <v>242</v>
      </c>
      <c r="I883" s="1229">
        <v>45672.0</v>
      </c>
      <c r="J883" s="1229">
        <v>45692.0</v>
      </c>
      <c r="K883" s="1225"/>
      <c r="L883" s="1225" t="s">
        <v>3683</v>
      </c>
      <c r="M883" s="1228" t="s">
        <v>4792</v>
      </c>
      <c r="N883" s="1230" t="s">
        <v>4793</v>
      </c>
      <c r="O883" s="1225"/>
      <c r="P883" s="1228" t="str">
        <f t="shared" si="37"/>
        <v>10.1037xge0000738.pdf</v>
      </c>
      <c r="Q883" s="1231" t="str">
        <f t="array" ref="Q883"> if(iserror(MATCH(V883, 'File Links'!C:C, 0)), "N/A", HYPERLINK(INDEX('File Links'!B:B, MATCH(P883, 'File Links'!C:C, 0))))</f>
        <v>https://drive.google.com/file/d/1vqDYyUya1hGxUO3xOXp-fS4z5QiC8jwH/view?usp=drivesdk</v>
      </c>
      <c r="R883" s="1228" t="s">
        <v>3646</v>
      </c>
      <c r="S883" s="1228" t="s">
        <v>3647</v>
      </c>
      <c r="T883" s="1225"/>
      <c r="U883" s="1232">
        <v>1.0</v>
      </c>
      <c r="V883" s="1228" t="str">
        <f t="shared" si="47"/>
        <v>10.1098--rsos.231240.pdf</v>
      </c>
      <c r="W883" s="1228" t="s">
        <v>317</v>
      </c>
      <c r="X883" s="1233" t="str">
        <f t="array" ref="X883"> if(iserror(MATCH(V883, 'File Links'!C:C, 0)), "N/A", HYPERLINK(INDEX('File Links'!B:B, MATCH(V883, 'File Links'!C:C, 0))))</f>
        <v>https://drive.google.com/file/d/17gaf2Zy_ljFfcAEDk5L8GBnTl5i7RGJE/view?usp=drivesdk</v>
      </c>
      <c r="Y883" s="1225"/>
      <c r="Z883" s="1228" t="s">
        <v>219</v>
      </c>
      <c r="AA883" s="1225"/>
      <c r="AB883" s="1228" t="s">
        <v>4794</v>
      </c>
      <c r="AC883" s="1225"/>
      <c r="AD883" s="1228" t="s">
        <v>4795</v>
      </c>
      <c r="AE883" s="1234">
        <v>1742.0</v>
      </c>
      <c r="AF883" s="1232">
        <v>223.0</v>
      </c>
      <c r="AG883" s="1232">
        <v>0.4</v>
      </c>
      <c r="AH883" s="1228" t="s">
        <v>166</v>
      </c>
      <c r="AI883" s="1235" t="s">
        <v>4796</v>
      </c>
      <c r="AJ883" s="1232">
        <v>0.004</v>
      </c>
      <c r="AK883" s="1228" t="s">
        <v>165</v>
      </c>
      <c r="AL883" s="1228" t="s">
        <v>129</v>
      </c>
      <c r="AM883" s="1228" t="s">
        <v>134</v>
      </c>
      <c r="AN883" s="1236" t="s">
        <v>4797</v>
      </c>
      <c r="AO883" s="1232">
        <v>194.0</v>
      </c>
      <c r="AP883" s="1237">
        <v>0.145882726528282</v>
      </c>
      <c r="AQ883" s="1228" t="s">
        <v>166</v>
      </c>
      <c r="AR883" s="1150" t="s">
        <v>4113</v>
      </c>
      <c r="AS883" s="1237">
        <v>0.044079512790297</v>
      </c>
      <c r="AT883" s="1228" t="s">
        <v>165</v>
      </c>
      <c r="AU883" s="1228" t="s">
        <v>179</v>
      </c>
      <c r="AV883" s="1228" t="s">
        <v>134</v>
      </c>
      <c r="AW883" s="1077" t="s">
        <v>131</v>
      </c>
      <c r="AX883" s="1228" t="s">
        <v>136</v>
      </c>
      <c r="AY883" s="1227"/>
      <c r="AZ883" s="1225" t="s">
        <v>146</v>
      </c>
      <c r="BA883" s="1227"/>
      <c r="BB883" s="1227"/>
      <c r="BC883" s="1227"/>
      <c r="BD883" s="1227"/>
      <c r="BE883" s="1227"/>
      <c r="BF883" s="1227"/>
      <c r="BG883" s="1227"/>
      <c r="BH883" s="1227"/>
      <c r="BI883" s="1227"/>
      <c r="BJ883" s="1227"/>
      <c r="BK883" s="1227"/>
      <c r="BL883" s="1227"/>
      <c r="BM883" s="1227"/>
      <c r="BN883" s="1227"/>
      <c r="BO883" s="1227"/>
      <c r="BP883" s="1227"/>
      <c r="BQ883" s="1227"/>
      <c r="BR883" s="1227"/>
      <c r="BS883" s="1227"/>
      <c r="BT883" s="1227"/>
      <c r="BU883" s="1227"/>
      <c r="BV883" s="1227"/>
      <c r="BW883" s="1227"/>
      <c r="BX883" s="1227"/>
      <c r="BY883" s="1227"/>
      <c r="BZ883" s="1227"/>
      <c r="CA883" s="1227"/>
      <c r="CB883" s="1227"/>
      <c r="CC883" s="1227"/>
      <c r="CD883" s="1227"/>
      <c r="CE883" s="1227"/>
      <c r="CF883" s="1227"/>
      <c r="CG883" s="1227"/>
      <c r="CH883" s="1227"/>
      <c r="CI883" s="1227"/>
      <c r="CJ883" s="1227"/>
      <c r="CK883" s="1227"/>
      <c r="CL883" s="1227"/>
      <c r="CM883" s="1227"/>
      <c r="CN883" s="1227"/>
      <c r="CO883" s="1227"/>
      <c r="CP883" s="1227"/>
      <c r="CQ883" s="1227"/>
      <c r="CR883" s="1227"/>
      <c r="CS883" s="1227"/>
      <c r="CT883" s="1227"/>
      <c r="CU883" s="1227"/>
      <c r="CV883" s="1227"/>
      <c r="CW883" s="1227"/>
      <c r="CX883" s="1227"/>
      <c r="CY883" s="1227"/>
      <c r="CZ883" s="1227"/>
      <c r="DA883" s="1227"/>
      <c r="DB883" s="1227"/>
      <c r="DC883" s="1227"/>
      <c r="DD883" s="1227"/>
      <c r="DE883" s="1227"/>
      <c r="DF883" s="1227"/>
      <c r="DG883" s="1227"/>
      <c r="DH883" s="1227"/>
    </row>
    <row r="884">
      <c r="A884" s="1224">
        <v>884.0</v>
      </c>
      <c r="B884" s="1077" t="s">
        <v>145</v>
      </c>
      <c r="C884" s="1226" t="s">
        <v>108</v>
      </c>
      <c r="D884" s="1226" t="s">
        <v>146</v>
      </c>
      <c r="E884" s="1227"/>
      <c r="F884" s="1225" t="s">
        <v>4791</v>
      </c>
      <c r="G884" s="1228" t="s">
        <v>4790</v>
      </c>
      <c r="H884" s="1228" t="s">
        <v>146</v>
      </c>
      <c r="I884" s="1229">
        <v>45687.0</v>
      </c>
      <c r="J884" s="1229">
        <v>45692.0</v>
      </c>
      <c r="K884" s="1238" t="s">
        <v>4798</v>
      </c>
      <c r="L884" s="1225"/>
      <c r="M884" s="1228" t="s">
        <v>4792</v>
      </c>
      <c r="N884" s="1077" t="s">
        <v>4793</v>
      </c>
      <c r="O884" s="1232">
        <v>3.0</v>
      </c>
      <c r="P884" s="1228" t="str">
        <f t="shared" si="37"/>
        <v>10.1037xge0000738.pdf</v>
      </c>
      <c r="Q884" s="1231" t="str">
        <f t="array" ref="Q884"> if(iserror(MATCH(V884, 'File Links'!C:C, 0)), "N/A", HYPERLINK(INDEX('File Links'!B:B, MATCH(P884, 'File Links'!C:C, 0))))</f>
        <v>https://drive.google.com/file/d/1vqDYyUya1hGxUO3xOXp-fS4z5QiC8jwH/view?usp=drivesdk</v>
      </c>
      <c r="R884" s="1228" t="s">
        <v>3646</v>
      </c>
      <c r="S884" s="1228" t="s">
        <v>3647</v>
      </c>
      <c r="T884" s="1225"/>
      <c r="U884" s="1232">
        <v>1.0</v>
      </c>
      <c r="V884" s="1228" t="str">
        <f t="shared" si="47"/>
        <v>10.1098--rsos.231240.pdf</v>
      </c>
      <c r="W884" s="1228" t="s">
        <v>3719</v>
      </c>
      <c r="X884" s="1233" t="str">
        <f t="array" ref="X884"> if(iserror(MATCH(V884, 'File Links'!C:C, 0)), "N/A", HYPERLINK(INDEX('File Links'!B:B, MATCH(V884, 'File Links'!C:C, 0))))</f>
        <v>https://drive.google.com/file/d/17gaf2Zy_ljFfcAEDk5L8GBnTl5i7RGJE/view?usp=drivesdk</v>
      </c>
      <c r="Y884" s="1225"/>
      <c r="Z884" s="1228" t="s">
        <v>219</v>
      </c>
      <c r="AA884" s="1228" t="s">
        <v>4799</v>
      </c>
      <c r="AB884" s="1228" t="s">
        <v>4800</v>
      </c>
      <c r="AC884" s="1228" t="s">
        <v>4801</v>
      </c>
      <c r="AD884" s="1228" t="s">
        <v>4802</v>
      </c>
      <c r="AE884" s="1232">
        <v>9.0</v>
      </c>
      <c r="AF884" s="1232">
        <v>223.0</v>
      </c>
      <c r="AG884" s="1232">
        <v>0.4</v>
      </c>
      <c r="AH884" s="1232" t="s">
        <v>166</v>
      </c>
      <c r="AI884" s="1232" t="s">
        <v>621</v>
      </c>
      <c r="AJ884" s="1232">
        <v>0.004</v>
      </c>
      <c r="AK884" s="1228" t="s">
        <v>165</v>
      </c>
      <c r="AL884" s="1228" t="s">
        <v>129</v>
      </c>
      <c r="AM884" s="1228" t="s">
        <v>134</v>
      </c>
      <c r="AN884" s="1077" t="s">
        <v>131</v>
      </c>
      <c r="AO884" s="1232">
        <v>194.0</v>
      </c>
      <c r="AP884" s="1232">
        <v>0.145882726528282</v>
      </c>
      <c r="AQ884" s="1232" t="s">
        <v>166</v>
      </c>
      <c r="AR884" s="1150" t="s">
        <v>4113</v>
      </c>
      <c r="AS884" s="1232">
        <v>0.044079512790297</v>
      </c>
      <c r="AT884" s="1228" t="s">
        <v>165</v>
      </c>
      <c r="AU884" s="1228" t="s">
        <v>179</v>
      </c>
      <c r="AV884" s="1228" t="s">
        <v>134</v>
      </c>
      <c r="AW884" s="1077" t="s">
        <v>131</v>
      </c>
      <c r="AX884" s="1225" t="s">
        <v>136</v>
      </c>
      <c r="AY884" s="1227"/>
      <c r="AZ884" s="1225" t="s">
        <v>146</v>
      </c>
      <c r="BA884" s="1227"/>
      <c r="BB884" s="1227"/>
      <c r="BC884" s="1227"/>
      <c r="BD884" s="1227"/>
      <c r="BE884" s="1227"/>
      <c r="BF884" s="1227"/>
      <c r="BG884" s="1227"/>
      <c r="BH884" s="1227"/>
      <c r="BI884" s="1227"/>
      <c r="BJ884" s="1227"/>
      <c r="BK884" s="1227"/>
      <c r="BL884" s="1227"/>
      <c r="BM884" s="1227"/>
      <c r="BN884" s="1227"/>
      <c r="BO884" s="1227"/>
      <c r="BP884" s="1227"/>
      <c r="BQ884" s="1227"/>
      <c r="BR884" s="1227"/>
      <c r="BS884" s="1227"/>
      <c r="BT884" s="1227"/>
      <c r="BU884" s="1227"/>
      <c r="BV884" s="1227"/>
      <c r="BW884" s="1227"/>
      <c r="BX884" s="1227"/>
      <c r="BY884" s="1227"/>
      <c r="BZ884" s="1227"/>
      <c r="CA884" s="1227"/>
      <c r="CB884" s="1227"/>
      <c r="CC884" s="1227"/>
      <c r="CD884" s="1227"/>
      <c r="CE884" s="1227"/>
      <c r="CF884" s="1227"/>
      <c r="CG884" s="1227"/>
      <c r="CH884" s="1227"/>
      <c r="CI884" s="1227"/>
      <c r="CJ884" s="1227"/>
      <c r="CK884" s="1227"/>
      <c r="CL884" s="1227"/>
      <c r="CM884" s="1227"/>
      <c r="CN884" s="1227"/>
      <c r="CO884" s="1227"/>
      <c r="CP884" s="1227"/>
      <c r="CQ884" s="1227"/>
      <c r="CR884" s="1227"/>
      <c r="CS884" s="1227"/>
      <c r="CT884" s="1227"/>
      <c r="CU884" s="1227"/>
      <c r="CV884" s="1227"/>
      <c r="CW884" s="1227"/>
      <c r="CX884" s="1227"/>
      <c r="CY884" s="1227"/>
      <c r="CZ884" s="1227"/>
      <c r="DA884" s="1227"/>
      <c r="DB884" s="1227"/>
      <c r="DC884" s="1227"/>
      <c r="DD884" s="1227"/>
      <c r="DE884" s="1227"/>
      <c r="DF884" s="1227"/>
      <c r="DG884" s="1227"/>
      <c r="DH884" s="1227"/>
    </row>
    <row r="885">
      <c r="A885" s="41">
        <v>885.0</v>
      </c>
      <c r="B885" s="65" t="s">
        <v>107</v>
      </c>
      <c r="C885" s="59" t="s">
        <v>108</v>
      </c>
      <c r="D885" s="59" t="s">
        <v>241</v>
      </c>
      <c r="F885" s="156" t="s">
        <v>4803</v>
      </c>
      <c r="G885" s="156" t="s">
        <v>4804</v>
      </c>
      <c r="H885" s="156" t="s">
        <v>242</v>
      </c>
      <c r="I885" s="149">
        <v>45664.0</v>
      </c>
      <c r="J885" s="149">
        <v>45692.0</v>
      </c>
      <c r="K885" s="65"/>
      <c r="L885" s="65" t="s">
        <v>4713</v>
      </c>
      <c r="M885" s="156" t="s">
        <v>4805</v>
      </c>
      <c r="N885" s="156" t="s">
        <v>4806</v>
      </c>
      <c r="O885" s="65"/>
      <c r="P885" s="156" t="str">
        <f t="shared" si="37"/>
        <v>10.1111--cogs.12176.pdf</v>
      </c>
      <c r="Q885" s="49" t="str">
        <f t="array" ref="Q885"> if(iserror(MATCH(V885, 'File Links'!C:C, 0)), "N/A", HYPERLINK(INDEX('File Links'!B:B, MATCH(P885, 'File Links'!C:C, 0))))</f>
        <v>https://drive.google.com/file/d/1noF0-gFXnE925nL0unfvsQ-ANlXov76A/view?usp=drivesdk</v>
      </c>
      <c r="R885" s="156" t="s">
        <v>3646</v>
      </c>
      <c r="S885" s="156" t="s">
        <v>3647</v>
      </c>
      <c r="T885" s="65"/>
      <c r="U885" s="153">
        <v>1.0</v>
      </c>
      <c r="V885" s="195" t="str">
        <f t="shared" si="47"/>
        <v>10.1098--rsos.231240.pdf</v>
      </c>
      <c r="W885" s="156" t="s">
        <v>3719</v>
      </c>
      <c r="X885" s="51" t="str">
        <f t="array" ref="X885"> if(iserror(MATCH(V885, 'File Links'!C:C, 0)), "N/A", HYPERLINK(INDEX('File Links'!B:B, MATCH(V885, 'File Links'!C:C, 0))))</f>
        <v>https://drive.google.com/file/d/17gaf2Zy_ljFfcAEDk5L8GBnTl5i7RGJE/view?usp=drivesdk</v>
      </c>
      <c r="Y885" s="65"/>
      <c r="Z885" s="156" t="s">
        <v>141</v>
      </c>
      <c r="AA885" s="1112" t="s">
        <v>4807</v>
      </c>
      <c r="AB885" s="1112" t="s">
        <v>4808</v>
      </c>
      <c r="AC885" s="1112" t="s">
        <v>4809</v>
      </c>
      <c r="AD885" s="156" t="s">
        <v>4810</v>
      </c>
      <c r="AE885" s="1090">
        <v>10.0</v>
      </c>
      <c r="AF885" s="153">
        <v>32.0</v>
      </c>
      <c r="AG885" s="158" t="s">
        <v>4811</v>
      </c>
      <c r="AH885" s="116" t="s">
        <v>127</v>
      </c>
      <c r="AI885" s="1112" t="s">
        <v>625</v>
      </c>
      <c r="AJ885" s="153">
        <v>0.001</v>
      </c>
      <c r="AK885" s="156" t="s">
        <v>128</v>
      </c>
      <c r="AL885" s="156" t="s">
        <v>179</v>
      </c>
      <c r="AM885" s="156" t="s">
        <v>134</v>
      </c>
      <c r="AN885" s="126" t="s">
        <v>131</v>
      </c>
      <c r="AO885" s="153">
        <v>100.0</v>
      </c>
      <c r="AP885" s="65"/>
      <c r="AQ885" s="65"/>
      <c r="AR885" s="65"/>
      <c r="AS885" s="65"/>
      <c r="AT885" s="65"/>
      <c r="AU885" s="156" t="s">
        <v>179</v>
      </c>
      <c r="AV885" s="156" t="s">
        <v>134</v>
      </c>
      <c r="AW885" s="126" t="s">
        <v>131</v>
      </c>
      <c r="AX885" s="156" t="s">
        <v>136</v>
      </c>
      <c r="AZ885" s="65" t="s">
        <v>146</v>
      </c>
      <c r="BA885" s="69"/>
    </row>
    <row r="886">
      <c r="A886" s="41">
        <v>886.0</v>
      </c>
      <c r="B886" s="65" t="s">
        <v>107</v>
      </c>
      <c r="C886" s="59" t="s">
        <v>108</v>
      </c>
      <c r="D886" s="1060" t="s">
        <v>146</v>
      </c>
      <c r="E886" s="1060" t="s">
        <v>3913</v>
      </c>
      <c r="F886" s="156" t="s">
        <v>4803</v>
      </c>
      <c r="G886" s="156" t="s">
        <v>4804</v>
      </c>
      <c r="H886" s="701" t="s">
        <v>3914</v>
      </c>
      <c r="I886" s="149">
        <v>45664.0</v>
      </c>
      <c r="J886" s="149">
        <v>45692.0</v>
      </c>
      <c r="K886" s="65"/>
      <c r="L886" s="65"/>
      <c r="M886" s="156" t="s">
        <v>4805</v>
      </c>
      <c r="N886" s="156" t="s">
        <v>4806</v>
      </c>
      <c r="O886" s="65"/>
      <c r="P886" s="156" t="str">
        <f t="shared" si="37"/>
        <v>10.1111--cogs.12176.pdf</v>
      </c>
      <c r="Q886" s="49" t="str">
        <f t="array" ref="Q886"> if(iserror(MATCH(V886, 'File Links'!C:C, 0)), "N/A", HYPERLINK(INDEX('File Links'!B:B, MATCH(P886, 'File Links'!C:C, 0))))</f>
        <v>https://drive.google.com/file/d/1noF0-gFXnE925nL0unfvsQ-ANlXov76A/view?usp=drivesdk</v>
      </c>
      <c r="R886" s="156" t="s">
        <v>4812</v>
      </c>
      <c r="S886" s="156" t="s">
        <v>4813</v>
      </c>
      <c r="T886" s="65"/>
      <c r="U886" s="153">
        <v>1.0</v>
      </c>
      <c r="V886" s="379" t="s">
        <v>3651</v>
      </c>
      <c r="W886" s="156" t="s">
        <v>3719</v>
      </c>
      <c r="X886" s="51" t="str">
        <f t="array" ref="X886"> if(iserror(MATCH(V886, 'File Links'!C:C, 0)), "N/A", HYPERLINK(INDEX('File Links'!B:B, MATCH(V886, 'File Links'!C:C, 0))))</f>
        <v>https://drive.google.com/file/d/17gaf2Zy_ljFfcAEDk5L8GBnTl5i7RGJE/view?usp=drivesdk</v>
      </c>
      <c r="Y886" s="65" t="s">
        <v>4814</v>
      </c>
      <c r="Z886" s="65"/>
      <c r="AA886" s="65"/>
      <c r="AB886" s="65"/>
      <c r="AC886" s="65"/>
      <c r="AD886" s="65"/>
      <c r="AE886" s="65"/>
      <c r="AF886" s="65"/>
      <c r="AG886" s="65"/>
      <c r="AH886" s="65"/>
      <c r="AI886" s="65"/>
      <c r="AJ886" s="65"/>
      <c r="AK886" s="65"/>
      <c r="AL886" s="65"/>
      <c r="AM886" s="65"/>
      <c r="AN886" s="126" t="s">
        <v>131</v>
      </c>
      <c r="AO886" s="65"/>
      <c r="AP886" s="65"/>
      <c r="AQ886" s="65"/>
      <c r="AR886" s="65"/>
      <c r="AS886" s="65"/>
      <c r="AT886" s="65"/>
      <c r="AU886" s="65"/>
      <c r="AV886" s="65"/>
      <c r="AW886" s="126" t="s">
        <v>131</v>
      </c>
      <c r="AX886" s="65"/>
      <c r="AZ886" s="65" t="s">
        <v>146</v>
      </c>
      <c r="BA886" s="69"/>
      <c r="BB886" s="186"/>
      <c r="BC886" s="186"/>
      <c r="BD886" s="186"/>
      <c r="BE886" s="186"/>
      <c r="BF886" s="186"/>
      <c r="BG886" s="186"/>
      <c r="BH886" s="186"/>
      <c r="BI886" s="186"/>
      <c r="BJ886" s="186"/>
      <c r="BK886" s="186"/>
      <c r="BL886" s="186"/>
      <c r="BM886" s="186"/>
      <c r="BN886" s="186"/>
      <c r="BO886" s="186"/>
      <c r="BP886" s="186"/>
      <c r="BQ886" s="186"/>
      <c r="BR886" s="186"/>
      <c r="BS886" s="186"/>
      <c r="BT886" s="186"/>
      <c r="BU886" s="186"/>
      <c r="BV886" s="186"/>
      <c r="BW886" s="186"/>
      <c r="BX886" s="186"/>
      <c r="BY886" s="186"/>
      <c r="BZ886" s="186"/>
      <c r="CA886" s="186"/>
      <c r="CB886" s="186"/>
      <c r="CC886" s="186"/>
      <c r="CD886" s="186"/>
      <c r="CE886" s="186"/>
      <c r="CF886" s="186"/>
      <c r="CG886" s="186"/>
      <c r="CH886" s="186"/>
      <c r="CI886" s="186"/>
      <c r="CJ886" s="186"/>
      <c r="CK886" s="186"/>
      <c r="CL886" s="186"/>
      <c r="CM886" s="186"/>
      <c r="CN886" s="186"/>
      <c r="CO886" s="186"/>
      <c r="CP886" s="186"/>
      <c r="CQ886" s="186"/>
      <c r="CR886" s="186"/>
      <c r="CS886" s="186"/>
      <c r="CT886" s="186"/>
      <c r="CU886" s="186"/>
      <c r="CV886" s="186"/>
      <c r="CW886" s="186"/>
      <c r="CX886" s="186"/>
      <c r="CY886" s="186"/>
      <c r="CZ886" s="186"/>
      <c r="DA886" s="186"/>
      <c r="DB886" s="186"/>
      <c r="DC886" s="186"/>
      <c r="DD886" s="186"/>
      <c r="DE886" s="186"/>
      <c r="DF886" s="186"/>
      <c r="DG886" s="186"/>
      <c r="DH886" s="186"/>
    </row>
    <row r="887">
      <c r="A887" s="41">
        <v>887.0</v>
      </c>
      <c r="B887" s="65" t="s">
        <v>107</v>
      </c>
      <c r="C887" s="59" t="s">
        <v>108</v>
      </c>
      <c r="D887" s="59" t="s">
        <v>146</v>
      </c>
      <c r="F887" s="65" t="s">
        <v>4804</v>
      </c>
      <c r="G887" s="156" t="s">
        <v>4803</v>
      </c>
      <c r="H887" s="156" t="s">
        <v>146</v>
      </c>
      <c r="I887" s="149">
        <v>45687.0</v>
      </c>
      <c r="J887" s="149">
        <v>45692.0</v>
      </c>
      <c r="K887" s="434" t="s">
        <v>4815</v>
      </c>
      <c r="L887" s="65"/>
      <c r="M887" s="156" t="s">
        <v>4805</v>
      </c>
      <c r="N887" s="156" t="s">
        <v>4806</v>
      </c>
      <c r="O887" s="65"/>
      <c r="P887" s="156" t="str">
        <f t="shared" si="37"/>
        <v>10.1111--cogs.12176.pdf</v>
      </c>
      <c r="Q887" s="49" t="str">
        <f t="array" ref="Q887"> if(iserror(MATCH(V887, 'File Links'!C:C, 0)), "N/A", HYPERLINK(INDEX('File Links'!B:B, MATCH(P887, 'File Links'!C:C, 0))))</f>
        <v>https://drive.google.com/file/d/1noF0-gFXnE925nL0unfvsQ-ANlXov76A/view?usp=drivesdk</v>
      </c>
      <c r="R887" s="156" t="s">
        <v>3646</v>
      </c>
      <c r="S887" s="156" t="s">
        <v>3647</v>
      </c>
      <c r="T887" s="65"/>
      <c r="U887" s="153">
        <v>1.0</v>
      </c>
      <c r="V887" s="195" t="str">
        <f t="shared" ref="V887:V897" si="48"> hyperlink(vlookup(lower(S887),#REF!, 2, FALSE), SUBSTITUTE(lower(S887), "/", "--") &amp;  ".pdf")</f>
        <v>10.1098--rsos.231240.pdf</v>
      </c>
      <c r="W887" s="156" t="s">
        <v>3719</v>
      </c>
      <c r="X887" s="51" t="str">
        <f t="array" ref="X887"> if(iserror(MATCH(V887, 'File Links'!C:C, 0)), "N/A", HYPERLINK(INDEX('File Links'!B:B, MATCH(V887, 'File Links'!C:C, 0))))</f>
        <v>https://drive.google.com/file/d/17gaf2Zy_ljFfcAEDk5L8GBnTl5i7RGJE/view?usp=drivesdk</v>
      </c>
      <c r="Y887" s="65"/>
      <c r="Z887" s="156" t="s">
        <v>141</v>
      </c>
      <c r="AA887" s="156" t="s">
        <v>4807</v>
      </c>
      <c r="AB887" s="156" t="s">
        <v>4808</v>
      </c>
      <c r="AC887" s="156" t="s">
        <v>4809</v>
      </c>
      <c r="AD887" s="156" t="s">
        <v>4816</v>
      </c>
      <c r="AE887" s="153">
        <v>10.0</v>
      </c>
      <c r="AF887" s="153">
        <v>32.0</v>
      </c>
      <c r="AG887" s="1117">
        <v>1.012734458295901</v>
      </c>
      <c r="AH887" s="153" t="s">
        <v>166</v>
      </c>
      <c r="AI887" s="153" t="s">
        <v>300</v>
      </c>
      <c r="AJ887" s="153">
        <v>0.05</v>
      </c>
      <c r="AK887" s="156" t="s">
        <v>128</v>
      </c>
      <c r="AL887" s="156" t="s">
        <v>179</v>
      </c>
      <c r="AM887" s="156" t="s">
        <v>134</v>
      </c>
      <c r="AN887" s="126" t="s">
        <v>131</v>
      </c>
      <c r="AO887" s="153">
        <v>100.0</v>
      </c>
      <c r="AP887" s="153">
        <v>0.15</v>
      </c>
      <c r="AQ887" s="153" t="s">
        <v>166</v>
      </c>
      <c r="AR887" s="65"/>
      <c r="AS887" s="65"/>
      <c r="AT887" s="65"/>
      <c r="AU887" s="156" t="s">
        <v>179</v>
      </c>
      <c r="AV887" s="156" t="s">
        <v>134</v>
      </c>
      <c r="AW887" s="126" t="s">
        <v>131</v>
      </c>
      <c r="AX887" s="65" t="s">
        <v>136</v>
      </c>
      <c r="AZ887" s="65" t="s">
        <v>146</v>
      </c>
      <c r="BA887" s="69"/>
    </row>
    <row r="888">
      <c r="A888" s="41">
        <v>888.0</v>
      </c>
      <c r="B888" s="65" t="s">
        <v>107</v>
      </c>
      <c r="C888" s="59" t="s">
        <v>108</v>
      </c>
      <c r="D888" s="59" t="s">
        <v>241</v>
      </c>
      <c r="F888" s="156" t="s">
        <v>4817</v>
      </c>
      <c r="G888" s="156" t="s">
        <v>4818</v>
      </c>
      <c r="H888" s="156" t="s">
        <v>242</v>
      </c>
      <c r="I888" s="149">
        <v>45672.0</v>
      </c>
      <c r="J888" s="149">
        <v>45692.0</v>
      </c>
      <c r="K888" s="65"/>
      <c r="L888" s="65"/>
      <c r="M888" s="156" t="s">
        <v>4819</v>
      </c>
      <c r="N888" s="156" t="s">
        <v>4820</v>
      </c>
      <c r="O888" s="65"/>
      <c r="P888" s="156" t="str">
        <f t="shared" si="37"/>
        <v>10.1177--0956797614559285.pdf</v>
      </c>
      <c r="Q888" s="49" t="str">
        <f t="array" ref="Q888"> if(iserror(MATCH(V888, 'File Links'!C:C, 0)), "N/A", HYPERLINK(INDEX('File Links'!B:B, MATCH(P888, 'File Links'!C:C, 0))))</f>
        <v>https://drive.google.com/file/d/1hgaLy7Pk7l8_uT0qzsdgGRA4OH5u_0hL/view?usp=drivesdk</v>
      </c>
      <c r="R888" s="156" t="s">
        <v>3646</v>
      </c>
      <c r="S888" s="156" t="s">
        <v>3647</v>
      </c>
      <c r="T888" s="65"/>
      <c r="U888" s="153">
        <v>1.0</v>
      </c>
      <c r="V888" s="195" t="str">
        <f t="shared" si="48"/>
        <v>10.1098--rsos.231240.pdf</v>
      </c>
      <c r="W888" s="156" t="s">
        <v>317</v>
      </c>
      <c r="X888" s="51" t="str">
        <f t="array" ref="X888"> if(iserror(MATCH(V888, 'File Links'!C:C, 0)), "N/A", HYPERLINK(INDEX('File Links'!B:B, MATCH(V888, 'File Links'!C:C, 0))))</f>
        <v>https://drive.google.com/file/d/17gaf2Zy_ljFfcAEDk5L8GBnTl5i7RGJE/view?usp=drivesdk</v>
      </c>
      <c r="Y888" s="65"/>
      <c r="Z888" s="156" t="s">
        <v>141</v>
      </c>
      <c r="AA888" s="65"/>
      <c r="AB888" s="156" t="s">
        <v>4821</v>
      </c>
      <c r="AC888" s="65"/>
      <c r="AD888" s="156" t="s">
        <v>4822</v>
      </c>
      <c r="AE888" s="153">
        <v>5.0</v>
      </c>
      <c r="AF888" s="153">
        <v>48.0</v>
      </c>
      <c r="AG888" s="1239" t="s">
        <v>4823</v>
      </c>
      <c r="AH888" s="116" t="s">
        <v>127</v>
      </c>
      <c r="AI888" s="156" t="s">
        <v>806</v>
      </c>
      <c r="AJ888" s="153">
        <v>0.007</v>
      </c>
      <c r="AK888" s="156" t="s">
        <v>165</v>
      </c>
      <c r="AL888" s="156" t="s">
        <v>179</v>
      </c>
      <c r="AM888" s="156" t="s">
        <v>134</v>
      </c>
      <c r="AN888" s="126" t="s">
        <v>131</v>
      </c>
      <c r="AO888" s="153">
        <v>51.0</v>
      </c>
      <c r="AP888" s="1240">
        <v>0.0669198092463301</v>
      </c>
      <c r="AQ888" s="156" t="s">
        <v>166</v>
      </c>
      <c r="AR888" s="1150" t="s">
        <v>4113</v>
      </c>
      <c r="AS888" s="1240">
        <v>0.652055010791243</v>
      </c>
      <c r="AT888" s="156" t="s">
        <v>165</v>
      </c>
      <c r="AU888" s="156" t="s">
        <v>179</v>
      </c>
      <c r="AV888" s="156" t="s">
        <v>134</v>
      </c>
      <c r="AW888" s="126" t="s">
        <v>131</v>
      </c>
      <c r="AX888" s="1057" t="s">
        <v>136</v>
      </c>
      <c r="AZ888" s="65" t="s">
        <v>146</v>
      </c>
      <c r="BA888" s="69"/>
      <c r="BB888" s="186"/>
      <c r="BC888" s="186"/>
      <c r="BD888" s="186"/>
      <c r="BE888" s="186"/>
      <c r="BF888" s="186"/>
      <c r="BG888" s="186"/>
      <c r="BH888" s="186"/>
      <c r="BI888" s="186"/>
      <c r="BJ888" s="186"/>
      <c r="BK888" s="186"/>
      <c r="BL888" s="186"/>
      <c r="BM888" s="186"/>
      <c r="BN888" s="186"/>
      <c r="BO888" s="186"/>
      <c r="BP888" s="186"/>
      <c r="BQ888" s="186"/>
      <c r="BR888" s="186"/>
      <c r="BS888" s="186"/>
      <c r="BT888" s="186"/>
      <c r="BU888" s="186"/>
      <c r="BV888" s="186"/>
      <c r="BW888" s="186"/>
      <c r="BX888" s="186"/>
      <c r="BY888" s="186"/>
      <c r="BZ888" s="186"/>
      <c r="CA888" s="186"/>
      <c r="CB888" s="186"/>
      <c r="CC888" s="186"/>
      <c r="CD888" s="186"/>
      <c r="CE888" s="186"/>
      <c r="CF888" s="186"/>
      <c r="CG888" s="186"/>
      <c r="CH888" s="186"/>
      <c r="CI888" s="186"/>
      <c r="CJ888" s="186"/>
      <c r="CK888" s="186"/>
      <c r="CL888" s="186"/>
      <c r="CM888" s="186"/>
      <c r="CN888" s="186"/>
      <c r="CO888" s="186"/>
      <c r="CP888" s="186"/>
      <c r="CQ888" s="186"/>
      <c r="CR888" s="186"/>
      <c r="CS888" s="186"/>
      <c r="CT888" s="186"/>
      <c r="CU888" s="186"/>
      <c r="CV888" s="186"/>
      <c r="CW888" s="186"/>
      <c r="CX888" s="186"/>
      <c r="CY888" s="186"/>
      <c r="CZ888" s="186"/>
      <c r="DA888" s="186"/>
      <c r="DB888" s="186"/>
      <c r="DC888" s="186"/>
      <c r="DD888" s="186"/>
      <c r="DE888" s="186"/>
      <c r="DF888" s="186"/>
      <c r="DG888" s="186"/>
      <c r="DH888" s="186"/>
    </row>
    <row r="889">
      <c r="A889" s="41">
        <v>889.0</v>
      </c>
      <c r="B889" s="126" t="s">
        <v>145</v>
      </c>
      <c r="C889" s="59" t="s">
        <v>108</v>
      </c>
      <c r="D889" s="59" t="s">
        <v>146</v>
      </c>
      <c r="F889" s="65" t="s">
        <v>4818</v>
      </c>
      <c r="G889" s="156" t="s">
        <v>4824</v>
      </c>
      <c r="H889" s="156" t="s">
        <v>146</v>
      </c>
      <c r="I889" s="149">
        <v>45687.0</v>
      </c>
      <c r="J889" s="149">
        <v>45692.0</v>
      </c>
      <c r="K889" s="1052" t="s">
        <v>4825</v>
      </c>
      <c r="L889" s="65"/>
      <c r="M889" s="156" t="s">
        <v>4819</v>
      </c>
      <c r="N889" s="156" t="s">
        <v>4820</v>
      </c>
      <c r="O889" s="153">
        <v>3.0</v>
      </c>
      <c r="P889" s="156" t="str">
        <f t="shared" si="37"/>
        <v>10.1177--0956797614559285.pdf</v>
      </c>
      <c r="Q889" s="49" t="str">
        <f t="array" ref="Q889"> if(iserror(MATCH(V889, 'File Links'!C:C, 0)), "N/A", HYPERLINK(INDEX('File Links'!B:B, MATCH(P889, 'File Links'!C:C, 0))))</f>
        <v>https://drive.google.com/file/d/1hgaLy7Pk7l8_uT0qzsdgGRA4OH5u_0hL/view?usp=drivesdk</v>
      </c>
      <c r="R889" s="156" t="s">
        <v>3646</v>
      </c>
      <c r="S889" s="156" t="s">
        <v>3647</v>
      </c>
      <c r="T889" s="438" t="s">
        <v>4826</v>
      </c>
      <c r="U889" s="153">
        <v>1.0</v>
      </c>
      <c r="V889" s="195" t="str">
        <f t="shared" si="48"/>
        <v>10.1098--rsos.231240.pdf</v>
      </c>
      <c r="W889" s="156" t="s">
        <v>3719</v>
      </c>
      <c r="X889" s="51" t="str">
        <f t="array" ref="X889"> if(iserror(MATCH(V889, 'File Links'!C:C, 0)), "N/A", HYPERLINK(INDEX('File Links'!B:B, MATCH(V889, 'File Links'!C:C, 0))))</f>
        <v>https://drive.google.com/file/d/17gaf2Zy_ljFfcAEDk5L8GBnTl5i7RGJE/view?usp=drivesdk</v>
      </c>
      <c r="Y889" s="43"/>
      <c r="Z889" s="156" t="s">
        <v>141</v>
      </c>
      <c r="AA889" s="156" t="s">
        <v>4827</v>
      </c>
      <c r="AB889" s="156" t="s">
        <v>4828</v>
      </c>
      <c r="AC889" s="156" t="s">
        <v>4829</v>
      </c>
      <c r="AD889" s="156" t="s">
        <v>4830</v>
      </c>
      <c r="AE889" s="153">
        <v>5.0</v>
      </c>
      <c r="AF889" s="153">
        <v>48.0</v>
      </c>
      <c r="AG889" s="153">
        <v>2.91</v>
      </c>
      <c r="AH889" s="153" t="s">
        <v>166</v>
      </c>
      <c r="AI889" s="153" t="s">
        <v>806</v>
      </c>
      <c r="AJ889" s="153">
        <v>0.001</v>
      </c>
      <c r="AK889" s="156" t="s">
        <v>128</v>
      </c>
      <c r="AL889" s="156" t="s">
        <v>179</v>
      </c>
      <c r="AM889" s="156" t="s">
        <v>134</v>
      </c>
      <c r="AN889" s="126" t="s">
        <v>131</v>
      </c>
      <c r="AO889" s="153">
        <v>51.0</v>
      </c>
      <c r="AP889" s="153">
        <v>2.23</v>
      </c>
      <c r="AQ889" s="153" t="s">
        <v>166</v>
      </c>
      <c r="AR889" s="153" t="s">
        <v>620</v>
      </c>
      <c r="AS889" s="153">
        <v>0.001</v>
      </c>
      <c r="AT889" s="156" t="s">
        <v>128</v>
      </c>
      <c r="AU889" s="156" t="s">
        <v>179</v>
      </c>
      <c r="AV889" s="156" t="s">
        <v>134</v>
      </c>
      <c r="AW889" s="126" t="s">
        <v>131</v>
      </c>
      <c r="AX889" s="65" t="s">
        <v>144</v>
      </c>
      <c r="AZ889" s="65" t="s">
        <v>146</v>
      </c>
      <c r="BA889" s="69"/>
    </row>
    <row r="890">
      <c r="A890" s="41">
        <v>890.0</v>
      </c>
      <c r="B890" s="126" t="s">
        <v>145</v>
      </c>
      <c r="C890" s="59" t="s">
        <v>108</v>
      </c>
      <c r="D890" s="59" t="s">
        <v>146</v>
      </c>
      <c r="F890" s="65" t="s">
        <v>4818</v>
      </c>
      <c r="G890" s="156" t="s">
        <v>4831</v>
      </c>
      <c r="H890" s="156" t="s">
        <v>146</v>
      </c>
      <c r="I890" s="149">
        <v>45687.0</v>
      </c>
      <c r="J890" s="149">
        <v>45692.0</v>
      </c>
      <c r="K890" s="1052" t="s">
        <v>4832</v>
      </c>
      <c r="L890" s="65"/>
      <c r="M890" s="156" t="s">
        <v>4819</v>
      </c>
      <c r="N890" s="156" t="s">
        <v>4820</v>
      </c>
      <c r="O890" s="153">
        <v>3.0</v>
      </c>
      <c r="P890" s="156" t="str">
        <f t="shared" si="37"/>
        <v>10.1177--0956797614559285.pdf</v>
      </c>
      <c r="Q890" s="49" t="str">
        <f t="array" ref="Q890"> if(iserror(MATCH(V890, 'File Links'!C:C, 0)), "N/A", HYPERLINK(INDEX('File Links'!B:B, MATCH(P890, 'File Links'!C:C, 0))))</f>
        <v>https://drive.google.com/file/d/1hgaLy7Pk7l8_uT0qzsdgGRA4OH5u_0hL/view?usp=drivesdk</v>
      </c>
      <c r="R890" s="156" t="s">
        <v>3646</v>
      </c>
      <c r="S890" s="156" t="s">
        <v>3647</v>
      </c>
      <c r="T890" s="438" t="s">
        <v>4826</v>
      </c>
      <c r="U890" s="153">
        <v>1.0</v>
      </c>
      <c r="V890" s="195" t="str">
        <f t="shared" si="48"/>
        <v>10.1098--rsos.231240.pdf</v>
      </c>
      <c r="W890" s="156" t="s">
        <v>3719</v>
      </c>
      <c r="X890" s="51" t="str">
        <f t="array" ref="X890"> if(iserror(MATCH(V890, 'File Links'!C:C, 0)), "N/A", HYPERLINK(INDEX('File Links'!B:B, MATCH(V890, 'File Links'!C:C, 0))))</f>
        <v>https://drive.google.com/file/d/17gaf2Zy_ljFfcAEDk5L8GBnTl5i7RGJE/view?usp=drivesdk</v>
      </c>
      <c r="Y890" s="65"/>
      <c r="Z890" s="156" t="s">
        <v>141</v>
      </c>
      <c r="AA890" s="156" t="s">
        <v>4827</v>
      </c>
      <c r="AB890" s="156" t="s">
        <v>4828</v>
      </c>
      <c r="AC890" s="156" t="s">
        <v>4833</v>
      </c>
      <c r="AD890" s="156" t="s">
        <v>4834</v>
      </c>
      <c r="AE890" s="153">
        <v>5.0</v>
      </c>
      <c r="AF890" s="153">
        <v>48.0</v>
      </c>
      <c r="AG890" s="333">
        <v>0.81</v>
      </c>
      <c r="AH890" s="153" t="s">
        <v>166</v>
      </c>
      <c r="AI890" s="153" t="s">
        <v>806</v>
      </c>
      <c r="AJ890" s="333">
        <v>0.001</v>
      </c>
      <c r="AK890" s="156" t="s">
        <v>165</v>
      </c>
      <c r="AL890" s="156" t="s">
        <v>179</v>
      </c>
      <c r="AM890" s="156" t="s">
        <v>134</v>
      </c>
      <c r="AN890" s="126" t="s">
        <v>131</v>
      </c>
      <c r="AO890" s="333">
        <v>51.0</v>
      </c>
      <c r="AP890" s="333">
        <v>0.92</v>
      </c>
      <c r="AQ890" s="153" t="s">
        <v>166</v>
      </c>
      <c r="AR890" s="333" t="s">
        <v>175</v>
      </c>
      <c r="AS890" s="153">
        <v>0.006</v>
      </c>
      <c r="AT890" s="156" t="s">
        <v>165</v>
      </c>
      <c r="AU890" s="156" t="s">
        <v>179</v>
      </c>
      <c r="AV890" s="156" t="s">
        <v>134</v>
      </c>
      <c r="AW890" s="126" t="s">
        <v>131</v>
      </c>
      <c r="AX890" s="65" t="s">
        <v>144</v>
      </c>
      <c r="AZ890" s="65" t="s">
        <v>146</v>
      </c>
      <c r="BA890" s="69"/>
      <c r="BB890" s="186"/>
      <c r="BC890" s="186"/>
      <c r="BD890" s="186"/>
      <c r="BE890" s="186"/>
      <c r="BF890" s="186"/>
      <c r="BG890" s="186"/>
      <c r="BH890" s="186"/>
      <c r="BI890" s="186"/>
      <c r="BJ890" s="186"/>
      <c r="BK890" s="186"/>
      <c r="BL890" s="186"/>
      <c r="BM890" s="186"/>
      <c r="BN890" s="186"/>
      <c r="BO890" s="186"/>
      <c r="BP890" s="186"/>
      <c r="BQ890" s="186"/>
      <c r="BR890" s="186"/>
      <c r="BS890" s="186"/>
      <c r="BT890" s="186"/>
      <c r="BU890" s="186"/>
      <c r="BV890" s="186"/>
      <c r="BW890" s="186"/>
      <c r="BX890" s="186"/>
      <c r="BY890" s="186"/>
      <c r="BZ890" s="186"/>
      <c r="CA890" s="186"/>
      <c r="CB890" s="186"/>
      <c r="CC890" s="186"/>
      <c r="CD890" s="186"/>
      <c r="CE890" s="186"/>
      <c r="CF890" s="186"/>
      <c r="CG890" s="186"/>
      <c r="CH890" s="186"/>
      <c r="CI890" s="186"/>
      <c r="CJ890" s="186"/>
      <c r="CK890" s="186"/>
      <c r="CL890" s="186"/>
      <c r="CM890" s="186"/>
      <c r="CN890" s="186"/>
      <c r="CO890" s="186"/>
      <c r="CP890" s="186"/>
      <c r="CQ890" s="186"/>
      <c r="CR890" s="186"/>
      <c r="CS890" s="186"/>
      <c r="CT890" s="186"/>
      <c r="CU890" s="186"/>
      <c r="CV890" s="186"/>
      <c r="CW890" s="186"/>
      <c r="CX890" s="186"/>
      <c r="CY890" s="186"/>
      <c r="CZ890" s="186"/>
      <c r="DA890" s="186"/>
      <c r="DB890" s="186"/>
      <c r="DC890" s="186"/>
      <c r="DD890" s="186"/>
      <c r="DE890" s="186"/>
      <c r="DF890" s="186"/>
      <c r="DG890" s="186"/>
      <c r="DH890" s="186"/>
    </row>
    <row r="891">
      <c r="A891" s="41">
        <v>891.0</v>
      </c>
      <c r="B891" s="126" t="s">
        <v>145</v>
      </c>
      <c r="C891" s="59" t="s">
        <v>108</v>
      </c>
      <c r="D891" s="59" t="s">
        <v>146</v>
      </c>
      <c r="F891" s="65" t="s">
        <v>4818</v>
      </c>
      <c r="G891" s="156" t="s">
        <v>4835</v>
      </c>
      <c r="H891" s="156" t="s">
        <v>146</v>
      </c>
      <c r="I891" s="149">
        <v>45687.0</v>
      </c>
      <c r="J891" s="149">
        <v>45692.0</v>
      </c>
      <c r="K891" s="1052" t="s">
        <v>4836</v>
      </c>
      <c r="L891" s="65"/>
      <c r="M891" s="156" t="s">
        <v>4819</v>
      </c>
      <c r="N891" s="156" t="s">
        <v>4820</v>
      </c>
      <c r="O891" s="153">
        <v>3.0</v>
      </c>
      <c r="P891" s="156" t="str">
        <f t="shared" si="37"/>
        <v>10.1177--0956797614559285.pdf</v>
      </c>
      <c r="Q891" s="49" t="str">
        <f t="array" ref="Q891"> if(iserror(MATCH(V891, 'File Links'!C:C, 0)), "N/A", HYPERLINK(INDEX('File Links'!B:B, MATCH(P891, 'File Links'!C:C, 0))))</f>
        <v>https://drive.google.com/file/d/1hgaLy7Pk7l8_uT0qzsdgGRA4OH5u_0hL/view?usp=drivesdk</v>
      </c>
      <c r="R891" s="156" t="s">
        <v>3646</v>
      </c>
      <c r="S891" s="156" t="s">
        <v>3647</v>
      </c>
      <c r="T891" s="438" t="s">
        <v>4826</v>
      </c>
      <c r="U891" s="153">
        <v>1.0</v>
      </c>
      <c r="V891" s="195" t="str">
        <f t="shared" si="48"/>
        <v>10.1098--rsos.231240.pdf</v>
      </c>
      <c r="W891" s="156" t="s">
        <v>3719</v>
      </c>
      <c r="X891" s="51" t="str">
        <f t="array" ref="X891"> if(iserror(MATCH(V891, 'File Links'!C:C, 0)), "N/A", HYPERLINK(INDEX('File Links'!B:B, MATCH(V891, 'File Links'!C:C, 0))))</f>
        <v>https://drive.google.com/file/d/17gaf2Zy_ljFfcAEDk5L8GBnTl5i7RGJE/view?usp=drivesdk</v>
      </c>
      <c r="Y891" s="65"/>
      <c r="Z891" s="156" t="s">
        <v>141</v>
      </c>
      <c r="AA891" s="156" t="s">
        <v>4827</v>
      </c>
      <c r="AB891" s="156" t="s">
        <v>4828</v>
      </c>
      <c r="AC891" s="156" t="s">
        <v>4837</v>
      </c>
      <c r="AD891" s="156" t="s">
        <v>4838</v>
      </c>
      <c r="AE891" s="153">
        <v>5.0</v>
      </c>
      <c r="AF891" s="153">
        <v>48.0</v>
      </c>
      <c r="AG891" s="333">
        <v>0.93</v>
      </c>
      <c r="AH891" s="153" t="s">
        <v>166</v>
      </c>
      <c r="AI891" s="153" t="s">
        <v>806</v>
      </c>
      <c r="AJ891" s="153">
        <v>0.001</v>
      </c>
      <c r="AK891" s="156" t="s">
        <v>128</v>
      </c>
      <c r="AL891" s="156" t="s">
        <v>179</v>
      </c>
      <c r="AM891" s="156" t="s">
        <v>134</v>
      </c>
      <c r="AN891" s="126" t="s">
        <v>131</v>
      </c>
      <c r="AO891" s="333">
        <v>51.0</v>
      </c>
      <c r="AP891" s="333">
        <v>0.56</v>
      </c>
      <c r="AQ891" s="153" t="s">
        <v>166</v>
      </c>
      <c r="AR891" s="333" t="s">
        <v>298</v>
      </c>
      <c r="AS891" s="153">
        <v>0.048</v>
      </c>
      <c r="AT891" s="156" t="s">
        <v>165</v>
      </c>
      <c r="AU891" s="156" t="s">
        <v>179</v>
      </c>
      <c r="AV891" s="156" t="s">
        <v>134</v>
      </c>
      <c r="AW891" s="126" t="s">
        <v>131</v>
      </c>
      <c r="AX891" s="65" t="s">
        <v>144</v>
      </c>
      <c r="AZ891" s="65" t="s">
        <v>146</v>
      </c>
      <c r="BA891" s="69"/>
    </row>
    <row r="892">
      <c r="A892" s="41">
        <v>892.0</v>
      </c>
      <c r="B892" s="126" t="s">
        <v>145</v>
      </c>
      <c r="C892" s="59" t="s">
        <v>108</v>
      </c>
      <c r="D892" s="59" t="s">
        <v>146</v>
      </c>
      <c r="F892" s="65" t="s">
        <v>4818</v>
      </c>
      <c r="G892" s="156" t="s">
        <v>4839</v>
      </c>
      <c r="H892" s="156" t="s">
        <v>146</v>
      </c>
      <c r="I892" s="149">
        <v>45687.0</v>
      </c>
      <c r="J892" s="149">
        <v>45692.0</v>
      </c>
      <c r="K892" s="1052" t="s">
        <v>4840</v>
      </c>
      <c r="L892" s="65"/>
      <c r="M892" s="156" t="s">
        <v>4819</v>
      </c>
      <c r="N892" s="156" t="s">
        <v>4820</v>
      </c>
      <c r="O892" s="153">
        <v>3.0</v>
      </c>
      <c r="P892" s="156" t="str">
        <f t="shared" si="37"/>
        <v>10.1177--0956797614559285.pdf</v>
      </c>
      <c r="Q892" s="49" t="str">
        <f t="array" ref="Q892"> if(iserror(MATCH(V892, 'File Links'!C:C, 0)), "N/A", HYPERLINK(INDEX('File Links'!B:B, MATCH(P892, 'File Links'!C:C, 0))))</f>
        <v>https://drive.google.com/file/d/1hgaLy7Pk7l8_uT0qzsdgGRA4OH5u_0hL/view?usp=drivesdk</v>
      </c>
      <c r="R892" s="156" t="s">
        <v>3646</v>
      </c>
      <c r="S892" s="156" t="s">
        <v>3647</v>
      </c>
      <c r="T892" s="438" t="s">
        <v>4826</v>
      </c>
      <c r="U892" s="153">
        <v>1.0</v>
      </c>
      <c r="V892" s="195" t="str">
        <f t="shared" si="48"/>
        <v>10.1098--rsos.231240.pdf</v>
      </c>
      <c r="W892" s="156" t="s">
        <v>3719</v>
      </c>
      <c r="X892" s="51" t="str">
        <f t="array" ref="X892"> if(iserror(MATCH(V892, 'File Links'!C:C, 0)), "N/A", HYPERLINK(INDEX('File Links'!B:B, MATCH(V892, 'File Links'!C:C, 0))))</f>
        <v>https://drive.google.com/file/d/17gaf2Zy_ljFfcAEDk5L8GBnTl5i7RGJE/view?usp=drivesdk</v>
      </c>
      <c r="Y892" s="65"/>
      <c r="Z892" s="156" t="s">
        <v>141</v>
      </c>
      <c r="AA892" s="156" t="s">
        <v>4827</v>
      </c>
      <c r="AB892" s="156" t="s">
        <v>4828</v>
      </c>
      <c r="AC892" s="156" t="s">
        <v>4841</v>
      </c>
      <c r="AD892" s="156" t="s">
        <v>4842</v>
      </c>
      <c r="AE892" s="153">
        <v>5.0</v>
      </c>
      <c r="AF892" s="153">
        <v>48.0</v>
      </c>
      <c r="AG892" s="333">
        <v>0.08</v>
      </c>
      <c r="AH892" s="153" t="s">
        <v>166</v>
      </c>
      <c r="AI892" s="153" t="s">
        <v>806</v>
      </c>
      <c r="AJ892" s="333">
        <v>0.69</v>
      </c>
      <c r="AK892" s="156" t="s">
        <v>165</v>
      </c>
      <c r="AL892" s="156" t="s">
        <v>179</v>
      </c>
      <c r="AM892" s="156" t="s">
        <v>134</v>
      </c>
      <c r="AN892" s="126" t="s">
        <v>131</v>
      </c>
      <c r="AO892" s="333">
        <v>51.0</v>
      </c>
      <c r="AP892" s="333">
        <v>0.57</v>
      </c>
      <c r="AQ892" s="153" t="s">
        <v>166</v>
      </c>
      <c r="AR892" s="333" t="s">
        <v>2805</v>
      </c>
      <c r="AS892" s="153">
        <v>0.066</v>
      </c>
      <c r="AT892" s="156" t="s">
        <v>165</v>
      </c>
      <c r="AU892" s="156" t="s">
        <v>179</v>
      </c>
      <c r="AV892" s="156" t="s">
        <v>134</v>
      </c>
      <c r="AW892" s="126" t="s">
        <v>131</v>
      </c>
      <c r="AX892" s="65" t="s">
        <v>144</v>
      </c>
      <c r="AZ892" s="65" t="s">
        <v>146</v>
      </c>
      <c r="BA892" s="69"/>
      <c r="BB892" s="186"/>
      <c r="BC892" s="186"/>
      <c r="BD892" s="186"/>
      <c r="BE892" s="186"/>
      <c r="BF892" s="186"/>
      <c r="BG892" s="186"/>
      <c r="BH892" s="186"/>
      <c r="BI892" s="186"/>
      <c r="BJ892" s="186"/>
      <c r="BK892" s="186"/>
      <c r="BL892" s="186"/>
      <c r="BM892" s="186"/>
      <c r="BN892" s="186"/>
      <c r="BO892" s="186"/>
      <c r="BP892" s="186"/>
      <c r="BQ892" s="186"/>
      <c r="BR892" s="186"/>
      <c r="BS892" s="186"/>
      <c r="BT892" s="186"/>
      <c r="BU892" s="186"/>
      <c r="BV892" s="186"/>
      <c r="BW892" s="186"/>
      <c r="BX892" s="186"/>
      <c r="BY892" s="186"/>
      <c r="BZ892" s="186"/>
      <c r="CA892" s="186"/>
      <c r="CB892" s="186"/>
      <c r="CC892" s="186"/>
      <c r="CD892" s="186"/>
      <c r="CE892" s="186"/>
      <c r="CF892" s="186"/>
      <c r="CG892" s="186"/>
      <c r="CH892" s="186"/>
      <c r="CI892" s="186"/>
      <c r="CJ892" s="186"/>
      <c r="CK892" s="186"/>
      <c r="CL892" s="186"/>
      <c r="CM892" s="186"/>
      <c r="CN892" s="186"/>
      <c r="CO892" s="186"/>
      <c r="CP892" s="186"/>
      <c r="CQ892" s="186"/>
      <c r="CR892" s="186"/>
      <c r="CS892" s="186"/>
      <c r="CT892" s="186"/>
      <c r="CU892" s="186"/>
      <c r="CV892" s="186"/>
      <c r="CW892" s="186"/>
      <c r="CX892" s="186"/>
      <c r="CY892" s="186"/>
      <c r="CZ892" s="186"/>
      <c r="DA892" s="186"/>
      <c r="DB892" s="186"/>
      <c r="DC892" s="186"/>
      <c r="DD892" s="186"/>
      <c r="DE892" s="186"/>
      <c r="DF892" s="186"/>
      <c r="DG892" s="186"/>
      <c r="DH892" s="186"/>
    </row>
    <row r="893">
      <c r="A893" s="41">
        <v>893.0</v>
      </c>
      <c r="B893" s="126" t="s">
        <v>145</v>
      </c>
      <c r="C893" s="59" t="s">
        <v>108</v>
      </c>
      <c r="D893" s="59" t="s">
        <v>146</v>
      </c>
      <c r="F893" s="65" t="s">
        <v>4818</v>
      </c>
      <c r="G893" s="156" t="s">
        <v>4843</v>
      </c>
      <c r="H893" s="156" t="s">
        <v>146</v>
      </c>
      <c r="I893" s="149">
        <v>45687.0</v>
      </c>
      <c r="J893" s="149">
        <v>45692.0</v>
      </c>
      <c r="K893" s="1052" t="s">
        <v>4844</v>
      </c>
      <c r="L893" s="65"/>
      <c r="M893" s="156" t="s">
        <v>4819</v>
      </c>
      <c r="N893" s="156" t="s">
        <v>4820</v>
      </c>
      <c r="O893" s="153">
        <v>3.0</v>
      </c>
      <c r="P893" s="156" t="str">
        <f t="shared" si="37"/>
        <v>10.1177--0956797614559285.pdf</v>
      </c>
      <c r="Q893" s="49" t="str">
        <f t="array" ref="Q893"> if(iserror(MATCH(V893, 'File Links'!C:C, 0)), "N/A", HYPERLINK(INDEX('File Links'!B:B, MATCH(P893, 'File Links'!C:C, 0))))</f>
        <v>https://drive.google.com/file/d/1hgaLy7Pk7l8_uT0qzsdgGRA4OH5u_0hL/view?usp=drivesdk</v>
      </c>
      <c r="R893" s="156" t="s">
        <v>3646</v>
      </c>
      <c r="S893" s="156" t="s">
        <v>3647</v>
      </c>
      <c r="T893" s="438" t="s">
        <v>4826</v>
      </c>
      <c r="U893" s="153">
        <v>1.0</v>
      </c>
      <c r="V893" s="195" t="str">
        <f t="shared" si="48"/>
        <v>10.1098--rsos.231240.pdf</v>
      </c>
      <c r="W893" s="156" t="s">
        <v>3719</v>
      </c>
      <c r="X893" s="51" t="str">
        <f t="array" ref="X893"> if(iserror(MATCH(V893, 'File Links'!C:C, 0)), "N/A", HYPERLINK(INDEX('File Links'!B:B, MATCH(V893, 'File Links'!C:C, 0))))</f>
        <v>https://drive.google.com/file/d/17gaf2Zy_ljFfcAEDk5L8GBnTl5i7RGJE/view?usp=drivesdk</v>
      </c>
      <c r="Y893" s="65"/>
      <c r="Z893" s="156" t="s">
        <v>141</v>
      </c>
      <c r="AA893" s="156" t="s">
        <v>4827</v>
      </c>
      <c r="AB893" s="156" t="s">
        <v>4828</v>
      </c>
      <c r="AC893" s="156" t="s">
        <v>4845</v>
      </c>
      <c r="AD893" s="156" t="s">
        <v>4846</v>
      </c>
      <c r="AE893" s="153">
        <v>5.0</v>
      </c>
      <c r="AF893" s="153">
        <v>48.0</v>
      </c>
      <c r="AG893" s="333">
        <v>0.15</v>
      </c>
      <c r="AH893" s="153" t="s">
        <v>132</v>
      </c>
      <c r="AI893" s="153" t="s">
        <v>806</v>
      </c>
      <c r="AJ893" s="333">
        <v>0.007</v>
      </c>
      <c r="AK893" s="156" t="s">
        <v>165</v>
      </c>
      <c r="AL893" s="156" t="s">
        <v>179</v>
      </c>
      <c r="AM893" s="156" t="s">
        <v>134</v>
      </c>
      <c r="AN893" s="126" t="s">
        <v>131</v>
      </c>
      <c r="AO893" s="333">
        <v>51.0</v>
      </c>
      <c r="AP893" s="1111">
        <v>0.25</v>
      </c>
      <c r="AQ893" s="153" t="s">
        <v>132</v>
      </c>
      <c r="AR893" s="333" t="s">
        <v>3248</v>
      </c>
      <c r="AS893" s="153">
        <v>0.001</v>
      </c>
      <c r="AT893" s="156" t="s">
        <v>128</v>
      </c>
      <c r="AU893" s="156" t="s">
        <v>179</v>
      </c>
      <c r="AV893" s="156" t="s">
        <v>134</v>
      </c>
      <c r="AW893" s="126" t="s">
        <v>131</v>
      </c>
      <c r="AX893" s="65" t="s">
        <v>144</v>
      </c>
      <c r="AZ893" s="65" t="s">
        <v>146</v>
      </c>
      <c r="BA893" s="69"/>
    </row>
    <row r="894">
      <c r="A894" s="41">
        <v>894.0</v>
      </c>
      <c r="B894" s="65" t="s">
        <v>107</v>
      </c>
      <c r="C894" s="59" t="s">
        <v>108</v>
      </c>
      <c r="D894" s="59" t="s">
        <v>241</v>
      </c>
      <c r="F894" s="156" t="s">
        <v>4847</v>
      </c>
      <c r="G894" s="156" t="s">
        <v>4848</v>
      </c>
      <c r="H894" s="156" t="s">
        <v>242</v>
      </c>
      <c r="I894" s="149">
        <v>45672.0</v>
      </c>
      <c r="J894" s="149">
        <v>45692.0</v>
      </c>
      <c r="K894" s="65"/>
      <c r="L894" s="65"/>
      <c r="M894" s="156" t="s">
        <v>4849</v>
      </c>
      <c r="N894" s="156" t="s">
        <v>4850</v>
      </c>
      <c r="O894" s="65"/>
      <c r="P894" s="156" t="str">
        <f t="shared" si="37"/>
        <v>10.1177--0956797616630964.pdf</v>
      </c>
      <c r="Q894" s="49" t="str">
        <f t="array" ref="Q894"> if(iserror(MATCH(V894, 'File Links'!C:C, 0)), "N/A", HYPERLINK(INDEX('File Links'!B:B, MATCH(P894, 'File Links'!C:C, 0))))</f>
        <v>https://drive.google.com/file/d/149vWpYz3xUBwjR-0Vi63Qa-y5jEghDmg/view?usp=drivesdk</v>
      </c>
      <c r="R894" s="156" t="s">
        <v>3646</v>
      </c>
      <c r="S894" s="156" t="s">
        <v>3647</v>
      </c>
      <c r="T894" s="65"/>
      <c r="U894" s="153">
        <v>1.0</v>
      </c>
      <c r="V894" s="195" t="str">
        <f t="shared" si="48"/>
        <v>10.1098--rsos.231240.pdf</v>
      </c>
      <c r="W894" s="156" t="s">
        <v>3719</v>
      </c>
      <c r="X894" s="51" t="str">
        <f t="array" ref="X894"> if(iserror(MATCH(V894, 'File Links'!C:C, 0)), "N/A", HYPERLINK(INDEX('File Links'!B:B, MATCH(V894, 'File Links'!C:C, 0))))</f>
        <v>https://drive.google.com/file/d/17gaf2Zy_ljFfcAEDk5L8GBnTl5i7RGJE/view?usp=drivesdk</v>
      </c>
      <c r="Y894" s="65"/>
      <c r="Z894" s="156" t="s">
        <v>141</v>
      </c>
      <c r="AA894" s="65"/>
      <c r="AB894" s="156" t="s">
        <v>3798</v>
      </c>
      <c r="AC894" s="65"/>
      <c r="AD894" s="156" t="s">
        <v>4851</v>
      </c>
      <c r="AE894" s="153">
        <v>6.0</v>
      </c>
      <c r="AF894" s="153">
        <v>16.0</v>
      </c>
      <c r="AG894" s="153">
        <v>0.3</v>
      </c>
      <c r="AH894" s="156" t="s">
        <v>132</v>
      </c>
      <c r="AI894" s="156" t="s">
        <v>1035</v>
      </c>
      <c r="AJ894" s="153">
        <v>0.02</v>
      </c>
      <c r="AK894" s="156" t="s">
        <v>165</v>
      </c>
      <c r="AL894" s="156" t="s">
        <v>179</v>
      </c>
      <c r="AM894" s="156" t="s">
        <v>134</v>
      </c>
      <c r="AN894" s="126" t="s">
        <v>131</v>
      </c>
      <c r="AO894" s="153">
        <v>39.0</v>
      </c>
      <c r="AP894" s="1240">
        <v>0.280224269158902</v>
      </c>
      <c r="AQ894" s="156" t="s">
        <v>166</v>
      </c>
      <c r="AR894" s="1150" t="s">
        <v>4113</v>
      </c>
      <c r="AS894" s="1240">
        <v>0.0881902635199541</v>
      </c>
      <c r="AT894" s="156" t="s">
        <v>165</v>
      </c>
      <c r="AU894" s="156" t="s">
        <v>179</v>
      </c>
      <c r="AV894" s="156" t="s">
        <v>134</v>
      </c>
      <c r="AW894" s="126" t="s">
        <v>131</v>
      </c>
      <c r="AX894" s="1057" t="s">
        <v>136</v>
      </c>
      <c r="AZ894" s="65" t="s">
        <v>146</v>
      </c>
      <c r="BA894" s="69"/>
      <c r="BB894" s="186"/>
      <c r="BC894" s="186"/>
      <c r="BD894" s="186"/>
      <c r="BE894" s="186"/>
      <c r="BF894" s="186"/>
      <c r="BG894" s="186"/>
      <c r="BH894" s="186"/>
      <c r="BI894" s="186"/>
      <c r="BJ894" s="186"/>
      <c r="BK894" s="186"/>
      <c r="BL894" s="186"/>
      <c r="BM894" s="186"/>
      <c r="BN894" s="186"/>
      <c r="BO894" s="186"/>
      <c r="BP894" s="186"/>
      <c r="BQ894" s="186"/>
      <c r="BR894" s="186"/>
      <c r="BS894" s="186"/>
      <c r="BT894" s="186"/>
      <c r="BU894" s="186"/>
      <c r="BV894" s="186"/>
      <c r="BW894" s="186"/>
      <c r="BX894" s="186"/>
      <c r="BY894" s="186"/>
      <c r="BZ894" s="186"/>
      <c r="CA894" s="186"/>
      <c r="CB894" s="186"/>
      <c r="CC894" s="186"/>
      <c r="CD894" s="186"/>
      <c r="CE894" s="186"/>
      <c r="CF894" s="186"/>
      <c r="CG894" s="186"/>
      <c r="CH894" s="186"/>
      <c r="CI894" s="186"/>
      <c r="CJ894" s="186"/>
      <c r="CK894" s="186"/>
      <c r="CL894" s="186"/>
      <c r="CM894" s="186"/>
      <c r="CN894" s="186"/>
      <c r="CO894" s="186"/>
      <c r="CP894" s="186"/>
      <c r="CQ894" s="186"/>
      <c r="CR894" s="186"/>
      <c r="CS894" s="186"/>
      <c r="CT894" s="186"/>
      <c r="CU894" s="186"/>
      <c r="CV894" s="186"/>
      <c r="CW894" s="186"/>
      <c r="CX894" s="186"/>
      <c r="CY894" s="186"/>
      <c r="CZ894" s="186"/>
      <c r="DA894" s="186"/>
      <c r="DB894" s="186"/>
      <c r="DC894" s="186"/>
      <c r="DD894" s="186"/>
      <c r="DE894" s="186"/>
      <c r="DF894" s="186"/>
      <c r="DG894" s="186"/>
      <c r="DH894" s="186"/>
    </row>
    <row r="895">
      <c r="A895" s="41">
        <v>895.0</v>
      </c>
      <c r="B895" s="126" t="s">
        <v>145</v>
      </c>
      <c r="C895" s="59" t="s">
        <v>108</v>
      </c>
      <c r="D895" s="59" t="s">
        <v>146</v>
      </c>
      <c r="F895" s="65" t="s">
        <v>4848</v>
      </c>
      <c r="G895" s="156" t="s">
        <v>4847</v>
      </c>
      <c r="H895" s="156" t="s">
        <v>146</v>
      </c>
      <c r="I895" s="149">
        <v>45687.0</v>
      </c>
      <c r="J895" s="149">
        <v>45692.0</v>
      </c>
      <c r="K895" s="1052" t="s">
        <v>4852</v>
      </c>
      <c r="L895" s="65"/>
      <c r="M895" s="156" t="s">
        <v>4849</v>
      </c>
      <c r="N895" s="156" t="s">
        <v>4850</v>
      </c>
      <c r="O895" s="153">
        <v>3.0</v>
      </c>
      <c r="P895" s="156" t="str">
        <f t="shared" si="37"/>
        <v>10.1177--0956797616630964.pdf</v>
      </c>
      <c r="Q895" s="49" t="str">
        <f t="array" ref="Q895"> if(iserror(MATCH(V895, 'File Links'!C:C, 0)), "N/A", HYPERLINK(INDEX('File Links'!B:B, MATCH(P895, 'File Links'!C:C, 0))))</f>
        <v>https://drive.google.com/file/d/149vWpYz3xUBwjR-0Vi63Qa-y5jEghDmg/view?usp=drivesdk</v>
      </c>
      <c r="R895" s="156" t="s">
        <v>3646</v>
      </c>
      <c r="S895" s="156" t="s">
        <v>3647</v>
      </c>
      <c r="T895" s="438" t="s">
        <v>4853</v>
      </c>
      <c r="U895" s="153">
        <v>1.0</v>
      </c>
      <c r="V895" s="195" t="str">
        <f t="shared" si="48"/>
        <v>10.1098--rsos.231240.pdf</v>
      </c>
      <c r="W895" s="156" t="s">
        <v>157</v>
      </c>
      <c r="X895" s="51" t="str">
        <f t="array" ref="X895"> if(iserror(MATCH(V895, 'File Links'!C:C, 0)), "N/A", HYPERLINK(INDEX('File Links'!B:B, MATCH(V895, 'File Links'!C:C, 0))))</f>
        <v>https://drive.google.com/file/d/17gaf2Zy_ljFfcAEDk5L8GBnTl5i7RGJE/view?usp=drivesdk</v>
      </c>
      <c r="Y895" s="43"/>
      <c r="Z895" s="156" t="s">
        <v>141</v>
      </c>
      <c r="AA895" s="156" t="s">
        <v>4854</v>
      </c>
      <c r="AB895" s="156" t="s">
        <v>4855</v>
      </c>
      <c r="AC895" s="156" t="s">
        <v>4856</v>
      </c>
      <c r="AD895" s="156" t="s">
        <v>4857</v>
      </c>
      <c r="AE895" s="153">
        <v>6.0</v>
      </c>
      <c r="AF895" s="153">
        <v>16.0</v>
      </c>
      <c r="AG895" s="153">
        <v>0.31</v>
      </c>
      <c r="AH895" s="153" t="s">
        <v>132</v>
      </c>
      <c r="AI895" s="153" t="s">
        <v>133</v>
      </c>
      <c r="AJ895" s="153">
        <v>1.0E-4</v>
      </c>
      <c r="AK895" s="156" t="s">
        <v>165</v>
      </c>
      <c r="AL895" s="156" t="s">
        <v>179</v>
      </c>
      <c r="AM895" s="156" t="s">
        <v>134</v>
      </c>
      <c r="AN895" s="126" t="s">
        <v>131</v>
      </c>
      <c r="AO895" s="153">
        <v>39.0</v>
      </c>
      <c r="AP895" s="1241">
        <v>0.4</v>
      </c>
      <c r="AQ895" s="153" t="s">
        <v>132</v>
      </c>
      <c r="AR895" s="438" t="s">
        <v>4853</v>
      </c>
      <c r="AS895" s="153">
        <v>0.0</v>
      </c>
      <c r="AT895" s="156" t="s">
        <v>165</v>
      </c>
      <c r="AU895" s="156" t="s">
        <v>179</v>
      </c>
      <c r="AV895" s="156" t="s">
        <v>134</v>
      </c>
      <c r="AW895" s="126" t="s">
        <v>131</v>
      </c>
      <c r="AX895" s="65" t="s">
        <v>144</v>
      </c>
      <c r="AZ895" s="65" t="s">
        <v>146</v>
      </c>
      <c r="BA895" s="69"/>
    </row>
    <row r="896">
      <c r="A896" s="41">
        <v>896.0</v>
      </c>
      <c r="B896" s="126" t="s">
        <v>145</v>
      </c>
      <c r="C896" s="59" t="s">
        <v>108</v>
      </c>
      <c r="D896" s="59" t="s">
        <v>146</v>
      </c>
      <c r="F896" s="65" t="s">
        <v>4848</v>
      </c>
      <c r="G896" s="156" t="s">
        <v>4858</v>
      </c>
      <c r="H896" s="156" t="s">
        <v>146</v>
      </c>
      <c r="I896" s="149">
        <v>45687.0</v>
      </c>
      <c r="J896" s="149">
        <v>45692.0</v>
      </c>
      <c r="K896" s="1052" t="s">
        <v>4859</v>
      </c>
      <c r="L896" s="65"/>
      <c r="M896" s="156" t="s">
        <v>4849</v>
      </c>
      <c r="N896" s="156" t="s">
        <v>4850</v>
      </c>
      <c r="O896" s="153">
        <v>3.0</v>
      </c>
      <c r="P896" s="156" t="str">
        <f t="shared" si="37"/>
        <v>10.1177--0956797616630964.pdf</v>
      </c>
      <c r="Q896" s="49" t="str">
        <f t="array" ref="Q896"> if(iserror(MATCH(V896, 'File Links'!C:C, 0)), "N/A", HYPERLINK(INDEX('File Links'!B:B, MATCH(P896, 'File Links'!C:C, 0))))</f>
        <v>https://drive.google.com/file/d/149vWpYz3xUBwjR-0Vi63Qa-y5jEghDmg/view?usp=drivesdk</v>
      </c>
      <c r="R896" s="156" t="s">
        <v>3646</v>
      </c>
      <c r="S896" s="156" t="s">
        <v>3647</v>
      </c>
      <c r="T896" s="438" t="s">
        <v>4853</v>
      </c>
      <c r="U896" s="153">
        <v>1.0</v>
      </c>
      <c r="V896" s="195" t="str">
        <f t="shared" si="48"/>
        <v>10.1098--rsos.231240.pdf</v>
      </c>
      <c r="W896" s="156" t="s">
        <v>157</v>
      </c>
      <c r="X896" s="51" t="str">
        <f t="array" ref="X896"> if(iserror(MATCH(V896, 'File Links'!C:C, 0)), "N/A", HYPERLINK(INDEX('File Links'!B:B, MATCH(V896, 'File Links'!C:C, 0))))</f>
        <v>https://drive.google.com/file/d/17gaf2Zy_ljFfcAEDk5L8GBnTl5i7RGJE/view?usp=drivesdk</v>
      </c>
      <c r="Y896" s="65"/>
      <c r="Z896" s="156" t="s">
        <v>141</v>
      </c>
      <c r="AA896" s="156" t="s">
        <v>4854</v>
      </c>
      <c r="AB896" s="156" t="s">
        <v>4855</v>
      </c>
      <c r="AC896" s="156" t="s">
        <v>4860</v>
      </c>
      <c r="AD896" s="156" t="s">
        <v>4861</v>
      </c>
      <c r="AE896" s="153">
        <v>6.0</v>
      </c>
      <c r="AF896" s="153">
        <v>16.0</v>
      </c>
      <c r="AG896" s="333">
        <v>0.3</v>
      </c>
      <c r="AH896" s="153" t="s">
        <v>132</v>
      </c>
      <c r="AI896" s="153" t="s">
        <v>133</v>
      </c>
      <c r="AJ896" s="333">
        <v>0.02</v>
      </c>
      <c r="AK896" s="156" t="s">
        <v>165</v>
      </c>
      <c r="AL896" s="156" t="s">
        <v>179</v>
      </c>
      <c r="AM896" s="156" t="s">
        <v>134</v>
      </c>
      <c r="AN896" s="126" t="s">
        <v>131</v>
      </c>
      <c r="AO896" s="153">
        <v>39.0</v>
      </c>
      <c r="AP896" s="1241">
        <v>0.04</v>
      </c>
      <c r="AQ896" s="153" t="s">
        <v>132</v>
      </c>
      <c r="AR896" s="438" t="s">
        <v>4853</v>
      </c>
      <c r="AS896" s="153">
        <v>0.09</v>
      </c>
      <c r="AT896" s="156" t="s">
        <v>165</v>
      </c>
      <c r="AU896" s="156" t="s">
        <v>179</v>
      </c>
      <c r="AV896" s="156" t="s">
        <v>134</v>
      </c>
      <c r="AW896" s="126" t="s">
        <v>131</v>
      </c>
      <c r="AX896" s="65" t="s">
        <v>144</v>
      </c>
      <c r="AZ896" s="65" t="s">
        <v>146</v>
      </c>
      <c r="BA896" s="69"/>
      <c r="BB896" s="186"/>
      <c r="BC896" s="186"/>
      <c r="BD896" s="186"/>
      <c r="BE896" s="186"/>
      <c r="BF896" s="186"/>
      <c r="BG896" s="186"/>
      <c r="BH896" s="186"/>
      <c r="BI896" s="186"/>
      <c r="BJ896" s="186"/>
      <c r="BK896" s="186"/>
      <c r="BL896" s="186"/>
      <c r="BM896" s="186"/>
      <c r="BN896" s="186"/>
      <c r="BO896" s="186"/>
      <c r="BP896" s="186"/>
      <c r="BQ896" s="186"/>
      <c r="BR896" s="186"/>
      <c r="BS896" s="186"/>
      <c r="BT896" s="186"/>
      <c r="BU896" s="186"/>
      <c r="BV896" s="186"/>
      <c r="BW896" s="186"/>
      <c r="BX896" s="186"/>
      <c r="BY896" s="186"/>
      <c r="BZ896" s="186"/>
      <c r="CA896" s="186"/>
      <c r="CB896" s="186"/>
      <c r="CC896" s="186"/>
      <c r="CD896" s="186"/>
      <c r="CE896" s="186"/>
      <c r="CF896" s="186"/>
      <c r="CG896" s="186"/>
      <c r="CH896" s="186"/>
      <c r="CI896" s="186"/>
      <c r="CJ896" s="186"/>
      <c r="CK896" s="186"/>
      <c r="CL896" s="186"/>
      <c r="CM896" s="186"/>
      <c r="CN896" s="186"/>
      <c r="CO896" s="186"/>
      <c r="CP896" s="186"/>
      <c r="CQ896" s="186"/>
      <c r="CR896" s="186"/>
      <c r="CS896" s="186"/>
      <c r="CT896" s="186"/>
      <c r="CU896" s="186"/>
      <c r="CV896" s="186"/>
      <c r="CW896" s="186"/>
      <c r="CX896" s="186"/>
      <c r="CY896" s="186"/>
      <c r="CZ896" s="186"/>
      <c r="DA896" s="186"/>
      <c r="DB896" s="186"/>
      <c r="DC896" s="186"/>
      <c r="DD896" s="186"/>
      <c r="DE896" s="186"/>
      <c r="DF896" s="186"/>
      <c r="DG896" s="186"/>
      <c r="DH896" s="186"/>
    </row>
    <row r="897">
      <c r="A897" s="107">
        <v>897.0</v>
      </c>
      <c r="B897" s="108" t="s">
        <v>107</v>
      </c>
      <c r="C897" s="146" t="s">
        <v>108</v>
      </c>
      <c r="D897" s="146" t="s">
        <v>241</v>
      </c>
      <c r="E897" s="69"/>
      <c r="F897" s="119" t="s">
        <v>4862</v>
      </c>
      <c r="G897" s="119" t="s">
        <v>4863</v>
      </c>
      <c r="H897" s="119" t="s">
        <v>242</v>
      </c>
      <c r="I897" s="414">
        <v>45672.0</v>
      </c>
      <c r="J897" s="414">
        <v>45692.0</v>
      </c>
      <c r="K897" s="215" t="s">
        <v>3676</v>
      </c>
      <c r="L897" s="108"/>
      <c r="M897" s="119" t="s">
        <v>4864</v>
      </c>
      <c r="N897" s="119" t="s">
        <v>4865</v>
      </c>
      <c r="O897" s="108"/>
      <c r="P897" s="119" t="str">
        <f t="shared" si="37"/>
        <v>10.1126--science.148.3670.661.pdf</v>
      </c>
      <c r="Q897" s="1158" t="str">
        <f t="array" ref="Q897"> if(iserror(MATCH(V897, 'File Links'!C:C, 0)), "N/A", HYPERLINK(INDEX('File Links'!B:B, MATCH(P897, 'File Links'!C:C, 0))))</f>
        <v>https://drive.google.com/file/d/1LtoTK2zHVIYGFfb_cXHLXLWkOHpGikA0/view?usp=drivesdk</v>
      </c>
      <c r="R897" s="119" t="s">
        <v>3646</v>
      </c>
      <c r="S897" s="119" t="s">
        <v>3647</v>
      </c>
      <c r="T897" s="108"/>
      <c r="U897" s="534">
        <v>1.0</v>
      </c>
      <c r="V897" s="119" t="str">
        <f t="shared" si="48"/>
        <v>10.1098--rsos.231240.pdf</v>
      </c>
      <c r="W897" s="119" t="s">
        <v>3658</v>
      </c>
      <c r="X897" s="1159" t="str">
        <f t="array" ref="X897"> if(iserror(MATCH(V897, 'File Links'!C:C, 0)), "N/A", HYPERLINK(INDEX('File Links'!B:B, MATCH(V897, 'File Links'!C:C, 0))))</f>
        <v>https://drive.google.com/file/d/17gaf2Zy_ljFfcAEDk5L8GBnTl5i7RGJE/view?usp=drivesdk</v>
      </c>
      <c r="Y897" s="108"/>
      <c r="Z897" s="119" t="s">
        <v>141</v>
      </c>
      <c r="AA897" s="108"/>
      <c r="AB897" s="108"/>
      <c r="AC897" s="108"/>
      <c r="AD897" s="119" t="s">
        <v>131</v>
      </c>
      <c r="AE897" s="119" t="s">
        <v>131</v>
      </c>
      <c r="AF897" s="119" t="s">
        <v>131</v>
      </c>
      <c r="AG897" s="119" t="s">
        <v>131</v>
      </c>
      <c r="AH897" s="113" t="s">
        <v>131</v>
      </c>
      <c r="AI897" s="119" t="s">
        <v>131</v>
      </c>
      <c r="AJ897" s="119" t="s">
        <v>131</v>
      </c>
      <c r="AK897" s="108"/>
      <c r="AL897" s="119" t="s">
        <v>179</v>
      </c>
      <c r="AM897" s="119" t="s">
        <v>1898</v>
      </c>
      <c r="AN897" s="144" t="s">
        <v>131</v>
      </c>
      <c r="AO897" s="534">
        <v>26.0</v>
      </c>
      <c r="AP897" s="119" t="s">
        <v>131</v>
      </c>
      <c r="AQ897" s="108"/>
      <c r="AR897" s="108"/>
      <c r="AS897" s="119" t="s">
        <v>131</v>
      </c>
      <c r="AT897" s="108"/>
      <c r="AU897" s="119" t="s">
        <v>179</v>
      </c>
      <c r="AV897" s="119" t="s">
        <v>1898</v>
      </c>
      <c r="AW897" s="144" t="s">
        <v>131</v>
      </c>
      <c r="AX897" s="119" t="s">
        <v>136</v>
      </c>
      <c r="AY897" s="69"/>
      <c r="AZ897" s="108" t="s">
        <v>146</v>
      </c>
      <c r="BA897" s="69"/>
      <c r="BB897" s="69"/>
      <c r="BC897" s="69"/>
      <c r="BD897" s="69"/>
      <c r="BE897" s="69"/>
      <c r="BF897" s="69"/>
      <c r="BG897" s="69"/>
      <c r="BH897" s="69"/>
      <c r="BI897" s="69"/>
      <c r="BJ897" s="69"/>
      <c r="BK897" s="69"/>
      <c r="BL897" s="69"/>
      <c r="BM897" s="69"/>
      <c r="BN897" s="69"/>
      <c r="BO897" s="69"/>
      <c r="BP897" s="69"/>
      <c r="BQ897" s="69"/>
      <c r="BR897" s="69"/>
      <c r="BS897" s="69"/>
      <c r="BT897" s="69"/>
      <c r="BU897" s="69"/>
      <c r="BV897" s="69"/>
      <c r="BW897" s="69"/>
      <c r="BX897" s="69"/>
      <c r="BY897" s="69"/>
      <c r="BZ897" s="69"/>
      <c r="CA897" s="69"/>
      <c r="CB897" s="69"/>
      <c r="CC897" s="69"/>
      <c r="CD897" s="69"/>
      <c r="CE897" s="69"/>
      <c r="CF897" s="69"/>
      <c r="CG897" s="69"/>
      <c r="CH897" s="69"/>
      <c r="CI897" s="69"/>
      <c r="CJ897" s="69"/>
      <c r="CK897" s="69"/>
      <c r="CL897" s="69"/>
      <c r="CM897" s="69"/>
      <c r="CN897" s="69"/>
      <c r="CO897" s="69"/>
      <c r="CP897" s="69"/>
      <c r="CQ897" s="69"/>
      <c r="CR897" s="69"/>
      <c r="CS897" s="69"/>
      <c r="CT897" s="69"/>
      <c r="CU897" s="69"/>
      <c r="CV897" s="69"/>
      <c r="CW897" s="69"/>
      <c r="CX897" s="69"/>
      <c r="CY897" s="69"/>
      <c r="CZ897" s="69"/>
      <c r="DA897" s="69"/>
      <c r="DB897" s="69"/>
      <c r="DC897" s="69"/>
      <c r="DD897" s="69"/>
      <c r="DE897" s="69"/>
      <c r="DF897" s="69"/>
      <c r="DG897" s="69"/>
      <c r="DH897" s="69"/>
    </row>
    <row r="898">
      <c r="A898" s="107">
        <v>898.0</v>
      </c>
      <c r="B898" s="108" t="s">
        <v>107</v>
      </c>
      <c r="C898" s="146" t="s">
        <v>108</v>
      </c>
      <c r="D898" s="146" t="s">
        <v>146</v>
      </c>
      <c r="E898" s="69"/>
      <c r="F898" s="108" t="s">
        <v>4863</v>
      </c>
      <c r="G898" s="119" t="s">
        <v>4862</v>
      </c>
      <c r="H898" s="119" t="s">
        <v>146</v>
      </c>
      <c r="I898" s="414">
        <v>45687.0</v>
      </c>
      <c r="J898" s="414">
        <v>45692.0</v>
      </c>
      <c r="K898" s="108"/>
      <c r="L898" s="108"/>
      <c r="M898" s="119" t="s">
        <v>4864</v>
      </c>
      <c r="N898" s="119" t="s">
        <v>4865</v>
      </c>
      <c r="O898" s="534">
        <v>1.0</v>
      </c>
      <c r="P898" s="119" t="str">
        <f t="shared" si="37"/>
        <v>10.1126--science.148.3670.661.pdf</v>
      </c>
      <c r="Q898" s="1158" t="str">
        <f t="array" ref="Q898"> if(iserror(MATCH(V898, 'File Links'!C:C, 0)), "N/A", HYPERLINK(INDEX('File Links'!B:B, MATCH(P898, 'File Links'!C:C, 0))))</f>
        <v>https://drive.google.com/file/d/1LtoTK2zHVIYGFfb_cXHLXLWkOHpGikA0/view?usp=drivesdk</v>
      </c>
      <c r="R898" s="119" t="s">
        <v>3646</v>
      </c>
      <c r="S898" s="119" t="s">
        <v>3647</v>
      </c>
      <c r="T898" s="108"/>
      <c r="U898" s="534">
        <v>1.0</v>
      </c>
      <c r="V898" s="119" t="s">
        <v>3651</v>
      </c>
      <c r="W898" s="108"/>
      <c r="X898" s="1159" t="str">
        <f t="array" ref="X898"> if(iserror(MATCH(V898, 'File Links'!C:C, 0)), "N/A", HYPERLINK(INDEX('File Links'!B:B, MATCH(V898, 'File Links'!C:C, 0))))</f>
        <v>https://drive.google.com/file/d/17gaf2Zy_ljFfcAEDk5L8GBnTl5i7RGJE/view?usp=drivesdk</v>
      </c>
      <c r="Y898" s="119" t="s">
        <v>3652</v>
      </c>
      <c r="Z898" s="108"/>
      <c r="AA898" s="108"/>
      <c r="AB898" s="108"/>
      <c r="AC898" s="108"/>
      <c r="AD898" s="108"/>
      <c r="AE898" s="108"/>
      <c r="AF898" s="108"/>
      <c r="AG898" s="108"/>
      <c r="AH898" s="108"/>
      <c r="AI898" s="108"/>
      <c r="AJ898" s="108"/>
      <c r="AK898" s="108"/>
      <c r="AL898" s="108"/>
      <c r="AM898" s="108"/>
      <c r="AN898" s="144" t="s">
        <v>131</v>
      </c>
      <c r="AO898" s="108"/>
      <c r="AP898" s="108"/>
      <c r="AQ898" s="108"/>
      <c r="AR898" s="108"/>
      <c r="AS898" s="108"/>
      <c r="AT898" s="108"/>
      <c r="AU898" s="108"/>
      <c r="AV898" s="108"/>
      <c r="AW898" s="108"/>
      <c r="AX898" s="108"/>
      <c r="AY898" s="69"/>
      <c r="AZ898" s="108" t="s">
        <v>146</v>
      </c>
      <c r="BA898" s="69"/>
      <c r="BB898" s="69"/>
      <c r="BC898" s="69"/>
      <c r="BD898" s="69"/>
      <c r="BE898" s="69"/>
      <c r="BF898" s="69"/>
      <c r="BG898" s="69"/>
      <c r="BH898" s="69"/>
      <c r="BI898" s="69"/>
      <c r="BJ898" s="69"/>
      <c r="BK898" s="69"/>
      <c r="BL898" s="69"/>
      <c r="BM898" s="69"/>
      <c r="BN898" s="69"/>
      <c r="BO898" s="69"/>
      <c r="BP898" s="69"/>
      <c r="BQ898" s="69"/>
      <c r="BR898" s="69"/>
      <c r="BS898" s="69"/>
      <c r="BT898" s="69"/>
      <c r="BU898" s="69"/>
      <c r="BV898" s="69"/>
      <c r="BW898" s="69"/>
      <c r="BX898" s="69"/>
      <c r="BY898" s="69"/>
      <c r="BZ898" s="69"/>
      <c r="CA898" s="69"/>
      <c r="CB898" s="69"/>
      <c r="CC898" s="69"/>
      <c r="CD898" s="69"/>
      <c r="CE898" s="69"/>
      <c r="CF898" s="69"/>
      <c r="CG898" s="69"/>
      <c r="CH898" s="69"/>
      <c r="CI898" s="69"/>
      <c r="CJ898" s="69"/>
      <c r="CK898" s="69"/>
      <c r="CL898" s="69"/>
      <c r="CM898" s="69"/>
      <c r="CN898" s="69"/>
      <c r="CO898" s="69"/>
      <c r="CP898" s="69"/>
      <c r="CQ898" s="69"/>
      <c r="CR898" s="69"/>
      <c r="CS898" s="69"/>
      <c r="CT898" s="69"/>
      <c r="CU898" s="69"/>
      <c r="CV898" s="69"/>
      <c r="CW898" s="69"/>
      <c r="CX898" s="69"/>
      <c r="CY898" s="69"/>
      <c r="CZ898" s="69"/>
      <c r="DA898" s="69"/>
      <c r="DB898" s="69"/>
      <c r="DC898" s="69"/>
      <c r="DD898" s="69"/>
      <c r="DE898" s="69"/>
      <c r="DF898" s="69"/>
      <c r="DG898" s="69"/>
      <c r="DH898" s="69"/>
    </row>
    <row r="899">
      <c r="A899" s="41">
        <v>899.0</v>
      </c>
      <c r="B899" s="65" t="s">
        <v>107</v>
      </c>
      <c r="C899" s="59" t="s">
        <v>108</v>
      </c>
      <c r="D899" s="59" t="s">
        <v>241</v>
      </c>
      <c r="F899" s="156" t="s">
        <v>4866</v>
      </c>
      <c r="G899" s="156" t="s">
        <v>4867</v>
      </c>
      <c r="H899" s="156" t="s">
        <v>242</v>
      </c>
      <c r="I899" s="149">
        <v>45672.0</v>
      </c>
      <c r="J899" s="149">
        <v>45692.0</v>
      </c>
      <c r="K899" s="65"/>
      <c r="L899" s="65" t="s">
        <v>3683</v>
      </c>
      <c r="M899" s="156" t="s">
        <v>4868</v>
      </c>
      <c r="N899" s="156" t="s">
        <v>4869</v>
      </c>
      <c r="O899" s="65"/>
      <c r="P899" s="156" t="str">
        <f t="shared" si="37"/>
        <v>10.1073--pnas.1202129109.pdf</v>
      </c>
      <c r="Q899" s="49" t="str">
        <f t="array" ref="Q899"> if(iserror(MATCH(V899, 'File Links'!C:C, 0)), "N/A", HYPERLINK(INDEX('File Links'!B:B, MATCH(P899, 'File Links'!C:C, 0))))</f>
        <v>https://drive.google.com/file/d/11Av49SlCGKMhtLvS_jk4226riFKcyhNh/view?usp=drivesdk</v>
      </c>
      <c r="R899" s="156" t="s">
        <v>3646</v>
      </c>
      <c r="S899" s="156" t="s">
        <v>3647</v>
      </c>
      <c r="T899" s="65"/>
      <c r="U899" s="153">
        <v>1.0</v>
      </c>
      <c r="V899" s="195" t="str">
        <f t="shared" ref="V899:V914" si="49"> hyperlink(vlookup(lower(S899),#REF!, 2, FALSE), SUBSTITUTE(lower(S899), "/", "--") &amp;  ".pdf")</f>
        <v>10.1098--rsos.231240.pdf</v>
      </c>
      <c r="W899" s="156" t="s">
        <v>3658</v>
      </c>
      <c r="X899" s="51" t="str">
        <f t="array" ref="X899"> if(iserror(MATCH(V899, 'File Links'!C:C, 0)), "N/A", HYPERLINK(INDEX('File Links'!B:B, MATCH(V899, 'File Links'!C:C, 0))))</f>
        <v>https://drive.google.com/file/d/17gaf2Zy_ljFfcAEDk5L8GBnTl5i7RGJE/view?usp=drivesdk</v>
      </c>
      <c r="Y899" s="65"/>
      <c r="Z899" s="156" t="s">
        <v>219</v>
      </c>
      <c r="AA899" s="65"/>
      <c r="AB899" s="65"/>
      <c r="AC899" s="65"/>
      <c r="AD899" s="156" t="s">
        <v>4870</v>
      </c>
      <c r="AE899" s="1056">
        <v>8039.0</v>
      </c>
      <c r="AF899" s="153">
        <v>37.0</v>
      </c>
      <c r="AG899" s="153">
        <v>1.11</v>
      </c>
      <c r="AH899" s="156" t="s">
        <v>166</v>
      </c>
      <c r="AI899" s="1057" t="s">
        <v>4871</v>
      </c>
      <c r="AJ899" s="153">
        <v>0.002</v>
      </c>
      <c r="AK899" s="156" t="s">
        <v>165</v>
      </c>
      <c r="AL899" s="156" t="s">
        <v>179</v>
      </c>
      <c r="AM899" s="148" t="s">
        <v>130</v>
      </c>
      <c r="AN899" s="126" t="s">
        <v>131</v>
      </c>
      <c r="AO899" s="153">
        <v>19.0</v>
      </c>
      <c r="AP899" s="1240">
        <v>0.00917662935482247</v>
      </c>
      <c r="AQ899" s="156" t="s">
        <v>166</v>
      </c>
      <c r="AR899" s="1150" t="s">
        <v>4113</v>
      </c>
      <c r="AS899" s="1240">
        <v>0.968533455924623</v>
      </c>
      <c r="AT899" s="156" t="s">
        <v>165</v>
      </c>
      <c r="AU899" s="156" t="s">
        <v>179</v>
      </c>
      <c r="AV899" s="148" t="s">
        <v>130</v>
      </c>
      <c r="AW899" s="126" t="s">
        <v>131</v>
      </c>
      <c r="AX899" s="156" t="s">
        <v>136</v>
      </c>
      <c r="AZ899" s="65" t="s">
        <v>146</v>
      </c>
      <c r="BA899" s="69"/>
    </row>
    <row r="900">
      <c r="A900" s="41">
        <v>900.0</v>
      </c>
      <c r="B900" s="126" t="s">
        <v>145</v>
      </c>
      <c r="C900" s="59" t="s">
        <v>108</v>
      </c>
      <c r="D900" s="59" t="s">
        <v>146</v>
      </c>
      <c r="F900" s="65" t="s">
        <v>4867</v>
      </c>
      <c r="G900" s="156" t="s">
        <v>4866</v>
      </c>
      <c r="H900" s="156" t="s">
        <v>146</v>
      </c>
      <c r="I900" s="149">
        <v>45687.0</v>
      </c>
      <c r="J900" s="149">
        <v>45692.0</v>
      </c>
      <c r="K900" s="434" t="s">
        <v>4815</v>
      </c>
      <c r="L900" s="65"/>
      <c r="M900" s="156" t="s">
        <v>4868</v>
      </c>
      <c r="N900" s="156" t="s">
        <v>4869</v>
      </c>
      <c r="O900" s="153">
        <v>2.0</v>
      </c>
      <c r="P900" s="156" t="str">
        <f t="shared" si="37"/>
        <v>10.1073--pnas.1202129109.pdf</v>
      </c>
      <c r="Q900" s="49" t="str">
        <f t="array" ref="Q900"> if(iserror(MATCH(V900, 'File Links'!C:C, 0)), "N/A", HYPERLINK(INDEX('File Links'!B:B, MATCH(P900, 'File Links'!C:C, 0))))</f>
        <v>https://drive.google.com/file/d/11Av49SlCGKMhtLvS_jk4226riFKcyhNh/view?usp=drivesdk</v>
      </c>
      <c r="R900" s="156" t="s">
        <v>3646</v>
      </c>
      <c r="S900" s="156" t="s">
        <v>3647</v>
      </c>
      <c r="T900" s="65"/>
      <c r="U900" s="153">
        <v>1.0</v>
      </c>
      <c r="V900" s="195" t="str">
        <f t="shared" si="49"/>
        <v>10.1098--rsos.231240.pdf</v>
      </c>
      <c r="W900" s="156" t="s">
        <v>3664</v>
      </c>
      <c r="X900" s="51" t="str">
        <f t="array" ref="X900"> if(iserror(MATCH(V900, 'File Links'!C:C, 0)), "N/A", HYPERLINK(INDEX('File Links'!B:B, MATCH(V900, 'File Links'!C:C, 0))))</f>
        <v>https://drive.google.com/file/d/17gaf2Zy_ljFfcAEDk5L8GBnTl5i7RGJE/view?usp=drivesdk</v>
      </c>
      <c r="Y900" s="65"/>
      <c r="Z900" s="156" t="s">
        <v>219</v>
      </c>
      <c r="AA900" s="156" t="s">
        <v>4872</v>
      </c>
      <c r="AB900" s="156" t="s">
        <v>4873</v>
      </c>
      <c r="AC900" s="156" t="s">
        <v>4874</v>
      </c>
      <c r="AD900" s="156" t="s">
        <v>4875</v>
      </c>
      <c r="AE900" s="153">
        <v>2.0</v>
      </c>
      <c r="AF900" s="153">
        <v>37.0</v>
      </c>
      <c r="AG900" s="153">
        <v>1.11</v>
      </c>
      <c r="AH900" s="153" t="s">
        <v>166</v>
      </c>
      <c r="AI900" s="153" t="s">
        <v>868</v>
      </c>
      <c r="AJ900" s="153">
        <v>0.002</v>
      </c>
      <c r="AK900" s="156" t="s">
        <v>165</v>
      </c>
      <c r="AL900" s="156" t="s">
        <v>179</v>
      </c>
      <c r="AM900" s="148" t="s">
        <v>130</v>
      </c>
      <c r="AN900" s="126" t="s">
        <v>131</v>
      </c>
      <c r="AO900" s="153">
        <v>19.0</v>
      </c>
      <c r="AP900" s="333" t="s">
        <v>4876</v>
      </c>
      <c r="AQ900" s="153" t="s">
        <v>166</v>
      </c>
      <c r="AR900" s="1150" t="s">
        <v>4113</v>
      </c>
      <c r="AS900" s="153" t="s">
        <v>4877</v>
      </c>
      <c r="AT900" s="156" t="s">
        <v>165</v>
      </c>
      <c r="AU900" s="156" t="s">
        <v>179</v>
      </c>
      <c r="AV900" s="148" t="s">
        <v>130</v>
      </c>
      <c r="AW900" s="126" t="s">
        <v>131</v>
      </c>
      <c r="AX900" s="65" t="s">
        <v>136</v>
      </c>
      <c r="AZ900" s="65" t="s">
        <v>146</v>
      </c>
      <c r="BA900" s="69"/>
      <c r="BB900" s="186"/>
      <c r="BC900" s="186"/>
      <c r="BD900" s="186"/>
      <c r="BE900" s="186"/>
      <c r="BF900" s="186"/>
      <c r="BG900" s="186"/>
      <c r="BH900" s="186"/>
      <c r="BI900" s="186"/>
      <c r="BJ900" s="186"/>
      <c r="BK900" s="186"/>
      <c r="BL900" s="186"/>
      <c r="BM900" s="186"/>
      <c r="BN900" s="186"/>
      <c r="BO900" s="186"/>
      <c r="BP900" s="186"/>
      <c r="BQ900" s="186"/>
      <c r="BR900" s="186"/>
      <c r="BS900" s="186"/>
      <c r="BT900" s="186"/>
      <c r="BU900" s="186"/>
      <c r="BV900" s="186"/>
      <c r="BW900" s="186"/>
      <c r="BX900" s="186"/>
      <c r="BY900" s="186"/>
      <c r="BZ900" s="186"/>
      <c r="CA900" s="186"/>
      <c r="CB900" s="186"/>
      <c r="CC900" s="186"/>
      <c r="CD900" s="186"/>
      <c r="CE900" s="186"/>
      <c r="CF900" s="186"/>
      <c r="CG900" s="186"/>
      <c r="CH900" s="186"/>
      <c r="CI900" s="186"/>
      <c r="CJ900" s="186"/>
      <c r="CK900" s="186"/>
      <c r="CL900" s="186"/>
      <c r="CM900" s="186"/>
      <c r="CN900" s="186"/>
      <c r="CO900" s="186"/>
      <c r="CP900" s="186"/>
      <c r="CQ900" s="186"/>
      <c r="CR900" s="186"/>
      <c r="CS900" s="186"/>
      <c r="CT900" s="186"/>
      <c r="CU900" s="186"/>
      <c r="CV900" s="186"/>
      <c r="CW900" s="186"/>
      <c r="CX900" s="186"/>
      <c r="CY900" s="186"/>
      <c r="CZ900" s="186"/>
      <c r="DA900" s="186"/>
      <c r="DB900" s="186"/>
      <c r="DC900" s="186"/>
      <c r="DD900" s="186"/>
      <c r="DE900" s="186"/>
      <c r="DF900" s="186"/>
      <c r="DG900" s="186"/>
      <c r="DH900" s="186"/>
    </row>
    <row r="901">
      <c r="A901" s="325">
        <v>901.0</v>
      </c>
      <c r="B901" s="328" t="s">
        <v>107</v>
      </c>
      <c r="C901" s="322" t="s">
        <v>108</v>
      </c>
      <c r="D901" s="322" t="s">
        <v>241</v>
      </c>
      <c r="E901" s="223"/>
      <c r="F901" s="241" t="s">
        <v>4878</v>
      </c>
      <c r="G901" s="241" t="s">
        <v>4879</v>
      </c>
      <c r="H901" s="241" t="s">
        <v>242</v>
      </c>
      <c r="I901" s="655">
        <v>45672.0</v>
      </c>
      <c r="J901" s="655">
        <v>45692.0</v>
      </c>
      <c r="K901" s="328"/>
      <c r="L901" s="328" t="s">
        <v>4880</v>
      </c>
      <c r="M901" s="241" t="s">
        <v>4881</v>
      </c>
      <c r="N901" s="241" t="s">
        <v>4882</v>
      </c>
      <c r="O901" s="328"/>
      <c r="P901" s="241" t="str">
        <f t="shared" si="37"/>
        <v>10.1177--0956797616667459.pdf</v>
      </c>
      <c r="Q901" s="658" t="str">
        <f t="array" ref="Q901"> if(iserror(MATCH(V901, 'File Links'!C:C, 0)), "N/A", HYPERLINK(INDEX('File Links'!B:B, MATCH(P901, 'File Links'!C:C, 0))))</f>
        <v>https://drive.google.com/file/d/1xo-D0d5xWZy_-HQc9CNuFVE8l1hYTkzr/view?usp=drivesdk</v>
      </c>
      <c r="R901" s="241" t="s">
        <v>3646</v>
      </c>
      <c r="S901" s="241" t="s">
        <v>3647</v>
      </c>
      <c r="T901" s="328"/>
      <c r="U901" s="331">
        <v>1.0</v>
      </c>
      <c r="V901" s="241" t="str">
        <f t="shared" si="49"/>
        <v>10.1098--rsos.231240.pdf</v>
      </c>
      <c r="W901" s="241" t="s">
        <v>317</v>
      </c>
      <c r="X901" s="1170" t="str">
        <f t="array" ref="X901"> if(iserror(MATCH(V901, 'File Links'!C:C, 0)), "N/A", HYPERLINK(INDEX('File Links'!B:B, MATCH(V901, 'File Links'!C:C, 0))))</f>
        <v>https://drive.google.com/file/d/17gaf2Zy_ljFfcAEDk5L8GBnTl5i7RGJE/view?usp=drivesdk</v>
      </c>
      <c r="Y901" s="328"/>
      <c r="Z901" s="241" t="s">
        <v>141</v>
      </c>
      <c r="AA901" s="328"/>
      <c r="AB901" s="241" t="s">
        <v>4419</v>
      </c>
      <c r="AC901" s="328"/>
      <c r="AD901" s="241" t="s">
        <v>4883</v>
      </c>
      <c r="AE901" s="331">
        <v>1511.0</v>
      </c>
      <c r="AF901" s="331">
        <v>139.0</v>
      </c>
      <c r="AG901" s="331">
        <v>0.85</v>
      </c>
      <c r="AH901" s="241" t="s">
        <v>166</v>
      </c>
      <c r="AI901" s="241" t="s">
        <v>4884</v>
      </c>
      <c r="AJ901" s="331">
        <v>0.001</v>
      </c>
      <c r="AK901" s="241" t="s">
        <v>165</v>
      </c>
      <c r="AL901" s="241" t="s">
        <v>179</v>
      </c>
      <c r="AM901" s="241" t="s">
        <v>1898</v>
      </c>
      <c r="AN901" s="327" t="s">
        <v>131</v>
      </c>
      <c r="AO901" s="331">
        <v>212.0</v>
      </c>
      <c r="AP901" s="1242">
        <v>-0.0483174434709905</v>
      </c>
      <c r="AQ901" s="241" t="s">
        <v>166</v>
      </c>
      <c r="AR901" s="328"/>
      <c r="AS901" s="1242">
        <v>0.483548956401245</v>
      </c>
      <c r="AT901" s="241" t="s">
        <v>165</v>
      </c>
      <c r="AU901" s="241" t="s">
        <v>179</v>
      </c>
      <c r="AV901" s="241" t="s">
        <v>1898</v>
      </c>
      <c r="AW901" s="328"/>
      <c r="AX901" s="241" t="s">
        <v>136</v>
      </c>
      <c r="AY901" s="223"/>
      <c r="AZ901" s="328" t="s">
        <v>146</v>
      </c>
      <c r="BA901" s="223"/>
      <c r="BB901" s="223"/>
      <c r="BC901" s="223"/>
      <c r="BD901" s="223"/>
      <c r="BE901" s="223"/>
      <c r="BF901" s="223"/>
      <c r="BG901" s="223"/>
      <c r="BH901" s="223"/>
      <c r="BI901" s="223"/>
      <c r="BJ901" s="223"/>
      <c r="BK901" s="223"/>
      <c r="BL901" s="223"/>
      <c r="BM901" s="223"/>
      <c r="BN901" s="223"/>
      <c r="BO901" s="223"/>
      <c r="BP901" s="223"/>
      <c r="BQ901" s="223"/>
      <c r="BR901" s="223"/>
      <c r="BS901" s="223"/>
      <c r="BT901" s="223"/>
      <c r="BU901" s="223"/>
      <c r="BV901" s="223"/>
      <c r="BW901" s="223"/>
      <c r="BX901" s="223"/>
      <c r="BY901" s="223"/>
      <c r="BZ901" s="223"/>
      <c r="CA901" s="223"/>
      <c r="CB901" s="223"/>
      <c r="CC901" s="223"/>
      <c r="CD901" s="223"/>
      <c r="CE901" s="223"/>
      <c r="CF901" s="223"/>
      <c r="CG901" s="223"/>
      <c r="CH901" s="223"/>
      <c r="CI901" s="223"/>
      <c r="CJ901" s="223"/>
      <c r="CK901" s="223"/>
      <c r="CL901" s="223"/>
      <c r="CM901" s="223"/>
      <c r="CN901" s="223"/>
      <c r="CO901" s="223"/>
      <c r="CP901" s="223"/>
      <c r="CQ901" s="223"/>
      <c r="CR901" s="223"/>
      <c r="CS901" s="223"/>
      <c r="CT901" s="223"/>
      <c r="CU901" s="223"/>
      <c r="CV901" s="223"/>
      <c r="CW901" s="223"/>
      <c r="CX901" s="223"/>
      <c r="CY901" s="223"/>
      <c r="CZ901" s="223"/>
      <c r="DA901" s="223"/>
      <c r="DB901" s="223"/>
      <c r="DC901" s="223"/>
      <c r="DD901" s="223"/>
      <c r="DE901" s="223"/>
      <c r="DF901" s="223"/>
      <c r="DG901" s="223"/>
      <c r="DH901" s="223"/>
    </row>
    <row r="902">
      <c r="A902" s="325">
        <v>902.0</v>
      </c>
      <c r="B902" s="126" t="s">
        <v>145</v>
      </c>
      <c r="C902" s="322" t="s">
        <v>108</v>
      </c>
      <c r="D902" s="322" t="s">
        <v>146</v>
      </c>
      <c r="E902" s="223"/>
      <c r="F902" s="328" t="s">
        <v>4879</v>
      </c>
      <c r="G902" s="241" t="s">
        <v>4878</v>
      </c>
      <c r="H902" s="241" t="s">
        <v>146</v>
      </c>
      <c r="I902" s="655">
        <v>45687.0</v>
      </c>
      <c r="J902" s="655">
        <v>45692.0</v>
      </c>
      <c r="K902" s="393" t="s">
        <v>4885</v>
      </c>
      <c r="L902" s="328"/>
      <c r="M902" s="241" t="s">
        <v>4881</v>
      </c>
      <c r="N902" s="241" t="s">
        <v>4882</v>
      </c>
      <c r="O902" s="331">
        <v>1.0</v>
      </c>
      <c r="P902" s="241" t="str">
        <f t="shared" si="37"/>
        <v>10.1177--0956797616667459.pdf</v>
      </c>
      <c r="Q902" s="658" t="str">
        <f t="array" ref="Q902"> if(iserror(MATCH(V902, 'File Links'!C:C, 0)), "N/A", HYPERLINK(INDEX('File Links'!B:B, MATCH(P902, 'File Links'!C:C, 0))))</f>
        <v>https://drive.google.com/file/d/1xo-D0d5xWZy_-HQc9CNuFVE8l1hYTkzr/view?usp=drivesdk</v>
      </c>
      <c r="R902" s="241" t="s">
        <v>3646</v>
      </c>
      <c r="S902" s="241" t="s">
        <v>3647</v>
      </c>
      <c r="T902" s="660" t="s">
        <v>4886</v>
      </c>
      <c r="U902" s="331">
        <v>1.0</v>
      </c>
      <c r="V902" s="241" t="str">
        <f t="shared" si="49"/>
        <v>10.1098--rsos.231240.pdf</v>
      </c>
      <c r="W902" s="241" t="s">
        <v>157</v>
      </c>
      <c r="X902" s="1170" t="str">
        <f t="array" ref="X902"> if(iserror(MATCH(V902, 'File Links'!C:C, 0)), "N/A", HYPERLINK(INDEX('File Links'!B:B, MATCH(V902, 'File Links'!C:C, 0))))</f>
        <v>https://drive.google.com/file/d/17gaf2Zy_ljFfcAEDk5L8GBnTl5i7RGJE/view?usp=drivesdk</v>
      </c>
      <c r="Y902" s="328"/>
      <c r="Z902" s="241" t="s">
        <v>141</v>
      </c>
      <c r="AA902" s="241" t="s">
        <v>4887</v>
      </c>
      <c r="AB902" s="241" t="s">
        <v>4888</v>
      </c>
      <c r="AC902" s="241" t="s">
        <v>4889</v>
      </c>
      <c r="AD902" s="241" t="s">
        <v>4890</v>
      </c>
      <c r="AE902" s="331">
        <v>5.0</v>
      </c>
      <c r="AF902" s="331">
        <v>139.0</v>
      </c>
      <c r="AG902" s="331">
        <v>0.61</v>
      </c>
      <c r="AH902" s="331" t="s">
        <v>166</v>
      </c>
      <c r="AI902" s="331" t="s">
        <v>806</v>
      </c>
      <c r="AJ902" s="331">
        <v>0.001</v>
      </c>
      <c r="AK902" s="241" t="s">
        <v>128</v>
      </c>
      <c r="AL902" s="241" t="s">
        <v>179</v>
      </c>
      <c r="AM902" s="321" t="s">
        <v>130</v>
      </c>
      <c r="AN902" s="327" t="s">
        <v>131</v>
      </c>
      <c r="AO902" s="331">
        <v>212.0</v>
      </c>
      <c r="AP902" s="331" t="s">
        <v>4891</v>
      </c>
      <c r="AQ902" s="331" t="s">
        <v>127</v>
      </c>
      <c r="AR902" s="660" t="s">
        <v>4886</v>
      </c>
      <c r="AS902" s="331">
        <v>0.908</v>
      </c>
      <c r="AT902" s="241" t="s">
        <v>165</v>
      </c>
      <c r="AU902" s="241" t="s">
        <v>179</v>
      </c>
      <c r="AV902" s="321" t="s">
        <v>130</v>
      </c>
      <c r="AW902" s="327" t="s">
        <v>131</v>
      </c>
      <c r="AX902" s="328" t="s">
        <v>144</v>
      </c>
      <c r="AY902" s="223"/>
      <c r="AZ902" s="328" t="s">
        <v>146</v>
      </c>
      <c r="BA902" s="223"/>
      <c r="BB902" s="223"/>
      <c r="BC902" s="223"/>
      <c r="BD902" s="223"/>
      <c r="BE902" s="223"/>
      <c r="BF902" s="223"/>
      <c r="BG902" s="223"/>
      <c r="BH902" s="223"/>
      <c r="BI902" s="223"/>
      <c r="BJ902" s="223"/>
      <c r="BK902" s="223"/>
      <c r="BL902" s="223"/>
      <c r="BM902" s="223"/>
      <c r="BN902" s="223"/>
      <c r="BO902" s="223"/>
      <c r="BP902" s="223"/>
      <c r="BQ902" s="223"/>
      <c r="BR902" s="223"/>
      <c r="BS902" s="223"/>
      <c r="BT902" s="223"/>
      <c r="BU902" s="223"/>
      <c r="BV902" s="223"/>
      <c r="BW902" s="223"/>
      <c r="BX902" s="223"/>
      <c r="BY902" s="223"/>
      <c r="BZ902" s="223"/>
      <c r="CA902" s="223"/>
      <c r="CB902" s="223"/>
      <c r="CC902" s="223"/>
      <c r="CD902" s="223"/>
      <c r="CE902" s="223"/>
      <c r="CF902" s="223"/>
      <c r="CG902" s="223"/>
      <c r="CH902" s="223"/>
      <c r="CI902" s="223"/>
      <c r="CJ902" s="223"/>
      <c r="CK902" s="223"/>
      <c r="CL902" s="223"/>
      <c r="CM902" s="223"/>
      <c r="CN902" s="223"/>
      <c r="CO902" s="223"/>
      <c r="CP902" s="223"/>
      <c r="CQ902" s="223"/>
      <c r="CR902" s="223"/>
      <c r="CS902" s="223"/>
      <c r="CT902" s="223"/>
      <c r="CU902" s="223"/>
      <c r="CV902" s="223"/>
      <c r="CW902" s="223"/>
      <c r="CX902" s="223"/>
      <c r="CY902" s="223"/>
      <c r="CZ902" s="223"/>
      <c r="DA902" s="223"/>
      <c r="DB902" s="223"/>
      <c r="DC902" s="223"/>
      <c r="DD902" s="223"/>
      <c r="DE902" s="223"/>
      <c r="DF902" s="223"/>
      <c r="DG902" s="223"/>
      <c r="DH902" s="223"/>
    </row>
    <row r="903">
      <c r="A903" s="325">
        <v>903.0</v>
      </c>
      <c r="B903" s="126" t="s">
        <v>145</v>
      </c>
      <c r="C903" s="322" t="s">
        <v>108</v>
      </c>
      <c r="D903" s="322" t="s">
        <v>146</v>
      </c>
      <c r="E903" s="223"/>
      <c r="F903" s="328" t="s">
        <v>4879</v>
      </c>
      <c r="G903" s="241" t="s">
        <v>4892</v>
      </c>
      <c r="H903" s="241" t="s">
        <v>146</v>
      </c>
      <c r="I903" s="655">
        <v>45687.0</v>
      </c>
      <c r="J903" s="655">
        <v>45692.0</v>
      </c>
      <c r="K903" s="393" t="s">
        <v>4893</v>
      </c>
      <c r="L903" s="328"/>
      <c r="M903" s="241" t="s">
        <v>4881</v>
      </c>
      <c r="N903" s="241" t="s">
        <v>4882</v>
      </c>
      <c r="O903" s="331">
        <v>1.0</v>
      </c>
      <c r="P903" s="241" t="str">
        <f t="shared" si="37"/>
        <v>10.1177--0956797616667459.pdf</v>
      </c>
      <c r="Q903" s="658" t="str">
        <f t="array" ref="Q903"> if(iserror(MATCH(V903, 'File Links'!C:C, 0)), "N/A", HYPERLINK(INDEX('File Links'!B:B, MATCH(P903, 'File Links'!C:C, 0))))</f>
        <v>https://drive.google.com/file/d/1xo-D0d5xWZy_-HQc9CNuFVE8l1hYTkzr/view?usp=drivesdk</v>
      </c>
      <c r="R903" s="241" t="s">
        <v>3646</v>
      </c>
      <c r="S903" s="241" t="s">
        <v>3647</v>
      </c>
      <c r="T903" s="660" t="s">
        <v>4886</v>
      </c>
      <c r="U903" s="331">
        <v>1.0</v>
      </c>
      <c r="V903" s="241" t="str">
        <f t="shared" si="49"/>
        <v>10.1098--rsos.231240.pdf</v>
      </c>
      <c r="W903" s="241" t="s">
        <v>157</v>
      </c>
      <c r="X903" s="1170" t="str">
        <f t="array" ref="X903"> if(iserror(MATCH(V903, 'File Links'!C:C, 0)), "N/A", HYPERLINK(INDEX('File Links'!B:B, MATCH(V903, 'File Links'!C:C, 0))))</f>
        <v>https://drive.google.com/file/d/17gaf2Zy_ljFfcAEDk5L8GBnTl5i7RGJE/view?usp=drivesdk</v>
      </c>
      <c r="Y903" s="328"/>
      <c r="Z903" s="241" t="s">
        <v>141</v>
      </c>
      <c r="AA903" s="241" t="s">
        <v>4887</v>
      </c>
      <c r="AB903" s="241" t="s">
        <v>4888</v>
      </c>
      <c r="AC903" s="241" t="s">
        <v>4894</v>
      </c>
      <c r="AD903" s="241" t="s">
        <v>4895</v>
      </c>
      <c r="AE903" s="1175">
        <v>5.0</v>
      </c>
      <c r="AF903" s="331">
        <v>139.0</v>
      </c>
      <c r="AG903" s="1175">
        <v>0.67</v>
      </c>
      <c r="AH903" s="331" t="s">
        <v>166</v>
      </c>
      <c r="AI903" s="1175" t="s">
        <v>806</v>
      </c>
      <c r="AJ903" s="331">
        <v>0.001</v>
      </c>
      <c r="AK903" s="241" t="s">
        <v>128</v>
      </c>
      <c r="AL903" s="241" t="s">
        <v>179</v>
      </c>
      <c r="AM903" s="321" t="s">
        <v>130</v>
      </c>
      <c r="AN903" s="327" t="s">
        <v>131</v>
      </c>
      <c r="AO903" s="331">
        <v>212.0</v>
      </c>
      <c r="AP903" s="331" t="s">
        <v>4896</v>
      </c>
      <c r="AQ903" s="331" t="s">
        <v>127</v>
      </c>
      <c r="AR903" s="660" t="s">
        <v>4886</v>
      </c>
      <c r="AS903" s="331">
        <v>0.817</v>
      </c>
      <c r="AT903" s="241" t="s">
        <v>165</v>
      </c>
      <c r="AU903" s="241" t="s">
        <v>179</v>
      </c>
      <c r="AV903" s="321" t="s">
        <v>130</v>
      </c>
      <c r="AW903" s="327" t="s">
        <v>131</v>
      </c>
      <c r="AX903" s="328" t="s">
        <v>144</v>
      </c>
      <c r="AY903" s="223"/>
      <c r="AZ903" s="328" t="s">
        <v>146</v>
      </c>
      <c r="BA903" s="223"/>
      <c r="BB903" s="223"/>
      <c r="BC903" s="223"/>
      <c r="BD903" s="223"/>
      <c r="BE903" s="223"/>
      <c r="BF903" s="223"/>
      <c r="BG903" s="223"/>
      <c r="BH903" s="223"/>
      <c r="BI903" s="223"/>
      <c r="BJ903" s="223"/>
      <c r="BK903" s="223"/>
      <c r="BL903" s="223"/>
      <c r="BM903" s="223"/>
      <c r="BN903" s="223"/>
      <c r="BO903" s="223"/>
      <c r="BP903" s="223"/>
      <c r="BQ903" s="223"/>
      <c r="BR903" s="223"/>
      <c r="BS903" s="223"/>
      <c r="BT903" s="223"/>
      <c r="BU903" s="223"/>
      <c r="BV903" s="223"/>
      <c r="BW903" s="223"/>
      <c r="BX903" s="223"/>
      <c r="BY903" s="223"/>
      <c r="BZ903" s="223"/>
      <c r="CA903" s="223"/>
      <c r="CB903" s="223"/>
      <c r="CC903" s="223"/>
      <c r="CD903" s="223"/>
      <c r="CE903" s="223"/>
      <c r="CF903" s="223"/>
      <c r="CG903" s="223"/>
      <c r="CH903" s="223"/>
      <c r="CI903" s="223"/>
      <c r="CJ903" s="223"/>
      <c r="CK903" s="223"/>
      <c r="CL903" s="223"/>
      <c r="CM903" s="223"/>
      <c r="CN903" s="223"/>
      <c r="CO903" s="223"/>
      <c r="CP903" s="223"/>
      <c r="CQ903" s="223"/>
      <c r="CR903" s="223"/>
      <c r="CS903" s="223"/>
      <c r="CT903" s="223"/>
      <c r="CU903" s="223"/>
      <c r="CV903" s="223"/>
      <c r="CW903" s="223"/>
      <c r="CX903" s="223"/>
      <c r="CY903" s="223"/>
      <c r="CZ903" s="223"/>
      <c r="DA903" s="223"/>
      <c r="DB903" s="223"/>
      <c r="DC903" s="223"/>
      <c r="DD903" s="223"/>
      <c r="DE903" s="223"/>
      <c r="DF903" s="223"/>
      <c r="DG903" s="223"/>
      <c r="DH903" s="223"/>
    </row>
    <row r="904">
      <c r="A904" s="325">
        <v>904.0</v>
      </c>
      <c r="B904" s="126" t="s">
        <v>145</v>
      </c>
      <c r="C904" s="322" t="s">
        <v>108</v>
      </c>
      <c r="D904" s="322" t="s">
        <v>146</v>
      </c>
      <c r="E904" s="223"/>
      <c r="F904" s="328" t="s">
        <v>4879</v>
      </c>
      <c r="G904" s="241" t="s">
        <v>4897</v>
      </c>
      <c r="H904" s="241" t="s">
        <v>146</v>
      </c>
      <c r="I904" s="655">
        <v>45687.0</v>
      </c>
      <c r="J904" s="655">
        <v>45692.0</v>
      </c>
      <c r="K904" s="393" t="s">
        <v>4898</v>
      </c>
      <c r="L904" s="328"/>
      <c r="M904" s="241" t="s">
        <v>4881</v>
      </c>
      <c r="N904" s="241" t="s">
        <v>4882</v>
      </c>
      <c r="O904" s="331">
        <v>1.0</v>
      </c>
      <c r="P904" s="241" t="str">
        <f t="shared" si="37"/>
        <v>10.1177--0956797616667459.pdf</v>
      </c>
      <c r="Q904" s="658" t="str">
        <f t="array" ref="Q904"> if(iserror(MATCH(V904, 'File Links'!C:C, 0)), "N/A", HYPERLINK(INDEX('File Links'!B:B, MATCH(P904, 'File Links'!C:C, 0))))</f>
        <v>https://drive.google.com/file/d/1xo-D0d5xWZy_-HQc9CNuFVE8l1hYTkzr/view?usp=drivesdk</v>
      </c>
      <c r="R904" s="241" t="s">
        <v>3646</v>
      </c>
      <c r="S904" s="241" t="s">
        <v>3647</v>
      </c>
      <c r="T904" s="660" t="s">
        <v>4886</v>
      </c>
      <c r="U904" s="331">
        <v>1.0</v>
      </c>
      <c r="V904" s="241" t="str">
        <f t="shared" si="49"/>
        <v>10.1098--rsos.231240.pdf</v>
      </c>
      <c r="W904" s="241" t="s">
        <v>157</v>
      </c>
      <c r="X904" s="1170" t="str">
        <f t="array" ref="X904"> if(iserror(MATCH(V904, 'File Links'!C:C, 0)), "N/A", HYPERLINK(INDEX('File Links'!B:B, MATCH(V904, 'File Links'!C:C, 0))))</f>
        <v>https://drive.google.com/file/d/17gaf2Zy_ljFfcAEDk5L8GBnTl5i7RGJE/view?usp=drivesdk</v>
      </c>
      <c r="Y904" s="328"/>
      <c r="Z904" s="241" t="s">
        <v>141</v>
      </c>
      <c r="AA904" s="241" t="s">
        <v>4887</v>
      </c>
      <c r="AB904" s="241" t="s">
        <v>4888</v>
      </c>
      <c r="AC904" s="241" t="s">
        <v>4899</v>
      </c>
      <c r="AD904" s="241" t="s">
        <v>4900</v>
      </c>
      <c r="AE904" s="1175">
        <v>5.0</v>
      </c>
      <c r="AF904" s="331">
        <v>139.0</v>
      </c>
      <c r="AG904" s="1175">
        <v>0.1</v>
      </c>
      <c r="AH904" s="331" t="s">
        <v>132</v>
      </c>
      <c r="AI904" s="1175" t="s">
        <v>806</v>
      </c>
      <c r="AJ904" s="331">
        <v>0.001</v>
      </c>
      <c r="AK904" s="241" t="s">
        <v>128</v>
      </c>
      <c r="AL904" s="241" t="s">
        <v>179</v>
      </c>
      <c r="AM904" s="321" t="s">
        <v>130</v>
      </c>
      <c r="AN904" s="327" t="s">
        <v>131</v>
      </c>
      <c r="AO904" s="331">
        <v>212.0</v>
      </c>
      <c r="AP904" s="331" t="s">
        <v>4901</v>
      </c>
      <c r="AQ904" s="331" t="s">
        <v>127</v>
      </c>
      <c r="AR904" s="660" t="s">
        <v>4886</v>
      </c>
      <c r="AS904" s="331">
        <v>0.284</v>
      </c>
      <c r="AT904" s="241" t="s">
        <v>165</v>
      </c>
      <c r="AU904" s="241" t="s">
        <v>179</v>
      </c>
      <c r="AV904" s="321" t="s">
        <v>130</v>
      </c>
      <c r="AW904" s="327" t="s">
        <v>131</v>
      </c>
      <c r="AX904" s="328" t="s">
        <v>144</v>
      </c>
      <c r="AY904" s="223"/>
      <c r="AZ904" s="328" t="s">
        <v>146</v>
      </c>
      <c r="BA904" s="223"/>
      <c r="BB904" s="223"/>
      <c r="BC904" s="223"/>
      <c r="BD904" s="223"/>
      <c r="BE904" s="223"/>
      <c r="BF904" s="223"/>
      <c r="BG904" s="223"/>
      <c r="BH904" s="223"/>
      <c r="BI904" s="223"/>
      <c r="BJ904" s="223"/>
      <c r="BK904" s="223"/>
      <c r="BL904" s="223"/>
      <c r="BM904" s="223"/>
      <c r="BN904" s="223"/>
      <c r="BO904" s="223"/>
      <c r="BP904" s="223"/>
      <c r="BQ904" s="223"/>
      <c r="BR904" s="223"/>
      <c r="BS904" s="223"/>
      <c r="BT904" s="223"/>
      <c r="BU904" s="223"/>
      <c r="BV904" s="223"/>
      <c r="BW904" s="223"/>
      <c r="BX904" s="223"/>
      <c r="BY904" s="223"/>
      <c r="BZ904" s="223"/>
      <c r="CA904" s="223"/>
      <c r="CB904" s="223"/>
      <c r="CC904" s="223"/>
      <c r="CD904" s="223"/>
      <c r="CE904" s="223"/>
      <c r="CF904" s="223"/>
      <c r="CG904" s="223"/>
      <c r="CH904" s="223"/>
      <c r="CI904" s="223"/>
      <c r="CJ904" s="223"/>
      <c r="CK904" s="223"/>
      <c r="CL904" s="223"/>
      <c r="CM904" s="223"/>
      <c r="CN904" s="223"/>
      <c r="CO904" s="223"/>
      <c r="CP904" s="223"/>
      <c r="CQ904" s="223"/>
      <c r="CR904" s="223"/>
      <c r="CS904" s="223"/>
      <c r="CT904" s="223"/>
      <c r="CU904" s="223"/>
      <c r="CV904" s="223"/>
      <c r="CW904" s="223"/>
      <c r="CX904" s="223"/>
      <c r="CY904" s="223"/>
      <c r="CZ904" s="223"/>
      <c r="DA904" s="223"/>
      <c r="DB904" s="223"/>
      <c r="DC904" s="223"/>
      <c r="DD904" s="223"/>
      <c r="DE904" s="223"/>
      <c r="DF904" s="223"/>
      <c r="DG904" s="223"/>
      <c r="DH904" s="223"/>
    </row>
    <row r="905">
      <c r="A905" s="41">
        <v>905.0</v>
      </c>
      <c r="B905" s="126" t="s">
        <v>107</v>
      </c>
      <c r="C905" s="59" t="s">
        <v>108</v>
      </c>
      <c r="D905" s="59" t="s">
        <v>241</v>
      </c>
      <c r="F905" s="156" t="s">
        <v>4902</v>
      </c>
      <c r="G905" s="156" t="s">
        <v>4903</v>
      </c>
      <c r="H905" s="156" t="s">
        <v>242</v>
      </c>
      <c r="I905" s="149">
        <v>45672.0</v>
      </c>
      <c r="J905" s="149">
        <v>45692.0</v>
      </c>
      <c r="K905" s="434" t="s">
        <v>4904</v>
      </c>
      <c r="L905" s="65"/>
      <c r="M905" s="156" t="s">
        <v>4905</v>
      </c>
      <c r="N905" s="156" t="s">
        <v>4906</v>
      </c>
      <c r="O905" s="65"/>
      <c r="P905" s="156" t="str">
        <f t="shared" si="37"/>
        <v>10.1093--jos--ffw010.pdf</v>
      </c>
      <c r="Q905" s="49" t="str">
        <f t="array" ref="Q905"> if(iserror(MATCH(V905, 'File Links'!C:C, 0)), "N/A", HYPERLINK(INDEX('File Links'!B:B, MATCH(P905, 'File Links'!C:C, 0))))</f>
        <v>https://drive.google.com/file/d/10gwwst21XMDLdZDUQ3-UJKa2tLRTlO7K/view?usp=drivesdk</v>
      </c>
      <c r="R905" s="156" t="s">
        <v>3646</v>
      </c>
      <c r="S905" s="156" t="s">
        <v>3647</v>
      </c>
      <c r="T905" s="65"/>
      <c r="U905" s="153">
        <v>1.0</v>
      </c>
      <c r="V905" s="195" t="str">
        <f t="shared" si="49"/>
        <v>10.1098--rsos.231240.pdf</v>
      </c>
      <c r="W905" s="65"/>
      <c r="X905" s="51" t="str">
        <f t="array" ref="X905"> if(iserror(MATCH(V905, 'File Links'!C:C, 0)), "N/A", HYPERLINK(INDEX('File Links'!B:B, MATCH(V905, 'File Links'!C:C, 0))))</f>
        <v>https://drive.google.com/file/d/17gaf2Zy_ljFfcAEDk5L8GBnTl5i7RGJE/view?usp=drivesdk</v>
      </c>
      <c r="Y905" s="65"/>
      <c r="Z905" s="65"/>
      <c r="AA905" s="65"/>
      <c r="AB905" s="65"/>
      <c r="AC905" s="65"/>
      <c r="AD905" s="65"/>
      <c r="AE905" s="65"/>
      <c r="AF905" s="65"/>
      <c r="AG905" s="65"/>
      <c r="AH905" s="65"/>
      <c r="AI905" s="65"/>
      <c r="AJ905" s="65"/>
      <c r="AK905" s="65"/>
      <c r="AL905" s="156" t="s">
        <v>179</v>
      </c>
      <c r="AM905" s="156" t="s">
        <v>1898</v>
      </c>
      <c r="AN905" s="126" t="s">
        <v>131</v>
      </c>
      <c r="AO905" s="65"/>
      <c r="AP905" s="65"/>
      <c r="AQ905" s="65"/>
      <c r="AR905" s="65"/>
      <c r="AS905" s="65"/>
      <c r="AT905" s="156" t="s">
        <v>165</v>
      </c>
      <c r="AU905" s="156" t="s">
        <v>179</v>
      </c>
      <c r="AV905" s="156" t="s">
        <v>1898</v>
      </c>
      <c r="AW905" s="126" t="s">
        <v>131</v>
      </c>
      <c r="AX905" s="156" t="s">
        <v>136</v>
      </c>
      <c r="AZ905" s="65" t="s">
        <v>146</v>
      </c>
      <c r="BA905" s="69"/>
    </row>
    <row r="906">
      <c r="A906" s="41">
        <v>906.0</v>
      </c>
      <c r="B906" s="126" t="s">
        <v>107</v>
      </c>
      <c r="C906" s="59" t="s">
        <v>108</v>
      </c>
      <c r="D906" s="59" t="s">
        <v>146</v>
      </c>
      <c r="F906" s="65" t="s">
        <v>4903</v>
      </c>
      <c r="G906" s="156" t="s">
        <v>4902</v>
      </c>
      <c r="H906" s="156" t="s">
        <v>146</v>
      </c>
      <c r="I906" s="149">
        <v>45687.0</v>
      </c>
      <c r="J906" s="149">
        <v>45692.0</v>
      </c>
      <c r="K906" s="1052" t="s">
        <v>4907</v>
      </c>
      <c r="L906" s="701" t="s">
        <v>2006</v>
      </c>
      <c r="M906" s="156" t="s">
        <v>4905</v>
      </c>
      <c r="N906" s="156" t="s">
        <v>4906</v>
      </c>
      <c r="O906" s="153">
        <v>1.0</v>
      </c>
      <c r="P906" s="156" t="str">
        <f t="shared" si="37"/>
        <v>10.1093--jos--ffw010.pdf</v>
      </c>
      <c r="Q906" s="49" t="str">
        <f t="array" ref="Q906"> if(iserror(MATCH(V906, 'File Links'!C:C, 0)), "N/A", HYPERLINK(INDEX('File Links'!B:B, MATCH(P906, 'File Links'!C:C, 0))))</f>
        <v>https://drive.google.com/file/d/10gwwst21XMDLdZDUQ3-UJKa2tLRTlO7K/view?usp=drivesdk</v>
      </c>
      <c r="R906" s="156" t="s">
        <v>3646</v>
      </c>
      <c r="S906" s="156" t="s">
        <v>3647</v>
      </c>
      <c r="T906" s="65"/>
      <c r="U906" s="153">
        <v>1.0</v>
      </c>
      <c r="V906" s="195" t="str">
        <f t="shared" si="49"/>
        <v>10.1098--rsos.231240.pdf</v>
      </c>
      <c r="W906" s="156" t="s">
        <v>4908</v>
      </c>
      <c r="X906" s="51" t="str">
        <f t="array" ref="X906"> if(iserror(MATCH(V906, 'File Links'!C:C, 0)), "N/A", HYPERLINK(INDEX('File Links'!B:B, MATCH(V906, 'File Links'!C:C, 0))))</f>
        <v>https://drive.google.com/file/d/17gaf2Zy_ljFfcAEDk5L8GBnTl5i7RGJE/view?usp=drivesdk</v>
      </c>
      <c r="Y906" s="65"/>
      <c r="Z906" s="156" t="s">
        <v>940</v>
      </c>
      <c r="AA906" s="156" t="s">
        <v>4909</v>
      </c>
      <c r="AB906" s="156" t="s">
        <v>4910</v>
      </c>
      <c r="AC906" s="156" t="s">
        <v>4911</v>
      </c>
      <c r="AD906" s="65"/>
      <c r="AE906" s="65"/>
      <c r="AF906" s="153">
        <v>41.0</v>
      </c>
      <c r="AG906" s="65"/>
      <c r="AH906" s="65"/>
      <c r="AI906" s="65"/>
      <c r="AJ906" s="153">
        <f>9.21719900448522*10^-19</f>
        <v>0</v>
      </c>
      <c r="AK906" s="156" t="s">
        <v>165</v>
      </c>
      <c r="AL906" s="156" t="s">
        <v>179</v>
      </c>
      <c r="AM906" s="156" t="s">
        <v>1898</v>
      </c>
      <c r="AN906" s="126" t="s">
        <v>131</v>
      </c>
      <c r="AO906" s="153">
        <v>20.0</v>
      </c>
      <c r="AP906" s="153" t="s">
        <v>4912</v>
      </c>
      <c r="AQ906" s="153" t="s">
        <v>127</v>
      </c>
      <c r="AR906" s="65"/>
      <c r="AS906" s="153">
        <v>0.001</v>
      </c>
      <c r="AT906" s="156" t="s">
        <v>128</v>
      </c>
      <c r="AU906" s="156" t="s">
        <v>179</v>
      </c>
      <c r="AV906" s="478" t="s">
        <v>1898</v>
      </c>
      <c r="AW906" s="126" t="s">
        <v>131</v>
      </c>
      <c r="AX906" s="65" t="s">
        <v>144</v>
      </c>
      <c r="AZ906" s="65" t="s">
        <v>146</v>
      </c>
      <c r="BA906" s="69"/>
      <c r="BB906" s="186"/>
      <c r="BC906" s="186"/>
      <c r="BD906" s="186"/>
      <c r="BE906" s="186"/>
      <c r="BF906" s="186"/>
      <c r="BG906" s="186"/>
      <c r="BH906" s="186"/>
      <c r="BI906" s="186"/>
      <c r="BJ906" s="186"/>
      <c r="BK906" s="186"/>
      <c r="BL906" s="186"/>
      <c r="BM906" s="186"/>
      <c r="BN906" s="186"/>
      <c r="BO906" s="186"/>
      <c r="BP906" s="186"/>
      <c r="BQ906" s="186"/>
      <c r="BR906" s="186"/>
      <c r="BS906" s="186"/>
      <c r="BT906" s="186"/>
      <c r="BU906" s="186"/>
      <c r="BV906" s="186"/>
      <c r="BW906" s="186"/>
      <c r="BX906" s="186"/>
      <c r="BY906" s="186"/>
      <c r="BZ906" s="186"/>
      <c r="CA906" s="186"/>
      <c r="CB906" s="186"/>
      <c r="CC906" s="186"/>
      <c r="CD906" s="186"/>
      <c r="CE906" s="186"/>
      <c r="CF906" s="186"/>
      <c r="CG906" s="186"/>
      <c r="CH906" s="186"/>
      <c r="CI906" s="186"/>
      <c r="CJ906" s="186"/>
      <c r="CK906" s="186"/>
      <c r="CL906" s="186"/>
      <c r="CM906" s="186"/>
      <c r="CN906" s="186"/>
      <c r="CO906" s="186"/>
      <c r="CP906" s="186"/>
      <c r="CQ906" s="186"/>
      <c r="CR906" s="186"/>
      <c r="CS906" s="186"/>
      <c r="CT906" s="186"/>
      <c r="CU906" s="186"/>
      <c r="CV906" s="186"/>
      <c r="CW906" s="186"/>
      <c r="CX906" s="186"/>
      <c r="CY906" s="186"/>
      <c r="CZ906" s="186"/>
      <c r="DA906" s="186"/>
      <c r="DB906" s="186"/>
      <c r="DC906" s="186"/>
      <c r="DD906" s="186"/>
      <c r="DE906" s="186"/>
      <c r="DF906" s="186"/>
      <c r="DG906" s="186"/>
      <c r="DH906" s="186"/>
    </row>
    <row r="907">
      <c r="A907" s="41">
        <v>907.0</v>
      </c>
      <c r="B907" s="65" t="s">
        <v>107</v>
      </c>
      <c r="C907" s="59" t="s">
        <v>108</v>
      </c>
      <c r="D907" s="59" t="s">
        <v>241</v>
      </c>
      <c r="F907" s="156" t="s">
        <v>4913</v>
      </c>
      <c r="G907" s="156" t="s">
        <v>4914</v>
      </c>
      <c r="H907" s="156" t="s">
        <v>242</v>
      </c>
      <c r="I907" s="149">
        <v>45672.0</v>
      </c>
      <c r="J907" s="149">
        <v>45692.0</v>
      </c>
      <c r="K907" s="434" t="s">
        <v>4915</v>
      </c>
      <c r="L907" s="65"/>
      <c r="M907" s="156" t="s">
        <v>4916</v>
      </c>
      <c r="N907" s="156" t="s">
        <v>4917</v>
      </c>
      <c r="O907" s="65"/>
      <c r="P907" s="603" t="str">
        <f t="shared" si="37"/>
        <v>10.1177--0956797615624492.pdf</v>
      </c>
      <c r="Q907" s="49" t="str">
        <f t="array" ref="Q907"> if(iserror(MATCH(V907, 'File Links'!C:C, 0)), "N/A", HYPERLINK(INDEX('File Links'!B:B, MATCH(P907, 'File Links'!C:C, 0))))</f>
        <v>https://drive.google.com/file/d/1MpP2-43GqkWDRpuwJ-apCbzIk2GwSMn_/view?usp=drivesdk</v>
      </c>
      <c r="R907" s="156" t="s">
        <v>3646</v>
      </c>
      <c r="S907" s="156" t="s">
        <v>3647</v>
      </c>
      <c r="T907" s="65"/>
      <c r="U907" s="153">
        <v>1.0</v>
      </c>
      <c r="V907" s="195" t="str">
        <f t="shared" si="49"/>
        <v>10.1098--rsos.231240.pdf</v>
      </c>
      <c r="W907" s="156" t="s">
        <v>3658</v>
      </c>
      <c r="X907" s="51" t="str">
        <f t="array" ref="X907"> if(iserror(MATCH(V907, 'File Links'!C:C, 0)), "N/A", HYPERLINK(INDEX('File Links'!B:B, MATCH(V907, 'File Links'!C:C, 0))))</f>
        <v>https://drive.google.com/file/d/17gaf2Zy_ljFfcAEDk5L8GBnTl5i7RGJE/view?usp=drivesdk</v>
      </c>
      <c r="Y907" s="65"/>
      <c r="Z907" s="156" t="s">
        <v>219</v>
      </c>
      <c r="AA907" s="65"/>
      <c r="AB907" s="156" t="s">
        <v>4918</v>
      </c>
      <c r="AC907" s="65"/>
      <c r="AD907" s="156" t="s">
        <v>4919</v>
      </c>
      <c r="AE907" s="153">
        <v>3.0</v>
      </c>
      <c r="AF907" s="153">
        <v>63.0</v>
      </c>
      <c r="AG907" s="158" t="s">
        <v>4920</v>
      </c>
      <c r="AH907" s="116" t="s">
        <v>127</v>
      </c>
      <c r="AI907" s="156" t="s">
        <v>210</v>
      </c>
      <c r="AJ907" s="153">
        <v>0.001</v>
      </c>
      <c r="AK907" s="156" t="s">
        <v>128</v>
      </c>
      <c r="AL907" s="156" t="s">
        <v>179</v>
      </c>
      <c r="AM907" s="156" t="s">
        <v>134</v>
      </c>
      <c r="AN907" s="126" t="s">
        <v>131</v>
      </c>
      <c r="AO907" s="153">
        <v>26.0</v>
      </c>
      <c r="AP907" s="1240">
        <v>-0.0204714248912809</v>
      </c>
      <c r="AQ907" s="156" t="s">
        <v>166</v>
      </c>
      <c r="AR907" s="65"/>
      <c r="AS907" s="1240">
        <v>0.919289815940389</v>
      </c>
      <c r="AT907" s="156" t="s">
        <v>165</v>
      </c>
      <c r="AU907" s="156" t="s">
        <v>179</v>
      </c>
      <c r="AV907" s="156" t="s">
        <v>134</v>
      </c>
      <c r="AW907" s="126" t="s">
        <v>131</v>
      </c>
      <c r="AX907" s="156" t="s">
        <v>136</v>
      </c>
      <c r="AZ907" s="65" t="s">
        <v>146</v>
      </c>
      <c r="BA907" s="69"/>
    </row>
    <row r="908">
      <c r="A908" s="41">
        <v>908.0</v>
      </c>
      <c r="B908" s="126" t="s">
        <v>145</v>
      </c>
      <c r="C908" s="59" t="s">
        <v>108</v>
      </c>
      <c r="D908" s="59" t="s">
        <v>146</v>
      </c>
      <c r="F908" s="65" t="s">
        <v>4914</v>
      </c>
      <c r="G908" s="156" t="s">
        <v>4913</v>
      </c>
      <c r="H908" s="156" t="s">
        <v>146</v>
      </c>
      <c r="I908" s="149">
        <v>45687.0</v>
      </c>
      <c r="J908" s="149">
        <v>45692.0</v>
      </c>
      <c r="K908" s="1052" t="s">
        <v>4921</v>
      </c>
      <c r="L908" s="126" t="s">
        <v>4922</v>
      </c>
      <c r="M908" s="156" t="s">
        <v>4916</v>
      </c>
      <c r="N908" s="156" t="s">
        <v>4917</v>
      </c>
      <c r="O908" s="153">
        <v>1.0</v>
      </c>
      <c r="P908" s="156" t="str">
        <f t="shared" si="37"/>
        <v>10.1177--0956797615624492.pdf</v>
      </c>
      <c r="Q908" s="49" t="str">
        <f t="array" ref="Q908"> if(iserror(MATCH(V908, 'File Links'!C:C, 0)), "N/A", HYPERLINK(INDEX('File Links'!B:B, MATCH(P908, 'File Links'!C:C, 0))))</f>
        <v>https://drive.google.com/file/d/1MpP2-43GqkWDRpuwJ-apCbzIk2GwSMn_/view?usp=drivesdk</v>
      </c>
      <c r="R908" s="156" t="s">
        <v>3646</v>
      </c>
      <c r="S908" s="156" t="s">
        <v>3647</v>
      </c>
      <c r="T908" s="438" t="s">
        <v>4923</v>
      </c>
      <c r="U908" s="153">
        <v>1.0</v>
      </c>
      <c r="V908" s="195" t="str">
        <f t="shared" si="49"/>
        <v>10.1098--rsos.231240.pdf</v>
      </c>
      <c r="W908" s="156" t="s">
        <v>3664</v>
      </c>
      <c r="X908" s="51" t="str">
        <f t="array" ref="X908"> if(iserror(MATCH(V908, 'File Links'!C:C, 0)), "N/A", HYPERLINK(INDEX('File Links'!B:B, MATCH(V908, 'File Links'!C:C, 0))))</f>
        <v>https://drive.google.com/file/d/17gaf2Zy_ljFfcAEDk5L8GBnTl5i7RGJE/view?usp=drivesdk</v>
      </c>
      <c r="Y908" s="65"/>
      <c r="Z908" s="156" t="s">
        <v>219</v>
      </c>
      <c r="AA908" s="156" t="s">
        <v>4186</v>
      </c>
      <c r="AB908" s="156" t="s">
        <v>4924</v>
      </c>
      <c r="AC908" s="156" t="s">
        <v>4925</v>
      </c>
      <c r="AD908" s="156" t="s">
        <v>4926</v>
      </c>
      <c r="AE908" s="153">
        <v>3.0</v>
      </c>
      <c r="AF908" s="153">
        <v>63.0</v>
      </c>
      <c r="AG908" s="153">
        <v>0.22</v>
      </c>
      <c r="AH908" s="153" t="s">
        <v>867</v>
      </c>
      <c r="AI908" s="153" t="s">
        <v>210</v>
      </c>
      <c r="AJ908" s="153">
        <v>0.001</v>
      </c>
      <c r="AK908" s="156" t="s">
        <v>128</v>
      </c>
      <c r="AL908" s="156" t="s">
        <v>179</v>
      </c>
      <c r="AM908" s="156" t="s">
        <v>134</v>
      </c>
      <c r="AN908" s="126" t="s">
        <v>131</v>
      </c>
      <c r="AO908" s="153">
        <v>26.0</v>
      </c>
      <c r="AP908" s="158" t="s">
        <v>4927</v>
      </c>
      <c r="AQ908" s="153" t="s">
        <v>127</v>
      </c>
      <c r="AR908" s="438" t="s">
        <v>4923</v>
      </c>
      <c r="AS908" s="158">
        <v>0.212</v>
      </c>
      <c r="AT908" s="156" t="s">
        <v>165</v>
      </c>
      <c r="AU908" s="156" t="s">
        <v>179</v>
      </c>
      <c r="AV908" s="156" t="s">
        <v>134</v>
      </c>
      <c r="AW908" s="126" t="s">
        <v>131</v>
      </c>
      <c r="AX908" s="65" t="s">
        <v>136</v>
      </c>
      <c r="AZ908" s="126" t="s">
        <v>3756</v>
      </c>
      <c r="BA908" s="69"/>
      <c r="BB908" s="186"/>
      <c r="BC908" s="186"/>
      <c r="BD908" s="186"/>
      <c r="BE908" s="186"/>
      <c r="BF908" s="186"/>
      <c r="BG908" s="186"/>
      <c r="BH908" s="186"/>
      <c r="BI908" s="186"/>
      <c r="BJ908" s="186"/>
      <c r="BK908" s="186"/>
      <c r="BL908" s="186"/>
      <c r="BM908" s="186"/>
      <c r="BN908" s="186"/>
      <c r="BO908" s="186"/>
      <c r="BP908" s="186"/>
      <c r="BQ908" s="186"/>
      <c r="BR908" s="186"/>
      <c r="BS908" s="186"/>
      <c r="BT908" s="186"/>
      <c r="BU908" s="186"/>
      <c r="BV908" s="186"/>
      <c r="BW908" s="186"/>
      <c r="BX908" s="186"/>
      <c r="BY908" s="186"/>
      <c r="BZ908" s="186"/>
      <c r="CA908" s="186"/>
      <c r="CB908" s="186"/>
      <c r="CC908" s="186"/>
      <c r="CD908" s="186"/>
      <c r="CE908" s="186"/>
      <c r="CF908" s="186"/>
      <c r="CG908" s="186"/>
      <c r="CH908" s="186"/>
      <c r="CI908" s="186"/>
      <c r="CJ908" s="186"/>
      <c r="CK908" s="186"/>
      <c r="CL908" s="186"/>
      <c r="CM908" s="186"/>
      <c r="CN908" s="186"/>
      <c r="CO908" s="186"/>
      <c r="CP908" s="186"/>
      <c r="CQ908" s="186"/>
      <c r="CR908" s="186"/>
      <c r="CS908" s="186"/>
      <c r="CT908" s="186"/>
      <c r="CU908" s="186"/>
      <c r="CV908" s="186"/>
      <c r="CW908" s="186"/>
      <c r="CX908" s="186"/>
      <c r="CY908" s="186"/>
      <c r="CZ908" s="186"/>
      <c r="DA908" s="186"/>
      <c r="DB908" s="186"/>
      <c r="DC908" s="186"/>
      <c r="DD908" s="186"/>
      <c r="DE908" s="186"/>
      <c r="DF908" s="186"/>
      <c r="DG908" s="186"/>
      <c r="DH908" s="186"/>
    </row>
    <row r="909">
      <c r="A909" s="41">
        <v>909.0</v>
      </c>
      <c r="B909" s="126" t="s">
        <v>145</v>
      </c>
      <c r="C909" s="59" t="s">
        <v>108</v>
      </c>
      <c r="D909" s="59" t="s">
        <v>146</v>
      </c>
      <c r="F909" s="65" t="s">
        <v>4928</v>
      </c>
      <c r="G909" s="156" t="s">
        <v>4929</v>
      </c>
      <c r="H909" s="156" t="s">
        <v>146</v>
      </c>
      <c r="I909" s="149">
        <v>45687.0</v>
      </c>
      <c r="J909" s="149">
        <v>45692.0</v>
      </c>
      <c r="K909" s="1052" t="s">
        <v>4930</v>
      </c>
      <c r="L909" s="65"/>
      <c r="M909" s="156" t="s">
        <v>4916</v>
      </c>
      <c r="N909" s="156" t="s">
        <v>4917</v>
      </c>
      <c r="O909" s="153">
        <v>3.0</v>
      </c>
      <c r="P909" s="156" t="str">
        <f t="shared" si="37"/>
        <v>10.1177--0956797615624492.pdf</v>
      </c>
      <c r="Q909" s="49" t="str">
        <f t="array" ref="Q909"> if(iserror(MATCH(V909, 'File Links'!C:C, 0)), "N/A", HYPERLINK(INDEX('File Links'!B:B, MATCH(P909, 'File Links'!C:C, 0))))</f>
        <v>https://drive.google.com/file/d/1MpP2-43GqkWDRpuwJ-apCbzIk2GwSMn_/view?usp=drivesdk</v>
      </c>
      <c r="R909" s="156" t="s">
        <v>3646</v>
      </c>
      <c r="S909" s="156" t="s">
        <v>3647</v>
      </c>
      <c r="T909" s="438" t="s">
        <v>4931</v>
      </c>
      <c r="U909" s="153">
        <v>1.0</v>
      </c>
      <c r="V909" s="195" t="str">
        <f t="shared" si="49"/>
        <v>10.1098--rsos.231240.pdf</v>
      </c>
      <c r="W909" s="156" t="s">
        <v>3719</v>
      </c>
      <c r="X909" s="51" t="str">
        <f t="array" ref="X909"> if(iserror(MATCH(V909, 'File Links'!C:C, 0)), "N/A", HYPERLINK(INDEX('File Links'!B:B, MATCH(V909, 'File Links'!C:C, 0))))</f>
        <v>https://drive.google.com/file/d/17gaf2Zy_ljFfcAEDk5L8GBnTl5i7RGJE/view?usp=drivesdk</v>
      </c>
      <c r="Y909" s="65"/>
      <c r="Z909" s="156" t="s">
        <v>219</v>
      </c>
      <c r="AA909" s="156" t="s">
        <v>4186</v>
      </c>
      <c r="AB909" s="156" t="s">
        <v>4924</v>
      </c>
      <c r="AC909" s="156" t="s">
        <v>4932</v>
      </c>
      <c r="AD909" s="156" t="s">
        <v>4933</v>
      </c>
      <c r="AE909" s="333">
        <v>7.0</v>
      </c>
      <c r="AF909" s="153">
        <v>62.0</v>
      </c>
      <c r="AG909" s="333">
        <v>0.35</v>
      </c>
      <c r="AH909" s="153" t="s">
        <v>867</v>
      </c>
      <c r="AI909" s="333" t="s">
        <v>125</v>
      </c>
      <c r="AJ909" s="153">
        <v>0.001</v>
      </c>
      <c r="AK909" s="156" t="s">
        <v>128</v>
      </c>
      <c r="AL909" s="156" t="s">
        <v>179</v>
      </c>
      <c r="AM909" s="148" t="s">
        <v>130</v>
      </c>
      <c r="AN909" s="126" t="s">
        <v>131</v>
      </c>
      <c r="AO909" s="153">
        <v>14.0</v>
      </c>
      <c r="AP909" s="333">
        <v>0.0020787</v>
      </c>
      <c r="AQ909" s="153" t="s">
        <v>132</v>
      </c>
      <c r="AR909" s="438" t="s">
        <v>4931</v>
      </c>
      <c r="AS909" s="153">
        <v>0.4551992</v>
      </c>
      <c r="AT909" s="156" t="s">
        <v>165</v>
      </c>
      <c r="AU909" s="156" t="s">
        <v>179</v>
      </c>
      <c r="AV909" s="148" t="s">
        <v>130</v>
      </c>
      <c r="AW909" s="126" t="s">
        <v>131</v>
      </c>
      <c r="AX909" s="65" t="s">
        <v>136</v>
      </c>
      <c r="AZ909" s="126" t="s">
        <v>3756</v>
      </c>
      <c r="BA909" s="69"/>
    </row>
    <row r="910">
      <c r="A910" s="41">
        <v>910.0</v>
      </c>
      <c r="B910" s="65" t="s">
        <v>107</v>
      </c>
      <c r="C910" s="59" t="s">
        <v>108</v>
      </c>
      <c r="D910" s="59" t="s">
        <v>241</v>
      </c>
      <c r="F910" s="65" t="s">
        <v>4928</v>
      </c>
      <c r="G910" s="156" t="s">
        <v>4934</v>
      </c>
      <c r="H910" s="156" t="s">
        <v>242</v>
      </c>
      <c r="I910" s="149">
        <v>45672.0</v>
      </c>
      <c r="J910" s="149">
        <v>45692.0</v>
      </c>
      <c r="K910" s="434" t="s">
        <v>4935</v>
      </c>
      <c r="L910" s="65"/>
      <c r="M910" s="156" t="s">
        <v>4916</v>
      </c>
      <c r="N910" s="156" t="s">
        <v>4917</v>
      </c>
      <c r="O910" s="65"/>
      <c r="P910" s="156" t="str">
        <f t="shared" si="37"/>
        <v>10.1177--0956797615624492.pdf</v>
      </c>
      <c r="Q910" s="49" t="str">
        <f t="array" ref="Q910"> if(iserror(MATCH(V910, 'File Links'!C:C, 0)), "N/A", HYPERLINK(INDEX('File Links'!B:B, MATCH(P910, 'File Links'!C:C, 0))))</f>
        <v>https://drive.google.com/file/d/1MpP2-43GqkWDRpuwJ-apCbzIk2GwSMn_/view?usp=drivesdk</v>
      </c>
      <c r="R910" s="156" t="s">
        <v>3646</v>
      </c>
      <c r="S910" s="156" t="s">
        <v>3647</v>
      </c>
      <c r="T910" s="65"/>
      <c r="U910" s="153">
        <v>1.0</v>
      </c>
      <c r="V910" s="195" t="str">
        <f t="shared" si="49"/>
        <v>10.1098--rsos.231240.pdf</v>
      </c>
      <c r="W910" s="156" t="s">
        <v>317</v>
      </c>
      <c r="X910" s="51" t="str">
        <f t="array" ref="X910"> if(iserror(MATCH(V910, 'File Links'!C:C, 0)), "N/A", HYPERLINK(INDEX('File Links'!B:B, MATCH(V910, 'File Links'!C:C, 0))))</f>
        <v>https://drive.google.com/file/d/17gaf2Zy_ljFfcAEDk5L8GBnTl5i7RGJE/view?usp=drivesdk</v>
      </c>
      <c r="Y910" s="65"/>
      <c r="Z910" s="156" t="s">
        <v>219</v>
      </c>
      <c r="AA910" s="65"/>
      <c r="AB910" s="65"/>
      <c r="AC910" s="65"/>
      <c r="AD910" s="156" t="s">
        <v>131</v>
      </c>
      <c r="AE910" s="156" t="s">
        <v>131</v>
      </c>
      <c r="AF910" s="153">
        <v>62.0</v>
      </c>
      <c r="AG910" s="1240">
        <v>0.548480826803157</v>
      </c>
      <c r="AH910" s="156" t="s">
        <v>166</v>
      </c>
      <c r="AI910" s="156" t="s">
        <v>131</v>
      </c>
      <c r="AJ910" s="1243">
        <v>6.62469529051993E-5</v>
      </c>
      <c r="AK910" s="156" t="s">
        <v>165</v>
      </c>
      <c r="AL910" s="156" t="s">
        <v>179</v>
      </c>
      <c r="AM910" s="156" t="s">
        <v>1898</v>
      </c>
      <c r="AN910" s="126" t="s">
        <v>131</v>
      </c>
      <c r="AO910" s="153">
        <v>14.0</v>
      </c>
      <c r="AP910" s="1244">
        <v>0.448958987300324</v>
      </c>
      <c r="AQ910" s="156" t="s">
        <v>166</v>
      </c>
      <c r="AR910" s="65"/>
      <c r="AS910" s="1244">
        <v>0.129496379178315</v>
      </c>
      <c r="AT910" s="156" t="s">
        <v>165</v>
      </c>
      <c r="AU910" s="156" t="s">
        <v>179</v>
      </c>
      <c r="AV910" s="156" t="s">
        <v>1898</v>
      </c>
      <c r="AW910" s="126" t="s">
        <v>131</v>
      </c>
      <c r="AX910" s="156" t="s">
        <v>136</v>
      </c>
      <c r="AZ910" s="65" t="s">
        <v>146</v>
      </c>
      <c r="BA910" s="69"/>
      <c r="BB910" s="186"/>
      <c r="BC910" s="186"/>
      <c r="BD910" s="186"/>
      <c r="BE910" s="186"/>
      <c r="BF910" s="186"/>
      <c r="BG910" s="186"/>
      <c r="BH910" s="186"/>
      <c r="BI910" s="186"/>
      <c r="BJ910" s="186"/>
      <c r="BK910" s="186"/>
      <c r="BL910" s="186"/>
      <c r="BM910" s="186"/>
      <c r="BN910" s="186"/>
      <c r="BO910" s="186"/>
      <c r="BP910" s="186"/>
      <c r="BQ910" s="186"/>
      <c r="BR910" s="186"/>
      <c r="BS910" s="186"/>
      <c r="BT910" s="186"/>
      <c r="BU910" s="186"/>
      <c r="BV910" s="186"/>
      <c r="BW910" s="186"/>
      <c r="BX910" s="186"/>
      <c r="BY910" s="186"/>
      <c r="BZ910" s="186"/>
      <c r="CA910" s="186"/>
      <c r="CB910" s="186"/>
      <c r="CC910" s="186"/>
      <c r="CD910" s="186"/>
      <c r="CE910" s="186"/>
      <c r="CF910" s="186"/>
      <c r="CG910" s="186"/>
      <c r="CH910" s="186"/>
      <c r="CI910" s="186"/>
      <c r="CJ910" s="186"/>
      <c r="CK910" s="186"/>
      <c r="CL910" s="186"/>
      <c r="CM910" s="186"/>
      <c r="CN910" s="186"/>
      <c r="CO910" s="186"/>
      <c r="CP910" s="186"/>
      <c r="CQ910" s="186"/>
      <c r="CR910" s="186"/>
      <c r="CS910" s="186"/>
      <c r="CT910" s="186"/>
      <c r="CU910" s="186"/>
      <c r="CV910" s="186"/>
      <c r="CW910" s="186"/>
      <c r="CX910" s="186"/>
      <c r="CY910" s="186"/>
      <c r="CZ910" s="186"/>
      <c r="DA910" s="186"/>
      <c r="DB910" s="186"/>
      <c r="DC910" s="186"/>
      <c r="DD910" s="186"/>
      <c r="DE910" s="186"/>
      <c r="DF910" s="186"/>
      <c r="DG910" s="186"/>
      <c r="DH910" s="186"/>
    </row>
    <row r="911">
      <c r="A911" s="41">
        <v>911.0</v>
      </c>
      <c r="B911" s="126" t="s">
        <v>145</v>
      </c>
      <c r="C911" s="59" t="s">
        <v>108</v>
      </c>
      <c r="D911" s="59" t="s">
        <v>241</v>
      </c>
      <c r="F911" s="156" t="s">
        <v>4936</v>
      </c>
      <c r="G911" s="156" t="s">
        <v>4937</v>
      </c>
      <c r="H911" s="156" t="s">
        <v>242</v>
      </c>
      <c r="I911" s="149">
        <v>45672.0</v>
      </c>
      <c r="J911" s="149">
        <v>45692.0</v>
      </c>
      <c r="K911" s="434" t="s">
        <v>4938</v>
      </c>
      <c r="L911" s="65" t="s">
        <v>4713</v>
      </c>
      <c r="M911" s="156" t="s">
        <v>4939</v>
      </c>
      <c r="N911" s="156" t="s">
        <v>4940</v>
      </c>
      <c r="O911" s="65"/>
      <c r="P911" s="603" t="str">
        <f t="shared" si="37"/>
        <v>10.1515--ling.2011.016.pdf</v>
      </c>
      <c r="Q911" s="49" t="str">
        <f t="array" ref="Q911"> if(iserror(MATCH(V911, 'File Links'!C:C, 0)), "N/A", HYPERLINK(INDEX('File Links'!B:B, MATCH(P911, 'File Links'!C:C, 0))))</f>
        <v>https://drive.google.com/file/d/1OhQWWe3jm8WtNRylZvAGE-c4xHX8dswr/view?usp=drivesdk</v>
      </c>
      <c r="R911" s="156" t="s">
        <v>3646</v>
      </c>
      <c r="S911" s="156" t="s">
        <v>3647</v>
      </c>
      <c r="T911" s="438" t="s">
        <v>4941</v>
      </c>
      <c r="U911" s="153">
        <v>1.0</v>
      </c>
      <c r="V911" s="195" t="str">
        <f t="shared" si="49"/>
        <v>10.1098--rsos.231240.pdf</v>
      </c>
      <c r="W911" s="156" t="s">
        <v>3719</v>
      </c>
      <c r="X911" s="51" t="str">
        <f t="array" ref="X911"> if(iserror(MATCH(V911, 'File Links'!C:C, 0)), "N/A", HYPERLINK(INDEX('File Links'!B:B, MATCH(V911, 'File Links'!C:C, 0))))</f>
        <v>https://drive.google.com/file/d/17gaf2Zy_ljFfcAEDk5L8GBnTl5i7RGJE/view?usp=drivesdk</v>
      </c>
      <c r="Y911" s="65"/>
      <c r="Z911" s="156" t="s">
        <v>219</v>
      </c>
      <c r="AA911" s="1112" t="s">
        <v>4942</v>
      </c>
      <c r="AB911" s="1112" t="s">
        <v>4943</v>
      </c>
      <c r="AC911" s="1112" t="s">
        <v>4944</v>
      </c>
      <c r="AD911" s="156" t="s">
        <v>4945</v>
      </c>
      <c r="AE911" s="153">
        <v>540.0</v>
      </c>
      <c r="AF911" s="153">
        <v>20.0</v>
      </c>
      <c r="AG911" s="153">
        <v>0.85</v>
      </c>
      <c r="AH911" s="156" t="s">
        <v>166</v>
      </c>
      <c r="AI911" s="156" t="s">
        <v>4946</v>
      </c>
      <c r="AJ911" s="153">
        <v>0.005</v>
      </c>
      <c r="AK911" s="156" t="s">
        <v>128</v>
      </c>
      <c r="AL911" s="156" t="s">
        <v>179</v>
      </c>
      <c r="AM911" s="148" t="s">
        <v>130</v>
      </c>
      <c r="AN911" s="126" t="s">
        <v>131</v>
      </c>
      <c r="AO911" s="153">
        <v>35.0</v>
      </c>
      <c r="AP911" s="1245">
        <v>0.902433572610701</v>
      </c>
      <c r="AQ911" s="156" t="s">
        <v>166</v>
      </c>
      <c r="AR911" s="1150" t="s">
        <v>4113</v>
      </c>
      <c r="AS911" s="1246">
        <f>7.8*10^-6</f>
        <v>0.0000078</v>
      </c>
      <c r="AT911" s="156" t="s">
        <v>165</v>
      </c>
      <c r="AU911" s="156" t="s">
        <v>179</v>
      </c>
      <c r="AV911" s="148" t="s">
        <v>130</v>
      </c>
      <c r="AW911" s="126" t="s">
        <v>131</v>
      </c>
      <c r="AX911" s="1057" t="s">
        <v>136</v>
      </c>
      <c r="AZ911" s="65" t="s">
        <v>146</v>
      </c>
      <c r="BA911" s="69"/>
    </row>
    <row r="912">
      <c r="A912" s="41">
        <v>912.0</v>
      </c>
      <c r="B912" s="126" t="s">
        <v>145</v>
      </c>
      <c r="C912" s="59" t="s">
        <v>108</v>
      </c>
      <c r="D912" s="59" t="s">
        <v>146</v>
      </c>
      <c r="F912" s="65" t="s">
        <v>4937</v>
      </c>
      <c r="G912" s="156" t="s">
        <v>4936</v>
      </c>
      <c r="H912" s="156" t="s">
        <v>146</v>
      </c>
      <c r="I912" s="149">
        <v>45687.0</v>
      </c>
      <c r="J912" s="149">
        <v>45692.0</v>
      </c>
      <c r="K912" s="1052" t="s">
        <v>4947</v>
      </c>
      <c r="L912" s="65"/>
      <c r="M912" s="156" t="s">
        <v>4939</v>
      </c>
      <c r="N912" s="156" t="s">
        <v>4940</v>
      </c>
      <c r="O912" s="153">
        <v>1.0</v>
      </c>
      <c r="P912" s="156" t="str">
        <f t="shared" si="37"/>
        <v>10.1515--ling.2011.016.pdf</v>
      </c>
      <c r="Q912" s="49" t="str">
        <f t="array" ref="Q912"> if(iserror(MATCH(V912, 'File Links'!C:C, 0)), "N/A", HYPERLINK(INDEX('File Links'!B:B, MATCH(P912, 'File Links'!C:C, 0))))</f>
        <v>https://drive.google.com/file/d/1OhQWWe3jm8WtNRylZvAGE-c4xHX8dswr/view?usp=drivesdk</v>
      </c>
      <c r="R912" s="156" t="s">
        <v>3646</v>
      </c>
      <c r="S912" s="156" t="s">
        <v>3647</v>
      </c>
      <c r="T912" s="438" t="s">
        <v>4941</v>
      </c>
      <c r="U912" s="153">
        <v>1.0</v>
      </c>
      <c r="V912" s="195" t="str">
        <f t="shared" si="49"/>
        <v>10.1098--rsos.231240.pdf</v>
      </c>
      <c r="W912" s="156" t="s">
        <v>3719</v>
      </c>
      <c r="X912" s="51" t="str">
        <f t="array" ref="X912"> if(iserror(MATCH(V912, 'File Links'!C:C, 0)), "N/A", HYPERLINK(INDEX('File Links'!B:B, MATCH(V912, 'File Links'!C:C, 0))))</f>
        <v>https://drive.google.com/file/d/17gaf2Zy_ljFfcAEDk5L8GBnTl5i7RGJE/view?usp=drivesdk</v>
      </c>
      <c r="Y912" s="65"/>
      <c r="Z912" s="156" t="s">
        <v>219</v>
      </c>
      <c r="AA912" s="156" t="s">
        <v>4942</v>
      </c>
      <c r="AB912" s="156" t="s">
        <v>4943</v>
      </c>
      <c r="AC912" s="156" t="s">
        <v>4944</v>
      </c>
      <c r="AD912" s="156" t="s">
        <v>4948</v>
      </c>
      <c r="AE912" s="153">
        <v>14.0</v>
      </c>
      <c r="AF912" s="153">
        <v>20.0</v>
      </c>
      <c r="AG912" s="153" t="s">
        <v>4949</v>
      </c>
      <c r="AH912" s="153" t="s">
        <v>127</v>
      </c>
      <c r="AI912" s="153" t="s">
        <v>2222</v>
      </c>
      <c r="AJ912" s="153">
        <v>0.005</v>
      </c>
      <c r="AK912" s="156" t="s">
        <v>128</v>
      </c>
      <c r="AL912" s="156" t="s">
        <v>179</v>
      </c>
      <c r="AM912" s="148" t="s">
        <v>130</v>
      </c>
      <c r="AN912" s="126" t="s">
        <v>131</v>
      </c>
      <c r="AO912" s="153">
        <v>35.0</v>
      </c>
      <c r="AP912" s="1245">
        <v>0.902</v>
      </c>
      <c r="AQ912" s="153" t="s">
        <v>166</v>
      </c>
      <c r="AR912" s="1150" t="s">
        <v>4113</v>
      </c>
      <c r="AS912" s="1245">
        <f>2.2*10^-16</f>
        <v>0</v>
      </c>
      <c r="AT912" s="156" t="s">
        <v>128</v>
      </c>
      <c r="AU912" s="156" t="s">
        <v>179</v>
      </c>
      <c r="AV912" s="148" t="s">
        <v>130</v>
      </c>
      <c r="AW912" s="126" t="s">
        <v>131</v>
      </c>
      <c r="AX912" s="65" t="s">
        <v>144</v>
      </c>
      <c r="AZ912" s="65" t="s">
        <v>146</v>
      </c>
      <c r="BA912" s="69"/>
      <c r="BB912" s="186"/>
      <c r="BC912" s="186"/>
      <c r="BD912" s="186"/>
      <c r="BE912" s="186"/>
      <c r="BF912" s="186"/>
      <c r="BG912" s="186"/>
      <c r="BH912" s="186"/>
      <c r="BI912" s="186"/>
      <c r="BJ912" s="186"/>
      <c r="BK912" s="186"/>
      <c r="BL912" s="186"/>
      <c r="BM912" s="186"/>
      <c r="BN912" s="186"/>
      <c r="BO912" s="186"/>
      <c r="BP912" s="186"/>
      <c r="BQ912" s="186"/>
      <c r="BR912" s="186"/>
      <c r="BS912" s="186"/>
      <c r="BT912" s="186"/>
      <c r="BU912" s="186"/>
      <c r="BV912" s="186"/>
      <c r="BW912" s="186"/>
      <c r="BX912" s="186"/>
      <c r="BY912" s="186"/>
      <c r="BZ912" s="186"/>
      <c r="CA912" s="186"/>
      <c r="CB912" s="186"/>
      <c r="CC912" s="186"/>
      <c r="CD912" s="186"/>
      <c r="CE912" s="186"/>
      <c r="CF912" s="186"/>
      <c r="CG912" s="186"/>
      <c r="CH912" s="186"/>
      <c r="CI912" s="186"/>
      <c r="CJ912" s="186"/>
      <c r="CK912" s="186"/>
      <c r="CL912" s="186"/>
      <c r="CM912" s="186"/>
      <c r="CN912" s="186"/>
      <c r="CO912" s="186"/>
      <c r="CP912" s="186"/>
      <c r="CQ912" s="186"/>
      <c r="CR912" s="186"/>
      <c r="CS912" s="186"/>
      <c r="CT912" s="186"/>
      <c r="CU912" s="186"/>
      <c r="CV912" s="186"/>
      <c r="CW912" s="186"/>
      <c r="CX912" s="186"/>
      <c r="CY912" s="186"/>
      <c r="CZ912" s="186"/>
      <c r="DA912" s="186"/>
      <c r="DB912" s="186"/>
      <c r="DC912" s="186"/>
      <c r="DD912" s="186"/>
      <c r="DE912" s="186"/>
      <c r="DF912" s="186"/>
      <c r="DG912" s="186"/>
      <c r="DH912" s="186"/>
    </row>
    <row r="913">
      <c r="A913" s="41">
        <v>913.0</v>
      </c>
      <c r="B913" s="126" t="s">
        <v>145</v>
      </c>
      <c r="C913" s="59" t="s">
        <v>108</v>
      </c>
      <c r="D913" s="59" t="s">
        <v>146</v>
      </c>
      <c r="F913" s="65" t="s">
        <v>4937</v>
      </c>
      <c r="G913" s="156" t="s">
        <v>4950</v>
      </c>
      <c r="H913" s="156" t="s">
        <v>146</v>
      </c>
      <c r="I913" s="149">
        <v>45687.0</v>
      </c>
      <c r="J913" s="149">
        <v>45692.0</v>
      </c>
      <c r="K913" s="1052" t="s">
        <v>4951</v>
      </c>
      <c r="L913" s="65"/>
      <c r="M913" s="156" t="s">
        <v>4939</v>
      </c>
      <c r="N913" s="156" t="s">
        <v>4940</v>
      </c>
      <c r="O913" s="153">
        <v>1.0</v>
      </c>
      <c r="P913" s="603" t="str">
        <f t="shared" si="37"/>
        <v>10.1515--ling.2011.016.pdf</v>
      </c>
      <c r="Q913" s="49" t="str">
        <f t="array" ref="Q913"> if(iserror(MATCH(V913, 'File Links'!C:C, 0)), "N/A", HYPERLINK(INDEX('File Links'!B:B, MATCH(P913, 'File Links'!C:C, 0))))</f>
        <v>https://drive.google.com/file/d/1OhQWWe3jm8WtNRylZvAGE-c4xHX8dswr/view?usp=drivesdk</v>
      </c>
      <c r="R913" s="156" t="s">
        <v>3646</v>
      </c>
      <c r="S913" s="156" t="s">
        <v>3647</v>
      </c>
      <c r="T913" s="438" t="s">
        <v>4941</v>
      </c>
      <c r="U913" s="153">
        <v>1.0</v>
      </c>
      <c r="V913" s="195" t="str">
        <f t="shared" si="49"/>
        <v>10.1098--rsos.231240.pdf</v>
      </c>
      <c r="W913" s="156" t="s">
        <v>3719</v>
      </c>
      <c r="X913" s="51" t="str">
        <f t="array" ref="X913"> if(iserror(MATCH(V913, 'File Links'!C:C, 0)), "N/A", HYPERLINK(INDEX('File Links'!B:B, MATCH(V913, 'File Links'!C:C, 0))))</f>
        <v>https://drive.google.com/file/d/17gaf2Zy_ljFfcAEDk5L8GBnTl5i7RGJE/view?usp=drivesdk</v>
      </c>
      <c r="Y913" s="65"/>
      <c r="Z913" s="156" t="s">
        <v>219</v>
      </c>
      <c r="AA913" s="156" t="s">
        <v>4942</v>
      </c>
      <c r="AB913" s="156" t="s">
        <v>4943</v>
      </c>
      <c r="AC913" s="156" t="s">
        <v>4952</v>
      </c>
      <c r="AD913" s="156" t="s">
        <v>4953</v>
      </c>
      <c r="AE913" s="333">
        <v>15.0</v>
      </c>
      <c r="AF913" s="153">
        <v>20.0</v>
      </c>
      <c r="AG913" s="498" t="s">
        <v>4954</v>
      </c>
      <c r="AH913" s="153" t="s">
        <v>127</v>
      </c>
      <c r="AI913" s="333" t="s">
        <v>620</v>
      </c>
      <c r="AJ913" s="333">
        <v>0.05</v>
      </c>
      <c r="AK913" s="156" t="s">
        <v>128</v>
      </c>
      <c r="AL913" s="156" t="s">
        <v>179</v>
      </c>
      <c r="AM913" s="148" t="s">
        <v>130</v>
      </c>
      <c r="AN913" s="126" t="s">
        <v>131</v>
      </c>
      <c r="AO913" s="153">
        <v>35.0</v>
      </c>
      <c r="AP913" s="498" t="s">
        <v>4955</v>
      </c>
      <c r="AQ913" s="153" t="s">
        <v>127</v>
      </c>
      <c r="AR913" s="438" t="s">
        <v>4941</v>
      </c>
      <c r="AS913" s="153">
        <f>1.654*10^-5</f>
        <v>0.00001654</v>
      </c>
      <c r="AT913" s="156" t="s">
        <v>165</v>
      </c>
      <c r="AU913" s="156" t="s">
        <v>179</v>
      </c>
      <c r="AV913" s="148" t="s">
        <v>130</v>
      </c>
      <c r="AW913" s="438" t="s">
        <v>4956</v>
      </c>
      <c r="AX913" s="65" t="s">
        <v>144</v>
      </c>
      <c r="AZ913" s="65" t="s">
        <v>146</v>
      </c>
      <c r="BA913" s="69"/>
    </row>
    <row r="914" ht="18.75" customHeight="1">
      <c r="A914" s="41">
        <v>914.0</v>
      </c>
      <c r="B914" s="126" t="s">
        <v>145</v>
      </c>
      <c r="C914" s="59" t="s">
        <v>108</v>
      </c>
      <c r="D914" s="59" t="s">
        <v>241</v>
      </c>
      <c r="F914" s="156" t="s">
        <v>4957</v>
      </c>
      <c r="G914" s="156" t="s">
        <v>4958</v>
      </c>
      <c r="H914" s="156" t="s">
        <v>242</v>
      </c>
      <c r="I914" s="149">
        <v>45672.0</v>
      </c>
      <c r="J914" s="149">
        <v>45692.0</v>
      </c>
      <c r="K914" s="1052" t="s">
        <v>4959</v>
      </c>
      <c r="L914" s="65"/>
      <c r="M914" s="156" t="s">
        <v>4960</v>
      </c>
      <c r="N914" s="156" t="s">
        <v>4961</v>
      </c>
      <c r="O914" s="65"/>
      <c r="P914" s="156" t="str">
        <f t="shared" si="37"/>
        <v>10.1177--0956797616650875.pdf</v>
      </c>
      <c r="Q914" s="49" t="str">
        <f t="array" ref="Q914"> if(iserror(MATCH(V914, 'File Links'!C:C, 0)), "N/A", HYPERLINK(INDEX('File Links'!B:B, MATCH(P914, 'File Links'!C:C, 0))))</f>
        <v>https://drive.google.com/file/d/1OIEvCCJvM-_IxEbcHAL2vNkKmVoEHa3G/view?usp=drivesdk</v>
      </c>
      <c r="R914" s="156" t="s">
        <v>3646</v>
      </c>
      <c r="S914" s="156" t="s">
        <v>3647</v>
      </c>
      <c r="T914" s="120" t="s">
        <v>4962</v>
      </c>
      <c r="U914" s="153">
        <v>1.0</v>
      </c>
      <c r="V914" s="195" t="str">
        <f t="shared" si="49"/>
        <v>10.1098--rsos.231240.pdf</v>
      </c>
      <c r="W914" s="156" t="s">
        <v>3800</v>
      </c>
      <c r="X914" s="51" t="str">
        <f t="array" ref="X914"> if(iserror(MATCH(V914, 'File Links'!C:C, 0)), "N/A", HYPERLINK(INDEX('File Links'!B:B, MATCH(V914, 'File Links'!C:C, 0))))</f>
        <v>https://drive.google.com/file/d/17gaf2Zy_ljFfcAEDk5L8GBnTl5i7RGJE/view?usp=drivesdk</v>
      </c>
      <c r="Y914" s="65"/>
      <c r="Z914" s="156" t="s">
        <v>141</v>
      </c>
      <c r="AA914" s="65" t="s">
        <v>4396</v>
      </c>
      <c r="AB914" s="156" t="s">
        <v>4963</v>
      </c>
      <c r="AC914" s="65" t="s">
        <v>4964</v>
      </c>
      <c r="AD914" s="156" t="s">
        <v>4965</v>
      </c>
      <c r="AE914" s="153">
        <v>7.0</v>
      </c>
      <c r="AF914" s="153">
        <v>112.0</v>
      </c>
      <c r="AG914" s="153">
        <v>2.44</v>
      </c>
      <c r="AH914" s="156" t="s">
        <v>980</v>
      </c>
      <c r="AI914" s="156" t="s">
        <v>4966</v>
      </c>
      <c r="AJ914" s="153">
        <v>0.004</v>
      </c>
      <c r="AK914" s="156" t="s">
        <v>165</v>
      </c>
      <c r="AL914" s="156" t="s">
        <v>179</v>
      </c>
      <c r="AM914" s="148" t="s">
        <v>130</v>
      </c>
      <c r="AN914" s="307" t="s">
        <v>4967</v>
      </c>
      <c r="AO914" s="153">
        <v>136.0</v>
      </c>
      <c r="AP914" s="1111">
        <v>3.737</v>
      </c>
      <c r="AQ914" s="156" t="s">
        <v>980</v>
      </c>
      <c r="AR914" s="65"/>
      <c r="AS914" s="153">
        <v>0.001</v>
      </c>
      <c r="AT914" s="156" t="s">
        <v>128</v>
      </c>
      <c r="AU914" s="156" t="s">
        <v>179</v>
      </c>
      <c r="AV914" s="148" t="s">
        <v>130</v>
      </c>
      <c r="AW914" s="120" t="s">
        <v>4956</v>
      </c>
      <c r="AX914" s="156" t="s">
        <v>136</v>
      </c>
      <c r="AZ914" s="65" t="s">
        <v>146</v>
      </c>
      <c r="BB914" s="89"/>
      <c r="BC914" s="89"/>
      <c r="BD914" s="89"/>
      <c r="BE914" s="89"/>
      <c r="BF914" s="89"/>
      <c r="BG914" s="89"/>
      <c r="BH914" s="89"/>
      <c r="BI914" s="89"/>
      <c r="BJ914" s="89"/>
      <c r="BK914" s="89"/>
      <c r="BL914" s="89"/>
      <c r="BM914" s="89"/>
      <c r="BN914" s="89"/>
      <c r="BO914" s="89"/>
      <c r="BP914" s="89"/>
      <c r="BQ914" s="89"/>
      <c r="BR914" s="89"/>
      <c r="BS914" s="89"/>
      <c r="BT914" s="89"/>
      <c r="BU914" s="89"/>
      <c r="BV914" s="89"/>
      <c r="BW914" s="89"/>
      <c r="BX914" s="89"/>
      <c r="BY914" s="89"/>
      <c r="BZ914" s="89"/>
      <c r="CA914" s="89"/>
      <c r="CB914" s="89"/>
      <c r="CC914" s="89"/>
      <c r="CD914" s="89"/>
      <c r="CE914" s="89"/>
      <c r="CF914" s="89"/>
      <c r="CG914" s="89"/>
      <c r="CH914" s="89"/>
      <c r="CI914" s="89"/>
      <c r="CJ914" s="89"/>
      <c r="CK914" s="89"/>
      <c r="CL914" s="89"/>
      <c r="CM914" s="89"/>
      <c r="CN914" s="89"/>
      <c r="CO914" s="89"/>
      <c r="CP914" s="89"/>
      <c r="CQ914" s="89"/>
      <c r="CR914" s="89"/>
      <c r="CS914" s="89"/>
      <c r="CT914" s="89"/>
      <c r="CU914" s="89"/>
      <c r="CV914" s="89"/>
      <c r="CW914" s="89"/>
      <c r="CX914" s="89"/>
      <c r="CY914" s="89"/>
      <c r="CZ914" s="89"/>
      <c r="DA914" s="89"/>
      <c r="DB914" s="89"/>
      <c r="DC914" s="89"/>
      <c r="DD914" s="89"/>
      <c r="DE914" s="89"/>
      <c r="DF914" s="89"/>
      <c r="DG914" s="89"/>
      <c r="DH914" s="89"/>
    </row>
    <row r="915" ht="18.75" customHeight="1">
      <c r="A915" s="41">
        <v>915.0</v>
      </c>
      <c r="B915" s="65" t="s">
        <v>107</v>
      </c>
      <c r="C915" s="59" t="s">
        <v>108</v>
      </c>
      <c r="D915" s="59" t="s">
        <v>146</v>
      </c>
      <c r="F915" s="65" t="s">
        <v>4958</v>
      </c>
      <c r="G915" s="156" t="s">
        <v>4957</v>
      </c>
      <c r="H915" s="156" t="s">
        <v>146</v>
      </c>
      <c r="I915" s="149">
        <v>45687.0</v>
      </c>
      <c r="J915" s="149">
        <v>45692.0</v>
      </c>
      <c r="K915" s="1052" t="s">
        <v>4968</v>
      </c>
      <c r="L915" s="65"/>
      <c r="M915" s="156" t="s">
        <v>4960</v>
      </c>
      <c r="N915" s="156" t="s">
        <v>4961</v>
      </c>
      <c r="O915" s="153">
        <v>2.0</v>
      </c>
      <c r="P915" s="156" t="str">
        <f t="shared" si="37"/>
        <v>10.1177--0956797616650875.pdf</v>
      </c>
      <c r="Q915" s="49" t="str">
        <f t="array" ref="Q915"> if(iserror(MATCH(V915, 'File Links'!C:C, 0)), "N/A", HYPERLINK(INDEX('File Links'!B:B, MATCH(P915, 'File Links'!C:C, 0))))</f>
        <v>https://drive.google.com/file/d/1OIEvCCJvM-_IxEbcHAL2vNkKmVoEHa3G/view?usp=drivesdk</v>
      </c>
      <c r="R915" s="156" t="s">
        <v>3646</v>
      </c>
      <c r="S915" s="156" t="s">
        <v>3647</v>
      </c>
      <c r="T915" s="438" t="s">
        <v>4962</v>
      </c>
      <c r="U915" s="153">
        <v>1.0</v>
      </c>
      <c r="V915" s="379" t="s">
        <v>3651</v>
      </c>
      <c r="W915" s="156" t="s">
        <v>3800</v>
      </c>
      <c r="X915" s="51" t="str">
        <f t="array" ref="X915"> if(iserror(MATCH(V915, 'File Links'!C:C, 0)), "N/A", HYPERLINK(INDEX('File Links'!B:B, MATCH(V915, 'File Links'!C:C, 0))))</f>
        <v>https://drive.google.com/file/d/17gaf2Zy_ljFfcAEDk5L8GBnTl5i7RGJE/view?usp=drivesdk</v>
      </c>
      <c r="Y915" s="156" t="s">
        <v>4969</v>
      </c>
      <c r="Z915" s="65"/>
      <c r="AA915" s="65"/>
      <c r="AB915" s="65"/>
      <c r="AC915" s="65"/>
      <c r="AD915" s="65"/>
      <c r="AE915" s="65"/>
      <c r="AF915" s="65"/>
      <c r="AG915" s="65"/>
      <c r="AH915" s="65"/>
      <c r="AI915" s="65"/>
      <c r="AJ915" s="65"/>
      <c r="AK915" s="65"/>
      <c r="AL915" s="65"/>
      <c r="AM915" s="65"/>
      <c r="AN915" s="126" t="s">
        <v>131</v>
      </c>
      <c r="AO915" s="65"/>
      <c r="AP915" s="65"/>
      <c r="AQ915" s="65"/>
      <c r="AR915" s="65"/>
      <c r="AS915" s="65"/>
      <c r="AT915" s="65"/>
      <c r="AU915" s="65"/>
      <c r="AV915" s="65"/>
      <c r="AW915" s="65"/>
      <c r="AX915" s="65"/>
      <c r="AZ915" s="65" t="s">
        <v>146</v>
      </c>
      <c r="BB915" s="89"/>
      <c r="BC915" s="89"/>
      <c r="BD915" s="89"/>
      <c r="BE915" s="89"/>
      <c r="BF915" s="89"/>
      <c r="BG915" s="89"/>
      <c r="BH915" s="89"/>
      <c r="BI915" s="89"/>
      <c r="BJ915" s="89"/>
      <c r="BK915" s="89"/>
      <c r="BL915" s="89"/>
      <c r="BM915" s="89"/>
      <c r="BN915" s="89"/>
      <c r="BO915" s="89"/>
      <c r="BP915" s="89"/>
      <c r="BQ915" s="89"/>
      <c r="BR915" s="89"/>
      <c r="BS915" s="89"/>
      <c r="BT915" s="89"/>
      <c r="BU915" s="89"/>
      <c r="BV915" s="89"/>
      <c r="BW915" s="89"/>
      <c r="BX915" s="89"/>
      <c r="BY915" s="89"/>
      <c r="BZ915" s="89"/>
      <c r="CA915" s="89"/>
      <c r="CB915" s="89"/>
      <c r="CC915" s="89"/>
      <c r="CD915" s="89"/>
      <c r="CE915" s="89"/>
      <c r="CF915" s="89"/>
      <c r="CG915" s="89"/>
      <c r="CH915" s="89"/>
      <c r="CI915" s="89"/>
      <c r="CJ915" s="89"/>
      <c r="CK915" s="89"/>
      <c r="CL915" s="89"/>
      <c r="CM915" s="89"/>
      <c r="CN915" s="89"/>
      <c r="CO915" s="89"/>
      <c r="CP915" s="89"/>
      <c r="CQ915" s="89"/>
      <c r="CR915" s="89"/>
      <c r="CS915" s="89"/>
      <c r="CT915" s="89"/>
      <c r="CU915" s="89"/>
      <c r="CV915" s="89"/>
      <c r="CW915" s="89"/>
      <c r="CX915" s="89"/>
      <c r="CY915" s="89"/>
      <c r="CZ915" s="89"/>
      <c r="DA915" s="89"/>
      <c r="DB915" s="89"/>
      <c r="DC915" s="89"/>
      <c r="DD915" s="89"/>
      <c r="DE915" s="89"/>
      <c r="DF915" s="89"/>
      <c r="DG915" s="89"/>
      <c r="DH915" s="89"/>
    </row>
    <row r="916" ht="18.75" customHeight="1">
      <c r="A916" s="41">
        <v>916.0</v>
      </c>
      <c r="B916" s="126" t="s">
        <v>145</v>
      </c>
      <c r="C916" s="59" t="s">
        <v>108</v>
      </c>
      <c r="D916" s="59" t="s">
        <v>241</v>
      </c>
      <c r="F916" s="156" t="s">
        <v>4970</v>
      </c>
      <c r="G916" s="156" t="s">
        <v>4971</v>
      </c>
      <c r="H916" s="156" t="s">
        <v>242</v>
      </c>
      <c r="I916" s="149">
        <v>45664.0</v>
      </c>
      <c r="J916" s="149">
        <v>45692.0</v>
      </c>
      <c r="K916" s="434" t="s">
        <v>4972</v>
      </c>
      <c r="L916" s="65" t="s">
        <v>4713</v>
      </c>
      <c r="M916" s="156" t="s">
        <v>4973</v>
      </c>
      <c r="N916" s="156" t="s">
        <v>4974</v>
      </c>
      <c r="O916" s="65"/>
      <c r="P916" s="156" t="str">
        <f t="shared" si="37"/>
        <v>10.1177--0956797616674999.pdf</v>
      </c>
      <c r="Q916" s="49" t="str">
        <f t="array" ref="Q916"> if(iserror(MATCH(V916, 'File Links'!C:C, 0)), "N/A", HYPERLINK(INDEX('File Links'!B:B, MATCH(P916, 'File Links'!C:C, 0))))</f>
        <v>https://drive.google.com/file/d/1wVhOcOsRL9M-ypPdSaPRTLv-PLlAWOf1/view?usp=drivesdk</v>
      </c>
      <c r="R916" s="156" t="s">
        <v>3646</v>
      </c>
      <c r="S916" s="156" t="s">
        <v>3647</v>
      </c>
      <c r="T916" s="120" t="s">
        <v>4975</v>
      </c>
      <c r="U916" s="153">
        <v>1.0</v>
      </c>
      <c r="V916" s="195" t="str">
        <f t="shared" ref="V916:V947" si="50"> hyperlink(vlookup(lower(S916),#REF!, 2, FALSE), SUBSTITUTE(lower(S916), "/", "--") &amp;  ".pdf")</f>
        <v>10.1098--rsos.231240.pdf</v>
      </c>
      <c r="W916" s="156" t="s">
        <v>3719</v>
      </c>
      <c r="X916" s="51" t="str">
        <f t="array" ref="X916"> if(iserror(MATCH(V916, 'File Links'!C:C, 0)), "N/A", HYPERLINK(INDEX('File Links'!B:B, MATCH(V916, 'File Links'!C:C, 0))))</f>
        <v>https://drive.google.com/file/d/17gaf2Zy_ljFfcAEDk5L8GBnTl5i7RGJE/view?usp=drivesdk</v>
      </c>
      <c r="Y916" s="65"/>
      <c r="Z916" s="156" t="s">
        <v>219</v>
      </c>
      <c r="AA916" s="1112" t="s">
        <v>4186</v>
      </c>
      <c r="AB916" s="1112" t="s">
        <v>4976</v>
      </c>
      <c r="AC916" s="1112" t="s">
        <v>4977</v>
      </c>
      <c r="AD916" s="156" t="s">
        <v>4978</v>
      </c>
      <c r="AE916" s="153">
        <v>13.0</v>
      </c>
      <c r="AF916" s="153">
        <v>234.0</v>
      </c>
      <c r="AG916" s="153">
        <v>0.26</v>
      </c>
      <c r="AH916" s="156" t="s">
        <v>132</v>
      </c>
      <c r="AI916" s="156" t="s">
        <v>429</v>
      </c>
      <c r="AJ916" s="126">
        <v>0.05</v>
      </c>
      <c r="AK916" s="126" t="s">
        <v>128</v>
      </c>
      <c r="AL916" s="156" t="s">
        <v>179</v>
      </c>
      <c r="AM916" s="148" t="s">
        <v>130</v>
      </c>
      <c r="AN916" s="126" t="s">
        <v>131</v>
      </c>
      <c r="AO916" s="153">
        <v>43.0</v>
      </c>
      <c r="AP916" s="153">
        <v>0.603040513083647</v>
      </c>
      <c r="AQ916" s="156" t="s">
        <v>166</v>
      </c>
      <c r="AR916" s="1150" t="s">
        <v>4113</v>
      </c>
      <c r="AS916" s="1058">
        <f>3.33*10^-4</f>
        <v>0.000333</v>
      </c>
      <c r="AT916" s="156" t="s">
        <v>165</v>
      </c>
      <c r="AU916" s="156" t="s">
        <v>179</v>
      </c>
      <c r="AV916" s="148" t="s">
        <v>130</v>
      </c>
      <c r="AW916" s="65"/>
      <c r="AX916" s="156" t="s">
        <v>136</v>
      </c>
      <c r="AZ916" s="65" t="s">
        <v>146</v>
      </c>
      <c r="BB916" s="89"/>
      <c r="BC916" s="89"/>
      <c r="BD916" s="89"/>
      <c r="BE916" s="89"/>
      <c r="BF916" s="89"/>
      <c r="BG916" s="89"/>
      <c r="BH916" s="89"/>
      <c r="BI916" s="89"/>
      <c r="BJ916" s="89"/>
      <c r="BK916" s="89"/>
      <c r="BL916" s="89"/>
      <c r="BM916" s="89"/>
      <c r="BN916" s="89"/>
      <c r="BO916" s="89"/>
      <c r="BP916" s="89"/>
      <c r="BQ916" s="89"/>
      <c r="BR916" s="89"/>
      <c r="BS916" s="89"/>
      <c r="BT916" s="89"/>
      <c r="BU916" s="89"/>
      <c r="BV916" s="89"/>
      <c r="BW916" s="89"/>
      <c r="BX916" s="89"/>
      <c r="BY916" s="89"/>
      <c r="BZ916" s="89"/>
      <c r="CA916" s="89"/>
      <c r="CB916" s="89"/>
      <c r="CC916" s="89"/>
      <c r="CD916" s="89"/>
      <c r="CE916" s="89"/>
      <c r="CF916" s="89"/>
      <c r="CG916" s="89"/>
      <c r="CH916" s="89"/>
      <c r="CI916" s="89"/>
      <c r="CJ916" s="89"/>
      <c r="CK916" s="89"/>
      <c r="CL916" s="89"/>
      <c r="CM916" s="89"/>
      <c r="CN916" s="89"/>
      <c r="CO916" s="89"/>
      <c r="CP916" s="89"/>
      <c r="CQ916" s="89"/>
      <c r="CR916" s="89"/>
      <c r="CS916" s="89"/>
      <c r="CT916" s="89"/>
      <c r="CU916" s="89"/>
      <c r="CV916" s="89"/>
      <c r="CW916" s="89"/>
      <c r="CX916" s="89"/>
      <c r="CY916" s="89"/>
      <c r="CZ916" s="89"/>
      <c r="DA916" s="89"/>
      <c r="DB916" s="89"/>
      <c r="DC916" s="89"/>
      <c r="DD916" s="89"/>
      <c r="DE916" s="89"/>
      <c r="DF916" s="89"/>
      <c r="DG916" s="89"/>
      <c r="DH916" s="89"/>
    </row>
    <row r="917" ht="18.75" customHeight="1">
      <c r="A917" s="41">
        <v>917.0</v>
      </c>
      <c r="B917" s="126" t="s">
        <v>145</v>
      </c>
      <c r="C917" s="59" t="s">
        <v>108</v>
      </c>
      <c r="D917" s="59" t="s">
        <v>241</v>
      </c>
      <c r="F917" s="156" t="s">
        <v>4970</v>
      </c>
      <c r="G917" s="156" t="s">
        <v>4979</v>
      </c>
      <c r="H917" s="156" t="s">
        <v>242</v>
      </c>
      <c r="I917" s="149">
        <v>45664.0</v>
      </c>
      <c r="J917" s="149">
        <v>45692.0</v>
      </c>
      <c r="K917" s="434" t="s">
        <v>4980</v>
      </c>
      <c r="L917" s="65" t="s">
        <v>4713</v>
      </c>
      <c r="M917" s="156" t="s">
        <v>4973</v>
      </c>
      <c r="N917" s="156" t="s">
        <v>4974</v>
      </c>
      <c r="O917" s="65"/>
      <c r="P917" s="156" t="str">
        <f t="shared" si="37"/>
        <v>10.1177--0956797616674999.pdf</v>
      </c>
      <c r="Q917" s="49" t="str">
        <f t="array" ref="Q917"> if(iserror(MATCH(V917, 'File Links'!C:C, 0)), "N/A", HYPERLINK(INDEX('File Links'!B:B, MATCH(P917, 'File Links'!C:C, 0))))</f>
        <v>https://drive.google.com/file/d/1wVhOcOsRL9M-ypPdSaPRTLv-PLlAWOf1/view?usp=drivesdk</v>
      </c>
      <c r="R917" s="156" t="s">
        <v>3646</v>
      </c>
      <c r="S917" s="156" t="s">
        <v>3647</v>
      </c>
      <c r="T917" s="120" t="s">
        <v>4981</v>
      </c>
      <c r="U917" s="153">
        <v>1.0</v>
      </c>
      <c r="V917" s="195" t="str">
        <f t="shared" si="50"/>
        <v>10.1098--rsos.231240.pdf</v>
      </c>
      <c r="W917" s="156" t="s">
        <v>3719</v>
      </c>
      <c r="X917" s="51" t="str">
        <f t="array" ref="X917"> if(iserror(MATCH(V917, 'File Links'!C:C, 0)), "N/A", HYPERLINK(INDEX('File Links'!B:B, MATCH(V917, 'File Links'!C:C, 0))))</f>
        <v>https://drive.google.com/file/d/17gaf2Zy_ljFfcAEDk5L8GBnTl5i7RGJE/view?usp=drivesdk</v>
      </c>
      <c r="Y917" s="65"/>
      <c r="Z917" s="156" t="s">
        <v>219</v>
      </c>
      <c r="AA917" s="1112" t="s">
        <v>4186</v>
      </c>
      <c r="AB917" s="1112" t="s">
        <v>4976</v>
      </c>
      <c r="AC917" s="1112" t="s">
        <v>4977</v>
      </c>
      <c r="AD917" s="156" t="s">
        <v>4982</v>
      </c>
      <c r="AE917" s="153">
        <v>8.0</v>
      </c>
      <c r="AF917" s="153">
        <v>229.0</v>
      </c>
      <c r="AG917" s="153">
        <v>0.31</v>
      </c>
      <c r="AH917" s="156" t="s">
        <v>132</v>
      </c>
      <c r="AI917" s="156" t="s">
        <v>606</v>
      </c>
      <c r="AJ917" s="126">
        <v>0.05</v>
      </c>
      <c r="AK917" s="126" t="s">
        <v>128</v>
      </c>
      <c r="AL917" s="156" t="s">
        <v>179</v>
      </c>
      <c r="AM917" s="148" t="s">
        <v>130</v>
      </c>
      <c r="AN917" s="126" t="s">
        <v>131</v>
      </c>
      <c r="AO917" s="153">
        <v>29.0</v>
      </c>
      <c r="AP917" s="158" t="s">
        <v>4983</v>
      </c>
      <c r="AQ917" s="148" t="s">
        <v>127</v>
      </c>
      <c r="AR917" s="1150" t="s">
        <v>4113</v>
      </c>
      <c r="AS917" s="1058">
        <f>1.4*10^-4</f>
        <v>0.00014</v>
      </c>
      <c r="AT917" s="156" t="s">
        <v>165</v>
      </c>
      <c r="AU917" s="156" t="s">
        <v>179</v>
      </c>
      <c r="AV917" s="148" t="s">
        <v>130</v>
      </c>
      <c r="AW917" s="65"/>
      <c r="AX917" s="156" t="s">
        <v>136</v>
      </c>
      <c r="AZ917" s="65" t="s">
        <v>146</v>
      </c>
      <c r="BB917" s="89"/>
      <c r="BC917" s="89"/>
      <c r="BD917" s="89"/>
      <c r="BE917" s="89"/>
      <c r="BF917" s="89"/>
      <c r="BG917" s="89"/>
      <c r="BH917" s="89"/>
      <c r="BI917" s="89"/>
      <c r="BJ917" s="89"/>
      <c r="BK917" s="89"/>
      <c r="BL917" s="89"/>
      <c r="BM917" s="89"/>
      <c r="BN917" s="89"/>
      <c r="BO917" s="89"/>
      <c r="BP917" s="89"/>
      <c r="BQ917" s="89"/>
      <c r="BR917" s="89"/>
      <c r="BS917" s="89"/>
      <c r="BT917" s="89"/>
      <c r="BU917" s="89"/>
      <c r="BV917" s="89"/>
      <c r="BW917" s="89"/>
      <c r="BX917" s="89"/>
      <c r="BY917" s="89"/>
      <c r="BZ917" s="89"/>
      <c r="CA917" s="89"/>
      <c r="CB917" s="89"/>
      <c r="CC917" s="89"/>
      <c r="CD917" s="89"/>
      <c r="CE917" s="89"/>
      <c r="CF917" s="89"/>
      <c r="CG917" s="89"/>
      <c r="CH917" s="89"/>
      <c r="CI917" s="89"/>
      <c r="CJ917" s="89"/>
      <c r="CK917" s="89"/>
      <c r="CL917" s="89"/>
      <c r="CM917" s="89"/>
      <c r="CN917" s="89"/>
      <c r="CO917" s="89"/>
      <c r="CP917" s="89"/>
      <c r="CQ917" s="89"/>
      <c r="CR917" s="89"/>
      <c r="CS917" s="89"/>
      <c r="CT917" s="89"/>
      <c r="CU917" s="89"/>
      <c r="CV917" s="89"/>
      <c r="CW917" s="89"/>
      <c r="CX917" s="89"/>
      <c r="CY917" s="89"/>
      <c r="CZ917" s="89"/>
      <c r="DA917" s="89"/>
      <c r="DB917" s="89"/>
      <c r="DC917" s="89"/>
      <c r="DD917" s="89"/>
      <c r="DE917" s="89"/>
      <c r="DF917" s="89"/>
      <c r="DG917" s="89"/>
      <c r="DH917" s="89"/>
    </row>
    <row r="918" ht="18.75" customHeight="1">
      <c r="A918" s="41">
        <v>918.0</v>
      </c>
      <c r="B918" s="65" t="s">
        <v>107</v>
      </c>
      <c r="C918" s="59" t="s">
        <v>108</v>
      </c>
      <c r="D918" s="59" t="s">
        <v>146</v>
      </c>
      <c r="F918" s="65" t="s">
        <v>4971</v>
      </c>
      <c r="G918" s="156" t="s">
        <v>4970</v>
      </c>
      <c r="H918" s="156" t="s">
        <v>146</v>
      </c>
      <c r="I918" s="149">
        <v>45687.0</v>
      </c>
      <c r="J918" s="149">
        <v>45692.0</v>
      </c>
      <c r="K918" s="65"/>
      <c r="L918" s="65"/>
      <c r="M918" s="156" t="s">
        <v>4973</v>
      </c>
      <c r="N918" s="156" t="s">
        <v>4974</v>
      </c>
      <c r="O918" s="156" t="s">
        <v>4984</v>
      </c>
      <c r="P918" s="156" t="str">
        <f t="shared" si="37"/>
        <v>10.1177--0956797616674999.pdf</v>
      </c>
      <c r="Q918" s="49" t="str">
        <f t="array" ref="Q918"> if(iserror(MATCH(V918, 'File Links'!C:C, 0)), "N/A", HYPERLINK(INDEX('File Links'!B:B, MATCH(P918, 'File Links'!C:C, 0))))</f>
        <v>https://drive.google.com/file/d/1wVhOcOsRL9M-ypPdSaPRTLv-PLlAWOf1/view?usp=drivesdk</v>
      </c>
      <c r="R918" s="156" t="s">
        <v>3646</v>
      </c>
      <c r="S918" s="156" t="s">
        <v>3647</v>
      </c>
      <c r="T918" s="120" t="s">
        <v>4985</v>
      </c>
      <c r="U918" s="153">
        <v>1.0</v>
      </c>
      <c r="V918" s="195" t="str">
        <f t="shared" si="50"/>
        <v>10.1098--rsos.231240.pdf</v>
      </c>
      <c r="W918" s="156" t="s">
        <v>157</v>
      </c>
      <c r="X918" s="51" t="str">
        <f t="array" ref="X918"> if(iserror(MATCH(V918, 'File Links'!C:C, 0)), "N/A", HYPERLINK(INDEX('File Links'!B:B, MATCH(V918, 'File Links'!C:C, 0))))</f>
        <v>https://drive.google.com/file/d/17gaf2Zy_ljFfcAEDk5L8GBnTl5i7RGJE/view?usp=drivesdk</v>
      </c>
      <c r="Y918" s="65"/>
      <c r="Z918" s="156" t="s">
        <v>219</v>
      </c>
      <c r="AA918" s="156" t="s">
        <v>4186</v>
      </c>
      <c r="AB918" s="156" t="s">
        <v>4976</v>
      </c>
      <c r="AC918" s="156" t="s">
        <v>4977</v>
      </c>
      <c r="AD918" s="156" t="s">
        <v>4986</v>
      </c>
      <c r="AE918" s="153">
        <v>9.0</v>
      </c>
      <c r="AF918" s="153">
        <v>234.0</v>
      </c>
      <c r="AG918" s="153">
        <v>-0.04</v>
      </c>
      <c r="AH918" s="153" t="s">
        <v>980</v>
      </c>
      <c r="AI918" s="153" t="s">
        <v>621</v>
      </c>
      <c r="AJ918" s="333">
        <v>0.05</v>
      </c>
      <c r="AK918" s="156" t="s">
        <v>328</v>
      </c>
      <c r="AL918" s="156" t="s">
        <v>179</v>
      </c>
      <c r="AM918" s="148" t="s">
        <v>130</v>
      </c>
      <c r="AN918" s="126" t="s">
        <v>131</v>
      </c>
      <c r="AO918" s="153">
        <v>43.0</v>
      </c>
      <c r="AP918" s="1247" t="s">
        <v>4987</v>
      </c>
      <c r="AQ918" s="153" t="s">
        <v>127</v>
      </c>
      <c r="AR918" s="1248" t="s">
        <v>4988</v>
      </c>
      <c r="AS918" s="153">
        <v>0.05</v>
      </c>
      <c r="AT918" s="156" t="s">
        <v>328</v>
      </c>
      <c r="AU918" s="156" t="s">
        <v>179</v>
      </c>
      <c r="AV918" s="148" t="s">
        <v>130</v>
      </c>
      <c r="AW918" s="65"/>
      <c r="AX918" s="65" t="s">
        <v>136</v>
      </c>
      <c r="AZ918" s="65" t="s">
        <v>146</v>
      </c>
      <c r="BB918" s="89"/>
      <c r="BC918" s="89"/>
      <c r="BD918" s="89"/>
      <c r="BE918" s="89"/>
      <c r="BF918" s="89"/>
      <c r="BG918" s="89"/>
      <c r="BH918" s="89"/>
      <c r="BI918" s="89"/>
      <c r="BJ918" s="89"/>
      <c r="BK918" s="89"/>
      <c r="BL918" s="89"/>
      <c r="BM918" s="89"/>
      <c r="BN918" s="89"/>
      <c r="BO918" s="89"/>
      <c r="BP918" s="89"/>
      <c r="BQ918" s="89"/>
      <c r="BR918" s="89"/>
      <c r="BS918" s="89"/>
      <c r="BT918" s="89"/>
      <c r="BU918" s="89"/>
      <c r="BV918" s="89"/>
      <c r="BW918" s="89"/>
      <c r="BX918" s="89"/>
      <c r="BY918" s="89"/>
      <c r="BZ918" s="89"/>
      <c r="CA918" s="89"/>
      <c r="CB918" s="89"/>
      <c r="CC918" s="89"/>
      <c r="CD918" s="89"/>
      <c r="CE918" s="89"/>
      <c r="CF918" s="89"/>
      <c r="CG918" s="89"/>
      <c r="CH918" s="89"/>
      <c r="CI918" s="89"/>
      <c r="CJ918" s="89"/>
      <c r="CK918" s="89"/>
      <c r="CL918" s="89"/>
      <c r="CM918" s="89"/>
      <c r="CN918" s="89"/>
      <c r="CO918" s="89"/>
      <c r="CP918" s="89"/>
      <c r="CQ918" s="89"/>
      <c r="CR918" s="89"/>
      <c r="CS918" s="89"/>
      <c r="CT918" s="89"/>
      <c r="CU918" s="89"/>
      <c r="CV918" s="89"/>
      <c r="CW918" s="89"/>
      <c r="CX918" s="89"/>
      <c r="CY918" s="89"/>
      <c r="CZ918" s="89"/>
      <c r="DA918" s="89"/>
      <c r="DB918" s="89"/>
      <c r="DC918" s="89"/>
      <c r="DD918" s="89"/>
      <c r="DE918" s="89"/>
      <c r="DF918" s="89"/>
      <c r="DG918" s="89"/>
      <c r="DH918" s="89"/>
    </row>
    <row r="919" ht="18.75" customHeight="1">
      <c r="A919" s="1249">
        <v>919.0</v>
      </c>
      <c r="B919" s="579" t="s">
        <v>107</v>
      </c>
      <c r="C919" s="1250" t="s">
        <v>108</v>
      </c>
      <c r="D919" s="1250" t="s">
        <v>241</v>
      </c>
      <c r="E919" s="1251"/>
      <c r="F919" s="700" t="s">
        <v>4989</v>
      </c>
      <c r="G919" s="700" t="s">
        <v>4990</v>
      </c>
      <c r="H919" s="700" t="s">
        <v>242</v>
      </c>
      <c r="I919" s="1252">
        <v>45672.0</v>
      </c>
      <c r="J919" s="1252">
        <v>45692.0</v>
      </c>
      <c r="K919" s="579"/>
      <c r="L919" s="579"/>
      <c r="M919" s="700" t="s">
        <v>4991</v>
      </c>
      <c r="N919" s="700" t="s">
        <v>4992</v>
      </c>
      <c r="O919" s="579"/>
      <c r="P919" s="700" t="str">
        <f t="shared" si="37"/>
        <v>10.1089--cyber.2016.0530.pdf</v>
      </c>
      <c r="Q919" s="1253" t="str">
        <f t="array" ref="Q919"> if(iserror(MATCH(V919, 'File Links'!C:C, 0)), "N/A", HYPERLINK(INDEX('File Links'!B:B, MATCH(P919, 'File Links'!C:C, 0))))</f>
        <v>https://drive.google.com/file/d/1Z0u77Ei4pPZsjR5reXLadM9xd0tgKrac/view?usp=drivesdk</v>
      </c>
      <c r="R919" s="700" t="s">
        <v>3646</v>
      </c>
      <c r="S919" s="700" t="s">
        <v>3647</v>
      </c>
      <c r="T919" s="579"/>
      <c r="U919" s="1254">
        <v>1.0</v>
      </c>
      <c r="V919" s="700" t="str">
        <f t="shared" si="50"/>
        <v>10.1098--rsos.231240.pdf</v>
      </c>
      <c r="W919" s="700" t="s">
        <v>3658</v>
      </c>
      <c r="X919" s="1255" t="str">
        <f t="array" ref="X919"> if(iserror(MATCH(V919, 'File Links'!C:C, 0)), "N/A", HYPERLINK(INDEX('File Links'!B:B, MATCH(V919, 'File Links'!C:C, 0))))</f>
        <v>https://drive.google.com/file/d/17gaf2Zy_ljFfcAEDk5L8GBnTl5i7RGJE/view?usp=drivesdk</v>
      </c>
      <c r="Y919" s="579"/>
      <c r="Z919" s="700" t="s">
        <v>219</v>
      </c>
      <c r="AA919" s="579"/>
      <c r="AB919" s="700" t="s">
        <v>3841</v>
      </c>
      <c r="AC919" s="579"/>
      <c r="AD919" s="700" t="s">
        <v>4993</v>
      </c>
      <c r="AE919" s="1254">
        <v>338.0</v>
      </c>
      <c r="AF919" s="1254">
        <v>128.0</v>
      </c>
      <c r="AG919" s="1256" t="s">
        <v>4994</v>
      </c>
      <c r="AH919" s="410" t="s">
        <v>127</v>
      </c>
      <c r="AI919" s="700" t="s">
        <v>4995</v>
      </c>
      <c r="AJ919" s="1254">
        <v>0.003</v>
      </c>
      <c r="AK919" s="700" t="s">
        <v>165</v>
      </c>
      <c r="AL919" s="700" t="s">
        <v>179</v>
      </c>
      <c r="AM919" s="700" t="s">
        <v>134</v>
      </c>
      <c r="AN919" s="1257" t="s">
        <v>131</v>
      </c>
      <c r="AO919" s="1254">
        <v>56.0</v>
      </c>
      <c r="AP919" s="1258">
        <v>0.247796849633978</v>
      </c>
      <c r="AQ919" s="700" t="s">
        <v>166</v>
      </c>
      <c r="AR919" s="579"/>
      <c r="AS919" s="1258">
        <v>0.33715549846412</v>
      </c>
      <c r="AT919" s="700" t="s">
        <v>165</v>
      </c>
      <c r="AU919" s="700" t="s">
        <v>179</v>
      </c>
      <c r="AV919" s="700" t="s">
        <v>134</v>
      </c>
      <c r="AW919" s="1257" t="s">
        <v>131</v>
      </c>
      <c r="AX919" s="700" t="s">
        <v>136</v>
      </c>
      <c r="AY919" s="1251"/>
      <c r="AZ919" s="1257" t="s">
        <v>3756</v>
      </c>
      <c r="BA919" s="1251"/>
      <c r="BB919" s="1251"/>
      <c r="BC919" s="1251"/>
      <c r="BD919" s="1251"/>
      <c r="BE919" s="1251"/>
      <c r="BF919" s="1251"/>
      <c r="BG919" s="1251"/>
      <c r="BH919" s="1251"/>
      <c r="BI919" s="1251"/>
      <c r="BJ919" s="1251"/>
      <c r="BK919" s="1251"/>
      <c r="BL919" s="1251"/>
      <c r="BM919" s="1251"/>
      <c r="BN919" s="1251"/>
      <c r="BO919" s="1251"/>
      <c r="BP919" s="1251"/>
      <c r="BQ919" s="1251"/>
      <c r="BR919" s="1251"/>
      <c r="BS919" s="1251"/>
      <c r="BT919" s="1251"/>
      <c r="BU919" s="1251"/>
      <c r="BV919" s="1251"/>
      <c r="BW919" s="1251"/>
      <c r="BX919" s="1251"/>
      <c r="BY919" s="1251"/>
      <c r="BZ919" s="1251"/>
      <c r="CA919" s="1251"/>
      <c r="CB919" s="1251"/>
      <c r="CC919" s="1251"/>
      <c r="CD919" s="1251"/>
      <c r="CE919" s="1251"/>
      <c r="CF919" s="1251"/>
      <c r="CG919" s="1251"/>
      <c r="CH919" s="1251"/>
      <c r="CI919" s="1251"/>
      <c r="CJ919" s="1251"/>
      <c r="CK919" s="1251"/>
      <c r="CL919" s="1251"/>
      <c r="CM919" s="1251"/>
      <c r="CN919" s="1251"/>
      <c r="CO919" s="1251"/>
      <c r="CP919" s="1251"/>
      <c r="CQ919" s="1251"/>
      <c r="CR919" s="1251"/>
      <c r="CS919" s="1251"/>
      <c r="CT919" s="1251"/>
      <c r="CU919" s="1251"/>
      <c r="CV919" s="1251"/>
      <c r="CW919" s="1251"/>
      <c r="CX919" s="1251"/>
      <c r="CY919" s="1251"/>
      <c r="CZ919" s="1251"/>
      <c r="DA919" s="1251"/>
      <c r="DB919" s="1251"/>
      <c r="DC919" s="1251"/>
      <c r="DD919" s="1251"/>
      <c r="DE919" s="1251"/>
      <c r="DF919" s="1251"/>
      <c r="DG919" s="1251"/>
      <c r="DH919" s="1251"/>
    </row>
    <row r="920" ht="18.75" customHeight="1">
      <c r="A920" s="1249">
        <v>920.0</v>
      </c>
      <c r="B920" s="126" t="s">
        <v>145</v>
      </c>
      <c r="C920" s="1250" t="s">
        <v>108</v>
      </c>
      <c r="D920" s="1250" t="s">
        <v>146</v>
      </c>
      <c r="E920" s="1251"/>
      <c r="F920" s="579" t="s">
        <v>4990</v>
      </c>
      <c r="G920" s="700" t="s">
        <v>4996</v>
      </c>
      <c r="H920" s="700" t="s">
        <v>146</v>
      </c>
      <c r="I920" s="1252">
        <v>45687.0</v>
      </c>
      <c r="J920" s="1252">
        <v>45692.0</v>
      </c>
      <c r="K920" s="1259" t="s">
        <v>4997</v>
      </c>
      <c r="L920" s="579"/>
      <c r="M920" s="700" t="s">
        <v>4991</v>
      </c>
      <c r="N920" s="700" t="s">
        <v>4992</v>
      </c>
      <c r="O920" s="1254">
        <v>2.0</v>
      </c>
      <c r="P920" s="700" t="str">
        <f t="shared" si="37"/>
        <v>10.1089--cyber.2016.0530.pdf</v>
      </c>
      <c r="Q920" s="1253" t="str">
        <f t="array" ref="Q920"> if(iserror(MATCH(V920, 'File Links'!C:C, 0)), "N/A", HYPERLINK(INDEX('File Links'!B:B, MATCH(P920, 'File Links'!C:C, 0))))</f>
        <v>https://drive.google.com/file/d/1Z0u77Ei4pPZsjR5reXLadM9xd0tgKrac/view?usp=drivesdk</v>
      </c>
      <c r="R920" s="700" t="s">
        <v>3646</v>
      </c>
      <c r="S920" s="700" t="s">
        <v>3647</v>
      </c>
      <c r="T920" s="1260" t="s">
        <v>4998</v>
      </c>
      <c r="U920" s="1254">
        <v>1.0</v>
      </c>
      <c r="V920" s="700" t="str">
        <f t="shared" si="50"/>
        <v>10.1098--rsos.231240.pdf</v>
      </c>
      <c r="W920" s="700" t="s">
        <v>3664</v>
      </c>
      <c r="X920" s="1255" t="str">
        <f t="array" ref="X920"> if(iserror(MATCH(V920, 'File Links'!C:C, 0)), "N/A", HYPERLINK(INDEX('File Links'!B:B, MATCH(V920, 'File Links'!C:C, 0))))</f>
        <v>https://drive.google.com/file/d/17gaf2Zy_ljFfcAEDk5L8GBnTl5i7RGJE/view?usp=drivesdk</v>
      </c>
      <c r="Y920" s="579"/>
      <c r="Z920" s="700" t="s">
        <v>219</v>
      </c>
      <c r="AA920" s="700" t="s">
        <v>4999</v>
      </c>
      <c r="AB920" s="700" t="s">
        <v>5000</v>
      </c>
      <c r="AC920" s="700" t="s">
        <v>5001</v>
      </c>
      <c r="AD920" s="700" t="s">
        <v>5002</v>
      </c>
      <c r="AE920" s="1254">
        <v>5.0</v>
      </c>
      <c r="AF920" s="1254">
        <v>128.0</v>
      </c>
      <c r="AG920" s="1254">
        <v>0.018</v>
      </c>
      <c r="AH920" s="1254" t="s">
        <v>867</v>
      </c>
      <c r="AI920" s="1254" t="s">
        <v>806</v>
      </c>
      <c r="AJ920" s="1254">
        <v>0.134</v>
      </c>
      <c r="AK920" s="700" t="s">
        <v>165</v>
      </c>
      <c r="AL920" s="700" t="s">
        <v>179</v>
      </c>
      <c r="AM920" s="700" t="s">
        <v>134</v>
      </c>
      <c r="AN920" s="1257" t="s">
        <v>131</v>
      </c>
      <c r="AO920" s="1254">
        <v>56.0</v>
      </c>
      <c r="AP920" s="1254">
        <v>-0.012222</v>
      </c>
      <c r="AQ920" s="1254" t="s">
        <v>980</v>
      </c>
      <c r="AR920" s="1261" t="s">
        <v>5003</v>
      </c>
      <c r="AS920" s="1262" t="s">
        <v>131</v>
      </c>
      <c r="AT920" s="410" t="s">
        <v>131</v>
      </c>
      <c r="AU920" s="700" t="s">
        <v>179</v>
      </c>
      <c r="AV920" s="700" t="s">
        <v>134</v>
      </c>
      <c r="AW920" s="1257" t="s">
        <v>131</v>
      </c>
      <c r="AX920" s="579" t="s">
        <v>136</v>
      </c>
      <c r="AY920" s="1251"/>
      <c r="AZ920" s="1257" t="s">
        <v>3756</v>
      </c>
      <c r="BA920" s="1251"/>
      <c r="BB920" s="1251"/>
      <c r="BC920" s="1251"/>
      <c r="BD920" s="1251"/>
      <c r="BE920" s="1251"/>
      <c r="BF920" s="1251"/>
      <c r="BG920" s="1251"/>
      <c r="BH920" s="1251"/>
      <c r="BI920" s="1251"/>
      <c r="BJ920" s="1251"/>
      <c r="BK920" s="1251"/>
      <c r="BL920" s="1251"/>
      <c r="BM920" s="1251"/>
      <c r="BN920" s="1251"/>
      <c r="BO920" s="1251"/>
      <c r="BP920" s="1251"/>
      <c r="BQ920" s="1251"/>
      <c r="BR920" s="1251"/>
      <c r="BS920" s="1251"/>
      <c r="BT920" s="1251"/>
      <c r="BU920" s="1251"/>
      <c r="BV920" s="1251"/>
      <c r="BW920" s="1251"/>
      <c r="BX920" s="1251"/>
      <c r="BY920" s="1251"/>
      <c r="BZ920" s="1251"/>
      <c r="CA920" s="1251"/>
      <c r="CB920" s="1251"/>
      <c r="CC920" s="1251"/>
      <c r="CD920" s="1251"/>
      <c r="CE920" s="1251"/>
      <c r="CF920" s="1251"/>
      <c r="CG920" s="1251"/>
      <c r="CH920" s="1251"/>
      <c r="CI920" s="1251"/>
      <c r="CJ920" s="1251"/>
      <c r="CK920" s="1251"/>
      <c r="CL920" s="1251"/>
      <c r="CM920" s="1251"/>
      <c r="CN920" s="1251"/>
      <c r="CO920" s="1251"/>
      <c r="CP920" s="1251"/>
      <c r="CQ920" s="1251"/>
      <c r="CR920" s="1251"/>
      <c r="CS920" s="1251"/>
      <c r="CT920" s="1251"/>
      <c r="CU920" s="1251"/>
      <c r="CV920" s="1251"/>
      <c r="CW920" s="1251"/>
      <c r="CX920" s="1251"/>
      <c r="CY920" s="1251"/>
      <c r="CZ920" s="1251"/>
      <c r="DA920" s="1251"/>
      <c r="DB920" s="1251"/>
      <c r="DC920" s="1251"/>
      <c r="DD920" s="1251"/>
      <c r="DE920" s="1251"/>
      <c r="DF920" s="1251"/>
      <c r="DG920" s="1251"/>
      <c r="DH920" s="1251"/>
    </row>
    <row r="921" ht="18.75" customHeight="1">
      <c r="A921" s="1249">
        <v>921.0</v>
      </c>
      <c r="B921" s="126" t="s">
        <v>145</v>
      </c>
      <c r="C921" s="1250" t="s">
        <v>108</v>
      </c>
      <c r="D921" s="1250" t="s">
        <v>146</v>
      </c>
      <c r="E921" s="1251"/>
      <c r="F921" s="579" t="s">
        <v>4990</v>
      </c>
      <c r="G921" s="700" t="s">
        <v>5004</v>
      </c>
      <c r="H921" s="700" t="s">
        <v>146</v>
      </c>
      <c r="I921" s="1252">
        <v>45687.0</v>
      </c>
      <c r="J921" s="1252">
        <v>45692.0</v>
      </c>
      <c r="K921" s="1259" t="s">
        <v>5005</v>
      </c>
      <c r="L921" s="579"/>
      <c r="M921" s="700" t="s">
        <v>4991</v>
      </c>
      <c r="N921" s="700" t="s">
        <v>4992</v>
      </c>
      <c r="O921" s="1254">
        <v>2.0</v>
      </c>
      <c r="P921" s="700" t="str">
        <f t="shared" si="37"/>
        <v>10.1089--cyber.2016.0530.pdf</v>
      </c>
      <c r="Q921" s="1253" t="str">
        <f t="array" ref="Q921"> if(iserror(MATCH(V921, 'File Links'!C:C, 0)), "N/A", HYPERLINK(INDEX('File Links'!B:B, MATCH(P921, 'File Links'!C:C, 0))))</f>
        <v>https://drive.google.com/file/d/1Z0u77Ei4pPZsjR5reXLadM9xd0tgKrac/view?usp=drivesdk</v>
      </c>
      <c r="R921" s="700" t="s">
        <v>3646</v>
      </c>
      <c r="S921" s="700" t="s">
        <v>3647</v>
      </c>
      <c r="T921" s="1260" t="s">
        <v>4998</v>
      </c>
      <c r="U921" s="1254">
        <v>1.0</v>
      </c>
      <c r="V921" s="700" t="str">
        <f t="shared" si="50"/>
        <v>10.1098--rsos.231240.pdf</v>
      </c>
      <c r="W921" s="700" t="s">
        <v>3664</v>
      </c>
      <c r="X921" s="1255" t="str">
        <f t="array" ref="X921"> if(iserror(MATCH(V921, 'File Links'!C:C, 0)), "N/A", HYPERLINK(INDEX('File Links'!B:B, MATCH(V921, 'File Links'!C:C, 0))))</f>
        <v>https://drive.google.com/file/d/17gaf2Zy_ljFfcAEDk5L8GBnTl5i7RGJE/view?usp=drivesdk</v>
      </c>
      <c r="Y921" s="579"/>
      <c r="Z921" s="700" t="s">
        <v>219</v>
      </c>
      <c r="AA921" s="700" t="s">
        <v>4999</v>
      </c>
      <c r="AB921" s="700" t="s">
        <v>5000</v>
      </c>
      <c r="AC921" s="700" t="s">
        <v>5006</v>
      </c>
      <c r="AD921" s="700" t="s">
        <v>5007</v>
      </c>
      <c r="AE921" s="1263">
        <v>5.0</v>
      </c>
      <c r="AF921" s="1254">
        <v>128.0</v>
      </c>
      <c r="AG921" s="1263">
        <v>0.002</v>
      </c>
      <c r="AH921" s="1254" t="s">
        <v>867</v>
      </c>
      <c r="AI921" s="1263" t="s">
        <v>806</v>
      </c>
      <c r="AJ921" s="1263">
        <v>0.609</v>
      </c>
      <c r="AK921" s="700" t="s">
        <v>165</v>
      </c>
      <c r="AL921" s="700" t="s">
        <v>179</v>
      </c>
      <c r="AM921" s="700" t="s">
        <v>134</v>
      </c>
      <c r="AN921" s="1257" t="s">
        <v>131</v>
      </c>
      <c r="AO921" s="1254">
        <v>56.0</v>
      </c>
      <c r="AP921" s="1264">
        <v>0.004395</v>
      </c>
      <c r="AQ921" s="1254" t="s">
        <v>980</v>
      </c>
      <c r="AR921" s="1261" t="s">
        <v>5008</v>
      </c>
      <c r="AS921" s="1262" t="s">
        <v>131</v>
      </c>
      <c r="AT921" s="410" t="s">
        <v>131</v>
      </c>
      <c r="AU921" s="700" t="s">
        <v>179</v>
      </c>
      <c r="AV921" s="700" t="s">
        <v>134</v>
      </c>
      <c r="AW921" s="1257" t="s">
        <v>131</v>
      </c>
      <c r="AX921" s="579" t="s">
        <v>136</v>
      </c>
      <c r="AY921" s="1251"/>
      <c r="AZ921" s="1257" t="s">
        <v>3756</v>
      </c>
      <c r="BA921" s="1251"/>
      <c r="BB921" s="1251"/>
      <c r="BC921" s="1251"/>
      <c r="BD921" s="1251"/>
      <c r="BE921" s="1251"/>
      <c r="BF921" s="1251"/>
      <c r="BG921" s="1251"/>
      <c r="BH921" s="1251"/>
      <c r="BI921" s="1251"/>
      <c r="BJ921" s="1251"/>
      <c r="BK921" s="1251"/>
      <c r="BL921" s="1251"/>
      <c r="BM921" s="1251"/>
      <c r="BN921" s="1251"/>
      <c r="BO921" s="1251"/>
      <c r="BP921" s="1251"/>
      <c r="BQ921" s="1251"/>
      <c r="BR921" s="1251"/>
      <c r="BS921" s="1251"/>
      <c r="BT921" s="1251"/>
      <c r="BU921" s="1251"/>
      <c r="BV921" s="1251"/>
      <c r="BW921" s="1251"/>
      <c r="BX921" s="1251"/>
      <c r="BY921" s="1251"/>
      <c r="BZ921" s="1251"/>
      <c r="CA921" s="1251"/>
      <c r="CB921" s="1251"/>
      <c r="CC921" s="1251"/>
      <c r="CD921" s="1251"/>
      <c r="CE921" s="1251"/>
      <c r="CF921" s="1251"/>
      <c r="CG921" s="1251"/>
      <c r="CH921" s="1251"/>
      <c r="CI921" s="1251"/>
      <c r="CJ921" s="1251"/>
      <c r="CK921" s="1251"/>
      <c r="CL921" s="1251"/>
      <c r="CM921" s="1251"/>
      <c r="CN921" s="1251"/>
      <c r="CO921" s="1251"/>
      <c r="CP921" s="1251"/>
      <c r="CQ921" s="1251"/>
      <c r="CR921" s="1251"/>
      <c r="CS921" s="1251"/>
      <c r="CT921" s="1251"/>
      <c r="CU921" s="1251"/>
      <c r="CV921" s="1251"/>
      <c r="CW921" s="1251"/>
      <c r="CX921" s="1251"/>
      <c r="CY921" s="1251"/>
      <c r="CZ921" s="1251"/>
      <c r="DA921" s="1251"/>
      <c r="DB921" s="1251"/>
      <c r="DC921" s="1251"/>
      <c r="DD921" s="1251"/>
      <c r="DE921" s="1251"/>
      <c r="DF921" s="1251"/>
      <c r="DG921" s="1251"/>
      <c r="DH921" s="1251"/>
    </row>
    <row r="922" ht="18.75" hidden="1" customHeight="1">
      <c r="A922" s="1249">
        <v>922.0</v>
      </c>
      <c r="B922" s="126" t="s">
        <v>145</v>
      </c>
      <c r="C922" s="1250" t="s">
        <v>108</v>
      </c>
      <c r="D922" s="1250" t="s">
        <v>1263</v>
      </c>
      <c r="E922" s="1251"/>
      <c r="F922" s="1265" t="s">
        <v>5009</v>
      </c>
      <c r="G922" s="700" t="s">
        <v>5010</v>
      </c>
      <c r="H922" s="1266" t="s">
        <v>5011</v>
      </c>
      <c r="I922" s="1252">
        <v>45667.0</v>
      </c>
      <c r="J922" s="1267">
        <v>45691.0</v>
      </c>
      <c r="K922" s="700" t="s">
        <v>5012</v>
      </c>
      <c r="L922" s="579"/>
      <c r="M922" s="700" t="s">
        <v>5013</v>
      </c>
      <c r="N922" s="700" t="s">
        <v>5014</v>
      </c>
      <c r="O922" s="1254">
        <v>1.0</v>
      </c>
      <c r="P922" s="700" t="str">
        <f t="shared" si="37"/>
        <v>10.1111--1467-8284.00419.pdf</v>
      </c>
      <c r="Q922" s="1253" t="str">
        <f t="array" ref="Q922"> if(iserror(MATCH(V922, 'File Links'!C:C, 0)), "N/A", HYPERLINK(INDEX('File Links'!B:B, MATCH(P922, 'File Links'!C:C, 0))))</f>
        <v>https://drive.google.com/file/d/10xyzPhQJ8BoXAmXBEBA_mIn8qqh_KbTE/view?usp=drivesdk</v>
      </c>
      <c r="R922" s="1268" t="s">
        <v>5015</v>
      </c>
      <c r="S922" s="1269" t="s">
        <v>5016</v>
      </c>
      <c r="T922" s="1269" t="s">
        <v>5017</v>
      </c>
      <c r="U922" s="1254">
        <v>1.0</v>
      </c>
      <c r="V922" s="700" t="str">
        <f t="shared" si="50"/>
        <v>10.1007--s13164-018-0400-9.pdf</v>
      </c>
      <c r="W922" s="1270" t="s">
        <v>5018</v>
      </c>
      <c r="X922" s="1255" t="str">
        <f t="array" ref="X922"> if(iserror(MATCH(V922, 'File Links'!C:C, 0)), "N/A", HYPERLINK(INDEX('File Links'!B:B, MATCH(V922, 'File Links'!C:C, 0))))</f>
        <v>https://drive.google.com/file/d/1hjI3aqifdfXjWhQAlvKCKKtvjuncAn5M/view?usp=drivesdk</v>
      </c>
      <c r="Y922" s="579"/>
      <c r="Z922" s="700" t="s">
        <v>158</v>
      </c>
      <c r="AA922" s="1271" t="s">
        <v>5019</v>
      </c>
      <c r="AB922" s="1272" t="s">
        <v>5020</v>
      </c>
      <c r="AC922" s="700" t="s">
        <v>5021</v>
      </c>
      <c r="AD922" s="410" t="s">
        <v>5022</v>
      </c>
      <c r="AE922" s="700" t="s">
        <v>5023</v>
      </c>
      <c r="AF922" s="1254">
        <v>78.0</v>
      </c>
      <c r="AG922" s="410" t="s">
        <v>5024</v>
      </c>
      <c r="AH922" s="700" t="s">
        <v>127</v>
      </c>
      <c r="AI922" s="576" t="s">
        <v>210</v>
      </c>
      <c r="AJ922" s="578">
        <v>0.001</v>
      </c>
      <c r="AK922" s="575" t="s">
        <v>128</v>
      </c>
      <c r="AL922" s="700" t="s">
        <v>179</v>
      </c>
      <c r="AM922" s="575" t="s">
        <v>130</v>
      </c>
      <c r="AN922" s="1257" t="s">
        <v>131</v>
      </c>
      <c r="AO922" s="1273">
        <v>100.0</v>
      </c>
      <c r="AP922" s="1273">
        <v>0.61</v>
      </c>
      <c r="AQ922" s="700" t="s">
        <v>264</v>
      </c>
      <c r="AR922" s="1261" t="s">
        <v>5025</v>
      </c>
      <c r="AS922" s="1254">
        <v>0.001</v>
      </c>
      <c r="AT922" s="700" t="s">
        <v>165</v>
      </c>
      <c r="AU922" s="700" t="s">
        <v>179</v>
      </c>
      <c r="AV922" s="700" t="s">
        <v>130</v>
      </c>
      <c r="AW922" s="1257" t="s">
        <v>131</v>
      </c>
      <c r="AX922" s="700" t="s">
        <v>136</v>
      </c>
      <c r="AY922" s="1251"/>
      <c r="AZ922" s="1257" t="s">
        <v>3756</v>
      </c>
      <c r="BA922" s="1251"/>
      <c r="BB922" s="1251"/>
      <c r="BC922" s="1251"/>
      <c r="BD922" s="1251"/>
      <c r="BE922" s="1251"/>
      <c r="BF922" s="1251"/>
      <c r="BG922" s="1251"/>
      <c r="BH922" s="1251"/>
      <c r="BI922" s="1251"/>
      <c r="BJ922" s="1251"/>
      <c r="BK922" s="1251"/>
      <c r="BL922" s="1251"/>
      <c r="BM922" s="1251"/>
      <c r="BN922" s="1251"/>
      <c r="BO922" s="1251"/>
      <c r="BP922" s="1251"/>
      <c r="BQ922" s="1251"/>
      <c r="BR922" s="1251"/>
      <c r="BS922" s="1251"/>
      <c r="BT922" s="1251"/>
      <c r="BU922" s="1251"/>
      <c r="BV922" s="1251"/>
      <c r="BW922" s="1251"/>
      <c r="BX922" s="1251"/>
      <c r="BY922" s="1251"/>
      <c r="BZ922" s="1251"/>
      <c r="CA922" s="1251"/>
      <c r="CB922" s="1251"/>
      <c r="CC922" s="1251"/>
      <c r="CD922" s="1251"/>
      <c r="CE922" s="1251"/>
      <c r="CF922" s="1251"/>
      <c r="CG922" s="1251"/>
      <c r="CH922" s="1251"/>
      <c r="CI922" s="1251"/>
      <c r="CJ922" s="1251"/>
      <c r="CK922" s="1251"/>
      <c r="CL922" s="1251"/>
      <c r="CM922" s="1251"/>
      <c r="CN922" s="1251"/>
      <c r="CO922" s="1251"/>
      <c r="CP922" s="1251"/>
      <c r="CQ922" s="1251"/>
      <c r="CR922" s="1251"/>
      <c r="CS922" s="1251"/>
      <c r="CT922" s="1251"/>
      <c r="CU922" s="1251"/>
      <c r="CV922" s="1251"/>
      <c r="CW922" s="1251"/>
      <c r="CX922" s="1251"/>
      <c r="CY922" s="1251"/>
      <c r="CZ922" s="1251"/>
      <c r="DA922" s="1251"/>
      <c r="DB922" s="1251"/>
      <c r="DC922" s="1251"/>
      <c r="DD922" s="1251"/>
      <c r="DE922" s="1251"/>
      <c r="DF922" s="1251"/>
      <c r="DG922" s="1251"/>
      <c r="DH922" s="1251"/>
    </row>
    <row r="923" ht="18.75" hidden="1" customHeight="1">
      <c r="A923" s="1249">
        <v>923.0</v>
      </c>
      <c r="B923" s="126" t="s">
        <v>145</v>
      </c>
      <c r="C923" s="1250" t="s">
        <v>108</v>
      </c>
      <c r="D923" s="1250" t="s">
        <v>241</v>
      </c>
      <c r="E923" s="1251"/>
      <c r="F923" s="1265" t="s">
        <v>5009</v>
      </c>
      <c r="G923" s="700" t="s">
        <v>5010</v>
      </c>
      <c r="H923" s="1266" t="s">
        <v>242</v>
      </c>
      <c r="I923" s="1252">
        <v>45331.0</v>
      </c>
      <c r="J923" s="1267">
        <v>45691.0</v>
      </c>
      <c r="K923" s="1274" t="s">
        <v>5026</v>
      </c>
      <c r="L923" s="579"/>
      <c r="M923" s="700" t="s">
        <v>5013</v>
      </c>
      <c r="N923" s="1252" t="s">
        <v>5014</v>
      </c>
      <c r="O923" s="1257">
        <v>1.0</v>
      </c>
      <c r="P923" s="1275" t="s">
        <v>5027</v>
      </c>
      <c r="Q923" s="1253" t="str">
        <f t="array" ref="Q923"> if(iserror(MATCH(V923, 'File Links'!C:C, 0)), "N/A", HYPERLINK(INDEX('File Links'!B:B, MATCH(P923, 'File Links'!C:C, 0))))</f>
        <v>https://drive.google.com/file/d/10xyzPhQJ8BoXAmXBEBA_mIn8qqh_KbTE/view?usp=drivesdk</v>
      </c>
      <c r="R923" s="1268" t="s">
        <v>5015</v>
      </c>
      <c r="S923" s="700" t="s">
        <v>5016</v>
      </c>
      <c r="T923" s="579"/>
      <c r="U923" s="1254">
        <v>1.0</v>
      </c>
      <c r="V923" s="700" t="str">
        <f t="shared" si="50"/>
        <v>10.1007--s13164-018-0400-9.pdf</v>
      </c>
      <c r="W923" s="1270" t="s">
        <v>5018</v>
      </c>
      <c r="X923" s="1255" t="str">
        <f t="array" ref="X923"> if(iserror(MATCH(V923, 'File Links'!C:C, 0)), "N/A", HYPERLINK(INDEX('File Links'!B:B, MATCH(V923, 'File Links'!C:C, 0))))</f>
        <v>https://drive.google.com/file/d/1hjI3aqifdfXjWhQAlvKCKKtvjuncAn5M/view?usp=drivesdk</v>
      </c>
      <c r="Y923" s="579"/>
      <c r="Z923" s="1274" t="s">
        <v>158</v>
      </c>
      <c r="AA923" s="1257" t="s">
        <v>131</v>
      </c>
      <c r="AB923" s="1276" t="s">
        <v>5028</v>
      </c>
      <c r="AC923" s="1274" t="s">
        <v>5029</v>
      </c>
      <c r="AD923" s="1277" t="s">
        <v>5030</v>
      </c>
      <c r="AE923" s="700" t="s">
        <v>500</v>
      </c>
      <c r="AF923" s="1278">
        <v>78.0</v>
      </c>
      <c r="AG923" s="410" t="s">
        <v>5024</v>
      </c>
      <c r="AH923" s="700" t="s">
        <v>127</v>
      </c>
      <c r="AI923" s="410" t="s">
        <v>5031</v>
      </c>
      <c r="AJ923" s="1279">
        <v>0.001</v>
      </c>
      <c r="AK923" s="578" t="s">
        <v>128</v>
      </c>
      <c r="AL923" s="1274" t="s">
        <v>179</v>
      </c>
      <c r="AM923" s="1265" t="s">
        <v>130</v>
      </c>
      <c r="AN923" s="1257" t="s">
        <v>131</v>
      </c>
      <c r="AO923" s="1273">
        <v>100.0</v>
      </c>
      <c r="AP923" s="1254">
        <v>0.61</v>
      </c>
      <c r="AQ923" s="700" t="s">
        <v>264</v>
      </c>
      <c r="AR923" s="1261" t="s">
        <v>5032</v>
      </c>
      <c r="AS923" s="1278">
        <v>0.001</v>
      </c>
      <c r="AT923" s="700" t="s">
        <v>165</v>
      </c>
      <c r="AU923" s="1274" t="s">
        <v>179</v>
      </c>
      <c r="AV923" s="1274" t="s">
        <v>130</v>
      </c>
      <c r="AW923" s="1257" t="s">
        <v>131</v>
      </c>
      <c r="AX923" s="1274" t="s">
        <v>136</v>
      </c>
      <c r="AY923" s="1251"/>
      <c r="AZ923" s="1257" t="s">
        <v>3756</v>
      </c>
      <c r="BA923" s="1251"/>
      <c r="BB923" s="1251"/>
      <c r="BC923" s="1251"/>
      <c r="BD923" s="1251"/>
      <c r="BE923" s="1251"/>
      <c r="BF923" s="1251"/>
      <c r="BG923" s="1251"/>
      <c r="BH923" s="1251"/>
      <c r="BI923" s="1251"/>
      <c r="BJ923" s="1251"/>
      <c r="BK923" s="1251"/>
      <c r="BL923" s="1251"/>
      <c r="BM923" s="1251"/>
      <c r="BN923" s="1251"/>
      <c r="BO923" s="1251"/>
      <c r="BP923" s="1251"/>
      <c r="BQ923" s="1251"/>
      <c r="BR923" s="1251"/>
      <c r="BS923" s="1251"/>
      <c r="BT923" s="1251"/>
      <c r="BU923" s="1251"/>
      <c r="BV923" s="1251"/>
      <c r="BW923" s="1251"/>
      <c r="BX923" s="1251"/>
      <c r="BY923" s="1251"/>
      <c r="BZ923" s="1251"/>
      <c r="CA923" s="1251"/>
      <c r="CB923" s="1251"/>
      <c r="CC923" s="1251"/>
      <c r="CD923" s="1251"/>
      <c r="CE923" s="1251"/>
      <c r="CF923" s="1251"/>
      <c r="CG923" s="1251"/>
      <c r="CH923" s="1251"/>
      <c r="CI923" s="1251"/>
      <c r="CJ923" s="1251"/>
      <c r="CK923" s="1251"/>
      <c r="CL923" s="1251"/>
      <c r="CM923" s="1251"/>
      <c r="CN923" s="1251"/>
      <c r="CO923" s="1251"/>
      <c r="CP923" s="1251"/>
      <c r="CQ923" s="1251"/>
      <c r="CR923" s="1251"/>
      <c r="CS923" s="1251"/>
      <c r="CT923" s="1251"/>
      <c r="CU923" s="1251"/>
      <c r="CV923" s="1251"/>
      <c r="CW923" s="1251"/>
      <c r="CX923" s="1251"/>
      <c r="CY923" s="1251"/>
      <c r="CZ923" s="1251"/>
      <c r="DA923" s="1251"/>
      <c r="DB923" s="1251"/>
      <c r="DC923" s="1251"/>
      <c r="DD923" s="1251"/>
      <c r="DE923" s="1251"/>
      <c r="DF923" s="1251"/>
      <c r="DG923" s="1251"/>
      <c r="DH923" s="1251"/>
    </row>
    <row r="924" ht="18.75" customHeight="1">
      <c r="A924" s="1249">
        <v>924.0</v>
      </c>
      <c r="B924" s="126" t="s">
        <v>145</v>
      </c>
      <c r="C924" s="1250" t="s">
        <v>108</v>
      </c>
      <c r="D924" s="1250" t="s">
        <v>146</v>
      </c>
      <c r="E924" s="1251"/>
      <c r="F924" s="579" t="s">
        <v>4990</v>
      </c>
      <c r="G924" s="700" t="s">
        <v>5033</v>
      </c>
      <c r="H924" s="700" t="s">
        <v>146</v>
      </c>
      <c r="I924" s="1252">
        <v>45687.0</v>
      </c>
      <c r="J924" s="1252">
        <v>45692.0</v>
      </c>
      <c r="K924" s="1259" t="s">
        <v>5034</v>
      </c>
      <c r="L924" s="579"/>
      <c r="M924" s="700" t="s">
        <v>4991</v>
      </c>
      <c r="N924" s="700" t="s">
        <v>4992</v>
      </c>
      <c r="O924" s="1254">
        <v>2.0</v>
      </c>
      <c r="P924" s="1271" t="str">
        <f t="shared" ref="P924:P925" si="51">SUBSTITUTE(LOWER(N924), "/", "--") &amp;  ".pdf"</f>
        <v>10.1089--cyber.2016.0530.pdf</v>
      </c>
      <c r="Q924" s="1253" t="str">
        <f t="array" ref="Q924"> if(iserror(MATCH(V924, 'File Links'!C:C, 0)), "N/A", HYPERLINK(INDEX('File Links'!B:B, MATCH(P924, 'File Links'!C:C, 0))))</f>
        <v>https://drive.google.com/file/d/1Z0u77Ei4pPZsjR5reXLadM9xd0tgKrac/view?usp=drivesdk</v>
      </c>
      <c r="R924" s="1271" t="s">
        <v>3646</v>
      </c>
      <c r="S924" s="700" t="s">
        <v>3647</v>
      </c>
      <c r="T924" s="1260" t="s">
        <v>4998</v>
      </c>
      <c r="U924" s="1254">
        <v>1.0</v>
      </c>
      <c r="V924" s="700" t="str">
        <f t="shared" si="50"/>
        <v>10.1098--rsos.231240.pdf</v>
      </c>
      <c r="W924" s="700" t="s">
        <v>3664</v>
      </c>
      <c r="X924" s="1255" t="str">
        <f t="array" ref="X924"> if(iserror(MATCH(V924, 'File Links'!C:C, 0)), "N/A", HYPERLINK(INDEX('File Links'!B:B, MATCH(V924, 'File Links'!C:C, 0))))</f>
        <v>https://drive.google.com/file/d/17gaf2Zy_ljFfcAEDk5L8GBnTl5i7RGJE/view?usp=drivesdk</v>
      </c>
      <c r="Y924" s="579"/>
      <c r="Z924" s="700" t="s">
        <v>219</v>
      </c>
      <c r="AA924" s="700" t="s">
        <v>4999</v>
      </c>
      <c r="AB924" s="700" t="s">
        <v>5000</v>
      </c>
      <c r="AC924" s="700" t="s">
        <v>5035</v>
      </c>
      <c r="AD924" s="700" t="s">
        <v>5036</v>
      </c>
      <c r="AE924" s="1263">
        <v>5.0</v>
      </c>
      <c r="AF924" s="1254">
        <v>128.0</v>
      </c>
      <c r="AG924" s="1263">
        <v>0.066</v>
      </c>
      <c r="AH924" s="1254" t="s">
        <v>867</v>
      </c>
      <c r="AI924" s="1263" t="s">
        <v>806</v>
      </c>
      <c r="AJ924" s="1263">
        <v>0.003</v>
      </c>
      <c r="AK924" s="700" t="s">
        <v>165</v>
      </c>
      <c r="AL924" s="700" t="s">
        <v>179</v>
      </c>
      <c r="AM924" s="700" t="s">
        <v>134</v>
      </c>
      <c r="AN924" s="1257" t="s">
        <v>131</v>
      </c>
      <c r="AO924" s="1280">
        <v>56.0</v>
      </c>
      <c r="AP924" s="1281">
        <v>0.044627</v>
      </c>
      <c r="AQ924" s="1280" t="s">
        <v>980</v>
      </c>
      <c r="AR924" s="1261" t="s">
        <v>5037</v>
      </c>
      <c r="AS924" s="1282">
        <v>0.306</v>
      </c>
      <c r="AT924" s="700" t="s">
        <v>165</v>
      </c>
      <c r="AU924" s="700" t="s">
        <v>179</v>
      </c>
      <c r="AV924" s="700" t="s">
        <v>134</v>
      </c>
      <c r="AW924" s="1257" t="s">
        <v>131</v>
      </c>
      <c r="AX924" s="579" t="s">
        <v>136</v>
      </c>
      <c r="AY924" s="1251"/>
      <c r="AZ924" s="1257" t="s">
        <v>3756</v>
      </c>
      <c r="BA924" s="1251"/>
      <c r="BB924" s="1251"/>
      <c r="BC924" s="1251"/>
      <c r="BD924" s="1251"/>
      <c r="BE924" s="1251"/>
      <c r="BF924" s="1251"/>
      <c r="BG924" s="1251"/>
      <c r="BH924" s="1251"/>
      <c r="BI924" s="1251"/>
      <c r="BJ924" s="1251"/>
      <c r="BK924" s="1251"/>
      <c r="BL924" s="1251"/>
      <c r="BM924" s="1251"/>
      <c r="BN924" s="1251"/>
      <c r="BO924" s="1251"/>
      <c r="BP924" s="1251"/>
      <c r="BQ924" s="1251"/>
      <c r="BR924" s="1251"/>
      <c r="BS924" s="1251"/>
      <c r="BT924" s="1251"/>
      <c r="BU924" s="1251"/>
      <c r="BV924" s="1251"/>
      <c r="BW924" s="1251"/>
      <c r="BX924" s="1251"/>
      <c r="BY924" s="1251"/>
      <c r="BZ924" s="1251"/>
      <c r="CA924" s="1251"/>
      <c r="CB924" s="1251"/>
      <c r="CC924" s="1251"/>
      <c r="CD924" s="1251"/>
      <c r="CE924" s="1251"/>
      <c r="CF924" s="1251"/>
      <c r="CG924" s="1251"/>
      <c r="CH924" s="1251"/>
      <c r="CI924" s="1251"/>
      <c r="CJ924" s="1251"/>
      <c r="CK924" s="1251"/>
      <c r="CL924" s="1251"/>
      <c r="CM924" s="1251"/>
      <c r="CN924" s="1251"/>
      <c r="CO924" s="1251"/>
      <c r="CP924" s="1251"/>
      <c r="CQ924" s="1251"/>
      <c r="CR924" s="1251"/>
      <c r="CS924" s="1251"/>
      <c r="CT924" s="1251"/>
      <c r="CU924" s="1251"/>
      <c r="CV924" s="1251"/>
      <c r="CW924" s="1251"/>
      <c r="CX924" s="1251"/>
      <c r="CY924" s="1251"/>
      <c r="CZ924" s="1251"/>
      <c r="DA924" s="1251"/>
      <c r="DB924" s="1251"/>
      <c r="DC924" s="1251"/>
      <c r="DD924" s="1251"/>
      <c r="DE924" s="1251"/>
      <c r="DF924" s="1251"/>
      <c r="DG924" s="1251"/>
      <c r="DH924" s="1251"/>
    </row>
    <row r="925" ht="18.75" hidden="1" customHeight="1">
      <c r="A925" s="41">
        <v>925.0</v>
      </c>
      <c r="B925" s="152" t="s">
        <v>145</v>
      </c>
      <c r="C925" s="59" t="s">
        <v>108</v>
      </c>
      <c r="D925" s="59" t="s">
        <v>1263</v>
      </c>
      <c r="F925" s="1283" t="s">
        <v>5038</v>
      </c>
      <c r="G925" s="156" t="s">
        <v>5039</v>
      </c>
      <c r="H925" s="1284" t="s">
        <v>5011</v>
      </c>
      <c r="I925" s="149">
        <v>45667.0</v>
      </c>
      <c r="J925" s="1285">
        <v>45691.0</v>
      </c>
      <c r="K925" s="65"/>
      <c r="L925" s="65"/>
      <c r="M925" s="148" t="s">
        <v>5040</v>
      </c>
      <c r="N925" s="156" t="s">
        <v>5041</v>
      </c>
      <c r="O925" s="126">
        <v>1.0</v>
      </c>
      <c r="P925" s="603" t="str">
        <f t="shared" si="51"/>
        <v>10.1163--156853706776931222.pdf</v>
      </c>
      <c r="Q925" s="49" t="str">
        <f t="array" ref="Q925"> if(iserror(MATCH(V925, 'File Links'!C:C, 0)), "N/A", HYPERLINK(INDEX('File Links'!B:B, MATCH(P925, 'File Links'!C:C, 0))))</f>
        <v>https://drive.google.com/file/d/1_KweoGhNrt_00Umu1vsjHfibTm4z9cNE/view?usp=drivesdk</v>
      </c>
      <c r="R925" s="1286" t="s">
        <v>5015</v>
      </c>
      <c r="S925" s="307" t="s">
        <v>5016</v>
      </c>
      <c r="T925" s="307" t="s">
        <v>5017</v>
      </c>
      <c r="U925" s="153">
        <v>1.0</v>
      </c>
      <c r="V925" s="156" t="str">
        <f t="shared" si="50"/>
        <v>10.1007--s13164-018-0400-9.pdf</v>
      </c>
      <c r="W925" s="1287" t="s">
        <v>5018</v>
      </c>
      <c r="X925" s="51" t="str">
        <f t="array" ref="X925"> if(iserror(MATCH(V925, 'File Links'!C:C, 0)), "N/A", HYPERLINK(INDEX('File Links'!B:B, MATCH(V925, 'File Links'!C:C, 0))))</f>
        <v>https://drive.google.com/file/d/1hjI3aqifdfXjWhQAlvKCKKtvjuncAn5M/view?usp=drivesdk</v>
      </c>
      <c r="Y925" s="65"/>
      <c r="Z925" s="156" t="s">
        <v>158</v>
      </c>
      <c r="AA925" s="126" t="s">
        <v>5042</v>
      </c>
      <c r="AB925" s="148" t="s">
        <v>5043</v>
      </c>
      <c r="AC925" s="65"/>
      <c r="AD925" s="156" t="s">
        <v>5044</v>
      </c>
      <c r="AE925" s="156" t="s">
        <v>5045</v>
      </c>
      <c r="AF925" s="153">
        <v>41.0</v>
      </c>
      <c r="AG925" s="1288" t="s">
        <v>5046</v>
      </c>
      <c r="AH925" s="156" t="s">
        <v>127</v>
      </c>
      <c r="AI925" s="336" t="s">
        <v>5047</v>
      </c>
      <c r="AJ925" s="376">
        <v>0.001</v>
      </c>
      <c r="AK925" s="54" t="s">
        <v>128</v>
      </c>
      <c r="AL925" s="156" t="s">
        <v>179</v>
      </c>
      <c r="AM925" s="54" t="s">
        <v>130</v>
      </c>
      <c r="AN925" s="126" t="s">
        <v>131</v>
      </c>
      <c r="AO925" s="153">
        <v>48.0</v>
      </c>
      <c r="AP925" s="1289">
        <v>0.61</v>
      </c>
      <c r="AQ925" s="156" t="s">
        <v>264</v>
      </c>
      <c r="AR925" s="156" t="s">
        <v>5017</v>
      </c>
      <c r="AS925" s="153">
        <v>0.001</v>
      </c>
      <c r="AT925" s="156" t="s">
        <v>128</v>
      </c>
      <c r="AU925" s="156" t="s">
        <v>179</v>
      </c>
      <c r="AV925" s="156" t="s">
        <v>130</v>
      </c>
      <c r="AW925" s="307" t="s">
        <v>5048</v>
      </c>
      <c r="AX925" s="156" t="s">
        <v>136</v>
      </c>
      <c r="AZ925" s="65" t="s">
        <v>242</v>
      </c>
    </row>
    <row r="926" ht="18.75" hidden="1" customHeight="1">
      <c r="A926" s="41">
        <v>926.0</v>
      </c>
      <c r="B926" s="42" t="s">
        <v>107</v>
      </c>
      <c r="C926" s="59" t="s">
        <v>108</v>
      </c>
      <c r="D926" s="59" t="s">
        <v>241</v>
      </c>
      <c r="F926" s="1283" t="s">
        <v>5038</v>
      </c>
      <c r="G926" s="156" t="s">
        <v>5039</v>
      </c>
      <c r="H926" s="1284" t="s">
        <v>242</v>
      </c>
      <c r="I926" s="149">
        <v>45331.0</v>
      </c>
      <c r="J926" s="1285">
        <v>45691.0</v>
      </c>
      <c r="K926" s="151" t="s">
        <v>5049</v>
      </c>
      <c r="L926" s="65"/>
      <c r="M926" s="148" t="s">
        <v>5040</v>
      </c>
      <c r="N926" s="156" t="s">
        <v>5041</v>
      </c>
      <c r="O926" s="126">
        <v>1.0</v>
      </c>
      <c r="P926" s="603" t="s">
        <v>5050</v>
      </c>
      <c r="Q926" s="49" t="str">
        <f t="array" ref="Q926"> if(iserror(MATCH(V926, 'File Links'!C:C, 0)), "N/A", HYPERLINK(INDEX('File Links'!B:B, MATCH(P926, 'File Links'!C:C, 0))))</f>
        <v>https://drive.google.com/file/d/1_KweoGhNrt_00Umu1vsjHfibTm4z9cNE/view?usp=drivesdk</v>
      </c>
      <c r="R926" s="1286" t="s">
        <v>5015</v>
      </c>
      <c r="S926" s="156" t="s">
        <v>5016</v>
      </c>
      <c r="T926" s="65"/>
      <c r="U926" s="153">
        <v>1.0</v>
      </c>
      <c r="V926" s="156" t="str">
        <f t="shared" si="50"/>
        <v>10.1007--s13164-018-0400-9.pdf</v>
      </c>
      <c r="W926" s="1287" t="s">
        <v>5018</v>
      </c>
      <c r="X926" s="51" t="str">
        <f t="array" ref="X926"> if(iserror(MATCH(V926, 'File Links'!C:C, 0)), "N/A", HYPERLINK(INDEX('File Links'!B:B, MATCH(V926, 'File Links'!C:C, 0))))</f>
        <v>https://drive.google.com/file/d/1hjI3aqifdfXjWhQAlvKCKKtvjuncAn5M/view?usp=drivesdk</v>
      </c>
      <c r="Y926" s="65"/>
      <c r="Z926" s="156" t="s">
        <v>158</v>
      </c>
      <c r="AA926" s="126" t="s">
        <v>5042</v>
      </c>
      <c r="AB926" s="156" t="s">
        <v>5028</v>
      </c>
      <c r="AC926" s="65"/>
      <c r="AD926" s="156" t="s">
        <v>5051</v>
      </c>
      <c r="AE926" s="156" t="s">
        <v>2805</v>
      </c>
      <c r="AF926" s="153">
        <v>41.0</v>
      </c>
      <c r="AG926" s="1288" t="s">
        <v>5046</v>
      </c>
      <c r="AH926" s="156" t="s">
        <v>127</v>
      </c>
      <c r="AI926" s="336" t="s">
        <v>5052</v>
      </c>
      <c r="AJ926" s="376">
        <v>0.001</v>
      </c>
      <c r="AK926" s="54" t="s">
        <v>128</v>
      </c>
      <c r="AL926" s="156" t="s">
        <v>179</v>
      </c>
      <c r="AM926" s="1283" t="s">
        <v>130</v>
      </c>
      <c r="AN926" s="126" t="s">
        <v>131</v>
      </c>
      <c r="AO926" s="1289">
        <v>48.0</v>
      </c>
      <c r="AP926" s="153">
        <v>0.61</v>
      </c>
      <c r="AQ926" s="156" t="s">
        <v>264</v>
      </c>
      <c r="AR926" s="156" t="s">
        <v>5053</v>
      </c>
      <c r="AS926" s="153">
        <v>0.001</v>
      </c>
      <c r="AT926" s="156" t="s">
        <v>128</v>
      </c>
      <c r="AU926" s="156" t="s">
        <v>179</v>
      </c>
      <c r="AV926" s="151" t="s">
        <v>130</v>
      </c>
      <c r="AW926" s="1290" t="s">
        <v>5054</v>
      </c>
      <c r="AX926" s="151" t="s">
        <v>136</v>
      </c>
      <c r="AZ926" s="65" t="s">
        <v>242</v>
      </c>
    </row>
    <row r="927" ht="18.75" customHeight="1">
      <c r="A927" s="41">
        <v>927.0</v>
      </c>
      <c r="B927" s="65" t="s">
        <v>107</v>
      </c>
      <c r="C927" s="59" t="s">
        <v>108</v>
      </c>
      <c r="D927" s="59" t="s">
        <v>241</v>
      </c>
      <c r="F927" s="156" t="s">
        <v>5055</v>
      </c>
      <c r="G927" s="156" t="s">
        <v>5056</v>
      </c>
      <c r="H927" s="156" t="s">
        <v>242</v>
      </c>
      <c r="I927" s="149">
        <v>45672.0</v>
      </c>
      <c r="J927" s="149">
        <v>45692.0</v>
      </c>
      <c r="K927" s="65"/>
      <c r="L927" s="65" t="s">
        <v>3683</v>
      </c>
      <c r="M927" s="156" t="s">
        <v>5057</v>
      </c>
      <c r="N927" s="156" t="s">
        <v>5058</v>
      </c>
      <c r="O927" s="65"/>
      <c r="P927" s="603" t="str">
        <f t="shared" ref="P927:P1023" si="52">SUBSTITUTE(LOWER(N927), "/", "--") &amp;  ".pdf"</f>
        <v>10.1111--cogs.12605.pdf</v>
      </c>
      <c r="Q927" s="49" t="str">
        <f t="array" ref="Q927"> if(iserror(MATCH(V927, 'File Links'!C:C, 0)), "N/A", HYPERLINK(INDEX('File Links'!B:B, MATCH(P927, 'File Links'!C:C, 0))))</f>
        <v>https://drive.google.com/file/d/1fqDwT6f6uPiUgL_jMbCxBCBzksaDNMma/view?usp=drivesdk</v>
      </c>
      <c r="R927" s="603" t="s">
        <v>3646</v>
      </c>
      <c r="S927" s="156" t="s">
        <v>3647</v>
      </c>
      <c r="T927" s="65"/>
      <c r="U927" s="153">
        <v>1.0</v>
      </c>
      <c r="V927" s="195" t="str">
        <f t="shared" si="50"/>
        <v>10.1098--rsos.231240.pdf</v>
      </c>
      <c r="W927" s="156" t="s">
        <v>317</v>
      </c>
      <c r="X927" s="51" t="str">
        <f t="array" ref="X927"> if(iserror(MATCH(V927, 'File Links'!C:C, 0)), "N/A", HYPERLINK(INDEX('File Links'!B:B, MATCH(V927, 'File Links'!C:C, 0))))</f>
        <v>https://drive.google.com/file/d/17gaf2Zy_ljFfcAEDk5L8GBnTl5i7RGJE/view?usp=drivesdk</v>
      </c>
      <c r="Y927" s="65"/>
      <c r="Z927" s="156" t="s">
        <v>141</v>
      </c>
      <c r="AA927" s="65"/>
      <c r="AB927" s="65"/>
      <c r="AC927" s="65"/>
      <c r="AD927" s="156" t="s">
        <v>5059</v>
      </c>
      <c r="AE927" s="1056">
        <v>1273.0</v>
      </c>
      <c r="AF927" s="153">
        <v>182.0</v>
      </c>
      <c r="AG927" s="1240">
        <v>163.22</v>
      </c>
      <c r="AH927" s="156" t="s">
        <v>1024</v>
      </c>
      <c r="AI927" s="1057" t="s">
        <v>5060</v>
      </c>
      <c r="AJ927" s="153">
        <v>0.001</v>
      </c>
      <c r="AK927" s="156" t="s">
        <v>128</v>
      </c>
      <c r="AL927" s="156" t="s">
        <v>179</v>
      </c>
      <c r="AM927" s="156" t="s">
        <v>134</v>
      </c>
      <c r="AN927" s="126" t="s">
        <v>131</v>
      </c>
      <c r="AO927" s="153">
        <v>13.0</v>
      </c>
      <c r="AP927" s="1240">
        <v>1.63866476810305</v>
      </c>
      <c r="AQ927" s="156" t="s">
        <v>166</v>
      </c>
      <c r="AR927" s="438" t="s">
        <v>4113</v>
      </c>
      <c r="AS927" s="1243">
        <v>8.29167038817029E-4</v>
      </c>
      <c r="AT927" s="156" t="s">
        <v>165</v>
      </c>
      <c r="AU927" s="156" t="s">
        <v>179</v>
      </c>
      <c r="AV927" s="156" t="s">
        <v>134</v>
      </c>
      <c r="AW927" s="126" t="s">
        <v>131</v>
      </c>
      <c r="AX927" s="156" t="s">
        <v>136</v>
      </c>
      <c r="AZ927" s="65" t="s">
        <v>146</v>
      </c>
      <c r="BA927" s="59" t="s">
        <v>5061</v>
      </c>
    </row>
    <row r="928" ht="18.75" customHeight="1">
      <c r="A928" s="41">
        <v>928.0</v>
      </c>
      <c r="B928" s="126" t="s">
        <v>145</v>
      </c>
      <c r="C928" s="59" t="s">
        <v>108</v>
      </c>
      <c r="D928" s="59" t="s">
        <v>146</v>
      </c>
      <c r="F928" s="65" t="s">
        <v>5056</v>
      </c>
      <c r="G928" s="156" t="s">
        <v>5055</v>
      </c>
      <c r="H928" s="156" t="s">
        <v>146</v>
      </c>
      <c r="I928" s="149">
        <v>45687.0</v>
      </c>
      <c r="J928" s="149">
        <v>45692.0</v>
      </c>
      <c r="K928" s="1052" t="s">
        <v>5062</v>
      </c>
      <c r="L928" s="65"/>
      <c r="M928" s="156" t="s">
        <v>5057</v>
      </c>
      <c r="N928" s="156" t="s">
        <v>5058</v>
      </c>
      <c r="O928" s="153">
        <v>1.0</v>
      </c>
      <c r="P928" s="603" t="str">
        <f t="shared" si="52"/>
        <v>10.1111--cogs.12605.pdf</v>
      </c>
      <c r="Q928" s="49" t="str">
        <f t="array" ref="Q928"> if(iserror(MATCH(V928, 'File Links'!C:C, 0)), "N/A", HYPERLINK(INDEX('File Links'!B:B, MATCH(P928, 'File Links'!C:C, 0))))</f>
        <v>https://drive.google.com/file/d/1fqDwT6f6uPiUgL_jMbCxBCBzksaDNMma/view?usp=drivesdk</v>
      </c>
      <c r="R928" s="603" t="s">
        <v>3646</v>
      </c>
      <c r="S928" s="156" t="s">
        <v>3647</v>
      </c>
      <c r="T928" s="65"/>
      <c r="U928" s="153">
        <v>1.0</v>
      </c>
      <c r="V928" s="195" t="str">
        <f t="shared" si="50"/>
        <v>10.1098--rsos.231240.pdf</v>
      </c>
      <c r="W928" s="156" t="s">
        <v>3719</v>
      </c>
      <c r="X928" s="51" t="str">
        <f t="array" ref="X928"> if(iserror(MATCH(V928, 'File Links'!C:C, 0)), "N/A", HYPERLINK(INDEX('File Links'!B:B, MATCH(V928, 'File Links'!C:C, 0))))</f>
        <v>https://drive.google.com/file/d/17gaf2Zy_ljFfcAEDk5L8GBnTl5i7RGJE/view?usp=drivesdk</v>
      </c>
      <c r="Y928" s="65"/>
      <c r="Z928" s="156" t="s">
        <v>141</v>
      </c>
      <c r="AA928" s="156" t="s">
        <v>5063</v>
      </c>
      <c r="AB928" s="156" t="s">
        <v>5064</v>
      </c>
      <c r="AC928" s="156" t="s">
        <v>5065</v>
      </c>
      <c r="AD928" s="156" t="s">
        <v>5066</v>
      </c>
      <c r="AE928" s="153">
        <v>9.0</v>
      </c>
      <c r="AF928" s="153">
        <v>182.0</v>
      </c>
      <c r="AG928" s="153">
        <v>0.478</v>
      </c>
      <c r="AH928" s="153" t="s">
        <v>867</v>
      </c>
      <c r="AI928" s="153" t="s">
        <v>621</v>
      </c>
      <c r="AJ928" s="153">
        <v>0.001</v>
      </c>
      <c r="AK928" s="156" t="s">
        <v>128</v>
      </c>
      <c r="AL928" s="156" t="s">
        <v>179</v>
      </c>
      <c r="AM928" s="156" t="s">
        <v>134</v>
      </c>
      <c r="AN928" s="126" t="s">
        <v>131</v>
      </c>
      <c r="AO928" s="153">
        <v>13.0</v>
      </c>
      <c r="AP928" s="333" t="s">
        <v>5067</v>
      </c>
      <c r="AQ928" s="153" t="s">
        <v>166</v>
      </c>
      <c r="AR928" s="438" t="s">
        <v>4113</v>
      </c>
      <c r="AS928" s="153">
        <f>8.29167038817029*10^-4</f>
        <v>0.0008291670388</v>
      </c>
      <c r="AT928" s="156" t="s">
        <v>165</v>
      </c>
      <c r="AU928" s="156" t="s">
        <v>179</v>
      </c>
      <c r="AV928" s="156" t="s">
        <v>134</v>
      </c>
      <c r="AW928" s="126" t="s">
        <v>131</v>
      </c>
      <c r="AX928" s="65" t="s">
        <v>136</v>
      </c>
      <c r="AZ928" s="65" t="s">
        <v>146</v>
      </c>
    </row>
    <row r="929" ht="18.75" customHeight="1">
      <c r="A929" s="41">
        <v>929.0</v>
      </c>
      <c r="B929" s="65" t="s">
        <v>107</v>
      </c>
      <c r="C929" s="59" t="s">
        <v>108</v>
      </c>
      <c r="D929" s="59" t="s">
        <v>241</v>
      </c>
      <c r="F929" s="156" t="s">
        <v>5068</v>
      </c>
      <c r="G929" s="156" t="s">
        <v>5069</v>
      </c>
      <c r="H929" s="156" t="s">
        <v>242</v>
      </c>
      <c r="I929" s="149">
        <v>45672.0</v>
      </c>
      <c r="J929" s="149">
        <v>45692.0</v>
      </c>
      <c r="K929" s="65"/>
      <c r="L929" s="65"/>
      <c r="M929" s="156" t="s">
        <v>5070</v>
      </c>
      <c r="N929" s="156" t="s">
        <v>5071</v>
      </c>
      <c r="O929" s="65"/>
      <c r="P929" s="603" t="str">
        <f t="shared" si="52"/>
        <v>10.1177--09567976221082637.pdf</v>
      </c>
      <c r="Q929" s="49" t="str">
        <f t="array" ref="Q929"> if(iserror(MATCH(V929, 'File Links'!C:C, 0)), "N/A", HYPERLINK(INDEX('File Links'!B:B, MATCH(P929, 'File Links'!C:C, 0))))</f>
        <v>https://drive.google.com/file/d/1ETLxNzxxAx38Kbjl_2clUvwzL5DDrTd8/view?usp=drivesdk</v>
      </c>
      <c r="R929" s="603" t="s">
        <v>3646</v>
      </c>
      <c r="S929" s="156" t="s">
        <v>3647</v>
      </c>
      <c r="T929" s="65"/>
      <c r="U929" s="153">
        <v>1.0</v>
      </c>
      <c r="V929" s="195" t="str">
        <f t="shared" si="50"/>
        <v>10.1098--rsos.231240.pdf</v>
      </c>
      <c r="W929" s="156" t="s">
        <v>317</v>
      </c>
      <c r="X929" s="51" t="str">
        <f t="array" ref="X929"> if(iserror(MATCH(V929, 'File Links'!C:C, 0)), "N/A", HYPERLINK(INDEX('File Links'!B:B, MATCH(V929, 'File Links'!C:C, 0))))</f>
        <v>https://drive.google.com/file/d/17gaf2Zy_ljFfcAEDk5L8GBnTl5i7RGJE/view?usp=drivesdk</v>
      </c>
      <c r="Y929" s="65"/>
      <c r="Z929" s="156" t="s">
        <v>141</v>
      </c>
      <c r="AA929" s="65"/>
      <c r="AB929" s="156" t="s">
        <v>5072</v>
      </c>
      <c r="AC929" s="65"/>
      <c r="AD929" s="156" t="s">
        <v>5073</v>
      </c>
      <c r="AE929" s="153">
        <v>105.0</v>
      </c>
      <c r="AF929" s="153">
        <v>34.0</v>
      </c>
      <c r="AG929" s="153">
        <v>0.51</v>
      </c>
      <c r="AH929" s="156" t="s">
        <v>166</v>
      </c>
      <c r="AI929" s="156" t="s">
        <v>5074</v>
      </c>
      <c r="AJ929" s="1291">
        <v>0.005</v>
      </c>
      <c r="AK929" s="156" t="s">
        <v>165</v>
      </c>
      <c r="AL929" s="156" t="s">
        <v>129</v>
      </c>
      <c r="AM929" s="156" t="s">
        <v>134</v>
      </c>
      <c r="AN929" s="49" t="s">
        <v>5075</v>
      </c>
      <c r="AO929" s="153">
        <v>31.0</v>
      </c>
      <c r="AP929" s="1240">
        <v>0.111879077901676</v>
      </c>
      <c r="AQ929" s="156" t="s">
        <v>166</v>
      </c>
      <c r="AR929" s="65"/>
      <c r="AS929" s="1240">
        <v>0.544634947869308</v>
      </c>
      <c r="AT929" s="156" t="s">
        <v>165</v>
      </c>
      <c r="AU929" s="156" t="s">
        <v>179</v>
      </c>
      <c r="AV929" s="156" t="s">
        <v>134</v>
      </c>
      <c r="AW929" s="65"/>
      <c r="AX929" s="156" t="s">
        <v>136</v>
      </c>
      <c r="AZ929" s="65" t="s">
        <v>146</v>
      </c>
    </row>
    <row r="930" ht="18.75" customHeight="1">
      <c r="A930" s="41">
        <v>930.0</v>
      </c>
      <c r="B930" s="126" t="s">
        <v>145</v>
      </c>
      <c r="C930" s="59" t="s">
        <v>108</v>
      </c>
      <c r="D930" s="59" t="s">
        <v>146</v>
      </c>
      <c r="F930" s="65" t="s">
        <v>5069</v>
      </c>
      <c r="G930" s="156" t="s">
        <v>5068</v>
      </c>
      <c r="H930" s="156" t="s">
        <v>146</v>
      </c>
      <c r="I930" s="149">
        <v>45687.0</v>
      </c>
      <c r="J930" s="149">
        <v>45692.0</v>
      </c>
      <c r="K930" s="1292" t="s">
        <v>5076</v>
      </c>
      <c r="L930" s="65"/>
      <c r="M930" s="156" t="s">
        <v>5070</v>
      </c>
      <c r="N930" s="156" t="s">
        <v>5071</v>
      </c>
      <c r="O930" s="153">
        <v>1.0</v>
      </c>
      <c r="P930" s="603" t="str">
        <f t="shared" si="52"/>
        <v>10.1177--09567976221082637.pdf</v>
      </c>
      <c r="Q930" s="49" t="str">
        <f t="array" ref="Q930"> if(iserror(MATCH(V930, 'File Links'!C:C, 0)), "N/A", HYPERLINK(INDEX('File Links'!B:B, MATCH(P930, 'File Links'!C:C, 0))))</f>
        <v>https://drive.google.com/file/d/1ETLxNzxxAx38Kbjl_2clUvwzL5DDrTd8/view?usp=drivesdk</v>
      </c>
      <c r="R930" s="603" t="s">
        <v>3646</v>
      </c>
      <c r="S930" s="156" t="s">
        <v>3647</v>
      </c>
      <c r="T930" s="120" t="s">
        <v>5077</v>
      </c>
      <c r="U930" s="153">
        <v>1.0</v>
      </c>
      <c r="V930" s="195" t="str">
        <f t="shared" si="50"/>
        <v>10.1098--rsos.231240.pdf</v>
      </c>
      <c r="W930" s="156" t="s">
        <v>3719</v>
      </c>
      <c r="X930" s="51" t="str">
        <f t="array" ref="X930"> if(iserror(MATCH(V930, 'File Links'!C:C, 0)), "N/A", HYPERLINK(INDEX('File Links'!B:B, MATCH(V930, 'File Links'!C:C, 0))))</f>
        <v>https://drive.google.com/file/d/17gaf2Zy_ljFfcAEDk5L8GBnTl5i7RGJE/view?usp=drivesdk</v>
      </c>
      <c r="Y930" s="43"/>
      <c r="Z930" s="156" t="s">
        <v>141</v>
      </c>
      <c r="AA930" s="156" t="s">
        <v>5078</v>
      </c>
      <c r="AB930" s="156" t="s">
        <v>5079</v>
      </c>
      <c r="AC930" s="156" t="s">
        <v>5080</v>
      </c>
      <c r="AD930" s="156" t="s">
        <v>5081</v>
      </c>
      <c r="AE930" s="153">
        <v>7.0</v>
      </c>
      <c r="AF930" s="153">
        <v>34.0</v>
      </c>
      <c r="AG930" s="153">
        <v>0.507361593764794</v>
      </c>
      <c r="AH930" s="153" t="s">
        <v>166</v>
      </c>
      <c r="AI930" s="153" t="s">
        <v>125</v>
      </c>
      <c r="AJ930" s="153" t="s">
        <v>5082</v>
      </c>
      <c r="AK930" s="156" t="s">
        <v>128</v>
      </c>
      <c r="AL930" s="156" t="s">
        <v>129</v>
      </c>
      <c r="AM930" s="156" t="s">
        <v>134</v>
      </c>
      <c r="AN930" s="49" t="s">
        <v>5075</v>
      </c>
      <c r="AO930" s="153">
        <v>31.0</v>
      </c>
      <c r="AP930" s="153">
        <v>0.111879077901676</v>
      </c>
      <c r="AQ930" s="153" t="s">
        <v>166</v>
      </c>
      <c r="AR930" s="438" t="s">
        <v>4113</v>
      </c>
      <c r="AS930" s="153">
        <v>0.544634947869308</v>
      </c>
      <c r="AT930" s="156" t="s">
        <v>165</v>
      </c>
      <c r="AU930" s="156" t="s">
        <v>179</v>
      </c>
      <c r="AV930" s="156" t="s">
        <v>134</v>
      </c>
      <c r="AW930" s="432" t="s">
        <v>5083</v>
      </c>
      <c r="AX930" s="65" t="s">
        <v>136</v>
      </c>
      <c r="AZ930" s="65" t="s">
        <v>146</v>
      </c>
    </row>
    <row r="931" ht="18.75" customHeight="1">
      <c r="A931" s="41">
        <v>931.0</v>
      </c>
      <c r="B931" s="65" t="s">
        <v>107</v>
      </c>
      <c r="C931" s="59" t="s">
        <v>108</v>
      </c>
      <c r="D931" s="59" t="s">
        <v>241</v>
      </c>
      <c r="F931" s="156" t="s">
        <v>5084</v>
      </c>
      <c r="G931" s="156" t="s">
        <v>5085</v>
      </c>
      <c r="H931" s="156" t="s">
        <v>242</v>
      </c>
      <c r="I931" s="149">
        <v>45672.0</v>
      </c>
      <c r="J931" s="149">
        <v>45692.0</v>
      </c>
      <c r="K931" s="65"/>
      <c r="L931" s="65"/>
      <c r="M931" s="156" t="s">
        <v>5086</v>
      </c>
      <c r="N931" s="156" t="s">
        <v>5087</v>
      </c>
      <c r="O931" s="65"/>
      <c r="P931" s="603" t="str">
        <f t="shared" si="52"/>
        <v>10.1126--science.1132491.pdf</v>
      </c>
      <c r="Q931" s="49" t="str">
        <f t="array" ref="Q931"> if(iserror(MATCH(V931, 'File Links'!C:C, 0)), "N/A", HYPERLINK(INDEX('File Links'!B:B, MATCH(P931, 'File Links'!C:C, 0))))</f>
        <v>https://drive.google.com/file/d/1OWk3W7aLK7NhvpfeOXWbAeYjSBS6on3O/view?usp=drivesdk</v>
      </c>
      <c r="R931" s="603" t="s">
        <v>3646</v>
      </c>
      <c r="S931" s="156" t="s">
        <v>3647</v>
      </c>
      <c r="T931" s="65"/>
      <c r="U931" s="153">
        <v>1.0</v>
      </c>
      <c r="V931" s="195" t="str">
        <f t="shared" si="50"/>
        <v>10.1098--rsos.231240.pdf</v>
      </c>
      <c r="W931" s="156" t="s">
        <v>317</v>
      </c>
      <c r="X931" s="51" t="str">
        <f t="array" ref="X931"> if(iserror(MATCH(V931, 'File Links'!C:C, 0)), "N/A", HYPERLINK(INDEX('File Links'!B:B, MATCH(V931, 'File Links'!C:C, 0))))</f>
        <v>https://drive.google.com/file/d/17gaf2Zy_ljFfcAEDk5L8GBnTl5i7RGJE/view?usp=drivesdk</v>
      </c>
      <c r="Y931" s="65"/>
      <c r="Z931" s="156" t="s">
        <v>219</v>
      </c>
      <c r="AA931" s="156" t="s">
        <v>5088</v>
      </c>
      <c r="AB931" s="65"/>
      <c r="AC931" s="156" t="s">
        <v>5089</v>
      </c>
      <c r="AD931" s="156" t="s">
        <v>5090</v>
      </c>
      <c r="AE931" s="153">
        <v>1155.0</v>
      </c>
      <c r="AF931" s="153">
        <v>40.0</v>
      </c>
      <c r="AG931" s="153">
        <v>0.63</v>
      </c>
      <c r="AH931" s="156" t="s">
        <v>166</v>
      </c>
      <c r="AI931" s="156" t="s">
        <v>5091</v>
      </c>
      <c r="AJ931" s="153">
        <v>0.04</v>
      </c>
      <c r="AK931" s="156" t="s">
        <v>128</v>
      </c>
      <c r="AL931" s="156" t="s">
        <v>179</v>
      </c>
      <c r="AM931" s="156" t="s">
        <v>130</v>
      </c>
      <c r="AN931" s="148" t="s">
        <v>131</v>
      </c>
      <c r="AO931" s="153">
        <v>86.0</v>
      </c>
      <c r="AP931" s="1240">
        <v>0.124365054041184</v>
      </c>
      <c r="AQ931" s="156" t="s">
        <v>166</v>
      </c>
      <c r="AR931" s="65"/>
      <c r="AS931" s="1240">
        <v>0.563448936597826</v>
      </c>
      <c r="AT931" s="156" t="s">
        <v>165</v>
      </c>
      <c r="AU931" s="156" t="s">
        <v>179</v>
      </c>
      <c r="AV931" s="156" t="s">
        <v>130</v>
      </c>
      <c r="AW931" s="65"/>
      <c r="AX931" s="156" t="s">
        <v>136</v>
      </c>
      <c r="AZ931" s="65" t="s">
        <v>146</v>
      </c>
      <c r="BA931" s="59" t="s">
        <v>5061</v>
      </c>
    </row>
    <row r="932" ht="18.75" customHeight="1">
      <c r="A932" s="41">
        <v>932.0</v>
      </c>
      <c r="B932" s="126" t="s">
        <v>4516</v>
      </c>
      <c r="C932" s="59" t="s">
        <v>108</v>
      </c>
      <c r="D932" s="59" t="s">
        <v>146</v>
      </c>
      <c r="F932" s="65" t="s">
        <v>5085</v>
      </c>
      <c r="G932" s="156" t="s">
        <v>5084</v>
      </c>
      <c r="H932" s="156" t="s">
        <v>146</v>
      </c>
      <c r="I932" s="149">
        <v>45687.0</v>
      </c>
      <c r="J932" s="149">
        <v>45692.0</v>
      </c>
      <c r="K932" s="434" t="s">
        <v>4815</v>
      </c>
      <c r="L932" s="65"/>
      <c r="M932" s="156" t="s">
        <v>5086</v>
      </c>
      <c r="N932" s="156" t="s">
        <v>5087</v>
      </c>
      <c r="O932" s="153">
        <v>6.0</v>
      </c>
      <c r="P932" s="603" t="str">
        <f t="shared" si="52"/>
        <v>10.1126--science.1132491.pdf</v>
      </c>
      <c r="Q932" s="49" t="str">
        <f t="array" ref="Q932"> if(iserror(MATCH(V932, 'File Links'!C:C, 0)), "N/A", HYPERLINK(INDEX('File Links'!B:B, MATCH(P932, 'File Links'!C:C, 0))))</f>
        <v>https://drive.google.com/file/d/1OWk3W7aLK7NhvpfeOXWbAeYjSBS6on3O/view?usp=drivesdk</v>
      </c>
      <c r="R932" s="603" t="s">
        <v>3646</v>
      </c>
      <c r="S932" s="156" t="s">
        <v>3647</v>
      </c>
      <c r="T932" s="65"/>
      <c r="U932" s="153">
        <v>1.0</v>
      </c>
      <c r="V932" s="195" t="str">
        <f t="shared" si="50"/>
        <v>10.1098--rsos.231240.pdf</v>
      </c>
      <c r="W932" s="156" t="s">
        <v>3719</v>
      </c>
      <c r="X932" s="51" t="str">
        <f t="array" ref="X932"> if(iserror(MATCH(V932, 'File Links'!C:C, 0)), "N/A", HYPERLINK(INDEX('File Links'!B:B, MATCH(V932, 'File Links'!C:C, 0))))</f>
        <v>https://drive.google.com/file/d/17gaf2Zy_ljFfcAEDk5L8GBnTl5i7RGJE/view?usp=drivesdk</v>
      </c>
      <c r="Y932" s="65"/>
      <c r="Z932" s="156" t="s">
        <v>219</v>
      </c>
      <c r="AA932" s="156" t="s">
        <v>4045</v>
      </c>
      <c r="AB932" s="156" t="s">
        <v>5092</v>
      </c>
      <c r="AC932" s="156" t="s">
        <v>5093</v>
      </c>
      <c r="AD932" s="156" t="s">
        <v>5094</v>
      </c>
      <c r="AE932" s="153">
        <v>3.0</v>
      </c>
      <c r="AF932" s="153">
        <v>40.0</v>
      </c>
      <c r="AG932" s="153">
        <v>0.64</v>
      </c>
      <c r="AH932" s="153" t="s">
        <v>166</v>
      </c>
      <c r="AI932" s="153" t="s">
        <v>210</v>
      </c>
      <c r="AJ932" s="153">
        <v>0.05</v>
      </c>
      <c r="AK932" s="156" t="s">
        <v>128</v>
      </c>
      <c r="AL932" s="156" t="s">
        <v>179</v>
      </c>
      <c r="AM932" s="156" t="s">
        <v>130</v>
      </c>
      <c r="AN932" s="148" t="s">
        <v>131</v>
      </c>
      <c r="AO932" s="153">
        <v>86.0</v>
      </c>
      <c r="AP932" s="333" t="s">
        <v>5095</v>
      </c>
      <c r="AQ932" s="153" t="s">
        <v>166</v>
      </c>
      <c r="AR932" s="65"/>
      <c r="AS932" s="153">
        <v>0.563448936597826</v>
      </c>
      <c r="AT932" s="156" t="s">
        <v>165</v>
      </c>
      <c r="AU932" s="156" t="s">
        <v>179</v>
      </c>
      <c r="AV932" s="156" t="s">
        <v>130</v>
      </c>
      <c r="AW932" s="65"/>
      <c r="AX932" s="65" t="s">
        <v>136</v>
      </c>
      <c r="AZ932" s="65" t="s">
        <v>146</v>
      </c>
      <c r="BA932" s="59"/>
    </row>
    <row r="933" ht="18.75" customHeight="1">
      <c r="A933" s="41">
        <v>933.0</v>
      </c>
      <c r="B933" s="65" t="s">
        <v>107</v>
      </c>
      <c r="C933" s="59" t="s">
        <v>108</v>
      </c>
      <c r="D933" s="59" t="s">
        <v>241</v>
      </c>
      <c r="F933" s="156" t="s">
        <v>5096</v>
      </c>
      <c r="G933" s="156" t="s">
        <v>5097</v>
      </c>
      <c r="H933" s="156" t="s">
        <v>242</v>
      </c>
      <c r="I933" s="149">
        <v>45672.0</v>
      </c>
      <c r="J933" s="149">
        <v>45692.0</v>
      </c>
      <c r="K933" s="434" t="s">
        <v>5098</v>
      </c>
      <c r="L933" s="65" t="s">
        <v>3683</v>
      </c>
      <c r="M933" s="156" t="s">
        <v>5099</v>
      </c>
      <c r="N933" s="156" t="s">
        <v>5100</v>
      </c>
      <c r="O933" s="65"/>
      <c r="P933" s="603" t="str">
        <f t="shared" si="52"/>
        <v>10.1177--0956797613502732.pdf</v>
      </c>
      <c r="Q933" s="49" t="str">
        <f t="array" ref="Q933"> if(iserror(MATCH(V933, 'File Links'!C:C, 0)), "N/A", HYPERLINK(INDEX('File Links'!B:B, MATCH(P933, 'File Links'!C:C, 0))))</f>
        <v>https://drive.google.com/file/d/1oYbk_RfphQEQTiM6p882mmwIrb7aGJDY/view?usp=drivesdk</v>
      </c>
      <c r="R933" s="603" t="s">
        <v>3646</v>
      </c>
      <c r="S933" s="156" t="s">
        <v>3647</v>
      </c>
      <c r="T933" s="65"/>
      <c r="U933" s="153">
        <v>1.0</v>
      </c>
      <c r="V933" s="195" t="str">
        <f t="shared" si="50"/>
        <v>10.1098--rsos.231240.pdf</v>
      </c>
      <c r="W933" s="156" t="s">
        <v>317</v>
      </c>
      <c r="X933" s="51" t="str">
        <f t="array" ref="X933"> if(iserror(MATCH(V933, 'File Links'!C:C, 0)), "N/A", HYPERLINK(INDEX('File Links'!B:B, MATCH(V933, 'File Links'!C:C, 0))))</f>
        <v>https://drive.google.com/file/d/17gaf2Zy_ljFfcAEDk5L8GBnTl5i7RGJE/view?usp=drivesdk</v>
      </c>
      <c r="Y933" s="65"/>
      <c r="Z933" s="156" t="s">
        <v>219</v>
      </c>
      <c r="AA933" s="65"/>
      <c r="AB933" s="156" t="s">
        <v>4419</v>
      </c>
      <c r="AC933" s="65"/>
      <c r="AD933" s="156" t="s">
        <v>5101</v>
      </c>
      <c r="AE933" s="1056">
        <v>279.0</v>
      </c>
      <c r="AF933" s="153">
        <v>87.0</v>
      </c>
      <c r="AG933" s="158" t="s">
        <v>5102</v>
      </c>
      <c r="AH933" s="116" t="s">
        <v>127</v>
      </c>
      <c r="AI933" s="1057" t="s">
        <v>5103</v>
      </c>
      <c r="AJ933" s="153">
        <v>0.01</v>
      </c>
      <c r="AK933" s="156" t="s">
        <v>128</v>
      </c>
      <c r="AL933" s="156" t="s">
        <v>179</v>
      </c>
      <c r="AM933" s="156" t="s">
        <v>134</v>
      </c>
      <c r="AN933" s="148" t="s">
        <v>131</v>
      </c>
      <c r="AO933" s="153">
        <v>120.0</v>
      </c>
      <c r="AP933" s="1240">
        <v>0.242790791466753</v>
      </c>
      <c r="AQ933" s="156" t="s">
        <v>166</v>
      </c>
      <c r="AR933" s="65"/>
      <c r="AS933" s="1240">
        <v>0.459121525224115</v>
      </c>
      <c r="AT933" s="156" t="s">
        <v>165</v>
      </c>
      <c r="AU933" s="156" t="s">
        <v>179</v>
      </c>
      <c r="AV933" s="156" t="s">
        <v>130</v>
      </c>
      <c r="AW933" s="65"/>
      <c r="AX933" s="156" t="s">
        <v>136</v>
      </c>
      <c r="AZ933" s="65" t="s">
        <v>146</v>
      </c>
      <c r="BA933" s="59" t="s">
        <v>5061</v>
      </c>
    </row>
    <row r="934" ht="18.75" customHeight="1">
      <c r="A934" s="41">
        <v>934.0</v>
      </c>
      <c r="B934" s="126" t="s">
        <v>145</v>
      </c>
      <c r="C934" s="59" t="s">
        <v>108</v>
      </c>
      <c r="D934" s="59" t="s">
        <v>146</v>
      </c>
      <c r="F934" s="65" t="s">
        <v>5097</v>
      </c>
      <c r="G934" s="156" t="s">
        <v>5096</v>
      </c>
      <c r="H934" s="156" t="s">
        <v>146</v>
      </c>
      <c r="I934" s="149">
        <v>45687.0</v>
      </c>
      <c r="J934" s="149">
        <v>45692.0</v>
      </c>
      <c r="K934" s="1052" t="s">
        <v>5104</v>
      </c>
      <c r="L934" s="65"/>
      <c r="M934" s="156" t="s">
        <v>5099</v>
      </c>
      <c r="N934" s="156" t="s">
        <v>5100</v>
      </c>
      <c r="O934" s="153">
        <v>1.0</v>
      </c>
      <c r="P934" s="603" t="str">
        <f t="shared" si="52"/>
        <v>10.1177--0956797613502732.pdf</v>
      </c>
      <c r="Q934" s="49" t="str">
        <f t="array" ref="Q934"> if(iserror(MATCH(V934, 'File Links'!C:C, 0)), "N/A", HYPERLINK(INDEX('File Links'!B:B, MATCH(P934, 'File Links'!C:C, 0))))</f>
        <v>https://drive.google.com/file/d/1oYbk_RfphQEQTiM6p882mmwIrb7aGJDY/view?usp=drivesdk</v>
      </c>
      <c r="R934" s="603" t="s">
        <v>3646</v>
      </c>
      <c r="S934" s="156" t="s">
        <v>3647</v>
      </c>
      <c r="T934" s="65"/>
      <c r="U934" s="153">
        <v>1.0</v>
      </c>
      <c r="V934" s="195" t="str">
        <f t="shared" si="50"/>
        <v>10.1098--rsos.231240.pdf</v>
      </c>
      <c r="W934" s="1112" t="s">
        <v>4704</v>
      </c>
      <c r="X934" s="51" t="str">
        <f t="array" ref="X934"> if(iserror(MATCH(V934, 'File Links'!C:C, 0)), "N/A", HYPERLINK(INDEX('File Links'!B:B, MATCH(V934, 'File Links'!C:C, 0))))</f>
        <v>https://drive.google.com/file/d/17gaf2Zy_ljFfcAEDk5L8GBnTl5i7RGJE/view?usp=drivesdk</v>
      </c>
      <c r="Y934" s="65"/>
      <c r="Z934" s="156" t="s">
        <v>219</v>
      </c>
      <c r="AA934" s="156" t="s">
        <v>4887</v>
      </c>
      <c r="AB934" s="156" t="s">
        <v>5105</v>
      </c>
      <c r="AC934" s="156" t="s">
        <v>5106</v>
      </c>
      <c r="AD934" s="156" t="s">
        <v>5107</v>
      </c>
      <c r="AE934" s="153">
        <v>2.0</v>
      </c>
      <c r="AF934" s="153">
        <v>87.0</v>
      </c>
      <c r="AG934" s="333">
        <v>0.144</v>
      </c>
      <c r="AH934" s="153" t="s">
        <v>132</v>
      </c>
      <c r="AI934" s="153" t="s">
        <v>868</v>
      </c>
      <c r="AJ934" s="153">
        <v>0.01</v>
      </c>
      <c r="AK934" s="156" t="s">
        <v>128</v>
      </c>
      <c r="AL934" s="156" t="s">
        <v>179</v>
      </c>
      <c r="AM934" s="156" t="s">
        <v>130</v>
      </c>
      <c r="AN934" s="148" t="s">
        <v>131</v>
      </c>
      <c r="AO934" s="153">
        <v>120.0</v>
      </c>
      <c r="AP934" s="153" t="s">
        <v>5108</v>
      </c>
      <c r="AQ934" s="153" t="s">
        <v>127</v>
      </c>
      <c r="AR934" s="153" t="s">
        <v>300</v>
      </c>
      <c r="AS934" s="153">
        <v>0.459</v>
      </c>
      <c r="AT934" s="156" t="s">
        <v>165</v>
      </c>
      <c r="AU934" s="156" t="s">
        <v>179</v>
      </c>
      <c r="AV934" s="156" t="s">
        <v>130</v>
      </c>
      <c r="AW934" s="65"/>
      <c r="AX934" s="65" t="s">
        <v>144</v>
      </c>
      <c r="AZ934" s="65" t="s">
        <v>146</v>
      </c>
      <c r="BA934" s="59" t="s">
        <v>5061</v>
      </c>
    </row>
    <row r="935" ht="18.75" customHeight="1">
      <c r="A935" s="41">
        <v>935.0</v>
      </c>
      <c r="B935" s="126" t="s">
        <v>145</v>
      </c>
      <c r="C935" s="59" t="s">
        <v>108</v>
      </c>
      <c r="D935" s="59" t="s">
        <v>146</v>
      </c>
      <c r="F935" s="65" t="s">
        <v>5097</v>
      </c>
      <c r="G935" s="156" t="s">
        <v>5109</v>
      </c>
      <c r="H935" s="156" t="s">
        <v>146</v>
      </c>
      <c r="I935" s="149">
        <v>45687.0</v>
      </c>
      <c r="J935" s="149">
        <v>45692.0</v>
      </c>
      <c r="K935" s="1052" t="s">
        <v>5110</v>
      </c>
      <c r="L935" s="65"/>
      <c r="M935" s="156" t="s">
        <v>5099</v>
      </c>
      <c r="N935" s="156" t="s">
        <v>5100</v>
      </c>
      <c r="O935" s="153">
        <v>1.0</v>
      </c>
      <c r="P935" s="603" t="str">
        <f t="shared" si="52"/>
        <v>10.1177--0956797613502732.pdf</v>
      </c>
      <c r="Q935" s="49" t="str">
        <f t="array" ref="Q935"> if(iserror(MATCH(V935, 'File Links'!C:C, 0)), "N/A", HYPERLINK(INDEX('File Links'!B:B, MATCH(P935, 'File Links'!C:C, 0))))</f>
        <v>https://drive.google.com/file/d/1oYbk_RfphQEQTiM6p882mmwIrb7aGJDY/view?usp=drivesdk</v>
      </c>
      <c r="R935" s="603" t="s">
        <v>3646</v>
      </c>
      <c r="S935" s="156" t="s">
        <v>3647</v>
      </c>
      <c r="T935" s="65"/>
      <c r="U935" s="153">
        <v>1.0</v>
      </c>
      <c r="V935" s="195" t="str">
        <f t="shared" si="50"/>
        <v>10.1098--rsos.231240.pdf</v>
      </c>
      <c r="W935" s="1112" t="s">
        <v>4704</v>
      </c>
      <c r="X935" s="51" t="str">
        <f t="array" ref="X935"> if(iserror(MATCH(V935, 'File Links'!C:C, 0)), "N/A", HYPERLINK(INDEX('File Links'!B:B, MATCH(V935, 'File Links'!C:C, 0))))</f>
        <v>https://drive.google.com/file/d/17gaf2Zy_ljFfcAEDk5L8GBnTl5i7RGJE/view?usp=drivesdk</v>
      </c>
      <c r="Y935" s="65"/>
      <c r="Z935" s="156" t="s">
        <v>219</v>
      </c>
      <c r="AA935" s="156" t="s">
        <v>4887</v>
      </c>
      <c r="AB935" s="156" t="s">
        <v>5105</v>
      </c>
      <c r="AC935" s="156" t="s">
        <v>5111</v>
      </c>
      <c r="AD935" s="156" t="s">
        <v>5112</v>
      </c>
      <c r="AE935" s="333">
        <v>3.0</v>
      </c>
      <c r="AF935" s="153">
        <v>87.0</v>
      </c>
      <c r="AG935" s="333">
        <v>0.043</v>
      </c>
      <c r="AH935" s="153" t="s">
        <v>132</v>
      </c>
      <c r="AI935" s="333" t="s">
        <v>210</v>
      </c>
      <c r="AJ935" s="333">
        <v>0.059</v>
      </c>
      <c r="AK935" s="156" t="s">
        <v>165</v>
      </c>
      <c r="AL935" s="156" t="s">
        <v>179</v>
      </c>
      <c r="AM935" s="156" t="s">
        <v>130</v>
      </c>
      <c r="AN935" s="148" t="s">
        <v>131</v>
      </c>
      <c r="AO935" s="153">
        <v>120.0</v>
      </c>
      <c r="AP935" s="333" t="s">
        <v>5113</v>
      </c>
      <c r="AQ935" s="153" t="s">
        <v>127</v>
      </c>
      <c r="AR935" s="153" t="s">
        <v>300</v>
      </c>
      <c r="AS935" s="153">
        <v>0.04869</v>
      </c>
      <c r="AT935" s="156" t="s">
        <v>165</v>
      </c>
      <c r="AU935" s="156" t="s">
        <v>179</v>
      </c>
      <c r="AV935" s="156" t="s">
        <v>130</v>
      </c>
      <c r="AW935" s="65"/>
      <c r="AX935" s="65" t="s">
        <v>144</v>
      </c>
      <c r="AZ935" s="65" t="s">
        <v>146</v>
      </c>
      <c r="BA935" s="59" t="s">
        <v>137</v>
      </c>
    </row>
    <row r="936" ht="18.75" customHeight="1">
      <c r="A936" s="41">
        <v>936.0</v>
      </c>
      <c r="B936" s="65" t="s">
        <v>107</v>
      </c>
      <c r="C936" s="59" t="s">
        <v>108</v>
      </c>
      <c r="D936" s="59" t="s">
        <v>241</v>
      </c>
      <c r="F936" s="156" t="s">
        <v>5114</v>
      </c>
      <c r="G936" s="156" t="s">
        <v>5115</v>
      </c>
      <c r="H936" s="156" t="s">
        <v>242</v>
      </c>
      <c r="I936" s="149">
        <v>45672.0</v>
      </c>
      <c r="J936" s="149">
        <v>45692.0</v>
      </c>
      <c r="K936" s="434" t="s">
        <v>5116</v>
      </c>
      <c r="L936" s="65"/>
      <c r="M936" s="156" t="s">
        <v>5117</v>
      </c>
      <c r="N936" s="156" t="s">
        <v>5118</v>
      </c>
      <c r="O936" s="65"/>
      <c r="P936" s="603" t="str">
        <f t="shared" si="52"/>
        <v>10.1038--s41467-021-27323-3.pdf</v>
      </c>
      <c r="Q936" s="49" t="str">
        <f t="array" ref="Q936"> if(iserror(MATCH(V936, 'File Links'!C:C, 0)), "N/A", HYPERLINK(INDEX('File Links'!B:B, MATCH(P936, 'File Links'!C:C, 0))))</f>
        <v>https://drive.google.com/file/d/1E9n7K_S1QjugzYn-rTEbb--ETbvudVse/view?usp=drivesdk</v>
      </c>
      <c r="R936" s="603" t="s">
        <v>3646</v>
      </c>
      <c r="S936" s="156" t="s">
        <v>3647</v>
      </c>
      <c r="T936" s="65"/>
      <c r="U936" s="153">
        <v>1.0</v>
      </c>
      <c r="V936" s="195" t="str">
        <f t="shared" si="50"/>
        <v>10.1098--rsos.231240.pdf</v>
      </c>
      <c r="W936" s="156" t="s">
        <v>317</v>
      </c>
      <c r="X936" s="51" t="str">
        <f t="array" ref="X936"> if(iserror(MATCH(V936, 'File Links'!C:C, 0)), "N/A", HYPERLINK(INDEX('File Links'!B:B, MATCH(V936, 'File Links'!C:C, 0))))</f>
        <v>https://drive.google.com/file/d/17gaf2Zy_ljFfcAEDk5L8GBnTl5i7RGJE/view?usp=drivesdk</v>
      </c>
      <c r="Y936" s="65"/>
      <c r="Z936" s="1057" t="s">
        <v>141</v>
      </c>
      <c r="AA936" s="65"/>
      <c r="AB936" s="65"/>
      <c r="AC936" s="65"/>
      <c r="AD936" s="156" t="s">
        <v>5119</v>
      </c>
      <c r="AE936" s="153">
        <v>4.0</v>
      </c>
      <c r="AF936" s="153">
        <v>556.0</v>
      </c>
      <c r="AG936" s="153">
        <v>0.28</v>
      </c>
      <c r="AH936" s="156" t="s">
        <v>166</v>
      </c>
      <c r="AI936" s="156" t="s">
        <v>5120</v>
      </c>
      <c r="AJ936" s="153">
        <v>0.001</v>
      </c>
      <c r="AK936" s="156" t="s">
        <v>128</v>
      </c>
      <c r="AL936" s="156" t="s">
        <v>179</v>
      </c>
      <c r="AM936" s="156" t="s">
        <v>130</v>
      </c>
      <c r="AN936" s="148" t="s">
        <v>131</v>
      </c>
      <c r="AO936" s="153">
        <v>47.0</v>
      </c>
      <c r="AP936" s="1240">
        <v>0.389720527496613</v>
      </c>
      <c r="AQ936" s="156" t="s">
        <v>166</v>
      </c>
      <c r="AR936" s="65"/>
      <c r="AS936" s="1240">
        <v>0.115563444416586</v>
      </c>
      <c r="AT936" s="156" t="s">
        <v>165</v>
      </c>
      <c r="AU936" s="156" t="s">
        <v>179</v>
      </c>
      <c r="AV936" s="156" t="s">
        <v>130</v>
      </c>
      <c r="AW936" s="65"/>
      <c r="AX936" s="156" t="s">
        <v>136</v>
      </c>
      <c r="AZ936" s="65" t="s">
        <v>146</v>
      </c>
      <c r="BA936" s="59" t="s">
        <v>137</v>
      </c>
    </row>
    <row r="937" ht="18.75" customHeight="1">
      <c r="A937" s="41">
        <v>937.0</v>
      </c>
      <c r="B937" s="126" t="s">
        <v>145</v>
      </c>
      <c r="C937" s="59" t="s">
        <v>108</v>
      </c>
      <c r="D937" s="59" t="s">
        <v>146</v>
      </c>
      <c r="F937" s="65" t="s">
        <v>5115</v>
      </c>
      <c r="G937" s="156" t="s">
        <v>5114</v>
      </c>
      <c r="H937" s="156" t="s">
        <v>146</v>
      </c>
      <c r="I937" s="149">
        <v>45687.0</v>
      </c>
      <c r="J937" s="149">
        <v>45692.0</v>
      </c>
      <c r="K937" s="434" t="s">
        <v>5121</v>
      </c>
      <c r="L937" s="65"/>
      <c r="M937" s="156" t="s">
        <v>5117</v>
      </c>
      <c r="N937" s="156" t="s">
        <v>5118</v>
      </c>
      <c r="O937" s="153" t="s">
        <v>5122</v>
      </c>
      <c r="P937" s="603" t="str">
        <f t="shared" si="52"/>
        <v>10.1038--s41467-021-27323-3.pdf</v>
      </c>
      <c r="Q937" s="49" t="str">
        <f t="array" ref="Q937"> if(iserror(MATCH(V937, 'File Links'!C:C, 0)), "N/A", HYPERLINK(INDEX('File Links'!B:B, MATCH(P937, 'File Links'!C:C, 0))))</f>
        <v>https://drive.google.com/file/d/1E9n7K_S1QjugzYn-rTEbb--ETbvudVse/view?usp=drivesdk</v>
      </c>
      <c r="R937" s="603" t="s">
        <v>3646</v>
      </c>
      <c r="S937" s="156" t="s">
        <v>3647</v>
      </c>
      <c r="T937" s="65"/>
      <c r="U937" s="153">
        <v>1.0</v>
      </c>
      <c r="V937" s="195" t="str">
        <f t="shared" si="50"/>
        <v>10.1098--rsos.231240.pdf</v>
      </c>
      <c r="W937" s="156" t="s">
        <v>3719</v>
      </c>
      <c r="X937" s="51" t="str">
        <f t="array" ref="X937"> if(iserror(MATCH(V937, 'File Links'!C:C, 0)), "N/A", HYPERLINK(INDEX('File Links'!B:B, MATCH(V937, 'File Links'!C:C, 0))))</f>
        <v>https://drive.google.com/file/d/17gaf2Zy_ljFfcAEDk5L8GBnTl5i7RGJE/view?usp=drivesdk</v>
      </c>
      <c r="Y937" s="65"/>
      <c r="Z937" s="1112" t="s">
        <v>831</v>
      </c>
      <c r="AA937" s="156" t="s">
        <v>5123</v>
      </c>
      <c r="AB937" s="156" t="s">
        <v>5124</v>
      </c>
      <c r="AC937" s="156" t="s">
        <v>5125</v>
      </c>
      <c r="AD937" s="156" t="s">
        <v>5126</v>
      </c>
      <c r="AE937" s="153">
        <v>4.0</v>
      </c>
      <c r="AF937" s="153">
        <v>321.0</v>
      </c>
      <c r="AG937" s="153" t="s">
        <v>5127</v>
      </c>
      <c r="AH937" s="153" t="s">
        <v>127</v>
      </c>
      <c r="AI937" s="153" t="s">
        <v>843</v>
      </c>
      <c r="AJ937" s="333">
        <v>0.001</v>
      </c>
      <c r="AK937" s="156" t="s">
        <v>128</v>
      </c>
      <c r="AL937" s="156" t="s">
        <v>179</v>
      </c>
      <c r="AM937" s="156" t="s">
        <v>130</v>
      </c>
      <c r="AN937" s="148" t="s">
        <v>131</v>
      </c>
      <c r="AO937" s="153">
        <v>47.0</v>
      </c>
      <c r="AP937" s="153">
        <v>0.03912084</v>
      </c>
      <c r="AQ937" s="153" t="s">
        <v>5128</v>
      </c>
      <c r="AR937" s="153" t="s">
        <v>5129</v>
      </c>
      <c r="AS937" s="153">
        <v>0.116</v>
      </c>
      <c r="AT937" s="156" t="s">
        <v>165</v>
      </c>
      <c r="AU937" s="156" t="s">
        <v>179</v>
      </c>
      <c r="AV937" s="156" t="s">
        <v>130</v>
      </c>
      <c r="AW937" s="65"/>
      <c r="AX937" s="65" t="s">
        <v>144</v>
      </c>
      <c r="AZ937" s="65" t="s">
        <v>146</v>
      </c>
      <c r="BA937" s="59" t="s">
        <v>137</v>
      </c>
    </row>
    <row r="938">
      <c r="A938" s="41">
        <v>938.0</v>
      </c>
      <c r="B938" s="65" t="s">
        <v>107</v>
      </c>
      <c r="C938" s="59" t="s">
        <v>108</v>
      </c>
      <c r="D938" s="59" t="s">
        <v>241</v>
      </c>
      <c r="F938" s="156" t="s">
        <v>5130</v>
      </c>
      <c r="G938" s="156" t="s">
        <v>5131</v>
      </c>
      <c r="H938" s="156" t="s">
        <v>242</v>
      </c>
      <c r="I938" s="149">
        <v>45672.0</v>
      </c>
      <c r="J938" s="149">
        <v>45692.0</v>
      </c>
      <c r="K938" s="65"/>
      <c r="L938" s="65" t="s">
        <v>3683</v>
      </c>
      <c r="M938" s="156" t="s">
        <v>5132</v>
      </c>
      <c r="N938" s="156" t="s">
        <v>5133</v>
      </c>
      <c r="O938" s="65"/>
      <c r="P938" s="603" t="str">
        <f t="shared" si="52"/>
        <v>10.1177--0956797613508412.pdf</v>
      </c>
      <c r="Q938" s="49" t="str">
        <f t="array" ref="Q938"> if(iserror(MATCH(V938, 'File Links'!C:C, 0)), "N/A", HYPERLINK(INDEX('File Links'!B:B, MATCH(P938, 'File Links'!C:C, 0))))</f>
        <v>https://drive.google.com/file/d/1VYqvNkQuJmP378cGj71lJ4JV-clMH0Yv/view?usp=drivesdk</v>
      </c>
      <c r="R938" s="603" t="s">
        <v>3646</v>
      </c>
      <c r="S938" s="156" t="s">
        <v>3647</v>
      </c>
      <c r="T938" s="65"/>
      <c r="U938" s="153">
        <v>1.0</v>
      </c>
      <c r="V938" s="195" t="str">
        <f t="shared" si="50"/>
        <v>10.1098--rsos.231240.pdf</v>
      </c>
      <c r="W938" s="156" t="s">
        <v>3797</v>
      </c>
      <c r="X938" s="51" t="str">
        <f t="array" ref="X938"> if(iserror(MATCH(V938, 'File Links'!C:C, 0)), "N/A", HYPERLINK(INDEX('File Links'!B:B, MATCH(V938, 'File Links'!C:C, 0))))</f>
        <v>https://drive.google.com/file/d/17gaf2Zy_ljFfcAEDk5L8GBnTl5i7RGJE/view?usp=drivesdk</v>
      </c>
      <c r="Y938" s="65"/>
      <c r="Z938" s="156" t="s">
        <v>219</v>
      </c>
      <c r="AA938" s="65"/>
      <c r="AB938" s="156" t="s">
        <v>5134</v>
      </c>
      <c r="AC938" s="65"/>
      <c r="AD938" s="156" t="s">
        <v>5135</v>
      </c>
      <c r="AE938" s="1056">
        <v>442.0</v>
      </c>
      <c r="AF938" s="153">
        <v>168.0</v>
      </c>
      <c r="AG938" s="158" t="s">
        <v>5136</v>
      </c>
      <c r="AH938" s="116" t="s">
        <v>127</v>
      </c>
      <c r="AI938" s="1057" t="s">
        <v>5137</v>
      </c>
      <c r="AJ938" s="153">
        <v>0.01</v>
      </c>
      <c r="AK938" s="156" t="s">
        <v>165</v>
      </c>
      <c r="AL938" s="156" t="s">
        <v>129</v>
      </c>
      <c r="AM938" s="156" t="s">
        <v>134</v>
      </c>
      <c r="AN938" s="148" t="s">
        <v>131</v>
      </c>
      <c r="AO938" s="153">
        <v>37.0</v>
      </c>
      <c r="AP938" s="1240">
        <v>0.139256851135717</v>
      </c>
      <c r="AQ938" s="156" t="s">
        <v>166</v>
      </c>
      <c r="AR938" s="65"/>
      <c r="AS938" s="1240">
        <v>0.687444834440912</v>
      </c>
      <c r="AT938" s="156" t="s">
        <v>165</v>
      </c>
      <c r="AU938" s="156" t="s">
        <v>179</v>
      </c>
      <c r="AV938" s="156" t="s">
        <v>134</v>
      </c>
      <c r="AW938" s="65"/>
      <c r="AX938" s="156" t="s">
        <v>136</v>
      </c>
      <c r="AZ938" s="65" t="s">
        <v>146</v>
      </c>
      <c r="BA938" s="59" t="s">
        <v>137</v>
      </c>
    </row>
    <row r="939">
      <c r="A939" s="41">
        <v>939.0</v>
      </c>
      <c r="B939" s="126" t="s">
        <v>4516</v>
      </c>
      <c r="C939" s="59" t="s">
        <v>108</v>
      </c>
      <c r="D939" s="59" t="s">
        <v>146</v>
      </c>
      <c r="F939" s="65" t="s">
        <v>5131</v>
      </c>
      <c r="G939" s="156" t="s">
        <v>5130</v>
      </c>
      <c r="H939" s="156" t="s">
        <v>146</v>
      </c>
      <c r="I939" s="149">
        <v>45687.0</v>
      </c>
      <c r="J939" s="149">
        <v>45692.0</v>
      </c>
      <c r="K939" s="1052" t="s">
        <v>5138</v>
      </c>
      <c r="L939" s="65"/>
      <c r="M939" s="156" t="s">
        <v>5132</v>
      </c>
      <c r="N939" s="156" t="s">
        <v>5133</v>
      </c>
      <c r="O939" s="153">
        <v>2.0</v>
      </c>
      <c r="P939" s="603" t="str">
        <f t="shared" si="52"/>
        <v>10.1177--0956797613508412.pdf</v>
      </c>
      <c r="Q939" s="49" t="str">
        <f t="array" ref="Q939"> if(iserror(MATCH(V939, 'File Links'!C:C, 0)), "N/A", HYPERLINK(INDEX('File Links'!B:B, MATCH(P939, 'File Links'!C:C, 0))))</f>
        <v>https://drive.google.com/file/d/1VYqvNkQuJmP378cGj71lJ4JV-clMH0Yv/view?usp=drivesdk</v>
      </c>
      <c r="R939" s="603" t="s">
        <v>3646</v>
      </c>
      <c r="S939" s="156" t="s">
        <v>3647</v>
      </c>
      <c r="T939" s="65"/>
      <c r="U939" s="153">
        <v>1.0</v>
      </c>
      <c r="V939" s="195" t="str">
        <f t="shared" si="50"/>
        <v>10.1098--rsos.231240.pdf</v>
      </c>
      <c r="W939" s="156" t="s">
        <v>3800</v>
      </c>
      <c r="X939" s="51" t="str">
        <f t="array" ref="X939"> if(iserror(MATCH(V939, 'File Links'!C:C, 0)), "N/A", HYPERLINK(INDEX('File Links'!B:B, MATCH(V939, 'File Links'!C:C, 0))))</f>
        <v>https://drive.google.com/file/d/17gaf2Zy_ljFfcAEDk5L8GBnTl5i7RGJE/view?usp=drivesdk</v>
      </c>
      <c r="Y939" s="65"/>
      <c r="Z939" s="156" t="s">
        <v>219</v>
      </c>
      <c r="AA939" s="156" t="s">
        <v>5139</v>
      </c>
      <c r="AB939" s="156" t="s">
        <v>5140</v>
      </c>
      <c r="AC939" s="156" t="s">
        <v>5141</v>
      </c>
      <c r="AD939" s="156" t="s">
        <v>5142</v>
      </c>
      <c r="AE939" s="153">
        <v>4.0</v>
      </c>
      <c r="AF939" s="153">
        <v>168.0</v>
      </c>
      <c r="AG939" s="153">
        <v>0.49</v>
      </c>
      <c r="AH939" s="153" t="s">
        <v>980</v>
      </c>
      <c r="AI939" s="153" t="s">
        <v>843</v>
      </c>
      <c r="AJ939" s="153">
        <v>0.01</v>
      </c>
      <c r="AK939" s="156" t="s">
        <v>165</v>
      </c>
      <c r="AL939" s="156" t="s">
        <v>129</v>
      </c>
      <c r="AM939" s="156" t="s">
        <v>134</v>
      </c>
      <c r="AN939" s="148" t="s">
        <v>131</v>
      </c>
      <c r="AO939" s="153">
        <v>37.0</v>
      </c>
      <c r="AP939" s="1293">
        <v>-1.0907</v>
      </c>
      <c r="AQ939" s="153" t="s">
        <v>980</v>
      </c>
      <c r="AR939" s="65"/>
      <c r="AS939" s="1294">
        <v>0.6871</v>
      </c>
      <c r="AT939" s="156" t="s">
        <v>165</v>
      </c>
      <c r="AU939" s="156" t="s">
        <v>179</v>
      </c>
      <c r="AV939" s="156" t="s">
        <v>134</v>
      </c>
      <c r="AW939" s="65"/>
      <c r="AX939" s="65" t="s">
        <v>136</v>
      </c>
      <c r="AZ939" s="65" t="s">
        <v>146</v>
      </c>
    </row>
    <row r="940">
      <c r="A940" s="41">
        <v>940.0</v>
      </c>
      <c r="B940" s="126" t="s">
        <v>4516</v>
      </c>
      <c r="C940" s="59" t="s">
        <v>108</v>
      </c>
      <c r="D940" s="59" t="s">
        <v>146</v>
      </c>
      <c r="F940" s="65" t="s">
        <v>5131</v>
      </c>
      <c r="G940" s="156" t="s">
        <v>5143</v>
      </c>
      <c r="H940" s="156" t="s">
        <v>146</v>
      </c>
      <c r="I940" s="149">
        <v>45687.0</v>
      </c>
      <c r="J940" s="149">
        <v>45692.0</v>
      </c>
      <c r="K940" s="1052" t="s">
        <v>5144</v>
      </c>
      <c r="L940" s="65"/>
      <c r="M940" s="156" t="s">
        <v>5132</v>
      </c>
      <c r="N940" s="156" t="s">
        <v>5133</v>
      </c>
      <c r="O940" s="153">
        <v>2.0</v>
      </c>
      <c r="P940" s="603" t="str">
        <f t="shared" si="52"/>
        <v>10.1177--0956797613508412.pdf</v>
      </c>
      <c r="Q940" s="49" t="str">
        <f t="array" ref="Q940"> if(iserror(MATCH(V940, 'File Links'!C:C, 0)), "N/A", HYPERLINK(INDEX('File Links'!B:B, MATCH(P940, 'File Links'!C:C, 0))))</f>
        <v>https://drive.google.com/file/d/1VYqvNkQuJmP378cGj71lJ4JV-clMH0Yv/view?usp=drivesdk</v>
      </c>
      <c r="R940" s="603" t="s">
        <v>3646</v>
      </c>
      <c r="S940" s="156" t="s">
        <v>3647</v>
      </c>
      <c r="T940" s="65"/>
      <c r="U940" s="153">
        <v>1.0</v>
      </c>
      <c r="V940" s="195" t="str">
        <f t="shared" si="50"/>
        <v>10.1098--rsos.231240.pdf</v>
      </c>
      <c r="W940" s="156" t="s">
        <v>3800</v>
      </c>
      <c r="X940" s="51" t="str">
        <f t="array" ref="X940"> if(iserror(MATCH(V940, 'File Links'!C:C, 0)), "N/A", HYPERLINK(INDEX('File Links'!B:B, MATCH(V940, 'File Links'!C:C, 0))))</f>
        <v>https://drive.google.com/file/d/17gaf2Zy_ljFfcAEDk5L8GBnTl5i7RGJE/view?usp=drivesdk</v>
      </c>
      <c r="Y940" s="65"/>
      <c r="Z940" s="156" t="s">
        <v>219</v>
      </c>
      <c r="AA940" s="156" t="s">
        <v>5139</v>
      </c>
      <c r="AB940" s="156" t="s">
        <v>5140</v>
      </c>
      <c r="AC940" s="156" t="s">
        <v>5145</v>
      </c>
      <c r="AD940" s="156" t="s">
        <v>5146</v>
      </c>
      <c r="AE940" s="153">
        <v>4.0</v>
      </c>
      <c r="AF940" s="153">
        <v>168.0</v>
      </c>
      <c r="AG940" s="333">
        <v>0.45</v>
      </c>
      <c r="AH940" s="153" t="s">
        <v>980</v>
      </c>
      <c r="AI940" s="153" t="s">
        <v>843</v>
      </c>
      <c r="AJ940" s="153">
        <v>0.001</v>
      </c>
      <c r="AK940" s="156" t="s">
        <v>128</v>
      </c>
      <c r="AL940" s="156" t="s">
        <v>129</v>
      </c>
      <c r="AM940" s="156" t="s">
        <v>134</v>
      </c>
      <c r="AN940" s="148" t="s">
        <v>131</v>
      </c>
      <c r="AO940" s="153">
        <v>37.0</v>
      </c>
      <c r="AP940" s="1293">
        <v>1.7739</v>
      </c>
      <c r="AQ940" s="153" t="s">
        <v>980</v>
      </c>
      <c r="AR940" s="65"/>
      <c r="AS940" s="153">
        <v>0.01574</v>
      </c>
      <c r="AT940" s="156" t="s">
        <v>165</v>
      </c>
      <c r="AU940" s="156" t="s">
        <v>179</v>
      </c>
      <c r="AV940" s="156" t="s">
        <v>134</v>
      </c>
      <c r="AW940" s="65"/>
      <c r="AX940" s="65" t="s">
        <v>136</v>
      </c>
      <c r="AZ940" s="65" t="s">
        <v>146</v>
      </c>
    </row>
    <row r="941">
      <c r="A941" s="41">
        <v>941.0</v>
      </c>
      <c r="B941" s="126" t="s">
        <v>4516</v>
      </c>
      <c r="C941" s="59" t="s">
        <v>108</v>
      </c>
      <c r="D941" s="59" t="s">
        <v>146</v>
      </c>
      <c r="F941" s="65" t="s">
        <v>5131</v>
      </c>
      <c r="G941" s="156" t="s">
        <v>5147</v>
      </c>
      <c r="H941" s="156" t="s">
        <v>146</v>
      </c>
      <c r="I941" s="149">
        <v>45687.0</v>
      </c>
      <c r="J941" s="149">
        <v>45692.0</v>
      </c>
      <c r="K941" s="1052" t="s">
        <v>5148</v>
      </c>
      <c r="L941" s="65"/>
      <c r="M941" s="156" t="s">
        <v>5132</v>
      </c>
      <c r="N941" s="156" t="s">
        <v>5133</v>
      </c>
      <c r="O941" s="153">
        <v>2.0</v>
      </c>
      <c r="P941" s="603" t="str">
        <f t="shared" si="52"/>
        <v>10.1177--0956797613508412.pdf</v>
      </c>
      <c r="Q941" s="49" t="str">
        <f t="array" ref="Q941"> if(iserror(MATCH(V941, 'File Links'!C:C, 0)), "N/A", HYPERLINK(INDEX('File Links'!B:B, MATCH(P941, 'File Links'!C:C, 0))))</f>
        <v>https://drive.google.com/file/d/1VYqvNkQuJmP378cGj71lJ4JV-clMH0Yv/view?usp=drivesdk</v>
      </c>
      <c r="R941" s="603" t="s">
        <v>3646</v>
      </c>
      <c r="S941" s="156" t="s">
        <v>3647</v>
      </c>
      <c r="T941" s="65"/>
      <c r="U941" s="153">
        <v>1.0</v>
      </c>
      <c r="V941" s="195" t="str">
        <f t="shared" si="50"/>
        <v>10.1098--rsos.231240.pdf</v>
      </c>
      <c r="W941" s="156" t="s">
        <v>3800</v>
      </c>
      <c r="X941" s="51" t="str">
        <f t="array" ref="X941"> if(iserror(MATCH(V941, 'File Links'!C:C, 0)), "N/A", HYPERLINK(INDEX('File Links'!B:B, MATCH(V941, 'File Links'!C:C, 0))))</f>
        <v>https://drive.google.com/file/d/17gaf2Zy_ljFfcAEDk5L8GBnTl5i7RGJE/view?usp=drivesdk</v>
      </c>
      <c r="Y941" s="65"/>
      <c r="Z941" s="156" t="s">
        <v>219</v>
      </c>
      <c r="AA941" s="156" t="s">
        <v>5139</v>
      </c>
      <c r="AB941" s="156" t="s">
        <v>5140</v>
      </c>
      <c r="AC941" s="156" t="s">
        <v>5149</v>
      </c>
      <c r="AD941" s="156" t="s">
        <v>5150</v>
      </c>
      <c r="AE941" s="153">
        <v>4.0</v>
      </c>
      <c r="AF941" s="153">
        <v>168.0</v>
      </c>
      <c r="AG941" s="333">
        <v>0.1</v>
      </c>
      <c r="AH941" s="153" t="s">
        <v>980</v>
      </c>
      <c r="AI941" s="153" t="s">
        <v>843</v>
      </c>
      <c r="AJ941" s="333">
        <v>0.56</v>
      </c>
      <c r="AK941" s="156" t="s">
        <v>165</v>
      </c>
      <c r="AL941" s="156" t="s">
        <v>129</v>
      </c>
      <c r="AM941" s="156" t="s">
        <v>134</v>
      </c>
      <c r="AN941" s="148" t="s">
        <v>131</v>
      </c>
      <c r="AO941" s="153">
        <v>37.0</v>
      </c>
      <c r="AP941" s="1293">
        <v>-1.2391</v>
      </c>
      <c r="AQ941" s="153" t="s">
        <v>980</v>
      </c>
      <c r="AR941" s="65"/>
      <c r="AS941" s="153">
        <v>0.00788</v>
      </c>
      <c r="AT941" s="156" t="s">
        <v>165</v>
      </c>
      <c r="AU941" s="156" t="s">
        <v>179</v>
      </c>
      <c r="AV941" s="156" t="s">
        <v>134</v>
      </c>
      <c r="AW941" s="65"/>
      <c r="AX941" s="65" t="s">
        <v>136</v>
      </c>
      <c r="AZ941" s="65" t="s">
        <v>146</v>
      </c>
    </row>
    <row r="942">
      <c r="A942" s="41">
        <v>942.0</v>
      </c>
      <c r="B942" s="65" t="s">
        <v>583</v>
      </c>
      <c r="C942" s="59" t="s">
        <v>108</v>
      </c>
      <c r="D942" s="59" t="s">
        <v>146</v>
      </c>
      <c r="F942" s="65" t="s">
        <v>5151</v>
      </c>
      <c r="G942" s="156" t="s">
        <v>5152</v>
      </c>
      <c r="H942" s="156" t="s">
        <v>146</v>
      </c>
      <c r="I942" s="149">
        <v>45687.0</v>
      </c>
      <c r="J942" s="149">
        <v>45692.0</v>
      </c>
      <c r="K942" s="434" t="s">
        <v>5153</v>
      </c>
      <c r="L942" s="65"/>
      <c r="M942" s="156" t="s">
        <v>5154</v>
      </c>
      <c r="N942" s="156" t="s">
        <v>5155</v>
      </c>
      <c r="O942" s="153">
        <v>8.0</v>
      </c>
      <c r="P942" s="603" t="str">
        <f t="shared" si="52"/>
        <v>10.1126--science.1250830.pdf</v>
      </c>
      <c r="Q942" s="49" t="str">
        <f t="array" ref="Q942"> if(iserror(MATCH(V942, 'File Links'!C:C, 0)), "N/A", HYPERLINK(INDEX('File Links'!B:B, MATCH(P942, 'File Links'!C:C, 0))))</f>
        <v>https://drive.google.com/file/d/164yvRbDzBp4QTOt60ne0zLFnKfzz6qWW/view?usp=drivesdk</v>
      </c>
      <c r="R942" s="603" t="s">
        <v>3646</v>
      </c>
      <c r="S942" s="156" t="s">
        <v>3647</v>
      </c>
      <c r="T942" s="65"/>
      <c r="U942" s="153">
        <v>1.0</v>
      </c>
      <c r="V942" s="195" t="str">
        <f t="shared" si="50"/>
        <v>10.1098--rsos.231240.pdf</v>
      </c>
      <c r="W942" s="156" t="s">
        <v>3664</v>
      </c>
      <c r="X942" s="51" t="str">
        <f t="array" ref="X942"> if(iserror(MATCH(V942, 'File Links'!C:C, 0)), "N/A", HYPERLINK(INDEX('File Links'!B:B, MATCH(V942, 'File Links'!C:C, 0))))</f>
        <v>https://drive.google.com/file/d/17gaf2Zy_ljFfcAEDk5L8GBnTl5i7RGJE/view?usp=drivesdk</v>
      </c>
      <c r="Y942" s="65"/>
      <c r="Z942" s="156" t="s">
        <v>219</v>
      </c>
      <c r="AA942" s="156" t="s">
        <v>5156</v>
      </c>
      <c r="AB942" s="156" t="s">
        <v>5157</v>
      </c>
      <c r="AC942" s="156" t="s">
        <v>5158</v>
      </c>
      <c r="AD942" s="156" t="s">
        <v>5159</v>
      </c>
      <c r="AE942" s="153">
        <v>3.0</v>
      </c>
      <c r="AF942" s="153">
        <v>30.0</v>
      </c>
      <c r="AG942" s="153" t="s">
        <v>5160</v>
      </c>
      <c r="AH942" s="153" t="s">
        <v>127</v>
      </c>
      <c r="AI942" s="153" t="s">
        <v>210</v>
      </c>
      <c r="AJ942" s="153">
        <v>0.001</v>
      </c>
      <c r="AK942" s="156" t="s">
        <v>128</v>
      </c>
      <c r="AL942" s="156" t="s">
        <v>129</v>
      </c>
      <c r="AM942" s="65" t="s">
        <v>130</v>
      </c>
      <c r="AN942" s="148" t="s">
        <v>131</v>
      </c>
      <c r="AO942" s="153">
        <v>52.0</v>
      </c>
      <c r="AP942" s="153">
        <v>1.68033610083361</v>
      </c>
      <c r="AQ942" s="153" t="s">
        <v>166</v>
      </c>
      <c r="AR942" s="65"/>
      <c r="AS942" s="153">
        <f>2.34043039062105*10^-7</f>
        <v>0.0000002340430391</v>
      </c>
      <c r="AT942" s="156" t="s">
        <v>165</v>
      </c>
      <c r="AU942" s="156" t="s">
        <v>129</v>
      </c>
      <c r="AV942" s="65" t="s">
        <v>130</v>
      </c>
      <c r="AW942" s="65"/>
      <c r="AX942" s="65" t="s">
        <v>136</v>
      </c>
      <c r="AZ942" s="65" t="s">
        <v>146</v>
      </c>
    </row>
    <row r="943">
      <c r="A943" s="41">
        <v>943.0</v>
      </c>
      <c r="B943" s="65" t="s">
        <v>107</v>
      </c>
      <c r="C943" s="59" t="s">
        <v>108</v>
      </c>
      <c r="D943" s="59" t="s">
        <v>241</v>
      </c>
      <c r="F943" s="156" t="s">
        <v>5161</v>
      </c>
      <c r="G943" s="156" t="s">
        <v>5162</v>
      </c>
      <c r="H943" s="156" t="s">
        <v>242</v>
      </c>
      <c r="I943" s="149">
        <v>45672.0</v>
      </c>
      <c r="J943" s="149">
        <v>45692.0</v>
      </c>
      <c r="K943" s="434" t="s">
        <v>5163</v>
      </c>
      <c r="L943" s="65"/>
      <c r="M943" s="156" t="s">
        <v>5164</v>
      </c>
      <c r="N943" s="156" t="s">
        <v>5165</v>
      </c>
      <c r="O943" s="65"/>
      <c r="P943" s="603" t="str">
        <f t="shared" si="52"/>
        <v>10.1016--j.obhdp.2010.10.001.pdf</v>
      </c>
      <c r="Q943" s="49" t="str">
        <f t="array" ref="Q943"> if(iserror(MATCH(V943, 'File Links'!C:C, 0)), "N/A", HYPERLINK(INDEX('File Links'!B:B, MATCH(P943, 'File Links'!C:C, 0))))</f>
        <v>https://drive.google.com/file/d/1zCYZDaOwE-K33Jkam-tMneBjxjoNVHza/view?usp=drivesdk</v>
      </c>
      <c r="R943" s="603" t="s">
        <v>3646</v>
      </c>
      <c r="S943" s="156" t="s">
        <v>3647</v>
      </c>
      <c r="T943" s="65"/>
      <c r="U943" s="153">
        <v>1.0</v>
      </c>
      <c r="V943" s="195" t="str">
        <f t="shared" si="50"/>
        <v>10.1098--rsos.231240.pdf</v>
      </c>
      <c r="W943" s="156" t="s">
        <v>3658</v>
      </c>
      <c r="X943" s="51" t="str">
        <f t="array" ref="X943"> if(iserror(MATCH(V943, 'File Links'!C:C, 0)), "N/A", HYPERLINK(INDEX('File Links'!B:B, MATCH(V943, 'File Links'!C:C, 0))))</f>
        <v>https://drive.google.com/file/d/17gaf2Zy_ljFfcAEDk5L8GBnTl5i7RGJE/view?usp=drivesdk</v>
      </c>
      <c r="Y943" s="65"/>
      <c r="Z943" s="156" t="s">
        <v>219</v>
      </c>
      <c r="AA943" s="65"/>
      <c r="AB943" s="65"/>
      <c r="AC943" s="65"/>
      <c r="AD943" s="156" t="s">
        <v>131</v>
      </c>
      <c r="AE943" s="156" t="s">
        <v>131</v>
      </c>
      <c r="AF943" s="153">
        <v>127.0</v>
      </c>
      <c r="AG943" s="156" t="s">
        <v>131</v>
      </c>
      <c r="AH943" s="65"/>
      <c r="AI943" s="156" t="s">
        <v>131</v>
      </c>
      <c r="AJ943" s="156" t="s">
        <v>131</v>
      </c>
      <c r="AK943" s="65"/>
      <c r="AL943" s="156" t="s">
        <v>179</v>
      </c>
      <c r="AM943" s="156" t="s">
        <v>1898</v>
      </c>
      <c r="AN943" s="148" t="s">
        <v>131</v>
      </c>
      <c r="AO943" s="153">
        <v>36.0</v>
      </c>
      <c r="AP943" s="156" t="s">
        <v>131</v>
      </c>
      <c r="AQ943" s="65"/>
      <c r="AR943" s="65"/>
      <c r="AS943" s="156" t="s">
        <v>131</v>
      </c>
      <c r="AT943" s="65"/>
      <c r="AU943" s="156" t="s">
        <v>179</v>
      </c>
      <c r="AV943" s="156" t="s">
        <v>1898</v>
      </c>
      <c r="AW943" s="65"/>
      <c r="AX943" s="156" t="s">
        <v>136</v>
      </c>
      <c r="AZ943" s="65" t="s">
        <v>146</v>
      </c>
    </row>
    <row r="944">
      <c r="A944" s="41">
        <v>944.0</v>
      </c>
      <c r="B944" s="65" t="s">
        <v>583</v>
      </c>
      <c r="C944" s="59" t="s">
        <v>108</v>
      </c>
      <c r="D944" s="59" t="s">
        <v>146</v>
      </c>
      <c r="F944" s="65" t="s">
        <v>5162</v>
      </c>
      <c r="G944" s="156" t="s">
        <v>5161</v>
      </c>
      <c r="H944" s="156" t="s">
        <v>146</v>
      </c>
      <c r="I944" s="149">
        <v>45687.0</v>
      </c>
      <c r="J944" s="149">
        <v>45692.0</v>
      </c>
      <c r="K944" s="1052" t="s">
        <v>5166</v>
      </c>
      <c r="L944" s="65"/>
      <c r="M944" s="156" t="s">
        <v>5164</v>
      </c>
      <c r="N944" s="156" t="s">
        <v>5165</v>
      </c>
      <c r="O944" s="153">
        <v>2.0</v>
      </c>
      <c r="P944" s="603" t="str">
        <f t="shared" si="52"/>
        <v>10.1016--j.obhdp.2010.10.001.pdf</v>
      </c>
      <c r="Q944" s="49" t="str">
        <f t="array" ref="Q944"> if(iserror(MATCH(V944, 'File Links'!C:C, 0)), "N/A", HYPERLINK(INDEX('File Links'!B:B, MATCH(P944, 'File Links'!C:C, 0))))</f>
        <v>https://drive.google.com/file/d/1zCYZDaOwE-K33Jkam-tMneBjxjoNVHza/view?usp=drivesdk</v>
      </c>
      <c r="R944" s="603" t="s">
        <v>3646</v>
      </c>
      <c r="S944" s="156" t="s">
        <v>3647</v>
      </c>
      <c r="T944" s="65"/>
      <c r="U944" s="153">
        <v>1.0</v>
      </c>
      <c r="V944" s="195" t="str">
        <f t="shared" si="50"/>
        <v>10.1098--rsos.231240.pdf</v>
      </c>
      <c r="W944" s="156" t="s">
        <v>4633</v>
      </c>
      <c r="X944" s="51" t="str">
        <f t="array" ref="X944"> if(iserror(MATCH(V944, 'File Links'!C:C, 0)), "N/A", HYPERLINK(INDEX('File Links'!B:B, MATCH(V944, 'File Links'!C:C, 0))))</f>
        <v>https://drive.google.com/file/d/17gaf2Zy_ljFfcAEDk5L8GBnTl5i7RGJE/view?usp=drivesdk</v>
      </c>
      <c r="Y944" s="65"/>
      <c r="Z944" s="156" t="s">
        <v>940</v>
      </c>
      <c r="AA944" s="156" t="s">
        <v>5167</v>
      </c>
      <c r="AB944" s="156" t="s">
        <v>5168</v>
      </c>
      <c r="AC944" s="156" t="s">
        <v>5169</v>
      </c>
      <c r="AD944" s="156" t="s">
        <v>5170</v>
      </c>
      <c r="AE944" s="153">
        <v>5.0</v>
      </c>
      <c r="AF944" s="153">
        <v>127.0</v>
      </c>
      <c r="AG944" s="158" t="s">
        <v>5171</v>
      </c>
      <c r="AH944" s="153" t="s">
        <v>127</v>
      </c>
      <c r="AI944" s="153" t="s">
        <v>806</v>
      </c>
      <c r="AJ944" s="153">
        <v>0.02</v>
      </c>
      <c r="AK944" s="156" t="s">
        <v>165</v>
      </c>
      <c r="AL944" s="156" t="s">
        <v>179</v>
      </c>
      <c r="AM944" s="156" t="s">
        <v>1898</v>
      </c>
      <c r="AN944" s="148" t="s">
        <v>131</v>
      </c>
      <c r="AO944" s="153">
        <v>36.0</v>
      </c>
      <c r="AP944" s="158" t="s">
        <v>5172</v>
      </c>
      <c r="AQ944" s="153" t="s">
        <v>127</v>
      </c>
      <c r="AR944" s="153" t="s">
        <v>133</v>
      </c>
      <c r="AS944" s="153">
        <v>1.0</v>
      </c>
      <c r="AT944" s="156" t="s">
        <v>165</v>
      </c>
      <c r="AU944" s="156" t="s">
        <v>179</v>
      </c>
      <c r="AV944" s="156" t="s">
        <v>1898</v>
      </c>
      <c r="AW944" s="65"/>
      <c r="AX944" s="65" t="s">
        <v>144</v>
      </c>
      <c r="AZ944" s="65" t="s">
        <v>146</v>
      </c>
    </row>
    <row r="945">
      <c r="A945" s="41">
        <v>945.0</v>
      </c>
      <c r="B945" s="65" t="s">
        <v>107</v>
      </c>
      <c r="C945" s="59" t="s">
        <v>108</v>
      </c>
      <c r="D945" s="59" t="s">
        <v>241</v>
      </c>
      <c r="F945" s="156" t="s">
        <v>5173</v>
      </c>
      <c r="G945" s="156" t="s">
        <v>5174</v>
      </c>
      <c r="H945" s="156" t="s">
        <v>242</v>
      </c>
      <c r="I945" s="149">
        <v>45673.0</v>
      </c>
      <c r="J945" s="149">
        <v>45692.0</v>
      </c>
      <c r="K945" s="65"/>
      <c r="L945" s="65" t="s">
        <v>3683</v>
      </c>
      <c r="M945" s="156" t="s">
        <v>5175</v>
      </c>
      <c r="N945" s="156" t="s">
        <v>5176</v>
      </c>
      <c r="O945" s="65"/>
      <c r="P945" s="603" t="str">
        <f t="shared" si="52"/>
        <v>10.1177--0956797615585002.pdf</v>
      </c>
      <c r="Q945" s="49" t="str">
        <f t="array" ref="Q945"> if(iserror(MATCH(V945, 'File Links'!C:C, 0)), "N/A", HYPERLINK(INDEX('File Links'!B:B, MATCH(P945, 'File Links'!C:C, 0))))</f>
        <v>https://drive.google.com/file/d/1hlj_PiSmruASavYOS4OPpCrR4tKfol15/view?usp=drivesdk</v>
      </c>
      <c r="R945" s="603" t="s">
        <v>3646</v>
      </c>
      <c r="S945" s="156" t="s">
        <v>3647</v>
      </c>
      <c r="T945" s="65"/>
      <c r="U945" s="153">
        <v>1.0</v>
      </c>
      <c r="V945" s="195" t="str">
        <f t="shared" si="50"/>
        <v>10.1098--rsos.231240.pdf</v>
      </c>
      <c r="W945" s="156" t="s">
        <v>317</v>
      </c>
      <c r="X945" s="51" t="str">
        <f t="array" ref="X945"> if(iserror(MATCH(V945, 'File Links'!C:C, 0)), "N/A", HYPERLINK(INDEX('File Links'!B:B, MATCH(V945, 'File Links'!C:C, 0))))</f>
        <v>https://drive.google.com/file/d/17gaf2Zy_ljFfcAEDk5L8GBnTl5i7RGJE/view?usp=drivesdk</v>
      </c>
      <c r="Y945" s="65"/>
      <c r="Z945" s="156" t="s">
        <v>141</v>
      </c>
      <c r="AA945" s="65"/>
      <c r="AB945" s="156" t="s">
        <v>4464</v>
      </c>
      <c r="AC945" s="65"/>
      <c r="AD945" s="156" t="s">
        <v>5177</v>
      </c>
      <c r="AE945" s="1056">
        <v>1272.0</v>
      </c>
      <c r="AF945" s="153">
        <v>12.0</v>
      </c>
      <c r="AG945" s="153">
        <v>32.04</v>
      </c>
      <c r="AH945" s="156" t="s">
        <v>1024</v>
      </c>
      <c r="AI945" s="1056">
        <v>1274.0</v>
      </c>
      <c r="AJ945" s="153">
        <v>0.001</v>
      </c>
      <c r="AK945" s="156" t="s">
        <v>128</v>
      </c>
      <c r="AL945" s="156" t="s">
        <v>179</v>
      </c>
      <c r="AM945" s="156" t="s">
        <v>134</v>
      </c>
      <c r="AN945" s="148" t="s">
        <v>131</v>
      </c>
      <c r="AO945" s="153">
        <v>30.0</v>
      </c>
      <c r="AP945" s="1240">
        <v>0.374440967926238</v>
      </c>
      <c r="AQ945" s="156" t="s">
        <v>166</v>
      </c>
      <c r="AR945" s="65"/>
      <c r="AS945" s="1240">
        <v>0.067319915476862</v>
      </c>
      <c r="AT945" s="156" t="s">
        <v>165</v>
      </c>
      <c r="AU945" s="156" t="s">
        <v>179</v>
      </c>
      <c r="AV945" s="156" t="s">
        <v>134</v>
      </c>
      <c r="AW945" s="65"/>
      <c r="AX945" s="156" t="s">
        <v>136</v>
      </c>
      <c r="AZ945" s="65" t="s">
        <v>146</v>
      </c>
    </row>
    <row r="946">
      <c r="A946" s="41">
        <v>946.0</v>
      </c>
      <c r="B946" s="126" t="s">
        <v>4516</v>
      </c>
      <c r="C946" s="59" t="s">
        <v>108</v>
      </c>
      <c r="D946" s="59" t="s">
        <v>146</v>
      </c>
      <c r="F946" s="65" t="s">
        <v>5174</v>
      </c>
      <c r="G946" s="156" t="s">
        <v>5173</v>
      </c>
      <c r="H946" s="156" t="s">
        <v>146</v>
      </c>
      <c r="I946" s="149">
        <v>45687.0</v>
      </c>
      <c r="J946" s="149">
        <v>45692.0</v>
      </c>
      <c r="K946" s="1052" t="s">
        <v>5178</v>
      </c>
      <c r="L946" s="65"/>
      <c r="M946" s="156" t="s">
        <v>5175</v>
      </c>
      <c r="N946" s="156" t="s">
        <v>5176</v>
      </c>
      <c r="O946" s="153" t="s">
        <v>4085</v>
      </c>
      <c r="P946" s="603" t="str">
        <f t="shared" si="52"/>
        <v>10.1177--0956797615585002.pdf</v>
      </c>
      <c r="Q946" s="49" t="str">
        <f t="array" ref="Q946"> if(iserror(MATCH(V946, 'File Links'!C:C, 0)), "N/A", HYPERLINK(INDEX('File Links'!B:B, MATCH(P946, 'File Links'!C:C, 0))))</f>
        <v>https://drive.google.com/file/d/1hlj_PiSmruASavYOS4OPpCrR4tKfol15/view?usp=drivesdk</v>
      </c>
      <c r="R946" s="603" t="s">
        <v>3646</v>
      </c>
      <c r="S946" s="156" t="s">
        <v>3647</v>
      </c>
      <c r="T946" s="65"/>
      <c r="U946" s="153">
        <v>1.0</v>
      </c>
      <c r="V946" s="195" t="str">
        <f t="shared" si="50"/>
        <v>10.1098--rsos.231240.pdf</v>
      </c>
      <c r="W946" s="156" t="s">
        <v>3719</v>
      </c>
      <c r="X946" s="51" t="str">
        <f t="array" ref="X946"> if(iserror(MATCH(V946, 'File Links'!C:C, 0)), "N/A", HYPERLINK(INDEX('File Links'!B:B, MATCH(V946, 'File Links'!C:C, 0))))</f>
        <v>https://drive.google.com/file/d/17gaf2Zy_ljFfcAEDk5L8GBnTl5i7RGJE/view?usp=drivesdk</v>
      </c>
      <c r="Y946" s="65"/>
      <c r="Z946" s="156" t="s">
        <v>141</v>
      </c>
      <c r="AA946" s="156" t="s">
        <v>5179</v>
      </c>
      <c r="AB946" s="156" t="s">
        <v>5180</v>
      </c>
      <c r="AC946" s="156" t="s">
        <v>5181</v>
      </c>
      <c r="AD946" s="156" t="s">
        <v>5182</v>
      </c>
      <c r="AE946" s="153">
        <v>4.0</v>
      </c>
      <c r="AF946" s="153">
        <v>12.0</v>
      </c>
      <c r="AG946" s="153">
        <v>0.74</v>
      </c>
      <c r="AH946" s="153" t="s">
        <v>867</v>
      </c>
      <c r="AI946" s="153" t="s">
        <v>843</v>
      </c>
      <c r="AJ946" s="153">
        <v>0.001</v>
      </c>
      <c r="AK946" s="156" t="s">
        <v>128</v>
      </c>
      <c r="AL946" s="156" t="s">
        <v>179</v>
      </c>
      <c r="AM946" s="156" t="s">
        <v>134</v>
      </c>
      <c r="AN946" s="148" t="s">
        <v>131</v>
      </c>
      <c r="AO946" s="153">
        <v>30.0</v>
      </c>
      <c r="AP946" s="153" t="s">
        <v>5183</v>
      </c>
      <c r="AQ946" s="153" t="s">
        <v>127</v>
      </c>
      <c r="AR946" s="153" t="s">
        <v>133</v>
      </c>
      <c r="AS946" s="153">
        <v>0.0673199</v>
      </c>
      <c r="AT946" s="156" t="s">
        <v>165</v>
      </c>
      <c r="AU946" s="156" t="s">
        <v>179</v>
      </c>
      <c r="AV946" s="156" t="s">
        <v>134</v>
      </c>
      <c r="AW946" s="432" t="s">
        <v>5184</v>
      </c>
      <c r="AX946" s="65" t="s">
        <v>144</v>
      </c>
      <c r="AZ946" s="65" t="s">
        <v>146</v>
      </c>
    </row>
    <row r="947">
      <c r="A947" s="41">
        <v>947.0</v>
      </c>
      <c r="B947" s="126" t="s">
        <v>4516</v>
      </c>
      <c r="C947" s="59" t="s">
        <v>108</v>
      </c>
      <c r="D947" s="59" t="s">
        <v>146</v>
      </c>
      <c r="F947" s="65" t="s">
        <v>5174</v>
      </c>
      <c r="G947" s="156" t="s">
        <v>5185</v>
      </c>
      <c r="H947" s="156" t="s">
        <v>146</v>
      </c>
      <c r="I947" s="149">
        <v>45687.0</v>
      </c>
      <c r="J947" s="149">
        <v>45692.0</v>
      </c>
      <c r="K947" s="1052" t="s">
        <v>5186</v>
      </c>
      <c r="L947" s="65"/>
      <c r="M947" s="156" t="s">
        <v>5175</v>
      </c>
      <c r="N947" s="156" t="s">
        <v>5176</v>
      </c>
      <c r="O947" s="153" t="s">
        <v>4085</v>
      </c>
      <c r="P947" s="603" t="str">
        <f t="shared" si="52"/>
        <v>10.1177--0956797615585002.pdf</v>
      </c>
      <c r="Q947" s="49" t="str">
        <f t="array" ref="Q947"> if(iserror(MATCH(V947, 'File Links'!C:C, 0)), "N/A", HYPERLINK(INDEX('File Links'!B:B, MATCH(P947, 'File Links'!C:C, 0))))</f>
        <v>https://drive.google.com/file/d/1hlj_PiSmruASavYOS4OPpCrR4tKfol15/view?usp=drivesdk</v>
      </c>
      <c r="R947" s="603" t="s">
        <v>3646</v>
      </c>
      <c r="S947" s="156" t="s">
        <v>3647</v>
      </c>
      <c r="T947" s="65"/>
      <c r="U947" s="153">
        <v>1.0</v>
      </c>
      <c r="V947" s="195" t="str">
        <f t="shared" si="50"/>
        <v>10.1098--rsos.231240.pdf</v>
      </c>
      <c r="W947" s="156" t="s">
        <v>3719</v>
      </c>
      <c r="X947" s="51" t="str">
        <f t="array" ref="X947"> if(iserror(MATCH(V947, 'File Links'!C:C, 0)), "N/A", HYPERLINK(INDEX('File Links'!B:B, MATCH(V947, 'File Links'!C:C, 0))))</f>
        <v>https://drive.google.com/file/d/17gaf2Zy_ljFfcAEDk5L8GBnTl5i7RGJE/view?usp=drivesdk</v>
      </c>
      <c r="Y947" s="65"/>
      <c r="Z947" s="156" t="s">
        <v>141</v>
      </c>
      <c r="AA947" s="156" t="s">
        <v>5179</v>
      </c>
      <c r="AB947" s="156" t="s">
        <v>5180</v>
      </c>
      <c r="AC947" s="156" t="s">
        <v>5187</v>
      </c>
      <c r="AD947" s="156" t="s">
        <v>5188</v>
      </c>
      <c r="AE947" s="153">
        <v>4.0</v>
      </c>
      <c r="AF947" s="153">
        <v>12.0</v>
      </c>
      <c r="AG947" s="333">
        <v>0.64</v>
      </c>
      <c r="AH947" s="153" t="s">
        <v>867</v>
      </c>
      <c r="AI947" s="153" t="s">
        <v>843</v>
      </c>
      <c r="AJ947" s="153">
        <v>0.001</v>
      </c>
      <c r="AK947" s="156" t="s">
        <v>165</v>
      </c>
      <c r="AL947" s="156" t="s">
        <v>179</v>
      </c>
      <c r="AM947" s="156" t="s">
        <v>134</v>
      </c>
      <c r="AN947" s="148" t="s">
        <v>131</v>
      </c>
      <c r="AO947" s="153">
        <v>30.0</v>
      </c>
      <c r="AP947" s="333" t="s">
        <v>5189</v>
      </c>
      <c r="AQ947" s="153" t="s">
        <v>127</v>
      </c>
      <c r="AR947" s="333" t="s">
        <v>125</v>
      </c>
      <c r="AS947" s="153">
        <v>0.0871952</v>
      </c>
      <c r="AT947" s="156" t="s">
        <v>165</v>
      </c>
      <c r="AU947" s="156" t="s">
        <v>179</v>
      </c>
      <c r="AV947" s="156" t="s">
        <v>134</v>
      </c>
      <c r="AW947" s="432" t="s">
        <v>5184</v>
      </c>
      <c r="AX947" s="65" t="s">
        <v>144</v>
      </c>
      <c r="AZ947" s="65" t="s">
        <v>146</v>
      </c>
    </row>
    <row r="948">
      <c r="A948" s="41">
        <v>948.0</v>
      </c>
      <c r="B948" s="65" t="s">
        <v>107</v>
      </c>
      <c r="C948" s="59" t="s">
        <v>108</v>
      </c>
      <c r="D948" s="59" t="s">
        <v>146</v>
      </c>
      <c r="F948" s="65" t="s">
        <v>5190</v>
      </c>
      <c r="G948" s="156" t="s">
        <v>5191</v>
      </c>
      <c r="H948" s="156" t="s">
        <v>146</v>
      </c>
      <c r="I948" s="149">
        <v>45687.0</v>
      </c>
      <c r="J948" s="149">
        <v>45692.0</v>
      </c>
      <c r="K948" s="65"/>
      <c r="L948" s="65"/>
      <c r="M948" s="156" t="s">
        <v>4973</v>
      </c>
      <c r="N948" s="156" t="s">
        <v>4974</v>
      </c>
      <c r="O948" s="153">
        <v>3.0</v>
      </c>
      <c r="P948" s="603" t="str">
        <f t="shared" si="52"/>
        <v>10.1177--0956797616674999.pdf</v>
      </c>
      <c r="Q948" s="49" t="str">
        <f t="array" ref="Q948"> if(iserror(MATCH(V948, 'File Links'!C:C, 0)), "N/A", HYPERLINK(INDEX('File Links'!B:B, MATCH(P948, 'File Links'!C:C, 0))))</f>
        <v>https://drive.google.com/file/d/1wVhOcOsRL9M-ypPdSaPRTLv-PLlAWOf1/view?usp=drivesdk</v>
      </c>
      <c r="R948" s="603" t="s">
        <v>3646</v>
      </c>
      <c r="S948" s="156" t="s">
        <v>3647</v>
      </c>
      <c r="T948" s="438" t="s">
        <v>5192</v>
      </c>
      <c r="U948" s="153">
        <v>1.0</v>
      </c>
      <c r="V948" s="379" t="s">
        <v>3651</v>
      </c>
      <c r="W948" s="156" t="s">
        <v>157</v>
      </c>
      <c r="X948" s="51" t="str">
        <f t="array" ref="X948"> if(iserror(MATCH(V948, 'File Links'!C:C, 0)), "N/A", HYPERLINK(INDEX('File Links'!B:B, MATCH(V948, 'File Links'!C:C, 0))))</f>
        <v>https://drive.google.com/file/d/17gaf2Zy_ljFfcAEDk5L8GBnTl5i7RGJE/view?usp=drivesdk</v>
      </c>
      <c r="Y948" s="156" t="s">
        <v>5193</v>
      </c>
      <c r="Z948" s="65"/>
      <c r="AA948" s="65"/>
      <c r="AB948" s="65"/>
      <c r="AC948" s="65"/>
      <c r="AD948" s="65"/>
      <c r="AE948" s="65"/>
      <c r="AF948" s="65"/>
      <c r="AG948" s="65"/>
      <c r="AH948" s="65"/>
      <c r="AI948" s="65"/>
      <c r="AJ948" s="65"/>
      <c r="AK948" s="65"/>
      <c r="AL948" s="65"/>
      <c r="AM948" s="65"/>
      <c r="AN948" s="148" t="s">
        <v>131</v>
      </c>
      <c r="AO948" s="65"/>
      <c r="AP948" s="65"/>
      <c r="AQ948" s="65"/>
      <c r="AR948" s="65"/>
      <c r="AS948" s="65"/>
      <c r="AT948" s="65"/>
      <c r="AU948" s="65"/>
      <c r="AV948" s="65"/>
      <c r="AW948" s="65"/>
      <c r="AX948" s="65"/>
      <c r="AZ948" s="65" t="s">
        <v>146</v>
      </c>
    </row>
    <row r="949">
      <c r="A949" s="41">
        <v>949.0</v>
      </c>
      <c r="B949" s="126" t="s">
        <v>4516</v>
      </c>
      <c r="C949" s="59" t="s">
        <v>108</v>
      </c>
      <c r="D949" s="59" t="s">
        <v>241</v>
      </c>
      <c r="F949" s="156" t="s">
        <v>5194</v>
      </c>
      <c r="G949" s="156" t="s">
        <v>5195</v>
      </c>
      <c r="H949" s="156" t="s">
        <v>242</v>
      </c>
      <c r="I949" s="149">
        <v>45673.0</v>
      </c>
      <c r="J949" s="149">
        <v>45692.0</v>
      </c>
      <c r="K949" s="434" t="s">
        <v>5196</v>
      </c>
      <c r="L949" s="65"/>
      <c r="M949" s="156" t="s">
        <v>5197</v>
      </c>
      <c r="N949" s="156" t="s">
        <v>5198</v>
      </c>
      <c r="O949" s="65"/>
      <c r="P949" s="603" t="str">
        <f t="shared" si="52"/>
        <v>10.1177--0956797618779061.pdf</v>
      </c>
      <c r="Q949" s="49" t="str">
        <f t="array" ref="Q949"> if(iserror(MATCH(V949, 'File Links'!C:C, 0)), "N/A", HYPERLINK(INDEX('File Links'!B:B, MATCH(P949, 'File Links'!C:C, 0))))</f>
        <v>https://drive.google.com/file/d/1TVEae0arGcjXygxgVD8laFAM0LcnW7EM/view?usp=drivesdk</v>
      </c>
      <c r="R949" s="603" t="s">
        <v>3646</v>
      </c>
      <c r="S949" s="156" t="s">
        <v>3647</v>
      </c>
      <c r="T949" s="65"/>
      <c r="U949" s="153">
        <v>1.0</v>
      </c>
      <c r="V949" s="195" t="str">
        <f t="shared" ref="V949:V998" si="53"> hyperlink(vlookup(lower(S949),#REF!, 2, FALSE), SUBSTITUTE(lower(S949), "/", "--") &amp;  ".pdf")</f>
        <v>10.1098--rsos.231240.pdf</v>
      </c>
      <c r="W949" s="156" t="s">
        <v>3797</v>
      </c>
      <c r="X949" s="51" t="str">
        <f t="array" ref="X949"> if(iserror(MATCH(V949, 'File Links'!C:C, 0)), "N/A", HYPERLINK(INDEX('File Links'!B:B, MATCH(V949, 'File Links'!C:C, 0))))</f>
        <v>https://drive.google.com/file/d/17gaf2Zy_ljFfcAEDk5L8GBnTl5i7RGJE/view?usp=drivesdk</v>
      </c>
      <c r="Y949" s="65"/>
      <c r="Z949" s="156" t="s">
        <v>219</v>
      </c>
      <c r="AA949" s="65"/>
      <c r="AB949" s="156" t="s">
        <v>3841</v>
      </c>
      <c r="AC949" s="65"/>
      <c r="AD949" s="156" t="s">
        <v>5199</v>
      </c>
      <c r="AE949" s="153">
        <v>5.0</v>
      </c>
      <c r="AF949" s="153">
        <v>32.0</v>
      </c>
      <c r="AG949" s="153">
        <v>1.4</v>
      </c>
      <c r="AH949" s="156" t="s">
        <v>166</v>
      </c>
      <c r="AI949" s="156" t="s">
        <v>875</v>
      </c>
      <c r="AJ949" s="153">
        <v>0.001</v>
      </c>
      <c r="AK949" s="156" t="s">
        <v>128</v>
      </c>
      <c r="AL949" s="156" t="s">
        <v>179</v>
      </c>
      <c r="AM949" s="156" t="s">
        <v>130</v>
      </c>
      <c r="AN949" s="307" t="s">
        <v>5200</v>
      </c>
      <c r="AO949" s="153">
        <v>17.0</v>
      </c>
      <c r="AP949" s="1240">
        <v>0.64</v>
      </c>
      <c r="AQ949" s="156" t="s">
        <v>166</v>
      </c>
      <c r="AR949" s="65"/>
      <c r="AS949" s="1243">
        <f>3.2*10^-4</f>
        <v>0.00032</v>
      </c>
      <c r="AT949" s="156" t="s">
        <v>165</v>
      </c>
      <c r="AU949" s="156" t="s">
        <v>179</v>
      </c>
      <c r="AV949" s="1295" t="s">
        <v>130</v>
      </c>
      <c r="AW949" s="65"/>
      <c r="AX949" s="156" t="s">
        <v>136</v>
      </c>
      <c r="AZ949" s="65" t="s">
        <v>146</v>
      </c>
    </row>
    <row r="950">
      <c r="A950" s="41">
        <v>950.0</v>
      </c>
      <c r="B950" s="65" t="s">
        <v>107</v>
      </c>
      <c r="C950" s="59" t="s">
        <v>108</v>
      </c>
      <c r="D950" s="59" t="s">
        <v>146</v>
      </c>
      <c r="F950" s="65" t="s">
        <v>5195</v>
      </c>
      <c r="G950" s="156" t="s">
        <v>5194</v>
      </c>
      <c r="H950" s="156" t="s">
        <v>146</v>
      </c>
      <c r="I950" s="149">
        <v>45687.0</v>
      </c>
      <c r="J950" s="149">
        <v>45692.0</v>
      </c>
      <c r="K950" s="434" t="s">
        <v>4815</v>
      </c>
      <c r="L950" s="65"/>
      <c r="M950" s="156" t="s">
        <v>5197</v>
      </c>
      <c r="N950" s="156" t="s">
        <v>5198</v>
      </c>
      <c r="O950" s="153">
        <v>2.0</v>
      </c>
      <c r="P950" s="603" t="str">
        <f t="shared" si="52"/>
        <v>10.1177--0956797618779061.pdf</v>
      </c>
      <c r="Q950" s="49" t="str">
        <f t="array" ref="Q950"> if(iserror(MATCH(V950, 'File Links'!C:C, 0)), "N/A", HYPERLINK(INDEX('File Links'!B:B, MATCH(P950, 'File Links'!C:C, 0))))</f>
        <v>https://drive.google.com/file/d/1TVEae0arGcjXygxgVD8laFAM0LcnW7EM/view?usp=drivesdk</v>
      </c>
      <c r="R950" s="603" t="s">
        <v>3646</v>
      </c>
      <c r="S950" s="156" t="s">
        <v>3647</v>
      </c>
      <c r="T950" s="65"/>
      <c r="U950" s="153">
        <v>1.0</v>
      </c>
      <c r="V950" s="195" t="str">
        <f t="shared" si="53"/>
        <v>10.1098--rsos.231240.pdf</v>
      </c>
      <c r="W950" s="156" t="s">
        <v>3800</v>
      </c>
      <c r="X950" s="51" t="str">
        <f t="array" ref="X950"> if(iserror(MATCH(V950, 'File Links'!C:C, 0)), "N/A", HYPERLINK(INDEX('File Links'!B:B, MATCH(V950, 'File Links'!C:C, 0))))</f>
        <v>https://drive.google.com/file/d/17gaf2Zy_ljFfcAEDk5L8GBnTl5i7RGJE/view?usp=drivesdk</v>
      </c>
      <c r="Y950" s="65"/>
      <c r="Z950" s="156" t="s">
        <v>219</v>
      </c>
      <c r="AA950" s="156" t="s">
        <v>5201</v>
      </c>
      <c r="AB950" s="156" t="s">
        <v>5202</v>
      </c>
      <c r="AC950" s="156" t="s">
        <v>5203</v>
      </c>
      <c r="AD950" s="156" t="s">
        <v>5204</v>
      </c>
      <c r="AE950" s="153">
        <v>5.0</v>
      </c>
      <c r="AF950" s="1090">
        <v>32.0</v>
      </c>
      <c r="AG950" s="153">
        <v>1.72</v>
      </c>
      <c r="AH950" s="153" t="s">
        <v>980</v>
      </c>
      <c r="AI950" s="153" t="s">
        <v>806</v>
      </c>
      <c r="AJ950" s="65"/>
      <c r="AK950" s="65"/>
      <c r="AL950" s="156" t="s">
        <v>179</v>
      </c>
      <c r="AM950" s="156" t="s">
        <v>130</v>
      </c>
      <c r="AN950" s="677" t="s">
        <v>5200</v>
      </c>
      <c r="AO950" s="153">
        <v>17.0</v>
      </c>
      <c r="AP950" s="153">
        <v>0.64</v>
      </c>
      <c r="AQ950" s="153" t="s">
        <v>166</v>
      </c>
      <c r="AR950" s="153" t="s">
        <v>131</v>
      </c>
      <c r="AS950" s="153">
        <f>3.25485366864697*10^-4</f>
        <v>0.0003254853669</v>
      </c>
      <c r="AT950" s="156" t="s">
        <v>165</v>
      </c>
      <c r="AU950" s="156" t="s">
        <v>179</v>
      </c>
      <c r="AV950" s="1295" t="s">
        <v>130</v>
      </c>
      <c r="AW950" s="65"/>
      <c r="AX950" s="65" t="s">
        <v>136</v>
      </c>
      <c r="AZ950" s="65" t="s">
        <v>146</v>
      </c>
    </row>
    <row r="951">
      <c r="A951" s="41">
        <v>951.0</v>
      </c>
      <c r="B951" s="65" t="s">
        <v>107</v>
      </c>
      <c r="C951" s="59" t="s">
        <v>108</v>
      </c>
      <c r="D951" s="59" t="s">
        <v>241</v>
      </c>
      <c r="F951" s="156" t="s">
        <v>5205</v>
      </c>
      <c r="G951" s="156" t="s">
        <v>5206</v>
      </c>
      <c r="H951" s="156" t="s">
        <v>242</v>
      </c>
      <c r="I951" s="149">
        <v>45673.0</v>
      </c>
      <c r="J951" s="149">
        <v>45692.0</v>
      </c>
      <c r="K951" s="65"/>
      <c r="L951" s="65" t="s">
        <v>3683</v>
      </c>
      <c r="M951" s="156" t="s">
        <v>5207</v>
      </c>
      <c r="N951" s="156" t="s">
        <v>5208</v>
      </c>
      <c r="O951" s="65"/>
      <c r="P951" s="603" t="str">
        <f t="shared" si="52"/>
        <v>10.1111--1467-9280.02436.pdf</v>
      </c>
      <c r="Q951" s="49" t="str">
        <f t="array" ref="Q951"> if(iserror(MATCH(V951, 'File Links'!C:C, 0)), "N/A", HYPERLINK(INDEX('File Links'!B:B, MATCH(P951, 'File Links'!C:C, 0))))</f>
        <v>https://drive.google.com/file/d/1KeSwecAaGUPly_0Khma5VYzCJyRIWBpt/view?usp=drivesdk</v>
      </c>
      <c r="R951" s="603" t="s">
        <v>3646</v>
      </c>
      <c r="S951" s="156" t="s">
        <v>3647</v>
      </c>
      <c r="T951" s="65"/>
      <c r="U951" s="153">
        <v>1.0</v>
      </c>
      <c r="V951" s="195" t="str">
        <f t="shared" si="53"/>
        <v>10.1098--rsos.231240.pdf</v>
      </c>
      <c r="W951" s="156" t="s">
        <v>317</v>
      </c>
      <c r="X951" s="51" t="str">
        <f t="array" ref="X951"> if(iserror(MATCH(V951, 'File Links'!C:C, 0)), "N/A", HYPERLINK(INDEX('File Links'!B:B, MATCH(V951, 'File Links'!C:C, 0))))</f>
        <v>https://drive.google.com/file/d/17gaf2Zy_ljFfcAEDk5L8GBnTl5i7RGJE/view?usp=drivesdk</v>
      </c>
      <c r="Y951" s="65"/>
      <c r="Z951" s="156" t="s">
        <v>141</v>
      </c>
      <c r="AA951" s="65"/>
      <c r="AB951" s="156" t="s">
        <v>4419</v>
      </c>
      <c r="AC951" s="65"/>
      <c r="AD951" s="156" t="s">
        <v>5209</v>
      </c>
      <c r="AE951" s="1056">
        <v>227.0</v>
      </c>
      <c r="AF951" s="153">
        <v>18.0</v>
      </c>
      <c r="AG951" s="1239" t="s">
        <v>5210</v>
      </c>
      <c r="AH951" s="116" t="s">
        <v>127</v>
      </c>
      <c r="AI951" s="1057" t="s">
        <v>5211</v>
      </c>
      <c r="AJ951" s="153">
        <v>0.01</v>
      </c>
      <c r="AK951" s="156" t="s">
        <v>2242</v>
      </c>
      <c r="AL951" s="156" t="s">
        <v>129</v>
      </c>
      <c r="AM951" s="156" t="s">
        <v>134</v>
      </c>
      <c r="AN951" s="148" t="s">
        <v>131</v>
      </c>
      <c r="AO951" s="153">
        <v>10.0</v>
      </c>
      <c r="AP951" s="1240">
        <v>-0.478539444560215</v>
      </c>
      <c r="AQ951" s="156" t="s">
        <v>166</v>
      </c>
      <c r="AR951" s="65"/>
      <c r="AS951" s="1240">
        <v>0.184939813686217</v>
      </c>
      <c r="AT951" s="156" t="s">
        <v>165</v>
      </c>
      <c r="AU951" s="156" t="s">
        <v>179</v>
      </c>
      <c r="AV951" s="156" t="s">
        <v>134</v>
      </c>
      <c r="AW951" s="65"/>
      <c r="AX951" s="156" t="s">
        <v>136</v>
      </c>
      <c r="AZ951" s="65" t="s">
        <v>146</v>
      </c>
    </row>
    <row r="952">
      <c r="A952" s="41">
        <v>952.0</v>
      </c>
      <c r="B952" s="126" t="s">
        <v>4516</v>
      </c>
      <c r="C952" s="59" t="s">
        <v>108</v>
      </c>
      <c r="D952" s="59" t="s">
        <v>146</v>
      </c>
      <c r="F952" s="65" t="s">
        <v>5206</v>
      </c>
      <c r="G952" s="156" t="s">
        <v>5205</v>
      </c>
      <c r="H952" s="156" t="s">
        <v>146</v>
      </c>
      <c r="I952" s="149">
        <v>45687.0</v>
      </c>
      <c r="J952" s="149">
        <v>45692.0</v>
      </c>
      <c r="K952" s="1052" t="s">
        <v>5212</v>
      </c>
      <c r="L952" s="65"/>
      <c r="M952" s="156" t="s">
        <v>5207</v>
      </c>
      <c r="N952" s="156" t="s">
        <v>5208</v>
      </c>
      <c r="O952" s="153">
        <v>1.0</v>
      </c>
      <c r="P952" s="603" t="str">
        <f t="shared" si="52"/>
        <v>10.1111--1467-9280.02436.pdf</v>
      </c>
      <c r="Q952" s="49" t="str">
        <f t="array" ref="Q952"> if(iserror(MATCH(V952, 'File Links'!C:C, 0)), "N/A", HYPERLINK(INDEX('File Links'!B:B, MATCH(P952, 'File Links'!C:C, 0))))</f>
        <v>https://drive.google.com/file/d/1KeSwecAaGUPly_0Khma5VYzCJyRIWBpt/view?usp=drivesdk</v>
      </c>
      <c r="R952" s="603" t="s">
        <v>3646</v>
      </c>
      <c r="S952" s="156" t="s">
        <v>3647</v>
      </c>
      <c r="T952" s="65"/>
      <c r="U952" s="153">
        <v>1.0</v>
      </c>
      <c r="V952" s="195" t="str">
        <f t="shared" si="53"/>
        <v>10.1098--rsos.231240.pdf</v>
      </c>
      <c r="W952" s="156" t="s">
        <v>4633</v>
      </c>
      <c r="X952" s="51" t="str">
        <f t="array" ref="X952"> if(iserror(MATCH(V952, 'File Links'!C:C, 0)), "N/A", HYPERLINK(INDEX('File Links'!B:B, MATCH(V952, 'File Links'!C:C, 0))))</f>
        <v>https://drive.google.com/file/d/17gaf2Zy_ljFfcAEDk5L8GBnTl5i7RGJE/view?usp=drivesdk</v>
      </c>
      <c r="Y952" s="65"/>
      <c r="Z952" s="156" t="s">
        <v>141</v>
      </c>
      <c r="AA952" s="156" t="s">
        <v>5213</v>
      </c>
      <c r="AB952" s="156" t="s">
        <v>5214</v>
      </c>
      <c r="AC952" s="156" t="s">
        <v>5215</v>
      </c>
      <c r="AD952" s="156" t="s">
        <v>5216</v>
      </c>
      <c r="AE952" s="153">
        <v>3.0</v>
      </c>
      <c r="AF952" s="153">
        <v>18.0</v>
      </c>
      <c r="AG952" s="153">
        <v>0.6864229531</v>
      </c>
      <c r="AH952" s="153" t="s">
        <v>166</v>
      </c>
      <c r="AI952" s="153" t="s">
        <v>210</v>
      </c>
      <c r="AJ952" s="153">
        <v>0.01</v>
      </c>
      <c r="AK952" s="156" t="s">
        <v>2242</v>
      </c>
      <c r="AL952" s="156" t="s">
        <v>129</v>
      </c>
      <c r="AM952" s="156" t="s">
        <v>134</v>
      </c>
      <c r="AN952" s="148" t="s">
        <v>131</v>
      </c>
      <c r="AO952" s="153">
        <v>10.0</v>
      </c>
      <c r="AP952" s="153">
        <v>-0.4785394446</v>
      </c>
      <c r="AQ952" s="153" t="s">
        <v>166</v>
      </c>
      <c r="AR952" s="153" t="s">
        <v>429</v>
      </c>
      <c r="AS952" s="153">
        <f>0.0185</f>
        <v>0.0185</v>
      </c>
      <c r="AT952" s="156" t="s">
        <v>165</v>
      </c>
      <c r="AU952" s="156" t="s">
        <v>179</v>
      </c>
      <c r="AV952" s="156" t="s">
        <v>134</v>
      </c>
      <c r="AW952" s="65"/>
      <c r="AX952" s="65" t="s">
        <v>136</v>
      </c>
      <c r="AZ952" s="65" t="s">
        <v>146</v>
      </c>
    </row>
    <row r="953">
      <c r="A953" s="41">
        <v>953.0</v>
      </c>
      <c r="B953" s="65" t="s">
        <v>583</v>
      </c>
      <c r="C953" s="59" t="s">
        <v>108</v>
      </c>
      <c r="D953" s="59" t="s">
        <v>241</v>
      </c>
      <c r="F953" s="156" t="s">
        <v>5217</v>
      </c>
      <c r="G953" s="156" t="s">
        <v>5218</v>
      </c>
      <c r="H953" s="156" t="s">
        <v>242</v>
      </c>
      <c r="I953" s="149">
        <v>45673.0</v>
      </c>
      <c r="J953" s="149">
        <v>45692.0</v>
      </c>
      <c r="K953" s="434" t="s">
        <v>5219</v>
      </c>
      <c r="L953" s="65" t="s">
        <v>5220</v>
      </c>
      <c r="M953" s="156" t="s">
        <v>5221</v>
      </c>
      <c r="N953" s="156" t="s">
        <v>5222</v>
      </c>
      <c r="O953" s="65"/>
      <c r="P953" s="603" t="str">
        <f t="shared" si="52"/>
        <v>10.1177--0956797619856844.pdf</v>
      </c>
      <c r="Q953" s="49" t="str">
        <f t="array" ref="Q953"> if(iserror(MATCH(V953, 'File Links'!C:C, 0)), "N/A", HYPERLINK(INDEX('File Links'!B:B, MATCH(P953, 'File Links'!C:C, 0))))</f>
        <v>https://drive.google.com/file/d/1QWFGg5y_FwCsYU4iJVkw7s0HZoH7av3y/view?usp=drivesdk</v>
      </c>
      <c r="R953" s="603" t="s">
        <v>3646</v>
      </c>
      <c r="S953" s="156" t="s">
        <v>3647</v>
      </c>
      <c r="T953" s="65"/>
      <c r="U953" s="153">
        <v>1.0</v>
      </c>
      <c r="V953" s="195" t="str">
        <f t="shared" si="53"/>
        <v>10.1098--rsos.231240.pdf</v>
      </c>
      <c r="W953" s="156" t="s">
        <v>3797</v>
      </c>
      <c r="X953" s="51" t="str">
        <f t="array" ref="X953"> if(iserror(MATCH(V953, 'File Links'!C:C, 0)), "N/A", HYPERLINK(INDEX('File Links'!B:B, MATCH(V953, 'File Links'!C:C, 0))))</f>
        <v>https://drive.google.com/file/d/17gaf2Zy_ljFfcAEDk5L8GBnTl5i7RGJE/view?usp=drivesdk</v>
      </c>
      <c r="Y953" s="65"/>
      <c r="Z953" s="156" t="s">
        <v>141</v>
      </c>
      <c r="AA953" s="1112" t="s">
        <v>5223</v>
      </c>
      <c r="AB953" s="1296" t="s">
        <v>5224</v>
      </c>
      <c r="AC953" s="1112" t="s">
        <v>5225</v>
      </c>
      <c r="AD953" s="156" t="s">
        <v>5226</v>
      </c>
      <c r="AE953" s="153">
        <v>8.0</v>
      </c>
      <c r="AF953" s="153">
        <v>96.0</v>
      </c>
      <c r="AG953" s="153">
        <v>0.5</v>
      </c>
      <c r="AH953" s="156" t="s">
        <v>166</v>
      </c>
      <c r="AI953" s="156" t="s">
        <v>606</v>
      </c>
      <c r="AJ953" s="153">
        <v>0.019</v>
      </c>
      <c r="AK953" s="156" t="s">
        <v>165</v>
      </c>
      <c r="AL953" s="156" t="s">
        <v>179</v>
      </c>
      <c r="AM953" s="156" t="s">
        <v>130</v>
      </c>
      <c r="AN953" s="307" t="s">
        <v>5227</v>
      </c>
      <c r="AO953" s="153">
        <v>160.0</v>
      </c>
      <c r="AP953" s="1240">
        <v>0.202495955602966</v>
      </c>
      <c r="AQ953" s="156" t="s">
        <v>166</v>
      </c>
      <c r="AR953" s="65"/>
      <c r="AS953" s="1240">
        <v>0.47425673913639</v>
      </c>
      <c r="AT953" s="156" t="s">
        <v>165</v>
      </c>
      <c r="AU953" s="156" t="s">
        <v>179</v>
      </c>
      <c r="AV953" s="156" t="s">
        <v>130</v>
      </c>
      <c r="AW953" s="65"/>
      <c r="AX953" s="156" t="s">
        <v>136</v>
      </c>
      <c r="AZ953" s="65" t="s">
        <v>146</v>
      </c>
    </row>
    <row r="954">
      <c r="A954" s="41">
        <v>954.0</v>
      </c>
      <c r="B954" s="65" t="s">
        <v>107</v>
      </c>
      <c r="C954" s="59" t="s">
        <v>108</v>
      </c>
      <c r="D954" s="59" t="s">
        <v>146</v>
      </c>
      <c r="F954" s="65" t="s">
        <v>5218</v>
      </c>
      <c r="G954" s="156" t="s">
        <v>5228</v>
      </c>
      <c r="H954" s="156" t="s">
        <v>146</v>
      </c>
      <c r="I954" s="149">
        <v>45687.0</v>
      </c>
      <c r="J954" s="149">
        <v>45692.0</v>
      </c>
      <c r="K954" s="1052" t="s">
        <v>5229</v>
      </c>
      <c r="L954" s="65"/>
      <c r="M954" s="156" t="s">
        <v>5221</v>
      </c>
      <c r="N954" s="156" t="s">
        <v>5222</v>
      </c>
      <c r="O954" s="153">
        <v>5.0</v>
      </c>
      <c r="P954" s="603" t="str">
        <f t="shared" si="52"/>
        <v>10.1177--0956797619856844.pdf</v>
      </c>
      <c r="Q954" s="49" t="str">
        <f t="array" ref="Q954"> if(iserror(MATCH(V954, 'File Links'!C:C, 0)), "N/A", HYPERLINK(INDEX('File Links'!B:B, MATCH(P954, 'File Links'!C:C, 0))))</f>
        <v>https://drive.google.com/file/d/1QWFGg5y_FwCsYU4iJVkw7s0HZoH7av3y/view?usp=drivesdk</v>
      </c>
      <c r="R954" s="603" t="s">
        <v>3646</v>
      </c>
      <c r="S954" s="156" t="s">
        <v>3647</v>
      </c>
      <c r="T954" s="65"/>
      <c r="U954" s="153">
        <v>1.0</v>
      </c>
      <c r="V954" s="195" t="str">
        <f t="shared" si="53"/>
        <v>10.1098--rsos.231240.pdf</v>
      </c>
      <c r="W954" s="156" t="s">
        <v>3800</v>
      </c>
      <c r="X954" s="51" t="str">
        <f t="array" ref="X954"> if(iserror(MATCH(V954, 'File Links'!C:C, 0)), "N/A", HYPERLINK(INDEX('File Links'!B:B, MATCH(V954, 'File Links'!C:C, 0))))</f>
        <v>https://drive.google.com/file/d/17gaf2Zy_ljFfcAEDk5L8GBnTl5i7RGJE/view?usp=drivesdk</v>
      </c>
      <c r="Y954" s="65"/>
      <c r="Z954" s="156" t="s">
        <v>141</v>
      </c>
      <c r="AA954" s="156" t="s">
        <v>5223</v>
      </c>
      <c r="AB954" s="65" t="s">
        <v>5224</v>
      </c>
      <c r="AC954" s="156" t="s">
        <v>5230</v>
      </c>
      <c r="AD954" s="156" t="s">
        <v>5231</v>
      </c>
      <c r="AE954" s="153">
        <v>8.0</v>
      </c>
      <c r="AF954" s="153">
        <v>240.0</v>
      </c>
      <c r="AG954" s="153">
        <v>1.72</v>
      </c>
      <c r="AH954" s="153" t="s">
        <v>166</v>
      </c>
      <c r="AI954" s="153" t="s">
        <v>606</v>
      </c>
      <c r="AJ954" s="153">
        <v>0.001</v>
      </c>
      <c r="AK954" s="156" t="s">
        <v>128</v>
      </c>
      <c r="AL954" s="156" t="s">
        <v>179</v>
      </c>
      <c r="AM954" s="156" t="s">
        <v>130</v>
      </c>
      <c r="AN954" s="677" t="s">
        <v>5227</v>
      </c>
      <c r="AO954" s="153">
        <v>160.0</v>
      </c>
      <c r="AP954" s="1111">
        <v>0.44</v>
      </c>
      <c r="AQ954" s="153" t="s">
        <v>166</v>
      </c>
      <c r="AR954" s="153" t="s">
        <v>2222</v>
      </c>
      <c r="AS954" s="153">
        <v>0.1009</v>
      </c>
      <c r="AT954" s="156" t="s">
        <v>165</v>
      </c>
      <c r="AU954" s="156" t="s">
        <v>179</v>
      </c>
      <c r="AV954" s="156" t="s">
        <v>130</v>
      </c>
      <c r="AW954" s="432" t="s">
        <v>5232</v>
      </c>
      <c r="AX954" s="65" t="s">
        <v>136</v>
      </c>
      <c r="AZ954" s="65" t="s">
        <v>146</v>
      </c>
    </row>
    <row r="955">
      <c r="A955" s="41">
        <v>955.0</v>
      </c>
      <c r="B955" s="65" t="s">
        <v>107</v>
      </c>
      <c r="C955" s="59" t="s">
        <v>108</v>
      </c>
      <c r="D955" s="59" t="s">
        <v>146</v>
      </c>
      <c r="F955" s="65" t="s">
        <v>5218</v>
      </c>
      <c r="G955" s="156" t="s">
        <v>5233</v>
      </c>
      <c r="H955" s="156" t="s">
        <v>146</v>
      </c>
      <c r="I955" s="149">
        <v>45687.0</v>
      </c>
      <c r="J955" s="149">
        <v>45692.0</v>
      </c>
      <c r="K955" s="1052" t="s">
        <v>5234</v>
      </c>
      <c r="L955" s="65"/>
      <c r="M955" s="156" t="s">
        <v>5221</v>
      </c>
      <c r="N955" s="156" t="s">
        <v>5222</v>
      </c>
      <c r="O955" s="153">
        <v>5.0</v>
      </c>
      <c r="P955" s="603" t="str">
        <f t="shared" si="52"/>
        <v>10.1177--0956797619856844.pdf</v>
      </c>
      <c r="Q955" s="49" t="str">
        <f t="array" ref="Q955"> if(iserror(MATCH(V955, 'File Links'!C:C, 0)), "N/A", HYPERLINK(INDEX('File Links'!B:B, MATCH(P955, 'File Links'!C:C, 0))))</f>
        <v>https://drive.google.com/file/d/1QWFGg5y_FwCsYU4iJVkw7s0HZoH7av3y/view?usp=drivesdk</v>
      </c>
      <c r="R955" s="603" t="s">
        <v>3646</v>
      </c>
      <c r="S955" s="156" t="s">
        <v>3647</v>
      </c>
      <c r="T955" s="65"/>
      <c r="U955" s="153">
        <v>1.0</v>
      </c>
      <c r="V955" s="195" t="str">
        <f t="shared" si="53"/>
        <v>10.1098--rsos.231240.pdf</v>
      </c>
      <c r="W955" s="156" t="s">
        <v>3800</v>
      </c>
      <c r="X955" s="51" t="str">
        <f t="array" ref="X955"> if(iserror(MATCH(V955, 'File Links'!C:C, 0)), "N/A", HYPERLINK(INDEX('File Links'!B:B, MATCH(V955, 'File Links'!C:C, 0))))</f>
        <v>https://drive.google.com/file/d/17gaf2Zy_ljFfcAEDk5L8GBnTl5i7RGJE/view?usp=drivesdk</v>
      </c>
      <c r="Y955" s="65"/>
      <c r="Z955" s="156" t="s">
        <v>141</v>
      </c>
      <c r="AA955" s="156" t="s">
        <v>5223</v>
      </c>
      <c r="AB955" s="65" t="s">
        <v>5224</v>
      </c>
      <c r="AC955" s="156" t="s">
        <v>5225</v>
      </c>
      <c r="AD955" s="156" t="s">
        <v>5235</v>
      </c>
      <c r="AE955" s="153">
        <v>8.0</v>
      </c>
      <c r="AF955" s="1090">
        <v>96.0</v>
      </c>
      <c r="AG955" s="333">
        <v>0.5</v>
      </c>
      <c r="AH955" s="153" t="s">
        <v>166</v>
      </c>
      <c r="AI955" s="153" t="s">
        <v>606</v>
      </c>
      <c r="AJ955" s="333">
        <v>0.019</v>
      </c>
      <c r="AK955" s="156" t="s">
        <v>165</v>
      </c>
      <c r="AL955" s="156" t="s">
        <v>179</v>
      </c>
      <c r="AM955" s="156" t="s">
        <v>130</v>
      </c>
      <c r="AN955" s="677" t="s">
        <v>5227</v>
      </c>
      <c r="AO955" s="153">
        <v>160.0</v>
      </c>
      <c r="AP955" s="1111">
        <v>0.01</v>
      </c>
      <c r="AQ955" s="153" t="s">
        <v>166</v>
      </c>
      <c r="AR955" s="333" t="s">
        <v>2222</v>
      </c>
      <c r="AS955" s="153">
        <v>0.98</v>
      </c>
      <c r="AT955" s="156" t="s">
        <v>165</v>
      </c>
      <c r="AU955" s="156" t="s">
        <v>179</v>
      </c>
      <c r="AV955" s="156" t="s">
        <v>130</v>
      </c>
      <c r="AW955" s="432" t="s">
        <v>5232</v>
      </c>
      <c r="AX955" s="65" t="s">
        <v>136</v>
      </c>
      <c r="AZ955" s="65" t="s">
        <v>146</v>
      </c>
    </row>
    <row r="956">
      <c r="A956" s="41">
        <v>956.0</v>
      </c>
      <c r="B956" s="65" t="s">
        <v>107</v>
      </c>
      <c r="C956" s="59" t="s">
        <v>108</v>
      </c>
      <c r="D956" s="59" t="s">
        <v>241</v>
      </c>
      <c r="F956" s="156" t="s">
        <v>5236</v>
      </c>
      <c r="G956" s="156" t="s">
        <v>5237</v>
      </c>
      <c r="H956" s="156" t="s">
        <v>242</v>
      </c>
      <c r="I956" s="149">
        <v>45673.0</v>
      </c>
      <c r="J956" s="149">
        <v>45692.0</v>
      </c>
      <c r="K956" s="434" t="s">
        <v>5238</v>
      </c>
      <c r="L956" s="65"/>
      <c r="M956" s="156" t="s">
        <v>5239</v>
      </c>
      <c r="N956" s="156" t="s">
        <v>5240</v>
      </c>
      <c r="O956" s="65"/>
      <c r="P956" s="603" t="str">
        <f t="shared" si="52"/>
        <v>10.1016--j.ecresq.2019.10.004.pdf</v>
      </c>
      <c r="Q956" s="49" t="str">
        <f t="array" ref="Q956"> if(iserror(MATCH(V956, 'File Links'!C:C, 0)), "N/A", HYPERLINK(INDEX('File Links'!B:B, MATCH(P956, 'File Links'!C:C, 0))))</f>
        <v>https://drive.google.com/file/d/1w5TanXJyS5YVblHirQgJO5zKr4e7CFnK/view?usp=drivesdk</v>
      </c>
      <c r="R956" s="603" t="s">
        <v>3646</v>
      </c>
      <c r="S956" s="156" t="s">
        <v>3647</v>
      </c>
      <c r="T956" s="65"/>
      <c r="U956" s="153">
        <v>1.0</v>
      </c>
      <c r="V956" s="195" t="str">
        <f t="shared" si="53"/>
        <v>10.1098--rsos.231240.pdf</v>
      </c>
      <c r="W956" s="156" t="s">
        <v>3686</v>
      </c>
      <c r="X956" s="51" t="str">
        <f t="array" ref="X956"> if(iserror(MATCH(V956, 'File Links'!C:C, 0)), "N/A", HYPERLINK(INDEX('File Links'!B:B, MATCH(V956, 'File Links'!C:C, 0))))</f>
        <v>https://drive.google.com/file/d/17gaf2Zy_ljFfcAEDk5L8GBnTl5i7RGJE/view?usp=drivesdk</v>
      </c>
      <c r="Y956" s="65"/>
      <c r="Z956" s="156" t="s">
        <v>203</v>
      </c>
      <c r="AA956" s="65"/>
      <c r="AB956" s="156" t="s">
        <v>5241</v>
      </c>
      <c r="AC956" s="65"/>
      <c r="AD956" s="156" t="s">
        <v>5242</v>
      </c>
      <c r="AE956" s="153">
        <v>116.0</v>
      </c>
      <c r="AF956" s="153">
        <v>540.0</v>
      </c>
      <c r="AG956" s="156" t="s">
        <v>131</v>
      </c>
      <c r="AH956" s="164" t="s">
        <v>131</v>
      </c>
      <c r="AI956" s="156" t="s">
        <v>5243</v>
      </c>
      <c r="AJ956" s="153">
        <v>0.001</v>
      </c>
      <c r="AK956" s="156" t="s">
        <v>128</v>
      </c>
      <c r="AL956" s="156" t="s">
        <v>179</v>
      </c>
      <c r="AM956" s="156" t="s">
        <v>134</v>
      </c>
      <c r="AN956" s="148" t="s">
        <v>131</v>
      </c>
      <c r="AO956" s="153">
        <v>250.0</v>
      </c>
      <c r="AP956" s="153">
        <v>1.037</v>
      </c>
      <c r="AQ956" s="156" t="s">
        <v>980</v>
      </c>
      <c r="AR956" s="65"/>
      <c r="AS956" s="156" t="s">
        <v>131</v>
      </c>
      <c r="AT956" s="65"/>
      <c r="AU956" s="156" t="s">
        <v>179</v>
      </c>
      <c r="AV956" s="156" t="s">
        <v>134</v>
      </c>
      <c r="AW956" s="65"/>
      <c r="AX956" s="156" t="s">
        <v>144</v>
      </c>
      <c r="AZ956" s="65" t="s">
        <v>146</v>
      </c>
    </row>
    <row r="957">
      <c r="A957" s="41">
        <v>957.0</v>
      </c>
      <c r="B957" s="65" t="s">
        <v>583</v>
      </c>
      <c r="C957" s="59" t="s">
        <v>108</v>
      </c>
      <c r="D957" s="59" t="s">
        <v>146</v>
      </c>
      <c r="F957" s="65" t="s">
        <v>5237</v>
      </c>
      <c r="G957" s="156" t="s">
        <v>5244</v>
      </c>
      <c r="H957" s="156" t="s">
        <v>146</v>
      </c>
      <c r="I957" s="149">
        <v>45687.0</v>
      </c>
      <c r="J957" s="149">
        <v>45692.0</v>
      </c>
      <c r="K957" s="1052" t="s">
        <v>5245</v>
      </c>
      <c r="L957" s="156" t="s">
        <v>5246</v>
      </c>
      <c r="M957" s="156" t="s">
        <v>5239</v>
      </c>
      <c r="N957" s="156" t="s">
        <v>5240</v>
      </c>
      <c r="O957" s="153">
        <v>1.0</v>
      </c>
      <c r="P957" s="603" t="str">
        <f t="shared" si="52"/>
        <v>10.1016--j.ecresq.2019.10.004.pdf</v>
      </c>
      <c r="Q957" s="49" t="str">
        <f t="array" ref="Q957"> if(iserror(MATCH(V957, 'File Links'!C:C, 0)), "N/A", HYPERLINK(INDEX('File Links'!B:B, MATCH(P957, 'File Links'!C:C, 0))))</f>
        <v>https://drive.google.com/file/d/1w5TanXJyS5YVblHirQgJO5zKr4e7CFnK/view?usp=drivesdk</v>
      </c>
      <c r="R957" s="603" t="s">
        <v>3646</v>
      </c>
      <c r="S957" s="156" t="s">
        <v>3647</v>
      </c>
      <c r="T957" s="65"/>
      <c r="U957" s="153">
        <v>1.0</v>
      </c>
      <c r="V957" s="195" t="str">
        <f t="shared" si="53"/>
        <v>10.1098--rsos.231240.pdf</v>
      </c>
      <c r="W957" s="156" t="s">
        <v>3689</v>
      </c>
      <c r="X957" s="51" t="str">
        <f t="array" ref="X957"> if(iserror(MATCH(V957, 'File Links'!C:C, 0)), "N/A", HYPERLINK(INDEX('File Links'!B:B, MATCH(V957, 'File Links'!C:C, 0))))</f>
        <v>https://drive.google.com/file/d/17gaf2Zy_ljFfcAEDk5L8GBnTl5i7RGJE/view?usp=drivesdk</v>
      </c>
      <c r="Y957" s="65"/>
      <c r="Z957" s="156" t="s">
        <v>1802</v>
      </c>
      <c r="AA957" s="156" t="s">
        <v>5247</v>
      </c>
      <c r="AB957" s="156" t="s">
        <v>5248</v>
      </c>
      <c r="AC957" s="156" t="s">
        <v>5249</v>
      </c>
      <c r="AD957" s="156" t="s">
        <v>5250</v>
      </c>
      <c r="AE957" s="153">
        <v>8.0</v>
      </c>
      <c r="AF957" s="153">
        <v>540.0</v>
      </c>
      <c r="AG957" s="153">
        <v>1.025</v>
      </c>
      <c r="AH957" s="153" t="s">
        <v>715</v>
      </c>
      <c r="AI957" s="153" t="s">
        <v>606</v>
      </c>
      <c r="AJ957" s="1297">
        <v>0.001</v>
      </c>
      <c r="AK957" s="156" t="s">
        <v>128</v>
      </c>
      <c r="AL957" s="156" t="s">
        <v>179</v>
      </c>
      <c r="AM957" s="156" t="s">
        <v>134</v>
      </c>
      <c r="AN957" s="148" t="s">
        <v>131</v>
      </c>
      <c r="AO957" s="153">
        <v>250.0</v>
      </c>
      <c r="AP957" s="153">
        <v>1.037</v>
      </c>
      <c r="AQ957" s="153" t="s">
        <v>715</v>
      </c>
      <c r="AR957" s="333" t="s">
        <v>2222</v>
      </c>
      <c r="AS957" s="153">
        <v>0.001</v>
      </c>
      <c r="AT957" s="156" t="s">
        <v>128</v>
      </c>
      <c r="AU957" s="156" t="s">
        <v>179</v>
      </c>
      <c r="AV957" s="156" t="s">
        <v>134</v>
      </c>
      <c r="AW957" s="65"/>
      <c r="AX957" s="1296" t="s">
        <v>144</v>
      </c>
      <c r="AZ957" s="65" t="s">
        <v>146</v>
      </c>
    </row>
    <row r="958">
      <c r="A958" s="41">
        <v>958.0</v>
      </c>
      <c r="B958" s="65" t="s">
        <v>583</v>
      </c>
      <c r="C958" s="59" t="s">
        <v>108</v>
      </c>
      <c r="D958" s="59" t="s">
        <v>146</v>
      </c>
      <c r="F958" s="65" t="s">
        <v>5237</v>
      </c>
      <c r="G958" s="156" t="s">
        <v>5251</v>
      </c>
      <c r="H958" s="156" t="s">
        <v>146</v>
      </c>
      <c r="I958" s="149">
        <v>45687.0</v>
      </c>
      <c r="J958" s="149">
        <v>45692.0</v>
      </c>
      <c r="K958" s="1052" t="s">
        <v>5252</v>
      </c>
      <c r="L958" s="156" t="s">
        <v>5246</v>
      </c>
      <c r="M958" s="156" t="s">
        <v>5239</v>
      </c>
      <c r="N958" s="156" t="s">
        <v>5240</v>
      </c>
      <c r="O958" s="153">
        <v>1.0</v>
      </c>
      <c r="P958" s="603" t="str">
        <f t="shared" si="52"/>
        <v>10.1016--j.ecresq.2019.10.004.pdf</v>
      </c>
      <c r="Q958" s="49" t="str">
        <f t="array" ref="Q958"> if(iserror(MATCH(V958, 'File Links'!C:C, 0)), "N/A", HYPERLINK(INDEX('File Links'!B:B, MATCH(P958, 'File Links'!C:C, 0))))</f>
        <v>https://drive.google.com/file/d/1w5TanXJyS5YVblHirQgJO5zKr4e7CFnK/view?usp=drivesdk</v>
      </c>
      <c r="R958" s="603" t="s">
        <v>3646</v>
      </c>
      <c r="S958" s="156" t="s">
        <v>3647</v>
      </c>
      <c r="T958" s="65"/>
      <c r="U958" s="153">
        <v>1.0</v>
      </c>
      <c r="V958" s="195" t="str">
        <f t="shared" si="53"/>
        <v>10.1098--rsos.231240.pdf</v>
      </c>
      <c r="W958" s="156" t="s">
        <v>3689</v>
      </c>
      <c r="X958" s="51" t="str">
        <f t="array" ref="X958"> if(iserror(MATCH(V958, 'File Links'!C:C, 0)), "N/A", HYPERLINK(INDEX('File Links'!B:B, MATCH(V958, 'File Links'!C:C, 0))))</f>
        <v>https://drive.google.com/file/d/17gaf2Zy_ljFfcAEDk5L8GBnTl5i7RGJE/view?usp=drivesdk</v>
      </c>
      <c r="Y958" s="65"/>
      <c r="Z958" s="156" t="s">
        <v>1802</v>
      </c>
      <c r="AA958" s="156" t="s">
        <v>5247</v>
      </c>
      <c r="AB958" s="156" t="s">
        <v>5248</v>
      </c>
      <c r="AC958" s="156" t="s">
        <v>5253</v>
      </c>
      <c r="AD958" s="156" t="s">
        <v>5254</v>
      </c>
      <c r="AE958" s="153">
        <v>8.0</v>
      </c>
      <c r="AF958" s="153">
        <v>540.0</v>
      </c>
      <c r="AG958" s="153">
        <v>1.026</v>
      </c>
      <c r="AH958" s="153" t="s">
        <v>715</v>
      </c>
      <c r="AI958" s="153" t="s">
        <v>606</v>
      </c>
      <c r="AJ958" s="1297">
        <v>0.001</v>
      </c>
      <c r="AK958" s="156" t="s">
        <v>128</v>
      </c>
      <c r="AL958" s="156" t="s">
        <v>179</v>
      </c>
      <c r="AM958" s="156" t="s">
        <v>134</v>
      </c>
      <c r="AN958" s="148" t="s">
        <v>131</v>
      </c>
      <c r="AO958" s="153">
        <v>250.0</v>
      </c>
      <c r="AP958" s="1297">
        <v>1.038</v>
      </c>
      <c r="AQ958" s="153" t="s">
        <v>715</v>
      </c>
      <c r="AR958" s="333" t="s">
        <v>2222</v>
      </c>
      <c r="AS958" s="153">
        <v>0.001</v>
      </c>
      <c r="AT958" s="156" t="s">
        <v>128</v>
      </c>
      <c r="AU958" s="156" t="s">
        <v>179</v>
      </c>
      <c r="AV958" s="156" t="s">
        <v>134</v>
      </c>
      <c r="AW958" s="65"/>
      <c r="AX958" s="1296" t="s">
        <v>144</v>
      </c>
      <c r="AZ958" s="65" t="s">
        <v>146</v>
      </c>
    </row>
    <row r="959">
      <c r="A959" s="41">
        <v>959.0</v>
      </c>
      <c r="B959" s="65" t="s">
        <v>583</v>
      </c>
      <c r="C959" s="59" t="s">
        <v>108</v>
      </c>
      <c r="D959" s="59" t="s">
        <v>146</v>
      </c>
      <c r="F959" s="65" t="s">
        <v>5237</v>
      </c>
      <c r="G959" s="156" t="s">
        <v>5255</v>
      </c>
      <c r="H959" s="156" t="s">
        <v>146</v>
      </c>
      <c r="I959" s="149">
        <v>45687.0</v>
      </c>
      <c r="J959" s="149">
        <v>45692.0</v>
      </c>
      <c r="K959" s="1052" t="s">
        <v>5256</v>
      </c>
      <c r="L959" s="156" t="s">
        <v>5246</v>
      </c>
      <c r="M959" s="156" t="s">
        <v>5239</v>
      </c>
      <c r="N959" s="156" t="s">
        <v>5240</v>
      </c>
      <c r="O959" s="153">
        <v>1.0</v>
      </c>
      <c r="P959" s="603" t="str">
        <f t="shared" si="52"/>
        <v>10.1016--j.ecresq.2019.10.004.pdf</v>
      </c>
      <c r="Q959" s="49" t="str">
        <f t="array" ref="Q959"> if(iserror(MATCH(V959, 'File Links'!C:C, 0)), "N/A", HYPERLINK(INDEX('File Links'!B:B, MATCH(P959, 'File Links'!C:C, 0))))</f>
        <v>https://drive.google.com/file/d/1w5TanXJyS5YVblHirQgJO5zKr4e7CFnK/view?usp=drivesdk</v>
      </c>
      <c r="R959" s="603" t="s">
        <v>3646</v>
      </c>
      <c r="S959" s="156" t="s">
        <v>3647</v>
      </c>
      <c r="T959" s="65"/>
      <c r="U959" s="153">
        <v>1.0</v>
      </c>
      <c r="V959" s="195" t="str">
        <f t="shared" si="53"/>
        <v>10.1098--rsos.231240.pdf</v>
      </c>
      <c r="W959" s="156" t="s">
        <v>3689</v>
      </c>
      <c r="X959" s="51" t="str">
        <f t="array" ref="X959"> if(iserror(MATCH(V959, 'File Links'!C:C, 0)), "N/A", HYPERLINK(INDEX('File Links'!B:B, MATCH(V959, 'File Links'!C:C, 0))))</f>
        <v>https://drive.google.com/file/d/17gaf2Zy_ljFfcAEDk5L8GBnTl5i7RGJE/view?usp=drivesdk</v>
      </c>
      <c r="Y959" s="65"/>
      <c r="Z959" s="156" t="s">
        <v>1802</v>
      </c>
      <c r="AA959" s="156" t="s">
        <v>5247</v>
      </c>
      <c r="AB959" s="156" t="s">
        <v>5248</v>
      </c>
      <c r="AC959" s="156" t="s">
        <v>5257</v>
      </c>
      <c r="AD959" s="156" t="s">
        <v>5254</v>
      </c>
      <c r="AE959" s="153">
        <v>8.0</v>
      </c>
      <c r="AF959" s="153">
        <v>540.0</v>
      </c>
      <c r="AG959" s="153">
        <v>1.03</v>
      </c>
      <c r="AH959" s="153" t="s">
        <v>715</v>
      </c>
      <c r="AI959" s="153" t="s">
        <v>606</v>
      </c>
      <c r="AJ959" s="153">
        <v>0.01</v>
      </c>
      <c r="AK959" s="156" t="s">
        <v>128</v>
      </c>
      <c r="AL959" s="156" t="s">
        <v>179</v>
      </c>
      <c r="AM959" s="156" t="s">
        <v>134</v>
      </c>
      <c r="AN959" s="148" t="s">
        <v>131</v>
      </c>
      <c r="AO959" s="153">
        <v>250.0</v>
      </c>
      <c r="AP959" s="1297">
        <v>1.041</v>
      </c>
      <c r="AQ959" s="153" t="s">
        <v>715</v>
      </c>
      <c r="AR959" s="333" t="s">
        <v>2222</v>
      </c>
      <c r="AS959" s="153">
        <v>0.001</v>
      </c>
      <c r="AT959" s="156" t="s">
        <v>128</v>
      </c>
      <c r="AU959" s="156" t="s">
        <v>179</v>
      </c>
      <c r="AV959" s="156" t="s">
        <v>134</v>
      </c>
      <c r="AW959" s="65"/>
      <c r="AX959" s="1296" t="s">
        <v>144</v>
      </c>
      <c r="AZ959" s="65" t="s">
        <v>146</v>
      </c>
    </row>
    <row r="960">
      <c r="A960" s="41">
        <v>960.0</v>
      </c>
      <c r="B960" s="65" t="s">
        <v>583</v>
      </c>
      <c r="C960" s="59" t="s">
        <v>108</v>
      </c>
      <c r="D960" s="59" t="s">
        <v>146</v>
      </c>
      <c r="F960" s="65" t="s">
        <v>5237</v>
      </c>
      <c r="G960" s="156" t="s">
        <v>5258</v>
      </c>
      <c r="H960" s="156" t="s">
        <v>146</v>
      </c>
      <c r="I960" s="149">
        <v>45687.0</v>
      </c>
      <c r="J960" s="149">
        <v>45692.0</v>
      </c>
      <c r="K960" s="1052" t="s">
        <v>5259</v>
      </c>
      <c r="L960" s="156" t="s">
        <v>5246</v>
      </c>
      <c r="M960" s="156" t="s">
        <v>5239</v>
      </c>
      <c r="N960" s="156" t="s">
        <v>5240</v>
      </c>
      <c r="O960" s="153">
        <v>1.0</v>
      </c>
      <c r="P960" s="603" t="str">
        <f t="shared" si="52"/>
        <v>10.1016--j.ecresq.2019.10.004.pdf</v>
      </c>
      <c r="Q960" s="49" t="str">
        <f t="array" ref="Q960"> if(iserror(MATCH(V960, 'File Links'!C:C, 0)), "N/A", HYPERLINK(INDEX('File Links'!B:B, MATCH(P960, 'File Links'!C:C, 0))))</f>
        <v>https://drive.google.com/file/d/1w5TanXJyS5YVblHirQgJO5zKr4e7CFnK/view?usp=drivesdk</v>
      </c>
      <c r="R960" s="603" t="s">
        <v>3646</v>
      </c>
      <c r="S960" s="156" t="s">
        <v>3647</v>
      </c>
      <c r="T960" s="65"/>
      <c r="U960" s="153">
        <v>1.0</v>
      </c>
      <c r="V960" s="195" t="str">
        <f t="shared" si="53"/>
        <v>10.1098--rsos.231240.pdf</v>
      </c>
      <c r="W960" s="156" t="s">
        <v>3689</v>
      </c>
      <c r="X960" s="51" t="str">
        <f t="array" ref="X960"> if(iserror(MATCH(V960, 'File Links'!C:C, 0)), "N/A", HYPERLINK(INDEX('File Links'!B:B, MATCH(V960, 'File Links'!C:C, 0))))</f>
        <v>https://drive.google.com/file/d/17gaf2Zy_ljFfcAEDk5L8GBnTl5i7RGJE/view?usp=drivesdk</v>
      </c>
      <c r="Y960" s="65"/>
      <c r="Z960" s="156" t="s">
        <v>1802</v>
      </c>
      <c r="AA960" s="156" t="s">
        <v>5247</v>
      </c>
      <c r="AB960" s="156" t="s">
        <v>5248</v>
      </c>
      <c r="AC960" s="156" t="s">
        <v>5260</v>
      </c>
      <c r="AD960" s="156" t="s">
        <v>5254</v>
      </c>
      <c r="AE960" s="153">
        <v>8.0</v>
      </c>
      <c r="AF960" s="153">
        <v>540.0</v>
      </c>
      <c r="AG960" s="153">
        <v>1.028</v>
      </c>
      <c r="AH960" s="153" t="s">
        <v>715</v>
      </c>
      <c r="AI960" s="153" t="s">
        <v>606</v>
      </c>
      <c r="AJ960" s="1297">
        <v>0.001</v>
      </c>
      <c r="AK960" s="156" t="s">
        <v>128</v>
      </c>
      <c r="AL960" s="156" t="s">
        <v>179</v>
      </c>
      <c r="AM960" s="156" t="s">
        <v>134</v>
      </c>
      <c r="AN960" s="148" t="s">
        <v>131</v>
      </c>
      <c r="AO960" s="153">
        <v>250.0</v>
      </c>
      <c r="AP960" s="1297">
        <v>1.041</v>
      </c>
      <c r="AQ960" s="153" t="s">
        <v>715</v>
      </c>
      <c r="AR960" s="333" t="s">
        <v>2222</v>
      </c>
      <c r="AS960" s="153">
        <v>0.001</v>
      </c>
      <c r="AT960" s="156" t="s">
        <v>128</v>
      </c>
      <c r="AU960" s="156" t="s">
        <v>179</v>
      </c>
      <c r="AV960" s="156" t="s">
        <v>134</v>
      </c>
      <c r="AW960" s="65"/>
      <c r="AX960" s="1296" t="s">
        <v>144</v>
      </c>
      <c r="AZ960" s="65" t="s">
        <v>146</v>
      </c>
    </row>
    <row r="961">
      <c r="A961" s="41">
        <v>961.0</v>
      </c>
      <c r="B961" s="65" t="s">
        <v>583</v>
      </c>
      <c r="C961" s="59" t="s">
        <v>108</v>
      </c>
      <c r="D961" s="59" t="s">
        <v>146</v>
      </c>
      <c r="F961" s="65" t="s">
        <v>5237</v>
      </c>
      <c r="G961" s="156" t="s">
        <v>5261</v>
      </c>
      <c r="H961" s="156" t="s">
        <v>146</v>
      </c>
      <c r="I961" s="149">
        <v>45687.0</v>
      </c>
      <c r="J961" s="149">
        <v>45692.0</v>
      </c>
      <c r="K961" s="1052" t="s">
        <v>5262</v>
      </c>
      <c r="L961" s="156" t="s">
        <v>5246</v>
      </c>
      <c r="M961" s="156" t="s">
        <v>5239</v>
      </c>
      <c r="N961" s="156" t="s">
        <v>5240</v>
      </c>
      <c r="O961" s="153">
        <v>1.0</v>
      </c>
      <c r="P961" s="603" t="str">
        <f t="shared" si="52"/>
        <v>10.1016--j.ecresq.2019.10.004.pdf</v>
      </c>
      <c r="Q961" s="49" t="str">
        <f t="array" ref="Q961"> if(iserror(MATCH(V961, 'File Links'!C:C, 0)), "N/A", HYPERLINK(INDEX('File Links'!B:B, MATCH(P961, 'File Links'!C:C, 0))))</f>
        <v>https://drive.google.com/file/d/1w5TanXJyS5YVblHirQgJO5zKr4e7CFnK/view?usp=drivesdk</v>
      </c>
      <c r="R961" s="603" t="s">
        <v>3646</v>
      </c>
      <c r="S961" s="156" t="s">
        <v>3647</v>
      </c>
      <c r="T961" s="65"/>
      <c r="U961" s="153">
        <v>1.0</v>
      </c>
      <c r="V961" s="195" t="str">
        <f t="shared" si="53"/>
        <v>10.1098--rsos.231240.pdf</v>
      </c>
      <c r="W961" s="156" t="s">
        <v>3689</v>
      </c>
      <c r="X961" s="51" t="str">
        <f t="array" ref="X961"> if(iserror(MATCH(V961, 'File Links'!C:C, 0)), "N/A", HYPERLINK(INDEX('File Links'!B:B, MATCH(V961, 'File Links'!C:C, 0))))</f>
        <v>https://drive.google.com/file/d/17gaf2Zy_ljFfcAEDk5L8GBnTl5i7RGJE/view?usp=drivesdk</v>
      </c>
      <c r="Y961" s="65"/>
      <c r="Z961" s="156" t="s">
        <v>1802</v>
      </c>
      <c r="AA961" s="156" t="s">
        <v>5247</v>
      </c>
      <c r="AB961" s="156" t="s">
        <v>5248</v>
      </c>
      <c r="AC961" s="156" t="s">
        <v>5263</v>
      </c>
      <c r="AD961" s="156" t="s">
        <v>5254</v>
      </c>
      <c r="AE961" s="153">
        <v>8.0</v>
      </c>
      <c r="AF961" s="153">
        <v>540.0</v>
      </c>
      <c r="AG961" s="153">
        <v>1.027</v>
      </c>
      <c r="AH961" s="153" t="s">
        <v>715</v>
      </c>
      <c r="AI961" s="153" t="s">
        <v>606</v>
      </c>
      <c r="AJ961" s="1297">
        <v>0.001</v>
      </c>
      <c r="AK961" s="156" t="s">
        <v>128</v>
      </c>
      <c r="AL961" s="156" t="s">
        <v>179</v>
      </c>
      <c r="AM961" s="156" t="s">
        <v>134</v>
      </c>
      <c r="AN961" s="148" t="s">
        <v>131</v>
      </c>
      <c r="AO961" s="153">
        <v>250.0</v>
      </c>
      <c r="AP961" s="1297">
        <v>1.041</v>
      </c>
      <c r="AQ961" s="153" t="s">
        <v>715</v>
      </c>
      <c r="AR961" s="333" t="s">
        <v>2222</v>
      </c>
      <c r="AS961" s="153">
        <v>0.001</v>
      </c>
      <c r="AT961" s="156" t="s">
        <v>128</v>
      </c>
      <c r="AU961" s="156" t="s">
        <v>179</v>
      </c>
      <c r="AV961" s="156" t="s">
        <v>134</v>
      </c>
      <c r="AW961" s="65"/>
      <c r="AX961" s="1296" t="s">
        <v>144</v>
      </c>
      <c r="AZ961" s="65" t="s">
        <v>146</v>
      </c>
    </row>
    <row r="962">
      <c r="A962" s="41">
        <v>962.0</v>
      </c>
      <c r="B962" s="65" t="s">
        <v>583</v>
      </c>
      <c r="C962" s="59" t="s">
        <v>108</v>
      </c>
      <c r="D962" s="59" t="s">
        <v>146</v>
      </c>
      <c r="F962" s="65" t="s">
        <v>5237</v>
      </c>
      <c r="G962" s="156" t="s">
        <v>5264</v>
      </c>
      <c r="H962" s="156" t="s">
        <v>146</v>
      </c>
      <c r="I962" s="149">
        <v>45687.0</v>
      </c>
      <c r="J962" s="149">
        <v>45692.0</v>
      </c>
      <c r="K962" s="1052" t="s">
        <v>5265</v>
      </c>
      <c r="L962" s="156" t="s">
        <v>5246</v>
      </c>
      <c r="M962" s="156" t="s">
        <v>5239</v>
      </c>
      <c r="N962" s="156" t="s">
        <v>5240</v>
      </c>
      <c r="O962" s="153">
        <v>1.0</v>
      </c>
      <c r="P962" s="603" t="str">
        <f t="shared" si="52"/>
        <v>10.1016--j.ecresq.2019.10.004.pdf</v>
      </c>
      <c r="Q962" s="49" t="str">
        <f t="array" ref="Q962"> if(iserror(MATCH(V962, 'File Links'!C:C, 0)), "N/A", HYPERLINK(INDEX('File Links'!B:B, MATCH(P962, 'File Links'!C:C, 0))))</f>
        <v>https://drive.google.com/file/d/1w5TanXJyS5YVblHirQgJO5zKr4e7CFnK/view?usp=drivesdk</v>
      </c>
      <c r="R962" s="603" t="s">
        <v>3646</v>
      </c>
      <c r="S962" s="156" t="s">
        <v>3647</v>
      </c>
      <c r="T962" s="65"/>
      <c r="U962" s="153">
        <v>1.0</v>
      </c>
      <c r="V962" s="195" t="str">
        <f t="shared" si="53"/>
        <v>10.1098--rsos.231240.pdf</v>
      </c>
      <c r="W962" s="156" t="s">
        <v>3689</v>
      </c>
      <c r="X962" s="51" t="str">
        <f t="array" ref="X962"> if(iserror(MATCH(V962, 'File Links'!C:C, 0)), "N/A", HYPERLINK(INDEX('File Links'!B:B, MATCH(V962, 'File Links'!C:C, 0))))</f>
        <v>https://drive.google.com/file/d/17gaf2Zy_ljFfcAEDk5L8GBnTl5i7RGJE/view?usp=drivesdk</v>
      </c>
      <c r="Y962" s="65"/>
      <c r="Z962" s="156" t="s">
        <v>1802</v>
      </c>
      <c r="AA962" s="156" t="s">
        <v>5247</v>
      </c>
      <c r="AB962" s="156" t="s">
        <v>5248</v>
      </c>
      <c r="AC962" s="156" t="s">
        <v>5266</v>
      </c>
      <c r="AD962" s="156" t="s">
        <v>5250</v>
      </c>
      <c r="AE962" s="153">
        <v>8.0</v>
      </c>
      <c r="AF962" s="153">
        <v>540.0</v>
      </c>
      <c r="AG962" s="153">
        <v>1.0</v>
      </c>
      <c r="AH962" s="153" t="s">
        <v>715</v>
      </c>
      <c r="AI962" s="153" t="s">
        <v>606</v>
      </c>
      <c r="AJ962" s="153">
        <v>0.05</v>
      </c>
      <c r="AK962" s="156" t="s">
        <v>328</v>
      </c>
      <c r="AL962" s="156" t="s">
        <v>179</v>
      </c>
      <c r="AM962" s="156" t="s">
        <v>134</v>
      </c>
      <c r="AN962" s="148" t="s">
        <v>131</v>
      </c>
      <c r="AO962" s="153">
        <v>250.0</v>
      </c>
      <c r="AP962" s="1297">
        <v>1.0</v>
      </c>
      <c r="AQ962" s="153" t="s">
        <v>715</v>
      </c>
      <c r="AR962" s="333" t="s">
        <v>2222</v>
      </c>
      <c r="AS962" s="153">
        <v>0.05</v>
      </c>
      <c r="AT962" s="156" t="s">
        <v>328</v>
      </c>
      <c r="AU962" s="156" t="s">
        <v>179</v>
      </c>
      <c r="AV962" s="156" t="s">
        <v>134</v>
      </c>
      <c r="AW962" s="65"/>
      <c r="AX962" s="1296" t="s">
        <v>144</v>
      </c>
      <c r="AZ962" s="65" t="s">
        <v>146</v>
      </c>
    </row>
    <row r="963">
      <c r="A963" s="41">
        <v>963.0</v>
      </c>
      <c r="B963" s="65" t="s">
        <v>583</v>
      </c>
      <c r="C963" s="59" t="s">
        <v>108</v>
      </c>
      <c r="D963" s="59" t="s">
        <v>146</v>
      </c>
      <c r="F963" s="65" t="s">
        <v>5237</v>
      </c>
      <c r="G963" s="156" t="s">
        <v>5267</v>
      </c>
      <c r="H963" s="156" t="s">
        <v>146</v>
      </c>
      <c r="I963" s="149">
        <v>45687.0</v>
      </c>
      <c r="J963" s="149">
        <v>45692.0</v>
      </c>
      <c r="K963" s="1052" t="s">
        <v>5268</v>
      </c>
      <c r="L963" s="156" t="s">
        <v>5246</v>
      </c>
      <c r="M963" s="156" t="s">
        <v>5239</v>
      </c>
      <c r="N963" s="156" t="s">
        <v>5240</v>
      </c>
      <c r="O963" s="153">
        <v>1.0</v>
      </c>
      <c r="P963" s="603" t="str">
        <f t="shared" si="52"/>
        <v>10.1016--j.ecresq.2019.10.004.pdf</v>
      </c>
      <c r="Q963" s="49" t="str">
        <f t="array" ref="Q963"> if(iserror(MATCH(V963, 'File Links'!C:C, 0)), "N/A", HYPERLINK(INDEX('File Links'!B:B, MATCH(P963, 'File Links'!C:C, 0))))</f>
        <v>https://drive.google.com/file/d/1w5TanXJyS5YVblHirQgJO5zKr4e7CFnK/view?usp=drivesdk</v>
      </c>
      <c r="R963" s="603" t="s">
        <v>3646</v>
      </c>
      <c r="S963" s="156" t="s">
        <v>3647</v>
      </c>
      <c r="T963" s="65"/>
      <c r="U963" s="153">
        <v>1.0</v>
      </c>
      <c r="V963" s="195" t="str">
        <f t="shared" si="53"/>
        <v>10.1098--rsos.231240.pdf</v>
      </c>
      <c r="W963" s="156" t="s">
        <v>3689</v>
      </c>
      <c r="X963" s="51" t="str">
        <f t="array" ref="X963"> if(iserror(MATCH(V963, 'File Links'!C:C, 0)), "N/A", HYPERLINK(INDEX('File Links'!B:B, MATCH(V963, 'File Links'!C:C, 0))))</f>
        <v>https://drive.google.com/file/d/17gaf2Zy_ljFfcAEDk5L8GBnTl5i7RGJE/view?usp=drivesdk</v>
      </c>
      <c r="Y963" s="65"/>
      <c r="Z963" s="156" t="s">
        <v>1802</v>
      </c>
      <c r="AA963" s="156" t="s">
        <v>5247</v>
      </c>
      <c r="AB963" s="156" t="s">
        <v>5248</v>
      </c>
      <c r="AC963" s="156" t="s">
        <v>5269</v>
      </c>
      <c r="AD963" s="156" t="s">
        <v>5250</v>
      </c>
      <c r="AE963" s="153">
        <v>8.0</v>
      </c>
      <c r="AF963" s="153">
        <v>540.0</v>
      </c>
      <c r="AG963" s="153">
        <v>0.997</v>
      </c>
      <c r="AH963" s="153" t="s">
        <v>715</v>
      </c>
      <c r="AI963" s="153" t="s">
        <v>606</v>
      </c>
      <c r="AJ963" s="153">
        <v>0.05</v>
      </c>
      <c r="AK963" s="156" t="s">
        <v>328</v>
      </c>
      <c r="AL963" s="156" t="s">
        <v>179</v>
      </c>
      <c r="AM963" s="156" t="s">
        <v>134</v>
      </c>
      <c r="AN963" s="148" t="s">
        <v>131</v>
      </c>
      <c r="AO963" s="153">
        <v>250.0</v>
      </c>
      <c r="AP963" s="153">
        <v>0.995</v>
      </c>
      <c r="AQ963" s="153" t="s">
        <v>715</v>
      </c>
      <c r="AR963" s="333" t="s">
        <v>2222</v>
      </c>
      <c r="AS963" s="153">
        <v>0.05</v>
      </c>
      <c r="AT963" s="156" t="s">
        <v>328</v>
      </c>
      <c r="AU963" s="156" t="s">
        <v>179</v>
      </c>
      <c r="AV963" s="156" t="s">
        <v>134</v>
      </c>
      <c r="AW963" s="65"/>
      <c r="AX963" s="1296" t="s">
        <v>144</v>
      </c>
      <c r="AZ963" s="65" t="s">
        <v>146</v>
      </c>
    </row>
    <row r="964">
      <c r="A964" s="41">
        <v>964.0</v>
      </c>
      <c r="B964" s="65" t="s">
        <v>583</v>
      </c>
      <c r="C964" s="59" t="s">
        <v>108</v>
      </c>
      <c r="D964" s="59" t="s">
        <v>146</v>
      </c>
      <c r="F964" s="65" t="s">
        <v>5237</v>
      </c>
      <c r="G964" s="156" t="s">
        <v>5270</v>
      </c>
      <c r="H964" s="156" t="s">
        <v>146</v>
      </c>
      <c r="I964" s="149">
        <v>45687.0</v>
      </c>
      <c r="J964" s="149">
        <v>45692.0</v>
      </c>
      <c r="K964" s="1052" t="s">
        <v>5271</v>
      </c>
      <c r="L964" s="156" t="s">
        <v>5246</v>
      </c>
      <c r="M964" s="156" t="s">
        <v>5239</v>
      </c>
      <c r="N964" s="156" t="s">
        <v>5240</v>
      </c>
      <c r="O964" s="153">
        <v>1.0</v>
      </c>
      <c r="P964" s="603" t="str">
        <f t="shared" si="52"/>
        <v>10.1016--j.ecresq.2019.10.004.pdf</v>
      </c>
      <c r="Q964" s="49" t="str">
        <f t="array" ref="Q964"> if(iserror(MATCH(V964, 'File Links'!C:C, 0)), "N/A", HYPERLINK(INDEX('File Links'!B:B, MATCH(P964, 'File Links'!C:C, 0))))</f>
        <v>https://drive.google.com/file/d/1w5TanXJyS5YVblHirQgJO5zKr4e7CFnK/view?usp=drivesdk</v>
      </c>
      <c r="R964" s="603" t="s">
        <v>3646</v>
      </c>
      <c r="S964" s="156" t="s">
        <v>3647</v>
      </c>
      <c r="T964" s="65"/>
      <c r="U964" s="153">
        <v>1.0</v>
      </c>
      <c r="V964" s="195" t="str">
        <f t="shared" si="53"/>
        <v>10.1098--rsos.231240.pdf</v>
      </c>
      <c r="W964" s="156" t="s">
        <v>3689</v>
      </c>
      <c r="X964" s="51" t="str">
        <f t="array" ref="X964"> if(iserror(MATCH(V964, 'File Links'!C:C, 0)), "N/A", HYPERLINK(INDEX('File Links'!B:B, MATCH(V964, 'File Links'!C:C, 0))))</f>
        <v>https://drive.google.com/file/d/17gaf2Zy_ljFfcAEDk5L8GBnTl5i7RGJE/view?usp=drivesdk</v>
      </c>
      <c r="Y964" s="65"/>
      <c r="Z964" s="156" t="s">
        <v>1802</v>
      </c>
      <c r="AA964" s="156" t="s">
        <v>5247</v>
      </c>
      <c r="AB964" s="156" t="s">
        <v>5248</v>
      </c>
      <c r="AC964" s="156" t="s">
        <v>5272</v>
      </c>
      <c r="AD964" s="156" t="s">
        <v>5250</v>
      </c>
      <c r="AE964" s="153">
        <v>8.0</v>
      </c>
      <c r="AF964" s="153">
        <v>540.0</v>
      </c>
      <c r="AG964" s="1245">
        <v>0.999</v>
      </c>
      <c r="AH964" s="153" t="s">
        <v>715</v>
      </c>
      <c r="AI964" s="153" t="s">
        <v>606</v>
      </c>
      <c r="AJ964" s="153">
        <v>0.05</v>
      </c>
      <c r="AK964" s="156" t="s">
        <v>328</v>
      </c>
      <c r="AL964" s="156" t="s">
        <v>179</v>
      </c>
      <c r="AM964" s="156" t="s">
        <v>134</v>
      </c>
      <c r="AN964" s="148" t="s">
        <v>131</v>
      </c>
      <c r="AO964" s="153">
        <v>250.0</v>
      </c>
      <c r="AP964" s="1297">
        <v>0.994</v>
      </c>
      <c r="AQ964" s="153" t="s">
        <v>715</v>
      </c>
      <c r="AR964" s="333" t="s">
        <v>2222</v>
      </c>
      <c r="AS964" s="153">
        <v>0.05</v>
      </c>
      <c r="AT964" s="156" t="s">
        <v>328</v>
      </c>
      <c r="AU964" s="156" t="s">
        <v>179</v>
      </c>
      <c r="AV964" s="156" t="s">
        <v>134</v>
      </c>
      <c r="AW964" s="65"/>
      <c r="AX964" s="1296" t="s">
        <v>144</v>
      </c>
      <c r="AZ964" s="65" t="s">
        <v>146</v>
      </c>
    </row>
    <row r="965">
      <c r="A965" s="41">
        <v>965.0</v>
      </c>
      <c r="B965" s="65" t="s">
        <v>583</v>
      </c>
      <c r="C965" s="59" t="s">
        <v>108</v>
      </c>
      <c r="D965" s="59" t="s">
        <v>146</v>
      </c>
      <c r="F965" s="65" t="s">
        <v>5237</v>
      </c>
      <c r="G965" s="156" t="s">
        <v>5273</v>
      </c>
      <c r="H965" s="156" t="s">
        <v>146</v>
      </c>
      <c r="I965" s="149">
        <v>45687.0</v>
      </c>
      <c r="J965" s="149">
        <v>45692.0</v>
      </c>
      <c r="K965" s="1052" t="s">
        <v>5274</v>
      </c>
      <c r="L965" s="156" t="s">
        <v>5246</v>
      </c>
      <c r="M965" s="156" t="s">
        <v>5239</v>
      </c>
      <c r="N965" s="156" t="s">
        <v>5240</v>
      </c>
      <c r="O965" s="153">
        <v>1.0</v>
      </c>
      <c r="P965" s="603" t="str">
        <f t="shared" si="52"/>
        <v>10.1016--j.ecresq.2019.10.004.pdf</v>
      </c>
      <c r="Q965" s="49" t="str">
        <f t="array" ref="Q965"> if(iserror(MATCH(V965, 'File Links'!C:C, 0)), "N/A", HYPERLINK(INDEX('File Links'!B:B, MATCH(P965, 'File Links'!C:C, 0))))</f>
        <v>https://drive.google.com/file/d/1w5TanXJyS5YVblHirQgJO5zKr4e7CFnK/view?usp=drivesdk</v>
      </c>
      <c r="R965" s="603" t="s">
        <v>3646</v>
      </c>
      <c r="S965" s="156" t="s">
        <v>3647</v>
      </c>
      <c r="T965" s="65"/>
      <c r="U965" s="153">
        <v>1.0</v>
      </c>
      <c r="V965" s="195" t="str">
        <f t="shared" si="53"/>
        <v>10.1098--rsos.231240.pdf</v>
      </c>
      <c r="W965" s="156" t="s">
        <v>3689</v>
      </c>
      <c r="X965" s="51" t="str">
        <f t="array" ref="X965"> if(iserror(MATCH(V965, 'File Links'!C:C, 0)), "N/A", HYPERLINK(INDEX('File Links'!B:B, MATCH(V965, 'File Links'!C:C, 0))))</f>
        <v>https://drive.google.com/file/d/17gaf2Zy_ljFfcAEDk5L8GBnTl5i7RGJE/view?usp=drivesdk</v>
      </c>
      <c r="Y965" s="65"/>
      <c r="Z965" s="156" t="s">
        <v>1802</v>
      </c>
      <c r="AA965" s="156" t="s">
        <v>5247</v>
      </c>
      <c r="AB965" s="156" t="s">
        <v>5248</v>
      </c>
      <c r="AC965" s="156" t="s">
        <v>5275</v>
      </c>
      <c r="AD965" s="156" t="s">
        <v>5276</v>
      </c>
      <c r="AE965" s="153">
        <v>8.0</v>
      </c>
      <c r="AF965" s="153">
        <v>540.0</v>
      </c>
      <c r="AG965" s="1245">
        <v>1.01</v>
      </c>
      <c r="AH965" s="153" t="s">
        <v>715</v>
      </c>
      <c r="AI965" s="153" t="s">
        <v>606</v>
      </c>
      <c r="AJ965" s="153">
        <v>0.05</v>
      </c>
      <c r="AK965" s="156" t="s">
        <v>328</v>
      </c>
      <c r="AL965" s="156" t="s">
        <v>179</v>
      </c>
      <c r="AM965" s="156" t="s">
        <v>134</v>
      </c>
      <c r="AN965" s="148" t="s">
        <v>131</v>
      </c>
      <c r="AO965" s="153">
        <v>250.0</v>
      </c>
      <c r="AP965" s="1297">
        <v>0.999</v>
      </c>
      <c r="AQ965" s="153" t="s">
        <v>715</v>
      </c>
      <c r="AR965" s="153" t="s">
        <v>620</v>
      </c>
      <c r="AS965" s="153">
        <v>0.05</v>
      </c>
      <c r="AT965" s="156" t="s">
        <v>328</v>
      </c>
      <c r="AU965" s="156" t="s">
        <v>179</v>
      </c>
      <c r="AV965" s="156" t="s">
        <v>134</v>
      </c>
      <c r="AW965" s="65"/>
      <c r="AX965" s="1296" t="s">
        <v>144</v>
      </c>
      <c r="AZ965" s="65" t="s">
        <v>146</v>
      </c>
    </row>
    <row r="966">
      <c r="A966" s="41">
        <v>966.0</v>
      </c>
      <c r="B966" s="65" t="s">
        <v>583</v>
      </c>
      <c r="C966" s="59" t="s">
        <v>108</v>
      </c>
      <c r="D966" s="59" t="s">
        <v>146</v>
      </c>
      <c r="F966" s="65" t="s">
        <v>5237</v>
      </c>
      <c r="G966" s="156" t="s">
        <v>5277</v>
      </c>
      <c r="H966" s="156" t="s">
        <v>146</v>
      </c>
      <c r="I966" s="149">
        <v>45687.0</v>
      </c>
      <c r="J966" s="149">
        <v>45692.0</v>
      </c>
      <c r="K966" s="1052" t="s">
        <v>5278</v>
      </c>
      <c r="L966" s="156" t="s">
        <v>5246</v>
      </c>
      <c r="M966" s="156" t="s">
        <v>5239</v>
      </c>
      <c r="N966" s="156" t="s">
        <v>5240</v>
      </c>
      <c r="O966" s="153">
        <v>1.0</v>
      </c>
      <c r="P966" s="603" t="str">
        <f t="shared" si="52"/>
        <v>10.1016--j.ecresq.2019.10.004.pdf</v>
      </c>
      <c r="Q966" s="49" t="str">
        <f t="array" ref="Q966"> if(iserror(MATCH(V966, 'File Links'!C:C, 0)), "N/A", HYPERLINK(INDEX('File Links'!B:B, MATCH(P966, 'File Links'!C:C, 0))))</f>
        <v>https://drive.google.com/file/d/1w5TanXJyS5YVblHirQgJO5zKr4e7CFnK/view?usp=drivesdk</v>
      </c>
      <c r="R966" s="603" t="s">
        <v>3646</v>
      </c>
      <c r="S966" s="156" t="s">
        <v>3647</v>
      </c>
      <c r="T966" s="65"/>
      <c r="U966" s="153">
        <v>1.0</v>
      </c>
      <c r="V966" s="195" t="str">
        <f t="shared" si="53"/>
        <v>10.1098--rsos.231240.pdf</v>
      </c>
      <c r="W966" s="156" t="s">
        <v>3689</v>
      </c>
      <c r="X966" s="51" t="str">
        <f t="array" ref="X966"> if(iserror(MATCH(V966, 'File Links'!C:C, 0)), "N/A", HYPERLINK(INDEX('File Links'!B:B, MATCH(V966, 'File Links'!C:C, 0))))</f>
        <v>https://drive.google.com/file/d/17gaf2Zy_ljFfcAEDk5L8GBnTl5i7RGJE/view?usp=drivesdk</v>
      </c>
      <c r="Y966" s="65"/>
      <c r="Z966" s="156" t="s">
        <v>1802</v>
      </c>
      <c r="AA966" s="156" t="s">
        <v>5247</v>
      </c>
      <c r="AB966" s="156" t="s">
        <v>5248</v>
      </c>
      <c r="AC966" s="156" t="s">
        <v>5279</v>
      </c>
      <c r="AD966" s="156" t="s">
        <v>5276</v>
      </c>
      <c r="AE966" s="153">
        <v>8.0</v>
      </c>
      <c r="AF966" s="153">
        <v>540.0</v>
      </c>
      <c r="AG966" s="1245">
        <v>1.01</v>
      </c>
      <c r="AH966" s="153" t="s">
        <v>715</v>
      </c>
      <c r="AI966" s="153" t="s">
        <v>606</v>
      </c>
      <c r="AJ966" s="153">
        <v>0.05</v>
      </c>
      <c r="AK966" s="156" t="s">
        <v>328</v>
      </c>
      <c r="AL966" s="156" t="s">
        <v>179</v>
      </c>
      <c r="AM966" s="156" t="s">
        <v>134</v>
      </c>
      <c r="AN966" s="148" t="s">
        <v>131</v>
      </c>
      <c r="AO966" s="153">
        <v>250.0</v>
      </c>
      <c r="AP966" s="1297">
        <v>0.999</v>
      </c>
      <c r="AQ966" s="153" t="s">
        <v>715</v>
      </c>
      <c r="AR966" s="153" t="s">
        <v>620</v>
      </c>
      <c r="AS966" s="153">
        <v>0.05</v>
      </c>
      <c r="AT966" s="156" t="s">
        <v>328</v>
      </c>
      <c r="AU966" s="156" t="s">
        <v>179</v>
      </c>
      <c r="AV966" s="156" t="s">
        <v>134</v>
      </c>
      <c r="AW966" s="65"/>
      <c r="AX966" s="1296" t="s">
        <v>144</v>
      </c>
      <c r="AZ966" s="65" t="s">
        <v>146</v>
      </c>
    </row>
    <row r="967">
      <c r="A967" s="41">
        <v>967.0</v>
      </c>
      <c r="B967" s="65" t="s">
        <v>583</v>
      </c>
      <c r="C967" s="59" t="s">
        <v>108</v>
      </c>
      <c r="D967" s="59" t="s">
        <v>146</v>
      </c>
      <c r="F967" s="65" t="s">
        <v>5237</v>
      </c>
      <c r="G967" s="156" t="s">
        <v>5280</v>
      </c>
      <c r="H967" s="156" t="s">
        <v>146</v>
      </c>
      <c r="I967" s="149">
        <v>45687.0</v>
      </c>
      <c r="J967" s="149">
        <v>45692.0</v>
      </c>
      <c r="K967" s="1052" t="s">
        <v>5281</v>
      </c>
      <c r="L967" s="156" t="s">
        <v>5246</v>
      </c>
      <c r="M967" s="156" t="s">
        <v>5239</v>
      </c>
      <c r="N967" s="156" t="s">
        <v>5240</v>
      </c>
      <c r="O967" s="153">
        <v>1.0</v>
      </c>
      <c r="P967" s="603" t="str">
        <f t="shared" si="52"/>
        <v>10.1016--j.ecresq.2019.10.004.pdf</v>
      </c>
      <c r="Q967" s="49" t="str">
        <f t="array" ref="Q967"> if(iserror(MATCH(V967, 'File Links'!C:C, 0)), "N/A", HYPERLINK(INDEX('File Links'!B:B, MATCH(P967, 'File Links'!C:C, 0))))</f>
        <v>https://drive.google.com/file/d/1w5TanXJyS5YVblHirQgJO5zKr4e7CFnK/view?usp=drivesdk</v>
      </c>
      <c r="R967" s="603" t="s">
        <v>3646</v>
      </c>
      <c r="S967" s="156" t="s">
        <v>3647</v>
      </c>
      <c r="T967" s="65"/>
      <c r="U967" s="153">
        <v>1.0</v>
      </c>
      <c r="V967" s="195" t="str">
        <f t="shared" si="53"/>
        <v>10.1098--rsos.231240.pdf</v>
      </c>
      <c r="W967" s="156" t="s">
        <v>3689</v>
      </c>
      <c r="X967" s="51" t="str">
        <f t="array" ref="X967"> if(iserror(MATCH(V967, 'File Links'!C:C, 0)), "N/A", HYPERLINK(INDEX('File Links'!B:B, MATCH(V967, 'File Links'!C:C, 0))))</f>
        <v>https://drive.google.com/file/d/17gaf2Zy_ljFfcAEDk5L8GBnTl5i7RGJE/view?usp=drivesdk</v>
      </c>
      <c r="Y967" s="65"/>
      <c r="Z967" s="156" t="s">
        <v>1802</v>
      </c>
      <c r="AA967" s="156" t="s">
        <v>5247</v>
      </c>
      <c r="AB967" s="156" t="s">
        <v>5248</v>
      </c>
      <c r="AC967" s="156" t="s">
        <v>5282</v>
      </c>
      <c r="AD967" s="156" t="s">
        <v>5276</v>
      </c>
      <c r="AE967" s="153">
        <v>8.0</v>
      </c>
      <c r="AF967" s="153">
        <v>540.0</v>
      </c>
      <c r="AG967" s="1245">
        <v>1.009</v>
      </c>
      <c r="AH967" s="153" t="s">
        <v>715</v>
      </c>
      <c r="AI967" s="153" t="s">
        <v>606</v>
      </c>
      <c r="AJ967" s="153">
        <v>0.05</v>
      </c>
      <c r="AK967" s="156" t="s">
        <v>328</v>
      </c>
      <c r="AL967" s="156" t="s">
        <v>179</v>
      </c>
      <c r="AM967" s="156" t="s">
        <v>134</v>
      </c>
      <c r="AN967" s="148" t="s">
        <v>131</v>
      </c>
      <c r="AO967" s="153">
        <v>250.0</v>
      </c>
      <c r="AP967" s="1297">
        <v>0.997</v>
      </c>
      <c r="AQ967" s="153" t="s">
        <v>715</v>
      </c>
      <c r="AR967" s="153" t="s">
        <v>620</v>
      </c>
      <c r="AS967" s="153">
        <v>0.05</v>
      </c>
      <c r="AT967" s="156" t="s">
        <v>328</v>
      </c>
      <c r="AU967" s="156" t="s">
        <v>179</v>
      </c>
      <c r="AV967" s="156" t="s">
        <v>134</v>
      </c>
      <c r="AW967" s="65"/>
      <c r="AX967" s="1296" t="s">
        <v>144</v>
      </c>
      <c r="AZ967" s="65" t="s">
        <v>146</v>
      </c>
    </row>
    <row r="968">
      <c r="A968" s="41">
        <v>968.0</v>
      </c>
      <c r="B968" s="65" t="s">
        <v>583</v>
      </c>
      <c r="C968" s="59" t="s">
        <v>108</v>
      </c>
      <c r="D968" s="59" t="s">
        <v>146</v>
      </c>
      <c r="F968" s="65" t="s">
        <v>5237</v>
      </c>
      <c r="G968" s="156" t="s">
        <v>5283</v>
      </c>
      <c r="H968" s="156" t="s">
        <v>146</v>
      </c>
      <c r="I968" s="149">
        <v>45687.0</v>
      </c>
      <c r="J968" s="149">
        <v>45692.0</v>
      </c>
      <c r="K968" s="1052" t="s">
        <v>5284</v>
      </c>
      <c r="L968" s="156" t="s">
        <v>5246</v>
      </c>
      <c r="M968" s="156" t="s">
        <v>5239</v>
      </c>
      <c r="N968" s="156" t="s">
        <v>5240</v>
      </c>
      <c r="O968" s="153">
        <v>1.0</v>
      </c>
      <c r="P968" s="603" t="str">
        <f t="shared" si="52"/>
        <v>10.1016--j.ecresq.2019.10.004.pdf</v>
      </c>
      <c r="Q968" s="49" t="str">
        <f t="array" ref="Q968"> if(iserror(MATCH(V968, 'File Links'!C:C, 0)), "N/A", HYPERLINK(INDEX('File Links'!B:B, MATCH(P968, 'File Links'!C:C, 0))))</f>
        <v>https://drive.google.com/file/d/1w5TanXJyS5YVblHirQgJO5zKr4e7CFnK/view?usp=drivesdk</v>
      </c>
      <c r="R968" s="603" t="s">
        <v>3646</v>
      </c>
      <c r="S968" s="156" t="s">
        <v>3647</v>
      </c>
      <c r="T968" s="65"/>
      <c r="U968" s="153">
        <v>1.0</v>
      </c>
      <c r="V968" s="195" t="str">
        <f t="shared" si="53"/>
        <v>10.1098--rsos.231240.pdf</v>
      </c>
      <c r="W968" s="156" t="s">
        <v>3689</v>
      </c>
      <c r="X968" s="51" t="str">
        <f t="array" ref="X968"> if(iserror(MATCH(V968, 'File Links'!C:C, 0)), "N/A", HYPERLINK(INDEX('File Links'!B:B, MATCH(V968, 'File Links'!C:C, 0))))</f>
        <v>https://drive.google.com/file/d/17gaf2Zy_ljFfcAEDk5L8GBnTl5i7RGJE/view?usp=drivesdk</v>
      </c>
      <c r="Y968" s="65"/>
      <c r="Z968" s="156" t="s">
        <v>1802</v>
      </c>
      <c r="AA968" s="156" t="s">
        <v>5247</v>
      </c>
      <c r="AB968" s="156" t="s">
        <v>5248</v>
      </c>
      <c r="AC968" s="156" t="s">
        <v>5285</v>
      </c>
      <c r="AD968" s="156" t="s">
        <v>5286</v>
      </c>
      <c r="AE968" s="153">
        <v>8.0</v>
      </c>
      <c r="AF968" s="153">
        <v>540.0</v>
      </c>
      <c r="AG968" s="1245">
        <v>0.989</v>
      </c>
      <c r="AH968" s="153" t="s">
        <v>715</v>
      </c>
      <c r="AI968" s="153" t="s">
        <v>606</v>
      </c>
      <c r="AJ968" s="153">
        <v>0.05</v>
      </c>
      <c r="AK968" s="156" t="s">
        <v>328</v>
      </c>
      <c r="AL968" s="156" t="s">
        <v>179</v>
      </c>
      <c r="AM968" s="156" t="s">
        <v>134</v>
      </c>
      <c r="AN968" s="148" t="s">
        <v>131</v>
      </c>
      <c r="AO968" s="153">
        <v>250.0</v>
      </c>
      <c r="AP968" s="1297">
        <v>0.998</v>
      </c>
      <c r="AQ968" s="153" t="s">
        <v>715</v>
      </c>
      <c r="AR968" s="153" t="s">
        <v>620</v>
      </c>
      <c r="AS968" s="153">
        <v>0.05</v>
      </c>
      <c r="AT968" s="156" t="s">
        <v>328</v>
      </c>
      <c r="AU968" s="156" t="s">
        <v>179</v>
      </c>
      <c r="AV968" s="156" t="s">
        <v>134</v>
      </c>
      <c r="AW968" s="65"/>
      <c r="AX968" s="1296" t="s">
        <v>144</v>
      </c>
      <c r="AZ968" s="65" t="s">
        <v>146</v>
      </c>
    </row>
    <row r="969">
      <c r="A969" s="41">
        <v>969.0</v>
      </c>
      <c r="B969" s="65" t="s">
        <v>583</v>
      </c>
      <c r="C969" s="59" t="s">
        <v>108</v>
      </c>
      <c r="D969" s="59" t="s">
        <v>146</v>
      </c>
      <c r="F969" s="65" t="s">
        <v>5237</v>
      </c>
      <c r="G969" s="156" t="s">
        <v>5287</v>
      </c>
      <c r="H969" s="156" t="s">
        <v>146</v>
      </c>
      <c r="I969" s="149">
        <v>45687.0</v>
      </c>
      <c r="J969" s="149">
        <v>45692.0</v>
      </c>
      <c r="K969" s="1052" t="s">
        <v>5288</v>
      </c>
      <c r="L969" s="156" t="s">
        <v>5246</v>
      </c>
      <c r="M969" s="156" t="s">
        <v>5239</v>
      </c>
      <c r="N969" s="156" t="s">
        <v>5240</v>
      </c>
      <c r="O969" s="153">
        <v>1.0</v>
      </c>
      <c r="P969" s="603" t="str">
        <f t="shared" si="52"/>
        <v>10.1016--j.ecresq.2019.10.004.pdf</v>
      </c>
      <c r="Q969" s="49" t="str">
        <f t="array" ref="Q969"> if(iserror(MATCH(V969, 'File Links'!C:C, 0)), "N/A", HYPERLINK(INDEX('File Links'!B:B, MATCH(P969, 'File Links'!C:C, 0))))</f>
        <v>https://drive.google.com/file/d/1w5TanXJyS5YVblHirQgJO5zKr4e7CFnK/view?usp=drivesdk</v>
      </c>
      <c r="R969" s="603" t="s">
        <v>3646</v>
      </c>
      <c r="S969" s="156" t="s">
        <v>3647</v>
      </c>
      <c r="T969" s="65"/>
      <c r="U969" s="153">
        <v>1.0</v>
      </c>
      <c r="V969" s="195" t="str">
        <f t="shared" si="53"/>
        <v>10.1098--rsos.231240.pdf</v>
      </c>
      <c r="W969" s="156" t="s">
        <v>3689</v>
      </c>
      <c r="X969" s="51" t="str">
        <f t="array" ref="X969"> if(iserror(MATCH(V969, 'File Links'!C:C, 0)), "N/A", HYPERLINK(INDEX('File Links'!B:B, MATCH(V969, 'File Links'!C:C, 0))))</f>
        <v>https://drive.google.com/file/d/17gaf2Zy_ljFfcAEDk5L8GBnTl5i7RGJE/view?usp=drivesdk</v>
      </c>
      <c r="Y969" s="65"/>
      <c r="Z969" s="156" t="s">
        <v>1802</v>
      </c>
      <c r="AA969" s="156" t="s">
        <v>5247</v>
      </c>
      <c r="AB969" s="156" t="s">
        <v>5248</v>
      </c>
      <c r="AC969" s="156" t="s">
        <v>5285</v>
      </c>
      <c r="AD969" s="156" t="s">
        <v>5286</v>
      </c>
      <c r="AE969" s="153">
        <v>8.0</v>
      </c>
      <c r="AF969" s="153">
        <v>540.0</v>
      </c>
      <c r="AG969" s="1245">
        <v>0.989</v>
      </c>
      <c r="AH969" s="153" t="s">
        <v>715</v>
      </c>
      <c r="AI969" s="153" t="s">
        <v>606</v>
      </c>
      <c r="AJ969" s="153">
        <v>0.05</v>
      </c>
      <c r="AK969" s="156" t="s">
        <v>328</v>
      </c>
      <c r="AL969" s="156" t="s">
        <v>179</v>
      </c>
      <c r="AM969" s="156" t="s">
        <v>134</v>
      </c>
      <c r="AN969" s="148" t="s">
        <v>131</v>
      </c>
      <c r="AO969" s="153">
        <v>250.0</v>
      </c>
      <c r="AP969" s="1297">
        <v>0.998</v>
      </c>
      <c r="AQ969" s="153" t="s">
        <v>715</v>
      </c>
      <c r="AR969" s="153" t="s">
        <v>620</v>
      </c>
      <c r="AS969" s="153">
        <v>0.05</v>
      </c>
      <c r="AT969" s="156" t="s">
        <v>328</v>
      </c>
      <c r="AU969" s="156" t="s">
        <v>179</v>
      </c>
      <c r="AV969" s="156" t="s">
        <v>134</v>
      </c>
      <c r="AW969" s="65"/>
      <c r="AX969" s="1296" t="s">
        <v>144</v>
      </c>
      <c r="AZ969" s="65" t="s">
        <v>146</v>
      </c>
    </row>
    <row r="970">
      <c r="A970" s="41">
        <v>970.0</v>
      </c>
      <c r="B970" s="65" t="s">
        <v>583</v>
      </c>
      <c r="C970" s="59" t="s">
        <v>108</v>
      </c>
      <c r="D970" s="59" t="s">
        <v>146</v>
      </c>
      <c r="F970" s="65" t="s">
        <v>5237</v>
      </c>
      <c r="G970" s="156" t="s">
        <v>5289</v>
      </c>
      <c r="H970" s="156" t="s">
        <v>146</v>
      </c>
      <c r="I970" s="149">
        <v>45687.0</v>
      </c>
      <c r="J970" s="149">
        <v>45692.0</v>
      </c>
      <c r="K970" s="1052" t="s">
        <v>5290</v>
      </c>
      <c r="L970" s="156" t="s">
        <v>5246</v>
      </c>
      <c r="M970" s="156" t="s">
        <v>5239</v>
      </c>
      <c r="N970" s="156" t="s">
        <v>5240</v>
      </c>
      <c r="O970" s="153">
        <v>1.0</v>
      </c>
      <c r="P970" s="603" t="str">
        <f t="shared" si="52"/>
        <v>10.1016--j.ecresq.2019.10.004.pdf</v>
      </c>
      <c r="Q970" s="49" t="str">
        <f t="array" ref="Q970"> if(iserror(MATCH(V970, 'File Links'!C:C, 0)), "N/A", HYPERLINK(INDEX('File Links'!B:B, MATCH(P970, 'File Links'!C:C, 0))))</f>
        <v>https://drive.google.com/file/d/1w5TanXJyS5YVblHirQgJO5zKr4e7CFnK/view?usp=drivesdk</v>
      </c>
      <c r="R970" s="603" t="s">
        <v>3646</v>
      </c>
      <c r="S970" s="156" t="s">
        <v>3647</v>
      </c>
      <c r="T970" s="65"/>
      <c r="U970" s="153">
        <v>1.0</v>
      </c>
      <c r="V970" s="195" t="str">
        <f t="shared" si="53"/>
        <v>10.1098--rsos.231240.pdf</v>
      </c>
      <c r="W970" s="156" t="s">
        <v>3689</v>
      </c>
      <c r="X970" s="51" t="str">
        <f t="array" ref="X970"> if(iserror(MATCH(V970, 'File Links'!C:C, 0)), "N/A", HYPERLINK(INDEX('File Links'!B:B, MATCH(V970, 'File Links'!C:C, 0))))</f>
        <v>https://drive.google.com/file/d/17gaf2Zy_ljFfcAEDk5L8GBnTl5i7RGJE/view?usp=drivesdk</v>
      </c>
      <c r="Y970" s="65"/>
      <c r="Z970" s="156" t="s">
        <v>1802</v>
      </c>
      <c r="AA970" s="156" t="s">
        <v>5247</v>
      </c>
      <c r="AB970" s="156" t="s">
        <v>5248</v>
      </c>
      <c r="AC970" s="156" t="s">
        <v>5285</v>
      </c>
      <c r="AD970" s="156" t="s">
        <v>5286</v>
      </c>
      <c r="AE970" s="153">
        <v>8.0</v>
      </c>
      <c r="AF970" s="153">
        <v>540.0</v>
      </c>
      <c r="AG970" s="1245">
        <v>0.989</v>
      </c>
      <c r="AH970" s="153" t="s">
        <v>715</v>
      </c>
      <c r="AI970" s="153" t="s">
        <v>606</v>
      </c>
      <c r="AJ970" s="153">
        <v>0.05</v>
      </c>
      <c r="AK970" s="156" t="s">
        <v>328</v>
      </c>
      <c r="AL970" s="156" t="s">
        <v>179</v>
      </c>
      <c r="AM970" s="156" t="s">
        <v>134</v>
      </c>
      <c r="AN970" s="148" t="s">
        <v>131</v>
      </c>
      <c r="AO970" s="153">
        <v>250.0</v>
      </c>
      <c r="AP970" s="1297">
        <v>0.997</v>
      </c>
      <c r="AQ970" s="153" t="s">
        <v>715</v>
      </c>
      <c r="AR970" s="153" t="s">
        <v>620</v>
      </c>
      <c r="AS970" s="153">
        <v>0.05</v>
      </c>
      <c r="AT970" s="156" t="s">
        <v>328</v>
      </c>
      <c r="AU970" s="156" t="s">
        <v>179</v>
      </c>
      <c r="AV970" s="156" t="s">
        <v>134</v>
      </c>
      <c r="AW970" s="65"/>
      <c r="AX970" s="1296" t="s">
        <v>144</v>
      </c>
      <c r="AZ970" s="65" t="s">
        <v>146</v>
      </c>
    </row>
    <row r="971">
      <c r="A971" s="41">
        <v>971.0</v>
      </c>
      <c r="B971" s="65" t="s">
        <v>107</v>
      </c>
      <c r="C971" s="59" t="s">
        <v>108</v>
      </c>
      <c r="D971" s="59" t="s">
        <v>241</v>
      </c>
      <c r="F971" s="156" t="s">
        <v>5291</v>
      </c>
      <c r="G971" s="156" t="s">
        <v>5292</v>
      </c>
      <c r="H971" s="156" t="s">
        <v>242</v>
      </c>
      <c r="I971" s="149">
        <v>45673.0</v>
      </c>
      <c r="J971" s="149">
        <v>45692.0</v>
      </c>
      <c r="K971" s="65"/>
      <c r="L971" s="65"/>
      <c r="M971" s="156" t="s">
        <v>5293</v>
      </c>
      <c r="N971" s="156" t="s">
        <v>5294</v>
      </c>
      <c r="O971" s="65"/>
      <c r="P971" s="603" t="str">
        <f t="shared" si="52"/>
        <v>10.1177--0956797614561266.pdf</v>
      </c>
      <c r="Q971" s="49" t="str">
        <f t="array" ref="Q971"> if(iserror(MATCH(V971, 'File Links'!C:C, 0)), "N/A", HYPERLINK(INDEX('File Links'!B:B, MATCH(P971, 'File Links'!C:C, 0))))</f>
        <v>https://drive.google.com/file/d/1J0gXacFjwTY8lqoRS7-Ly_0MayhAFMtY/view?usp=drivesdk</v>
      </c>
      <c r="R971" s="603" t="s">
        <v>3646</v>
      </c>
      <c r="S971" s="156" t="s">
        <v>3647</v>
      </c>
      <c r="T971" s="65"/>
      <c r="U971" s="153">
        <v>1.0</v>
      </c>
      <c r="V971" s="195" t="str">
        <f t="shared" si="53"/>
        <v>10.1098--rsos.231240.pdf</v>
      </c>
      <c r="W971" s="156" t="s">
        <v>317</v>
      </c>
      <c r="X971" s="51" t="str">
        <f t="array" ref="X971"> if(iserror(MATCH(V971, 'File Links'!C:C, 0)), "N/A", HYPERLINK(INDEX('File Links'!B:B, MATCH(V971, 'File Links'!C:C, 0))))</f>
        <v>https://drive.google.com/file/d/17gaf2Zy_ljFfcAEDk5L8GBnTl5i7RGJE/view?usp=drivesdk</v>
      </c>
      <c r="Y971" s="65"/>
      <c r="Z971" s="156" t="s">
        <v>219</v>
      </c>
      <c r="AA971" s="156" t="s">
        <v>5088</v>
      </c>
      <c r="AB971" s="65"/>
      <c r="AC971" s="156" t="s">
        <v>5089</v>
      </c>
      <c r="AD971" s="156" t="s">
        <v>5295</v>
      </c>
      <c r="AE971" s="153">
        <v>4.0</v>
      </c>
      <c r="AF971" s="153">
        <v>312.0</v>
      </c>
      <c r="AG971" s="1240">
        <v>0.36</v>
      </c>
      <c r="AH971" s="156" t="s">
        <v>166</v>
      </c>
      <c r="AI971" s="156" t="s">
        <v>489</v>
      </c>
      <c r="AJ971" s="153">
        <v>0.002</v>
      </c>
      <c r="AK971" s="156" t="s">
        <v>165</v>
      </c>
      <c r="AL971" s="156" t="s">
        <v>179</v>
      </c>
      <c r="AM971" s="156" t="s">
        <v>130</v>
      </c>
      <c r="AN971" s="148" t="s">
        <v>131</v>
      </c>
      <c r="AO971" s="153">
        <v>321.0</v>
      </c>
      <c r="AP971" s="1240">
        <v>0.196909487739417</v>
      </c>
      <c r="AQ971" s="156" t="s">
        <v>166</v>
      </c>
      <c r="AR971" s="65"/>
      <c r="AS971" s="1240">
        <v>0.0791635471444569</v>
      </c>
      <c r="AT971" s="156" t="s">
        <v>165</v>
      </c>
      <c r="AU971" s="156" t="s">
        <v>179</v>
      </c>
      <c r="AV971" s="156" t="s">
        <v>130</v>
      </c>
      <c r="AW971" s="65"/>
      <c r="AX971" s="156" t="s">
        <v>136</v>
      </c>
      <c r="AZ971" s="65" t="s">
        <v>146</v>
      </c>
    </row>
    <row r="972">
      <c r="A972" s="41">
        <v>972.0</v>
      </c>
      <c r="B972" s="126" t="s">
        <v>4516</v>
      </c>
      <c r="C972" s="59" t="s">
        <v>108</v>
      </c>
      <c r="D972" s="59" t="s">
        <v>146</v>
      </c>
      <c r="F972" s="65" t="s">
        <v>5292</v>
      </c>
      <c r="G972" s="156" t="s">
        <v>5296</v>
      </c>
      <c r="H972" s="156" t="s">
        <v>146</v>
      </c>
      <c r="I972" s="149">
        <v>45687.0</v>
      </c>
      <c r="J972" s="149">
        <v>45692.0</v>
      </c>
      <c r="K972" s="1052" t="s">
        <v>5297</v>
      </c>
      <c r="L972" s="65"/>
      <c r="M972" s="156" t="s">
        <v>5293</v>
      </c>
      <c r="N972" s="156" t="s">
        <v>5294</v>
      </c>
      <c r="O972" s="153">
        <v>1.0</v>
      </c>
      <c r="P972" s="603" t="str">
        <f t="shared" si="52"/>
        <v>10.1177--0956797614561266.pdf</v>
      </c>
      <c r="Q972" s="49" t="str">
        <f t="array" ref="Q972"> if(iserror(MATCH(V972, 'File Links'!C:C, 0)), "N/A", HYPERLINK(INDEX('File Links'!B:B, MATCH(P972, 'File Links'!C:C, 0))))</f>
        <v>https://drive.google.com/file/d/1J0gXacFjwTY8lqoRS7-Ly_0MayhAFMtY/view?usp=drivesdk</v>
      </c>
      <c r="R972" s="603" t="s">
        <v>3646</v>
      </c>
      <c r="S972" s="156" t="s">
        <v>3647</v>
      </c>
      <c r="T972" s="65"/>
      <c r="U972" s="153">
        <v>1.0</v>
      </c>
      <c r="V972" s="195" t="str">
        <f t="shared" si="53"/>
        <v>10.1098--rsos.231240.pdf</v>
      </c>
      <c r="W972" s="156" t="s">
        <v>3719</v>
      </c>
      <c r="X972" s="51" t="str">
        <f t="array" ref="X972"> if(iserror(MATCH(V972, 'File Links'!C:C, 0)), "N/A", HYPERLINK(INDEX('File Links'!B:B, MATCH(V972, 'File Links'!C:C, 0))))</f>
        <v>https://drive.google.com/file/d/17gaf2Zy_ljFfcAEDk5L8GBnTl5i7RGJE/view?usp=drivesdk</v>
      </c>
      <c r="Y972" s="65"/>
      <c r="Z972" s="156" t="s">
        <v>219</v>
      </c>
      <c r="AA972" s="156" t="s">
        <v>4045</v>
      </c>
      <c r="AB972" s="156" t="s">
        <v>5298</v>
      </c>
      <c r="AC972" s="156" t="s">
        <v>5299</v>
      </c>
      <c r="AD972" s="156" t="s">
        <v>5300</v>
      </c>
      <c r="AE972" s="153">
        <v>4.0</v>
      </c>
      <c r="AF972" s="153">
        <v>312.0</v>
      </c>
      <c r="AG972" s="1245">
        <v>0.36</v>
      </c>
      <c r="AH972" s="153" t="s">
        <v>166</v>
      </c>
      <c r="AI972" s="153" t="s">
        <v>843</v>
      </c>
      <c r="AJ972" s="153">
        <v>0.002</v>
      </c>
      <c r="AK972" s="156" t="s">
        <v>165</v>
      </c>
      <c r="AL972" s="156" t="s">
        <v>179</v>
      </c>
      <c r="AM972" s="156" t="s">
        <v>130</v>
      </c>
      <c r="AN972" s="148" t="s">
        <v>131</v>
      </c>
      <c r="AO972" s="153">
        <v>321.0</v>
      </c>
      <c r="AP972" s="1111">
        <v>0.1761949</v>
      </c>
      <c r="AQ972" s="153" t="s">
        <v>980</v>
      </c>
      <c r="AR972" s="153" t="s">
        <v>2222</v>
      </c>
      <c r="AS972" s="333">
        <v>0.0791605</v>
      </c>
      <c r="AT972" s="156" t="s">
        <v>165</v>
      </c>
      <c r="AU972" s="156" t="s">
        <v>179</v>
      </c>
      <c r="AV972" s="156" t="s">
        <v>130</v>
      </c>
      <c r="AW972" s="65"/>
      <c r="AX972" s="65" t="s">
        <v>136</v>
      </c>
      <c r="AZ972" s="65" t="s">
        <v>146</v>
      </c>
    </row>
    <row r="973">
      <c r="A973" s="41">
        <v>973.0</v>
      </c>
      <c r="B973" s="126" t="s">
        <v>4516</v>
      </c>
      <c r="C973" s="59" t="s">
        <v>108</v>
      </c>
      <c r="D973" s="59" t="s">
        <v>146</v>
      </c>
      <c r="F973" s="65" t="s">
        <v>5292</v>
      </c>
      <c r="G973" s="156" t="s">
        <v>5301</v>
      </c>
      <c r="H973" s="156" t="s">
        <v>146</v>
      </c>
      <c r="I973" s="149">
        <v>45687.0</v>
      </c>
      <c r="J973" s="149">
        <v>45692.0</v>
      </c>
      <c r="K973" s="1052" t="s">
        <v>5302</v>
      </c>
      <c r="L973" s="65"/>
      <c r="M973" s="156" t="s">
        <v>5293</v>
      </c>
      <c r="N973" s="156" t="s">
        <v>5294</v>
      </c>
      <c r="O973" s="153">
        <v>1.0</v>
      </c>
      <c r="P973" s="603" t="str">
        <f t="shared" si="52"/>
        <v>10.1177--0956797614561266.pdf</v>
      </c>
      <c r="Q973" s="49" t="str">
        <f t="array" ref="Q973"> if(iserror(MATCH(V973, 'File Links'!C:C, 0)), "N/A", HYPERLINK(INDEX('File Links'!B:B, MATCH(P973, 'File Links'!C:C, 0))))</f>
        <v>https://drive.google.com/file/d/1J0gXacFjwTY8lqoRS7-Ly_0MayhAFMtY/view?usp=drivesdk</v>
      </c>
      <c r="R973" s="603" t="s">
        <v>3646</v>
      </c>
      <c r="S973" s="156" t="s">
        <v>3647</v>
      </c>
      <c r="T973" s="65"/>
      <c r="U973" s="153">
        <v>1.0</v>
      </c>
      <c r="V973" s="195" t="str">
        <f t="shared" si="53"/>
        <v>10.1098--rsos.231240.pdf</v>
      </c>
      <c r="W973" s="156" t="s">
        <v>3719</v>
      </c>
      <c r="X973" s="51" t="str">
        <f t="array" ref="X973"> if(iserror(MATCH(V973, 'File Links'!C:C, 0)), "N/A", HYPERLINK(INDEX('File Links'!B:B, MATCH(V973, 'File Links'!C:C, 0))))</f>
        <v>https://drive.google.com/file/d/17gaf2Zy_ljFfcAEDk5L8GBnTl5i7RGJE/view?usp=drivesdk</v>
      </c>
      <c r="Y973" s="65"/>
      <c r="Z973" s="156" t="s">
        <v>219</v>
      </c>
      <c r="AA973" s="156" t="s">
        <v>4045</v>
      </c>
      <c r="AB973" s="156" t="s">
        <v>5298</v>
      </c>
      <c r="AC973" s="156" t="s">
        <v>5303</v>
      </c>
      <c r="AD973" s="156" t="s">
        <v>5304</v>
      </c>
      <c r="AE973" s="153">
        <v>4.0</v>
      </c>
      <c r="AF973" s="153">
        <v>312.0</v>
      </c>
      <c r="AG973" s="153">
        <v>0.27</v>
      </c>
      <c r="AH973" s="153" t="s">
        <v>166</v>
      </c>
      <c r="AI973" s="153" t="s">
        <v>843</v>
      </c>
      <c r="AJ973" s="153">
        <v>0.018</v>
      </c>
      <c r="AK973" s="156" t="s">
        <v>165</v>
      </c>
      <c r="AL973" s="156" t="s">
        <v>179</v>
      </c>
      <c r="AM973" s="156" t="s">
        <v>130</v>
      </c>
      <c r="AN973" s="148" t="s">
        <v>131</v>
      </c>
      <c r="AO973" s="153">
        <v>321.0</v>
      </c>
      <c r="AP973" s="1298">
        <v>0.3183289</v>
      </c>
      <c r="AQ973" s="153" t="s">
        <v>980</v>
      </c>
      <c r="AR973" s="153" t="s">
        <v>429</v>
      </c>
      <c r="AS973" s="333">
        <v>0.0218658</v>
      </c>
      <c r="AT973" s="156" t="s">
        <v>165</v>
      </c>
      <c r="AU973" s="156" t="s">
        <v>179</v>
      </c>
      <c r="AV973" s="156" t="s">
        <v>130</v>
      </c>
      <c r="AW973" s="65"/>
      <c r="AX973" s="65" t="s">
        <v>136</v>
      </c>
      <c r="AZ973" s="65" t="s">
        <v>146</v>
      </c>
    </row>
    <row r="974">
      <c r="A974" s="41">
        <v>974.0</v>
      </c>
      <c r="B974" s="126" t="s">
        <v>4516</v>
      </c>
      <c r="C974" s="59" t="s">
        <v>108</v>
      </c>
      <c r="D974" s="59" t="s">
        <v>146</v>
      </c>
      <c r="F974" s="65" t="s">
        <v>5292</v>
      </c>
      <c r="G974" s="156" t="s">
        <v>5305</v>
      </c>
      <c r="H974" s="156" t="s">
        <v>146</v>
      </c>
      <c r="I974" s="149">
        <v>45687.0</v>
      </c>
      <c r="J974" s="149">
        <v>45692.0</v>
      </c>
      <c r="K974" s="1052" t="s">
        <v>5306</v>
      </c>
      <c r="L974" s="65"/>
      <c r="M974" s="156" t="s">
        <v>5293</v>
      </c>
      <c r="N974" s="156" t="s">
        <v>5294</v>
      </c>
      <c r="O974" s="153">
        <v>1.0</v>
      </c>
      <c r="P974" s="603" t="str">
        <f t="shared" si="52"/>
        <v>10.1177--0956797614561266.pdf</v>
      </c>
      <c r="Q974" s="49" t="str">
        <f t="array" ref="Q974"> if(iserror(MATCH(V974, 'File Links'!C:C, 0)), "N/A", HYPERLINK(INDEX('File Links'!B:B, MATCH(P974, 'File Links'!C:C, 0))))</f>
        <v>https://drive.google.com/file/d/1J0gXacFjwTY8lqoRS7-Ly_0MayhAFMtY/view?usp=drivesdk</v>
      </c>
      <c r="R974" s="603" t="s">
        <v>3646</v>
      </c>
      <c r="S974" s="156" t="s">
        <v>3647</v>
      </c>
      <c r="T974" s="65"/>
      <c r="U974" s="153">
        <v>1.0</v>
      </c>
      <c r="V974" s="195" t="str">
        <f t="shared" si="53"/>
        <v>10.1098--rsos.231240.pdf</v>
      </c>
      <c r="W974" s="156" t="s">
        <v>3719</v>
      </c>
      <c r="X974" s="51" t="str">
        <f t="array" ref="X974"> if(iserror(MATCH(V974, 'File Links'!C:C, 0)), "N/A", HYPERLINK(INDEX('File Links'!B:B, MATCH(V974, 'File Links'!C:C, 0))))</f>
        <v>https://drive.google.com/file/d/17gaf2Zy_ljFfcAEDk5L8GBnTl5i7RGJE/view?usp=drivesdk</v>
      </c>
      <c r="Y974" s="65"/>
      <c r="Z974" s="156" t="s">
        <v>219</v>
      </c>
      <c r="AA974" s="156" t="s">
        <v>4045</v>
      </c>
      <c r="AB974" s="156" t="s">
        <v>5298</v>
      </c>
      <c r="AC974" s="156" t="s">
        <v>5307</v>
      </c>
      <c r="AD974" s="156" t="s">
        <v>5308</v>
      </c>
      <c r="AE974" s="153">
        <v>4.0</v>
      </c>
      <c r="AF974" s="153">
        <v>312.0</v>
      </c>
      <c r="AG974" s="153">
        <v>0.23</v>
      </c>
      <c r="AH974" s="153" t="s">
        <v>166</v>
      </c>
      <c r="AI974" s="153" t="s">
        <v>843</v>
      </c>
      <c r="AJ974" s="153">
        <v>0.04</v>
      </c>
      <c r="AK974" s="156" t="s">
        <v>165</v>
      </c>
      <c r="AL974" s="156" t="s">
        <v>179</v>
      </c>
      <c r="AM974" s="156" t="s">
        <v>130</v>
      </c>
      <c r="AN974" s="148" t="s">
        <v>131</v>
      </c>
      <c r="AO974" s="153">
        <v>321.0</v>
      </c>
      <c r="AP974" s="1111">
        <v>-0.0425567</v>
      </c>
      <c r="AQ974" s="153" t="s">
        <v>980</v>
      </c>
      <c r="AR974" s="153" t="s">
        <v>2222</v>
      </c>
      <c r="AS974" s="333">
        <v>0.5663768</v>
      </c>
      <c r="AT974" s="156" t="s">
        <v>165</v>
      </c>
      <c r="AU974" s="156" t="s">
        <v>179</v>
      </c>
      <c r="AV974" s="156" t="s">
        <v>130</v>
      </c>
      <c r="AW974" s="65"/>
      <c r="AX974" s="65" t="s">
        <v>136</v>
      </c>
      <c r="AZ974" s="65" t="s">
        <v>146</v>
      </c>
    </row>
    <row r="975">
      <c r="A975" s="41">
        <v>975.0</v>
      </c>
      <c r="B975" s="126" t="s">
        <v>4516</v>
      </c>
      <c r="C975" s="59" t="s">
        <v>108</v>
      </c>
      <c r="D975" s="59" t="s">
        <v>146</v>
      </c>
      <c r="F975" s="65" t="s">
        <v>5292</v>
      </c>
      <c r="G975" s="156" t="s">
        <v>5309</v>
      </c>
      <c r="H975" s="156" t="s">
        <v>146</v>
      </c>
      <c r="I975" s="149">
        <v>45687.0</v>
      </c>
      <c r="J975" s="149">
        <v>45692.0</v>
      </c>
      <c r="K975" s="1052" t="s">
        <v>5310</v>
      </c>
      <c r="L975" s="65"/>
      <c r="M975" s="156" t="s">
        <v>5293</v>
      </c>
      <c r="N975" s="156" t="s">
        <v>5294</v>
      </c>
      <c r="O975" s="153">
        <v>1.0</v>
      </c>
      <c r="P975" s="603" t="str">
        <f t="shared" si="52"/>
        <v>10.1177--0956797614561266.pdf</v>
      </c>
      <c r="Q975" s="49" t="str">
        <f t="array" ref="Q975"> if(iserror(MATCH(V975, 'File Links'!C:C, 0)), "N/A", HYPERLINK(INDEX('File Links'!B:B, MATCH(P975, 'File Links'!C:C, 0))))</f>
        <v>https://drive.google.com/file/d/1J0gXacFjwTY8lqoRS7-Ly_0MayhAFMtY/view?usp=drivesdk</v>
      </c>
      <c r="R975" s="603" t="s">
        <v>3646</v>
      </c>
      <c r="S975" s="156" t="s">
        <v>3647</v>
      </c>
      <c r="T975" s="65"/>
      <c r="U975" s="153">
        <v>1.0</v>
      </c>
      <c r="V975" s="195" t="str">
        <f t="shared" si="53"/>
        <v>10.1098--rsos.231240.pdf</v>
      </c>
      <c r="W975" s="156" t="s">
        <v>3719</v>
      </c>
      <c r="X975" s="51" t="str">
        <f t="array" ref="X975"> if(iserror(MATCH(V975, 'File Links'!C:C, 0)), "N/A", HYPERLINK(INDEX('File Links'!B:B, MATCH(V975, 'File Links'!C:C, 0))))</f>
        <v>https://drive.google.com/file/d/17gaf2Zy_ljFfcAEDk5L8GBnTl5i7RGJE/view?usp=drivesdk</v>
      </c>
      <c r="Y975" s="65"/>
      <c r="Z975" s="156" t="s">
        <v>219</v>
      </c>
      <c r="AA975" s="156" t="s">
        <v>4045</v>
      </c>
      <c r="AB975" s="156" t="s">
        <v>5298</v>
      </c>
      <c r="AC975" s="156" t="s">
        <v>5311</v>
      </c>
      <c r="AD975" s="156" t="s">
        <v>5312</v>
      </c>
      <c r="AE975" s="153">
        <v>4.0</v>
      </c>
      <c r="AF975" s="153">
        <v>312.0</v>
      </c>
      <c r="AG975" s="1245">
        <v>0.04</v>
      </c>
      <c r="AH975" s="153" t="s">
        <v>980</v>
      </c>
      <c r="AI975" s="153" t="s">
        <v>843</v>
      </c>
      <c r="AJ975" s="153">
        <v>0.029</v>
      </c>
      <c r="AK975" s="156" t="s">
        <v>165</v>
      </c>
      <c r="AL975" s="156" t="s">
        <v>179</v>
      </c>
      <c r="AM975" s="156" t="s">
        <v>130</v>
      </c>
      <c r="AN975" s="148" t="s">
        <v>131</v>
      </c>
      <c r="AO975" s="153">
        <v>321.0</v>
      </c>
      <c r="AP975" s="153">
        <v>0.0688052</v>
      </c>
      <c r="AQ975" s="153" t="s">
        <v>980</v>
      </c>
      <c r="AR975" s="153" t="s">
        <v>620</v>
      </c>
      <c r="AS975" s="65"/>
      <c r="AT975" s="65"/>
      <c r="AU975" s="156" t="s">
        <v>179</v>
      </c>
      <c r="AV975" s="156" t="s">
        <v>130</v>
      </c>
      <c r="AW975" s="65"/>
      <c r="AX975" s="65" t="s">
        <v>136</v>
      </c>
      <c r="AZ975" s="65" t="s">
        <v>146</v>
      </c>
    </row>
    <row r="976">
      <c r="A976" s="41">
        <v>976.0</v>
      </c>
      <c r="B976" s="126" t="s">
        <v>4516</v>
      </c>
      <c r="C976" s="59" t="s">
        <v>108</v>
      </c>
      <c r="D976" s="59" t="s">
        <v>146</v>
      </c>
      <c r="F976" s="65" t="s">
        <v>5292</v>
      </c>
      <c r="G976" s="156" t="s">
        <v>5313</v>
      </c>
      <c r="H976" s="156" t="s">
        <v>146</v>
      </c>
      <c r="I976" s="149">
        <v>45687.0</v>
      </c>
      <c r="J976" s="149">
        <v>45692.0</v>
      </c>
      <c r="K976" s="1052" t="s">
        <v>5314</v>
      </c>
      <c r="L976" s="65"/>
      <c r="M976" s="156" t="s">
        <v>5293</v>
      </c>
      <c r="N976" s="156" t="s">
        <v>5294</v>
      </c>
      <c r="O976" s="153">
        <v>1.0</v>
      </c>
      <c r="P976" s="603" t="str">
        <f t="shared" si="52"/>
        <v>10.1177--0956797614561266.pdf</v>
      </c>
      <c r="Q976" s="49" t="str">
        <f t="array" ref="Q976"> if(iserror(MATCH(V976, 'File Links'!C:C, 0)), "N/A", HYPERLINK(INDEX('File Links'!B:B, MATCH(P976, 'File Links'!C:C, 0))))</f>
        <v>https://drive.google.com/file/d/1J0gXacFjwTY8lqoRS7-Ly_0MayhAFMtY/view?usp=drivesdk</v>
      </c>
      <c r="R976" s="603" t="s">
        <v>3646</v>
      </c>
      <c r="S976" s="156" t="s">
        <v>3647</v>
      </c>
      <c r="T976" s="65"/>
      <c r="U976" s="153">
        <v>1.0</v>
      </c>
      <c r="V976" s="195" t="str">
        <f t="shared" si="53"/>
        <v>10.1098--rsos.231240.pdf</v>
      </c>
      <c r="W976" s="156" t="s">
        <v>3719</v>
      </c>
      <c r="X976" s="51" t="str">
        <f t="array" ref="X976"> if(iserror(MATCH(V976, 'File Links'!C:C, 0)), "N/A", HYPERLINK(INDEX('File Links'!B:B, MATCH(V976, 'File Links'!C:C, 0))))</f>
        <v>https://drive.google.com/file/d/17gaf2Zy_ljFfcAEDk5L8GBnTl5i7RGJE/view?usp=drivesdk</v>
      </c>
      <c r="Y976" s="65"/>
      <c r="Z976" s="156" t="s">
        <v>219</v>
      </c>
      <c r="AA976" s="156" t="s">
        <v>4045</v>
      </c>
      <c r="AB976" s="156" t="s">
        <v>5298</v>
      </c>
      <c r="AC976" s="156" t="s">
        <v>5315</v>
      </c>
      <c r="AD976" s="156" t="s">
        <v>5316</v>
      </c>
      <c r="AE976" s="153">
        <v>4.0</v>
      </c>
      <c r="AF976" s="153">
        <v>312.0</v>
      </c>
      <c r="AG976" s="333">
        <v>0.034</v>
      </c>
      <c r="AH976" s="153" t="s">
        <v>980</v>
      </c>
      <c r="AI976" s="153" t="s">
        <v>843</v>
      </c>
      <c r="AJ976" s="333">
        <v>0.035</v>
      </c>
      <c r="AK976" s="156" t="s">
        <v>165</v>
      </c>
      <c r="AL976" s="156" t="s">
        <v>179</v>
      </c>
      <c r="AM976" s="156" t="s">
        <v>130</v>
      </c>
      <c r="AN976" s="148" t="s">
        <v>131</v>
      </c>
      <c r="AO976" s="153">
        <v>321.0</v>
      </c>
      <c r="AP976" s="153">
        <v>0.076633</v>
      </c>
      <c r="AQ976" s="153" t="s">
        <v>980</v>
      </c>
      <c r="AR976" s="333" t="s">
        <v>2805</v>
      </c>
      <c r="AS976" s="65"/>
      <c r="AT976" s="65"/>
      <c r="AU976" s="156" t="s">
        <v>179</v>
      </c>
      <c r="AV976" s="156" t="s">
        <v>130</v>
      </c>
      <c r="AW976" s="65"/>
      <c r="AX976" s="65" t="s">
        <v>136</v>
      </c>
      <c r="AZ976" s="65" t="s">
        <v>146</v>
      </c>
    </row>
    <row r="977">
      <c r="A977" s="41">
        <v>977.0</v>
      </c>
      <c r="B977" s="65" t="s">
        <v>107</v>
      </c>
      <c r="C977" s="59" t="s">
        <v>108</v>
      </c>
      <c r="D977" s="59" t="s">
        <v>241</v>
      </c>
      <c r="F977" s="156" t="s">
        <v>5317</v>
      </c>
      <c r="G977" s="156" t="s">
        <v>5318</v>
      </c>
      <c r="H977" s="156" t="s">
        <v>242</v>
      </c>
      <c r="I977" s="149">
        <v>45673.0</v>
      </c>
      <c r="J977" s="149">
        <v>45692.0</v>
      </c>
      <c r="K977" s="65"/>
      <c r="L977" s="65" t="s">
        <v>3683</v>
      </c>
      <c r="M977" s="156" t="s">
        <v>5319</v>
      </c>
      <c r="N977" s="156" t="s">
        <v>5320</v>
      </c>
      <c r="O977" s="65"/>
      <c r="P977" s="603" t="str">
        <f t="shared" si="52"/>
        <v>10.1177--0956797615617779.pdf</v>
      </c>
      <c r="Q977" s="49" t="str">
        <f t="array" ref="Q977"> if(iserror(MATCH(V977, 'File Links'!C:C, 0)), "N/A", HYPERLINK(INDEX('File Links'!B:B, MATCH(P977, 'File Links'!C:C, 0))))</f>
        <v>https://drive.google.com/file/d/1X5Fe2As7h--ByO5qoa79Jna-iqMIag53/view?usp=drivesdk</v>
      </c>
      <c r="R977" s="603" t="s">
        <v>3646</v>
      </c>
      <c r="S977" s="156" t="s">
        <v>3647</v>
      </c>
      <c r="T977" s="65"/>
      <c r="U977" s="153">
        <v>1.0</v>
      </c>
      <c r="V977" s="195" t="str">
        <f t="shared" si="53"/>
        <v>10.1098--rsos.231240.pdf</v>
      </c>
      <c r="W977" s="156" t="s">
        <v>317</v>
      </c>
      <c r="X977" s="51" t="str">
        <f t="array" ref="X977"> if(iserror(MATCH(V977, 'File Links'!C:C, 0)), "N/A", HYPERLINK(INDEX('File Links'!B:B, MATCH(V977, 'File Links'!C:C, 0))))</f>
        <v>https://drive.google.com/file/d/17gaf2Zy_ljFfcAEDk5L8GBnTl5i7RGJE/view?usp=drivesdk</v>
      </c>
      <c r="Y977" s="65"/>
      <c r="Z977" s="156" t="s">
        <v>141</v>
      </c>
      <c r="AA977" s="65"/>
      <c r="AB977" s="156" t="s">
        <v>4464</v>
      </c>
      <c r="AC977" s="65"/>
      <c r="AD977" s="156" t="s">
        <v>5321</v>
      </c>
      <c r="AE977" s="1056">
        <v>216.0</v>
      </c>
      <c r="AF977" s="153">
        <v>22.0</v>
      </c>
      <c r="AG977" s="1239" t="s">
        <v>5322</v>
      </c>
      <c r="AH977" s="116" t="s">
        <v>127</v>
      </c>
      <c r="AI977" s="1057" t="s">
        <v>5323</v>
      </c>
      <c r="AJ977" s="153">
        <v>0.001</v>
      </c>
      <c r="AK977" s="156" t="s">
        <v>128</v>
      </c>
      <c r="AL977" s="156" t="s">
        <v>179</v>
      </c>
      <c r="AM977" s="156" t="s">
        <v>134</v>
      </c>
      <c r="AN977" s="148" t="s">
        <v>131</v>
      </c>
      <c r="AO977" s="153">
        <v>14.0</v>
      </c>
      <c r="AP977" s="153">
        <v>1.51479879344267</v>
      </c>
      <c r="AQ977" s="156" t="s">
        <v>166</v>
      </c>
      <c r="AR977" s="65"/>
      <c r="AS977" s="1243">
        <v>1.09027208418848E-4</v>
      </c>
      <c r="AT977" s="156" t="s">
        <v>165</v>
      </c>
      <c r="AU977" s="156" t="s">
        <v>179</v>
      </c>
      <c r="AV977" s="156" t="s">
        <v>134</v>
      </c>
      <c r="AW977" s="65"/>
      <c r="AX977" s="1057" t="s">
        <v>136</v>
      </c>
      <c r="AZ977" s="65" t="s">
        <v>146</v>
      </c>
    </row>
    <row r="978">
      <c r="A978" s="41">
        <v>978.0</v>
      </c>
      <c r="B978" s="126" t="s">
        <v>4516</v>
      </c>
      <c r="C978" s="59" t="s">
        <v>108</v>
      </c>
      <c r="D978" s="59" t="s">
        <v>146</v>
      </c>
      <c r="F978" s="65" t="s">
        <v>5318</v>
      </c>
      <c r="G978" s="156" t="s">
        <v>5324</v>
      </c>
      <c r="H978" s="156" t="s">
        <v>146</v>
      </c>
      <c r="I978" s="149">
        <v>45687.0</v>
      </c>
      <c r="J978" s="149">
        <v>45692.0</v>
      </c>
      <c r="K978" s="434" t="s">
        <v>5325</v>
      </c>
      <c r="L978" s="65"/>
      <c r="M978" s="156" t="s">
        <v>5319</v>
      </c>
      <c r="N978" s="156" t="s">
        <v>5320</v>
      </c>
      <c r="O978" s="153" t="s">
        <v>4085</v>
      </c>
      <c r="P978" s="603" t="str">
        <f t="shared" si="52"/>
        <v>10.1177--0956797615617779.pdf</v>
      </c>
      <c r="Q978" s="49" t="str">
        <f t="array" ref="Q978"> if(iserror(MATCH(V978, 'File Links'!C:C, 0)), "N/A", HYPERLINK(INDEX('File Links'!B:B, MATCH(P978, 'File Links'!C:C, 0))))</f>
        <v>https://drive.google.com/file/d/1X5Fe2As7h--ByO5qoa79Jna-iqMIag53/view?usp=drivesdk</v>
      </c>
      <c r="R978" s="603" t="s">
        <v>3646</v>
      </c>
      <c r="S978" s="156" t="s">
        <v>3647</v>
      </c>
      <c r="T978" s="65"/>
      <c r="U978" s="153">
        <v>1.0</v>
      </c>
      <c r="V978" s="195" t="str">
        <f t="shared" si="53"/>
        <v>10.1098--rsos.231240.pdf</v>
      </c>
      <c r="W978" s="156" t="s">
        <v>3719</v>
      </c>
      <c r="X978" s="51" t="str">
        <f t="array" ref="X978"> if(iserror(MATCH(V978, 'File Links'!C:C, 0)), "N/A", HYPERLINK(INDEX('File Links'!B:B, MATCH(V978, 'File Links'!C:C, 0))))</f>
        <v>https://drive.google.com/file/d/17gaf2Zy_ljFfcAEDk5L8GBnTl5i7RGJE/view?usp=drivesdk</v>
      </c>
      <c r="Y978" s="65"/>
      <c r="Z978" s="156" t="s">
        <v>141</v>
      </c>
      <c r="AA978" s="156" t="s">
        <v>5326</v>
      </c>
      <c r="AB978" s="156" t="s">
        <v>5327</v>
      </c>
      <c r="AC978" s="156" t="s">
        <v>5328</v>
      </c>
      <c r="AD978" s="156" t="s">
        <v>5329</v>
      </c>
      <c r="AE978" s="153">
        <v>3.0</v>
      </c>
      <c r="AF978" s="153">
        <v>22.0</v>
      </c>
      <c r="AG978" s="153">
        <v>0.67</v>
      </c>
      <c r="AH978" s="153" t="s">
        <v>867</v>
      </c>
      <c r="AI978" s="153" t="s">
        <v>210</v>
      </c>
      <c r="AJ978" s="153">
        <v>0.001</v>
      </c>
      <c r="AK978" s="156" t="s">
        <v>128</v>
      </c>
      <c r="AL978" s="156" t="s">
        <v>179</v>
      </c>
      <c r="AM978" s="156" t="s">
        <v>134</v>
      </c>
      <c r="AN978" s="148" t="s">
        <v>131</v>
      </c>
      <c r="AO978" s="153">
        <v>14.0</v>
      </c>
      <c r="AP978" s="153" t="s">
        <v>5330</v>
      </c>
      <c r="AQ978" s="153" t="s">
        <v>127</v>
      </c>
      <c r="AR978" s="153" t="s">
        <v>606</v>
      </c>
      <c r="AS978" s="153">
        <v>0.0</v>
      </c>
      <c r="AT978" s="156" t="s">
        <v>165</v>
      </c>
      <c r="AU978" s="156" t="s">
        <v>179</v>
      </c>
      <c r="AV978" s="156" t="s">
        <v>134</v>
      </c>
      <c r="AW978" s="65"/>
      <c r="AX978" s="65" t="s">
        <v>144</v>
      </c>
      <c r="AZ978" s="65" t="s">
        <v>146</v>
      </c>
    </row>
    <row r="979">
      <c r="A979" s="41">
        <v>979.0</v>
      </c>
      <c r="B979" s="126" t="s">
        <v>4516</v>
      </c>
      <c r="C979" s="59" t="s">
        <v>108</v>
      </c>
      <c r="D979" s="59" t="s">
        <v>146</v>
      </c>
      <c r="F979" s="65" t="s">
        <v>5318</v>
      </c>
      <c r="G979" s="156" t="s">
        <v>5331</v>
      </c>
      <c r="H979" s="156" t="s">
        <v>146</v>
      </c>
      <c r="I979" s="149">
        <v>45687.0</v>
      </c>
      <c r="J979" s="149">
        <v>45692.0</v>
      </c>
      <c r="K979" s="434" t="s">
        <v>5325</v>
      </c>
      <c r="L979" s="65"/>
      <c r="M979" s="156" t="s">
        <v>5319</v>
      </c>
      <c r="N979" s="156" t="s">
        <v>5320</v>
      </c>
      <c r="O979" s="153" t="s">
        <v>4085</v>
      </c>
      <c r="P979" s="603" t="str">
        <f t="shared" si="52"/>
        <v>10.1177--0956797615617779.pdf</v>
      </c>
      <c r="Q979" s="49" t="str">
        <f t="array" ref="Q979"> if(iserror(MATCH(V979, 'File Links'!C:C, 0)), "N/A", HYPERLINK(INDEX('File Links'!B:B, MATCH(P979, 'File Links'!C:C, 0))))</f>
        <v>https://drive.google.com/file/d/1X5Fe2As7h--ByO5qoa79Jna-iqMIag53/view?usp=drivesdk</v>
      </c>
      <c r="R979" s="603" t="s">
        <v>3646</v>
      </c>
      <c r="S979" s="156" t="s">
        <v>3647</v>
      </c>
      <c r="T979" s="65"/>
      <c r="U979" s="153">
        <v>1.0</v>
      </c>
      <c r="V979" s="195" t="str">
        <f t="shared" si="53"/>
        <v>10.1098--rsos.231240.pdf</v>
      </c>
      <c r="W979" s="156" t="s">
        <v>3719</v>
      </c>
      <c r="X979" s="51" t="str">
        <f t="array" ref="X979"> if(iserror(MATCH(V979, 'File Links'!C:C, 0)), "N/A", HYPERLINK(INDEX('File Links'!B:B, MATCH(V979, 'File Links'!C:C, 0))))</f>
        <v>https://drive.google.com/file/d/17gaf2Zy_ljFfcAEDk5L8GBnTl5i7RGJE/view?usp=drivesdk</v>
      </c>
      <c r="Y979" s="65"/>
      <c r="Z979" s="156" t="s">
        <v>141</v>
      </c>
      <c r="AA979" s="156" t="s">
        <v>5326</v>
      </c>
      <c r="AB979" s="156" t="s">
        <v>5327</v>
      </c>
      <c r="AC979" s="156" t="s">
        <v>5332</v>
      </c>
      <c r="AD979" s="156" t="s">
        <v>5333</v>
      </c>
      <c r="AE979" s="333">
        <v>3.0</v>
      </c>
      <c r="AF979" s="153">
        <v>22.0</v>
      </c>
      <c r="AG979" s="333">
        <v>0.55</v>
      </c>
      <c r="AH979" s="153" t="s">
        <v>867</v>
      </c>
      <c r="AI979" s="333" t="s">
        <v>210</v>
      </c>
      <c r="AJ979" s="333">
        <v>0.001</v>
      </c>
      <c r="AK979" s="156" t="s">
        <v>128</v>
      </c>
      <c r="AL979" s="156" t="s">
        <v>179</v>
      </c>
      <c r="AM979" s="156" t="s">
        <v>134</v>
      </c>
      <c r="AN979" s="148" t="s">
        <v>131</v>
      </c>
      <c r="AO979" s="153">
        <v>14.0</v>
      </c>
      <c r="AP979" s="153" t="s">
        <v>5334</v>
      </c>
      <c r="AQ979" s="153" t="s">
        <v>127</v>
      </c>
      <c r="AR979" s="333" t="s">
        <v>606</v>
      </c>
      <c r="AS979" s="1111">
        <v>0.002</v>
      </c>
      <c r="AT979" s="156" t="s">
        <v>165</v>
      </c>
      <c r="AU979" s="156" t="s">
        <v>179</v>
      </c>
      <c r="AV979" s="156" t="s">
        <v>134</v>
      </c>
      <c r="AW979" s="65"/>
      <c r="AX979" s="65" t="s">
        <v>144</v>
      </c>
      <c r="AZ979" s="65" t="s">
        <v>146</v>
      </c>
    </row>
    <row r="980">
      <c r="A980" s="41">
        <v>980.0</v>
      </c>
      <c r="B980" s="126" t="s">
        <v>4516</v>
      </c>
      <c r="C980" s="59" t="s">
        <v>108</v>
      </c>
      <c r="D980" s="59" t="s">
        <v>146</v>
      </c>
      <c r="F980" s="65" t="s">
        <v>5318</v>
      </c>
      <c r="G980" s="156" t="s">
        <v>5335</v>
      </c>
      <c r="H980" s="156" t="s">
        <v>146</v>
      </c>
      <c r="I980" s="149">
        <v>45687.0</v>
      </c>
      <c r="J980" s="149">
        <v>45692.0</v>
      </c>
      <c r="K980" s="434" t="s">
        <v>5325</v>
      </c>
      <c r="L980" s="65"/>
      <c r="M980" s="156" t="s">
        <v>5319</v>
      </c>
      <c r="N980" s="156" t="s">
        <v>5320</v>
      </c>
      <c r="O980" s="153" t="s">
        <v>4085</v>
      </c>
      <c r="P980" s="603" t="str">
        <f t="shared" si="52"/>
        <v>10.1177--0956797615617779.pdf</v>
      </c>
      <c r="Q980" s="49" t="str">
        <f t="array" ref="Q980"> if(iserror(MATCH(V980, 'File Links'!C:C, 0)), "N/A", HYPERLINK(INDEX('File Links'!B:B, MATCH(P980, 'File Links'!C:C, 0))))</f>
        <v>https://drive.google.com/file/d/1X5Fe2As7h--ByO5qoa79Jna-iqMIag53/view?usp=drivesdk</v>
      </c>
      <c r="R980" s="603" t="s">
        <v>3646</v>
      </c>
      <c r="S980" s="156" t="s">
        <v>3647</v>
      </c>
      <c r="T980" s="65"/>
      <c r="U980" s="153">
        <v>1.0</v>
      </c>
      <c r="V980" s="195" t="str">
        <f t="shared" si="53"/>
        <v>10.1098--rsos.231240.pdf</v>
      </c>
      <c r="W980" s="156" t="s">
        <v>3719</v>
      </c>
      <c r="X980" s="51" t="str">
        <f t="array" ref="X980"> if(iserror(MATCH(V980, 'File Links'!C:C, 0)), "N/A", HYPERLINK(INDEX('File Links'!B:B, MATCH(V980, 'File Links'!C:C, 0))))</f>
        <v>https://drive.google.com/file/d/17gaf2Zy_ljFfcAEDk5L8GBnTl5i7RGJE/view?usp=drivesdk</v>
      </c>
      <c r="Y980" s="65"/>
      <c r="Z980" s="156" t="s">
        <v>141</v>
      </c>
      <c r="AA980" s="156" t="s">
        <v>5326</v>
      </c>
      <c r="AB980" s="156" t="s">
        <v>5327</v>
      </c>
      <c r="AC980" s="156" t="s">
        <v>5336</v>
      </c>
      <c r="AD980" s="156" t="s">
        <v>5337</v>
      </c>
      <c r="AE980" s="1299">
        <v>45750.0</v>
      </c>
      <c r="AF980" s="153">
        <v>22.0</v>
      </c>
      <c r="AG980" s="153">
        <v>0.15</v>
      </c>
      <c r="AH980" s="153" t="s">
        <v>867</v>
      </c>
      <c r="AI980" s="153" t="s">
        <v>843</v>
      </c>
      <c r="AJ980" s="153">
        <v>0.065</v>
      </c>
      <c r="AK980" s="156" t="s">
        <v>165</v>
      </c>
      <c r="AL980" s="156" t="s">
        <v>179</v>
      </c>
      <c r="AM980" s="156" t="s">
        <v>134</v>
      </c>
      <c r="AN980" s="148" t="s">
        <v>131</v>
      </c>
      <c r="AO980" s="153">
        <v>14.0</v>
      </c>
      <c r="AP980" s="153" t="s">
        <v>5338</v>
      </c>
      <c r="AQ980" s="153" t="s">
        <v>127</v>
      </c>
      <c r="AR980" s="153" t="s">
        <v>606</v>
      </c>
      <c r="AS980" s="1111">
        <v>0.002</v>
      </c>
      <c r="AT980" s="156" t="s">
        <v>165</v>
      </c>
      <c r="AU980" s="156" t="s">
        <v>179</v>
      </c>
      <c r="AV980" s="156" t="s">
        <v>134</v>
      </c>
      <c r="AW980" s="65"/>
      <c r="AX980" s="65" t="s">
        <v>144</v>
      </c>
      <c r="AZ980" s="65" t="s">
        <v>146</v>
      </c>
    </row>
    <row r="981">
      <c r="A981" s="41">
        <v>981.0</v>
      </c>
      <c r="B981" s="126" t="s">
        <v>4516</v>
      </c>
      <c r="C981" s="59" t="s">
        <v>108</v>
      </c>
      <c r="D981" s="59" t="s">
        <v>146</v>
      </c>
      <c r="F981" s="65" t="s">
        <v>5318</v>
      </c>
      <c r="G981" s="156" t="s">
        <v>5339</v>
      </c>
      <c r="H981" s="156" t="s">
        <v>146</v>
      </c>
      <c r="I981" s="149">
        <v>45687.0</v>
      </c>
      <c r="J981" s="149">
        <v>45692.0</v>
      </c>
      <c r="K981" s="434" t="s">
        <v>5325</v>
      </c>
      <c r="L981" s="65"/>
      <c r="M981" s="156" t="s">
        <v>5319</v>
      </c>
      <c r="N981" s="156" t="s">
        <v>5320</v>
      </c>
      <c r="O981" s="153" t="s">
        <v>4085</v>
      </c>
      <c r="P981" s="603" t="str">
        <f t="shared" si="52"/>
        <v>10.1177--0956797615617779.pdf</v>
      </c>
      <c r="Q981" s="49" t="str">
        <f t="array" ref="Q981"> if(iserror(MATCH(V981, 'File Links'!C:C, 0)), "N/A", HYPERLINK(INDEX('File Links'!B:B, MATCH(P981, 'File Links'!C:C, 0))))</f>
        <v>https://drive.google.com/file/d/1X5Fe2As7h--ByO5qoa79Jna-iqMIag53/view?usp=drivesdk</v>
      </c>
      <c r="R981" s="603" t="s">
        <v>3646</v>
      </c>
      <c r="S981" s="156" t="s">
        <v>3647</v>
      </c>
      <c r="T981" s="65"/>
      <c r="U981" s="153">
        <v>1.0</v>
      </c>
      <c r="V981" s="195" t="str">
        <f t="shared" si="53"/>
        <v>10.1098--rsos.231240.pdf</v>
      </c>
      <c r="W981" s="156" t="s">
        <v>3719</v>
      </c>
      <c r="X981" s="51" t="str">
        <f t="array" ref="X981"> if(iserror(MATCH(V981, 'File Links'!C:C, 0)), "N/A", HYPERLINK(INDEX('File Links'!B:B, MATCH(V981, 'File Links'!C:C, 0))))</f>
        <v>https://drive.google.com/file/d/17gaf2Zy_ljFfcAEDk5L8GBnTl5i7RGJE/view?usp=drivesdk</v>
      </c>
      <c r="Y981" s="65"/>
      <c r="Z981" s="156" t="s">
        <v>141</v>
      </c>
      <c r="AA981" s="156" t="s">
        <v>5326</v>
      </c>
      <c r="AB981" s="156" t="s">
        <v>5327</v>
      </c>
      <c r="AC981" s="156" t="s">
        <v>5340</v>
      </c>
      <c r="AD981" s="156" t="s">
        <v>5341</v>
      </c>
      <c r="AE981" s="333">
        <v>4.0</v>
      </c>
      <c r="AF981" s="153">
        <v>22.0</v>
      </c>
      <c r="AG981" s="333">
        <v>0.56</v>
      </c>
      <c r="AH981" s="153" t="s">
        <v>867</v>
      </c>
      <c r="AI981" s="153" t="s">
        <v>843</v>
      </c>
      <c r="AJ981" s="333">
        <v>0.001</v>
      </c>
      <c r="AK981" s="156" t="s">
        <v>128</v>
      </c>
      <c r="AL981" s="156" t="s">
        <v>179</v>
      </c>
      <c r="AM981" s="156" t="s">
        <v>134</v>
      </c>
      <c r="AN981" s="148" t="s">
        <v>131</v>
      </c>
      <c r="AO981" s="153">
        <v>14.0</v>
      </c>
      <c r="AP981" s="153" t="s">
        <v>5342</v>
      </c>
      <c r="AQ981" s="153" t="s">
        <v>127</v>
      </c>
      <c r="AR981" s="333" t="s">
        <v>605</v>
      </c>
      <c r="AS981" s="1111">
        <v>0.002</v>
      </c>
      <c r="AT981" s="156" t="s">
        <v>165</v>
      </c>
      <c r="AU981" s="156" t="s">
        <v>179</v>
      </c>
      <c r="AV981" s="156" t="s">
        <v>134</v>
      </c>
      <c r="AW981" s="65"/>
      <c r="AX981" s="65" t="s">
        <v>144</v>
      </c>
      <c r="AZ981" s="65" t="s">
        <v>146</v>
      </c>
    </row>
    <row r="982">
      <c r="A982" s="41">
        <v>982.0</v>
      </c>
      <c r="B982" s="126" t="s">
        <v>4516</v>
      </c>
      <c r="C982" s="59" t="s">
        <v>108</v>
      </c>
      <c r="D982" s="59" t="s">
        <v>146</v>
      </c>
      <c r="F982" s="65" t="s">
        <v>5318</v>
      </c>
      <c r="G982" s="156" t="s">
        <v>5343</v>
      </c>
      <c r="H982" s="156" t="s">
        <v>146</v>
      </c>
      <c r="I982" s="149">
        <v>45687.0</v>
      </c>
      <c r="J982" s="149">
        <v>45692.0</v>
      </c>
      <c r="K982" s="434" t="s">
        <v>5325</v>
      </c>
      <c r="L982" s="65"/>
      <c r="M982" s="156" t="s">
        <v>5319</v>
      </c>
      <c r="N982" s="156" t="s">
        <v>5320</v>
      </c>
      <c r="O982" s="153" t="s">
        <v>4085</v>
      </c>
      <c r="P982" s="603" t="str">
        <f t="shared" si="52"/>
        <v>10.1177--0956797615617779.pdf</v>
      </c>
      <c r="Q982" s="49" t="str">
        <f t="array" ref="Q982"> if(iserror(MATCH(V982, 'File Links'!C:C, 0)), "N/A", HYPERLINK(INDEX('File Links'!B:B, MATCH(P982, 'File Links'!C:C, 0))))</f>
        <v>https://drive.google.com/file/d/1X5Fe2As7h--ByO5qoa79Jna-iqMIag53/view?usp=drivesdk</v>
      </c>
      <c r="R982" s="603" t="s">
        <v>3646</v>
      </c>
      <c r="S982" s="156" t="s">
        <v>3647</v>
      </c>
      <c r="T982" s="65"/>
      <c r="U982" s="153">
        <v>1.0</v>
      </c>
      <c r="V982" s="195" t="str">
        <f t="shared" si="53"/>
        <v>10.1098--rsos.231240.pdf</v>
      </c>
      <c r="W982" s="156" t="s">
        <v>3719</v>
      </c>
      <c r="X982" s="51" t="str">
        <f t="array" ref="X982"> if(iserror(MATCH(V982, 'File Links'!C:C, 0)), "N/A", HYPERLINK(INDEX('File Links'!B:B, MATCH(V982, 'File Links'!C:C, 0))))</f>
        <v>https://drive.google.com/file/d/17gaf2Zy_ljFfcAEDk5L8GBnTl5i7RGJE/view?usp=drivesdk</v>
      </c>
      <c r="Y982" s="65"/>
      <c r="Z982" s="156" t="s">
        <v>141</v>
      </c>
      <c r="AA982" s="156" t="s">
        <v>5326</v>
      </c>
      <c r="AB982" s="156" t="s">
        <v>5327</v>
      </c>
      <c r="AC982" s="156" t="s">
        <v>5344</v>
      </c>
      <c r="AD982" s="156" t="s">
        <v>5345</v>
      </c>
      <c r="AE982" s="333">
        <v>4.0</v>
      </c>
      <c r="AF982" s="153">
        <v>22.0</v>
      </c>
      <c r="AG982" s="333">
        <v>0.28</v>
      </c>
      <c r="AH982" s="153" t="s">
        <v>867</v>
      </c>
      <c r="AI982" s="153" t="s">
        <v>843</v>
      </c>
      <c r="AJ982" s="333">
        <v>0.01</v>
      </c>
      <c r="AK982" s="156" t="s">
        <v>165</v>
      </c>
      <c r="AL982" s="156" t="s">
        <v>179</v>
      </c>
      <c r="AM982" s="156" t="s">
        <v>134</v>
      </c>
      <c r="AN982" s="148" t="s">
        <v>131</v>
      </c>
      <c r="AO982" s="153">
        <v>14.0</v>
      </c>
      <c r="AP982" s="153" t="s">
        <v>5346</v>
      </c>
      <c r="AQ982" s="153" t="s">
        <v>127</v>
      </c>
      <c r="AR982" s="333" t="s">
        <v>605</v>
      </c>
      <c r="AS982" s="333">
        <v>0.908</v>
      </c>
      <c r="AT982" s="156" t="s">
        <v>165</v>
      </c>
      <c r="AU982" s="156" t="s">
        <v>179</v>
      </c>
      <c r="AV982" s="156" t="s">
        <v>134</v>
      </c>
      <c r="AW982" s="65"/>
      <c r="AX982" s="65" t="s">
        <v>144</v>
      </c>
      <c r="AZ982" s="65" t="s">
        <v>146</v>
      </c>
    </row>
    <row r="983">
      <c r="A983" s="41">
        <v>983.0</v>
      </c>
      <c r="B983" s="126" t="s">
        <v>4516</v>
      </c>
      <c r="C983" s="59" t="s">
        <v>108</v>
      </c>
      <c r="D983" s="59" t="s">
        <v>146</v>
      </c>
      <c r="F983" s="65" t="s">
        <v>5318</v>
      </c>
      <c r="G983" s="156" t="s">
        <v>5347</v>
      </c>
      <c r="H983" s="156" t="s">
        <v>146</v>
      </c>
      <c r="I983" s="149">
        <v>45687.0</v>
      </c>
      <c r="J983" s="149">
        <v>45692.0</v>
      </c>
      <c r="K983" s="434" t="s">
        <v>5325</v>
      </c>
      <c r="L983" s="65"/>
      <c r="M983" s="156" t="s">
        <v>5319</v>
      </c>
      <c r="N983" s="156" t="s">
        <v>5320</v>
      </c>
      <c r="O983" s="153" t="s">
        <v>4085</v>
      </c>
      <c r="P983" s="603" t="str">
        <f t="shared" si="52"/>
        <v>10.1177--0956797615617779.pdf</v>
      </c>
      <c r="Q983" s="49" t="str">
        <f t="array" ref="Q983"> if(iserror(MATCH(V983, 'File Links'!C:C, 0)), "N/A", HYPERLINK(INDEX('File Links'!B:B, MATCH(P983, 'File Links'!C:C, 0))))</f>
        <v>https://drive.google.com/file/d/1X5Fe2As7h--ByO5qoa79Jna-iqMIag53/view?usp=drivesdk</v>
      </c>
      <c r="R983" s="603" t="s">
        <v>3646</v>
      </c>
      <c r="S983" s="156" t="s">
        <v>3647</v>
      </c>
      <c r="T983" s="65"/>
      <c r="U983" s="153">
        <v>1.0</v>
      </c>
      <c r="V983" s="195" t="str">
        <f t="shared" si="53"/>
        <v>10.1098--rsos.231240.pdf</v>
      </c>
      <c r="W983" s="156" t="s">
        <v>3719</v>
      </c>
      <c r="X983" s="51" t="str">
        <f t="array" ref="X983"> if(iserror(MATCH(V983, 'File Links'!C:C, 0)), "N/A", HYPERLINK(INDEX('File Links'!B:B, MATCH(V983, 'File Links'!C:C, 0))))</f>
        <v>https://drive.google.com/file/d/17gaf2Zy_ljFfcAEDk5L8GBnTl5i7RGJE/view?usp=drivesdk</v>
      </c>
      <c r="Y983" s="65"/>
      <c r="Z983" s="156" t="s">
        <v>141</v>
      </c>
      <c r="AA983" s="156" t="s">
        <v>5326</v>
      </c>
      <c r="AB983" s="156" t="s">
        <v>5327</v>
      </c>
      <c r="AC983" s="156" t="s">
        <v>5348</v>
      </c>
      <c r="AD983" s="156" t="s">
        <v>5349</v>
      </c>
      <c r="AE983" s="333">
        <v>4.0</v>
      </c>
      <c r="AF983" s="153">
        <v>22.0</v>
      </c>
      <c r="AG983" s="333">
        <v>1.15</v>
      </c>
      <c r="AH983" s="153" t="s">
        <v>166</v>
      </c>
      <c r="AI983" s="153" t="s">
        <v>843</v>
      </c>
      <c r="AJ983" s="333">
        <v>0.001</v>
      </c>
      <c r="AK983" s="156" t="s">
        <v>128</v>
      </c>
      <c r="AL983" s="156" t="s">
        <v>179</v>
      </c>
      <c r="AM983" s="156" t="s">
        <v>134</v>
      </c>
      <c r="AN983" s="148" t="s">
        <v>131</v>
      </c>
      <c r="AO983" s="153">
        <v>14.0</v>
      </c>
      <c r="AP983" s="153" t="s">
        <v>5350</v>
      </c>
      <c r="AQ983" s="153" t="s">
        <v>127</v>
      </c>
      <c r="AR983" s="333" t="s">
        <v>429</v>
      </c>
      <c r="AS983" s="1111">
        <v>0.036</v>
      </c>
      <c r="AT983" s="156" t="s">
        <v>165</v>
      </c>
      <c r="AU983" s="156" t="s">
        <v>179</v>
      </c>
      <c r="AV983" s="156" t="s">
        <v>134</v>
      </c>
      <c r="AW983" s="65"/>
      <c r="AX983" s="65" t="s">
        <v>144</v>
      </c>
      <c r="AZ983" s="65" t="s">
        <v>146</v>
      </c>
    </row>
    <row r="984">
      <c r="A984" s="41">
        <v>984.0</v>
      </c>
      <c r="B984" s="126" t="s">
        <v>4516</v>
      </c>
      <c r="C984" s="59" t="s">
        <v>108</v>
      </c>
      <c r="D984" s="59" t="s">
        <v>146</v>
      </c>
      <c r="F984" s="65" t="s">
        <v>5318</v>
      </c>
      <c r="G984" s="156" t="s">
        <v>5351</v>
      </c>
      <c r="H984" s="156" t="s">
        <v>146</v>
      </c>
      <c r="I984" s="149">
        <v>45687.0</v>
      </c>
      <c r="J984" s="149">
        <v>45692.0</v>
      </c>
      <c r="K984" s="434" t="s">
        <v>5325</v>
      </c>
      <c r="L984" s="65"/>
      <c r="M984" s="156" t="s">
        <v>5319</v>
      </c>
      <c r="N984" s="156" t="s">
        <v>5320</v>
      </c>
      <c r="O984" s="153" t="s">
        <v>4085</v>
      </c>
      <c r="P984" s="603" t="str">
        <f t="shared" si="52"/>
        <v>10.1177--0956797615617779.pdf</v>
      </c>
      <c r="Q984" s="49" t="str">
        <f t="array" ref="Q984"> if(iserror(MATCH(V984, 'File Links'!C:C, 0)), "N/A", HYPERLINK(INDEX('File Links'!B:B, MATCH(P984, 'File Links'!C:C, 0))))</f>
        <v>https://drive.google.com/file/d/1X5Fe2As7h--ByO5qoa79Jna-iqMIag53/view?usp=drivesdk</v>
      </c>
      <c r="R984" s="603" t="s">
        <v>3646</v>
      </c>
      <c r="S984" s="156" t="s">
        <v>3647</v>
      </c>
      <c r="T984" s="65"/>
      <c r="U984" s="153">
        <v>1.0</v>
      </c>
      <c r="V984" s="195" t="str">
        <f t="shared" si="53"/>
        <v>10.1098--rsos.231240.pdf</v>
      </c>
      <c r="W984" s="156" t="s">
        <v>3719</v>
      </c>
      <c r="X984" s="51" t="str">
        <f t="array" ref="X984"> if(iserror(MATCH(V984, 'File Links'!C:C, 0)), "N/A", HYPERLINK(INDEX('File Links'!B:B, MATCH(V984, 'File Links'!C:C, 0))))</f>
        <v>https://drive.google.com/file/d/17gaf2Zy_ljFfcAEDk5L8GBnTl5i7RGJE/view?usp=drivesdk</v>
      </c>
      <c r="Y984" s="65"/>
      <c r="Z984" s="156" t="s">
        <v>141</v>
      </c>
      <c r="AA984" s="156" t="s">
        <v>5326</v>
      </c>
      <c r="AB984" s="156" t="s">
        <v>5327</v>
      </c>
      <c r="AC984" s="156" t="s">
        <v>5348</v>
      </c>
      <c r="AD984" s="156" t="s">
        <v>5352</v>
      </c>
      <c r="AE984" s="333">
        <v>4.0</v>
      </c>
      <c r="AF984" s="153">
        <v>22.0</v>
      </c>
      <c r="AG984" s="333">
        <v>0.43</v>
      </c>
      <c r="AH984" s="153" t="s">
        <v>166</v>
      </c>
      <c r="AI984" s="153" t="s">
        <v>843</v>
      </c>
      <c r="AJ984" s="333">
        <v>0.059</v>
      </c>
      <c r="AK984" s="156" t="s">
        <v>165</v>
      </c>
      <c r="AL984" s="156" t="s">
        <v>179</v>
      </c>
      <c r="AM984" s="156" t="s">
        <v>134</v>
      </c>
      <c r="AN984" s="148" t="s">
        <v>131</v>
      </c>
      <c r="AO984" s="153">
        <v>14.0</v>
      </c>
      <c r="AP984" s="153" t="s">
        <v>5353</v>
      </c>
      <c r="AQ984" s="153" t="s">
        <v>127</v>
      </c>
      <c r="AR984" s="333" t="s">
        <v>429</v>
      </c>
      <c r="AS984" s="1111">
        <v>0.007</v>
      </c>
      <c r="AT984" s="156" t="s">
        <v>165</v>
      </c>
      <c r="AU984" s="156" t="s">
        <v>179</v>
      </c>
      <c r="AV984" s="156" t="s">
        <v>134</v>
      </c>
      <c r="AW984" s="65"/>
      <c r="AX984" s="65" t="s">
        <v>144</v>
      </c>
      <c r="AZ984" s="65" t="s">
        <v>146</v>
      </c>
    </row>
    <row r="985">
      <c r="A985" s="41">
        <v>985.0</v>
      </c>
      <c r="B985" s="126" t="s">
        <v>4516</v>
      </c>
      <c r="C985" s="59" t="s">
        <v>108</v>
      </c>
      <c r="D985" s="59" t="s">
        <v>146</v>
      </c>
      <c r="F985" s="65" t="s">
        <v>5318</v>
      </c>
      <c r="G985" s="156" t="s">
        <v>5354</v>
      </c>
      <c r="H985" s="156" t="s">
        <v>146</v>
      </c>
      <c r="I985" s="149">
        <v>45687.0</v>
      </c>
      <c r="J985" s="149">
        <v>45692.0</v>
      </c>
      <c r="K985" s="434" t="s">
        <v>5325</v>
      </c>
      <c r="L985" s="65"/>
      <c r="M985" s="156" t="s">
        <v>5319</v>
      </c>
      <c r="N985" s="156" t="s">
        <v>5320</v>
      </c>
      <c r="O985" s="153" t="s">
        <v>4085</v>
      </c>
      <c r="P985" s="603" t="str">
        <f t="shared" si="52"/>
        <v>10.1177--0956797615617779.pdf</v>
      </c>
      <c r="Q985" s="49" t="str">
        <f t="array" ref="Q985"> if(iserror(MATCH(V985, 'File Links'!C:C, 0)), "N/A", HYPERLINK(INDEX('File Links'!B:B, MATCH(P985, 'File Links'!C:C, 0))))</f>
        <v>https://drive.google.com/file/d/1X5Fe2As7h--ByO5qoa79Jna-iqMIag53/view?usp=drivesdk</v>
      </c>
      <c r="R985" s="603" t="s">
        <v>3646</v>
      </c>
      <c r="S985" s="156" t="s">
        <v>3647</v>
      </c>
      <c r="T985" s="65"/>
      <c r="U985" s="153">
        <v>1.0</v>
      </c>
      <c r="V985" s="195" t="str">
        <f t="shared" si="53"/>
        <v>10.1098--rsos.231240.pdf</v>
      </c>
      <c r="W985" s="156" t="s">
        <v>3719</v>
      </c>
      <c r="X985" s="51" t="str">
        <f t="array" ref="X985"> if(iserror(MATCH(V985, 'File Links'!C:C, 0)), "N/A", HYPERLINK(INDEX('File Links'!B:B, MATCH(V985, 'File Links'!C:C, 0))))</f>
        <v>https://drive.google.com/file/d/17gaf2Zy_ljFfcAEDk5L8GBnTl5i7RGJE/view?usp=drivesdk</v>
      </c>
      <c r="Y985" s="65"/>
      <c r="Z985" s="156" t="s">
        <v>141</v>
      </c>
      <c r="AA985" s="156" t="s">
        <v>5326</v>
      </c>
      <c r="AB985" s="156" t="s">
        <v>5327</v>
      </c>
      <c r="AC985" s="156" t="s">
        <v>5355</v>
      </c>
      <c r="AD985" s="156" t="s">
        <v>5356</v>
      </c>
      <c r="AE985" s="333">
        <v>4.0</v>
      </c>
      <c r="AF985" s="153">
        <v>22.0</v>
      </c>
      <c r="AG985" s="333">
        <v>0.56</v>
      </c>
      <c r="AH985" s="153" t="s">
        <v>867</v>
      </c>
      <c r="AI985" s="153" t="s">
        <v>843</v>
      </c>
      <c r="AJ985" s="333">
        <v>0.001</v>
      </c>
      <c r="AK985" s="156" t="s">
        <v>128</v>
      </c>
      <c r="AL985" s="156" t="s">
        <v>179</v>
      </c>
      <c r="AM985" s="156" t="s">
        <v>134</v>
      </c>
      <c r="AN985" s="148" t="s">
        <v>131</v>
      </c>
      <c r="AO985" s="153">
        <v>14.0</v>
      </c>
      <c r="AP985" s="153" t="s">
        <v>5357</v>
      </c>
      <c r="AQ985" s="153" t="s">
        <v>127</v>
      </c>
      <c r="AR985" s="333" t="s">
        <v>625</v>
      </c>
      <c r="AS985" s="333">
        <v>0.009</v>
      </c>
      <c r="AT985" s="156" t="s">
        <v>165</v>
      </c>
      <c r="AU985" s="156" t="s">
        <v>179</v>
      </c>
      <c r="AV985" s="156" t="s">
        <v>134</v>
      </c>
      <c r="AW985" s="65"/>
      <c r="AX985" s="65" t="s">
        <v>144</v>
      </c>
      <c r="AZ985" s="65" t="s">
        <v>146</v>
      </c>
    </row>
    <row r="986">
      <c r="A986" s="41">
        <v>986.0</v>
      </c>
      <c r="B986" s="126" t="s">
        <v>4516</v>
      </c>
      <c r="C986" s="59" t="s">
        <v>108</v>
      </c>
      <c r="D986" s="59" t="s">
        <v>146</v>
      </c>
      <c r="F986" s="65" t="s">
        <v>5318</v>
      </c>
      <c r="G986" s="156" t="s">
        <v>5358</v>
      </c>
      <c r="H986" s="156" t="s">
        <v>146</v>
      </c>
      <c r="I986" s="149">
        <v>45687.0</v>
      </c>
      <c r="J986" s="149">
        <v>45692.0</v>
      </c>
      <c r="K986" s="434" t="s">
        <v>5325</v>
      </c>
      <c r="L986" s="65"/>
      <c r="M986" s="156" t="s">
        <v>5319</v>
      </c>
      <c r="N986" s="156" t="s">
        <v>5320</v>
      </c>
      <c r="O986" s="153" t="s">
        <v>4085</v>
      </c>
      <c r="P986" s="603" t="str">
        <f t="shared" si="52"/>
        <v>10.1177--0956797615617779.pdf</v>
      </c>
      <c r="Q986" s="49" t="str">
        <f t="array" ref="Q986"> if(iserror(MATCH(V986, 'File Links'!C:C, 0)), "N/A", HYPERLINK(INDEX('File Links'!B:B, MATCH(P986, 'File Links'!C:C, 0))))</f>
        <v>https://drive.google.com/file/d/1X5Fe2As7h--ByO5qoa79Jna-iqMIag53/view?usp=drivesdk</v>
      </c>
      <c r="R986" s="603" t="s">
        <v>3646</v>
      </c>
      <c r="S986" s="156" t="s">
        <v>3647</v>
      </c>
      <c r="T986" s="65"/>
      <c r="U986" s="153">
        <v>1.0</v>
      </c>
      <c r="V986" s="195" t="str">
        <f t="shared" si="53"/>
        <v>10.1098--rsos.231240.pdf</v>
      </c>
      <c r="W986" s="156" t="s">
        <v>3719</v>
      </c>
      <c r="X986" s="51" t="str">
        <f t="array" ref="X986"> if(iserror(MATCH(V986, 'File Links'!C:C, 0)), "N/A", HYPERLINK(INDEX('File Links'!B:B, MATCH(V986, 'File Links'!C:C, 0))))</f>
        <v>https://drive.google.com/file/d/17gaf2Zy_ljFfcAEDk5L8GBnTl5i7RGJE/view?usp=drivesdk</v>
      </c>
      <c r="Y986" s="65"/>
      <c r="Z986" s="156" t="s">
        <v>141</v>
      </c>
      <c r="AA986" s="156" t="s">
        <v>5326</v>
      </c>
      <c r="AB986" s="156" t="s">
        <v>5327</v>
      </c>
      <c r="AC986" s="156" t="s">
        <v>5359</v>
      </c>
      <c r="AD986" s="156" t="s">
        <v>5360</v>
      </c>
      <c r="AE986" s="333">
        <v>4.0</v>
      </c>
      <c r="AF986" s="153">
        <v>22.0</v>
      </c>
      <c r="AG986" s="333">
        <v>0.52</v>
      </c>
      <c r="AH986" s="153" t="s">
        <v>867</v>
      </c>
      <c r="AI986" s="153" t="s">
        <v>843</v>
      </c>
      <c r="AJ986" s="333">
        <v>0.001</v>
      </c>
      <c r="AK986" s="156" t="s">
        <v>128</v>
      </c>
      <c r="AL986" s="156" t="s">
        <v>179</v>
      </c>
      <c r="AM986" s="156" t="s">
        <v>134</v>
      </c>
      <c r="AN986" s="148" t="s">
        <v>131</v>
      </c>
      <c r="AO986" s="153">
        <v>14.0</v>
      </c>
      <c r="AP986" s="153">
        <v>0.7</v>
      </c>
      <c r="AQ986" s="153" t="s">
        <v>867</v>
      </c>
      <c r="AR986" s="333" t="s">
        <v>625</v>
      </c>
      <c r="AS986" s="333">
        <v>0.001</v>
      </c>
      <c r="AT986" s="156" t="s">
        <v>128</v>
      </c>
      <c r="AU986" s="156" t="s">
        <v>179</v>
      </c>
      <c r="AV986" s="156" t="s">
        <v>134</v>
      </c>
      <c r="AW986" s="65"/>
      <c r="AX986" s="65" t="s">
        <v>144</v>
      </c>
      <c r="AZ986" s="65" t="s">
        <v>146</v>
      </c>
    </row>
    <row r="987">
      <c r="A987" s="41">
        <v>987.0</v>
      </c>
      <c r="B987" s="126" t="s">
        <v>4516</v>
      </c>
      <c r="C987" s="59" t="s">
        <v>108</v>
      </c>
      <c r="D987" s="59" t="s">
        <v>146</v>
      </c>
      <c r="F987" s="65" t="s">
        <v>5318</v>
      </c>
      <c r="G987" s="156" t="s">
        <v>5361</v>
      </c>
      <c r="H987" s="156" t="s">
        <v>146</v>
      </c>
      <c r="I987" s="149">
        <v>45687.0</v>
      </c>
      <c r="J987" s="149">
        <v>45692.0</v>
      </c>
      <c r="K987" s="434" t="s">
        <v>5325</v>
      </c>
      <c r="L987" s="65"/>
      <c r="M987" s="156" t="s">
        <v>5319</v>
      </c>
      <c r="N987" s="156" t="s">
        <v>5320</v>
      </c>
      <c r="O987" s="153" t="s">
        <v>4085</v>
      </c>
      <c r="P987" s="603" t="str">
        <f t="shared" si="52"/>
        <v>10.1177--0956797615617779.pdf</v>
      </c>
      <c r="Q987" s="49" t="str">
        <f t="array" ref="Q987"> if(iserror(MATCH(V987, 'File Links'!C:C, 0)), "N/A", HYPERLINK(INDEX('File Links'!B:B, MATCH(P987, 'File Links'!C:C, 0))))</f>
        <v>https://drive.google.com/file/d/1X5Fe2As7h--ByO5qoa79Jna-iqMIag53/view?usp=drivesdk</v>
      </c>
      <c r="R987" s="603" t="s">
        <v>3646</v>
      </c>
      <c r="S987" s="156" t="s">
        <v>3647</v>
      </c>
      <c r="T987" s="65"/>
      <c r="U987" s="153">
        <v>1.0</v>
      </c>
      <c r="V987" s="195" t="str">
        <f t="shared" si="53"/>
        <v>10.1098--rsos.231240.pdf</v>
      </c>
      <c r="W987" s="156" t="s">
        <v>3719</v>
      </c>
      <c r="X987" s="51" t="str">
        <f t="array" ref="X987"> if(iserror(MATCH(V987, 'File Links'!C:C, 0)), "N/A", HYPERLINK(INDEX('File Links'!B:B, MATCH(V987, 'File Links'!C:C, 0))))</f>
        <v>https://drive.google.com/file/d/17gaf2Zy_ljFfcAEDk5L8GBnTl5i7RGJE/view?usp=drivesdk</v>
      </c>
      <c r="Y987" s="65"/>
      <c r="Z987" s="156" t="s">
        <v>141</v>
      </c>
      <c r="AA987" s="156" t="s">
        <v>5326</v>
      </c>
      <c r="AB987" s="156" t="s">
        <v>5327</v>
      </c>
      <c r="AC987" s="156" t="s">
        <v>5362</v>
      </c>
      <c r="AD987" s="156" t="s">
        <v>5363</v>
      </c>
      <c r="AE987" s="333">
        <v>4.0</v>
      </c>
      <c r="AF987" s="153">
        <v>22.0</v>
      </c>
      <c r="AG987" s="333">
        <v>1.27</v>
      </c>
      <c r="AH987" s="153" t="s">
        <v>166</v>
      </c>
      <c r="AI987" s="153" t="s">
        <v>843</v>
      </c>
      <c r="AJ987" s="333">
        <v>0.001</v>
      </c>
      <c r="AK987" s="156" t="s">
        <v>128</v>
      </c>
      <c r="AL987" s="156" t="s">
        <v>179</v>
      </c>
      <c r="AM987" s="156" t="s">
        <v>134</v>
      </c>
      <c r="AN987" s="148" t="s">
        <v>131</v>
      </c>
      <c r="AO987" s="153">
        <v>14.0</v>
      </c>
      <c r="AP987" s="153" t="s">
        <v>5364</v>
      </c>
      <c r="AQ987" s="153" t="s">
        <v>127</v>
      </c>
      <c r="AR987" s="333" t="s">
        <v>300</v>
      </c>
      <c r="AS987" s="1111">
        <v>0.001</v>
      </c>
      <c r="AT987" s="156" t="s">
        <v>165</v>
      </c>
      <c r="AU987" s="156" t="s">
        <v>179</v>
      </c>
      <c r="AV987" s="156" t="s">
        <v>134</v>
      </c>
      <c r="AW987" s="65"/>
      <c r="AX987" s="65" t="s">
        <v>144</v>
      </c>
      <c r="AZ987" s="65" t="s">
        <v>146</v>
      </c>
    </row>
    <row r="988">
      <c r="A988" s="41">
        <v>988.0</v>
      </c>
      <c r="B988" s="126" t="s">
        <v>4516</v>
      </c>
      <c r="C988" s="59" t="s">
        <v>108</v>
      </c>
      <c r="D988" s="59" t="s">
        <v>146</v>
      </c>
      <c r="F988" s="65" t="s">
        <v>5318</v>
      </c>
      <c r="G988" s="156" t="s">
        <v>5365</v>
      </c>
      <c r="H988" s="156" t="s">
        <v>146</v>
      </c>
      <c r="I988" s="149">
        <v>45687.0</v>
      </c>
      <c r="J988" s="149">
        <v>45692.0</v>
      </c>
      <c r="K988" s="434" t="s">
        <v>5325</v>
      </c>
      <c r="L988" s="65"/>
      <c r="M988" s="156" t="s">
        <v>5319</v>
      </c>
      <c r="N988" s="156" t="s">
        <v>5320</v>
      </c>
      <c r="O988" s="153" t="s">
        <v>4085</v>
      </c>
      <c r="P988" s="603" t="str">
        <f t="shared" si="52"/>
        <v>10.1177--0956797615617779.pdf</v>
      </c>
      <c r="Q988" s="49" t="str">
        <f t="array" ref="Q988"> if(iserror(MATCH(V988, 'File Links'!C:C, 0)), "N/A", HYPERLINK(INDEX('File Links'!B:B, MATCH(P988, 'File Links'!C:C, 0))))</f>
        <v>https://drive.google.com/file/d/1X5Fe2As7h--ByO5qoa79Jna-iqMIag53/view?usp=drivesdk</v>
      </c>
      <c r="R988" s="603" t="s">
        <v>3646</v>
      </c>
      <c r="S988" s="156" t="s">
        <v>3647</v>
      </c>
      <c r="T988" s="65"/>
      <c r="U988" s="153">
        <v>1.0</v>
      </c>
      <c r="V988" s="195" t="str">
        <f t="shared" si="53"/>
        <v>10.1098--rsos.231240.pdf</v>
      </c>
      <c r="W988" s="156" t="s">
        <v>3719</v>
      </c>
      <c r="X988" s="51" t="str">
        <f t="array" ref="X988"> if(iserror(MATCH(V988, 'File Links'!C:C, 0)), "N/A", HYPERLINK(INDEX('File Links'!B:B, MATCH(V988, 'File Links'!C:C, 0))))</f>
        <v>https://drive.google.com/file/d/17gaf2Zy_ljFfcAEDk5L8GBnTl5i7RGJE/view?usp=drivesdk</v>
      </c>
      <c r="Y988" s="65"/>
      <c r="Z988" s="156" t="s">
        <v>141</v>
      </c>
      <c r="AA988" s="156" t="s">
        <v>5326</v>
      </c>
      <c r="AB988" s="156" t="s">
        <v>5327</v>
      </c>
      <c r="AC988" s="156" t="s">
        <v>5366</v>
      </c>
      <c r="AD988" s="156" t="s">
        <v>5367</v>
      </c>
      <c r="AE988" s="333">
        <v>4.0</v>
      </c>
      <c r="AF988" s="153">
        <v>22.0</v>
      </c>
      <c r="AG988" s="333">
        <v>0.2</v>
      </c>
      <c r="AH988" s="153" t="s">
        <v>166</v>
      </c>
      <c r="AI988" s="153" t="s">
        <v>843</v>
      </c>
      <c r="AJ988" s="333">
        <v>0.348</v>
      </c>
      <c r="AK988" s="156" t="s">
        <v>165</v>
      </c>
      <c r="AL988" s="156" t="s">
        <v>179</v>
      </c>
      <c r="AM988" s="156" t="s">
        <v>134</v>
      </c>
      <c r="AN988" s="148" t="s">
        <v>131</v>
      </c>
      <c r="AO988" s="153">
        <v>14.0</v>
      </c>
      <c r="AP988" s="153" t="s">
        <v>5368</v>
      </c>
      <c r="AQ988" s="153" t="s">
        <v>127</v>
      </c>
      <c r="AR988" s="333" t="s">
        <v>300</v>
      </c>
      <c r="AS988" s="333">
        <v>0.348</v>
      </c>
      <c r="AT988" s="156" t="s">
        <v>165</v>
      </c>
      <c r="AU988" s="156" t="s">
        <v>179</v>
      </c>
      <c r="AV988" s="156" t="s">
        <v>134</v>
      </c>
      <c r="AW988" s="65"/>
      <c r="AX988" s="65" t="s">
        <v>144</v>
      </c>
      <c r="AZ988" s="65" t="s">
        <v>146</v>
      </c>
    </row>
    <row r="989">
      <c r="A989" s="41">
        <v>989.0</v>
      </c>
      <c r="B989" s="65" t="s">
        <v>583</v>
      </c>
      <c r="C989" s="59" t="s">
        <v>108</v>
      </c>
      <c r="D989" s="59" t="s">
        <v>146</v>
      </c>
      <c r="F989" s="65" t="s">
        <v>5369</v>
      </c>
      <c r="G989" s="156" t="s">
        <v>5370</v>
      </c>
      <c r="H989" s="156" t="s">
        <v>146</v>
      </c>
      <c r="I989" s="149">
        <v>45687.0</v>
      </c>
      <c r="J989" s="149">
        <v>45692.0</v>
      </c>
      <c r="K989" s="434" t="s">
        <v>5371</v>
      </c>
      <c r="L989" s="156" t="s">
        <v>4484</v>
      </c>
      <c r="M989" s="156" t="s">
        <v>1535</v>
      </c>
      <c r="N989" s="156" t="s">
        <v>1536</v>
      </c>
      <c r="O989" s="153">
        <v>1.0</v>
      </c>
      <c r="P989" s="603" t="str">
        <f t="shared" si="52"/>
        <v>10.1037--a0025345.pdf</v>
      </c>
      <c r="Q989" s="49" t="str">
        <f t="array" ref="Q989"> if(iserror(MATCH(V989, 'File Links'!C:C, 0)), "N/A", HYPERLINK(INDEX('File Links'!B:B, MATCH(P989, 'File Links'!C:C, 0))))</f>
        <v>https://drive.google.com/file/d/1Dm7RxWVN3iiT5GipgY8Gq3dl65EkIYDu/view?usp=drivesdk</v>
      </c>
      <c r="R989" s="603" t="s">
        <v>3646</v>
      </c>
      <c r="S989" s="156" t="s">
        <v>3647</v>
      </c>
      <c r="T989" s="65"/>
      <c r="U989" s="153">
        <v>1.0</v>
      </c>
      <c r="V989" s="195" t="str">
        <f t="shared" si="53"/>
        <v>10.1098--rsos.231240.pdf</v>
      </c>
      <c r="W989" s="156" t="s">
        <v>157</v>
      </c>
      <c r="X989" s="51" t="str">
        <f t="array" ref="X989"> if(iserror(MATCH(V989, 'File Links'!C:C, 0)), "N/A", HYPERLINK(INDEX('File Links'!B:B, MATCH(V989, 'File Links'!C:C, 0))))</f>
        <v>https://drive.google.com/file/d/17gaf2Zy_ljFfcAEDk5L8GBnTl5i7RGJE/view?usp=drivesdk</v>
      </c>
      <c r="Y989" s="65"/>
      <c r="Z989" s="156" t="s">
        <v>219</v>
      </c>
      <c r="AA989" s="156" t="s">
        <v>5372</v>
      </c>
      <c r="AB989" s="156" t="s">
        <v>5373</v>
      </c>
      <c r="AC989" s="156" t="s">
        <v>5374</v>
      </c>
      <c r="AD989" s="156" t="s">
        <v>5375</v>
      </c>
      <c r="AE989" s="153">
        <v>5.0</v>
      </c>
      <c r="AF989" s="153">
        <v>94.0</v>
      </c>
      <c r="AG989" s="333" t="s">
        <v>5376</v>
      </c>
      <c r="AH989" s="153" t="s">
        <v>166</v>
      </c>
      <c r="AI989" s="153" t="s">
        <v>806</v>
      </c>
      <c r="AJ989" s="153">
        <f>0.829773477380528</f>
        <v>0.8297734774</v>
      </c>
      <c r="AK989" s="156" t="s">
        <v>165</v>
      </c>
      <c r="AL989" s="156" t="s">
        <v>129</v>
      </c>
      <c r="AM989" s="65" t="s">
        <v>130</v>
      </c>
      <c r="AN989" s="148" t="s">
        <v>131</v>
      </c>
      <c r="AO989" s="153">
        <v>243.0</v>
      </c>
      <c r="AP989" s="1300">
        <f>2.78502426771112*10^-4</f>
        <v>0.0002785024268</v>
      </c>
      <c r="AQ989" s="153" t="s">
        <v>166</v>
      </c>
      <c r="AR989" s="333" t="s">
        <v>843</v>
      </c>
      <c r="AS989" s="333" t="s">
        <v>5377</v>
      </c>
      <c r="AT989" s="156" t="s">
        <v>165</v>
      </c>
      <c r="AU989" s="156" t="s">
        <v>129</v>
      </c>
      <c r="AV989" s="65" t="s">
        <v>130</v>
      </c>
      <c r="AW989" s="65"/>
      <c r="AX989" s="65" t="s">
        <v>144</v>
      </c>
      <c r="AZ989" s="65" t="s">
        <v>146</v>
      </c>
    </row>
    <row r="990">
      <c r="A990" s="41">
        <v>990.0</v>
      </c>
      <c r="B990" s="65" t="s">
        <v>107</v>
      </c>
      <c r="C990" s="59" t="s">
        <v>108</v>
      </c>
      <c r="D990" s="59" t="s">
        <v>241</v>
      </c>
      <c r="F990" s="156" t="s">
        <v>5378</v>
      </c>
      <c r="G990" s="156" t="s">
        <v>5379</v>
      </c>
      <c r="H990" s="156" t="s">
        <v>242</v>
      </c>
      <c r="I990" s="149">
        <v>45664.0</v>
      </c>
      <c r="J990" s="149">
        <v>45692.0</v>
      </c>
      <c r="K990" s="65"/>
      <c r="L990" s="65" t="s">
        <v>3683</v>
      </c>
      <c r="M990" s="156" t="s">
        <v>5380</v>
      </c>
      <c r="N990" s="156" t="s">
        <v>5381</v>
      </c>
      <c r="O990" s="65"/>
      <c r="P990" s="603" t="str">
        <f t="shared" si="52"/>
        <v>10.1177--0956797618805750.pdf</v>
      </c>
      <c r="Q990" s="49" t="str">
        <f t="array" ref="Q990"> if(iserror(MATCH(V990, 'File Links'!C:C, 0)), "N/A", HYPERLINK(INDEX('File Links'!B:B, MATCH(P990, 'File Links'!C:C, 0))))</f>
        <v>https://drive.google.com/file/d/1Z9cXGn_9cINuuX5drvoG0YLH4tFIjcZ7/view?usp=drivesdk</v>
      </c>
      <c r="R990" s="603" t="s">
        <v>3646</v>
      </c>
      <c r="S990" s="156" t="s">
        <v>3647</v>
      </c>
      <c r="T990" s="438" t="s">
        <v>5382</v>
      </c>
      <c r="U990" s="153">
        <v>1.0</v>
      </c>
      <c r="V990" s="195" t="str">
        <f t="shared" si="53"/>
        <v>10.1098--rsos.231240.pdf</v>
      </c>
      <c r="W990" s="156" t="s">
        <v>3658</v>
      </c>
      <c r="X990" s="51" t="str">
        <f t="array" ref="X990"> if(iserror(MATCH(V990, 'File Links'!C:C, 0)), "N/A", HYPERLINK(INDEX('File Links'!B:B, MATCH(V990, 'File Links'!C:C, 0))))</f>
        <v>https://drive.google.com/file/d/17gaf2Zy_ljFfcAEDk5L8GBnTl5i7RGJE/view?usp=drivesdk</v>
      </c>
      <c r="Y990" s="65"/>
      <c r="Z990" s="156" t="s">
        <v>219</v>
      </c>
      <c r="AA990" s="65"/>
      <c r="AB990" s="156" t="s">
        <v>5383</v>
      </c>
      <c r="AC990" s="65"/>
      <c r="AD990" s="156" t="s">
        <v>5384</v>
      </c>
      <c r="AE990" s="153">
        <v>9.0</v>
      </c>
      <c r="AF990" s="153">
        <v>348.0</v>
      </c>
      <c r="AG990" s="158" t="s">
        <v>5385</v>
      </c>
      <c r="AH990" s="116" t="s">
        <v>127</v>
      </c>
      <c r="AI990" s="1057" t="s">
        <v>5386</v>
      </c>
      <c r="AJ990" s="153">
        <v>1.0E-4</v>
      </c>
      <c r="AK990" s="156" t="s">
        <v>128</v>
      </c>
      <c r="AL990" s="156" t="s">
        <v>179</v>
      </c>
      <c r="AM990" s="156" t="s">
        <v>134</v>
      </c>
      <c r="AN990" s="148" t="s">
        <v>131</v>
      </c>
      <c r="AO990" s="153">
        <v>36.0</v>
      </c>
      <c r="AP990" s="153">
        <v>7.4</v>
      </c>
      <c r="AQ990" s="156" t="s">
        <v>1024</v>
      </c>
      <c r="AR990" s="65"/>
      <c r="AS990" s="153">
        <v>0.0104556436019021</v>
      </c>
      <c r="AT990" s="156" t="s">
        <v>165</v>
      </c>
      <c r="AU990" s="156" t="s">
        <v>179</v>
      </c>
      <c r="AV990" s="156" t="s">
        <v>134</v>
      </c>
      <c r="AW990" s="65"/>
      <c r="AX990" s="156" t="s">
        <v>136</v>
      </c>
      <c r="AZ990" s="65" t="s">
        <v>146</v>
      </c>
      <c r="BB990" s="223"/>
      <c r="BC990" s="223"/>
      <c r="BD990" s="223"/>
      <c r="BE990" s="223"/>
      <c r="BF990" s="223"/>
      <c r="BG990" s="223"/>
      <c r="BH990" s="223"/>
      <c r="BI990" s="223"/>
      <c r="BJ990" s="223"/>
      <c r="BK990" s="223"/>
      <c r="BL990" s="223"/>
      <c r="BM990" s="223"/>
      <c r="BN990" s="223"/>
      <c r="BO990" s="223"/>
      <c r="BP990" s="223"/>
      <c r="BQ990" s="223"/>
      <c r="BR990" s="223"/>
      <c r="BS990" s="223"/>
      <c r="BT990" s="223"/>
      <c r="BU990" s="223"/>
      <c r="BV990" s="223"/>
      <c r="BW990" s="223"/>
      <c r="BX990" s="223"/>
      <c r="BY990" s="223"/>
      <c r="BZ990" s="223"/>
      <c r="CA990" s="223"/>
      <c r="CB990" s="223"/>
      <c r="CC990" s="223"/>
      <c r="CD990" s="223"/>
      <c r="CE990" s="223"/>
      <c r="CF990" s="223"/>
      <c r="CG990" s="223"/>
      <c r="CH990" s="223"/>
      <c r="CI990" s="223"/>
      <c r="CJ990" s="223"/>
      <c r="CK990" s="223"/>
      <c r="CL990" s="223"/>
      <c r="CM990" s="223"/>
      <c r="CN990" s="223"/>
      <c r="CO990" s="223"/>
      <c r="CP990" s="223"/>
      <c r="CQ990" s="223"/>
      <c r="CR990" s="223"/>
      <c r="CS990" s="223"/>
      <c r="CT990" s="223"/>
      <c r="CU990" s="223"/>
      <c r="CV990" s="223"/>
      <c r="CW990" s="223"/>
      <c r="CX990" s="223"/>
      <c r="CY990" s="223"/>
      <c r="CZ990" s="223"/>
      <c r="DA990" s="223"/>
      <c r="DB990" s="223"/>
      <c r="DC990" s="223"/>
      <c r="DD990" s="223"/>
      <c r="DE990" s="223"/>
      <c r="DF990" s="223"/>
      <c r="DG990" s="223"/>
      <c r="DH990" s="223"/>
    </row>
    <row r="991">
      <c r="A991" s="41">
        <v>991.0</v>
      </c>
      <c r="B991" s="126" t="s">
        <v>4516</v>
      </c>
      <c r="C991" s="59" t="s">
        <v>108</v>
      </c>
      <c r="D991" s="59" t="s">
        <v>146</v>
      </c>
      <c r="F991" s="65" t="s">
        <v>5379</v>
      </c>
      <c r="G991" s="156" t="s">
        <v>5378</v>
      </c>
      <c r="H991" s="156" t="s">
        <v>146</v>
      </c>
      <c r="I991" s="149">
        <v>45687.0</v>
      </c>
      <c r="J991" s="149">
        <v>45692.0</v>
      </c>
      <c r="K991" s="434" t="s">
        <v>5387</v>
      </c>
      <c r="L991" s="65"/>
      <c r="M991" s="156" t="s">
        <v>5380</v>
      </c>
      <c r="N991" s="156" t="s">
        <v>5381</v>
      </c>
      <c r="O991" s="153">
        <v>5.0</v>
      </c>
      <c r="P991" s="603" t="str">
        <f t="shared" si="52"/>
        <v>10.1177--0956797618805750.pdf</v>
      </c>
      <c r="Q991" s="49" t="str">
        <f t="array" ref="Q991"> if(iserror(MATCH(V991, 'File Links'!C:C, 0)), "N/A", HYPERLINK(INDEX('File Links'!B:B, MATCH(P991, 'File Links'!C:C, 0))))</f>
        <v>https://drive.google.com/file/d/1Z9cXGn_9cINuuX5drvoG0YLH4tFIjcZ7/view?usp=drivesdk</v>
      </c>
      <c r="R991" s="603" t="s">
        <v>3646</v>
      </c>
      <c r="S991" s="156" t="s">
        <v>3647</v>
      </c>
      <c r="T991" s="438" t="s">
        <v>5382</v>
      </c>
      <c r="U991" s="153">
        <v>1.0</v>
      </c>
      <c r="V991" s="195" t="str">
        <f t="shared" si="53"/>
        <v>10.1098--rsos.231240.pdf</v>
      </c>
      <c r="W991" s="156" t="s">
        <v>3664</v>
      </c>
      <c r="X991" s="51" t="str">
        <f t="array" ref="X991"> if(iserror(MATCH(V991, 'File Links'!C:C, 0)), "N/A", HYPERLINK(INDEX('File Links'!B:B, MATCH(V991, 'File Links'!C:C, 0))))</f>
        <v>https://drive.google.com/file/d/17gaf2Zy_ljFfcAEDk5L8GBnTl5i7RGJE/view?usp=drivesdk</v>
      </c>
      <c r="Y991" s="65"/>
      <c r="Z991" s="156" t="s">
        <v>219</v>
      </c>
      <c r="AA991" s="156" t="s">
        <v>4887</v>
      </c>
      <c r="AB991" s="156" t="s">
        <v>5388</v>
      </c>
      <c r="AC991" s="156" t="s">
        <v>5389</v>
      </c>
      <c r="AD991" s="156" t="s">
        <v>5390</v>
      </c>
      <c r="AE991" s="153">
        <v>9.0</v>
      </c>
      <c r="AF991" s="153">
        <v>348.0</v>
      </c>
      <c r="AG991" s="153">
        <v>0.19</v>
      </c>
      <c r="AH991" s="153" t="s">
        <v>132</v>
      </c>
      <c r="AI991" s="153" t="s">
        <v>621</v>
      </c>
      <c r="AJ991" s="153">
        <v>1.0E-4</v>
      </c>
      <c r="AK991" s="156" t="s">
        <v>128</v>
      </c>
      <c r="AL991" s="156" t="s">
        <v>179</v>
      </c>
      <c r="AM991" s="156" t="s">
        <v>134</v>
      </c>
      <c r="AN991" s="307" t="s">
        <v>5391</v>
      </c>
      <c r="AO991" s="153">
        <v>36.0</v>
      </c>
      <c r="AP991" s="1301">
        <v>0.26</v>
      </c>
      <c r="AQ991" s="1090" t="s">
        <v>867</v>
      </c>
      <c r="AR991" s="65"/>
      <c r="AS991" s="153">
        <v>0.009</v>
      </c>
      <c r="AT991" s="156" t="s">
        <v>165</v>
      </c>
      <c r="AU991" s="156" t="s">
        <v>179</v>
      </c>
      <c r="AV991" s="156" t="s">
        <v>134</v>
      </c>
      <c r="AW991" s="432" t="s">
        <v>5392</v>
      </c>
      <c r="AX991" s="65" t="s">
        <v>136</v>
      </c>
      <c r="AZ991" s="65" t="s">
        <v>146</v>
      </c>
      <c r="BB991" s="223"/>
      <c r="BC991" s="223"/>
      <c r="BD991" s="223"/>
      <c r="BE991" s="223"/>
      <c r="BF991" s="223"/>
      <c r="BG991" s="223"/>
      <c r="BH991" s="223"/>
      <c r="BI991" s="223"/>
      <c r="BJ991" s="223"/>
      <c r="BK991" s="223"/>
      <c r="BL991" s="223"/>
      <c r="BM991" s="223"/>
      <c r="BN991" s="223"/>
      <c r="BO991" s="223"/>
      <c r="BP991" s="223"/>
      <c r="BQ991" s="223"/>
      <c r="BR991" s="223"/>
      <c r="BS991" s="223"/>
      <c r="BT991" s="223"/>
      <c r="BU991" s="223"/>
      <c r="BV991" s="223"/>
      <c r="BW991" s="223"/>
      <c r="BX991" s="223"/>
      <c r="BY991" s="223"/>
      <c r="BZ991" s="223"/>
      <c r="CA991" s="223"/>
      <c r="CB991" s="223"/>
      <c r="CC991" s="223"/>
      <c r="CD991" s="223"/>
      <c r="CE991" s="223"/>
      <c r="CF991" s="223"/>
      <c r="CG991" s="223"/>
      <c r="CH991" s="223"/>
      <c r="CI991" s="223"/>
      <c r="CJ991" s="223"/>
      <c r="CK991" s="223"/>
      <c r="CL991" s="223"/>
      <c r="CM991" s="223"/>
      <c r="CN991" s="223"/>
      <c r="CO991" s="223"/>
      <c r="CP991" s="223"/>
      <c r="CQ991" s="223"/>
      <c r="CR991" s="223"/>
      <c r="CS991" s="223"/>
      <c r="CT991" s="223"/>
      <c r="CU991" s="223"/>
      <c r="CV991" s="223"/>
      <c r="CW991" s="223"/>
      <c r="CX991" s="223"/>
      <c r="CY991" s="223"/>
      <c r="CZ991" s="223"/>
      <c r="DA991" s="223"/>
      <c r="DB991" s="223"/>
      <c r="DC991" s="223"/>
      <c r="DD991" s="223"/>
      <c r="DE991" s="223"/>
      <c r="DF991" s="223"/>
      <c r="DG991" s="223"/>
      <c r="DH991" s="223"/>
    </row>
    <row r="992">
      <c r="A992" s="41">
        <v>992.0</v>
      </c>
      <c r="B992" s="126" t="s">
        <v>4516</v>
      </c>
      <c r="C992" s="59" t="s">
        <v>108</v>
      </c>
      <c r="D992" s="59" t="s">
        <v>146</v>
      </c>
      <c r="F992" s="65" t="s">
        <v>5379</v>
      </c>
      <c r="G992" s="156" t="s">
        <v>5393</v>
      </c>
      <c r="H992" s="156" t="s">
        <v>146</v>
      </c>
      <c r="I992" s="149">
        <v>45687.0</v>
      </c>
      <c r="J992" s="149">
        <v>45692.0</v>
      </c>
      <c r="K992" s="434" t="s">
        <v>5387</v>
      </c>
      <c r="L992" s="65"/>
      <c r="M992" s="156" t="s">
        <v>5380</v>
      </c>
      <c r="N992" s="156" t="s">
        <v>5381</v>
      </c>
      <c r="O992" s="153">
        <v>5.0</v>
      </c>
      <c r="P992" s="603" t="str">
        <f t="shared" si="52"/>
        <v>10.1177--0956797618805750.pdf</v>
      </c>
      <c r="Q992" s="49" t="str">
        <f t="array" ref="Q992"> if(iserror(MATCH(V992, 'File Links'!C:C, 0)), "N/A", HYPERLINK(INDEX('File Links'!B:B, MATCH(P992, 'File Links'!C:C, 0))))</f>
        <v>https://drive.google.com/file/d/1Z9cXGn_9cINuuX5drvoG0YLH4tFIjcZ7/view?usp=drivesdk</v>
      </c>
      <c r="R992" s="603" t="s">
        <v>3646</v>
      </c>
      <c r="S992" s="156" t="s">
        <v>3647</v>
      </c>
      <c r="T992" s="438" t="s">
        <v>5382</v>
      </c>
      <c r="U992" s="153">
        <v>1.0</v>
      </c>
      <c r="V992" s="195" t="str">
        <f t="shared" si="53"/>
        <v>10.1098--rsos.231240.pdf</v>
      </c>
      <c r="W992" s="156" t="s">
        <v>3664</v>
      </c>
      <c r="X992" s="51" t="str">
        <f t="array" ref="X992"> if(iserror(MATCH(V992, 'File Links'!C:C, 0)), "N/A", HYPERLINK(INDEX('File Links'!B:B, MATCH(V992, 'File Links'!C:C, 0))))</f>
        <v>https://drive.google.com/file/d/17gaf2Zy_ljFfcAEDk5L8GBnTl5i7RGJE/view?usp=drivesdk</v>
      </c>
      <c r="Y992" s="65"/>
      <c r="Z992" s="156" t="s">
        <v>219</v>
      </c>
      <c r="AA992" s="156" t="s">
        <v>4887</v>
      </c>
      <c r="AB992" s="156" t="s">
        <v>5388</v>
      </c>
      <c r="AC992" s="156" t="s">
        <v>5394</v>
      </c>
      <c r="AD992" s="156" t="s">
        <v>5395</v>
      </c>
      <c r="AE992" s="153">
        <v>9.0</v>
      </c>
      <c r="AF992" s="65"/>
      <c r="AG992" s="333">
        <v>0.48</v>
      </c>
      <c r="AH992" s="153" t="s">
        <v>166</v>
      </c>
      <c r="AI992" s="153" t="s">
        <v>621</v>
      </c>
      <c r="AJ992" s="333">
        <v>1.0E-4</v>
      </c>
      <c r="AK992" s="156" t="s">
        <v>128</v>
      </c>
      <c r="AL992" s="156" t="s">
        <v>179</v>
      </c>
      <c r="AM992" s="156" t="s">
        <v>134</v>
      </c>
      <c r="AN992" s="307" t="s">
        <v>5391</v>
      </c>
      <c r="AO992" s="333">
        <v>36.0</v>
      </c>
      <c r="AP992" s="1241" t="s">
        <v>5396</v>
      </c>
      <c r="AQ992" s="153" t="s">
        <v>127</v>
      </c>
      <c r="AR992" s="65"/>
      <c r="AS992" s="1293">
        <v>4.189E-4</v>
      </c>
      <c r="AT992" s="156" t="s">
        <v>165</v>
      </c>
      <c r="AU992" s="156" t="s">
        <v>179</v>
      </c>
      <c r="AV992" s="156" t="s">
        <v>134</v>
      </c>
      <c r="AW992" s="432" t="s">
        <v>5392</v>
      </c>
      <c r="AX992" s="65" t="s">
        <v>136</v>
      </c>
      <c r="AZ992" s="65" t="s">
        <v>146</v>
      </c>
    </row>
    <row r="993">
      <c r="A993" s="41">
        <v>993.0</v>
      </c>
      <c r="B993" s="126" t="s">
        <v>4516</v>
      </c>
      <c r="C993" s="59" t="s">
        <v>108</v>
      </c>
      <c r="D993" s="59" t="s">
        <v>241</v>
      </c>
      <c r="F993" s="156" t="s">
        <v>5397</v>
      </c>
      <c r="G993" s="156" t="s">
        <v>5398</v>
      </c>
      <c r="H993" s="156" t="s">
        <v>242</v>
      </c>
      <c r="I993" s="149">
        <v>45664.0</v>
      </c>
      <c r="J993" s="149">
        <v>45692.0</v>
      </c>
      <c r="K993" s="65"/>
      <c r="L993" s="65"/>
      <c r="M993" s="156" t="s">
        <v>5399</v>
      </c>
      <c r="N993" s="156" t="s">
        <v>5400</v>
      </c>
      <c r="O993" s="65"/>
      <c r="P993" s="603" t="str">
        <f t="shared" si="52"/>
        <v>10.1177--0956797615569889.pdf</v>
      </c>
      <c r="Q993" s="49" t="str">
        <f t="array" ref="Q993"> if(iserror(MATCH(V993, 'File Links'!C:C, 0)), "N/A", HYPERLINK(INDEX('File Links'!B:B, MATCH(P993, 'File Links'!C:C, 0))))</f>
        <v>https://drive.google.com/file/d/15btD8-1-iJ6kKY4YOnmEB99Ty5jn30uV/view?usp=drivesdk</v>
      </c>
      <c r="R993" s="603" t="s">
        <v>3646</v>
      </c>
      <c r="S993" s="156" t="s">
        <v>3647</v>
      </c>
      <c r="T993" s="438" t="s">
        <v>5401</v>
      </c>
      <c r="U993" s="153">
        <v>1.0</v>
      </c>
      <c r="V993" s="195" t="str">
        <f t="shared" si="53"/>
        <v>10.1098--rsos.231240.pdf</v>
      </c>
      <c r="W993" s="156" t="s">
        <v>317</v>
      </c>
      <c r="X993" s="51" t="str">
        <f t="array" ref="X993"> if(iserror(MATCH(V993, 'File Links'!C:C, 0)), "N/A", HYPERLINK(INDEX('File Links'!B:B, MATCH(V993, 'File Links'!C:C, 0))))</f>
        <v>https://drive.google.com/file/d/17gaf2Zy_ljFfcAEDk5L8GBnTl5i7RGJE/view?usp=drivesdk</v>
      </c>
      <c r="Y993" s="65"/>
      <c r="Z993" s="156" t="s">
        <v>141</v>
      </c>
      <c r="AA993" s="1112" t="s">
        <v>5402</v>
      </c>
      <c r="AB993" s="1112" t="s">
        <v>5403</v>
      </c>
      <c r="AC993" s="1112" t="s">
        <v>5404</v>
      </c>
      <c r="AD993" s="156" t="s">
        <v>5405</v>
      </c>
      <c r="AE993" s="1090">
        <v>6.0</v>
      </c>
      <c r="AF993" s="153">
        <v>18.0</v>
      </c>
      <c r="AG993" s="153">
        <v>0.691</v>
      </c>
      <c r="AH993" s="156" t="s">
        <v>132</v>
      </c>
      <c r="AI993" s="1112" t="s">
        <v>133</v>
      </c>
      <c r="AJ993" s="153">
        <v>0.001</v>
      </c>
      <c r="AK993" s="156" t="s">
        <v>128</v>
      </c>
      <c r="AL993" s="156" t="s">
        <v>129</v>
      </c>
      <c r="AM993" s="156" t="s">
        <v>134</v>
      </c>
      <c r="AN993" s="148" t="s">
        <v>131</v>
      </c>
      <c r="AO993" s="153">
        <v>11.0</v>
      </c>
      <c r="AP993" s="153">
        <v>0.218240494886478</v>
      </c>
      <c r="AQ993" s="156" t="s">
        <v>166</v>
      </c>
      <c r="AR993" s="65"/>
      <c r="AS993" s="153">
        <v>0.505808759221724</v>
      </c>
      <c r="AT993" s="156" t="s">
        <v>165</v>
      </c>
      <c r="AU993" s="156" t="s">
        <v>129</v>
      </c>
      <c r="AV993" s="156" t="s">
        <v>134</v>
      </c>
      <c r="AW993" s="65"/>
      <c r="AX993" s="156" t="s">
        <v>136</v>
      </c>
      <c r="AZ993" s="65" t="s">
        <v>146</v>
      </c>
      <c r="BB993" s="481"/>
      <c r="BC993" s="481"/>
      <c r="BD993" s="481"/>
      <c r="BE993" s="481"/>
      <c r="BF993" s="481"/>
      <c r="BG993" s="481"/>
      <c r="BH993" s="481"/>
      <c r="BI993" s="481"/>
      <c r="BJ993" s="481"/>
      <c r="BK993" s="481"/>
      <c r="BL993" s="481"/>
      <c r="BM993" s="481"/>
      <c r="BN993" s="481"/>
      <c r="BO993" s="481"/>
      <c r="BP993" s="481"/>
      <c r="BQ993" s="481"/>
      <c r="BR993" s="481"/>
      <c r="BS993" s="481"/>
      <c r="BT993" s="481"/>
      <c r="BU993" s="481"/>
      <c r="BV993" s="481"/>
      <c r="BW993" s="481"/>
      <c r="BX993" s="481"/>
      <c r="BY993" s="481"/>
      <c r="BZ993" s="481"/>
      <c r="CA993" s="481"/>
      <c r="CB993" s="481"/>
      <c r="CC993" s="481"/>
      <c r="CD993" s="481"/>
      <c r="CE993" s="481"/>
      <c r="CF993" s="481"/>
      <c r="CG993" s="481"/>
      <c r="CH993" s="481"/>
      <c r="CI993" s="481"/>
      <c r="CJ993" s="481"/>
      <c r="CK993" s="481"/>
      <c r="CL993" s="481"/>
      <c r="CM993" s="481"/>
      <c r="CN993" s="481"/>
      <c r="CO993" s="481"/>
      <c r="CP993" s="481"/>
      <c r="CQ993" s="481"/>
      <c r="CR993" s="481"/>
      <c r="CS993" s="481"/>
      <c r="CT993" s="481"/>
      <c r="CU993" s="481"/>
      <c r="CV993" s="481"/>
      <c r="CW993" s="481"/>
      <c r="CX993" s="481"/>
      <c r="CY993" s="481"/>
      <c r="CZ993" s="481"/>
      <c r="DA993" s="481"/>
      <c r="DB993" s="481"/>
      <c r="DC993" s="481"/>
      <c r="DD993" s="481"/>
      <c r="DE993" s="481"/>
      <c r="DF993" s="481"/>
      <c r="DG993" s="481"/>
      <c r="DH993" s="481"/>
    </row>
    <row r="994">
      <c r="A994" s="41">
        <v>994.0</v>
      </c>
      <c r="B994" s="126" t="s">
        <v>4516</v>
      </c>
      <c r="C994" s="59" t="s">
        <v>108</v>
      </c>
      <c r="D994" s="59" t="s">
        <v>146</v>
      </c>
      <c r="F994" s="65" t="s">
        <v>5398</v>
      </c>
      <c r="G994" s="156" t="s">
        <v>5397</v>
      </c>
      <c r="H994" s="156" t="s">
        <v>146</v>
      </c>
      <c r="I994" s="149">
        <v>45687.0</v>
      </c>
      <c r="J994" s="149">
        <v>45692.0</v>
      </c>
      <c r="K994" s="1052" t="s">
        <v>5406</v>
      </c>
      <c r="L994" s="65"/>
      <c r="M994" s="156" t="s">
        <v>5399</v>
      </c>
      <c r="N994" s="156" t="s">
        <v>5400</v>
      </c>
      <c r="O994" s="156" t="s">
        <v>5407</v>
      </c>
      <c r="P994" s="603" t="str">
        <f t="shared" si="52"/>
        <v>10.1177--0956797615569889.pdf</v>
      </c>
      <c r="Q994" s="49" t="str">
        <f t="array" ref="Q994"> if(iserror(MATCH(V994, 'File Links'!C:C, 0)), "N/A", HYPERLINK(INDEX('File Links'!B:B, MATCH(P994, 'File Links'!C:C, 0))))</f>
        <v>https://drive.google.com/file/d/15btD8-1-iJ6kKY4YOnmEB99Ty5jn30uV/view?usp=drivesdk</v>
      </c>
      <c r="R994" s="603" t="s">
        <v>3646</v>
      </c>
      <c r="S994" s="156" t="s">
        <v>3647</v>
      </c>
      <c r="T994" s="438" t="s">
        <v>5401</v>
      </c>
      <c r="U994" s="153">
        <v>1.0</v>
      </c>
      <c r="V994" s="195" t="str">
        <f t="shared" si="53"/>
        <v>10.1098--rsos.231240.pdf</v>
      </c>
      <c r="W994" s="156" t="s">
        <v>4633</v>
      </c>
      <c r="X994" s="51" t="str">
        <f t="array" ref="X994"> if(iserror(MATCH(V994, 'File Links'!C:C, 0)), "N/A", HYPERLINK(INDEX('File Links'!B:B, MATCH(V994, 'File Links'!C:C, 0))))</f>
        <v>https://drive.google.com/file/d/17gaf2Zy_ljFfcAEDk5L8GBnTl5i7RGJE/view?usp=drivesdk</v>
      </c>
      <c r="Y994" s="43"/>
      <c r="Z994" s="156" t="s">
        <v>141</v>
      </c>
      <c r="AA994" s="156" t="s">
        <v>5402</v>
      </c>
      <c r="AB994" s="156" t="s">
        <v>5403</v>
      </c>
      <c r="AC994" s="156" t="s">
        <v>5408</v>
      </c>
      <c r="AD994" s="156" t="s">
        <v>5409</v>
      </c>
      <c r="AE994" s="153">
        <v>6.0</v>
      </c>
      <c r="AF994" s="153">
        <v>18.0</v>
      </c>
      <c r="AG994" s="153">
        <v>0.132</v>
      </c>
      <c r="AH994" s="153" t="s">
        <v>867</v>
      </c>
      <c r="AI994" s="153" t="s">
        <v>133</v>
      </c>
      <c r="AJ994" s="153">
        <v>0.041</v>
      </c>
      <c r="AK994" s="156" t="s">
        <v>165</v>
      </c>
      <c r="AL994" s="156" t="s">
        <v>129</v>
      </c>
      <c r="AM994" s="156" t="s">
        <v>134</v>
      </c>
      <c r="AN994" s="148" t="s">
        <v>131</v>
      </c>
      <c r="AO994" s="153">
        <v>11.0</v>
      </c>
      <c r="AP994" s="333" t="s">
        <v>5410</v>
      </c>
      <c r="AQ994" s="153" t="s">
        <v>127</v>
      </c>
      <c r="AR994" s="65"/>
      <c r="AS994" s="333">
        <v>0.0216</v>
      </c>
      <c r="AT994" s="156" t="s">
        <v>165</v>
      </c>
      <c r="AU994" s="156" t="s">
        <v>129</v>
      </c>
      <c r="AV994" s="156" t="s">
        <v>134</v>
      </c>
      <c r="AW994" s="432" t="s">
        <v>5411</v>
      </c>
      <c r="AX994" s="65" t="s">
        <v>136</v>
      </c>
      <c r="AZ994" s="65" t="s">
        <v>146</v>
      </c>
      <c r="BB994" s="69"/>
      <c r="BC994" s="69"/>
      <c r="BD994" s="69"/>
      <c r="BE994" s="69"/>
      <c r="BF994" s="69"/>
      <c r="BG994" s="69"/>
      <c r="BH994" s="69"/>
      <c r="BI994" s="69"/>
      <c r="BJ994" s="69"/>
      <c r="BK994" s="69"/>
      <c r="BL994" s="69"/>
      <c r="BM994" s="69"/>
      <c r="BN994" s="69"/>
      <c r="BO994" s="69"/>
      <c r="BP994" s="69"/>
      <c r="BQ994" s="69"/>
      <c r="BR994" s="69"/>
      <c r="BS994" s="69"/>
      <c r="BT994" s="69"/>
      <c r="BU994" s="69"/>
      <c r="BV994" s="69"/>
      <c r="BW994" s="69"/>
      <c r="BX994" s="69"/>
      <c r="BY994" s="69"/>
      <c r="BZ994" s="69"/>
      <c r="CA994" s="69"/>
      <c r="CB994" s="69"/>
      <c r="CC994" s="69"/>
      <c r="CD994" s="69"/>
      <c r="CE994" s="69"/>
      <c r="CF994" s="69"/>
      <c r="CG994" s="69"/>
      <c r="CH994" s="69"/>
      <c r="CI994" s="69"/>
      <c r="CJ994" s="69"/>
      <c r="CK994" s="69"/>
      <c r="CL994" s="69"/>
      <c r="CM994" s="69"/>
      <c r="CN994" s="69"/>
      <c r="CO994" s="69"/>
      <c r="CP994" s="69"/>
      <c r="CQ994" s="69"/>
      <c r="CR994" s="69"/>
      <c r="CS994" s="69"/>
      <c r="CT994" s="69"/>
      <c r="CU994" s="69"/>
      <c r="CV994" s="69"/>
      <c r="CW994" s="69"/>
      <c r="CX994" s="69"/>
      <c r="CY994" s="69"/>
      <c r="CZ994" s="69"/>
      <c r="DA994" s="69"/>
      <c r="DB994" s="69"/>
      <c r="DC994" s="69"/>
      <c r="DD994" s="69"/>
      <c r="DE994" s="69"/>
      <c r="DF994" s="69"/>
      <c r="DG994" s="69"/>
      <c r="DH994" s="69"/>
    </row>
    <row r="995">
      <c r="A995" s="41">
        <v>995.0</v>
      </c>
      <c r="B995" s="126" t="s">
        <v>4516</v>
      </c>
      <c r="C995" s="59" t="s">
        <v>108</v>
      </c>
      <c r="D995" s="59" t="s">
        <v>146</v>
      </c>
      <c r="F995" s="65" t="s">
        <v>5398</v>
      </c>
      <c r="G995" s="156" t="s">
        <v>5412</v>
      </c>
      <c r="H995" s="156" t="s">
        <v>146</v>
      </c>
      <c r="I995" s="149">
        <v>45687.0</v>
      </c>
      <c r="J995" s="149">
        <v>45692.0</v>
      </c>
      <c r="K995" s="1052" t="s">
        <v>5413</v>
      </c>
      <c r="L995" s="65"/>
      <c r="M995" s="156" t="s">
        <v>5399</v>
      </c>
      <c r="N995" s="156" t="s">
        <v>5400</v>
      </c>
      <c r="O995" s="156" t="s">
        <v>5407</v>
      </c>
      <c r="P995" s="156" t="str">
        <f t="shared" si="52"/>
        <v>10.1177--0956797615569889.pdf</v>
      </c>
      <c r="Q995" s="49" t="str">
        <f t="array" ref="Q995"> if(iserror(MATCH(V995, 'File Links'!C:C, 0)), "N/A", HYPERLINK(INDEX('File Links'!B:B, MATCH(P995, 'File Links'!C:C, 0))))</f>
        <v>https://drive.google.com/file/d/15btD8-1-iJ6kKY4YOnmEB99Ty5jn30uV/view?usp=drivesdk</v>
      </c>
      <c r="R995" s="603" t="s">
        <v>3646</v>
      </c>
      <c r="S995" s="156" t="s">
        <v>3647</v>
      </c>
      <c r="T995" s="438" t="s">
        <v>5401</v>
      </c>
      <c r="U995" s="153">
        <v>1.0</v>
      </c>
      <c r="V995" s="195" t="str">
        <f t="shared" si="53"/>
        <v>10.1098--rsos.231240.pdf</v>
      </c>
      <c r="W995" s="156" t="s">
        <v>4633</v>
      </c>
      <c r="X995" s="51" t="str">
        <f t="array" ref="X995"> if(iserror(MATCH(V995, 'File Links'!C:C, 0)), "N/A", HYPERLINK(INDEX('File Links'!B:B, MATCH(V995, 'File Links'!C:C, 0))))</f>
        <v>https://drive.google.com/file/d/17gaf2Zy_ljFfcAEDk5L8GBnTl5i7RGJE/view?usp=drivesdk</v>
      </c>
      <c r="Y995" s="65"/>
      <c r="Z995" s="156" t="s">
        <v>141</v>
      </c>
      <c r="AA995" s="156" t="s">
        <v>5402</v>
      </c>
      <c r="AB995" s="156" t="s">
        <v>5403</v>
      </c>
      <c r="AC995" s="156" t="s">
        <v>5404</v>
      </c>
      <c r="AD995" s="156" t="s">
        <v>5414</v>
      </c>
      <c r="AE995" s="333">
        <v>6.0</v>
      </c>
      <c r="AF995" s="153">
        <v>18.0</v>
      </c>
      <c r="AG995" s="333">
        <v>0.322</v>
      </c>
      <c r="AH995" s="153" t="s">
        <v>867</v>
      </c>
      <c r="AI995" s="333" t="s">
        <v>133</v>
      </c>
      <c r="AJ995" s="333">
        <v>0.001</v>
      </c>
      <c r="AK995" s="156" t="s">
        <v>165</v>
      </c>
      <c r="AL995" s="156" t="s">
        <v>129</v>
      </c>
      <c r="AM995" s="156" t="s">
        <v>134</v>
      </c>
      <c r="AN995" s="148" t="s">
        <v>131</v>
      </c>
      <c r="AO995" s="153">
        <v>11.0</v>
      </c>
      <c r="AP995" s="333" t="s">
        <v>5415</v>
      </c>
      <c r="AQ995" s="153" t="s">
        <v>127</v>
      </c>
      <c r="AR995" s="65"/>
      <c r="AS995" s="153">
        <v>0.3334461</v>
      </c>
      <c r="AT995" s="156" t="s">
        <v>165</v>
      </c>
      <c r="AU995" s="156" t="s">
        <v>129</v>
      </c>
      <c r="AV995" s="156" t="s">
        <v>134</v>
      </c>
      <c r="AW995" s="65"/>
      <c r="AX995" s="65" t="s">
        <v>136</v>
      </c>
      <c r="AZ995" s="65" t="s">
        <v>146</v>
      </c>
      <c r="BB995" s="69"/>
      <c r="BC995" s="69"/>
      <c r="BD995" s="69"/>
      <c r="BE995" s="69"/>
      <c r="BF995" s="69"/>
      <c r="BG995" s="69"/>
      <c r="BH995" s="69"/>
      <c r="BI995" s="69"/>
      <c r="BJ995" s="69"/>
      <c r="BK995" s="69"/>
      <c r="BL995" s="69"/>
      <c r="BM995" s="69"/>
      <c r="BN995" s="69"/>
      <c r="BO995" s="69"/>
      <c r="BP995" s="69"/>
      <c r="BQ995" s="69"/>
      <c r="BR995" s="69"/>
      <c r="BS995" s="69"/>
      <c r="BT995" s="69"/>
      <c r="BU995" s="69"/>
      <c r="BV995" s="69"/>
      <c r="BW995" s="69"/>
      <c r="BX995" s="69"/>
      <c r="BY995" s="69"/>
      <c r="BZ995" s="69"/>
      <c r="CA995" s="69"/>
      <c r="CB995" s="69"/>
      <c r="CC995" s="69"/>
      <c r="CD995" s="69"/>
      <c r="CE995" s="69"/>
      <c r="CF995" s="69"/>
      <c r="CG995" s="69"/>
      <c r="CH995" s="69"/>
      <c r="CI995" s="69"/>
      <c r="CJ995" s="69"/>
      <c r="CK995" s="69"/>
      <c r="CL995" s="69"/>
      <c r="CM995" s="69"/>
      <c r="CN995" s="69"/>
      <c r="CO995" s="69"/>
      <c r="CP995" s="69"/>
      <c r="CQ995" s="69"/>
      <c r="CR995" s="69"/>
      <c r="CS995" s="69"/>
      <c r="CT995" s="69"/>
      <c r="CU995" s="69"/>
      <c r="CV995" s="69"/>
      <c r="CW995" s="69"/>
      <c r="CX995" s="69"/>
      <c r="CY995" s="69"/>
      <c r="CZ995" s="69"/>
      <c r="DA995" s="69"/>
      <c r="DB995" s="69"/>
      <c r="DC995" s="69"/>
      <c r="DD995" s="69"/>
      <c r="DE995" s="69"/>
      <c r="DF995" s="69"/>
      <c r="DG995" s="69"/>
      <c r="DH995" s="69"/>
    </row>
    <row r="996">
      <c r="A996" s="41">
        <v>996.0</v>
      </c>
      <c r="B996" s="65" t="s">
        <v>107</v>
      </c>
      <c r="C996" s="59" t="s">
        <v>108</v>
      </c>
      <c r="D996" s="59" t="s">
        <v>241</v>
      </c>
      <c r="F996" s="156" t="s">
        <v>5416</v>
      </c>
      <c r="G996" s="156" t="s">
        <v>5417</v>
      </c>
      <c r="H996" s="156" t="s">
        <v>242</v>
      </c>
      <c r="I996" s="149">
        <v>45663.0</v>
      </c>
      <c r="J996" s="149">
        <v>45692.0</v>
      </c>
      <c r="K996" s="65"/>
      <c r="L996" s="65" t="s">
        <v>3683</v>
      </c>
      <c r="M996" s="156" t="s">
        <v>5418</v>
      </c>
      <c r="N996" s="156" t="s">
        <v>5419</v>
      </c>
      <c r="O996" s="65"/>
      <c r="P996" s="156" t="str">
        <f t="shared" si="52"/>
        <v>10.1037--a0012833.pdf</v>
      </c>
      <c r="Q996" s="49" t="str">
        <f t="array" ref="Q996"> if(iserror(MATCH(V996, 'File Links'!C:C, 0)), "N/A", HYPERLINK(INDEX('File Links'!B:B, MATCH(P996, 'File Links'!C:C, 0))))</f>
        <v>https://drive.google.com/file/d/1HpcHlK2DyzZieaRbX6Fr0ov7Mf_R671v/view?usp=drivesdk</v>
      </c>
      <c r="R996" s="603" t="s">
        <v>3646</v>
      </c>
      <c r="S996" s="156" t="s">
        <v>3647</v>
      </c>
      <c r="T996" s="65"/>
      <c r="U996" s="153">
        <v>1.0</v>
      </c>
      <c r="V996" s="195" t="str">
        <f t="shared" si="53"/>
        <v>10.1098--rsos.231240.pdf</v>
      </c>
      <c r="W996" s="156" t="s">
        <v>3658</v>
      </c>
      <c r="X996" s="51" t="str">
        <f t="array" ref="X996"> if(iserror(MATCH(V996, 'File Links'!C:C, 0)), "N/A", HYPERLINK(INDEX('File Links'!B:B, MATCH(V996, 'File Links'!C:C, 0))))</f>
        <v>https://drive.google.com/file/d/17gaf2Zy_ljFfcAEDk5L8GBnTl5i7RGJE/view?usp=drivesdk</v>
      </c>
      <c r="Y996" s="65"/>
      <c r="Z996" s="156" t="s">
        <v>141</v>
      </c>
      <c r="AA996" s="65"/>
      <c r="AB996" s="65"/>
      <c r="AC996" s="65"/>
      <c r="AD996" s="156" t="s">
        <v>5420</v>
      </c>
      <c r="AE996" s="1056">
        <v>517.0</v>
      </c>
      <c r="AF996" s="153">
        <v>36.0</v>
      </c>
      <c r="AG996" s="153">
        <v>5.68</v>
      </c>
      <c r="AH996" s="156" t="s">
        <v>1024</v>
      </c>
      <c r="AI996" s="1057" t="s">
        <v>5421</v>
      </c>
      <c r="AJ996" s="153">
        <v>0.02</v>
      </c>
      <c r="AK996" s="156" t="s">
        <v>165</v>
      </c>
      <c r="AL996" s="156" t="s">
        <v>179</v>
      </c>
      <c r="AM996" s="156" t="s">
        <v>1898</v>
      </c>
      <c r="AN996" s="148" t="s">
        <v>131</v>
      </c>
      <c r="AO996" s="153">
        <v>88.0</v>
      </c>
      <c r="AP996" s="153">
        <v>-0.062337452058199</v>
      </c>
      <c r="AQ996" s="156" t="s">
        <v>166</v>
      </c>
      <c r="AR996" s="65"/>
      <c r="AS996" s="1302">
        <v>0.562461465954232</v>
      </c>
      <c r="AT996" s="156" t="s">
        <v>165</v>
      </c>
      <c r="AU996" s="156" t="s">
        <v>179</v>
      </c>
      <c r="AV996" s="156" t="s">
        <v>1898</v>
      </c>
      <c r="AW996" s="65"/>
      <c r="AX996" s="156" t="s">
        <v>136</v>
      </c>
      <c r="AZ996" s="65" t="s">
        <v>146</v>
      </c>
      <c r="BB996" s="69"/>
      <c r="BC996" s="69"/>
      <c r="BD996" s="69"/>
      <c r="BE996" s="69"/>
      <c r="BF996" s="69"/>
      <c r="BG996" s="69"/>
      <c r="BH996" s="69"/>
      <c r="BI996" s="69"/>
      <c r="BJ996" s="69"/>
      <c r="BK996" s="69"/>
      <c r="BL996" s="69"/>
      <c r="BM996" s="69"/>
      <c r="BN996" s="69"/>
      <c r="BO996" s="69"/>
      <c r="BP996" s="69"/>
      <c r="BQ996" s="69"/>
      <c r="BR996" s="69"/>
      <c r="BS996" s="69"/>
      <c r="BT996" s="69"/>
      <c r="BU996" s="69"/>
      <c r="BV996" s="69"/>
      <c r="BW996" s="69"/>
      <c r="BX996" s="69"/>
      <c r="BY996" s="69"/>
      <c r="BZ996" s="69"/>
      <c r="CA996" s="69"/>
      <c r="CB996" s="69"/>
      <c r="CC996" s="69"/>
      <c r="CD996" s="69"/>
      <c r="CE996" s="69"/>
      <c r="CF996" s="69"/>
      <c r="CG996" s="69"/>
      <c r="CH996" s="69"/>
      <c r="CI996" s="69"/>
      <c r="CJ996" s="69"/>
      <c r="CK996" s="69"/>
      <c r="CL996" s="69"/>
      <c r="CM996" s="69"/>
      <c r="CN996" s="69"/>
      <c r="CO996" s="69"/>
      <c r="CP996" s="69"/>
      <c r="CQ996" s="69"/>
      <c r="CR996" s="69"/>
      <c r="CS996" s="69"/>
      <c r="CT996" s="69"/>
      <c r="CU996" s="69"/>
      <c r="CV996" s="69"/>
      <c r="CW996" s="69"/>
      <c r="CX996" s="69"/>
      <c r="CY996" s="69"/>
      <c r="CZ996" s="69"/>
      <c r="DA996" s="69"/>
      <c r="DB996" s="69"/>
      <c r="DC996" s="69"/>
      <c r="DD996" s="69"/>
      <c r="DE996" s="69"/>
      <c r="DF996" s="69"/>
      <c r="DG996" s="69"/>
      <c r="DH996" s="69"/>
    </row>
    <row r="997">
      <c r="A997" s="41">
        <v>997.0</v>
      </c>
      <c r="B997" s="126" t="s">
        <v>4516</v>
      </c>
      <c r="C997" s="59" t="s">
        <v>108</v>
      </c>
      <c r="D997" s="59" t="s">
        <v>146</v>
      </c>
      <c r="F997" s="65" t="s">
        <v>5417</v>
      </c>
      <c r="G997" s="156" t="s">
        <v>5416</v>
      </c>
      <c r="H997" s="156" t="s">
        <v>146</v>
      </c>
      <c r="I997" s="149">
        <v>45687.0</v>
      </c>
      <c r="J997" s="149">
        <v>45692.0</v>
      </c>
      <c r="K997" s="1052" t="s">
        <v>5422</v>
      </c>
      <c r="L997" s="65"/>
      <c r="M997" s="156" t="s">
        <v>5418</v>
      </c>
      <c r="N997" s="156" t="s">
        <v>5419</v>
      </c>
      <c r="O997" s="153">
        <v>5.0</v>
      </c>
      <c r="P997" s="156" t="str">
        <f t="shared" si="52"/>
        <v>10.1037--a0012833.pdf</v>
      </c>
      <c r="Q997" s="49" t="str">
        <f t="array" ref="Q997"> if(iserror(MATCH(V997, 'File Links'!C:C, 0)), "N/A", HYPERLINK(INDEX('File Links'!B:B, MATCH(P997, 'File Links'!C:C, 0))))</f>
        <v>https://drive.google.com/file/d/1HpcHlK2DyzZieaRbX6Fr0ov7Mf_R671v/view?usp=drivesdk</v>
      </c>
      <c r="R997" s="603" t="s">
        <v>3646</v>
      </c>
      <c r="S997" s="156" t="s">
        <v>3647</v>
      </c>
      <c r="T997" s="65"/>
      <c r="U997" s="153">
        <v>1.0</v>
      </c>
      <c r="V997" s="195" t="str">
        <f t="shared" si="53"/>
        <v>10.1098--rsos.231240.pdf</v>
      </c>
      <c r="W997" s="156" t="s">
        <v>3664</v>
      </c>
      <c r="X997" s="51" t="str">
        <f t="array" ref="X997"> if(iserror(MATCH(V997, 'File Links'!C:C, 0)), "N/A", HYPERLINK(INDEX('File Links'!B:B, MATCH(V997, 'File Links'!C:C, 0))))</f>
        <v>https://drive.google.com/file/d/17gaf2Zy_ljFfcAEDk5L8GBnTl5i7RGJE/view?usp=drivesdk</v>
      </c>
      <c r="Y997" s="65"/>
      <c r="Z997" s="156" t="s">
        <v>141</v>
      </c>
      <c r="AA997" s="156" t="s">
        <v>5423</v>
      </c>
      <c r="AB997" s="156" t="s">
        <v>5424</v>
      </c>
      <c r="AC997" s="156" t="s">
        <v>5425</v>
      </c>
      <c r="AD997" s="156" t="s">
        <v>5426</v>
      </c>
      <c r="AE997" s="153">
        <v>8.0</v>
      </c>
      <c r="AF997" s="153">
        <v>36.0</v>
      </c>
      <c r="AG997" s="153" t="s">
        <v>5427</v>
      </c>
      <c r="AH997" s="153" t="s">
        <v>127</v>
      </c>
      <c r="AI997" s="153" t="s">
        <v>606</v>
      </c>
      <c r="AJ997" s="153">
        <v>0.02</v>
      </c>
      <c r="AK997" s="156" t="s">
        <v>165</v>
      </c>
      <c r="AL997" s="156" t="s">
        <v>179</v>
      </c>
      <c r="AM997" s="156" t="s">
        <v>1898</v>
      </c>
      <c r="AN997" s="148" t="s">
        <v>131</v>
      </c>
      <c r="AO997" s="153">
        <v>88.0</v>
      </c>
      <c r="AP997" s="153" t="s">
        <v>5428</v>
      </c>
      <c r="AQ997" s="153" t="s">
        <v>127</v>
      </c>
      <c r="AR997" s="153" t="s">
        <v>843</v>
      </c>
      <c r="AS997" s="153">
        <v>0.77</v>
      </c>
      <c r="AT997" s="156" t="s">
        <v>165</v>
      </c>
      <c r="AU997" s="156" t="s">
        <v>179</v>
      </c>
      <c r="AV997" s="156" t="s">
        <v>1898</v>
      </c>
      <c r="AW997" s="432" t="s">
        <v>5429</v>
      </c>
      <c r="AX997" s="65" t="s">
        <v>136</v>
      </c>
      <c r="AZ997" s="65" t="s">
        <v>146</v>
      </c>
      <c r="BB997" s="69"/>
      <c r="BC997" s="69"/>
      <c r="BD997" s="69"/>
      <c r="BE997" s="69"/>
      <c r="BF997" s="69"/>
      <c r="BG997" s="69"/>
      <c r="BH997" s="69"/>
      <c r="BI997" s="69"/>
      <c r="BJ997" s="69"/>
      <c r="BK997" s="69"/>
      <c r="BL997" s="69"/>
      <c r="BM997" s="69"/>
      <c r="BN997" s="69"/>
      <c r="BO997" s="69"/>
      <c r="BP997" s="69"/>
      <c r="BQ997" s="69"/>
      <c r="BR997" s="69"/>
      <c r="BS997" s="69"/>
      <c r="BT997" s="69"/>
      <c r="BU997" s="69"/>
      <c r="BV997" s="69"/>
      <c r="BW997" s="69"/>
      <c r="BX997" s="69"/>
      <c r="BY997" s="69"/>
      <c r="BZ997" s="69"/>
      <c r="CA997" s="69"/>
      <c r="CB997" s="69"/>
      <c r="CC997" s="69"/>
      <c r="CD997" s="69"/>
      <c r="CE997" s="69"/>
      <c r="CF997" s="69"/>
      <c r="CG997" s="69"/>
      <c r="CH997" s="69"/>
      <c r="CI997" s="69"/>
      <c r="CJ997" s="69"/>
      <c r="CK997" s="69"/>
      <c r="CL997" s="69"/>
      <c r="CM997" s="69"/>
      <c r="CN997" s="69"/>
      <c r="CO997" s="69"/>
      <c r="CP997" s="69"/>
      <c r="CQ997" s="69"/>
      <c r="CR997" s="69"/>
      <c r="CS997" s="69"/>
      <c r="CT997" s="69"/>
      <c r="CU997" s="69"/>
      <c r="CV997" s="69"/>
      <c r="CW997" s="69"/>
      <c r="CX997" s="69"/>
      <c r="CY997" s="69"/>
      <c r="CZ997" s="69"/>
      <c r="DA997" s="69"/>
      <c r="DB997" s="69"/>
      <c r="DC997" s="69"/>
      <c r="DD997" s="69"/>
      <c r="DE997" s="69"/>
      <c r="DF997" s="69"/>
      <c r="DG997" s="69"/>
      <c r="DH997" s="69"/>
    </row>
    <row r="998">
      <c r="A998" s="41">
        <v>998.0</v>
      </c>
      <c r="B998" s="65" t="s">
        <v>107</v>
      </c>
      <c r="C998" s="59" t="s">
        <v>108</v>
      </c>
      <c r="D998" s="59" t="s">
        <v>241</v>
      </c>
      <c r="F998" s="156" t="s">
        <v>5430</v>
      </c>
      <c r="G998" s="156" t="s">
        <v>5431</v>
      </c>
      <c r="H998" s="156" t="s">
        <v>242</v>
      </c>
      <c r="I998" s="149">
        <v>45664.0</v>
      </c>
      <c r="J998" s="149">
        <v>45692.0</v>
      </c>
      <c r="K998" s="434" t="s">
        <v>3676</v>
      </c>
      <c r="L998" s="65"/>
      <c r="M998" s="156" t="s">
        <v>5432</v>
      </c>
      <c r="N998" s="156" t="s">
        <v>5433</v>
      </c>
      <c r="O998" s="65"/>
      <c r="P998" s="156" t="str">
        <f t="shared" si="52"/>
        <v>10.1177--0956797616634654.pdf</v>
      </c>
      <c r="Q998" s="49" t="str">
        <f t="array" ref="Q998"> if(iserror(MATCH(V998, 'File Links'!C:C, 0)), "N/A", HYPERLINK(INDEX('File Links'!B:B, MATCH(P998, 'File Links'!C:C, 0))))</f>
        <v>https://drive.google.com/file/d/16TKGD5uIhjmxtnz9GYQUl5frMKkhZ7vE/view?usp=drivesdk</v>
      </c>
      <c r="R998" s="603" t="s">
        <v>3646</v>
      </c>
      <c r="S998" s="156" t="s">
        <v>3647</v>
      </c>
      <c r="T998" s="65"/>
      <c r="U998" s="153">
        <v>1.0</v>
      </c>
      <c r="V998" s="195" t="str">
        <f t="shared" si="53"/>
        <v>10.1098--rsos.231240.pdf</v>
      </c>
      <c r="W998" s="156" t="s">
        <v>317</v>
      </c>
      <c r="X998" s="51" t="str">
        <f t="array" ref="X998"> if(iserror(MATCH(V998, 'File Links'!C:C, 0)), "N/A", HYPERLINK(INDEX('File Links'!B:B, MATCH(V998, 'File Links'!C:C, 0))))</f>
        <v>https://drive.google.com/file/d/17gaf2Zy_ljFfcAEDk5L8GBnTl5i7RGJE/view?usp=drivesdk</v>
      </c>
      <c r="Y998" s="65"/>
      <c r="Z998" s="156" t="s">
        <v>203</v>
      </c>
      <c r="AA998" s="65"/>
      <c r="AB998" s="65"/>
      <c r="AC998" s="65"/>
      <c r="AD998" s="156" t="s">
        <v>131</v>
      </c>
      <c r="AE998" s="156" t="s">
        <v>131</v>
      </c>
      <c r="AF998" s="153">
        <v>56.0</v>
      </c>
      <c r="AG998" s="156" t="s">
        <v>131</v>
      </c>
      <c r="AH998" s="65"/>
      <c r="AI998" s="156" t="s">
        <v>131</v>
      </c>
      <c r="AJ998" s="156" t="s">
        <v>131</v>
      </c>
      <c r="AK998" s="65"/>
      <c r="AL998" s="156" t="s">
        <v>179</v>
      </c>
      <c r="AM998" s="156" t="s">
        <v>1898</v>
      </c>
      <c r="AN998" s="148" t="s">
        <v>131</v>
      </c>
      <c r="AO998" s="153">
        <v>30.0</v>
      </c>
      <c r="AP998" s="156" t="s">
        <v>131</v>
      </c>
      <c r="AQ998" s="65"/>
      <c r="AR998" s="65"/>
      <c r="AS998" s="156" t="s">
        <v>131</v>
      </c>
      <c r="AT998" s="65"/>
      <c r="AU998" s="156" t="s">
        <v>179</v>
      </c>
      <c r="AV998" s="156" t="s">
        <v>1898</v>
      </c>
      <c r="AW998" s="65"/>
      <c r="AX998" s="156" t="s">
        <v>136</v>
      </c>
      <c r="AZ998" s="65" t="s">
        <v>146</v>
      </c>
      <c r="BB998" s="69"/>
      <c r="BC998" s="69"/>
      <c r="BD998" s="69"/>
      <c r="BE998" s="69"/>
      <c r="BF998" s="69"/>
      <c r="BG998" s="69"/>
      <c r="BH998" s="69"/>
      <c r="BI998" s="69"/>
      <c r="BJ998" s="69"/>
      <c r="BK998" s="69"/>
      <c r="BL998" s="69"/>
      <c r="BM998" s="69"/>
      <c r="BN998" s="69"/>
      <c r="BO998" s="69"/>
      <c r="BP998" s="69"/>
      <c r="BQ998" s="69"/>
      <c r="BR998" s="69"/>
      <c r="BS998" s="69"/>
      <c r="BT998" s="69"/>
      <c r="BU998" s="69"/>
      <c r="BV998" s="69"/>
      <c r="BW998" s="69"/>
      <c r="BX998" s="69"/>
      <c r="BY998" s="69"/>
      <c r="BZ998" s="69"/>
      <c r="CA998" s="69"/>
      <c r="CB998" s="69"/>
      <c r="CC998" s="69"/>
      <c r="CD998" s="69"/>
      <c r="CE998" s="69"/>
      <c r="CF998" s="69"/>
      <c r="CG998" s="69"/>
      <c r="CH998" s="69"/>
      <c r="CI998" s="69"/>
      <c r="CJ998" s="69"/>
      <c r="CK998" s="69"/>
      <c r="CL998" s="69"/>
      <c r="CM998" s="69"/>
      <c r="CN998" s="69"/>
      <c r="CO998" s="69"/>
      <c r="CP998" s="69"/>
      <c r="CQ998" s="69"/>
      <c r="CR998" s="69"/>
      <c r="CS998" s="69"/>
      <c r="CT998" s="69"/>
      <c r="CU998" s="69"/>
      <c r="CV998" s="69"/>
      <c r="CW998" s="69"/>
      <c r="CX998" s="69"/>
      <c r="CY998" s="69"/>
      <c r="CZ998" s="69"/>
      <c r="DA998" s="69"/>
      <c r="DB998" s="69"/>
      <c r="DC998" s="69"/>
      <c r="DD998" s="69"/>
      <c r="DE998" s="69"/>
      <c r="DF998" s="69"/>
      <c r="DG998" s="69"/>
      <c r="DH998" s="69"/>
    </row>
    <row r="999">
      <c r="A999" s="41">
        <v>999.0</v>
      </c>
      <c r="B999" s="126" t="s">
        <v>4516</v>
      </c>
      <c r="C999" s="59" t="s">
        <v>108</v>
      </c>
      <c r="D999" s="59" t="s">
        <v>146</v>
      </c>
      <c r="F999" s="65" t="s">
        <v>5431</v>
      </c>
      <c r="G999" s="156" t="s">
        <v>5430</v>
      </c>
      <c r="H999" s="156" t="s">
        <v>146</v>
      </c>
      <c r="I999" s="149">
        <v>45687.0</v>
      </c>
      <c r="J999" s="149">
        <v>45692.0</v>
      </c>
      <c r="K999" s="65"/>
      <c r="L999" s="65"/>
      <c r="M999" s="156" t="s">
        <v>5432</v>
      </c>
      <c r="N999" s="156" t="s">
        <v>5433</v>
      </c>
      <c r="O999" s="153">
        <v>1.0</v>
      </c>
      <c r="P999" s="156" t="str">
        <f t="shared" si="52"/>
        <v>10.1177--0956797616634654.pdf</v>
      </c>
      <c r="Q999" s="49" t="str">
        <f t="array" ref="Q999"> if(iserror(MATCH(V999, 'File Links'!C:C, 0)), "N/A", HYPERLINK(INDEX('File Links'!B:B, MATCH(P999, 'File Links'!C:C, 0))))</f>
        <v>https://drive.google.com/file/d/16TKGD5uIhjmxtnz9GYQUl5frMKkhZ7vE/view?usp=drivesdk</v>
      </c>
      <c r="R999" s="603" t="s">
        <v>3646</v>
      </c>
      <c r="S999" s="156" t="s">
        <v>3647</v>
      </c>
      <c r="T999" s="65"/>
      <c r="U999" s="153">
        <v>1.0</v>
      </c>
      <c r="V999" s="379" t="s">
        <v>3651</v>
      </c>
      <c r="W999" s="65"/>
      <c r="X999" s="51" t="str">
        <f t="array" ref="X999"> if(iserror(MATCH(V999, 'File Links'!C:C, 0)), "N/A", HYPERLINK(INDEX('File Links'!B:B, MATCH(V999, 'File Links'!C:C, 0))))</f>
        <v>https://drive.google.com/file/d/17gaf2Zy_ljFfcAEDk5L8GBnTl5i7RGJE/view?usp=drivesdk</v>
      </c>
      <c r="Y999" s="156" t="s">
        <v>5434</v>
      </c>
      <c r="Z999" s="65"/>
      <c r="AA999" s="65"/>
      <c r="AB999" s="65"/>
      <c r="AC999" s="65"/>
      <c r="AD999" s="65"/>
      <c r="AE999" s="65"/>
      <c r="AF999" s="65"/>
      <c r="AG999" s="65"/>
      <c r="AH999" s="65"/>
      <c r="AI999" s="65"/>
      <c r="AJ999" s="65"/>
      <c r="AK999" s="65"/>
      <c r="AL999" s="65"/>
      <c r="AM999" s="65"/>
      <c r="AN999" s="148" t="s">
        <v>131</v>
      </c>
      <c r="AO999" s="65"/>
      <c r="AP999" s="65"/>
      <c r="AQ999" s="65"/>
      <c r="AR999" s="65"/>
      <c r="AS999" s="65"/>
      <c r="AT999" s="65"/>
      <c r="AU999" s="65"/>
      <c r="AV999" s="65"/>
      <c r="AW999" s="65"/>
      <c r="AX999" s="65"/>
      <c r="AZ999" s="65" t="s">
        <v>146</v>
      </c>
      <c r="BB999" s="69"/>
      <c r="BC999" s="69"/>
      <c r="BD999" s="69"/>
      <c r="BE999" s="69"/>
      <c r="BF999" s="69"/>
      <c r="BG999" s="69"/>
      <c r="BH999" s="69"/>
      <c r="BI999" s="69"/>
      <c r="BJ999" s="69"/>
      <c r="BK999" s="69"/>
      <c r="BL999" s="69"/>
      <c r="BM999" s="69"/>
      <c r="BN999" s="69"/>
      <c r="BO999" s="69"/>
      <c r="BP999" s="69"/>
      <c r="BQ999" s="69"/>
      <c r="BR999" s="69"/>
      <c r="BS999" s="69"/>
      <c r="BT999" s="69"/>
      <c r="BU999" s="69"/>
      <c r="BV999" s="69"/>
      <c r="BW999" s="69"/>
      <c r="BX999" s="69"/>
      <c r="BY999" s="69"/>
      <c r="BZ999" s="69"/>
      <c r="CA999" s="69"/>
      <c r="CB999" s="69"/>
      <c r="CC999" s="69"/>
      <c r="CD999" s="69"/>
      <c r="CE999" s="69"/>
      <c r="CF999" s="69"/>
      <c r="CG999" s="69"/>
      <c r="CH999" s="69"/>
      <c r="CI999" s="69"/>
      <c r="CJ999" s="69"/>
      <c r="CK999" s="69"/>
      <c r="CL999" s="69"/>
      <c r="CM999" s="69"/>
      <c r="CN999" s="69"/>
      <c r="CO999" s="69"/>
      <c r="CP999" s="69"/>
      <c r="CQ999" s="69"/>
      <c r="CR999" s="69"/>
      <c r="CS999" s="69"/>
      <c r="CT999" s="69"/>
      <c r="CU999" s="69"/>
      <c r="CV999" s="69"/>
      <c r="CW999" s="69"/>
      <c r="CX999" s="69"/>
      <c r="CY999" s="69"/>
      <c r="CZ999" s="69"/>
      <c r="DA999" s="69"/>
      <c r="DB999" s="69"/>
      <c r="DC999" s="69"/>
      <c r="DD999" s="69"/>
      <c r="DE999" s="69"/>
      <c r="DF999" s="69"/>
      <c r="DG999" s="69"/>
      <c r="DH999" s="69"/>
    </row>
    <row r="1000">
      <c r="A1000" s="41">
        <v>1000.0</v>
      </c>
      <c r="B1000" s="65" t="s">
        <v>107</v>
      </c>
      <c r="C1000" s="59" t="s">
        <v>108</v>
      </c>
      <c r="D1000" s="59" t="s">
        <v>241</v>
      </c>
      <c r="F1000" s="156" t="s">
        <v>5435</v>
      </c>
      <c r="G1000" s="156" t="s">
        <v>5436</v>
      </c>
      <c r="H1000" s="156" t="s">
        <v>242</v>
      </c>
      <c r="I1000" s="149">
        <v>45664.0</v>
      </c>
      <c r="J1000" s="149">
        <v>45692.0</v>
      </c>
      <c r="K1000" s="434" t="s">
        <v>5437</v>
      </c>
      <c r="L1000" s="65" t="s">
        <v>3683</v>
      </c>
      <c r="M1000" s="156" t="s">
        <v>5438</v>
      </c>
      <c r="N1000" s="156" t="s">
        <v>5439</v>
      </c>
      <c r="O1000" s="65"/>
      <c r="P1000" s="156" t="str">
        <f t="shared" si="52"/>
        <v>10.1080--23273798.2018.1431397.pdf</v>
      </c>
      <c r="Q1000" s="49" t="str">
        <f t="array" ref="Q1000"> if(iserror(MATCH(V1000, 'File Links'!C:C, 0)), "N/A", HYPERLINK(INDEX('File Links'!B:B, MATCH(P1000, 'File Links'!C:C, 0))))</f>
        <v>https://drive.google.com/file/d/1quS4MAYvEPtehwNPw-pIZVscM1NFoUOj/view?usp=drivesdk</v>
      </c>
      <c r="R1000" s="603" t="s">
        <v>3646</v>
      </c>
      <c r="S1000" s="156" t="s">
        <v>3647</v>
      </c>
      <c r="T1000" s="438" t="s">
        <v>5440</v>
      </c>
      <c r="U1000" s="153">
        <v>1.0</v>
      </c>
      <c r="V1000" s="195" t="str">
        <f t="shared" ref="V1000:V1008" si="54"> hyperlink(vlookup(lower(S1000),#REF!, 2, FALSE), SUBSTITUTE(lower(S1000), "/", "--") &amp;  ".pdf")</f>
        <v>10.1098--rsos.231240.pdf</v>
      </c>
      <c r="W1000" s="156" t="s">
        <v>3658</v>
      </c>
      <c r="X1000" s="51" t="str">
        <f t="array" ref="X1000"> if(iserror(MATCH(V1000, 'File Links'!C:C, 0)), "N/A", HYPERLINK(INDEX('File Links'!B:B, MATCH(V1000, 'File Links'!C:C, 0))))</f>
        <v>https://drive.google.com/file/d/17gaf2Zy_ljFfcAEDk5L8GBnTl5i7RGJE/view?usp=drivesdk</v>
      </c>
      <c r="Y1000" s="65"/>
      <c r="Z1000" s="156" t="s">
        <v>141</v>
      </c>
      <c r="AA1000" s="156" t="s">
        <v>5441</v>
      </c>
      <c r="AB1000" s="65"/>
      <c r="AC1000" s="156" t="s">
        <v>5442</v>
      </c>
      <c r="AD1000" s="156" t="s">
        <v>5443</v>
      </c>
      <c r="AE1000" s="1056">
        <v>6.0</v>
      </c>
      <c r="AF1000" s="153">
        <v>35.0</v>
      </c>
      <c r="AG1000" s="153">
        <v>0.113056437869578</v>
      </c>
      <c r="AH1000" s="156" t="s">
        <v>166</v>
      </c>
      <c r="AI1000" s="1057" t="s">
        <v>133</v>
      </c>
      <c r="AJ1000" s="153">
        <v>0.001</v>
      </c>
      <c r="AK1000" s="156" t="s">
        <v>128</v>
      </c>
      <c r="AL1000" s="156" t="s">
        <v>179</v>
      </c>
      <c r="AM1000" s="156" t="s">
        <v>134</v>
      </c>
      <c r="AN1000" s="148" t="s">
        <v>131</v>
      </c>
      <c r="AO1000" s="153">
        <v>40.0</v>
      </c>
      <c r="AP1000" s="153">
        <v>1.74017489282979</v>
      </c>
      <c r="AQ1000" s="156" t="s">
        <v>166</v>
      </c>
      <c r="AR1000" s="65"/>
      <c r="AS1000" s="1058">
        <v>2.3039353399823E-13</v>
      </c>
      <c r="AT1000" s="156" t="s">
        <v>165</v>
      </c>
      <c r="AU1000" s="156" t="s">
        <v>179</v>
      </c>
      <c r="AV1000" s="156" t="s">
        <v>134</v>
      </c>
      <c r="AW1000" s="65"/>
      <c r="AX1000" s="156" t="s">
        <v>136</v>
      </c>
      <c r="AZ1000" s="65" t="s">
        <v>146</v>
      </c>
      <c r="BB1000" s="69"/>
      <c r="BC1000" s="69"/>
      <c r="BD1000" s="69"/>
      <c r="BE1000" s="69"/>
      <c r="BF1000" s="69"/>
      <c r="BG1000" s="69"/>
      <c r="BH1000" s="69"/>
      <c r="BI1000" s="69"/>
      <c r="BJ1000" s="69"/>
      <c r="BK1000" s="69"/>
      <c r="BL1000" s="69"/>
      <c r="BM1000" s="69"/>
      <c r="BN1000" s="69"/>
      <c r="BO1000" s="69"/>
      <c r="BP1000" s="69"/>
      <c r="BQ1000" s="69"/>
      <c r="BR1000" s="69"/>
      <c r="BS1000" s="69"/>
      <c r="BT1000" s="69"/>
      <c r="BU1000" s="69"/>
      <c r="BV1000" s="69"/>
      <c r="BW1000" s="69"/>
      <c r="BX1000" s="69"/>
      <c r="BY1000" s="69"/>
      <c r="BZ1000" s="69"/>
      <c r="CA1000" s="69"/>
      <c r="CB1000" s="69"/>
      <c r="CC1000" s="69"/>
      <c r="CD1000" s="69"/>
      <c r="CE1000" s="69"/>
      <c r="CF1000" s="69"/>
      <c r="CG1000" s="69"/>
      <c r="CH1000" s="69"/>
      <c r="CI1000" s="69"/>
      <c r="CJ1000" s="69"/>
      <c r="CK1000" s="69"/>
      <c r="CL1000" s="69"/>
      <c r="CM1000" s="69"/>
      <c r="CN1000" s="69"/>
      <c r="CO1000" s="69"/>
      <c r="CP1000" s="69"/>
      <c r="CQ1000" s="69"/>
      <c r="CR1000" s="69"/>
      <c r="CS1000" s="69"/>
      <c r="CT1000" s="69"/>
      <c r="CU1000" s="69"/>
      <c r="CV1000" s="69"/>
      <c r="CW1000" s="69"/>
      <c r="CX1000" s="69"/>
      <c r="CY1000" s="69"/>
      <c r="CZ1000" s="69"/>
      <c r="DA1000" s="69"/>
      <c r="DB1000" s="69"/>
      <c r="DC1000" s="69"/>
      <c r="DD1000" s="69"/>
      <c r="DE1000" s="69"/>
      <c r="DF1000" s="69"/>
      <c r="DG1000" s="69"/>
      <c r="DH1000" s="69"/>
    </row>
    <row r="1001">
      <c r="A1001" s="41">
        <v>1001.0</v>
      </c>
      <c r="B1001" s="126" t="s">
        <v>4516</v>
      </c>
      <c r="C1001" s="59" t="s">
        <v>108</v>
      </c>
      <c r="D1001" s="59" t="s">
        <v>146</v>
      </c>
      <c r="F1001" s="65" t="s">
        <v>5436</v>
      </c>
      <c r="G1001" s="156" t="s">
        <v>5444</v>
      </c>
      <c r="H1001" s="156" t="s">
        <v>146</v>
      </c>
      <c r="I1001" s="149">
        <v>45687.0</v>
      </c>
      <c r="J1001" s="149">
        <v>45692.0</v>
      </c>
      <c r="K1001" s="65"/>
      <c r="L1001" s="65"/>
      <c r="M1001" s="156" t="s">
        <v>5438</v>
      </c>
      <c r="N1001" s="156" t="s">
        <v>5439</v>
      </c>
      <c r="O1001" s="153">
        <v>1.0</v>
      </c>
      <c r="P1001" s="156" t="str">
        <f t="shared" si="52"/>
        <v>10.1080--23273798.2018.1431397.pdf</v>
      </c>
      <c r="Q1001" s="49" t="str">
        <f t="array" ref="Q1001"> if(iserror(MATCH(V1001, 'File Links'!C:C, 0)), "N/A", HYPERLINK(INDEX('File Links'!B:B, MATCH(P1001, 'File Links'!C:C, 0))))</f>
        <v>https://drive.google.com/file/d/1quS4MAYvEPtehwNPw-pIZVscM1NFoUOj/view?usp=drivesdk</v>
      </c>
      <c r="R1001" s="603" t="s">
        <v>3646</v>
      </c>
      <c r="S1001" s="156" t="s">
        <v>3647</v>
      </c>
      <c r="T1001" s="438" t="s">
        <v>5440</v>
      </c>
      <c r="U1001" s="153">
        <v>1.0</v>
      </c>
      <c r="V1001" s="195" t="str">
        <f t="shared" si="54"/>
        <v>10.1098--rsos.231240.pdf</v>
      </c>
      <c r="W1001" s="156" t="s">
        <v>3664</v>
      </c>
      <c r="X1001" s="51" t="str">
        <f t="array" ref="X1001"> if(iserror(MATCH(V1001, 'File Links'!C:C, 0)), "N/A", HYPERLINK(INDEX('File Links'!B:B, MATCH(V1001, 'File Links'!C:C, 0))))</f>
        <v>https://drive.google.com/file/d/17gaf2Zy_ljFfcAEDk5L8GBnTl5i7RGJE/view?usp=drivesdk</v>
      </c>
      <c r="Y1001" s="65"/>
      <c r="Z1001" s="156" t="s">
        <v>141</v>
      </c>
      <c r="AA1001" s="156" t="s">
        <v>5445</v>
      </c>
      <c r="AB1001" s="156" t="s">
        <v>5446</v>
      </c>
      <c r="AC1001" s="156" t="s">
        <v>5447</v>
      </c>
      <c r="AD1001" s="156" t="s">
        <v>5448</v>
      </c>
      <c r="AE1001" s="153">
        <v>7.0</v>
      </c>
      <c r="AF1001" s="153">
        <v>35.0</v>
      </c>
      <c r="AG1001" s="153" t="s">
        <v>5449</v>
      </c>
      <c r="AH1001" s="153" t="s">
        <v>127</v>
      </c>
      <c r="AI1001" s="153" t="s">
        <v>125</v>
      </c>
      <c r="AJ1001" s="153">
        <v>0.001</v>
      </c>
      <c r="AK1001" s="156" t="s">
        <v>128</v>
      </c>
      <c r="AL1001" s="156" t="s">
        <v>179</v>
      </c>
      <c r="AM1001" s="156" t="s">
        <v>134</v>
      </c>
      <c r="AN1001" s="148" t="s">
        <v>131</v>
      </c>
      <c r="AO1001" s="153">
        <v>40.0</v>
      </c>
      <c r="AP1001" s="153" t="s">
        <v>5450</v>
      </c>
      <c r="AQ1001" s="153" t="s">
        <v>127</v>
      </c>
      <c r="AR1001" s="153" t="s">
        <v>606</v>
      </c>
      <c r="AS1001" s="153">
        <v>0.323</v>
      </c>
      <c r="AT1001" s="156" t="s">
        <v>165</v>
      </c>
      <c r="AU1001" s="156" t="s">
        <v>179</v>
      </c>
      <c r="AV1001" s="156" t="s">
        <v>134</v>
      </c>
      <c r="AW1001" s="432" t="s">
        <v>5451</v>
      </c>
      <c r="AX1001" s="65" t="s">
        <v>144</v>
      </c>
      <c r="AZ1001" s="65" t="s">
        <v>146</v>
      </c>
      <c r="BB1001" s="69"/>
      <c r="BC1001" s="69"/>
      <c r="BD1001" s="69"/>
      <c r="BE1001" s="69"/>
      <c r="BF1001" s="69"/>
      <c r="BG1001" s="69"/>
      <c r="BH1001" s="69"/>
      <c r="BI1001" s="69"/>
      <c r="BJ1001" s="69"/>
      <c r="BK1001" s="69"/>
      <c r="BL1001" s="69"/>
      <c r="BM1001" s="69"/>
      <c r="BN1001" s="69"/>
      <c r="BO1001" s="69"/>
      <c r="BP1001" s="69"/>
      <c r="BQ1001" s="69"/>
      <c r="BR1001" s="69"/>
      <c r="BS1001" s="69"/>
      <c r="BT1001" s="69"/>
      <c r="BU1001" s="69"/>
      <c r="BV1001" s="69"/>
      <c r="BW1001" s="69"/>
      <c r="BX1001" s="69"/>
      <c r="BY1001" s="69"/>
      <c r="BZ1001" s="69"/>
      <c r="CA1001" s="69"/>
      <c r="CB1001" s="69"/>
      <c r="CC1001" s="69"/>
      <c r="CD1001" s="69"/>
      <c r="CE1001" s="69"/>
      <c r="CF1001" s="69"/>
      <c r="CG1001" s="69"/>
      <c r="CH1001" s="69"/>
      <c r="CI1001" s="69"/>
      <c r="CJ1001" s="69"/>
      <c r="CK1001" s="69"/>
      <c r="CL1001" s="69"/>
      <c r="CM1001" s="69"/>
      <c r="CN1001" s="69"/>
      <c r="CO1001" s="69"/>
      <c r="CP1001" s="69"/>
      <c r="CQ1001" s="69"/>
      <c r="CR1001" s="69"/>
      <c r="CS1001" s="69"/>
      <c r="CT1001" s="69"/>
      <c r="CU1001" s="69"/>
      <c r="CV1001" s="69"/>
      <c r="CW1001" s="69"/>
      <c r="CX1001" s="69"/>
      <c r="CY1001" s="69"/>
      <c r="CZ1001" s="69"/>
      <c r="DA1001" s="69"/>
      <c r="DB1001" s="69"/>
      <c r="DC1001" s="69"/>
      <c r="DD1001" s="69"/>
      <c r="DE1001" s="69"/>
      <c r="DF1001" s="69"/>
      <c r="DG1001" s="69"/>
      <c r="DH1001" s="69"/>
    </row>
    <row r="1002">
      <c r="A1002" s="41">
        <v>1002.0</v>
      </c>
      <c r="B1002" s="126" t="s">
        <v>4516</v>
      </c>
      <c r="C1002" s="59" t="s">
        <v>108</v>
      </c>
      <c r="D1002" s="59" t="s">
        <v>146</v>
      </c>
      <c r="F1002" s="65" t="s">
        <v>5436</v>
      </c>
      <c r="G1002" s="156" t="s">
        <v>5452</v>
      </c>
      <c r="H1002" s="156" t="s">
        <v>146</v>
      </c>
      <c r="I1002" s="149">
        <v>45687.0</v>
      </c>
      <c r="J1002" s="149">
        <v>45692.0</v>
      </c>
      <c r="K1002" s="65"/>
      <c r="L1002" s="65"/>
      <c r="M1002" s="156" t="s">
        <v>5438</v>
      </c>
      <c r="N1002" s="156" t="s">
        <v>5439</v>
      </c>
      <c r="O1002" s="153">
        <v>1.0</v>
      </c>
      <c r="P1002" s="156" t="str">
        <f t="shared" si="52"/>
        <v>10.1080--23273798.2018.1431397.pdf</v>
      </c>
      <c r="Q1002" s="49" t="str">
        <f t="array" ref="Q1002"> if(iserror(MATCH(V1002, 'File Links'!C:C, 0)), "N/A", HYPERLINK(INDEX('File Links'!B:B, MATCH(P1002, 'File Links'!C:C, 0))))</f>
        <v>https://drive.google.com/file/d/1quS4MAYvEPtehwNPw-pIZVscM1NFoUOj/view?usp=drivesdk</v>
      </c>
      <c r="R1002" s="603" t="s">
        <v>3646</v>
      </c>
      <c r="S1002" s="156" t="s">
        <v>3647</v>
      </c>
      <c r="T1002" s="438" t="s">
        <v>5440</v>
      </c>
      <c r="U1002" s="153">
        <v>1.0</v>
      </c>
      <c r="V1002" s="195" t="str">
        <f t="shared" si="54"/>
        <v>10.1098--rsos.231240.pdf</v>
      </c>
      <c r="W1002" s="156" t="s">
        <v>3664</v>
      </c>
      <c r="X1002" s="51" t="str">
        <f t="array" ref="X1002"> if(iserror(MATCH(V1002, 'File Links'!C:C, 0)), "N/A", HYPERLINK(INDEX('File Links'!B:B, MATCH(V1002, 'File Links'!C:C, 0))))</f>
        <v>https://drive.google.com/file/d/17gaf2Zy_ljFfcAEDk5L8GBnTl5i7RGJE/view?usp=drivesdk</v>
      </c>
      <c r="Y1002" s="65"/>
      <c r="Z1002" s="156" t="s">
        <v>141</v>
      </c>
      <c r="AA1002" s="156" t="s">
        <v>5445</v>
      </c>
      <c r="AB1002" s="156" t="s">
        <v>5446</v>
      </c>
      <c r="AC1002" s="156" t="s">
        <v>5453</v>
      </c>
      <c r="AD1002" s="156" t="s">
        <v>5454</v>
      </c>
      <c r="AE1002" s="153">
        <v>7.0</v>
      </c>
      <c r="AF1002" s="153">
        <v>35.0</v>
      </c>
      <c r="AG1002" s="333">
        <v>0.01</v>
      </c>
      <c r="AH1002" s="153" t="s">
        <v>980</v>
      </c>
      <c r="AI1002" s="333" t="s">
        <v>125</v>
      </c>
      <c r="AJ1002" s="333">
        <v>0.019</v>
      </c>
      <c r="AK1002" s="156" t="s">
        <v>165</v>
      </c>
      <c r="AL1002" s="156" t="s">
        <v>179</v>
      </c>
      <c r="AM1002" s="156" t="s">
        <v>134</v>
      </c>
      <c r="AN1002" s="148" t="s">
        <v>131</v>
      </c>
      <c r="AO1002" s="153">
        <v>40.0</v>
      </c>
      <c r="AP1002" s="333">
        <v>-0.02</v>
      </c>
      <c r="AQ1002" s="153" t="s">
        <v>980</v>
      </c>
      <c r="AR1002" s="333" t="s">
        <v>621</v>
      </c>
      <c r="AS1002" s="153">
        <v>0.533</v>
      </c>
      <c r="AT1002" s="156" t="s">
        <v>165</v>
      </c>
      <c r="AU1002" s="156" t="s">
        <v>179</v>
      </c>
      <c r="AV1002" s="156" t="s">
        <v>134</v>
      </c>
      <c r="AW1002" s="432" t="s">
        <v>5451</v>
      </c>
      <c r="AX1002" s="65" t="s">
        <v>144</v>
      </c>
      <c r="AZ1002" s="65" t="s">
        <v>146</v>
      </c>
      <c r="BB1002" s="69"/>
      <c r="BC1002" s="69"/>
      <c r="BD1002" s="69"/>
      <c r="BE1002" s="69"/>
      <c r="BF1002" s="69"/>
      <c r="BG1002" s="69"/>
      <c r="BH1002" s="69"/>
      <c r="BI1002" s="69"/>
      <c r="BJ1002" s="69"/>
      <c r="BK1002" s="69"/>
      <c r="BL1002" s="69"/>
      <c r="BM1002" s="69"/>
      <c r="BN1002" s="69"/>
      <c r="BO1002" s="69"/>
      <c r="BP1002" s="69"/>
      <c r="BQ1002" s="69"/>
      <c r="BR1002" s="69"/>
      <c r="BS1002" s="69"/>
      <c r="BT1002" s="69"/>
      <c r="BU1002" s="69"/>
      <c r="BV1002" s="69"/>
      <c r="BW1002" s="69"/>
      <c r="BX1002" s="69"/>
      <c r="BY1002" s="69"/>
      <c r="BZ1002" s="69"/>
      <c r="CA1002" s="69"/>
      <c r="CB1002" s="69"/>
      <c r="CC1002" s="69"/>
      <c r="CD1002" s="69"/>
      <c r="CE1002" s="69"/>
      <c r="CF1002" s="69"/>
      <c r="CG1002" s="69"/>
      <c r="CH1002" s="69"/>
      <c r="CI1002" s="69"/>
      <c r="CJ1002" s="69"/>
      <c r="CK1002" s="69"/>
      <c r="CL1002" s="69"/>
      <c r="CM1002" s="69"/>
      <c r="CN1002" s="69"/>
      <c r="CO1002" s="69"/>
      <c r="CP1002" s="69"/>
      <c r="CQ1002" s="69"/>
      <c r="CR1002" s="69"/>
      <c r="CS1002" s="69"/>
      <c r="CT1002" s="69"/>
      <c r="CU1002" s="69"/>
      <c r="CV1002" s="69"/>
      <c r="CW1002" s="69"/>
      <c r="CX1002" s="69"/>
      <c r="CY1002" s="69"/>
      <c r="CZ1002" s="69"/>
      <c r="DA1002" s="69"/>
      <c r="DB1002" s="69"/>
      <c r="DC1002" s="69"/>
      <c r="DD1002" s="69"/>
      <c r="DE1002" s="69"/>
      <c r="DF1002" s="69"/>
      <c r="DG1002" s="69"/>
      <c r="DH1002" s="69"/>
    </row>
    <row r="1003">
      <c r="A1003" s="41">
        <v>1003.0</v>
      </c>
      <c r="B1003" s="126" t="s">
        <v>4516</v>
      </c>
      <c r="C1003" s="59" t="s">
        <v>108</v>
      </c>
      <c r="D1003" s="59" t="s">
        <v>146</v>
      </c>
      <c r="F1003" s="65" t="s">
        <v>5436</v>
      </c>
      <c r="G1003" s="156" t="s">
        <v>5455</v>
      </c>
      <c r="H1003" s="156" t="s">
        <v>146</v>
      </c>
      <c r="I1003" s="149">
        <v>45687.0</v>
      </c>
      <c r="J1003" s="149">
        <v>45692.0</v>
      </c>
      <c r="K1003" s="65"/>
      <c r="L1003" s="65"/>
      <c r="M1003" s="156" t="s">
        <v>5438</v>
      </c>
      <c r="N1003" s="156" t="s">
        <v>5439</v>
      </c>
      <c r="O1003" s="153">
        <v>1.0</v>
      </c>
      <c r="P1003" s="156" t="str">
        <f t="shared" si="52"/>
        <v>10.1080--23273798.2018.1431397.pdf</v>
      </c>
      <c r="Q1003" s="49" t="str">
        <f t="array" ref="Q1003"> if(iserror(MATCH(V1003, 'File Links'!C:C, 0)), "N/A", HYPERLINK(INDEX('File Links'!B:B, MATCH(P1003, 'File Links'!C:C, 0))))</f>
        <v>https://drive.google.com/file/d/1quS4MAYvEPtehwNPw-pIZVscM1NFoUOj/view?usp=drivesdk</v>
      </c>
      <c r="R1003" s="603" t="s">
        <v>3646</v>
      </c>
      <c r="S1003" s="156" t="s">
        <v>3647</v>
      </c>
      <c r="T1003" s="438" t="s">
        <v>5440</v>
      </c>
      <c r="U1003" s="153">
        <v>1.0</v>
      </c>
      <c r="V1003" s="195" t="str">
        <f t="shared" si="54"/>
        <v>10.1098--rsos.231240.pdf</v>
      </c>
      <c r="W1003" s="156" t="s">
        <v>3664</v>
      </c>
      <c r="X1003" s="51" t="str">
        <f t="array" ref="X1003"> if(iserror(MATCH(V1003, 'File Links'!C:C, 0)), "N/A", HYPERLINK(INDEX('File Links'!B:B, MATCH(V1003, 'File Links'!C:C, 0))))</f>
        <v>https://drive.google.com/file/d/17gaf2Zy_ljFfcAEDk5L8GBnTl5i7RGJE/view?usp=drivesdk</v>
      </c>
      <c r="Y1003" s="65"/>
      <c r="Z1003" s="156" t="s">
        <v>141</v>
      </c>
      <c r="AA1003" s="156" t="s">
        <v>5445</v>
      </c>
      <c r="AB1003" s="156" t="s">
        <v>5446</v>
      </c>
      <c r="AC1003" s="156" t="s">
        <v>5456</v>
      </c>
      <c r="AD1003" s="156" t="s">
        <v>5457</v>
      </c>
      <c r="AE1003" s="153">
        <v>7.0</v>
      </c>
      <c r="AF1003" s="153">
        <v>35.0</v>
      </c>
      <c r="AG1003" s="333">
        <v>-0.01</v>
      </c>
      <c r="AH1003" s="153" t="s">
        <v>980</v>
      </c>
      <c r="AI1003" s="333" t="s">
        <v>125</v>
      </c>
      <c r="AJ1003" s="333">
        <v>0.547</v>
      </c>
      <c r="AK1003" s="156" t="s">
        <v>165</v>
      </c>
      <c r="AL1003" s="156" t="s">
        <v>179</v>
      </c>
      <c r="AM1003" s="156" t="s">
        <v>134</v>
      </c>
      <c r="AN1003" s="148" t="s">
        <v>131</v>
      </c>
      <c r="AO1003" s="153">
        <v>40.0</v>
      </c>
      <c r="AP1003" s="333">
        <v>0.04</v>
      </c>
      <c r="AQ1003" s="153" t="s">
        <v>980</v>
      </c>
      <c r="AR1003" s="333" t="s">
        <v>621</v>
      </c>
      <c r="AS1003" s="153">
        <v>0.162</v>
      </c>
      <c r="AT1003" s="156" t="s">
        <v>165</v>
      </c>
      <c r="AU1003" s="156" t="s">
        <v>179</v>
      </c>
      <c r="AV1003" s="156" t="s">
        <v>134</v>
      </c>
      <c r="AW1003" s="432" t="s">
        <v>5451</v>
      </c>
      <c r="AX1003" s="65" t="s">
        <v>144</v>
      </c>
      <c r="AZ1003" s="65" t="s">
        <v>146</v>
      </c>
      <c r="BB1003" s="69"/>
      <c r="BC1003" s="69"/>
      <c r="BD1003" s="69"/>
      <c r="BE1003" s="69"/>
      <c r="BF1003" s="69"/>
      <c r="BG1003" s="69"/>
      <c r="BH1003" s="69"/>
      <c r="BI1003" s="69"/>
      <c r="BJ1003" s="69"/>
      <c r="BK1003" s="69"/>
      <c r="BL1003" s="69"/>
      <c r="BM1003" s="69"/>
      <c r="BN1003" s="69"/>
      <c r="BO1003" s="69"/>
      <c r="BP1003" s="69"/>
      <c r="BQ1003" s="69"/>
      <c r="BR1003" s="69"/>
      <c r="BS1003" s="69"/>
      <c r="BT1003" s="69"/>
      <c r="BU1003" s="69"/>
      <c r="BV1003" s="69"/>
      <c r="BW1003" s="69"/>
      <c r="BX1003" s="69"/>
      <c r="BY1003" s="69"/>
      <c r="BZ1003" s="69"/>
      <c r="CA1003" s="69"/>
      <c r="CB1003" s="69"/>
      <c r="CC1003" s="69"/>
      <c r="CD1003" s="69"/>
      <c r="CE1003" s="69"/>
      <c r="CF1003" s="69"/>
      <c r="CG1003" s="69"/>
      <c r="CH1003" s="69"/>
      <c r="CI1003" s="69"/>
      <c r="CJ1003" s="69"/>
      <c r="CK1003" s="69"/>
      <c r="CL1003" s="69"/>
      <c r="CM1003" s="69"/>
      <c r="CN1003" s="69"/>
      <c r="CO1003" s="69"/>
      <c r="CP1003" s="69"/>
      <c r="CQ1003" s="69"/>
      <c r="CR1003" s="69"/>
      <c r="CS1003" s="69"/>
      <c r="CT1003" s="69"/>
      <c r="CU1003" s="69"/>
      <c r="CV1003" s="69"/>
      <c r="CW1003" s="69"/>
      <c r="CX1003" s="69"/>
      <c r="CY1003" s="69"/>
      <c r="CZ1003" s="69"/>
      <c r="DA1003" s="69"/>
      <c r="DB1003" s="69"/>
      <c r="DC1003" s="69"/>
      <c r="DD1003" s="69"/>
      <c r="DE1003" s="69"/>
      <c r="DF1003" s="69"/>
      <c r="DG1003" s="69"/>
      <c r="DH1003" s="69"/>
    </row>
    <row r="1004">
      <c r="A1004" s="41">
        <v>1004.0</v>
      </c>
      <c r="B1004" s="126" t="s">
        <v>4516</v>
      </c>
      <c r="C1004" s="59" t="s">
        <v>108</v>
      </c>
      <c r="D1004" s="59" t="s">
        <v>146</v>
      </c>
      <c r="F1004" s="65" t="s">
        <v>5436</v>
      </c>
      <c r="G1004" s="156" t="s">
        <v>5458</v>
      </c>
      <c r="H1004" s="156" t="s">
        <v>146</v>
      </c>
      <c r="I1004" s="149">
        <v>45687.0</v>
      </c>
      <c r="J1004" s="149">
        <v>45692.0</v>
      </c>
      <c r="K1004" s="65"/>
      <c r="L1004" s="65"/>
      <c r="M1004" s="156" t="s">
        <v>5438</v>
      </c>
      <c r="N1004" s="156" t="s">
        <v>5439</v>
      </c>
      <c r="O1004" s="153">
        <v>1.0</v>
      </c>
      <c r="P1004" s="156" t="str">
        <f t="shared" si="52"/>
        <v>10.1080--23273798.2018.1431397.pdf</v>
      </c>
      <c r="Q1004" s="49" t="str">
        <f t="array" ref="Q1004"> if(iserror(MATCH(V1004, 'File Links'!C:C, 0)), "N/A", HYPERLINK(INDEX('File Links'!B:B, MATCH(P1004, 'File Links'!C:C, 0))))</f>
        <v>https://drive.google.com/file/d/1quS4MAYvEPtehwNPw-pIZVscM1NFoUOj/view?usp=drivesdk</v>
      </c>
      <c r="R1004" s="603" t="s">
        <v>3646</v>
      </c>
      <c r="S1004" s="156" t="s">
        <v>3647</v>
      </c>
      <c r="T1004" s="438" t="s">
        <v>5440</v>
      </c>
      <c r="U1004" s="153">
        <v>1.0</v>
      </c>
      <c r="V1004" s="195" t="str">
        <f t="shared" si="54"/>
        <v>10.1098--rsos.231240.pdf</v>
      </c>
      <c r="W1004" s="156" t="s">
        <v>3664</v>
      </c>
      <c r="X1004" s="51" t="str">
        <f t="array" ref="X1004"> if(iserror(MATCH(V1004, 'File Links'!C:C, 0)), "N/A", HYPERLINK(INDEX('File Links'!B:B, MATCH(V1004, 'File Links'!C:C, 0))))</f>
        <v>https://drive.google.com/file/d/17gaf2Zy_ljFfcAEDk5L8GBnTl5i7RGJE/view?usp=drivesdk</v>
      </c>
      <c r="Y1004" s="65"/>
      <c r="Z1004" s="156" t="s">
        <v>141</v>
      </c>
      <c r="AA1004" s="156" t="s">
        <v>5445</v>
      </c>
      <c r="AB1004" s="156" t="s">
        <v>5446</v>
      </c>
      <c r="AC1004" s="156" t="s">
        <v>5459</v>
      </c>
      <c r="AD1004" s="156" t="s">
        <v>5460</v>
      </c>
      <c r="AE1004" s="153">
        <v>7.0</v>
      </c>
      <c r="AF1004" s="153">
        <v>35.0</v>
      </c>
      <c r="AG1004" s="333">
        <v>-0.02</v>
      </c>
      <c r="AH1004" s="153" t="s">
        <v>980</v>
      </c>
      <c r="AI1004" s="333" t="s">
        <v>125</v>
      </c>
      <c r="AJ1004" s="333">
        <v>0.005</v>
      </c>
      <c r="AK1004" s="156" t="s">
        <v>165</v>
      </c>
      <c r="AL1004" s="156" t="s">
        <v>179</v>
      </c>
      <c r="AM1004" s="156" t="s">
        <v>134</v>
      </c>
      <c r="AN1004" s="148" t="s">
        <v>131</v>
      </c>
      <c r="AO1004" s="153">
        <v>40.0</v>
      </c>
      <c r="AP1004" s="333">
        <v>-0.03</v>
      </c>
      <c r="AQ1004" s="153" t="s">
        <v>980</v>
      </c>
      <c r="AR1004" s="333" t="s">
        <v>621</v>
      </c>
      <c r="AS1004" s="153">
        <v>0.361</v>
      </c>
      <c r="AT1004" s="156" t="s">
        <v>165</v>
      </c>
      <c r="AU1004" s="156" t="s">
        <v>179</v>
      </c>
      <c r="AV1004" s="156" t="s">
        <v>134</v>
      </c>
      <c r="AW1004" s="432" t="s">
        <v>5451</v>
      </c>
      <c r="AX1004" s="65" t="s">
        <v>144</v>
      </c>
      <c r="AZ1004" s="65" t="s">
        <v>146</v>
      </c>
      <c r="BB1004" s="69"/>
      <c r="BC1004" s="69"/>
      <c r="BD1004" s="69"/>
      <c r="BE1004" s="69"/>
      <c r="BF1004" s="69"/>
      <c r="BG1004" s="69"/>
      <c r="BH1004" s="69"/>
      <c r="BI1004" s="69"/>
      <c r="BJ1004" s="69"/>
      <c r="BK1004" s="69"/>
      <c r="BL1004" s="69"/>
      <c r="BM1004" s="69"/>
      <c r="BN1004" s="69"/>
      <c r="BO1004" s="69"/>
      <c r="BP1004" s="69"/>
      <c r="BQ1004" s="69"/>
      <c r="BR1004" s="69"/>
      <c r="BS1004" s="69"/>
      <c r="BT1004" s="69"/>
      <c r="BU1004" s="69"/>
      <c r="BV1004" s="69"/>
      <c r="BW1004" s="69"/>
      <c r="BX1004" s="69"/>
      <c r="BY1004" s="69"/>
      <c r="BZ1004" s="69"/>
      <c r="CA1004" s="69"/>
      <c r="CB1004" s="69"/>
      <c r="CC1004" s="69"/>
      <c r="CD1004" s="69"/>
      <c r="CE1004" s="69"/>
      <c r="CF1004" s="69"/>
      <c r="CG1004" s="69"/>
      <c r="CH1004" s="69"/>
      <c r="CI1004" s="69"/>
      <c r="CJ1004" s="69"/>
      <c r="CK1004" s="69"/>
      <c r="CL1004" s="69"/>
      <c r="CM1004" s="69"/>
      <c r="CN1004" s="69"/>
      <c r="CO1004" s="69"/>
      <c r="CP1004" s="69"/>
      <c r="CQ1004" s="69"/>
      <c r="CR1004" s="69"/>
      <c r="CS1004" s="69"/>
      <c r="CT1004" s="69"/>
      <c r="CU1004" s="69"/>
      <c r="CV1004" s="69"/>
      <c r="CW1004" s="69"/>
      <c r="CX1004" s="69"/>
      <c r="CY1004" s="69"/>
      <c r="CZ1004" s="69"/>
      <c r="DA1004" s="69"/>
      <c r="DB1004" s="69"/>
      <c r="DC1004" s="69"/>
      <c r="DD1004" s="69"/>
      <c r="DE1004" s="69"/>
      <c r="DF1004" s="69"/>
      <c r="DG1004" s="69"/>
      <c r="DH1004" s="69"/>
    </row>
    <row r="1005">
      <c r="A1005" s="41">
        <v>1005.0</v>
      </c>
      <c r="B1005" s="126" t="s">
        <v>4516</v>
      </c>
      <c r="C1005" s="59" t="s">
        <v>108</v>
      </c>
      <c r="D1005" s="59" t="s">
        <v>146</v>
      </c>
      <c r="F1005" s="65" t="s">
        <v>5436</v>
      </c>
      <c r="G1005" s="156" t="s">
        <v>5461</v>
      </c>
      <c r="H1005" s="156" t="s">
        <v>146</v>
      </c>
      <c r="I1005" s="149">
        <v>45687.0</v>
      </c>
      <c r="J1005" s="149">
        <v>45692.0</v>
      </c>
      <c r="K1005" s="65"/>
      <c r="L1005" s="65"/>
      <c r="M1005" s="156" t="s">
        <v>5438</v>
      </c>
      <c r="N1005" s="156" t="s">
        <v>5439</v>
      </c>
      <c r="O1005" s="153">
        <v>1.0</v>
      </c>
      <c r="P1005" s="156" t="str">
        <f t="shared" si="52"/>
        <v>10.1080--23273798.2018.1431397.pdf</v>
      </c>
      <c r="Q1005" s="49" t="str">
        <f t="array" ref="Q1005"> if(iserror(MATCH(V1005, 'File Links'!C:C, 0)), "N/A", HYPERLINK(INDEX('File Links'!B:B, MATCH(P1005, 'File Links'!C:C, 0))))</f>
        <v>https://drive.google.com/file/d/1quS4MAYvEPtehwNPw-pIZVscM1NFoUOj/view?usp=drivesdk</v>
      </c>
      <c r="R1005" s="603" t="s">
        <v>3646</v>
      </c>
      <c r="S1005" s="156" t="s">
        <v>3647</v>
      </c>
      <c r="T1005" s="438" t="s">
        <v>5440</v>
      </c>
      <c r="U1005" s="153">
        <v>1.0</v>
      </c>
      <c r="V1005" s="195" t="str">
        <f t="shared" si="54"/>
        <v>10.1098--rsos.231240.pdf</v>
      </c>
      <c r="W1005" s="156" t="s">
        <v>3664</v>
      </c>
      <c r="X1005" s="51" t="str">
        <f t="array" ref="X1005"> if(iserror(MATCH(V1005, 'File Links'!C:C, 0)), "N/A", HYPERLINK(INDEX('File Links'!B:B, MATCH(V1005, 'File Links'!C:C, 0))))</f>
        <v>https://drive.google.com/file/d/17gaf2Zy_ljFfcAEDk5L8GBnTl5i7RGJE/view?usp=drivesdk</v>
      </c>
      <c r="Y1005" s="65"/>
      <c r="Z1005" s="156" t="s">
        <v>141</v>
      </c>
      <c r="AA1005" s="156" t="s">
        <v>5445</v>
      </c>
      <c r="AB1005" s="156" t="s">
        <v>5446</v>
      </c>
      <c r="AC1005" s="156" t="s">
        <v>5462</v>
      </c>
      <c r="AD1005" s="156" t="s">
        <v>5463</v>
      </c>
      <c r="AE1005" s="153">
        <v>7.0</v>
      </c>
      <c r="AF1005" s="153">
        <v>35.0</v>
      </c>
      <c r="AG1005" s="333">
        <v>-0.04</v>
      </c>
      <c r="AH1005" s="153" t="s">
        <v>980</v>
      </c>
      <c r="AI1005" s="333" t="s">
        <v>125</v>
      </c>
      <c r="AJ1005" s="333">
        <v>0.078</v>
      </c>
      <c r="AK1005" s="156" t="s">
        <v>165</v>
      </c>
      <c r="AL1005" s="156" t="s">
        <v>179</v>
      </c>
      <c r="AM1005" s="156" t="s">
        <v>134</v>
      </c>
      <c r="AN1005" s="148" t="s">
        <v>131</v>
      </c>
      <c r="AO1005" s="153">
        <v>40.0</v>
      </c>
      <c r="AP1005" s="333">
        <v>-0.21</v>
      </c>
      <c r="AQ1005" s="153" t="s">
        <v>980</v>
      </c>
      <c r="AR1005" s="333" t="s">
        <v>621</v>
      </c>
      <c r="AS1005" s="153">
        <v>0.157</v>
      </c>
      <c r="AT1005" s="156" t="s">
        <v>165</v>
      </c>
      <c r="AU1005" s="156" t="s">
        <v>179</v>
      </c>
      <c r="AV1005" s="156" t="s">
        <v>134</v>
      </c>
      <c r="AW1005" s="432" t="s">
        <v>5451</v>
      </c>
      <c r="AX1005" s="65" t="s">
        <v>144</v>
      </c>
      <c r="AZ1005" s="65" t="s">
        <v>146</v>
      </c>
      <c r="BB1005" s="69"/>
      <c r="BC1005" s="69"/>
      <c r="BD1005" s="69"/>
      <c r="BE1005" s="69"/>
      <c r="BF1005" s="69"/>
      <c r="BG1005" s="69"/>
      <c r="BH1005" s="69"/>
      <c r="BI1005" s="69"/>
      <c r="BJ1005" s="69"/>
      <c r="BK1005" s="69"/>
      <c r="BL1005" s="69"/>
      <c r="BM1005" s="69"/>
      <c r="BN1005" s="69"/>
      <c r="BO1005" s="69"/>
      <c r="BP1005" s="69"/>
      <c r="BQ1005" s="69"/>
      <c r="BR1005" s="69"/>
      <c r="BS1005" s="69"/>
      <c r="BT1005" s="69"/>
      <c r="BU1005" s="69"/>
      <c r="BV1005" s="69"/>
      <c r="BW1005" s="69"/>
      <c r="BX1005" s="69"/>
      <c r="BY1005" s="69"/>
      <c r="BZ1005" s="69"/>
      <c r="CA1005" s="69"/>
      <c r="CB1005" s="69"/>
      <c r="CC1005" s="69"/>
      <c r="CD1005" s="69"/>
      <c r="CE1005" s="69"/>
      <c r="CF1005" s="69"/>
      <c r="CG1005" s="69"/>
      <c r="CH1005" s="69"/>
      <c r="CI1005" s="69"/>
      <c r="CJ1005" s="69"/>
      <c r="CK1005" s="69"/>
      <c r="CL1005" s="69"/>
      <c r="CM1005" s="69"/>
      <c r="CN1005" s="69"/>
      <c r="CO1005" s="69"/>
      <c r="CP1005" s="69"/>
      <c r="CQ1005" s="69"/>
      <c r="CR1005" s="69"/>
      <c r="CS1005" s="69"/>
      <c r="CT1005" s="69"/>
      <c r="CU1005" s="69"/>
      <c r="CV1005" s="69"/>
      <c r="CW1005" s="69"/>
      <c r="CX1005" s="69"/>
      <c r="CY1005" s="69"/>
      <c r="CZ1005" s="69"/>
      <c r="DA1005" s="69"/>
      <c r="DB1005" s="69"/>
      <c r="DC1005" s="69"/>
      <c r="DD1005" s="69"/>
      <c r="DE1005" s="69"/>
      <c r="DF1005" s="69"/>
      <c r="DG1005" s="69"/>
      <c r="DH1005" s="69"/>
    </row>
    <row r="1006">
      <c r="A1006" s="41">
        <v>1006.0</v>
      </c>
      <c r="B1006" s="126" t="s">
        <v>4516</v>
      </c>
      <c r="C1006" s="59" t="s">
        <v>108</v>
      </c>
      <c r="D1006" s="59" t="s">
        <v>146</v>
      </c>
      <c r="F1006" s="65" t="s">
        <v>5436</v>
      </c>
      <c r="G1006" s="156" t="s">
        <v>5464</v>
      </c>
      <c r="H1006" s="156" t="s">
        <v>146</v>
      </c>
      <c r="I1006" s="149">
        <v>45687.0</v>
      </c>
      <c r="J1006" s="149">
        <v>45692.0</v>
      </c>
      <c r="K1006" s="65"/>
      <c r="L1006" s="65"/>
      <c r="M1006" s="156" t="s">
        <v>5438</v>
      </c>
      <c r="N1006" s="156" t="s">
        <v>5439</v>
      </c>
      <c r="O1006" s="153">
        <v>1.0</v>
      </c>
      <c r="P1006" s="156" t="str">
        <f t="shared" si="52"/>
        <v>10.1080--23273798.2018.1431397.pdf</v>
      </c>
      <c r="Q1006" s="49" t="str">
        <f t="array" ref="Q1006"> if(iserror(MATCH(V1006, 'File Links'!C:C, 0)), "N/A", HYPERLINK(INDEX('File Links'!B:B, MATCH(P1006, 'File Links'!C:C, 0))))</f>
        <v>https://drive.google.com/file/d/1quS4MAYvEPtehwNPw-pIZVscM1NFoUOj/view?usp=drivesdk</v>
      </c>
      <c r="R1006" s="603" t="s">
        <v>3646</v>
      </c>
      <c r="S1006" s="156" t="s">
        <v>3647</v>
      </c>
      <c r="T1006" s="438" t="s">
        <v>5440</v>
      </c>
      <c r="U1006" s="153">
        <v>1.0</v>
      </c>
      <c r="V1006" s="195" t="str">
        <f t="shared" si="54"/>
        <v>10.1098--rsos.231240.pdf</v>
      </c>
      <c r="W1006" s="156" t="s">
        <v>3664</v>
      </c>
      <c r="X1006" s="51" t="str">
        <f t="array" ref="X1006"> if(iserror(MATCH(V1006, 'File Links'!C:C, 0)), "N/A", HYPERLINK(INDEX('File Links'!B:B, MATCH(V1006, 'File Links'!C:C, 0))))</f>
        <v>https://drive.google.com/file/d/17gaf2Zy_ljFfcAEDk5L8GBnTl5i7RGJE/view?usp=drivesdk</v>
      </c>
      <c r="Y1006" s="65"/>
      <c r="Z1006" s="156" t="s">
        <v>141</v>
      </c>
      <c r="AA1006" s="156" t="s">
        <v>5445</v>
      </c>
      <c r="AB1006" s="156" t="s">
        <v>5446</v>
      </c>
      <c r="AC1006" s="156" t="s">
        <v>5465</v>
      </c>
      <c r="AD1006" s="156" t="s">
        <v>5466</v>
      </c>
      <c r="AE1006" s="153">
        <v>7.0</v>
      </c>
      <c r="AF1006" s="153">
        <v>35.0</v>
      </c>
      <c r="AG1006" s="333">
        <v>-1.79</v>
      </c>
      <c r="AH1006" s="153" t="s">
        <v>980</v>
      </c>
      <c r="AI1006" s="333" t="s">
        <v>125</v>
      </c>
      <c r="AJ1006" s="333">
        <v>0.001</v>
      </c>
      <c r="AK1006" s="156" t="s">
        <v>128</v>
      </c>
      <c r="AL1006" s="156" t="s">
        <v>179</v>
      </c>
      <c r="AM1006" s="156" t="s">
        <v>134</v>
      </c>
      <c r="AN1006" s="148" t="s">
        <v>131</v>
      </c>
      <c r="AO1006" s="153">
        <v>40.0</v>
      </c>
      <c r="AP1006" s="333">
        <v>3.45</v>
      </c>
      <c r="AQ1006" s="153" t="s">
        <v>980</v>
      </c>
      <c r="AR1006" s="333" t="s">
        <v>621</v>
      </c>
      <c r="AS1006" s="153">
        <v>0.001</v>
      </c>
      <c r="AT1006" s="156" t="s">
        <v>128</v>
      </c>
      <c r="AU1006" s="156" t="s">
        <v>179</v>
      </c>
      <c r="AV1006" s="156" t="s">
        <v>134</v>
      </c>
      <c r="AW1006" s="432" t="s">
        <v>5451</v>
      </c>
      <c r="AX1006" s="65" t="s">
        <v>144</v>
      </c>
      <c r="AZ1006" s="65" t="s">
        <v>146</v>
      </c>
    </row>
    <row r="1007">
      <c r="A1007" s="41">
        <v>1007.0</v>
      </c>
      <c r="B1007" s="126" t="s">
        <v>4516</v>
      </c>
      <c r="C1007" s="59" t="s">
        <v>108</v>
      </c>
      <c r="D1007" s="59" t="s">
        <v>146</v>
      </c>
      <c r="F1007" s="65" t="s">
        <v>5436</v>
      </c>
      <c r="G1007" s="156" t="s">
        <v>5467</v>
      </c>
      <c r="H1007" s="156" t="s">
        <v>146</v>
      </c>
      <c r="I1007" s="149">
        <v>45687.0</v>
      </c>
      <c r="J1007" s="149">
        <v>45692.0</v>
      </c>
      <c r="K1007" s="65"/>
      <c r="L1007" s="65"/>
      <c r="M1007" s="156" t="s">
        <v>5438</v>
      </c>
      <c r="N1007" s="156" t="s">
        <v>5439</v>
      </c>
      <c r="O1007" s="153">
        <v>1.0</v>
      </c>
      <c r="P1007" s="156" t="str">
        <f t="shared" si="52"/>
        <v>10.1080--23273798.2018.1431397.pdf</v>
      </c>
      <c r="Q1007" s="49" t="str">
        <f t="array" ref="Q1007"> if(iserror(MATCH(V1007, 'File Links'!C:C, 0)), "N/A", HYPERLINK(INDEX('File Links'!B:B, MATCH(P1007, 'File Links'!C:C, 0))))</f>
        <v>https://drive.google.com/file/d/1quS4MAYvEPtehwNPw-pIZVscM1NFoUOj/view?usp=drivesdk</v>
      </c>
      <c r="R1007" s="603" t="s">
        <v>3646</v>
      </c>
      <c r="S1007" s="156" t="s">
        <v>3647</v>
      </c>
      <c r="T1007" s="438" t="s">
        <v>5440</v>
      </c>
      <c r="U1007" s="153">
        <v>1.0</v>
      </c>
      <c r="V1007" s="195" t="str">
        <f t="shared" si="54"/>
        <v>10.1098--rsos.231240.pdf</v>
      </c>
      <c r="W1007" s="156" t="s">
        <v>3664</v>
      </c>
      <c r="X1007" s="51" t="str">
        <f t="array" ref="X1007"> if(iserror(MATCH(V1007, 'File Links'!C:C, 0)), "N/A", HYPERLINK(INDEX('File Links'!B:B, MATCH(V1007, 'File Links'!C:C, 0))))</f>
        <v>https://drive.google.com/file/d/17gaf2Zy_ljFfcAEDk5L8GBnTl5i7RGJE/view?usp=drivesdk</v>
      </c>
      <c r="Y1007" s="65"/>
      <c r="Z1007" s="156" t="s">
        <v>141</v>
      </c>
      <c r="AA1007" s="156" t="s">
        <v>5445</v>
      </c>
      <c r="AB1007" s="156" t="s">
        <v>5446</v>
      </c>
      <c r="AC1007" s="156" t="s">
        <v>5468</v>
      </c>
      <c r="AD1007" s="156" t="s">
        <v>5469</v>
      </c>
      <c r="AE1007" s="153">
        <v>7.0</v>
      </c>
      <c r="AF1007" s="153">
        <v>35.0</v>
      </c>
      <c r="AG1007" s="333">
        <v>0.07</v>
      </c>
      <c r="AH1007" s="153" t="s">
        <v>980</v>
      </c>
      <c r="AI1007" s="333" t="s">
        <v>125</v>
      </c>
      <c r="AJ1007" s="333">
        <v>0.001</v>
      </c>
      <c r="AK1007" s="156" t="s">
        <v>128</v>
      </c>
      <c r="AL1007" s="156" t="s">
        <v>179</v>
      </c>
      <c r="AM1007" s="156" t="s">
        <v>134</v>
      </c>
      <c r="AN1007" s="148" t="s">
        <v>131</v>
      </c>
      <c r="AO1007" s="153">
        <v>40.0</v>
      </c>
      <c r="AP1007" s="333">
        <v>0.76</v>
      </c>
      <c r="AQ1007" s="153" t="s">
        <v>980</v>
      </c>
      <c r="AR1007" s="333" t="s">
        <v>621</v>
      </c>
      <c r="AS1007" s="153">
        <v>0.001</v>
      </c>
      <c r="AT1007" s="156" t="s">
        <v>128</v>
      </c>
      <c r="AU1007" s="156" t="s">
        <v>179</v>
      </c>
      <c r="AV1007" s="156" t="s">
        <v>134</v>
      </c>
      <c r="AW1007" s="432" t="s">
        <v>5451</v>
      </c>
      <c r="AX1007" s="65" t="s">
        <v>144</v>
      </c>
      <c r="AZ1007" s="65" t="s">
        <v>146</v>
      </c>
    </row>
    <row r="1008">
      <c r="A1008" s="41">
        <v>1008.0</v>
      </c>
      <c r="B1008" s="126" t="s">
        <v>4516</v>
      </c>
      <c r="C1008" s="59" t="s">
        <v>108</v>
      </c>
      <c r="D1008" s="59" t="s">
        <v>241</v>
      </c>
      <c r="F1008" s="156" t="s">
        <v>5470</v>
      </c>
      <c r="G1008" s="156" t="s">
        <v>5471</v>
      </c>
      <c r="H1008" s="156" t="s">
        <v>242</v>
      </c>
      <c r="I1008" s="149">
        <v>45664.0</v>
      </c>
      <c r="J1008" s="149">
        <v>45692.0</v>
      </c>
      <c r="K1008" s="65"/>
      <c r="L1008" s="65" t="s">
        <v>5472</v>
      </c>
      <c r="M1008" s="156" t="s">
        <v>5473</v>
      </c>
      <c r="N1008" s="126" t="s">
        <v>5474</v>
      </c>
      <c r="O1008" s="65"/>
      <c r="P1008" s="156" t="str">
        <f t="shared" si="52"/>
        <v>escholarship.orgucitem39d347bk.pdf</v>
      </c>
      <c r="Q1008" s="49" t="str">
        <f t="array" ref="Q1008"> if(iserror(MATCH(V1008, 'File Links'!C:C, 0)), "N/A", HYPERLINK(INDEX('File Links'!B:B, MATCH(P1008, 'File Links'!C:C, 0))))</f>
        <v>https://drive.google.com/file/d/1S2bnWMra5cT3jybiRMXQyyKgjUU5M3mP/view?usp=drivesdk</v>
      </c>
      <c r="R1008" s="603" t="s">
        <v>3646</v>
      </c>
      <c r="S1008" s="156" t="s">
        <v>3647</v>
      </c>
      <c r="T1008" s="438" t="s">
        <v>5475</v>
      </c>
      <c r="U1008" s="153">
        <v>1.0</v>
      </c>
      <c r="V1008" s="195" t="str">
        <f t="shared" si="54"/>
        <v>10.1098--rsos.231240.pdf</v>
      </c>
      <c r="W1008" s="156" t="s">
        <v>3797</v>
      </c>
      <c r="X1008" s="51" t="str">
        <f t="array" ref="X1008"> if(iserror(MATCH(V1008, 'File Links'!C:C, 0)), "N/A", HYPERLINK(INDEX('File Links'!B:B, MATCH(V1008, 'File Links'!C:C, 0))))</f>
        <v>https://drive.google.com/file/d/17gaf2Zy_ljFfcAEDk5L8GBnTl5i7RGJE/view?usp=drivesdk</v>
      </c>
      <c r="Y1008" s="65"/>
      <c r="Z1008" s="156" t="s">
        <v>141</v>
      </c>
      <c r="AA1008" s="65" t="s">
        <v>5476</v>
      </c>
      <c r="AB1008" s="65" t="s">
        <v>5477</v>
      </c>
      <c r="AC1008" s="65" t="s">
        <v>5478</v>
      </c>
      <c r="AD1008" s="156" t="s">
        <v>5479</v>
      </c>
      <c r="AE1008" s="1090">
        <v>4.0</v>
      </c>
      <c r="AF1008" s="153">
        <v>202.0</v>
      </c>
      <c r="AG1008" s="153">
        <v>-0.75</v>
      </c>
      <c r="AH1008" s="156" t="s">
        <v>208</v>
      </c>
      <c r="AI1008" s="1112" t="s">
        <v>843</v>
      </c>
      <c r="AJ1008" s="153">
        <v>0.001</v>
      </c>
      <c r="AK1008" s="156" t="s">
        <v>128</v>
      </c>
      <c r="AL1008" s="156" t="s">
        <v>179</v>
      </c>
      <c r="AM1008" s="156" t="s">
        <v>1898</v>
      </c>
      <c r="AN1008" s="148" t="s">
        <v>131</v>
      </c>
      <c r="AO1008" s="153">
        <v>20.0</v>
      </c>
      <c r="AP1008" s="1090">
        <v>-0.5293166</v>
      </c>
      <c r="AQ1008" s="156" t="s">
        <v>208</v>
      </c>
      <c r="AR1008" s="65"/>
      <c r="AS1008" s="1294">
        <v>5.306E-4</v>
      </c>
      <c r="AT1008" s="156" t="s">
        <v>165</v>
      </c>
      <c r="AU1008" s="156" t="s">
        <v>179</v>
      </c>
      <c r="AV1008" s="156" t="s">
        <v>1898</v>
      </c>
      <c r="AW1008" s="65"/>
      <c r="AX1008" s="156" t="s">
        <v>136</v>
      </c>
      <c r="AZ1008" s="65" t="s">
        <v>146</v>
      </c>
    </row>
    <row r="1009">
      <c r="A1009" s="41">
        <v>1009.0</v>
      </c>
      <c r="B1009" s="65" t="s">
        <v>107</v>
      </c>
      <c r="C1009" s="59" t="s">
        <v>108</v>
      </c>
      <c r="D1009" s="59" t="s">
        <v>146</v>
      </c>
      <c r="F1009" s="65" t="s">
        <v>5471</v>
      </c>
      <c r="G1009" s="156" t="s">
        <v>5470</v>
      </c>
      <c r="H1009" s="156" t="s">
        <v>146</v>
      </c>
      <c r="I1009" s="149">
        <v>45687.0</v>
      </c>
      <c r="J1009" s="149">
        <v>45692.0</v>
      </c>
      <c r="K1009" s="434" t="s">
        <v>5480</v>
      </c>
      <c r="L1009" s="65"/>
      <c r="M1009" s="156" t="s">
        <v>5473</v>
      </c>
      <c r="N1009" s="126" t="s">
        <v>5474</v>
      </c>
      <c r="O1009" s="153">
        <v>1.0</v>
      </c>
      <c r="P1009" s="156" t="str">
        <f t="shared" si="52"/>
        <v>escholarship.orgucitem39d347bk.pdf</v>
      </c>
      <c r="Q1009" s="49" t="str">
        <f t="array" ref="Q1009"> if(iserror(MATCH(V1009, 'File Links'!C:C, 0)), "N/A", HYPERLINK(INDEX('File Links'!B:B, MATCH(P1009, 'File Links'!C:C, 0))))</f>
        <v>https://drive.google.com/file/d/1S2bnWMra5cT3jybiRMXQyyKgjUU5M3mP/view?usp=drivesdk</v>
      </c>
      <c r="R1009" s="603" t="s">
        <v>3646</v>
      </c>
      <c r="S1009" s="156" t="s">
        <v>3647</v>
      </c>
      <c r="T1009" s="438" t="s">
        <v>5475</v>
      </c>
      <c r="U1009" s="153">
        <v>1.0</v>
      </c>
      <c r="V1009" s="379" t="s">
        <v>3651</v>
      </c>
      <c r="W1009" s="65"/>
      <c r="X1009" s="51" t="str">
        <f t="array" ref="X1009"> if(iserror(MATCH(V1009, 'File Links'!C:C, 0)), "N/A", HYPERLINK(INDEX('File Links'!B:B, MATCH(V1009, 'File Links'!C:C, 0))))</f>
        <v>https://drive.google.com/file/d/17gaf2Zy_ljFfcAEDk5L8GBnTl5i7RGJE/view?usp=drivesdk</v>
      </c>
      <c r="Y1009" s="156" t="s">
        <v>5481</v>
      </c>
      <c r="Z1009" s="65"/>
      <c r="AA1009" s="65"/>
      <c r="AB1009" s="65"/>
      <c r="AC1009" s="65"/>
      <c r="AD1009" s="65"/>
      <c r="AE1009" s="65"/>
      <c r="AF1009" s="65"/>
      <c r="AG1009" s="65"/>
      <c r="AH1009" s="65"/>
      <c r="AI1009" s="65"/>
      <c r="AJ1009" s="65"/>
      <c r="AK1009" s="65"/>
      <c r="AL1009" s="65"/>
      <c r="AM1009" s="65"/>
      <c r="AN1009" s="148" t="s">
        <v>131</v>
      </c>
      <c r="AO1009" s="65"/>
      <c r="AP1009" s="65"/>
      <c r="AQ1009" s="65"/>
      <c r="AR1009" s="65"/>
      <c r="AS1009" s="65"/>
      <c r="AT1009" s="65"/>
      <c r="AU1009" s="65"/>
      <c r="AV1009" s="65"/>
      <c r="AW1009" s="65"/>
      <c r="AX1009" s="65"/>
      <c r="AZ1009" s="65" t="s">
        <v>146</v>
      </c>
    </row>
    <row r="1010">
      <c r="A1010" s="41">
        <v>1010.0</v>
      </c>
      <c r="B1010" s="65" t="s">
        <v>107</v>
      </c>
      <c r="C1010" s="59" t="s">
        <v>108</v>
      </c>
      <c r="D1010" s="59" t="s">
        <v>241</v>
      </c>
      <c r="F1010" s="156" t="s">
        <v>5482</v>
      </c>
      <c r="G1010" s="156" t="s">
        <v>5483</v>
      </c>
      <c r="H1010" s="156" t="s">
        <v>242</v>
      </c>
      <c r="I1010" s="149">
        <v>45671.0</v>
      </c>
      <c r="J1010" s="149">
        <v>45692.0</v>
      </c>
      <c r="K1010" s="65"/>
      <c r="L1010" s="65" t="s">
        <v>3683</v>
      </c>
      <c r="M1010" s="156" t="s">
        <v>5484</v>
      </c>
      <c r="N1010" s="156" t="s">
        <v>5485</v>
      </c>
      <c r="O1010" s="65"/>
      <c r="P1010" s="156" t="str">
        <f t="shared" si="52"/>
        <v>10.1177--0956797615625640.pdf</v>
      </c>
      <c r="Q1010" s="49" t="str">
        <f t="array" ref="Q1010"> if(iserror(MATCH(V1010, 'File Links'!C:C, 0)), "N/A", HYPERLINK(INDEX('File Links'!B:B, MATCH(P1010, 'File Links'!C:C, 0))))</f>
        <v>https://drive.google.com/file/d/1ufFlEetCWZtYqMqTTptc07s2XdkD4E4c/view?usp=drivesdk</v>
      </c>
      <c r="R1010" s="603" t="s">
        <v>3646</v>
      </c>
      <c r="S1010" s="156" t="s">
        <v>3647</v>
      </c>
      <c r="T1010" s="438" t="s">
        <v>5486</v>
      </c>
      <c r="U1010" s="153">
        <v>1.0</v>
      </c>
      <c r="V1010" s="195" t="str">
        <f t="shared" ref="V1010:V1012" si="55"> hyperlink(vlookup(lower(S1010),#REF!, 2, FALSE), SUBSTITUTE(lower(S1010), "/", "--") &amp;  ".pdf")</f>
        <v>10.1098--rsos.231240.pdf</v>
      </c>
      <c r="W1010" s="156" t="s">
        <v>317</v>
      </c>
      <c r="X1010" s="51" t="str">
        <f t="array" ref="X1010"> if(iserror(MATCH(V1010, 'File Links'!C:C, 0)), "N/A", HYPERLINK(INDEX('File Links'!B:B, MATCH(V1010, 'File Links'!C:C, 0))))</f>
        <v>https://drive.google.com/file/d/17gaf2Zy_ljFfcAEDk5L8GBnTl5i7RGJE/view?usp=drivesdk</v>
      </c>
      <c r="Y1010" s="65"/>
      <c r="Z1010" s="156" t="s">
        <v>141</v>
      </c>
      <c r="AA1010" s="65"/>
      <c r="AB1010" s="156" t="s">
        <v>5383</v>
      </c>
      <c r="AC1010" s="65"/>
      <c r="AD1010" s="156" t="s">
        <v>5487</v>
      </c>
      <c r="AE1010" s="1056">
        <v>6.0</v>
      </c>
      <c r="AF1010" s="153">
        <v>100.0</v>
      </c>
      <c r="AG1010" s="153">
        <v>0.41</v>
      </c>
      <c r="AH1010" s="156" t="s">
        <v>166</v>
      </c>
      <c r="AI1010" s="1057" t="s">
        <v>133</v>
      </c>
      <c r="AJ1010" s="153">
        <v>0.04</v>
      </c>
      <c r="AK1010" s="156" t="s">
        <v>165</v>
      </c>
      <c r="AL1010" s="156" t="s">
        <v>179</v>
      </c>
      <c r="AM1010" s="156" t="s">
        <v>130</v>
      </c>
      <c r="AN1010" s="148" t="s">
        <v>131</v>
      </c>
      <c r="AO1010" s="153">
        <v>158.0</v>
      </c>
      <c r="AP1010" s="153">
        <v>-0.19040863130135</v>
      </c>
      <c r="AQ1010" s="156" t="s">
        <v>166</v>
      </c>
      <c r="AR1010" s="65"/>
      <c r="AS1010" s="153">
        <v>0.0182407236142778</v>
      </c>
      <c r="AT1010" s="156" t="s">
        <v>165</v>
      </c>
      <c r="AU1010" s="156" t="s">
        <v>179</v>
      </c>
      <c r="AV1010" s="156" t="s">
        <v>130</v>
      </c>
      <c r="AW1010" s="65"/>
      <c r="AX1010" s="156" t="s">
        <v>136</v>
      </c>
      <c r="AZ1010" s="65" t="s">
        <v>146</v>
      </c>
    </row>
    <row r="1011">
      <c r="A1011" s="41">
        <v>1011.0</v>
      </c>
      <c r="B1011" s="126" t="s">
        <v>145</v>
      </c>
      <c r="C1011" s="59" t="s">
        <v>108</v>
      </c>
      <c r="D1011" s="59" t="s">
        <v>146</v>
      </c>
      <c r="F1011" s="65" t="s">
        <v>5483</v>
      </c>
      <c r="G1011" s="156" t="s">
        <v>5482</v>
      </c>
      <c r="H1011" s="156" t="s">
        <v>146</v>
      </c>
      <c r="I1011" s="149">
        <v>45687.0</v>
      </c>
      <c r="J1011" s="149">
        <v>45692.0</v>
      </c>
      <c r="K1011" s="65"/>
      <c r="L1011" s="65" t="s">
        <v>5472</v>
      </c>
      <c r="M1011" s="156" t="s">
        <v>5484</v>
      </c>
      <c r="N1011" s="156" t="s">
        <v>5485</v>
      </c>
      <c r="O1011" s="153">
        <v>5.0</v>
      </c>
      <c r="P1011" s="156" t="str">
        <f t="shared" si="52"/>
        <v>10.1177--0956797615625640.pdf</v>
      </c>
      <c r="Q1011" s="49" t="str">
        <f t="array" ref="Q1011"> if(iserror(MATCH(V1011, 'File Links'!C:C, 0)), "N/A", HYPERLINK(INDEX('File Links'!B:B, MATCH(P1011, 'File Links'!C:C, 0))))</f>
        <v>https://drive.google.com/file/d/1ufFlEetCWZtYqMqTTptc07s2XdkD4E4c/view?usp=drivesdk</v>
      </c>
      <c r="R1011" s="603" t="s">
        <v>3646</v>
      </c>
      <c r="S1011" s="156" t="s">
        <v>3647</v>
      </c>
      <c r="T1011" s="438" t="s">
        <v>5486</v>
      </c>
      <c r="U1011" s="153">
        <v>1.0</v>
      </c>
      <c r="V1011" s="195" t="str">
        <f t="shared" si="55"/>
        <v>10.1098--rsos.231240.pdf</v>
      </c>
      <c r="W1011" s="156" t="s">
        <v>3719</v>
      </c>
      <c r="X1011" s="51" t="str">
        <f t="array" ref="X1011"> if(iserror(MATCH(V1011, 'File Links'!C:C, 0)), "N/A", HYPERLINK(INDEX('File Links'!B:B, MATCH(V1011, 'File Links'!C:C, 0))))</f>
        <v>https://drive.google.com/file/d/17gaf2Zy_ljFfcAEDk5L8GBnTl5i7RGJE/view?usp=drivesdk</v>
      </c>
      <c r="Y1011" s="65"/>
      <c r="Z1011" s="156" t="s">
        <v>141</v>
      </c>
      <c r="AA1011" s="156" t="s">
        <v>5488</v>
      </c>
      <c r="AB1011" s="156" t="s">
        <v>5489</v>
      </c>
      <c r="AC1011" s="156" t="s">
        <v>5490</v>
      </c>
      <c r="AD1011" s="156" t="s">
        <v>5491</v>
      </c>
      <c r="AE1011" s="158" t="s">
        <v>5492</v>
      </c>
      <c r="AF1011" s="153">
        <v>100.0</v>
      </c>
      <c r="AG1011" s="153">
        <v>0.41</v>
      </c>
      <c r="AH1011" s="156" t="s">
        <v>166</v>
      </c>
      <c r="AI1011" s="158" t="s">
        <v>5492</v>
      </c>
      <c r="AJ1011" s="153">
        <v>0.04</v>
      </c>
      <c r="AK1011" s="156" t="s">
        <v>165</v>
      </c>
      <c r="AL1011" s="156" t="s">
        <v>179</v>
      </c>
      <c r="AM1011" s="156" t="s">
        <v>130</v>
      </c>
      <c r="AN1011" s="148" t="s">
        <v>131</v>
      </c>
      <c r="AO1011" s="153">
        <v>158.0</v>
      </c>
      <c r="AP1011" s="1090">
        <v>-0.19040863130135</v>
      </c>
      <c r="AQ1011" s="1112" t="s">
        <v>166</v>
      </c>
      <c r="AR1011" s="65"/>
      <c r="AS1011" s="1090">
        <v>0.0182407236142778</v>
      </c>
      <c r="AT1011" s="1112" t="s">
        <v>165</v>
      </c>
      <c r="AU1011" s="156" t="s">
        <v>179</v>
      </c>
      <c r="AV1011" s="156" t="s">
        <v>130</v>
      </c>
      <c r="AW1011" s="432" t="s">
        <v>5493</v>
      </c>
      <c r="AX1011" s="65" t="s">
        <v>136</v>
      </c>
      <c r="AY1011" s="59" t="s">
        <v>5494</v>
      </c>
      <c r="AZ1011" s="65" t="s">
        <v>146</v>
      </c>
    </row>
    <row r="1012">
      <c r="A1012" s="41">
        <v>1012.0</v>
      </c>
      <c r="B1012" s="65" t="s">
        <v>107</v>
      </c>
      <c r="C1012" s="59" t="s">
        <v>108</v>
      </c>
      <c r="D1012" s="59" t="s">
        <v>241</v>
      </c>
      <c r="F1012" s="156" t="s">
        <v>5495</v>
      </c>
      <c r="G1012" s="156" t="s">
        <v>5496</v>
      </c>
      <c r="H1012" s="156" t="s">
        <v>242</v>
      </c>
      <c r="I1012" s="149">
        <v>45664.0</v>
      </c>
      <c r="J1012" s="149">
        <v>45692.0</v>
      </c>
      <c r="K1012" s="434" t="s">
        <v>5497</v>
      </c>
      <c r="L1012" s="65"/>
      <c r="M1012" s="156" t="s">
        <v>5498</v>
      </c>
      <c r="N1012" s="156" t="s">
        <v>5499</v>
      </c>
      <c r="O1012" s="65"/>
      <c r="P1012" s="156" t="str">
        <f t="shared" si="52"/>
        <v>10.1177--0956797611419168.pdf</v>
      </c>
      <c r="Q1012" s="49" t="str">
        <f t="array" ref="Q1012"> if(iserror(MATCH(V1012, 'File Links'!C:C, 0)), "N/A", HYPERLINK(INDEX('File Links'!B:B, MATCH(P1012, 'File Links'!C:C, 0))))</f>
        <v>https://drive.google.com/file/d/1nanNymgjGLBTTIftwQHD0CPkPgFLXjko/view?usp=drivesdk</v>
      </c>
      <c r="R1012" s="603" t="s">
        <v>3646</v>
      </c>
      <c r="S1012" s="156" t="s">
        <v>3647</v>
      </c>
      <c r="T1012" s="438" t="s">
        <v>5500</v>
      </c>
      <c r="U1012" s="153">
        <v>1.0</v>
      </c>
      <c r="V1012" s="195" t="str">
        <f t="shared" si="55"/>
        <v>10.1098--rsos.231240.pdf</v>
      </c>
      <c r="W1012" s="156" t="s">
        <v>3658</v>
      </c>
      <c r="X1012" s="51" t="str">
        <f t="array" ref="X1012"> if(iserror(MATCH(V1012, 'File Links'!C:C, 0)), "N/A", HYPERLINK(INDEX('File Links'!B:B, MATCH(V1012, 'File Links'!C:C, 0))))</f>
        <v>https://drive.google.com/file/d/17gaf2Zy_ljFfcAEDk5L8GBnTl5i7RGJE/view?usp=drivesdk</v>
      </c>
      <c r="Y1012" s="65"/>
      <c r="Z1012" s="156" t="s">
        <v>141</v>
      </c>
      <c r="AA1012" s="65"/>
      <c r="AB1012" s="156" t="s">
        <v>5501</v>
      </c>
      <c r="AC1012" s="65"/>
      <c r="AD1012" s="156" t="s">
        <v>5502</v>
      </c>
      <c r="AE1012" s="153">
        <v>1168.0</v>
      </c>
      <c r="AF1012" s="153">
        <v>30.0</v>
      </c>
      <c r="AG1012" s="156" t="s">
        <v>131</v>
      </c>
      <c r="AH1012" s="164" t="s">
        <v>131</v>
      </c>
      <c r="AI1012" s="156" t="s">
        <v>131</v>
      </c>
      <c r="AJ1012" s="156" t="s">
        <v>131</v>
      </c>
      <c r="AK1012" s="65"/>
      <c r="AL1012" s="156" t="s">
        <v>179</v>
      </c>
      <c r="AM1012" s="156" t="s">
        <v>1898</v>
      </c>
      <c r="AN1012" s="148" t="s">
        <v>131</v>
      </c>
      <c r="AO1012" s="153">
        <v>29.0</v>
      </c>
      <c r="AP1012" s="156" t="s">
        <v>131</v>
      </c>
      <c r="AQ1012" s="65"/>
      <c r="AR1012" s="65"/>
      <c r="AS1012" s="156" t="s">
        <v>131</v>
      </c>
      <c r="AT1012" s="65"/>
      <c r="AU1012" s="156" t="s">
        <v>179</v>
      </c>
      <c r="AV1012" s="156" t="s">
        <v>1898</v>
      </c>
      <c r="AW1012" s="65"/>
      <c r="AX1012" s="156" t="s">
        <v>136</v>
      </c>
      <c r="AZ1012" s="65" t="s">
        <v>146</v>
      </c>
    </row>
    <row r="1013">
      <c r="A1013" s="41">
        <v>1013.0</v>
      </c>
      <c r="B1013" s="126" t="s">
        <v>4516</v>
      </c>
      <c r="C1013" s="59" t="s">
        <v>108</v>
      </c>
      <c r="D1013" s="59" t="s">
        <v>146</v>
      </c>
      <c r="F1013" s="65" t="s">
        <v>5496</v>
      </c>
      <c r="G1013" s="156" t="s">
        <v>5495</v>
      </c>
      <c r="H1013" s="156" t="s">
        <v>146</v>
      </c>
      <c r="I1013" s="149">
        <v>45687.0</v>
      </c>
      <c r="J1013" s="149">
        <v>45692.0</v>
      </c>
      <c r="K1013" s="434" t="s">
        <v>5503</v>
      </c>
      <c r="L1013" s="65"/>
      <c r="M1013" s="156" t="s">
        <v>5498</v>
      </c>
      <c r="N1013" s="156" t="s">
        <v>5499</v>
      </c>
      <c r="O1013" s="153" t="s">
        <v>5504</v>
      </c>
      <c r="P1013" s="156" t="str">
        <f t="shared" si="52"/>
        <v>10.1177--0956797611419168.pdf</v>
      </c>
      <c r="Q1013" s="49" t="str">
        <f t="array" ref="Q1013"> if(iserror(MATCH(V1013, 'File Links'!C:C, 0)), "N/A", HYPERLINK(INDEX('File Links'!B:B, MATCH(P1013, 'File Links'!C:C, 0))))</f>
        <v>https://drive.google.com/file/d/1nanNymgjGLBTTIftwQHD0CPkPgFLXjko/view?usp=drivesdk</v>
      </c>
      <c r="R1013" s="603" t="s">
        <v>3646</v>
      </c>
      <c r="S1013" s="156" t="s">
        <v>3647</v>
      </c>
      <c r="T1013" s="438" t="s">
        <v>5500</v>
      </c>
      <c r="U1013" s="153">
        <v>1.0</v>
      </c>
      <c r="V1013" s="379" t="s">
        <v>3651</v>
      </c>
      <c r="W1013" s="156" t="s">
        <v>3664</v>
      </c>
      <c r="X1013" s="51" t="str">
        <f t="array" ref="X1013"> if(iserror(MATCH(V1013, 'File Links'!C:C, 0)), "N/A", HYPERLINK(INDEX('File Links'!B:B, MATCH(V1013, 'File Links'!C:C, 0))))</f>
        <v>https://drive.google.com/file/d/17gaf2Zy_ljFfcAEDk5L8GBnTl5i7RGJE/view?usp=drivesdk</v>
      </c>
      <c r="Y1013" s="156" t="s">
        <v>5505</v>
      </c>
      <c r="Z1013" s="65"/>
      <c r="AA1013" s="65"/>
      <c r="AB1013" s="65"/>
      <c r="AC1013" s="65"/>
      <c r="AD1013" s="65"/>
      <c r="AE1013" s="65"/>
      <c r="AF1013" s="65"/>
      <c r="AG1013" s="65"/>
      <c r="AH1013" s="65"/>
      <c r="AI1013" s="65"/>
      <c r="AJ1013" s="65"/>
      <c r="AK1013" s="65"/>
      <c r="AL1013" s="65"/>
      <c r="AM1013" s="65"/>
      <c r="AN1013" s="148" t="s">
        <v>131</v>
      </c>
      <c r="AO1013" s="65"/>
      <c r="AP1013" s="65"/>
      <c r="AQ1013" s="65"/>
      <c r="AR1013" s="65"/>
      <c r="AS1013" s="65"/>
      <c r="AT1013" s="65"/>
      <c r="AU1013" s="65"/>
      <c r="AV1013" s="65"/>
      <c r="AW1013" s="65"/>
      <c r="AX1013" s="65"/>
      <c r="AZ1013" s="65" t="s">
        <v>146</v>
      </c>
    </row>
    <row r="1014">
      <c r="A1014" s="41">
        <v>1014.0</v>
      </c>
      <c r="B1014" s="126" t="s">
        <v>4516</v>
      </c>
      <c r="C1014" s="59" t="s">
        <v>108</v>
      </c>
      <c r="D1014" s="59" t="s">
        <v>241</v>
      </c>
      <c r="F1014" s="156" t="s">
        <v>5506</v>
      </c>
      <c r="G1014" s="156" t="s">
        <v>5507</v>
      </c>
      <c r="H1014" s="156" t="s">
        <v>242</v>
      </c>
      <c r="I1014" s="149">
        <v>45664.0</v>
      </c>
      <c r="J1014" s="149">
        <v>45692.0</v>
      </c>
      <c r="K1014" s="434" t="s">
        <v>5508</v>
      </c>
      <c r="L1014" s="65" t="s">
        <v>3683</v>
      </c>
      <c r="M1014" s="156" t="s">
        <v>5509</v>
      </c>
      <c r="N1014" s="156" t="s">
        <v>5510</v>
      </c>
      <c r="O1014" s="65"/>
      <c r="P1014" s="156" t="str">
        <f t="shared" si="52"/>
        <v>10.1086--511799.pdf</v>
      </c>
      <c r="Q1014" s="49" t="str">
        <f t="array" ref="Q1014"> if(iserror(MATCH(V1014, 'File Links'!C:C, 0)), "N/A", HYPERLINK(INDEX('File Links'!B:B, MATCH(P1014, 'File Links'!C:C, 0))))</f>
        <v>https://drive.google.com/file/d/1kVWNkPYWfpPoaNfzdmDoKO9zV0jbI67W/view?usp=drivesdk</v>
      </c>
      <c r="R1014" s="603" t="s">
        <v>3646</v>
      </c>
      <c r="S1014" s="156" t="s">
        <v>3647</v>
      </c>
      <c r="T1014" s="65"/>
      <c r="U1014" s="153">
        <v>1.0</v>
      </c>
      <c r="V1014" s="195" t="str">
        <f t="shared" ref="V1014:V1022" si="56"> hyperlink(vlookup(lower(S1014),#REF!, 2, FALSE), SUBSTITUTE(lower(S1014), "/", "--") &amp;  ".pdf")</f>
        <v>10.1098--rsos.231240.pdf</v>
      </c>
      <c r="W1014" s="156" t="s">
        <v>317</v>
      </c>
      <c r="X1014" s="51" t="str">
        <f t="array" ref="X1014"> if(iserror(MATCH(V1014, 'File Links'!C:C, 0)), "N/A", HYPERLINK(INDEX('File Links'!B:B, MATCH(V1014, 'File Links'!C:C, 0))))</f>
        <v>https://drive.google.com/file/d/17gaf2Zy_ljFfcAEDk5L8GBnTl5i7RGJE/view?usp=drivesdk</v>
      </c>
      <c r="Y1014" s="65"/>
      <c r="Z1014" s="156" t="s">
        <v>203</v>
      </c>
      <c r="AA1014" s="65"/>
      <c r="AB1014" s="65"/>
      <c r="AC1014" s="65"/>
      <c r="AD1014" s="156" t="s">
        <v>5511</v>
      </c>
      <c r="AE1014" s="1056">
        <v>1316.0</v>
      </c>
      <c r="AF1014" s="153">
        <v>94.0</v>
      </c>
      <c r="AG1014" s="153">
        <v>0.849411594880563</v>
      </c>
      <c r="AH1014" s="156" t="s">
        <v>166</v>
      </c>
      <c r="AI1014" s="1057" t="s">
        <v>5512</v>
      </c>
      <c r="AJ1014" s="153">
        <v>0.05</v>
      </c>
      <c r="AK1014" s="156" t="s">
        <v>128</v>
      </c>
      <c r="AL1014" s="156" t="s">
        <v>179</v>
      </c>
      <c r="AM1014" s="156" t="s">
        <v>1898</v>
      </c>
      <c r="AN1014" s="148" t="s">
        <v>131</v>
      </c>
      <c r="AO1014" s="153">
        <v>198.0</v>
      </c>
      <c r="AP1014" s="153">
        <v>0.0709264758253591</v>
      </c>
      <c r="AQ1014" s="156" t="s">
        <v>166</v>
      </c>
      <c r="AR1014" s="65"/>
      <c r="AS1014" s="153">
        <v>0.31949202403835</v>
      </c>
      <c r="AT1014" s="156" t="s">
        <v>165</v>
      </c>
      <c r="AU1014" s="156" t="s">
        <v>179</v>
      </c>
      <c r="AV1014" s="156" t="s">
        <v>1898</v>
      </c>
      <c r="AW1014" s="65"/>
      <c r="AX1014" s="156" t="s">
        <v>136</v>
      </c>
      <c r="AZ1014" s="65" t="s">
        <v>146</v>
      </c>
    </row>
    <row r="1015">
      <c r="A1015" s="41">
        <v>1015.0</v>
      </c>
      <c r="B1015" s="65" t="s">
        <v>107</v>
      </c>
      <c r="C1015" s="59" t="s">
        <v>108</v>
      </c>
      <c r="D1015" s="59" t="s">
        <v>146</v>
      </c>
      <c r="F1015" s="65" t="s">
        <v>5507</v>
      </c>
      <c r="G1015" s="156" t="s">
        <v>5506</v>
      </c>
      <c r="H1015" s="156" t="s">
        <v>146</v>
      </c>
      <c r="I1015" s="149">
        <v>45687.0</v>
      </c>
      <c r="J1015" s="149">
        <v>45692.0</v>
      </c>
      <c r="K1015" s="1052" t="s">
        <v>5513</v>
      </c>
      <c r="L1015" s="65"/>
      <c r="M1015" s="156" t="s">
        <v>5509</v>
      </c>
      <c r="N1015" s="156" t="s">
        <v>5510</v>
      </c>
      <c r="O1015" s="156" t="s">
        <v>5514</v>
      </c>
      <c r="P1015" s="156" t="str">
        <f t="shared" si="52"/>
        <v>10.1086--511799.pdf</v>
      </c>
      <c r="Q1015" s="49" t="str">
        <f t="array" ref="Q1015"> if(iserror(MATCH(V1015, 'File Links'!C:C, 0)), "N/A", HYPERLINK(INDEX('File Links'!B:B, MATCH(P1015, 'File Links'!C:C, 0))))</f>
        <v>https://drive.google.com/file/d/1kVWNkPYWfpPoaNfzdmDoKO9zV0jbI67W/view?usp=drivesdk</v>
      </c>
      <c r="R1015" s="603" t="s">
        <v>3646</v>
      </c>
      <c r="S1015" s="156" t="s">
        <v>3647</v>
      </c>
      <c r="T1015" s="65"/>
      <c r="U1015" s="153">
        <v>1.0</v>
      </c>
      <c r="V1015" s="195" t="str">
        <f t="shared" si="56"/>
        <v>10.1098--rsos.231240.pdf</v>
      </c>
      <c r="W1015" s="156" t="s">
        <v>3719</v>
      </c>
      <c r="X1015" s="51" t="str">
        <f t="array" ref="X1015"> if(iserror(MATCH(V1015, 'File Links'!C:C, 0)), "N/A", HYPERLINK(INDEX('File Links'!B:B, MATCH(V1015, 'File Links'!C:C, 0))))</f>
        <v>https://drive.google.com/file/d/17gaf2Zy_ljFfcAEDk5L8GBnTl5i7RGJE/view?usp=drivesdk</v>
      </c>
      <c r="Y1015" s="65"/>
      <c r="Z1015" s="156" t="s">
        <v>940</v>
      </c>
      <c r="AA1015" s="156" t="s">
        <v>5515</v>
      </c>
      <c r="AB1015" s="156" t="s">
        <v>5516</v>
      </c>
      <c r="AC1015" s="156" t="s">
        <v>5517</v>
      </c>
      <c r="AD1015" s="156" t="s">
        <v>5518</v>
      </c>
      <c r="AE1015" s="153">
        <v>20.0</v>
      </c>
      <c r="AF1015" s="1090">
        <v>94.0</v>
      </c>
      <c r="AG1015" s="153">
        <v>0.849411594880563</v>
      </c>
      <c r="AH1015" s="153" t="s">
        <v>166</v>
      </c>
      <c r="AI1015" s="153" t="s">
        <v>1250</v>
      </c>
      <c r="AJ1015" s="153">
        <f>7.83134738554709*10^-24</f>
        <v>0</v>
      </c>
      <c r="AK1015" s="156" t="s">
        <v>165</v>
      </c>
      <c r="AL1015" s="156" t="s">
        <v>179</v>
      </c>
      <c r="AM1015" s="156" t="s">
        <v>1898</v>
      </c>
      <c r="AN1015" s="148" t="s">
        <v>131</v>
      </c>
      <c r="AO1015" s="153">
        <v>198.0</v>
      </c>
      <c r="AP1015" s="153">
        <v>-0.07071</v>
      </c>
      <c r="AQ1015" s="153" t="s">
        <v>980</v>
      </c>
      <c r="AR1015" s="65"/>
      <c r="AS1015" s="153">
        <v>0.0593</v>
      </c>
      <c r="AT1015" s="156" t="s">
        <v>165</v>
      </c>
      <c r="AU1015" s="65"/>
      <c r="AV1015" s="65"/>
      <c r="AW1015" s="65"/>
      <c r="AX1015" s="65" t="s">
        <v>144</v>
      </c>
      <c r="AZ1015" s="65" t="s">
        <v>146</v>
      </c>
    </row>
    <row r="1016">
      <c r="A1016" s="41">
        <v>1016.0</v>
      </c>
      <c r="B1016" s="126" t="s">
        <v>4516</v>
      </c>
      <c r="C1016" s="59" t="s">
        <v>108</v>
      </c>
      <c r="D1016" s="59" t="s">
        <v>146</v>
      </c>
      <c r="F1016" s="65" t="s">
        <v>5507</v>
      </c>
      <c r="G1016" s="156" t="s">
        <v>5519</v>
      </c>
      <c r="H1016" s="156" t="s">
        <v>146</v>
      </c>
      <c r="I1016" s="149">
        <v>45687.0</v>
      </c>
      <c r="J1016" s="149">
        <v>45692.0</v>
      </c>
      <c r="K1016" s="1052" t="s">
        <v>5520</v>
      </c>
      <c r="L1016" s="65"/>
      <c r="M1016" s="156" t="s">
        <v>5509</v>
      </c>
      <c r="N1016" s="156" t="s">
        <v>5510</v>
      </c>
      <c r="O1016" s="156" t="s">
        <v>5514</v>
      </c>
      <c r="P1016" s="156" t="str">
        <f t="shared" si="52"/>
        <v>10.1086--511799.pdf</v>
      </c>
      <c r="Q1016" s="49" t="str">
        <f t="array" ref="Q1016"> if(iserror(MATCH(V1016, 'File Links'!C:C, 0)), "N/A", HYPERLINK(INDEX('File Links'!B:B, MATCH(P1016, 'File Links'!C:C, 0))))</f>
        <v>https://drive.google.com/file/d/1kVWNkPYWfpPoaNfzdmDoKO9zV0jbI67W/view?usp=drivesdk</v>
      </c>
      <c r="R1016" s="603" t="s">
        <v>3646</v>
      </c>
      <c r="S1016" s="156" t="s">
        <v>3647</v>
      </c>
      <c r="T1016" s="65"/>
      <c r="U1016" s="153">
        <v>1.0</v>
      </c>
      <c r="V1016" s="195" t="str">
        <f t="shared" si="56"/>
        <v>10.1098--rsos.231240.pdf</v>
      </c>
      <c r="W1016" s="156" t="s">
        <v>3719</v>
      </c>
      <c r="X1016" s="51" t="str">
        <f t="array" ref="X1016"> if(iserror(MATCH(V1016, 'File Links'!C:C, 0)), "N/A", HYPERLINK(INDEX('File Links'!B:B, MATCH(V1016, 'File Links'!C:C, 0))))</f>
        <v>https://drive.google.com/file/d/17gaf2Zy_ljFfcAEDk5L8GBnTl5i7RGJE/view?usp=drivesdk</v>
      </c>
      <c r="Y1016" s="65"/>
      <c r="Z1016" s="156" t="s">
        <v>940</v>
      </c>
      <c r="AA1016" s="156" t="s">
        <v>5515</v>
      </c>
      <c r="AB1016" s="156" t="s">
        <v>5516</v>
      </c>
      <c r="AC1016" s="156" t="s">
        <v>5521</v>
      </c>
      <c r="AD1016" s="156" t="s">
        <v>5522</v>
      </c>
      <c r="AE1016" s="333">
        <v>24.0</v>
      </c>
      <c r="AF1016" s="333">
        <v>188.0</v>
      </c>
      <c r="AG1016" s="333">
        <v>0.57</v>
      </c>
      <c r="AH1016" s="153" t="s">
        <v>980</v>
      </c>
      <c r="AI1016" s="333" t="s">
        <v>2294</v>
      </c>
      <c r="AJ1016" s="333">
        <v>0.1</v>
      </c>
      <c r="AK1016" s="156" t="s">
        <v>128</v>
      </c>
      <c r="AL1016" s="156" t="s">
        <v>129</v>
      </c>
      <c r="AM1016" s="65" t="s">
        <v>130</v>
      </c>
      <c r="AN1016" s="148" t="s">
        <v>131</v>
      </c>
      <c r="AO1016" s="153">
        <v>198.0</v>
      </c>
      <c r="AP1016" s="1293">
        <v>-0.03677</v>
      </c>
      <c r="AQ1016" s="153" t="s">
        <v>980</v>
      </c>
      <c r="AR1016" s="65"/>
      <c r="AS1016" s="153">
        <v>0.41435</v>
      </c>
      <c r="AT1016" s="156" t="s">
        <v>165</v>
      </c>
      <c r="AU1016" s="156" t="s">
        <v>179</v>
      </c>
      <c r="AV1016" s="156" t="s">
        <v>1898</v>
      </c>
      <c r="AW1016" s="65"/>
      <c r="AX1016" s="65" t="s">
        <v>144</v>
      </c>
      <c r="AZ1016" s="65" t="s">
        <v>146</v>
      </c>
    </row>
    <row r="1017">
      <c r="A1017" s="41">
        <v>1017.0</v>
      </c>
      <c r="B1017" s="126" t="s">
        <v>4516</v>
      </c>
      <c r="C1017" s="59" t="s">
        <v>108</v>
      </c>
      <c r="D1017" s="59" t="s">
        <v>146</v>
      </c>
      <c r="F1017" s="65" t="s">
        <v>5507</v>
      </c>
      <c r="G1017" s="156" t="s">
        <v>5523</v>
      </c>
      <c r="H1017" s="156" t="s">
        <v>146</v>
      </c>
      <c r="I1017" s="149">
        <v>45687.0</v>
      </c>
      <c r="J1017" s="149">
        <v>45692.0</v>
      </c>
      <c r="K1017" s="1052" t="s">
        <v>5524</v>
      </c>
      <c r="L1017" s="65"/>
      <c r="M1017" s="156" t="s">
        <v>5509</v>
      </c>
      <c r="N1017" s="156" t="s">
        <v>5510</v>
      </c>
      <c r="O1017" s="156" t="s">
        <v>5514</v>
      </c>
      <c r="P1017" s="156" t="str">
        <f t="shared" si="52"/>
        <v>10.1086--511799.pdf</v>
      </c>
      <c r="Q1017" s="49" t="str">
        <f t="array" ref="Q1017"> if(iserror(MATCH(V1017, 'File Links'!C:C, 0)), "N/A", HYPERLINK(INDEX('File Links'!B:B, MATCH(P1017, 'File Links'!C:C, 0))))</f>
        <v>https://drive.google.com/file/d/1kVWNkPYWfpPoaNfzdmDoKO9zV0jbI67W/view?usp=drivesdk</v>
      </c>
      <c r="R1017" s="603" t="s">
        <v>3646</v>
      </c>
      <c r="S1017" s="156" t="s">
        <v>3647</v>
      </c>
      <c r="T1017" s="65"/>
      <c r="U1017" s="153">
        <v>1.0</v>
      </c>
      <c r="V1017" s="195" t="str">
        <f t="shared" si="56"/>
        <v>10.1098--rsos.231240.pdf</v>
      </c>
      <c r="W1017" s="156" t="s">
        <v>3719</v>
      </c>
      <c r="X1017" s="51" t="str">
        <f t="array" ref="X1017"> if(iserror(MATCH(V1017, 'File Links'!C:C, 0)), "N/A", HYPERLINK(INDEX('File Links'!B:B, MATCH(V1017, 'File Links'!C:C, 0))))</f>
        <v>https://drive.google.com/file/d/17gaf2Zy_ljFfcAEDk5L8GBnTl5i7RGJE/view?usp=drivesdk</v>
      </c>
      <c r="Y1017" s="65"/>
      <c r="Z1017" s="156" t="s">
        <v>940</v>
      </c>
      <c r="AA1017" s="156" t="s">
        <v>5515</v>
      </c>
      <c r="AB1017" s="156" t="s">
        <v>5516</v>
      </c>
      <c r="AC1017" s="156" t="s">
        <v>5525</v>
      </c>
      <c r="AD1017" s="156" t="s">
        <v>5522</v>
      </c>
      <c r="AE1017" s="333">
        <v>24.0</v>
      </c>
      <c r="AF1017" s="333">
        <v>188.0</v>
      </c>
      <c r="AG1017" s="333">
        <v>1.21</v>
      </c>
      <c r="AH1017" s="153" t="s">
        <v>980</v>
      </c>
      <c r="AI1017" s="333" t="s">
        <v>2294</v>
      </c>
      <c r="AJ1017" s="333">
        <v>0.001</v>
      </c>
      <c r="AK1017" s="156" t="s">
        <v>128</v>
      </c>
      <c r="AL1017" s="156" t="s">
        <v>129</v>
      </c>
      <c r="AM1017" s="65" t="s">
        <v>130</v>
      </c>
      <c r="AN1017" s="148" t="s">
        <v>131</v>
      </c>
      <c r="AO1017" s="153">
        <v>198.0</v>
      </c>
      <c r="AP1017" s="1293">
        <v>-0.1356</v>
      </c>
      <c r="AQ1017" s="153" t="s">
        <v>980</v>
      </c>
      <c r="AR1017" s="65"/>
      <c r="AS1017" s="153">
        <v>0.00205</v>
      </c>
      <c r="AT1017" s="156" t="s">
        <v>165</v>
      </c>
      <c r="AU1017" s="156" t="s">
        <v>179</v>
      </c>
      <c r="AV1017" s="156" t="s">
        <v>1898</v>
      </c>
      <c r="AW1017" s="65"/>
      <c r="AX1017" s="65" t="s">
        <v>144</v>
      </c>
      <c r="AZ1017" s="65" t="s">
        <v>146</v>
      </c>
    </row>
    <row r="1018">
      <c r="A1018" s="41">
        <v>1018.0</v>
      </c>
      <c r="B1018" s="126" t="s">
        <v>4516</v>
      </c>
      <c r="C1018" s="59" t="s">
        <v>108</v>
      </c>
      <c r="D1018" s="59" t="s">
        <v>241</v>
      </c>
      <c r="F1018" s="156" t="s">
        <v>5526</v>
      </c>
      <c r="G1018" s="156" t="s">
        <v>5527</v>
      </c>
      <c r="H1018" s="156" t="s">
        <v>242</v>
      </c>
      <c r="I1018" s="149">
        <v>45664.0</v>
      </c>
      <c r="J1018" s="149">
        <v>45692.0</v>
      </c>
      <c r="K1018" s="65"/>
      <c r="L1018" s="65"/>
      <c r="M1018" s="156" t="s">
        <v>5528</v>
      </c>
      <c r="N1018" s="156" t="s">
        <v>5529</v>
      </c>
      <c r="O1018" s="65"/>
      <c r="P1018" s="156" t="str">
        <f t="shared" si="52"/>
        <v>10.1177--0956797614527113.pdf</v>
      </c>
      <c r="Q1018" s="49" t="str">
        <f t="array" ref="Q1018"> if(iserror(MATCH(V1018, 'File Links'!C:C, 0)), "N/A", HYPERLINK(INDEX('File Links'!B:B, MATCH(P1018, 'File Links'!C:C, 0))))</f>
        <v>https://drive.google.com/file/d/1eY8ustezkGTBEFCvn47T4iFMNEc9SoCR/view?usp=drivesdk</v>
      </c>
      <c r="R1018" s="603" t="s">
        <v>3646</v>
      </c>
      <c r="S1018" s="156" t="s">
        <v>3647</v>
      </c>
      <c r="T1018" s="65"/>
      <c r="U1018" s="153">
        <v>1.0</v>
      </c>
      <c r="V1018" s="195" t="str">
        <f t="shared" si="56"/>
        <v>10.1098--rsos.231240.pdf</v>
      </c>
      <c r="W1018" s="156" t="s">
        <v>3797</v>
      </c>
      <c r="X1018" s="51" t="str">
        <f t="array" ref="X1018"> if(iserror(MATCH(V1018, 'File Links'!C:C, 0)), "N/A", HYPERLINK(INDEX('File Links'!B:B, MATCH(V1018, 'File Links'!C:C, 0))))</f>
        <v>https://drive.google.com/file/d/17gaf2Zy_ljFfcAEDk5L8GBnTl5i7RGJE/view?usp=drivesdk</v>
      </c>
      <c r="Y1018" s="65"/>
      <c r="Z1018" s="156" t="s">
        <v>219</v>
      </c>
      <c r="AA1018" s="65"/>
      <c r="AB1018" s="65"/>
      <c r="AC1018" s="65"/>
      <c r="AD1018" s="156" t="s">
        <v>5530</v>
      </c>
      <c r="AE1018" s="1090">
        <v>5.0</v>
      </c>
      <c r="AF1018" s="153">
        <v>170.0</v>
      </c>
      <c r="AG1018" s="153">
        <v>0.08</v>
      </c>
      <c r="AH1018" s="156" t="s">
        <v>132</v>
      </c>
      <c r="AI1018" s="1112" t="s">
        <v>806</v>
      </c>
      <c r="AJ1018" s="153">
        <v>0.001</v>
      </c>
      <c r="AK1018" s="156" t="s">
        <v>128</v>
      </c>
      <c r="AL1018" s="156" t="s">
        <v>179</v>
      </c>
      <c r="AM1018" s="156" t="s">
        <v>134</v>
      </c>
      <c r="AN1018" s="148" t="s">
        <v>131</v>
      </c>
      <c r="AO1018" s="153">
        <v>114.0</v>
      </c>
      <c r="AP1018" s="153">
        <v>0.270426749845588</v>
      </c>
      <c r="AQ1018" s="156" t="s">
        <v>166</v>
      </c>
      <c r="AR1018" s="65"/>
      <c r="AS1018" s="153">
        <v>0.00484125243751612</v>
      </c>
      <c r="AT1018" s="156" t="s">
        <v>165</v>
      </c>
      <c r="AU1018" s="156" t="s">
        <v>179</v>
      </c>
      <c r="AV1018" s="156" t="s">
        <v>134</v>
      </c>
      <c r="AW1018" s="65"/>
      <c r="AX1018" s="1112" t="s">
        <v>144</v>
      </c>
      <c r="AZ1018" s="65" t="s">
        <v>146</v>
      </c>
      <c r="BA1018" s="59">
        <v>58.0</v>
      </c>
    </row>
    <row r="1019">
      <c r="A1019" s="41">
        <v>1019.0</v>
      </c>
      <c r="B1019" s="65" t="s">
        <v>583</v>
      </c>
      <c r="C1019" s="59" t="s">
        <v>108</v>
      </c>
      <c r="D1019" s="59" t="s">
        <v>146</v>
      </c>
      <c r="F1019" s="65" t="s">
        <v>5527</v>
      </c>
      <c r="G1019" s="156" t="s">
        <v>5526</v>
      </c>
      <c r="H1019" s="156" t="s">
        <v>146</v>
      </c>
      <c r="I1019" s="149">
        <v>45687.0</v>
      </c>
      <c r="J1019" s="149">
        <v>45692.0</v>
      </c>
      <c r="K1019" s="1052" t="s">
        <v>5531</v>
      </c>
      <c r="L1019" s="156" t="s">
        <v>5532</v>
      </c>
      <c r="M1019" s="156" t="s">
        <v>5528</v>
      </c>
      <c r="N1019" s="156" t="s">
        <v>5529</v>
      </c>
      <c r="O1019" s="153" t="s">
        <v>5533</v>
      </c>
      <c r="P1019" s="156" t="str">
        <f t="shared" si="52"/>
        <v>10.1177--0956797614527113.pdf</v>
      </c>
      <c r="Q1019" s="49" t="str">
        <f t="array" ref="Q1019"> if(iserror(MATCH(V1019, 'File Links'!C:C, 0)), "N/A", HYPERLINK(INDEX('File Links'!B:B, MATCH(P1019, 'File Links'!C:C, 0))))</f>
        <v>https://drive.google.com/file/d/1eY8ustezkGTBEFCvn47T4iFMNEc9SoCR/view?usp=drivesdk</v>
      </c>
      <c r="R1019" s="603" t="s">
        <v>3646</v>
      </c>
      <c r="S1019" s="156" t="s">
        <v>3647</v>
      </c>
      <c r="T1019" s="65"/>
      <c r="U1019" s="153">
        <v>1.0</v>
      </c>
      <c r="V1019" s="195" t="str">
        <f t="shared" si="56"/>
        <v>10.1098--rsos.231240.pdf</v>
      </c>
      <c r="W1019" s="156" t="s">
        <v>3800</v>
      </c>
      <c r="X1019" s="51" t="str">
        <f t="array" ref="X1019"> if(iserror(MATCH(V1019, 'File Links'!C:C, 0)), "N/A", HYPERLINK(INDEX('File Links'!B:B, MATCH(V1019, 'File Links'!C:C, 0))))</f>
        <v>https://drive.google.com/file/d/17gaf2Zy_ljFfcAEDk5L8GBnTl5i7RGJE/view?usp=drivesdk</v>
      </c>
      <c r="Y1019" s="65"/>
      <c r="Z1019" s="156" t="s">
        <v>219</v>
      </c>
      <c r="AA1019" s="156" t="s">
        <v>5534</v>
      </c>
      <c r="AB1019" s="156" t="s">
        <v>5535</v>
      </c>
      <c r="AC1019" s="156" t="s">
        <v>5536</v>
      </c>
      <c r="AD1019" s="156" t="s">
        <v>5537</v>
      </c>
      <c r="AE1019" s="153">
        <v>6.0</v>
      </c>
      <c r="AF1019" s="153">
        <v>170.0</v>
      </c>
      <c r="AG1019" s="153">
        <v>0.06</v>
      </c>
      <c r="AH1019" s="153" t="s">
        <v>867</v>
      </c>
      <c r="AI1019" s="153" t="s">
        <v>133</v>
      </c>
      <c r="AJ1019" s="153">
        <v>0.008</v>
      </c>
      <c r="AK1019" s="156" t="s">
        <v>165</v>
      </c>
      <c r="AL1019" s="156" t="s">
        <v>179</v>
      </c>
      <c r="AM1019" s="156" t="s">
        <v>134</v>
      </c>
      <c r="AN1019" s="148" t="s">
        <v>131</v>
      </c>
      <c r="AO1019" s="153">
        <v>114.0</v>
      </c>
      <c r="AP1019" s="1293">
        <v>0.01074317</v>
      </c>
      <c r="AQ1019" s="153" t="s">
        <v>867</v>
      </c>
      <c r="AR1019" s="153" t="s">
        <v>606</v>
      </c>
      <c r="AS1019" s="1293">
        <v>0.5491</v>
      </c>
      <c r="AT1019" s="156" t="s">
        <v>165</v>
      </c>
      <c r="AU1019" s="156" t="s">
        <v>179</v>
      </c>
      <c r="AV1019" s="156" t="s">
        <v>134</v>
      </c>
      <c r="AW1019" s="65"/>
      <c r="AX1019" s="65" t="s">
        <v>144</v>
      </c>
      <c r="AZ1019" s="65" t="s">
        <v>146</v>
      </c>
    </row>
    <row r="1020">
      <c r="A1020" s="41">
        <v>1020.0</v>
      </c>
      <c r="B1020" s="65" t="s">
        <v>107</v>
      </c>
      <c r="C1020" s="59" t="s">
        <v>108</v>
      </c>
      <c r="D1020" s="59" t="s">
        <v>241</v>
      </c>
      <c r="F1020" s="156" t="s">
        <v>5538</v>
      </c>
      <c r="G1020" s="156" t="s">
        <v>5539</v>
      </c>
      <c r="H1020" s="156" t="s">
        <v>242</v>
      </c>
      <c r="I1020" s="149">
        <v>45664.0</v>
      </c>
      <c r="J1020" s="149">
        <v>45692.0</v>
      </c>
      <c r="K1020" s="65"/>
      <c r="L1020" s="65" t="s">
        <v>3683</v>
      </c>
      <c r="M1020" s="156" t="s">
        <v>5540</v>
      </c>
      <c r="N1020" s="156" t="s">
        <v>5541</v>
      </c>
      <c r="O1020" s="65"/>
      <c r="P1020" s="156" t="str">
        <f t="shared" si="52"/>
        <v>10.1177--1948550612457688.pdf</v>
      </c>
      <c r="Q1020" s="49" t="str">
        <f t="array" ref="Q1020"> if(iserror(MATCH(V1020, 'File Links'!C:C, 0)), "N/A", HYPERLINK(INDEX('File Links'!B:B, MATCH(P1020, 'File Links'!C:C, 0))))</f>
        <v>https://drive.google.com/file/d/1Mvv6lSbYDT3w1CNkuj_yKZJZyGVo8_wu/view?usp=drivesdk</v>
      </c>
      <c r="R1020" s="603" t="s">
        <v>3646</v>
      </c>
      <c r="S1020" s="156" t="s">
        <v>3647</v>
      </c>
      <c r="T1020" s="65"/>
      <c r="U1020" s="153">
        <v>1.0</v>
      </c>
      <c r="V1020" s="195" t="str">
        <f t="shared" si="56"/>
        <v>10.1098--rsos.231240.pdf</v>
      </c>
      <c r="W1020" s="156" t="s">
        <v>3658</v>
      </c>
      <c r="X1020" s="51" t="str">
        <f t="array" ref="X1020"> if(iserror(MATCH(V1020, 'File Links'!C:C, 0)), "N/A", HYPERLINK(INDEX('File Links'!B:B, MATCH(V1020, 'File Links'!C:C, 0))))</f>
        <v>https://drive.google.com/file/d/17gaf2Zy_ljFfcAEDk5L8GBnTl5i7RGJE/view?usp=drivesdk</v>
      </c>
      <c r="Y1020" s="65"/>
      <c r="Z1020" s="156" t="s">
        <v>219</v>
      </c>
      <c r="AA1020" s="65"/>
      <c r="AB1020" s="65"/>
      <c r="AC1020" s="65"/>
      <c r="AD1020" s="148" t="s">
        <v>5542</v>
      </c>
      <c r="AE1020" s="1056">
        <v>309.0</v>
      </c>
      <c r="AF1020" s="153">
        <v>119.0</v>
      </c>
      <c r="AG1020" s="158" t="s">
        <v>5543</v>
      </c>
      <c r="AH1020" s="116" t="s">
        <v>127</v>
      </c>
      <c r="AI1020" s="1057" t="s">
        <v>5544</v>
      </c>
      <c r="AJ1020" s="153">
        <v>0.001</v>
      </c>
      <c r="AK1020" s="156" t="s">
        <v>128</v>
      </c>
      <c r="AL1020" s="156" t="s">
        <v>129</v>
      </c>
      <c r="AM1020" s="156" t="s">
        <v>134</v>
      </c>
      <c r="AN1020" s="148" t="s">
        <v>131</v>
      </c>
      <c r="AO1020" s="153">
        <v>115.0</v>
      </c>
      <c r="AP1020" s="153">
        <v>2.25666163594155</v>
      </c>
      <c r="AQ1020" s="156" t="s">
        <v>166</v>
      </c>
      <c r="AR1020" s="65"/>
      <c r="AS1020" s="1058">
        <v>4.02218906166799E-22</v>
      </c>
      <c r="AT1020" s="156" t="s">
        <v>165</v>
      </c>
      <c r="AU1020" s="156" t="s">
        <v>179</v>
      </c>
      <c r="AV1020" s="156" t="s">
        <v>134</v>
      </c>
      <c r="AW1020" s="65"/>
      <c r="AX1020" s="156" t="s">
        <v>136</v>
      </c>
      <c r="AZ1020" s="65" t="s">
        <v>146</v>
      </c>
    </row>
    <row r="1021">
      <c r="A1021" s="41">
        <v>1021.0</v>
      </c>
      <c r="B1021" s="126" t="s">
        <v>145</v>
      </c>
      <c r="C1021" s="59" t="s">
        <v>108</v>
      </c>
      <c r="D1021" s="59" t="s">
        <v>146</v>
      </c>
      <c r="F1021" s="65" t="s">
        <v>5539</v>
      </c>
      <c r="G1021" s="156" t="s">
        <v>5538</v>
      </c>
      <c r="H1021" s="156" t="s">
        <v>146</v>
      </c>
      <c r="I1021" s="149">
        <v>45687.0</v>
      </c>
      <c r="J1021" s="149">
        <v>45692.0</v>
      </c>
      <c r="K1021" s="436" t="s">
        <v>5545</v>
      </c>
      <c r="L1021" s="65" t="s">
        <v>5472</v>
      </c>
      <c r="M1021" s="156" t="s">
        <v>5540</v>
      </c>
      <c r="N1021" s="156" t="s">
        <v>5541</v>
      </c>
      <c r="O1021" s="153">
        <v>1.0</v>
      </c>
      <c r="P1021" s="156" t="str">
        <f t="shared" si="52"/>
        <v>10.1177--1948550612457688.pdf</v>
      </c>
      <c r="Q1021" s="49" t="str">
        <f t="array" ref="Q1021"> if(iserror(MATCH(V1021, 'File Links'!C:C, 0)), "N/A", HYPERLINK(INDEX('File Links'!B:B, MATCH(P1021, 'File Links'!C:C, 0))))</f>
        <v>https://drive.google.com/file/d/1Mvv6lSbYDT3w1CNkuj_yKZJZyGVo8_wu/view?usp=drivesdk</v>
      </c>
      <c r="R1021" s="603" t="s">
        <v>3646</v>
      </c>
      <c r="S1021" s="156" t="s">
        <v>3647</v>
      </c>
      <c r="T1021" s="65"/>
      <c r="U1021" s="153">
        <v>1.0</v>
      </c>
      <c r="V1021" s="195" t="str">
        <f t="shared" si="56"/>
        <v>10.1098--rsos.231240.pdf</v>
      </c>
      <c r="W1021" s="156" t="s">
        <v>3664</v>
      </c>
      <c r="X1021" s="51" t="str">
        <f t="array" ref="X1021"> if(iserror(MATCH(V1021, 'File Links'!C:C, 0)), "N/A", HYPERLINK(INDEX('File Links'!B:B, MATCH(V1021, 'File Links'!C:C, 0))))</f>
        <v>https://drive.google.com/file/d/17gaf2Zy_ljFfcAEDk5L8GBnTl5i7RGJE/view?usp=drivesdk</v>
      </c>
      <c r="Y1021" s="65"/>
      <c r="Z1021" s="156" t="s">
        <v>219</v>
      </c>
      <c r="AA1021" s="156" t="s">
        <v>5546</v>
      </c>
      <c r="AB1021" s="156" t="s">
        <v>5547</v>
      </c>
      <c r="AC1021" s="156" t="s">
        <v>5548</v>
      </c>
      <c r="AD1021" s="148" t="s">
        <v>5549</v>
      </c>
      <c r="AE1021" s="153">
        <v>2.0</v>
      </c>
      <c r="AF1021" s="153">
        <v>119.0</v>
      </c>
      <c r="AG1021" s="153" t="s">
        <v>5550</v>
      </c>
      <c r="AH1021" s="153" t="s">
        <v>127</v>
      </c>
      <c r="AI1021" s="153" t="s">
        <v>868</v>
      </c>
      <c r="AJ1021" s="153">
        <v>0.001</v>
      </c>
      <c r="AK1021" s="156" t="s">
        <v>128</v>
      </c>
      <c r="AL1021" s="156" t="s">
        <v>129</v>
      </c>
      <c r="AM1021" s="156" t="s">
        <v>134</v>
      </c>
      <c r="AN1021" s="148" t="s">
        <v>131</v>
      </c>
      <c r="AO1021" s="153">
        <v>115.0</v>
      </c>
      <c r="AP1021" s="1114" t="s">
        <v>5551</v>
      </c>
      <c r="AQ1021" s="1113" t="s">
        <v>127</v>
      </c>
      <c r="AR1021" s="65"/>
      <c r="AS1021" s="1303">
        <v>4.02218906166799E-22</v>
      </c>
      <c r="AT1021" s="1112" t="s">
        <v>165</v>
      </c>
      <c r="AU1021" s="156" t="s">
        <v>179</v>
      </c>
      <c r="AV1021" s="156" t="s">
        <v>134</v>
      </c>
      <c r="AW1021" s="65"/>
      <c r="AX1021" s="65" t="s">
        <v>136</v>
      </c>
      <c r="AZ1021" s="126" t="s">
        <v>3673</v>
      </c>
    </row>
    <row r="1022">
      <c r="A1022" s="41">
        <v>1022.0</v>
      </c>
      <c r="B1022" s="65" t="s">
        <v>107</v>
      </c>
      <c r="C1022" s="59" t="s">
        <v>108</v>
      </c>
      <c r="D1022" s="59" t="s">
        <v>241</v>
      </c>
      <c r="F1022" s="156" t="s">
        <v>5552</v>
      </c>
      <c r="G1022" s="156" t="s">
        <v>5553</v>
      </c>
      <c r="H1022" s="156" t="s">
        <v>242</v>
      </c>
      <c r="I1022" s="149">
        <v>45664.0</v>
      </c>
      <c r="J1022" s="149">
        <v>45692.0</v>
      </c>
      <c r="K1022" s="434" t="s">
        <v>3676</v>
      </c>
      <c r="L1022" s="65"/>
      <c r="M1022" s="156" t="s">
        <v>5554</v>
      </c>
      <c r="N1022" s="156" t="s">
        <v>5555</v>
      </c>
      <c r="O1022" s="65"/>
      <c r="P1022" s="156" t="str">
        <f t="shared" si="52"/>
        <v>10.1162--089892900562219.pdf</v>
      </c>
      <c r="Q1022" s="49" t="str">
        <f t="array" ref="Q1022"> if(iserror(MATCH(V1022, 'File Links'!C:C, 0)), "N/A", HYPERLINK(INDEX('File Links'!B:B, MATCH(P1022, 'File Links'!C:C, 0))))</f>
        <v>https://drive.google.com/file/d/1ExZ7juOSUgumoSt5vCuDEvgISB_mT9vX/view?usp=drivesdk</v>
      </c>
      <c r="R1022" s="603" t="s">
        <v>3646</v>
      </c>
      <c r="S1022" s="156" t="s">
        <v>3647</v>
      </c>
      <c r="T1022" s="65"/>
      <c r="U1022" s="153">
        <v>1.0</v>
      </c>
      <c r="V1022" s="195" t="str">
        <f t="shared" si="56"/>
        <v>10.1098--rsos.231240.pdf</v>
      </c>
      <c r="W1022" s="156" t="s">
        <v>317</v>
      </c>
      <c r="X1022" s="51" t="str">
        <f t="array" ref="X1022"> if(iserror(MATCH(V1022, 'File Links'!C:C, 0)), "N/A", HYPERLINK(INDEX('File Links'!B:B, MATCH(V1022, 'File Links'!C:C, 0))))</f>
        <v>https://drive.google.com/file/d/17gaf2Zy_ljFfcAEDk5L8GBnTl5i7RGJE/view?usp=drivesdk</v>
      </c>
      <c r="Y1022" s="65"/>
      <c r="Z1022" s="156" t="s">
        <v>141</v>
      </c>
      <c r="AA1022" s="65"/>
      <c r="AB1022" s="65"/>
      <c r="AC1022" s="65"/>
      <c r="AD1022" s="156" t="s">
        <v>131</v>
      </c>
      <c r="AE1022" s="156" t="s">
        <v>131</v>
      </c>
      <c r="AF1022" s="153">
        <v>24.0</v>
      </c>
      <c r="AG1022" s="156" t="s">
        <v>131</v>
      </c>
      <c r="AH1022" s="164" t="s">
        <v>131</v>
      </c>
      <c r="AI1022" s="156" t="s">
        <v>131</v>
      </c>
      <c r="AJ1022" s="156" t="s">
        <v>131</v>
      </c>
      <c r="AK1022" s="65"/>
      <c r="AL1022" s="156" t="s">
        <v>179</v>
      </c>
      <c r="AM1022" s="156" t="s">
        <v>1898</v>
      </c>
      <c r="AN1022" s="148" t="s">
        <v>131</v>
      </c>
      <c r="AO1022" s="153">
        <v>42.0</v>
      </c>
      <c r="AP1022" s="156" t="s">
        <v>131</v>
      </c>
      <c r="AQ1022" s="65"/>
      <c r="AR1022" s="65"/>
      <c r="AS1022" s="156" t="s">
        <v>131</v>
      </c>
      <c r="AT1022" s="65"/>
      <c r="AU1022" s="156" t="s">
        <v>179</v>
      </c>
      <c r="AV1022" s="156" t="s">
        <v>1898</v>
      </c>
      <c r="AW1022" s="65"/>
      <c r="AX1022" s="156" t="s">
        <v>136</v>
      </c>
      <c r="AZ1022" s="65" t="s">
        <v>146</v>
      </c>
    </row>
    <row r="1023" ht="20.25" customHeight="1">
      <c r="A1023" s="41">
        <v>1023.0</v>
      </c>
      <c r="B1023" s="126" t="s">
        <v>4516</v>
      </c>
      <c r="C1023" s="59" t="s">
        <v>108</v>
      </c>
      <c r="D1023" s="59" t="s">
        <v>146</v>
      </c>
      <c r="F1023" s="65" t="s">
        <v>5553</v>
      </c>
      <c r="G1023" s="156" t="s">
        <v>5552</v>
      </c>
      <c r="H1023" s="156" t="s">
        <v>146</v>
      </c>
      <c r="I1023" s="149">
        <v>45687.0</v>
      </c>
      <c r="J1023" s="149">
        <v>45692.0</v>
      </c>
      <c r="K1023" s="434" t="s">
        <v>5556</v>
      </c>
      <c r="L1023" s="65"/>
      <c r="M1023" s="156" t="s">
        <v>5554</v>
      </c>
      <c r="N1023" s="156" t="s">
        <v>5555</v>
      </c>
      <c r="O1023" s="153">
        <v>1.0</v>
      </c>
      <c r="P1023" s="156" t="str">
        <f t="shared" si="52"/>
        <v>10.1162--089892900562219.pdf</v>
      </c>
      <c r="Q1023" s="49" t="str">
        <f t="array" ref="Q1023"> if(iserror(MATCH(V1023, 'File Links'!C:C, 0)), "N/A", HYPERLINK(INDEX('File Links'!B:B, MATCH(P1023, 'File Links'!C:C, 0))))</f>
        <v>https://drive.google.com/file/d/1ExZ7juOSUgumoSt5vCuDEvgISB_mT9vX/view?usp=drivesdk</v>
      </c>
      <c r="R1023" s="603" t="s">
        <v>3646</v>
      </c>
      <c r="S1023" s="156" t="s">
        <v>3647</v>
      </c>
      <c r="T1023" s="65"/>
      <c r="U1023" s="153">
        <v>1.0</v>
      </c>
      <c r="V1023" s="379" t="s">
        <v>3651</v>
      </c>
      <c r="W1023" s="156" t="s">
        <v>3719</v>
      </c>
      <c r="X1023" s="51" t="str">
        <f t="array" ref="X1023"> if(iserror(MATCH(V1023, 'File Links'!C:C, 0)), "N/A", HYPERLINK(INDEX('File Links'!B:B, MATCH(V1023, 'File Links'!C:C, 0))))</f>
        <v>https://drive.google.com/file/d/17gaf2Zy_ljFfcAEDk5L8GBnTl5i7RGJE/view?usp=drivesdk</v>
      </c>
      <c r="Y1023" s="156" t="s">
        <v>4480</v>
      </c>
      <c r="Z1023" s="65"/>
      <c r="AA1023" s="65"/>
      <c r="AB1023" s="65"/>
      <c r="AC1023" s="65"/>
      <c r="AD1023" s="65"/>
      <c r="AE1023" s="65"/>
      <c r="AF1023" s="65"/>
      <c r="AG1023" s="65"/>
      <c r="AH1023" s="65"/>
      <c r="AI1023" s="65"/>
      <c r="AJ1023" s="65"/>
      <c r="AK1023" s="65"/>
      <c r="AL1023" s="65"/>
      <c r="AM1023" s="65"/>
      <c r="AN1023" s="148" t="s">
        <v>131</v>
      </c>
      <c r="AO1023" s="65"/>
      <c r="AP1023" s="65"/>
      <c r="AQ1023" s="65"/>
      <c r="AR1023" s="65"/>
      <c r="AS1023" s="65"/>
      <c r="AT1023" s="65"/>
      <c r="AU1023" s="156" t="s">
        <v>179</v>
      </c>
      <c r="AV1023" s="156" t="s">
        <v>1898</v>
      </c>
      <c r="AW1023" s="65"/>
      <c r="AX1023" s="65"/>
      <c r="AZ1023" s="65" t="s">
        <v>146</v>
      </c>
    </row>
    <row r="1024">
      <c r="A1024" s="41">
        <v>1024.0</v>
      </c>
      <c r="B1024" s="126" t="s">
        <v>107</v>
      </c>
      <c r="C1024" s="59" t="s">
        <v>108</v>
      </c>
      <c r="D1024" s="59" t="s">
        <v>138</v>
      </c>
      <c r="E1024" s="362"/>
      <c r="F1024" s="1304" t="s">
        <v>5557</v>
      </c>
      <c r="G1024" s="1305" t="s">
        <v>5558</v>
      </c>
      <c r="H1024" s="1306" t="s">
        <v>5559</v>
      </c>
      <c r="I1024" s="1307">
        <v>45688.0</v>
      </c>
      <c r="J1024" s="1308">
        <v>45692.0</v>
      </c>
      <c r="K1024" s="1304" t="s">
        <v>5560</v>
      </c>
      <c r="L1024" s="1304" t="s">
        <v>5561</v>
      </c>
      <c r="M1024" s="1306" t="s">
        <v>5562</v>
      </c>
      <c r="N1024" s="1306" t="s">
        <v>5563</v>
      </c>
      <c r="O1024" s="1309">
        <v>1.0</v>
      </c>
      <c r="P1024" s="1306" t="s">
        <v>5564</v>
      </c>
      <c r="Q1024" s="49" t="str">
        <f t="array" ref="Q1024"> if(iserror(MATCH(V1024, 'File Links'!C:C, 0)), "N/A", HYPERLINK(INDEX('File Links'!B:B, MATCH(P1024, 'File Links'!C:C, 0))))</f>
        <v>https://drive.google.com/file/d/17yvRZkdBULPZU-hy9QprgZuJeonQfAel/view?usp=drivesdk</v>
      </c>
      <c r="R1024" s="1310" t="s">
        <v>3646</v>
      </c>
      <c r="S1024" s="156" t="s">
        <v>3647</v>
      </c>
      <c r="T1024" s="1304" t="s">
        <v>1528</v>
      </c>
      <c r="U1024" s="1304" t="s">
        <v>1528</v>
      </c>
      <c r="V1024" s="195" t="str">
        <f t="shared" ref="V1024:V1198" si="57"> hyperlink(vlookup(lower(S1024),#REF!, 2, FALSE), SUBSTITUTE(lower(S1024), "/", "--") &amp;  ".pdf")</f>
        <v>10.1098--rsos.231240.pdf</v>
      </c>
      <c r="W1024" s="1304" t="s">
        <v>1528</v>
      </c>
      <c r="X1024" s="51" t="str">
        <f t="array" ref="X1024"> if(iserror(MATCH(V1024, 'File Links'!C:C, 0)), "N/A", HYPERLINK(INDEX('File Links'!B:B, MATCH(V1024, 'File Links'!C:C, 0))))</f>
        <v>https://drive.google.com/file/d/17gaf2Zy_ljFfcAEDk5L8GBnTl5i7RGJE/view?usp=drivesdk</v>
      </c>
      <c r="Y1024" s="1304"/>
      <c r="Z1024" s="1306" t="s">
        <v>219</v>
      </c>
      <c r="AA1024" s="1304" t="s">
        <v>1528</v>
      </c>
      <c r="AB1024" s="1304" t="s">
        <v>5565</v>
      </c>
      <c r="AC1024" s="1306" t="s">
        <v>5566</v>
      </c>
      <c r="AD1024" s="1304" t="s">
        <v>5567</v>
      </c>
      <c r="AE1024" s="1304" t="s">
        <v>5568</v>
      </c>
      <c r="AF1024" s="1309">
        <v>63.0</v>
      </c>
      <c r="AG1024" s="1304" t="s">
        <v>5569</v>
      </c>
      <c r="AH1024" s="1304" t="s">
        <v>127</v>
      </c>
      <c r="AI1024" s="1304" t="s">
        <v>805</v>
      </c>
      <c r="AJ1024" s="1311" t="s">
        <v>1528</v>
      </c>
      <c r="AK1024" s="1312" t="s">
        <v>1528</v>
      </c>
      <c r="AL1024" s="1312" t="s">
        <v>179</v>
      </c>
      <c r="AM1024" s="1304" t="s">
        <v>130</v>
      </c>
      <c r="AN1024" s="1313" t="s">
        <v>131</v>
      </c>
      <c r="AO1024" s="1309">
        <v>26.0</v>
      </c>
      <c r="AP1024" s="1304" t="s">
        <v>5570</v>
      </c>
      <c r="AQ1024" s="1304" t="s">
        <v>127</v>
      </c>
      <c r="AR1024" s="1313" t="s">
        <v>5571</v>
      </c>
      <c r="AS1024" s="1304" t="s">
        <v>1528</v>
      </c>
      <c r="AT1024" s="1304" t="s">
        <v>1528</v>
      </c>
      <c r="AU1024" s="1304" t="s">
        <v>179</v>
      </c>
      <c r="AV1024" s="1304" t="s">
        <v>130</v>
      </c>
      <c r="AW1024" s="1314" t="s">
        <v>131</v>
      </c>
      <c r="AX1024" s="1304" t="s">
        <v>136</v>
      </c>
      <c r="AZ1024" s="1313" t="s">
        <v>5572</v>
      </c>
    </row>
    <row r="1025">
      <c r="A1025" s="41">
        <v>1025.0</v>
      </c>
      <c r="B1025" s="126" t="s">
        <v>145</v>
      </c>
      <c r="C1025" s="59" t="s">
        <v>108</v>
      </c>
      <c r="D1025" s="59" t="s">
        <v>138</v>
      </c>
      <c r="E1025" s="362"/>
      <c r="F1025" s="1304" t="s">
        <v>5557</v>
      </c>
      <c r="G1025" s="1305" t="s">
        <v>5573</v>
      </c>
      <c r="H1025" s="1306" t="s">
        <v>5559</v>
      </c>
      <c r="I1025" s="1307">
        <v>45688.0</v>
      </c>
      <c r="J1025" s="1308">
        <v>45692.0</v>
      </c>
      <c r="K1025" s="1304" t="s">
        <v>5574</v>
      </c>
      <c r="L1025" s="1304" t="s">
        <v>5575</v>
      </c>
      <c r="M1025" s="1306" t="s">
        <v>5562</v>
      </c>
      <c r="N1025" s="1306" t="s">
        <v>5563</v>
      </c>
      <c r="O1025" s="1309">
        <v>1.0</v>
      </c>
      <c r="P1025" s="1306" t="s">
        <v>5564</v>
      </c>
      <c r="Q1025" s="49" t="str">
        <f t="array" ref="Q1025"> if(iserror(MATCH(V1025, 'File Links'!C:C, 0)), "N/A", HYPERLINK(INDEX('File Links'!B:B, MATCH(P1025, 'File Links'!C:C, 0))))</f>
        <v>https://drive.google.com/file/d/17yvRZkdBULPZU-hy9QprgZuJeonQfAel/view?usp=drivesdk</v>
      </c>
      <c r="R1025" s="1310" t="s">
        <v>3646</v>
      </c>
      <c r="S1025" s="156" t="s">
        <v>3647</v>
      </c>
      <c r="T1025" s="1313" t="s">
        <v>131</v>
      </c>
      <c r="U1025" s="1313" t="s">
        <v>131</v>
      </c>
      <c r="V1025" s="195" t="str">
        <f t="shared" si="57"/>
        <v>10.1098--rsos.231240.pdf</v>
      </c>
      <c r="W1025" s="1315" t="s">
        <v>3658</v>
      </c>
      <c r="X1025" s="51" t="str">
        <f t="array" ref="X1025"> if(iserror(MATCH(V1025, 'File Links'!C:C, 0)), "N/A", HYPERLINK(INDEX('File Links'!B:B, MATCH(V1025, 'File Links'!C:C, 0))))</f>
        <v>https://drive.google.com/file/d/17gaf2Zy_ljFfcAEDk5L8GBnTl5i7RGJE/view?usp=drivesdk</v>
      </c>
      <c r="Y1025" s="1304"/>
      <c r="Z1025" s="1306" t="s">
        <v>219</v>
      </c>
      <c r="AA1025" s="1313" t="s">
        <v>131</v>
      </c>
      <c r="AB1025" s="1304" t="s">
        <v>5565</v>
      </c>
      <c r="AC1025" s="1306" t="s">
        <v>5576</v>
      </c>
      <c r="AD1025" s="1304" t="s">
        <v>5577</v>
      </c>
      <c r="AE1025" s="1304" t="s">
        <v>5568</v>
      </c>
      <c r="AF1025" s="1309">
        <v>63.0</v>
      </c>
      <c r="AG1025" s="1304">
        <f>3.28</f>
        <v>3.28</v>
      </c>
      <c r="AH1025" s="1313" t="s">
        <v>715</v>
      </c>
      <c r="AI1025" s="1304" t="s">
        <v>181</v>
      </c>
      <c r="AJ1025" s="1316">
        <v>0.037</v>
      </c>
      <c r="AK1025" s="1312" t="s">
        <v>165</v>
      </c>
      <c r="AL1025" s="1312" t="s">
        <v>179</v>
      </c>
      <c r="AM1025" s="1304" t="s">
        <v>130</v>
      </c>
      <c r="AN1025" s="1313" t="s">
        <v>131</v>
      </c>
      <c r="AO1025" s="1309">
        <v>26.0</v>
      </c>
      <c r="AP1025" s="1313" t="s">
        <v>5578</v>
      </c>
      <c r="AQ1025" s="1304" t="s">
        <v>127</v>
      </c>
      <c r="AR1025" s="1313" t="s">
        <v>5571</v>
      </c>
      <c r="AS1025" s="371" t="s">
        <v>131</v>
      </c>
      <c r="AT1025" s="216" t="s">
        <v>131</v>
      </c>
      <c r="AU1025" s="1304" t="s">
        <v>179</v>
      </c>
      <c r="AV1025" s="1304" t="s">
        <v>130</v>
      </c>
      <c r="AW1025" s="1314" t="s">
        <v>131</v>
      </c>
      <c r="AX1025" s="1304" t="s">
        <v>136</v>
      </c>
      <c r="AZ1025" s="1313" t="s">
        <v>5572</v>
      </c>
    </row>
    <row r="1026">
      <c r="A1026" s="41">
        <v>1026.0</v>
      </c>
      <c r="B1026" s="126" t="s">
        <v>107</v>
      </c>
      <c r="C1026" s="59" t="s">
        <v>108</v>
      </c>
      <c r="D1026" s="59" t="s">
        <v>241</v>
      </c>
      <c r="E1026" s="362"/>
      <c r="F1026" s="123" t="s">
        <v>5557</v>
      </c>
      <c r="G1026" s="116" t="s">
        <v>5558</v>
      </c>
      <c r="H1026" s="137" t="s">
        <v>242</v>
      </c>
      <c r="I1026" s="314">
        <v>45664.0</v>
      </c>
      <c r="J1026" s="1317">
        <v>45692.0</v>
      </c>
      <c r="K1026" s="122"/>
      <c r="L1026" s="122" t="s">
        <v>5579</v>
      </c>
      <c r="M1026" s="137" t="s">
        <v>5562</v>
      </c>
      <c r="N1026" s="137" t="s">
        <v>5563</v>
      </c>
      <c r="O1026" s="216">
        <v>1.0</v>
      </c>
      <c r="P1026" s="137" t="str">
        <f> SUBSTITUTE(lower(N1026), "/", "--") &amp;  ".pdf"</f>
        <v>10.1111--j.1467-9280.2008.02039.x.pdf</v>
      </c>
      <c r="Q1026" s="49" t="str">
        <f t="array" ref="Q1026"> if(iserror(MATCH(V1026, 'File Links'!C:C, 0)), "N/A", HYPERLINK(INDEX('File Links'!B:B, MATCH(P1026, 'File Links'!C:C, 0))))</f>
        <v>https://drive.google.com/file/d/17yvRZkdBULPZU-hy9QprgZuJeonQfAel/view?usp=drivesdk</v>
      </c>
      <c r="R1026" s="1318" t="s">
        <v>5580</v>
      </c>
      <c r="S1026" s="156" t="s">
        <v>3647</v>
      </c>
      <c r="T1026" s="216" t="s">
        <v>131</v>
      </c>
      <c r="U1026" s="216" t="s">
        <v>131</v>
      </c>
      <c r="V1026" s="195" t="str">
        <f t="shared" si="57"/>
        <v>10.1098--rsos.231240.pdf</v>
      </c>
      <c r="W1026" s="137" t="s">
        <v>3658</v>
      </c>
      <c r="X1026" s="51" t="str">
        <f t="array" ref="X1026"> if(iserror(MATCH(V1026, 'File Links'!C:C, 0)), "N/A", HYPERLINK(INDEX('File Links'!B:B, MATCH(V1026, 'File Links'!C:C, 0))))</f>
        <v>https://drive.google.com/file/d/17gaf2Zy_ljFfcAEDk5L8GBnTl5i7RGJE/view?usp=drivesdk</v>
      </c>
      <c r="Y1026" s="122"/>
      <c r="Z1026" s="137" t="s">
        <v>203</v>
      </c>
      <c r="AA1026" s="122"/>
      <c r="AB1026" s="122"/>
      <c r="AC1026" s="122"/>
      <c r="AD1026" s="137" t="s">
        <v>5581</v>
      </c>
      <c r="AE1026" s="779">
        <v>19.0</v>
      </c>
      <c r="AF1026" s="779">
        <v>56.0</v>
      </c>
      <c r="AG1026" s="779">
        <v>3.28</v>
      </c>
      <c r="AH1026" s="137" t="s">
        <v>715</v>
      </c>
      <c r="AI1026" s="137" t="s">
        <v>3248</v>
      </c>
      <c r="AJ1026" s="130">
        <v>0.037</v>
      </c>
      <c r="AK1026" s="123" t="s">
        <v>165</v>
      </c>
      <c r="AL1026" s="123" t="s">
        <v>179</v>
      </c>
      <c r="AM1026" s="137" t="s">
        <v>130</v>
      </c>
      <c r="AN1026" s="1313" t="s">
        <v>131</v>
      </c>
      <c r="AO1026" s="779">
        <v>26.0</v>
      </c>
      <c r="AP1026" s="137" t="s">
        <v>131</v>
      </c>
      <c r="AQ1026" s="122"/>
      <c r="AR1026" s="1313" t="s">
        <v>5571</v>
      </c>
      <c r="AS1026" s="137" t="s">
        <v>131</v>
      </c>
      <c r="AT1026" s="122"/>
      <c r="AU1026" s="137" t="s">
        <v>179</v>
      </c>
      <c r="AV1026" s="137" t="s">
        <v>130</v>
      </c>
      <c r="AW1026" s="1314" t="s">
        <v>131</v>
      </c>
      <c r="AX1026" s="137" t="s">
        <v>136</v>
      </c>
      <c r="AZ1026" s="1313" t="s">
        <v>5572</v>
      </c>
    </row>
    <row r="1027">
      <c r="A1027" s="41">
        <v>1027.0</v>
      </c>
      <c r="B1027" s="327" t="s">
        <v>107</v>
      </c>
      <c r="C1027" s="322" t="s">
        <v>108</v>
      </c>
      <c r="D1027" s="322" t="s">
        <v>138</v>
      </c>
      <c r="E1027" s="223"/>
      <c r="F1027" s="328" t="s">
        <v>5582</v>
      </c>
      <c r="G1027" s="409" t="s">
        <v>5583</v>
      </c>
      <c r="H1027" s="241" t="s">
        <v>5559</v>
      </c>
      <c r="I1027" s="655">
        <v>45688.0</v>
      </c>
      <c r="J1027" s="1319">
        <v>45692.0</v>
      </c>
      <c r="K1027" s="328" t="s">
        <v>5584</v>
      </c>
      <c r="L1027" s="328" t="s">
        <v>5561</v>
      </c>
      <c r="M1027" s="241" t="s">
        <v>5585</v>
      </c>
      <c r="N1027" s="241" t="s">
        <v>5586</v>
      </c>
      <c r="O1027" s="331">
        <v>1.0</v>
      </c>
      <c r="P1027" s="241" t="s">
        <v>5587</v>
      </c>
      <c r="Q1027" s="49" t="str">
        <f t="array" ref="Q1027"> if(iserror(MATCH(V1027, 'File Links'!C:C, 0)), "N/A", HYPERLINK(INDEX('File Links'!B:B, MATCH(P1027, 'File Links'!C:C, 0))))</f>
        <v>https://drive.google.com/file/d/1dU1UjhKXuYwEUy9G1SAQvFWoiujBUM-l/view?usp=drivesdk</v>
      </c>
      <c r="R1027" s="1320" t="s">
        <v>3646</v>
      </c>
      <c r="S1027" s="156" t="s">
        <v>3647</v>
      </c>
      <c r="T1027" s="328" t="s">
        <v>1528</v>
      </c>
      <c r="U1027" s="328" t="s">
        <v>1528</v>
      </c>
      <c r="V1027" s="195" t="str">
        <f t="shared" si="57"/>
        <v>10.1098--rsos.231240.pdf</v>
      </c>
      <c r="W1027" s="328" t="s">
        <v>1528</v>
      </c>
      <c r="X1027" s="51" t="str">
        <f t="array" ref="X1027"> if(iserror(MATCH(V1027, 'File Links'!C:C, 0)), "N/A", HYPERLINK(INDEX('File Links'!B:B, MATCH(V1027, 'File Links'!C:C, 0))))</f>
        <v>https://drive.google.com/file/d/17gaf2Zy_ljFfcAEDk5L8GBnTl5i7RGJE/view?usp=drivesdk</v>
      </c>
      <c r="Y1027" s="328"/>
      <c r="Z1027" s="241" t="s">
        <v>219</v>
      </c>
      <c r="AA1027" s="328" t="s">
        <v>5588</v>
      </c>
      <c r="AB1027" s="328" t="s">
        <v>5589</v>
      </c>
      <c r="AC1027" s="241" t="s">
        <v>5590</v>
      </c>
      <c r="AD1027" s="328" t="s">
        <v>5591</v>
      </c>
      <c r="AE1027" s="1175">
        <v>3.0</v>
      </c>
      <c r="AF1027" s="331">
        <v>28.0</v>
      </c>
      <c r="AG1027" s="1175">
        <v>0.92</v>
      </c>
      <c r="AH1027" s="328" t="s">
        <v>166</v>
      </c>
      <c r="AI1027" s="328" t="s">
        <v>210</v>
      </c>
      <c r="AJ1027" s="1179">
        <v>1.0E-4</v>
      </c>
      <c r="AK1027" s="387" t="s">
        <v>128</v>
      </c>
      <c r="AL1027" s="387" t="s">
        <v>179</v>
      </c>
      <c r="AM1027" s="328" t="s">
        <v>130</v>
      </c>
      <c r="AN1027" s="663" t="s">
        <v>5592</v>
      </c>
      <c r="AO1027" s="331">
        <v>25.0</v>
      </c>
      <c r="AP1027" s="1175">
        <v>2.08342966938226</v>
      </c>
      <c r="AQ1027" s="328" t="s">
        <v>166</v>
      </c>
      <c r="AR1027" s="327" t="s">
        <v>5571</v>
      </c>
      <c r="AS1027" s="1321">
        <v>3.29154931197221E-10</v>
      </c>
      <c r="AT1027" s="328" t="s">
        <v>165</v>
      </c>
      <c r="AU1027" s="328" t="s">
        <v>179</v>
      </c>
      <c r="AV1027" s="328" t="s">
        <v>130</v>
      </c>
      <c r="AW1027" s="1322" t="s">
        <v>131</v>
      </c>
      <c r="AX1027" s="328" t="s">
        <v>136</v>
      </c>
      <c r="AY1027" s="223"/>
      <c r="AZ1027" s="327" t="s">
        <v>5572</v>
      </c>
    </row>
    <row r="1028">
      <c r="A1028" s="41">
        <v>1028.0</v>
      </c>
      <c r="B1028" s="327" t="s">
        <v>107</v>
      </c>
      <c r="C1028" s="322" t="s">
        <v>108</v>
      </c>
      <c r="D1028" s="322" t="s">
        <v>138</v>
      </c>
      <c r="E1028" s="223"/>
      <c r="F1028" s="328" t="s">
        <v>5582</v>
      </c>
      <c r="G1028" s="409" t="s">
        <v>5593</v>
      </c>
      <c r="H1028" s="241" t="s">
        <v>5559</v>
      </c>
      <c r="I1028" s="655">
        <v>45688.0</v>
      </c>
      <c r="J1028" s="1319">
        <v>45692.0</v>
      </c>
      <c r="K1028" s="1038" t="s">
        <v>5594</v>
      </c>
      <c r="L1028" s="328" t="s">
        <v>5595</v>
      </c>
      <c r="M1028" s="241" t="s">
        <v>5585</v>
      </c>
      <c r="N1028" s="241" t="s">
        <v>5586</v>
      </c>
      <c r="O1028" s="331">
        <v>1.0</v>
      </c>
      <c r="P1028" s="241" t="s">
        <v>5587</v>
      </c>
      <c r="Q1028" s="49" t="str">
        <f t="array" ref="Q1028"> if(iserror(MATCH(V1028, 'File Links'!C:C, 0)), "N/A", HYPERLINK(INDEX('File Links'!B:B, MATCH(P1028, 'File Links'!C:C, 0))))</f>
        <v>https://drive.google.com/file/d/1dU1UjhKXuYwEUy9G1SAQvFWoiujBUM-l/view?usp=drivesdk</v>
      </c>
      <c r="R1028" s="1320" t="s">
        <v>3646</v>
      </c>
      <c r="S1028" s="156" t="s">
        <v>3647</v>
      </c>
      <c r="T1028" s="328" t="s">
        <v>1528</v>
      </c>
      <c r="U1028" s="328" t="s">
        <v>1528</v>
      </c>
      <c r="V1028" s="195" t="str">
        <f t="shared" si="57"/>
        <v>10.1098--rsos.231240.pdf</v>
      </c>
      <c r="W1028" s="328" t="s">
        <v>1528</v>
      </c>
      <c r="X1028" s="51" t="str">
        <f t="array" ref="X1028"> if(iserror(MATCH(V1028, 'File Links'!C:C, 0)), "N/A", HYPERLINK(INDEX('File Links'!B:B, MATCH(V1028, 'File Links'!C:C, 0))))</f>
        <v>https://drive.google.com/file/d/17gaf2Zy_ljFfcAEDk5L8GBnTl5i7RGJE/view?usp=drivesdk</v>
      </c>
      <c r="Y1028" s="328"/>
      <c r="Z1028" s="241" t="s">
        <v>219</v>
      </c>
      <c r="AA1028" s="328" t="s">
        <v>5588</v>
      </c>
      <c r="AB1028" s="328" t="s">
        <v>5589</v>
      </c>
      <c r="AC1028" s="241" t="s">
        <v>5596</v>
      </c>
      <c r="AD1028" s="328" t="s">
        <v>5597</v>
      </c>
      <c r="AE1028" s="1175">
        <v>3.0</v>
      </c>
      <c r="AF1028" s="331">
        <v>24.0</v>
      </c>
      <c r="AG1028" s="1175">
        <v>0.57</v>
      </c>
      <c r="AH1028" s="328" t="s">
        <v>166</v>
      </c>
      <c r="AI1028" s="328" t="s">
        <v>210</v>
      </c>
      <c r="AJ1028" s="1179">
        <v>1.0E-4</v>
      </c>
      <c r="AK1028" s="387" t="s">
        <v>128</v>
      </c>
      <c r="AL1028" s="387" t="s">
        <v>179</v>
      </c>
      <c r="AM1028" s="328" t="s">
        <v>130</v>
      </c>
      <c r="AN1028" s="663" t="s">
        <v>5592</v>
      </c>
      <c r="AO1028" s="331">
        <v>25.0</v>
      </c>
      <c r="AP1028" s="1175">
        <v>2.08342966938226</v>
      </c>
      <c r="AQ1028" s="328" t="s">
        <v>166</v>
      </c>
      <c r="AR1028" s="327" t="s">
        <v>5571</v>
      </c>
      <c r="AS1028" s="1321">
        <v>3.29154931197221E-10</v>
      </c>
      <c r="AT1028" s="328" t="s">
        <v>165</v>
      </c>
      <c r="AU1028" s="328" t="s">
        <v>179</v>
      </c>
      <c r="AV1028" s="328" t="s">
        <v>130</v>
      </c>
      <c r="AW1028" s="1322" t="s">
        <v>131</v>
      </c>
      <c r="AX1028" s="328" t="s">
        <v>136</v>
      </c>
      <c r="AY1028" s="223"/>
      <c r="AZ1028" s="327" t="s">
        <v>5572</v>
      </c>
    </row>
    <row r="1029">
      <c r="A1029" s="41">
        <v>1029.0</v>
      </c>
      <c r="B1029" s="327" t="s">
        <v>145</v>
      </c>
      <c r="C1029" s="322" t="s">
        <v>108</v>
      </c>
      <c r="D1029" s="322" t="s">
        <v>241</v>
      </c>
      <c r="E1029" s="223"/>
      <c r="F1029" s="409" t="s">
        <v>5582</v>
      </c>
      <c r="G1029" s="321" t="s">
        <v>5583</v>
      </c>
      <c r="H1029" s="241" t="s">
        <v>242</v>
      </c>
      <c r="I1029" s="655">
        <v>45663.0</v>
      </c>
      <c r="J1029" s="1319">
        <v>45692.0</v>
      </c>
      <c r="K1029" s="328"/>
      <c r="L1029" s="327" t="s">
        <v>5598</v>
      </c>
      <c r="M1029" s="241" t="s">
        <v>5585</v>
      </c>
      <c r="N1029" s="241" t="s">
        <v>5586</v>
      </c>
      <c r="O1029" s="327">
        <v>1.0</v>
      </c>
      <c r="P1029" s="241" t="str">
        <f> SUBSTITUTE(lower(N1029), "/", "--") &amp;  ".pdf"</f>
        <v>10.1177--0956797620927967.pdf</v>
      </c>
      <c r="Q1029" s="49" t="str">
        <f t="array" ref="Q1029"> if(iserror(MATCH(V1029, 'File Links'!C:C, 0)), "N/A", HYPERLINK(INDEX('File Links'!B:B, MATCH(P1029, 'File Links'!C:C, 0))))</f>
        <v>https://drive.google.com/file/d/1dU1UjhKXuYwEUy9G1SAQvFWoiujBUM-l/view?usp=drivesdk</v>
      </c>
      <c r="R1029" s="1320" t="s">
        <v>5599</v>
      </c>
      <c r="S1029" s="156" t="s">
        <v>3647</v>
      </c>
      <c r="T1029" s="328"/>
      <c r="U1029" s="328"/>
      <c r="V1029" s="195" t="str">
        <f t="shared" si="57"/>
        <v>10.1098--rsos.231240.pdf</v>
      </c>
      <c r="W1029" s="241" t="s">
        <v>317</v>
      </c>
      <c r="X1029" s="51" t="str">
        <f t="array" ref="X1029"> if(iserror(MATCH(V1029, 'File Links'!C:C, 0)), "N/A", HYPERLINK(INDEX('File Links'!B:B, MATCH(V1029, 'File Links'!C:C, 0))))</f>
        <v>https://drive.google.com/file/d/17gaf2Zy_ljFfcAEDk5L8GBnTl5i7RGJE/view?usp=drivesdk</v>
      </c>
      <c r="Y1029" s="328"/>
      <c r="Z1029" s="241" t="s">
        <v>219</v>
      </c>
      <c r="AA1029" s="328" t="s">
        <v>5588</v>
      </c>
      <c r="AB1029" s="328" t="s">
        <v>5589</v>
      </c>
      <c r="AC1029" s="241" t="s">
        <v>5596</v>
      </c>
      <c r="AD1029" s="241" t="s">
        <v>5600</v>
      </c>
      <c r="AE1029" s="331">
        <v>3.0</v>
      </c>
      <c r="AF1029" s="331">
        <v>28.0</v>
      </c>
      <c r="AG1029" s="331">
        <v>0.92</v>
      </c>
      <c r="AH1029" s="241" t="s">
        <v>166</v>
      </c>
      <c r="AI1029" s="241" t="s">
        <v>210</v>
      </c>
      <c r="AJ1029" s="1173">
        <v>0.001</v>
      </c>
      <c r="AK1029" s="409" t="s">
        <v>128</v>
      </c>
      <c r="AL1029" s="409" t="s">
        <v>179</v>
      </c>
      <c r="AM1029" s="241" t="s">
        <v>130</v>
      </c>
      <c r="AN1029" s="663" t="s">
        <v>5592</v>
      </c>
      <c r="AO1029" s="331">
        <v>25.0</v>
      </c>
      <c r="AP1029" s="331">
        <v>2.08342966938226</v>
      </c>
      <c r="AQ1029" s="241" t="s">
        <v>166</v>
      </c>
      <c r="AR1029" s="327" t="s">
        <v>5571</v>
      </c>
      <c r="AS1029" s="1323">
        <v>3.29154931197221E-10</v>
      </c>
      <c r="AT1029" s="241" t="s">
        <v>165</v>
      </c>
      <c r="AU1029" s="241" t="s">
        <v>179</v>
      </c>
      <c r="AV1029" s="241" t="s">
        <v>130</v>
      </c>
      <c r="AW1029" s="1322" t="s">
        <v>131</v>
      </c>
      <c r="AX1029" s="241" t="s">
        <v>136</v>
      </c>
      <c r="AY1029" s="223"/>
      <c r="AZ1029" s="327" t="s">
        <v>5572</v>
      </c>
    </row>
    <row r="1030">
      <c r="A1030" s="41">
        <v>1030.0</v>
      </c>
      <c r="B1030" s="371" t="s">
        <v>145</v>
      </c>
      <c r="C1030" s="185" t="s">
        <v>108</v>
      </c>
      <c r="D1030" s="185" t="s">
        <v>138</v>
      </c>
      <c r="E1030" s="186"/>
      <c r="F1030" s="187" t="s">
        <v>5601</v>
      </c>
      <c r="G1030" s="55" t="s">
        <v>5602</v>
      </c>
      <c r="H1030" s="195" t="s">
        <v>5559</v>
      </c>
      <c r="I1030" s="188">
        <v>45688.0</v>
      </c>
      <c r="J1030" s="1324">
        <v>45692.0</v>
      </c>
      <c r="K1030" s="187"/>
      <c r="L1030" s="187" t="s">
        <v>5603</v>
      </c>
      <c r="M1030" s="195" t="s">
        <v>5604</v>
      </c>
      <c r="N1030" s="195" t="s">
        <v>5605</v>
      </c>
      <c r="O1030" s="195" t="s">
        <v>5606</v>
      </c>
      <c r="P1030" s="195" t="s">
        <v>5607</v>
      </c>
      <c r="Q1030" s="49" t="str">
        <f t="array" ref="Q1030"> if(iserror(MATCH(V1030, 'File Links'!C:C, 0)), "N/A", HYPERLINK(INDEX('File Links'!B:B, MATCH(P1030, 'File Links'!C:C, 0))))</f>
        <v>https://drive.google.com/file/d/1F1gmEthZ6jBt549BBg-rdg_5OVDXWokk/view?usp=drivesdk</v>
      </c>
      <c r="R1030" s="974" t="s">
        <v>3646</v>
      </c>
      <c r="S1030" s="156" t="s">
        <v>3647</v>
      </c>
      <c r="T1030" s="187" t="s">
        <v>1528</v>
      </c>
      <c r="U1030" s="187" t="s">
        <v>1528</v>
      </c>
      <c r="V1030" s="195" t="str">
        <f t="shared" si="57"/>
        <v>10.1098--rsos.231240.pdf</v>
      </c>
      <c r="W1030" s="195" t="s">
        <v>3658</v>
      </c>
      <c r="X1030" s="51" t="str">
        <f t="array" ref="X1030"> if(iserror(MATCH(V1030, 'File Links'!C:C, 0)), "N/A", HYPERLINK(INDEX('File Links'!B:B, MATCH(V1030, 'File Links'!C:C, 0))))</f>
        <v>https://drive.google.com/file/d/17gaf2Zy_ljFfcAEDk5L8GBnTl5i7RGJE/view?usp=drivesdk</v>
      </c>
      <c r="Y1030" s="187"/>
      <c r="Z1030" s="195" t="s">
        <v>141</v>
      </c>
      <c r="AA1030" s="371" t="s">
        <v>131</v>
      </c>
      <c r="AB1030" s="187" t="s">
        <v>5608</v>
      </c>
      <c r="AC1030" s="195" t="s">
        <v>5609</v>
      </c>
      <c r="AD1030" s="187" t="s">
        <v>5610</v>
      </c>
      <c r="AE1030" s="187" t="s">
        <v>5611</v>
      </c>
      <c r="AF1030" s="755">
        <v>60.0</v>
      </c>
      <c r="AG1030" s="187" t="s">
        <v>5612</v>
      </c>
      <c r="AH1030" s="187" t="s">
        <v>127</v>
      </c>
      <c r="AI1030" s="747">
        <v>7.0</v>
      </c>
      <c r="AJ1030" s="1125">
        <v>5.0E-4</v>
      </c>
      <c r="AK1030" s="190" t="s">
        <v>128</v>
      </c>
      <c r="AL1030" s="190" t="s">
        <v>179</v>
      </c>
      <c r="AM1030" s="187" t="s">
        <v>130</v>
      </c>
      <c r="AN1030" s="1313" t="s">
        <v>131</v>
      </c>
      <c r="AO1030" s="755">
        <v>55.0</v>
      </c>
      <c r="AP1030" s="371">
        <v>0.26</v>
      </c>
      <c r="AQ1030" s="371" t="s">
        <v>980</v>
      </c>
      <c r="AR1030" s="371" t="s">
        <v>5571</v>
      </c>
      <c r="AS1030" s="187" t="s">
        <v>1528</v>
      </c>
      <c r="AT1030" s="187" t="s">
        <v>1528</v>
      </c>
      <c r="AU1030" s="187" t="s">
        <v>179</v>
      </c>
      <c r="AV1030" s="187" t="s">
        <v>130</v>
      </c>
      <c r="AW1030" s="1325" t="s">
        <v>131</v>
      </c>
      <c r="AX1030" s="187" t="s">
        <v>136</v>
      </c>
      <c r="AY1030" s="186"/>
      <c r="AZ1030" s="371" t="s">
        <v>5572</v>
      </c>
    </row>
    <row r="1031">
      <c r="A1031" s="41">
        <v>1031.0</v>
      </c>
      <c r="B1031" s="187" t="s">
        <v>107</v>
      </c>
      <c r="C1031" s="185" t="s">
        <v>108</v>
      </c>
      <c r="D1031" s="185" t="s">
        <v>241</v>
      </c>
      <c r="E1031" s="186"/>
      <c r="F1031" s="55" t="s">
        <v>5601</v>
      </c>
      <c r="G1031" s="572" t="s">
        <v>5602</v>
      </c>
      <c r="H1031" s="195" t="s">
        <v>242</v>
      </c>
      <c r="I1031" s="188">
        <v>45664.0</v>
      </c>
      <c r="J1031" s="1324">
        <v>45692.0</v>
      </c>
      <c r="K1031" s="187"/>
      <c r="L1031" s="187" t="s">
        <v>5561</v>
      </c>
      <c r="M1031" s="195" t="s">
        <v>5604</v>
      </c>
      <c r="N1031" s="195" t="s">
        <v>5605</v>
      </c>
      <c r="O1031" s="187"/>
      <c r="P1031" s="195" t="str">
        <f> SUBSTITUTE(lower(N1031), "/", "--") &amp;  ".pdf"</f>
        <v>10.1111--j.1551-6709.2010.01164.x.pdf</v>
      </c>
      <c r="Q1031" s="49" t="str">
        <f t="array" ref="Q1031"> if(iserror(MATCH(V1031, 'File Links'!C:C, 0)), "N/A", HYPERLINK(INDEX('File Links'!B:B, MATCH(P1031, 'File Links'!C:C, 0))))</f>
        <v>https://drive.google.com/file/d/1F1gmEthZ6jBt549BBg-rdg_5OVDXWokk/view?usp=drivesdk</v>
      </c>
      <c r="R1031" s="974" t="s">
        <v>5613</v>
      </c>
      <c r="S1031" s="156" t="s">
        <v>3647</v>
      </c>
      <c r="T1031" s="187"/>
      <c r="U1031" s="187"/>
      <c r="V1031" s="195" t="str">
        <f t="shared" si="57"/>
        <v>10.1098--rsos.231240.pdf</v>
      </c>
      <c r="W1031" s="195" t="s">
        <v>3658</v>
      </c>
      <c r="X1031" s="51" t="str">
        <f t="array" ref="X1031"> if(iserror(MATCH(V1031, 'File Links'!C:C, 0)), "N/A", HYPERLINK(INDEX('File Links'!B:B, MATCH(V1031, 'File Links'!C:C, 0))))</f>
        <v>https://drive.google.com/file/d/17gaf2Zy_ljFfcAEDk5L8GBnTl5i7RGJE/view?usp=drivesdk</v>
      </c>
      <c r="Y1031" s="187"/>
      <c r="Z1031" s="195" t="s">
        <v>141</v>
      </c>
      <c r="AA1031" s="371" t="s">
        <v>131</v>
      </c>
      <c r="AB1031" s="187" t="s">
        <v>5608</v>
      </c>
      <c r="AC1031" s="195"/>
      <c r="AD1031" s="195" t="s">
        <v>5614</v>
      </c>
      <c r="AE1031" s="755">
        <v>989.0</v>
      </c>
      <c r="AF1031" s="755">
        <v>60.0</v>
      </c>
      <c r="AG1031" s="792" t="s">
        <v>5615</v>
      </c>
      <c r="AH1031" s="116" t="s">
        <v>127</v>
      </c>
      <c r="AI1031" s="195" t="s">
        <v>5616</v>
      </c>
      <c r="AJ1031" s="872">
        <v>0.01</v>
      </c>
      <c r="AK1031" s="55" t="s">
        <v>128</v>
      </c>
      <c r="AL1031" s="55" t="s">
        <v>179</v>
      </c>
      <c r="AM1031" s="195" t="s">
        <v>134</v>
      </c>
      <c r="AN1031" s="1313" t="s">
        <v>131</v>
      </c>
      <c r="AO1031" s="755">
        <v>55.0</v>
      </c>
      <c r="AP1031" s="195" t="s">
        <v>131</v>
      </c>
      <c r="AQ1031" s="187"/>
      <c r="AR1031" s="371" t="s">
        <v>5571</v>
      </c>
      <c r="AS1031" s="195" t="s">
        <v>131</v>
      </c>
      <c r="AT1031" s="187"/>
      <c r="AU1031" s="195" t="s">
        <v>179</v>
      </c>
      <c r="AV1031" s="195" t="s">
        <v>134</v>
      </c>
      <c r="AW1031" s="1325" t="s">
        <v>131</v>
      </c>
      <c r="AX1031" s="195" t="s">
        <v>136</v>
      </c>
      <c r="AY1031" s="186"/>
      <c r="AZ1031" s="371" t="s">
        <v>5572</v>
      </c>
    </row>
    <row r="1032">
      <c r="A1032" s="41">
        <v>1032.0</v>
      </c>
      <c r="B1032" s="371" t="s">
        <v>145</v>
      </c>
      <c r="C1032" s="185" t="s">
        <v>108</v>
      </c>
      <c r="D1032" s="185" t="s">
        <v>138</v>
      </c>
      <c r="E1032" s="186"/>
      <c r="F1032" s="55" t="s">
        <v>5601</v>
      </c>
      <c r="G1032" s="55" t="s">
        <v>5617</v>
      </c>
      <c r="H1032" s="195" t="s">
        <v>5559</v>
      </c>
      <c r="I1032" s="188">
        <v>45688.0</v>
      </c>
      <c r="J1032" s="1324">
        <v>45692.0</v>
      </c>
      <c r="K1032" s="187"/>
      <c r="L1032" s="371" t="s">
        <v>5618</v>
      </c>
      <c r="M1032" s="195" t="s">
        <v>5604</v>
      </c>
      <c r="N1032" s="195" t="s">
        <v>5605</v>
      </c>
      <c r="O1032" s="195" t="s">
        <v>5606</v>
      </c>
      <c r="P1032" s="195" t="s">
        <v>5607</v>
      </c>
      <c r="Q1032" s="49" t="str">
        <f t="array" ref="Q1032"> if(iserror(MATCH(V1032, 'File Links'!C:C, 0)), "N/A", HYPERLINK(INDEX('File Links'!B:B, MATCH(P1032, 'File Links'!C:C, 0))))</f>
        <v>https://drive.google.com/file/d/1F1gmEthZ6jBt549BBg-rdg_5OVDXWokk/view?usp=drivesdk</v>
      </c>
      <c r="R1032" s="974" t="s">
        <v>3646</v>
      </c>
      <c r="S1032" s="156" t="s">
        <v>3647</v>
      </c>
      <c r="T1032" s="144" t="s">
        <v>131</v>
      </c>
      <c r="U1032" s="144" t="s">
        <v>131</v>
      </c>
      <c r="V1032" s="195" t="str">
        <f t="shared" si="57"/>
        <v>10.1098--rsos.231240.pdf</v>
      </c>
      <c r="W1032" s="195" t="s">
        <v>3658</v>
      </c>
      <c r="X1032" s="51" t="str">
        <f t="array" ref="X1032"> if(iserror(MATCH(V1032, 'File Links'!C:C, 0)), "N/A", HYPERLINK(INDEX('File Links'!B:B, MATCH(V1032, 'File Links'!C:C, 0))))</f>
        <v>https://drive.google.com/file/d/17gaf2Zy_ljFfcAEDk5L8GBnTl5i7RGJE/view?usp=drivesdk</v>
      </c>
      <c r="Y1032" s="187"/>
      <c r="Z1032" s="195" t="s">
        <v>141</v>
      </c>
      <c r="AA1032" s="371" t="s">
        <v>131</v>
      </c>
      <c r="AB1032" s="187" t="s">
        <v>5608</v>
      </c>
      <c r="AC1032" s="195" t="s">
        <v>5619</v>
      </c>
      <c r="AD1032" s="187" t="s">
        <v>5620</v>
      </c>
      <c r="AE1032" s="187" t="s">
        <v>5611</v>
      </c>
      <c r="AF1032" s="755">
        <v>60.0</v>
      </c>
      <c r="AG1032" s="187" t="s">
        <v>5615</v>
      </c>
      <c r="AH1032" s="187" t="s">
        <v>127</v>
      </c>
      <c r="AI1032" s="747">
        <v>7.0</v>
      </c>
      <c r="AJ1032" s="1125">
        <v>0.01</v>
      </c>
      <c r="AK1032" s="190" t="s">
        <v>128</v>
      </c>
      <c r="AL1032" s="190" t="s">
        <v>179</v>
      </c>
      <c r="AM1032" s="187" t="s">
        <v>130</v>
      </c>
      <c r="AN1032" s="1313" t="s">
        <v>131</v>
      </c>
      <c r="AO1032" s="755">
        <v>55.0</v>
      </c>
      <c r="AP1032" s="371">
        <v>0.26</v>
      </c>
      <c r="AQ1032" s="371" t="s">
        <v>980</v>
      </c>
      <c r="AR1032" s="371" t="s">
        <v>5571</v>
      </c>
      <c r="AS1032" s="371" t="s">
        <v>131</v>
      </c>
      <c r="AT1032" s="216" t="s">
        <v>131</v>
      </c>
      <c r="AU1032" s="187" t="s">
        <v>179</v>
      </c>
      <c r="AV1032" s="187" t="s">
        <v>130</v>
      </c>
      <c r="AW1032" s="1325" t="s">
        <v>131</v>
      </c>
      <c r="AX1032" s="187" t="s">
        <v>136</v>
      </c>
      <c r="AY1032" s="186"/>
      <c r="AZ1032" s="371" t="s">
        <v>5572</v>
      </c>
    </row>
    <row r="1033">
      <c r="A1033" s="41">
        <v>1033.0</v>
      </c>
      <c r="B1033" s="371" t="s">
        <v>107</v>
      </c>
      <c r="C1033" s="185" t="s">
        <v>108</v>
      </c>
      <c r="D1033" s="185" t="s">
        <v>138</v>
      </c>
      <c r="E1033" s="186"/>
      <c r="F1033" s="55" t="s">
        <v>5601</v>
      </c>
      <c r="G1033" s="55" t="s">
        <v>5621</v>
      </c>
      <c r="H1033" s="195" t="s">
        <v>5559</v>
      </c>
      <c r="I1033" s="188">
        <v>45688.0</v>
      </c>
      <c r="J1033" s="1324">
        <v>45692.0</v>
      </c>
      <c r="K1033" s="187"/>
      <c r="L1033" s="187" t="s">
        <v>5622</v>
      </c>
      <c r="M1033" s="195" t="s">
        <v>5604</v>
      </c>
      <c r="N1033" s="195" t="s">
        <v>5605</v>
      </c>
      <c r="O1033" s="195" t="s">
        <v>5606</v>
      </c>
      <c r="P1033" s="195" t="s">
        <v>5607</v>
      </c>
      <c r="Q1033" s="49" t="str">
        <f t="array" ref="Q1033"> if(iserror(MATCH(V1033, 'File Links'!C:C, 0)), "N/A", HYPERLINK(INDEX('File Links'!B:B, MATCH(P1033, 'File Links'!C:C, 0))))</f>
        <v>https://drive.google.com/file/d/1F1gmEthZ6jBt549BBg-rdg_5OVDXWokk/view?usp=drivesdk</v>
      </c>
      <c r="R1033" s="974" t="s">
        <v>3646</v>
      </c>
      <c r="S1033" s="156" t="s">
        <v>3647</v>
      </c>
      <c r="T1033" s="187" t="s">
        <v>1528</v>
      </c>
      <c r="U1033" s="187" t="s">
        <v>1528</v>
      </c>
      <c r="V1033" s="195" t="str">
        <f t="shared" si="57"/>
        <v>10.1098--rsos.231240.pdf</v>
      </c>
      <c r="W1033" s="195" t="s">
        <v>3658</v>
      </c>
      <c r="X1033" s="51" t="str">
        <f t="array" ref="X1033"> if(iserror(MATCH(V1033, 'File Links'!C:C, 0)), "N/A", HYPERLINK(INDEX('File Links'!B:B, MATCH(V1033, 'File Links'!C:C, 0))))</f>
        <v>https://drive.google.com/file/d/17gaf2Zy_ljFfcAEDk5L8GBnTl5i7RGJE/view?usp=drivesdk</v>
      </c>
      <c r="Y1033" s="187"/>
      <c r="Z1033" s="195" t="s">
        <v>141</v>
      </c>
      <c r="AA1033" s="371" t="s">
        <v>131</v>
      </c>
      <c r="AB1033" s="187" t="s">
        <v>5608</v>
      </c>
      <c r="AC1033" s="195" t="s">
        <v>5623</v>
      </c>
      <c r="AD1033" s="187" t="s">
        <v>5624</v>
      </c>
      <c r="AE1033" s="187" t="s">
        <v>5611</v>
      </c>
      <c r="AF1033" s="755">
        <v>60.0</v>
      </c>
      <c r="AG1033" s="187" t="s">
        <v>5625</v>
      </c>
      <c r="AH1033" s="187" t="s">
        <v>127</v>
      </c>
      <c r="AI1033" s="747">
        <v>7.0</v>
      </c>
      <c r="AJ1033" s="1125">
        <v>1.0E-4</v>
      </c>
      <c r="AK1033" s="190" t="s">
        <v>128</v>
      </c>
      <c r="AL1033" s="190" t="s">
        <v>179</v>
      </c>
      <c r="AM1033" s="187" t="s">
        <v>130</v>
      </c>
      <c r="AN1033" s="1313" t="s">
        <v>131</v>
      </c>
      <c r="AO1033" s="755">
        <v>55.0</v>
      </c>
      <c r="AP1033" s="187" t="s">
        <v>5626</v>
      </c>
      <c r="AQ1033" s="187" t="s">
        <v>127</v>
      </c>
      <c r="AR1033" s="371" t="s">
        <v>5571</v>
      </c>
      <c r="AS1033" s="187" t="s">
        <v>1528</v>
      </c>
      <c r="AT1033" s="187" t="s">
        <v>1528</v>
      </c>
      <c r="AU1033" s="187" t="s">
        <v>179</v>
      </c>
      <c r="AV1033" s="187" t="s">
        <v>130</v>
      </c>
      <c r="AW1033" s="1325" t="s">
        <v>131</v>
      </c>
      <c r="AX1033" s="187" t="s">
        <v>136</v>
      </c>
      <c r="AY1033" s="186"/>
      <c r="AZ1033" s="371" t="s">
        <v>5572</v>
      </c>
    </row>
    <row r="1034">
      <c r="A1034" s="41">
        <v>1034.0</v>
      </c>
      <c r="B1034" s="371" t="s">
        <v>107</v>
      </c>
      <c r="C1034" s="185" t="s">
        <v>108</v>
      </c>
      <c r="D1034" s="185" t="s">
        <v>138</v>
      </c>
      <c r="E1034" s="186"/>
      <c r="F1034" s="55" t="s">
        <v>5601</v>
      </c>
      <c r="G1034" s="55" t="s">
        <v>5627</v>
      </c>
      <c r="H1034" s="195" t="s">
        <v>5559</v>
      </c>
      <c r="I1034" s="188">
        <v>45688.0</v>
      </c>
      <c r="J1034" s="1324">
        <v>45692.0</v>
      </c>
      <c r="K1034" s="187"/>
      <c r="L1034" s="187" t="s">
        <v>5622</v>
      </c>
      <c r="M1034" s="195" t="s">
        <v>5604</v>
      </c>
      <c r="N1034" s="195" t="s">
        <v>5605</v>
      </c>
      <c r="O1034" s="195" t="s">
        <v>5606</v>
      </c>
      <c r="P1034" s="195" t="s">
        <v>5607</v>
      </c>
      <c r="Q1034" s="49" t="str">
        <f t="array" ref="Q1034"> if(iserror(MATCH(V1034, 'File Links'!C:C, 0)), "N/A", HYPERLINK(INDEX('File Links'!B:B, MATCH(P1034, 'File Links'!C:C, 0))))</f>
        <v>https://drive.google.com/file/d/1F1gmEthZ6jBt549BBg-rdg_5OVDXWokk/view?usp=drivesdk</v>
      </c>
      <c r="R1034" s="974" t="s">
        <v>3646</v>
      </c>
      <c r="S1034" s="156" t="s">
        <v>3647</v>
      </c>
      <c r="T1034" s="187" t="s">
        <v>1528</v>
      </c>
      <c r="U1034" s="187" t="s">
        <v>1528</v>
      </c>
      <c r="V1034" s="195" t="str">
        <f t="shared" si="57"/>
        <v>10.1098--rsos.231240.pdf</v>
      </c>
      <c r="W1034" s="195" t="s">
        <v>3658</v>
      </c>
      <c r="X1034" s="51" t="str">
        <f t="array" ref="X1034"> if(iserror(MATCH(V1034, 'File Links'!C:C, 0)), "N/A", HYPERLINK(INDEX('File Links'!B:B, MATCH(V1034, 'File Links'!C:C, 0))))</f>
        <v>https://drive.google.com/file/d/17gaf2Zy_ljFfcAEDk5L8GBnTl5i7RGJE/view?usp=drivesdk</v>
      </c>
      <c r="Y1034" s="187"/>
      <c r="Z1034" s="195" t="s">
        <v>141</v>
      </c>
      <c r="AA1034" s="371" t="s">
        <v>131</v>
      </c>
      <c r="AB1034" s="187" t="s">
        <v>5608</v>
      </c>
      <c r="AC1034" s="195" t="s">
        <v>5628</v>
      </c>
      <c r="AD1034" s="187" t="s">
        <v>5629</v>
      </c>
      <c r="AE1034" s="187" t="s">
        <v>5611</v>
      </c>
      <c r="AF1034" s="755">
        <v>60.0</v>
      </c>
      <c r="AG1034" s="187" t="s">
        <v>5630</v>
      </c>
      <c r="AH1034" s="187" t="s">
        <v>127</v>
      </c>
      <c r="AI1034" s="747">
        <v>7.0</v>
      </c>
      <c r="AJ1034" s="1125">
        <v>5.0E-4</v>
      </c>
      <c r="AK1034" s="190" t="s">
        <v>128</v>
      </c>
      <c r="AL1034" s="190" t="s">
        <v>179</v>
      </c>
      <c r="AM1034" s="187" t="s">
        <v>130</v>
      </c>
      <c r="AN1034" s="1313" t="s">
        <v>131</v>
      </c>
      <c r="AO1034" s="755">
        <v>55.0</v>
      </c>
      <c r="AP1034" s="187" t="s">
        <v>5626</v>
      </c>
      <c r="AQ1034" s="187" t="s">
        <v>127</v>
      </c>
      <c r="AR1034" s="371" t="s">
        <v>5571</v>
      </c>
      <c r="AS1034" s="187" t="s">
        <v>1528</v>
      </c>
      <c r="AT1034" s="187" t="s">
        <v>1528</v>
      </c>
      <c r="AU1034" s="187" t="s">
        <v>179</v>
      </c>
      <c r="AV1034" s="187" t="s">
        <v>130</v>
      </c>
      <c r="AW1034" s="1325" t="s">
        <v>131</v>
      </c>
      <c r="AX1034" s="187" t="s">
        <v>136</v>
      </c>
      <c r="AY1034" s="186"/>
      <c r="AZ1034" s="371" t="s">
        <v>5572</v>
      </c>
    </row>
    <row r="1035">
      <c r="A1035" s="41">
        <v>1035.0</v>
      </c>
      <c r="B1035" s="144" t="s">
        <v>2006</v>
      </c>
      <c r="C1035" s="146" t="s">
        <v>108</v>
      </c>
      <c r="D1035" s="146" t="s">
        <v>138</v>
      </c>
      <c r="E1035" s="69"/>
      <c r="F1035" s="119" t="s">
        <v>5631</v>
      </c>
      <c r="G1035" s="109" t="s">
        <v>5632</v>
      </c>
      <c r="H1035" s="119" t="s">
        <v>5559</v>
      </c>
      <c r="I1035" s="414">
        <v>45688.0</v>
      </c>
      <c r="J1035" s="1326">
        <v>45692.0</v>
      </c>
      <c r="K1035" s="835" t="s">
        <v>5633</v>
      </c>
      <c r="L1035" s="108" t="s">
        <v>5634</v>
      </c>
      <c r="M1035" s="119" t="s">
        <v>5635</v>
      </c>
      <c r="N1035" s="108" t="str">
        <f>lower(SUBSTITUTE(SUBSTITUTE(P1035, "--", "/"), ".pdf", ""))</f>
        <v>10.1111/j.1551-6709.2010.01164.x</v>
      </c>
      <c r="O1035" s="534">
        <v>1.0</v>
      </c>
      <c r="P1035" s="119" t="s">
        <v>5607</v>
      </c>
      <c r="Q1035" s="49" t="str">
        <f t="array" ref="Q1035"> if(iserror(MATCH(V1035, 'File Links'!C:C, 0)), "N/A", HYPERLINK(INDEX('File Links'!B:B, MATCH(P1035, 'File Links'!C:C, 0))))</f>
        <v>https://drive.google.com/file/d/1F1gmEthZ6jBt549BBg-rdg_5OVDXWokk/view?usp=drivesdk</v>
      </c>
      <c r="R1035" s="533" t="s">
        <v>3646</v>
      </c>
      <c r="S1035" s="119" t="s">
        <v>3647</v>
      </c>
      <c r="T1035" s="144" t="s">
        <v>131</v>
      </c>
      <c r="U1035" s="144" t="s">
        <v>131</v>
      </c>
      <c r="V1035" s="195" t="str">
        <f t="shared" si="57"/>
        <v>10.1098--rsos.231240.pdf</v>
      </c>
      <c r="W1035" s="119" t="s">
        <v>317</v>
      </c>
      <c r="X1035" s="51" t="str">
        <f t="array" ref="X1035"> if(iserror(MATCH(V1035, 'File Links'!C:C, 0)), "N/A", HYPERLINK(INDEX('File Links'!B:B, MATCH(V1035, 'File Links'!C:C, 0))))</f>
        <v>https://drive.google.com/file/d/17gaf2Zy_ljFfcAEDk5L8GBnTl5i7RGJE/view?usp=drivesdk</v>
      </c>
      <c r="Y1035" s="108"/>
      <c r="Z1035" s="119" t="s">
        <v>141</v>
      </c>
      <c r="AA1035" s="371" t="s">
        <v>131</v>
      </c>
      <c r="AB1035" s="108" t="s">
        <v>5636</v>
      </c>
      <c r="AC1035" s="119" t="s">
        <v>5637</v>
      </c>
      <c r="AD1035" s="119" t="s">
        <v>131</v>
      </c>
      <c r="AE1035" s="119" t="s">
        <v>131</v>
      </c>
      <c r="AF1035" s="534">
        <v>17.0</v>
      </c>
      <c r="AG1035" s="119" t="s">
        <v>131</v>
      </c>
      <c r="AH1035" s="164" t="s">
        <v>131</v>
      </c>
      <c r="AI1035" s="119" t="s">
        <v>131</v>
      </c>
      <c r="AJ1035" s="119" t="s">
        <v>131</v>
      </c>
      <c r="AK1035" s="111" t="s">
        <v>1528</v>
      </c>
      <c r="AL1035" s="111" t="s">
        <v>179</v>
      </c>
      <c r="AM1035" s="108" t="s">
        <v>130</v>
      </c>
      <c r="AN1035" s="1313" t="s">
        <v>131</v>
      </c>
      <c r="AO1035" s="534">
        <v>40.0</v>
      </c>
      <c r="AP1035" s="108" t="s">
        <v>1528</v>
      </c>
      <c r="AQ1035" s="126" t="s">
        <v>131</v>
      </c>
      <c r="AR1035" s="144" t="s">
        <v>5571</v>
      </c>
      <c r="AS1035" s="108" t="s">
        <v>1528</v>
      </c>
      <c r="AT1035" s="108" t="s">
        <v>1528</v>
      </c>
      <c r="AU1035" s="108" t="s">
        <v>179</v>
      </c>
      <c r="AV1035" s="108" t="s">
        <v>130</v>
      </c>
      <c r="AW1035" s="1327" t="s">
        <v>131</v>
      </c>
      <c r="AX1035" s="108" t="s">
        <v>136</v>
      </c>
      <c r="AY1035" s="69"/>
      <c r="AZ1035" s="144" t="s">
        <v>5572</v>
      </c>
    </row>
    <row r="1036">
      <c r="A1036" s="41">
        <v>1036.0</v>
      </c>
      <c r="B1036" s="108" t="s">
        <v>107</v>
      </c>
      <c r="C1036" s="146" t="s">
        <v>108</v>
      </c>
      <c r="D1036" s="146" t="s">
        <v>241</v>
      </c>
      <c r="E1036" s="69"/>
      <c r="F1036" s="109" t="s">
        <v>5631</v>
      </c>
      <c r="G1036" s="113" t="s">
        <v>5632</v>
      </c>
      <c r="H1036" s="119" t="s">
        <v>242</v>
      </c>
      <c r="I1036" s="414">
        <v>45664.0</v>
      </c>
      <c r="J1036" s="1326">
        <v>45692.0</v>
      </c>
      <c r="K1036" s="119" t="s">
        <v>5638</v>
      </c>
      <c r="L1036" s="108" t="s">
        <v>5561</v>
      </c>
      <c r="M1036" s="119" t="s">
        <v>5635</v>
      </c>
      <c r="N1036" s="119" t="s">
        <v>5639</v>
      </c>
      <c r="O1036" s="534">
        <v>1.0</v>
      </c>
      <c r="P1036" s="119" t="str">
        <f t="shared" ref="P1036:P1042" si="58"> SUBSTITUTE(lower(N1036), "/", "--") &amp;  ".pdf"</f>
        <v>10.1016--j.neuron.2011.02.027.pdf</v>
      </c>
      <c r="Q1036" s="49" t="str">
        <f t="array" ref="Q1036"> if(iserror(MATCH(V1036, 'File Links'!C:C, 0)), "N/A", HYPERLINK(INDEX('File Links'!B:B, MATCH(P1036, 'File Links'!C:C, 0))))</f>
        <v>https://drive.google.com/file/d/1VgMcBc_Zck2mNomOuS1CZVLBzdiV_nWC/view?usp=drivesdk</v>
      </c>
      <c r="R1036" s="533" t="s">
        <v>5640</v>
      </c>
      <c r="S1036" s="119" t="s">
        <v>3647</v>
      </c>
      <c r="T1036" s="144" t="s">
        <v>131</v>
      </c>
      <c r="U1036" s="144" t="s">
        <v>131</v>
      </c>
      <c r="V1036" s="195" t="str">
        <f t="shared" si="57"/>
        <v>10.1098--rsos.231240.pdf</v>
      </c>
      <c r="W1036" s="119" t="s">
        <v>317</v>
      </c>
      <c r="X1036" s="51" t="str">
        <f t="array" ref="X1036"> if(iserror(MATCH(V1036, 'File Links'!C:C, 0)), "N/A", HYPERLINK(INDEX('File Links'!B:B, MATCH(V1036, 'File Links'!C:C, 0))))</f>
        <v>https://drive.google.com/file/d/17gaf2Zy_ljFfcAEDk5L8GBnTl5i7RGJE/view?usp=drivesdk</v>
      </c>
      <c r="Y1036" s="108"/>
      <c r="Z1036" s="119" t="s">
        <v>141</v>
      </c>
      <c r="AA1036" s="371" t="s">
        <v>131</v>
      </c>
      <c r="AB1036" s="108"/>
      <c r="AC1036" s="108"/>
      <c r="AD1036" s="119" t="s">
        <v>131</v>
      </c>
      <c r="AE1036" s="119" t="s">
        <v>131</v>
      </c>
      <c r="AF1036" s="534">
        <v>17.0</v>
      </c>
      <c r="AG1036" s="119" t="s">
        <v>131</v>
      </c>
      <c r="AH1036" s="164" t="s">
        <v>131</v>
      </c>
      <c r="AI1036" s="119" t="s">
        <v>131</v>
      </c>
      <c r="AJ1036" s="118" t="s">
        <v>131</v>
      </c>
      <c r="AK1036" s="111"/>
      <c r="AL1036" s="109" t="s">
        <v>179</v>
      </c>
      <c r="AM1036" s="119" t="s">
        <v>1898</v>
      </c>
      <c r="AN1036" s="1313" t="s">
        <v>131</v>
      </c>
      <c r="AO1036" s="534">
        <v>40.0</v>
      </c>
      <c r="AP1036" s="119" t="s">
        <v>131</v>
      </c>
      <c r="AQ1036" s="108"/>
      <c r="AR1036" s="144" t="s">
        <v>5571</v>
      </c>
      <c r="AS1036" s="119" t="s">
        <v>131</v>
      </c>
      <c r="AT1036" s="108"/>
      <c r="AU1036" s="119" t="s">
        <v>179</v>
      </c>
      <c r="AV1036" s="119" t="s">
        <v>1898</v>
      </c>
      <c r="AW1036" s="1327" t="s">
        <v>131</v>
      </c>
      <c r="AX1036" s="119" t="s">
        <v>136</v>
      </c>
      <c r="AY1036" s="69"/>
      <c r="AZ1036" s="144" t="s">
        <v>5572</v>
      </c>
    </row>
    <row r="1037">
      <c r="A1037" s="41">
        <v>1037.0</v>
      </c>
      <c r="B1037" s="126" t="s">
        <v>2006</v>
      </c>
      <c r="C1037" s="59" t="s">
        <v>108</v>
      </c>
      <c r="D1037" s="59" t="s">
        <v>138</v>
      </c>
      <c r="E1037" s="362"/>
      <c r="F1037" s="1306" t="s">
        <v>5641</v>
      </c>
      <c r="G1037" s="1305" t="s">
        <v>5642</v>
      </c>
      <c r="H1037" s="1306" t="s">
        <v>5559</v>
      </c>
      <c r="I1037" s="1307">
        <v>45688.0</v>
      </c>
      <c r="J1037" s="1308">
        <v>45692.0</v>
      </c>
      <c r="K1037" s="1304" t="s">
        <v>5643</v>
      </c>
      <c r="L1037" s="1304" t="s">
        <v>5561</v>
      </c>
      <c r="M1037" s="1306" t="s">
        <v>5644</v>
      </c>
      <c r="N1037" s="1304" t="s">
        <v>5645</v>
      </c>
      <c r="O1037" s="1309">
        <v>1.0</v>
      </c>
      <c r="P1037" s="137" t="str">
        <f t="shared" si="58"/>
        <v>10.1016--j.neuroimage.2009.09.024.pdf</v>
      </c>
      <c r="Q1037" s="49" t="str">
        <f t="array" ref="Q1037"> if(iserror(MATCH(V1037, 'File Links'!C:C, 0)), "N/A", HYPERLINK(INDEX('File Links'!B:B, MATCH(P1037, 'File Links'!C:C, 0))))</f>
        <v>https://drive.google.com/file/d/1X_Hzp8yt2P-QO2WO8iH4EPgoVRh7R4xM/view?usp=drivesdk</v>
      </c>
      <c r="R1037" s="1306" t="s">
        <v>3646</v>
      </c>
      <c r="S1037" s="156" t="s">
        <v>3647</v>
      </c>
      <c r="T1037" s="144" t="s">
        <v>131</v>
      </c>
      <c r="U1037" s="144" t="s">
        <v>131</v>
      </c>
      <c r="V1037" s="195" t="str">
        <f t="shared" si="57"/>
        <v>10.1098--rsos.231240.pdf</v>
      </c>
      <c r="W1037" s="137" t="s">
        <v>317</v>
      </c>
      <c r="X1037" s="51" t="str">
        <f t="array" ref="X1037"> if(iserror(MATCH(V1037, 'File Links'!C:C, 0)), "N/A", HYPERLINK(INDEX('File Links'!B:B, MATCH(V1037, 'File Links'!C:C, 0))))</f>
        <v>https://drive.google.com/file/d/17gaf2Zy_ljFfcAEDk5L8GBnTl5i7RGJE/view?usp=drivesdk</v>
      </c>
      <c r="Y1037" s="1304"/>
      <c r="Z1037" s="1306" t="s">
        <v>141</v>
      </c>
      <c r="AA1037" s="1304" t="s">
        <v>1528</v>
      </c>
      <c r="AB1037" s="1304" t="s">
        <v>5646</v>
      </c>
      <c r="AC1037" s="1306" t="s">
        <v>5647</v>
      </c>
      <c r="AD1037" s="1304" t="s">
        <v>1528</v>
      </c>
      <c r="AE1037" s="1304" t="s">
        <v>1528</v>
      </c>
      <c r="AF1037" s="1309">
        <v>26.0</v>
      </c>
      <c r="AG1037" s="1304" t="s">
        <v>1528</v>
      </c>
      <c r="AH1037" s="164" t="s">
        <v>131</v>
      </c>
      <c r="AI1037" s="1304" t="s">
        <v>1528</v>
      </c>
      <c r="AJ1037" s="1311" t="s">
        <v>1528</v>
      </c>
      <c r="AK1037" s="1312" t="s">
        <v>1528</v>
      </c>
      <c r="AL1037" s="1312" t="s">
        <v>179</v>
      </c>
      <c r="AM1037" s="1304" t="s">
        <v>130</v>
      </c>
      <c r="AN1037" s="1313" t="s">
        <v>131</v>
      </c>
      <c r="AO1037" s="1309">
        <v>23.0</v>
      </c>
      <c r="AP1037" s="1304" t="s">
        <v>1528</v>
      </c>
      <c r="AQ1037" s="126" t="s">
        <v>131</v>
      </c>
      <c r="AR1037" s="1313" t="s">
        <v>5571</v>
      </c>
      <c r="AS1037" s="1304" t="s">
        <v>1528</v>
      </c>
      <c r="AT1037" s="1304" t="s">
        <v>1528</v>
      </c>
      <c r="AU1037" s="1304" t="s">
        <v>179</v>
      </c>
      <c r="AV1037" s="1304" t="s">
        <v>130</v>
      </c>
      <c r="AW1037" s="1314" t="s">
        <v>131</v>
      </c>
      <c r="AX1037" s="1304" t="s">
        <v>136</v>
      </c>
      <c r="AZ1037" s="1313" t="s">
        <v>5572</v>
      </c>
      <c r="BB1037" s="69"/>
      <c r="BC1037" s="69"/>
      <c r="BD1037" s="69"/>
      <c r="BE1037" s="69"/>
      <c r="BF1037" s="69"/>
      <c r="BG1037" s="69"/>
      <c r="BH1037" s="69"/>
      <c r="BI1037" s="69"/>
      <c r="BJ1037" s="69"/>
      <c r="BK1037" s="69"/>
      <c r="BL1037" s="69"/>
      <c r="BM1037" s="69"/>
      <c r="BN1037" s="69"/>
      <c r="BO1037" s="69"/>
      <c r="BP1037" s="69"/>
      <c r="BQ1037" s="69"/>
      <c r="BR1037" s="69"/>
      <c r="BS1037" s="69"/>
      <c r="BT1037" s="69"/>
      <c r="BU1037" s="69"/>
      <c r="BV1037" s="69"/>
      <c r="BW1037" s="69"/>
      <c r="BX1037" s="69"/>
      <c r="BY1037" s="69"/>
      <c r="BZ1037" s="69"/>
      <c r="CA1037" s="69"/>
      <c r="CB1037" s="69"/>
      <c r="CC1037" s="69"/>
      <c r="CD1037" s="69"/>
      <c r="CE1037" s="69"/>
      <c r="CF1037" s="69"/>
      <c r="CG1037" s="69"/>
      <c r="CH1037" s="69"/>
      <c r="CI1037" s="69"/>
      <c r="CJ1037" s="69"/>
      <c r="CK1037" s="69"/>
      <c r="CL1037" s="69"/>
      <c r="CM1037" s="69"/>
      <c r="CN1037" s="69"/>
      <c r="CO1037" s="69"/>
      <c r="CP1037" s="69"/>
      <c r="CQ1037" s="69"/>
      <c r="CR1037" s="69"/>
      <c r="CS1037" s="69"/>
      <c r="CT1037" s="69"/>
      <c r="CU1037" s="69"/>
      <c r="CV1037" s="69"/>
      <c r="CW1037" s="69"/>
      <c r="CX1037" s="69"/>
      <c r="CY1037" s="69"/>
      <c r="CZ1037" s="69"/>
      <c r="DA1037" s="69"/>
      <c r="DB1037" s="69"/>
      <c r="DC1037" s="69"/>
      <c r="DD1037" s="69"/>
      <c r="DE1037" s="69"/>
      <c r="DF1037" s="69"/>
      <c r="DG1037" s="69"/>
      <c r="DH1037" s="69"/>
    </row>
    <row r="1038">
      <c r="A1038" s="41">
        <v>1038.0</v>
      </c>
      <c r="B1038" s="65" t="s">
        <v>107</v>
      </c>
      <c r="C1038" s="59" t="s">
        <v>108</v>
      </c>
      <c r="D1038" s="59" t="s">
        <v>241</v>
      </c>
      <c r="E1038" s="362"/>
      <c r="F1038" s="123" t="s">
        <v>5641</v>
      </c>
      <c r="G1038" s="116" t="s">
        <v>5642</v>
      </c>
      <c r="H1038" s="137" t="s">
        <v>242</v>
      </c>
      <c r="I1038" s="314">
        <v>45664.0</v>
      </c>
      <c r="J1038" s="1317">
        <v>45692.0</v>
      </c>
      <c r="K1038" s="667" t="s">
        <v>3676</v>
      </c>
      <c r="L1038" s="122" t="s">
        <v>5648</v>
      </c>
      <c r="M1038" s="137" t="s">
        <v>5644</v>
      </c>
      <c r="N1038" s="137" t="s">
        <v>5645</v>
      </c>
      <c r="O1038" s="122"/>
      <c r="P1038" s="137" t="str">
        <f t="shared" si="58"/>
        <v>10.1016--j.neuroimage.2009.09.024.pdf</v>
      </c>
      <c r="Q1038" s="49" t="str">
        <f t="array" ref="Q1038"> if(iserror(MATCH(V1038, 'File Links'!C:C, 0)), "N/A", HYPERLINK(INDEX('File Links'!B:B, MATCH(P1038, 'File Links'!C:C, 0))))</f>
        <v>https://drive.google.com/file/d/1X_Hzp8yt2P-QO2WO8iH4EPgoVRh7R4xM/view?usp=drivesdk</v>
      </c>
      <c r="R1038" s="137" t="s">
        <v>5649</v>
      </c>
      <c r="S1038" s="156" t="s">
        <v>3647</v>
      </c>
      <c r="T1038" s="144" t="s">
        <v>131</v>
      </c>
      <c r="U1038" s="144" t="s">
        <v>131</v>
      </c>
      <c r="V1038" s="195" t="str">
        <f t="shared" si="57"/>
        <v>10.1098--rsos.231240.pdf</v>
      </c>
      <c r="W1038" s="137" t="s">
        <v>317</v>
      </c>
      <c r="X1038" s="51" t="str">
        <f t="array" ref="X1038"> if(iserror(MATCH(V1038, 'File Links'!C:C, 0)), "N/A", HYPERLINK(INDEX('File Links'!B:B, MATCH(V1038, 'File Links'!C:C, 0))))</f>
        <v>https://drive.google.com/file/d/17gaf2Zy_ljFfcAEDk5L8GBnTl5i7RGJE/view?usp=drivesdk</v>
      </c>
      <c r="Y1038" s="122"/>
      <c r="Z1038" s="137" t="s">
        <v>141</v>
      </c>
      <c r="AA1038" s="122"/>
      <c r="AB1038" s="122"/>
      <c r="AC1038" s="122"/>
      <c r="AD1038" s="137" t="s">
        <v>131</v>
      </c>
      <c r="AE1038" s="137" t="s">
        <v>131</v>
      </c>
      <c r="AF1038" s="779">
        <v>26.0</v>
      </c>
      <c r="AG1038" s="137" t="s">
        <v>131</v>
      </c>
      <c r="AH1038" s="164" t="s">
        <v>131</v>
      </c>
      <c r="AI1038" s="137" t="s">
        <v>131</v>
      </c>
      <c r="AJ1038" s="220" t="s">
        <v>131</v>
      </c>
      <c r="AK1038" s="129"/>
      <c r="AL1038" s="123" t="s">
        <v>179</v>
      </c>
      <c r="AM1038" s="137" t="s">
        <v>1898</v>
      </c>
      <c r="AN1038" s="1313" t="s">
        <v>131</v>
      </c>
      <c r="AO1038" s="779">
        <v>23.0</v>
      </c>
      <c r="AP1038" s="137" t="s">
        <v>131</v>
      </c>
      <c r="AQ1038" s="122"/>
      <c r="AR1038" s="1313" t="s">
        <v>5571</v>
      </c>
      <c r="AS1038" s="137" t="s">
        <v>131</v>
      </c>
      <c r="AT1038" s="122"/>
      <c r="AU1038" s="137" t="s">
        <v>179</v>
      </c>
      <c r="AV1038" s="137" t="s">
        <v>1898</v>
      </c>
      <c r="AW1038" s="1314" t="s">
        <v>131</v>
      </c>
      <c r="AX1038" s="137" t="s">
        <v>136</v>
      </c>
      <c r="AZ1038" s="1313" t="s">
        <v>5572</v>
      </c>
      <c r="BB1038" s="69"/>
      <c r="BC1038" s="69"/>
      <c r="BD1038" s="69"/>
      <c r="BE1038" s="69"/>
      <c r="BF1038" s="69"/>
      <c r="BG1038" s="69"/>
      <c r="BH1038" s="69"/>
      <c r="BI1038" s="69"/>
      <c r="BJ1038" s="69"/>
      <c r="BK1038" s="69"/>
      <c r="BL1038" s="69"/>
      <c r="BM1038" s="69"/>
      <c r="BN1038" s="69"/>
      <c r="BO1038" s="69"/>
      <c r="BP1038" s="69"/>
      <c r="BQ1038" s="69"/>
      <c r="BR1038" s="69"/>
      <c r="BS1038" s="69"/>
      <c r="BT1038" s="69"/>
      <c r="BU1038" s="69"/>
      <c r="BV1038" s="69"/>
      <c r="BW1038" s="69"/>
      <c r="BX1038" s="69"/>
      <c r="BY1038" s="69"/>
      <c r="BZ1038" s="69"/>
      <c r="CA1038" s="69"/>
      <c r="CB1038" s="69"/>
      <c r="CC1038" s="69"/>
      <c r="CD1038" s="69"/>
      <c r="CE1038" s="69"/>
      <c r="CF1038" s="69"/>
      <c r="CG1038" s="69"/>
      <c r="CH1038" s="69"/>
      <c r="CI1038" s="69"/>
      <c r="CJ1038" s="69"/>
      <c r="CK1038" s="69"/>
      <c r="CL1038" s="69"/>
      <c r="CM1038" s="69"/>
      <c r="CN1038" s="69"/>
      <c r="CO1038" s="69"/>
      <c r="CP1038" s="69"/>
      <c r="CQ1038" s="69"/>
      <c r="CR1038" s="69"/>
      <c r="CS1038" s="69"/>
      <c r="CT1038" s="69"/>
      <c r="CU1038" s="69"/>
      <c r="CV1038" s="69"/>
      <c r="CW1038" s="69"/>
      <c r="CX1038" s="69"/>
      <c r="CY1038" s="69"/>
      <c r="CZ1038" s="69"/>
      <c r="DA1038" s="69"/>
      <c r="DB1038" s="69"/>
      <c r="DC1038" s="69"/>
      <c r="DD1038" s="69"/>
      <c r="DE1038" s="69"/>
      <c r="DF1038" s="69"/>
      <c r="DG1038" s="69"/>
      <c r="DH1038" s="69"/>
    </row>
    <row r="1039">
      <c r="A1039" s="41">
        <v>1039.0</v>
      </c>
      <c r="B1039" s="126" t="s">
        <v>145</v>
      </c>
      <c r="C1039" s="59" t="s">
        <v>108</v>
      </c>
      <c r="D1039" s="59" t="s">
        <v>138</v>
      </c>
      <c r="F1039" s="156" t="s">
        <v>5650</v>
      </c>
      <c r="G1039" s="54" t="s">
        <v>5651</v>
      </c>
      <c r="H1039" s="156" t="s">
        <v>5559</v>
      </c>
      <c r="I1039" s="149">
        <v>45688.0</v>
      </c>
      <c r="J1039" s="526">
        <v>45692.0</v>
      </c>
      <c r="K1039" s="65" t="s">
        <v>5652</v>
      </c>
      <c r="L1039" s="65" t="s">
        <v>5561</v>
      </c>
      <c r="M1039" s="156" t="s">
        <v>5653</v>
      </c>
      <c r="N1039" s="65" t="s">
        <v>5654</v>
      </c>
      <c r="O1039" s="153">
        <v>2.0</v>
      </c>
      <c r="P1039" s="156" t="str">
        <f t="shared" si="58"/>
        <v>djärv_2018.pdf</v>
      </c>
      <c r="Q1039" s="49" t="str">
        <f t="array" ref="Q1039"> if(iserror(MATCH(V1039, 'File Links'!C:C, 0)), "N/A", HYPERLINK(INDEX('File Links'!B:B, MATCH(P1039, 'File Links'!C:C, 0))))</f>
        <v>https://drive.google.com/file/d/1G_aU3PGCjrrMgJwOfzq2w1nbmT82GsuJ/view?usp=drivesdk</v>
      </c>
      <c r="R1039" s="156" t="s">
        <v>3646</v>
      </c>
      <c r="S1039" s="156" t="s">
        <v>3647</v>
      </c>
      <c r="T1039" s="144" t="s">
        <v>131</v>
      </c>
      <c r="U1039" s="144" t="s">
        <v>131</v>
      </c>
      <c r="V1039" s="195" t="str">
        <f t="shared" si="57"/>
        <v>10.1098--rsos.231240.pdf</v>
      </c>
      <c r="W1039" s="156" t="s">
        <v>317</v>
      </c>
      <c r="X1039" s="51" t="str">
        <f t="array" ref="X1039"> if(iserror(MATCH(V1039, 'File Links'!C:C, 0)), "N/A", HYPERLINK(INDEX('File Links'!B:B, MATCH(V1039, 'File Links'!C:C, 0))))</f>
        <v>https://drive.google.com/file/d/17gaf2Zy_ljFfcAEDk5L8GBnTl5i7RGJE/view?usp=drivesdk</v>
      </c>
      <c r="Y1039" s="65"/>
      <c r="Z1039" s="156" t="s">
        <v>141</v>
      </c>
      <c r="AA1039" s="371" t="s">
        <v>131</v>
      </c>
      <c r="AB1039" s="156" t="s">
        <v>5655</v>
      </c>
      <c r="AC1039" s="156" t="s">
        <v>5656</v>
      </c>
      <c r="AD1039" s="65" t="s">
        <v>5657</v>
      </c>
      <c r="AE1039" s="333">
        <v>14.0</v>
      </c>
      <c r="AF1039" s="153">
        <v>62.0</v>
      </c>
      <c r="AG1039" s="126">
        <v>0.8605</v>
      </c>
      <c r="AH1039" s="126" t="s">
        <v>354</v>
      </c>
      <c r="AI1039" s="333">
        <v>14.0</v>
      </c>
      <c r="AJ1039" s="126" t="s">
        <v>131</v>
      </c>
      <c r="AK1039" s="1328" t="s">
        <v>131</v>
      </c>
      <c r="AL1039" s="58" t="s">
        <v>179</v>
      </c>
      <c r="AM1039" s="65" t="s">
        <v>130</v>
      </c>
      <c r="AN1039" s="1313" t="s">
        <v>131</v>
      </c>
      <c r="AO1039" s="153">
        <v>60.0</v>
      </c>
      <c r="AP1039" s="126">
        <v>0.8082</v>
      </c>
      <c r="AQ1039" s="126" t="s">
        <v>980</v>
      </c>
      <c r="AR1039" s="126" t="s">
        <v>5571</v>
      </c>
      <c r="AS1039" s="371" t="s">
        <v>131</v>
      </c>
      <c r="AT1039" s="216" t="s">
        <v>131</v>
      </c>
      <c r="AU1039" s="65" t="s">
        <v>179</v>
      </c>
      <c r="AV1039" s="65" t="s">
        <v>130</v>
      </c>
      <c r="AW1039" s="1329" t="s">
        <v>131</v>
      </c>
      <c r="AX1039" s="65" t="s">
        <v>136</v>
      </c>
      <c r="AZ1039" s="126" t="s">
        <v>5572</v>
      </c>
      <c r="BB1039" s="69"/>
      <c r="BC1039" s="69"/>
      <c r="BD1039" s="69"/>
      <c r="BE1039" s="69"/>
      <c r="BF1039" s="69"/>
      <c r="BG1039" s="69"/>
      <c r="BH1039" s="69"/>
      <c r="BI1039" s="69"/>
      <c r="BJ1039" s="69"/>
      <c r="BK1039" s="69"/>
      <c r="BL1039" s="69"/>
      <c r="BM1039" s="69"/>
      <c r="BN1039" s="69"/>
      <c r="BO1039" s="69"/>
      <c r="BP1039" s="69"/>
      <c r="BQ1039" s="69"/>
      <c r="BR1039" s="69"/>
      <c r="BS1039" s="69"/>
      <c r="BT1039" s="69"/>
      <c r="BU1039" s="69"/>
      <c r="BV1039" s="69"/>
      <c r="BW1039" s="69"/>
      <c r="BX1039" s="69"/>
      <c r="BY1039" s="69"/>
      <c r="BZ1039" s="69"/>
      <c r="CA1039" s="69"/>
      <c r="CB1039" s="69"/>
      <c r="CC1039" s="69"/>
      <c r="CD1039" s="69"/>
      <c r="CE1039" s="69"/>
      <c r="CF1039" s="69"/>
      <c r="CG1039" s="69"/>
      <c r="CH1039" s="69"/>
      <c r="CI1039" s="69"/>
      <c r="CJ1039" s="69"/>
      <c r="CK1039" s="69"/>
      <c r="CL1039" s="69"/>
      <c r="CM1039" s="69"/>
      <c r="CN1039" s="69"/>
      <c r="CO1039" s="69"/>
      <c r="CP1039" s="69"/>
      <c r="CQ1039" s="69"/>
      <c r="CR1039" s="69"/>
      <c r="CS1039" s="69"/>
      <c r="CT1039" s="69"/>
      <c r="CU1039" s="69"/>
      <c r="CV1039" s="69"/>
      <c r="CW1039" s="69"/>
      <c r="CX1039" s="69"/>
      <c r="CY1039" s="69"/>
      <c r="CZ1039" s="69"/>
      <c r="DA1039" s="69"/>
      <c r="DB1039" s="69"/>
      <c r="DC1039" s="69"/>
      <c r="DD1039" s="69"/>
      <c r="DE1039" s="69"/>
      <c r="DF1039" s="69"/>
      <c r="DG1039" s="69"/>
      <c r="DH1039" s="69"/>
    </row>
    <row r="1040">
      <c r="A1040" s="41">
        <v>1040.0</v>
      </c>
      <c r="B1040" s="65" t="s">
        <v>107</v>
      </c>
      <c r="C1040" s="59" t="s">
        <v>108</v>
      </c>
      <c r="D1040" s="59" t="s">
        <v>241</v>
      </c>
      <c r="F1040" s="54" t="s">
        <v>5650</v>
      </c>
      <c r="G1040" s="148" t="s">
        <v>5651</v>
      </c>
      <c r="H1040" s="156" t="s">
        <v>242</v>
      </c>
      <c r="I1040" s="149">
        <v>45664.0</v>
      </c>
      <c r="J1040" s="526">
        <v>45692.0</v>
      </c>
      <c r="K1040" s="677" t="s">
        <v>3676</v>
      </c>
      <c r="L1040" s="65" t="s">
        <v>5561</v>
      </c>
      <c r="M1040" s="156" t="s">
        <v>5653</v>
      </c>
      <c r="N1040" s="65" t="s">
        <v>5654</v>
      </c>
      <c r="O1040" s="65"/>
      <c r="P1040" s="156" t="str">
        <f t="shared" si="58"/>
        <v>djärv_2018.pdf</v>
      </c>
      <c r="Q1040" s="49" t="str">
        <f t="array" ref="Q1040"> if(iserror(MATCH(V1040, 'File Links'!C:C, 0)), "N/A", HYPERLINK(INDEX('File Links'!B:B, MATCH(P1040, 'File Links'!C:C, 0))))</f>
        <v>https://drive.google.com/file/d/1G_aU3PGCjrrMgJwOfzq2w1nbmT82GsuJ/view?usp=drivesdk</v>
      </c>
      <c r="R1040" s="156" t="s">
        <v>5658</v>
      </c>
      <c r="S1040" s="156" t="s">
        <v>3647</v>
      </c>
      <c r="T1040" s="144" t="s">
        <v>131</v>
      </c>
      <c r="U1040" s="144" t="s">
        <v>131</v>
      </c>
      <c r="V1040" s="195" t="str">
        <f t="shared" si="57"/>
        <v>10.1098--rsos.231240.pdf</v>
      </c>
      <c r="W1040" s="156" t="s">
        <v>317</v>
      </c>
      <c r="X1040" s="51" t="str">
        <f t="array" ref="X1040"> if(iserror(MATCH(V1040, 'File Links'!C:C, 0)), "N/A", HYPERLINK(INDEX('File Links'!B:B, MATCH(V1040, 'File Links'!C:C, 0))))</f>
        <v>https://drive.google.com/file/d/17gaf2Zy_ljFfcAEDk5L8GBnTl5i7RGJE/view?usp=drivesdk</v>
      </c>
      <c r="Y1040" s="65"/>
      <c r="Z1040" s="156" t="s">
        <v>141</v>
      </c>
      <c r="AA1040" s="65"/>
      <c r="AB1040" s="65"/>
      <c r="AC1040" s="65"/>
      <c r="AD1040" s="156" t="s">
        <v>131</v>
      </c>
      <c r="AE1040" s="156" t="s">
        <v>131</v>
      </c>
      <c r="AF1040" s="153">
        <v>62.0</v>
      </c>
      <c r="AG1040" s="156" t="s">
        <v>131</v>
      </c>
      <c r="AH1040" s="164" t="s">
        <v>131</v>
      </c>
      <c r="AI1040" s="156" t="s">
        <v>131</v>
      </c>
      <c r="AJ1040" s="336" t="s">
        <v>131</v>
      </c>
      <c r="AK1040" s="58"/>
      <c r="AL1040" s="54" t="s">
        <v>179</v>
      </c>
      <c r="AM1040" s="156" t="s">
        <v>1898</v>
      </c>
      <c r="AN1040" s="1313" t="s">
        <v>131</v>
      </c>
      <c r="AO1040" s="153">
        <v>60.0</v>
      </c>
      <c r="AP1040" s="156" t="s">
        <v>131</v>
      </c>
      <c r="AQ1040" s="65"/>
      <c r="AR1040" s="126" t="s">
        <v>5571</v>
      </c>
      <c r="AS1040" s="1330" t="s">
        <v>131</v>
      </c>
      <c r="AT1040" s="65"/>
      <c r="AU1040" s="156" t="s">
        <v>179</v>
      </c>
      <c r="AV1040" s="156" t="s">
        <v>1898</v>
      </c>
      <c r="AW1040" s="1329" t="s">
        <v>131</v>
      </c>
      <c r="AX1040" s="156" t="s">
        <v>136</v>
      </c>
      <c r="AZ1040" s="126" t="s">
        <v>5572</v>
      </c>
      <c r="BA1040" s="223"/>
      <c r="BB1040" s="223"/>
      <c r="BC1040" s="223"/>
      <c r="BD1040" s="223"/>
      <c r="BE1040" s="223"/>
      <c r="BF1040" s="223"/>
      <c r="BG1040" s="223"/>
      <c r="BH1040" s="223"/>
      <c r="BI1040" s="223"/>
      <c r="BJ1040" s="223"/>
      <c r="BK1040" s="223"/>
      <c r="BL1040" s="223"/>
      <c r="BM1040" s="223"/>
      <c r="BN1040" s="223"/>
      <c r="BO1040" s="223"/>
      <c r="BP1040" s="223"/>
      <c r="BQ1040" s="223"/>
      <c r="BR1040" s="223"/>
      <c r="BS1040" s="223"/>
      <c r="BT1040" s="223"/>
      <c r="BU1040" s="223"/>
      <c r="BV1040" s="223"/>
      <c r="BW1040" s="223"/>
      <c r="BX1040" s="223"/>
      <c r="BY1040" s="223"/>
      <c r="BZ1040" s="223"/>
      <c r="CA1040" s="223"/>
      <c r="CB1040" s="223"/>
      <c r="CC1040" s="223"/>
      <c r="CD1040" s="223"/>
      <c r="CE1040" s="223"/>
      <c r="CF1040" s="223"/>
      <c r="CG1040" s="223"/>
      <c r="CH1040" s="223"/>
      <c r="CI1040" s="223"/>
      <c r="CJ1040" s="223"/>
      <c r="CK1040" s="223"/>
      <c r="CL1040" s="223"/>
      <c r="CM1040" s="223"/>
      <c r="CN1040" s="223"/>
      <c r="CO1040" s="223"/>
      <c r="CP1040" s="223"/>
      <c r="CQ1040" s="223"/>
      <c r="CR1040" s="223"/>
      <c r="CS1040" s="223"/>
      <c r="CT1040" s="223"/>
      <c r="CU1040" s="223"/>
      <c r="CV1040" s="223"/>
      <c r="CW1040" s="223"/>
      <c r="CX1040" s="223"/>
      <c r="CY1040" s="223"/>
      <c r="CZ1040" s="223"/>
      <c r="DA1040" s="223"/>
      <c r="DB1040" s="223"/>
      <c r="DC1040" s="223"/>
      <c r="DD1040" s="223"/>
      <c r="DE1040" s="223"/>
      <c r="DF1040" s="223"/>
      <c r="DG1040" s="223"/>
      <c r="DH1040" s="223"/>
    </row>
    <row r="1041">
      <c r="A1041" s="41">
        <v>1041.0</v>
      </c>
      <c r="B1041" s="126" t="s">
        <v>2006</v>
      </c>
      <c r="C1041" s="59" t="s">
        <v>108</v>
      </c>
      <c r="D1041" s="59" t="s">
        <v>138</v>
      </c>
      <c r="E1041" s="362"/>
      <c r="F1041" s="1306" t="s">
        <v>5659</v>
      </c>
      <c r="G1041" s="1305" t="s">
        <v>5660</v>
      </c>
      <c r="H1041" s="1306" t="s">
        <v>5559</v>
      </c>
      <c r="I1041" s="1307">
        <v>45688.0</v>
      </c>
      <c r="J1041" s="1308">
        <v>45692.0</v>
      </c>
      <c r="K1041" s="1331" t="s">
        <v>5633</v>
      </c>
      <c r="L1041" s="1304" t="s">
        <v>5561</v>
      </c>
      <c r="M1041" s="1306" t="s">
        <v>5661</v>
      </c>
      <c r="N1041" s="1304" t="s">
        <v>5662</v>
      </c>
      <c r="O1041" s="1309">
        <v>1.0</v>
      </c>
      <c r="P1041" s="137" t="str">
        <f t="shared" si="58"/>
        <v>10.1037--rev0000175.pdf</v>
      </c>
      <c r="Q1041" s="49" t="str">
        <f t="array" ref="Q1041"> if(iserror(MATCH(V1041, 'File Links'!C:C, 0)), "N/A", HYPERLINK(INDEX('File Links'!B:B, MATCH(P1041, 'File Links'!C:C, 0))))</f>
        <v>https://drive.google.com/file/d/1nonM8jExC1mVvcGqlH7dSp0-DAzLBLtm/view?usp=drivesdk</v>
      </c>
      <c r="R1041" s="1306" t="s">
        <v>3646</v>
      </c>
      <c r="S1041" s="156" t="s">
        <v>3647</v>
      </c>
      <c r="T1041" s="144" t="s">
        <v>131</v>
      </c>
      <c r="U1041" s="144" t="s">
        <v>131</v>
      </c>
      <c r="V1041" s="195" t="str">
        <f t="shared" si="57"/>
        <v>10.1098--rsos.231240.pdf</v>
      </c>
      <c r="W1041" s="137" t="s">
        <v>317</v>
      </c>
      <c r="X1041" s="51" t="str">
        <f t="array" ref="X1041"> if(iserror(MATCH(V1041, 'File Links'!C:C, 0)), "N/A", HYPERLINK(INDEX('File Links'!B:B, MATCH(V1041, 'File Links'!C:C, 0))))</f>
        <v>https://drive.google.com/file/d/17gaf2Zy_ljFfcAEDk5L8GBnTl5i7RGJE/view?usp=drivesdk</v>
      </c>
      <c r="Y1041" s="1304"/>
      <c r="Z1041" s="1306" t="s">
        <v>141</v>
      </c>
      <c r="AA1041" s="1304" t="s">
        <v>1528</v>
      </c>
      <c r="AB1041" s="1304" t="s">
        <v>5663</v>
      </c>
      <c r="AC1041" s="1306" t="s">
        <v>5664</v>
      </c>
      <c r="AD1041" s="1332" t="s">
        <v>1528</v>
      </c>
      <c r="AE1041" s="1332" t="s">
        <v>1528</v>
      </c>
      <c r="AF1041" s="1309">
        <v>253.0</v>
      </c>
      <c r="AG1041" s="1304" t="s">
        <v>1528</v>
      </c>
      <c r="AH1041" s="164" t="s">
        <v>131</v>
      </c>
      <c r="AI1041" s="1304" t="s">
        <v>1528</v>
      </c>
      <c r="AJ1041" s="1311" t="s">
        <v>1528</v>
      </c>
      <c r="AK1041" s="1312" t="s">
        <v>1528</v>
      </c>
      <c r="AL1041" s="1312" t="s">
        <v>179</v>
      </c>
      <c r="AM1041" s="1304" t="s">
        <v>130</v>
      </c>
      <c r="AN1041" s="1313" t="s">
        <v>131</v>
      </c>
      <c r="AO1041" s="1309">
        <v>221.0</v>
      </c>
      <c r="AP1041" s="1304" t="s">
        <v>1528</v>
      </c>
      <c r="AQ1041" s="126" t="s">
        <v>131</v>
      </c>
      <c r="AR1041" s="1313" t="s">
        <v>5571</v>
      </c>
      <c r="AS1041" s="1304" t="s">
        <v>1528</v>
      </c>
      <c r="AT1041" s="1304" t="s">
        <v>1528</v>
      </c>
      <c r="AU1041" s="1304" t="s">
        <v>179</v>
      </c>
      <c r="AV1041" s="1304" t="s">
        <v>130</v>
      </c>
      <c r="AW1041" s="1314" t="s">
        <v>131</v>
      </c>
      <c r="AX1041" s="1304" t="s">
        <v>136</v>
      </c>
      <c r="AZ1041" s="1313" t="s">
        <v>5572</v>
      </c>
      <c r="BA1041" s="223"/>
      <c r="BB1041" s="223"/>
      <c r="BC1041" s="223"/>
      <c r="BD1041" s="223"/>
      <c r="BE1041" s="223"/>
      <c r="BF1041" s="223"/>
      <c r="BG1041" s="223"/>
      <c r="BH1041" s="223"/>
      <c r="BI1041" s="223"/>
      <c r="BJ1041" s="223"/>
      <c r="BK1041" s="223"/>
      <c r="BL1041" s="223"/>
      <c r="BM1041" s="223"/>
      <c r="BN1041" s="223"/>
      <c r="BO1041" s="223"/>
      <c r="BP1041" s="223"/>
      <c r="BQ1041" s="223"/>
      <c r="BR1041" s="223"/>
      <c r="BS1041" s="223"/>
      <c r="BT1041" s="223"/>
      <c r="BU1041" s="223"/>
      <c r="BV1041" s="223"/>
      <c r="BW1041" s="223"/>
      <c r="BX1041" s="223"/>
      <c r="BY1041" s="223"/>
      <c r="BZ1041" s="223"/>
      <c r="CA1041" s="223"/>
      <c r="CB1041" s="223"/>
      <c r="CC1041" s="223"/>
      <c r="CD1041" s="223"/>
      <c r="CE1041" s="223"/>
      <c r="CF1041" s="223"/>
      <c r="CG1041" s="223"/>
      <c r="CH1041" s="223"/>
      <c r="CI1041" s="223"/>
      <c r="CJ1041" s="223"/>
      <c r="CK1041" s="223"/>
      <c r="CL1041" s="223"/>
      <c r="CM1041" s="223"/>
      <c r="CN1041" s="223"/>
      <c r="CO1041" s="223"/>
      <c r="CP1041" s="223"/>
      <c r="CQ1041" s="223"/>
      <c r="CR1041" s="223"/>
      <c r="CS1041" s="223"/>
      <c r="CT1041" s="223"/>
      <c r="CU1041" s="223"/>
      <c r="CV1041" s="223"/>
      <c r="CW1041" s="223"/>
      <c r="CX1041" s="223"/>
      <c r="CY1041" s="223"/>
      <c r="CZ1041" s="223"/>
      <c r="DA1041" s="223"/>
      <c r="DB1041" s="223"/>
      <c r="DC1041" s="223"/>
      <c r="DD1041" s="223"/>
      <c r="DE1041" s="223"/>
      <c r="DF1041" s="223"/>
      <c r="DG1041" s="223"/>
      <c r="DH1041" s="223"/>
    </row>
    <row r="1042">
      <c r="A1042" s="41">
        <v>1042.0</v>
      </c>
      <c r="B1042" s="65" t="s">
        <v>107</v>
      </c>
      <c r="C1042" s="59" t="s">
        <v>108</v>
      </c>
      <c r="D1042" s="59" t="s">
        <v>241</v>
      </c>
      <c r="E1042" s="362"/>
      <c r="F1042" s="123" t="s">
        <v>5659</v>
      </c>
      <c r="G1042" s="116" t="s">
        <v>5660</v>
      </c>
      <c r="H1042" s="137" t="s">
        <v>242</v>
      </c>
      <c r="I1042" s="314">
        <v>45664.0</v>
      </c>
      <c r="J1042" s="1317">
        <v>45692.0</v>
      </c>
      <c r="K1042" s="137" t="s">
        <v>3676</v>
      </c>
      <c r="L1042" s="122" t="s">
        <v>5665</v>
      </c>
      <c r="M1042" s="137" t="s">
        <v>5661</v>
      </c>
      <c r="N1042" s="137" t="s">
        <v>5662</v>
      </c>
      <c r="O1042" s="122"/>
      <c r="P1042" s="137" t="str">
        <f t="shared" si="58"/>
        <v>10.1037--rev0000175.pdf</v>
      </c>
      <c r="Q1042" s="49" t="str">
        <f t="array" ref="Q1042"> if(iserror(MATCH(V1042, 'File Links'!C:C, 0)), "N/A", HYPERLINK(INDEX('File Links'!B:B, MATCH(P1042, 'File Links'!C:C, 0))))</f>
        <v>https://drive.google.com/file/d/1nonM8jExC1mVvcGqlH7dSp0-DAzLBLtm/view?usp=drivesdk</v>
      </c>
      <c r="R1042" s="137" t="s">
        <v>5666</v>
      </c>
      <c r="S1042" s="156" t="s">
        <v>3647</v>
      </c>
      <c r="T1042" s="144" t="s">
        <v>131</v>
      </c>
      <c r="U1042" s="144" t="s">
        <v>131</v>
      </c>
      <c r="V1042" s="195" t="str">
        <f t="shared" si="57"/>
        <v>10.1098--rsos.231240.pdf</v>
      </c>
      <c r="W1042" s="137" t="s">
        <v>317</v>
      </c>
      <c r="X1042" s="51" t="str">
        <f t="array" ref="X1042"> if(iserror(MATCH(V1042, 'File Links'!C:C, 0)), "N/A", HYPERLINK(INDEX('File Links'!B:B, MATCH(V1042, 'File Links'!C:C, 0))))</f>
        <v>https://drive.google.com/file/d/17gaf2Zy_ljFfcAEDk5L8GBnTl5i7RGJE/view?usp=drivesdk</v>
      </c>
      <c r="Y1042" s="122"/>
      <c r="Z1042" s="137" t="s">
        <v>141</v>
      </c>
      <c r="AA1042" s="122"/>
      <c r="AB1042" s="122"/>
      <c r="AC1042" s="122"/>
      <c r="AD1042" s="137" t="s">
        <v>131</v>
      </c>
      <c r="AE1042" s="137" t="s">
        <v>131</v>
      </c>
      <c r="AF1042" s="779">
        <v>253.0</v>
      </c>
      <c r="AG1042" s="137" t="s">
        <v>131</v>
      </c>
      <c r="AH1042" s="164" t="s">
        <v>131</v>
      </c>
      <c r="AI1042" s="137" t="s">
        <v>131</v>
      </c>
      <c r="AJ1042" s="220" t="s">
        <v>131</v>
      </c>
      <c r="AK1042" s="129"/>
      <c r="AL1042" s="123" t="s">
        <v>179</v>
      </c>
      <c r="AM1042" s="137" t="s">
        <v>1898</v>
      </c>
      <c r="AN1042" s="1313" t="s">
        <v>131</v>
      </c>
      <c r="AO1042" s="779">
        <v>221.0</v>
      </c>
      <c r="AP1042" s="137" t="s">
        <v>131</v>
      </c>
      <c r="AQ1042" s="122"/>
      <c r="AR1042" s="1313" t="s">
        <v>5571</v>
      </c>
      <c r="AS1042" s="137" t="s">
        <v>131</v>
      </c>
      <c r="AT1042" s="122"/>
      <c r="AU1042" s="137" t="s">
        <v>179</v>
      </c>
      <c r="AV1042" s="137" t="s">
        <v>1898</v>
      </c>
      <c r="AW1042" s="1314" t="s">
        <v>131</v>
      </c>
      <c r="AX1042" s="137" t="s">
        <v>136</v>
      </c>
      <c r="AZ1042" s="1313" t="s">
        <v>5572</v>
      </c>
      <c r="BA1042" s="223"/>
      <c r="BB1042" s="223"/>
      <c r="BC1042" s="223"/>
      <c r="BD1042" s="223"/>
      <c r="BE1042" s="223"/>
      <c r="BF1042" s="223"/>
      <c r="BG1042" s="223"/>
      <c r="BH1042" s="223"/>
      <c r="BI1042" s="223"/>
      <c r="BJ1042" s="223"/>
      <c r="BK1042" s="223"/>
      <c r="BL1042" s="223"/>
      <c r="BM1042" s="223"/>
      <c r="BN1042" s="223"/>
      <c r="BO1042" s="223"/>
      <c r="BP1042" s="223"/>
      <c r="BQ1042" s="223"/>
      <c r="BR1042" s="223"/>
      <c r="BS1042" s="223"/>
      <c r="BT1042" s="223"/>
      <c r="BU1042" s="223"/>
      <c r="BV1042" s="223"/>
      <c r="BW1042" s="223"/>
      <c r="BX1042" s="223"/>
      <c r="BY1042" s="223"/>
      <c r="BZ1042" s="223"/>
      <c r="CA1042" s="223"/>
      <c r="CB1042" s="223"/>
      <c r="CC1042" s="223"/>
      <c r="CD1042" s="223"/>
      <c r="CE1042" s="223"/>
      <c r="CF1042" s="223"/>
      <c r="CG1042" s="223"/>
      <c r="CH1042" s="223"/>
      <c r="CI1042" s="223"/>
      <c r="CJ1042" s="223"/>
      <c r="CK1042" s="223"/>
      <c r="CL1042" s="223"/>
      <c r="CM1042" s="223"/>
      <c r="CN1042" s="223"/>
      <c r="CO1042" s="223"/>
      <c r="CP1042" s="223"/>
      <c r="CQ1042" s="223"/>
      <c r="CR1042" s="223"/>
      <c r="CS1042" s="223"/>
      <c r="CT1042" s="223"/>
      <c r="CU1042" s="223"/>
      <c r="CV1042" s="223"/>
      <c r="CW1042" s="223"/>
      <c r="CX1042" s="223"/>
      <c r="CY1042" s="223"/>
      <c r="CZ1042" s="223"/>
      <c r="DA1042" s="223"/>
      <c r="DB1042" s="223"/>
      <c r="DC1042" s="223"/>
      <c r="DD1042" s="223"/>
      <c r="DE1042" s="223"/>
      <c r="DF1042" s="223"/>
      <c r="DG1042" s="223"/>
      <c r="DH1042" s="223"/>
    </row>
    <row r="1043">
      <c r="A1043" s="41">
        <v>1043.0</v>
      </c>
      <c r="B1043" s="126" t="s">
        <v>145</v>
      </c>
      <c r="C1043" s="59" t="s">
        <v>108</v>
      </c>
      <c r="D1043" s="59" t="s">
        <v>138</v>
      </c>
      <c r="E1043" s="362"/>
      <c r="F1043" s="1304" t="s">
        <v>5667</v>
      </c>
      <c r="G1043" s="1305" t="s">
        <v>5668</v>
      </c>
      <c r="H1043" s="1306" t="s">
        <v>5559</v>
      </c>
      <c r="I1043" s="1307">
        <v>45688.0</v>
      </c>
      <c r="J1043" s="1308">
        <v>45692.0</v>
      </c>
      <c r="K1043" s="1304" t="s">
        <v>5633</v>
      </c>
      <c r="L1043" s="1304" t="s">
        <v>5561</v>
      </c>
      <c r="M1043" s="1306" t="s">
        <v>5669</v>
      </c>
      <c r="N1043" s="1306" t="s">
        <v>5670</v>
      </c>
      <c r="O1043" s="1309">
        <v>1.0</v>
      </c>
      <c r="P1043" s="1306" t="s">
        <v>5671</v>
      </c>
      <c r="Q1043" s="49" t="str">
        <f t="array" ref="Q1043"> if(iserror(MATCH(V1043, 'File Links'!C:C, 0)), "N/A", HYPERLINK(INDEX('File Links'!B:B, MATCH(P1043, 'File Links'!C:C, 0))))</f>
        <v>https://drive.google.com/file/d/12p5OEsz_Kqdr2WrmlHbpY-_JFlSEkooC/view?usp=drivesdk</v>
      </c>
      <c r="R1043" s="1306" t="s">
        <v>3646</v>
      </c>
      <c r="S1043" s="156" t="s">
        <v>3647</v>
      </c>
      <c r="T1043" s="144" t="s">
        <v>131</v>
      </c>
      <c r="U1043" s="144" t="s">
        <v>131</v>
      </c>
      <c r="V1043" s="195" t="str">
        <f t="shared" si="57"/>
        <v>10.1098--rsos.231240.pdf</v>
      </c>
      <c r="W1043" s="137" t="s">
        <v>317</v>
      </c>
      <c r="X1043" s="51" t="str">
        <f t="array" ref="X1043"> if(iserror(MATCH(V1043, 'File Links'!C:C, 0)), "N/A", HYPERLINK(INDEX('File Links'!B:B, MATCH(V1043, 'File Links'!C:C, 0))))</f>
        <v>https://drive.google.com/file/d/17gaf2Zy_ljFfcAEDk5L8GBnTl5i7RGJE/view?usp=drivesdk</v>
      </c>
      <c r="Y1043" s="1304"/>
      <c r="Z1043" s="1306" t="s">
        <v>219</v>
      </c>
      <c r="AA1043" s="371" t="s">
        <v>131</v>
      </c>
      <c r="AB1043" s="1304" t="s">
        <v>5672</v>
      </c>
      <c r="AC1043" s="1306" t="s">
        <v>5673</v>
      </c>
      <c r="AD1043" s="1304" t="s">
        <v>5674</v>
      </c>
      <c r="AE1043" s="1304" t="s">
        <v>5675</v>
      </c>
      <c r="AF1043" s="1309">
        <v>126.0</v>
      </c>
      <c r="AG1043" s="1333">
        <v>0.356</v>
      </c>
      <c r="AH1043" s="1304" t="s">
        <v>132</v>
      </c>
      <c r="AI1043" s="1304" t="s">
        <v>843</v>
      </c>
      <c r="AJ1043" s="1316">
        <v>0.001</v>
      </c>
      <c r="AK1043" s="1312" t="s">
        <v>128</v>
      </c>
      <c r="AL1043" s="1312" t="s">
        <v>179</v>
      </c>
      <c r="AM1043" s="1304" t="s">
        <v>130</v>
      </c>
      <c r="AN1043" s="1334" t="s">
        <v>5676</v>
      </c>
      <c r="AO1043" s="1309">
        <v>103.0</v>
      </c>
      <c r="AP1043" s="1313" t="s">
        <v>131</v>
      </c>
      <c r="AQ1043" s="126" t="s">
        <v>131</v>
      </c>
      <c r="AR1043" s="1313" t="s">
        <v>5571</v>
      </c>
      <c r="AS1043" s="371" t="s">
        <v>131</v>
      </c>
      <c r="AT1043" s="216" t="s">
        <v>131</v>
      </c>
      <c r="AU1043" s="1304" t="s">
        <v>179</v>
      </c>
      <c r="AV1043" s="1304" t="s">
        <v>130</v>
      </c>
      <c r="AW1043" s="1314" t="s">
        <v>131</v>
      </c>
      <c r="AX1043" s="1304" t="s">
        <v>136</v>
      </c>
      <c r="AZ1043" s="1313" t="s">
        <v>5572</v>
      </c>
      <c r="BA1043" s="186"/>
      <c r="BB1043" s="186"/>
      <c r="BC1043" s="186"/>
      <c r="BD1043" s="186"/>
      <c r="BE1043" s="186"/>
      <c r="BF1043" s="186"/>
      <c r="BG1043" s="186"/>
      <c r="BH1043" s="186"/>
      <c r="BI1043" s="186"/>
      <c r="BJ1043" s="186"/>
      <c r="BK1043" s="186"/>
      <c r="BL1043" s="186"/>
      <c r="BM1043" s="186"/>
      <c r="BN1043" s="186"/>
      <c r="BO1043" s="186"/>
      <c r="BP1043" s="186"/>
      <c r="BQ1043" s="186"/>
      <c r="BR1043" s="186"/>
      <c r="BS1043" s="186"/>
      <c r="BT1043" s="186"/>
      <c r="BU1043" s="186"/>
      <c r="BV1043" s="186"/>
      <c r="BW1043" s="186"/>
      <c r="BX1043" s="186"/>
      <c r="BY1043" s="186"/>
      <c r="BZ1043" s="186"/>
      <c r="CA1043" s="186"/>
      <c r="CB1043" s="186"/>
      <c r="CC1043" s="186"/>
      <c r="CD1043" s="186"/>
      <c r="CE1043" s="186"/>
      <c r="CF1043" s="186"/>
      <c r="CG1043" s="186"/>
      <c r="CH1043" s="186"/>
      <c r="CI1043" s="186"/>
      <c r="CJ1043" s="186"/>
      <c r="CK1043" s="186"/>
      <c r="CL1043" s="186"/>
      <c r="CM1043" s="186"/>
      <c r="CN1043" s="186"/>
      <c r="CO1043" s="186"/>
      <c r="CP1043" s="186"/>
      <c r="CQ1043" s="186"/>
      <c r="CR1043" s="186"/>
      <c r="CS1043" s="186"/>
      <c r="CT1043" s="186"/>
      <c r="CU1043" s="186"/>
      <c r="CV1043" s="186"/>
      <c r="CW1043" s="186"/>
      <c r="CX1043" s="186"/>
      <c r="CY1043" s="186"/>
      <c r="CZ1043" s="186"/>
      <c r="DA1043" s="186"/>
      <c r="DB1043" s="186"/>
      <c r="DC1043" s="186"/>
      <c r="DD1043" s="186"/>
      <c r="DE1043" s="186"/>
      <c r="DF1043" s="186"/>
      <c r="DG1043" s="186"/>
      <c r="DH1043" s="186"/>
    </row>
    <row r="1044">
      <c r="A1044" s="41">
        <v>1044.0</v>
      </c>
      <c r="B1044" s="65" t="s">
        <v>107</v>
      </c>
      <c r="C1044" s="59" t="s">
        <v>108</v>
      </c>
      <c r="D1044" s="59" t="s">
        <v>241</v>
      </c>
      <c r="E1044" s="362"/>
      <c r="F1044" s="123" t="s">
        <v>5667</v>
      </c>
      <c r="G1044" s="116" t="s">
        <v>5668</v>
      </c>
      <c r="H1044" s="137" t="s">
        <v>242</v>
      </c>
      <c r="I1044" s="314">
        <v>45664.0</v>
      </c>
      <c r="J1044" s="1317">
        <v>45692.0</v>
      </c>
      <c r="K1044" s="137" t="s">
        <v>3676</v>
      </c>
      <c r="L1044" s="122" t="s">
        <v>5561</v>
      </c>
      <c r="M1044" s="137" t="s">
        <v>5669</v>
      </c>
      <c r="N1044" s="137" t="s">
        <v>5670</v>
      </c>
      <c r="O1044" s="122"/>
      <c r="P1044" s="137" t="str">
        <f> SUBSTITUTE(lower(N1044), "/", "--") &amp;  ".pdf"</f>
        <v>10.1177--0956797616669947.pdf</v>
      </c>
      <c r="Q1044" s="49" t="str">
        <f t="array" ref="Q1044"> if(iserror(MATCH(V1044, 'File Links'!C:C, 0)), "N/A", HYPERLINK(INDEX('File Links'!B:B, MATCH(P1044, 'File Links'!C:C, 0))))</f>
        <v>https://drive.google.com/file/d/12p5OEsz_Kqdr2WrmlHbpY-_JFlSEkooC/view?usp=drivesdk</v>
      </c>
      <c r="R1044" s="137" t="s">
        <v>5677</v>
      </c>
      <c r="S1044" s="156" t="s">
        <v>3647</v>
      </c>
      <c r="T1044" s="144" t="s">
        <v>131</v>
      </c>
      <c r="U1044" s="144" t="s">
        <v>131</v>
      </c>
      <c r="V1044" s="195" t="str">
        <f t="shared" si="57"/>
        <v>10.1098--rsos.231240.pdf</v>
      </c>
      <c r="W1044" s="137" t="s">
        <v>317</v>
      </c>
      <c r="X1044" s="51" t="str">
        <f t="array" ref="X1044"> if(iserror(MATCH(V1044, 'File Links'!C:C, 0)), "N/A", HYPERLINK(INDEX('File Links'!B:B, MATCH(V1044, 'File Links'!C:C, 0))))</f>
        <v>https://drive.google.com/file/d/17gaf2Zy_ljFfcAEDk5L8GBnTl5i7RGJE/view?usp=drivesdk</v>
      </c>
      <c r="Y1044" s="122"/>
      <c r="Z1044" s="137" t="s">
        <v>141</v>
      </c>
      <c r="AA1044" s="122"/>
      <c r="AB1044" s="122"/>
      <c r="AC1044" s="122"/>
      <c r="AD1044" s="137" t="s">
        <v>131</v>
      </c>
      <c r="AE1044" s="137" t="s">
        <v>131</v>
      </c>
      <c r="AF1044" s="779">
        <v>126.0</v>
      </c>
      <c r="AG1044" s="137" t="s">
        <v>131</v>
      </c>
      <c r="AH1044" s="164" t="s">
        <v>131</v>
      </c>
      <c r="AI1044" s="137" t="s">
        <v>131</v>
      </c>
      <c r="AJ1044" s="220" t="s">
        <v>131</v>
      </c>
      <c r="AK1044" s="129"/>
      <c r="AL1044" s="123" t="s">
        <v>179</v>
      </c>
      <c r="AM1044" s="137" t="s">
        <v>1898</v>
      </c>
      <c r="AN1044" s="1313" t="s">
        <v>131</v>
      </c>
      <c r="AO1044" s="779">
        <v>103.0</v>
      </c>
      <c r="AP1044" s="137" t="s">
        <v>131</v>
      </c>
      <c r="AQ1044" s="122"/>
      <c r="AR1044" s="1313" t="s">
        <v>5571</v>
      </c>
      <c r="AS1044" s="137" t="s">
        <v>131</v>
      </c>
      <c r="AT1044" s="122"/>
      <c r="AU1044" s="137" t="s">
        <v>179</v>
      </c>
      <c r="AV1044" s="137" t="s">
        <v>1898</v>
      </c>
      <c r="AW1044" s="1314" t="s">
        <v>131</v>
      </c>
      <c r="AX1044" s="137" t="s">
        <v>136</v>
      </c>
      <c r="AZ1044" s="1313" t="s">
        <v>5572</v>
      </c>
      <c r="BA1044" s="186"/>
      <c r="BB1044" s="186"/>
      <c r="BC1044" s="186"/>
      <c r="BD1044" s="186"/>
      <c r="BE1044" s="186"/>
      <c r="BF1044" s="186"/>
      <c r="BG1044" s="186"/>
      <c r="BH1044" s="186"/>
      <c r="BI1044" s="186"/>
      <c r="BJ1044" s="186"/>
      <c r="BK1044" s="186"/>
      <c r="BL1044" s="186"/>
      <c r="BM1044" s="186"/>
      <c r="BN1044" s="186"/>
      <c r="BO1044" s="186"/>
      <c r="BP1044" s="186"/>
      <c r="BQ1044" s="186"/>
      <c r="BR1044" s="186"/>
      <c r="BS1044" s="186"/>
      <c r="BT1044" s="186"/>
      <c r="BU1044" s="186"/>
      <c r="BV1044" s="186"/>
      <c r="BW1044" s="186"/>
      <c r="BX1044" s="186"/>
      <c r="BY1044" s="186"/>
      <c r="BZ1044" s="186"/>
      <c r="CA1044" s="186"/>
      <c r="CB1044" s="186"/>
      <c r="CC1044" s="186"/>
      <c r="CD1044" s="186"/>
      <c r="CE1044" s="186"/>
      <c r="CF1044" s="186"/>
      <c r="CG1044" s="186"/>
      <c r="CH1044" s="186"/>
      <c r="CI1044" s="186"/>
      <c r="CJ1044" s="186"/>
      <c r="CK1044" s="186"/>
      <c r="CL1044" s="186"/>
      <c r="CM1044" s="186"/>
      <c r="CN1044" s="186"/>
      <c r="CO1044" s="186"/>
      <c r="CP1044" s="186"/>
      <c r="CQ1044" s="186"/>
      <c r="CR1044" s="186"/>
      <c r="CS1044" s="186"/>
      <c r="CT1044" s="186"/>
      <c r="CU1044" s="186"/>
      <c r="CV1044" s="186"/>
      <c r="CW1044" s="186"/>
      <c r="CX1044" s="186"/>
      <c r="CY1044" s="186"/>
      <c r="CZ1044" s="186"/>
      <c r="DA1044" s="186"/>
      <c r="DB1044" s="186"/>
      <c r="DC1044" s="186"/>
      <c r="DD1044" s="186"/>
      <c r="DE1044" s="186"/>
      <c r="DF1044" s="186"/>
      <c r="DG1044" s="186"/>
      <c r="DH1044" s="186"/>
    </row>
    <row r="1045">
      <c r="A1045" s="41">
        <v>1045.0</v>
      </c>
      <c r="B1045" s="126" t="s">
        <v>145</v>
      </c>
      <c r="C1045" s="59" t="s">
        <v>108</v>
      </c>
      <c r="D1045" s="59" t="s">
        <v>138</v>
      </c>
      <c r="E1045" s="362"/>
      <c r="F1045" s="1304" t="s">
        <v>5678</v>
      </c>
      <c r="G1045" s="1305" t="s">
        <v>5679</v>
      </c>
      <c r="H1045" s="1306" t="s">
        <v>5559</v>
      </c>
      <c r="I1045" s="1307">
        <v>45688.0</v>
      </c>
      <c r="J1045" s="1308">
        <v>45692.0</v>
      </c>
      <c r="K1045" s="1304"/>
      <c r="L1045" s="1304" t="s">
        <v>5561</v>
      </c>
      <c r="M1045" s="1306" t="s">
        <v>5680</v>
      </c>
      <c r="N1045" s="1306" t="s">
        <v>5681</v>
      </c>
      <c r="O1045" s="1309">
        <v>1.0</v>
      </c>
      <c r="P1045" s="1306" t="s">
        <v>5682</v>
      </c>
      <c r="Q1045" s="49" t="str">
        <f t="array" ref="Q1045"> if(iserror(MATCH(V1045, 'File Links'!C:C, 0)), "N/A", HYPERLINK(INDEX('File Links'!B:B, MATCH(P1045, 'File Links'!C:C, 0))))</f>
        <v>https://drive.google.com/file/d/1rj178it8sQtHMyNzyb90GXfEk1Hk5YnN/view?usp=drivesdk</v>
      </c>
      <c r="R1045" s="1306" t="s">
        <v>3646</v>
      </c>
      <c r="S1045" s="156" t="s">
        <v>3647</v>
      </c>
      <c r="T1045" s="144" t="s">
        <v>131</v>
      </c>
      <c r="U1045" s="144" t="s">
        <v>131</v>
      </c>
      <c r="V1045" s="195" t="str">
        <f t="shared" si="57"/>
        <v>10.1098--rsos.231240.pdf</v>
      </c>
      <c r="W1045" s="137" t="s">
        <v>3658</v>
      </c>
      <c r="X1045" s="51" t="str">
        <f t="array" ref="X1045"> if(iserror(MATCH(V1045, 'File Links'!C:C, 0)), "N/A", HYPERLINK(INDEX('File Links'!B:B, MATCH(V1045, 'File Links'!C:C, 0))))</f>
        <v>https://drive.google.com/file/d/17gaf2Zy_ljFfcAEDk5L8GBnTl5i7RGJE/view?usp=drivesdk</v>
      </c>
      <c r="Y1045" s="1304"/>
      <c r="Z1045" s="1306" t="s">
        <v>141</v>
      </c>
      <c r="AA1045" s="371" t="s">
        <v>131</v>
      </c>
      <c r="AB1045" s="1304" t="s">
        <v>5683</v>
      </c>
      <c r="AC1045" s="1306" t="s">
        <v>5684</v>
      </c>
      <c r="AD1045" s="1304" t="s">
        <v>5685</v>
      </c>
      <c r="AE1045" s="1304" t="s">
        <v>5606</v>
      </c>
      <c r="AF1045" s="1309">
        <v>20.0</v>
      </c>
      <c r="AG1045" s="1304" t="s">
        <v>5686</v>
      </c>
      <c r="AH1045" s="1304" t="s">
        <v>127</v>
      </c>
      <c r="AI1045" s="1304" t="s">
        <v>5687</v>
      </c>
      <c r="AJ1045" s="1316">
        <v>0.05</v>
      </c>
      <c r="AK1045" s="1312" t="s">
        <v>328</v>
      </c>
      <c r="AL1045" s="1312" t="s">
        <v>179</v>
      </c>
      <c r="AM1045" s="1304" t="s">
        <v>130</v>
      </c>
      <c r="AN1045" s="1313" t="s">
        <v>131</v>
      </c>
      <c r="AO1045" s="1309">
        <v>80.0</v>
      </c>
      <c r="AP1045" s="1333">
        <v>-0.009090909091</v>
      </c>
      <c r="AQ1045" s="1304" t="s">
        <v>166</v>
      </c>
      <c r="AR1045" s="1313" t="s">
        <v>5571</v>
      </c>
      <c r="AS1045" s="1333">
        <v>0.935803955360774</v>
      </c>
      <c r="AT1045" s="1304" t="s">
        <v>165</v>
      </c>
      <c r="AU1045" s="1304" t="s">
        <v>179</v>
      </c>
      <c r="AV1045" s="1304" t="s">
        <v>130</v>
      </c>
      <c r="AW1045" s="1314" t="s">
        <v>131</v>
      </c>
      <c r="AX1045" s="1304" t="s">
        <v>136</v>
      </c>
      <c r="AZ1045" s="1313" t="s">
        <v>5572</v>
      </c>
      <c r="BA1045" s="186"/>
      <c r="BB1045" s="186"/>
      <c r="BC1045" s="186"/>
      <c r="BD1045" s="186"/>
      <c r="BE1045" s="186"/>
      <c r="BF1045" s="186"/>
      <c r="BG1045" s="186"/>
      <c r="BH1045" s="186"/>
      <c r="BI1045" s="186"/>
      <c r="BJ1045" s="186"/>
      <c r="BK1045" s="186"/>
      <c r="BL1045" s="186"/>
      <c r="BM1045" s="186"/>
      <c r="BN1045" s="186"/>
      <c r="BO1045" s="186"/>
      <c r="BP1045" s="186"/>
      <c r="BQ1045" s="186"/>
      <c r="BR1045" s="186"/>
      <c r="BS1045" s="186"/>
      <c r="BT1045" s="186"/>
      <c r="BU1045" s="186"/>
      <c r="BV1045" s="186"/>
      <c r="BW1045" s="186"/>
      <c r="BX1045" s="186"/>
      <c r="BY1045" s="186"/>
      <c r="BZ1045" s="186"/>
      <c r="CA1045" s="186"/>
      <c r="CB1045" s="186"/>
      <c r="CC1045" s="186"/>
      <c r="CD1045" s="186"/>
      <c r="CE1045" s="186"/>
      <c r="CF1045" s="186"/>
      <c r="CG1045" s="186"/>
      <c r="CH1045" s="186"/>
      <c r="CI1045" s="186"/>
      <c r="CJ1045" s="186"/>
      <c r="CK1045" s="186"/>
      <c r="CL1045" s="186"/>
      <c r="CM1045" s="186"/>
      <c r="CN1045" s="186"/>
      <c r="CO1045" s="186"/>
      <c r="CP1045" s="186"/>
      <c r="CQ1045" s="186"/>
      <c r="CR1045" s="186"/>
      <c r="CS1045" s="186"/>
      <c r="CT1045" s="186"/>
      <c r="CU1045" s="186"/>
      <c r="CV1045" s="186"/>
      <c r="CW1045" s="186"/>
      <c r="CX1045" s="186"/>
      <c r="CY1045" s="186"/>
      <c r="CZ1045" s="186"/>
      <c r="DA1045" s="186"/>
      <c r="DB1045" s="186"/>
      <c r="DC1045" s="186"/>
      <c r="DD1045" s="186"/>
      <c r="DE1045" s="186"/>
      <c r="DF1045" s="186"/>
      <c r="DG1045" s="186"/>
      <c r="DH1045" s="186"/>
    </row>
    <row r="1046">
      <c r="A1046" s="41">
        <v>1046.0</v>
      </c>
      <c r="B1046" s="126" t="s">
        <v>107</v>
      </c>
      <c r="C1046" s="59" t="s">
        <v>108</v>
      </c>
      <c r="D1046" s="59" t="s">
        <v>241</v>
      </c>
      <c r="E1046" s="362"/>
      <c r="F1046" s="123" t="s">
        <v>5678</v>
      </c>
      <c r="G1046" s="116" t="s">
        <v>5679</v>
      </c>
      <c r="H1046" s="137" t="s">
        <v>242</v>
      </c>
      <c r="I1046" s="314">
        <v>45665.0</v>
      </c>
      <c r="J1046" s="1317">
        <v>45692.0</v>
      </c>
      <c r="K1046" s="122"/>
      <c r="L1046" s="122" t="s">
        <v>5561</v>
      </c>
      <c r="M1046" s="137" t="s">
        <v>5680</v>
      </c>
      <c r="N1046" s="137" t="s">
        <v>5681</v>
      </c>
      <c r="O1046" s="122"/>
      <c r="P1046" s="137" t="str">
        <f t="shared" ref="P1046:P1048" si="59"> SUBSTITUTE(lower(N1046), "/", "--") &amp;  ".pdf"</f>
        <v>10.1073--pnas.0908963106.pdf</v>
      </c>
      <c r="Q1046" s="49" t="str">
        <f t="array" ref="Q1046"> if(iserror(MATCH(V1046, 'File Links'!C:C, 0)), "N/A", HYPERLINK(INDEX('File Links'!B:B, MATCH(P1046, 'File Links'!C:C, 0))))</f>
        <v>https://drive.google.com/file/d/1rj178it8sQtHMyNzyb90GXfEk1Hk5YnN/view?usp=drivesdk</v>
      </c>
      <c r="R1046" s="137" t="s">
        <v>5688</v>
      </c>
      <c r="S1046" s="156" t="s">
        <v>3647</v>
      </c>
      <c r="T1046" s="144" t="s">
        <v>131</v>
      </c>
      <c r="U1046" s="144" t="s">
        <v>131</v>
      </c>
      <c r="V1046" s="195" t="str">
        <f t="shared" si="57"/>
        <v>10.1098--rsos.231240.pdf</v>
      </c>
      <c r="W1046" s="137" t="s">
        <v>3658</v>
      </c>
      <c r="X1046" s="51" t="str">
        <f t="array" ref="X1046"> if(iserror(MATCH(V1046, 'File Links'!C:C, 0)), "N/A", HYPERLINK(INDEX('File Links'!B:B, MATCH(V1046, 'File Links'!C:C, 0))))</f>
        <v>https://drive.google.com/file/d/17gaf2Zy_ljFfcAEDk5L8GBnTl5i7RGJE/view?usp=drivesdk</v>
      </c>
      <c r="Y1046" s="122"/>
      <c r="Z1046" s="137" t="s">
        <v>141</v>
      </c>
      <c r="AA1046" s="122"/>
      <c r="AB1046" s="122"/>
      <c r="AC1046" s="122"/>
      <c r="AD1046" s="137" t="s">
        <v>5689</v>
      </c>
      <c r="AE1046" s="779">
        <v>21101.0</v>
      </c>
      <c r="AF1046" s="779">
        <v>20.0</v>
      </c>
      <c r="AG1046" s="779">
        <v>0.28</v>
      </c>
      <c r="AH1046" s="137" t="s">
        <v>166</v>
      </c>
      <c r="AI1046" s="137" t="s">
        <v>5690</v>
      </c>
      <c r="AJ1046" s="130">
        <v>0.05</v>
      </c>
      <c r="AK1046" s="123" t="s">
        <v>328</v>
      </c>
      <c r="AL1046" s="123" t="s">
        <v>179</v>
      </c>
      <c r="AM1046" s="137" t="s">
        <v>130</v>
      </c>
      <c r="AN1046" s="1313" t="s">
        <v>131</v>
      </c>
      <c r="AO1046" s="779">
        <v>80.0</v>
      </c>
      <c r="AP1046" s="779">
        <v>-0.00909090909090922</v>
      </c>
      <c r="AQ1046" s="137" t="s">
        <v>166</v>
      </c>
      <c r="AR1046" s="1313" t="s">
        <v>5571</v>
      </c>
      <c r="AS1046" s="1335">
        <v>0.935803955360774</v>
      </c>
      <c r="AT1046" s="137" t="s">
        <v>165</v>
      </c>
      <c r="AU1046" s="137" t="s">
        <v>179</v>
      </c>
      <c r="AV1046" s="137" t="s">
        <v>130</v>
      </c>
      <c r="AW1046" s="1314" t="s">
        <v>131</v>
      </c>
      <c r="AX1046" s="122"/>
      <c r="AZ1046" s="1313" t="s">
        <v>5572</v>
      </c>
      <c r="BA1046" s="186"/>
      <c r="BB1046" s="186"/>
      <c r="BC1046" s="186"/>
      <c r="BD1046" s="186"/>
      <c r="BE1046" s="186"/>
      <c r="BF1046" s="186"/>
      <c r="BG1046" s="186"/>
      <c r="BH1046" s="186"/>
      <c r="BI1046" s="186"/>
      <c r="BJ1046" s="186"/>
      <c r="BK1046" s="186"/>
      <c r="BL1046" s="186"/>
      <c r="BM1046" s="186"/>
      <c r="BN1046" s="186"/>
      <c r="BO1046" s="186"/>
      <c r="BP1046" s="186"/>
      <c r="BQ1046" s="186"/>
      <c r="BR1046" s="186"/>
      <c r="BS1046" s="186"/>
      <c r="BT1046" s="186"/>
      <c r="BU1046" s="186"/>
      <c r="BV1046" s="186"/>
      <c r="BW1046" s="186"/>
      <c r="BX1046" s="186"/>
      <c r="BY1046" s="186"/>
      <c r="BZ1046" s="186"/>
      <c r="CA1046" s="186"/>
      <c r="CB1046" s="186"/>
      <c r="CC1046" s="186"/>
      <c r="CD1046" s="186"/>
      <c r="CE1046" s="186"/>
      <c r="CF1046" s="186"/>
      <c r="CG1046" s="186"/>
      <c r="CH1046" s="186"/>
      <c r="CI1046" s="186"/>
      <c r="CJ1046" s="186"/>
      <c r="CK1046" s="186"/>
      <c r="CL1046" s="186"/>
      <c r="CM1046" s="186"/>
      <c r="CN1046" s="186"/>
      <c r="CO1046" s="186"/>
      <c r="CP1046" s="186"/>
      <c r="CQ1046" s="186"/>
      <c r="CR1046" s="186"/>
      <c r="CS1046" s="186"/>
      <c r="CT1046" s="186"/>
      <c r="CU1046" s="186"/>
      <c r="CV1046" s="186"/>
      <c r="CW1046" s="186"/>
      <c r="CX1046" s="186"/>
      <c r="CY1046" s="186"/>
      <c r="CZ1046" s="186"/>
      <c r="DA1046" s="186"/>
      <c r="DB1046" s="186"/>
      <c r="DC1046" s="186"/>
      <c r="DD1046" s="186"/>
      <c r="DE1046" s="186"/>
      <c r="DF1046" s="186"/>
      <c r="DG1046" s="186"/>
      <c r="DH1046" s="186"/>
    </row>
    <row r="1047">
      <c r="A1047" s="41">
        <v>1047.0</v>
      </c>
      <c r="B1047" s="126" t="s">
        <v>145</v>
      </c>
      <c r="C1047" s="59" t="s">
        <v>108</v>
      </c>
      <c r="D1047" s="59" t="s">
        <v>138</v>
      </c>
      <c r="E1047" s="362"/>
      <c r="F1047" s="1304" t="s">
        <v>5691</v>
      </c>
      <c r="G1047" s="1305" t="s">
        <v>5692</v>
      </c>
      <c r="H1047" s="1306" t="s">
        <v>5559</v>
      </c>
      <c r="I1047" s="1307">
        <v>45688.0</v>
      </c>
      <c r="J1047" s="1308">
        <v>45692.0</v>
      </c>
      <c r="K1047" s="1304"/>
      <c r="L1047" s="1304" t="s">
        <v>5561</v>
      </c>
      <c r="M1047" s="1306" t="s">
        <v>5693</v>
      </c>
      <c r="N1047" s="1304" t="s">
        <v>5694</v>
      </c>
      <c r="O1047" s="1309">
        <v>7.0</v>
      </c>
      <c r="P1047" s="137" t="str">
        <f t="shared" si="59"/>
        <v>10.1037--0022-3514.94.3.495.pdf</v>
      </c>
      <c r="Q1047" s="49" t="str">
        <f t="array" ref="Q1047"> if(iserror(MATCH(V1047, 'File Links'!C:C, 0)), "N/A", HYPERLINK(INDEX('File Links'!B:B, MATCH(P1047, 'File Links'!C:C, 0))))</f>
        <v>https://drive.google.com/file/d/1sVDcE0S8Au1V2yPyjhNJC-dbCas3mbhd/view?usp=drivesdk</v>
      </c>
      <c r="R1047" s="1306" t="s">
        <v>3646</v>
      </c>
      <c r="S1047" s="156" t="s">
        <v>3647</v>
      </c>
      <c r="T1047" s="144" t="s">
        <v>131</v>
      </c>
      <c r="U1047" s="144" t="s">
        <v>131</v>
      </c>
      <c r="V1047" s="195" t="str">
        <f t="shared" si="57"/>
        <v>10.1098--rsos.231240.pdf</v>
      </c>
      <c r="W1047" s="137" t="s">
        <v>3658</v>
      </c>
      <c r="X1047" s="51" t="str">
        <f t="array" ref="X1047"> if(iserror(MATCH(V1047, 'File Links'!C:C, 0)), "N/A", HYPERLINK(INDEX('File Links'!B:B, MATCH(V1047, 'File Links'!C:C, 0))))</f>
        <v>https://drive.google.com/file/d/17gaf2Zy_ljFfcAEDk5L8GBnTl5i7RGJE/view?usp=drivesdk</v>
      </c>
      <c r="Y1047" s="1304"/>
      <c r="Z1047" s="1306" t="s">
        <v>219</v>
      </c>
      <c r="AA1047" s="371" t="s">
        <v>131</v>
      </c>
      <c r="AB1047" s="1304" t="s">
        <v>5695</v>
      </c>
      <c r="AC1047" s="1306" t="s">
        <v>5696</v>
      </c>
      <c r="AD1047" s="1304" t="s">
        <v>5697</v>
      </c>
      <c r="AE1047" s="1333">
        <v>17.0</v>
      </c>
      <c r="AF1047" s="1309">
        <v>155.0</v>
      </c>
      <c r="AG1047" s="1304" t="s">
        <v>5698</v>
      </c>
      <c r="AH1047" s="1304" t="s">
        <v>127</v>
      </c>
      <c r="AI1047" s="1304" t="s">
        <v>5699</v>
      </c>
      <c r="AJ1047" s="1316">
        <v>0.01</v>
      </c>
      <c r="AK1047" s="1312" t="s">
        <v>128</v>
      </c>
      <c r="AL1047" s="1312" t="s">
        <v>179</v>
      </c>
      <c r="AM1047" s="1304" t="s">
        <v>130</v>
      </c>
      <c r="AN1047" s="1313" t="s">
        <v>131</v>
      </c>
      <c r="AO1047" s="1309">
        <v>135.0</v>
      </c>
      <c r="AP1047" s="1304" t="s">
        <v>5700</v>
      </c>
      <c r="AQ1047" s="1304" t="s">
        <v>127</v>
      </c>
      <c r="AR1047" s="1313" t="s">
        <v>5571</v>
      </c>
      <c r="AS1047" s="1333">
        <v>0.8934787321</v>
      </c>
      <c r="AT1047" s="1304" t="s">
        <v>165</v>
      </c>
      <c r="AU1047" s="1304" t="s">
        <v>179</v>
      </c>
      <c r="AV1047" s="1304" t="s">
        <v>130</v>
      </c>
      <c r="AW1047" s="1314" t="s">
        <v>131</v>
      </c>
      <c r="AX1047" s="1304" t="s">
        <v>136</v>
      </c>
      <c r="AZ1047" s="1313" t="s">
        <v>5572</v>
      </c>
      <c r="BA1047" s="186"/>
      <c r="BB1047" s="186"/>
      <c r="BC1047" s="186"/>
      <c r="BD1047" s="186"/>
      <c r="BE1047" s="186"/>
      <c r="BF1047" s="186"/>
      <c r="BG1047" s="186"/>
      <c r="BH1047" s="186"/>
      <c r="BI1047" s="186"/>
      <c r="BJ1047" s="186"/>
      <c r="BK1047" s="186"/>
      <c r="BL1047" s="186"/>
      <c r="BM1047" s="186"/>
      <c r="BN1047" s="186"/>
      <c r="BO1047" s="186"/>
      <c r="BP1047" s="186"/>
      <c r="BQ1047" s="186"/>
      <c r="BR1047" s="186"/>
      <c r="BS1047" s="186"/>
      <c r="BT1047" s="186"/>
      <c r="BU1047" s="186"/>
      <c r="BV1047" s="186"/>
      <c r="BW1047" s="186"/>
      <c r="BX1047" s="186"/>
      <c r="BY1047" s="186"/>
      <c r="BZ1047" s="186"/>
      <c r="CA1047" s="186"/>
      <c r="CB1047" s="186"/>
      <c r="CC1047" s="186"/>
      <c r="CD1047" s="186"/>
      <c r="CE1047" s="186"/>
      <c r="CF1047" s="186"/>
      <c r="CG1047" s="186"/>
      <c r="CH1047" s="186"/>
      <c r="CI1047" s="186"/>
      <c r="CJ1047" s="186"/>
      <c r="CK1047" s="186"/>
      <c r="CL1047" s="186"/>
      <c r="CM1047" s="186"/>
      <c r="CN1047" s="186"/>
      <c r="CO1047" s="186"/>
      <c r="CP1047" s="186"/>
      <c r="CQ1047" s="186"/>
      <c r="CR1047" s="186"/>
      <c r="CS1047" s="186"/>
      <c r="CT1047" s="186"/>
      <c r="CU1047" s="186"/>
      <c r="CV1047" s="186"/>
      <c r="CW1047" s="186"/>
      <c r="CX1047" s="186"/>
      <c r="CY1047" s="186"/>
      <c r="CZ1047" s="186"/>
      <c r="DA1047" s="186"/>
      <c r="DB1047" s="186"/>
      <c r="DC1047" s="186"/>
      <c r="DD1047" s="186"/>
      <c r="DE1047" s="186"/>
      <c r="DF1047" s="186"/>
      <c r="DG1047" s="186"/>
      <c r="DH1047" s="186"/>
    </row>
    <row r="1048">
      <c r="A1048" s="41">
        <v>1048.0</v>
      </c>
      <c r="B1048" s="126" t="s">
        <v>107</v>
      </c>
      <c r="C1048" s="59" t="s">
        <v>108</v>
      </c>
      <c r="D1048" s="59" t="s">
        <v>241</v>
      </c>
      <c r="E1048" s="362"/>
      <c r="F1048" s="123" t="s">
        <v>5691</v>
      </c>
      <c r="G1048" s="116" t="s">
        <v>5692</v>
      </c>
      <c r="H1048" s="137" t="s">
        <v>242</v>
      </c>
      <c r="I1048" s="314">
        <v>45665.0</v>
      </c>
      <c r="J1048" s="1317">
        <v>45692.0</v>
      </c>
      <c r="K1048" s="122"/>
      <c r="L1048" s="122" t="s">
        <v>5561</v>
      </c>
      <c r="M1048" s="137" t="s">
        <v>5693</v>
      </c>
      <c r="N1048" s="137" t="s">
        <v>5694</v>
      </c>
      <c r="O1048" s="122"/>
      <c r="P1048" s="137" t="str">
        <f t="shared" si="59"/>
        <v>10.1037--0022-3514.94.3.495.pdf</v>
      </c>
      <c r="Q1048" s="49" t="str">
        <f t="array" ref="Q1048"> if(iserror(MATCH(V1048, 'File Links'!C:C, 0)), "N/A", HYPERLINK(INDEX('File Links'!B:B, MATCH(P1048, 'File Links'!C:C, 0))))</f>
        <v>https://drive.google.com/file/d/1sVDcE0S8Au1V2yPyjhNJC-dbCas3mbhd/view?usp=drivesdk</v>
      </c>
      <c r="R1048" s="137" t="s">
        <v>5701</v>
      </c>
      <c r="S1048" s="156" t="s">
        <v>3647</v>
      </c>
      <c r="T1048" s="144" t="s">
        <v>131</v>
      </c>
      <c r="U1048" s="144" t="s">
        <v>131</v>
      </c>
      <c r="V1048" s="195" t="str">
        <f t="shared" si="57"/>
        <v>10.1098--rsos.231240.pdf</v>
      </c>
      <c r="W1048" s="137" t="s">
        <v>3658</v>
      </c>
      <c r="X1048" s="51" t="str">
        <f t="array" ref="X1048"> if(iserror(MATCH(V1048, 'File Links'!C:C, 0)), "N/A", HYPERLINK(INDEX('File Links'!B:B, MATCH(V1048, 'File Links'!C:C, 0))))</f>
        <v>https://drive.google.com/file/d/17gaf2Zy_ljFfcAEDk5L8GBnTl5i7RGJE/view?usp=drivesdk</v>
      </c>
      <c r="Y1048" s="122"/>
      <c r="Z1048" s="137" t="s">
        <v>219</v>
      </c>
      <c r="AA1048" s="137" t="s">
        <v>5088</v>
      </c>
      <c r="AB1048" s="137" t="s">
        <v>5702</v>
      </c>
      <c r="AC1048" s="137" t="s">
        <v>5089</v>
      </c>
      <c r="AD1048" s="137" t="s">
        <v>5703</v>
      </c>
      <c r="AE1048" s="779">
        <v>510.0</v>
      </c>
      <c r="AF1048" s="779">
        <v>155.0</v>
      </c>
      <c r="AG1048" s="222" t="s">
        <v>5698</v>
      </c>
      <c r="AH1048" s="116" t="s">
        <v>127</v>
      </c>
      <c r="AI1048" s="137" t="s">
        <v>5704</v>
      </c>
      <c r="AJ1048" s="130">
        <v>0.01</v>
      </c>
      <c r="AK1048" s="123" t="s">
        <v>128</v>
      </c>
      <c r="AL1048" s="123" t="s">
        <v>129</v>
      </c>
      <c r="AM1048" s="137" t="s">
        <v>134</v>
      </c>
      <c r="AN1048" s="1313" t="s">
        <v>131</v>
      </c>
      <c r="AO1048" s="779">
        <v>135.0</v>
      </c>
      <c r="AP1048" s="222" t="s">
        <v>5700</v>
      </c>
      <c r="AQ1048" s="116" t="s">
        <v>127</v>
      </c>
      <c r="AR1048" s="1313" t="s">
        <v>5571</v>
      </c>
      <c r="AS1048" s="779">
        <v>0.893478732094815</v>
      </c>
      <c r="AT1048" s="137" t="s">
        <v>165</v>
      </c>
      <c r="AU1048" s="137" t="s">
        <v>129</v>
      </c>
      <c r="AV1048" s="137" t="s">
        <v>134</v>
      </c>
      <c r="AW1048" s="1314" t="s">
        <v>131</v>
      </c>
      <c r="AX1048" s="137" t="s">
        <v>136</v>
      </c>
      <c r="AZ1048" s="1313" t="s">
        <v>5572</v>
      </c>
      <c r="BA1048" s="69"/>
      <c r="BB1048" s="69"/>
      <c r="BC1048" s="69"/>
      <c r="BD1048" s="69"/>
      <c r="BE1048" s="69"/>
      <c r="BF1048" s="69"/>
      <c r="BG1048" s="69"/>
      <c r="BH1048" s="69"/>
      <c r="BI1048" s="69"/>
      <c r="BJ1048" s="69"/>
      <c r="BK1048" s="69"/>
      <c r="BL1048" s="69"/>
      <c r="BM1048" s="69"/>
      <c r="BN1048" s="69"/>
      <c r="BO1048" s="69"/>
      <c r="BP1048" s="69"/>
      <c r="BQ1048" s="69"/>
      <c r="BR1048" s="69"/>
      <c r="BS1048" s="69"/>
      <c r="BT1048" s="69"/>
      <c r="BU1048" s="69"/>
      <c r="BV1048" s="69"/>
      <c r="BW1048" s="69"/>
      <c r="BX1048" s="69"/>
      <c r="BY1048" s="69"/>
      <c r="BZ1048" s="69"/>
      <c r="CA1048" s="69"/>
      <c r="CB1048" s="69"/>
      <c r="CC1048" s="69"/>
      <c r="CD1048" s="69"/>
      <c r="CE1048" s="69"/>
      <c r="CF1048" s="69"/>
      <c r="CG1048" s="69"/>
      <c r="CH1048" s="69"/>
      <c r="CI1048" s="69"/>
      <c r="CJ1048" s="69"/>
      <c r="CK1048" s="69"/>
      <c r="CL1048" s="69"/>
      <c r="CM1048" s="69"/>
      <c r="CN1048" s="69"/>
      <c r="CO1048" s="69"/>
      <c r="CP1048" s="69"/>
      <c r="CQ1048" s="69"/>
      <c r="CR1048" s="69"/>
      <c r="CS1048" s="69"/>
      <c r="CT1048" s="69"/>
      <c r="CU1048" s="69"/>
      <c r="CV1048" s="69"/>
      <c r="CW1048" s="69"/>
      <c r="CX1048" s="69"/>
      <c r="CY1048" s="69"/>
      <c r="CZ1048" s="69"/>
      <c r="DA1048" s="69"/>
      <c r="DB1048" s="69"/>
      <c r="DC1048" s="69"/>
      <c r="DD1048" s="69"/>
      <c r="DE1048" s="69"/>
      <c r="DF1048" s="69"/>
      <c r="DG1048" s="69"/>
      <c r="DH1048" s="69"/>
    </row>
    <row r="1049">
      <c r="A1049" s="41">
        <v>1049.0</v>
      </c>
      <c r="B1049" s="126" t="s">
        <v>145</v>
      </c>
      <c r="C1049" s="59" t="s">
        <v>108</v>
      </c>
      <c r="D1049" s="59" t="s">
        <v>138</v>
      </c>
      <c r="E1049" s="362"/>
      <c r="F1049" s="1304" t="s">
        <v>5705</v>
      </c>
      <c r="G1049" s="1305" t="s">
        <v>5706</v>
      </c>
      <c r="H1049" s="1306" t="s">
        <v>5559</v>
      </c>
      <c r="I1049" s="1307">
        <v>45688.0</v>
      </c>
      <c r="J1049" s="1308">
        <v>45692.0</v>
      </c>
      <c r="K1049" s="1304"/>
      <c r="L1049" s="1304" t="s">
        <v>5561</v>
      </c>
      <c r="M1049" s="1306" t="s">
        <v>5707</v>
      </c>
      <c r="N1049" s="1306" t="s">
        <v>5708</v>
      </c>
      <c r="O1049" s="1309">
        <v>3.0</v>
      </c>
      <c r="P1049" s="1306" t="s">
        <v>5709</v>
      </c>
      <c r="Q1049" s="49" t="str">
        <f t="array" ref="Q1049"> if(iserror(MATCH(V1049, 'File Links'!C:C, 0)), "N/A", HYPERLINK(INDEX('File Links'!B:B, MATCH(P1049, 'File Links'!C:C, 0))))</f>
        <v>https://drive.google.com/file/d/1v5J8Cnv26X6sTt4VLBH9e2mvCWSnQGm4/view?usp=drivesdk</v>
      </c>
      <c r="R1049" s="1306" t="s">
        <v>3646</v>
      </c>
      <c r="S1049" s="156" t="s">
        <v>3647</v>
      </c>
      <c r="T1049" s="144" t="s">
        <v>131</v>
      </c>
      <c r="U1049" s="144" t="s">
        <v>131</v>
      </c>
      <c r="V1049" s="195" t="str">
        <f t="shared" si="57"/>
        <v>10.1098--rsos.231240.pdf</v>
      </c>
      <c r="W1049" s="137" t="s">
        <v>3658</v>
      </c>
      <c r="X1049" s="51" t="str">
        <f t="array" ref="X1049"> if(iserror(MATCH(V1049, 'File Links'!C:C, 0)), "N/A", HYPERLINK(INDEX('File Links'!B:B, MATCH(V1049, 'File Links'!C:C, 0))))</f>
        <v>https://drive.google.com/file/d/17gaf2Zy_ljFfcAEDk5L8GBnTl5i7RGJE/view?usp=drivesdk</v>
      </c>
      <c r="Y1049" s="1304"/>
      <c r="Z1049" s="1306" t="s">
        <v>219</v>
      </c>
      <c r="AA1049" s="371" t="s">
        <v>131</v>
      </c>
      <c r="AB1049" s="1304" t="s">
        <v>5710</v>
      </c>
      <c r="AC1049" s="1306" t="s">
        <v>5711</v>
      </c>
      <c r="AD1049" s="1304" t="s">
        <v>5712</v>
      </c>
      <c r="AE1049" s="1304" t="s">
        <v>5713</v>
      </c>
      <c r="AF1049" s="1309">
        <v>308.0</v>
      </c>
      <c r="AG1049" s="1313">
        <v>-0.29</v>
      </c>
      <c r="AH1049" s="1313" t="s">
        <v>980</v>
      </c>
      <c r="AI1049" s="1304" t="s">
        <v>806</v>
      </c>
      <c r="AJ1049" s="1316">
        <v>0.001</v>
      </c>
      <c r="AK1049" s="1312" t="s">
        <v>128</v>
      </c>
      <c r="AL1049" s="1312" t="s">
        <v>179</v>
      </c>
      <c r="AM1049" s="1304" t="s">
        <v>130</v>
      </c>
      <c r="AN1049" s="1313" t="s">
        <v>131</v>
      </c>
      <c r="AO1049" s="1309">
        <v>68.0</v>
      </c>
      <c r="AP1049" s="1333">
        <v>-0.496477592646435</v>
      </c>
      <c r="AQ1049" s="1304" t="s">
        <v>166</v>
      </c>
      <c r="AR1049" s="1313" t="s">
        <v>5571</v>
      </c>
      <c r="AS1049" s="1333">
        <v>0.124705614184336</v>
      </c>
      <c r="AT1049" s="1304" t="s">
        <v>165</v>
      </c>
      <c r="AU1049" s="1304" t="s">
        <v>179</v>
      </c>
      <c r="AV1049" s="1304" t="s">
        <v>130</v>
      </c>
      <c r="AW1049" s="1314" t="s">
        <v>131</v>
      </c>
      <c r="AX1049" s="1304" t="s">
        <v>136</v>
      </c>
      <c r="AZ1049" s="1313" t="s">
        <v>5572</v>
      </c>
      <c r="BA1049" s="69"/>
      <c r="BB1049" s="69"/>
      <c r="BC1049" s="69"/>
      <c r="BD1049" s="69"/>
      <c r="BE1049" s="69"/>
      <c r="BF1049" s="69"/>
      <c r="BG1049" s="69"/>
      <c r="BH1049" s="69"/>
      <c r="BI1049" s="69"/>
      <c r="BJ1049" s="69"/>
      <c r="BK1049" s="69"/>
      <c r="BL1049" s="69"/>
      <c r="BM1049" s="69"/>
      <c r="BN1049" s="69"/>
      <c r="BO1049" s="69"/>
      <c r="BP1049" s="69"/>
      <c r="BQ1049" s="69"/>
      <c r="BR1049" s="69"/>
      <c r="BS1049" s="69"/>
      <c r="BT1049" s="69"/>
      <c r="BU1049" s="69"/>
      <c r="BV1049" s="69"/>
      <c r="BW1049" s="69"/>
      <c r="BX1049" s="69"/>
      <c r="BY1049" s="69"/>
      <c r="BZ1049" s="69"/>
      <c r="CA1049" s="69"/>
      <c r="CB1049" s="69"/>
      <c r="CC1049" s="69"/>
      <c r="CD1049" s="69"/>
      <c r="CE1049" s="69"/>
      <c r="CF1049" s="69"/>
      <c r="CG1049" s="69"/>
      <c r="CH1049" s="69"/>
      <c r="CI1049" s="69"/>
      <c r="CJ1049" s="69"/>
      <c r="CK1049" s="69"/>
      <c r="CL1049" s="69"/>
      <c r="CM1049" s="69"/>
      <c r="CN1049" s="69"/>
      <c r="CO1049" s="69"/>
      <c r="CP1049" s="69"/>
      <c r="CQ1049" s="69"/>
      <c r="CR1049" s="69"/>
      <c r="CS1049" s="69"/>
      <c r="CT1049" s="69"/>
      <c r="CU1049" s="69"/>
      <c r="CV1049" s="69"/>
      <c r="CW1049" s="69"/>
      <c r="CX1049" s="69"/>
      <c r="CY1049" s="69"/>
      <c r="CZ1049" s="69"/>
      <c r="DA1049" s="69"/>
      <c r="DB1049" s="69"/>
      <c r="DC1049" s="69"/>
      <c r="DD1049" s="69"/>
      <c r="DE1049" s="69"/>
      <c r="DF1049" s="69"/>
      <c r="DG1049" s="69"/>
      <c r="DH1049" s="69"/>
    </row>
    <row r="1050">
      <c r="A1050" s="41">
        <v>1050.0</v>
      </c>
      <c r="B1050" s="126" t="s">
        <v>145</v>
      </c>
      <c r="C1050" s="59" t="s">
        <v>108</v>
      </c>
      <c r="D1050" s="59" t="s">
        <v>138</v>
      </c>
      <c r="E1050" s="362"/>
      <c r="F1050" s="1304" t="s">
        <v>5705</v>
      </c>
      <c r="G1050" s="1305" t="s">
        <v>5714</v>
      </c>
      <c r="H1050" s="1306" t="s">
        <v>5559</v>
      </c>
      <c r="I1050" s="1307">
        <v>45688.0</v>
      </c>
      <c r="J1050" s="1308">
        <v>45692.0</v>
      </c>
      <c r="K1050" s="1304"/>
      <c r="L1050" s="1304" t="s">
        <v>5561</v>
      </c>
      <c r="M1050" s="1306" t="s">
        <v>5707</v>
      </c>
      <c r="N1050" s="1306" t="s">
        <v>5708</v>
      </c>
      <c r="O1050" s="1309">
        <v>3.0</v>
      </c>
      <c r="P1050" s="1306" t="s">
        <v>5709</v>
      </c>
      <c r="Q1050" s="49" t="str">
        <f t="array" ref="Q1050"> if(iserror(MATCH(V1050, 'File Links'!C:C, 0)), "N/A", HYPERLINK(INDEX('File Links'!B:B, MATCH(P1050, 'File Links'!C:C, 0))))</f>
        <v>https://drive.google.com/file/d/1v5J8Cnv26X6sTt4VLBH9e2mvCWSnQGm4/view?usp=drivesdk</v>
      </c>
      <c r="R1050" s="1306" t="s">
        <v>3646</v>
      </c>
      <c r="S1050" s="156" t="s">
        <v>3647</v>
      </c>
      <c r="T1050" s="144" t="s">
        <v>131</v>
      </c>
      <c r="U1050" s="144" t="s">
        <v>131</v>
      </c>
      <c r="V1050" s="195" t="str">
        <f t="shared" si="57"/>
        <v>10.1098--rsos.231240.pdf</v>
      </c>
      <c r="W1050" s="137" t="s">
        <v>3658</v>
      </c>
      <c r="X1050" s="51" t="str">
        <f t="array" ref="X1050"> if(iserror(MATCH(V1050, 'File Links'!C:C, 0)), "N/A", HYPERLINK(INDEX('File Links'!B:B, MATCH(V1050, 'File Links'!C:C, 0))))</f>
        <v>https://drive.google.com/file/d/17gaf2Zy_ljFfcAEDk5L8GBnTl5i7RGJE/view?usp=drivesdk</v>
      </c>
      <c r="Y1050" s="1304"/>
      <c r="Z1050" s="1306" t="s">
        <v>219</v>
      </c>
      <c r="AA1050" s="371" t="s">
        <v>131</v>
      </c>
      <c r="AB1050" s="1304" t="s">
        <v>5710</v>
      </c>
      <c r="AC1050" s="1306" t="s">
        <v>5715</v>
      </c>
      <c r="AD1050" s="1304" t="s">
        <v>5716</v>
      </c>
      <c r="AE1050" s="1304" t="s">
        <v>5713</v>
      </c>
      <c r="AF1050" s="1309">
        <v>308.0</v>
      </c>
      <c r="AG1050" s="1313" t="s">
        <v>5717</v>
      </c>
      <c r="AH1050" s="1313" t="s">
        <v>980</v>
      </c>
      <c r="AI1050" s="1304" t="s">
        <v>806</v>
      </c>
      <c r="AJ1050" s="1316">
        <v>0.05</v>
      </c>
      <c r="AK1050" s="1312" t="s">
        <v>128</v>
      </c>
      <c r="AL1050" s="1312" t="s">
        <v>179</v>
      </c>
      <c r="AM1050" s="1304" t="s">
        <v>130</v>
      </c>
      <c r="AN1050" s="1313" t="s">
        <v>131</v>
      </c>
      <c r="AO1050" s="1309">
        <v>68.0</v>
      </c>
      <c r="AP1050" s="1333">
        <v>-0.496477592646435</v>
      </c>
      <c r="AQ1050" s="1304" t="s">
        <v>166</v>
      </c>
      <c r="AR1050" s="1313" t="s">
        <v>5571</v>
      </c>
      <c r="AS1050" s="1333">
        <v>0.124705614184336</v>
      </c>
      <c r="AT1050" s="1304" t="s">
        <v>165</v>
      </c>
      <c r="AU1050" s="1304" t="s">
        <v>179</v>
      </c>
      <c r="AV1050" s="1304" t="s">
        <v>130</v>
      </c>
      <c r="AW1050" s="1314" t="s">
        <v>131</v>
      </c>
      <c r="AX1050" s="1304" t="s">
        <v>136</v>
      </c>
      <c r="AZ1050" s="1313" t="s">
        <v>5572</v>
      </c>
      <c r="BB1050" s="69"/>
      <c r="BC1050" s="69"/>
      <c r="BD1050" s="69"/>
      <c r="BE1050" s="69"/>
      <c r="BF1050" s="69"/>
      <c r="BG1050" s="69"/>
      <c r="BH1050" s="69"/>
      <c r="BI1050" s="69"/>
      <c r="BJ1050" s="69"/>
      <c r="BK1050" s="69"/>
      <c r="BL1050" s="69"/>
      <c r="BM1050" s="69"/>
      <c r="BN1050" s="69"/>
      <c r="BO1050" s="69"/>
      <c r="BP1050" s="69"/>
      <c r="BQ1050" s="69"/>
      <c r="BR1050" s="69"/>
      <c r="BS1050" s="69"/>
      <c r="BT1050" s="69"/>
      <c r="BU1050" s="69"/>
      <c r="BV1050" s="69"/>
      <c r="BW1050" s="69"/>
      <c r="BX1050" s="69"/>
      <c r="BY1050" s="69"/>
      <c r="BZ1050" s="69"/>
      <c r="CA1050" s="69"/>
      <c r="CB1050" s="69"/>
      <c r="CC1050" s="69"/>
      <c r="CD1050" s="69"/>
      <c r="CE1050" s="69"/>
      <c r="CF1050" s="69"/>
      <c r="CG1050" s="69"/>
      <c r="CH1050" s="69"/>
      <c r="CI1050" s="69"/>
      <c r="CJ1050" s="69"/>
      <c r="CK1050" s="69"/>
      <c r="CL1050" s="69"/>
      <c r="CM1050" s="69"/>
      <c r="CN1050" s="69"/>
      <c r="CO1050" s="69"/>
      <c r="CP1050" s="69"/>
      <c r="CQ1050" s="69"/>
      <c r="CR1050" s="69"/>
      <c r="CS1050" s="69"/>
      <c r="CT1050" s="69"/>
      <c r="CU1050" s="69"/>
      <c r="CV1050" s="69"/>
      <c r="CW1050" s="69"/>
      <c r="CX1050" s="69"/>
      <c r="CY1050" s="69"/>
      <c r="CZ1050" s="69"/>
      <c r="DA1050" s="69"/>
      <c r="DB1050" s="69"/>
      <c r="DC1050" s="69"/>
      <c r="DD1050" s="69"/>
      <c r="DE1050" s="69"/>
      <c r="DF1050" s="69"/>
      <c r="DG1050" s="69"/>
      <c r="DH1050" s="69"/>
    </row>
    <row r="1051">
      <c r="A1051" s="41">
        <v>1051.0</v>
      </c>
      <c r="B1051" s="126" t="s">
        <v>107</v>
      </c>
      <c r="C1051" s="59" t="s">
        <v>108</v>
      </c>
      <c r="D1051" s="59" t="s">
        <v>241</v>
      </c>
      <c r="E1051" s="362"/>
      <c r="F1051" s="123" t="s">
        <v>5705</v>
      </c>
      <c r="G1051" s="116" t="s">
        <v>5706</v>
      </c>
      <c r="H1051" s="137" t="s">
        <v>242</v>
      </c>
      <c r="I1051" s="314">
        <v>45665.0</v>
      </c>
      <c r="J1051" s="1317">
        <v>45692.0</v>
      </c>
      <c r="K1051" s="122"/>
      <c r="L1051" s="122" t="s">
        <v>5561</v>
      </c>
      <c r="M1051" s="137" t="s">
        <v>5707</v>
      </c>
      <c r="N1051" s="137" t="s">
        <v>5708</v>
      </c>
      <c r="O1051" s="122"/>
      <c r="P1051" s="137" t="str">
        <f t="shared" ref="P1051:P1053" si="60"> SUBSTITUTE(lower(N1051), "/", "--") &amp;  ".pdf"</f>
        <v>10.1177--0956797612449177.pdf</v>
      </c>
      <c r="Q1051" s="49" t="str">
        <f t="array" ref="Q1051"> if(iserror(MATCH(V1051, 'File Links'!C:C, 0)), "N/A", HYPERLINK(INDEX('File Links'!B:B, MATCH(P1051, 'File Links'!C:C, 0))))</f>
        <v>https://drive.google.com/file/d/1v5J8Cnv26X6sTt4VLBH9e2mvCWSnQGm4/view?usp=drivesdk</v>
      </c>
      <c r="R1051" s="137" t="s">
        <v>5718</v>
      </c>
      <c r="S1051" s="156" t="s">
        <v>3647</v>
      </c>
      <c r="T1051" s="144" t="s">
        <v>131</v>
      </c>
      <c r="U1051" s="144" t="s">
        <v>131</v>
      </c>
      <c r="V1051" s="195" t="str">
        <f t="shared" si="57"/>
        <v>10.1098--rsos.231240.pdf</v>
      </c>
      <c r="W1051" s="137" t="s">
        <v>3658</v>
      </c>
      <c r="X1051" s="51" t="str">
        <f t="array" ref="X1051"> if(iserror(MATCH(V1051, 'File Links'!C:C, 0)), "N/A", HYPERLINK(INDEX('File Links'!B:B, MATCH(V1051, 'File Links'!C:C, 0))))</f>
        <v>https://drive.google.com/file/d/17gaf2Zy_ljFfcAEDk5L8GBnTl5i7RGJE/view?usp=drivesdk</v>
      </c>
      <c r="Y1051" s="122"/>
      <c r="Z1051" s="137" t="s">
        <v>219</v>
      </c>
      <c r="AA1051" s="122"/>
      <c r="AB1051" s="137" t="s">
        <v>4336</v>
      </c>
      <c r="AC1051" s="122"/>
      <c r="AD1051" s="137" t="s">
        <v>5719</v>
      </c>
      <c r="AE1051" s="779">
        <v>62.0</v>
      </c>
      <c r="AF1051" s="779">
        <v>308.0</v>
      </c>
      <c r="AG1051" s="137" t="s">
        <v>131</v>
      </c>
      <c r="AH1051" s="164" t="s">
        <v>131</v>
      </c>
      <c r="AI1051" s="137" t="s">
        <v>5720</v>
      </c>
      <c r="AJ1051" s="130">
        <v>0.05</v>
      </c>
      <c r="AK1051" s="123" t="s">
        <v>2242</v>
      </c>
      <c r="AL1051" s="123" t="s">
        <v>179</v>
      </c>
      <c r="AM1051" s="137" t="s">
        <v>1898</v>
      </c>
      <c r="AN1051" s="1313" t="s">
        <v>131</v>
      </c>
      <c r="AO1051" s="779">
        <v>68.0</v>
      </c>
      <c r="AP1051" s="779">
        <v>-0.496477592646435</v>
      </c>
      <c r="AQ1051" s="137" t="s">
        <v>166</v>
      </c>
      <c r="AR1051" s="1313" t="s">
        <v>5571</v>
      </c>
      <c r="AS1051" s="779">
        <v>0.124705614184336</v>
      </c>
      <c r="AT1051" s="137" t="s">
        <v>165</v>
      </c>
      <c r="AU1051" s="137" t="s">
        <v>179</v>
      </c>
      <c r="AV1051" s="137" t="s">
        <v>1898</v>
      </c>
      <c r="AW1051" s="1314" t="s">
        <v>131</v>
      </c>
      <c r="AX1051" s="137" t="s">
        <v>136</v>
      </c>
      <c r="AZ1051" s="1313" t="s">
        <v>5572</v>
      </c>
      <c r="BB1051" s="69"/>
      <c r="BC1051" s="69"/>
      <c r="BD1051" s="69"/>
      <c r="BE1051" s="69"/>
      <c r="BF1051" s="69"/>
      <c r="BG1051" s="69"/>
      <c r="BH1051" s="69"/>
      <c r="BI1051" s="69"/>
      <c r="BJ1051" s="69"/>
      <c r="BK1051" s="69"/>
      <c r="BL1051" s="69"/>
      <c r="BM1051" s="69"/>
      <c r="BN1051" s="69"/>
      <c r="BO1051" s="69"/>
      <c r="BP1051" s="69"/>
      <c r="BQ1051" s="69"/>
      <c r="BR1051" s="69"/>
      <c r="BS1051" s="69"/>
      <c r="BT1051" s="69"/>
      <c r="BU1051" s="69"/>
      <c r="BV1051" s="69"/>
      <c r="BW1051" s="69"/>
      <c r="BX1051" s="69"/>
      <c r="BY1051" s="69"/>
      <c r="BZ1051" s="69"/>
      <c r="CA1051" s="69"/>
      <c r="CB1051" s="69"/>
      <c r="CC1051" s="69"/>
      <c r="CD1051" s="69"/>
      <c r="CE1051" s="69"/>
      <c r="CF1051" s="69"/>
      <c r="CG1051" s="69"/>
      <c r="CH1051" s="69"/>
      <c r="CI1051" s="69"/>
      <c r="CJ1051" s="69"/>
      <c r="CK1051" s="69"/>
      <c r="CL1051" s="69"/>
      <c r="CM1051" s="69"/>
      <c r="CN1051" s="69"/>
      <c r="CO1051" s="69"/>
      <c r="CP1051" s="69"/>
      <c r="CQ1051" s="69"/>
      <c r="CR1051" s="69"/>
      <c r="CS1051" s="69"/>
      <c r="CT1051" s="69"/>
      <c r="CU1051" s="69"/>
      <c r="CV1051" s="69"/>
      <c r="CW1051" s="69"/>
      <c r="CX1051" s="69"/>
      <c r="CY1051" s="69"/>
      <c r="CZ1051" s="69"/>
      <c r="DA1051" s="69"/>
      <c r="DB1051" s="69"/>
      <c r="DC1051" s="69"/>
      <c r="DD1051" s="69"/>
      <c r="DE1051" s="69"/>
      <c r="DF1051" s="69"/>
      <c r="DG1051" s="69"/>
      <c r="DH1051" s="69"/>
    </row>
    <row r="1052">
      <c r="A1052" s="41">
        <v>1052.0</v>
      </c>
      <c r="B1052" s="126" t="s">
        <v>145</v>
      </c>
      <c r="C1052" s="59" t="s">
        <v>108</v>
      </c>
      <c r="D1052" s="59" t="s">
        <v>138</v>
      </c>
      <c r="E1052" s="362"/>
      <c r="F1052" s="1304" t="s">
        <v>5721</v>
      </c>
      <c r="G1052" s="1305" t="s">
        <v>5722</v>
      </c>
      <c r="H1052" s="1306" t="s">
        <v>5559</v>
      </c>
      <c r="I1052" s="1307">
        <v>45688.0</v>
      </c>
      <c r="J1052" s="1308">
        <v>45692.0</v>
      </c>
      <c r="K1052" s="1304"/>
      <c r="L1052" s="1313" t="s">
        <v>5723</v>
      </c>
      <c r="M1052" s="1306" t="s">
        <v>5724</v>
      </c>
      <c r="N1052" s="1304" t="s">
        <v>5725</v>
      </c>
      <c r="O1052" s="1309">
        <v>4.0</v>
      </c>
      <c r="P1052" s="137" t="str">
        <f t="shared" si="60"/>
        <v>10.1037--0022-3514.94.2.94.2.231.pdf</v>
      </c>
      <c r="Q1052" s="49" t="str">
        <f t="array" ref="Q1052"> if(iserror(MATCH(V1052, 'File Links'!C:C, 0)), "N/A", HYPERLINK(INDEX('File Links'!B:B, MATCH(P1052, 'File Links'!C:C, 0))))</f>
        <v>https://drive.google.com/file/d/15DQQpECVr9NdJZ7O7RNWRdNwXQ6KQeXe/view?usp=drivesdk</v>
      </c>
      <c r="R1052" s="1306" t="s">
        <v>3646</v>
      </c>
      <c r="S1052" s="156" t="s">
        <v>3647</v>
      </c>
      <c r="T1052" s="144" t="s">
        <v>131</v>
      </c>
      <c r="U1052" s="144" t="s">
        <v>131</v>
      </c>
      <c r="V1052" s="195" t="str">
        <f t="shared" si="57"/>
        <v>10.1098--rsos.231240.pdf</v>
      </c>
      <c r="W1052" s="137" t="s">
        <v>317</v>
      </c>
      <c r="X1052" s="51" t="str">
        <f t="array" ref="X1052"> if(iserror(MATCH(V1052, 'File Links'!C:C, 0)), "N/A", HYPERLINK(INDEX('File Links'!B:B, MATCH(V1052, 'File Links'!C:C, 0))))</f>
        <v>https://drive.google.com/file/d/17gaf2Zy_ljFfcAEDk5L8GBnTl5i7RGJE/view?usp=drivesdk</v>
      </c>
      <c r="Y1052" s="1304"/>
      <c r="Z1052" s="1306" t="s">
        <v>219</v>
      </c>
      <c r="AA1052" s="371" t="s">
        <v>131</v>
      </c>
      <c r="AB1052" s="1304" t="s">
        <v>5726</v>
      </c>
      <c r="AC1052" s="1306" t="s">
        <v>5727</v>
      </c>
      <c r="AD1052" s="1304" t="s">
        <v>5728</v>
      </c>
      <c r="AE1052" s="1333">
        <v>11.0</v>
      </c>
      <c r="AF1052" s="1309">
        <v>155.0</v>
      </c>
      <c r="AG1052" s="1304" t="s">
        <v>5729</v>
      </c>
      <c r="AH1052" s="1304" t="s">
        <v>127</v>
      </c>
      <c r="AI1052" s="1304" t="s">
        <v>300</v>
      </c>
      <c r="AJ1052" s="1316">
        <v>0.05</v>
      </c>
      <c r="AK1052" s="1312" t="s">
        <v>165</v>
      </c>
      <c r="AL1052" s="1312" t="s">
        <v>179</v>
      </c>
      <c r="AM1052" s="1304" t="s">
        <v>130</v>
      </c>
      <c r="AN1052" s="1313" t="s">
        <v>131</v>
      </c>
      <c r="AO1052" s="1309">
        <v>215.0</v>
      </c>
      <c r="AP1052" s="1304" t="s">
        <v>5730</v>
      </c>
      <c r="AQ1052" s="1304" t="s">
        <v>127</v>
      </c>
      <c r="AR1052" s="1313" t="s">
        <v>5571</v>
      </c>
      <c r="AS1052" s="371" t="s">
        <v>131</v>
      </c>
      <c r="AT1052" s="216" t="s">
        <v>131</v>
      </c>
      <c r="AU1052" s="1304" t="s">
        <v>179</v>
      </c>
      <c r="AV1052" s="1304" t="s">
        <v>130</v>
      </c>
      <c r="AW1052" s="1314" t="s">
        <v>131</v>
      </c>
      <c r="AX1052" s="1304" t="s">
        <v>136</v>
      </c>
      <c r="AZ1052" s="1313" t="s">
        <v>5572</v>
      </c>
      <c r="BE1052" s="69"/>
      <c r="BF1052" s="69"/>
      <c r="BG1052" s="69"/>
      <c r="BH1052" s="69"/>
      <c r="BI1052" s="69"/>
      <c r="BJ1052" s="69"/>
      <c r="BK1052" s="69"/>
      <c r="BL1052" s="69"/>
      <c r="BM1052" s="69"/>
      <c r="BN1052" s="69"/>
      <c r="BO1052" s="69"/>
      <c r="BP1052" s="69"/>
      <c r="BQ1052" s="69"/>
      <c r="BR1052" s="69"/>
      <c r="BS1052" s="69"/>
      <c r="BT1052" s="69"/>
      <c r="BU1052" s="69"/>
      <c r="BV1052" s="69"/>
      <c r="BW1052" s="69"/>
      <c r="BX1052" s="69"/>
      <c r="BY1052" s="69"/>
      <c r="BZ1052" s="69"/>
      <c r="CA1052" s="69"/>
      <c r="CB1052" s="69"/>
      <c r="CC1052" s="69"/>
      <c r="CD1052" s="69"/>
      <c r="CE1052" s="69"/>
      <c r="CF1052" s="69"/>
      <c r="CG1052" s="69"/>
      <c r="CH1052" s="69"/>
      <c r="CI1052" s="69"/>
      <c r="CJ1052" s="69"/>
      <c r="CK1052" s="69"/>
      <c r="CL1052" s="69"/>
      <c r="CM1052" s="69"/>
      <c r="CN1052" s="69"/>
      <c r="CO1052" s="69"/>
      <c r="CP1052" s="69"/>
      <c r="CQ1052" s="69"/>
      <c r="CR1052" s="69"/>
      <c r="CS1052" s="69"/>
      <c r="CT1052" s="69"/>
      <c r="CU1052" s="69"/>
      <c r="CV1052" s="69"/>
      <c r="CW1052" s="69"/>
      <c r="CX1052" s="69"/>
      <c r="CY1052" s="69"/>
      <c r="CZ1052" s="69"/>
      <c r="DA1052" s="69"/>
      <c r="DB1052" s="69"/>
      <c r="DC1052" s="69"/>
      <c r="DD1052" s="69"/>
      <c r="DE1052" s="69"/>
      <c r="DF1052" s="69"/>
      <c r="DG1052" s="69"/>
      <c r="DH1052" s="69"/>
    </row>
    <row r="1053">
      <c r="A1053" s="41">
        <v>1053.0</v>
      </c>
      <c r="B1053" s="126" t="s">
        <v>107</v>
      </c>
      <c r="C1053" s="59" t="s">
        <v>108</v>
      </c>
      <c r="D1053" s="59" t="s">
        <v>241</v>
      </c>
      <c r="E1053" s="362"/>
      <c r="F1053" s="123" t="s">
        <v>5721</v>
      </c>
      <c r="G1053" s="116" t="s">
        <v>5722</v>
      </c>
      <c r="H1053" s="137" t="s">
        <v>242</v>
      </c>
      <c r="I1053" s="314">
        <v>45665.0</v>
      </c>
      <c r="J1053" s="1317">
        <v>45692.0</v>
      </c>
      <c r="K1053" s="667" t="s">
        <v>5731</v>
      </c>
      <c r="L1053" s="122" t="s">
        <v>5732</v>
      </c>
      <c r="M1053" s="137" t="s">
        <v>5724</v>
      </c>
      <c r="N1053" s="137" t="s">
        <v>5725</v>
      </c>
      <c r="O1053" s="122"/>
      <c r="P1053" s="137" t="str">
        <f t="shared" si="60"/>
        <v>10.1037--0022-3514.94.2.94.2.231.pdf</v>
      </c>
      <c r="Q1053" s="49" t="str">
        <f t="array" ref="Q1053"> if(iserror(MATCH(V1053, 'File Links'!C:C, 0)), "N/A", HYPERLINK(INDEX('File Links'!B:B, MATCH(P1053, 'File Links'!C:C, 0))))</f>
        <v>https://drive.google.com/file/d/15DQQpECVr9NdJZ7O7RNWRdNwXQ6KQeXe/view?usp=drivesdk</v>
      </c>
      <c r="R1053" s="137" t="s">
        <v>5733</v>
      </c>
      <c r="S1053" s="156" t="s">
        <v>3647</v>
      </c>
      <c r="T1053" s="144" t="s">
        <v>131</v>
      </c>
      <c r="U1053" s="144" t="s">
        <v>131</v>
      </c>
      <c r="V1053" s="195" t="str">
        <f t="shared" si="57"/>
        <v>10.1098--rsos.231240.pdf</v>
      </c>
      <c r="W1053" s="137" t="s">
        <v>317</v>
      </c>
      <c r="X1053" s="51" t="str">
        <f t="array" ref="X1053"> if(iserror(MATCH(V1053, 'File Links'!C:C, 0)), "N/A", HYPERLINK(INDEX('File Links'!B:B, MATCH(V1053, 'File Links'!C:C, 0))))</f>
        <v>https://drive.google.com/file/d/17gaf2Zy_ljFfcAEDk5L8GBnTl5i7RGJE/view?usp=drivesdk</v>
      </c>
      <c r="Y1053" s="122"/>
      <c r="Z1053" s="137" t="s">
        <v>219</v>
      </c>
      <c r="AA1053" s="122"/>
      <c r="AB1053" s="137" t="s">
        <v>5734</v>
      </c>
      <c r="AC1053" s="122"/>
      <c r="AD1053" s="137" t="s">
        <v>5735</v>
      </c>
      <c r="AE1053" s="779">
        <v>241.0</v>
      </c>
      <c r="AF1053" s="779">
        <v>155.0</v>
      </c>
      <c r="AG1053" s="137" t="s">
        <v>131</v>
      </c>
      <c r="AH1053" s="164" t="s">
        <v>131</v>
      </c>
      <c r="AI1053" s="137" t="s">
        <v>131</v>
      </c>
      <c r="AJ1053" s="220" t="s">
        <v>131</v>
      </c>
      <c r="AK1053" s="123" t="s">
        <v>165</v>
      </c>
      <c r="AL1053" s="123" t="s">
        <v>179</v>
      </c>
      <c r="AM1053" s="137" t="s">
        <v>1898</v>
      </c>
      <c r="AN1053" s="1313" t="s">
        <v>131</v>
      </c>
      <c r="AO1053" s="779">
        <v>215.0</v>
      </c>
      <c r="AP1053" s="137" t="s">
        <v>131</v>
      </c>
      <c r="AQ1053" s="122"/>
      <c r="AR1053" s="1313" t="s">
        <v>5571</v>
      </c>
      <c r="AS1053" s="137" t="s">
        <v>131</v>
      </c>
      <c r="AT1053" s="122"/>
      <c r="AU1053" s="137" t="s">
        <v>179</v>
      </c>
      <c r="AV1053" s="137" t="s">
        <v>1898</v>
      </c>
      <c r="AW1053" s="1314" t="s">
        <v>131</v>
      </c>
      <c r="AX1053" s="137" t="s">
        <v>136</v>
      </c>
      <c r="AZ1053" s="1313" t="s">
        <v>5572</v>
      </c>
      <c r="BE1053" s="69"/>
      <c r="BF1053" s="69"/>
      <c r="BG1053" s="69"/>
      <c r="BH1053" s="69"/>
      <c r="BI1053" s="69"/>
      <c r="BJ1053" s="69"/>
      <c r="BK1053" s="69"/>
      <c r="BL1053" s="69"/>
      <c r="BM1053" s="69"/>
      <c r="BN1053" s="69"/>
      <c r="BO1053" s="69"/>
      <c r="BP1053" s="69"/>
      <c r="BQ1053" s="69"/>
      <c r="BR1053" s="69"/>
      <c r="BS1053" s="69"/>
      <c r="BT1053" s="69"/>
      <c r="BU1053" s="69"/>
      <c r="BV1053" s="69"/>
      <c r="BW1053" s="69"/>
      <c r="BX1053" s="69"/>
      <c r="BY1053" s="69"/>
      <c r="BZ1053" s="69"/>
      <c r="CA1053" s="69"/>
      <c r="CB1053" s="69"/>
      <c r="CC1053" s="69"/>
      <c r="CD1053" s="69"/>
      <c r="CE1053" s="69"/>
      <c r="CF1053" s="69"/>
      <c r="CG1053" s="69"/>
      <c r="CH1053" s="69"/>
      <c r="CI1053" s="69"/>
      <c r="CJ1053" s="69"/>
      <c r="CK1053" s="69"/>
      <c r="CL1053" s="69"/>
      <c r="CM1053" s="69"/>
      <c r="CN1053" s="69"/>
      <c r="CO1053" s="69"/>
      <c r="CP1053" s="69"/>
      <c r="CQ1053" s="69"/>
      <c r="CR1053" s="69"/>
      <c r="CS1053" s="69"/>
      <c r="CT1053" s="69"/>
      <c r="CU1053" s="69"/>
      <c r="CV1053" s="69"/>
      <c r="CW1053" s="69"/>
      <c r="CX1053" s="69"/>
      <c r="CY1053" s="69"/>
      <c r="CZ1053" s="69"/>
      <c r="DA1053" s="69"/>
      <c r="DB1053" s="69"/>
      <c r="DC1053" s="69"/>
      <c r="DD1053" s="69"/>
      <c r="DE1053" s="69"/>
      <c r="DF1053" s="69"/>
      <c r="DG1053" s="69"/>
      <c r="DH1053" s="69"/>
    </row>
    <row r="1054">
      <c r="A1054" s="41">
        <v>1054.0</v>
      </c>
      <c r="B1054" s="65" t="s">
        <v>107</v>
      </c>
      <c r="C1054" s="59" t="s">
        <v>108</v>
      </c>
      <c r="D1054" s="59" t="s">
        <v>138</v>
      </c>
      <c r="E1054" s="362"/>
      <c r="F1054" s="1304" t="s">
        <v>5736</v>
      </c>
      <c r="G1054" s="1305" t="s">
        <v>5737</v>
      </c>
      <c r="H1054" s="1306" t="s">
        <v>5559</v>
      </c>
      <c r="I1054" s="1307">
        <v>45688.0</v>
      </c>
      <c r="J1054" s="1308">
        <v>45692.0</v>
      </c>
      <c r="K1054" s="1304"/>
      <c r="L1054" s="1304" t="s">
        <v>5561</v>
      </c>
      <c r="M1054" s="1306" t="s">
        <v>5738</v>
      </c>
      <c r="N1054" s="1306" t="s">
        <v>5739</v>
      </c>
      <c r="O1054" s="1306" t="s">
        <v>5504</v>
      </c>
      <c r="P1054" s="1306" t="s">
        <v>5740</v>
      </c>
      <c r="Q1054" s="49" t="str">
        <f t="array" ref="Q1054"> if(iserror(MATCH(V1054, 'File Links'!C:C, 0)), "N/A", HYPERLINK(INDEX('File Links'!B:B, MATCH(P1054, 'File Links'!C:C, 0))))</f>
        <v>https://drive.google.com/file/d/1tE6_KVQyfFVpIfIuz7dnWR1i8_me3TIT/view?usp=drivesdk</v>
      </c>
      <c r="R1054" s="1306" t="s">
        <v>3646</v>
      </c>
      <c r="S1054" s="156" t="s">
        <v>3647</v>
      </c>
      <c r="T1054" s="1336" t="s">
        <v>5741</v>
      </c>
      <c r="U1054" s="144" t="s">
        <v>131</v>
      </c>
      <c r="V1054" s="195" t="str">
        <f t="shared" si="57"/>
        <v>10.1098--rsos.231240.pdf</v>
      </c>
      <c r="W1054" s="137" t="s">
        <v>3797</v>
      </c>
      <c r="X1054" s="51" t="str">
        <f t="array" ref="X1054"> if(iserror(MATCH(V1054, 'File Links'!C:C, 0)), "N/A", HYPERLINK(INDEX('File Links'!B:B, MATCH(V1054, 'File Links'!C:C, 0))))</f>
        <v>https://drive.google.com/file/d/17gaf2Zy_ljFfcAEDk5L8GBnTl5i7RGJE/view?usp=drivesdk</v>
      </c>
      <c r="Y1054" s="1304"/>
      <c r="Z1054" s="1306" t="s">
        <v>219</v>
      </c>
      <c r="AA1054" s="1304" t="s">
        <v>1528</v>
      </c>
      <c r="AB1054" s="1304" t="s">
        <v>5742</v>
      </c>
      <c r="AC1054" s="1306" t="s">
        <v>5743</v>
      </c>
      <c r="AD1054" s="1304" t="s">
        <v>1528</v>
      </c>
      <c r="AE1054" s="1304" t="s">
        <v>1528</v>
      </c>
      <c r="AF1054" s="1309">
        <v>202.0</v>
      </c>
      <c r="AG1054" s="1309">
        <v>1.84377344</v>
      </c>
      <c r="AH1054" s="1306" t="s">
        <v>166</v>
      </c>
      <c r="AI1054" s="1304" t="s">
        <v>1528</v>
      </c>
      <c r="AJ1054" s="1337">
        <v>1.37237492094605E-28</v>
      </c>
      <c r="AK1054" s="1312" t="s">
        <v>165</v>
      </c>
      <c r="AL1054" s="1312" t="s">
        <v>179</v>
      </c>
      <c r="AM1054" s="1304" t="s">
        <v>130</v>
      </c>
      <c r="AN1054" s="1313" t="s">
        <v>131</v>
      </c>
      <c r="AO1054" s="1309">
        <v>53.0</v>
      </c>
      <c r="AP1054" s="1309">
        <v>1.711971789</v>
      </c>
      <c r="AQ1054" s="1306" t="s">
        <v>166</v>
      </c>
      <c r="AR1054" s="1313" t="s">
        <v>5571</v>
      </c>
      <c r="AS1054" s="1337">
        <v>1.56719549264669E-7</v>
      </c>
      <c r="AT1054" s="1304" t="s">
        <v>165</v>
      </c>
      <c r="AU1054" s="1304" t="s">
        <v>179</v>
      </c>
      <c r="AV1054" s="1304" t="s">
        <v>130</v>
      </c>
      <c r="AW1054" s="1314" t="s">
        <v>131</v>
      </c>
      <c r="AX1054" s="1304" t="s">
        <v>136</v>
      </c>
      <c r="AZ1054" s="1313" t="s">
        <v>5572</v>
      </c>
      <c r="BB1054" s="69"/>
      <c r="BC1054" s="69"/>
      <c r="BD1054" s="69"/>
      <c r="BE1054" s="69"/>
      <c r="BF1054" s="69"/>
      <c r="BG1054" s="69"/>
      <c r="BH1054" s="69"/>
      <c r="BI1054" s="69"/>
      <c r="BJ1054" s="69"/>
      <c r="BK1054" s="69"/>
      <c r="BL1054" s="69"/>
      <c r="BM1054" s="69"/>
      <c r="BN1054" s="69"/>
      <c r="BO1054" s="69"/>
      <c r="BP1054" s="69"/>
      <c r="BQ1054" s="69"/>
      <c r="BR1054" s="69"/>
      <c r="BS1054" s="69"/>
      <c r="BT1054" s="69"/>
      <c r="BU1054" s="69"/>
      <c r="BV1054" s="69"/>
      <c r="BW1054" s="69"/>
      <c r="BX1054" s="69"/>
      <c r="BY1054" s="69"/>
      <c r="BZ1054" s="69"/>
      <c r="CA1054" s="69"/>
      <c r="CB1054" s="69"/>
      <c r="CC1054" s="69"/>
      <c r="CD1054" s="69"/>
      <c r="CE1054" s="69"/>
      <c r="CF1054" s="69"/>
      <c r="CG1054" s="69"/>
      <c r="CH1054" s="69"/>
      <c r="CI1054" s="69"/>
      <c r="CJ1054" s="69"/>
      <c r="CK1054" s="69"/>
      <c r="CL1054" s="69"/>
      <c r="CM1054" s="69"/>
      <c r="CN1054" s="69"/>
      <c r="CO1054" s="69"/>
      <c r="CP1054" s="69"/>
      <c r="CQ1054" s="69"/>
      <c r="CR1054" s="69"/>
      <c r="CS1054" s="69"/>
      <c r="CT1054" s="69"/>
      <c r="CU1054" s="69"/>
      <c r="CV1054" s="69"/>
      <c r="CW1054" s="69"/>
      <c r="CX1054" s="69"/>
      <c r="CY1054" s="69"/>
      <c r="CZ1054" s="69"/>
      <c r="DA1054" s="69"/>
      <c r="DB1054" s="69"/>
      <c r="DC1054" s="69"/>
      <c r="DD1054" s="69"/>
      <c r="DE1054" s="69"/>
      <c r="DF1054" s="69"/>
      <c r="DG1054" s="69"/>
      <c r="DH1054" s="69"/>
    </row>
    <row r="1055">
      <c r="A1055" s="41">
        <v>1055.0</v>
      </c>
      <c r="B1055" s="126" t="s">
        <v>145</v>
      </c>
      <c r="C1055" s="59" t="s">
        <v>108</v>
      </c>
      <c r="D1055" s="59" t="s">
        <v>241</v>
      </c>
      <c r="E1055" s="362"/>
      <c r="F1055" s="123" t="s">
        <v>5736</v>
      </c>
      <c r="G1055" s="116" t="s">
        <v>5737</v>
      </c>
      <c r="H1055" s="137" t="s">
        <v>242</v>
      </c>
      <c r="I1055" s="314">
        <v>45663.0</v>
      </c>
      <c r="J1055" s="1317">
        <v>45692.0</v>
      </c>
      <c r="K1055" s="122"/>
      <c r="L1055" s="122" t="s">
        <v>5561</v>
      </c>
      <c r="M1055" s="137" t="s">
        <v>5738</v>
      </c>
      <c r="N1055" s="137" t="s">
        <v>5739</v>
      </c>
      <c r="O1055" s="122"/>
      <c r="P1055" s="137" t="str">
        <f t="shared" ref="P1055:P1063" si="61"> SUBSTITUTE(lower(N1055), "/", "--") &amp;  ".pdf"</f>
        <v>10.1177--0956797615588195.pdf</v>
      </c>
      <c r="Q1055" s="49" t="str">
        <f t="array" ref="Q1055"> if(iserror(MATCH(V1055, 'File Links'!C:C, 0)), "N/A", HYPERLINK(INDEX('File Links'!B:B, MATCH(P1055, 'File Links'!C:C, 0))))</f>
        <v>https://drive.google.com/file/d/1tE6_KVQyfFVpIfIuz7dnWR1i8_me3TIT/view?usp=drivesdk</v>
      </c>
      <c r="R1055" s="137" t="s">
        <v>5744</v>
      </c>
      <c r="S1055" s="156" t="s">
        <v>3647</v>
      </c>
      <c r="T1055" s="778" t="s">
        <v>5741</v>
      </c>
      <c r="U1055" s="144" t="s">
        <v>131</v>
      </c>
      <c r="V1055" s="195" t="str">
        <f t="shared" si="57"/>
        <v>10.1098--rsos.231240.pdf</v>
      </c>
      <c r="W1055" s="137" t="s">
        <v>3797</v>
      </c>
      <c r="X1055" s="51" t="str">
        <f t="array" ref="X1055"> if(iserror(MATCH(V1055, 'File Links'!C:C, 0)), "N/A", HYPERLINK(INDEX('File Links'!B:B, MATCH(V1055, 'File Links'!C:C, 0))))</f>
        <v>https://drive.google.com/file/d/17gaf2Zy_ljFfcAEDk5L8GBnTl5i7RGJE/view?usp=drivesdk</v>
      </c>
      <c r="Y1055" s="122"/>
      <c r="Z1055" s="137" t="s">
        <v>219</v>
      </c>
      <c r="AA1055" s="122"/>
      <c r="AB1055" s="122"/>
      <c r="AC1055" s="122"/>
      <c r="AD1055" s="137" t="s">
        <v>5745</v>
      </c>
      <c r="AE1055" s="779">
        <v>3.0</v>
      </c>
      <c r="AF1055" s="222">
        <v>201.0</v>
      </c>
      <c r="AG1055" s="222" t="s">
        <v>5746</v>
      </c>
      <c r="AH1055" s="116" t="s">
        <v>127</v>
      </c>
      <c r="AI1055" s="1338" t="s">
        <v>5747</v>
      </c>
      <c r="AJ1055" s="130">
        <v>0.01</v>
      </c>
      <c r="AK1055" s="123" t="s">
        <v>128</v>
      </c>
      <c r="AL1055" s="123" t="s">
        <v>179</v>
      </c>
      <c r="AM1055" s="137" t="s">
        <v>130</v>
      </c>
      <c r="AN1055" s="1313" t="s">
        <v>131</v>
      </c>
      <c r="AO1055" s="779">
        <v>53.0</v>
      </c>
      <c r="AP1055" s="779">
        <v>1.711971788604</v>
      </c>
      <c r="AQ1055" s="137" t="s">
        <v>166</v>
      </c>
      <c r="AR1055" s="1313" t="s">
        <v>5571</v>
      </c>
      <c r="AS1055" s="1335">
        <v>1.56719549264669E-7</v>
      </c>
      <c r="AT1055" s="137" t="s">
        <v>165</v>
      </c>
      <c r="AU1055" s="137" t="s">
        <v>179</v>
      </c>
      <c r="AV1055" s="137" t="s">
        <v>130</v>
      </c>
      <c r="AW1055" s="1314" t="s">
        <v>131</v>
      </c>
      <c r="AX1055" s="137" t="s">
        <v>136</v>
      </c>
      <c r="AZ1055" s="1313" t="s">
        <v>5572</v>
      </c>
      <c r="BB1055" s="69"/>
      <c r="BC1055" s="69"/>
      <c r="BD1055" s="69"/>
      <c r="BE1055" s="69"/>
      <c r="BF1055" s="69"/>
      <c r="BG1055" s="69"/>
      <c r="BH1055" s="69"/>
      <c r="BI1055" s="69"/>
      <c r="BJ1055" s="69"/>
      <c r="BK1055" s="69"/>
      <c r="BL1055" s="69"/>
      <c r="BM1055" s="69"/>
      <c r="BN1055" s="69"/>
      <c r="BO1055" s="69"/>
      <c r="BP1055" s="69"/>
      <c r="BQ1055" s="69"/>
      <c r="BR1055" s="69"/>
      <c r="BS1055" s="69"/>
      <c r="BT1055" s="69"/>
      <c r="BU1055" s="69"/>
      <c r="BV1055" s="69"/>
      <c r="BW1055" s="69"/>
      <c r="BX1055" s="69"/>
      <c r="BY1055" s="69"/>
      <c r="BZ1055" s="69"/>
      <c r="CA1055" s="69"/>
      <c r="CB1055" s="69"/>
      <c r="CC1055" s="69"/>
      <c r="CD1055" s="69"/>
      <c r="CE1055" s="69"/>
      <c r="CF1055" s="69"/>
      <c r="CG1055" s="69"/>
      <c r="CH1055" s="69"/>
      <c r="CI1055" s="69"/>
      <c r="CJ1055" s="69"/>
      <c r="CK1055" s="69"/>
      <c r="CL1055" s="69"/>
      <c r="CM1055" s="69"/>
      <c r="CN1055" s="69"/>
      <c r="CO1055" s="69"/>
      <c r="CP1055" s="69"/>
      <c r="CQ1055" s="69"/>
      <c r="CR1055" s="69"/>
      <c r="CS1055" s="69"/>
      <c r="CT1055" s="69"/>
      <c r="CU1055" s="69"/>
      <c r="CV1055" s="69"/>
      <c r="CW1055" s="69"/>
      <c r="CX1055" s="69"/>
      <c r="CY1055" s="69"/>
      <c r="CZ1055" s="69"/>
      <c r="DA1055" s="69"/>
      <c r="DB1055" s="69"/>
      <c r="DC1055" s="69"/>
      <c r="DD1055" s="69"/>
      <c r="DE1055" s="69"/>
      <c r="DF1055" s="69"/>
      <c r="DG1055" s="69"/>
      <c r="DH1055" s="69"/>
    </row>
    <row r="1056">
      <c r="A1056" s="41">
        <v>1056.0</v>
      </c>
      <c r="B1056" s="126" t="s">
        <v>145</v>
      </c>
      <c r="C1056" s="59" t="s">
        <v>108</v>
      </c>
      <c r="D1056" s="59" t="s">
        <v>138</v>
      </c>
      <c r="E1056" s="362"/>
      <c r="F1056" s="1304" t="s">
        <v>5748</v>
      </c>
      <c r="G1056" s="1305" t="s">
        <v>5749</v>
      </c>
      <c r="H1056" s="1306" t="s">
        <v>5559</v>
      </c>
      <c r="I1056" s="1307">
        <v>45688.0</v>
      </c>
      <c r="J1056" s="1308">
        <v>45692.0</v>
      </c>
      <c r="K1056" s="1304"/>
      <c r="L1056" s="1304" t="s">
        <v>5561</v>
      </c>
      <c r="M1056" s="1306" t="s">
        <v>5750</v>
      </c>
      <c r="N1056" s="1304" t="s">
        <v>5751</v>
      </c>
      <c r="O1056" s="1309">
        <v>3.0</v>
      </c>
      <c r="P1056" s="137" t="str">
        <f t="shared" si="61"/>
        <v>10.1371--journal.pone.0071475.pdf</v>
      </c>
      <c r="Q1056" s="49" t="str">
        <f t="array" ref="Q1056"> if(iserror(MATCH(V1056, 'File Links'!C:C, 0)), "N/A", HYPERLINK(INDEX('File Links'!B:B, MATCH(P1056, 'File Links'!C:C, 0))))</f>
        <v>https://drive.google.com/file/d/10y7q496AX6_0sM8VYpwXFE_CfW3qWVER/view?usp=drivesdk</v>
      </c>
      <c r="R1056" s="1306" t="s">
        <v>3646</v>
      </c>
      <c r="S1056" s="156" t="s">
        <v>3647</v>
      </c>
      <c r="T1056" s="144" t="s">
        <v>131</v>
      </c>
      <c r="U1056" s="144" t="s">
        <v>131</v>
      </c>
      <c r="V1056" s="195" t="str">
        <f t="shared" si="57"/>
        <v>10.1098--rsos.231240.pdf</v>
      </c>
      <c r="W1056" s="137" t="s">
        <v>317</v>
      </c>
      <c r="X1056" s="51" t="str">
        <f t="array" ref="X1056"> if(iserror(MATCH(V1056, 'File Links'!C:C, 0)), "N/A", HYPERLINK(INDEX('File Links'!B:B, MATCH(V1056, 'File Links'!C:C, 0))))</f>
        <v>https://drive.google.com/file/d/17gaf2Zy_ljFfcAEDk5L8GBnTl5i7RGJE/view?usp=drivesdk</v>
      </c>
      <c r="Y1056" s="1304"/>
      <c r="Z1056" s="1306" t="s">
        <v>219</v>
      </c>
      <c r="AA1056" s="1304" t="s">
        <v>5752</v>
      </c>
      <c r="AB1056" s="1304" t="s">
        <v>5753</v>
      </c>
      <c r="AC1056" s="1306" t="s">
        <v>5754</v>
      </c>
      <c r="AD1056" s="1304" t="s">
        <v>5755</v>
      </c>
      <c r="AE1056" s="1333">
        <v>7.0</v>
      </c>
      <c r="AF1056" s="1309">
        <v>430.0</v>
      </c>
      <c r="AG1056" s="1313" t="s">
        <v>5756</v>
      </c>
      <c r="AH1056" s="1313" t="s">
        <v>127</v>
      </c>
      <c r="AI1056" s="1304" t="s">
        <v>125</v>
      </c>
      <c r="AJ1056" s="1316">
        <v>0.03</v>
      </c>
      <c r="AK1056" s="1312" t="s">
        <v>165</v>
      </c>
      <c r="AL1056" s="1312" t="s">
        <v>179</v>
      </c>
      <c r="AM1056" s="1304" t="s">
        <v>130</v>
      </c>
      <c r="AN1056" s="1313" t="s">
        <v>131</v>
      </c>
      <c r="AO1056" s="1309">
        <v>36.0</v>
      </c>
      <c r="AP1056" s="1333">
        <v>0.67703646753951</v>
      </c>
      <c r="AQ1056" s="1304" t="s">
        <v>166</v>
      </c>
      <c r="AR1056" s="1313" t="s">
        <v>5571</v>
      </c>
      <c r="AS1056" s="1333">
        <v>0.0469833588964036</v>
      </c>
      <c r="AT1056" s="1304" t="s">
        <v>165</v>
      </c>
      <c r="AU1056" s="1304" t="s">
        <v>179</v>
      </c>
      <c r="AV1056" s="1304" t="s">
        <v>130</v>
      </c>
      <c r="AW1056" s="1314" t="s">
        <v>131</v>
      </c>
      <c r="AX1056" s="1304" t="s">
        <v>136</v>
      </c>
      <c r="AZ1056" s="1313" t="s">
        <v>5572</v>
      </c>
      <c r="BB1056" s="69"/>
      <c r="BC1056" s="69"/>
      <c r="BD1056" s="69"/>
      <c r="BE1056" s="69"/>
      <c r="BF1056" s="69"/>
      <c r="BG1056" s="69"/>
      <c r="BH1056" s="69"/>
      <c r="BI1056" s="69"/>
      <c r="BJ1056" s="69"/>
      <c r="BK1056" s="69"/>
      <c r="BL1056" s="69"/>
      <c r="BM1056" s="69"/>
      <c r="BN1056" s="69"/>
      <c r="BO1056" s="69"/>
      <c r="BP1056" s="69"/>
      <c r="BQ1056" s="69"/>
      <c r="BR1056" s="69"/>
      <c r="BS1056" s="69"/>
      <c r="BT1056" s="69"/>
      <c r="BU1056" s="69"/>
      <c r="BV1056" s="69"/>
      <c r="BW1056" s="69"/>
      <c r="BX1056" s="69"/>
      <c r="BY1056" s="69"/>
      <c r="BZ1056" s="69"/>
      <c r="CA1056" s="69"/>
      <c r="CB1056" s="69"/>
      <c r="CC1056" s="69"/>
      <c r="CD1056" s="69"/>
      <c r="CE1056" s="69"/>
      <c r="CF1056" s="69"/>
      <c r="CG1056" s="69"/>
      <c r="CH1056" s="69"/>
      <c r="CI1056" s="69"/>
      <c r="CJ1056" s="69"/>
      <c r="CK1056" s="69"/>
      <c r="CL1056" s="69"/>
      <c r="CM1056" s="69"/>
      <c r="CN1056" s="69"/>
      <c r="CO1056" s="69"/>
      <c r="CP1056" s="69"/>
      <c r="CQ1056" s="69"/>
      <c r="CR1056" s="69"/>
      <c r="CS1056" s="69"/>
      <c r="CT1056" s="69"/>
      <c r="CU1056" s="69"/>
      <c r="CV1056" s="69"/>
      <c r="CW1056" s="69"/>
      <c r="CX1056" s="69"/>
      <c r="CY1056" s="69"/>
      <c r="CZ1056" s="69"/>
      <c r="DA1056" s="69"/>
      <c r="DB1056" s="69"/>
      <c r="DC1056" s="69"/>
      <c r="DD1056" s="69"/>
      <c r="DE1056" s="69"/>
      <c r="DF1056" s="69"/>
      <c r="DG1056" s="69"/>
      <c r="DH1056" s="69"/>
    </row>
    <row r="1057">
      <c r="A1057" s="41">
        <v>1057.0</v>
      </c>
      <c r="B1057" s="126" t="s">
        <v>107</v>
      </c>
      <c r="C1057" s="59" t="s">
        <v>108</v>
      </c>
      <c r="D1057" s="59" t="s">
        <v>138</v>
      </c>
      <c r="E1057" s="362"/>
      <c r="F1057" s="1304" t="s">
        <v>5748</v>
      </c>
      <c r="G1057" s="1305" t="s">
        <v>5757</v>
      </c>
      <c r="H1057" s="1306" t="s">
        <v>5559</v>
      </c>
      <c r="I1057" s="1307">
        <v>45688.0</v>
      </c>
      <c r="J1057" s="1308">
        <v>45692.0</v>
      </c>
      <c r="K1057" s="1304"/>
      <c r="L1057" s="1304" t="s">
        <v>5561</v>
      </c>
      <c r="M1057" s="1306" t="s">
        <v>5750</v>
      </c>
      <c r="N1057" s="1304" t="s">
        <v>5751</v>
      </c>
      <c r="O1057" s="1309">
        <v>3.0</v>
      </c>
      <c r="P1057" s="137" t="str">
        <f t="shared" si="61"/>
        <v>10.1371--journal.pone.0071475.pdf</v>
      </c>
      <c r="Q1057" s="49" t="str">
        <f t="array" ref="Q1057"> if(iserror(MATCH(V1057, 'File Links'!C:C, 0)), "N/A", HYPERLINK(INDEX('File Links'!B:B, MATCH(P1057, 'File Links'!C:C, 0))))</f>
        <v>https://drive.google.com/file/d/10y7q496AX6_0sM8VYpwXFE_CfW3qWVER/view?usp=drivesdk</v>
      </c>
      <c r="R1057" s="1306" t="s">
        <v>3646</v>
      </c>
      <c r="S1057" s="156" t="s">
        <v>3647</v>
      </c>
      <c r="T1057" s="144" t="s">
        <v>131</v>
      </c>
      <c r="U1057" s="144" t="s">
        <v>131</v>
      </c>
      <c r="V1057" s="195" t="str">
        <f t="shared" si="57"/>
        <v>10.1098--rsos.231240.pdf</v>
      </c>
      <c r="W1057" s="137" t="s">
        <v>317</v>
      </c>
      <c r="X1057" s="51" t="str">
        <f t="array" ref="X1057"> if(iserror(MATCH(V1057, 'File Links'!C:C, 0)), "N/A", HYPERLINK(INDEX('File Links'!B:B, MATCH(V1057, 'File Links'!C:C, 0))))</f>
        <v>https://drive.google.com/file/d/17gaf2Zy_ljFfcAEDk5L8GBnTl5i7RGJE/view?usp=drivesdk</v>
      </c>
      <c r="Y1057" s="1304"/>
      <c r="Z1057" s="1306" t="s">
        <v>219</v>
      </c>
      <c r="AA1057" s="1304" t="s">
        <v>5752</v>
      </c>
      <c r="AB1057" s="1304" t="s">
        <v>5753</v>
      </c>
      <c r="AC1057" s="1306" t="s">
        <v>5758</v>
      </c>
      <c r="AD1057" s="1304" t="s">
        <v>5759</v>
      </c>
      <c r="AE1057" s="1333">
        <v>7.0</v>
      </c>
      <c r="AF1057" s="1309">
        <v>430.0</v>
      </c>
      <c r="AG1057" s="1304" t="s">
        <v>5760</v>
      </c>
      <c r="AH1057" s="1313" t="s">
        <v>127</v>
      </c>
      <c r="AI1057" s="1304" t="s">
        <v>125</v>
      </c>
      <c r="AJ1057" s="1316">
        <v>0.02</v>
      </c>
      <c r="AK1057" s="1312" t="s">
        <v>165</v>
      </c>
      <c r="AL1057" s="1312" t="s">
        <v>179</v>
      </c>
      <c r="AM1057" s="1304" t="s">
        <v>130</v>
      </c>
      <c r="AN1057" s="1313" t="s">
        <v>131</v>
      </c>
      <c r="AO1057" s="1309">
        <v>36.0</v>
      </c>
      <c r="AP1057" s="1333">
        <v>0.67703646753951</v>
      </c>
      <c r="AQ1057" s="1304" t="s">
        <v>166</v>
      </c>
      <c r="AR1057" s="1313" t="s">
        <v>5571</v>
      </c>
      <c r="AS1057" s="1333">
        <v>0.0469833588964036</v>
      </c>
      <c r="AT1057" s="1304" t="s">
        <v>165</v>
      </c>
      <c r="AU1057" s="1304" t="s">
        <v>179</v>
      </c>
      <c r="AV1057" s="1304" t="s">
        <v>130</v>
      </c>
      <c r="AW1057" s="1314" t="s">
        <v>131</v>
      </c>
      <c r="AX1057" s="1304" t="s">
        <v>136</v>
      </c>
      <c r="AZ1057" s="1313" t="s">
        <v>5572</v>
      </c>
    </row>
    <row r="1058">
      <c r="A1058" s="41">
        <v>1058.0</v>
      </c>
      <c r="B1058" s="126" t="s">
        <v>107</v>
      </c>
      <c r="C1058" s="59" t="s">
        <v>108</v>
      </c>
      <c r="D1058" s="59" t="s">
        <v>241</v>
      </c>
      <c r="E1058" s="362"/>
      <c r="F1058" s="123" t="s">
        <v>5748</v>
      </c>
      <c r="G1058" s="116" t="s">
        <v>5749</v>
      </c>
      <c r="H1058" s="137" t="s">
        <v>242</v>
      </c>
      <c r="I1058" s="314">
        <v>45665.0</v>
      </c>
      <c r="J1058" s="1317">
        <v>45692.0</v>
      </c>
      <c r="K1058" s="122"/>
      <c r="L1058" s="122" t="s">
        <v>5561</v>
      </c>
      <c r="M1058" s="137" t="s">
        <v>5750</v>
      </c>
      <c r="N1058" s="137" t="s">
        <v>5751</v>
      </c>
      <c r="O1058" s="122"/>
      <c r="P1058" s="137" t="str">
        <f t="shared" si="61"/>
        <v>10.1371--journal.pone.0071475.pdf</v>
      </c>
      <c r="Q1058" s="49" t="str">
        <f t="array" ref="Q1058"> if(iserror(MATCH(V1058, 'File Links'!C:C, 0)), "N/A", HYPERLINK(INDEX('File Links'!B:B, MATCH(P1058, 'File Links'!C:C, 0))))</f>
        <v>https://drive.google.com/file/d/10y7q496AX6_0sM8VYpwXFE_CfW3qWVER/view?usp=drivesdk</v>
      </c>
      <c r="R1058" s="137" t="s">
        <v>5761</v>
      </c>
      <c r="S1058" s="156" t="s">
        <v>3647</v>
      </c>
      <c r="T1058" s="144" t="s">
        <v>131</v>
      </c>
      <c r="U1058" s="144" t="s">
        <v>131</v>
      </c>
      <c r="V1058" s="195" t="str">
        <f t="shared" si="57"/>
        <v>10.1098--rsos.231240.pdf</v>
      </c>
      <c r="W1058" s="137" t="s">
        <v>317</v>
      </c>
      <c r="X1058" s="51" t="str">
        <f t="array" ref="X1058"> if(iserror(MATCH(V1058, 'File Links'!C:C, 0)), "N/A", HYPERLINK(INDEX('File Links'!B:B, MATCH(V1058, 'File Links'!C:C, 0))))</f>
        <v>https://drive.google.com/file/d/17gaf2Zy_ljFfcAEDk5L8GBnTl5i7RGJE/view?usp=drivesdk</v>
      </c>
      <c r="Y1058" s="122"/>
      <c r="Z1058" s="137" t="s">
        <v>219</v>
      </c>
      <c r="AA1058" s="137" t="s">
        <v>4469</v>
      </c>
      <c r="AB1058" s="122"/>
      <c r="AC1058" s="137" t="s">
        <v>5762</v>
      </c>
      <c r="AD1058" s="137" t="s">
        <v>5763</v>
      </c>
      <c r="AE1058" s="779">
        <v>7.0</v>
      </c>
      <c r="AF1058" s="779">
        <v>430.0</v>
      </c>
      <c r="AG1058" s="222" t="s">
        <v>5764</v>
      </c>
      <c r="AH1058" s="116" t="s">
        <v>127</v>
      </c>
      <c r="AI1058" s="137" t="s">
        <v>125</v>
      </c>
      <c r="AJ1058" s="130">
        <v>0.03</v>
      </c>
      <c r="AK1058" s="123" t="s">
        <v>165</v>
      </c>
      <c r="AL1058" s="123" t="s">
        <v>179</v>
      </c>
      <c r="AM1058" s="137" t="s">
        <v>134</v>
      </c>
      <c r="AN1058" s="1313" t="s">
        <v>131</v>
      </c>
      <c r="AO1058" s="779">
        <v>36.0</v>
      </c>
      <c r="AP1058" s="779">
        <v>0.67703646753951</v>
      </c>
      <c r="AQ1058" s="137" t="s">
        <v>166</v>
      </c>
      <c r="AR1058" s="1313" t="s">
        <v>5571</v>
      </c>
      <c r="AS1058" s="779">
        <v>0.0469833588964036</v>
      </c>
      <c r="AT1058" s="137" t="s">
        <v>165</v>
      </c>
      <c r="AU1058" s="137" t="s">
        <v>179</v>
      </c>
      <c r="AV1058" s="137" t="s">
        <v>134</v>
      </c>
      <c r="AW1058" s="1314" t="s">
        <v>131</v>
      </c>
      <c r="AX1058" s="137" t="s">
        <v>136</v>
      </c>
      <c r="AZ1058" s="1313" t="s">
        <v>5572</v>
      </c>
    </row>
    <row r="1059">
      <c r="A1059" s="41">
        <v>1059.0</v>
      </c>
      <c r="B1059" s="126" t="s">
        <v>145</v>
      </c>
      <c r="C1059" s="59" t="s">
        <v>108</v>
      </c>
      <c r="D1059" s="59" t="s">
        <v>138</v>
      </c>
      <c r="E1059" s="362"/>
      <c r="F1059" s="1304" t="s">
        <v>5765</v>
      </c>
      <c r="G1059" s="1305" t="s">
        <v>5766</v>
      </c>
      <c r="H1059" s="1306" t="s">
        <v>5559</v>
      </c>
      <c r="I1059" s="1307">
        <v>45688.0</v>
      </c>
      <c r="J1059" s="1308">
        <v>45692.0</v>
      </c>
      <c r="K1059" s="1304"/>
      <c r="L1059" s="1304" t="s">
        <v>5767</v>
      </c>
      <c r="M1059" s="1306" t="s">
        <v>5768</v>
      </c>
      <c r="N1059" s="1304" t="s">
        <v>5769</v>
      </c>
      <c r="O1059" s="1309">
        <v>1.0</v>
      </c>
      <c r="P1059" s="137" t="str">
        <f t="shared" si="61"/>
        <v>10.1371--journal.pone.0154854.pdf</v>
      </c>
      <c r="Q1059" s="49" t="str">
        <f t="array" ref="Q1059"> if(iserror(MATCH(V1059, 'File Links'!C:C, 0)), "N/A", HYPERLINK(INDEX('File Links'!B:B, MATCH(P1059, 'File Links'!C:C, 0))))</f>
        <v>https://drive.google.com/file/d/1-nd1hGa7j_Vwr7C63vLyw8Doq1Jw9jdo/view?usp=drivesdk</v>
      </c>
      <c r="R1059" s="1306" t="s">
        <v>3646</v>
      </c>
      <c r="S1059" s="156" t="s">
        <v>3647</v>
      </c>
      <c r="T1059" s="144" t="s">
        <v>131</v>
      </c>
      <c r="U1059" s="144" t="s">
        <v>131</v>
      </c>
      <c r="V1059" s="195" t="str">
        <f t="shared" si="57"/>
        <v>10.1098--rsos.231240.pdf</v>
      </c>
      <c r="W1059" s="137" t="s">
        <v>3797</v>
      </c>
      <c r="X1059" s="51" t="str">
        <f t="array" ref="X1059"> if(iserror(MATCH(V1059, 'File Links'!C:C, 0)), "N/A", HYPERLINK(INDEX('File Links'!B:B, MATCH(V1059, 'File Links'!C:C, 0))))</f>
        <v>https://drive.google.com/file/d/17gaf2Zy_ljFfcAEDk5L8GBnTl5i7RGJE/view?usp=drivesdk</v>
      </c>
      <c r="Y1059" s="1304"/>
      <c r="Z1059" s="1306" t="s">
        <v>288</v>
      </c>
      <c r="AA1059" s="371" t="s">
        <v>131</v>
      </c>
      <c r="AB1059" s="1304" t="s">
        <v>5770</v>
      </c>
      <c r="AC1059" s="1306" t="s">
        <v>5771</v>
      </c>
      <c r="AD1059" s="1304" t="s">
        <v>5772</v>
      </c>
      <c r="AE1059" s="1333">
        <v>9.0</v>
      </c>
      <c r="AF1059" s="1309">
        <v>51.0</v>
      </c>
      <c r="AG1059" s="1313">
        <v>1.28</v>
      </c>
      <c r="AH1059" s="191" t="s">
        <v>353</v>
      </c>
      <c r="AI1059" s="1313" t="s">
        <v>5773</v>
      </c>
      <c r="AJ1059" s="1337">
        <v>1.0E-4</v>
      </c>
      <c r="AK1059" s="1312" t="s">
        <v>128</v>
      </c>
      <c r="AL1059" s="1312" t="s">
        <v>179</v>
      </c>
      <c r="AM1059" s="1304" t="s">
        <v>130</v>
      </c>
      <c r="AN1059" s="1313" t="s">
        <v>131</v>
      </c>
      <c r="AO1059" s="1309">
        <v>48.0</v>
      </c>
      <c r="AP1059" s="1313">
        <v>0.53003</v>
      </c>
      <c r="AQ1059" s="156" t="s">
        <v>353</v>
      </c>
      <c r="AR1059" s="1313" t="s">
        <v>5571</v>
      </c>
      <c r="AS1059" s="371" t="s">
        <v>131</v>
      </c>
      <c r="AT1059" s="216" t="s">
        <v>131</v>
      </c>
      <c r="AU1059" s="1304" t="s">
        <v>179</v>
      </c>
      <c r="AV1059" s="1304" t="s">
        <v>130</v>
      </c>
      <c r="AW1059" s="1314" t="s">
        <v>131</v>
      </c>
      <c r="AX1059" s="1304" t="s">
        <v>136</v>
      </c>
      <c r="AZ1059" s="1313" t="s">
        <v>5572</v>
      </c>
    </row>
    <row r="1060">
      <c r="A1060" s="41">
        <v>1060.0</v>
      </c>
      <c r="B1060" s="126" t="s">
        <v>145</v>
      </c>
      <c r="C1060" s="59" t="s">
        <v>108</v>
      </c>
      <c r="D1060" s="59" t="s">
        <v>138</v>
      </c>
      <c r="E1060" s="362"/>
      <c r="F1060" s="1304" t="s">
        <v>5765</v>
      </c>
      <c r="G1060" s="1305" t="s">
        <v>5774</v>
      </c>
      <c r="H1060" s="1306" t="s">
        <v>5559</v>
      </c>
      <c r="I1060" s="1307">
        <v>45688.0</v>
      </c>
      <c r="J1060" s="1308">
        <v>45692.0</v>
      </c>
      <c r="K1060" s="1304"/>
      <c r="L1060" s="1304" t="s">
        <v>5561</v>
      </c>
      <c r="M1060" s="1306" t="s">
        <v>5768</v>
      </c>
      <c r="N1060" s="1304" t="s">
        <v>5769</v>
      </c>
      <c r="O1060" s="1309">
        <v>1.0</v>
      </c>
      <c r="P1060" s="137" t="str">
        <f t="shared" si="61"/>
        <v>10.1371--journal.pone.0154854.pdf</v>
      </c>
      <c r="Q1060" s="49" t="str">
        <f t="array" ref="Q1060"> if(iserror(MATCH(V1060, 'File Links'!C:C, 0)), "N/A", HYPERLINK(INDEX('File Links'!B:B, MATCH(P1060, 'File Links'!C:C, 0))))</f>
        <v>https://drive.google.com/file/d/1-nd1hGa7j_Vwr7C63vLyw8Doq1Jw9jdo/view?usp=drivesdk</v>
      </c>
      <c r="R1060" s="1306" t="s">
        <v>3646</v>
      </c>
      <c r="S1060" s="156" t="s">
        <v>3647</v>
      </c>
      <c r="T1060" s="144" t="s">
        <v>131</v>
      </c>
      <c r="U1060" s="144" t="s">
        <v>131</v>
      </c>
      <c r="V1060" s="195" t="str">
        <f t="shared" si="57"/>
        <v>10.1098--rsos.231240.pdf</v>
      </c>
      <c r="W1060" s="137" t="s">
        <v>3797</v>
      </c>
      <c r="X1060" s="51" t="str">
        <f t="array" ref="X1060"> if(iserror(MATCH(V1060, 'File Links'!C:C, 0)), "N/A", HYPERLINK(INDEX('File Links'!B:B, MATCH(V1060, 'File Links'!C:C, 0))))</f>
        <v>https://drive.google.com/file/d/17gaf2Zy_ljFfcAEDk5L8GBnTl5i7RGJE/view?usp=drivesdk</v>
      </c>
      <c r="Y1060" s="1304"/>
      <c r="Z1060" s="1306" t="s">
        <v>288</v>
      </c>
      <c r="AA1060" s="371" t="s">
        <v>131</v>
      </c>
      <c r="AB1060" s="1304" t="s">
        <v>5770</v>
      </c>
      <c r="AC1060" s="1306" t="s">
        <v>5775</v>
      </c>
      <c r="AD1060" s="1304" t="s">
        <v>5776</v>
      </c>
      <c r="AE1060" s="1333">
        <v>9.0</v>
      </c>
      <c r="AF1060" s="1309">
        <v>51.0</v>
      </c>
      <c r="AG1060" s="1313">
        <v>0.44</v>
      </c>
      <c r="AH1060" s="191" t="s">
        <v>353</v>
      </c>
      <c r="AI1060" s="1313" t="s">
        <v>5777</v>
      </c>
      <c r="AJ1060" s="1337">
        <v>0.001</v>
      </c>
      <c r="AK1060" s="1312" t="s">
        <v>128</v>
      </c>
      <c r="AL1060" s="1312" t="s">
        <v>179</v>
      </c>
      <c r="AM1060" s="1304" t="s">
        <v>130</v>
      </c>
      <c r="AN1060" s="1313" t="s">
        <v>131</v>
      </c>
      <c r="AO1060" s="1309">
        <v>48.0</v>
      </c>
      <c r="AP1060" s="1313">
        <v>0.53003</v>
      </c>
      <c r="AQ1060" s="156" t="s">
        <v>353</v>
      </c>
      <c r="AR1060" s="1313" t="s">
        <v>5571</v>
      </c>
      <c r="AS1060" s="371" t="s">
        <v>131</v>
      </c>
      <c r="AT1060" s="216" t="s">
        <v>131</v>
      </c>
      <c r="AU1060" s="1304" t="s">
        <v>179</v>
      </c>
      <c r="AV1060" s="1304" t="s">
        <v>130</v>
      </c>
      <c r="AW1060" s="1314" t="s">
        <v>131</v>
      </c>
      <c r="AX1060" s="1304" t="s">
        <v>136</v>
      </c>
      <c r="AY1060" s="59" t="s">
        <v>5778</v>
      </c>
      <c r="AZ1060" s="1313" t="s">
        <v>5572</v>
      </c>
    </row>
    <row r="1061">
      <c r="A1061" s="41">
        <v>1061.0</v>
      </c>
      <c r="B1061" s="126" t="s">
        <v>107</v>
      </c>
      <c r="C1061" s="59" t="s">
        <v>108</v>
      </c>
      <c r="D1061" s="59" t="s">
        <v>241</v>
      </c>
      <c r="E1061" s="362"/>
      <c r="F1061" s="123" t="s">
        <v>5765</v>
      </c>
      <c r="G1061" s="116" t="s">
        <v>5766</v>
      </c>
      <c r="H1061" s="137" t="s">
        <v>242</v>
      </c>
      <c r="I1061" s="314">
        <v>45665.0</v>
      </c>
      <c r="J1061" s="1317">
        <v>45692.0</v>
      </c>
      <c r="K1061" s="122"/>
      <c r="L1061" s="122" t="s">
        <v>5779</v>
      </c>
      <c r="M1061" s="137" t="s">
        <v>5768</v>
      </c>
      <c r="N1061" s="137" t="s">
        <v>5769</v>
      </c>
      <c r="O1061" s="122"/>
      <c r="P1061" s="137" t="str">
        <f t="shared" si="61"/>
        <v>10.1371--journal.pone.0154854.pdf</v>
      </c>
      <c r="Q1061" s="49" t="str">
        <f t="array" ref="Q1061"> if(iserror(MATCH(V1061, 'File Links'!C:C, 0)), "N/A", HYPERLINK(INDEX('File Links'!B:B, MATCH(P1061, 'File Links'!C:C, 0))))</f>
        <v>https://drive.google.com/file/d/1-nd1hGa7j_Vwr7C63vLyw8Doq1Jw9jdo/view?usp=drivesdk</v>
      </c>
      <c r="R1061" s="137" t="s">
        <v>5780</v>
      </c>
      <c r="S1061" s="156" t="s">
        <v>3647</v>
      </c>
      <c r="T1061" s="144" t="s">
        <v>131</v>
      </c>
      <c r="U1061" s="144" t="s">
        <v>131</v>
      </c>
      <c r="V1061" s="195" t="str">
        <f t="shared" si="57"/>
        <v>10.1098--rsos.231240.pdf</v>
      </c>
      <c r="W1061" s="137" t="s">
        <v>3797</v>
      </c>
      <c r="X1061" s="51" t="str">
        <f t="array" ref="X1061"> if(iserror(MATCH(V1061, 'File Links'!C:C, 0)), "N/A", HYPERLINK(INDEX('File Links'!B:B, MATCH(V1061, 'File Links'!C:C, 0))))</f>
        <v>https://drive.google.com/file/d/17gaf2Zy_ljFfcAEDk5L8GBnTl5i7RGJE/view?usp=drivesdk</v>
      </c>
      <c r="Y1061" s="122"/>
      <c r="Z1061" s="137" t="s">
        <v>203</v>
      </c>
      <c r="AA1061" s="122"/>
      <c r="AB1061" s="122"/>
      <c r="AC1061" s="122"/>
      <c r="AD1061" s="137" t="s">
        <v>5781</v>
      </c>
      <c r="AE1061" s="779">
        <v>9.0</v>
      </c>
      <c r="AF1061" s="779">
        <v>51.0</v>
      </c>
      <c r="AG1061" s="779">
        <v>1.28</v>
      </c>
      <c r="AH1061" s="137" t="s">
        <v>980</v>
      </c>
      <c r="AI1061" s="137" t="s">
        <v>621</v>
      </c>
      <c r="AJ1061" s="130">
        <v>1.0E-4</v>
      </c>
      <c r="AK1061" s="123" t="s">
        <v>2242</v>
      </c>
      <c r="AL1061" s="123" t="s">
        <v>179</v>
      </c>
      <c r="AM1061" s="137" t="s">
        <v>134</v>
      </c>
      <c r="AN1061" s="1313" t="s">
        <v>131</v>
      </c>
      <c r="AO1061" s="779">
        <v>48.0</v>
      </c>
      <c r="AP1061" s="779">
        <v>0.53003</v>
      </c>
      <c r="AQ1061" s="137" t="s">
        <v>980</v>
      </c>
      <c r="AR1061" s="1313" t="s">
        <v>5571</v>
      </c>
      <c r="AS1061" s="137" t="s">
        <v>131</v>
      </c>
      <c r="AT1061" s="122"/>
      <c r="AU1061" s="137" t="s">
        <v>179</v>
      </c>
      <c r="AV1061" s="137" t="s">
        <v>134</v>
      </c>
      <c r="AW1061" s="1314" t="s">
        <v>131</v>
      </c>
      <c r="AX1061" s="137" t="s">
        <v>136</v>
      </c>
      <c r="AZ1061" s="1313" t="s">
        <v>5572</v>
      </c>
    </row>
    <row r="1062">
      <c r="A1062" s="41">
        <v>1062.0</v>
      </c>
      <c r="B1062" s="126" t="s">
        <v>2006</v>
      </c>
      <c r="C1062" s="59" t="s">
        <v>108</v>
      </c>
      <c r="D1062" s="59" t="s">
        <v>138</v>
      </c>
      <c r="E1062" s="362"/>
      <c r="F1062" s="1304" t="s">
        <v>5782</v>
      </c>
      <c r="G1062" s="1305" t="s">
        <v>5783</v>
      </c>
      <c r="H1062" s="1306" t="s">
        <v>5559</v>
      </c>
      <c r="I1062" s="1307">
        <v>45688.0</v>
      </c>
      <c r="J1062" s="1308">
        <v>45692.0</v>
      </c>
      <c r="K1062" s="1304" t="s">
        <v>5784</v>
      </c>
      <c r="L1062" s="1304" t="s">
        <v>5561</v>
      </c>
      <c r="M1062" s="1306" t="s">
        <v>5785</v>
      </c>
      <c r="N1062" s="1304" t="s">
        <v>5786</v>
      </c>
      <c r="O1062" s="1309">
        <v>2.0</v>
      </c>
      <c r="P1062" s="137" t="str">
        <f t="shared" si="61"/>
        <v>10.1038--nn.2889.pdf</v>
      </c>
      <c r="Q1062" s="49" t="str">
        <f t="array" ref="Q1062"> if(iserror(MATCH(V1062, 'File Links'!C:C, 0)), "N/A", HYPERLINK(INDEX('File Links'!B:B, MATCH(P1062, 'File Links'!C:C, 0))))</f>
        <v>https://drive.google.com/file/d/1MkAewK7ChXvXFt_yHeQBeosTp7ozsocw/view?usp=drivesdk</v>
      </c>
      <c r="R1062" s="1306" t="s">
        <v>3646</v>
      </c>
      <c r="S1062" s="156" t="s">
        <v>3647</v>
      </c>
      <c r="T1062" s="144" t="s">
        <v>131</v>
      </c>
      <c r="U1062" s="144" t="s">
        <v>131</v>
      </c>
      <c r="V1062" s="195" t="str">
        <f t="shared" si="57"/>
        <v>10.1098--rsos.231240.pdf</v>
      </c>
      <c r="W1062" s="137" t="s">
        <v>317</v>
      </c>
      <c r="X1062" s="51" t="str">
        <f t="array" ref="X1062"> if(iserror(MATCH(V1062, 'File Links'!C:C, 0)), "N/A", HYPERLINK(INDEX('File Links'!B:B, MATCH(V1062, 'File Links'!C:C, 0))))</f>
        <v>https://drive.google.com/file/d/17gaf2Zy_ljFfcAEDk5L8GBnTl5i7RGJE/view?usp=drivesdk</v>
      </c>
      <c r="Y1062" s="1304"/>
      <c r="Z1062" s="1306" t="s">
        <v>831</v>
      </c>
      <c r="AA1062" s="1304" t="s">
        <v>1528</v>
      </c>
      <c r="AB1062" s="1304" t="s">
        <v>5787</v>
      </c>
      <c r="AC1062" s="1306" t="s">
        <v>5788</v>
      </c>
      <c r="AD1062" s="1304" t="s">
        <v>1528</v>
      </c>
      <c r="AE1062" s="1304" t="s">
        <v>1528</v>
      </c>
      <c r="AF1062" s="1309">
        <v>5.0</v>
      </c>
      <c r="AG1062" s="1304" t="s">
        <v>1528</v>
      </c>
      <c r="AH1062" s="164" t="s">
        <v>131</v>
      </c>
      <c r="AI1062" s="1304" t="s">
        <v>1528</v>
      </c>
      <c r="AJ1062" s="1311" t="s">
        <v>1528</v>
      </c>
      <c r="AK1062" s="1312" t="s">
        <v>1528</v>
      </c>
      <c r="AL1062" s="1312" t="s">
        <v>179</v>
      </c>
      <c r="AM1062" s="1304" t="s">
        <v>130</v>
      </c>
      <c r="AN1062" s="1313" t="s">
        <v>131</v>
      </c>
      <c r="AO1062" s="1309">
        <v>5.0</v>
      </c>
      <c r="AP1062" s="1304" t="s">
        <v>1528</v>
      </c>
      <c r="AQ1062" s="126" t="s">
        <v>131</v>
      </c>
      <c r="AR1062" s="1313" t="s">
        <v>5571</v>
      </c>
      <c r="AS1062" s="1304" t="s">
        <v>1528</v>
      </c>
      <c r="AT1062" s="1304" t="s">
        <v>1528</v>
      </c>
      <c r="AU1062" s="1304" t="s">
        <v>179</v>
      </c>
      <c r="AV1062" s="1304" t="s">
        <v>130</v>
      </c>
      <c r="AW1062" s="1314" t="s">
        <v>131</v>
      </c>
      <c r="AX1062" s="1304" t="s">
        <v>136</v>
      </c>
      <c r="AZ1062" s="1313" t="s">
        <v>5572</v>
      </c>
    </row>
    <row r="1063">
      <c r="A1063" s="41">
        <v>1063.0</v>
      </c>
      <c r="B1063" s="126" t="s">
        <v>107</v>
      </c>
      <c r="C1063" s="59" t="s">
        <v>108</v>
      </c>
      <c r="D1063" s="59" t="s">
        <v>241</v>
      </c>
      <c r="E1063" s="362"/>
      <c r="F1063" s="123" t="s">
        <v>5782</v>
      </c>
      <c r="G1063" s="116" t="s">
        <v>5783</v>
      </c>
      <c r="H1063" s="137" t="s">
        <v>242</v>
      </c>
      <c r="I1063" s="314">
        <v>45665.0</v>
      </c>
      <c r="J1063" s="1317">
        <v>45692.0</v>
      </c>
      <c r="K1063" s="667" t="s">
        <v>5789</v>
      </c>
      <c r="L1063" s="122" t="s">
        <v>5561</v>
      </c>
      <c r="M1063" s="137" t="s">
        <v>5785</v>
      </c>
      <c r="N1063" s="137" t="s">
        <v>5786</v>
      </c>
      <c r="O1063" s="122"/>
      <c r="P1063" s="137" t="str">
        <f t="shared" si="61"/>
        <v>10.1038--nn.2889.pdf</v>
      </c>
      <c r="Q1063" s="49" t="str">
        <f t="array" ref="Q1063"> if(iserror(MATCH(V1063, 'File Links'!C:C, 0)), "N/A", HYPERLINK(INDEX('File Links'!B:B, MATCH(P1063, 'File Links'!C:C, 0))))</f>
        <v>https://drive.google.com/file/d/1MkAewK7ChXvXFt_yHeQBeosTp7ozsocw/view?usp=drivesdk</v>
      </c>
      <c r="R1063" s="137" t="s">
        <v>5790</v>
      </c>
      <c r="S1063" s="156" t="s">
        <v>3647</v>
      </c>
      <c r="T1063" s="144" t="s">
        <v>131</v>
      </c>
      <c r="U1063" s="144" t="s">
        <v>131</v>
      </c>
      <c r="V1063" s="195" t="str">
        <f t="shared" si="57"/>
        <v>10.1098--rsos.231240.pdf</v>
      </c>
      <c r="W1063" s="137" t="s">
        <v>317</v>
      </c>
      <c r="X1063" s="51" t="str">
        <f t="array" ref="X1063"> if(iserror(MATCH(V1063, 'File Links'!C:C, 0)), "N/A", HYPERLINK(INDEX('File Links'!B:B, MATCH(V1063, 'File Links'!C:C, 0))))</f>
        <v>https://drive.google.com/file/d/17gaf2Zy_ljFfcAEDk5L8GBnTl5i7RGJE/view?usp=drivesdk</v>
      </c>
      <c r="Y1063" s="122"/>
      <c r="Z1063" s="137" t="s">
        <v>831</v>
      </c>
      <c r="AA1063" s="122"/>
      <c r="AB1063" s="122"/>
      <c r="AC1063" s="122"/>
      <c r="AD1063" s="137" t="s">
        <v>131</v>
      </c>
      <c r="AE1063" s="137" t="s">
        <v>131</v>
      </c>
      <c r="AF1063" s="779">
        <v>5.0</v>
      </c>
      <c r="AG1063" s="137" t="s">
        <v>131</v>
      </c>
      <c r="AH1063" s="164" t="s">
        <v>131</v>
      </c>
      <c r="AI1063" s="137" t="s">
        <v>131</v>
      </c>
      <c r="AJ1063" s="220" t="s">
        <v>131</v>
      </c>
      <c r="AK1063" s="129"/>
      <c r="AL1063" s="123" t="s">
        <v>179</v>
      </c>
      <c r="AM1063" s="137" t="s">
        <v>1898</v>
      </c>
      <c r="AN1063" s="1313" t="s">
        <v>131</v>
      </c>
      <c r="AO1063" s="779">
        <v>5.0</v>
      </c>
      <c r="AP1063" s="137" t="s">
        <v>131</v>
      </c>
      <c r="AQ1063" s="122"/>
      <c r="AR1063" s="1313" t="s">
        <v>5571</v>
      </c>
      <c r="AS1063" s="137" t="s">
        <v>131</v>
      </c>
      <c r="AT1063" s="122"/>
      <c r="AU1063" s="137" t="s">
        <v>179</v>
      </c>
      <c r="AV1063" s="137" t="s">
        <v>1898</v>
      </c>
      <c r="AW1063" s="1314" t="s">
        <v>131</v>
      </c>
      <c r="AX1063" s="137" t="s">
        <v>136</v>
      </c>
      <c r="AZ1063" s="1313" t="s">
        <v>5572</v>
      </c>
    </row>
    <row r="1064">
      <c r="A1064" s="41">
        <v>1064.0</v>
      </c>
      <c r="B1064" s="126" t="s">
        <v>145</v>
      </c>
      <c r="C1064" s="59" t="s">
        <v>108</v>
      </c>
      <c r="D1064" s="59" t="s">
        <v>138</v>
      </c>
      <c r="E1064" s="362"/>
      <c r="F1064" s="1304" t="s">
        <v>5791</v>
      </c>
      <c r="G1064" s="1305" t="s">
        <v>5792</v>
      </c>
      <c r="H1064" s="1306" t="s">
        <v>5559</v>
      </c>
      <c r="I1064" s="1307">
        <v>45688.0</v>
      </c>
      <c r="J1064" s="1308">
        <v>45692.0</v>
      </c>
      <c r="K1064" s="1331" t="s">
        <v>5793</v>
      </c>
      <c r="L1064" s="1304" t="s">
        <v>5561</v>
      </c>
      <c r="M1064" s="1306" t="s">
        <v>5794</v>
      </c>
      <c r="N1064" s="1306" t="s">
        <v>5795</v>
      </c>
      <c r="O1064" s="1306" t="s">
        <v>5533</v>
      </c>
      <c r="P1064" s="1306" t="s">
        <v>5796</v>
      </c>
      <c r="Q1064" s="49" t="str">
        <f t="array" ref="Q1064"> if(iserror(MATCH(V1064, 'File Links'!C:C, 0)), "N/A", HYPERLINK(INDEX('File Links'!B:B, MATCH(P1064, 'File Links'!C:C, 0))))</f>
        <v>https://drive.google.com/file/d/1oAjR8vSHaozIl7e-9ozgY9hFTpEChKb7/view?usp=drivesdk</v>
      </c>
      <c r="R1064" s="1306" t="s">
        <v>3646</v>
      </c>
      <c r="S1064" s="156" t="s">
        <v>3647</v>
      </c>
      <c r="T1064" s="144" t="s">
        <v>131</v>
      </c>
      <c r="U1064" s="144" t="s">
        <v>131</v>
      </c>
      <c r="V1064" s="195" t="str">
        <f t="shared" si="57"/>
        <v>10.1098--rsos.231240.pdf</v>
      </c>
      <c r="W1064" s="137" t="s">
        <v>3686</v>
      </c>
      <c r="X1064" s="51" t="str">
        <f t="array" ref="X1064"> if(iserror(MATCH(V1064, 'File Links'!C:C, 0)), "N/A", HYPERLINK(INDEX('File Links'!B:B, MATCH(V1064, 'File Links'!C:C, 0))))</f>
        <v>https://drive.google.com/file/d/17gaf2Zy_ljFfcAEDk5L8GBnTl5i7RGJE/view?usp=drivesdk</v>
      </c>
      <c r="Y1064" s="1304"/>
      <c r="Z1064" s="1306" t="s">
        <v>219</v>
      </c>
      <c r="AA1064" s="371" t="s">
        <v>131</v>
      </c>
      <c r="AB1064" s="1304" t="s">
        <v>5797</v>
      </c>
      <c r="AC1064" s="1306" t="s">
        <v>5798</v>
      </c>
      <c r="AD1064" s="137" t="s">
        <v>5799</v>
      </c>
      <c r="AE1064" s="779">
        <v>744.0</v>
      </c>
      <c r="AF1064" s="1309">
        <v>117.0</v>
      </c>
      <c r="AG1064" s="1339" t="s">
        <v>5800</v>
      </c>
      <c r="AH1064" s="1313" t="s">
        <v>127</v>
      </c>
      <c r="AI1064" s="137" t="s">
        <v>5801</v>
      </c>
      <c r="AJ1064" s="130">
        <v>0.01</v>
      </c>
      <c r="AK1064" s="123" t="s">
        <v>165</v>
      </c>
      <c r="AL1064" s="123" t="s">
        <v>129</v>
      </c>
      <c r="AM1064" s="137" t="s">
        <v>134</v>
      </c>
      <c r="AN1064" s="1313" t="s">
        <v>131</v>
      </c>
      <c r="AO1064" s="1309">
        <v>20.0</v>
      </c>
      <c r="AP1064" s="1333">
        <v>-0.122474487139158</v>
      </c>
      <c r="AQ1064" s="1304" t="s">
        <v>166</v>
      </c>
      <c r="AR1064" s="1313" t="s">
        <v>5571</v>
      </c>
      <c r="AS1064" s="1333">
        <v>0.810049856157626</v>
      </c>
      <c r="AT1064" s="1304" t="s">
        <v>165</v>
      </c>
      <c r="AU1064" s="1304" t="s">
        <v>179</v>
      </c>
      <c r="AV1064" s="1304" t="s">
        <v>130</v>
      </c>
      <c r="AW1064" s="1314" t="s">
        <v>131</v>
      </c>
      <c r="AX1064" s="1304" t="s">
        <v>144</v>
      </c>
      <c r="AZ1064" s="1313" t="s">
        <v>5572</v>
      </c>
    </row>
    <row r="1065">
      <c r="A1065" s="41">
        <v>1065.0</v>
      </c>
      <c r="B1065" s="126" t="s">
        <v>107</v>
      </c>
      <c r="C1065" s="59" t="s">
        <v>108</v>
      </c>
      <c r="D1065" s="59" t="s">
        <v>241</v>
      </c>
      <c r="E1065" s="362"/>
      <c r="F1065" s="123" t="s">
        <v>5791</v>
      </c>
      <c r="G1065" s="116" t="s">
        <v>5792</v>
      </c>
      <c r="H1065" s="137" t="s">
        <v>242</v>
      </c>
      <c r="I1065" s="314">
        <v>45665.0</v>
      </c>
      <c r="J1065" s="1317">
        <v>45692.0</v>
      </c>
      <c r="K1065" s="122"/>
      <c r="L1065" s="122" t="s">
        <v>5561</v>
      </c>
      <c r="M1065" s="137" t="s">
        <v>5794</v>
      </c>
      <c r="N1065" s="137" t="s">
        <v>5795</v>
      </c>
      <c r="O1065" s="122"/>
      <c r="P1065" s="137" t="str">
        <f> SUBSTITUTE(lower(N1065), "/", "--") &amp;  ".pdf"</f>
        <v>10.1177--0146167214524992.pdf</v>
      </c>
      <c r="Q1065" s="49" t="str">
        <f t="array" ref="Q1065"> if(iserror(MATCH(V1065, 'File Links'!C:C, 0)), "N/A", HYPERLINK(INDEX('File Links'!B:B, MATCH(P1065, 'File Links'!C:C, 0))))</f>
        <v>https://drive.google.com/file/d/1oAjR8vSHaozIl7e-9ozgY9hFTpEChKb7/view?usp=drivesdk</v>
      </c>
      <c r="R1065" s="137" t="s">
        <v>5802</v>
      </c>
      <c r="S1065" s="156" t="s">
        <v>3647</v>
      </c>
      <c r="T1065" s="144" t="s">
        <v>131</v>
      </c>
      <c r="U1065" s="144" t="s">
        <v>131</v>
      </c>
      <c r="V1065" s="195" t="str">
        <f t="shared" si="57"/>
        <v>10.1098--rsos.231240.pdf</v>
      </c>
      <c r="W1065" s="137" t="s">
        <v>3686</v>
      </c>
      <c r="X1065" s="51" t="str">
        <f t="array" ref="X1065"> if(iserror(MATCH(V1065, 'File Links'!C:C, 0)), "N/A", HYPERLINK(INDEX('File Links'!B:B, MATCH(V1065, 'File Links'!C:C, 0))))</f>
        <v>https://drive.google.com/file/d/17gaf2Zy_ljFfcAEDk5L8GBnTl5i7RGJE/view?usp=drivesdk</v>
      </c>
      <c r="Y1065" s="122"/>
      <c r="Z1065" s="137" t="s">
        <v>219</v>
      </c>
      <c r="AA1065" s="122"/>
      <c r="AB1065" s="122"/>
      <c r="AC1065" s="122"/>
      <c r="AD1065" s="137" t="s">
        <v>5799</v>
      </c>
      <c r="AE1065" s="779">
        <v>744.0</v>
      </c>
      <c r="AF1065" s="779">
        <v>117.0</v>
      </c>
      <c r="AG1065" s="222" t="s">
        <v>5800</v>
      </c>
      <c r="AH1065" s="116" t="s">
        <v>127</v>
      </c>
      <c r="AI1065" s="137" t="s">
        <v>5801</v>
      </c>
      <c r="AJ1065" s="130">
        <v>0.01</v>
      </c>
      <c r="AK1065" s="123" t="s">
        <v>165</v>
      </c>
      <c r="AL1065" s="123" t="s">
        <v>129</v>
      </c>
      <c r="AM1065" s="137" t="s">
        <v>134</v>
      </c>
      <c r="AN1065" s="1313" t="s">
        <v>131</v>
      </c>
      <c r="AO1065" s="779">
        <v>20.0</v>
      </c>
      <c r="AP1065" s="779">
        <v>-0.122474487139158</v>
      </c>
      <c r="AQ1065" s="137" t="s">
        <v>166</v>
      </c>
      <c r="AR1065" s="1313" t="s">
        <v>5571</v>
      </c>
      <c r="AS1065" s="779">
        <v>0.810049856157626</v>
      </c>
      <c r="AT1065" s="137" t="s">
        <v>165</v>
      </c>
      <c r="AU1065" s="137" t="s">
        <v>129</v>
      </c>
      <c r="AV1065" s="137" t="s">
        <v>134</v>
      </c>
      <c r="AW1065" s="1314" t="s">
        <v>131</v>
      </c>
      <c r="AX1065" s="137" t="s">
        <v>144</v>
      </c>
      <c r="AZ1065" s="1313" t="s">
        <v>5572</v>
      </c>
    </row>
    <row r="1066">
      <c r="A1066" s="41">
        <v>1066.0</v>
      </c>
      <c r="B1066" s="126" t="s">
        <v>145</v>
      </c>
      <c r="C1066" s="59" t="s">
        <v>108</v>
      </c>
      <c r="D1066" s="59" t="s">
        <v>138</v>
      </c>
      <c r="E1066" s="362"/>
      <c r="F1066" s="1304" t="s">
        <v>5803</v>
      </c>
      <c r="G1066" s="1305" t="s">
        <v>5804</v>
      </c>
      <c r="H1066" s="1306" t="s">
        <v>5559</v>
      </c>
      <c r="I1066" s="1307">
        <v>45688.0</v>
      </c>
      <c r="J1066" s="1308">
        <v>45692.0</v>
      </c>
      <c r="K1066" s="1304" t="s">
        <v>5805</v>
      </c>
      <c r="L1066" s="1313" t="s">
        <v>5806</v>
      </c>
      <c r="M1066" s="1306" t="s">
        <v>5807</v>
      </c>
      <c r="N1066" s="1306" t="s">
        <v>5808</v>
      </c>
      <c r="O1066" s="1309">
        <v>2.0</v>
      </c>
      <c r="P1066" s="1306" t="s">
        <v>5809</v>
      </c>
      <c r="Q1066" s="49" t="str">
        <f t="array" ref="Q1066"> if(iserror(MATCH(V1066, 'File Links'!C:C, 0)), "N/A", HYPERLINK(INDEX('File Links'!B:B, MATCH(P1066, 'File Links'!C:C, 0))))</f>
        <v>https://drive.google.com/file/d/1gbKPV2rhuEZ5YY7sLWcOmdMsnKF1lOwO/view?usp=drivesdk</v>
      </c>
      <c r="R1066" s="1306" t="s">
        <v>3646</v>
      </c>
      <c r="S1066" s="156" t="s">
        <v>3647</v>
      </c>
      <c r="T1066" s="144" t="s">
        <v>131</v>
      </c>
      <c r="U1066" s="144" t="s">
        <v>131</v>
      </c>
      <c r="V1066" s="195" t="str">
        <f t="shared" si="57"/>
        <v>10.1098--rsos.231240.pdf</v>
      </c>
      <c r="W1066" s="137" t="s">
        <v>3686</v>
      </c>
      <c r="X1066" s="51" t="str">
        <f t="array" ref="X1066"> if(iserror(MATCH(V1066, 'File Links'!C:C, 0)), "N/A", HYPERLINK(INDEX('File Links'!B:B, MATCH(V1066, 'File Links'!C:C, 0))))</f>
        <v>https://drive.google.com/file/d/17gaf2Zy_ljFfcAEDk5L8GBnTl5i7RGJE/view?usp=drivesdk</v>
      </c>
      <c r="Y1066" s="1304"/>
      <c r="Z1066" s="1306" t="s">
        <v>1672</v>
      </c>
      <c r="AA1066" s="371" t="s">
        <v>131</v>
      </c>
      <c r="AB1066" s="1304" t="s">
        <v>5810</v>
      </c>
      <c r="AC1066" s="1306" t="s">
        <v>5811</v>
      </c>
      <c r="AD1066" s="137" t="s">
        <v>5812</v>
      </c>
      <c r="AE1066" s="779">
        <v>16.0</v>
      </c>
      <c r="AF1066" s="1309">
        <v>212.0</v>
      </c>
      <c r="AG1066" s="1339" t="s">
        <v>5813</v>
      </c>
      <c r="AH1066" s="1304" t="s">
        <v>166</v>
      </c>
      <c r="AI1066" s="1313" t="s">
        <v>131</v>
      </c>
      <c r="AJ1066" s="1340">
        <v>0.001</v>
      </c>
      <c r="AK1066" s="1312" t="s">
        <v>165</v>
      </c>
      <c r="AL1066" s="1313" t="s">
        <v>129</v>
      </c>
      <c r="AM1066" s="1304" t="s">
        <v>130</v>
      </c>
      <c r="AN1066" s="1313" t="s">
        <v>131</v>
      </c>
      <c r="AO1066" s="1309">
        <v>137.0</v>
      </c>
      <c r="AP1066" s="1333">
        <v>-0.07914981074</v>
      </c>
      <c r="AQ1066" s="1304" t="s">
        <v>166</v>
      </c>
      <c r="AR1066" s="1313" t="s">
        <v>5571</v>
      </c>
      <c r="AS1066" s="1333">
        <v>0.357634457118059</v>
      </c>
      <c r="AT1066" s="1304" t="s">
        <v>165</v>
      </c>
      <c r="AU1066" s="1304" t="s">
        <v>179</v>
      </c>
      <c r="AV1066" s="1304" t="s">
        <v>130</v>
      </c>
      <c r="AW1066" s="1314" t="s">
        <v>131</v>
      </c>
      <c r="AX1066" s="137" t="s">
        <v>144</v>
      </c>
      <c r="AZ1066" s="1313" t="s">
        <v>5572</v>
      </c>
    </row>
    <row r="1067">
      <c r="A1067" s="41">
        <v>1067.0</v>
      </c>
      <c r="B1067" s="126" t="s">
        <v>107</v>
      </c>
      <c r="C1067" s="59" t="s">
        <v>108</v>
      </c>
      <c r="D1067" s="59" t="s">
        <v>241</v>
      </c>
      <c r="E1067" s="362"/>
      <c r="F1067" s="123" t="s">
        <v>5803</v>
      </c>
      <c r="G1067" s="116" t="s">
        <v>5804</v>
      </c>
      <c r="H1067" s="137" t="s">
        <v>242</v>
      </c>
      <c r="I1067" s="314">
        <v>45665.0</v>
      </c>
      <c r="J1067" s="1317">
        <v>45692.0</v>
      </c>
      <c r="K1067" s="667" t="s">
        <v>5814</v>
      </c>
      <c r="L1067" s="122" t="s">
        <v>5815</v>
      </c>
      <c r="M1067" s="137" t="s">
        <v>5807</v>
      </c>
      <c r="N1067" s="137" t="s">
        <v>5808</v>
      </c>
      <c r="O1067" s="122"/>
      <c r="P1067" s="137" t="str">
        <f t="shared" ref="P1067:P1070" si="62"> SUBSTITUTE(lower(N1067), "/", "--") &amp;  ".pdf"</f>
        <v>10.1177--0001839219840022.pdf</v>
      </c>
      <c r="Q1067" s="49" t="str">
        <f t="array" ref="Q1067"> if(iserror(MATCH(V1067, 'File Links'!C:C, 0)), "N/A", HYPERLINK(INDEX('File Links'!B:B, MATCH(P1067, 'File Links'!C:C, 0))))</f>
        <v>https://drive.google.com/file/d/1gbKPV2rhuEZ5YY7sLWcOmdMsnKF1lOwO/view?usp=drivesdk</v>
      </c>
      <c r="R1067" s="137" t="s">
        <v>5816</v>
      </c>
      <c r="S1067" s="156" t="s">
        <v>3647</v>
      </c>
      <c r="T1067" s="144" t="s">
        <v>131</v>
      </c>
      <c r="U1067" s="144" t="s">
        <v>131</v>
      </c>
      <c r="V1067" s="195" t="str">
        <f t="shared" si="57"/>
        <v>10.1098--rsos.231240.pdf</v>
      </c>
      <c r="W1067" s="137" t="s">
        <v>3686</v>
      </c>
      <c r="X1067" s="51" t="str">
        <f t="array" ref="X1067"> if(iserror(MATCH(V1067, 'File Links'!C:C, 0)), "N/A", HYPERLINK(INDEX('File Links'!B:B, MATCH(V1067, 'File Links'!C:C, 0))))</f>
        <v>https://drive.google.com/file/d/17gaf2Zy_ljFfcAEDk5L8GBnTl5i7RGJE/view?usp=drivesdk</v>
      </c>
      <c r="Y1067" s="122"/>
      <c r="Z1067" s="137" t="s">
        <v>1802</v>
      </c>
      <c r="AA1067" s="122"/>
      <c r="AB1067" s="122"/>
      <c r="AC1067" s="122"/>
      <c r="AD1067" s="137" t="s">
        <v>5812</v>
      </c>
      <c r="AE1067" s="779">
        <v>16.0</v>
      </c>
      <c r="AF1067" s="779">
        <v>212.0</v>
      </c>
      <c r="AG1067" s="779">
        <v>0.655414885369319</v>
      </c>
      <c r="AH1067" s="137" t="s">
        <v>166</v>
      </c>
      <c r="AI1067" s="137" t="s">
        <v>175</v>
      </c>
      <c r="AJ1067" s="130">
        <v>0.001</v>
      </c>
      <c r="AK1067" s="123" t="s">
        <v>165</v>
      </c>
      <c r="AL1067" s="123" t="s">
        <v>129</v>
      </c>
      <c r="AM1067" s="137" t="s">
        <v>130</v>
      </c>
      <c r="AN1067" s="1313" t="s">
        <v>131</v>
      </c>
      <c r="AO1067" s="779">
        <v>137.0</v>
      </c>
      <c r="AP1067" s="779">
        <v>-0.0791498107444243</v>
      </c>
      <c r="AQ1067" s="137" t="s">
        <v>166</v>
      </c>
      <c r="AR1067" s="1313" t="s">
        <v>5571</v>
      </c>
      <c r="AS1067" s="779">
        <v>0.357634457118059</v>
      </c>
      <c r="AT1067" s="137" t="s">
        <v>165</v>
      </c>
      <c r="AU1067" s="137" t="s">
        <v>129</v>
      </c>
      <c r="AV1067" s="137" t="s">
        <v>130</v>
      </c>
      <c r="AW1067" s="1314" t="s">
        <v>131</v>
      </c>
      <c r="AX1067" s="137" t="s">
        <v>144</v>
      </c>
      <c r="AZ1067" s="1313" t="s">
        <v>5572</v>
      </c>
    </row>
    <row r="1068">
      <c r="A1068" s="41">
        <v>1068.0</v>
      </c>
      <c r="B1068" s="126" t="s">
        <v>145</v>
      </c>
      <c r="C1068" s="59" t="s">
        <v>108</v>
      </c>
      <c r="D1068" s="59" t="s">
        <v>138</v>
      </c>
      <c r="E1068" s="362"/>
      <c r="F1068" s="1304" t="s">
        <v>5817</v>
      </c>
      <c r="G1068" s="1305" t="s">
        <v>5818</v>
      </c>
      <c r="H1068" s="1306" t="s">
        <v>5559</v>
      </c>
      <c r="I1068" s="1307">
        <v>45688.0</v>
      </c>
      <c r="J1068" s="1308">
        <v>45692.0</v>
      </c>
      <c r="K1068" s="1304"/>
      <c r="L1068" s="1313" t="s">
        <v>5819</v>
      </c>
      <c r="M1068" s="1306" t="s">
        <v>5820</v>
      </c>
      <c r="N1068" s="1304" t="s">
        <v>5821</v>
      </c>
      <c r="O1068" s="1306" t="s">
        <v>5533</v>
      </c>
      <c r="P1068" s="137" t="str">
        <f t="shared" si="62"/>
        <v>10.1016--j.jesp.2020.104019.pdf</v>
      </c>
      <c r="Q1068" s="49" t="str">
        <f t="array" ref="Q1068"> if(iserror(MATCH(V1068, 'File Links'!C:C, 0)), "N/A", HYPERLINK(INDEX('File Links'!B:B, MATCH(P1068, 'File Links'!C:C, 0))))</f>
        <v>https://drive.google.com/file/d/1HOPgbT8B7cSul5cTHeEI8GnCvj5F-kiw/view?usp=drivesdk</v>
      </c>
      <c r="R1068" s="1306" t="s">
        <v>3646</v>
      </c>
      <c r="S1068" s="156" t="s">
        <v>3647</v>
      </c>
      <c r="T1068" s="144" t="s">
        <v>131</v>
      </c>
      <c r="U1068" s="144" t="s">
        <v>131</v>
      </c>
      <c r="V1068" s="195" t="str">
        <f t="shared" si="57"/>
        <v>10.1098--rsos.231240.pdf</v>
      </c>
      <c r="W1068" s="137" t="s">
        <v>317</v>
      </c>
      <c r="X1068" s="51" t="str">
        <f t="array" ref="X1068"> if(iserror(MATCH(V1068, 'File Links'!C:C, 0)), "N/A", HYPERLINK(INDEX('File Links'!B:B, MATCH(V1068, 'File Links'!C:C, 0))))</f>
        <v>https://drive.google.com/file/d/17gaf2Zy_ljFfcAEDk5L8GBnTl5i7RGJE/view?usp=drivesdk</v>
      </c>
      <c r="Y1068" s="1304"/>
      <c r="Z1068" s="1306" t="s">
        <v>219</v>
      </c>
      <c r="AA1068" s="371" t="s">
        <v>131</v>
      </c>
      <c r="AB1068" s="1304" t="s">
        <v>5822</v>
      </c>
      <c r="AC1068" s="1306" t="s">
        <v>5823</v>
      </c>
      <c r="AD1068" s="137" t="s">
        <v>5824</v>
      </c>
      <c r="AE1068" s="779">
        <v>5.0</v>
      </c>
      <c r="AF1068" s="779">
        <v>372.0</v>
      </c>
      <c r="AG1068" s="779">
        <v>0.24</v>
      </c>
      <c r="AH1068" s="137" t="s">
        <v>166</v>
      </c>
      <c r="AI1068" s="137" t="s">
        <v>806</v>
      </c>
      <c r="AJ1068" s="130">
        <v>0.022</v>
      </c>
      <c r="AK1068" s="123" t="s">
        <v>165</v>
      </c>
      <c r="AL1068" s="123" t="s">
        <v>129</v>
      </c>
      <c r="AM1068" s="137" t="s">
        <v>130</v>
      </c>
      <c r="AN1068" s="1334" t="s">
        <v>5825</v>
      </c>
      <c r="AO1068" s="1309">
        <v>118.0</v>
      </c>
      <c r="AP1068" s="1333">
        <v>0.0985426851581148</v>
      </c>
      <c r="AQ1068" s="1304" t="s">
        <v>166</v>
      </c>
      <c r="AR1068" s="1313" t="s">
        <v>5571</v>
      </c>
      <c r="AS1068" s="1333">
        <v>0.288681420512208</v>
      </c>
      <c r="AT1068" s="1304" t="s">
        <v>165</v>
      </c>
      <c r="AU1068" s="1304" t="s">
        <v>179</v>
      </c>
      <c r="AV1068" s="1304" t="s">
        <v>130</v>
      </c>
      <c r="AW1068" s="1314" t="s">
        <v>131</v>
      </c>
      <c r="AX1068" s="1304" t="s">
        <v>136</v>
      </c>
      <c r="AZ1068" s="1313" t="s">
        <v>5572</v>
      </c>
    </row>
    <row r="1069">
      <c r="A1069" s="41">
        <v>1069.0</v>
      </c>
      <c r="B1069" s="126" t="s">
        <v>145</v>
      </c>
      <c r="C1069" s="59" t="s">
        <v>108</v>
      </c>
      <c r="D1069" s="59" t="s">
        <v>138</v>
      </c>
      <c r="E1069" s="362"/>
      <c r="F1069" s="1304" t="s">
        <v>5817</v>
      </c>
      <c r="G1069" s="1305" t="s">
        <v>5826</v>
      </c>
      <c r="H1069" s="1306" t="s">
        <v>5559</v>
      </c>
      <c r="I1069" s="1307">
        <v>45688.0</v>
      </c>
      <c r="J1069" s="1308">
        <v>45692.0</v>
      </c>
      <c r="K1069" s="1304"/>
      <c r="L1069" s="1313" t="s">
        <v>5819</v>
      </c>
      <c r="M1069" s="1306" t="s">
        <v>5820</v>
      </c>
      <c r="N1069" s="1304" t="s">
        <v>5821</v>
      </c>
      <c r="O1069" s="1306" t="s">
        <v>5533</v>
      </c>
      <c r="P1069" s="137" t="str">
        <f t="shared" si="62"/>
        <v>10.1016--j.jesp.2020.104019.pdf</v>
      </c>
      <c r="Q1069" s="49" t="str">
        <f t="array" ref="Q1069"> if(iserror(MATCH(V1069, 'File Links'!C:C, 0)), "N/A", HYPERLINK(INDEX('File Links'!B:B, MATCH(P1069, 'File Links'!C:C, 0))))</f>
        <v>https://drive.google.com/file/d/1HOPgbT8B7cSul5cTHeEI8GnCvj5F-kiw/view?usp=drivesdk</v>
      </c>
      <c r="R1069" s="1306" t="s">
        <v>3646</v>
      </c>
      <c r="S1069" s="156" t="s">
        <v>3647</v>
      </c>
      <c r="T1069" s="144" t="s">
        <v>131</v>
      </c>
      <c r="U1069" s="144" t="s">
        <v>131</v>
      </c>
      <c r="V1069" s="195" t="str">
        <f t="shared" si="57"/>
        <v>10.1098--rsos.231240.pdf</v>
      </c>
      <c r="W1069" s="137" t="s">
        <v>317</v>
      </c>
      <c r="X1069" s="51" t="str">
        <f t="array" ref="X1069"> if(iserror(MATCH(V1069, 'File Links'!C:C, 0)), "N/A", HYPERLINK(INDEX('File Links'!B:B, MATCH(V1069, 'File Links'!C:C, 0))))</f>
        <v>https://drive.google.com/file/d/17gaf2Zy_ljFfcAEDk5L8GBnTl5i7RGJE/view?usp=drivesdk</v>
      </c>
      <c r="Y1069" s="1304"/>
      <c r="Z1069" s="1306" t="s">
        <v>219</v>
      </c>
      <c r="AA1069" s="371" t="s">
        <v>131</v>
      </c>
      <c r="AB1069" s="1304" t="s">
        <v>5822</v>
      </c>
      <c r="AC1069" s="1306" t="s">
        <v>5827</v>
      </c>
      <c r="AD1069" s="137" t="s">
        <v>5824</v>
      </c>
      <c r="AE1069" s="779">
        <v>5.0</v>
      </c>
      <c r="AF1069" s="779">
        <v>372.0</v>
      </c>
      <c r="AG1069" s="779">
        <v>0.24</v>
      </c>
      <c r="AH1069" s="137" t="s">
        <v>166</v>
      </c>
      <c r="AI1069" s="137" t="s">
        <v>806</v>
      </c>
      <c r="AJ1069" s="130">
        <v>0.022</v>
      </c>
      <c r="AK1069" s="123" t="s">
        <v>165</v>
      </c>
      <c r="AL1069" s="123" t="s">
        <v>129</v>
      </c>
      <c r="AM1069" s="137" t="s">
        <v>130</v>
      </c>
      <c r="AN1069" s="1334" t="s">
        <v>5825</v>
      </c>
      <c r="AO1069" s="1309">
        <v>118.0</v>
      </c>
      <c r="AP1069" s="1333">
        <v>0.0985426851581148</v>
      </c>
      <c r="AQ1069" s="1304" t="s">
        <v>166</v>
      </c>
      <c r="AR1069" s="1313" t="s">
        <v>5571</v>
      </c>
      <c r="AS1069" s="1333">
        <v>0.288681420512208</v>
      </c>
      <c r="AT1069" s="1304" t="s">
        <v>165</v>
      </c>
      <c r="AU1069" s="1304" t="s">
        <v>179</v>
      </c>
      <c r="AV1069" s="1304" t="s">
        <v>130</v>
      </c>
      <c r="AW1069" s="1314" t="s">
        <v>131</v>
      </c>
      <c r="AX1069" s="1304" t="s">
        <v>136</v>
      </c>
      <c r="AZ1069" s="1313" t="s">
        <v>5572</v>
      </c>
    </row>
    <row r="1070">
      <c r="A1070" s="41">
        <v>1070.0</v>
      </c>
      <c r="B1070" s="126" t="s">
        <v>107</v>
      </c>
      <c r="C1070" s="59" t="s">
        <v>108</v>
      </c>
      <c r="D1070" s="59" t="s">
        <v>241</v>
      </c>
      <c r="E1070" s="362"/>
      <c r="F1070" s="123" t="s">
        <v>5817</v>
      </c>
      <c r="G1070" s="116" t="s">
        <v>5818</v>
      </c>
      <c r="H1070" s="137" t="s">
        <v>242</v>
      </c>
      <c r="I1070" s="314">
        <v>45665.0</v>
      </c>
      <c r="J1070" s="1317">
        <v>45692.0</v>
      </c>
      <c r="K1070" s="122"/>
      <c r="L1070" s="122" t="s">
        <v>5561</v>
      </c>
      <c r="M1070" s="137" t="s">
        <v>5820</v>
      </c>
      <c r="N1070" s="137" t="s">
        <v>5821</v>
      </c>
      <c r="O1070" s="122"/>
      <c r="P1070" s="137" t="str">
        <f t="shared" si="62"/>
        <v>10.1016--j.jesp.2020.104019.pdf</v>
      </c>
      <c r="Q1070" s="49" t="str">
        <f t="array" ref="Q1070"> if(iserror(MATCH(V1070, 'File Links'!C:C, 0)), "N/A", HYPERLINK(INDEX('File Links'!B:B, MATCH(P1070, 'File Links'!C:C, 0))))</f>
        <v>https://drive.google.com/file/d/1HOPgbT8B7cSul5cTHeEI8GnCvj5F-kiw/view?usp=drivesdk</v>
      </c>
      <c r="R1070" s="137" t="s">
        <v>5828</v>
      </c>
      <c r="S1070" s="156" t="s">
        <v>3647</v>
      </c>
      <c r="T1070" s="144" t="s">
        <v>131</v>
      </c>
      <c r="U1070" s="144" t="s">
        <v>131</v>
      </c>
      <c r="V1070" s="195" t="str">
        <f t="shared" si="57"/>
        <v>10.1098--rsos.231240.pdf</v>
      </c>
      <c r="W1070" s="137" t="s">
        <v>317</v>
      </c>
      <c r="X1070" s="51" t="str">
        <f t="array" ref="X1070"> if(iserror(MATCH(V1070, 'File Links'!C:C, 0)), "N/A", HYPERLINK(INDEX('File Links'!B:B, MATCH(V1070, 'File Links'!C:C, 0))))</f>
        <v>https://drive.google.com/file/d/17gaf2Zy_ljFfcAEDk5L8GBnTl5i7RGJE/view?usp=drivesdk</v>
      </c>
      <c r="Y1070" s="122"/>
      <c r="Z1070" s="137" t="s">
        <v>219</v>
      </c>
      <c r="AA1070" s="122"/>
      <c r="AB1070" s="122"/>
      <c r="AC1070" s="122"/>
      <c r="AD1070" s="137" t="s">
        <v>5824</v>
      </c>
      <c r="AE1070" s="779">
        <v>5.0</v>
      </c>
      <c r="AF1070" s="779">
        <v>372.0</v>
      </c>
      <c r="AG1070" s="779">
        <v>0.24</v>
      </c>
      <c r="AH1070" s="137" t="s">
        <v>166</v>
      </c>
      <c r="AI1070" s="137" t="s">
        <v>806</v>
      </c>
      <c r="AJ1070" s="130">
        <v>0.022</v>
      </c>
      <c r="AK1070" s="123" t="s">
        <v>165</v>
      </c>
      <c r="AL1070" s="123" t="s">
        <v>129</v>
      </c>
      <c r="AM1070" s="137" t="s">
        <v>130</v>
      </c>
      <c r="AN1070" s="1341" t="s">
        <v>5829</v>
      </c>
      <c r="AO1070" s="779">
        <v>118.0</v>
      </c>
      <c r="AP1070" s="779">
        <v>0.0985426851581148</v>
      </c>
      <c r="AQ1070" s="137" t="s">
        <v>166</v>
      </c>
      <c r="AR1070" s="1313" t="s">
        <v>5571</v>
      </c>
      <c r="AS1070" s="779">
        <v>0.288681420512208</v>
      </c>
      <c r="AT1070" s="137" t="s">
        <v>165</v>
      </c>
      <c r="AU1070" s="137" t="s">
        <v>129</v>
      </c>
      <c r="AV1070" s="137" t="s">
        <v>130</v>
      </c>
      <c r="AW1070" s="1314" t="s">
        <v>131</v>
      </c>
      <c r="AX1070" s="137" t="s">
        <v>136</v>
      </c>
      <c r="AZ1070" s="1313" t="s">
        <v>5572</v>
      </c>
    </row>
    <row r="1071">
      <c r="A1071" s="41">
        <v>1071.0</v>
      </c>
      <c r="B1071" s="65" t="s">
        <v>107</v>
      </c>
      <c r="C1071" s="59" t="s">
        <v>108</v>
      </c>
      <c r="D1071" s="59" t="s">
        <v>138</v>
      </c>
      <c r="E1071" s="362"/>
      <c r="F1071" s="1304" t="s">
        <v>5830</v>
      </c>
      <c r="G1071" s="1305" t="s">
        <v>5831</v>
      </c>
      <c r="H1071" s="1306" t="s">
        <v>5559</v>
      </c>
      <c r="I1071" s="1307">
        <v>45688.0</v>
      </c>
      <c r="J1071" s="1308">
        <v>45692.0</v>
      </c>
      <c r="K1071" s="1304" t="s">
        <v>5643</v>
      </c>
      <c r="L1071" s="1304" t="s">
        <v>5561</v>
      </c>
      <c r="M1071" s="1306" t="s">
        <v>5832</v>
      </c>
      <c r="N1071" s="1306" t="s">
        <v>5833</v>
      </c>
      <c r="O1071" s="1309">
        <v>1.0</v>
      </c>
      <c r="P1071" s="1306" t="s">
        <v>5834</v>
      </c>
      <c r="Q1071" s="49" t="str">
        <f t="array" ref="Q1071"> if(iserror(MATCH(V1071, 'File Links'!C:C, 0)), "N/A", HYPERLINK(INDEX('File Links'!B:B, MATCH(P1071, 'File Links'!C:C, 0))))</f>
        <v>https://drive.google.com/file/d/1UjvynnYEPZHicucFMnLs5zd6tciLP1ET/view?usp=drivesdk</v>
      </c>
      <c r="R1071" s="1306" t="s">
        <v>3646</v>
      </c>
      <c r="S1071" s="156" t="s">
        <v>3647</v>
      </c>
      <c r="T1071" s="144" t="s">
        <v>131</v>
      </c>
      <c r="U1071" s="144" t="s">
        <v>131</v>
      </c>
      <c r="V1071" s="195" t="str">
        <f t="shared" si="57"/>
        <v>10.1098--rsos.231240.pdf</v>
      </c>
      <c r="W1071" s="137" t="s">
        <v>317</v>
      </c>
      <c r="X1071" s="51" t="str">
        <f t="array" ref="X1071"> if(iserror(MATCH(V1071, 'File Links'!C:C, 0)), "N/A", HYPERLINK(INDEX('File Links'!B:B, MATCH(V1071, 'File Links'!C:C, 0))))</f>
        <v>https://drive.google.com/file/d/17gaf2Zy_ljFfcAEDk5L8GBnTl5i7RGJE/view?usp=drivesdk</v>
      </c>
      <c r="Y1071" s="1304"/>
      <c r="Z1071" s="1306" t="s">
        <v>141</v>
      </c>
      <c r="AA1071" s="1304" t="s">
        <v>1528</v>
      </c>
      <c r="AB1071" s="1304" t="s">
        <v>5835</v>
      </c>
      <c r="AC1071" s="1306" t="s">
        <v>5836</v>
      </c>
      <c r="AD1071" s="1304" t="s">
        <v>1528</v>
      </c>
      <c r="AE1071" s="1304" t="s">
        <v>1528</v>
      </c>
      <c r="AF1071" s="1309">
        <v>180.0</v>
      </c>
      <c r="AG1071" s="1304" t="s">
        <v>1528</v>
      </c>
      <c r="AH1071" s="164" t="s">
        <v>131</v>
      </c>
      <c r="AI1071" s="1304" t="s">
        <v>1528</v>
      </c>
      <c r="AJ1071" s="1311" t="s">
        <v>1528</v>
      </c>
      <c r="AK1071" s="1312" t="s">
        <v>1528</v>
      </c>
      <c r="AL1071" s="1312" t="s">
        <v>179</v>
      </c>
      <c r="AM1071" s="1304" t="s">
        <v>130</v>
      </c>
      <c r="AN1071" s="1313" t="s">
        <v>131</v>
      </c>
      <c r="AO1071" s="1309">
        <v>179.0</v>
      </c>
      <c r="AP1071" s="1313" t="s">
        <v>131</v>
      </c>
      <c r="AQ1071" s="126" t="s">
        <v>131</v>
      </c>
      <c r="AR1071" s="1313" t="s">
        <v>5571</v>
      </c>
      <c r="AS1071" s="1304" t="s">
        <v>1528</v>
      </c>
      <c r="AT1071" s="1304" t="s">
        <v>1528</v>
      </c>
      <c r="AU1071" s="1304" t="s">
        <v>179</v>
      </c>
      <c r="AV1071" s="1304" t="s">
        <v>130</v>
      </c>
      <c r="AW1071" s="1314" t="s">
        <v>131</v>
      </c>
      <c r="AX1071" s="1304" t="s">
        <v>136</v>
      </c>
      <c r="AZ1071" s="1313" t="s">
        <v>5572</v>
      </c>
    </row>
    <row r="1072">
      <c r="A1072" s="41">
        <v>1072.0</v>
      </c>
      <c r="B1072" s="126" t="s">
        <v>145</v>
      </c>
      <c r="C1072" s="59" t="s">
        <v>108</v>
      </c>
      <c r="D1072" s="59" t="s">
        <v>241</v>
      </c>
      <c r="E1072" s="362"/>
      <c r="F1072" s="123" t="s">
        <v>5830</v>
      </c>
      <c r="G1072" s="116" t="s">
        <v>5831</v>
      </c>
      <c r="H1072" s="137" t="s">
        <v>242</v>
      </c>
      <c r="I1072" s="314">
        <v>45665.0</v>
      </c>
      <c r="J1072" s="1317">
        <v>45692.0</v>
      </c>
      <c r="K1072" s="122"/>
      <c r="L1072" s="122" t="s">
        <v>5561</v>
      </c>
      <c r="M1072" s="137" t="s">
        <v>5832</v>
      </c>
      <c r="N1072" s="137" t="s">
        <v>5833</v>
      </c>
      <c r="O1072" s="1309">
        <v>1.0</v>
      </c>
      <c r="P1072" s="137" t="str">
        <f t="shared" ref="P1072:P1078" si="63"> SUBSTITUTE(lower(N1072), "/", "--") &amp;  ".pdf"</f>
        <v>10.1073--pnas.1216438110.pdf</v>
      </c>
      <c r="Q1072" s="49" t="str">
        <f t="array" ref="Q1072"> if(iserror(MATCH(V1072, 'File Links'!C:C, 0)), "N/A", HYPERLINK(INDEX('File Links'!B:B, MATCH(P1072, 'File Links'!C:C, 0))))</f>
        <v>https://drive.google.com/file/d/1UjvynnYEPZHicucFMnLs5zd6tciLP1ET/view?usp=drivesdk</v>
      </c>
      <c r="R1072" s="137" t="s">
        <v>5837</v>
      </c>
      <c r="S1072" s="156" t="s">
        <v>3647</v>
      </c>
      <c r="T1072" s="144" t="s">
        <v>131</v>
      </c>
      <c r="U1072" s="144" t="s">
        <v>131</v>
      </c>
      <c r="V1072" s="195" t="str">
        <f t="shared" si="57"/>
        <v>10.1098--rsos.231240.pdf</v>
      </c>
      <c r="W1072" s="137" t="s">
        <v>317</v>
      </c>
      <c r="X1072" s="51" t="str">
        <f t="array" ref="X1072"> if(iserror(MATCH(V1072, 'File Links'!C:C, 0)), "N/A", HYPERLINK(INDEX('File Links'!B:B, MATCH(V1072, 'File Links'!C:C, 0))))</f>
        <v>https://drive.google.com/file/d/17gaf2Zy_ljFfcAEDk5L8GBnTl5i7RGJE/view?usp=drivesdk</v>
      </c>
      <c r="Y1072" s="122"/>
      <c r="Z1072" s="137" t="s">
        <v>141</v>
      </c>
      <c r="AA1072" s="216" t="s">
        <v>131</v>
      </c>
      <c r="AB1072" s="1304" t="s">
        <v>5835</v>
      </c>
      <c r="AC1072" s="1306" t="s">
        <v>5836</v>
      </c>
      <c r="AD1072" s="137" t="s">
        <v>5838</v>
      </c>
      <c r="AE1072" s="779">
        <v>8054.0</v>
      </c>
      <c r="AF1072" s="779">
        <v>180.0</v>
      </c>
      <c r="AG1072" s="779">
        <v>3.37</v>
      </c>
      <c r="AH1072" s="137" t="s">
        <v>980</v>
      </c>
      <c r="AI1072" s="137" t="s">
        <v>5839</v>
      </c>
      <c r="AJ1072" s="130">
        <v>1.0E-4</v>
      </c>
      <c r="AK1072" s="123" t="s">
        <v>128</v>
      </c>
      <c r="AL1072" s="123" t="s">
        <v>179</v>
      </c>
      <c r="AM1072" s="137" t="s">
        <v>134</v>
      </c>
      <c r="AN1072" s="1313" t="s">
        <v>131</v>
      </c>
      <c r="AO1072" s="779">
        <v>179.0</v>
      </c>
      <c r="AP1072" s="779">
        <v>-1.827</v>
      </c>
      <c r="AQ1072" s="137" t="s">
        <v>980</v>
      </c>
      <c r="AR1072" s="1313" t="s">
        <v>5571</v>
      </c>
      <c r="AS1072" s="1335">
        <v>1.0E-4</v>
      </c>
      <c r="AT1072" s="137" t="s">
        <v>128</v>
      </c>
      <c r="AU1072" s="137" t="s">
        <v>179</v>
      </c>
      <c r="AV1072" s="137" t="s">
        <v>134</v>
      </c>
      <c r="AW1072" s="1314" t="s">
        <v>131</v>
      </c>
      <c r="AX1072" s="137" t="s">
        <v>136</v>
      </c>
      <c r="AZ1072" s="1313" t="s">
        <v>5572</v>
      </c>
    </row>
    <row r="1073">
      <c r="A1073" s="41">
        <v>1073.0</v>
      </c>
      <c r="B1073" s="126" t="s">
        <v>145</v>
      </c>
      <c r="C1073" s="59" t="s">
        <v>108</v>
      </c>
      <c r="D1073" s="59" t="s">
        <v>138</v>
      </c>
      <c r="E1073" s="362"/>
      <c r="F1073" s="1304" t="s">
        <v>5840</v>
      </c>
      <c r="G1073" s="1305" t="s">
        <v>5841</v>
      </c>
      <c r="H1073" s="1306" t="s">
        <v>5559</v>
      </c>
      <c r="I1073" s="1307">
        <v>45688.0</v>
      </c>
      <c r="J1073" s="1308">
        <v>45692.0</v>
      </c>
      <c r="K1073" s="1304"/>
      <c r="L1073" s="1304" t="s">
        <v>5561</v>
      </c>
      <c r="M1073" s="1306" t="s">
        <v>5842</v>
      </c>
      <c r="N1073" s="1304" t="s">
        <v>5843</v>
      </c>
      <c r="O1073" s="1309">
        <v>5.0</v>
      </c>
      <c r="P1073" s="137" t="str">
        <f t="shared" si="63"/>
        <v>10.1016--0010-0285(83)90002-6.pdf</v>
      </c>
      <c r="Q1073" s="49" t="str">
        <f t="array" ref="Q1073"> if(iserror(MATCH(V1073, 'File Links'!C:C, 0)), "N/A", HYPERLINK(INDEX('File Links'!B:B, MATCH(P1073, 'File Links'!C:C, 0))))</f>
        <v>https://drive.google.com/file/d/1VK50exEXQ_rClong6zFoFteT2CKKkjmO/view?usp=drivesdk</v>
      </c>
      <c r="R1073" s="1306" t="s">
        <v>3646</v>
      </c>
      <c r="S1073" s="156" t="s">
        <v>3647</v>
      </c>
      <c r="T1073" s="144" t="s">
        <v>131</v>
      </c>
      <c r="U1073" s="144" t="s">
        <v>131</v>
      </c>
      <c r="V1073" s="195" t="str">
        <f t="shared" si="57"/>
        <v>10.1098--rsos.231240.pdf</v>
      </c>
      <c r="W1073" s="137" t="s">
        <v>3658</v>
      </c>
      <c r="X1073" s="51" t="str">
        <f t="array" ref="X1073"> if(iserror(MATCH(V1073, 'File Links'!C:C, 0)), "N/A", HYPERLINK(INDEX('File Links'!B:B, MATCH(V1073, 'File Links'!C:C, 0))))</f>
        <v>https://drive.google.com/file/d/17gaf2Zy_ljFfcAEDk5L8GBnTl5i7RGJE/view?usp=drivesdk</v>
      </c>
      <c r="Y1073" s="1304"/>
      <c r="Z1073" s="1306" t="s">
        <v>141</v>
      </c>
      <c r="AA1073" s="371" t="s">
        <v>131</v>
      </c>
      <c r="AB1073" s="1304" t="s">
        <v>5844</v>
      </c>
      <c r="AC1073" s="1306" t="s">
        <v>5845</v>
      </c>
      <c r="AD1073" s="1304" t="s">
        <v>5846</v>
      </c>
      <c r="AE1073" s="1333">
        <v>26.0</v>
      </c>
      <c r="AF1073" s="1309">
        <v>143.0</v>
      </c>
      <c r="AG1073" s="1304" t="s">
        <v>5847</v>
      </c>
      <c r="AH1073" s="1304" t="s">
        <v>127</v>
      </c>
      <c r="AI1073" s="1304" t="s">
        <v>2294</v>
      </c>
      <c r="AJ1073" s="1316">
        <v>0.01</v>
      </c>
      <c r="AK1073" s="1312" t="s">
        <v>128</v>
      </c>
      <c r="AL1073" s="1312" t="s">
        <v>179</v>
      </c>
      <c r="AM1073" s="1304" t="s">
        <v>130</v>
      </c>
      <c r="AN1073" s="1313" t="s">
        <v>131</v>
      </c>
      <c r="AO1073" s="1309">
        <v>175.0</v>
      </c>
      <c r="AP1073" s="1304" t="s">
        <v>5848</v>
      </c>
      <c r="AQ1073" s="126" t="s">
        <v>131</v>
      </c>
      <c r="AR1073" s="1313" t="s">
        <v>5571</v>
      </c>
      <c r="AS1073" s="371" t="s">
        <v>131</v>
      </c>
      <c r="AT1073" s="216" t="s">
        <v>131</v>
      </c>
      <c r="AU1073" s="1304" t="s">
        <v>179</v>
      </c>
      <c r="AV1073" s="1304" t="s">
        <v>130</v>
      </c>
      <c r="AW1073" s="1314" t="s">
        <v>131</v>
      </c>
      <c r="AX1073" s="1304" t="s">
        <v>136</v>
      </c>
      <c r="AZ1073" s="1313" t="s">
        <v>5572</v>
      </c>
    </row>
    <row r="1074">
      <c r="A1074" s="41">
        <v>1074.0</v>
      </c>
      <c r="B1074" s="126" t="s">
        <v>107</v>
      </c>
      <c r="C1074" s="59" t="s">
        <v>108</v>
      </c>
      <c r="D1074" s="59" t="s">
        <v>241</v>
      </c>
      <c r="E1074" s="362"/>
      <c r="F1074" s="123" t="s">
        <v>5840</v>
      </c>
      <c r="G1074" s="116" t="s">
        <v>5841</v>
      </c>
      <c r="H1074" s="137" t="s">
        <v>242</v>
      </c>
      <c r="I1074" s="314">
        <v>45665.0</v>
      </c>
      <c r="J1074" s="1317">
        <v>45692.0</v>
      </c>
      <c r="K1074" s="137" t="s">
        <v>5849</v>
      </c>
      <c r="L1074" s="122" t="s">
        <v>5850</v>
      </c>
      <c r="M1074" s="137" t="s">
        <v>5842</v>
      </c>
      <c r="N1074" s="137" t="s">
        <v>5843</v>
      </c>
      <c r="O1074" s="1309">
        <v>5.0</v>
      </c>
      <c r="P1074" s="137" t="str">
        <f t="shared" si="63"/>
        <v>10.1016--0010-0285(83)90002-6.pdf</v>
      </c>
      <c r="Q1074" s="49" t="str">
        <f t="array" ref="Q1074"> if(iserror(MATCH(V1074, 'File Links'!C:C, 0)), "N/A", HYPERLINK(INDEX('File Links'!B:B, MATCH(P1074, 'File Links'!C:C, 0))))</f>
        <v>https://drive.google.com/file/d/1VK50exEXQ_rClong6zFoFteT2CKKkjmO/view?usp=drivesdk</v>
      </c>
      <c r="R1074" s="137" t="s">
        <v>5851</v>
      </c>
      <c r="S1074" s="156" t="s">
        <v>3647</v>
      </c>
      <c r="T1074" s="144" t="s">
        <v>131</v>
      </c>
      <c r="U1074" s="144" t="s">
        <v>131</v>
      </c>
      <c r="V1074" s="195" t="str">
        <f t="shared" si="57"/>
        <v>10.1098--rsos.231240.pdf</v>
      </c>
      <c r="W1074" s="137" t="s">
        <v>3658</v>
      </c>
      <c r="X1074" s="51" t="str">
        <f t="array" ref="X1074"> if(iserror(MATCH(V1074, 'File Links'!C:C, 0)), "N/A", HYPERLINK(INDEX('File Links'!B:B, MATCH(V1074, 'File Links'!C:C, 0))))</f>
        <v>https://drive.google.com/file/d/17gaf2Zy_ljFfcAEDk5L8GBnTl5i7RGJE/view?usp=drivesdk</v>
      </c>
      <c r="Y1074" s="122"/>
      <c r="Z1074" s="137" t="s">
        <v>141</v>
      </c>
      <c r="AA1074" s="122"/>
      <c r="AB1074" s="122"/>
      <c r="AC1074" s="122"/>
      <c r="AD1074" s="137" t="s">
        <v>131</v>
      </c>
      <c r="AE1074" s="137" t="s">
        <v>131</v>
      </c>
      <c r="AF1074" s="779">
        <v>143.0</v>
      </c>
      <c r="AG1074" s="137" t="s">
        <v>131</v>
      </c>
      <c r="AH1074" s="164" t="s">
        <v>131</v>
      </c>
      <c r="AI1074" s="137" t="s">
        <v>131</v>
      </c>
      <c r="AJ1074" s="220" t="s">
        <v>131</v>
      </c>
      <c r="AK1074" s="129"/>
      <c r="AL1074" s="123" t="s">
        <v>179</v>
      </c>
      <c r="AM1074" s="137" t="s">
        <v>1898</v>
      </c>
      <c r="AN1074" s="1313" t="s">
        <v>131</v>
      </c>
      <c r="AO1074" s="779">
        <v>175.0</v>
      </c>
      <c r="AP1074" s="137" t="s">
        <v>131</v>
      </c>
      <c r="AQ1074" s="122"/>
      <c r="AR1074" s="1313" t="s">
        <v>5571</v>
      </c>
      <c r="AS1074" s="1342" t="s">
        <v>131</v>
      </c>
      <c r="AT1074" s="122"/>
      <c r="AU1074" s="137" t="s">
        <v>179</v>
      </c>
      <c r="AV1074" s="137" t="s">
        <v>1898</v>
      </c>
      <c r="AW1074" s="1314" t="s">
        <v>131</v>
      </c>
      <c r="AX1074" s="137" t="s">
        <v>136</v>
      </c>
      <c r="AZ1074" s="1313" t="s">
        <v>5572</v>
      </c>
    </row>
    <row r="1075">
      <c r="A1075" s="41">
        <v>1075.0</v>
      </c>
      <c r="B1075" s="126" t="s">
        <v>145</v>
      </c>
      <c r="C1075" s="59" t="s">
        <v>108</v>
      </c>
      <c r="D1075" s="59" t="s">
        <v>138</v>
      </c>
      <c r="E1075" s="362"/>
      <c r="F1075" s="1304" t="s">
        <v>5852</v>
      </c>
      <c r="G1075" s="1305" t="s">
        <v>5853</v>
      </c>
      <c r="H1075" s="1306" t="s">
        <v>5559</v>
      </c>
      <c r="I1075" s="1307">
        <v>45688.0</v>
      </c>
      <c r="J1075" s="1308">
        <v>45692.0</v>
      </c>
      <c r="K1075" s="1331" t="s">
        <v>5854</v>
      </c>
      <c r="L1075" s="1304" t="s">
        <v>5561</v>
      </c>
      <c r="M1075" s="1306" t="s">
        <v>5855</v>
      </c>
      <c r="N1075" s="1304" t="s">
        <v>5856</v>
      </c>
      <c r="O1075" s="1309">
        <v>1.0</v>
      </c>
      <c r="P1075" s="137" t="str">
        <f t="shared" si="63"/>
        <v>10.1037--a0035663.pdf</v>
      </c>
      <c r="Q1075" s="49" t="str">
        <f t="array" ref="Q1075"> if(iserror(MATCH(V1075, 'File Links'!C:C, 0)), "N/A", HYPERLINK(INDEX('File Links'!B:B, MATCH(P1075, 'File Links'!C:C, 0))))</f>
        <v>https://drive.google.com/file/d/1CjT1O6wWYuXyGwX2IDXgjfNdv5kWTW3m/view?usp=drivesdk</v>
      </c>
      <c r="R1075" s="1306" t="s">
        <v>3646</v>
      </c>
      <c r="S1075" s="156" t="s">
        <v>3647</v>
      </c>
      <c r="T1075" s="144" t="s">
        <v>131</v>
      </c>
      <c r="U1075" s="144" t="s">
        <v>131</v>
      </c>
      <c r="V1075" s="195" t="str">
        <f t="shared" si="57"/>
        <v>10.1098--rsos.231240.pdf</v>
      </c>
      <c r="W1075" s="137" t="s">
        <v>317</v>
      </c>
      <c r="X1075" s="51" t="str">
        <f t="array" ref="X1075"> if(iserror(MATCH(V1075, 'File Links'!C:C, 0)), "N/A", HYPERLINK(INDEX('File Links'!B:B, MATCH(V1075, 'File Links'!C:C, 0))))</f>
        <v>https://drive.google.com/file/d/17gaf2Zy_ljFfcAEDk5L8GBnTl5i7RGJE/view?usp=drivesdk</v>
      </c>
      <c r="Y1075" s="1304"/>
      <c r="Z1075" s="1306" t="s">
        <v>219</v>
      </c>
      <c r="AA1075" s="371" t="s">
        <v>131</v>
      </c>
      <c r="AB1075" s="1304" t="s">
        <v>5857</v>
      </c>
      <c r="AC1075" s="1306" t="s">
        <v>5858</v>
      </c>
      <c r="AD1075" s="1313" t="s">
        <v>131</v>
      </c>
      <c r="AE1075" s="1313" t="s">
        <v>131</v>
      </c>
      <c r="AF1075" s="1309">
        <v>123.0</v>
      </c>
      <c r="AG1075" s="1333">
        <v>0.727147426592434</v>
      </c>
      <c r="AH1075" s="1304" t="s">
        <v>166</v>
      </c>
      <c r="AI1075" s="1313" t="s">
        <v>131</v>
      </c>
      <c r="AJ1075" s="1316">
        <v>0.00148066986056677</v>
      </c>
      <c r="AK1075" s="1312" t="s">
        <v>165</v>
      </c>
      <c r="AL1075" s="1312" t="s">
        <v>179</v>
      </c>
      <c r="AM1075" s="1304" t="s">
        <v>130</v>
      </c>
      <c r="AN1075" s="1313" t="s">
        <v>131</v>
      </c>
      <c r="AO1075" s="1309">
        <v>50.0</v>
      </c>
      <c r="AP1075" s="1333">
        <v>-0.0689775913850995</v>
      </c>
      <c r="AQ1075" s="1304" t="s">
        <v>166</v>
      </c>
      <c r="AR1075" s="1313" t="s">
        <v>131</v>
      </c>
      <c r="AS1075" s="1333">
        <v>0.640831197761496</v>
      </c>
      <c r="AT1075" s="1304" t="s">
        <v>165</v>
      </c>
      <c r="AU1075" s="1304" t="s">
        <v>179</v>
      </c>
      <c r="AV1075" s="1304" t="s">
        <v>130</v>
      </c>
      <c r="AW1075" s="1314" t="s">
        <v>131</v>
      </c>
      <c r="AX1075" s="1304" t="s">
        <v>136</v>
      </c>
      <c r="AZ1075" s="1313" t="s">
        <v>5572</v>
      </c>
    </row>
    <row r="1076">
      <c r="A1076" s="41">
        <v>1076.0</v>
      </c>
      <c r="B1076" s="126" t="s">
        <v>107</v>
      </c>
      <c r="C1076" s="59" t="s">
        <v>108</v>
      </c>
      <c r="D1076" s="59" t="s">
        <v>241</v>
      </c>
      <c r="E1076" s="362"/>
      <c r="F1076" s="123" t="s">
        <v>5852</v>
      </c>
      <c r="G1076" s="116" t="s">
        <v>5853</v>
      </c>
      <c r="H1076" s="137" t="s">
        <v>242</v>
      </c>
      <c r="I1076" s="314">
        <v>45665.0</v>
      </c>
      <c r="J1076" s="1317">
        <v>45692.0</v>
      </c>
      <c r="K1076" s="667" t="s">
        <v>5859</v>
      </c>
      <c r="L1076" s="122" t="s">
        <v>5860</v>
      </c>
      <c r="M1076" s="137" t="s">
        <v>5855</v>
      </c>
      <c r="N1076" s="137" t="s">
        <v>5856</v>
      </c>
      <c r="O1076" s="122"/>
      <c r="P1076" s="137" t="str">
        <f t="shared" si="63"/>
        <v>10.1037--a0035663.pdf</v>
      </c>
      <c r="Q1076" s="49" t="str">
        <f t="array" ref="Q1076"> if(iserror(MATCH(V1076, 'File Links'!C:C, 0)), "N/A", HYPERLINK(INDEX('File Links'!B:B, MATCH(P1076, 'File Links'!C:C, 0))))</f>
        <v>https://drive.google.com/file/d/1CjT1O6wWYuXyGwX2IDXgjfNdv5kWTW3m/view?usp=drivesdk</v>
      </c>
      <c r="R1076" s="137" t="s">
        <v>5861</v>
      </c>
      <c r="S1076" s="156" t="s">
        <v>3647</v>
      </c>
      <c r="T1076" s="144" t="s">
        <v>131</v>
      </c>
      <c r="U1076" s="144" t="s">
        <v>131</v>
      </c>
      <c r="V1076" s="195" t="str">
        <f t="shared" si="57"/>
        <v>10.1098--rsos.231240.pdf</v>
      </c>
      <c r="W1076" s="137" t="s">
        <v>317</v>
      </c>
      <c r="X1076" s="51" t="str">
        <f t="array" ref="X1076"> if(iserror(MATCH(V1076, 'File Links'!C:C, 0)), "N/A", HYPERLINK(INDEX('File Links'!B:B, MATCH(V1076, 'File Links'!C:C, 0))))</f>
        <v>https://drive.google.com/file/d/17gaf2Zy_ljFfcAEDk5L8GBnTl5i7RGJE/view?usp=drivesdk</v>
      </c>
      <c r="Y1076" s="122"/>
      <c r="Z1076" s="137" t="s">
        <v>219</v>
      </c>
      <c r="AA1076" s="122"/>
      <c r="AB1076" s="122"/>
      <c r="AC1076" s="122"/>
      <c r="AD1076" s="137" t="s">
        <v>131</v>
      </c>
      <c r="AE1076" s="137" t="s">
        <v>131</v>
      </c>
      <c r="AF1076" s="779">
        <v>123.0</v>
      </c>
      <c r="AG1076" s="779">
        <v>0.727147426592434</v>
      </c>
      <c r="AH1076" s="137" t="s">
        <v>166</v>
      </c>
      <c r="AI1076" s="137" t="s">
        <v>131</v>
      </c>
      <c r="AJ1076" s="130">
        <v>0.00148066986056677</v>
      </c>
      <c r="AK1076" s="129"/>
      <c r="AL1076" s="123" t="s">
        <v>179</v>
      </c>
      <c r="AM1076" s="137" t="s">
        <v>1898</v>
      </c>
      <c r="AN1076" s="1313" t="s">
        <v>131</v>
      </c>
      <c r="AO1076" s="779">
        <v>50.0</v>
      </c>
      <c r="AP1076" s="779">
        <v>-0.0689775913850995</v>
      </c>
      <c r="AQ1076" s="137" t="s">
        <v>166</v>
      </c>
      <c r="AR1076" s="1313" t="s">
        <v>5571</v>
      </c>
      <c r="AS1076" s="779">
        <v>0.640831197761496</v>
      </c>
      <c r="AT1076" s="137" t="s">
        <v>165</v>
      </c>
      <c r="AU1076" s="137" t="s">
        <v>179</v>
      </c>
      <c r="AV1076" s="137" t="s">
        <v>1898</v>
      </c>
      <c r="AW1076" s="1314" t="s">
        <v>131</v>
      </c>
      <c r="AX1076" s="137" t="s">
        <v>136</v>
      </c>
      <c r="AZ1076" s="1313" t="s">
        <v>5572</v>
      </c>
    </row>
    <row r="1077">
      <c r="A1077" s="41">
        <v>1077.0</v>
      </c>
      <c r="B1077" s="126" t="s">
        <v>145</v>
      </c>
      <c r="C1077" s="59" t="s">
        <v>108</v>
      </c>
      <c r="D1077" s="59" t="s">
        <v>138</v>
      </c>
      <c r="E1077" s="362"/>
      <c r="F1077" s="1304" t="s">
        <v>5862</v>
      </c>
      <c r="G1077" s="1305" t="s">
        <v>5863</v>
      </c>
      <c r="H1077" s="1306" t="s">
        <v>5559</v>
      </c>
      <c r="I1077" s="1307">
        <v>45688.0</v>
      </c>
      <c r="J1077" s="1308">
        <v>45692.0</v>
      </c>
      <c r="K1077" s="1304"/>
      <c r="L1077" s="1304" t="s">
        <v>5561</v>
      </c>
      <c r="M1077" s="1306" t="s">
        <v>5864</v>
      </c>
      <c r="N1077" s="1304" t="s">
        <v>5865</v>
      </c>
      <c r="O1077" s="1309">
        <v>1.0</v>
      </c>
      <c r="P1077" s="137" t="str">
        <f t="shared" si="63"/>
        <v>10.1093--geronb--gbx099.pdf</v>
      </c>
      <c r="Q1077" s="49" t="str">
        <f t="array" ref="Q1077"> if(iserror(MATCH(V1077, 'File Links'!C:C, 0)), "N/A", HYPERLINK(INDEX('File Links'!B:B, MATCH(P1077, 'File Links'!C:C, 0))))</f>
        <v>https://drive.google.com/file/d/1Y64s8GHxNrRvDcvruC4sJnxL8xzdZcO-/view?usp=drivesdk</v>
      </c>
      <c r="R1077" s="1306" t="s">
        <v>3646</v>
      </c>
      <c r="S1077" s="156" t="s">
        <v>3647</v>
      </c>
      <c r="T1077" s="144" t="s">
        <v>131</v>
      </c>
      <c r="U1077" s="144" t="s">
        <v>131</v>
      </c>
      <c r="V1077" s="195" t="str">
        <f t="shared" si="57"/>
        <v>10.1098--rsos.231240.pdf</v>
      </c>
      <c r="W1077" s="137" t="s">
        <v>3686</v>
      </c>
      <c r="X1077" s="51" t="str">
        <f t="array" ref="X1077"> if(iserror(MATCH(V1077, 'File Links'!C:C, 0)), "N/A", HYPERLINK(INDEX('File Links'!B:B, MATCH(V1077, 'File Links'!C:C, 0))))</f>
        <v>https://drive.google.com/file/d/17gaf2Zy_ljFfcAEDk5L8GBnTl5i7RGJE/view?usp=drivesdk</v>
      </c>
      <c r="Y1077" s="1304"/>
      <c r="Z1077" s="1306" t="s">
        <v>219</v>
      </c>
      <c r="AA1077" s="371" t="s">
        <v>131</v>
      </c>
      <c r="AB1077" s="1304" t="s">
        <v>5866</v>
      </c>
      <c r="AC1077" s="1306" t="s">
        <v>5867</v>
      </c>
      <c r="AD1077" s="1304" t="s">
        <v>5868</v>
      </c>
      <c r="AE1077" s="1333">
        <v>5.0</v>
      </c>
      <c r="AF1077" s="1309">
        <v>155.0</v>
      </c>
      <c r="AG1077" s="1343" t="s">
        <v>5869</v>
      </c>
      <c r="AH1077" s="1328" t="s">
        <v>127</v>
      </c>
      <c r="AI1077" s="1344">
        <v>5.0</v>
      </c>
      <c r="AJ1077" s="1345">
        <v>0.05</v>
      </c>
      <c r="AK1077" s="310" t="s">
        <v>128</v>
      </c>
      <c r="AL1077" s="812" t="s">
        <v>179</v>
      </c>
      <c r="AM1077" s="137" t="s">
        <v>134</v>
      </c>
      <c r="AN1077" s="1313" t="s">
        <v>131</v>
      </c>
      <c r="AO1077" s="1309">
        <v>90.0</v>
      </c>
      <c r="AP1077" s="1332" t="s">
        <v>5870</v>
      </c>
      <c r="AQ1077" s="1346" t="s">
        <v>127</v>
      </c>
      <c r="AR1077" s="1313" t="s">
        <v>5571</v>
      </c>
      <c r="AS1077" s="1333">
        <v>0.807212595250987</v>
      </c>
      <c r="AT1077" s="1304" t="s">
        <v>165</v>
      </c>
      <c r="AU1077" s="1304" t="s">
        <v>179</v>
      </c>
      <c r="AV1077" s="1328" t="s">
        <v>134</v>
      </c>
      <c r="AW1077" s="1314" t="s">
        <v>131</v>
      </c>
      <c r="AX1077" s="1332" t="s">
        <v>144</v>
      </c>
      <c r="AZ1077" s="1313" t="s">
        <v>5572</v>
      </c>
    </row>
    <row r="1078">
      <c r="A1078" s="41">
        <v>1078.0</v>
      </c>
      <c r="B1078" s="126" t="s">
        <v>107</v>
      </c>
      <c r="C1078" s="59" t="s">
        <v>108</v>
      </c>
      <c r="D1078" s="59" t="s">
        <v>241</v>
      </c>
      <c r="E1078" s="362"/>
      <c r="F1078" s="123" t="s">
        <v>5862</v>
      </c>
      <c r="G1078" s="116" t="s">
        <v>5863</v>
      </c>
      <c r="H1078" s="137" t="s">
        <v>242</v>
      </c>
      <c r="I1078" s="314">
        <v>45665.0</v>
      </c>
      <c r="J1078" s="1317">
        <v>45692.0</v>
      </c>
      <c r="K1078" s="122"/>
      <c r="L1078" s="122" t="s">
        <v>5561</v>
      </c>
      <c r="M1078" s="137" t="s">
        <v>5864</v>
      </c>
      <c r="N1078" s="137" t="s">
        <v>5865</v>
      </c>
      <c r="O1078" s="122"/>
      <c r="P1078" s="137" t="str">
        <f t="shared" si="63"/>
        <v>10.1093--geronb--gbx099.pdf</v>
      </c>
      <c r="Q1078" s="49" t="str">
        <f t="array" ref="Q1078"> if(iserror(MATCH(V1078, 'File Links'!C:C, 0)), "N/A", HYPERLINK(INDEX('File Links'!B:B, MATCH(P1078, 'File Links'!C:C, 0))))</f>
        <v>https://drive.google.com/file/d/1Y64s8GHxNrRvDcvruC4sJnxL8xzdZcO-/view?usp=drivesdk</v>
      </c>
      <c r="R1078" s="137" t="s">
        <v>5871</v>
      </c>
      <c r="S1078" s="156" t="s">
        <v>3647</v>
      </c>
      <c r="T1078" s="144" t="s">
        <v>131</v>
      </c>
      <c r="U1078" s="144" t="s">
        <v>131</v>
      </c>
      <c r="V1078" s="195" t="str">
        <f t="shared" si="57"/>
        <v>10.1098--rsos.231240.pdf</v>
      </c>
      <c r="W1078" s="137" t="s">
        <v>3686</v>
      </c>
      <c r="X1078" s="51" t="str">
        <f t="array" ref="X1078"> if(iserror(MATCH(V1078, 'File Links'!C:C, 0)), "N/A", HYPERLINK(INDEX('File Links'!B:B, MATCH(V1078, 'File Links'!C:C, 0))))</f>
        <v>https://drive.google.com/file/d/17gaf2Zy_ljFfcAEDk5L8GBnTl5i7RGJE/view?usp=drivesdk</v>
      </c>
      <c r="Y1078" s="122"/>
      <c r="Z1078" s="137" t="s">
        <v>219</v>
      </c>
      <c r="AA1078" s="122"/>
      <c r="AB1078" s="122"/>
      <c r="AC1078" s="122"/>
      <c r="AD1078" s="137" t="s">
        <v>5872</v>
      </c>
      <c r="AE1078" s="779">
        <v>444.0</v>
      </c>
      <c r="AF1078" s="779">
        <v>155.0</v>
      </c>
      <c r="AG1078" s="1332" t="s">
        <v>5869</v>
      </c>
      <c r="AH1078" s="116" t="s">
        <v>127</v>
      </c>
      <c r="AI1078" s="137" t="s">
        <v>5873</v>
      </c>
      <c r="AJ1078" s="130">
        <v>0.05</v>
      </c>
      <c r="AK1078" s="123" t="s">
        <v>128</v>
      </c>
      <c r="AL1078" s="123" t="s">
        <v>211</v>
      </c>
      <c r="AM1078" s="137" t="s">
        <v>134</v>
      </c>
      <c r="AN1078" s="1313" t="s">
        <v>131</v>
      </c>
      <c r="AO1078" s="779">
        <v>90.0</v>
      </c>
      <c r="AP1078" s="1332" t="s">
        <v>5870</v>
      </c>
      <c r="AQ1078" s="1346" t="s">
        <v>127</v>
      </c>
      <c r="AR1078" s="1313" t="s">
        <v>5571</v>
      </c>
      <c r="AS1078" s="779">
        <v>0.807212595250987</v>
      </c>
      <c r="AT1078" s="137" t="s">
        <v>165</v>
      </c>
      <c r="AU1078" s="137" t="s">
        <v>211</v>
      </c>
      <c r="AV1078" s="137" t="s">
        <v>134</v>
      </c>
      <c r="AW1078" s="1314" t="s">
        <v>131</v>
      </c>
      <c r="AX1078" s="137" t="s">
        <v>144</v>
      </c>
      <c r="AZ1078" s="1313" t="s">
        <v>5572</v>
      </c>
    </row>
    <row r="1079">
      <c r="A1079" s="41">
        <v>1079.0</v>
      </c>
      <c r="B1079" s="65" t="s">
        <v>107</v>
      </c>
      <c r="C1079" s="59" t="s">
        <v>108</v>
      </c>
      <c r="D1079" s="59" t="s">
        <v>138</v>
      </c>
      <c r="E1079" s="362"/>
      <c r="F1079" s="1304" t="s">
        <v>5874</v>
      </c>
      <c r="G1079" s="1305" t="s">
        <v>5875</v>
      </c>
      <c r="H1079" s="1306" t="s">
        <v>5559</v>
      </c>
      <c r="I1079" s="1307">
        <v>45688.0</v>
      </c>
      <c r="J1079" s="1308">
        <v>45692.0</v>
      </c>
      <c r="K1079" s="1304" t="s">
        <v>5643</v>
      </c>
      <c r="L1079" s="1304" t="s">
        <v>5561</v>
      </c>
      <c r="M1079" s="1306" t="s">
        <v>5876</v>
      </c>
      <c r="N1079" s="1306" t="s">
        <v>5877</v>
      </c>
      <c r="O1079" s="1309">
        <v>4.0</v>
      </c>
      <c r="P1079" s="1306" t="s">
        <v>5878</v>
      </c>
      <c r="Q1079" s="49" t="str">
        <f t="array" ref="Q1079"> if(iserror(MATCH(V1079, 'File Links'!C:C, 0)), "N/A", HYPERLINK(INDEX('File Links'!B:B, MATCH(P1079, 'File Links'!C:C, 0))))</f>
        <v>https://drive.google.com/file/d/1mu475Zzy_-pzVxpT6L8wHxxpOPeohqGN/view?usp=drivesdk</v>
      </c>
      <c r="R1079" s="1306" t="s">
        <v>3646</v>
      </c>
      <c r="S1079" s="156" t="s">
        <v>3647</v>
      </c>
      <c r="T1079" s="1336" t="s">
        <v>5879</v>
      </c>
      <c r="U1079" s="144" t="s">
        <v>131</v>
      </c>
      <c r="V1079" s="195" t="str">
        <f t="shared" si="57"/>
        <v>10.1098--rsos.231240.pdf</v>
      </c>
      <c r="W1079" s="137" t="s">
        <v>317</v>
      </c>
      <c r="X1079" s="51" t="str">
        <f t="array" ref="X1079"> if(iserror(MATCH(V1079, 'File Links'!C:C, 0)), "N/A", HYPERLINK(INDEX('File Links'!B:B, MATCH(V1079, 'File Links'!C:C, 0))))</f>
        <v>https://drive.google.com/file/d/17gaf2Zy_ljFfcAEDk5L8GBnTl5i7RGJE/view?usp=drivesdk</v>
      </c>
      <c r="Y1079" s="1304"/>
      <c r="Z1079" s="1306" t="s">
        <v>141</v>
      </c>
      <c r="AA1079" s="1304" t="s">
        <v>1528</v>
      </c>
      <c r="AB1079" s="1304" t="s">
        <v>5880</v>
      </c>
      <c r="AC1079" s="1306" t="s">
        <v>5881</v>
      </c>
      <c r="AD1079" s="1313" t="s">
        <v>131</v>
      </c>
      <c r="AE1079" s="1304" t="s">
        <v>1528</v>
      </c>
      <c r="AF1079" s="1309">
        <v>25.0</v>
      </c>
      <c r="AG1079" s="1304" t="s">
        <v>1528</v>
      </c>
      <c r="AH1079" s="164" t="s">
        <v>131</v>
      </c>
      <c r="AI1079" s="1304" t="s">
        <v>1528</v>
      </c>
      <c r="AJ1079" s="1311" t="s">
        <v>1528</v>
      </c>
      <c r="AK1079" s="1312" t="s">
        <v>1528</v>
      </c>
      <c r="AL1079" s="1312" t="s">
        <v>179</v>
      </c>
      <c r="AM1079" s="1304" t="s">
        <v>130</v>
      </c>
      <c r="AN1079" s="1313" t="s">
        <v>131</v>
      </c>
      <c r="AO1079" s="1309">
        <v>50.0</v>
      </c>
      <c r="AP1079" s="1304" t="s">
        <v>1528</v>
      </c>
      <c r="AQ1079" s="126" t="s">
        <v>131</v>
      </c>
      <c r="AR1079" s="1313" t="s">
        <v>5571</v>
      </c>
      <c r="AS1079" s="1304" t="s">
        <v>1528</v>
      </c>
      <c r="AT1079" s="1304" t="s">
        <v>1528</v>
      </c>
      <c r="AU1079" s="1304" t="s">
        <v>179</v>
      </c>
      <c r="AV1079" s="1304" t="s">
        <v>130</v>
      </c>
      <c r="AW1079" s="1314" t="s">
        <v>131</v>
      </c>
      <c r="AX1079" s="1331" t="s">
        <v>136</v>
      </c>
      <c r="AZ1079" s="1313" t="s">
        <v>5572</v>
      </c>
    </row>
    <row r="1080">
      <c r="A1080" s="41">
        <v>1080.0</v>
      </c>
      <c r="B1080" s="126" t="s">
        <v>145</v>
      </c>
      <c r="C1080" s="59" t="s">
        <v>108</v>
      </c>
      <c r="D1080" s="59" t="s">
        <v>241</v>
      </c>
      <c r="E1080" s="362"/>
      <c r="F1080" s="123" t="s">
        <v>5874</v>
      </c>
      <c r="G1080" s="116" t="s">
        <v>5875</v>
      </c>
      <c r="H1080" s="137" t="s">
        <v>242</v>
      </c>
      <c r="I1080" s="314">
        <v>45663.0</v>
      </c>
      <c r="J1080" s="1317">
        <v>45692.0</v>
      </c>
      <c r="K1080" s="116" t="s">
        <v>5882</v>
      </c>
      <c r="L1080" s="216" t="s">
        <v>5883</v>
      </c>
      <c r="M1080" s="137" t="s">
        <v>5876</v>
      </c>
      <c r="N1080" s="137" t="s">
        <v>5877</v>
      </c>
      <c r="O1080" s="1309">
        <v>4.0</v>
      </c>
      <c r="P1080" s="137" t="str">
        <f> SUBSTITUTE(lower(N1080), "/", "--") &amp;  ".pdf"</f>
        <v>10.1111--j.1551-6709.2010.01161.x.pdf</v>
      </c>
      <c r="Q1080" s="49" t="str">
        <f t="array" ref="Q1080"> if(iserror(MATCH(V1080, 'File Links'!C:C, 0)), "N/A", HYPERLINK(INDEX('File Links'!B:B, MATCH(P1080, 'File Links'!C:C, 0))))</f>
        <v>https://drive.google.com/file/d/1mu475Zzy_-pzVxpT6L8wHxxpOPeohqGN/view?usp=drivesdk</v>
      </c>
      <c r="R1080" s="137" t="s">
        <v>5884</v>
      </c>
      <c r="S1080" s="156" t="s">
        <v>3647</v>
      </c>
      <c r="T1080" s="778" t="s">
        <v>5879</v>
      </c>
      <c r="U1080" s="144" t="s">
        <v>131</v>
      </c>
      <c r="V1080" s="195" t="str">
        <f t="shared" si="57"/>
        <v>10.1098--rsos.231240.pdf</v>
      </c>
      <c r="W1080" s="137" t="s">
        <v>317</v>
      </c>
      <c r="X1080" s="51" t="str">
        <f t="array" ref="X1080"> if(iserror(MATCH(V1080, 'File Links'!C:C, 0)), "N/A", HYPERLINK(INDEX('File Links'!B:B, MATCH(V1080, 'File Links'!C:C, 0))))</f>
        <v>https://drive.google.com/file/d/17gaf2Zy_ljFfcAEDk5L8GBnTl5i7RGJE/view?usp=drivesdk</v>
      </c>
      <c r="Y1080" s="137"/>
      <c r="Z1080" s="137" t="s">
        <v>141</v>
      </c>
      <c r="AA1080" s="122"/>
      <c r="AB1080" s="1304" t="s">
        <v>5880</v>
      </c>
      <c r="AC1080" s="1306" t="s">
        <v>5881</v>
      </c>
      <c r="AD1080" s="116" t="s">
        <v>5885</v>
      </c>
      <c r="AE1080" s="779">
        <v>519.0</v>
      </c>
      <c r="AF1080" s="779">
        <v>29.0</v>
      </c>
      <c r="AG1080" s="222" t="s">
        <v>5886</v>
      </c>
      <c r="AH1080" s="116" t="s">
        <v>127</v>
      </c>
      <c r="AI1080" s="137" t="s">
        <v>5887</v>
      </c>
      <c r="AJ1080" s="130">
        <v>0.05</v>
      </c>
      <c r="AK1080" s="123" t="s">
        <v>128</v>
      </c>
      <c r="AL1080" s="123" t="s">
        <v>179</v>
      </c>
      <c r="AM1080" s="116" t="s">
        <v>130</v>
      </c>
      <c r="AN1080" s="1313" t="s">
        <v>131</v>
      </c>
      <c r="AO1080" s="779">
        <v>50.0</v>
      </c>
      <c r="AP1080" s="137" t="s">
        <v>131</v>
      </c>
      <c r="AQ1080" s="126" t="s">
        <v>131</v>
      </c>
      <c r="AR1080" s="1313" t="s">
        <v>5571</v>
      </c>
      <c r="AS1080" s="137" t="s">
        <v>131</v>
      </c>
      <c r="AT1080" s="216" t="s">
        <v>131</v>
      </c>
      <c r="AU1080" s="137" t="s">
        <v>179</v>
      </c>
      <c r="AV1080" s="116" t="s">
        <v>130</v>
      </c>
      <c r="AW1080" s="1314" t="s">
        <v>131</v>
      </c>
      <c r="AX1080" s="667" t="s">
        <v>136</v>
      </c>
      <c r="AZ1080" s="1313" t="s">
        <v>5572</v>
      </c>
    </row>
    <row r="1081">
      <c r="A1081" s="41">
        <v>1081.0</v>
      </c>
      <c r="B1081" s="126" t="s">
        <v>2006</v>
      </c>
      <c r="C1081" s="59" t="s">
        <v>108</v>
      </c>
      <c r="D1081" s="59" t="s">
        <v>138</v>
      </c>
      <c r="E1081" s="362"/>
      <c r="F1081" s="1304" t="s">
        <v>5888</v>
      </c>
      <c r="G1081" s="1305" t="s">
        <v>5889</v>
      </c>
      <c r="H1081" s="1306" t="s">
        <v>5559</v>
      </c>
      <c r="I1081" s="1307">
        <v>45688.0</v>
      </c>
      <c r="J1081" s="1308">
        <v>45692.0</v>
      </c>
      <c r="K1081" s="1304" t="s">
        <v>5643</v>
      </c>
      <c r="L1081" s="1304" t="s">
        <v>5561</v>
      </c>
      <c r="M1081" s="1306" t="s">
        <v>5890</v>
      </c>
      <c r="N1081" s="1306" t="s">
        <v>5891</v>
      </c>
      <c r="O1081" s="1309">
        <v>1.0</v>
      </c>
      <c r="P1081" s="1306" t="s">
        <v>5892</v>
      </c>
      <c r="Q1081" s="49" t="str">
        <f t="array" ref="Q1081"> if(iserror(MATCH(V1081, 'File Links'!C:C, 0)), "N/A", HYPERLINK(INDEX('File Links'!B:B, MATCH(P1081, 'File Links'!C:C, 0))))</f>
        <v>https://drive.google.com/file/d/1JcrIIJziv9H4c66sUbolfvMwbkPdlR44/view?usp=drivesdk</v>
      </c>
      <c r="R1081" s="1306" t="s">
        <v>3646</v>
      </c>
      <c r="S1081" s="156" t="s">
        <v>3647</v>
      </c>
      <c r="T1081" s="144" t="s">
        <v>131</v>
      </c>
      <c r="U1081" s="144" t="s">
        <v>131</v>
      </c>
      <c r="V1081" s="195" t="str">
        <f t="shared" si="57"/>
        <v>10.1098--rsos.231240.pdf</v>
      </c>
      <c r="W1081" s="137" t="s">
        <v>317</v>
      </c>
      <c r="X1081" s="51" t="str">
        <f t="array" ref="X1081"> if(iserror(MATCH(V1081, 'File Links'!C:C, 0)), "N/A", HYPERLINK(INDEX('File Links'!B:B, MATCH(V1081, 'File Links'!C:C, 0))))</f>
        <v>https://drive.google.com/file/d/17gaf2Zy_ljFfcAEDk5L8GBnTl5i7RGJE/view?usp=drivesdk</v>
      </c>
      <c r="Y1081" s="1304"/>
      <c r="Z1081" s="1306" t="s">
        <v>219</v>
      </c>
      <c r="AA1081" s="1304" t="s">
        <v>1528</v>
      </c>
      <c r="AB1081" s="1304" t="s">
        <v>5893</v>
      </c>
      <c r="AC1081" s="1306" t="s">
        <v>3781</v>
      </c>
      <c r="AD1081" s="1313" t="s">
        <v>131</v>
      </c>
      <c r="AE1081" s="1304" t="s">
        <v>1528</v>
      </c>
      <c r="AF1081" s="1309">
        <v>1800.0</v>
      </c>
      <c r="AG1081" s="1304" t="s">
        <v>1528</v>
      </c>
      <c r="AH1081" s="164" t="s">
        <v>131</v>
      </c>
      <c r="AI1081" s="1304" t="s">
        <v>1528</v>
      </c>
      <c r="AJ1081" s="1311" t="s">
        <v>1528</v>
      </c>
      <c r="AK1081" s="1312" t="s">
        <v>1528</v>
      </c>
      <c r="AL1081" s="1312" t="s">
        <v>179</v>
      </c>
      <c r="AM1081" s="1304" t="s">
        <v>130</v>
      </c>
      <c r="AN1081" s="1313" t="s">
        <v>131</v>
      </c>
      <c r="AO1081" s="1309">
        <v>54.0</v>
      </c>
      <c r="AP1081" s="1304" t="s">
        <v>1528</v>
      </c>
      <c r="AQ1081" s="126" t="s">
        <v>131</v>
      </c>
      <c r="AR1081" s="1313" t="s">
        <v>5571</v>
      </c>
      <c r="AS1081" s="1304" t="s">
        <v>1528</v>
      </c>
      <c r="AT1081" s="1304" t="s">
        <v>1528</v>
      </c>
      <c r="AU1081" s="1304" t="s">
        <v>179</v>
      </c>
      <c r="AV1081" s="1304" t="s">
        <v>130</v>
      </c>
      <c r="AW1081" s="1314" t="s">
        <v>131</v>
      </c>
      <c r="AX1081" s="1331" t="s">
        <v>136</v>
      </c>
      <c r="AZ1081" s="1313" t="s">
        <v>5572</v>
      </c>
    </row>
    <row r="1082">
      <c r="A1082" s="41">
        <v>1082.0</v>
      </c>
      <c r="B1082" s="126" t="s">
        <v>107</v>
      </c>
      <c r="C1082" s="59" t="s">
        <v>108</v>
      </c>
      <c r="D1082" s="59" t="s">
        <v>241</v>
      </c>
      <c r="E1082" s="362"/>
      <c r="F1082" s="123" t="s">
        <v>5888</v>
      </c>
      <c r="G1082" s="116" t="s">
        <v>5889</v>
      </c>
      <c r="H1082" s="137" t="s">
        <v>242</v>
      </c>
      <c r="I1082" s="314">
        <v>45665.0</v>
      </c>
      <c r="J1082" s="1317">
        <v>45692.0</v>
      </c>
      <c r="K1082" s="137" t="s">
        <v>5894</v>
      </c>
      <c r="L1082" s="122" t="s">
        <v>5561</v>
      </c>
      <c r="M1082" s="137" t="s">
        <v>5890</v>
      </c>
      <c r="N1082" s="137" t="s">
        <v>5891</v>
      </c>
      <c r="O1082" s="122"/>
      <c r="P1082" s="137" t="str">
        <f t="shared" ref="P1082:P1084" si="64"> SUBSTITUTE(lower(N1082), "/", "--") &amp;  ".pdf"</f>
        <v>10.1126--science.1134475.pdf</v>
      </c>
      <c r="Q1082" s="49" t="str">
        <f t="array" ref="Q1082"> if(iserror(MATCH(V1082, 'File Links'!C:C, 0)), "N/A", HYPERLINK(INDEX('File Links'!B:B, MATCH(P1082, 'File Links'!C:C, 0))))</f>
        <v>https://drive.google.com/file/d/1JcrIIJziv9H4c66sUbolfvMwbkPdlR44/view?usp=drivesdk</v>
      </c>
      <c r="R1082" s="137" t="s">
        <v>5895</v>
      </c>
      <c r="S1082" s="156" t="s">
        <v>3647</v>
      </c>
      <c r="T1082" s="122"/>
      <c r="U1082" s="144" t="s">
        <v>131</v>
      </c>
      <c r="V1082" s="195" t="str">
        <f t="shared" si="57"/>
        <v>10.1098--rsos.231240.pdf</v>
      </c>
      <c r="W1082" s="137" t="s">
        <v>317</v>
      </c>
      <c r="X1082" s="51" t="str">
        <f t="array" ref="X1082"> if(iserror(MATCH(V1082, 'File Links'!C:C, 0)), "N/A", HYPERLINK(INDEX('File Links'!B:B, MATCH(V1082, 'File Links'!C:C, 0))))</f>
        <v>https://drive.google.com/file/d/17gaf2Zy_ljFfcAEDk5L8GBnTl5i7RGJE/view?usp=drivesdk</v>
      </c>
      <c r="Y1082" s="122"/>
      <c r="Z1082" s="137" t="s">
        <v>219</v>
      </c>
      <c r="AA1082" s="122"/>
      <c r="AB1082" s="122"/>
      <c r="AC1082" s="122"/>
      <c r="AD1082" s="137" t="s">
        <v>131</v>
      </c>
      <c r="AE1082" s="137" t="s">
        <v>131</v>
      </c>
      <c r="AF1082" s="779">
        <v>2399.0</v>
      </c>
      <c r="AG1082" s="137" t="s">
        <v>131</v>
      </c>
      <c r="AH1082" s="122"/>
      <c r="AI1082" s="137" t="s">
        <v>131</v>
      </c>
      <c r="AJ1082" s="315"/>
      <c r="AK1082" s="129"/>
      <c r="AL1082" s="123" t="s">
        <v>179</v>
      </c>
      <c r="AM1082" s="137" t="s">
        <v>1898</v>
      </c>
      <c r="AN1082" s="1313" t="s">
        <v>131</v>
      </c>
      <c r="AO1082" s="779">
        <v>54.0</v>
      </c>
      <c r="AP1082" s="137" t="s">
        <v>131</v>
      </c>
      <c r="AQ1082" s="122"/>
      <c r="AR1082" s="1313" t="s">
        <v>5571</v>
      </c>
      <c r="AS1082" s="137" t="s">
        <v>131</v>
      </c>
      <c r="AT1082" s="122"/>
      <c r="AU1082" s="137" t="s">
        <v>179</v>
      </c>
      <c r="AV1082" s="137" t="s">
        <v>1898</v>
      </c>
      <c r="AW1082" s="1314" t="s">
        <v>131</v>
      </c>
      <c r="AX1082" s="137" t="s">
        <v>136</v>
      </c>
      <c r="AZ1082" s="1313" t="s">
        <v>5572</v>
      </c>
    </row>
    <row r="1083">
      <c r="A1083" s="41">
        <v>1083.0</v>
      </c>
      <c r="B1083" s="126" t="s">
        <v>145</v>
      </c>
      <c r="C1083" s="59" t="s">
        <v>108</v>
      </c>
      <c r="D1083" s="59" t="s">
        <v>138</v>
      </c>
      <c r="E1083" s="362"/>
      <c r="F1083" s="1304" t="s">
        <v>5896</v>
      </c>
      <c r="G1083" s="1305" t="s">
        <v>5897</v>
      </c>
      <c r="H1083" s="1306" t="s">
        <v>5559</v>
      </c>
      <c r="I1083" s="1307">
        <v>45688.0</v>
      </c>
      <c r="J1083" s="1308">
        <v>45692.0</v>
      </c>
      <c r="K1083" s="1304"/>
      <c r="L1083" s="1304" t="s">
        <v>5561</v>
      </c>
      <c r="M1083" s="1306" t="s">
        <v>5898</v>
      </c>
      <c r="N1083" s="1304" t="s">
        <v>5899</v>
      </c>
      <c r="O1083" s="1306" t="s">
        <v>5900</v>
      </c>
      <c r="P1083" s="137" t="str">
        <f t="shared" si="64"/>
        <v>10.1037--a0031047.pdf</v>
      </c>
      <c r="Q1083" s="49" t="str">
        <f t="array" ref="Q1083"> if(iserror(MATCH(V1083, 'File Links'!C:C, 0)), "N/A", HYPERLINK(INDEX('File Links'!B:B, MATCH(P1083, 'File Links'!C:C, 0))))</f>
        <v>https://drive.google.com/file/d/1zdQKRoaKTgqYFpQsFj5QvQQ6FD0ed3fh/view?usp=drivesdk</v>
      </c>
      <c r="R1083" s="1347" t="s">
        <v>3646</v>
      </c>
      <c r="S1083" s="156" t="s">
        <v>3647</v>
      </c>
      <c r="T1083" s="144" t="s">
        <v>131</v>
      </c>
      <c r="U1083" s="144" t="s">
        <v>131</v>
      </c>
      <c r="V1083" s="195" t="str">
        <f t="shared" si="57"/>
        <v>10.1098--rsos.231240.pdf</v>
      </c>
      <c r="W1083" s="137" t="s">
        <v>3797</v>
      </c>
      <c r="X1083" s="51" t="str">
        <f t="array" ref="X1083"> if(iserror(MATCH(V1083, 'File Links'!C:C, 0)), "N/A", HYPERLINK(INDEX('File Links'!B:B, MATCH(V1083, 'File Links'!C:C, 0))))</f>
        <v>https://drive.google.com/file/d/17gaf2Zy_ljFfcAEDk5L8GBnTl5i7RGJE/view?usp=drivesdk</v>
      </c>
      <c r="Y1083" s="1304"/>
      <c r="Z1083" s="1306" t="s">
        <v>219</v>
      </c>
      <c r="AA1083" s="1304" t="s">
        <v>1528</v>
      </c>
      <c r="AB1083" s="1304" t="s">
        <v>5901</v>
      </c>
      <c r="AC1083" s="1306" t="s">
        <v>5902</v>
      </c>
      <c r="AD1083" s="1304" t="s">
        <v>5903</v>
      </c>
      <c r="AE1083" s="1333">
        <v>6.0</v>
      </c>
      <c r="AF1083" s="1309">
        <v>165.0</v>
      </c>
      <c r="AG1083" s="1333">
        <v>0.414462472492135</v>
      </c>
      <c r="AH1083" s="1304" t="s">
        <v>166</v>
      </c>
      <c r="AI1083" s="1304" t="s">
        <v>1528</v>
      </c>
      <c r="AJ1083" s="1316">
        <v>0.01</v>
      </c>
      <c r="AK1083" s="1312" t="s">
        <v>128</v>
      </c>
      <c r="AL1083" s="1312" t="s">
        <v>179</v>
      </c>
      <c r="AM1083" s="1304" t="s">
        <v>130</v>
      </c>
      <c r="AN1083" s="1313" t="s">
        <v>131</v>
      </c>
      <c r="AO1083" s="1309">
        <v>145.0</v>
      </c>
      <c r="AP1083" s="1333">
        <v>-0.0869048189253481</v>
      </c>
      <c r="AQ1083" s="1304" t="s">
        <v>166</v>
      </c>
      <c r="AR1083" s="1313" t="s">
        <v>5571</v>
      </c>
      <c r="AS1083" s="1333">
        <v>0.604146530304818</v>
      </c>
      <c r="AT1083" s="1304" t="s">
        <v>165</v>
      </c>
      <c r="AU1083" s="1304" t="s">
        <v>179</v>
      </c>
      <c r="AV1083" s="1304" t="s">
        <v>130</v>
      </c>
      <c r="AW1083" s="1314" t="s">
        <v>131</v>
      </c>
      <c r="AX1083" s="1331" t="s">
        <v>136</v>
      </c>
      <c r="AZ1083" s="1313" t="s">
        <v>5572</v>
      </c>
    </row>
    <row r="1084">
      <c r="A1084" s="41">
        <v>1084.0</v>
      </c>
      <c r="B1084" s="126" t="s">
        <v>145</v>
      </c>
      <c r="C1084" s="59" t="s">
        <v>108</v>
      </c>
      <c r="D1084" s="59" t="s">
        <v>241</v>
      </c>
      <c r="E1084" s="362"/>
      <c r="F1084" s="123" t="s">
        <v>5896</v>
      </c>
      <c r="G1084" s="116" t="s">
        <v>5897</v>
      </c>
      <c r="H1084" s="137" t="s">
        <v>242</v>
      </c>
      <c r="I1084" s="314">
        <v>45666.0</v>
      </c>
      <c r="J1084" s="1317">
        <v>45692.0</v>
      </c>
      <c r="K1084" s="122"/>
      <c r="L1084" s="122" t="s">
        <v>5904</v>
      </c>
      <c r="M1084" s="137" t="s">
        <v>5898</v>
      </c>
      <c r="N1084" s="137" t="s">
        <v>5899</v>
      </c>
      <c r="O1084" s="1306" t="s">
        <v>5900</v>
      </c>
      <c r="P1084" s="137" t="str">
        <f t="shared" si="64"/>
        <v>10.1037--a0031047.pdf</v>
      </c>
      <c r="Q1084" s="49" t="str">
        <f t="array" ref="Q1084"> if(iserror(MATCH(V1084, 'File Links'!C:C, 0)), "N/A", HYPERLINK(INDEX('File Links'!B:B, MATCH(P1084, 'File Links'!C:C, 0))))</f>
        <v>https://drive.google.com/file/d/1zdQKRoaKTgqYFpQsFj5QvQQ6FD0ed3fh/view?usp=drivesdk</v>
      </c>
      <c r="R1084" s="137" t="s">
        <v>5905</v>
      </c>
      <c r="S1084" s="156" t="s">
        <v>3647</v>
      </c>
      <c r="T1084" s="209" t="s">
        <v>131</v>
      </c>
      <c r="U1084" s="144" t="s">
        <v>131</v>
      </c>
      <c r="V1084" s="195" t="str">
        <f t="shared" si="57"/>
        <v>10.1098--rsos.231240.pdf</v>
      </c>
      <c r="W1084" s="137" t="s">
        <v>3797</v>
      </c>
      <c r="X1084" s="51" t="str">
        <f t="array" ref="X1084"> if(iserror(MATCH(V1084, 'File Links'!C:C, 0)), "N/A", HYPERLINK(INDEX('File Links'!B:B, MATCH(V1084, 'File Links'!C:C, 0))))</f>
        <v>https://drive.google.com/file/d/17gaf2Zy_ljFfcAEDk5L8GBnTl5i7RGJE/view?usp=drivesdk</v>
      </c>
      <c r="Y1084" s="122"/>
      <c r="Z1084" s="137" t="s">
        <v>219</v>
      </c>
      <c r="AA1084" s="371" t="s">
        <v>131</v>
      </c>
      <c r="AB1084" s="1304" t="s">
        <v>5901</v>
      </c>
      <c r="AC1084" s="1306" t="s">
        <v>5902</v>
      </c>
      <c r="AD1084" s="1304" t="s">
        <v>5903</v>
      </c>
      <c r="AE1084" s="1333">
        <v>6.0</v>
      </c>
      <c r="AF1084" s="779">
        <v>165.0</v>
      </c>
      <c r="AG1084" s="1348" t="s">
        <v>5906</v>
      </c>
      <c r="AH1084" s="1128" t="s">
        <v>127</v>
      </c>
      <c r="AI1084" s="137" t="s">
        <v>5907</v>
      </c>
      <c r="AJ1084" s="130">
        <v>0.01</v>
      </c>
      <c r="AK1084" s="123" t="s">
        <v>128</v>
      </c>
      <c r="AL1084" s="123" t="s">
        <v>129</v>
      </c>
      <c r="AM1084" s="137" t="s">
        <v>134</v>
      </c>
      <c r="AN1084" s="1313" t="s">
        <v>131</v>
      </c>
      <c r="AO1084" s="779">
        <v>145.0</v>
      </c>
      <c r="AP1084" s="779">
        <v>-0.0869048189253481</v>
      </c>
      <c r="AQ1084" s="137" t="s">
        <v>166</v>
      </c>
      <c r="AR1084" s="1313" t="s">
        <v>5571</v>
      </c>
      <c r="AS1084" s="779">
        <v>0.604146530304818</v>
      </c>
      <c r="AT1084" s="137" t="s">
        <v>165</v>
      </c>
      <c r="AU1084" s="137" t="s">
        <v>129</v>
      </c>
      <c r="AV1084" s="137" t="s">
        <v>134</v>
      </c>
      <c r="AW1084" s="1314" t="s">
        <v>131</v>
      </c>
      <c r="AX1084" s="137" t="s">
        <v>136</v>
      </c>
      <c r="AZ1084" s="1313" t="s">
        <v>5572</v>
      </c>
    </row>
    <row r="1085">
      <c r="A1085" s="41">
        <v>1085.0</v>
      </c>
      <c r="B1085" s="126" t="s">
        <v>145</v>
      </c>
      <c r="C1085" s="59" t="s">
        <v>108</v>
      </c>
      <c r="D1085" s="59" t="s">
        <v>138</v>
      </c>
      <c r="E1085" s="362"/>
      <c r="F1085" s="1304" t="s">
        <v>5908</v>
      </c>
      <c r="G1085" s="1305" t="s">
        <v>5909</v>
      </c>
      <c r="H1085" s="1306" t="s">
        <v>5559</v>
      </c>
      <c r="I1085" s="1307">
        <v>45690.0</v>
      </c>
      <c r="J1085" s="1308">
        <v>45692.0</v>
      </c>
      <c r="K1085" s="1331" t="s">
        <v>5910</v>
      </c>
      <c r="L1085" s="1304" t="s">
        <v>5911</v>
      </c>
      <c r="M1085" s="1306" t="s">
        <v>5912</v>
      </c>
      <c r="N1085" s="1306" t="s">
        <v>5913</v>
      </c>
      <c r="O1085" s="1309">
        <v>1.0</v>
      </c>
      <c r="P1085" s="1306" t="s">
        <v>5914</v>
      </c>
      <c r="Q1085" s="49" t="str">
        <f t="array" ref="Q1085"> if(iserror(MATCH(V1085, 'File Links'!C:C, 0)), "N/A", HYPERLINK(INDEX('File Links'!B:B, MATCH(P1085, 'File Links'!C:C, 0))))</f>
        <v>https://drive.google.com/file/d/1ZJao6drmlp_5iFzVLwLBVxZ7mZzQpGwX/view?usp=drivesdk</v>
      </c>
      <c r="R1085" s="1306" t="s">
        <v>3646</v>
      </c>
      <c r="S1085" s="156" t="s">
        <v>3647</v>
      </c>
      <c r="T1085" s="144" t="s">
        <v>131</v>
      </c>
      <c r="U1085" s="144" t="s">
        <v>131</v>
      </c>
      <c r="V1085" s="195" t="str">
        <f t="shared" si="57"/>
        <v>10.1098--rsos.231240.pdf</v>
      </c>
      <c r="W1085" s="137" t="s">
        <v>3797</v>
      </c>
      <c r="X1085" s="51" t="str">
        <f t="array" ref="X1085"> if(iserror(MATCH(V1085, 'File Links'!C:C, 0)), "N/A", HYPERLINK(INDEX('File Links'!B:B, MATCH(V1085, 'File Links'!C:C, 0))))</f>
        <v>https://drive.google.com/file/d/17gaf2Zy_ljFfcAEDk5L8GBnTl5i7RGJE/view?usp=drivesdk</v>
      </c>
      <c r="Y1085" s="1304"/>
      <c r="Z1085" s="1306" t="s">
        <v>219</v>
      </c>
      <c r="AA1085" s="371" t="s">
        <v>131</v>
      </c>
      <c r="AB1085" s="1304" t="s">
        <v>5915</v>
      </c>
      <c r="AC1085" s="1306" t="s">
        <v>5916</v>
      </c>
      <c r="AD1085" s="1304" t="s">
        <v>5917</v>
      </c>
      <c r="AE1085" s="1333">
        <v>3.0</v>
      </c>
      <c r="AF1085" s="1309">
        <v>101.0</v>
      </c>
      <c r="AG1085" s="1304" t="s">
        <v>5918</v>
      </c>
      <c r="AH1085" s="1304" t="s">
        <v>127</v>
      </c>
      <c r="AI1085" s="1304" t="s">
        <v>5919</v>
      </c>
      <c r="AJ1085" s="1316">
        <v>0.023</v>
      </c>
      <c r="AK1085" s="1312" t="s">
        <v>165</v>
      </c>
      <c r="AL1085" s="1312" t="s">
        <v>179</v>
      </c>
      <c r="AM1085" s="1304" t="s">
        <v>130</v>
      </c>
      <c r="AN1085" s="1313" t="s">
        <v>131</v>
      </c>
      <c r="AO1085" s="1309">
        <v>28.0</v>
      </c>
      <c r="AP1085" s="1333">
        <v>0.8933932</v>
      </c>
      <c r="AQ1085" s="1304" t="s">
        <v>166</v>
      </c>
      <c r="AR1085" s="1313" t="s">
        <v>5571</v>
      </c>
      <c r="AS1085" s="1333">
        <v>0.0355327857460011</v>
      </c>
      <c r="AT1085" s="1304" t="s">
        <v>165</v>
      </c>
      <c r="AU1085" s="1304" t="s">
        <v>179</v>
      </c>
      <c r="AV1085" s="1304" t="s">
        <v>130</v>
      </c>
      <c r="AW1085" s="1314" t="s">
        <v>131</v>
      </c>
      <c r="AX1085" s="1331" t="s">
        <v>136</v>
      </c>
      <c r="AZ1085" s="1313" t="s">
        <v>5572</v>
      </c>
    </row>
    <row r="1086">
      <c r="A1086" s="41">
        <v>1086.0</v>
      </c>
      <c r="B1086" s="126" t="s">
        <v>107</v>
      </c>
      <c r="C1086" s="59" t="s">
        <v>108</v>
      </c>
      <c r="D1086" s="59" t="s">
        <v>241</v>
      </c>
      <c r="E1086" s="362"/>
      <c r="F1086" s="123" t="s">
        <v>5908</v>
      </c>
      <c r="G1086" s="116" t="s">
        <v>5909</v>
      </c>
      <c r="H1086" s="137" t="s">
        <v>242</v>
      </c>
      <c r="I1086" s="314">
        <v>45666.0</v>
      </c>
      <c r="J1086" s="1317">
        <v>45692.0</v>
      </c>
      <c r="K1086" s="122"/>
      <c r="L1086" s="122" t="s">
        <v>5911</v>
      </c>
      <c r="M1086" s="137" t="s">
        <v>5912</v>
      </c>
      <c r="N1086" s="137" t="s">
        <v>5913</v>
      </c>
      <c r="O1086" s="122"/>
      <c r="P1086" s="137" t="str">
        <f t="shared" ref="P1086:P1088" si="65"> SUBSTITUTE(lower(N1086), "/", "--") &amp;  ".pdf"</f>
        <v>10.1177--0956797615608267.pdf</v>
      </c>
      <c r="Q1086" s="49" t="str">
        <f t="array" ref="Q1086"> if(iserror(MATCH(V1086, 'File Links'!C:C, 0)), "N/A", HYPERLINK(INDEX('File Links'!B:B, MATCH(P1086, 'File Links'!C:C, 0))))</f>
        <v>https://drive.google.com/file/d/1ZJao6drmlp_5iFzVLwLBVxZ7mZzQpGwX/view?usp=drivesdk</v>
      </c>
      <c r="R1086" s="137" t="s">
        <v>5920</v>
      </c>
      <c r="S1086" s="156" t="s">
        <v>3647</v>
      </c>
      <c r="T1086" s="144" t="s">
        <v>131</v>
      </c>
      <c r="U1086" s="144" t="s">
        <v>131</v>
      </c>
      <c r="V1086" s="195" t="str">
        <f t="shared" si="57"/>
        <v>10.1098--rsos.231240.pdf</v>
      </c>
      <c r="W1086" s="137" t="s">
        <v>3797</v>
      </c>
      <c r="X1086" s="51" t="str">
        <f t="array" ref="X1086"> if(iserror(MATCH(V1086, 'File Links'!C:C, 0)), "N/A", HYPERLINK(INDEX('File Links'!B:B, MATCH(V1086, 'File Links'!C:C, 0))))</f>
        <v>https://drive.google.com/file/d/17gaf2Zy_ljFfcAEDk5L8GBnTl5i7RGJE/view?usp=drivesdk</v>
      </c>
      <c r="Y1086" s="122"/>
      <c r="Z1086" s="137" t="s">
        <v>203</v>
      </c>
      <c r="AA1086" s="122"/>
      <c r="AB1086" s="122"/>
      <c r="AC1086" s="122"/>
      <c r="AD1086" s="137" t="s">
        <v>5921</v>
      </c>
      <c r="AE1086" s="779">
        <v>106.0</v>
      </c>
      <c r="AF1086" s="779">
        <v>101.0</v>
      </c>
      <c r="AG1086" s="779">
        <v>1.011</v>
      </c>
      <c r="AH1086" s="137" t="s">
        <v>980</v>
      </c>
      <c r="AI1086" s="137" t="s">
        <v>5922</v>
      </c>
      <c r="AJ1086" s="130">
        <v>0.23</v>
      </c>
      <c r="AK1086" s="123" t="s">
        <v>165</v>
      </c>
      <c r="AL1086" s="123" t="s">
        <v>129</v>
      </c>
      <c r="AM1086" s="137" t="s">
        <v>1898</v>
      </c>
      <c r="AN1086" s="1313" t="s">
        <v>131</v>
      </c>
      <c r="AO1086" s="779">
        <v>28.0</v>
      </c>
      <c r="AP1086" s="779">
        <v>0.8933932</v>
      </c>
      <c r="AQ1086" s="137" t="s">
        <v>166</v>
      </c>
      <c r="AR1086" s="1313" t="s">
        <v>5571</v>
      </c>
      <c r="AS1086" s="779">
        <v>0.0355327857460011</v>
      </c>
      <c r="AT1086" s="137" t="s">
        <v>165</v>
      </c>
      <c r="AU1086" s="137" t="s">
        <v>179</v>
      </c>
      <c r="AV1086" s="137" t="s">
        <v>1898</v>
      </c>
      <c r="AW1086" s="1314" t="s">
        <v>131</v>
      </c>
      <c r="AX1086" s="137" t="s">
        <v>136</v>
      </c>
      <c r="AZ1086" s="1313" t="s">
        <v>5572</v>
      </c>
    </row>
    <row r="1087">
      <c r="A1087" s="41">
        <v>1087.0</v>
      </c>
      <c r="B1087" s="126" t="s">
        <v>2006</v>
      </c>
      <c r="C1087" s="59" t="s">
        <v>108</v>
      </c>
      <c r="D1087" s="59" t="s">
        <v>138</v>
      </c>
      <c r="E1087" s="362"/>
      <c r="F1087" s="1304" t="s">
        <v>5923</v>
      </c>
      <c r="G1087" s="1305" t="s">
        <v>5924</v>
      </c>
      <c r="H1087" s="1306" t="s">
        <v>5559</v>
      </c>
      <c r="I1087" s="1307">
        <v>45690.0</v>
      </c>
      <c r="J1087" s="1308">
        <v>45692.0</v>
      </c>
      <c r="K1087" s="1304" t="s">
        <v>5652</v>
      </c>
      <c r="L1087" s="1304" t="s">
        <v>5561</v>
      </c>
      <c r="M1087" s="1306" t="s">
        <v>5925</v>
      </c>
      <c r="N1087" s="1304" t="s">
        <v>5926</v>
      </c>
      <c r="O1087" s="1309">
        <v>1.0</v>
      </c>
      <c r="P1087" s="137" t="str">
        <f t="shared" si="65"/>
        <v>10.1016--j.cognition.2007.11.004.pdf</v>
      </c>
      <c r="Q1087" s="49" t="str">
        <f t="array" ref="Q1087"> if(iserror(MATCH(V1087, 'File Links'!C:C, 0)), "N/A", HYPERLINK(INDEX('File Links'!B:B, MATCH(P1087, 'File Links'!C:C, 0))))</f>
        <v>https://drive.google.com/file/d/15WVNsHu4qw18Mufo3UCjKv6cq2gXORb0/view?usp=drivesdk</v>
      </c>
      <c r="R1087" s="1306" t="s">
        <v>3646</v>
      </c>
      <c r="S1087" s="156" t="s">
        <v>3647</v>
      </c>
      <c r="T1087" s="144" t="s">
        <v>131</v>
      </c>
      <c r="U1087" s="144" t="s">
        <v>131</v>
      </c>
      <c r="V1087" s="195" t="str">
        <f t="shared" si="57"/>
        <v>10.1098--rsos.231240.pdf</v>
      </c>
      <c r="W1087" s="137" t="s">
        <v>3658</v>
      </c>
      <c r="X1087" s="51" t="str">
        <f t="array" ref="X1087"> if(iserror(MATCH(V1087, 'File Links'!C:C, 0)), "N/A", HYPERLINK(INDEX('File Links'!B:B, MATCH(V1087, 'File Links'!C:C, 0))))</f>
        <v>https://drive.google.com/file/d/17gaf2Zy_ljFfcAEDk5L8GBnTl5i7RGJE/view?usp=drivesdk</v>
      </c>
      <c r="Y1087" s="1304"/>
      <c r="Z1087" s="1306" t="s">
        <v>141</v>
      </c>
      <c r="AA1087" s="1304" t="s">
        <v>1528</v>
      </c>
      <c r="AB1087" s="1304" t="s">
        <v>5927</v>
      </c>
      <c r="AC1087" s="1306" t="s">
        <v>5928</v>
      </c>
      <c r="AD1087" s="1304" t="s">
        <v>5929</v>
      </c>
      <c r="AE1087" s="1304" t="s">
        <v>5930</v>
      </c>
      <c r="AF1087" s="1309">
        <v>82.0</v>
      </c>
      <c r="AG1087" s="1304" t="s">
        <v>5931</v>
      </c>
      <c r="AH1087" s="1304" t="s">
        <v>127</v>
      </c>
      <c r="AI1087" s="1304" t="s">
        <v>133</v>
      </c>
      <c r="AJ1087" s="1316">
        <v>0.005</v>
      </c>
      <c r="AK1087" s="1312" t="s">
        <v>165</v>
      </c>
      <c r="AL1087" s="1312" t="s">
        <v>179</v>
      </c>
      <c r="AM1087" s="1304" t="s">
        <v>130</v>
      </c>
      <c r="AN1087" s="1313" t="s">
        <v>131</v>
      </c>
      <c r="AO1087" s="1309">
        <v>25.0</v>
      </c>
      <c r="AP1087" s="1304" t="s">
        <v>1528</v>
      </c>
      <c r="AQ1087" s="126" t="s">
        <v>131</v>
      </c>
      <c r="AR1087" s="1313" t="s">
        <v>5571</v>
      </c>
      <c r="AS1087" s="1304" t="s">
        <v>1528</v>
      </c>
      <c r="AT1087" s="1304" t="s">
        <v>1528</v>
      </c>
      <c r="AU1087" s="1304" t="s">
        <v>179</v>
      </c>
      <c r="AV1087" s="1304" t="s">
        <v>130</v>
      </c>
      <c r="AW1087" s="1314" t="s">
        <v>131</v>
      </c>
      <c r="AX1087" s="1331" t="s">
        <v>136</v>
      </c>
      <c r="AZ1087" s="1313" t="s">
        <v>5572</v>
      </c>
    </row>
    <row r="1088">
      <c r="A1088" s="41">
        <v>1088.0</v>
      </c>
      <c r="B1088" s="126" t="s">
        <v>107</v>
      </c>
      <c r="C1088" s="59" t="s">
        <v>108</v>
      </c>
      <c r="D1088" s="59" t="s">
        <v>241</v>
      </c>
      <c r="E1088" s="362"/>
      <c r="F1088" s="123" t="s">
        <v>5923</v>
      </c>
      <c r="G1088" s="116" t="s">
        <v>5924</v>
      </c>
      <c r="H1088" s="137" t="s">
        <v>242</v>
      </c>
      <c r="I1088" s="314">
        <v>45666.0</v>
      </c>
      <c r="J1088" s="1317">
        <v>45692.0</v>
      </c>
      <c r="K1088" s="137" t="s">
        <v>5932</v>
      </c>
      <c r="L1088" s="122" t="s">
        <v>5561</v>
      </c>
      <c r="M1088" s="137" t="s">
        <v>5925</v>
      </c>
      <c r="N1088" s="137" t="s">
        <v>5926</v>
      </c>
      <c r="O1088" s="122"/>
      <c r="P1088" s="137" t="str">
        <f t="shared" si="65"/>
        <v>10.1016--j.cognition.2007.11.004.pdf</v>
      </c>
      <c r="Q1088" s="49" t="str">
        <f t="array" ref="Q1088"> if(iserror(MATCH(V1088, 'File Links'!C:C, 0)), "N/A", HYPERLINK(INDEX('File Links'!B:B, MATCH(P1088, 'File Links'!C:C, 0))))</f>
        <v>https://drive.google.com/file/d/15WVNsHu4qw18Mufo3UCjKv6cq2gXORb0/view?usp=drivesdk</v>
      </c>
      <c r="R1088" s="137" t="s">
        <v>5933</v>
      </c>
      <c r="S1088" s="156" t="s">
        <v>3647</v>
      </c>
      <c r="T1088" s="144" t="s">
        <v>131</v>
      </c>
      <c r="U1088" s="144" t="s">
        <v>131</v>
      </c>
      <c r="V1088" s="195" t="str">
        <f t="shared" si="57"/>
        <v>10.1098--rsos.231240.pdf</v>
      </c>
      <c r="W1088" s="137" t="s">
        <v>3658</v>
      </c>
      <c r="X1088" s="51" t="str">
        <f t="array" ref="X1088"> if(iserror(MATCH(V1088, 'File Links'!C:C, 0)), "N/A", HYPERLINK(INDEX('File Links'!B:B, MATCH(V1088, 'File Links'!C:C, 0))))</f>
        <v>https://drive.google.com/file/d/17gaf2Zy_ljFfcAEDk5L8GBnTl5i7RGJE/view?usp=drivesdk</v>
      </c>
      <c r="Y1088" s="122"/>
      <c r="Z1088" s="137" t="s">
        <v>141</v>
      </c>
      <c r="AA1088" s="122"/>
      <c r="AB1088" s="122"/>
      <c r="AC1088" s="122"/>
      <c r="AD1088" s="137" t="s">
        <v>5934</v>
      </c>
      <c r="AE1088" s="779">
        <v>1149.0</v>
      </c>
      <c r="AF1088" s="779">
        <v>82.0</v>
      </c>
      <c r="AG1088" s="222" t="s">
        <v>5935</v>
      </c>
      <c r="AH1088" s="116" t="s">
        <v>127</v>
      </c>
      <c r="AI1088" s="137" t="s">
        <v>5936</v>
      </c>
      <c r="AJ1088" s="130">
        <v>0.005</v>
      </c>
      <c r="AK1088" s="123" t="s">
        <v>165</v>
      </c>
      <c r="AL1088" s="123" t="s">
        <v>211</v>
      </c>
      <c r="AM1088" s="137" t="s">
        <v>134</v>
      </c>
      <c r="AN1088" s="1313" t="s">
        <v>131</v>
      </c>
      <c r="AO1088" s="779">
        <v>25.0</v>
      </c>
      <c r="AP1088" s="137" t="s">
        <v>131</v>
      </c>
      <c r="AQ1088" s="122"/>
      <c r="AR1088" s="1313" t="s">
        <v>5571</v>
      </c>
      <c r="AS1088" s="122"/>
      <c r="AT1088" s="122"/>
      <c r="AU1088" s="137" t="s">
        <v>211</v>
      </c>
      <c r="AV1088" s="137" t="s">
        <v>134</v>
      </c>
      <c r="AW1088" s="1314" t="s">
        <v>131</v>
      </c>
      <c r="AX1088" s="667" t="s">
        <v>136</v>
      </c>
      <c r="AZ1088" s="1313" t="s">
        <v>5572</v>
      </c>
    </row>
    <row r="1089">
      <c r="A1089" s="41">
        <v>1089.0</v>
      </c>
      <c r="B1089" s="126" t="s">
        <v>2006</v>
      </c>
      <c r="C1089" s="59" t="s">
        <v>108</v>
      </c>
      <c r="D1089" s="59" t="s">
        <v>138</v>
      </c>
      <c r="E1089" s="362"/>
      <c r="F1089" s="1304" t="s">
        <v>5937</v>
      </c>
      <c r="G1089" s="1305" t="s">
        <v>5938</v>
      </c>
      <c r="H1089" s="1306" t="s">
        <v>5559</v>
      </c>
      <c r="I1089" s="1307">
        <v>45690.0</v>
      </c>
      <c r="J1089" s="1308">
        <v>45692.0</v>
      </c>
      <c r="K1089" s="137" t="s">
        <v>5939</v>
      </c>
      <c r="L1089" s="1304" t="s">
        <v>5561</v>
      </c>
      <c r="M1089" s="1306" t="s">
        <v>5940</v>
      </c>
      <c r="N1089" s="1306" t="s">
        <v>5941</v>
      </c>
      <c r="O1089" s="1309">
        <v>1.0</v>
      </c>
      <c r="P1089" s="1306" t="s">
        <v>5942</v>
      </c>
      <c r="Q1089" s="49" t="str">
        <f t="array" ref="Q1089"> if(iserror(MATCH(V1089, 'File Links'!C:C, 0)), "N/A", HYPERLINK(INDEX('File Links'!B:B, MATCH(P1089, 'File Links'!C:C, 0))))</f>
        <v>https://drive.google.com/file/d/1OF9OzNZ0RezTr91hWpWHMHWrXH9SCFAS/view?usp=drivesdk</v>
      </c>
      <c r="R1089" s="1306" t="s">
        <v>3646</v>
      </c>
      <c r="S1089" s="156" t="s">
        <v>3647</v>
      </c>
      <c r="T1089" s="144" t="s">
        <v>131</v>
      </c>
      <c r="U1089" s="144" t="s">
        <v>131</v>
      </c>
      <c r="V1089" s="195" t="str">
        <f t="shared" si="57"/>
        <v>10.1098--rsos.231240.pdf</v>
      </c>
      <c r="W1089" s="137" t="s">
        <v>3658</v>
      </c>
      <c r="X1089" s="51" t="str">
        <f t="array" ref="X1089"> if(iserror(MATCH(V1089, 'File Links'!C:C, 0)), "N/A", HYPERLINK(INDEX('File Links'!B:B, MATCH(V1089, 'File Links'!C:C, 0))))</f>
        <v>https://drive.google.com/file/d/17gaf2Zy_ljFfcAEDk5L8GBnTl5i7RGJE/view?usp=drivesdk</v>
      </c>
      <c r="Y1089" s="1304"/>
      <c r="Z1089" s="1306" t="s">
        <v>141</v>
      </c>
      <c r="AA1089" s="1304" t="s">
        <v>1528</v>
      </c>
      <c r="AB1089" s="1304" t="s">
        <v>5943</v>
      </c>
      <c r="AC1089" s="1306" t="s">
        <v>5944</v>
      </c>
      <c r="AD1089" s="1304" t="s">
        <v>1528</v>
      </c>
      <c r="AE1089" s="1304" t="s">
        <v>1528</v>
      </c>
      <c r="AF1089" s="1309">
        <v>350.0</v>
      </c>
      <c r="AG1089" s="1304" t="s">
        <v>1528</v>
      </c>
      <c r="AH1089" s="164" t="s">
        <v>131</v>
      </c>
      <c r="AI1089" s="1304" t="s">
        <v>1528</v>
      </c>
      <c r="AJ1089" s="1311" t="s">
        <v>1528</v>
      </c>
      <c r="AK1089" s="1312" t="s">
        <v>1528</v>
      </c>
      <c r="AL1089" s="1312" t="s">
        <v>179</v>
      </c>
      <c r="AM1089" s="1304" t="s">
        <v>130</v>
      </c>
      <c r="AN1089" s="1313" t="s">
        <v>131</v>
      </c>
      <c r="AO1089" s="1309">
        <v>349.0</v>
      </c>
      <c r="AP1089" s="1304" t="s">
        <v>1528</v>
      </c>
      <c r="AQ1089" s="126" t="s">
        <v>131</v>
      </c>
      <c r="AR1089" s="1313" t="s">
        <v>5571</v>
      </c>
      <c r="AS1089" s="1304" t="s">
        <v>1528</v>
      </c>
      <c r="AT1089" s="1304" t="s">
        <v>1528</v>
      </c>
      <c r="AU1089" s="1304" t="s">
        <v>179</v>
      </c>
      <c r="AV1089" s="1304" t="s">
        <v>130</v>
      </c>
      <c r="AW1089" s="1314" t="s">
        <v>131</v>
      </c>
      <c r="AX1089" s="1331" t="s">
        <v>136</v>
      </c>
      <c r="AZ1089" s="1313" t="s">
        <v>5572</v>
      </c>
    </row>
    <row r="1090">
      <c r="A1090" s="41">
        <v>1090.0</v>
      </c>
      <c r="B1090" s="126" t="s">
        <v>107</v>
      </c>
      <c r="C1090" s="59" t="s">
        <v>108</v>
      </c>
      <c r="D1090" s="59" t="s">
        <v>241</v>
      </c>
      <c r="E1090" s="362"/>
      <c r="F1090" s="123" t="s">
        <v>5937</v>
      </c>
      <c r="G1090" s="116" t="s">
        <v>5938</v>
      </c>
      <c r="H1090" s="137" t="s">
        <v>242</v>
      </c>
      <c r="I1090" s="314">
        <v>45666.0</v>
      </c>
      <c r="J1090" s="1317">
        <v>45692.0</v>
      </c>
      <c r="K1090" s="137" t="s">
        <v>5939</v>
      </c>
      <c r="L1090" s="122" t="s">
        <v>5561</v>
      </c>
      <c r="M1090" s="137" t="s">
        <v>5940</v>
      </c>
      <c r="N1090" s="137" t="s">
        <v>5941</v>
      </c>
      <c r="O1090" s="122"/>
      <c r="P1090" s="137" t="str">
        <f t="shared" ref="P1090:P1096" si="66"> SUBSTITUTE(lower(N1090), "/", "--") &amp;  ".pdf"</f>
        <v>10.1111--j.1467-9280.2006.01780.x.pdf</v>
      </c>
      <c r="Q1090" s="49" t="str">
        <f t="array" ref="Q1090"> if(iserror(MATCH(V1090, 'File Links'!C:C, 0)), "N/A", HYPERLINK(INDEX('File Links'!B:B, MATCH(P1090, 'File Links'!C:C, 0))))</f>
        <v>https://drive.google.com/file/d/1OF9OzNZ0RezTr91hWpWHMHWrXH9SCFAS/view?usp=drivesdk</v>
      </c>
      <c r="R1090" s="137" t="s">
        <v>5945</v>
      </c>
      <c r="S1090" s="156" t="s">
        <v>3647</v>
      </c>
      <c r="T1090" s="144" t="s">
        <v>131</v>
      </c>
      <c r="U1090" s="144" t="s">
        <v>131</v>
      </c>
      <c r="V1090" s="195" t="str">
        <f t="shared" si="57"/>
        <v>10.1098--rsos.231240.pdf</v>
      </c>
      <c r="W1090" s="137" t="s">
        <v>3658</v>
      </c>
      <c r="X1090" s="51" t="str">
        <f t="array" ref="X1090"> if(iserror(MATCH(V1090, 'File Links'!C:C, 0)), "N/A", HYPERLINK(INDEX('File Links'!B:B, MATCH(V1090, 'File Links'!C:C, 0))))</f>
        <v>https://drive.google.com/file/d/17gaf2Zy_ljFfcAEDk5L8GBnTl5i7RGJE/view?usp=drivesdk</v>
      </c>
      <c r="Y1090" s="122"/>
      <c r="Z1090" s="137" t="s">
        <v>141</v>
      </c>
      <c r="AA1090" s="122"/>
      <c r="AB1090" s="122"/>
      <c r="AC1090" s="122"/>
      <c r="AD1090" s="137" t="s">
        <v>131</v>
      </c>
      <c r="AE1090" s="137" t="s">
        <v>131</v>
      </c>
      <c r="AF1090" s="779">
        <v>350.0</v>
      </c>
      <c r="AG1090" s="137" t="s">
        <v>131</v>
      </c>
      <c r="AH1090" s="122"/>
      <c r="AI1090" s="137" t="s">
        <v>131</v>
      </c>
      <c r="AJ1090" s="315"/>
      <c r="AK1090" s="129"/>
      <c r="AL1090" s="123" t="s">
        <v>179</v>
      </c>
      <c r="AM1090" s="137" t="s">
        <v>1898</v>
      </c>
      <c r="AN1090" s="1313" t="s">
        <v>131</v>
      </c>
      <c r="AO1090" s="779">
        <v>349.0</v>
      </c>
      <c r="AP1090" s="137" t="s">
        <v>131</v>
      </c>
      <c r="AQ1090" s="122"/>
      <c r="AR1090" s="1313" t="s">
        <v>5571</v>
      </c>
      <c r="AS1090" s="122"/>
      <c r="AT1090" s="122"/>
      <c r="AU1090" s="137" t="s">
        <v>179</v>
      </c>
      <c r="AV1090" s="137" t="s">
        <v>1898</v>
      </c>
      <c r="AW1090" s="1314" t="s">
        <v>131</v>
      </c>
      <c r="AX1090" s="667" t="s">
        <v>136</v>
      </c>
      <c r="AZ1090" s="1313" t="s">
        <v>5572</v>
      </c>
    </row>
    <row r="1091">
      <c r="A1091" s="41">
        <v>1091.0</v>
      </c>
      <c r="B1091" s="126" t="s">
        <v>145</v>
      </c>
      <c r="C1091" s="59" t="s">
        <v>108</v>
      </c>
      <c r="D1091" s="59" t="s">
        <v>138</v>
      </c>
      <c r="E1091" s="362"/>
      <c r="F1091" s="1304" t="s">
        <v>5946</v>
      </c>
      <c r="G1091" s="1305" t="s">
        <v>5947</v>
      </c>
      <c r="H1091" s="1306" t="s">
        <v>5559</v>
      </c>
      <c r="I1091" s="1307">
        <v>45690.0</v>
      </c>
      <c r="J1091" s="1308">
        <v>45692.0</v>
      </c>
      <c r="K1091" s="1304"/>
      <c r="L1091" s="1304" t="s">
        <v>5561</v>
      </c>
      <c r="M1091" s="1306" t="s">
        <v>5948</v>
      </c>
      <c r="N1091" s="1304" t="s">
        <v>5949</v>
      </c>
      <c r="O1091" s="1309">
        <v>4.0</v>
      </c>
      <c r="P1091" s="137" t="str">
        <f t="shared" si="66"/>
        <v>10.1177--0956797616639727.pdf</v>
      </c>
      <c r="Q1091" s="49" t="str">
        <f t="array" ref="Q1091"> if(iserror(MATCH(V1091, 'File Links'!C:C, 0)), "N/A", HYPERLINK(INDEX('File Links'!B:B, MATCH(P1091, 'File Links'!C:C, 0))))</f>
        <v>https://drive.google.com/file/d/1_UEC3DvYLPby3ewaxAHguC5Mm0ainire/view?usp=drivesdk</v>
      </c>
      <c r="R1091" s="1306" t="s">
        <v>3646</v>
      </c>
      <c r="S1091" s="156" t="s">
        <v>3647</v>
      </c>
      <c r="T1091" s="144" t="s">
        <v>131</v>
      </c>
      <c r="U1091" s="144" t="s">
        <v>131</v>
      </c>
      <c r="V1091" s="195" t="str">
        <f t="shared" si="57"/>
        <v>10.1098--rsos.231240.pdf</v>
      </c>
      <c r="W1091" s="137" t="s">
        <v>3797</v>
      </c>
      <c r="X1091" s="51" t="str">
        <f t="array" ref="X1091"> if(iserror(MATCH(V1091, 'File Links'!C:C, 0)), "N/A", HYPERLINK(INDEX('File Links'!B:B, MATCH(V1091, 'File Links'!C:C, 0))))</f>
        <v>https://drive.google.com/file/d/17gaf2Zy_ljFfcAEDk5L8GBnTl5i7RGJE/view?usp=drivesdk</v>
      </c>
      <c r="Y1091" s="1304"/>
      <c r="Z1091" s="1306" t="s">
        <v>219</v>
      </c>
      <c r="AA1091" s="371" t="s">
        <v>131</v>
      </c>
      <c r="AB1091" s="1304" t="s">
        <v>5950</v>
      </c>
      <c r="AC1091" s="1306" t="s">
        <v>5951</v>
      </c>
      <c r="AD1091" s="1304" t="s">
        <v>5952</v>
      </c>
      <c r="AE1091" s="1304" t="s">
        <v>5953</v>
      </c>
      <c r="AF1091" s="1309">
        <v>132.0</v>
      </c>
      <c r="AG1091" s="1349" t="s">
        <v>5954</v>
      </c>
      <c r="AH1091" s="1328" t="s">
        <v>127</v>
      </c>
      <c r="AI1091" s="1304" t="s">
        <v>125</v>
      </c>
      <c r="AJ1091" s="1316">
        <v>0.001</v>
      </c>
      <c r="AK1091" s="1312" t="s">
        <v>128</v>
      </c>
      <c r="AL1091" s="1312" t="s">
        <v>179</v>
      </c>
      <c r="AM1091" s="1304" t="s">
        <v>130</v>
      </c>
      <c r="AN1091" s="1313" t="s">
        <v>131</v>
      </c>
      <c r="AO1091" s="1309">
        <v>97.0</v>
      </c>
      <c r="AP1091" s="1333">
        <v>-0.396027643904869</v>
      </c>
      <c r="AQ1091" s="1304" t="s">
        <v>166</v>
      </c>
      <c r="AR1091" s="1313" t="s">
        <v>5955</v>
      </c>
      <c r="AS1091" s="1337">
        <v>0.0566541751146468</v>
      </c>
      <c r="AT1091" s="1304" t="s">
        <v>165</v>
      </c>
      <c r="AU1091" s="1304" t="s">
        <v>179</v>
      </c>
      <c r="AV1091" s="1350" t="s">
        <v>134</v>
      </c>
      <c r="AW1091" s="1314" t="s">
        <v>131</v>
      </c>
      <c r="AX1091" s="1331" t="s">
        <v>136</v>
      </c>
      <c r="AZ1091" s="1313" t="s">
        <v>5572</v>
      </c>
    </row>
    <row r="1092">
      <c r="A1092" s="41">
        <v>1092.0</v>
      </c>
      <c r="B1092" s="126" t="s">
        <v>107</v>
      </c>
      <c r="C1092" s="59" t="s">
        <v>108</v>
      </c>
      <c r="D1092" s="59" t="s">
        <v>241</v>
      </c>
      <c r="E1092" s="362"/>
      <c r="F1092" s="123" t="s">
        <v>5946</v>
      </c>
      <c r="G1092" s="116" t="s">
        <v>5947</v>
      </c>
      <c r="H1092" s="137" t="s">
        <v>242</v>
      </c>
      <c r="I1092" s="314">
        <v>45666.0</v>
      </c>
      <c r="J1092" s="1317">
        <v>45692.0</v>
      </c>
      <c r="K1092" s="122"/>
      <c r="L1092" s="216" t="s">
        <v>5956</v>
      </c>
      <c r="M1092" s="137" t="s">
        <v>5948</v>
      </c>
      <c r="N1092" s="137" t="s">
        <v>5949</v>
      </c>
      <c r="O1092" s="122"/>
      <c r="P1092" s="137" t="str">
        <f t="shared" si="66"/>
        <v>10.1177--0956797616639727.pdf</v>
      </c>
      <c r="Q1092" s="49" t="str">
        <f t="array" ref="Q1092"> if(iserror(MATCH(V1092, 'File Links'!C:C, 0)), "N/A", HYPERLINK(INDEX('File Links'!B:B, MATCH(P1092, 'File Links'!C:C, 0))))</f>
        <v>https://drive.google.com/file/d/1_UEC3DvYLPby3ewaxAHguC5Mm0ainire/view?usp=drivesdk</v>
      </c>
      <c r="R1092" s="137" t="s">
        <v>5957</v>
      </c>
      <c r="S1092" s="156" t="s">
        <v>3647</v>
      </c>
      <c r="T1092" s="144" t="s">
        <v>131</v>
      </c>
      <c r="U1092" s="144" t="s">
        <v>131</v>
      </c>
      <c r="V1092" s="195" t="str">
        <f t="shared" si="57"/>
        <v>10.1098--rsos.231240.pdf</v>
      </c>
      <c r="W1092" s="137" t="s">
        <v>3797</v>
      </c>
      <c r="X1092" s="51" t="str">
        <f t="array" ref="X1092"> if(iserror(MATCH(V1092, 'File Links'!C:C, 0)), "N/A", HYPERLINK(INDEX('File Links'!B:B, MATCH(V1092, 'File Links'!C:C, 0))))</f>
        <v>https://drive.google.com/file/d/17gaf2Zy_ljFfcAEDk5L8GBnTl5i7RGJE/view?usp=drivesdk</v>
      </c>
      <c r="Y1092" s="122"/>
      <c r="Z1092" s="137" t="s">
        <v>219</v>
      </c>
      <c r="AA1092" s="122"/>
      <c r="AB1092" s="137" t="s">
        <v>5958</v>
      </c>
      <c r="AC1092" s="122"/>
      <c r="AD1092" s="1304" t="s">
        <v>5952</v>
      </c>
      <c r="AE1092" s="1304" t="s">
        <v>5953</v>
      </c>
      <c r="AF1092" s="779">
        <v>132.0</v>
      </c>
      <c r="AG1092" s="1349" t="s">
        <v>5954</v>
      </c>
      <c r="AH1092" s="1328" t="s">
        <v>127</v>
      </c>
      <c r="AI1092" s="1304" t="s">
        <v>125</v>
      </c>
      <c r="AJ1092" s="130">
        <v>0.001</v>
      </c>
      <c r="AK1092" s="123" t="s">
        <v>128</v>
      </c>
      <c r="AL1092" s="123" t="s">
        <v>179</v>
      </c>
      <c r="AM1092" s="137" t="s">
        <v>134</v>
      </c>
      <c r="AN1092" s="1313" t="s">
        <v>131</v>
      </c>
      <c r="AO1092" s="779">
        <v>97.0</v>
      </c>
      <c r="AP1092" s="779">
        <v>-0.396027643904869</v>
      </c>
      <c r="AQ1092" s="137" t="s">
        <v>166</v>
      </c>
      <c r="AR1092" s="1313" t="s">
        <v>5571</v>
      </c>
      <c r="AS1092" s="779">
        <v>0.0566541751146468</v>
      </c>
      <c r="AT1092" s="137" t="s">
        <v>165</v>
      </c>
      <c r="AU1092" s="137" t="s">
        <v>179</v>
      </c>
      <c r="AV1092" s="137" t="s">
        <v>134</v>
      </c>
      <c r="AW1092" s="1314" t="s">
        <v>131</v>
      </c>
      <c r="AX1092" s="667" t="s">
        <v>136</v>
      </c>
      <c r="AZ1092" s="1313" t="s">
        <v>5572</v>
      </c>
    </row>
    <row r="1093">
      <c r="A1093" s="41">
        <v>1093.0</v>
      </c>
      <c r="B1093" s="126" t="s">
        <v>145</v>
      </c>
      <c r="C1093" s="59" t="s">
        <v>108</v>
      </c>
      <c r="D1093" s="59" t="s">
        <v>241</v>
      </c>
      <c r="E1093" s="362"/>
      <c r="F1093" s="123" t="s">
        <v>5946</v>
      </c>
      <c r="G1093" s="116" t="s">
        <v>5959</v>
      </c>
      <c r="H1093" s="137" t="s">
        <v>242</v>
      </c>
      <c r="I1093" s="314">
        <v>45666.0</v>
      </c>
      <c r="J1093" s="1317">
        <v>45692.0</v>
      </c>
      <c r="K1093" s="122"/>
      <c r="L1093" s="122" t="s">
        <v>5561</v>
      </c>
      <c r="M1093" s="137" t="s">
        <v>5948</v>
      </c>
      <c r="N1093" s="137" t="s">
        <v>5949</v>
      </c>
      <c r="O1093" s="122"/>
      <c r="P1093" s="137" t="str">
        <f t="shared" si="66"/>
        <v>10.1177--0956797616639727.pdf</v>
      </c>
      <c r="Q1093" s="49" t="str">
        <f t="array" ref="Q1093"> if(iserror(MATCH(V1093, 'File Links'!C:C, 0)), "N/A", HYPERLINK(INDEX('File Links'!B:B, MATCH(P1093, 'File Links'!C:C, 0))))</f>
        <v>https://drive.google.com/file/d/1_UEC3DvYLPby3ewaxAHguC5Mm0ainire/view?usp=drivesdk</v>
      </c>
      <c r="R1093" s="137" t="s">
        <v>5960</v>
      </c>
      <c r="S1093" s="156" t="s">
        <v>3647</v>
      </c>
      <c r="T1093" s="144" t="s">
        <v>131</v>
      </c>
      <c r="U1093" s="144" t="s">
        <v>131</v>
      </c>
      <c r="V1093" s="195" t="str">
        <f t="shared" si="57"/>
        <v>10.1098--rsos.231240.pdf</v>
      </c>
      <c r="W1093" s="137" t="s">
        <v>3658</v>
      </c>
      <c r="X1093" s="51" t="str">
        <f t="array" ref="X1093"> if(iserror(MATCH(V1093, 'File Links'!C:C, 0)), "N/A", HYPERLINK(INDEX('File Links'!B:B, MATCH(V1093, 'File Links'!C:C, 0))))</f>
        <v>https://drive.google.com/file/d/17gaf2Zy_ljFfcAEDk5L8GBnTl5i7RGJE/view?usp=drivesdk</v>
      </c>
      <c r="Y1093" s="122"/>
      <c r="Z1093" s="137" t="s">
        <v>219</v>
      </c>
      <c r="AA1093" s="122"/>
      <c r="AB1093" s="1351" t="s">
        <v>5961</v>
      </c>
      <c r="AC1093" s="122"/>
      <c r="AD1093" s="1304" t="s">
        <v>5952</v>
      </c>
      <c r="AE1093" s="1304" t="s">
        <v>5953</v>
      </c>
      <c r="AF1093" s="779">
        <v>132.0</v>
      </c>
      <c r="AG1093" s="1349" t="s">
        <v>5954</v>
      </c>
      <c r="AH1093" s="1328" t="s">
        <v>127</v>
      </c>
      <c r="AI1093" s="1304" t="s">
        <v>125</v>
      </c>
      <c r="AJ1093" s="130">
        <v>0.001</v>
      </c>
      <c r="AK1093" s="123" t="s">
        <v>128</v>
      </c>
      <c r="AL1093" s="123" t="s">
        <v>179</v>
      </c>
      <c r="AM1093" s="137" t="s">
        <v>134</v>
      </c>
      <c r="AN1093" s="1313" t="s">
        <v>131</v>
      </c>
      <c r="AO1093" s="779">
        <v>115.0</v>
      </c>
      <c r="AP1093" s="779">
        <v>0.359779005115277</v>
      </c>
      <c r="AQ1093" s="137" t="s">
        <v>166</v>
      </c>
      <c r="AR1093" s="1313" t="s">
        <v>5962</v>
      </c>
      <c r="AS1093" s="779">
        <v>0.0562263367816061</v>
      </c>
      <c r="AT1093" s="137" t="s">
        <v>165</v>
      </c>
      <c r="AU1093" s="137" t="s">
        <v>179</v>
      </c>
      <c r="AV1093" s="137" t="s">
        <v>134</v>
      </c>
      <c r="AW1093" s="1314" t="s">
        <v>131</v>
      </c>
      <c r="AX1093" s="667" t="s">
        <v>136</v>
      </c>
      <c r="AZ1093" s="1313" t="s">
        <v>5572</v>
      </c>
    </row>
    <row r="1094">
      <c r="A1094" s="41">
        <v>1094.0</v>
      </c>
      <c r="B1094" s="65" t="s">
        <v>583</v>
      </c>
      <c r="C1094" s="59" t="s">
        <v>108</v>
      </c>
      <c r="D1094" s="59" t="s">
        <v>138</v>
      </c>
      <c r="E1094" s="362"/>
      <c r="F1094" s="1304" t="s">
        <v>5963</v>
      </c>
      <c r="G1094" s="1305" t="s">
        <v>5964</v>
      </c>
      <c r="H1094" s="1306" t="s">
        <v>5559</v>
      </c>
      <c r="I1094" s="1307">
        <v>45690.0</v>
      </c>
      <c r="J1094" s="1308">
        <v>45692.0</v>
      </c>
      <c r="K1094" s="1304"/>
      <c r="L1094" s="1304" t="s">
        <v>5561</v>
      </c>
      <c r="M1094" s="1306" t="s">
        <v>5948</v>
      </c>
      <c r="N1094" s="1304" t="s">
        <v>5949</v>
      </c>
      <c r="O1094" s="1309">
        <v>4.0</v>
      </c>
      <c r="P1094" s="137" t="str">
        <f t="shared" si="66"/>
        <v>10.1177--0956797616639727.pdf</v>
      </c>
      <c r="Q1094" s="49" t="str">
        <f t="array" ref="Q1094"> if(iserror(MATCH(V1094, 'File Links'!C:C, 0)), "N/A", HYPERLINK(INDEX('File Links'!B:B, MATCH(P1094, 'File Links'!C:C, 0))))</f>
        <v>https://drive.google.com/file/d/1_UEC3DvYLPby3ewaxAHguC5Mm0ainire/view?usp=drivesdk</v>
      </c>
      <c r="R1094" s="1306" t="s">
        <v>3646</v>
      </c>
      <c r="S1094" s="156" t="s">
        <v>3647</v>
      </c>
      <c r="T1094" s="144" t="s">
        <v>131</v>
      </c>
      <c r="U1094" s="144" t="s">
        <v>131</v>
      </c>
      <c r="V1094" s="195" t="str">
        <f t="shared" si="57"/>
        <v>10.1098--rsos.231240.pdf</v>
      </c>
      <c r="W1094" s="137" t="s">
        <v>317</v>
      </c>
      <c r="X1094" s="51" t="str">
        <f t="array" ref="X1094"> if(iserror(MATCH(V1094, 'File Links'!C:C, 0)), "N/A", HYPERLINK(INDEX('File Links'!B:B, MATCH(V1094, 'File Links'!C:C, 0))))</f>
        <v>https://drive.google.com/file/d/17gaf2Zy_ljFfcAEDk5L8GBnTl5i7RGJE/view?usp=drivesdk</v>
      </c>
      <c r="Y1094" s="1304"/>
      <c r="Z1094" s="1306" t="s">
        <v>219</v>
      </c>
      <c r="AA1094" s="1304" t="s">
        <v>1528</v>
      </c>
      <c r="AB1094" s="1304" t="s">
        <v>5950</v>
      </c>
      <c r="AC1094" s="1306" t="s">
        <v>5951</v>
      </c>
      <c r="AD1094" s="1304" t="s">
        <v>5952</v>
      </c>
      <c r="AE1094" s="1304" t="s">
        <v>5953</v>
      </c>
      <c r="AF1094" s="1309">
        <v>132.0</v>
      </c>
      <c r="AG1094" s="1333">
        <v>0.075</v>
      </c>
      <c r="AH1094" s="1304" t="s">
        <v>132</v>
      </c>
      <c r="AI1094" s="1304" t="s">
        <v>125</v>
      </c>
      <c r="AJ1094" s="1316">
        <v>0.001</v>
      </c>
      <c r="AK1094" s="1312" t="s">
        <v>128</v>
      </c>
      <c r="AL1094" s="1312" t="s">
        <v>179</v>
      </c>
      <c r="AM1094" s="1304" t="s">
        <v>130</v>
      </c>
      <c r="AN1094" s="1313" t="s">
        <v>131</v>
      </c>
      <c r="AO1094" s="1309">
        <v>115.0</v>
      </c>
      <c r="AP1094" s="1333">
        <v>0.359779005115277</v>
      </c>
      <c r="AQ1094" s="1304" t="s">
        <v>166</v>
      </c>
      <c r="AR1094" s="1313" t="s">
        <v>5571</v>
      </c>
      <c r="AS1094" s="1333">
        <v>0.0562263367816061</v>
      </c>
      <c r="AT1094" s="1304" t="s">
        <v>165</v>
      </c>
      <c r="AU1094" s="1304" t="s">
        <v>179</v>
      </c>
      <c r="AV1094" s="1332" t="s">
        <v>1898</v>
      </c>
      <c r="AW1094" s="1314" t="s">
        <v>131</v>
      </c>
      <c r="AX1094" s="1331" t="s">
        <v>136</v>
      </c>
      <c r="AZ1094" s="1313" t="s">
        <v>5572</v>
      </c>
    </row>
    <row r="1095">
      <c r="A1095" s="41">
        <v>1095.0</v>
      </c>
      <c r="B1095" s="126" t="s">
        <v>107</v>
      </c>
      <c r="C1095" s="59" t="s">
        <v>108</v>
      </c>
      <c r="D1095" s="59" t="s">
        <v>138</v>
      </c>
      <c r="E1095" s="362"/>
      <c r="F1095" s="1304" t="s">
        <v>5965</v>
      </c>
      <c r="G1095" s="1305" t="s">
        <v>5966</v>
      </c>
      <c r="H1095" s="1306" t="s">
        <v>5559</v>
      </c>
      <c r="I1095" s="1307">
        <v>45690.0</v>
      </c>
      <c r="J1095" s="1308">
        <v>45692.0</v>
      </c>
      <c r="K1095" s="1304" t="s">
        <v>5967</v>
      </c>
      <c r="L1095" s="1304" t="s">
        <v>5561</v>
      </c>
      <c r="M1095" s="1306" t="s">
        <v>5968</v>
      </c>
      <c r="N1095" s="1304" t="s">
        <v>5969</v>
      </c>
      <c r="O1095" s="1309">
        <v>2.0</v>
      </c>
      <c r="P1095" s="137" t="str">
        <f t="shared" si="66"/>
        <v>10.1038--s41598-018-30314-y.pdf</v>
      </c>
      <c r="Q1095" s="49" t="str">
        <f t="array" ref="Q1095"> if(iserror(MATCH(V1095, 'File Links'!C:C, 0)), "N/A", HYPERLINK(INDEX('File Links'!B:B, MATCH(P1095, 'File Links'!C:C, 0))))</f>
        <v>https://drive.google.com/file/d/1RLxYB-xp9gCuylzG8fMEpa5rGt6OdoMh/view?usp=drivesdk</v>
      </c>
      <c r="R1095" s="1306" t="s">
        <v>3646</v>
      </c>
      <c r="S1095" s="156" t="s">
        <v>3647</v>
      </c>
      <c r="T1095" s="144" t="s">
        <v>131</v>
      </c>
      <c r="U1095" s="144" t="s">
        <v>131</v>
      </c>
      <c r="V1095" s="195" t="str">
        <f t="shared" si="57"/>
        <v>10.1098--rsos.231240.pdf</v>
      </c>
      <c r="W1095" s="137" t="s">
        <v>317</v>
      </c>
      <c r="X1095" s="51" t="str">
        <f t="array" ref="X1095"> if(iserror(MATCH(V1095, 'File Links'!C:C, 0)), "N/A", HYPERLINK(INDEX('File Links'!B:B, MATCH(V1095, 'File Links'!C:C, 0))))</f>
        <v>https://drive.google.com/file/d/17gaf2Zy_ljFfcAEDk5L8GBnTl5i7RGJE/view?usp=drivesdk</v>
      </c>
      <c r="Y1095" s="1304"/>
      <c r="Z1095" s="1306" t="s">
        <v>141</v>
      </c>
      <c r="AA1095" s="1304" t="s">
        <v>1528</v>
      </c>
      <c r="AB1095" s="1304" t="s">
        <v>5970</v>
      </c>
      <c r="AC1095" s="1306" t="s">
        <v>5971</v>
      </c>
      <c r="AD1095" s="1304" t="s">
        <v>1528</v>
      </c>
      <c r="AE1095" s="1304" t="s">
        <v>1528</v>
      </c>
      <c r="AF1095" s="1309">
        <v>100.0</v>
      </c>
      <c r="AG1095" s="1304" t="s">
        <v>5972</v>
      </c>
      <c r="AH1095" s="1304" t="s">
        <v>127</v>
      </c>
      <c r="AI1095" s="1304" t="s">
        <v>1528</v>
      </c>
      <c r="AJ1095" s="1311" t="s">
        <v>1528</v>
      </c>
      <c r="AK1095" s="1312" t="s">
        <v>1528</v>
      </c>
      <c r="AL1095" s="1312" t="s">
        <v>179</v>
      </c>
      <c r="AM1095" s="1304" t="s">
        <v>130</v>
      </c>
      <c r="AN1095" s="1313" t="s">
        <v>131</v>
      </c>
      <c r="AO1095" s="1309">
        <v>37.0</v>
      </c>
      <c r="AP1095" s="1333">
        <v>1.06038990801828</v>
      </c>
      <c r="AQ1095" s="1304" t="s">
        <v>166</v>
      </c>
      <c r="AR1095" s="1313" t="s">
        <v>5571</v>
      </c>
      <c r="AS1095" s="1337">
        <v>1.74700225281248E-7</v>
      </c>
      <c r="AT1095" s="1304" t="s">
        <v>165</v>
      </c>
      <c r="AU1095" s="1304" t="s">
        <v>179</v>
      </c>
      <c r="AV1095" s="1304" t="s">
        <v>130</v>
      </c>
      <c r="AW1095" s="1314" t="s">
        <v>131</v>
      </c>
      <c r="AX1095" s="1331" t="s">
        <v>136</v>
      </c>
      <c r="AZ1095" s="1313" t="s">
        <v>5572</v>
      </c>
    </row>
    <row r="1096">
      <c r="A1096" s="41">
        <v>1096.0</v>
      </c>
      <c r="B1096" s="126" t="s">
        <v>145</v>
      </c>
      <c r="C1096" s="59" t="s">
        <v>108</v>
      </c>
      <c r="D1096" s="59" t="s">
        <v>241</v>
      </c>
      <c r="E1096" s="362"/>
      <c r="F1096" s="123" t="s">
        <v>5965</v>
      </c>
      <c r="G1096" s="116" t="s">
        <v>5966</v>
      </c>
      <c r="H1096" s="137" t="s">
        <v>242</v>
      </c>
      <c r="I1096" s="314">
        <v>45666.0</v>
      </c>
      <c r="J1096" s="1317">
        <v>45692.0</v>
      </c>
      <c r="K1096" s="137" t="s">
        <v>5973</v>
      </c>
      <c r="L1096" s="216" t="s">
        <v>5974</v>
      </c>
      <c r="M1096" s="137" t="s">
        <v>5968</v>
      </c>
      <c r="N1096" s="137" t="s">
        <v>5969</v>
      </c>
      <c r="O1096" s="1309">
        <v>2.0</v>
      </c>
      <c r="P1096" s="137" t="str">
        <f t="shared" si="66"/>
        <v>10.1038--s41598-018-30314-y.pdf</v>
      </c>
      <c r="Q1096" s="49" t="str">
        <f t="array" ref="Q1096"> if(iserror(MATCH(V1096, 'File Links'!C:C, 0)), "N/A", HYPERLINK(INDEX('File Links'!B:B, MATCH(P1096, 'File Links'!C:C, 0))))</f>
        <v>https://drive.google.com/file/d/1RLxYB-xp9gCuylzG8fMEpa5rGt6OdoMh/view?usp=drivesdk</v>
      </c>
      <c r="R1096" s="137" t="s">
        <v>5975</v>
      </c>
      <c r="S1096" s="156" t="s">
        <v>3647</v>
      </c>
      <c r="T1096" s="144" t="s">
        <v>131</v>
      </c>
      <c r="U1096" s="144" t="s">
        <v>131</v>
      </c>
      <c r="V1096" s="195" t="str">
        <f t="shared" si="57"/>
        <v>10.1098--rsos.231240.pdf</v>
      </c>
      <c r="W1096" s="137" t="s">
        <v>317</v>
      </c>
      <c r="X1096" s="51" t="str">
        <f t="array" ref="X1096"> if(iserror(MATCH(V1096, 'File Links'!C:C, 0)), "N/A", HYPERLINK(INDEX('File Links'!B:B, MATCH(V1096, 'File Links'!C:C, 0))))</f>
        <v>https://drive.google.com/file/d/17gaf2Zy_ljFfcAEDk5L8GBnTl5i7RGJE/view?usp=drivesdk</v>
      </c>
      <c r="Y1096" s="122"/>
      <c r="Z1096" s="137" t="s">
        <v>141</v>
      </c>
      <c r="AA1096" s="371" t="s">
        <v>131</v>
      </c>
      <c r="AB1096" s="1304" t="s">
        <v>5970</v>
      </c>
      <c r="AC1096" s="1306" t="s">
        <v>5971</v>
      </c>
      <c r="AD1096" s="116" t="s">
        <v>131</v>
      </c>
      <c r="AE1096" s="216" t="s">
        <v>131</v>
      </c>
      <c r="AF1096" s="779">
        <v>100.0</v>
      </c>
      <c r="AG1096" s="779">
        <v>0.6354</v>
      </c>
      <c r="AH1096" s="137" t="s">
        <v>166</v>
      </c>
      <c r="AI1096" s="137" t="s">
        <v>131</v>
      </c>
      <c r="AJ1096" s="1335">
        <v>6.44373736390437E-9</v>
      </c>
      <c r="AK1096" s="123" t="s">
        <v>165</v>
      </c>
      <c r="AL1096" s="123" t="s">
        <v>179</v>
      </c>
      <c r="AM1096" s="116" t="s">
        <v>134</v>
      </c>
      <c r="AN1096" s="1313" t="s">
        <v>131</v>
      </c>
      <c r="AO1096" s="779">
        <v>37.0</v>
      </c>
      <c r="AP1096" s="779">
        <v>1.06038990801828</v>
      </c>
      <c r="AQ1096" s="137" t="s">
        <v>166</v>
      </c>
      <c r="AR1096" s="1313" t="s">
        <v>5571</v>
      </c>
      <c r="AS1096" s="1335">
        <v>1.74700225281248E-7</v>
      </c>
      <c r="AT1096" s="137" t="s">
        <v>165</v>
      </c>
      <c r="AU1096" s="137" t="s">
        <v>179</v>
      </c>
      <c r="AV1096" s="116" t="s">
        <v>130</v>
      </c>
      <c r="AW1096" s="1314" t="s">
        <v>131</v>
      </c>
      <c r="AX1096" s="667" t="s">
        <v>136</v>
      </c>
      <c r="AZ1096" s="1313" t="s">
        <v>5572</v>
      </c>
    </row>
    <row r="1097">
      <c r="A1097" s="41">
        <v>1097.0</v>
      </c>
      <c r="B1097" s="126" t="s">
        <v>145</v>
      </c>
      <c r="C1097" s="59" t="s">
        <v>108</v>
      </c>
      <c r="D1097" s="59" t="s">
        <v>138</v>
      </c>
      <c r="E1097" s="362"/>
      <c r="F1097" s="1304" t="s">
        <v>5976</v>
      </c>
      <c r="G1097" s="1305" t="s">
        <v>5977</v>
      </c>
      <c r="H1097" s="1306" t="s">
        <v>5559</v>
      </c>
      <c r="I1097" s="1307">
        <v>45690.0</v>
      </c>
      <c r="J1097" s="1308">
        <v>45692.0</v>
      </c>
      <c r="K1097" s="1304"/>
      <c r="L1097" s="1313" t="s">
        <v>5978</v>
      </c>
      <c r="M1097" s="1306" t="s">
        <v>5979</v>
      </c>
      <c r="N1097" s="1306" t="s">
        <v>5980</v>
      </c>
      <c r="O1097" s="1309">
        <v>2.0</v>
      </c>
      <c r="P1097" s="1306" t="s">
        <v>5981</v>
      </c>
      <c r="Q1097" s="49" t="str">
        <f t="array" ref="Q1097"> if(iserror(MATCH(V1097, 'File Links'!C:C, 0)), "N/A", HYPERLINK(INDEX('File Links'!B:B, MATCH(P1097, 'File Links'!C:C, 0))))</f>
        <v>https://drive.google.com/file/d/133wAd9ADUXthw033LGhcEhvxSj0cXryx/view?usp=drivesdk</v>
      </c>
      <c r="R1097" s="1306" t="s">
        <v>3646</v>
      </c>
      <c r="S1097" s="156" t="s">
        <v>3647</v>
      </c>
      <c r="T1097" s="144" t="s">
        <v>131</v>
      </c>
      <c r="U1097" s="144" t="s">
        <v>131</v>
      </c>
      <c r="V1097" s="195" t="str">
        <f t="shared" si="57"/>
        <v>10.1098--rsos.231240.pdf</v>
      </c>
      <c r="W1097" s="137" t="s">
        <v>3797</v>
      </c>
      <c r="X1097" s="51" t="str">
        <f t="array" ref="X1097"> if(iserror(MATCH(V1097, 'File Links'!C:C, 0)), "N/A", HYPERLINK(INDEX('File Links'!B:B, MATCH(V1097, 'File Links'!C:C, 0))))</f>
        <v>https://drive.google.com/file/d/17gaf2Zy_ljFfcAEDk5L8GBnTl5i7RGJE/view?usp=drivesdk</v>
      </c>
      <c r="Y1097" s="1304"/>
      <c r="Z1097" s="1306" t="s">
        <v>158</v>
      </c>
      <c r="AA1097" s="1304" t="s">
        <v>5982</v>
      </c>
      <c r="AB1097" s="1304" t="s">
        <v>5983</v>
      </c>
      <c r="AC1097" s="1306" t="s">
        <v>5984</v>
      </c>
      <c r="AD1097" s="137" t="s">
        <v>5985</v>
      </c>
      <c r="AE1097" s="779">
        <v>1.0</v>
      </c>
      <c r="AF1097" s="1309">
        <v>301.0</v>
      </c>
      <c r="AG1097" s="779">
        <v>0.39</v>
      </c>
      <c r="AH1097" s="137" t="s">
        <v>166</v>
      </c>
      <c r="AI1097" s="137" t="s">
        <v>210</v>
      </c>
      <c r="AJ1097" s="1316">
        <v>0.001</v>
      </c>
      <c r="AK1097" s="1312" t="s">
        <v>128</v>
      </c>
      <c r="AL1097" s="1312" t="s">
        <v>129</v>
      </c>
      <c r="AM1097" s="1313" t="s">
        <v>134</v>
      </c>
      <c r="AN1097" s="1334" t="s">
        <v>5986</v>
      </c>
      <c r="AO1097" s="1309">
        <v>104.0</v>
      </c>
      <c r="AP1097" s="1333">
        <v>0.0632160750004422</v>
      </c>
      <c r="AQ1097" s="1304" t="s">
        <v>166</v>
      </c>
      <c r="AR1097" s="1313" t="s">
        <v>5571</v>
      </c>
      <c r="AS1097" s="1333">
        <v>0.520567835597779</v>
      </c>
      <c r="AT1097" s="1304" t="s">
        <v>165</v>
      </c>
      <c r="AU1097" s="1304" t="s">
        <v>179</v>
      </c>
      <c r="AV1097" s="1313" t="s">
        <v>134</v>
      </c>
      <c r="AW1097" s="1314" t="s">
        <v>131</v>
      </c>
      <c r="AX1097" s="1331" t="s">
        <v>136</v>
      </c>
      <c r="AZ1097" s="1313" t="s">
        <v>5572</v>
      </c>
    </row>
    <row r="1098">
      <c r="A1098" s="41">
        <v>1098.0</v>
      </c>
      <c r="B1098" s="126" t="s">
        <v>107</v>
      </c>
      <c r="C1098" s="59" t="s">
        <v>108</v>
      </c>
      <c r="D1098" s="59" t="s">
        <v>241</v>
      </c>
      <c r="E1098" s="362"/>
      <c r="F1098" s="123" t="s">
        <v>5976</v>
      </c>
      <c r="G1098" s="116" t="s">
        <v>5977</v>
      </c>
      <c r="H1098" s="137" t="s">
        <v>242</v>
      </c>
      <c r="I1098" s="314">
        <v>45666.0</v>
      </c>
      <c r="J1098" s="1317">
        <v>45692.0</v>
      </c>
      <c r="K1098" s="122"/>
      <c r="L1098" s="1304" t="s">
        <v>5987</v>
      </c>
      <c r="M1098" s="137" t="s">
        <v>5979</v>
      </c>
      <c r="N1098" s="137" t="s">
        <v>5980</v>
      </c>
      <c r="O1098" s="122"/>
      <c r="P1098" s="137" t="str">
        <f> SUBSTITUTE(lower(N1098), "/", "--") &amp;  ".pdf"</f>
        <v>10.1073--pnas.2009030117.pdf</v>
      </c>
      <c r="Q1098" s="49" t="str">
        <f t="array" ref="Q1098"> if(iserror(MATCH(V1098, 'File Links'!C:C, 0)), "N/A", HYPERLINK(INDEX('File Links'!B:B, MATCH(P1098, 'File Links'!C:C, 0))))</f>
        <v>https://drive.google.com/file/d/133wAd9ADUXthw033LGhcEhvxSj0cXryx/view?usp=drivesdk</v>
      </c>
      <c r="R1098" s="137" t="s">
        <v>5988</v>
      </c>
      <c r="S1098" s="156" t="s">
        <v>3647</v>
      </c>
      <c r="T1098" s="144" t="s">
        <v>131</v>
      </c>
      <c r="U1098" s="144" t="s">
        <v>131</v>
      </c>
      <c r="V1098" s="195" t="str">
        <f t="shared" si="57"/>
        <v>10.1098--rsos.231240.pdf</v>
      </c>
      <c r="W1098" s="137" t="s">
        <v>3797</v>
      </c>
      <c r="X1098" s="51" t="str">
        <f t="array" ref="X1098"> if(iserror(MATCH(V1098, 'File Links'!C:C, 0)), "N/A", HYPERLINK(INDEX('File Links'!B:B, MATCH(V1098, 'File Links'!C:C, 0))))</f>
        <v>https://drive.google.com/file/d/17gaf2Zy_ljFfcAEDk5L8GBnTl5i7RGJE/view?usp=drivesdk</v>
      </c>
      <c r="Y1098" s="122"/>
      <c r="Z1098" s="137" t="s">
        <v>158</v>
      </c>
      <c r="AA1098" s="122"/>
      <c r="AB1098" s="122"/>
      <c r="AC1098" s="122"/>
      <c r="AD1098" s="137" t="s">
        <v>5985</v>
      </c>
      <c r="AE1098" s="779">
        <v>1.0</v>
      </c>
      <c r="AF1098" s="779">
        <v>301.0</v>
      </c>
      <c r="AG1098" s="779">
        <v>0.39</v>
      </c>
      <c r="AH1098" s="137" t="s">
        <v>166</v>
      </c>
      <c r="AI1098" s="137" t="s">
        <v>210</v>
      </c>
      <c r="AJ1098" s="130">
        <v>0.001</v>
      </c>
      <c r="AK1098" s="123" t="s">
        <v>128</v>
      </c>
      <c r="AL1098" s="123" t="s">
        <v>129</v>
      </c>
      <c r="AM1098" s="137" t="s">
        <v>134</v>
      </c>
      <c r="AN1098" s="1341" t="s">
        <v>5986</v>
      </c>
      <c r="AO1098" s="779">
        <v>104.0</v>
      </c>
      <c r="AP1098" s="779">
        <v>0.0632160750004422</v>
      </c>
      <c r="AQ1098" s="137" t="s">
        <v>166</v>
      </c>
      <c r="AR1098" s="1313" t="s">
        <v>5571</v>
      </c>
      <c r="AS1098" s="1352">
        <v>0.520567835597779</v>
      </c>
      <c r="AT1098" s="137" t="s">
        <v>165</v>
      </c>
      <c r="AU1098" s="137" t="s">
        <v>129</v>
      </c>
      <c r="AV1098" s="137" t="s">
        <v>134</v>
      </c>
      <c r="AW1098" s="1314" t="s">
        <v>131</v>
      </c>
      <c r="AX1098" s="667" t="s">
        <v>136</v>
      </c>
      <c r="AZ1098" s="1313" t="s">
        <v>5572</v>
      </c>
    </row>
    <row r="1099">
      <c r="A1099" s="41">
        <v>1099.0</v>
      </c>
      <c r="B1099" s="126" t="s">
        <v>145</v>
      </c>
      <c r="C1099" s="59" t="s">
        <v>108</v>
      </c>
      <c r="D1099" s="59" t="s">
        <v>138</v>
      </c>
      <c r="E1099" s="362"/>
      <c r="F1099" s="1304" t="s">
        <v>5989</v>
      </c>
      <c r="G1099" s="1305" t="s">
        <v>5990</v>
      </c>
      <c r="H1099" s="1306" t="s">
        <v>5559</v>
      </c>
      <c r="I1099" s="1307">
        <v>45690.0</v>
      </c>
      <c r="J1099" s="1308">
        <v>45692.0</v>
      </c>
      <c r="K1099" s="1304"/>
      <c r="L1099" s="1313" t="s">
        <v>5991</v>
      </c>
      <c r="M1099" s="1306" t="s">
        <v>5992</v>
      </c>
      <c r="N1099" s="1304" t="s">
        <v>5993</v>
      </c>
      <c r="O1099" s="1309">
        <v>2.0</v>
      </c>
      <c r="P1099" s="156" t="str">
        <f>SUBSTITUTE(LOWER(N1099), "/", "--") &amp;  ".pdf"</f>
        <v>10.1037--0022-3514.94.3.396 (1).pdf</v>
      </c>
      <c r="Q1099" s="49" t="str">
        <f t="array" ref="Q1099"> if(iserror(MATCH(V1099, 'File Links'!C:C, 0)), "N/A", HYPERLINK(INDEX('File Links'!B:B, MATCH(P1099, 'File Links'!C:C, 0))))</f>
        <v>https://drive.google.com/file/d/1mWjj8mxrG8UD8YXr2nZ-cGzIZBtUwLal/view?usp=drivesdk</v>
      </c>
      <c r="R1099" s="1306" t="s">
        <v>3646</v>
      </c>
      <c r="S1099" s="156" t="s">
        <v>3647</v>
      </c>
      <c r="T1099" s="144" t="s">
        <v>131</v>
      </c>
      <c r="U1099" s="144" t="s">
        <v>131</v>
      </c>
      <c r="V1099" s="195" t="str">
        <f t="shared" si="57"/>
        <v>10.1098--rsos.231240.pdf</v>
      </c>
      <c r="W1099" s="137" t="s">
        <v>3658</v>
      </c>
      <c r="X1099" s="51" t="str">
        <f t="array" ref="X1099"> if(iserror(MATCH(V1099, 'File Links'!C:C, 0)), "N/A", HYPERLINK(INDEX('File Links'!B:B, MATCH(V1099, 'File Links'!C:C, 0))))</f>
        <v>https://drive.google.com/file/d/17gaf2Zy_ljFfcAEDk5L8GBnTl5i7RGJE/view?usp=drivesdk</v>
      </c>
      <c r="Y1099" s="1304"/>
      <c r="Z1099" s="1306" t="s">
        <v>219</v>
      </c>
      <c r="AA1099" s="371" t="s">
        <v>131</v>
      </c>
      <c r="AB1099" s="1304" t="s">
        <v>5994</v>
      </c>
      <c r="AC1099" s="1306" t="s">
        <v>5995</v>
      </c>
      <c r="AD1099" s="1353" t="s">
        <v>5996</v>
      </c>
      <c r="AE1099" s="1354">
        <v>401.0</v>
      </c>
      <c r="AF1099" s="1354">
        <v>123.0</v>
      </c>
      <c r="AG1099" s="1354">
        <v>0.45</v>
      </c>
      <c r="AH1099" s="137" t="s">
        <v>166</v>
      </c>
      <c r="AI1099" s="137" t="s">
        <v>5997</v>
      </c>
      <c r="AJ1099" s="130">
        <v>0.05</v>
      </c>
      <c r="AK1099" s="1312" t="s">
        <v>128</v>
      </c>
      <c r="AL1099" s="1312" t="s">
        <v>179</v>
      </c>
      <c r="AM1099" s="1304" t="s">
        <v>130</v>
      </c>
      <c r="AN1099" s="1313" t="s">
        <v>131</v>
      </c>
      <c r="AO1099" s="1309">
        <v>23.0</v>
      </c>
      <c r="AP1099" s="1333">
        <v>-0.638230402761701</v>
      </c>
      <c r="AQ1099" s="1304" t="s">
        <v>166</v>
      </c>
      <c r="AR1099" s="1313" t="s">
        <v>5571</v>
      </c>
      <c r="AS1099" s="1333">
        <v>0.00692284686075806</v>
      </c>
      <c r="AT1099" s="1304" t="s">
        <v>165</v>
      </c>
      <c r="AU1099" s="1304" t="s">
        <v>179</v>
      </c>
      <c r="AV1099" s="1304" t="s">
        <v>130</v>
      </c>
      <c r="AW1099" s="1314" t="s">
        <v>131</v>
      </c>
      <c r="AX1099" s="1331" t="s">
        <v>136</v>
      </c>
      <c r="AZ1099" s="1313" t="s">
        <v>5572</v>
      </c>
    </row>
    <row r="1100">
      <c r="A1100" s="41">
        <v>1100.0</v>
      </c>
      <c r="B1100" s="126" t="s">
        <v>107</v>
      </c>
      <c r="C1100" s="59" t="s">
        <v>108</v>
      </c>
      <c r="D1100" s="59" t="s">
        <v>241</v>
      </c>
      <c r="E1100" s="362"/>
      <c r="F1100" s="123" t="s">
        <v>5989</v>
      </c>
      <c r="G1100" s="116" t="s">
        <v>5990</v>
      </c>
      <c r="H1100" s="137" t="s">
        <v>242</v>
      </c>
      <c r="I1100" s="314">
        <v>45671.0</v>
      </c>
      <c r="J1100" s="1317">
        <v>45692.0</v>
      </c>
      <c r="K1100" s="122"/>
      <c r="L1100" s="122" t="s">
        <v>5987</v>
      </c>
      <c r="M1100" s="137" t="s">
        <v>5992</v>
      </c>
      <c r="N1100" s="137" t="s">
        <v>5998</v>
      </c>
      <c r="O1100" s="122"/>
      <c r="P1100" s="137" t="str">
        <f> SUBSTITUTE(lower(N1100), "/", "--") &amp;  ".pdf"</f>
        <v>10.1037--0022-3514.94.3.396.pdf</v>
      </c>
      <c r="Q1100" s="49" t="str">
        <f t="array" ref="Q1100"> if(iserror(MATCH(V1100, 'File Links'!C:C, 0)), "N/A", HYPERLINK(INDEX('File Links'!B:B, MATCH(P1100, 'File Links'!C:C, 0))))</f>
        <v>https://drive.google.com/file/d/11YlCMyN4uuL8Bm15aAIWE8inJeqhHaiW/view?usp=drivesdk</v>
      </c>
      <c r="R1100" s="137" t="s">
        <v>5999</v>
      </c>
      <c r="S1100" s="156" t="s">
        <v>3647</v>
      </c>
      <c r="T1100" s="144" t="s">
        <v>131</v>
      </c>
      <c r="U1100" s="144" t="s">
        <v>131</v>
      </c>
      <c r="V1100" s="195" t="str">
        <f t="shared" si="57"/>
        <v>10.1098--rsos.231240.pdf</v>
      </c>
      <c r="W1100" s="137" t="s">
        <v>3658</v>
      </c>
      <c r="X1100" s="51" t="str">
        <f t="array" ref="X1100"> if(iserror(MATCH(V1100, 'File Links'!C:C, 0)), "N/A", HYPERLINK(INDEX('File Links'!B:B, MATCH(V1100, 'File Links'!C:C, 0))))</f>
        <v>https://drive.google.com/file/d/17gaf2Zy_ljFfcAEDk5L8GBnTl5i7RGJE/view?usp=drivesdk</v>
      </c>
      <c r="Y1100" s="122"/>
      <c r="Z1100" s="137" t="s">
        <v>219</v>
      </c>
      <c r="AA1100" s="122"/>
      <c r="AB1100" s="137" t="s">
        <v>6000</v>
      </c>
      <c r="AC1100" s="122"/>
      <c r="AD1100" s="137" t="s">
        <v>5996</v>
      </c>
      <c r="AE1100" s="779">
        <v>401.0</v>
      </c>
      <c r="AF1100" s="779">
        <v>123.0</v>
      </c>
      <c r="AG1100" s="779">
        <v>0.45</v>
      </c>
      <c r="AH1100" s="137" t="s">
        <v>166</v>
      </c>
      <c r="AI1100" s="137" t="s">
        <v>5997</v>
      </c>
      <c r="AJ1100" s="130">
        <v>0.05</v>
      </c>
      <c r="AK1100" s="123" t="s">
        <v>128</v>
      </c>
      <c r="AL1100" s="123" t="s">
        <v>179</v>
      </c>
      <c r="AM1100" s="812" t="s">
        <v>130</v>
      </c>
      <c r="AN1100" s="1313" t="s">
        <v>131</v>
      </c>
      <c r="AO1100" s="779">
        <v>23.0</v>
      </c>
      <c r="AP1100" s="779">
        <v>-0.638230402761701</v>
      </c>
      <c r="AQ1100" s="137" t="s">
        <v>166</v>
      </c>
      <c r="AR1100" s="1313" t="s">
        <v>5571</v>
      </c>
      <c r="AS1100" s="779">
        <v>0.00692284686075806</v>
      </c>
      <c r="AT1100" s="137" t="s">
        <v>165</v>
      </c>
      <c r="AU1100" s="137" t="s">
        <v>179</v>
      </c>
      <c r="AV1100" s="137" t="s">
        <v>1898</v>
      </c>
      <c r="AW1100" s="1314" t="s">
        <v>131</v>
      </c>
      <c r="AX1100" s="137" t="s">
        <v>136</v>
      </c>
      <c r="AZ1100" s="1313" t="s">
        <v>5572</v>
      </c>
    </row>
    <row r="1101">
      <c r="A1101" s="41">
        <v>1101.0</v>
      </c>
      <c r="B1101" s="126" t="s">
        <v>2006</v>
      </c>
      <c r="C1101" s="59" t="s">
        <v>108</v>
      </c>
      <c r="D1101" s="59" t="s">
        <v>138</v>
      </c>
      <c r="E1101" s="362"/>
      <c r="F1101" s="1304" t="s">
        <v>6001</v>
      </c>
      <c r="G1101" s="1305" t="s">
        <v>6002</v>
      </c>
      <c r="H1101" s="1306" t="s">
        <v>5559</v>
      </c>
      <c r="I1101" s="1307">
        <v>45690.0</v>
      </c>
      <c r="J1101" s="1308">
        <v>45692.0</v>
      </c>
      <c r="K1101" s="1304" t="s">
        <v>5643</v>
      </c>
      <c r="L1101" s="1304" t="s">
        <v>6003</v>
      </c>
      <c r="M1101" s="1306" t="s">
        <v>6004</v>
      </c>
      <c r="N1101" s="1306" t="s">
        <v>6005</v>
      </c>
      <c r="O1101" s="1309">
        <v>1.0</v>
      </c>
      <c r="P1101" s="1306" t="s">
        <v>6006</v>
      </c>
      <c r="Q1101" s="49" t="str">
        <f t="array" ref="Q1101"> if(iserror(MATCH(V1101, 'File Links'!C:C, 0)), "N/A", HYPERLINK(INDEX('File Links'!B:B, MATCH(P1101, 'File Links'!C:C, 0))))</f>
        <v>https://drive.google.com/file/d/1tL5SefgazspPrHDE7uspX1rbNInieF1Y/view?usp=drivesdk</v>
      </c>
      <c r="R1101" s="1306" t="s">
        <v>3646</v>
      </c>
      <c r="S1101" s="156" t="s">
        <v>3647</v>
      </c>
      <c r="T1101" s="144" t="s">
        <v>131</v>
      </c>
      <c r="U1101" s="144" t="s">
        <v>131</v>
      </c>
      <c r="V1101" s="195" t="str">
        <f t="shared" si="57"/>
        <v>10.1098--rsos.231240.pdf</v>
      </c>
      <c r="W1101" s="137" t="s">
        <v>317</v>
      </c>
      <c r="X1101" s="51" t="str">
        <f t="array" ref="X1101"> if(iserror(MATCH(V1101, 'File Links'!C:C, 0)), "N/A", HYPERLINK(INDEX('File Links'!B:B, MATCH(V1101, 'File Links'!C:C, 0))))</f>
        <v>https://drive.google.com/file/d/17gaf2Zy_ljFfcAEDk5L8GBnTl5i7RGJE/view?usp=drivesdk</v>
      </c>
      <c r="Y1101" s="1304"/>
      <c r="Z1101" s="1306" t="s">
        <v>141</v>
      </c>
      <c r="AA1101" s="1304" t="s">
        <v>1528</v>
      </c>
      <c r="AB1101" s="1304" t="s">
        <v>6007</v>
      </c>
      <c r="AC1101" s="1306" t="s">
        <v>6008</v>
      </c>
      <c r="AD1101" s="1304" t="s">
        <v>1528</v>
      </c>
      <c r="AE1101" s="1304" t="s">
        <v>1528</v>
      </c>
      <c r="AF1101" s="1309">
        <v>8.0</v>
      </c>
      <c r="AG1101" s="1304" t="s">
        <v>1528</v>
      </c>
      <c r="AH1101" s="164" t="s">
        <v>131</v>
      </c>
      <c r="AI1101" s="1304" t="s">
        <v>1528</v>
      </c>
      <c r="AJ1101" s="1311" t="s">
        <v>1528</v>
      </c>
      <c r="AK1101" s="1312" t="s">
        <v>1528</v>
      </c>
      <c r="AL1101" s="1312" t="s">
        <v>179</v>
      </c>
      <c r="AM1101" s="1304" t="s">
        <v>134</v>
      </c>
      <c r="AN1101" s="1313" t="s">
        <v>131</v>
      </c>
      <c r="AO1101" s="1309">
        <v>315.0</v>
      </c>
      <c r="AP1101" s="1304" t="s">
        <v>1528</v>
      </c>
      <c r="AQ1101" s="126" t="s">
        <v>131</v>
      </c>
      <c r="AR1101" s="1313" t="s">
        <v>5571</v>
      </c>
      <c r="AS1101" s="1304" t="s">
        <v>1528</v>
      </c>
      <c r="AT1101" s="1304" t="s">
        <v>1528</v>
      </c>
      <c r="AU1101" s="1304" t="s">
        <v>179</v>
      </c>
      <c r="AV1101" s="1304" t="s">
        <v>130</v>
      </c>
      <c r="AW1101" s="1314" t="s">
        <v>131</v>
      </c>
      <c r="AX1101" s="1331" t="s">
        <v>136</v>
      </c>
      <c r="AZ1101" s="1313" t="s">
        <v>5572</v>
      </c>
    </row>
    <row r="1102">
      <c r="A1102" s="41">
        <v>1102.0</v>
      </c>
      <c r="B1102" s="126" t="s">
        <v>107</v>
      </c>
      <c r="C1102" s="59" t="s">
        <v>108</v>
      </c>
      <c r="D1102" s="59" t="s">
        <v>241</v>
      </c>
      <c r="E1102" s="362"/>
      <c r="F1102" s="123" t="s">
        <v>6001</v>
      </c>
      <c r="G1102" s="116" t="s">
        <v>6002</v>
      </c>
      <c r="H1102" s="137" t="s">
        <v>242</v>
      </c>
      <c r="I1102" s="314">
        <v>45663.0</v>
      </c>
      <c r="J1102" s="1317">
        <v>45692.0</v>
      </c>
      <c r="K1102" s="137" t="s">
        <v>3676</v>
      </c>
      <c r="L1102" s="122" t="s">
        <v>6003</v>
      </c>
      <c r="M1102" s="137" t="s">
        <v>6004</v>
      </c>
      <c r="N1102" s="137" t="s">
        <v>6005</v>
      </c>
      <c r="O1102" s="122"/>
      <c r="P1102" s="137" t="str">
        <f t="shared" ref="P1102:P1106" si="67"> SUBSTITUTE(lower(N1102), "/", "--") &amp;  ".pdf"</f>
        <v>10.1016--j.visres.2005.04.013.pdf</v>
      </c>
      <c r="Q1102" s="49" t="str">
        <f t="array" ref="Q1102"> if(iserror(MATCH(V1102, 'File Links'!C:C, 0)), "N/A", HYPERLINK(INDEX('File Links'!B:B, MATCH(P1102, 'File Links'!C:C, 0))))</f>
        <v>https://drive.google.com/file/d/1tL5SefgazspPrHDE7uspX1rbNInieF1Y/view?usp=drivesdk</v>
      </c>
      <c r="R1102" s="137" t="s">
        <v>6009</v>
      </c>
      <c r="S1102" s="156" t="s">
        <v>3647</v>
      </c>
      <c r="T1102" s="144" t="s">
        <v>131</v>
      </c>
      <c r="U1102" s="144" t="s">
        <v>131</v>
      </c>
      <c r="V1102" s="195" t="str">
        <f t="shared" si="57"/>
        <v>10.1098--rsos.231240.pdf</v>
      </c>
      <c r="W1102" s="137" t="s">
        <v>317</v>
      </c>
      <c r="X1102" s="51" t="str">
        <f t="array" ref="X1102"> if(iserror(MATCH(V1102, 'File Links'!C:C, 0)), "N/A", HYPERLINK(INDEX('File Links'!B:B, MATCH(V1102, 'File Links'!C:C, 0))))</f>
        <v>https://drive.google.com/file/d/17gaf2Zy_ljFfcAEDk5L8GBnTl5i7RGJE/view?usp=drivesdk</v>
      </c>
      <c r="Y1102" s="122"/>
      <c r="Z1102" s="137" t="s">
        <v>141</v>
      </c>
      <c r="AA1102" s="122"/>
      <c r="AB1102" s="122"/>
      <c r="AC1102" s="122"/>
      <c r="AD1102" s="137" t="s">
        <v>131</v>
      </c>
      <c r="AE1102" s="137" t="s">
        <v>131</v>
      </c>
      <c r="AF1102" s="779">
        <v>8.0</v>
      </c>
      <c r="AG1102" s="137" t="s">
        <v>131</v>
      </c>
      <c r="AH1102" s="122"/>
      <c r="AI1102" s="137" t="s">
        <v>131</v>
      </c>
      <c r="AJ1102" s="220" t="s">
        <v>131</v>
      </c>
      <c r="AK1102" s="129"/>
      <c r="AL1102" s="123" t="s">
        <v>179</v>
      </c>
      <c r="AM1102" s="137" t="s">
        <v>130</v>
      </c>
      <c r="AN1102" s="1313" t="s">
        <v>131</v>
      </c>
      <c r="AO1102" s="779">
        <v>315.0</v>
      </c>
      <c r="AP1102" s="137" t="s">
        <v>131</v>
      </c>
      <c r="AQ1102" s="122"/>
      <c r="AR1102" s="1313" t="s">
        <v>5571</v>
      </c>
      <c r="AS1102" s="137" t="s">
        <v>131</v>
      </c>
      <c r="AT1102" s="122"/>
      <c r="AU1102" s="137" t="s">
        <v>179</v>
      </c>
      <c r="AV1102" s="137" t="s">
        <v>130</v>
      </c>
      <c r="AW1102" s="1314" t="s">
        <v>131</v>
      </c>
      <c r="AX1102" s="667" t="s">
        <v>136</v>
      </c>
      <c r="AZ1102" s="1313" t="s">
        <v>5572</v>
      </c>
    </row>
    <row r="1103">
      <c r="A1103" s="41">
        <v>1103.0</v>
      </c>
      <c r="B1103" s="126" t="s">
        <v>145</v>
      </c>
      <c r="C1103" s="59" t="s">
        <v>108</v>
      </c>
      <c r="D1103" s="59" t="s">
        <v>138</v>
      </c>
      <c r="E1103" s="362"/>
      <c r="F1103" s="1304" t="s">
        <v>6010</v>
      </c>
      <c r="G1103" s="1305" t="s">
        <v>6011</v>
      </c>
      <c r="H1103" s="1306" t="s">
        <v>5559</v>
      </c>
      <c r="I1103" s="1307">
        <v>45690.0</v>
      </c>
      <c r="J1103" s="1308">
        <v>45692.0</v>
      </c>
      <c r="K1103" s="1304"/>
      <c r="L1103" s="1304" t="s">
        <v>5561</v>
      </c>
      <c r="M1103" s="1306" t="s">
        <v>6012</v>
      </c>
      <c r="N1103" s="1304" t="s">
        <v>6013</v>
      </c>
      <c r="O1103" s="1309">
        <v>1.0</v>
      </c>
      <c r="P1103" s="137" t="str">
        <f t="shared" si="67"/>
        <v>10.1016--j.jesp.2020.104080.pdf</v>
      </c>
      <c r="Q1103" s="49" t="str">
        <f t="array" ref="Q1103"> if(iserror(MATCH(V1103, 'File Links'!C:C, 0)), "N/A", HYPERLINK(INDEX('File Links'!B:B, MATCH(P1103, 'File Links'!C:C, 0))))</f>
        <v>https://drive.google.com/file/d/18nULESXZN8TdVjSkyh5ultgqH2EvBSm0/view?usp=drivesdk</v>
      </c>
      <c r="R1103" s="1306" t="s">
        <v>3646</v>
      </c>
      <c r="S1103" s="156" t="s">
        <v>3647</v>
      </c>
      <c r="T1103" s="144" t="s">
        <v>131</v>
      </c>
      <c r="U1103" s="144" t="s">
        <v>131</v>
      </c>
      <c r="V1103" s="195" t="str">
        <f t="shared" si="57"/>
        <v>10.1098--rsos.231240.pdf</v>
      </c>
      <c r="W1103" s="137" t="s">
        <v>3797</v>
      </c>
      <c r="X1103" s="51" t="str">
        <f t="array" ref="X1103"> if(iserror(MATCH(V1103, 'File Links'!C:C, 0)), "N/A", HYPERLINK(INDEX('File Links'!B:B, MATCH(V1103, 'File Links'!C:C, 0))))</f>
        <v>https://drive.google.com/file/d/17gaf2Zy_ljFfcAEDk5L8GBnTl5i7RGJE/view?usp=drivesdk</v>
      </c>
      <c r="Y1103" s="1304"/>
      <c r="Z1103" s="1306" t="s">
        <v>219</v>
      </c>
      <c r="AA1103" s="371" t="s">
        <v>131</v>
      </c>
      <c r="AB1103" s="1304" t="s">
        <v>6014</v>
      </c>
      <c r="AC1103" s="1306" t="s">
        <v>6015</v>
      </c>
      <c r="AD1103" s="1304" t="s">
        <v>6016</v>
      </c>
      <c r="AE1103" s="1333">
        <v>3.0</v>
      </c>
      <c r="AF1103" s="1309">
        <v>199.0</v>
      </c>
      <c r="AG1103" s="1313">
        <v>0.32</v>
      </c>
      <c r="AH1103" s="1313" t="s">
        <v>354</v>
      </c>
      <c r="AI1103" s="1304" t="s">
        <v>500</v>
      </c>
      <c r="AJ1103" s="1316">
        <v>0.001</v>
      </c>
      <c r="AK1103" s="1312" t="s">
        <v>128</v>
      </c>
      <c r="AL1103" s="1312" t="s">
        <v>179</v>
      </c>
      <c r="AM1103" s="1304" t="s">
        <v>130</v>
      </c>
      <c r="AN1103" s="1334" t="s">
        <v>6017</v>
      </c>
      <c r="AO1103" s="1309">
        <v>136.0</v>
      </c>
      <c r="AP1103" s="1313">
        <v>0.457207</v>
      </c>
      <c r="AQ1103" s="1313" t="s">
        <v>354</v>
      </c>
      <c r="AR1103" s="1313" t="s">
        <v>5571</v>
      </c>
      <c r="AS1103" s="1313" t="s">
        <v>131</v>
      </c>
      <c r="AT1103" s="216" t="s">
        <v>131</v>
      </c>
      <c r="AU1103" s="1304" t="s">
        <v>179</v>
      </c>
      <c r="AV1103" s="1304" t="s">
        <v>130</v>
      </c>
      <c r="AW1103" s="1314" t="s">
        <v>131</v>
      </c>
      <c r="AX1103" s="1331" t="s">
        <v>136</v>
      </c>
      <c r="AZ1103" s="1313" t="s">
        <v>5572</v>
      </c>
    </row>
    <row r="1104">
      <c r="A1104" s="41">
        <v>1104.0</v>
      </c>
      <c r="B1104" s="126" t="s">
        <v>107</v>
      </c>
      <c r="C1104" s="59" t="s">
        <v>108</v>
      </c>
      <c r="D1104" s="59" t="s">
        <v>241</v>
      </c>
      <c r="E1104" s="362"/>
      <c r="F1104" s="123" t="s">
        <v>6010</v>
      </c>
      <c r="G1104" s="116" t="s">
        <v>6011</v>
      </c>
      <c r="H1104" s="137" t="s">
        <v>242</v>
      </c>
      <c r="I1104" s="314">
        <v>45666.0</v>
      </c>
      <c r="J1104" s="1317">
        <v>45692.0</v>
      </c>
      <c r="K1104" s="122"/>
      <c r="L1104" s="122" t="s">
        <v>5561</v>
      </c>
      <c r="M1104" s="137" t="s">
        <v>6012</v>
      </c>
      <c r="N1104" s="137" t="s">
        <v>6013</v>
      </c>
      <c r="O1104" s="122"/>
      <c r="P1104" s="137" t="str">
        <f t="shared" si="67"/>
        <v>10.1016--j.jesp.2020.104080.pdf</v>
      </c>
      <c r="Q1104" s="49" t="str">
        <f t="array" ref="Q1104"> if(iserror(MATCH(V1104, 'File Links'!C:C, 0)), "N/A", HYPERLINK(INDEX('File Links'!B:B, MATCH(P1104, 'File Links'!C:C, 0))))</f>
        <v>https://drive.google.com/file/d/18nULESXZN8TdVjSkyh5ultgqH2EvBSm0/view?usp=drivesdk</v>
      </c>
      <c r="R1104" s="137" t="s">
        <v>6018</v>
      </c>
      <c r="S1104" s="156" t="s">
        <v>3647</v>
      </c>
      <c r="T1104" s="144" t="s">
        <v>131</v>
      </c>
      <c r="U1104" s="144" t="s">
        <v>131</v>
      </c>
      <c r="V1104" s="195" t="str">
        <f t="shared" si="57"/>
        <v>10.1098--rsos.231240.pdf</v>
      </c>
      <c r="W1104" s="137" t="s">
        <v>3797</v>
      </c>
      <c r="X1104" s="51" t="str">
        <f t="array" ref="X1104"> if(iserror(MATCH(V1104, 'File Links'!C:C, 0)), "N/A", HYPERLINK(INDEX('File Links'!B:B, MATCH(V1104, 'File Links'!C:C, 0))))</f>
        <v>https://drive.google.com/file/d/17gaf2Zy_ljFfcAEDk5L8GBnTl5i7RGJE/view?usp=drivesdk</v>
      </c>
      <c r="Y1104" s="122"/>
      <c r="Z1104" s="137" t="s">
        <v>219</v>
      </c>
      <c r="AA1104" s="122"/>
      <c r="AB1104" s="122"/>
      <c r="AC1104" s="122"/>
      <c r="AD1104" s="137" t="s">
        <v>6019</v>
      </c>
      <c r="AE1104" s="779">
        <v>3.0</v>
      </c>
      <c r="AF1104" s="779">
        <v>199.0</v>
      </c>
      <c r="AG1104" s="779">
        <v>0.32</v>
      </c>
      <c r="AH1104" s="758" t="s">
        <v>980</v>
      </c>
      <c r="AI1104" s="137" t="s">
        <v>210</v>
      </c>
      <c r="AJ1104" s="130">
        <v>0.001</v>
      </c>
      <c r="AK1104" s="123" t="s">
        <v>128</v>
      </c>
      <c r="AL1104" s="123" t="s">
        <v>179</v>
      </c>
      <c r="AM1104" s="137" t="s">
        <v>1898</v>
      </c>
      <c r="AN1104" s="1341" t="s">
        <v>6017</v>
      </c>
      <c r="AO1104" s="779">
        <v>136.0</v>
      </c>
      <c r="AP1104" s="779">
        <v>0.457207</v>
      </c>
      <c r="AQ1104" s="137" t="s">
        <v>980</v>
      </c>
      <c r="AR1104" s="1313" t="s">
        <v>5571</v>
      </c>
      <c r="AS1104" s="137" t="s">
        <v>131</v>
      </c>
      <c r="AT1104" s="122"/>
      <c r="AU1104" s="137" t="s">
        <v>179</v>
      </c>
      <c r="AV1104" s="137" t="s">
        <v>1898</v>
      </c>
      <c r="AW1104" s="1314" t="s">
        <v>131</v>
      </c>
      <c r="AX1104" s="667" t="s">
        <v>136</v>
      </c>
      <c r="AZ1104" s="1313" t="s">
        <v>5572</v>
      </c>
    </row>
    <row r="1105">
      <c r="A1105" s="41">
        <v>1105.0</v>
      </c>
      <c r="B1105" s="126" t="s">
        <v>145</v>
      </c>
      <c r="C1105" s="59" t="s">
        <v>108</v>
      </c>
      <c r="D1105" s="59" t="s">
        <v>138</v>
      </c>
      <c r="E1105" s="362"/>
      <c r="F1105" s="1304" t="s">
        <v>6020</v>
      </c>
      <c r="G1105" s="1305" t="s">
        <v>6021</v>
      </c>
      <c r="H1105" s="1306" t="s">
        <v>5559</v>
      </c>
      <c r="I1105" s="1307">
        <v>45690.0</v>
      </c>
      <c r="J1105" s="1308">
        <v>45692.0</v>
      </c>
      <c r="K1105" s="1304" t="s">
        <v>5652</v>
      </c>
      <c r="L1105" s="1313" t="s">
        <v>6022</v>
      </c>
      <c r="M1105" s="1306" t="s">
        <v>6023</v>
      </c>
      <c r="N1105" s="1304" t="s">
        <v>6024</v>
      </c>
      <c r="O1105" s="1309">
        <v>1.0</v>
      </c>
      <c r="P1105" s="137" t="str">
        <f t="shared" si="67"/>
        <v>10.1016--j.cognition.2016.06.011.pdf</v>
      </c>
      <c r="Q1105" s="49" t="str">
        <f t="array" ref="Q1105"> if(iserror(MATCH(V1105, 'File Links'!C:C, 0)), "N/A", HYPERLINK(INDEX('File Links'!B:B, MATCH(P1105, 'File Links'!C:C, 0))))</f>
        <v>https://drive.google.com/file/d/117IKlIHBXRWO7KM1helymQPvsGoEIXdX/view?usp=drivesdk</v>
      </c>
      <c r="R1105" s="1306" t="s">
        <v>3646</v>
      </c>
      <c r="S1105" s="156" t="s">
        <v>3647</v>
      </c>
      <c r="T1105" s="144" t="s">
        <v>131</v>
      </c>
      <c r="U1105" s="144" t="s">
        <v>131</v>
      </c>
      <c r="V1105" s="195" t="str">
        <f t="shared" si="57"/>
        <v>10.1098--rsos.231240.pdf</v>
      </c>
      <c r="W1105" s="137" t="s">
        <v>3658</v>
      </c>
      <c r="X1105" s="51" t="str">
        <f t="array" ref="X1105"> if(iserror(MATCH(V1105, 'File Links'!C:C, 0)), "N/A", HYPERLINK(INDEX('File Links'!B:B, MATCH(V1105, 'File Links'!C:C, 0))))</f>
        <v>https://drive.google.com/file/d/17gaf2Zy_ljFfcAEDk5L8GBnTl5i7RGJE/view?usp=drivesdk</v>
      </c>
      <c r="Y1105" s="1304"/>
      <c r="Z1105" s="1306" t="s">
        <v>141</v>
      </c>
      <c r="AA1105" s="1304" t="s">
        <v>6025</v>
      </c>
      <c r="AB1105" s="1304" t="s">
        <v>6026</v>
      </c>
      <c r="AC1105" s="1306" t="s">
        <v>6027</v>
      </c>
      <c r="AD1105" s="1313" t="s">
        <v>6028</v>
      </c>
      <c r="AE1105" s="1304" t="s">
        <v>5713</v>
      </c>
      <c r="AF1105" s="1309">
        <v>147.0</v>
      </c>
      <c r="AG1105" s="1313">
        <v>0.21</v>
      </c>
      <c r="AH1105" s="1313" t="s">
        <v>980</v>
      </c>
      <c r="AI1105" s="1304" t="s">
        <v>6029</v>
      </c>
      <c r="AJ1105" s="1316">
        <v>0.05</v>
      </c>
      <c r="AK1105" s="1312" t="s">
        <v>128</v>
      </c>
      <c r="AL1105" s="1312" t="s">
        <v>179</v>
      </c>
      <c r="AM1105" s="137" t="s">
        <v>134</v>
      </c>
      <c r="AN1105" s="1313" t="s">
        <v>131</v>
      </c>
      <c r="AO1105" s="1309">
        <v>93.0</v>
      </c>
      <c r="AP1105" s="1313">
        <v>0.14</v>
      </c>
      <c r="AQ1105" s="1313" t="s">
        <v>980</v>
      </c>
      <c r="AR1105" s="1313" t="s">
        <v>5571</v>
      </c>
      <c r="AS1105" s="1313" t="s">
        <v>131</v>
      </c>
      <c r="AT1105" s="216" t="s">
        <v>131</v>
      </c>
      <c r="AU1105" s="1304" t="s">
        <v>179</v>
      </c>
      <c r="AV1105" s="137" t="s">
        <v>134</v>
      </c>
      <c r="AW1105" s="1314" t="s">
        <v>131</v>
      </c>
      <c r="AX1105" s="1331" t="s">
        <v>136</v>
      </c>
      <c r="AZ1105" s="1313" t="s">
        <v>5572</v>
      </c>
    </row>
    <row r="1106">
      <c r="A1106" s="41">
        <v>1106.0</v>
      </c>
      <c r="B1106" s="126" t="s">
        <v>107</v>
      </c>
      <c r="C1106" s="59" t="s">
        <v>108</v>
      </c>
      <c r="D1106" s="59" t="s">
        <v>241</v>
      </c>
      <c r="E1106" s="362"/>
      <c r="F1106" s="123" t="s">
        <v>6020</v>
      </c>
      <c r="G1106" s="116" t="s">
        <v>6021</v>
      </c>
      <c r="H1106" s="137" t="s">
        <v>242</v>
      </c>
      <c r="I1106" s="314">
        <v>45666.0</v>
      </c>
      <c r="J1106" s="1317">
        <v>45692.0</v>
      </c>
      <c r="K1106" s="122"/>
      <c r="L1106" s="216" t="s">
        <v>6030</v>
      </c>
      <c r="M1106" s="137" t="s">
        <v>6023</v>
      </c>
      <c r="N1106" s="137" t="s">
        <v>6024</v>
      </c>
      <c r="O1106" s="122"/>
      <c r="P1106" s="137" t="str">
        <f t="shared" si="67"/>
        <v>10.1016--j.cognition.2016.06.011.pdf</v>
      </c>
      <c r="Q1106" s="49" t="str">
        <f t="array" ref="Q1106"> if(iserror(MATCH(V1106, 'File Links'!C:C, 0)), "N/A", HYPERLINK(INDEX('File Links'!B:B, MATCH(P1106, 'File Links'!C:C, 0))))</f>
        <v>https://drive.google.com/file/d/117IKlIHBXRWO7KM1helymQPvsGoEIXdX/view?usp=drivesdk</v>
      </c>
      <c r="R1106" s="137" t="s">
        <v>6031</v>
      </c>
      <c r="S1106" s="156" t="s">
        <v>3647</v>
      </c>
      <c r="T1106" s="144" t="s">
        <v>131</v>
      </c>
      <c r="U1106" s="144" t="s">
        <v>131</v>
      </c>
      <c r="V1106" s="195" t="str">
        <f t="shared" si="57"/>
        <v>10.1098--rsos.231240.pdf</v>
      </c>
      <c r="W1106" s="137" t="s">
        <v>3658</v>
      </c>
      <c r="X1106" s="51" t="str">
        <f t="array" ref="X1106"> if(iserror(MATCH(V1106, 'File Links'!C:C, 0)), "N/A", HYPERLINK(INDEX('File Links'!B:B, MATCH(V1106, 'File Links'!C:C, 0))))</f>
        <v>https://drive.google.com/file/d/17gaf2Zy_ljFfcAEDk5L8GBnTl5i7RGJE/view?usp=drivesdk</v>
      </c>
      <c r="Y1106" s="122"/>
      <c r="Z1106" s="137" t="s">
        <v>141</v>
      </c>
      <c r="AA1106" s="122"/>
      <c r="AB1106" s="137" t="s">
        <v>6032</v>
      </c>
      <c r="AC1106" s="122"/>
      <c r="AD1106" s="137" t="s">
        <v>6033</v>
      </c>
      <c r="AE1106" s="779">
        <v>71.0</v>
      </c>
      <c r="AF1106" s="779">
        <v>147.0</v>
      </c>
      <c r="AG1106" s="779">
        <v>0.21</v>
      </c>
      <c r="AH1106" s="137" t="s">
        <v>980</v>
      </c>
      <c r="AI1106" s="137" t="s">
        <v>6034</v>
      </c>
      <c r="AJ1106" s="130">
        <v>0.05</v>
      </c>
      <c r="AK1106" s="123" t="s">
        <v>128</v>
      </c>
      <c r="AL1106" s="123" t="s">
        <v>129</v>
      </c>
      <c r="AM1106" s="137" t="s">
        <v>134</v>
      </c>
      <c r="AN1106" s="1313" t="s">
        <v>131</v>
      </c>
      <c r="AO1106" s="779">
        <v>93.0</v>
      </c>
      <c r="AP1106" s="779">
        <v>0.14</v>
      </c>
      <c r="AQ1106" s="137" t="s">
        <v>980</v>
      </c>
      <c r="AR1106" s="1313" t="s">
        <v>5571</v>
      </c>
      <c r="AS1106" s="137" t="s">
        <v>131</v>
      </c>
      <c r="AT1106" s="122"/>
      <c r="AU1106" s="137" t="s">
        <v>129</v>
      </c>
      <c r="AV1106" s="137" t="s">
        <v>134</v>
      </c>
      <c r="AW1106" s="1314" t="s">
        <v>131</v>
      </c>
      <c r="AX1106" s="667" t="s">
        <v>136</v>
      </c>
      <c r="AZ1106" s="1313" t="s">
        <v>5572</v>
      </c>
    </row>
    <row r="1107">
      <c r="A1107" s="41">
        <v>1107.0</v>
      </c>
      <c r="B1107" s="126" t="s">
        <v>107</v>
      </c>
      <c r="C1107" s="59" t="s">
        <v>108</v>
      </c>
      <c r="D1107" s="59" t="s">
        <v>138</v>
      </c>
      <c r="E1107" s="362"/>
      <c r="F1107" s="1304" t="s">
        <v>6035</v>
      </c>
      <c r="G1107" s="1305" t="s">
        <v>6036</v>
      </c>
      <c r="H1107" s="1306" t="s">
        <v>5559</v>
      </c>
      <c r="I1107" s="1307">
        <v>45690.0</v>
      </c>
      <c r="J1107" s="1308">
        <v>45692.0</v>
      </c>
      <c r="K1107" s="1304" t="s">
        <v>5910</v>
      </c>
      <c r="L1107" s="1304" t="s">
        <v>5561</v>
      </c>
      <c r="M1107" s="1306" t="s">
        <v>6037</v>
      </c>
      <c r="N1107" s="1306" t="s">
        <v>6038</v>
      </c>
      <c r="O1107" s="1309">
        <v>3.0</v>
      </c>
      <c r="P1107" s="1306" t="s">
        <v>6039</v>
      </c>
      <c r="Q1107" s="49" t="str">
        <f t="array" ref="Q1107"> if(iserror(MATCH(V1107, 'File Links'!C:C, 0)), "N/A", HYPERLINK(INDEX('File Links'!B:B, MATCH(P1107, 'File Links'!C:C, 0))))</f>
        <v>https://drive.google.com/file/d/1W2aCwE3Z8jN-Xdqb3awaTWO-3SquFMRh/view?usp=drivesdk</v>
      </c>
      <c r="R1107" s="1306" t="s">
        <v>3646</v>
      </c>
      <c r="S1107" s="156" t="s">
        <v>3647</v>
      </c>
      <c r="T1107" s="144" t="s">
        <v>131</v>
      </c>
      <c r="U1107" s="144" t="s">
        <v>131</v>
      </c>
      <c r="V1107" s="195" t="str">
        <f t="shared" si="57"/>
        <v>10.1098--rsos.231240.pdf</v>
      </c>
      <c r="W1107" s="137" t="s">
        <v>3658</v>
      </c>
      <c r="X1107" s="51" t="str">
        <f t="array" ref="X1107"> if(iserror(MATCH(V1107, 'File Links'!C:C, 0)), "N/A", HYPERLINK(INDEX('File Links'!B:B, MATCH(V1107, 'File Links'!C:C, 0))))</f>
        <v>https://drive.google.com/file/d/17gaf2Zy_ljFfcAEDk5L8GBnTl5i7RGJE/view?usp=drivesdk</v>
      </c>
      <c r="Y1107" s="1304"/>
      <c r="Z1107" s="1306" t="s">
        <v>219</v>
      </c>
      <c r="AA1107" s="1304" t="s">
        <v>6040</v>
      </c>
      <c r="AB1107" s="1304" t="s">
        <v>6041</v>
      </c>
      <c r="AC1107" s="1306" t="s">
        <v>6042</v>
      </c>
      <c r="AD1107" s="1304" t="s">
        <v>6043</v>
      </c>
      <c r="AE1107" s="1333">
        <v>6.0</v>
      </c>
      <c r="AF1107" s="1309">
        <v>57.0</v>
      </c>
      <c r="AG1107" s="1333">
        <v>0.76</v>
      </c>
      <c r="AH1107" s="1304" t="s">
        <v>166</v>
      </c>
      <c r="AI1107" s="1304" t="s">
        <v>133</v>
      </c>
      <c r="AJ1107" s="1316">
        <v>0.05</v>
      </c>
      <c r="AK1107" s="1312" t="s">
        <v>128</v>
      </c>
      <c r="AL1107" s="1312" t="s">
        <v>179</v>
      </c>
      <c r="AM1107" s="1332" t="s">
        <v>1898</v>
      </c>
      <c r="AN1107" s="1313" t="s">
        <v>131</v>
      </c>
      <c r="AO1107" s="1309">
        <v>60.0</v>
      </c>
      <c r="AP1107" s="1333">
        <v>1.19038369164456</v>
      </c>
      <c r="AQ1107" s="1304" t="s">
        <v>166</v>
      </c>
      <c r="AR1107" s="1313" t="s">
        <v>5571</v>
      </c>
      <c r="AS1107" s="1333">
        <v>0.00292409499639768</v>
      </c>
      <c r="AT1107" s="1304" t="s">
        <v>165</v>
      </c>
      <c r="AU1107" s="1304" t="s">
        <v>179</v>
      </c>
      <c r="AV1107" s="1332" t="s">
        <v>1898</v>
      </c>
      <c r="AW1107" s="1314" t="s">
        <v>131</v>
      </c>
      <c r="AX1107" s="1331" t="s">
        <v>136</v>
      </c>
      <c r="AZ1107" s="1313" t="s">
        <v>5572</v>
      </c>
    </row>
    <row r="1108">
      <c r="A1108" s="41">
        <v>1108.0</v>
      </c>
      <c r="B1108" s="126" t="s">
        <v>145</v>
      </c>
      <c r="C1108" s="59" t="s">
        <v>108</v>
      </c>
      <c r="D1108" s="59" t="s">
        <v>241</v>
      </c>
      <c r="E1108" s="362"/>
      <c r="F1108" s="123" t="s">
        <v>6035</v>
      </c>
      <c r="G1108" s="116" t="s">
        <v>6036</v>
      </c>
      <c r="H1108" s="137" t="s">
        <v>242</v>
      </c>
      <c r="I1108" s="314">
        <v>45666.0</v>
      </c>
      <c r="J1108" s="1317">
        <v>45692.0</v>
      </c>
      <c r="K1108" s="116" t="s">
        <v>6044</v>
      </c>
      <c r="L1108" s="216" t="s">
        <v>6045</v>
      </c>
      <c r="M1108" s="137" t="s">
        <v>6037</v>
      </c>
      <c r="N1108" s="137" t="s">
        <v>6038</v>
      </c>
      <c r="O1108" s="216">
        <v>3.0</v>
      </c>
      <c r="P1108" s="137" t="str">
        <f> SUBSTITUTE(lower(N1108), "/", "--") &amp;  ".pdf"</f>
        <v>10.1177--0956797613494853.pdf</v>
      </c>
      <c r="Q1108" s="49" t="str">
        <f t="array" ref="Q1108"> if(iserror(MATCH(V1108, 'File Links'!C:C, 0)), "N/A", HYPERLINK(INDEX('File Links'!B:B, MATCH(P1108, 'File Links'!C:C, 0))))</f>
        <v>https://drive.google.com/file/d/1W2aCwE3Z8jN-Xdqb3awaTWO-3SquFMRh/view?usp=drivesdk</v>
      </c>
      <c r="R1108" s="137" t="s">
        <v>6046</v>
      </c>
      <c r="S1108" s="156" t="s">
        <v>3647</v>
      </c>
      <c r="T1108" s="144" t="s">
        <v>131</v>
      </c>
      <c r="U1108" s="144" t="s">
        <v>131</v>
      </c>
      <c r="V1108" s="195" t="str">
        <f t="shared" si="57"/>
        <v>10.1098--rsos.231240.pdf</v>
      </c>
      <c r="W1108" s="137" t="s">
        <v>3658</v>
      </c>
      <c r="X1108" s="51" t="str">
        <f t="array" ref="X1108"> if(iserror(MATCH(V1108, 'File Links'!C:C, 0)), "N/A", HYPERLINK(INDEX('File Links'!B:B, MATCH(V1108, 'File Links'!C:C, 0))))</f>
        <v>https://drive.google.com/file/d/17gaf2Zy_ljFfcAEDk5L8GBnTl5i7RGJE/view?usp=drivesdk</v>
      </c>
      <c r="Y1108" s="122"/>
      <c r="Z1108" s="116" t="s">
        <v>141</v>
      </c>
      <c r="AA1108" s="122"/>
      <c r="AB1108" s="137" t="s">
        <v>4336</v>
      </c>
      <c r="AC1108" s="122"/>
      <c r="AD1108" s="137" t="s">
        <v>6047</v>
      </c>
      <c r="AE1108" s="779">
        <v>5.0</v>
      </c>
      <c r="AF1108" s="1348">
        <v>29.0</v>
      </c>
      <c r="AG1108" s="779">
        <v>0.76</v>
      </c>
      <c r="AH1108" s="137" t="s">
        <v>166</v>
      </c>
      <c r="AI1108" s="137" t="s">
        <v>875</v>
      </c>
      <c r="AJ1108" s="1349" t="s">
        <v>131</v>
      </c>
      <c r="AK1108" s="1328" t="s">
        <v>131</v>
      </c>
      <c r="AL1108" s="1355" t="s">
        <v>179</v>
      </c>
      <c r="AM1108" s="137" t="s">
        <v>134</v>
      </c>
      <c r="AN1108" s="1313" t="s">
        <v>131</v>
      </c>
      <c r="AO1108" s="779">
        <v>60.0</v>
      </c>
      <c r="AP1108" s="779">
        <v>1.19038369164456</v>
      </c>
      <c r="AQ1108" s="137" t="s">
        <v>166</v>
      </c>
      <c r="AR1108" s="1313" t="s">
        <v>5571</v>
      </c>
      <c r="AS1108" s="779">
        <v>0.00292409499639768</v>
      </c>
      <c r="AT1108" s="137" t="s">
        <v>165</v>
      </c>
      <c r="AU1108" s="137" t="s">
        <v>179</v>
      </c>
      <c r="AV1108" s="137" t="s">
        <v>134</v>
      </c>
      <c r="AW1108" s="1314" t="s">
        <v>131</v>
      </c>
      <c r="AX1108" s="667" t="s">
        <v>136</v>
      </c>
      <c r="AZ1108" s="1313" t="s">
        <v>5572</v>
      </c>
    </row>
    <row r="1109">
      <c r="A1109" s="41">
        <v>1109.0</v>
      </c>
      <c r="B1109" s="126" t="s">
        <v>145</v>
      </c>
      <c r="C1109" s="59" t="s">
        <v>108</v>
      </c>
      <c r="D1109" s="59" t="s">
        <v>138</v>
      </c>
      <c r="E1109" s="362"/>
      <c r="F1109" s="1304" t="s">
        <v>6048</v>
      </c>
      <c r="G1109" s="1305" t="s">
        <v>6049</v>
      </c>
      <c r="H1109" s="1306" t="s">
        <v>5559</v>
      </c>
      <c r="I1109" s="1307">
        <v>45690.0</v>
      </c>
      <c r="J1109" s="1308">
        <v>45692.0</v>
      </c>
      <c r="K1109" s="1304" t="s">
        <v>5910</v>
      </c>
      <c r="L1109" s="1313" t="s">
        <v>6050</v>
      </c>
      <c r="M1109" s="1306" t="s">
        <v>6051</v>
      </c>
      <c r="N1109" s="1306" t="s">
        <v>6052</v>
      </c>
      <c r="O1109" s="1309">
        <v>1.0</v>
      </c>
      <c r="P1109" s="1306" t="s">
        <v>6053</v>
      </c>
      <c r="Q1109" s="49" t="str">
        <f t="array" ref="Q1109"> if(iserror(MATCH(V1109, 'File Links'!C:C, 0)), "N/A", HYPERLINK(INDEX('File Links'!B:B, MATCH(P1109, 'File Links'!C:C, 0))))</f>
        <v>https://drive.google.com/file/d/1lHQosDuo6gaE1kApTnMYX-PdVa7g5c2f/view?usp=drivesdk</v>
      </c>
      <c r="R1109" s="1306" t="s">
        <v>3646</v>
      </c>
      <c r="S1109" s="156" t="s">
        <v>3647</v>
      </c>
      <c r="T1109" s="144" t="s">
        <v>131</v>
      </c>
      <c r="U1109" s="144" t="s">
        <v>131</v>
      </c>
      <c r="V1109" s="195" t="str">
        <f t="shared" si="57"/>
        <v>10.1098--rsos.231240.pdf</v>
      </c>
      <c r="W1109" s="137" t="s">
        <v>3797</v>
      </c>
      <c r="X1109" s="51" t="str">
        <f t="array" ref="X1109"> if(iserror(MATCH(V1109, 'File Links'!C:C, 0)), "N/A", HYPERLINK(INDEX('File Links'!B:B, MATCH(V1109, 'File Links'!C:C, 0))))</f>
        <v>https://drive.google.com/file/d/17gaf2Zy_ljFfcAEDk5L8GBnTl5i7RGJE/view?usp=drivesdk</v>
      </c>
      <c r="Y1109" s="1304"/>
      <c r="Z1109" s="1306" t="s">
        <v>219</v>
      </c>
      <c r="AA1109" s="1304" t="s">
        <v>6054</v>
      </c>
      <c r="AB1109" s="1304" t="s">
        <v>6055</v>
      </c>
      <c r="AC1109" s="1306" t="s">
        <v>6056</v>
      </c>
      <c r="AD1109" s="1304" t="s">
        <v>6057</v>
      </c>
      <c r="AE1109" s="1304" t="s">
        <v>6058</v>
      </c>
      <c r="AF1109" s="1309">
        <v>101.0</v>
      </c>
      <c r="AG1109" s="1333">
        <v>0.724143923</v>
      </c>
      <c r="AH1109" s="1304" t="s">
        <v>166</v>
      </c>
      <c r="AI1109" s="1313" t="s">
        <v>131</v>
      </c>
      <c r="AJ1109" s="1316">
        <v>0.001</v>
      </c>
      <c r="AK1109" s="1312" t="s">
        <v>128</v>
      </c>
      <c r="AL1109" s="1312" t="s">
        <v>179</v>
      </c>
      <c r="AM1109" s="1328" t="s">
        <v>134</v>
      </c>
      <c r="AN1109" s="1313" t="s">
        <v>131</v>
      </c>
      <c r="AO1109" s="1309">
        <v>55.0</v>
      </c>
      <c r="AP1109" s="1333">
        <v>0.889133895505657</v>
      </c>
      <c r="AQ1109" s="1304" t="s">
        <v>166</v>
      </c>
      <c r="AR1109" s="1313" t="s">
        <v>5571</v>
      </c>
      <c r="AS1109" s="1337">
        <v>2.35092757182492E-8</v>
      </c>
      <c r="AT1109" s="1304" t="s">
        <v>165</v>
      </c>
      <c r="AU1109" s="1304" t="s">
        <v>179</v>
      </c>
      <c r="AV1109" s="1353" t="s">
        <v>134</v>
      </c>
      <c r="AW1109" s="1314" t="s">
        <v>131</v>
      </c>
      <c r="AX1109" s="1331" t="s">
        <v>136</v>
      </c>
      <c r="AZ1109" s="1313" t="s">
        <v>5572</v>
      </c>
    </row>
    <row r="1110">
      <c r="A1110" s="41">
        <v>1110.0</v>
      </c>
      <c r="B1110" s="126" t="s">
        <v>107</v>
      </c>
      <c r="C1110" s="59" t="s">
        <v>108</v>
      </c>
      <c r="D1110" s="59" t="s">
        <v>241</v>
      </c>
      <c r="E1110" s="362"/>
      <c r="F1110" s="123" t="s">
        <v>6048</v>
      </c>
      <c r="G1110" s="116" t="s">
        <v>6049</v>
      </c>
      <c r="H1110" s="137" t="s">
        <v>242</v>
      </c>
      <c r="I1110" s="314">
        <v>45666.0</v>
      </c>
      <c r="J1110" s="1317">
        <v>45692.0</v>
      </c>
      <c r="K1110" s="122"/>
      <c r="L1110" s="122" t="s">
        <v>5561</v>
      </c>
      <c r="M1110" s="137" t="s">
        <v>6051</v>
      </c>
      <c r="N1110" s="137" t="s">
        <v>6052</v>
      </c>
      <c r="O1110" s="122"/>
      <c r="P1110" s="137" t="str">
        <f> SUBSTITUTE(lower(N1110), "/", "--") &amp;  ".pdf"</f>
        <v>10.1177--0956797616640705.pdf</v>
      </c>
      <c r="Q1110" s="49" t="str">
        <f t="array" ref="Q1110"> if(iserror(MATCH(V1110, 'File Links'!C:C, 0)), "N/A", HYPERLINK(INDEX('File Links'!B:B, MATCH(P1110, 'File Links'!C:C, 0))))</f>
        <v>https://drive.google.com/file/d/1lHQosDuo6gaE1kApTnMYX-PdVa7g5c2f/view?usp=drivesdk</v>
      </c>
      <c r="R1110" s="137" t="s">
        <v>6059</v>
      </c>
      <c r="S1110" s="156" t="s">
        <v>3647</v>
      </c>
      <c r="T1110" s="144" t="s">
        <v>131</v>
      </c>
      <c r="U1110" s="144" t="s">
        <v>131</v>
      </c>
      <c r="V1110" s="195" t="str">
        <f t="shared" si="57"/>
        <v>10.1098--rsos.231240.pdf</v>
      </c>
      <c r="W1110" s="137" t="s">
        <v>3797</v>
      </c>
      <c r="X1110" s="51" t="str">
        <f t="array" ref="X1110"> if(iserror(MATCH(V1110, 'File Links'!C:C, 0)), "N/A", HYPERLINK(INDEX('File Links'!B:B, MATCH(V1110, 'File Links'!C:C, 0))))</f>
        <v>https://drive.google.com/file/d/17gaf2Zy_ljFfcAEDk5L8GBnTl5i7RGJE/view?usp=drivesdk</v>
      </c>
      <c r="Y1110" s="122"/>
      <c r="Z1110" s="137" t="s">
        <v>203</v>
      </c>
      <c r="AA1110" s="122"/>
      <c r="AB1110" s="122"/>
      <c r="AC1110" s="122"/>
      <c r="AD1110" s="137" t="s">
        <v>6060</v>
      </c>
      <c r="AE1110" s="779">
        <v>3.0</v>
      </c>
      <c r="AF1110" s="779">
        <v>101.0</v>
      </c>
      <c r="AG1110" s="779">
        <v>0.724143923024744</v>
      </c>
      <c r="AH1110" s="137" t="s">
        <v>166</v>
      </c>
      <c r="AI1110" s="137" t="s">
        <v>500</v>
      </c>
      <c r="AJ1110" s="130">
        <v>0.001</v>
      </c>
      <c r="AK1110" s="123" t="s">
        <v>128</v>
      </c>
      <c r="AL1110" s="123" t="s">
        <v>179</v>
      </c>
      <c r="AM1110" s="137" t="s">
        <v>134</v>
      </c>
      <c r="AN1110" s="1313" t="s">
        <v>131</v>
      </c>
      <c r="AO1110" s="779">
        <v>55.0</v>
      </c>
      <c r="AP1110" s="779">
        <v>0.889133895505657</v>
      </c>
      <c r="AQ1110" s="137" t="s">
        <v>166</v>
      </c>
      <c r="AR1110" s="1313" t="s">
        <v>5571</v>
      </c>
      <c r="AS1110" s="1335">
        <v>2.35092757182492E-8</v>
      </c>
      <c r="AT1110" s="137" t="s">
        <v>165</v>
      </c>
      <c r="AU1110" s="137" t="s">
        <v>179</v>
      </c>
      <c r="AV1110" s="137" t="s">
        <v>134</v>
      </c>
      <c r="AW1110" s="1314" t="s">
        <v>131</v>
      </c>
      <c r="AX1110" s="137" t="s">
        <v>136</v>
      </c>
      <c r="AZ1110" s="1313" t="s">
        <v>5572</v>
      </c>
    </row>
    <row r="1111">
      <c r="A1111" s="41">
        <v>1111.0</v>
      </c>
      <c r="B1111" s="126" t="s">
        <v>145</v>
      </c>
      <c r="C1111" s="59" t="s">
        <v>108</v>
      </c>
      <c r="D1111" s="59" t="s">
        <v>138</v>
      </c>
      <c r="E1111" s="362"/>
      <c r="F1111" s="1304" t="s">
        <v>6061</v>
      </c>
      <c r="G1111" s="1305" t="s">
        <v>6062</v>
      </c>
      <c r="H1111" s="1306" t="s">
        <v>5559</v>
      </c>
      <c r="I1111" s="1307">
        <v>45690.0</v>
      </c>
      <c r="J1111" s="1308">
        <v>45692.0</v>
      </c>
      <c r="K1111" s="1304" t="s">
        <v>6063</v>
      </c>
      <c r="L1111" s="1304" t="s">
        <v>6064</v>
      </c>
      <c r="M1111" s="1306" t="s">
        <v>6065</v>
      </c>
      <c r="N1111" s="1306" t="s">
        <v>6066</v>
      </c>
      <c r="O1111" s="1309">
        <v>1.0</v>
      </c>
      <c r="P1111" s="1306" t="s">
        <v>6067</v>
      </c>
      <c r="Q1111" s="49" t="str">
        <f t="array" ref="Q1111"> if(iserror(MATCH(V1111, 'File Links'!C:C, 0)), "N/A", HYPERLINK(INDEX('File Links'!B:B, MATCH(P1111, 'File Links'!C:C, 0))))</f>
        <v>https://drive.google.com/file/d/1_3kOREsSMo-zmS04srVes69SaYsErPmR/view?usp=drivesdk</v>
      </c>
      <c r="R1111" s="1306" t="s">
        <v>3646</v>
      </c>
      <c r="S1111" s="156" t="s">
        <v>3647</v>
      </c>
      <c r="T1111" s="144" t="s">
        <v>131</v>
      </c>
      <c r="U1111" s="144" t="s">
        <v>131</v>
      </c>
      <c r="V1111" s="195" t="str">
        <f t="shared" si="57"/>
        <v>10.1098--rsos.231240.pdf</v>
      </c>
      <c r="W1111" s="137" t="s">
        <v>3686</v>
      </c>
      <c r="X1111" s="51" t="str">
        <f t="array" ref="X1111"> if(iserror(MATCH(V1111, 'File Links'!C:C, 0)), "N/A", HYPERLINK(INDEX('File Links'!B:B, MATCH(V1111, 'File Links'!C:C, 0))))</f>
        <v>https://drive.google.com/file/d/17gaf2Zy_ljFfcAEDk5L8GBnTl5i7RGJE/view?usp=drivesdk</v>
      </c>
      <c r="Y1111" s="1304"/>
      <c r="Z1111" s="1346" t="s">
        <v>203</v>
      </c>
      <c r="AA1111" s="1304" t="s">
        <v>6068</v>
      </c>
      <c r="AB1111" s="1304" t="s">
        <v>6069</v>
      </c>
      <c r="AC1111" s="1306" t="s">
        <v>6070</v>
      </c>
      <c r="AD1111" s="137" t="s">
        <v>6071</v>
      </c>
      <c r="AE1111" s="779">
        <v>1210.0</v>
      </c>
      <c r="AF1111" s="779">
        <v>484.0</v>
      </c>
      <c r="AG1111" s="222">
        <v>0.07</v>
      </c>
      <c r="AH1111" s="116" t="s">
        <v>980</v>
      </c>
      <c r="AI1111" s="116" t="s">
        <v>6072</v>
      </c>
      <c r="AJ1111" s="222">
        <v>0.01</v>
      </c>
      <c r="AK1111" s="123" t="s">
        <v>128</v>
      </c>
      <c r="AL1111" s="123" t="s">
        <v>179</v>
      </c>
      <c r="AM1111" s="137" t="s">
        <v>130</v>
      </c>
      <c r="AN1111" s="1313" t="s">
        <v>131</v>
      </c>
      <c r="AO1111" s="1309">
        <v>102.0</v>
      </c>
      <c r="AP1111" s="1313" t="s">
        <v>6073</v>
      </c>
      <c r="AQ1111" s="1313" t="s">
        <v>980</v>
      </c>
      <c r="AR1111" s="1313" t="s">
        <v>5571</v>
      </c>
      <c r="AS1111" s="1313" t="s">
        <v>131</v>
      </c>
      <c r="AT1111" s="216" t="s">
        <v>131</v>
      </c>
      <c r="AU1111" s="1304" t="s">
        <v>179</v>
      </c>
      <c r="AV1111" s="1304" t="s">
        <v>130</v>
      </c>
      <c r="AW1111" s="1314" t="s">
        <v>131</v>
      </c>
      <c r="AX1111" s="1331" t="s">
        <v>144</v>
      </c>
      <c r="AZ1111" s="1313" t="s">
        <v>5572</v>
      </c>
    </row>
    <row r="1112">
      <c r="A1112" s="41">
        <v>1112.0</v>
      </c>
      <c r="B1112" s="126" t="s">
        <v>107</v>
      </c>
      <c r="C1112" s="59" t="s">
        <v>108</v>
      </c>
      <c r="D1112" s="59" t="s">
        <v>241</v>
      </c>
      <c r="E1112" s="362"/>
      <c r="F1112" s="123" t="s">
        <v>6061</v>
      </c>
      <c r="G1112" s="116" t="s">
        <v>6062</v>
      </c>
      <c r="H1112" s="137" t="s">
        <v>242</v>
      </c>
      <c r="I1112" s="314">
        <v>45666.0</v>
      </c>
      <c r="J1112" s="1317">
        <v>45692.0</v>
      </c>
      <c r="K1112" s="137" t="s">
        <v>6074</v>
      </c>
      <c r="L1112" s="122" t="s">
        <v>6075</v>
      </c>
      <c r="M1112" s="137" t="s">
        <v>6065</v>
      </c>
      <c r="N1112" s="137" t="s">
        <v>6066</v>
      </c>
      <c r="O1112" s="122"/>
      <c r="P1112" s="1356" t="str">
        <f> SUBSTITUTE(lower(N1112), "/", "--") &amp;  ".pdf"</f>
        <v>10.1111--ecin.12470.pdf</v>
      </c>
      <c r="Q1112" s="49" t="str">
        <f t="array" ref="Q1112"> if(iserror(MATCH(V1112, 'File Links'!C:C, 0)), "N/A", HYPERLINK(INDEX('File Links'!B:B, MATCH(P1112, 'File Links'!C:C, 0))))</f>
        <v>https://drive.google.com/file/d/1_3kOREsSMo-zmS04srVes69SaYsErPmR/view?usp=drivesdk</v>
      </c>
      <c r="R1112" s="137" t="s">
        <v>6076</v>
      </c>
      <c r="S1112" s="156" t="s">
        <v>3647</v>
      </c>
      <c r="T1112" s="144" t="s">
        <v>131</v>
      </c>
      <c r="U1112" s="144" t="s">
        <v>131</v>
      </c>
      <c r="V1112" s="195" t="str">
        <f t="shared" si="57"/>
        <v>10.1098--rsos.231240.pdf</v>
      </c>
      <c r="W1112" s="137" t="s">
        <v>3686</v>
      </c>
      <c r="X1112" s="51" t="str">
        <f t="array" ref="X1112"> if(iserror(MATCH(V1112, 'File Links'!C:C, 0)), "N/A", HYPERLINK(INDEX('File Links'!B:B, MATCH(V1112, 'File Links'!C:C, 0))))</f>
        <v>https://drive.google.com/file/d/17gaf2Zy_ljFfcAEDk5L8GBnTl5i7RGJE/view?usp=drivesdk</v>
      </c>
      <c r="Y1112" s="122"/>
      <c r="Z1112" s="137" t="s">
        <v>203</v>
      </c>
      <c r="AA1112" s="122"/>
      <c r="AB1112" s="122"/>
      <c r="AC1112" s="122"/>
      <c r="AD1112" s="137" t="s">
        <v>6071</v>
      </c>
      <c r="AE1112" s="779">
        <v>1210.0</v>
      </c>
      <c r="AF1112" s="779">
        <v>484.0</v>
      </c>
      <c r="AG1112" s="779">
        <v>0.618</v>
      </c>
      <c r="AH1112" s="137" t="s">
        <v>166</v>
      </c>
      <c r="AI1112" s="137" t="s">
        <v>6077</v>
      </c>
      <c r="AJ1112" s="130">
        <v>0.001</v>
      </c>
      <c r="AK1112" s="123" t="s">
        <v>128</v>
      </c>
      <c r="AL1112" s="123" t="s">
        <v>179</v>
      </c>
      <c r="AM1112" s="137" t="s">
        <v>130</v>
      </c>
      <c r="AN1112" s="1313" t="s">
        <v>131</v>
      </c>
      <c r="AO1112" s="779">
        <v>102.0</v>
      </c>
      <c r="AP1112" s="137" t="s">
        <v>131</v>
      </c>
      <c r="AQ1112" s="122"/>
      <c r="AR1112" s="1313" t="s">
        <v>5571</v>
      </c>
      <c r="AS1112" s="137" t="s">
        <v>131</v>
      </c>
      <c r="AT1112" s="122"/>
      <c r="AU1112" s="137" t="s">
        <v>179</v>
      </c>
      <c r="AV1112" s="137" t="s">
        <v>130</v>
      </c>
      <c r="AW1112" s="1314" t="s">
        <v>131</v>
      </c>
      <c r="AX1112" s="667" t="s">
        <v>136</v>
      </c>
      <c r="AZ1112" s="1313" t="s">
        <v>5572</v>
      </c>
    </row>
    <row r="1113">
      <c r="A1113" s="41">
        <v>1113.0</v>
      </c>
      <c r="B1113" s="65" t="s">
        <v>583</v>
      </c>
      <c r="C1113" s="59" t="s">
        <v>108</v>
      </c>
      <c r="D1113" s="59" t="s">
        <v>138</v>
      </c>
      <c r="E1113" s="362"/>
      <c r="F1113" s="1304" t="s">
        <v>6078</v>
      </c>
      <c r="G1113" s="1305" t="s">
        <v>6079</v>
      </c>
      <c r="H1113" s="1306" t="s">
        <v>5559</v>
      </c>
      <c r="I1113" s="1307">
        <v>45690.0</v>
      </c>
      <c r="J1113" s="1308">
        <v>45692.0</v>
      </c>
      <c r="K1113" s="1304" t="s">
        <v>6080</v>
      </c>
      <c r="L1113" s="1304" t="s">
        <v>6081</v>
      </c>
      <c r="M1113" s="1306" t="s">
        <v>6082</v>
      </c>
      <c r="N1113" s="1306" t="s">
        <v>6083</v>
      </c>
      <c r="O1113" s="1309">
        <v>3.0</v>
      </c>
      <c r="P1113" s="1306" t="s">
        <v>6084</v>
      </c>
      <c r="Q1113" s="49" t="str">
        <f t="array" ref="Q1113"> if(iserror(MATCH(V1113, 'File Links'!C:C, 0)), "N/A", HYPERLINK(INDEX('File Links'!B:B, MATCH(P1113, 'File Links'!C:C, 0))))</f>
        <v>https://drive.google.com/file/d/1lOqUFhZvkowPd-Ne3aczCZ30vQ08jqm-/view?usp=drivesdk</v>
      </c>
      <c r="R1113" s="1306" t="s">
        <v>3646</v>
      </c>
      <c r="S1113" s="156" t="s">
        <v>3647</v>
      </c>
      <c r="T1113" s="144" t="s">
        <v>131</v>
      </c>
      <c r="U1113" s="144" t="s">
        <v>131</v>
      </c>
      <c r="V1113" s="195" t="str">
        <f t="shared" si="57"/>
        <v>10.1098--rsos.231240.pdf</v>
      </c>
      <c r="W1113" s="137" t="s">
        <v>3797</v>
      </c>
      <c r="X1113" s="51" t="str">
        <f t="array" ref="X1113"> if(iserror(MATCH(V1113, 'File Links'!C:C, 0)), "N/A", HYPERLINK(INDEX('File Links'!B:B, MATCH(V1113, 'File Links'!C:C, 0))))</f>
        <v>https://drive.google.com/file/d/17gaf2Zy_ljFfcAEDk5L8GBnTl5i7RGJE/view?usp=drivesdk</v>
      </c>
      <c r="Y1113" s="1304"/>
      <c r="Z1113" s="1346" t="s">
        <v>203</v>
      </c>
      <c r="AA1113" s="1304" t="s">
        <v>6085</v>
      </c>
      <c r="AB1113" s="1304" t="s">
        <v>6086</v>
      </c>
      <c r="AC1113" s="1306" t="s">
        <v>6087</v>
      </c>
      <c r="AD1113" s="1304" t="s">
        <v>6088</v>
      </c>
      <c r="AE1113" s="1333">
        <v>8.0</v>
      </c>
      <c r="AF1113" s="1309">
        <v>108.0</v>
      </c>
      <c r="AG1113" s="1304" t="s">
        <v>6089</v>
      </c>
      <c r="AH1113" s="1304" t="s">
        <v>127</v>
      </c>
      <c r="AI1113" s="1304" t="s">
        <v>5699</v>
      </c>
      <c r="AJ1113" s="1316">
        <v>0.05</v>
      </c>
      <c r="AK1113" s="1312" t="s">
        <v>128</v>
      </c>
      <c r="AL1113" s="1312" t="s">
        <v>179</v>
      </c>
      <c r="AM1113" s="1304" t="s">
        <v>130</v>
      </c>
      <c r="AN1113" s="1357" t="s">
        <v>6090</v>
      </c>
      <c r="AO1113" s="1309">
        <v>110.0</v>
      </c>
      <c r="AP1113" s="1304" t="s">
        <v>6091</v>
      </c>
      <c r="AQ1113" s="1304" t="s">
        <v>127</v>
      </c>
      <c r="AR1113" s="1313" t="s">
        <v>5571</v>
      </c>
      <c r="AS1113" s="1304" t="s">
        <v>1528</v>
      </c>
      <c r="AT1113" s="1304" t="s">
        <v>1528</v>
      </c>
      <c r="AU1113" s="1304" t="s">
        <v>179</v>
      </c>
      <c r="AV1113" s="1304" t="s">
        <v>130</v>
      </c>
      <c r="AW1113" s="1314" t="s">
        <v>131</v>
      </c>
      <c r="AX1113" s="1331" t="s">
        <v>136</v>
      </c>
      <c r="AZ1113" s="1313" t="s">
        <v>5572</v>
      </c>
    </row>
    <row r="1114">
      <c r="A1114" s="41">
        <v>1114.0</v>
      </c>
      <c r="B1114" s="65" t="s">
        <v>583</v>
      </c>
      <c r="C1114" s="59" t="s">
        <v>108</v>
      </c>
      <c r="D1114" s="59" t="s">
        <v>138</v>
      </c>
      <c r="E1114" s="362"/>
      <c r="F1114" s="1304" t="s">
        <v>6078</v>
      </c>
      <c r="G1114" s="1305" t="s">
        <v>6092</v>
      </c>
      <c r="H1114" s="1306" t="s">
        <v>5559</v>
      </c>
      <c r="I1114" s="1307">
        <v>45690.0</v>
      </c>
      <c r="J1114" s="1308">
        <v>45692.0</v>
      </c>
      <c r="K1114" s="1304" t="s">
        <v>6080</v>
      </c>
      <c r="L1114" s="1304" t="s">
        <v>6081</v>
      </c>
      <c r="M1114" s="1306" t="s">
        <v>6082</v>
      </c>
      <c r="N1114" s="1306" t="s">
        <v>6083</v>
      </c>
      <c r="O1114" s="1309">
        <v>3.0</v>
      </c>
      <c r="P1114" s="1306" t="s">
        <v>6084</v>
      </c>
      <c r="Q1114" s="49" t="str">
        <f t="array" ref="Q1114"> if(iserror(MATCH(V1114, 'File Links'!C:C, 0)), "N/A", HYPERLINK(INDEX('File Links'!B:B, MATCH(P1114, 'File Links'!C:C, 0))))</f>
        <v>https://drive.google.com/file/d/1lOqUFhZvkowPd-Ne3aczCZ30vQ08jqm-/view?usp=drivesdk</v>
      </c>
      <c r="R1114" s="1306" t="s">
        <v>3646</v>
      </c>
      <c r="S1114" s="156" t="s">
        <v>3647</v>
      </c>
      <c r="T1114" s="144" t="s">
        <v>131</v>
      </c>
      <c r="U1114" s="144" t="s">
        <v>131</v>
      </c>
      <c r="V1114" s="195" t="str">
        <f t="shared" si="57"/>
        <v>10.1098--rsos.231240.pdf</v>
      </c>
      <c r="W1114" s="137" t="s">
        <v>3797</v>
      </c>
      <c r="X1114" s="51" t="str">
        <f t="array" ref="X1114"> if(iserror(MATCH(V1114, 'File Links'!C:C, 0)), "N/A", HYPERLINK(INDEX('File Links'!B:B, MATCH(V1114, 'File Links'!C:C, 0))))</f>
        <v>https://drive.google.com/file/d/17gaf2Zy_ljFfcAEDk5L8GBnTl5i7RGJE/view?usp=drivesdk</v>
      </c>
      <c r="Y1114" s="1304"/>
      <c r="Z1114" s="1346" t="s">
        <v>203</v>
      </c>
      <c r="AA1114" s="1304" t="s">
        <v>6085</v>
      </c>
      <c r="AB1114" s="1304" t="s">
        <v>6086</v>
      </c>
      <c r="AC1114" s="1306" t="s">
        <v>6093</v>
      </c>
      <c r="AD1114" s="1304" t="s">
        <v>6088</v>
      </c>
      <c r="AE1114" s="1333">
        <v>8.0</v>
      </c>
      <c r="AF1114" s="1309">
        <v>108.0</v>
      </c>
      <c r="AG1114" s="1304" t="s">
        <v>6094</v>
      </c>
      <c r="AH1114" s="1304" t="s">
        <v>127</v>
      </c>
      <c r="AI1114" s="1304" t="s">
        <v>5699</v>
      </c>
      <c r="AJ1114" s="1316">
        <v>0.05</v>
      </c>
      <c r="AK1114" s="1312" t="s">
        <v>128</v>
      </c>
      <c r="AL1114" s="1312" t="s">
        <v>179</v>
      </c>
      <c r="AM1114" s="1304" t="s">
        <v>130</v>
      </c>
      <c r="AN1114" s="1357" t="s">
        <v>6090</v>
      </c>
      <c r="AO1114" s="1309">
        <v>110.0</v>
      </c>
      <c r="AP1114" s="1304" t="s">
        <v>6091</v>
      </c>
      <c r="AQ1114" s="1304" t="s">
        <v>127</v>
      </c>
      <c r="AR1114" s="1313" t="s">
        <v>5571</v>
      </c>
      <c r="AS1114" s="1304" t="s">
        <v>1528</v>
      </c>
      <c r="AT1114" s="1304" t="s">
        <v>1528</v>
      </c>
      <c r="AU1114" s="1304" t="s">
        <v>179</v>
      </c>
      <c r="AV1114" s="1304" t="s">
        <v>130</v>
      </c>
      <c r="AW1114" s="1314" t="s">
        <v>131</v>
      </c>
      <c r="AX1114" s="1304" t="s">
        <v>136</v>
      </c>
      <c r="AZ1114" s="1313" t="s">
        <v>5572</v>
      </c>
    </row>
    <row r="1115">
      <c r="A1115" s="41">
        <v>1115.0</v>
      </c>
      <c r="B1115" s="65" t="s">
        <v>583</v>
      </c>
      <c r="C1115" s="59" t="s">
        <v>108</v>
      </c>
      <c r="D1115" s="59" t="s">
        <v>138</v>
      </c>
      <c r="E1115" s="362"/>
      <c r="F1115" s="1304" t="s">
        <v>6078</v>
      </c>
      <c r="G1115" s="1305" t="s">
        <v>6095</v>
      </c>
      <c r="H1115" s="1306" t="s">
        <v>5559</v>
      </c>
      <c r="I1115" s="1307">
        <v>45690.0</v>
      </c>
      <c r="J1115" s="1308">
        <v>45692.0</v>
      </c>
      <c r="K1115" s="1304" t="s">
        <v>6080</v>
      </c>
      <c r="L1115" s="1304" t="s">
        <v>6081</v>
      </c>
      <c r="M1115" s="1306" t="s">
        <v>6082</v>
      </c>
      <c r="N1115" s="1306" t="s">
        <v>6083</v>
      </c>
      <c r="O1115" s="1309">
        <v>3.0</v>
      </c>
      <c r="P1115" s="1306" t="s">
        <v>6084</v>
      </c>
      <c r="Q1115" s="49" t="str">
        <f t="array" ref="Q1115"> if(iserror(MATCH(V1115, 'File Links'!C:C, 0)), "N/A", HYPERLINK(INDEX('File Links'!B:B, MATCH(P1115, 'File Links'!C:C, 0))))</f>
        <v>https://drive.google.com/file/d/1lOqUFhZvkowPd-Ne3aczCZ30vQ08jqm-/view?usp=drivesdk</v>
      </c>
      <c r="R1115" s="1306" t="s">
        <v>3646</v>
      </c>
      <c r="S1115" s="156" t="s">
        <v>3647</v>
      </c>
      <c r="T1115" s="144" t="s">
        <v>131</v>
      </c>
      <c r="U1115" s="144" t="s">
        <v>131</v>
      </c>
      <c r="V1115" s="195" t="str">
        <f t="shared" si="57"/>
        <v>10.1098--rsos.231240.pdf</v>
      </c>
      <c r="W1115" s="137" t="s">
        <v>3797</v>
      </c>
      <c r="X1115" s="51" t="str">
        <f t="array" ref="X1115"> if(iserror(MATCH(V1115, 'File Links'!C:C, 0)), "N/A", HYPERLINK(INDEX('File Links'!B:B, MATCH(V1115, 'File Links'!C:C, 0))))</f>
        <v>https://drive.google.com/file/d/17gaf2Zy_ljFfcAEDk5L8GBnTl5i7RGJE/view?usp=drivesdk</v>
      </c>
      <c r="Y1115" s="1304"/>
      <c r="Z1115" s="1346" t="s">
        <v>203</v>
      </c>
      <c r="AA1115" s="1304" t="s">
        <v>6085</v>
      </c>
      <c r="AB1115" s="1304" t="s">
        <v>6086</v>
      </c>
      <c r="AC1115" s="1306" t="s">
        <v>6096</v>
      </c>
      <c r="AD1115" s="1304" t="s">
        <v>6088</v>
      </c>
      <c r="AE1115" s="1333">
        <v>8.0</v>
      </c>
      <c r="AF1115" s="1309">
        <v>108.0</v>
      </c>
      <c r="AG1115" s="1304" t="s">
        <v>6097</v>
      </c>
      <c r="AH1115" s="1304" t="s">
        <v>127</v>
      </c>
      <c r="AI1115" s="1304" t="s">
        <v>5699</v>
      </c>
      <c r="AJ1115" s="1316">
        <v>0.05</v>
      </c>
      <c r="AK1115" s="1312" t="s">
        <v>128</v>
      </c>
      <c r="AL1115" s="1312" t="s">
        <v>179</v>
      </c>
      <c r="AM1115" s="1304" t="s">
        <v>130</v>
      </c>
      <c r="AN1115" s="1357" t="s">
        <v>6090</v>
      </c>
      <c r="AO1115" s="1309">
        <v>110.0</v>
      </c>
      <c r="AP1115" s="1304" t="s">
        <v>6091</v>
      </c>
      <c r="AQ1115" s="1304" t="s">
        <v>127</v>
      </c>
      <c r="AR1115" s="1313" t="s">
        <v>5571</v>
      </c>
      <c r="AS1115" s="1304" t="s">
        <v>1528</v>
      </c>
      <c r="AT1115" s="1304" t="s">
        <v>1528</v>
      </c>
      <c r="AU1115" s="1304" t="s">
        <v>179</v>
      </c>
      <c r="AV1115" s="1304" t="s">
        <v>130</v>
      </c>
      <c r="AW1115" s="1314" t="s">
        <v>131</v>
      </c>
      <c r="AX1115" s="1331" t="s">
        <v>136</v>
      </c>
      <c r="AZ1115" s="1313" t="s">
        <v>5572</v>
      </c>
    </row>
    <row r="1116">
      <c r="A1116" s="41">
        <v>1116.0</v>
      </c>
      <c r="B1116" s="65" t="s">
        <v>583</v>
      </c>
      <c r="C1116" s="59" t="s">
        <v>108</v>
      </c>
      <c r="D1116" s="59" t="s">
        <v>138</v>
      </c>
      <c r="E1116" s="362"/>
      <c r="F1116" s="1304" t="s">
        <v>6078</v>
      </c>
      <c r="G1116" s="1305" t="s">
        <v>6098</v>
      </c>
      <c r="H1116" s="1306" t="s">
        <v>5559</v>
      </c>
      <c r="I1116" s="1307">
        <v>45690.0</v>
      </c>
      <c r="J1116" s="1308">
        <v>45692.0</v>
      </c>
      <c r="K1116" s="1304" t="s">
        <v>6080</v>
      </c>
      <c r="L1116" s="1304" t="s">
        <v>6081</v>
      </c>
      <c r="M1116" s="1306" t="s">
        <v>6082</v>
      </c>
      <c r="N1116" s="1306" t="s">
        <v>6083</v>
      </c>
      <c r="O1116" s="1309">
        <v>3.0</v>
      </c>
      <c r="P1116" s="1306" t="s">
        <v>6084</v>
      </c>
      <c r="Q1116" s="49" t="str">
        <f t="array" ref="Q1116"> if(iserror(MATCH(V1116, 'File Links'!C:C, 0)), "N/A", HYPERLINK(INDEX('File Links'!B:B, MATCH(P1116, 'File Links'!C:C, 0))))</f>
        <v>https://drive.google.com/file/d/1lOqUFhZvkowPd-Ne3aczCZ30vQ08jqm-/view?usp=drivesdk</v>
      </c>
      <c r="R1116" s="1306" t="s">
        <v>3646</v>
      </c>
      <c r="S1116" s="156" t="s">
        <v>3647</v>
      </c>
      <c r="T1116" s="144" t="s">
        <v>131</v>
      </c>
      <c r="U1116" s="144" t="s">
        <v>131</v>
      </c>
      <c r="V1116" s="195" t="str">
        <f t="shared" si="57"/>
        <v>10.1098--rsos.231240.pdf</v>
      </c>
      <c r="W1116" s="137" t="s">
        <v>3797</v>
      </c>
      <c r="X1116" s="51" t="str">
        <f t="array" ref="X1116"> if(iserror(MATCH(V1116, 'File Links'!C:C, 0)), "N/A", HYPERLINK(INDEX('File Links'!B:B, MATCH(V1116, 'File Links'!C:C, 0))))</f>
        <v>https://drive.google.com/file/d/17gaf2Zy_ljFfcAEDk5L8GBnTl5i7RGJE/view?usp=drivesdk</v>
      </c>
      <c r="Y1116" s="1304"/>
      <c r="Z1116" s="1346" t="s">
        <v>203</v>
      </c>
      <c r="AA1116" s="1304" t="s">
        <v>6085</v>
      </c>
      <c r="AB1116" s="1304" t="s">
        <v>6086</v>
      </c>
      <c r="AC1116" s="1306" t="s">
        <v>6099</v>
      </c>
      <c r="AD1116" s="1304" t="s">
        <v>6088</v>
      </c>
      <c r="AE1116" s="1333">
        <v>8.0</v>
      </c>
      <c r="AF1116" s="1309">
        <v>108.0</v>
      </c>
      <c r="AG1116" s="1304" t="s">
        <v>6100</v>
      </c>
      <c r="AH1116" s="1304" t="s">
        <v>127</v>
      </c>
      <c r="AI1116" s="1304" t="s">
        <v>5699</v>
      </c>
      <c r="AJ1116" s="1316">
        <v>0.05</v>
      </c>
      <c r="AK1116" s="1312" t="s">
        <v>128</v>
      </c>
      <c r="AL1116" s="1312" t="s">
        <v>179</v>
      </c>
      <c r="AM1116" s="1304" t="s">
        <v>130</v>
      </c>
      <c r="AN1116" s="1357" t="s">
        <v>6090</v>
      </c>
      <c r="AO1116" s="1309">
        <v>110.0</v>
      </c>
      <c r="AP1116" s="1304" t="s">
        <v>6091</v>
      </c>
      <c r="AQ1116" s="1304" t="s">
        <v>127</v>
      </c>
      <c r="AR1116" s="1313" t="s">
        <v>5571</v>
      </c>
      <c r="AS1116" s="1304" t="s">
        <v>1528</v>
      </c>
      <c r="AT1116" s="1304" t="s">
        <v>1528</v>
      </c>
      <c r="AU1116" s="1304" t="s">
        <v>179</v>
      </c>
      <c r="AV1116" s="1304" t="s">
        <v>130</v>
      </c>
      <c r="AW1116" s="1314" t="s">
        <v>131</v>
      </c>
      <c r="AX1116" s="1304" t="s">
        <v>136</v>
      </c>
      <c r="AZ1116" s="1313" t="s">
        <v>5572</v>
      </c>
    </row>
    <row r="1117">
      <c r="A1117" s="41">
        <v>1117.0</v>
      </c>
      <c r="B1117" s="65" t="s">
        <v>583</v>
      </c>
      <c r="C1117" s="59" t="s">
        <v>108</v>
      </c>
      <c r="D1117" s="59" t="s">
        <v>241</v>
      </c>
      <c r="E1117" s="362"/>
      <c r="F1117" s="123" t="s">
        <v>6078</v>
      </c>
      <c r="G1117" s="116" t="s">
        <v>6079</v>
      </c>
      <c r="H1117" s="137" t="s">
        <v>242</v>
      </c>
      <c r="I1117" s="314">
        <v>45666.0</v>
      </c>
      <c r="J1117" s="1317">
        <v>45692.0</v>
      </c>
      <c r="K1117" s="137" t="s">
        <v>6101</v>
      </c>
      <c r="L1117" s="122" t="s">
        <v>6081</v>
      </c>
      <c r="M1117" s="137" t="s">
        <v>6082</v>
      </c>
      <c r="N1117" s="137" t="s">
        <v>6083</v>
      </c>
      <c r="O1117" s="122"/>
      <c r="P1117" s="137" t="str">
        <f t="shared" ref="P1117:P1121" si="68"> SUBSTITUTE(lower(N1117), "/", "--") &amp;  ".pdf"</f>
        <v>10.1145--3290605.3300469.pdf</v>
      </c>
      <c r="Q1117" s="49" t="str">
        <f t="array" ref="Q1117"> if(iserror(MATCH(V1117, 'File Links'!C:C, 0)), "N/A", HYPERLINK(INDEX('File Links'!B:B, MATCH(P1117, 'File Links'!C:C, 0))))</f>
        <v>https://drive.google.com/file/d/1lOqUFhZvkowPd-Ne3aczCZ30vQ08jqm-/view?usp=drivesdk</v>
      </c>
      <c r="R1117" s="137" t="s">
        <v>6102</v>
      </c>
      <c r="S1117" s="156" t="s">
        <v>3647</v>
      </c>
      <c r="T1117" s="144" t="s">
        <v>131</v>
      </c>
      <c r="U1117" s="144" t="s">
        <v>131</v>
      </c>
      <c r="V1117" s="195" t="str">
        <f t="shared" si="57"/>
        <v>10.1098--rsos.231240.pdf</v>
      </c>
      <c r="W1117" s="137" t="s">
        <v>3797</v>
      </c>
      <c r="X1117" s="51" t="str">
        <f t="array" ref="X1117"> if(iserror(MATCH(V1117, 'File Links'!C:C, 0)), "N/A", HYPERLINK(INDEX('File Links'!B:B, MATCH(V1117, 'File Links'!C:C, 0))))</f>
        <v>https://drive.google.com/file/d/17gaf2Zy_ljFfcAEDk5L8GBnTl5i7RGJE/view?usp=drivesdk</v>
      </c>
      <c r="Y1117" s="122"/>
      <c r="Z1117" s="137" t="s">
        <v>203</v>
      </c>
      <c r="AA1117" s="122"/>
      <c r="AB1117" s="122"/>
      <c r="AC1117" s="122"/>
      <c r="AD1117" s="137" t="s">
        <v>6103</v>
      </c>
      <c r="AE1117" s="779">
        <v>8.0</v>
      </c>
      <c r="AF1117" s="493">
        <v>208.0</v>
      </c>
      <c r="AG1117" s="137" t="s">
        <v>131</v>
      </c>
      <c r="AH1117" s="122"/>
      <c r="AI1117" s="137" t="s">
        <v>597</v>
      </c>
      <c r="AJ1117" s="130">
        <v>0.001</v>
      </c>
      <c r="AK1117" s="123" t="s">
        <v>128</v>
      </c>
      <c r="AL1117" s="123" t="s">
        <v>179</v>
      </c>
      <c r="AM1117" s="137" t="s">
        <v>134</v>
      </c>
      <c r="AN1117" s="1341" t="s">
        <v>6104</v>
      </c>
      <c r="AO1117" s="779">
        <v>110.0</v>
      </c>
      <c r="AP1117" s="137" t="s">
        <v>131</v>
      </c>
      <c r="AQ1117" s="122"/>
      <c r="AR1117" s="1313" t="s">
        <v>5571</v>
      </c>
      <c r="AS1117" s="137" t="s">
        <v>131</v>
      </c>
      <c r="AT1117" s="122"/>
      <c r="AU1117" s="137" t="s">
        <v>179</v>
      </c>
      <c r="AV1117" s="137" t="s">
        <v>134</v>
      </c>
      <c r="AW1117" s="1314" t="s">
        <v>131</v>
      </c>
      <c r="AX1117" s="667" t="s">
        <v>136</v>
      </c>
      <c r="AZ1117" s="1313" t="s">
        <v>5572</v>
      </c>
    </row>
    <row r="1118">
      <c r="A1118" s="41">
        <v>1118.0</v>
      </c>
      <c r="B1118" s="126" t="s">
        <v>145</v>
      </c>
      <c r="C1118" s="59" t="s">
        <v>108</v>
      </c>
      <c r="D1118" s="59" t="s">
        <v>138</v>
      </c>
      <c r="E1118" s="362"/>
      <c r="F1118" s="1304" t="s">
        <v>6105</v>
      </c>
      <c r="G1118" s="1305" t="s">
        <v>6106</v>
      </c>
      <c r="H1118" s="1306" t="s">
        <v>5559</v>
      </c>
      <c r="I1118" s="1307">
        <v>45690.0</v>
      </c>
      <c r="J1118" s="1308">
        <v>45692.0</v>
      </c>
      <c r="K1118" s="1304"/>
      <c r="L1118" s="1304" t="s">
        <v>5561</v>
      </c>
      <c r="M1118" s="1306" t="s">
        <v>6107</v>
      </c>
      <c r="N1118" s="1304" t="s">
        <v>6108</v>
      </c>
      <c r="O1118" s="1309">
        <v>5.0</v>
      </c>
      <c r="P1118" s="137" t="str">
        <f t="shared" si="68"/>
        <v>10.1037--xge0001195.pdf</v>
      </c>
      <c r="Q1118" s="49" t="str">
        <f t="array" ref="Q1118"> if(iserror(MATCH(V1118, 'File Links'!C:C, 0)), "N/A", HYPERLINK(INDEX('File Links'!B:B, MATCH(P1118, 'File Links'!C:C, 0))))</f>
        <v>https://drive.google.com/file/d/1v6kgKeSqXz-kIHf5HXexB2cCnGBup8pu/view?usp=drivesdk</v>
      </c>
      <c r="R1118" s="1306" t="s">
        <v>3646</v>
      </c>
      <c r="S1118" s="156" t="s">
        <v>3647</v>
      </c>
      <c r="T1118" s="144" t="s">
        <v>131</v>
      </c>
      <c r="U1118" s="144" t="s">
        <v>131</v>
      </c>
      <c r="V1118" s="195" t="str">
        <f t="shared" si="57"/>
        <v>10.1098--rsos.231240.pdf</v>
      </c>
      <c r="W1118" s="137" t="s">
        <v>3797</v>
      </c>
      <c r="X1118" s="51" t="str">
        <f t="array" ref="X1118"> if(iserror(MATCH(V1118, 'File Links'!C:C, 0)), "N/A", HYPERLINK(INDEX('File Links'!B:B, MATCH(V1118, 'File Links'!C:C, 0))))</f>
        <v>https://drive.google.com/file/d/17gaf2Zy_ljFfcAEDk5L8GBnTl5i7RGJE/view?usp=drivesdk</v>
      </c>
      <c r="Y1118" s="1304"/>
      <c r="Z1118" s="1306" t="s">
        <v>141</v>
      </c>
      <c r="AA1118" s="371" t="s">
        <v>131</v>
      </c>
      <c r="AB1118" s="1304" t="s">
        <v>6109</v>
      </c>
      <c r="AC1118" s="1306" t="s">
        <v>6110</v>
      </c>
      <c r="AD1118" s="1304" t="s">
        <v>6111</v>
      </c>
      <c r="AE1118" s="1304" t="s">
        <v>6112</v>
      </c>
      <c r="AF1118" s="1309">
        <v>144.0</v>
      </c>
      <c r="AG1118" s="1313" t="s">
        <v>6113</v>
      </c>
      <c r="AH1118" s="1313" t="s">
        <v>6114</v>
      </c>
      <c r="AI1118" s="1304" t="s">
        <v>133</v>
      </c>
      <c r="AJ1118" s="1313" t="s">
        <v>131</v>
      </c>
      <c r="AK1118" s="1328" t="s">
        <v>131</v>
      </c>
      <c r="AL1118" s="1312" t="s">
        <v>179</v>
      </c>
      <c r="AM1118" s="1304" t="s">
        <v>130</v>
      </c>
      <c r="AN1118" s="1357" t="s">
        <v>6115</v>
      </c>
      <c r="AO1118" s="1309">
        <v>147.0</v>
      </c>
      <c r="AP1118" s="1313" t="s">
        <v>6116</v>
      </c>
      <c r="AQ1118" s="1313" t="s">
        <v>6114</v>
      </c>
      <c r="AR1118" s="1313" t="s">
        <v>5571</v>
      </c>
      <c r="AS1118" s="1313" t="s">
        <v>131</v>
      </c>
      <c r="AT1118" s="216" t="s">
        <v>131</v>
      </c>
      <c r="AU1118" s="1304" t="s">
        <v>179</v>
      </c>
      <c r="AV1118" s="1304" t="s">
        <v>130</v>
      </c>
      <c r="AW1118" s="1314" t="s">
        <v>131</v>
      </c>
      <c r="AX1118" s="1331" t="s">
        <v>136</v>
      </c>
      <c r="AZ1118" s="1313" t="s">
        <v>5572</v>
      </c>
    </row>
    <row r="1119">
      <c r="A1119" s="41">
        <v>1119.0</v>
      </c>
      <c r="B1119" s="65" t="s">
        <v>107</v>
      </c>
      <c r="C1119" s="59" t="s">
        <v>108</v>
      </c>
      <c r="D1119" s="59" t="s">
        <v>241</v>
      </c>
      <c r="E1119" s="362"/>
      <c r="F1119" s="123" t="s">
        <v>6105</v>
      </c>
      <c r="G1119" s="116" t="s">
        <v>6106</v>
      </c>
      <c r="H1119" s="137" t="s">
        <v>242</v>
      </c>
      <c r="I1119" s="314">
        <v>45666.0</v>
      </c>
      <c r="J1119" s="1317">
        <v>45692.0</v>
      </c>
      <c r="K1119" s="137" t="s">
        <v>3676</v>
      </c>
      <c r="L1119" s="122" t="s">
        <v>5561</v>
      </c>
      <c r="M1119" s="137" t="s">
        <v>6107</v>
      </c>
      <c r="N1119" s="137" t="s">
        <v>6108</v>
      </c>
      <c r="O1119" s="122"/>
      <c r="P1119" s="137" t="str">
        <f t="shared" si="68"/>
        <v>10.1037--xge0001195.pdf</v>
      </c>
      <c r="Q1119" s="49" t="str">
        <f t="array" ref="Q1119"> if(iserror(MATCH(V1119, 'File Links'!C:C, 0)), "N/A", HYPERLINK(INDEX('File Links'!B:B, MATCH(P1119, 'File Links'!C:C, 0))))</f>
        <v>https://drive.google.com/file/d/1v6kgKeSqXz-kIHf5HXexB2cCnGBup8pu/view?usp=drivesdk</v>
      </c>
      <c r="R1119" s="137" t="s">
        <v>6117</v>
      </c>
      <c r="S1119" s="156" t="s">
        <v>3647</v>
      </c>
      <c r="T1119" s="144" t="s">
        <v>131</v>
      </c>
      <c r="U1119" s="144" t="s">
        <v>131</v>
      </c>
      <c r="V1119" s="195" t="str">
        <f t="shared" si="57"/>
        <v>10.1098--rsos.231240.pdf</v>
      </c>
      <c r="W1119" s="137" t="s">
        <v>3797</v>
      </c>
      <c r="X1119" s="51" t="str">
        <f t="array" ref="X1119"> if(iserror(MATCH(V1119, 'File Links'!C:C, 0)), "N/A", HYPERLINK(INDEX('File Links'!B:B, MATCH(V1119, 'File Links'!C:C, 0))))</f>
        <v>https://drive.google.com/file/d/17gaf2Zy_ljFfcAEDk5L8GBnTl5i7RGJE/view?usp=drivesdk</v>
      </c>
      <c r="Y1119" s="122"/>
      <c r="Z1119" s="137" t="s">
        <v>141</v>
      </c>
      <c r="AA1119" s="122"/>
      <c r="AB1119" s="122"/>
      <c r="AC1119" s="122"/>
      <c r="AD1119" s="137" t="s">
        <v>131</v>
      </c>
      <c r="AE1119" s="137" t="s">
        <v>131</v>
      </c>
      <c r="AF1119" s="779">
        <v>144.0</v>
      </c>
      <c r="AG1119" s="122"/>
      <c r="AH1119" s="122"/>
      <c r="AI1119" s="137" t="s">
        <v>131</v>
      </c>
      <c r="AJ1119" s="315"/>
      <c r="AK1119" s="129"/>
      <c r="AL1119" s="123" t="s">
        <v>179</v>
      </c>
      <c r="AM1119" s="137" t="s">
        <v>1898</v>
      </c>
      <c r="AN1119" s="1341" t="s">
        <v>6118</v>
      </c>
      <c r="AO1119" s="779">
        <v>147.0</v>
      </c>
      <c r="AP1119" s="137" t="s">
        <v>131</v>
      </c>
      <c r="AQ1119" s="122"/>
      <c r="AR1119" s="1313" t="s">
        <v>5571</v>
      </c>
      <c r="AS1119" s="137" t="s">
        <v>131</v>
      </c>
      <c r="AT1119" s="122"/>
      <c r="AU1119" s="137" t="s">
        <v>179</v>
      </c>
      <c r="AV1119" s="137" t="s">
        <v>1898</v>
      </c>
      <c r="AW1119" s="1314" t="s">
        <v>131</v>
      </c>
      <c r="AX1119" s="667" t="s">
        <v>136</v>
      </c>
      <c r="AZ1119" s="1313" t="s">
        <v>5572</v>
      </c>
    </row>
    <row r="1120">
      <c r="A1120" s="41">
        <v>1120.0</v>
      </c>
      <c r="B1120" s="126" t="s">
        <v>145</v>
      </c>
      <c r="C1120" s="59" t="s">
        <v>108</v>
      </c>
      <c r="D1120" s="59" t="s">
        <v>138</v>
      </c>
      <c r="E1120" s="362"/>
      <c r="F1120" s="1304" t="s">
        <v>6119</v>
      </c>
      <c r="G1120" s="1305" t="s">
        <v>6120</v>
      </c>
      <c r="H1120" s="1306" t="s">
        <v>5559</v>
      </c>
      <c r="I1120" s="1307">
        <v>45690.0</v>
      </c>
      <c r="J1120" s="1308">
        <v>45692.0</v>
      </c>
      <c r="K1120" s="1304"/>
      <c r="L1120" s="1313" t="s">
        <v>6121</v>
      </c>
      <c r="M1120" s="1306" t="s">
        <v>6122</v>
      </c>
      <c r="N1120" s="1304" t="s">
        <v>6123</v>
      </c>
      <c r="O1120" s="1309">
        <v>2.0</v>
      </c>
      <c r="P1120" s="137" t="str">
        <f t="shared" si="68"/>
        <v>10.1016--j.jml.2006.02.004.pdf</v>
      </c>
      <c r="Q1120" s="49" t="str">
        <f t="array" ref="Q1120"> if(iserror(MATCH(V1120, 'File Links'!C:C, 0)), "N/A", HYPERLINK(INDEX('File Links'!B:B, MATCH(P1120, 'File Links'!C:C, 0))))</f>
        <v>https://drive.google.com/file/d/1e5Wm6ChazDKUJftaKFfLoaBKNbaofYfP/view?usp=drivesdk</v>
      </c>
      <c r="R1120" s="1306" t="s">
        <v>3646</v>
      </c>
      <c r="S1120" s="156" t="s">
        <v>3647</v>
      </c>
      <c r="T1120" s="144" t="s">
        <v>131</v>
      </c>
      <c r="U1120" s="144" t="s">
        <v>131</v>
      </c>
      <c r="V1120" s="195" t="str">
        <f t="shared" si="57"/>
        <v>10.1098--rsos.231240.pdf</v>
      </c>
      <c r="W1120" s="137" t="s">
        <v>317</v>
      </c>
      <c r="X1120" s="51" t="str">
        <f t="array" ref="X1120"> if(iserror(MATCH(V1120, 'File Links'!C:C, 0)), "N/A", HYPERLINK(INDEX('File Links'!B:B, MATCH(V1120, 'File Links'!C:C, 0))))</f>
        <v>https://drive.google.com/file/d/17gaf2Zy_ljFfcAEDk5L8GBnTl5i7RGJE/view?usp=drivesdk</v>
      </c>
      <c r="Y1120" s="1304"/>
      <c r="Z1120" s="1306" t="s">
        <v>141</v>
      </c>
      <c r="AA1120" s="371" t="s">
        <v>131</v>
      </c>
      <c r="AB1120" s="1304" t="s">
        <v>6124</v>
      </c>
      <c r="AC1120" s="1306" t="s">
        <v>6125</v>
      </c>
      <c r="AD1120" s="1304" t="s">
        <v>6126</v>
      </c>
      <c r="AE1120" s="1304" t="s">
        <v>5953</v>
      </c>
      <c r="AF1120" s="1309">
        <v>60.0</v>
      </c>
      <c r="AG1120" s="1349" t="s">
        <v>6127</v>
      </c>
      <c r="AH1120" s="1328" t="s">
        <v>127</v>
      </c>
      <c r="AI1120" s="137" t="s">
        <v>1881</v>
      </c>
      <c r="AJ1120" s="130">
        <v>0.001</v>
      </c>
      <c r="AK1120" s="123" t="s">
        <v>128</v>
      </c>
      <c r="AL1120" s="123" t="s">
        <v>179</v>
      </c>
      <c r="AM1120" s="137" t="s">
        <v>134</v>
      </c>
      <c r="AN1120" s="1313" t="s">
        <v>131</v>
      </c>
      <c r="AO1120" s="1309">
        <v>39.0</v>
      </c>
      <c r="AP1120" s="1333">
        <v>0.256674071435679</v>
      </c>
      <c r="AQ1120" s="1304" t="s">
        <v>166</v>
      </c>
      <c r="AR1120" s="1313" t="s">
        <v>5571</v>
      </c>
      <c r="AS1120" s="1333">
        <v>0.0281747341040883</v>
      </c>
      <c r="AT1120" s="1304" t="s">
        <v>165</v>
      </c>
      <c r="AU1120" s="1304" t="s">
        <v>179</v>
      </c>
      <c r="AV1120" s="137" t="s">
        <v>134</v>
      </c>
      <c r="AW1120" s="1314" t="s">
        <v>131</v>
      </c>
      <c r="AX1120" s="1331" t="s">
        <v>136</v>
      </c>
      <c r="AZ1120" s="1313" t="s">
        <v>5572</v>
      </c>
    </row>
    <row r="1121">
      <c r="A1121" s="41">
        <v>1121.0</v>
      </c>
      <c r="B1121" s="126" t="s">
        <v>107</v>
      </c>
      <c r="C1121" s="59" t="s">
        <v>108</v>
      </c>
      <c r="D1121" s="59" t="s">
        <v>241</v>
      </c>
      <c r="E1121" s="362"/>
      <c r="F1121" s="123" t="s">
        <v>6119</v>
      </c>
      <c r="G1121" s="116" t="s">
        <v>6120</v>
      </c>
      <c r="H1121" s="137" t="s">
        <v>242</v>
      </c>
      <c r="I1121" s="314">
        <v>45666.0</v>
      </c>
      <c r="J1121" s="1317">
        <v>45692.0</v>
      </c>
      <c r="K1121" s="122"/>
      <c r="L1121" s="122" t="s">
        <v>5561</v>
      </c>
      <c r="M1121" s="137" t="s">
        <v>6122</v>
      </c>
      <c r="N1121" s="137" t="s">
        <v>6123</v>
      </c>
      <c r="O1121" s="122"/>
      <c r="P1121" s="137" t="str">
        <f t="shared" si="68"/>
        <v>10.1016--j.jml.2006.02.004.pdf</v>
      </c>
      <c r="Q1121" s="49" t="str">
        <f t="array" ref="Q1121"> if(iserror(MATCH(V1121, 'File Links'!C:C, 0)), "N/A", HYPERLINK(INDEX('File Links'!B:B, MATCH(P1121, 'File Links'!C:C, 0))))</f>
        <v>https://drive.google.com/file/d/1e5Wm6ChazDKUJftaKFfLoaBKNbaofYfP/view?usp=drivesdk</v>
      </c>
      <c r="R1121" s="137" t="s">
        <v>6128</v>
      </c>
      <c r="S1121" s="156" t="s">
        <v>3647</v>
      </c>
      <c r="T1121" s="144" t="s">
        <v>131</v>
      </c>
      <c r="U1121" s="144" t="s">
        <v>131</v>
      </c>
      <c r="V1121" s="195" t="str">
        <f t="shared" si="57"/>
        <v>10.1098--rsos.231240.pdf</v>
      </c>
      <c r="W1121" s="137" t="s">
        <v>317</v>
      </c>
      <c r="X1121" s="51" t="str">
        <f t="array" ref="X1121"> if(iserror(MATCH(V1121, 'File Links'!C:C, 0)), "N/A", HYPERLINK(INDEX('File Links'!B:B, MATCH(V1121, 'File Links'!C:C, 0))))</f>
        <v>https://drive.google.com/file/d/17gaf2Zy_ljFfcAEDk5L8GBnTl5i7RGJE/view?usp=drivesdk</v>
      </c>
      <c r="Y1121" s="122"/>
      <c r="Z1121" s="137" t="s">
        <v>141</v>
      </c>
      <c r="AA1121" s="122"/>
      <c r="AB1121" s="137" t="s">
        <v>6129</v>
      </c>
      <c r="AC1121" s="122"/>
      <c r="AD1121" s="116" t="s">
        <v>6130</v>
      </c>
      <c r="AE1121" s="137" t="s">
        <v>6131</v>
      </c>
      <c r="AF1121" s="779">
        <v>60.0</v>
      </c>
      <c r="AG1121" s="375" t="s">
        <v>6132</v>
      </c>
      <c r="AH1121" s="116" t="s">
        <v>127</v>
      </c>
      <c r="AI1121" s="137" t="s">
        <v>1881</v>
      </c>
      <c r="AJ1121" s="130">
        <v>0.001</v>
      </c>
      <c r="AK1121" s="123" t="s">
        <v>128</v>
      </c>
      <c r="AL1121" s="123" t="s">
        <v>179</v>
      </c>
      <c r="AM1121" s="137" t="s">
        <v>134</v>
      </c>
      <c r="AN1121" s="1313" t="s">
        <v>131</v>
      </c>
      <c r="AO1121" s="779">
        <v>39.0</v>
      </c>
      <c r="AP1121" s="779">
        <v>0.256674071435679</v>
      </c>
      <c r="AQ1121" s="137" t="s">
        <v>166</v>
      </c>
      <c r="AR1121" s="1313" t="s">
        <v>5571</v>
      </c>
      <c r="AS1121" s="779">
        <v>0.0281747341040883</v>
      </c>
      <c r="AT1121" s="137" t="s">
        <v>165</v>
      </c>
      <c r="AU1121" s="137" t="s">
        <v>179</v>
      </c>
      <c r="AV1121" s="137" t="s">
        <v>134</v>
      </c>
      <c r="AW1121" s="1314" t="s">
        <v>131</v>
      </c>
      <c r="AX1121" s="667" t="s">
        <v>136</v>
      </c>
      <c r="AZ1121" s="1313" t="s">
        <v>5572</v>
      </c>
    </row>
    <row r="1122">
      <c r="A1122" s="41">
        <v>1122.0</v>
      </c>
      <c r="B1122" s="126" t="s">
        <v>107</v>
      </c>
      <c r="C1122" s="59" t="s">
        <v>108</v>
      </c>
      <c r="D1122" s="59" t="s">
        <v>138</v>
      </c>
      <c r="E1122" s="362"/>
      <c r="F1122" s="1304" t="s">
        <v>6133</v>
      </c>
      <c r="G1122" s="1305" t="s">
        <v>6134</v>
      </c>
      <c r="H1122" s="1306" t="s">
        <v>5559</v>
      </c>
      <c r="I1122" s="1307">
        <v>45690.0</v>
      </c>
      <c r="J1122" s="1308">
        <v>45692.0</v>
      </c>
      <c r="K1122" s="1304" t="s">
        <v>5910</v>
      </c>
      <c r="L1122" s="1304" t="s">
        <v>5561</v>
      </c>
      <c r="M1122" s="1306" t="s">
        <v>6135</v>
      </c>
      <c r="N1122" s="1306" t="s">
        <v>6136</v>
      </c>
      <c r="O1122" s="1309">
        <v>3.0</v>
      </c>
      <c r="P1122" s="1306" t="s">
        <v>6137</v>
      </c>
      <c r="Q1122" s="49" t="str">
        <f t="array" ref="Q1122"> if(iserror(MATCH(V1122, 'File Links'!C:C, 0)), "N/A", HYPERLINK(INDEX('File Links'!B:B, MATCH(P1122, 'File Links'!C:C, 0))))</f>
        <v>https://drive.google.com/file/d/14l2Iyllp2BRKK4GUgjOnaxtE-5V5_oxZ/view?usp=drivesdk</v>
      </c>
      <c r="R1122" s="1306" t="s">
        <v>3646</v>
      </c>
      <c r="S1122" s="156" t="s">
        <v>3647</v>
      </c>
      <c r="T1122" s="144" t="s">
        <v>131</v>
      </c>
      <c r="U1122" s="144" t="s">
        <v>131</v>
      </c>
      <c r="V1122" s="195" t="str">
        <f t="shared" si="57"/>
        <v>10.1098--rsos.231240.pdf</v>
      </c>
      <c r="W1122" s="137" t="s">
        <v>3797</v>
      </c>
      <c r="X1122" s="51" t="str">
        <f t="array" ref="X1122"> if(iserror(MATCH(V1122, 'File Links'!C:C, 0)), "N/A", HYPERLINK(INDEX('File Links'!B:B, MATCH(V1122, 'File Links'!C:C, 0))))</f>
        <v>https://drive.google.com/file/d/17gaf2Zy_ljFfcAEDk5L8GBnTl5i7RGJE/view?usp=drivesdk</v>
      </c>
      <c r="Y1122" s="1304"/>
      <c r="Z1122" s="1306" t="s">
        <v>219</v>
      </c>
      <c r="AA1122" s="1304" t="s">
        <v>1528</v>
      </c>
      <c r="AB1122" s="1304" t="s">
        <v>6138</v>
      </c>
      <c r="AC1122" s="1306" t="s">
        <v>6139</v>
      </c>
      <c r="AD1122" s="1304" t="s">
        <v>6140</v>
      </c>
      <c r="AE1122" s="1304" t="s">
        <v>5611</v>
      </c>
      <c r="AF1122" s="1309">
        <v>451.0</v>
      </c>
      <c r="AG1122" s="1333">
        <v>0.106</v>
      </c>
      <c r="AH1122" s="1304" t="s">
        <v>132</v>
      </c>
      <c r="AI1122" s="1304" t="s">
        <v>125</v>
      </c>
      <c r="AJ1122" s="1337">
        <v>0.001</v>
      </c>
      <c r="AK1122" s="1312" t="s">
        <v>128</v>
      </c>
      <c r="AL1122" s="1312" t="s">
        <v>179</v>
      </c>
      <c r="AM1122" s="1304" t="s">
        <v>130</v>
      </c>
      <c r="AN1122" s="1313" t="s">
        <v>131</v>
      </c>
      <c r="AO1122" s="1309">
        <v>338.0</v>
      </c>
      <c r="AP1122" s="1333">
        <v>0.0817102066054265</v>
      </c>
      <c r="AQ1122" s="1304" t="s">
        <v>166</v>
      </c>
      <c r="AR1122" s="1313" t="s">
        <v>5571</v>
      </c>
      <c r="AS1122" s="1333">
        <v>0.134553425569185</v>
      </c>
      <c r="AT1122" s="1304" t="s">
        <v>165</v>
      </c>
      <c r="AU1122" s="1304" t="s">
        <v>179</v>
      </c>
      <c r="AV1122" s="1304" t="s">
        <v>130</v>
      </c>
      <c r="AW1122" s="1314" t="s">
        <v>131</v>
      </c>
      <c r="AX1122" s="1331" t="s">
        <v>136</v>
      </c>
      <c r="AZ1122" s="1313" t="s">
        <v>5572</v>
      </c>
    </row>
    <row r="1123">
      <c r="A1123" s="41">
        <v>1123.0</v>
      </c>
      <c r="B1123" s="126" t="s">
        <v>145</v>
      </c>
      <c r="C1123" s="59" t="s">
        <v>108</v>
      </c>
      <c r="D1123" s="59" t="s">
        <v>241</v>
      </c>
      <c r="E1123" s="362"/>
      <c r="F1123" s="123" t="s">
        <v>6133</v>
      </c>
      <c r="G1123" s="116" t="s">
        <v>6134</v>
      </c>
      <c r="H1123" s="137" t="s">
        <v>242</v>
      </c>
      <c r="I1123" s="314">
        <v>45666.0</v>
      </c>
      <c r="J1123" s="1317">
        <v>45692.0</v>
      </c>
      <c r="K1123" s="122"/>
      <c r="L1123" s="216" t="s">
        <v>6141</v>
      </c>
      <c r="M1123" s="137" t="s">
        <v>6135</v>
      </c>
      <c r="N1123" s="137" t="s">
        <v>6136</v>
      </c>
      <c r="O1123" s="122"/>
      <c r="P1123" s="137" t="str">
        <f t="shared" ref="P1123:P1124" si="69"> SUBSTITUTE(lower(N1123), "/", "--") &amp;  ".pdf"</f>
        <v>10.1177--0956797616685771.pdf</v>
      </c>
      <c r="Q1123" s="49" t="str">
        <f t="array" ref="Q1123"> if(iserror(MATCH(V1123, 'File Links'!C:C, 0)), "N/A", HYPERLINK(INDEX('File Links'!B:B, MATCH(P1123, 'File Links'!C:C, 0))))</f>
        <v>https://drive.google.com/file/d/14l2Iyllp2BRKK4GUgjOnaxtE-5V5_oxZ/view?usp=drivesdk</v>
      </c>
      <c r="R1123" s="137" t="s">
        <v>6142</v>
      </c>
      <c r="S1123" s="156" t="s">
        <v>3647</v>
      </c>
      <c r="T1123" s="144" t="s">
        <v>131</v>
      </c>
      <c r="U1123" s="144" t="s">
        <v>131</v>
      </c>
      <c r="V1123" s="195" t="str">
        <f t="shared" si="57"/>
        <v>10.1098--rsos.231240.pdf</v>
      </c>
      <c r="W1123" s="137" t="s">
        <v>3797</v>
      </c>
      <c r="X1123" s="51" t="str">
        <f t="array" ref="X1123"> if(iserror(MATCH(V1123, 'File Links'!C:C, 0)), "N/A", HYPERLINK(INDEX('File Links'!B:B, MATCH(V1123, 'File Links'!C:C, 0))))</f>
        <v>https://drive.google.com/file/d/17gaf2Zy_ljFfcAEDk5L8GBnTl5i7RGJE/view?usp=drivesdk</v>
      </c>
      <c r="Y1123" s="122"/>
      <c r="Z1123" s="137" t="s">
        <v>219</v>
      </c>
      <c r="AA1123" s="122"/>
      <c r="AB1123" s="122"/>
      <c r="AC1123" s="122"/>
      <c r="AD1123" s="116" t="s">
        <v>6143</v>
      </c>
      <c r="AE1123" s="1304" t="s">
        <v>5611</v>
      </c>
      <c r="AF1123" s="779">
        <v>451.0</v>
      </c>
      <c r="AG1123" s="755">
        <v>-0.26</v>
      </c>
      <c r="AH1123" s="137" t="s">
        <v>166</v>
      </c>
      <c r="AI1123" s="116" t="s">
        <v>6144</v>
      </c>
      <c r="AJ1123" s="130">
        <v>0.025</v>
      </c>
      <c r="AK1123" s="123" t="s">
        <v>165</v>
      </c>
      <c r="AL1123" s="123" t="s">
        <v>179</v>
      </c>
      <c r="AM1123" s="137" t="s">
        <v>130</v>
      </c>
      <c r="AN1123" s="1313" t="s">
        <v>131</v>
      </c>
      <c r="AO1123" s="779">
        <v>338.0</v>
      </c>
      <c r="AP1123" s="779">
        <v>0.0817102066054265</v>
      </c>
      <c r="AQ1123" s="137" t="s">
        <v>166</v>
      </c>
      <c r="AR1123" s="1313" t="s">
        <v>5571</v>
      </c>
      <c r="AS1123" s="1358">
        <v>0.134553425569185</v>
      </c>
      <c r="AT1123" s="137" t="s">
        <v>165</v>
      </c>
      <c r="AU1123" s="137" t="s">
        <v>179</v>
      </c>
      <c r="AV1123" s="137" t="s">
        <v>130</v>
      </c>
      <c r="AW1123" s="1314" t="s">
        <v>131</v>
      </c>
      <c r="AX1123" s="667" t="s">
        <v>136</v>
      </c>
      <c r="AZ1123" s="1313" t="s">
        <v>5572</v>
      </c>
    </row>
    <row r="1124">
      <c r="A1124" s="41">
        <v>1124.0</v>
      </c>
      <c r="B1124" s="126" t="s">
        <v>145</v>
      </c>
      <c r="C1124" s="59" t="s">
        <v>108</v>
      </c>
      <c r="D1124" s="59" t="s">
        <v>241</v>
      </c>
      <c r="E1124" s="362"/>
      <c r="F1124" s="123" t="s">
        <v>6133</v>
      </c>
      <c r="G1124" s="116" t="s">
        <v>6145</v>
      </c>
      <c r="H1124" s="137" t="s">
        <v>242</v>
      </c>
      <c r="I1124" s="314">
        <v>45666.0</v>
      </c>
      <c r="J1124" s="1317">
        <v>45692.0</v>
      </c>
      <c r="K1124" s="122"/>
      <c r="L1124" s="216" t="s">
        <v>6141</v>
      </c>
      <c r="M1124" s="137" t="s">
        <v>6135</v>
      </c>
      <c r="N1124" s="137" t="s">
        <v>6136</v>
      </c>
      <c r="O1124" s="122"/>
      <c r="P1124" s="137" t="str">
        <f t="shared" si="69"/>
        <v>10.1177--0956797616685771.pdf</v>
      </c>
      <c r="Q1124" s="49" t="str">
        <f t="array" ref="Q1124"> if(iserror(MATCH(V1124, 'File Links'!C:C, 0)), "N/A", HYPERLINK(INDEX('File Links'!B:B, MATCH(P1124, 'File Links'!C:C, 0))))</f>
        <v>https://drive.google.com/file/d/14l2Iyllp2BRKK4GUgjOnaxtE-5V5_oxZ/view?usp=drivesdk</v>
      </c>
      <c r="R1124" s="137" t="s">
        <v>6146</v>
      </c>
      <c r="S1124" s="156" t="s">
        <v>3647</v>
      </c>
      <c r="T1124" s="144" t="s">
        <v>131</v>
      </c>
      <c r="U1124" s="144" t="s">
        <v>131</v>
      </c>
      <c r="V1124" s="195" t="str">
        <f t="shared" si="57"/>
        <v>10.1098--rsos.231240.pdf</v>
      </c>
      <c r="W1124" s="137" t="s">
        <v>3797</v>
      </c>
      <c r="X1124" s="51" t="str">
        <f t="array" ref="X1124"> if(iserror(MATCH(V1124, 'File Links'!C:C, 0)), "N/A", HYPERLINK(INDEX('File Links'!B:B, MATCH(V1124, 'File Links'!C:C, 0))))</f>
        <v>https://drive.google.com/file/d/17gaf2Zy_ljFfcAEDk5L8GBnTl5i7RGJE/view?usp=drivesdk</v>
      </c>
      <c r="Y1124" s="122"/>
      <c r="Z1124" s="137" t="s">
        <v>219</v>
      </c>
      <c r="AA1124" s="122"/>
      <c r="AB1124" s="122"/>
      <c r="AC1124" s="122"/>
      <c r="AD1124" s="116" t="s">
        <v>6147</v>
      </c>
      <c r="AE1124" s="1304" t="s">
        <v>5611</v>
      </c>
      <c r="AF1124" s="779">
        <v>457.0</v>
      </c>
      <c r="AG1124" s="755">
        <v>-0.88</v>
      </c>
      <c r="AH1124" s="137" t="s">
        <v>166</v>
      </c>
      <c r="AI1124" s="137" t="s">
        <v>617</v>
      </c>
      <c r="AJ1124" s="130">
        <v>0.001</v>
      </c>
      <c r="AK1124" s="123" t="s">
        <v>128</v>
      </c>
      <c r="AL1124" s="123" t="s">
        <v>179</v>
      </c>
      <c r="AM1124" s="137" t="s">
        <v>134</v>
      </c>
      <c r="AN1124" s="1313" t="s">
        <v>131</v>
      </c>
      <c r="AO1124" s="779">
        <v>300.0</v>
      </c>
      <c r="AP1124" s="222">
        <v>-0.91</v>
      </c>
      <c r="AQ1124" s="137" t="s">
        <v>166</v>
      </c>
      <c r="AR1124" s="1313" t="s">
        <v>6148</v>
      </c>
      <c r="AS1124" s="1358">
        <v>5.12986065631356E-41</v>
      </c>
      <c r="AT1124" s="137" t="s">
        <v>165</v>
      </c>
      <c r="AU1124" s="137" t="s">
        <v>179</v>
      </c>
      <c r="AV1124" s="137" t="s">
        <v>134</v>
      </c>
      <c r="AW1124" s="1314" t="s">
        <v>131</v>
      </c>
      <c r="AX1124" s="667" t="s">
        <v>136</v>
      </c>
      <c r="AZ1124" s="1313" t="s">
        <v>5572</v>
      </c>
    </row>
    <row r="1125">
      <c r="A1125" s="41">
        <v>1125.0</v>
      </c>
      <c r="B1125" s="126" t="s">
        <v>145</v>
      </c>
      <c r="C1125" s="59" t="s">
        <v>108</v>
      </c>
      <c r="D1125" s="59" t="s">
        <v>138</v>
      </c>
      <c r="E1125" s="362"/>
      <c r="F1125" s="1304" t="s">
        <v>6149</v>
      </c>
      <c r="G1125" s="1305" t="s">
        <v>6150</v>
      </c>
      <c r="H1125" s="1306" t="s">
        <v>5559</v>
      </c>
      <c r="I1125" s="1307">
        <v>45690.0</v>
      </c>
      <c r="J1125" s="1308">
        <v>45692.0</v>
      </c>
      <c r="K1125" s="1304" t="s">
        <v>5910</v>
      </c>
      <c r="L1125" s="1304" t="s">
        <v>5561</v>
      </c>
      <c r="M1125" s="1306" t="s">
        <v>6135</v>
      </c>
      <c r="N1125" s="1306" t="s">
        <v>6136</v>
      </c>
      <c r="O1125" s="1309">
        <v>4.0</v>
      </c>
      <c r="P1125" s="1306" t="s">
        <v>6137</v>
      </c>
      <c r="Q1125" s="49" t="str">
        <f t="array" ref="Q1125"> if(iserror(MATCH(V1125, 'File Links'!C:C, 0)), "N/A", HYPERLINK(INDEX('File Links'!B:B, MATCH(P1125, 'File Links'!C:C, 0))))</f>
        <v>https://drive.google.com/file/d/14l2Iyllp2BRKK4GUgjOnaxtE-5V5_oxZ/view?usp=drivesdk</v>
      </c>
      <c r="R1125" s="1306" t="s">
        <v>3646</v>
      </c>
      <c r="S1125" s="156" t="s">
        <v>3647</v>
      </c>
      <c r="T1125" s="144" t="s">
        <v>131</v>
      </c>
      <c r="U1125" s="144" t="s">
        <v>131</v>
      </c>
      <c r="V1125" s="195" t="str">
        <f t="shared" si="57"/>
        <v>10.1098--rsos.231240.pdf</v>
      </c>
      <c r="W1125" s="137" t="s">
        <v>3797</v>
      </c>
      <c r="X1125" s="51" t="str">
        <f t="array" ref="X1125"> if(iserror(MATCH(V1125, 'File Links'!C:C, 0)), "N/A", HYPERLINK(INDEX('File Links'!B:B, MATCH(V1125, 'File Links'!C:C, 0))))</f>
        <v>https://drive.google.com/file/d/17gaf2Zy_ljFfcAEDk5L8GBnTl5i7RGJE/view?usp=drivesdk</v>
      </c>
      <c r="Y1125" s="1304"/>
      <c r="Z1125" s="1306" t="s">
        <v>219</v>
      </c>
      <c r="AA1125" s="1304" t="s">
        <v>1528</v>
      </c>
      <c r="AB1125" s="1304" t="s">
        <v>6138</v>
      </c>
      <c r="AC1125" s="1306" t="s">
        <v>6139</v>
      </c>
      <c r="AD1125" s="1304" t="s">
        <v>6151</v>
      </c>
      <c r="AE1125" s="1333">
        <v>9.0</v>
      </c>
      <c r="AF1125" s="1309">
        <v>457.0</v>
      </c>
      <c r="AG1125" s="1333">
        <v>0.137</v>
      </c>
      <c r="AH1125" s="1304" t="s">
        <v>132</v>
      </c>
      <c r="AI1125" s="1304" t="s">
        <v>621</v>
      </c>
      <c r="AJ1125" s="1337">
        <v>0.001</v>
      </c>
      <c r="AK1125" s="1312" t="s">
        <v>128</v>
      </c>
      <c r="AL1125" s="1312" t="s">
        <v>179</v>
      </c>
      <c r="AM1125" s="1304" t="s">
        <v>130</v>
      </c>
      <c r="AN1125" s="1313" t="s">
        <v>131</v>
      </c>
      <c r="AO1125" s="1309">
        <v>300.0</v>
      </c>
      <c r="AP1125" s="1333">
        <v>0.909813508242608</v>
      </c>
      <c r="AQ1125" s="1304" t="s">
        <v>166</v>
      </c>
      <c r="AR1125" s="1313" t="s">
        <v>5571</v>
      </c>
      <c r="AS1125" s="1337">
        <v>5.12986065631356E-41</v>
      </c>
      <c r="AT1125" s="1304" t="s">
        <v>165</v>
      </c>
      <c r="AU1125" s="1304" t="s">
        <v>179</v>
      </c>
      <c r="AV1125" s="1304" t="s">
        <v>130</v>
      </c>
      <c r="AW1125" s="1314" t="s">
        <v>131</v>
      </c>
      <c r="AX1125" s="1331" t="s">
        <v>136</v>
      </c>
      <c r="AZ1125" s="1313" t="s">
        <v>5572</v>
      </c>
    </row>
    <row r="1126">
      <c r="A1126" s="41">
        <v>1126.0</v>
      </c>
      <c r="B1126" s="126" t="s">
        <v>145</v>
      </c>
      <c r="C1126" s="59" t="s">
        <v>108</v>
      </c>
      <c r="D1126" s="59" t="s">
        <v>138</v>
      </c>
      <c r="E1126" s="362"/>
      <c r="F1126" s="1304" t="s">
        <v>6152</v>
      </c>
      <c r="G1126" s="1305" t="s">
        <v>6153</v>
      </c>
      <c r="H1126" s="1306" t="s">
        <v>5559</v>
      </c>
      <c r="I1126" s="1307">
        <v>45690.0</v>
      </c>
      <c r="J1126" s="1308">
        <v>45692.0</v>
      </c>
      <c r="K1126" s="1304"/>
      <c r="L1126" s="1304" t="s">
        <v>6154</v>
      </c>
      <c r="M1126" s="1306" t="s">
        <v>6155</v>
      </c>
      <c r="N1126" s="1306" t="s">
        <v>6156</v>
      </c>
      <c r="O1126" s="1306" t="s">
        <v>6157</v>
      </c>
      <c r="P1126" s="1306" t="s">
        <v>6158</v>
      </c>
      <c r="Q1126" s="49" t="str">
        <f t="array" ref="Q1126"> if(iserror(MATCH(V1126, 'File Links'!C:C, 0)), "N/A", HYPERLINK(INDEX('File Links'!B:B, MATCH(P1126, 'File Links'!C:C, 0))))</f>
        <v>https://drive.google.com/file/d/1sQ8SgRlBMbqW6PR-9YQps9sVh-rL9tXw/view?usp=drivesdk</v>
      </c>
      <c r="R1126" s="1306" t="s">
        <v>3646</v>
      </c>
      <c r="S1126" s="156" t="s">
        <v>3647</v>
      </c>
      <c r="T1126" s="144" t="s">
        <v>131</v>
      </c>
      <c r="U1126" s="144" t="s">
        <v>131</v>
      </c>
      <c r="V1126" s="195" t="str">
        <f t="shared" si="57"/>
        <v>10.1098--rsos.231240.pdf</v>
      </c>
      <c r="W1126" s="137" t="s">
        <v>3797</v>
      </c>
      <c r="X1126" s="51" t="str">
        <f t="array" ref="X1126"> if(iserror(MATCH(V1126, 'File Links'!C:C, 0)), "N/A", HYPERLINK(INDEX('File Links'!B:B, MATCH(V1126, 'File Links'!C:C, 0))))</f>
        <v>https://drive.google.com/file/d/17gaf2Zy_ljFfcAEDk5L8GBnTl5i7RGJE/view?usp=drivesdk</v>
      </c>
      <c r="Y1126" s="1304"/>
      <c r="Z1126" s="1306" t="s">
        <v>219</v>
      </c>
      <c r="AA1126" s="371" t="s">
        <v>131</v>
      </c>
      <c r="AB1126" s="1304" t="s">
        <v>6159</v>
      </c>
      <c r="AC1126" s="1306" t="s">
        <v>6160</v>
      </c>
      <c r="AD1126" s="1304" t="s">
        <v>6161</v>
      </c>
      <c r="AE1126" s="1304" t="s">
        <v>6162</v>
      </c>
      <c r="AF1126" s="1309">
        <v>327.0</v>
      </c>
      <c r="AG1126" s="1333">
        <v>0.44</v>
      </c>
      <c r="AH1126" s="1304" t="s">
        <v>166</v>
      </c>
      <c r="AI1126" s="1304" t="s">
        <v>606</v>
      </c>
      <c r="AJ1126" s="1337">
        <v>0.006</v>
      </c>
      <c r="AK1126" s="1312" t="s">
        <v>165</v>
      </c>
      <c r="AL1126" s="1312" t="s">
        <v>179</v>
      </c>
      <c r="AM1126" s="1304" t="s">
        <v>130</v>
      </c>
      <c r="AN1126" s="1313" t="s">
        <v>131</v>
      </c>
      <c r="AO1126" s="1309">
        <v>292.0</v>
      </c>
      <c r="AP1126" s="1333">
        <v>0.0550913677484325</v>
      </c>
      <c r="AQ1126" s="1304" t="s">
        <v>166</v>
      </c>
      <c r="AR1126" s="1313" t="s">
        <v>5571</v>
      </c>
      <c r="AS1126" s="1333">
        <v>0.348108250387705</v>
      </c>
      <c r="AT1126" s="1304" t="s">
        <v>165</v>
      </c>
      <c r="AU1126" s="1304" t="s">
        <v>179</v>
      </c>
      <c r="AV1126" s="1304" t="s">
        <v>130</v>
      </c>
      <c r="AW1126" s="1314" t="s">
        <v>131</v>
      </c>
      <c r="AX1126" s="1331" t="s">
        <v>136</v>
      </c>
      <c r="AZ1126" s="1313" t="s">
        <v>5572</v>
      </c>
    </row>
    <row r="1127">
      <c r="A1127" s="41">
        <v>1127.0</v>
      </c>
      <c r="B1127" s="126" t="s">
        <v>107</v>
      </c>
      <c r="C1127" s="59" t="s">
        <v>108</v>
      </c>
      <c r="D1127" s="59" t="s">
        <v>241</v>
      </c>
      <c r="E1127" s="362"/>
      <c r="F1127" s="123" t="s">
        <v>6152</v>
      </c>
      <c r="G1127" s="116" t="s">
        <v>6153</v>
      </c>
      <c r="H1127" s="137" t="s">
        <v>242</v>
      </c>
      <c r="I1127" s="314">
        <v>45663.0</v>
      </c>
      <c r="J1127" s="1317">
        <v>45692.0</v>
      </c>
      <c r="K1127" s="122"/>
      <c r="L1127" s="122" t="s">
        <v>6154</v>
      </c>
      <c r="M1127" s="137" t="s">
        <v>6155</v>
      </c>
      <c r="N1127" s="1359" t="s">
        <v>6156</v>
      </c>
      <c r="O1127" s="122"/>
      <c r="P1127" s="137" t="str">
        <f> SUBSTITUTE(lower(N1127), "/", "--") &amp;  ".pdf"</f>
        <v>10.1177--0146167215580776.pdf</v>
      </c>
      <c r="Q1127" s="49" t="str">
        <f t="array" ref="Q1127"> if(iserror(MATCH(V1127, 'File Links'!C:C, 0)), "N/A", HYPERLINK(INDEX('File Links'!B:B, MATCH(P1127, 'File Links'!C:C, 0))))</f>
        <v>https://drive.google.com/file/d/1sQ8SgRlBMbqW6PR-9YQps9sVh-rL9tXw/view?usp=drivesdk</v>
      </c>
      <c r="R1127" s="137" t="s">
        <v>6163</v>
      </c>
      <c r="S1127" s="156" t="s">
        <v>3647</v>
      </c>
      <c r="T1127" s="144" t="s">
        <v>131</v>
      </c>
      <c r="U1127" s="144" t="s">
        <v>131</v>
      </c>
      <c r="V1127" s="195" t="str">
        <f t="shared" si="57"/>
        <v>10.1098--rsos.231240.pdf</v>
      </c>
      <c r="W1127" s="137" t="s">
        <v>3797</v>
      </c>
      <c r="X1127" s="51" t="str">
        <f t="array" ref="X1127"> if(iserror(MATCH(V1127, 'File Links'!C:C, 0)), "N/A", HYPERLINK(INDEX('File Links'!B:B, MATCH(V1127, 'File Links'!C:C, 0))))</f>
        <v>https://drive.google.com/file/d/17gaf2Zy_ljFfcAEDk5L8GBnTl5i7RGJE/view?usp=drivesdk</v>
      </c>
      <c r="Y1127" s="122"/>
      <c r="Z1127" s="137" t="s">
        <v>219</v>
      </c>
      <c r="AA1127" s="122"/>
      <c r="AB1127" s="122"/>
      <c r="AC1127" s="122"/>
      <c r="AD1127" s="137" t="s">
        <v>6164</v>
      </c>
      <c r="AE1127" s="779">
        <v>829.0</v>
      </c>
      <c r="AF1127" s="779">
        <v>327.0</v>
      </c>
      <c r="AG1127" s="779">
        <v>0.44</v>
      </c>
      <c r="AH1127" s="137" t="s">
        <v>166</v>
      </c>
      <c r="AI1127" s="137" t="s">
        <v>6165</v>
      </c>
      <c r="AJ1127" s="130">
        <v>0.006</v>
      </c>
      <c r="AK1127" s="123" t="s">
        <v>165</v>
      </c>
      <c r="AL1127" s="123" t="s">
        <v>179</v>
      </c>
      <c r="AM1127" s="137" t="s">
        <v>134</v>
      </c>
      <c r="AN1127" s="1313" t="s">
        <v>131</v>
      </c>
      <c r="AO1127" s="779">
        <v>292.0</v>
      </c>
      <c r="AP1127" s="779">
        <v>0.0550913677484325</v>
      </c>
      <c r="AQ1127" s="137" t="s">
        <v>166</v>
      </c>
      <c r="AR1127" s="1313" t="s">
        <v>5571</v>
      </c>
      <c r="AS1127" s="779">
        <v>0.348108250387705</v>
      </c>
      <c r="AT1127" s="137" t="s">
        <v>165</v>
      </c>
      <c r="AU1127" s="137" t="s">
        <v>179</v>
      </c>
      <c r="AV1127" s="137" t="s">
        <v>134</v>
      </c>
      <c r="AW1127" s="1314" t="s">
        <v>131</v>
      </c>
      <c r="AX1127" s="667" t="s">
        <v>136</v>
      </c>
      <c r="AZ1127" s="1313" t="s">
        <v>5572</v>
      </c>
    </row>
    <row r="1128">
      <c r="A1128" s="41">
        <v>1128.0</v>
      </c>
      <c r="B1128" s="126" t="s">
        <v>145</v>
      </c>
      <c r="C1128" s="59" t="s">
        <v>108</v>
      </c>
      <c r="D1128" s="59" t="s">
        <v>1451</v>
      </c>
      <c r="E1128" s="362"/>
      <c r="F1128" s="1304" t="s">
        <v>6166</v>
      </c>
      <c r="G1128" s="1305" t="s">
        <v>6167</v>
      </c>
      <c r="H1128" s="1306" t="s">
        <v>5559</v>
      </c>
      <c r="I1128" s="1307">
        <v>45690.0</v>
      </c>
      <c r="J1128" s="1308">
        <v>45692.0</v>
      </c>
      <c r="K1128" s="1304" t="s">
        <v>6168</v>
      </c>
      <c r="L1128" s="1313" t="s">
        <v>6169</v>
      </c>
      <c r="M1128" s="1306" t="s">
        <v>6170</v>
      </c>
      <c r="N1128" s="1306" t="s">
        <v>6171</v>
      </c>
      <c r="O1128" s="1309">
        <v>2.0</v>
      </c>
      <c r="P1128" s="1306" t="s">
        <v>6172</v>
      </c>
      <c r="Q1128" s="49" t="str">
        <f t="array" ref="Q1128"> if(iserror(MATCH(V1128, 'File Links'!C:C, 0)), "N/A", HYPERLINK(INDEX('File Links'!B:B, MATCH(P1128, 'File Links'!C:C, 0))))</f>
        <v>https://drive.google.com/file/d/1AFvmNMhSk-QV-2cVhQI1IIbAhqjPhXWN/view?usp=drivesdk</v>
      </c>
      <c r="R1128" s="1306" t="s">
        <v>3646</v>
      </c>
      <c r="S1128" s="156" t="s">
        <v>3647</v>
      </c>
      <c r="T1128" s="144" t="s">
        <v>131</v>
      </c>
      <c r="U1128" s="144" t="s">
        <v>131</v>
      </c>
      <c r="V1128" s="195" t="str">
        <f t="shared" si="57"/>
        <v>10.1098--rsos.231240.pdf</v>
      </c>
      <c r="W1128" s="137" t="s">
        <v>3686</v>
      </c>
      <c r="X1128" s="51" t="str">
        <f t="array" ref="X1128"> if(iserror(MATCH(V1128, 'File Links'!C:C, 0)), "N/A", HYPERLINK(INDEX('File Links'!B:B, MATCH(V1128, 'File Links'!C:C, 0))))</f>
        <v>https://drive.google.com/file/d/17gaf2Zy_ljFfcAEDk5L8GBnTl5i7RGJE/view?usp=drivesdk</v>
      </c>
      <c r="Y1128" s="1304"/>
      <c r="Z1128" s="1346" t="s">
        <v>1802</v>
      </c>
      <c r="AA1128" s="371" t="s">
        <v>131</v>
      </c>
      <c r="AB1128" s="1304" t="s">
        <v>6173</v>
      </c>
      <c r="AC1128" s="1306" t="s">
        <v>6174</v>
      </c>
      <c r="AD1128" s="1304" t="s">
        <v>6175</v>
      </c>
      <c r="AE1128" s="1304" t="s">
        <v>6176</v>
      </c>
      <c r="AF1128" s="1309">
        <v>413.0</v>
      </c>
      <c r="AG1128" s="1333">
        <v>0.2017478108</v>
      </c>
      <c r="AH1128" s="1304" t="s">
        <v>166</v>
      </c>
      <c r="AI1128" s="1313" t="s">
        <v>131</v>
      </c>
      <c r="AJ1128" s="1316">
        <v>0.0409984059452884</v>
      </c>
      <c r="AK1128" s="1312" t="s">
        <v>165</v>
      </c>
      <c r="AL1128" s="1312" t="s">
        <v>179</v>
      </c>
      <c r="AM1128" s="1304" t="s">
        <v>130</v>
      </c>
      <c r="AN1128" s="1313" t="s">
        <v>131</v>
      </c>
      <c r="AO1128" s="1309">
        <v>188.0</v>
      </c>
      <c r="AP1128" s="1333">
        <v>-0.12765697549428</v>
      </c>
      <c r="AQ1128" s="1304" t="s">
        <v>166</v>
      </c>
      <c r="AR1128" s="1313" t="s">
        <v>5571</v>
      </c>
      <c r="AS1128" s="1333">
        <v>0.424197305150009</v>
      </c>
      <c r="AT1128" s="1304" t="s">
        <v>165</v>
      </c>
      <c r="AU1128" s="1304" t="s">
        <v>179</v>
      </c>
      <c r="AV1128" s="1304" t="s">
        <v>130</v>
      </c>
      <c r="AW1128" s="1314" t="s">
        <v>131</v>
      </c>
      <c r="AX1128" s="1360" t="s">
        <v>144</v>
      </c>
      <c r="AZ1128" s="1313" t="s">
        <v>5572</v>
      </c>
    </row>
    <row r="1129">
      <c r="A1129" s="41">
        <v>1129.0</v>
      </c>
      <c r="B1129" s="126" t="s">
        <v>107</v>
      </c>
      <c r="C1129" s="59" t="s">
        <v>108</v>
      </c>
      <c r="D1129" s="59" t="s">
        <v>6177</v>
      </c>
      <c r="E1129" s="362"/>
      <c r="F1129" s="123" t="s">
        <v>6166</v>
      </c>
      <c r="G1129" s="116" t="s">
        <v>6167</v>
      </c>
      <c r="H1129" s="137" t="s">
        <v>242</v>
      </c>
      <c r="I1129" s="314">
        <v>45666.0</v>
      </c>
      <c r="J1129" s="1317">
        <v>45692.0</v>
      </c>
      <c r="K1129" s="122"/>
      <c r="L1129" s="122" t="s">
        <v>5561</v>
      </c>
      <c r="M1129" s="137" t="s">
        <v>6170</v>
      </c>
      <c r="N1129" s="137" t="s">
        <v>6171</v>
      </c>
      <c r="O1129" s="122"/>
      <c r="P1129" s="137" t="str">
        <f> SUBSTITUTE(lower(N1129), "/", "--") &amp;  ".pdf"</f>
        <v>10.1287--orsc.2021.1456.pdf</v>
      </c>
      <c r="Q1129" s="49" t="str">
        <f t="array" ref="Q1129"> if(iserror(MATCH(V1129, 'File Links'!C:C, 0)), "N/A", HYPERLINK(INDEX('File Links'!B:B, MATCH(P1129, 'File Links'!C:C, 0))))</f>
        <v>https://drive.google.com/file/d/1AFvmNMhSk-QV-2cVhQI1IIbAhqjPhXWN/view?usp=drivesdk</v>
      </c>
      <c r="R1129" s="137" t="s">
        <v>6178</v>
      </c>
      <c r="S1129" s="156" t="s">
        <v>3647</v>
      </c>
      <c r="T1129" s="144" t="s">
        <v>131</v>
      </c>
      <c r="U1129" s="144" t="s">
        <v>131</v>
      </c>
      <c r="V1129" s="195" t="str">
        <f t="shared" si="57"/>
        <v>10.1098--rsos.231240.pdf</v>
      </c>
      <c r="W1129" s="137" t="s">
        <v>3686</v>
      </c>
      <c r="X1129" s="51" t="str">
        <f t="array" ref="X1129"> if(iserror(MATCH(V1129, 'File Links'!C:C, 0)), "N/A", HYPERLINK(INDEX('File Links'!B:B, MATCH(V1129, 'File Links'!C:C, 0))))</f>
        <v>https://drive.google.com/file/d/17gaf2Zy_ljFfcAEDk5L8GBnTl5i7RGJE/view?usp=drivesdk</v>
      </c>
      <c r="Y1129" s="122"/>
      <c r="Z1129" s="137" t="s">
        <v>1802</v>
      </c>
      <c r="AA1129" s="122"/>
      <c r="AB1129" s="122"/>
      <c r="AC1129" s="122"/>
      <c r="AD1129" s="137" t="s">
        <v>6179</v>
      </c>
      <c r="AE1129" s="779">
        <v>730.0</v>
      </c>
      <c r="AF1129" s="779">
        <v>413.0</v>
      </c>
      <c r="AG1129" s="779">
        <v>0.2017478108351</v>
      </c>
      <c r="AH1129" s="137" t="s">
        <v>166</v>
      </c>
      <c r="AI1129" s="137" t="s">
        <v>6180</v>
      </c>
      <c r="AJ1129" s="130">
        <v>0.04</v>
      </c>
      <c r="AK1129" s="123" t="s">
        <v>165</v>
      </c>
      <c r="AL1129" s="123" t="s">
        <v>179</v>
      </c>
      <c r="AM1129" s="137" t="s">
        <v>130</v>
      </c>
      <c r="AN1129" s="1313" t="s">
        <v>131</v>
      </c>
      <c r="AO1129" s="779">
        <v>188.0</v>
      </c>
      <c r="AP1129" s="779">
        <v>-0.12765697549428</v>
      </c>
      <c r="AQ1129" s="137" t="s">
        <v>166</v>
      </c>
      <c r="AR1129" s="1313" t="s">
        <v>5571</v>
      </c>
      <c r="AS1129" s="779">
        <v>0.424197305150009</v>
      </c>
      <c r="AT1129" s="137" t="s">
        <v>165</v>
      </c>
      <c r="AU1129" s="137" t="s">
        <v>179</v>
      </c>
      <c r="AV1129" s="137" t="s">
        <v>130</v>
      </c>
      <c r="AW1129" s="1314" t="s">
        <v>131</v>
      </c>
      <c r="AX1129" s="667" t="s">
        <v>144</v>
      </c>
      <c r="AZ1129" s="1313" t="s">
        <v>5572</v>
      </c>
    </row>
    <row r="1130">
      <c r="A1130" s="41">
        <v>1130.0</v>
      </c>
      <c r="B1130" s="126" t="s">
        <v>145</v>
      </c>
      <c r="C1130" s="59" t="s">
        <v>108</v>
      </c>
      <c r="D1130" s="59" t="s">
        <v>138</v>
      </c>
      <c r="E1130" s="362"/>
      <c r="F1130" s="1304" t="s">
        <v>6181</v>
      </c>
      <c r="G1130" s="1305" t="s">
        <v>6182</v>
      </c>
      <c r="H1130" s="1306" t="s">
        <v>5559</v>
      </c>
      <c r="I1130" s="1307">
        <v>45690.0</v>
      </c>
      <c r="J1130" s="1308">
        <v>45692.0</v>
      </c>
      <c r="K1130" s="1304" t="s">
        <v>5652</v>
      </c>
      <c r="L1130" s="1304" t="s">
        <v>5561</v>
      </c>
      <c r="M1130" s="1306" t="s">
        <v>6183</v>
      </c>
      <c r="N1130" s="1306" t="s">
        <v>6184</v>
      </c>
      <c r="O1130" s="1309">
        <v>1.0</v>
      </c>
      <c r="P1130" s="1306" t="s">
        <v>6185</v>
      </c>
      <c r="Q1130" s="49" t="str">
        <f t="array" ref="Q1130"> if(iserror(MATCH(V1130, 'File Links'!C:C, 0)), "N/A", HYPERLINK(INDEX('File Links'!B:B, MATCH(P1130, 'File Links'!C:C, 0))))</f>
        <v>https://drive.google.com/file/d/1eermV6x-0NkuxwsqnprduFouBUdTshGn/view?usp=drivesdk</v>
      </c>
      <c r="R1130" s="1306" t="s">
        <v>3646</v>
      </c>
      <c r="S1130" s="156" t="s">
        <v>3647</v>
      </c>
      <c r="T1130" s="144" t="s">
        <v>131</v>
      </c>
      <c r="U1130" s="144" t="s">
        <v>131</v>
      </c>
      <c r="V1130" s="195" t="str">
        <f t="shared" si="57"/>
        <v>10.1098--rsos.231240.pdf</v>
      </c>
      <c r="W1130" s="137" t="s">
        <v>317</v>
      </c>
      <c r="X1130" s="51" t="str">
        <f t="array" ref="X1130"> if(iserror(MATCH(V1130, 'File Links'!C:C, 0)), "N/A", HYPERLINK(INDEX('File Links'!B:B, MATCH(V1130, 'File Links'!C:C, 0))))</f>
        <v>https://drive.google.com/file/d/17gaf2Zy_ljFfcAEDk5L8GBnTl5i7RGJE/view?usp=drivesdk</v>
      </c>
      <c r="Y1130" s="1304"/>
      <c r="Z1130" s="1306" t="s">
        <v>141</v>
      </c>
      <c r="AA1130" s="1304" t="s">
        <v>1528</v>
      </c>
      <c r="AB1130" s="1304" t="s">
        <v>6186</v>
      </c>
      <c r="AC1130" s="1306" t="s">
        <v>6187</v>
      </c>
      <c r="AD1130" s="1304" t="s">
        <v>6188</v>
      </c>
      <c r="AE1130" s="1333">
        <v>9.0</v>
      </c>
      <c r="AF1130" s="1309">
        <v>38.0</v>
      </c>
      <c r="AG1130" s="1304" t="s">
        <v>6189</v>
      </c>
      <c r="AH1130" s="1304" t="s">
        <v>127</v>
      </c>
      <c r="AI1130" s="1304" t="s">
        <v>621</v>
      </c>
      <c r="AJ1130" s="1311" t="s">
        <v>1528</v>
      </c>
      <c r="AK1130" s="1312" t="s">
        <v>1528</v>
      </c>
      <c r="AL1130" s="1312" t="s">
        <v>179</v>
      </c>
      <c r="AM1130" s="1304" t="s">
        <v>130</v>
      </c>
      <c r="AN1130" s="1313" t="s">
        <v>131</v>
      </c>
      <c r="AO1130" s="1309">
        <v>14.0</v>
      </c>
      <c r="AP1130" s="1304" t="s">
        <v>6190</v>
      </c>
      <c r="AQ1130" s="1304" t="s">
        <v>127</v>
      </c>
      <c r="AR1130" s="1313" t="s">
        <v>5571</v>
      </c>
      <c r="AS1130" s="1304" t="s">
        <v>1528</v>
      </c>
      <c r="AT1130" s="1304" t="s">
        <v>1528</v>
      </c>
      <c r="AU1130" s="1304" t="s">
        <v>179</v>
      </c>
      <c r="AV1130" s="1304" t="s">
        <v>130</v>
      </c>
      <c r="AW1130" s="1314" t="s">
        <v>131</v>
      </c>
      <c r="AX1130" s="1331" t="s">
        <v>136</v>
      </c>
      <c r="AZ1130" s="1313" t="s">
        <v>5572</v>
      </c>
    </row>
    <row r="1131">
      <c r="A1131" s="41">
        <v>1131.0</v>
      </c>
      <c r="B1131" s="65" t="s">
        <v>107</v>
      </c>
      <c r="C1131" s="59" t="s">
        <v>108</v>
      </c>
      <c r="D1131" s="59" t="s">
        <v>241</v>
      </c>
      <c r="E1131" s="362"/>
      <c r="F1131" s="123" t="s">
        <v>6181</v>
      </c>
      <c r="G1131" s="116" t="s">
        <v>6182</v>
      </c>
      <c r="H1131" s="137" t="s">
        <v>242</v>
      </c>
      <c r="I1131" s="314">
        <v>45666.0</v>
      </c>
      <c r="J1131" s="1317">
        <v>45692.0</v>
      </c>
      <c r="K1131" s="137" t="s">
        <v>3676</v>
      </c>
      <c r="L1131" s="122" t="s">
        <v>5561</v>
      </c>
      <c r="M1131" s="137" t="s">
        <v>6183</v>
      </c>
      <c r="N1131" s="137" t="s">
        <v>6184</v>
      </c>
      <c r="O1131" s="122"/>
      <c r="P1131" s="137" t="str">
        <f t="shared" ref="P1131:P1133" si="70"> SUBSTITUTE(lower(N1131), "/", "--") &amp;  ".pdf"</f>
        <v>10.1016--s0010-0277(03)00064-7.pdf</v>
      </c>
      <c r="Q1131" s="49" t="str">
        <f t="array" ref="Q1131"> if(iserror(MATCH(V1131, 'File Links'!C:C, 0)), "N/A", HYPERLINK(INDEX('File Links'!B:B, MATCH(P1131, 'File Links'!C:C, 0))))</f>
        <v>https://drive.google.com/file/d/1eermV6x-0NkuxwsqnprduFouBUdTshGn/view?usp=drivesdk</v>
      </c>
      <c r="R1131" s="137" t="s">
        <v>6191</v>
      </c>
      <c r="S1131" s="156" t="s">
        <v>3647</v>
      </c>
      <c r="T1131" s="144" t="s">
        <v>131</v>
      </c>
      <c r="U1131" s="144" t="s">
        <v>131</v>
      </c>
      <c r="V1131" s="195" t="str">
        <f t="shared" si="57"/>
        <v>10.1098--rsos.231240.pdf</v>
      </c>
      <c r="W1131" s="137" t="s">
        <v>317</v>
      </c>
      <c r="X1131" s="51" t="str">
        <f t="array" ref="X1131"> if(iserror(MATCH(V1131, 'File Links'!C:C, 0)), "N/A", HYPERLINK(INDEX('File Links'!B:B, MATCH(V1131, 'File Links'!C:C, 0))))</f>
        <v>https://drive.google.com/file/d/17gaf2Zy_ljFfcAEDk5L8GBnTl5i7RGJE/view?usp=drivesdk</v>
      </c>
      <c r="Y1131" s="122"/>
      <c r="Z1131" s="137" t="s">
        <v>141</v>
      </c>
      <c r="AA1131" s="122"/>
      <c r="AB1131" s="122"/>
      <c r="AC1131" s="122"/>
      <c r="AD1131" s="137" t="s">
        <v>131</v>
      </c>
      <c r="AE1131" s="137" t="s">
        <v>131</v>
      </c>
      <c r="AF1131" s="779">
        <v>38.0</v>
      </c>
      <c r="AG1131" s="137" t="s">
        <v>131</v>
      </c>
      <c r="AH1131" s="122"/>
      <c r="AI1131" s="137" t="s">
        <v>131</v>
      </c>
      <c r="AJ1131" s="315"/>
      <c r="AK1131" s="129"/>
      <c r="AL1131" s="123" t="s">
        <v>179</v>
      </c>
      <c r="AM1131" s="137" t="s">
        <v>1898</v>
      </c>
      <c r="AN1131" s="1313" t="s">
        <v>131</v>
      </c>
      <c r="AO1131" s="779">
        <v>14.0</v>
      </c>
      <c r="AP1131" s="137" t="s">
        <v>131</v>
      </c>
      <c r="AQ1131" s="122"/>
      <c r="AR1131" s="1313" t="s">
        <v>5571</v>
      </c>
      <c r="AS1131" s="137" t="s">
        <v>131</v>
      </c>
      <c r="AT1131" s="122"/>
      <c r="AU1131" s="137" t="s">
        <v>179</v>
      </c>
      <c r="AV1131" s="137" t="s">
        <v>1898</v>
      </c>
      <c r="AW1131" s="1314" t="s">
        <v>131</v>
      </c>
      <c r="AX1131" s="667" t="s">
        <v>136</v>
      </c>
      <c r="AZ1131" s="1313" t="s">
        <v>5572</v>
      </c>
    </row>
    <row r="1132">
      <c r="A1132" s="41">
        <v>1132.0</v>
      </c>
      <c r="B1132" s="126" t="s">
        <v>145</v>
      </c>
      <c r="C1132" s="59" t="s">
        <v>108</v>
      </c>
      <c r="D1132" s="59" t="s">
        <v>138</v>
      </c>
      <c r="E1132" s="362"/>
      <c r="F1132" s="1304" t="s">
        <v>6192</v>
      </c>
      <c r="G1132" s="1305" t="s">
        <v>6193</v>
      </c>
      <c r="H1132" s="1306" t="s">
        <v>5559</v>
      </c>
      <c r="I1132" s="1307">
        <v>45690.0</v>
      </c>
      <c r="J1132" s="1308">
        <v>45692.0</v>
      </c>
      <c r="K1132" s="1304"/>
      <c r="L1132" s="1304" t="s">
        <v>5561</v>
      </c>
      <c r="M1132" s="1306" t="s">
        <v>6194</v>
      </c>
      <c r="N1132" s="1304" t="s">
        <v>6195</v>
      </c>
      <c r="O1132" s="1309">
        <v>2.0</v>
      </c>
      <c r="P1132" s="137" t="str">
        <f t="shared" si="70"/>
        <v>10.1037--0022-3514.77.4.785.pdf</v>
      </c>
      <c r="Q1132" s="49" t="str">
        <f t="array" ref="Q1132"> if(iserror(MATCH(V1132, 'File Links'!C:C, 0)), "N/A", HYPERLINK(INDEX('File Links'!B:B, MATCH(P1132, 'File Links'!C:C, 0))))</f>
        <v>https://drive.google.com/file/d/19BYjzsMkYCiipD-HEqq4sHumZDCTO5SQ/view?usp=drivesdk</v>
      </c>
      <c r="R1132" s="1306" t="s">
        <v>3646</v>
      </c>
      <c r="S1132" s="156" t="s">
        <v>3647</v>
      </c>
      <c r="T1132" s="144" t="s">
        <v>131</v>
      </c>
      <c r="U1132" s="144" t="s">
        <v>131</v>
      </c>
      <c r="V1132" s="195" t="str">
        <f t="shared" si="57"/>
        <v>10.1098--rsos.231240.pdf</v>
      </c>
      <c r="W1132" s="137" t="s">
        <v>317</v>
      </c>
      <c r="X1132" s="51" t="str">
        <f t="array" ref="X1132"> if(iserror(MATCH(V1132, 'File Links'!C:C, 0)), "N/A", HYPERLINK(INDEX('File Links'!B:B, MATCH(V1132, 'File Links'!C:C, 0))))</f>
        <v>https://drive.google.com/file/d/17gaf2Zy_ljFfcAEDk5L8GBnTl5i7RGJE/view?usp=drivesdk</v>
      </c>
      <c r="Y1132" s="1304"/>
      <c r="Z1132" s="1306" t="s">
        <v>219</v>
      </c>
      <c r="AA1132" s="1304" t="s">
        <v>1528</v>
      </c>
      <c r="AB1132" s="1306" t="s">
        <v>6196</v>
      </c>
      <c r="AC1132" s="1306" t="s">
        <v>6197</v>
      </c>
      <c r="AD1132" s="1304" t="s">
        <v>6198</v>
      </c>
      <c r="AE1132" s="1333">
        <v>5.0</v>
      </c>
      <c r="AF1132" s="1309">
        <v>76.0</v>
      </c>
      <c r="AG1132" s="1333">
        <v>0.4365620244</v>
      </c>
      <c r="AH1132" s="1304" t="s">
        <v>166</v>
      </c>
      <c r="AI1132" s="1304" t="s">
        <v>1528</v>
      </c>
      <c r="AJ1132" s="1337">
        <v>0.01</v>
      </c>
      <c r="AK1132" s="1312" t="s">
        <v>128</v>
      </c>
      <c r="AL1132" s="1312" t="s">
        <v>179</v>
      </c>
      <c r="AM1132" s="1304" t="s">
        <v>130</v>
      </c>
      <c r="AN1132" s="1313" t="s">
        <v>131</v>
      </c>
      <c r="AO1132" s="1309">
        <v>31.0</v>
      </c>
      <c r="AP1132" s="1333">
        <v>0.0281000730772987</v>
      </c>
      <c r="AQ1132" s="1304" t="s">
        <v>166</v>
      </c>
      <c r="AR1132" s="1313" t="s">
        <v>5571</v>
      </c>
      <c r="AS1132" s="1333">
        <v>0.878746428689911</v>
      </c>
      <c r="AT1132" s="1304" t="s">
        <v>165</v>
      </c>
      <c r="AU1132" s="1304" t="s">
        <v>179</v>
      </c>
      <c r="AV1132" s="1304" t="s">
        <v>130</v>
      </c>
      <c r="AW1132" s="1314" t="s">
        <v>131</v>
      </c>
      <c r="AX1132" s="1331" t="s">
        <v>136</v>
      </c>
      <c r="AZ1132" s="1313" t="s">
        <v>5572</v>
      </c>
    </row>
    <row r="1133">
      <c r="A1133" s="41">
        <v>1133.0</v>
      </c>
      <c r="B1133" s="126" t="s">
        <v>145</v>
      </c>
      <c r="C1133" s="59" t="s">
        <v>108</v>
      </c>
      <c r="D1133" s="59" t="s">
        <v>241</v>
      </c>
      <c r="E1133" s="362"/>
      <c r="F1133" s="123" t="s">
        <v>6192</v>
      </c>
      <c r="G1133" s="116" t="s">
        <v>6193</v>
      </c>
      <c r="H1133" s="137" t="s">
        <v>242</v>
      </c>
      <c r="I1133" s="314">
        <v>45666.0</v>
      </c>
      <c r="J1133" s="1317">
        <v>45692.0</v>
      </c>
      <c r="K1133" s="137" t="s">
        <v>6199</v>
      </c>
      <c r="L1133" s="122" t="s">
        <v>6200</v>
      </c>
      <c r="M1133" s="137" t="s">
        <v>6194</v>
      </c>
      <c r="N1133" s="137" t="s">
        <v>6195</v>
      </c>
      <c r="O1133" s="122"/>
      <c r="P1133" s="137" t="str">
        <f t="shared" si="70"/>
        <v>10.1037--0022-3514.77.4.785.pdf</v>
      </c>
      <c r="Q1133" s="49" t="str">
        <f t="array" ref="Q1133"> if(iserror(MATCH(V1133, 'File Links'!C:C, 0)), "N/A", HYPERLINK(INDEX('File Links'!B:B, MATCH(P1133, 'File Links'!C:C, 0))))</f>
        <v>https://drive.google.com/file/d/19BYjzsMkYCiipD-HEqq4sHumZDCTO5SQ/view?usp=drivesdk</v>
      </c>
      <c r="R1133" s="137" t="s">
        <v>6201</v>
      </c>
      <c r="S1133" s="156" t="s">
        <v>3647</v>
      </c>
      <c r="T1133" s="144" t="s">
        <v>131</v>
      </c>
      <c r="U1133" s="144" t="s">
        <v>131</v>
      </c>
      <c r="V1133" s="195" t="str">
        <f t="shared" si="57"/>
        <v>10.1098--rsos.231240.pdf</v>
      </c>
      <c r="W1133" s="137" t="s">
        <v>317</v>
      </c>
      <c r="X1133" s="51" t="str">
        <f t="array" ref="X1133"> if(iserror(MATCH(V1133, 'File Links'!C:C, 0)), "N/A", HYPERLINK(INDEX('File Links'!B:B, MATCH(V1133, 'File Links'!C:C, 0))))</f>
        <v>https://drive.google.com/file/d/17gaf2Zy_ljFfcAEDk5L8GBnTl5i7RGJE/view?usp=drivesdk</v>
      </c>
      <c r="Y1133" s="122"/>
      <c r="Z1133" s="137" t="s">
        <v>219</v>
      </c>
      <c r="AA1133" s="122"/>
      <c r="AB1133" s="122"/>
      <c r="AC1133" s="122"/>
      <c r="AD1133" s="137" t="s">
        <v>6202</v>
      </c>
      <c r="AE1133" s="779">
        <v>789.0</v>
      </c>
      <c r="AF1133" s="779">
        <v>76.0</v>
      </c>
      <c r="AG1133" s="779">
        <v>0.436562024402928</v>
      </c>
      <c r="AH1133" s="137" t="s">
        <v>166</v>
      </c>
      <c r="AI1133" s="137" t="s">
        <v>6203</v>
      </c>
      <c r="AJ1133" s="130">
        <v>0.01</v>
      </c>
      <c r="AK1133" s="123" t="s">
        <v>128</v>
      </c>
      <c r="AL1133" s="123" t="s">
        <v>179</v>
      </c>
      <c r="AM1133" s="137" t="s">
        <v>134</v>
      </c>
      <c r="AN1133" s="1313" t="s">
        <v>131</v>
      </c>
      <c r="AO1133" s="779">
        <v>31.0</v>
      </c>
      <c r="AP1133" s="779">
        <v>0.0281000730772987</v>
      </c>
      <c r="AQ1133" s="137" t="s">
        <v>166</v>
      </c>
      <c r="AR1133" s="1313" t="s">
        <v>5571</v>
      </c>
      <c r="AS1133" s="779">
        <v>0.878746428689911</v>
      </c>
      <c r="AT1133" s="137" t="s">
        <v>165</v>
      </c>
      <c r="AU1133" s="137" t="s">
        <v>179</v>
      </c>
      <c r="AV1133" s="137" t="s">
        <v>134</v>
      </c>
      <c r="AW1133" s="1314" t="s">
        <v>131</v>
      </c>
      <c r="AX1133" s="667" t="s">
        <v>136</v>
      </c>
      <c r="AZ1133" s="1313" t="s">
        <v>5572</v>
      </c>
    </row>
    <row r="1134">
      <c r="A1134" s="41">
        <v>1134.0</v>
      </c>
      <c r="B1134" s="126" t="s">
        <v>145</v>
      </c>
      <c r="C1134" s="59" t="s">
        <v>108</v>
      </c>
      <c r="D1134" s="59" t="s">
        <v>138</v>
      </c>
      <c r="E1134" s="362"/>
      <c r="F1134" s="1304" t="s">
        <v>6204</v>
      </c>
      <c r="G1134" s="1305" t="s">
        <v>6205</v>
      </c>
      <c r="H1134" s="1306" t="s">
        <v>5559</v>
      </c>
      <c r="I1134" s="1307">
        <v>45690.0</v>
      </c>
      <c r="J1134" s="1308">
        <v>45692.0</v>
      </c>
      <c r="K1134" s="1304"/>
      <c r="L1134" s="1304" t="s">
        <v>6206</v>
      </c>
      <c r="M1134" s="1306" t="s">
        <v>6207</v>
      </c>
      <c r="N1134" s="1306" t="s">
        <v>6208</v>
      </c>
      <c r="O1134" s="1309">
        <v>1.0</v>
      </c>
      <c r="P1134" s="1306" t="s">
        <v>6209</v>
      </c>
      <c r="Q1134" s="49" t="str">
        <f t="array" ref="Q1134"> if(iserror(MATCH(V1134, 'File Links'!C:C, 0)), "N/A", HYPERLINK(INDEX('File Links'!B:B, MATCH(P1134, 'File Links'!C:C, 0))))</f>
        <v>https://drive.google.com/file/d/1c-T-gBsf13rctIADi3rUqpv_LDEac7l1/view?usp=drivesdk</v>
      </c>
      <c r="R1134" s="1306" t="s">
        <v>3646</v>
      </c>
      <c r="S1134" s="156" t="s">
        <v>3647</v>
      </c>
      <c r="T1134" s="144" t="s">
        <v>131</v>
      </c>
      <c r="U1134" s="144" t="s">
        <v>131</v>
      </c>
      <c r="V1134" s="195" t="str">
        <f t="shared" si="57"/>
        <v>10.1098--rsos.231240.pdf</v>
      </c>
      <c r="W1134" s="137" t="s">
        <v>317</v>
      </c>
      <c r="X1134" s="51" t="str">
        <f t="array" ref="X1134"> if(iserror(MATCH(V1134, 'File Links'!C:C, 0)), "N/A", HYPERLINK(INDEX('File Links'!B:B, MATCH(V1134, 'File Links'!C:C, 0))))</f>
        <v>https://drive.google.com/file/d/17gaf2Zy_ljFfcAEDk5L8GBnTl5i7RGJE/view?usp=drivesdk</v>
      </c>
      <c r="Y1134" s="1304"/>
      <c r="Z1134" s="1306" t="s">
        <v>141</v>
      </c>
      <c r="AA1134" s="1304" t="s">
        <v>6210</v>
      </c>
      <c r="AB1134" s="1304" t="s">
        <v>6211</v>
      </c>
      <c r="AC1134" s="1306" t="s">
        <v>6212</v>
      </c>
      <c r="AD1134" s="1304" t="s">
        <v>6213</v>
      </c>
      <c r="AE1134" s="1304" t="s">
        <v>5713</v>
      </c>
      <c r="AF1134" s="1309">
        <v>35.0</v>
      </c>
      <c r="AG1134" s="1333">
        <v>0.69</v>
      </c>
      <c r="AH1134" s="1304" t="s">
        <v>132</v>
      </c>
      <c r="AI1134" s="1304" t="s">
        <v>875</v>
      </c>
      <c r="AJ1134" s="1316">
        <v>0.001</v>
      </c>
      <c r="AK1134" s="1312" t="s">
        <v>128</v>
      </c>
      <c r="AL1134" s="1312" t="s">
        <v>179</v>
      </c>
      <c r="AM1134" s="1304" t="s">
        <v>130</v>
      </c>
      <c r="AN1134" s="1313" t="s">
        <v>131</v>
      </c>
      <c r="AO1134" s="1309">
        <v>32.0</v>
      </c>
      <c r="AP1134" s="1333">
        <v>0.827178432058932</v>
      </c>
      <c r="AQ1134" s="1304" t="s">
        <v>166</v>
      </c>
      <c r="AR1134" s="1313" t="s">
        <v>5571</v>
      </c>
      <c r="AS1134" s="1337">
        <v>6.63139204670043E-5</v>
      </c>
      <c r="AT1134" s="1304" t="s">
        <v>165</v>
      </c>
      <c r="AU1134" s="1304" t="s">
        <v>179</v>
      </c>
      <c r="AV1134" s="1304" t="s">
        <v>130</v>
      </c>
      <c r="AW1134" s="1314" t="s">
        <v>131</v>
      </c>
      <c r="AX1134" s="1331" t="s">
        <v>136</v>
      </c>
      <c r="AZ1134" s="1313" t="s">
        <v>5572</v>
      </c>
    </row>
    <row r="1135">
      <c r="A1135" s="41">
        <v>1135.0</v>
      </c>
      <c r="B1135" s="126" t="s">
        <v>145</v>
      </c>
      <c r="C1135" s="59" t="s">
        <v>108</v>
      </c>
      <c r="D1135" s="59" t="s">
        <v>241</v>
      </c>
      <c r="E1135" s="362"/>
      <c r="F1135" s="123" t="s">
        <v>6204</v>
      </c>
      <c r="G1135" s="116" t="s">
        <v>6205</v>
      </c>
      <c r="H1135" s="137" t="s">
        <v>242</v>
      </c>
      <c r="I1135" s="314">
        <v>45666.0</v>
      </c>
      <c r="J1135" s="1317">
        <v>45692.0</v>
      </c>
      <c r="K1135" s="122"/>
      <c r="L1135" s="122" t="s">
        <v>6206</v>
      </c>
      <c r="M1135" s="137" t="s">
        <v>6207</v>
      </c>
      <c r="N1135" s="137" t="s">
        <v>6208</v>
      </c>
      <c r="O1135" s="122"/>
      <c r="P1135" s="137" t="str">
        <f> SUBSTITUTE(lower(N1135), "/", "--") &amp;  ".pdf"</f>
        <v>10.1177--0956797614536739.pdf</v>
      </c>
      <c r="Q1135" s="49" t="str">
        <f t="array" ref="Q1135"> if(iserror(MATCH(V1135, 'File Links'!C:C, 0)), "N/A", HYPERLINK(INDEX('File Links'!B:B, MATCH(P1135, 'File Links'!C:C, 0))))</f>
        <v>https://drive.google.com/file/d/1c-T-gBsf13rctIADi3rUqpv_LDEac7l1/view?usp=drivesdk</v>
      </c>
      <c r="R1135" s="137" t="s">
        <v>6214</v>
      </c>
      <c r="S1135" s="156" t="s">
        <v>3647</v>
      </c>
      <c r="T1135" s="144" t="s">
        <v>131</v>
      </c>
      <c r="U1135" s="144" t="s">
        <v>131</v>
      </c>
      <c r="V1135" s="195" t="str">
        <f t="shared" si="57"/>
        <v>10.1098--rsos.231240.pdf</v>
      </c>
      <c r="W1135" s="137" t="s">
        <v>317</v>
      </c>
      <c r="X1135" s="51" t="str">
        <f t="array" ref="X1135"> if(iserror(MATCH(V1135, 'File Links'!C:C, 0)), "N/A", HYPERLINK(INDEX('File Links'!B:B, MATCH(V1135, 'File Links'!C:C, 0))))</f>
        <v>https://drive.google.com/file/d/17gaf2Zy_ljFfcAEDk5L8GBnTl5i7RGJE/view?usp=drivesdk</v>
      </c>
      <c r="Y1135" s="122"/>
      <c r="Z1135" s="137" t="s">
        <v>141</v>
      </c>
      <c r="AA1135" s="122"/>
      <c r="AB1135" s="137" t="s">
        <v>4419</v>
      </c>
      <c r="AC1135" s="122"/>
      <c r="AD1135" s="137" t="s">
        <v>6215</v>
      </c>
      <c r="AE1135" s="779">
        <v>1622.0</v>
      </c>
      <c r="AF1135" s="779">
        <v>35.0</v>
      </c>
      <c r="AG1135" s="779">
        <v>0.69</v>
      </c>
      <c r="AH1135" s="137" t="s">
        <v>132</v>
      </c>
      <c r="AI1135" s="137" t="s">
        <v>6216</v>
      </c>
      <c r="AJ1135" s="130">
        <v>0.001</v>
      </c>
      <c r="AK1135" s="123" t="s">
        <v>128</v>
      </c>
      <c r="AL1135" s="123" t="s">
        <v>129</v>
      </c>
      <c r="AM1135" s="137" t="s">
        <v>134</v>
      </c>
      <c r="AN1135" s="1313" t="s">
        <v>131</v>
      </c>
      <c r="AO1135" s="779">
        <v>32.0</v>
      </c>
      <c r="AP1135" s="779">
        <v>0.827178432058932</v>
      </c>
      <c r="AQ1135" s="137" t="s">
        <v>166</v>
      </c>
      <c r="AR1135" s="1313" t="s">
        <v>5571</v>
      </c>
      <c r="AS1135" s="1335">
        <v>6.63139204670043E-5</v>
      </c>
      <c r="AT1135" s="137" t="s">
        <v>165</v>
      </c>
      <c r="AU1135" s="137" t="s">
        <v>129</v>
      </c>
      <c r="AV1135" s="137" t="s">
        <v>134</v>
      </c>
      <c r="AW1135" s="1314" t="s">
        <v>131</v>
      </c>
      <c r="AX1135" s="667" t="s">
        <v>136</v>
      </c>
      <c r="AZ1135" s="1313" t="s">
        <v>5572</v>
      </c>
    </row>
    <row r="1136">
      <c r="A1136" s="41">
        <v>1136.0</v>
      </c>
      <c r="B1136" s="126" t="s">
        <v>145</v>
      </c>
      <c r="C1136" s="59" t="s">
        <v>108</v>
      </c>
      <c r="D1136" s="59" t="s">
        <v>138</v>
      </c>
      <c r="E1136" s="362"/>
      <c r="F1136" s="1304" t="s">
        <v>6217</v>
      </c>
      <c r="G1136" s="1305" t="s">
        <v>6218</v>
      </c>
      <c r="H1136" s="1306" t="s">
        <v>5559</v>
      </c>
      <c r="I1136" s="1307">
        <v>45690.0</v>
      </c>
      <c r="J1136" s="1308">
        <v>45692.0</v>
      </c>
      <c r="K1136" s="1304"/>
      <c r="L1136" s="1313" t="s">
        <v>6219</v>
      </c>
      <c r="M1136" s="1306" t="s">
        <v>6220</v>
      </c>
      <c r="N1136" s="1306" t="s">
        <v>6221</v>
      </c>
      <c r="O1136" s="1309">
        <v>2.0</v>
      </c>
      <c r="P1136" s="1306" t="s">
        <v>6222</v>
      </c>
      <c r="Q1136" s="49" t="str">
        <f t="array" ref="Q1136"> if(iserror(MATCH(V1136, 'File Links'!C:C, 0)), "N/A", HYPERLINK(INDEX('File Links'!B:B, MATCH(P1136, 'File Links'!C:C, 0))))</f>
        <v>https://drive.google.com/file/d/1ZRJcq-rd4pEQb0DmJ1HQenA2-OH5dbEb/view?usp=drivesdk</v>
      </c>
      <c r="R1136" s="1306" t="s">
        <v>3646</v>
      </c>
      <c r="S1136" s="156" t="s">
        <v>3647</v>
      </c>
      <c r="T1136" s="144" t="s">
        <v>131</v>
      </c>
      <c r="U1136" s="144" t="s">
        <v>131</v>
      </c>
      <c r="V1136" s="195" t="str">
        <f t="shared" si="57"/>
        <v>10.1098--rsos.231240.pdf</v>
      </c>
      <c r="W1136" s="137" t="s">
        <v>317</v>
      </c>
      <c r="X1136" s="51" t="str">
        <f t="array" ref="X1136"> if(iserror(MATCH(V1136, 'File Links'!C:C, 0)), "N/A", HYPERLINK(INDEX('File Links'!B:B, MATCH(V1136, 'File Links'!C:C, 0))))</f>
        <v>https://drive.google.com/file/d/17gaf2Zy_ljFfcAEDk5L8GBnTl5i7RGJE/view?usp=drivesdk</v>
      </c>
      <c r="Y1136" s="1304"/>
      <c r="Z1136" s="1306" t="s">
        <v>219</v>
      </c>
      <c r="AA1136" s="1304" t="s">
        <v>1528</v>
      </c>
      <c r="AB1136" s="1304" t="s">
        <v>6223</v>
      </c>
      <c r="AC1136" s="1306" t="s">
        <v>6224</v>
      </c>
      <c r="AD1136" s="1304" t="s">
        <v>6225</v>
      </c>
      <c r="AE1136" s="1333">
        <v>8.0</v>
      </c>
      <c r="AF1136" s="1309">
        <v>40.0</v>
      </c>
      <c r="AG1136" s="1333">
        <v>1.233398852</v>
      </c>
      <c r="AH1136" s="1304" t="s">
        <v>166</v>
      </c>
      <c r="AI1136" s="1304" t="s">
        <v>1528</v>
      </c>
      <c r="AJ1136" s="1337">
        <v>0.001</v>
      </c>
      <c r="AK1136" s="1312" t="s">
        <v>128</v>
      </c>
      <c r="AL1136" s="1312" t="s">
        <v>179</v>
      </c>
      <c r="AM1136" s="1350" t="s">
        <v>130</v>
      </c>
      <c r="AN1136" s="1313" t="s">
        <v>131</v>
      </c>
      <c r="AO1136" s="1309">
        <v>39.0</v>
      </c>
      <c r="AP1136" s="1333">
        <v>1.24362373730964</v>
      </c>
      <c r="AQ1136" s="1304" t="s">
        <v>166</v>
      </c>
      <c r="AR1136" s="1313" t="s">
        <v>5571</v>
      </c>
      <c r="AS1136" s="1337">
        <v>1.91723363847369E-5</v>
      </c>
      <c r="AT1136" s="1304" t="s">
        <v>165</v>
      </c>
      <c r="AU1136" s="1304" t="s">
        <v>179</v>
      </c>
      <c r="AV1136" s="1304" t="s">
        <v>130</v>
      </c>
      <c r="AW1136" s="1314" t="s">
        <v>131</v>
      </c>
      <c r="AX1136" s="1331" t="s">
        <v>136</v>
      </c>
      <c r="AZ1136" s="1313" t="s">
        <v>5572</v>
      </c>
    </row>
    <row r="1137">
      <c r="A1137" s="41">
        <v>1137.0</v>
      </c>
      <c r="B1137" s="126" t="s">
        <v>145</v>
      </c>
      <c r="C1137" s="59" t="s">
        <v>108</v>
      </c>
      <c r="D1137" s="59" t="s">
        <v>241</v>
      </c>
      <c r="E1137" s="362"/>
      <c r="F1137" s="123" t="s">
        <v>6217</v>
      </c>
      <c r="G1137" s="116" t="s">
        <v>6218</v>
      </c>
      <c r="H1137" s="137" t="s">
        <v>242</v>
      </c>
      <c r="I1137" s="314">
        <v>45666.0</v>
      </c>
      <c r="J1137" s="1317">
        <v>45692.0</v>
      </c>
      <c r="K1137" s="122"/>
      <c r="L1137" s="122" t="s">
        <v>5561</v>
      </c>
      <c r="M1137" s="137" t="s">
        <v>6220</v>
      </c>
      <c r="N1137" s="137" t="s">
        <v>6221</v>
      </c>
      <c r="O1137" s="122"/>
      <c r="P1137" s="137" t="str">
        <f t="shared" ref="P1137:P1143" si="71"> SUBSTITUTE(lower(N1137), "/", "--") &amp;  ".pdf"</f>
        <v>10.1177--0956797614553009.pdf</v>
      </c>
      <c r="Q1137" s="49" t="str">
        <f t="array" ref="Q1137"> if(iserror(MATCH(V1137, 'File Links'!C:C, 0)), "N/A", HYPERLINK(INDEX('File Links'!B:B, MATCH(P1137, 'File Links'!C:C, 0))))</f>
        <v>https://drive.google.com/file/d/1ZRJcq-rd4pEQb0DmJ1HQenA2-OH5dbEb/view?usp=drivesdk</v>
      </c>
      <c r="R1137" s="137" t="s">
        <v>6226</v>
      </c>
      <c r="S1137" s="156" t="s">
        <v>3647</v>
      </c>
      <c r="T1137" s="144" t="s">
        <v>131</v>
      </c>
      <c r="U1137" s="144" t="s">
        <v>131</v>
      </c>
      <c r="V1137" s="195" t="str">
        <f t="shared" si="57"/>
        <v>10.1098--rsos.231240.pdf</v>
      </c>
      <c r="W1137" s="137" t="s">
        <v>317</v>
      </c>
      <c r="X1137" s="51" t="str">
        <f t="array" ref="X1137"> if(iserror(MATCH(V1137, 'File Links'!C:C, 0)), "N/A", HYPERLINK(INDEX('File Links'!B:B, MATCH(V1137, 'File Links'!C:C, 0))))</f>
        <v>https://drive.google.com/file/d/17gaf2Zy_ljFfcAEDk5L8GBnTl5i7RGJE/view?usp=drivesdk</v>
      </c>
      <c r="Y1137" s="122"/>
      <c r="Z1137" s="137" t="s">
        <v>219</v>
      </c>
      <c r="AA1137" s="122"/>
      <c r="AB1137" s="122"/>
      <c r="AC1137" s="122"/>
      <c r="AD1137" s="137" t="s">
        <v>6227</v>
      </c>
      <c r="AE1137" s="779">
        <v>7.0</v>
      </c>
      <c r="AF1137" s="779">
        <v>40.0</v>
      </c>
      <c r="AG1137" s="375" t="s">
        <v>6228</v>
      </c>
      <c r="AH1137" s="116" t="s">
        <v>127</v>
      </c>
      <c r="AI1137" s="137" t="s">
        <v>4966</v>
      </c>
      <c r="AJ1137" s="130">
        <v>0.001</v>
      </c>
      <c r="AK1137" s="123" t="s">
        <v>128</v>
      </c>
      <c r="AL1137" s="123" t="s">
        <v>129</v>
      </c>
      <c r="AM1137" s="137" t="s">
        <v>134</v>
      </c>
      <c r="AN1137" s="1313" t="s">
        <v>131</v>
      </c>
      <c r="AO1137" s="779">
        <v>39.0</v>
      </c>
      <c r="AP1137" s="222" t="s">
        <v>6229</v>
      </c>
      <c r="AQ1137" s="116" t="s">
        <v>127</v>
      </c>
      <c r="AR1137" s="1313" t="s">
        <v>5571</v>
      </c>
      <c r="AS1137" s="1335">
        <v>1.91723363847369E-5</v>
      </c>
      <c r="AT1137" s="137" t="s">
        <v>165</v>
      </c>
      <c r="AU1137" s="137" t="s">
        <v>129</v>
      </c>
      <c r="AV1137" s="137" t="s">
        <v>134</v>
      </c>
      <c r="AW1137" s="1314" t="s">
        <v>131</v>
      </c>
      <c r="AX1137" s="667" t="s">
        <v>136</v>
      </c>
      <c r="AZ1137" s="1313" t="s">
        <v>5572</v>
      </c>
    </row>
    <row r="1138">
      <c r="A1138" s="41">
        <v>1138.0</v>
      </c>
      <c r="B1138" s="65" t="s">
        <v>583</v>
      </c>
      <c r="C1138" s="59" t="s">
        <v>108</v>
      </c>
      <c r="D1138" s="59" t="s">
        <v>138</v>
      </c>
      <c r="E1138" s="362"/>
      <c r="F1138" s="1304" t="s">
        <v>6230</v>
      </c>
      <c r="G1138" s="1305" t="s">
        <v>6231</v>
      </c>
      <c r="H1138" s="1306" t="s">
        <v>5559</v>
      </c>
      <c r="I1138" s="1307">
        <v>45690.0</v>
      </c>
      <c r="J1138" s="1308">
        <v>45692.0</v>
      </c>
      <c r="K1138" s="1304"/>
      <c r="L1138" s="1304" t="s">
        <v>6232</v>
      </c>
      <c r="M1138" s="1306" t="s">
        <v>6233</v>
      </c>
      <c r="N1138" s="1304" t="s">
        <v>6234</v>
      </c>
      <c r="O1138" s="1309">
        <v>1.0</v>
      </c>
      <c r="P1138" s="137" t="str">
        <f t="shared" si="71"/>
        <v>10.1037--a0020413.pdf</v>
      </c>
      <c r="Q1138" s="49" t="str">
        <f t="array" ref="Q1138"> if(iserror(MATCH(V1138, 'File Links'!C:C, 0)), "N/A", HYPERLINK(INDEX('File Links'!B:B, MATCH(P1138, 'File Links'!C:C, 0))))</f>
        <v>https://drive.google.com/file/d/1s3htODPJ-fx2SsrGMPuuPnrS-QkOjVmW/view?usp=drivesdk</v>
      </c>
      <c r="R1138" s="1306" t="s">
        <v>3646</v>
      </c>
      <c r="S1138" s="156" t="s">
        <v>3647</v>
      </c>
      <c r="T1138" s="144" t="s">
        <v>131</v>
      </c>
      <c r="U1138" s="144" t="s">
        <v>131</v>
      </c>
      <c r="V1138" s="195" t="str">
        <f t="shared" si="57"/>
        <v>10.1098--rsos.231240.pdf</v>
      </c>
      <c r="W1138" s="137" t="s">
        <v>3658</v>
      </c>
      <c r="X1138" s="51" t="str">
        <f t="array" ref="X1138"> if(iserror(MATCH(V1138, 'File Links'!C:C, 0)), "N/A", HYPERLINK(INDEX('File Links'!B:B, MATCH(V1138, 'File Links'!C:C, 0))))</f>
        <v>https://drive.google.com/file/d/17gaf2Zy_ljFfcAEDk5L8GBnTl5i7RGJE/view?usp=drivesdk</v>
      </c>
      <c r="Y1138" s="1304"/>
      <c r="Z1138" s="1306" t="s">
        <v>141</v>
      </c>
      <c r="AA1138" s="1304" t="s">
        <v>1528</v>
      </c>
      <c r="AB1138" s="1304" t="s">
        <v>6235</v>
      </c>
      <c r="AC1138" s="1306" t="s">
        <v>6236</v>
      </c>
      <c r="AD1138" s="1304" t="s">
        <v>6237</v>
      </c>
      <c r="AE1138" s="1333">
        <v>4.0</v>
      </c>
      <c r="AF1138" s="1309">
        <v>22.0</v>
      </c>
      <c r="AG1138" s="1333">
        <v>0.35</v>
      </c>
      <c r="AH1138" s="1304" t="s">
        <v>132</v>
      </c>
      <c r="AI1138" s="1304" t="s">
        <v>843</v>
      </c>
      <c r="AJ1138" s="1316">
        <v>0.001</v>
      </c>
      <c r="AK1138" s="1312" t="s">
        <v>128</v>
      </c>
      <c r="AL1138" s="1312" t="s">
        <v>179</v>
      </c>
      <c r="AM1138" s="1304" t="s">
        <v>130</v>
      </c>
      <c r="AN1138" s="1313" t="s">
        <v>131</v>
      </c>
      <c r="AO1138" s="1309">
        <v>22.0</v>
      </c>
      <c r="AP1138" s="1333">
        <v>0.298469090943318</v>
      </c>
      <c r="AQ1138" s="1304" t="s">
        <v>166</v>
      </c>
      <c r="AR1138" s="1313" t="s">
        <v>5571</v>
      </c>
      <c r="AS1138" s="1333">
        <v>0.00539563199687963</v>
      </c>
      <c r="AT1138" s="1304" t="s">
        <v>165</v>
      </c>
      <c r="AU1138" s="1304" t="s">
        <v>179</v>
      </c>
      <c r="AV1138" s="1304" t="s">
        <v>130</v>
      </c>
      <c r="AW1138" s="1314" t="s">
        <v>131</v>
      </c>
      <c r="AX1138" s="1331" t="s">
        <v>136</v>
      </c>
      <c r="AZ1138" s="1313" t="s">
        <v>5572</v>
      </c>
    </row>
    <row r="1139">
      <c r="A1139" s="41">
        <v>1139.0</v>
      </c>
      <c r="B1139" s="65" t="s">
        <v>583</v>
      </c>
      <c r="C1139" s="59" t="s">
        <v>108</v>
      </c>
      <c r="D1139" s="59" t="s">
        <v>138</v>
      </c>
      <c r="E1139" s="362"/>
      <c r="F1139" s="1304" t="s">
        <v>6230</v>
      </c>
      <c r="G1139" s="1305" t="s">
        <v>6238</v>
      </c>
      <c r="H1139" s="1306" t="s">
        <v>5559</v>
      </c>
      <c r="I1139" s="1307">
        <v>45690.0</v>
      </c>
      <c r="J1139" s="1308">
        <v>45692.0</v>
      </c>
      <c r="K1139" s="1304"/>
      <c r="L1139" s="1304" t="s">
        <v>6232</v>
      </c>
      <c r="M1139" s="1306" t="s">
        <v>6233</v>
      </c>
      <c r="N1139" s="1304" t="s">
        <v>6234</v>
      </c>
      <c r="O1139" s="1309">
        <v>1.0</v>
      </c>
      <c r="P1139" s="137" t="str">
        <f t="shared" si="71"/>
        <v>10.1037--a0020413.pdf</v>
      </c>
      <c r="Q1139" s="49" t="str">
        <f t="array" ref="Q1139"> if(iserror(MATCH(V1139, 'File Links'!C:C, 0)), "N/A", HYPERLINK(INDEX('File Links'!B:B, MATCH(P1139, 'File Links'!C:C, 0))))</f>
        <v>https://drive.google.com/file/d/1s3htODPJ-fx2SsrGMPuuPnrS-QkOjVmW/view?usp=drivesdk</v>
      </c>
      <c r="R1139" s="1306" t="s">
        <v>3646</v>
      </c>
      <c r="S1139" s="156" t="s">
        <v>3647</v>
      </c>
      <c r="T1139" s="144" t="s">
        <v>131</v>
      </c>
      <c r="U1139" s="144" t="s">
        <v>131</v>
      </c>
      <c r="V1139" s="195" t="str">
        <f t="shared" si="57"/>
        <v>10.1098--rsos.231240.pdf</v>
      </c>
      <c r="W1139" s="137" t="s">
        <v>3658</v>
      </c>
      <c r="X1139" s="51" t="str">
        <f t="array" ref="X1139"> if(iserror(MATCH(V1139, 'File Links'!C:C, 0)), "N/A", HYPERLINK(INDEX('File Links'!B:B, MATCH(V1139, 'File Links'!C:C, 0))))</f>
        <v>https://drive.google.com/file/d/17gaf2Zy_ljFfcAEDk5L8GBnTl5i7RGJE/view?usp=drivesdk</v>
      </c>
      <c r="Y1139" s="1304"/>
      <c r="Z1139" s="1306" t="s">
        <v>141</v>
      </c>
      <c r="AA1139" s="1304" t="s">
        <v>1528</v>
      </c>
      <c r="AB1139" s="1304" t="s">
        <v>6235</v>
      </c>
      <c r="AC1139" s="1306" t="s">
        <v>6239</v>
      </c>
      <c r="AD1139" s="1304" t="s">
        <v>6240</v>
      </c>
      <c r="AE1139" s="1333">
        <v>4.0</v>
      </c>
      <c r="AF1139" s="1309">
        <v>22.0</v>
      </c>
      <c r="AG1139" s="1333">
        <v>0.78</v>
      </c>
      <c r="AH1139" s="1304" t="s">
        <v>132</v>
      </c>
      <c r="AI1139" s="1304" t="s">
        <v>843</v>
      </c>
      <c r="AJ1139" s="1316">
        <v>0.001</v>
      </c>
      <c r="AK1139" s="1312" t="s">
        <v>128</v>
      </c>
      <c r="AL1139" s="1312" t="s">
        <v>179</v>
      </c>
      <c r="AM1139" s="1304" t="s">
        <v>130</v>
      </c>
      <c r="AN1139" s="1313" t="s">
        <v>131</v>
      </c>
      <c r="AO1139" s="1309">
        <v>22.0</v>
      </c>
      <c r="AP1139" s="1333">
        <v>0.298469090943318</v>
      </c>
      <c r="AQ1139" s="1304" t="s">
        <v>166</v>
      </c>
      <c r="AR1139" s="1313" t="s">
        <v>5571</v>
      </c>
      <c r="AS1139" s="1333">
        <v>0.00539563199687963</v>
      </c>
      <c r="AT1139" s="1304" t="s">
        <v>165</v>
      </c>
      <c r="AU1139" s="1304" t="s">
        <v>179</v>
      </c>
      <c r="AV1139" s="1304" t="s">
        <v>130</v>
      </c>
      <c r="AW1139" s="1314" t="s">
        <v>131</v>
      </c>
      <c r="AX1139" s="1331" t="s">
        <v>136</v>
      </c>
      <c r="AZ1139" s="1313" t="s">
        <v>5572</v>
      </c>
    </row>
    <row r="1140">
      <c r="A1140" s="41">
        <v>1140.0</v>
      </c>
      <c r="B1140" s="65" t="s">
        <v>583</v>
      </c>
      <c r="C1140" s="59" t="s">
        <v>108</v>
      </c>
      <c r="D1140" s="59" t="s">
        <v>138</v>
      </c>
      <c r="E1140" s="362"/>
      <c r="F1140" s="1304" t="s">
        <v>6230</v>
      </c>
      <c r="G1140" s="1305" t="s">
        <v>6241</v>
      </c>
      <c r="H1140" s="1306" t="s">
        <v>5559</v>
      </c>
      <c r="I1140" s="1307">
        <v>45690.0</v>
      </c>
      <c r="J1140" s="1308">
        <v>45692.0</v>
      </c>
      <c r="K1140" s="1304"/>
      <c r="L1140" s="1304" t="s">
        <v>6232</v>
      </c>
      <c r="M1140" s="1306" t="s">
        <v>6233</v>
      </c>
      <c r="N1140" s="1304" t="s">
        <v>6234</v>
      </c>
      <c r="O1140" s="1309">
        <v>1.0</v>
      </c>
      <c r="P1140" s="137" t="str">
        <f t="shared" si="71"/>
        <v>10.1037--a0020413.pdf</v>
      </c>
      <c r="Q1140" s="49" t="str">
        <f t="array" ref="Q1140"> if(iserror(MATCH(V1140, 'File Links'!C:C, 0)), "N/A", HYPERLINK(INDEX('File Links'!B:B, MATCH(P1140, 'File Links'!C:C, 0))))</f>
        <v>https://drive.google.com/file/d/1s3htODPJ-fx2SsrGMPuuPnrS-QkOjVmW/view?usp=drivesdk</v>
      </c>
      <c r="R1140" s="1306" t="s">
        <v>3646</v>
      </c>
      <c r="S1140" s="156" t="s">
        <v>3647</v>
      </c>
      <c r="T1140" s="144" t="s">
        <v>131</v>
      </c>
      <c r="U1140" s="144" t="s">
        <v>131</v>
      </c>
      <c r="V1140" s="195" t="str">
        <f t="shared" si="57"/>
        <v>10.1098--rsos.231240.pdf</v>
      </c>
      <c r="W1140" s="137" t="s">
        <v>3658</v>
      </c>
      <c r="X1140" s="51" t="str">
        <f t="array" ref="X1140"> if(iserror(MATCH(V1140, 'File Links'!C:C, 0)), "N/A", HYPERLINK(INDEX('File Links'!B:B, MATCH(V1140, 'File Links'!C:C, 0))))</f>
        <v>https://drive.google.com/file/d/17gaf2Zy_ljFfcAEDk5L8GBnTl5i7RGJE/view?usp=drivesdk</v>
      </c>
      <c r="Y1140" s="1304"/>
      <c r="Z1140" s="1306" t="s">
        <v>141</v>
      </c>
      <c r="AA1140" s="1304" t="s">
        <v>1528</v>
      </c>
      <c r="AB1140" s="1304" t="s">
        <v>6235</v>
      </c>
      <c r="AC1140" s="1306" t="s">
        <v>6242</v>
      </c>
      <c r="AD1140" s="1304" t="s">
        <v>6243</v>
      </c>
      <c r="AE1140" s="1333">
        <v>4.0</v>
      </c>
      <c r="AF1140" s="1309">
        <v>22.0</v>
      </c>
      <c r="AG1140" s="1333">
        <v>0.13</v>
      </c>
      <c r="AH1140" s="1304" t="s">
        <v>132</v>
      </c>
      <c r="AI1140" s="1304" t="s">
        <v>843</v>
      </c>
      <c r="AJ1140" s="1316">
        <v>0.001</v>
      </c>
      <c r="AK1140" s="1312" t="s">
        <v>128</v>
      </c>
      <c r="AL1140" s="1312" t="s">
        <v>179</v>
      </c>
      <c r="AM1140" s="1304" t="s">
        <v>130</v>
      </c>
      <c r="AN1140" s="1313" t="s">
        <v>131</v>
      </c>
      <c r="AO1140" s="1309">
        <v>22.0</v>
      </c>
      <c r="AP1140" s="1333">
        <v>0.298469090943318</v>
      </c>
      <c r="AQ1140" s="1304" t="s">
        <v>166</v>
      </c>
      <c r="AR1140" s="1313" t="s">
        <v>5571</v>
      </c>
      <c r="AS1140" s="1333">
        <v>0.00539563199687963</v>
      </c>
      <c r="AT1140" s="1304" t="s">
        <v>165</v>
      </c>
      <c r="AU1140" s="1304" t="s">
        <v>179</v>
      </c>
      <c r="AV1140" s="1304" t="s">
        <v>130</v>
      </c>
      <c r="AW1140" s="1314" t="s">
        <v>131</v>
      </c>
      <c r="AX1140" s="1331" t="s">
        <v>136</v>
      </c>
      <c r="AZ1140" s="1313" t="s">
        <v>5572</v>
      </c>
    </row>
    <row r="1141">
      <c r="A1141" s="41">
        <v>1141.0</v>
      </c>
      <c r="B1141" s="65" t="s">
        <v>583</v>
      </c>
      <c r="C1141" s="59" t="s">
        <v>108</v>
      </c>
      <c r="D1141" s="59" t="s">
        <v>241</v>
      </c>
      <c r="E1141" s="362"/>
      <c r="F1141" s="123" t="s">
        <v>6230</v>
      </c>
      <c r="G1141" s="116" t="s">
        <v>6231</v>
      </c>
      <c r="H1141" s="137" t="s">
        <v>242</v>
      </c>
      <c r="I1141" s="314">
        <v>45666.0</v>
      </c>
      <c r="J1141" s="1317">
        <v>45692.0</v>
      </c>
      <c r="K1141" s="137" t="s">
        <v>6244</v>
      </c>
      <c r="L1141" s="122" t="s">
        <v>6232</v>
      </c>
      <c r="M1141" s="137" t="s">
        <v>6233</v>
      </c>
      <c r="N1141" s="137" t="s">
        <v>6234</v>
      </c>
      <c r="O1141" s="122"/>
      <c r="P1141" s="137" t="str">
        <f t="shared" si="71"/>
        <v>10.1037--a0020413.pdf</v>
      </c>
      <c r="Q1141" s="49" t="str">
        <f t="array" ref="Q1141"> if(iserror(MATCH(V1141, 'File Links'!C:C, 0)), "N/A", HYPERLINK(INDEX('File Links'!B:B, MATCH(P1141, 'File Links'!C:C, 0))))</f>
        <v>https://drive.google.com/file/d/1s3htODPJ-fx2SsrGMPuuPnrS-QkOjVmW/view?usp=drivesdk</v>
      </c>
      <c r="R1141" s="137" t="s">
        <v>6245</v>
      </c>
      <c r="S1141" s="156" t="s">
        <v>3647</v>
      </c>
      <c r="T1141" s="144" t="s">
        <v>131</v>
      </c>
      <c r="U1141" s="144" t="s">
        <v>131</v>
      </c>
      <c r="V1141" s="195" t="str">
        <f t="shared" si="57"/>
        <v>10.1098--rsos.231240.pdf</v>
      </c>
      <c r="W1141" s="137" t="s">
        <v>3658</v>
      </c>
      <c r="X1141" s="51" t="str">
        <f t="array" ref="X1141"> if(iserror(MATCH(V1141, 'File Links'!C:C, 0)), "N/A", HYPERLINK(INDEX('File Links'!B:B, MATCH(V1141, 'File Links'!C:C, 0))))</f>
        <v>https://drive.google.com/file/d/17gaf2Zy_ljFfcAEDk5L8GBnTl5i7RGJE/view?usp=drivesdk</v>
      </c>
      <c r="Y1141" s="122"/>
      <c r="Z1141" s="137" t="s">
        <v>141</v>
      </c>
      <c r="AA1141" s="122"/>
      <c r="AB1141" s="122"/>
      <c r="AC1141" s="122"/>
      <c r="AD1141" s="137" t="s">
        <v>131</v>
      </c>
      <c r="AE1141" s="137" t="s">
        <v>131</v>
      </c>
      <c r="AF1141" s="779">
        <v>22.0</v>
      </c>
      <c r="AG1141" s="779">
        <v>5.41602791419206</v>
      </c>
      <c r="AH1141" s="137" t="s">
        <v>166</v>
      </c>
      <c r="AI1141" s="137" t="s">
        <v>131</v>
      </c>
      <c r="AJ1141" s="220" t="s">
        <v>131</v>
      </c>
      <c r="AK1141" s="129"/>
      <c r="AL1141" s="123" t="s">
        <v>179</v>
      </c>
      <c r="AM1141" s="137" t="s">
        <v>1898</v>
      </c>
      <c r="AN1141" s="1313" t="s">
        <v>131</v>
      </c>
      <c r="AO1141" s="779">
        <v>22.0</v>
      </c>
      <c r="AP1141" s="779">
        <v>0.298469090943318</v>
      </c>
      <c r="AQ1141" s="137" t="s">
        <v>166</v>
      </c>
      <c r="AR1141" s="1313" t="s">
        <v>5571</v>
      </c>
      <c r="AS1141" s="779">
        <v>0.00539563199687963</v>
      </c>
      <c r="AT1141" s="137" t="s">
        <v>165</v>
      </c>
      <c r="AU1141" s="137" t="s">
        <v>179</v>
      </c>
      <c r="AV1141" s="137" t="s">
        <v>1898</v>
      </c>
      <c r="AW1141" s="1314" t="s">
        <v>131</v>
      </c>
      <c r="AX1141" s="667" t="s">
        <v>136</v>
      </c>
      <c r="AZ1141" s="1313" t="s">
        <v>5572</v>
      </c>
    </row>
    <row r="1142">
      <c r="A1142" s="41">
        <v>1142.0</v>
      </c>
      <c r="B1142" s="126" t="s">
        <v>2006</v>
      </c>
      <c r="C1142" s="59" t="s">
        <v>108</v>
      </c>
      <c r="D1142" s="59" t="s">
        <v>138</v>
      </c>
      <c r="E1142" s="362"/>
      <c r="F1142" s="1304" t="s">
        <v>6246</v>
      </c>
      <c r="G1142" s="1305" t="s">
        <v>6247</v>
      </c>
      <c r="H1142" s="1306" t="s">
        <v>5559</v>
      </c>
      <c r="I1142" s="1307">
        <v>45690.0</v>
      </c>
      <c r="J1142" s="1308">
        <v>45692.0</v>
      </c>
      <c r="K1142" s="1304" t="s">
        <v>5643</v>
      </c>
      <c r="L1142" s="1304" t="s">
        <v>6248</v>
      </c>
      <c r="M1142" s="1306" t="s">
        <v>6249</v>
      </c>
      <c r="N1142" s="1304" t="s">
        <v>6250</v>
      </c>
      <c r="O1142" s="1309">
        <v>1.0</v>
      </c>
      <c r="P1142" s="137" t="str">
        <f t="shared" si="71"/>
        <v>10.1016--j.cognition.2019.104157.pdf</v>
      </c>
      <c r="Q1142" s="49" t="str">
        <f t="array" ref="Q1142"> if(iserror(MATCH(V1142, 'File Links'!C:C, 0)), "N/A", HYPERLINK(INDEX('File Links'!B:B, MATCH(P1142, 'File Links'!C:C, 0))))</f>
        <v>https://drive.google.com/file/d/1vD03nf0a0BC3Ui7dZPBwsHBn8uBFVmTS/view?usp=drivesdk</v>
      </c>
      <c r="R1142" s="1306" t="s">
        <v>3646</v>
      </c>
      <c r="S1142" s="156" t="s">
        <v>3647</v>
      </c>
      <c r="T1142" s="144" t="s">
        <v>131</v>
      </c>
      <c r="U1142" s="144" t="s">
        <v>131</v>
      </c>
      <c r="V1142" s="195" t="str">
        <f t="shared" si="57"/>
        <v>10.1098--rsos.231240.pdf</v>
      </c>
      <c r="W1142" s="137" t="s">
        <v>3658</v>
      </c>
      <c r="X1142" s="51" t="str">
        <f t="array" ref="X1142"> if(iserror(MATCH(V1142, 'File Links'!C:C, 0)), "N/A", HYPERLINK(INDEX('File Links'!B:B, MATCH(V1142, 'File Links'!C:C, 0))))</f>
        <v>https://drive.google.com/file/d/17gaf2Zy_ljFfcAEDk5L8GBnTl5i7RGJE/view?usp=drivesdk</v>
      </c>
      <c r="Y1142" s="1304"/>
      <c r="Z1142" s="1306" t="s">
        <v>141</v>
      </c>
      <c r="AA1142" s="1304" t="s">
        <v>1528</v>
      </c>
      <c r="AB1142" s="1304" t="s">
        <v>6251</v>
      </c>
      <c r="AC1142" s="1306" t="s">
        <v>6252</v>
      </c>
      <c r="AD1142" s="1304" t="s">
        <v>1528</v>
      </c>
      <c r="AE1142" s="1304" t="s">
        <v>1528</v>
      </c>
      <c r="AF1142" s="1309">
        <v>51.0</v>
      </c>
      <c r="AG1142" s="1304" t="s">
        <v>1528</v>
      </c>
      <c r="AH1142" s="164" t="s">
        <v>131</v>
      </c>
      <c r="AI1142" s="1304" t="s">
        <v>1528</v>
      </c>
      <c r="AJ1142" s="1311" t="s">
        <v>1528</v>
      </c>
      <c r="AK1142" s="1312" t="s">
        <v>1528</v>
      </c>
      <c r="AL1142" s="1312" t="s">
        <v>179</v>
      </c>
      <c r="AM1142" s="1304" t="s">
        <v>130</v>
      </c>
      <c r="AN1142" s="1334" t="s">
        <v>6253</v>
      </c>
      <c r="AO1142" s="1309">
        <v>24.0</v>
      </c>
      <c r="AP1142" s="1304" t="s">
        <v>1528</v>
      </c>
      <c r="AQ1142" s="126" t="s">
        <v>131</v>
      </c>
      <c r="AR1142" s="1313" t="s">
        <v>5571</v>
      </c>
      <c r="AS1142" s="1304" t="s">
        <v>1528</v>
      </c>
      <c r="AT1142" s="1304" t="s">
        <v>1528</v>
      </c>
      <c r="AU1142" s="1304" t="s">
        <v>179</v>
      </c>
      <c r="AV1142" s="1304" t="s">
        <v>130</v>
      </c>
      <c r="AW1142" s="1314" t="s">
        <v>131</v>
      </c>
      <c r="AX1142" s="1331" t="s">
        <v>136</v>
      </c>
      <c r="AZ1142" s="1313" t="s">
        <v>5572</v>
      </c>
    </row>
    <row r="1143">
      <c r="A1143" s="41">
        <v>1143.0</v>
      </c>
      <c r="B1143" s="126" t="s">
        <v>2006</v>
      </c>
      <c r="C1143" s="59" t="s">
        <v>108</v>
      </c>
      <c r="D1143" s="59" t="s">
        <v>241</v>
      </c>
      <c r="E1143" s="362"/>
      <c r="F1143" s="123" t="s">
        <v>6246</v>
      </c>
      <c r="G1143" s="116" t="s">
        <v>6247</v>
      </c>
      <c r="H1143" s="137" t="s">
        <v>242</v>
      </c>
      <c r="I1143" s="314">
        <v>45666.0</v>
      </c>
      <c r="J1143" s="1317">
        <v>45692.0</v>
      </c>
      <c r="K1143" s="137" t="s">
        <v>3676</v>
      </c>
      <c r="L1143" s="122" t="s">
        <v>6248</v>
      </c>
      <c r="M1143" s="137" t="s">
        <v>6249</v>
      </c>
      <c r="N1143" s="137" t="s">
        <v>6250</v>
      </c>
      <c r="O1143" s="122"/>
      <c r="P1143" s="137" t="str">
        <f t="shared" si="71"/>
        <v>10.1016--j.cognition.2019.104157.pdf</v>
      </c>
      <c r="Q1143" s="49" t="str">
        <f t="array" ref="Q1143"> if(iserror(MATCH(V1143, 'File Links'!C:C, 0)), "N/A", HYPERLINK(INDEX('File Links'!B:B, MATCH(P1143, 'File Links'!C:C, 0))))</f>
        <v>https://drive.google.com/file/d/1vD03nf0a0BC3Ui7dZPBwsHBn8uBFVmTS/view?usp=drivesdk</v>
      </c>
      <c r="R1143" s="137" t="s">
        <v>6254</v>
      </c>
      <c r="S1143" s="156" t="s">
        <v>3647</v>
      </c>
      <c r="T1143" s="144" t="s">
        <v>131</v>
      </c>
      <c r="U1143" s="144" t="s">
        <v>131</v>
      </c>
      <c r="V1143" s="195" t="str">
        <f t="shared" si="57"/>
        <v>10.1098--rsos.231240.pdf</v>
      </c>
      <c r="W1143" s="137" t="s">
        <v>3658</v>
      </c>
      <c r="X1143" s="51" t="str">
        <f t="array" ref="X1143"> if(iserror(MATCH(V1143, 'File Links'!C:C, 0)), "N/A", HYPERLINK(INDEX('File Links'!B:B, MATCH(V1143, 'File Links'!C:C, 0))))</f>
        <v>https://drive.google.com/file/d/17gaf2Zy_ljFfcAEDk5L8GBnTl5i7RGJE/view?usp=drivesdk</v>
      </c>
      <c r="Y1143" s="122"/>
      <c r="Z1143" s="137" t="s">
        <v>141</v>
      </c>
      <c r="AA1143" s="122"/>
      <c r="AB1143" s="122"/>
      <c r="AC1143" s="122"/>
      <c r="AD1143" s="137" t="s">
        <v>131</v>
      </c>
      <c r="AE1143" s="137" t="s">
        <v>131</v>
      </c>
      <c r="AF1143" s="779">
        <v>51.0</v>
      </c>
      <c r="AG1143" s="137" t="s">
        <v>131</v>
      </c>
      <c r="AH1143" s="122"/>
      <c r="AI1143" s="137" t="s">
        <v>131</v>
      </c>
      <c r="AJ1143" s="220" t="s">
        <v>131</v>
      </c>
      <c r="AK1143" s="129"/>
      <c r="AL1143" s="123" t="s">
        <v>179</v>
      </c>
      <c r="AM1143" s="137" t="s">
        <v>1898</v>
      </c>
      <c r="AN1143" s="1341" t="s">
        <v>6255</v>
      </c>
      <c r="AO1143" s="779">
        <v>24.0</v>
      </c>
      <c r="AP1143" s="137" t="s">
        <v>131</v>
      </c>
      <c r="AQ1143" s="122"/>
      <c r="AR1143" s="1313" t="s">
        <v>5571</v>
      </c>
      <c r="AS1143" s="137" t="s">
        <v>131</v>
      </c>
      <c r="AT1143" s="122"/>
      <c r="AU1143" s="137" t="s">
        <v>179</v>
      </c>
      <c r="AV1143" s="137" t="s">
        <v>1898</v>
      </c>
      <c r="AW1143" s="1314" t="s">
        <v>131</v>
      </c>
      <c r="AX1143" s="667" t="s">
        <v>136</v>
      </c>
      <c r="AZ1143" s="1313" t="s">
        <v>5572</v>
      </c>
    </row>
    <row r="1144">
      <c r="A1144" s="41">
        <v>1144.0</v>
      </c>
      <c r="B1144" s="65" t="s">
        <v>145</v>
      </c>
      <c r="C1144" s="59" t="s">
        <v>108</v>
      </c>
      <c r="D1144" s="59" t="s">
        <v>138</v>
      </c>
      <c r="E1144" s="362"/>
      <c r="F1144" s="1304" t="s">
        <v>6256</v>
      </c>
      <c r="G1144" s="1305" t="s">
        <v>6257</v>
      </c>
      <c r="H1144" s="1306" t="s">
        <v>5559</v>
      </c>
      <c r="I1144" s="1307">
        <v>45690.0</v>
      </c>
      <c r="J1144" s="1308">
        <v>45692.0</v>
      </c>
      <c r="K1144" s="1304"/>
      <c r="L1144" s="1304" t="s">
        <v>5561</v>
      </c>
      <c r="M1144" s="1306" t="s">
        <v>6258</v>
      </c>
      <c r="N1144" s="1306" t="s">
        <v>6259</v>
      </c>
      <c r="O1144" s="1306" t="s">
        <v>4085</v>
      </c>
      <c r="P1144" s="1306" t="s">
        <v>6260</v>
      </c>
      <c r="Q1144" s="49" t="str">
        <f t="array" ref="Q1144"> if(iserror(MATCH(V1144, 'File Links'!C:C, 0)), "N/A", HYPERLINK(INDEX('File Links'!B:B, MATCH(P1144, 'File Links'!C:C, 0))))</f>
        <v>https://drive.google.com/file/d/17x3I7jUwdIldQm5GP-fj0zgsKCgIUoRP/view?usp=drivesdk</v>
      </c>
      <c r="R1144" s="1306" t="s">
        <v>3646</v>
      </c>
      <c r="S1144" s="156" t="s">
        <v>3647</v>
      </c>
      <c r="T1144" s="144" t="s">
        <v>131</v>
      </c>
      <c r="U1144" s="144" t="s">
        <v>131</v>
      </c>
      <c r="V1144" s="195" t="str">
        <f t="shared" si="57"/>
        <v>10.1098--rsos.231240.pdf</v>
      </c>
      <c r="W1144" s="137" t="s">
        <v>3797</v>
      </c>
      <c r="X1144" s="51" t="str">
        <f t="array" ref="X1144"> if(iserror(MATCH(V1144, 'File Links'!C:C, 0)), "N/A", HYPERLINK(INDEX('File Links'!B:B, MATCH(V1144, 'File Links'!C:C, 0))))</f>
        <v>https://drive.google.com/file/d/17gaf2Zy_ljFfcAEDk5L8GBnTl5i7RGJE/view?usp=drivesdk</v>
      </c>
      <c r="Y1144" s="1304"/>
      <c r="Z1144" s="1306" t="s">
        <v>219</v>
      </c>
      <c r="AA1144" s="371" t="s">
        <v>131</v>
      </c>
      <c r="AB1144" s="1304" t="s">
        <v>6261</v>
      </c>
      <c r="AC1144" s="1306" t="s">
        <v>6262</v>
      </c>
      <c r="AD1144" s="1304" t="s">
        <v>6263</v>
      </c>
      <c r="AE1144" s="1333">
        <v>3.0</v>
      </c>
      <c r="AF1144" s="1309">
        <v>156.0</v>
      </c>
      <c r="AG1144" s="1333">
        <v>0.04</v>
      </c>
      <c r="AH1144" s="1304" t="s">
        <v>132</v>
      </c>
      <c r="AI1144" s="1304" t="s">
        <v>500</v>
      </c>
      <c r="AJ1144" s="1337">
        <v>0.033</v>
      </c>
      <c r="AK1144" s="1312" t="s">
        <v>165</v>
      </c>
      <c r="AL1144" s="1312" t="s">
        <v>179</v>
      </c>
      <c r="AM1144" s="1304" t="s">
        <v>130</v>
      </c>
      <c r="AN1144" s="1313" t="s">
        <v>131</v>
      </c>
      <c r="AO1144" s="1309">
        <v>119.0</v>
      </c>
      <c r="AP1144" s="1333">
        <v>1.23747033259459</v>
      </c>
      <c r="AQ1144" s="1304" t="s">
        <v>166</v>
      </c>
      <c r="AR1144" s="1313" t="s">
        <v>5571</v>
      </c>
      <c r="AS1144" s="1337">
        <v>5.74940043546499E-4</v>
      </c>
      <c r="AT1144" s="1304" t="s">
        <v>165</v>
      </c>
      <c r="AU1144" s="1304" t="s">
        <v>179</v>
      </c>
      <c r="AV1144" s="1304" t="s">
        <v>130</v>
      </c>
      <c r="AW1144" s="1314" t="s">
        <v>131</v>
      </c>
      <c r="AX1144" s="1331" t="s">
        <v>136</v>
      </c>
      <c r="AZ1144" s="1313" t="s">
        <v>5572</v>
      </c>
    </row>
    <row r="1145">
      <c r="A1145" s="41">
        <v>1145.0</v>
      </c>
      <c r="B1145" s="65" t="s">
        <v>583</v>
      </c>
      <c r="C1145" s="59" t="s">
        <v>108</v>
      </c>
      <c r="D1145" s="59" t="s">
        <v>241</v>
      </c>
      <c r="E1145" s="362"/>
      <c r="F1145" s="123" t="s">
        <v>6256</v>
      </c>
      <c r="G1145" s="116" t="s">
        <v>6257</v>
      </c>
      <c r="H1145" s="137" t="s">
        <v>242</v>
      </c>
      <c r="I1145" s="314">
        <v>45666.0</v>
      </c>
      <c r="J1145" s="1317">
        <v>45692.0</v>
      </c>
      <c r="K1145" s="137" t="s">
        <v>6264</v>
      </c>
      <c r="L1145" s="122" t="s">
        <v>6265</v>
      </c>
      <c r="M1145" s="137" t="s">
        <v>6258</v>
      </c>
      <c r="N1145" s="137" t="s">
        <v>6259</v>
      </c>
      <c r="O1145" s="122"/>
      <c r="P1145" s="137" t="str">
        <f> SUBSTITUTE(lower(N1145), "/", "--") &amp;  ".pdf"</f>
        <v>10.1177--0956797618760784.pdf</v>
      </c>
      <c r="Q1145" s="49" t="str">
        <f t="array" ref="Q1145"> if(iserror(MATCH(V1145, 'File Links'!C:C, 0)), "N/A", HYPERLINK(INDEX('File Links'!B:B, MATCH(P1145, 'File Links'!C:C, 0))))</f>
        <v>https://drive.google.com/file/d/17x3I7jUwdIldQm5GP-fj0zgsKCgIUoRP/view?usp=drivesdk</v>
      </c>
      <c r="R1145" s="137" t="s">
        <v>6266</v>
      </c>
      <c r="S1145" s="156" t="s">
        <v>3647</v>
      </c>
      <c r="T1145" s="144" t="s">
        <v>131</v>
      </c>
      <c r="U1145" s="144" t="s">
        <v>131</v>
      </c>
      <c r="V1145" s="195" t="str">
        <f t="shared" si="57"/>
        <v>10.1098--rsos.231240.pdf</v>
      </c>
      <c r="W1145" s="137" t="s">
        <v>3797</v>
      </c>
      <c r="X1145" s="51" t="str">
        <f t="array" ref="X1145"> if(iserror(MATCH(V1145, 'File Links'!C:C, 0)), "N/A", HYPERLINK(INDEX('File Links'!B:B, MATCH(V1145, 'File Links'!C:C, 0))))</f>
        <v>https://drive.google.com/file/d/17gaf2Zy_ljFfcAEDk5L8GBnTl5i7RGJE/view?usp=drivesdk</v>
      </c>
      <c r="Y1145" s="122"/>
      <c r="Z1145" s="137" t="s">
        <v>219</v>
      </c>
      <c r="AA1145" s="122"/>
      <c r="AB1145" s="137" t="s">
        <v>6267</v>
      </c>
      <c r="AC1145" s="122"/>
      <c r="AD1145" s="137" t="s">
        <v>6268</v>
      </c>
      <c r="AE1145" s="779">
        <v>3.0</v>
      </c>
      <c r="AF1145" s="779">
        <v>156.0</v>
      </c>
      <c r="AG1145" s="779">
        <v>0.450767238816211</v>
      </c>
      <c r="AH1145" s="137" t="s">
        <v>166</v>
      </c>
      <c r="AI1145" s="137" t="s">
        <v>500</v>
      </c>
      <c r="AJ1145" s="130">
        <v>0.022</v>
      </c>
      <c r="AK1145" s="123" t="s">
        <v>165</v>
      </c>
      <c r="AL1145" s="123" t="s">
        <v>211</v>
      </c>
      <c r="AM1145" s="137" t="s">
        <v>130</v>
      </c>
      <c r="AN1145" s="1341" t="s">
        <v>6269</v>
      </c>
      <c r="AO1145" s="779">
        <v>119.0</v>
      </c>
      <c r="AP1145" s="779">
        <v>1.23747033259459</v>
      </c>
      <c r="AQ1145" s="137" t="s">
        <v>166</v>
      </c>
      <c r="AR1145" s="1313" t="s">
        <v>5571</v>
      </c>
      <c r="AS1145" s="1335">
        <v>5.74940043546499E-4</v>
      </c>
      <c r="AT1145" s="137" t="s">
        <v>165</v>
      </c>
      <c r="AU1145" s="137" t="s">
        <v>211</v>
      </c>
      <c r="AV1145" s="137" t="s">
        <v>130</v>
      </c>
      <c r="AW1145" s="1314" t="s">
        <v>131</v>
      </c>
      <c r="AX1145" s="667" t="s">
        <v>136</v>
      </c>
      <c r="AZ1145" s="1313" t="s">
        <v>5572</v>
      </c>
    </row>
    <row r="1146">
      <c r="A1146" s="41">
        <v>1146.0</v>
      </c>
      <c r="B1146" s="126" t="s">
        <v>2006</v>
      </c>
      <c r="C1146" s="59" t="s">
        <v>108</v>
      </c>
      <c r="D1146" s="59" t="s">
        <v>138</v>
      </c>
      <c r="E1146" s="362"/>
      <c r="F1146" s="1304" t="s">
        <v>6270</v>
      </c>
      <c r="G1146" s="1305" t="s">
        <v>6271</v>
      </c>
      <c r="H1146" s="1306" t="s">
        <v>5559</v>
      </c>
      <c r="I1146" s="1307">
        <v>45690.0</v>
      </c>
      <c r="J1146" s="1308">
        <v>45692.0</v>
      </c>
      <c r="K1146" s="1304"/>
      <c r="L1146" s="1304" t="s">
        <v>5561</v>
      </c>
      <c r="M1146" s="1306" t="s">
        <v>6272</v>
      </c>
      <c r="N1146" s="1306" t="s">
        <v>6273</v>
      </c>
      <c r="O1146" s="1309">
        <v>1.0</v>
      </c>
      <c r="P1146" s="1306" t="s">
        <v>6274</v>
      </c>
      <c r="Q1146" s="49" t="str">
        <f t="array" ref="Q1146"> if(iserror(MATCH(V1146, 'File Links'!C:C, 0)), "N/A", HYPERLINK(INDEX('File Links'!B:B, MATCH(P1146, 'File Links'!C:C, 0))))</f>
        <v>https://drive.google.com/file/d/1Chyql9h2DEg41XAYeRupg6Etz-OFp0us/view?usp=drivesdk</v>
      </c>
      <c r="R1146" s="1306" t="s">
        <v>3646</v>
      </c>
      <c r="S1146" s="156" t="s">
        <v>3647</v>
      </c>
      <c r="T1146" s="144" t="s">
        <v>131</v>
      </c>
      <c r="U1146" s="144" t="s">
        <v>131</v>
      </c>
      <c r="V1146" s="195" t="str">
        <f t="shared" si="57"/>
        <v>10.1098--rsos.231240.pdf</v>
      </c>
      <c r="W1146" s="137" t="s">
        <v>317</v>
      </c>
      <c r="X1146" s="51" t="str">
        <f t="array" ref="X1146"> if(iserror(MATCH(V1146, 'File Links'!C:C, 0)), "N/A", HYPERLINK(INDEX('File Links'!B:B, MATCH(V1146, 'File Links'!C:C, 0))))</f>
        <v>https://drive.google.com/file/d/17gaf2Zy_ljFfcAEDk5L8GBnTl5i7RGJE/view?usp=drivesdk</v>
      </c>
      <c r="Y1146" s="1304"/>
      <c r="Z1146" s="1306" t="s">
        <v>141</v>
      </c>
      <c r="AA1146" s="1304" t="s">
        <v>1528</v>
      </c>
      <c r="AB1146" s="1304" t="s">
        <v>6275</v>
      </c>
      <c r="AC1146" s="1306" t="s">
        <v>6276</v>
      </c>
      <c r="AD1146" s="1304" t="s">
        <v>6277</v>
      </c>
      <c r="AE1146" s="1333">
        <v>3.0</v>
      </c>
      <c r="AF1146" s="1309">
        <v>24.0</v>
      </c>
      <c r="AG1146" s="1309">
        <v>0.4939804315</v>
      </c>
      <c r="AH1146" s="1306" t="s">
        <v>166</v>
      </c>
      <c r="AI1146" s="1304" t="s">
        <v>1528</v>
      </c>
      <c r="AJ1146" s="1316">
        <v>0.02</v>
      </c>
      <c r="AK1146" s="1312" t="s">
        <v>165</v>
      </c>
      <c r="AL1146" s="1312" t="s">
        <v>179</v>
      </c>
      <c r="AM1146" s="1304" t="s">
        <v>130</v>
      </c>
      <c r="AN1146" s="1313" t="s">
        <v>131</v>
      </c>
      <c r="AO1146" s="1309">
        <v>54.0</v>
      </c>
      <c r="AP1146" s="1309">
        <v>0.5941373454</v>
      </c>
      <c r="AQ1146" s="1306" t="s">
        <v>166</v>
      </c>
      <c r="AR1146" s="1313" t="s">
        <v>5571</v>
      </c>
      <c r="AS1146" s="1337">
        <v>5.90006114667716E-5</v>
      </c>
      <c r="AT1146" s="1304" t="s">
        <v>165</v>
      </c>
      <c r="AU1146" s="1304" t="s">
        <v>179</v>
      </c>
      <c r="AV1146" s="1304" t="s">
        <v>130</v>
      </c>
      <c r="AW1146" s="1314" t="s">
        <v>131</v>
      </c>
      <c r="AX1146" s="1331" t="s">
        <v>136</v>
      </c>
      <c r="AZ1146" s="1313" t="s">
        <v>5572</v>
      </c>
    </row>
    <row r="1147">
      <c r="A1147" s="41">
        <v>1147.0</v>
      </c>
      <c r="B1147" s="126" t="s">
        <v>2006</v>
      </c>
      <c r="C1147" s="59" t="s">
        <v>108</v>
      </c>
      <c r="D1147" s="59" t="s">
        <v>138</v>
      </c>
      <c r="E1147" s="362"/>
      <c r="F1147" s="1304" t="s">
        <v>6278</v>
      </c>
      <c r="G1147" s="1305" t="s">
        <v>6279</v>
      </c>
      <c r="H1147" s="1306" t="s">
        <v>5559</v>
      </c>
      <c r="I1147" s="1307">
        <v>45690.0</v>
      </c>
      <c r="J1147" s="1308">
        <v>45692.0</v>
      </c>
      <c r="K1147" s="1304" t="s">
        <v>6280</v>
      </c>
      <c r="L1147" s="1304" t="s">
        <v>6248</v>
      </c>
      <c r="M1147" s="1306" t="s">
        <v>6281</v>
      </c>
      <c r="N1147" s="1304" t="s">
        <v>6282</v>
      </c>
      <c r="O1147" s="1309">
        <v>1.0</v>
      </c>
      <c r="P1147" s="1306" t="s">
        <v>6274</v>
      </c>
      <c r="Q1147" s="49" t="str">
        <f t="array" ref="Q1147"> if(iserror(MATCH(V1147, 'File Links'!C:C, 0)), "N/A", HYPERLINK(INDEX('File Links'!B:B, MATCH(P1147, 'File Links'!C:C, 0))))</f>
        <v>https://drive.google.com/file/d/1Chyql9h2DEg41XAYeRupg6Etz-OFp0us/view?usp=drivesdk</v>
      </c>
      <c r="R1147" s="1306" t="s">
        <v>3646</v>
      </c>
      <c r="S1147" s="156" t="s">
        <v>3647</v>
      </c>
      <c r="T1147" s="144" t="s">
        <v>131</v>
      </c>
      <c r="U1147" s="144" t="s">
        <v>131</v>
      </c>
      <c r="V1147" s="195" t="str">
        <f t="shared" si="57"/>
        <v>10.1098--rsos.231240.pdf</v>
      </c>
      <c r="W1147" s="137" t="s">
        <v>317</v>
      </c>
      <c r="X1147" s="51" t="str">
        <f t="array" ref="X1147"> if(iserror(MATCH(V1147, 'File Links'!C:C, 0)), "N/A", HYPERLINK(INDEX('File Links'!B:B, MATCH(V1147, 'File Links'!C:C, 0))))</f>
        <v>https://drive.google.com/file/d/17gaf2Zy_ljFfcAEDk5L8GBnTl5i7RGJE/view?usp=drivesdk</v>
      </c>
      <c r="Y1147" s="1304"/>
      <c r="Z1147" s="1306" t="s">
        <v>141</v>
      </c>
      <c r="AA1147" s="1304" t="s">
        <v>1528</v>
      </c>
      <c r="AB1147" s="1304" t="s">
        <v>6283</v>
      </c>
      <c r="AC1147" s="1306" t="s">
        <v>6284</v>
      </c>
      <c r="AD1147" s="1304" t="s">
        <v>1528</v>
      </c>
      <c r="AE1147" s="1304" t="s">
        <v>1528</v>
      </c>
      <c r="AF1147" s="1309">
        <v>101.0</v>
      </c>
      <c r="AG1147" s="1304" t="s">
        <v>1528</v>
      </c>
      <c r="AH1147" s="164" t="s">
        <v>131</v>
      </c>
      <c r="AI1147" s="1304" t="s">
        <v>1528</v>
      </c>
      <c r="AJ1147" s="1311" t="s">
        <v>1528</v>
      </c>
      <c r="AK1147" s="1312" t="s">
        <v>1528</v>
      </c>
      <c r="AL1147" s="1312" t="s">
        <v>179</v>
      </c>
      <c r="AM1147" s="1304" t="s">
        <v>130</v>
      </c>
      <c r="AN1147" s="1313" t="s">
        <v>131</v>
      </c>
      <c r="AO1147" s="1309">
        <v>19.0</v>
      </c>
      <c r="AP1147" s="1304" t="s">
        <v>1528</v>
      </c>
      <c r="AQ1147" s="126" t="s">
        <v>131</v>
      </c>
      <c r="AR1147" s="1313" t="s">
        <v>5571</v>
      </c>
      <c r="AS1147" s="1304" t="s">
        <v>1528</v>
      </c>
      <c r="AT1147" s="1304" t="s">
        <v>1528</v>
      </c>
      <c r="AU1147" s="1304" t="s">
        <v>179</v>
      </c>
      <c r="AV1147" s="1304" t="s">
        <v>130</v>
      </c>
      <c r="AW1147" s="1314" t="s">
        <v>131</v>
      </c>
      <c r="AX1147" s="1331" t="s">
        <v>136</v>
      </c>
      <c r="AZ1147" s="1313" t="s">
        <v>5572</v>
      </c>
    </row>
    <row r="1148">
      <c r="A1148" s="41">
        <v>1148.0</v>
      </c>
      <c r="B1148" s="126" t="s">
        <v>107</v>
      </c>
      <c r="C1148" s="59" t="s">
        <v>108</v>
      </c>
      <c r="D1148" s="59" t="s">
        <v>241</v>
      </c>
      <c r="E1148" s="362"/>
      <c r="F1148" s="123" t="s">
        <v>6278</v>
      </c>
      <c r="G1148" s="116" t="s">
        <v>6279</v>
      </c>
      <c r="H1148" s="137" t="s">
        <v>242</v>
      </c>
      <c r="I1148" s="314">
        <v>45666.0</v>
      </c>
      <c r="J1148" s="1317">
        <v>45692.0</v>
      </c>
      <c r="K1148" s="137" t="s">
        <v>3676</v>
      </c>
      <c r="L1148" s="122" t="s">
        <v>6248</v>
      </c>
      <c r="M1148" s="137" t="s">
        <v>6281</v>
      </c>
      <c r="N1148" s="137" t="s">
        <v>6282</v>
      </c>
      <c r="O1148" s="122"/>
      <c r="P1148" s="137" t="str">
        <f> SUBSTITUTE(lower(N1148), "/", "--") &amp;  ".pdf"</f>
        <v>10.1037--0096-3445.132.1.3.pdf</v>
      </c>
      <c r="Q1148" s="49" t="str">
        <f t="array" ref="Q1148"> if(iserror(MATCH(V1148, 'File Links'!C:C, 0)), "N/A", HYPERLINK(INDEX('File Links'!B:B, MATCH(P1148, 'File Links'!C:C, 0))))</f>
        <v>https://drive.google.com/file/d/1uSaalqURvSDrwFTwn8d56akyZ5pLqmJn/view?usp=drivesdk</v>
      </c>
      <c r="R1148" s="137" t="s">
        <v>6285</v>
      </c>
      <c r="S1148" s="156" t="s">
        <v>3647</v>
      </c>
      <c r="T1148" s="144" t="s">
        <v>131</v>
      </c>
      <c r="U1148" s="144" t="s">
        <v>131</v>
      </c>
      <c r="V1148" s="195" t="str">
        <f t="shared" si="57"/>
        <v>10.1098--rsos.231240.pdf</v>
      </c>
      <c r="W1148" s="137" t="s">
        <v>317</v>
      </c>
      <c r="X1148" s="51" t="str">
        <f t="array" ref="X1148"> if(iserror(MATCH(V1148, 'File Links'!C:C, 0)), "N/A", HYPERLINK(INDEX('File Links'!B:B, MATCH(V1148, 'File Links'!C:C, 0))))</f>
        <v>https://drive.google.com/file/d/17gaf2Zy_ljFfcAEDk5L8GBnTl5i7RGJE/view?usp=drivesdk</v>
      </c>
      <c r="Y1148" s="122"/>
      <c r="Z1148" s="137" t="s">
        <v>141</v>
      </c>
      <c r="AA1148" s="122"/>
      <c r="AB1148" s="122"/>
      <c r="AC1148" s="122"/>
      <c r="AD1148" s="137" t="s">
        <v>131</v>
      </c>
      <c r="AE1148" s="137" t="s">
        <v>131</v>
      </c>
      <c r="AF1148" s="779">
        <v>101.0</v>
      </c>
      <c r="AG1148" s="137" t="s">
        <v>131</v>
      </c>
      <c r="AH1148" s="122"/>
      <c r="AI1148" s="137" t="s">
        <v>131</v>
      </c>
      <c r="AJ1148" s="220" t="s">
        <v>131</v>
      </c>
      <c r="AK1148" s="129"/>
      <c r="AL1148" s="129"/>
      <c r="AM1148" s="137" t="s">
        <v>1898</v>
      </c>
      <c r="AN1148" s="1313" t="s">
        <v>131</v>
      </c>
      <c r="AO1148" s="779">
        <v>19.0</v>
      </c>
      <c r="AP1148" s="137" t="s">
        <v>131</v>
      </c>
      <c r="AQ1148" s="122"/>
      <c r="AR1148" s="1313" t="s">
        <v>5571</v>
      </c>
      <c r="AS1148" s="137" t="s">
        <v>6286</v>
      </c>
      <c r="AT1148" s="122"/>
      <c r="AU1148" s="137" t="s">
        <v>179</v>
      </c>
      <c r="AV1148" s="137" t="s">
        <v>1898</v>
      </c>
      <c r="AW1148" s="1314" t="s">
        <v>131</v>
      </c>
      <c r="AX1148" s="667" t="s">
        <v>136</v>
      </c>
      <c r="AZ1148" s="1313" t="s">
        <v>5572</v>
      </c>
    </row>
    <row r="1149">
      <c r="A1149" s="41">
        <v>1149.0</v>
      </c>
      <c r="B1149" s="65" t="s">
        <v>583</v>
      </c>
      <c r="C1149" s="59" t="s">
        <v>108</v>
      </c>
      <c r="D1149" s="59" t="s">
        <v>138</v>
      </c>
      <c r="E1149" s="362"/>
      <c r="F1149" s="1304" t="s">
        <v>6287</v>
      </c>
      <c r="G1149" s="1305" t="s">
        <v>6288</v>
      </c>
      <c r="H1149" s="1306" t="s">
        <v>5559</v>
      </c>
      <c r="I1149" s="1307">
        <v>45690.0</v>
      </c>
      <c r="J1149" s="1308">
        <v>45692.0</v>
      </c>
      <c r="K1149" s="1304"/>
      <c r="L1149" s="1304" t="s">
        <v>6289</v>
      </c>
      <c r="M1149" s="1306" t="s">
        <v>6290</v>
      </c>
      <c r="N1149" s="1306" t="s">
        <v>6291</v>
      </c>
      <c r="O1149" s="1309">
        <v>1.0</v>
      </c>
      <c r="P1149" s="1306" t="s">
        <v>6292</v>
      </c>
      <c r="Q1149" s="49" t="str">
        <f t="array" ref="Q1149"> if(iserror(MATCH(V1149, 'File Links'!C:C, 0)), "N/A", HYPERLINK(INDEX('File Links'!B:B, MATCH(P1149, 'File Links'!C:C, 0))))</f>
        <v>https://drive.google.com/file/d/1vWGgcW4pZ3FoyQKsaRTBIF-qNoze2NOS/view?usp=drivesdk</v>
      </c>
      <c r="R1149" s="1306" t="s">
        <v>3646</v>
      </c>
      <c r="S1149" s="156" t="s">
        <v>3647</v>
      </c>
      <c r="T1149" s="1357" t="s">
        <v>6293</v>
      </c>
      <c r="U1149" s="144" t="s">
        <v>131</v>
      </c>
      <c r="V1149" s="195" t="str">
        <f t="shared" si="57"/>
        <v>10.1098--rsos.231240.pdf</v>
      </c>
      <c r="W1149" s="137" t="s">
        <v>317</v>
      </c>
      <c r="X1149" s="51" t="str">
        <f t="array" ref="X1149"> if(iserror(MATCH(V1149, 'File Links'!C:C, 0)), "N/A", HYPERLINK(INDEX('File Links'!B:B, MATCH(V1149, 'File Links'!C:C, 0))))</f>
        <v>https://drive.google.com/file/d/17gaf2Zy_ljFfcAEDk5L8GBnTl5i7RGJE/view?usp=drivesdk</v>
      </c>
      <c r="Y1149" s="1304"/>
      <c r="Z1149" s="1306" t="s">
        <v>141</v>
      </c>
      <c r="AA1149" s="1304" t="s">
        <v>1528</v>
      </c>
      <c r="AB1149" s="1304" t="s">
        <v>6294</v>
      </c>
      <c r="AC1149" s="1306" t="s">
        <v>6295</v>
      </c>
      <c r="AD1149" s="1304" t="s">
        <v>6296</v>
      </c>
      <c r="AE1149" s="1304" t="s">
        <v>6297</v>
      </c>
      <c r="AF1149" s="1309">
        <v>155.0</v>
      </c>
      <c r="AG1149" s="1333">
        <v>0.472</v>
      </c>
      <c r="AH1149" s="1304" t="s">
        <v>166</v>
      </c>
      <c r="AI1149" s="1304" t="s">
        <v>210</v>
      </c>
      <c r="AJ1149" s="1316">
        <v>0.017238199239407</v>
      </c>
      <c r="AK1149" s="1312" t="s">
        <v>165</v>
      </c>
      <c r="AL1149" s="1312" t="s">
        <v>179</v>
      </c>
      <c r="AM1149" s="1304" t="s">
        <v>130</v>
      </c>
      <c r="AN1149" s="1313" t="s">
        <v>131</v>
      </c>
      <c r="AO1149" s="1309">
        <v>225.0</v>
      </c>
      <c r="AP1149" s="1333">
        <v>0.194935210038986</v>
      </c>
      <c r="AQ1149" s="1304" t="s">
        <v>166</v>
      </c>
      <c r="AR1149" s="1313" t="s">
        <v>5571</v>
      </c>
      <c r="AS1149" s="1333">
        <v>0.232036496781515</v>
      </c>
      <c r="AT1149" s="1304" t="s">
        <v>165</v>
      </c>
      <c r="AU1149" s="1304" t="s">
        <v>179</v>
      </c>
      <c r="AV1149" s="1304" t="s">
        <v>130</v>
      </c>
      <c r="AW1149" s="1314" t="s">
        <v>131</v>
      </c>
      <c r="AX1149" s="1331" t="s">
        <v>136</v>
      </c>
      <c r="AZ1149" s="1313" t="s">
        <v>5572</v>
      </c>
    </row>
    <row r="1150">
      <c r="A1150" s="41">
        <v>1150.0</v>
      </c>
      <c r="B1150" s="65" t="s">
        <v>583</v>
      </c>
      <c r="C1150" s="59" t="s">
        <v>108</v>
      </c>
      <c r="D1150" s="59" t="s">
        <v>138</v>
      </c>
      <c r="E1150" s="362"/>
      <c r="F1150" s="1304" t="s">
        <v>6287</v>
      </c>
      <c r="G1150" s="1305" t="s">
        <v>6298</v>
      </c>
      <c r="H1150" s="1306" t="s">
        <v>5559</v>
      </c>
      <c r="I1150" s="1307">
        <v>45691.0</v>
      </c>
      <c r="J1150" s="1308">
        <v>45692.0</v>
      </c>
      <c r="K1150" s="1304"/>
      <c r="L1150" s="1304" t="s">
        <v>6289</v>
      </c>
      <c r="M1150" s="1306" t="s">
        <v>6290</v>
      </c>
      <c r="N1150" s="1306" t="s">
        <v>6291</v>
      </c>
      <c r="O1150" s="1309">
        <v>1.0</v>
      </c>
      <c r="P1150" s="1306" t="s">
        <v>6292</v>
      </c>
      <c r="Q1150" s="49" t="str">
        <f t="array" ref="Q1150"> if(iserror(MATCH(V1150, 'File Links'!C:C, 0)), "N/A", HYPERLINK(INDEX('File Links'!B:B, MATCH(P1150, 'File Links'!C:C, 0))))</f>
        <v>https://drive.google.com/file/d/1vWGgcW4pZ3FoyQKsaRTBIF-qNoze2NOS/view?usp=drivesdk</v>
      </c>
      <c r="R1150" s="1306" t="s">
        <v>3646</v>
      </c>
      <c r="S1150" s="156" t="s">
        <v>3647</v>
      </c>
      <c r="T1150" s="1357" t="s">
        <v>6293</v>
      </c>
      <c r="U1150" s="144" t="s">
        <v>131</v>
      </c>
      <c r="V1150" s="195" t="str">
        <f t="shared" si="57"/>
        <v>10.1098--rsos.231240.pdf</v>
      </c>
      <c r="W1150" s="137" t="s">
        <v>317</v>
      </c>
      <c r="X1150" s="51" t="str">
        <f t="array" ref="X1150"> if(iserror(MATCH(V1150, 'File Links'!C:C, 0)), "N/A", HYPERLINK(INDEX('File Links'!B:B, MATCH(V1150, 'File Links'!C:C, 0))))</f>
        <v>https://drive.google.com/file/d/17gaf2Zy_ljFfcAEDk5L8GBnTl5i7RGJE/view?usp=drivesdk</v>
      </c>
      <c r="Y1150" s="1304"/>
      <c r="Z1150" s="1306" t="s">
        <v>141</v>
      </c>
      <c r="AA1150" s="1304" t="s">
        <v>1528</v>
      </c>
      <c r="AB1150" s="1304" t="s">
        <v>6294</v>
      </c>
      <c r="AC1150" s="1306" t="s">
        <v>6299</v>
      </c>
      <c r="AD1150" s="1304" t="s">
        <v>6300</v>
      </c>
      <c r="AE1150" s="1304" t="s">
        <v>6297</v>
      </c>
      <c r="AF1150" s="1309">
        <v>155.0</v>
      </c>
      <c r="AG1150" s="1333">
        <v>0.459</v>
      </c>
      <c r="AH1150" s="1304" t="s">
        <v>166</v>
      </c>
      <c r="AI1150" s="1304" t="s">
        <v>3619</v>
      </c>
      <c r="AJ1150" s="1316">
        <v>0.017238199239407</v>
      </c>
      <c r="AK1150" s="1312" t="s">
        <v>165</v>
      </c>
      <c r="AL1150" s="1312" t="s">
        <v>179</v>
      </c>
      <c r="AM1150" s="1304" t="s">
        <v>130</v>
      </c>
      <c r="AN1150" s="1313" t="s">
        <v>131</v>
      </c>
      <c r="AO1150" s="1309">
        <v>225.0</v>
      </c>
      <c r="AP1150" s="1333">
        <v>0.194935210038986</v>
      </c>
      <c r="AQ1150" s="1304" t="s">
        <v>166</v>
      </c>
      <c r="AR1150" s="1313" t="s">
        <v>5571</v>
      </c>
      <c r="AS1150" s="1333">
        <v>0.232036496781515</v>
      </c>
      <c r="AT1150" s="1304" t="s">
        <v>165</v>
      </c>
      <c r="AU1150" s="1304" t="s">
        <v>179</v>
      </c>
      <c r="AV1150" s="1304" t="s">
        <v>130</v>
      </c>
      <c r="AW1150" s="1314" t="s">
        <v>131</v>
      </c>
      <c r="AX1150" s="1331" t="s">
        <v>136</v>
      </c>
      <c r="AZ1150" s="1313" t="s">
        <v>5572</v>
      </c>
    </row>
    <row r="1151">
      <c r="A1151" s="41">
        <v>1151.0</v>
      </c>
      <c r="B1151" s="65" t="s">
        <v>583</v>
      </c>
      <c r="C1151" s="59" t="s">
        <v>108</v>
      </c>
      <c r="D1151" s="59" t="s">
        <v>241</v>
      </c>
      <c r="E1151" s="362"/>
      <c r="F1151" s="123" t="s">
        <v>6287</v>
      </c>
      <c r="G1151" s="116" t="s">
        <v>6288</v>
      </c>
      <c r="H1151" s="137" t="s">
        <v>242</v>
      </c>
      <c r="I1151" s="314">
        <v>45663.0</v>
      </c>
      <c r="J1151" s="1317">
        <v>45692.0</v>
      </c>
      <c r="K1151" s="122"/>
      <c r="L1151" s="122" t="s">
        <v>6289</v>
      </c>
      <c r="M1151" s="137" t="s">
        <v>6290</v>
      </c>
      <c r="N1151" s="137" t="s">
        <v>6291</v>
      </c>
      <c r="O1151" s="122"/>
      <c r="P1151" s="137" t="str">
        <f> SUBSTITUTE(lower(N1151), "/", "--") &amp;  ".pdf"</f>
        <v>10.1111--j.1467-9280.2007.01909.x.pdf</v>
      </c>
      <c r="Q1151" s="49" t="str">
        <f t="array" ref="Q1151"> if(iserror(MATCH(V1151, 'File Links'!C:C, 0)), "N/A", HYPERLINK(INDEX('File Links'!B:B, MATCH(P1151, 'File Links'!C:C, 0))))</f>
        <v>https://drive.google.com/file/d/1vWGgcW4pZ3FoyQKsaRTBIF-qNoze2NOS/view?usp=drivesdk</v>
      </c>
      <c r="R1151" s="137" t="s">
        <v>6301</v>
      </c>
      <c r="S1151" s="156" t="s">
        <v>3647</v>
      </c>
      <c r="T1151" s="1357" t="s">
        <v>6293</v>
      </c>
      <c r="U1151" s="144" t="s">
        <v>131</v>
      </c>
      <c r="V1151" s="195" t="str">
        <f t="shared" si="57"/>
        <v>10.1098--rsos.231240.pdf</v>
      </c>
      <c r="W1151" s="137" t="s">
        <v>317</v>
      </c>
      <c r="X1151" s="51" t="str">
        <f t="array" ref="X1151"> if(iserror(MATCH(V1151, 'File Links'!C:C, 0)), "N/A", HYPERLINK(INDEX('File Links'!B:B, MATCH(V1151, 'File Links'!C:C, 0))))</f>
        <v>https://drive.google.com/file/d/17gaf2Zy_ljFfcAEDk5L8GBnTl5i7RGJE/view?usp=drivesdk</v>
      </c>
      <c r="Y1151" s="122"/>
      <c r="Z1151" s="137" t="s">
        <v>141</v>
      </c>
      <c r="AA1151" s="122"/>
      <c r="AB1151" s="122"/>
      <c r="AC1151" s="122"/>
      <c r="AD1151" s="137" t="s">
        <v>6302</v>
      </c>
      <c r="AE1151" s="779">
        <v>384.0</v>
      </c>
      <c r="AF1151" s="779">
        <v>155.0</v>
      </c>
      <c r="AG1151" s="779">
        <v>0.472</v>
      </c>
      <c r="AH1151" s="137" t="s">
        <v>166</v>
      </c>
      <c r="AI1151" s="137" t="s">
        <v>6303</v>
      </c>
      <c r="AJ1151" s="130">
        <v>0.05</v>
      </c>
      <c r="AK1151" s="123" t="s">
        <v>128</v>
      </c>
      <c r="AL1151" s="123" t="s">
        <v>179</v>
      </c>
      <c r="AM1151" s="137" t="s">
        <v>1898</v>
      </c>
      <c r="AN1151" s="1313" t="s">
        <v>131</v>
      </c>
      <c r="AO1151" s="779">
        <v>225.0</v>
      </c>
      <c r="AP1151" s="779">
        <v>0.194935210038986</v>
      </c>
      <c r="AQ1151" s="137" t="s">
        <v>166</v>
      </c>
      <c r="AR1151" s="1313" t="s">
        <v>5571</v>
      </c>
      <c r="AS1151" s="779">
        <v>0.232036496781515</v>
      </c>
      <c r="AT1151" s="137" t="s">
        <v>165</v>
      </c>
      <c r="AU1151" s="137" t="s">
        <v>179</v>
      </c>
      <c r="AV1151" s="137" t="s">
        <v>1898</v>
      </c>
      <c r="AW1151" s="1314" t="s">
        <v>131</v>
      </c>
      <c r="AX1151" s="667" t="s">
        <v>136</v>
      </c>
      <c r="AZ1151" s="1313" t="s">
        <v>5572</v>
      </c>
    </row>
    <row r="1152">
      <c r="A1152" s="41">
        <v>1152.0</v>
      </c>
      <c r="B1152" s="126" t="s">
        <v>145</v>
      </c>
      <c r="C1152" s="59" t="s">
        <v>108</v>
      </c>
      <c r="D1152" s="59" t="s">
        <v>138</v>
      </c>
      <c r="E1152" s="362"/>
      <c r="F1152" s="1304" t="s">
        <v>6304</v>
      </c>
      <c r="G1152" s="1305" t="s">
        <v>6305</v>
      </c>
      <c r="H1152" s="1306" t="s">
        <v>5559</v>
      </c>
      <c r="I1152" s="1307">
        <v>45691.0</v>
      </c>
      <c r="J1152" s="1308">
        <v>45692.0</v>
      </c>
      <c r="K1152" s="1304"/>
      <c r="L1152" s="1304" t="s">
        <v>5561</v>
      </c>
      <c r="M1152" s="1306" t="s">
        <v>6306</v>
      </c>
      <c r="N1152" s="1306" t="s">
        <v>6307</v>
      </c>
      <c r="O1152" s="1309">
        <v>3.0</v>
      </c>
      <c r="P1152" s="1306" t="s">
        <v>6308</v>
      </c>
      <c r="Q1152" s="49" t="str">
        <f t="array" ref="Q1152"> if(iserror(MATCH(V1152, 'File Links'!C:C, 0)), "N/A", HYPERLINK(INDEX('File Links'!B:B, MATCH(P1152, 'File Links'!C:C, 0))))</f>
        <v>https://drive.google.com/file/d/1CNUuCil5aZVO_tdA1GgelrRiq8I7q6J4/view?usp=drivesdk</v>
      </c>
      <c r="R1152" s="1306" t="s">
        <v>3646</v>
      </c>
      <c r="S1152" s="156" t="s">
        <v>3647</v>
      </c>
      <c r="T1152" s="777" t="s">
        <v>131</v>
      </c>
      <c r="U1152" s="144" t="s">
        <v>131</v>
      </c>
      <c r="V1152" s="195" t="str">
        <f t="shared" si="57"/>
        <v>10.1098--rsos.231240.pdf</v>
      </c>
      <c r="W1152" s="137" t="s">
        <v>3658</v>
      </c>
      <c r="X1152" s="51" t="str">
        <f t="array" ref="X1152"> if(iserror(MATCH(V1152, 'File Links'!C:C, 0)), "N/A", HYPERLINK(INDEX('File Links'!B:B, MATCH(V1152, 'File Links'!C:C, 0))))</f>
        <v>https://drive.google.com/file/d/17gaf2Zy_ljFfcAEDk5L8GBnTl5i7RGJE/view?usp=drivesdk</v>
      </c>
      <c r="Y1152" s="1304"/>
      <c r="Z1152" s="1306" t="s">
        <v>219</v>
      </c>
      <c r="AA1152" s="1313" t="s">
        <v>131</v>
      </c>
      <c r="AB1152" s="1304" t="s">
        <v>6309</v>
      </c>
      <c r="AC1152" s="1306" t="s">
        <v>6310</v>
      </c>
      <c r="AD1152" s="1304" t="s">
        <v>6311</v>
      </c>
      <c r="AE1152" s="1333">
        <v>6.0</v>
      </c>
      <c r="AF1152" s="1309">
        <v>101.0</v>
      </c>
      <c r="AG1152" s="1304" t="s">
        <v>6312</v>
      </c>
      <c r="AH1152" s="1304" t="s">
        <v>127</v>
      </c>
      <c r="AI1152" s="1304" t="s">
        <v>133</v>
      </c>
      <c r="AJ1152" s="1345">
        <v>0.24</v>
      </c>
      <c r="AK1152" s="1312" t="s">
        <v>165</v>
      </c>
      <c r="AL1152" s="1312" t="s">
        <v>179</v>
      </c>
      <c r="AM1152" s="1304" t="s">
        <v>130</v>
      </c>
      <c r="AN1152" s="1313" t="s">
        <v>131</v>
      </c>
      <c r="AO1152" s="1309">
        <v>160.0</v>
      </c>
      <c r="AP1152" s="1333">
        <v>0.20193923478476</v>
      </c>
      <c r="AQ1152" s="1304" t="s">
        <v>166</v>
      </c>
      <c r="AR1152" s="1313" t="s">
        <v>5571</v>
      </c>
      <c r="AS1152" s="1333">
        <v>0.212129833599919</v>
      </c>
      <c r="AT1152" s="1304" t="s">
        <v>165</v>
      </c>
      <c r="AU1152" s="1304" t="s">
        <v>179</v>
      </c>
      <c r="AV1152" s="1304" t="s">
        <v>130</v>
      </c>
      <c r="AW1152" s="1314" t="s">
        <v>131</v>
      </c>
      <c r="AX1152" s="1331" t="s">
        <v>136</v>
      </c>
      <c r="AZ1152" s="1313" t="s">
        <v>5572</v>
      </c>
    </row>
    <row r="1153">
      <c r="A1153" s="41">
        <v>1153.0</v>
      </c>
      <c r="B1153" s="126" t="s">
        <v>107</v>
      </c>
      <c r="C1153" s="59" t="s">
        <v>108</v>
      </c>
      <c r="D1153" s="59" t="s">
        <v>241</v>
      </c>
      <c r="E1153" s="362"/>
      <c r="F1153" s="123" t="s">
        <v>6304</v>
      </c>
      <c r="G1153" s="116" t="s">
        <v>6305</v>
      </c>
      <c r="H1153" s="137" t="s">
        <v>242</v>
      </c>
      <c r="I1153" s="314">
        <v>45666.0</v>
      </c>
      <c r="J1153" s="1317">
        <v>45692.0</v>
      </c>
      <c r="K1153" s="122"/>
      <c r="L1153" s="122" t="s">
        <v>5561</v>
      </c>
      <c r="M1153" s="137" t="s">
        <v>6306</v>
      </c>
      <c r="N1153" s="137" t="s">
        <v>6307</v>
      </c>
      <c r="O1153" s="122"/>
      <c r="P1153" s="137" t="str">
        <f> SUBSTITUTE(lower(N1153), "/", "--") &amp;  ".pdf"</f>
        <v>10.1177--0956797614563108.pdf</v>
      </c>
      <c r="Q1153" s="49" t="str">
        <f t="array" ref="Q1153"> if(iserror(MATCH(V1153, 'File Links'!C:C, 0)), "N/A", HYPERLINK(INDEX('File Links'!B:B, MATCH(P1153, 'File Links'!C:C, 0))))</f>
        <v>https://drive.google.com/file/d/1CNUuCil5aZVO_tdA1GgelrRiq8I7q6J4/view?usp=drivesdk</v>
      </c>
      <c r="R1153" s="137" t="s">
        <v>6313</v>
      </c>
      <c r="S1153" s="156" t="s">
        <v>3647</v>
      </c>
      <c r="T1153" s="777" t="s">
        <v>131</v>
      </c>
      <c r="U1153" s="144" t="s">
        <v>131</v>
      </c>
      <c r="V1153" s="195" t="str">
        <f t="shared" si="57"/>
        <v>10.1098--rsos.231240.pdf</v>
      </c>
      <c r="W1153" s="137" t="s">
        <v>3658</v>
      </c>
      <c r="X1153" s="51" t="str">
        <f t="array" ref="X1153"> if(iserror(MATCH(V1153, 'File Links'!C:C, 0)), "N/A", HYPERLINK(INDEX('File Links'!B:B, MATCH(V1153, 'File Links'!C:C, 0))))</f>
        <v>https://drive.google.com/file/d/17gaf2Zy_ljFfcAEDk5L8GBnTl5i7RGJE/view?usp=drivesdk</v>
      </c>
      <c r="Y1153" s="122"/>
      <c r="Z1153" s="137" t="s">
        <v>219</v>
      </c>
      <c r="AA1153" s="122"/>
      <c r="AB1153" s="137" t="s">
        <v>4336</v>
      </c>
      <c r="AC1153" s="122"/>
      <c r="AD1153" s="137" t="s">
        <v>6314</v>
      </c>
      <c r="AE1153" s="779">
        <v>6.0</v>
      </c>
      <c r="AF1153" s="779">
        <v>101.0</v>
      </c>
      <c r="AG1153" s="779">
        <v>0.61</v>
      </c>
      <c r="AH1153" s="116" t="s">
        <v>354</v>
      </c>
      <c r="AI1153" s="137" t="s">
        <v>1035</v>
      </c>
      <c r="AJ1153" s="130">
        <v>0.24</v>
      </c>
      <c r="AK1153" s="123" t="s">
        <v>165</v>
      </c>
      <c r="AL1153" s="123" t="s">
        <v>211</v>
      </c>
      <c r="AM1153" s="137" t="s">
        <v>134</v>
      </c>
      <c r="AN1153" s="1313" t="s">
        <v>131</v>
      </c>
      <c r="AO1153" s="779">
        <v>160.0</v>
      </c>
      <c r="AP1153" s="779">
        <v>0.20193923478476</v>
      </c>
      <c r="AQ1153" s="137" t="s">
        <v>166</v>
      </c>
      <c r="AR1153" s="1313" t="s">
        <v>5571</v>
      </c>
      <c r="AS1153" s="779">
        <v>0.212129833599919</v>
      </c>
      <c r="AT1153" s="137" t="s">
        <v>165</v>
      </c>
      <c r="AU1153" s="137" t="s">
        <v>211</v>
      </c>
      <c r="AV1153" s="137" t="s">
        <v>134</v>
      </c>
      <c r="AW1153" s="1314" t="s">
        <v>131</v>
      </c>
      <c r="AX1153" s="667" t="s">
        <v>136</v>
      </c>
      <c r="AZ1153" s="1313" t="s">
        <v>5572</v>
      </c>
    </row>
    <row r="1154">
      <c r="A1154" s="41">
        <v>1154.0</v>
      </c>
      <c r="B1154" s="126" t="s">
        <v>145</v>
      </c>
      <c r="C1154" s="59" t="s">
        <v>108</v>
      </c>
      <c r="D1154" s="59" t="s">
        <v>138</v>
      </c>
      <c r="E1154" s="362"/>
      <c r="F1154" s="1304" t="s">
        <v>6315</v>
      </c>
      <c r="G1154" s="1305" t="s">
        <v>6316</v>
      </c>
      <c r="H1154" s="1306" t="s">
        <v>5559</v>
      </c>
      <c r="I1154" s="1307">
        <v>45691.0</v>
      </c>
      <c r="J1154" s="1308">
        <v>45692.0</v>
      </c>
      <c r="K1154" s="1304"/>
      <c r="L1154" s="1304" t="s">
        <v>5561</v>
      </c>
      <c r="M1154" s="1306" t="s">
        <v>6317</v>
      </c>
      <c r="N1154" s="1306" t="s">
        <v>6318</v>
      </c>
      <c r="O1154" s="1309">
        <v>1.0</v>
      </c>
      <c r="P1154" s="1306" t="s">
        <v>6319</v>
      </c>
      <c r="Q1154" s="49" t="str">
        <f t="array" ref="Q1154"> if(iserror(MATCH(V1154, 'File Links'!C:C, 0)), "N/A", HYPERLINK(INDEX('File Links'!B:B, MATCH(P1154, 'File Links'!C:C, 0))))</f>
        <v>https://drive.google.com/file/d/1cd2Q3usXoNSUYACYaL4eodYUxZsj-SOb/view?usp=drivesdk</v>
      </c>
      <c r="R1154" s="1306" t="s">
        <v>3646</v>
      </c>
      <c r="S1154" s="156" t="s">
        <v>3647</v>
      </c>
      <c r="T1154" s="777" t="s">
        <v>131</v>
      </c>
      <c r="U1154" s="144" t="s">
        <v>131</v>
      </c>
      <c r="V1154" s="195" t="str">
        <f t="shared" si="57"/>
        <v>10.1098--rsos.231240.pdf</v>
      </c>
      <c r="W1154" s="137" t="s">
        <v>317</v>
      </c>
      <c r="X1154" s="51" t="str">
        <f t="array" ref="X1154"> if(iserror(MATCH(V1154, 'File Links'!C:C, 0)), "N/A", HYPERLINK(INDEX('File Links'!B:B, MATCH(V1154, 'File Links'!C:C, 0))))</f>
        <v>https://drive.google.com/file/d/17gaf2Zy_ljFfcAEDk5L8GBnTl5i7RGJE/view?usp=drivesdk</v>
      </c>
      <c r="Y1154" s="1304"/>
      <c r="Z1154" s="1306" t="s">
        <v>219</v>
      </c>
      <c r="AA1154" s="371" t="s">
        <v>131</v>
      </c>
      <c r="AB1154" s="1304" t="s">
        <v>6320</v>
      </c>
      <c r="AC1154" s="1306" t="s">
        <v>6321</v>
      </c>
      <c r="AD1154" s="1313" t="s">
        <v>6322</v>
      </c>
      <c r="AE1154" s="1333">
        <v>2.0</v>
      </c>
      <c r="AF1154" s="1309">
        <v>36.0</v>
      </c>
      <c r="AG1154" s="1304" t="s">
        <v>6323</v>
      </c>
      <c r="AH1154" s="1304" t="s">
        <v>127</v>
      </c>
      <c r="AI1154" s="1304" t="s">
        <v>868</v>
      </c>
      <c r="AJ1154" s="1339" t="s">
        <v>131</v>
      </c>
      <c r="AK1154" s="1312" t="s">
        <v>165</v>
      </c>
      <c r="AL1154" s="1312" t="s">
        <v>179</v>
      </c>
      <c r="AM1154" s="1350" t="s">
        <v>130</v>
      </c>
      <c r="AN1154" s="1313" t="s">
        <v>131</v>
      </c>
      <c r="AO1154" s="1309">
        <v>39.0</v>
      </c>
      <c r="AP1154" s="1304" t="s">
        <v>6324</v>
      </c>
      <c r="AQ1154" s="1304" t="s">
        <v>127</v>
      </c>
      <c r="AR1154" s="1313" t="s">
        <v>5571</v>
      </c>
      <c r="AS1154" s="1333">
        <v>0.2</v>
      </c>
      <c r="AT1154" s="1304" t="s">
        <v>328</v>
      </c>
      <c r="AU1154" s="1304" t="s">
        <v>179</v>
      </c>
      <c r="AV1154" s="1304" t="s">
        <v>130</v>
      </c>
      <c r="AW1154" s="1314" t="s">
        <v>131</v>
      </c>
      <c r="AX1154" s="1331" t="s">
        <v>136</v>
      </c>
      <c r="AZ1154" s="1313" t="s">
        <v>5572</v>
      </c>
    </row>
    <row r="1155">
      <c r="A1155" s="41">
        <v>1155.0</v>
      </c>
      <c r="B1155" s="126" t="s">
        <v>107</v>
      </c>
      <c r="C1155" s="59" t="s">
        <v>108</v>
      </c>
      <c r="D1155" s="59" t="s">
        <v>241</v>
      </c>
      <c r="E1155" s="362"/>
      <c r="F1155" s="123" t="s">
        <v>6315</v>
      </c>
      <c r="G1155" s="116" t="s">
        <v>6316</v>
      </c>
      <c r="H1155" s="137" t="s">
        <v>242</v>
      </c>
      <c r="I1155" s="314">
        <v>45667.0</v>
      </c>
      <c r="J1155" s="1317">
        <v>45692.0</v>
      </c>
      <c r="K1155" s="137" t="s">
        <v>6325</v>
      </c>
      <c r="L1155" s="122" t="s">
        <v>5561</v>
      </c>
      <c r="M1155" s="137" t="s">
        <v>6317</v>
      </c>
      <c r="N1155" s="137" t="s">
        <v>6318</v>
      </c>
      <c r="O1155" s="122"/>
      <c r="P1155" s="137" t="str">
        <f> SUBSTITUTE(lower(N1155), "/", "--") &amp;  ".pdf"</f>
        <v>10.1111--j.1467-9280.2008.02040.x.pdf</v>
      </c>
      <c r="Q1155" s="49" t="str">
        <f t="array" ref="Q1155"> if(iserror(MATCH(V1155, 'File Links'!C:C, 0)), "N/A", HYPERLINK(INDEX('File Links'!B:B, MATCH(P1155, 'File Links'!C:C, 0))))</f>
        <v>https://drive.google.com/file/d/1cd2Q3usXoNSUYACYaL4eodYUxZsj-SOb/view?usp=drivesdk</v>
      </c>
      <c r="R1155" s="137" t="s">
        <v>6326</v>
      </c>
      <c r="S1155" s="156" t="s">
        <v>3647</v>
      </c>
      <c r="T1155" s="777" t="s">
        <v>131</v>
      </c>
      <c r="U1155" s="144" t="s">
        <v>131</v>
      </c>
      <c r="V1155" s="195" t="str">
        <f t="shared" si="57"/>
        <v>10.1098--rsos.231240.pdf</v>
      </c>
      <c r="W1155" s="137" t="s">
        <v>317</v>
      </c>
      <c r="X1155" s="51" t="str">
        <f t="array" ref="X1155"> if(iserror(MATCH(V1155, 'File Links'!C:C, 0)), "N/A", HYPERLINK(INDEX('File Links'!B:B, MATCH(V1155, 'File Links'!C:C, 0))))</f>
        <v>https://drive.google.com/file/d/17gaf2Zy_ljFfcAEDk5L8GBnTl5i7RGJE/view?usp=drivesdk</v>
      </c>
      <c r="Y1155" s="122"/>
      <c r="Z1155" s="137" t="s">
        <v>219</v>
      </c>
      <c r="AA1155" s="122"/>
      <c r="AB1155" s="122"/>
      <c r="AC1155" s="122"/>
      <c r="AD1155" s="137" t="s">
        <v>6327</v>
      </c>
      <c r="AE1155" s="779">
        <v>21.0</v>
      </c>
      <c r="AF1155" s="779">
        <v>36.0</v>
      </c>
      <c r="AG1155" s="222" t="s">
        <v>6323</v>
      </c>
      <c r="AH1155" s="116" t="s">
        <v>127</v>
      </c>
      <c r="AI1155" s="137" t="s">
        <v>6328</v>
      </c>
      <c r="AJ1155" s="130">
        <v>0.0206772695323613</v>
      </c>
      <c r="AK1155" s="123" t="s">
        <v>165</v>
      </c>
      <c r="AL1155" s="123" t="s">
        <v>129</v>
      </c>
      <c r="AM1155" s="137" t="s">
        <v>1898</v>
      </c>
      <c r="AN1155" s="1313" t="s">
        <v>131</v>
      </c>
      <c r="AO1155" s="779">
        <v>39.0</v>
      </c>
      <c r="AP1155" s="222" t="s">
        <v>6324</v>
      </c>
      <c r="AQ1155" s="116" t="s">
        <v>127</v>
      </c>
      <c r="AR1155" s="1313" t="s">
        <v>5571</v>
      </c>
      <c r="AS1155" s="779">
        <v>0.226694821848151</v>
      </c>
      <c r="AT1155" s="137" t="s">
        <v>165</v>
      </c>
      <c r="AU1155" s="137" t="s">
        <v>129</v>
      </c>
      <c r="AV1155" s="137" t="s">
        <v>1898</v>
      </c>
      <c r="AW1155" s="1314" t="s">
        <v>131</v>
      </c>
      <c r="AX1155" s="137" t="s">
        <v>136</v>
      </c>
      <c r="AZ1155" s="1313" t="s">
        <v>5572</v>
      </c>
    </row>
    <row r="1156">
      <c r="A1156" s="41">
        <v>1156.0</v>
      </c>
      <c r="B1156" s="126" t="s">
        <v>145</v>
      </c>
      <c r="C1156" s="59" t="s">
        <v>108</v>
      </c>
      <c r="D1156" s="59" t="s">
        <v>138</v>
      </c>
      <c r="E1156" s="362"/>
      <c r="F1156" s="1304" t="s">
        <v>6329</v>
      </c>
      <c r="G1156" s="1305" t="s">
        <v>6330</v>
      </c>
      <c r="H1156" s="1306" t="s">
        <v>5559</v>
      </c>
      <c r="I1156" s="1307">
        <v>45691.0</v>
      </c>
      <c r="J1156" s="1308">
        <v>45692.0</v>
      </c>
      <c r="K1156" s="1304"/>
      <c r="L1156" s="1304" t="s">
        <v>5561</v>
      </c>
      <c r="M1156" s="1306" t="s">
        <v>6331</v>
      </c>
      <c r="N1156" s="1306" t="s">
        <v>6332</v>
      </c>
      <c r="O1156" s="1306" t="s">
        <v>3573</v>
      </c>
      <c r="P1156" s="1306" t="s">
        <v>6333</v>
      </c>
      <c r="Q1156" s="49" t="str">
        <f t="array" ref="Q1156"> if(iserror(MATCH(V1156, 'File Links'!C:C, 0)), "N/A", HYPERLINK(INDEX('File Links'!B:B, MATCH(P1156, 'File Links'!C:C, 0))))</f>
        <v>https://drive.google.com/file/d/1OSEYoq50TRvyqkjozHLp1CtvXHG-6rLL/view?usp=drivesdk</v>
      </c>
      <c r="R1156" s="1306" t="s">
        <v>3646</v>
      </c>
      <c r="S1156" s="156" t="s">
        <v>3647</v>
      </c>
      <c r="T1156" s="777" t="s">
        <v>131</v>
      </c>
      <c r="U1156" s="144" t="s">
        <v>131</v>
      </c>
      <c r="V1156" s="195" t="str">
        <f t="shared" si="57"/>
        <v>10.1098--rsos.231240.pdf</v>
      </c>
      <c r="W1156" s="137" t="s">
        <v>3658</v>
      </c>
      <c r="X1156" s="51" t="str">
        <f t="array" ref="X1156"> if(iserror(MATCH(V1156, 'File Links'!C:C, 0)), "N/A", HYPERLINK(INDEX('File Links'!B:B, MATCH(V1156, 'File Links'!C:C, 0))))</f>
        <v>https://drive.google.com/file/d/17gaf2Zy_ljFfcAEDk5L8GBnTl5i7RGJE/view?usp=drivesdk</v>
      </c>
      <c r="Y1156" s="1304"/>
      <c r="Z1156" s="1306" t="s">
        <v>141</v>
      </c>
      <c r="AA1156" s="371" t="s">
        <v>131</v>
      </c>
      <c r="AB1156" s="1304" t="s">
        <v>6334</v>
      </c>
      <c r="AC1156" s="1306" t="s">
        <v>6335</v>
      </c>
      <c r="AD1156" s="1313" t="s">
        <v>6336</v>
      </c>
      <c r="AE1156" s="1333">
        <v>5.0</v>
      </c>
      <c r="AF1156" s="1309">
        <v>608.0</v>
      </c>
      <c r="AG1156" s="1328">
        <v>0.32</v>
      </c>
      <c r="AH1156" s="1328" t="s">
        <v>1249</v>
      </c>
      <c r="AI1156" s="1304" t="s">
        <v>806</v>
      </c>
      <c r="AJ1156" s="1316">
        <v>0.001</v>
      </c>
      <c r="AK1156" s="1312" t="s">
        <v>128</v>
      </c>
      <c r="AL1156" s="1312" t="s">
        <v>129</v>
      </c>
      <c r="AM1156" s="1304" t="s">
        <v>130</v>
      </c>
      <c r="AN1156" s="1334" t="s">
        <v>6337</v>
      </c>
      <c r="AO1156" s="1309">
        <v>51.0</v>
      </c>
      <c r="AP1156" s="1304" t="s">
        <v>6338</v>
      </c>
      <c r="AQ1156" s="1304" t="s">
        <v>127</v>
      </c>
      <c r="AR1156" s="1313" t="s">
        <v>5571</v>
      </c>
      <c r="AS1156" s="1313" t="s">
        <v>131</v>
      </c>
      <c r="AT1156" s="216" t="s">
        <v>131</v>
      </c>
      <c r="AU1156" s="1304" t="s">
        <v>179</v>
      </c>
      <c r="AV1156" s="1304" t="s">
        <v>130</v>
      </c>
      <c r="AW1156" s="1314" t="s">
        <v>131</v>
      </c>
      <c r="AX1156" s="1304" t="s">
        <v>136</v>
      </c>
      <c r="AZ1156" s="1313" t="s">
        <v>5572</v>
      </c>
    </row>
    <row r="1157">
      <c r="A1157" s="41">
        <v>1157.0</v>
      </c>
      <c r="B1157" s="65" t="s">
        <v>107</v>
      </c>
      <c r="C1157" s="59" t="s">
        <v>108</v>
      </c>
      <c r="D1157" s="59" t="s">
        <v>241</v>
      </c>
      <c r="E1157" s="362"/>
      <c r="F1157" s="123" t="s">
        <v>6329</v>
      </c>
      <c r="G1157" s="116" t="s">
        <v>6330</v>
      </c>
      <c r="H1157" s="137" t="s">
        <v>242</v>
      </c>
      <c r="I1157" s="314">
        <v>45667.0</v>
      </c>
      <c r="J1157" s="1317">
        <v>45692.0</v>
      </c>
      <c r="K1157" s="137" t="s">
        <v>3676</v>
      </c>
      <c r="L1157" s="122" t="s">
        <v>5561</v>
      </c>
      <c r="M1157" s="137" t="s">
        <v>6331</v>
      </c>
      <c r="N1157" s="137" t="s">
        <v>6332</v>
      </c>
      <c r="O1157" s="122"/>
      <c r="P1157" s="137" t="str">
        <f> SUBSTITUTE(lower(N1157), "/", "--") &amp;  ".pdf"</f>
        <v>10.1073--pnas.2014505117.pdf</v>
      </c>
      <c r="Q1157" s="49" t="str">
        <f t="array" ref="Q1157"> if(iserror(MATCH(V1157, 'File Links'!C:C, 0)), "N/A", HYPERLINK(INDEX('File Links'!B:B, MATCH(P1157, 'File Links'!C:C, 0))))</f>
        <v>https://drive.google.com/file/d/1OSEYoq50TRvyqkjozHLp1CtvXHG-6rLL/view?usp=drivesdk</v>
      </c>
      <c r="R1157" s="137" t="s">
        <v>6339</v>
      </c>
      <c r="S1157" s="156" t="s">
        <v>3647</v>
      </c>
      <c r="T1157" s="777" t="s">
        <v>131</v>
      </c>
      <c r="U1157" s="144" t="s">
        <v>131</v>
      </c>
      <c r="V1157" s="195" t="str">
        <f t="shared" si="57"/>
        <v>10.1098--rsos.231240.pdf</v>
      </c>
      <c r="W1157" s="137" t="s">
        <v>3658</v>
      </c>
      <c r="X1157" s="51" t="str">
        <f t="array" ref="X1157"> if(iserror(MATCH(V1157, 'File Links'!C:C, 0)), "N/A", HYPERLINK(INDEX('File Links'!B:B, MATCH(V1157, 'File Links'!C:C, 0))))</f>
        <v>https://drive.google.com/file/d/17gaf2Zy_ljFfcAEDk5L8GBnTl5i7RGJE/view?usp=drivesdk</v>
      </c>
      <c r="Y1157" s="122"/>
      <c r="Z1157" s="137" t="s">
        <v>141</v>
      </c>
      <c r="AA1157" s="122"/>
      <c r="AB1157" s="122"/>
      <c r="AC1157" s="122"/>
      <c r="AD1157" s="137" t="s">
        <v>131</v>
      </c>
      <c r="AE1157" s="137" t="s">
        <v>131</v>
      </c>
      <c r="AF1157" s="779">
        <v>608.0</v>
      </c>
      <c r="AG1157" s="137" t="s">
        <v>131</v>
      </c>
      <c r="AH1157" s="164" t="s">
        <v>131</v>
      </c>
      <c r="AI1157" s="137" t="s">
        <v>131</v>
      </c>
      <c r="AJ1157" s="220" t="s">
        <v>131</v>
      </c>
      <c r="AK1157" s="129"/>
      <c r="AL1157" s="123" t="s">
        <v>179</v>
      </c>
      <c r="AM1157" s="137" t="s">
        <v>1898</v>
      </c>
      <c r="AN1157" s="123" t="s">
        <v>6340</v>
      </c>
      <c r="AO1157" s="779">
        <v>51.0</v>
      </c>
      <c r="AP1157" s="137" t="s">
        <v>131</v>
      </c>
      <c r="AQ1157" s="122"/>
      <c r="AR1157" s="1313" t="s">
        <v>5571</v>
      </c>
      <c r="AS1157" s="137" t="s">
        <v>131</v>
      </c>
      <c r="AT1157" s="122"/>
      <c r="AU1157" s="137" t="s">
        <v>179</v>
      </c>
      <c r="AV1157" s="137" t="s">
        <v>1898</v>
      </c>
      <c r="AW1157" s="1314" t="s">
        <v>131</v>
      </c>
      <c r="AX1157" s="667" t="s">
        <v>136</v>
      </c>
      <c r="AZ1157" s="1313" t="s">
        <v>5572</v>
      </c>
    </row>
    <row r="1158">
      <c r="A1158" s="41">
        <v>1158.0</v>
      </c>
      <c r="B1158" s="126" t="s">
        <v>145</v>
      </c>
      <c r="C1158" s="59" t="s">
        <v>108</v>
      </c>
      <c r="D1158" s="59" t="s">
        <v>138</v>
      </c>
      <c r="E1158" s="362"/>
      <c r="F1158" s="1304" t="s">
        <v>6341</v>
      </c>
      <c r="G1158" s="1305" t="s">
        <v>6342</v>
      </c>
      <c r="H1158" s="1306" t="s">
        <v>5559</v>
      </c>
      <c r="I1158" s="1307">
        <v>45691.0</v>
      </c>
      <c r="J1158" s="1308">
        <v>45692.0</v>
      </c>
      <c r="K1158" s="1304" t="s">
        <v>6343</v>
      </c>
      <c r="L1158" s="1313" t="s">
        <v>6344</v>
      </c>
      <c r="M1158" s="1306" t="s">
        <v>6345</v>
      </c>
      <c r="N1158" s="1306" t="s">
        <v>6346</v>
      </c>
      <c r="O1158" s="1309">
        <v>4.0</v>
      </c>
      <c r="P1158" s="1306" t="s">
        <v>6347</v>
      </c>
      <c r="Q1158" s="49" t="str">
        <f t="array" ref="Q1158"> if(iserror(MATCH(V1158, 'File Links'!C:C, 0)), "N/A", HYPERLINK(INDEX('File Links'!B:B, MATCH(P1158, 'File Links'!C:C, 0))))</f>
        <v>https://drive.google.com/file/d/1nhF9YyHcpfCFAHZNSHYOdrHjNY6W4OdA/view?usp=drivesdk</v>
      </c>
      <c r="R1158" s="1306" t="s">
        <v>3646</v>
      </c>
      <c r="S1158" s="156" t="s">
        <v>3647</v>
      </c>
      <c r="T1158" s="777" t="s">
        <v>131</v>
      </c>
      <c r="U1158" s="144" t="s">
        <v>131</v>
      </c>
      <c r="V1158" s="195" t="str">
        <f t="shared" si="57"/>
        <v>10.1098--rsos.231240.pdf</v>
      </c>
      <c r="W1158" s="137" t="s">
        <v>317</v>
      </c>
      <c r="X1158" s="51" t="str">
        <f t="array" ref="X1158"> if(iserror(MATCH(V1158, 'File Links'!C:C, 0)), "N/A", HYPERLINK(INDEX('File Links'!B:B, MATCH(V1158, 'File Links'!C:C, 0))))</f>
        <v>https://drive.google.com/file/d/17gaf2Zy_ljFfcAEDk5L8GBnTl5i7RGJE/view?usp=drivesdk</v>
      </c>
      <c r="Y1158" s="1304"/>
      <c r="Z1158" s="1306" t="s">
        <v>219</v>
      </c>
      <c r="AA1158" s="371" t="s">
        <v>131</v>
      </c>
      <c r="AB1158" s="1304" t="s">
        <v>6348</v>
      </c>
      <c r="AC1158" s="1306" t="s">
        <v>6349</v>
      </c>
      <c r="AD1158" s="1313" t="s">
        <v>131</v>
      </c>
      <c r="AE1158" s="1313" t="s">
        <v>131</v>
      </c>
      <c r="AF1158" s="1309">
        <v>122.0</v>
      </c>
      <c r="AG1158" s="1313">
        <v>0.5062683995</v>
      </c>
      <c r="AH1158" s="1304" t="s">
        <v>166</v>
      </c>
      <c r="AI1158" s="1313" t="s">
        <v>6350</v>
      </c>
      <c r="AJ1158" s="1316">
        <v>0.00716387110547914</v>
      </c>
      <c r="AK1158" s="1312" t="s">
        <v>165</v>
      </c>
      <c r="AL1158" s="1312" t="s">
        <v>179</v>
      </c>
      <c r="AM1158" s="1304" t="s">
        <v>130</v>
      </c>
      <c r="AN1158" s="1313" t="s">
        <v>131</v>
      </c>
      <c r="AO1158" s="1309">
        <v>126.0</v>
      </c>
      <c r="AP1158" s="1333">
        <v>0.187279695136782</v>
      </c>
      <c r="AQ1158" s="1304" t="s">
        <v>166</v>
      </c>
      <c r="AR1158" s="1313" t="s">
        <v>5571</v>
      </c>
      <c r="AS1158" s="1333">
        <v>0.363766425742599</v>
      </c>
      <c r="AT1158" s="1304" t="s">
        <v>165</v>
      </c>
      <c r="AU1158" s="1304" t="s">
        <v>179</v>
      </c>
      <c r="AV1158" s="1304" t="s">
        <v>130</v>
      </c>
      <c r="AW1158" s="1314" t="s">
        <v>131</v>
      </c>
      <c r="AX1158" s="1304" t="s">
        <v>136</v>
      </c>
      <c r="AZ1158" s="1313" t="s">
        <v>5572</v>
      </c>
    </row>
    <row r="1159">
      <c r="A1159" s="41">
        <v>1159.0</v>
      </c>
      <c r="B1159" s="126" t="s">
        <v>107</v>
      </c>
      <c r="C1159" s="59" t="s">
        <v>108</v>
      </c>
      <c r="D1159" s="59" t="s">
        <v>241</v>
      </c>
      <c r="E1159" s="362"/>
      <c r="F1159" s="123" t="s">
        <v>6341</v>
      </c>
      <c r="G1159" s="116" t="s">
        <v>6342</v>
      </c>
      <c r="H1159" s="137" t="s">
        <v>242</v>
      </c>
      <c r="I1159" s="314">
        <v>45667.0</v>
      </c>
      <c r="J1159" s="1317">
        <v>45692.0</v>
      </c>
      <c r="K1159" s="137" t="s">
        <v>6351</v>
      </c>
      <c r="L1159" s="122" t="s">
        <v>5561</v>
      </c>
      <c r="M1159" s="137" t="s">
        <v>6345</v>
      </c>
      <c r="N1159" s="137" t="s">
        <v>6346</v>
      </c>
      <c r="O1159" s="122"/>
      <c r="P1159" s="137" t="str">
        <f t="shared" ref="P1159:P1163" si="72"> SUBSTITUTE(lower(N1159), "/", "--") &amp;  ".pdf"</f>
        <v>10.1177--0956797615572231.pdf</v>
      </c>
      <c r="Q1159" s="49" t="str">
        <f t="array" ref="Q1159"> if(iserror(MATCH(V1159, 'File Links'!C:C, 0)), "N/A", HYPERLINK(INDEX('File Links'!B:B, MATCH(P1159, 'File Links'!C:C, 0))))</f>
        <v>https://drive.google.com/file/d/1nhF9YyHcpfCFAHZNSHYOdrHjNY6W4OdA/view?usp=drivesdk</v>
      </c>
      <c r="R1159" s="137" t="s">
        <v>6352</v>
      </c>
      <c r="S1159" s="156" t="s">
        <v>3647</v>
      </c>
      <c r="T1159" s="777" t="s">
        <v>131</v>
      </c>
      <c r="U1159" s="144" t="s">
        <v>131</v>
      </c>
      <c r="V1159" s="195" t="str">
        <f t="shared" si="57"/>
        <v>10.1098--rsos.231240.pdf</v>
      </c>
      <c r="W1159" s="137" t="s">
        <v>317</v>
      </c>
      <c r="X1159" s="51" t="str">
        <f t="array" ref="X1159"> if(iserror(MATCH(V1159, 'File Links'!C:C, 0)), "N/A", HYPERLINK(INDEX('File Links'!B:B, MATCH(V1159, 'File Links'!C:C, 0))))</f>
        <v>https://drive.google.com/file/d/17gaf2Zy_ljFfcAEDk5L8GBnTl5i7RGJE/view?usp=drivesdk</v>
      </c>
      <c r="Y1159" s="122"/>
      <c r="Z1159" s="137" t="s">
        <v>219</v>
      </c>
      <c r="AA1159" s="122"/>
      <c r="AB1159" s="122"/>
      <c r="AC1159" s="122"/>
      <c r="AD1159" s="137" t="s">
        <v>131</v>
      </c>
      <c r="AE1159" s="779">
        <v>122.0</v>
      </c>
      <c r="AF1159" s="137" t="s">
        <v>131</v>
      </c>
      <c r="AG1159" s="779">
        <v>0.506268399475705</v>
      </c>
      <c r="AH1159" s="137" t="s">
        <v>166</v>
      </c>
      <c r="AI1159" s="137" t="s">
        <v>131</v>
      </c>
      <c r="AJ1159" s="130">
        <v>0.00716387110547914</v>
      </c>
      <c r="AK1159" s="123" t="s">
        <v>165</v>
      </c>
      <c r="AL1159" s="123" t="s">
        <v>179</v>
      </c>
      <c r="AM1159" s="137" t="s">
        <v>1898</v>
      </c>
      <c r="AN1159" s="1313" t="s">
        <v>131</v>
      </c>
      <c r="AO1159" s="779">
        <v>126.0</v>
      </c>
      <c r="AP1159" s="779">
        <v>0.187279695136782</v>
      </c>
      <c r="AQ1159" s="137" t="s">
        <v>166</v>
      </c>
      <c r="AR1159" s="1313" t="s">
        <v>5571</v>
      </c>
      <c r="AS1159" s="779">
        <v>0.363766425742599</v>
      </c>
      <c r="AT1159" s="137" t="s">
        <v>165</v>
      </c>
      <c r="AU1159" s="137" t="s">
        <v>179</v>
      </c>
      <c r="AV1159" s="137" t="s">
        <v>1898</v>
      </c>
      <c r="AW1159" s="1314" t="s">
        <v>131</v>
      </c>
      <c r="AX1159" s="667" t="s">
        <v>136</v>
      </c>
      <c r="AZ1159" s="1313" t="s">
        <v>5572</v>
      </c>
    </row>
    <row r="1160">
      <c r="A1160" s="41">
        <v>1160.0</v>
      </c>
      <c r="B1160" s="126" t="s">
        <v>145</v>
      </c>
      <c r="C1160" s="59" t="s">
        <v>108</v>
      </c>
      <c r="D1160" s="59" t="s">
        <v>138</v>
      </c>
      <c r="E1160" s="362"/>
      <c r="F1160" s="1304" t="s">
        <v>6353</v>
      </c>
      <c r="G1160" s="1305" t="s">
        <v>6354</v>
      </c>
      <c r="H1160" s="1306" t="s">
        <v>5559</v>
      </c>
      <c r="I1160" s="1307">
        <v>45691.0</v>
      </c>
      <c r="J1160" s="1308">
        <v>45692.0</v>
      </c>
      <c r="K1160" s="1304"/>
      <c r="L1160" s="1304" t="s">
        <v>5561</v>
      </c>
      <c r="M1160" s="1306" t="s">
        <v>6355</v>
      </c>
      <c r="N1160" s="1304" t="s">
        <v>6356</v>
      </c>
      <c r="O1160" s="1309">
        <v>4.0</v>
      </c>
      <c r="P1160" s="137" t="str">
        <f t="shared" si="72"/>
        <v>10.1038--s41598-019-57204-1.pdf</v>
      </c>
      <c r="Q1160" s="49" t="str">
        <f t="array" ref="Q1160"> if(iserror(MATCH(V1160, 'File Links'!C:C, 0)), "N/A", HYPERLINK(INDEX('File Links'!B:B, MATCH(P1160, 'File Links'!C:C, 0))))</f>
        <v>https://drive.google.com/file/d/1-ByeeNB55CftwPMrOwFmhKHJtA2Cargu/view?usp=drivesdk</v>
      </c>
      <c r="R1160" s="1306" t="s">
        <v>3646</v>
      </c>
      <c r="S1160" s="156" t="s">
        <v>3647</v>
      </c>
      <c r="T1160" s="777" t="s">
        <v>131</v>
      </c>
      <c r="U1160" s="144" t="s">
        <v>131</v>
      </c>
      <c r="V1160" s="195" t="str">
        <f t="shared" si="57"/>
        <v>10.1098--rsos.231240.pdf</v>
      </c>
      <c r="W1160" s="137" t="s">
        <v>3686</v>
      </c>
      <c r="X1160" s="51" t="str">
        <f t="array" ref="X1160"> if(iserror(MATCH(V1160, 'File Links'!C:C, 0)), "N/A", HYPERLINK(INDEX('File Links'!B:B, MATCH(V1160, 'File Links'!C:C, 0))))</f>
        <v>https://drive.google.com/file/d/17gaf2Zy_ljFfcAEDk5L8GBnTl5i7RGJE/view?usp=drivesdk</v>
      </c>
      <c r="Y1160" s="1304"/>
      <c r="Z1160" s="1306" t="s">
        <v>141</v>
      </c>
      <c r="AA1160" s="371" t="s">
        <v>131</v>
      </c>
      <c r="AB1160" s="1304" t="s">
        <v>6357</v>
      </c>
      <c r="AC1160" s="1306" t="s">
        <v>6358</v>
      </c>
      <c r="AD1160" s="1304" t="s">
        <v>6359</v>
      </c>
      <c r="AE1160" s="1304" t="s">
        <v>6112</v>
      </c>
      <c r="AF1160" s="1309">
        <v>793.0</v>
      </c>
      <c r="AG1160" s="1333">
        <v>1.18059532</v>
      </c>
      <c r="AH1160" s="1304" t="s">
        <v>166</v>
      </c>
      <c r="AI1160" s="1313" t="s">
        <v>6360</v>
      </c>
      <c r="AJ1160" s="1337">
        <v>3.26311635515222E-152</v>
      </c>
      <c r="AK1160" s="1312" t="s">
        <v>165</v>
      </c>
      <c r="AL1160" s="1312" t="s">
        <v>179</v>
      </c>
      <c r="AM1160" s="1304" t="s">
        <v>130</v>
      </c>
      <c r="AN1160" s="1313" t="s">
        <v>131</v>
      </c>
      <c r="AO1160" s="1309">
        <v>37.0</v>
      </c>
      <c r="AP1160" s="1333">
        <v>0.485734799228491</v>
      </c>
      <c r="AQ1160" s="1304" t="s">
        <v>166</v>
      </c>
      <c r="AR1160" s="1313" t="s">
        <v>5571</v>
      </c>
      <c r="AS1160" s="1333">
        <v>0.00617483036055436</v>
      </c>
      <c r="AT1160" s="1304" t="s">
        <v>165</v>
      </c>
      <c r="AU1160" s="1304" t="s">
        <v>179</v>
      </c>
      <c r="AV1160" s="1304" t="s">
        <v>130</v>
      </c>
      <c r="AW1160" s="1314" t="s">
        <v>131</v>
      </c>
      <c r="AX1160" s="1331" t="s">
        <v>136</v>
      </c>
      <c r="AZ1160" s="1313" t="s">
        <v>5572</v>
      </c>
    </row>
    <row r="1161">
      <c r="A1161" s="41">
        <v>1161.0</v>
      </c>
      <c r="B1161" s="126" t="s">
        <v>107</v>
      </c>
      <c r="C1161" s="59" t="s">
        <v>108</v>
      </c>
      <c r="D1161" s="59" t="s">
        <v>241</v>
      </c>
      <c r="E1161" s="362"/>
      <c r="F1161" s="123" t="s">
        <v>6353</v>
      </c>
      <c r="G1161" s="116" t="s">
        <v>6354</v>
      </c>
      <c r="H1161" s="137" t="s">
        <v>242</v>
      </c>
      <c r="I1161" s="314">
        <v>45667.0</v>
      </c>
      <c r="J1161" s="1317">
        <v>45692.0</v>
      </c>
      <c r="K1161" s="122"/>
      <c r="L1161" s="122" t="s">
        <v>5561</v>
      </c>
      <c r="M1161" s="137" t="s">
        <v>6355</v>
      </c>
      <c r="N1161" s="137" t="s">
        <v>6356</v>
      </c>
      <c r="O1161" s="122"/>
      <c r="P1161" s="137" t="str">
        <f t="shared" si="72"/>
        <v>10.1038--s41598-019-57204-1.pdf</v>
      </c>
      <c r="Q1161" s="49" t="str">
        <f t="array" ref="Q1161"> if(iserror(MATCH(V1161, 'File Links'!C:C, 0)), "N/A", HYPERLINK(INDEX('File Links'!B:B, MATCH(P1161, 'File Links'!C:C, 0))))</f>
        <v>https://drive.google.com/file/d/1-ByeeNB55CftwPMrOwFmhKHJtA2Cargu/view?usp=drivesdk</v>
      </c>
      <c r="R1161" s="137" t="s">
        <v>6361</v>
      </c>
      <c r="S1161" s="156" t="s">
        <v>3647</v>
      </c>
      <c r="T1161" s="777" t="s">
        <v>131</v>
      </c>
      <c r="U1161" s="144" t="s">
        <v>131</v>
      </c>
      <c r="V1161" s="195" t="str">
        <f t="shared" si="57"/>
        <v>10.1098--rsos.231240.pdf</v>
      </c>
      <c r="W1161" s="137" t="s">
        <v>3686</v>
      </c>
      <c r="X1161" s="51" t="str">
        <f t="array" ref="X1161"> if(iserror(MATCH(V1161, 'File Links'!C:C, 0)), "N/A", HYPERLINK(INDEX('File Links'!B:B, MATCH(V1161, 'File Links'!C:C, 0))))</f>
        <v>https://drive.google.com/file/d/17gaf2Zy_ljFfcAEDk5L8GBnTl5i7RGJE/view?usp=drivesdk</v>
      </c>
      <c r="Y1161" s="122"/>
      <c r="Z1161" s="137" t="s">
        <v>141</v>
      </c>
      <c r="AA1161" s="122"/>
      <c r="AB1161" s="122"/>
      <c r="AC1161" s="122"/>
      <c r="AD1161" s="137" t="s">
        <v>6362</v>
      </c>
      <c r="AE1161" s="779">
        <v>6.0</v>
      </c>
      <c r="AF1161" s="779">
        <v>793.0</v>
      </c>
      <c r="AG1161" s="779">
        <v>60502.0</v>
      </c>
      <c r="AH1161" s="116" t="s">
        <v>264</v>
      </c>
      <c r="AI1161" s="137" t="s">
        <v>4966</v>
      </c>
      <c r="AJ1161" s="130">
        <v>0.001</v>
      </c>
      <c r="AK1161" s="123" t="s">
        <v>128</v>
      </c>
      <c r="AL1161" s="123" t="s">
        <v>179</v>
      </c>
      <c r="AM1161" s="137" t="s">
        <v>1898</v>
      </c>
      <c r="AN1161" s="1313" t="s">
        <v>131</v>
      </c>
      <c r="AO1161" s="779">
        <v>37.0</v>
      </c>
      <c r="AP1161" s="779">
        <v>0.485734799228491</v>
      </c>
      <c r="AQ1161" s="137" t="s">
        <v>166</v>
      </c>
      <c r="AR1161" s="1313" t="s">
        <v>5571</v>
      </c>
      <c r="AS1161" s="779">
        <v>0.00617483036055436</v>
      </c>
      <c r="AT1161" s="137" t="s">
        <v>165</v>
      </c>
      <c r="AU1161" s="137" t="s">
        <v>179</v>
      </c>
      <c r="AV1161" s="137" t="s">
        <v>1898</v>
      </c>
      <c r="AW1161" s="1314" t="s">
        <v>131</v>
      </c>
      <c r="AX1161" s="667" t="s">
        <v>136</v>
      </c>
      <c r="AZ1161" s="1313" t="s">
        <v>5572</v>
      </c>
    </row>
    <row r="1162">
      <c r="A1162" s="41">
        <v>1162.0</v>
      </c>
      <c r="B1162" s="126" t="s">
        <v>145</v>
      </c>
      <c r="C1162" s="59" t="s">
        <v>108</v>
      </c>
      <c r="D1162" s="59" t="s">
        <v>138</v>
      </c>
      <c r="E1162" s="362"/>
      <c r="F1162" s="1304" t="s">
        <v>6363</v>
      </c>
      <c r="G1162" s="1305" t="s">
        <v>6364</v>
      </c>
      <c r="H1162" s="1306" t="s">
        <v>5559</v>
      </c>
      <c r="I1162" s="1307">
        <v>45691.0</v>
      </c>
      <c r="J1162" s="1308">
        <v>45692.0</v>
      </c>
      <c r="K1162" s="1304"/>
      <c r="L1162" s="1304" t="s">
        <v>5561</v>
      </c>
      <c r="M1162" s="1306" t="s">
        <v>6365</v>
      </c>
      <c r="N1162" s="1304" t="s">
        <v>6366</v>
      </c>
      <c r="O1162" s="1309">
        <v>5.0</v>
      </c>
      <c r="P1162" s="137" t="str">
        <f t="shared" si="72"/>
        <v>10.1037--a0016795.pdf</v>
      </c>
      <c r="Q1162" s="49" t="str">
        <f t="array" ref="Q1162"> if(iserror(MATCH(V1162, 'File Links'!C:C, 0)), "N/A", HYPERLINK(INDEX('File Links'!B:B, MATCH(P1162, 'File Links'!C:C, 0))))</f>
        <v>https://drive.google.com/file/d/10tpM-QAfI0H0NH6vAvH9VLJJki0FnCbu/view?usp=drivesdk</v>
      </c>
      <c r="R1162" s="1306" t="s">
        <v>3646</v>
      </c>
      <c r="S1162" s="156" t="s">
        <v>3647</v>
      </c>
      <c r="T1162" s="777" t="s">
        <v>131</v>
      </c>
      <c r="U1162" s="144" t="s">
        <v>131</v>
      </c>
      <c r="V1162" s="195" t="str">
        <f t="shared" si="57"/>
        <v>10.1098--rsos.231240.pdf</v>
      </c>
      <c r="W1162" s="137" t="s">
        <v>317</v>
      </c>
      <c r="X1162" s="51" t="str">
        <f t="array" ref="X1162"> if(iserror(MATCH(V1162, 'File Links'!C:C, 0)), "N/A", HYPERLINK(INDEX('File Links'!B:B, MATCH(V1162, 'File Links'!C:C, 0))))</f>
        <v>https://drive.google.com/file/d/17gaf2Zy_ljFfcAEDk5L8GBnTl5i7RGJE/view?usp=drivesdk</v>
      </c>
      <c r="Y1162" s="1304"/>
      <c r="Z1162" s="1306" t="s">
        <v>141</v>
      </c>
      <c r="AA1162" s="371" t="s">
        <v>131</v>
      </c>
      <c r="AB1162" s="1304" t="s">
        <v>6367</v>
      </c>
      <c r="AC1162" s="1306" t="s">
        <v>6368</v>
      </c>
      <c r="AD1162" s="1304" t="s">
        <v>6369</v>
      </c>
      <c r="AE1162" s="1333">
        <v>10.0</v>
      </c>
      <c r="AF1162" s="1309">
        <v>172.0</v>
      </c>
      <c r="AG1162" s="1309">
        <v>1.49</v>
      </c>
      <c r="AH1162" s="1306" t="s">
        <v>166</v>
      </c>
      <c r="AI1162" s="1304" t="s">
        <v>625</v>
      </c>
      <c r="AJ1162" s="1337">
        <v>0.001</v>
      </c>
      <c r="AK1162" s="1312" t="s">
        <v>128</v>
      </c>
      <c r="AL1162" s="1312" t="s">
        <v>179</v>
      </c>
      <c r="AM1162" s="1304" t="s">
        <v>130</v>
      </c>
      <c r="AN1162" s="1313" t="s">
        <v>131</v>
      </c>
      <c r="AO1162" s="1309">
        <v>81.0</v>
      </c>
      <c r="AP1162" s="1309">
        <v>1.35099963</v>
      </c>
      <c r="AQ1162" s="1306" t="s">
        <v>166</v>
      </c>
      <c r="AR1162" s="1313" t="s">
        <v>5571</v>
      </c>
      <c r="AS1162" s="1333">
        <v>0.0413395620626535</v>
      </c>
      <c r="AT1162" s="1304" t="s">
        <v>165</v>
      </c>
      <c r="AU1162" s="1304" t="s">
        <v>179</v>
      </c>
      <c r="AV1162" s="1304" t="s">
        <v>130</v>
      </c>
      <c r="AW1162" s="1314" t="s">
        <v>131</v>
      </c>
      <c r="AX1162" s="1331" t="s">
        <v>136</v>
      </c>
      <c r="AZ1162" s="1313" t="s">
        <v>5572</v>
      </c>
    </row>
    <row r="1163">
      <c r="A1163" s="41">
        <v>1163.0</v>
      </c>
      <c r="B1163" s="126" t="s">
        <v>107</v>
      </c>
      <c r="C1163" s="59" t="s">
        <v>108</v>
      </c>
      <c r="D1163" s="59" t="s">
        <v>241</v>
      </c>
      <c r="E1163" s="362"/>
      <c r="F1163" s="123" t="s">
        <v>6363</v>
      </c>
      <c r="G1163" s="116" t="s">
        <v>6364</v>
      </c>
      <c r="H1163" s="137" t="s">
        <v>242</v>
      </c>
      <c r="I1163" s="314">
        <v>45667.0</v>
      </c>
      <c r="J1163" s="1317">
        <v>45692.0</v>
      </c>
      <c r="K1163" s="122"/>
      <c r="L1163" s="122" t="s">
        <v>5561</v>
      </c>
      <c r="M1163" s="137" t="s">
        <v>6365</v>
      </c>
      <c r="N1163" s="137" t="s">
        <v>6366</v>
      </c>
      <c r="O1163" s="122"/>
      <c r="P1163" s="137" t="str">
        <f t="shared" si="72"/>
        <v>10.1037--a0016795.pdf</v>
      </c>
      <c r="Q1163" s="49" t="str">
        <f t="array" ref="Q1163"> if(iserror(MATCH(V1163, 'File Links'!C:C, 0)), "N/A", HYPERLINK(INDEX('File Links'!B:B, MATCH(P1163, 'File Links'!C:C, 0))))</f>
        <v>https://drive.google.com/file/d/10tpM-QAfI0H0NH6vAvH9VLJJki0FnCbu/view?usp=drivesdk</v>
      </c>
      <c r="R1163" s="137" t="s">
        <v>6370</v>
      </c>
      <c r="S1163" s="156" t="s">
        <v>3647</v>
      </c>
      <c r="T1163" s="777" t="s">
        <v>131</v>
      </c>
      <c r="U1163" s="144" t="s">
        <v>131</v>
      </c>
      <c r="V1163" s="195" t="str">
        <f t="shared" si="57"/>
        <v>10.1098--rsos.231240.pdf</v>
      </c>
      <c r="W1163" s="137" t="s">
        <v>317</v>
      </c>
      <c r="X1163" s="51" t="str">
        <f t="array" ref="X1163"> if(iserror(MATCH(V1163, 'File Links'!C:C, 0)), "N/A", HYPERLINK(INDEX('File Links'!B:B, MATCH(V1163, 'File Links'!C:C, 0))))</f>
        <v>https://drive.google.com/file/d/17gaf2Zy_ljFfcAEDk5L8GBnTl5i7RGJE/view?usp=drivesdk</v>
      </c>
      <c r="Y1163" s="122"/>
      <c r="Z1163" s="137" t="s">
        <v>219</v>
      </c>
      <c r="AA1163" s="122"/>
      <c r="AB1163" s="122"/>
      <c r="AC1163" s="122"/>
      <c r="AD1163" s="137" t="s">
        <v>6371</v>
      </c>
      <c r="AE1163" s="779">
        <v>512.0</v>
      </c>
      <c r="AF1163" s="779">
        <v>172.0</v>
      </c>
      <c r="AG1163" s="779">
        <v>1.49</v>
      </c>
      <c r="AH1163" s="137" t="s">
        <v>166</v>
      </c>
      <c r="AI1163" s="137" t="s">
        <v>6372</v>
      </c>
      <c r="AJ1163" s="130">
        <v>0.001</v>
      </c>
      <c r="AK1163" s="123" t="s">
        <v>128</v>
      </c>
      <c r="AL1163" s="123" t="s">
        <v>211</v>
      </c>
      <c r="AM1163" s="137" t="s">
        <v>130</v>
      </c>
      <c r="AN1163" s="1313" t="s">
        <v>131</v>
      </c>
      <c r="AO1163" s="779">
        <v>81.0</v>
      </c>
      <c r="AP1163" s="779">
        <v>1.35099962990372</v>
      </c>
      <c r="AQ1163" s="137" t="s">
        <v>166</v>
      </c>
      <c r="AR1163" s="1313" t="s">
        <v>5571</v>
      </c>
      <c r="AS1163" s="779">
        <v>0.0413395620626535</v>
      </c>
      <c r="AT1163" s="137" t="s">
        <v>165</v>
      </c>
      <c r="AU1163" s="137" t="s">
        <v>211</v>
      </c>
      <c r="AV1163" s="137" t="s">
        <v>130</v>
      </c>
      <c r="AW1163" s="1314" t="s">
        <v>131</v>
      </c>
      <c r="AX1163" s="667" t="s">
        <v>136</v>
      </c>
      <c r="AZ1163" s="1313" t="s">
        <v>5572</v>
      </c>
    </row>
    <row r="1164">
      <c r="A1164" s="41">
        <v>1164.0</v>
      </c>
      <c r="B1164" s="126" t="s">
        <v>145</v>
      </c>
      <c r="C1164" s="59" t="s">
        <v>108</v>
      </c>
      <c r="D1164" s="59" t="s">
        <v>138</v>
      </c>
      <c r="E1164" s="362"/>
      <c r="F1164" s="1304" t="s">
        <v>6373</v>
      </c>
      <c r="G1164" s="1305" t="s">
        <v>6374</v>
      </c>
      <c r="H1164" s="1306" t="s">
        <v>5559</v>
      </c>
      <c r="I1164" s="1307">
        <v>45691.0</v>
      </c>
      <c r="J1164" s="1308">
        <v>45692.0</v>
      </c>
      <c r="K1164" s="1313" t="s">
        <v>6375</v>
      </c>
      <c r="L1164" s="1313" t="s">
        <v>6376</v>
      </c>
      <c r="M1164" s="1306" t="s">
        <v>6377</v>
      </c>
      <c r="N1164" s="1306" t="s">
        <v>6378</v>
      </c>
      <c r="O1164" s="1309">
        <v>1.0</v>
      </c>
      <c r="P1164" s="1306" t="s">
        <v>6379</v>
      </c>
      <c r="Q1164" s="49" t="str">
        <f t="array" ref="Q1164"> if(iserror(MATCH(V1164, 'File Links'!C:C, 0)), "N/A", HYPERLINK(INDEX('File Links'!B:B, MATCH(P1164, 'File Links'!C:C, 0))))</f>
        <v>https://drive.google.com/file/d/18ZlWgEtYOKx4ampRaantI27kYPgBvB4J/view?usp=drivesdk</v>
      </c>
      <c r="R1164" s="1306" t="s">
        <v>3646</v>
      </c>
      <c r="S1164" s="156" t="s">
        <v>3647</v>
      </c>
      <c r="T1164" s="777" t="s">
        <v>131</v>
      </c>
      <c r="U1164" s="144" t="s">
        <v>131</v>
      </c>
      <c r="V1164" s="195" t="str">
        <f t="shared" si="57"/>
        <v>10.1098--rsos.231240.pdf</v>
      </c>
      <c r="W1164" s="137" t="s">
        <v>3658</v>
      </c>
      <c r="X1164" s="51" t="str">
        <f t="array" ref="X1164"> if(iserror(MATCH(V1164, 'File Links'!C:C, 0)), "N/A", HYPERLINK(INDEX('File Links'!B:B, MATCH(V1164, 'File Links'!C:C, 0))))</f>
        <v>https://drive.google.com/file/d/17gaf2Zy_ljFfcAEDk5L8GBnTl5i7RGJE/view?usp=drivesdk</v>
      </c>
      <c r="Y1164" s="1304"/>
      <c r="Z1164" s="1306" t="s">
        <v>219</v>
      </c>
      <c r="AA1164" s="371" t="s">
        <v>131</v>
      </c>
      <c r="AB1164" s="1306" t="s">
        <v>6380</v>
      </c>
      <c r="AC1164" s="1306" t="s">
        <v>6381</v>
      </c>
      <c r="AD1164" s="1313" t="s">
        <v>6382</v>
      </c>
      <c r="AE1164" s="1313">
        <v>4.0</v>
      </c>
      <c r="AF1164" s="1309">
        <v>82.0</v>
      </c>
      <c r="AG1164" s="1309">
        <v>0.82</v>
      </c>
      <c r="AH1164" s="1306" t="s">
        <v>166</v>
      </c>
      <c r="AI1164" s="1304" t="s">
        <v>6383</v>
      </c>
      <c r="AJ1164" s="1337">
        <v>0.001</v>
      </c>
      <c r="AK1164" s="1312" t="s">
        <v>128</v>
      </c>
      <c r="AL1164" s="1313" t="s">
        <v>211</v>
      </c>
      <c r="AM1164" s="1304" t="s">
        <v>130</v>
      </c>
      <c r="AN1164" s="1334" t="s">
        <v>6384</v>
      </c>
      <c r="AO1164" s="1309">
        <v>19.0</v>
      </c>
      <c r="AP1164" s="1309">
        <v>0.5914796451</v>
      </c>
      <c r="AQ1164" s="1306" t="s">
        <v>166</v>
      </c>
      <c r="AR1164" s="1313" t="s">
        <v>5571</v>
      </c>
      <c r="AS1164" s="1333">
        <v>0.0189471698469944</v>
      </c>
      <c r="AT1164" s="1304" t="s">
        <v>165</v>
      </c>
      <c r="AU1164" s="1304" t="s">
        <v>179</v>
      </c>
      <c r="AV1164" s="1304" t="s">
        <v>130</v>
      </c>
      <c r="AW1164" s="1314" t="s">
        <v>131</v>
      </c>
      <c r="AX1164" s="1331" t="s">
        <v>136</v>
      </c>
      <c r="AZ1164" s="1313" t="s">
        <v>5572</v>
      </c>
    </row>
    <row r="1165">
      <c r="A1165" s="41">
        <v>1165.0</v>
      </c>
      <c r="B1165" s="126" t="s">
        <v>107</v>
      </c>
      <c r="C1165" s="59" t="s">
        <v>108</v>
      </c>
      <c r="D1165" s="59" t="s">
        <v>241</v>
      </c>
      <c r="E1165" s="362"/>
      <c r="F1165" s="123" t="s">
        <v>6373</v>
      </c>
      <c r="G1165" s="116" t="s">
        <v>6374</v>
      </c>
      <c r="H1165" s="137" t="s">
        <v>242</v>
      </c>
      <c r="I1165" s="314">
        <v>45667.0</v>
      </c>
      <c r="J1165" s="1317">
        <v>45692.0</v>
      </c>
      <c r="K1165" s="122"/>
      <c r="L1165" s="122" t="s">
        <v>5561</v>
      </c>
      <c r="M1165" s="137" t="s">
        <v>6377</v>
      </c>
      <c r="N1165" s="137" t="s">
        <v>6378</v>
      </c>
      <c r="O1165" s="122"/>
      <c r="P1165" s="137" t="str">
        <f> SUBSTITUTE(lower(N1165), "/", "--") &amp;  ".pdf"</f>
        <v>10.1177--0956797618788882.pdf</v>
      </c>
      <c r="Q1165" s="49" t="str">
        <f t="array" ref="Q1165"> if(iserror(MATCH(V1165, 'File Links'!C:C, 0)), "N/A", HYPERLINK(INDEX('File Links'!B:B, MATCH(P1165, 'File Links'!C:C, 0))))</f>
        <v>https://drive.google.com/file/d/18ZlWgEtYOKx4ampRaantI27kYPgBvB4J/view?usp=drivesdk</v>
      </c>
      <c r="R1165" s="137" t="s">
        <v>6385</v>
      </c>
      <c r="S1165" s="156" t="s">
        <v>3647</v>
      </c>
      <c r="T1165" s="777" t="s">
        <v>131</v>
      </c>
      <c r="U1165" s="144" t="s">
        <v>131</v>
      </c>
      <c r="V1165" s="195" t="str">
        <f t="shared" si="57"/>
        <v>10.1098--rsos.231240.pdf</v>
      </c>
      <c r="W1165" s="137" t="s">
        <v>3658</v>
      </c>
      <c r="X1165" s="51" t="str">
        <f t="array" ref="X1165"> if(iserror(MATCH(V1165, 'File Links'!C:C, 0)), "N/A", HYPERLINK(INDEX('File Links'!B:B, MATCH(V1165, 'File Links'!C:C, 0))))</f>
        <v>https://drive.google.com/file/d/17gaf2Zy_ljFfcAEDk5L8GBnTl5i7RGJE/view?usp=drivesdk</v>
      </c>
      <c r="Y1165" s="122"/>
      <c r="Z1165" s="137" t="s">
        <v>219</v>
      </c>
      <c r="AA1165" s="122"/>
      <c r="AB1165" s="137" t="s">
        <v>6386</v>
      </c>
      <c r="AC1165" s="122"/>
      <c r="AD1165" s="137" t="s">
        <v>6387</v>
      </c>
      <c r="AE1165" s="779">
        <v>4.0</v>
      </c>
      <c r="AF1165" s="779">
        <v>82.0</v>
      </c>
      <c r="AG1165" s="779">
        <v>0.82</v>
      </c>
      <c r="AH1165" s="137" t="s">
        <v>166</v>
      </c>
      <c r="AI1165" s="137" t="s">
        <v>875</v>
      </c>
      <c r="AJ1165" s="130">
        <v>0.001</v>
      </c>
      <c r="AK1165" s="123" t="s">
        <v>128</v>
      </c>
      <c r="AL1165" s="123" t="s">
        <v>211</v>
      </c>
      <c r="AM1165" s="137" t="s">
        <v>134</v>
      </c>
      <c r="AN1165" s="1341" t="s">
        <v>6384</v>
      </c>
      <c r="AO1165" s="779">
        <v>19.0</v>
      </c>
      <c r="AP1165" s="779">
        <v>0.591479645065082</v>
      </c>
      <c r="AQ1165" s="137" t="s">
        <v>166</v>
      </c>
      <c r="AR1165" s="1313" t="s">
        <v>5571</v>
      </c>
      <c r="AS1165" s="779">
        <v>0.0189471698469944</v>
      </c>
      <c r="AT1165" s="137" t="s">
        <v>165</v>
      </c>
      <c r="AU1165" s="137" t="s">
        <v>211</v>
      </c>
      <c r="AV1165" s="137" t="s">
        <v>134</v>
      </c>
      <c r="AW1165" s="1314" t="s">
        <v>131</v>
      </c>
      <c r="AX1165" s="667" t="s">
        <v>136</v>
      </c>
      <c r="AZ1165" s="1313" t="s">
        <v>5572</v>
      </c>
    </row>
    <row r="1166">
      <c r="A1166" s="41">
        <v>1166.0</v>
      </c>
      <c r="B1166" s="126" t="s">
        <v>145</v>
      </c>
      <c r="C1166" s="59" t="s">
        <v>108</v>
      </c>
      <c r="D1166" s="59" t="s">
        <v>138</v>
      </c>
      <c r="E1166" s="362"/>
      <c r="F1166" s="1304" t="s">
        <v>6388</v>
      </c>
      <c r="G1166" s="1305" t="s">
        <v>6389</v>
      </c>
      <c r="H1166" s="1306" t="s">
        <v>5559</v>
      </c>
      <c r="I1166" s="1307">
        <v>45691.0</v>
      </c>
      <c r="J1166" s="1308">
        <v>45692.0</v>
      </c>
      <c r="K1166" s="1304"/>
      <c r="L1166" s="1304" t="s">
        <v>5561</v>
      </c>
      <c r="M1166" s="1306" t="s">
        <v>6390</v>
      </c>
      <c r="N1166" s="1306" t="s">
        <v>6391</v>
      </c>
      <c r="O1166" s="1309">
        <v>1.0</v>
      </c>
      <c r="P1166" s="1306" t="s">
        <v>6392</v>
      </c>
      <c r="Q1166" s="49" t="str">
        <f t="array" ref="Q1166"> if(iserror(MATCH(V1166, 'File Links'!C:C, 0)), "N/A", HYPERLINK(INDEX('File Links'!B:B, MATCH(P1166, 'File Links'!C:C, 0))))</f>
        <v>https://drive.google.com/file/d/1hMU234raFGJtbZQ16uhu9mUFuosskYBK/view?usp=drivesdk</v>
      </c>
      <c r="R1166" s="1306" t="s">
        <v>3646</v>
      </c>
      <c r="S1166" s="156" t="s">
        <v>3647</v>
      </c>
      <c r="T1166" s="777" t="s">
        <v>131</v>
      </c>
      <c r="U1166" s="144" t="s">
        <v>131</v>
      </c>
      <c r="V1166" s="195" t="str">
        <f t="shared" si="57"/>
        <v>10.1098--rsos.231240.pdf</v>
      </c>
      <c r="W1166" s="137" t="s">
        <v>317</v>
      </c>
      <c r="X1166" s="51" t="str">
        <f t="array" ref="X1166"> if(iserror(MATCH(V1166, 'File Links'!C:C, 0)), "N/A", HYPERLINK(INDEX('File Links'!B:B, MATCH(V1166, 'File Links'!C:C, 0))))</f>
        <v>https://drive.google.com/file/d/17gaf2Zy_ljFfcAEDk5L8GBnTl5i7RGJE/view?usp=drivesdk</v>
      </c>
      <c r="Y1166" s="1304"/>
      <c r="Z1166" s="1306" t="s">
        <v>141</v>
      </c>
      <c r="AA1166" s="371" t="s">
        <v>131</v>
      </c>
      <c r="AB1166" s="1304" t="s">
        <v>6393</v>
      </c>
      <c r="AC1166" s="1306" t="s">
        <v>6394</v>
      </c>
      <c r="AD1166" s="1304" t="s">
        <v>6395</v>
      </c>
      <c r="AE1166" s="1333">
        <v>5.0</v>
      </c>
      <c r="AF1166" s="1309">
        <v>18.0</v>
      </c>
      <c r="AG1166" s="1333">
        <v>1.23</v>
      </c>
      <c r="AH1166" s="1304" t="s">
        <v>166</v>
      </c>
      <c r="AI1166" s="1304" t="s">
        <v>806</v>
      </c>
      <c r="AJ1166" s="1337">
        <v>0.001</v>
      </c>
      <c r="AK1166" s="1312" t="s">
        <v>128</v>
      </c>
      <c r="AL1166" s="1312" t="s">
        <v>179</v>
      </c>
      <c r="AM1166" s="1304" t="s">
        <v>130</v>
      </c>
      <c r="AN1166" s="1313" t="s">
        <v>131</v>
      </c>
      <c r="AO1166" s="1309">
        <v>19.0</v>
      </c>
      <c r="AP1166" s="1333">
        <v>0.220239104515739</v>
      </c>
      <c r="AQ1166" s="1304" t="s">
        <v>166</v>
      </c>
      <c r="AR1166" s="1313" t="s">
        <v>5571</v>
      </c>
      <c r="AS1166" s="1333">
        <v>0.349774194915251</v>
      </c>
      <c r="AT1166" s="1304" t="s">
        <v>165</v>
      </c>
      <c r="AU1166" s="1304" t="s">
        <v>179</v>
      </c>
      <c r="AV1166" s="1304" t="s">
        <v>130</v>
      </c>
      <c r="AW1166" s="1314" t="s">
        <v>131</v>
      </c>
      <c r="AX1166" s="1331" t="s">
        <v>136</v>
      </c>
      <c r="AZ1166" s="1313" t="s">
        <v>5572</v>
      </c>
    </row>
    <row r="1167">
      <c r="A1167" s="41">
        <v>1167.0</v>
      </c>
      <c r="B1167" s="126" t="s">
        <v>107</v>
      </c>
      <c r="C1167" s="59" t="s">
        <v>108</v>
      </c>
      <c r="D1167" s="59" t="s">
        <v>241</v>
      </c>
      <c r="E1167" s="362"/>
      <c r="F1167" s="123" t="s">
        <v>6388</v>
      </c>
      <c r="G1167" s="116" t="s">
        <v>6389</v>
      </c>
      <c r="H1167" s="137" t="s">
        <v>242</v>
      </c>
      <c r="I1167" s="314">
        <v>45667.0</v>
      </c>
      <c r="J1167" s="1317">
        <v>45692.0</v>
      </c>
      <c r="K1167" s="122"/>
      <c r="L1167" s="122" t="s">
        <v>5561</v>
      </c>
      <c r="M1167" s="137" t="s">
        <v>6390</v>
      </c>
      <c r="N1167" s="137" t="s">
        <v>6391</v>
      </c>
      <c r="O1167" s="122"/>
      <c r="P1167" s="137" t="str">
        <f> SUBSTITUTE(lower(N1167), "/", "--") &amp;  ".pdf"</f>
        <v>10.1177--0956797614547705.pdf</v>
      </c>
      <c r="Q1167" s="49" t="str">
        <f t="array" ref="Q1167"> if(iserror(MATCH(V1167, 'File Links'!C:C, 0)), "N/A", HYPERLINK(INDEX('File Links'!B:B, MATCH(P1167, 'File Links'!C:C, 0))))</f>
        <v>https://drive.google.com/file/d/1hMU234raFGJtbZQ16uhu9mUFuosskYBK/view?usp=drivesdk</v>
      </c>
      <c r="R1167" s="137" t="s">
        <v>6396</v>
      </c>
      <c r="S1167" s="156" t="s">
        <v>3647</v>
      </c>
      <c r="T1167" s="777" t="s">
        <v>131</v>
      </c>
      <c r="U1167" s="144" t="s">
        <v>131</v>
      </c>
      <c r="V1167" s="195" t="str">
        <f t="shared" si="57"/>
        <v>10.1098--rsos.231240.pdf</v>
      </c>
      <c r="W1167" s="137" t="s">
        <v>317</v>
      </c>
      <c r="X1167" s="51" t="str">
        <f t="array" ref="X1167"> if(iserror(MATCH(V1167, 'File Links'!C:C, 0)), "N/A", HYPERLINK(INDEX('File Links'!B:B, MATCH(V1167, 'File Links'!C:C, 0))))</f>
        <v>https://drive.google.com/file/d/17gaf2Zy_ljFfcAEDk5L8GBnTl5i7RGJE/view?usp=drivesdk</v>
      </c>
      <c r="Y1167" s="122"/>
      <c r="Z1167" s="137" t="s">
        <v>141</v>
      </c>
      <c r="AA1167" s="122"/>
      <c r="AB1167" s="122"/>
      <c r="AC1167" s="122"/>
      <c r="AD1167" s="137" t="s">
        <v>6397</v>
      </c>
      <c r="AE1167" s="779">
        <v>959.0</v>
      </c>
      <c r="AF1167" s="779">
        <v>18.0</v>
      </c>
      <c r="AG1167" s="779">
        <v>1.23</v>
      </c>
      <c r="AH1167" s="137" t="s">
        <v>166</v>
      </c>
      <c r="AI1167" s="137" t="s">
        <v>6398</v>
      </c>
      <c r="AJ1167" s="130">
        <v>0.001</v>
      </c>
      <c r="AK1167" s="123" t="s">
        <v>128</v>
      </c>
      <c r="AL1167" s="123" t="s">
        <v>179</v>
      </c>
      <c r="AM1167" s="137" t="s">
        <v>130</v>
      </c>
      <c r="AN1167" s="1313" t="s">
        <v>131</v>
      </c>
      <c r="AO1167" s="779">
        <v>19.0</v>
      </c>
      <c r="AP1167" s="779">
        <v>0.220239104515739</v>
      </c>
      <c r="AQ1167" s="137" t="s">
        <v>166</v>
      </c>
      <c r="AR1167" s="1313" t="s">
        <v>5571</v>
      </c>
      <c r="AS1167" s="779">
        <v>0.349774194915251</v>
      </c>
      <c r="AT1167" s="137" t="s">
        <v>165</v>
      </c>
      <c r="AU1167" s="137" t="s">
        <v>179</v>
      </c>
      <c r="AV1167" s="137" t="s">
        <v>130</v>
      </c>
      <c r="AW1167" s="1314" t="s">
        <v>131</v>
      </c>
      <c r="AX1167" s="667" t="s">
        <v>136</v>
      </c>
      <c r="AZ1167" s="1313" t="s">
        <v>5572</v>
      </c>
    </row>
    <row r="1168">
      <c r="A1168" s="41">
        <v>1168.0</v>
      </c>
      <c r="B1168" s="126" t="s">
        <v>145</v>
      </c>
      <c r="C1168" s="59" t="s">
        <v>108</v>
      </c>
      <c r="D1168" s="59" t="s">
        <v>138</v>
      </c>
      <c r="E1168" s="362"/>
      <c r="F1168" s="1304" t="s">
        <v>6399</v>
      </c>
      <c r="G1168" s="1305" t="s">
        <v>6400</v>
      </c>
      <c r="H1168" s="1306" t="s">
        <v>5559</v>
      </c>
      <c r="I1168" s="1307">
        <v>45691.0</v>
      </c>
      <c r="J1168" s="1308">
        <v>45692.0</v>
      </c>
      <c r="K1168" s="1304"/>
      <c r="L1168" s="1304" t="s">
        <v>5561</v>
      </c>
      <c r="M1168" s="1306" t="s">
        <v>6401</v>
      </c>
      <c r="N1168" s="1306" t="s">
        <v>6402</v>
      </c>
      <c r="O1168" s="1309">
        <v>1.0</v>
      </c>
      <c r="P1168" s="1306" t="s">
        <v>6403</v>
      </c>
      <c r="Q1168" s="49" t="str">
        <f t="array" ref="Q1168"> if(iserror(MATCH(V1168, 'File Links'!C:C, 0)), "N/A", HYPERLINK(INDEX('File Links'!B:B, MATCH(P1168, 'File Links'!C:C, 0))))</f>
        <v>https://drive.google.com/file/d/18dLuHsJaHfEuFpmJ9coLBrlcbxYHVgpG/view?usp=drivesdk</v>
      </c>
      <c r="R1168" s="1306" t="s">
        <v>3646</v>
      </c>
      <c r="S1168" s="156" t="s">
        <v>3647</v>
      </c>
      <c r="T1168" s="777" t="s">
        <v>131</v>
      </c>
      <c r="U1168" s="144" t="s">
        <v>131</v>
      </c>
      <c r="V1168" s="195" t="str">
        <f t="shared" si="57"/>
        <v>10.1098--rsos.231240.pdf</v>
      </c>
      <c r="W1168" s="137" t="s">
        <v>3686</v>
      </c>
      <c r="X1168" s="51" t="str">
        <f t="array" ref="X1168"> if(iserror(MATCH(V1168, 'File Links'!C:C, 0)), "N/A", HYPERLINK(INDEX('File Links'!B:B, MATCH(V1168, 'File Links'!C:C, 0))))</f>
        <v>https://drive.google.com/file/d/17gaf2Zy_ljFfcAEDk5L8GBnTl5i7RGJE/view?usp=drivesdk</v>
      </c>
      <c r="Y1168" s="1304"/>
      <c r="Z1168" s="1306" t="s">
        <v>219</v>
      </c>
      <c r="AA1168" s="371" t="s">
        <v>131</v>
      </c>
      <c r="AB1168" s="1304" t="s">
        <v>6404</v>
      </c>
      <c r="AC1168" s="1306" t="s">
        <v>6405</v>
      </c>
      <c r="AD1168" s="1304" t="s">
        <v>6406</v>
      </c>
      <c r="AE1168" s="1304" t="s">
        <v>6297</v>
      </c>
      <c r="AF1168" s="1309">
        <v>84.0</v>
      </c>
      <c r="AG1168" s="1333">
        <v>0.13</v>
      </c>
      <c r="AH1168" s="1304" t="s">
        <v>132</v>
      </c>
      <c r="AI1168" s="1304" t="s">
        <v>210</v>
      </c>
      <c r="AJ1168" s="1316">
        <v>0.001</v>
      </c>
      <c r="AK1168" s="1312" t="s">
        <v>128</v>
      </c>
      <c r="AL1168" s="1312" t="s">
        <v>179</v>
      </c>
      <c r="AM1168" s="1304" t="s">
        <v>130</v>
      </c>
      <c r="AN1168" s="1313" t="s">
        <v>131</v>
      </c>
      <c r="AO1168" s="1309">
        <v>131.0</v>
      </c>
      <c r="AP1168" s="1333">
        <v>0.112161169751389</v>
      </c>
      <c r="AQ1168" s="1304" t="s">
        <v>166</v>
      </c>
      <c r="AR1168" s="1313" t="s">
        <v>5571</v>
      </c>
      <c r="AS1168" s="1333">
        <v>0.531821336454792</v>
      </c>
      <c r="AT1168" s="1304" t="s">
        <v>165</v>
      </c>
      <c r="AU1168" s="1304" t="s">
        <v>179</v>
      </c>
      <c r="AV1168" s="1304" t="s">
        <v>130</v>
      </c>
      <c r="AW1168" s="1314" t="s">
        <v>131</v>
      </c>
      <c r="AX1168" s="1328" t="s">
        <v>144</v>
      </c>
      <c r="AZ1168" s="1313" t="s">
        <v>5572</v>
      </c>
    </row>
    <row r="1169">
      <c r="A1169" s="41">
        <v>1169.0</v>
      </c>
      <c r="B1169" s="126" t="s">
        <v>107</v>
      </c>
      <c r="C1169" s="59" t="s">
        <v>108</v>
      </c>
      <c r="D1169" s="59" t="s">
        <v>241</v>
      </c>
      <c r="E1169" s="362"/>
      <c r="F1169" s="123" t="s">
        <v>6399</v>
      </c>
      <c r="G1169" s="116" t="s">
        <v>6400</v>
      </c>
      <c r="H1169" s="137" t="s">
        <v>242</v>
      </c>
      <c r="I1169" s="314">
        <v>45667.0</v>
      </c>
      <c r="J1169" s="1317">
        <v>45692.0</v>
      </c>
      <c r="K1169" s="122"/>
      <c r="L1169" s="122" t="s">
        <v>5561</v>
      </c>
      <c r="M1169" s="137" t="s">
        <v>6401</v>
      </c>
      <c r="N1169" s="137" t="s">
        <v>6402</v>
      </c>
      <c r="O1169" s="122"/>
      <c r="P1169" s="137" t="str">
        <f> SUBSTITUTE(lower(N1169), "/", "--") &amp;  ".pdf"</f>
        <v>10.1177--0956797611428079.pdf</v>
      </c>
      <c r="Q1169" s="49" t="str">
        <f t="array" ref="Q1169"> if(iserror(MATCH(V1169, 'File Links'!C:C, 0)), "N/A", HYPERLINK(INDEX('File Links'!B:B, MATCH(P1169, 'File Links'!C:C, 0))))</f>
        <v>https://drive.google.com/file/d/18dLuHsJaHfEuFpmJ9coLBrlcbxYHVgpG/view?usp=drivesdk</v>
      </c>
      <c r="R1169" s="137" t="s">
        <v>6407</v>
      </c>
      <c r="S1169" s="156" t="s">
        <v>3647</v>
      </c>
      <c r="T1169" s="777" t="s">
        <v>131</v>
      </c>
      <c r="U1169" s="144" t="s">
        <v>131</v>
      </c>
      <c r="V1169" s="195" t="str">
        <f t="shared" si="57"/>
        <v>10.1098--rsos.231240.pdf</v>
      </c>
      <c r="W1169" s="137" t="s">
        <v>3686</v>
      </c>
      <c r="X1169" s="51" t="str">
        <f t="array" ref="X1169"> if(iserror(MATCH(V1169, 'File Links'!C:C, 0)), "N/A", HYPERLINK(INDEX('File Links'!B:B, MATCH(V1169, 'File Links'!C:C, 0))))</f>
        <v>https://drive.google.com/file/d/17gaf2Zy_ljFfcAEDk5L8GBnTl5i7RGJE/view?usp=drivesdk</v>
      </c>
      <c r="Y1169" s="122"/>
      <c r="Z1169" s="137" t="s">
        <v>219</v>
      </c>
      <c r="AA1169" s="122"/>
      <c r="AB1169" s="122"/>
      <c r="AC1169" s="122"/>
      <c r="AD1169" s="137" t="s">
        <v>6408</v>
      </c>
      <c r="AE1169" s="779">
        <v>356.0</v>
      </c>
      <c r="AF1169" s="779">
        <v>84.0</v>
      </c>
      <c r="AG1169" s="375" t="s">
        <v>6409</v>
      </c>
      <c r="AH1169" s="116" t="s">
        <v>127</v>
      </c>
      <c r="AI1169" s="137" t="s">
        <v>6410</v>
      </c>
      <c r="AJ1169" s="130">
        <v>0.001</v>
      </c>
      <c r="AK1169" s="123" t="s">
        <v>128</v>
      </c>
      <c r="AL1169" s="123" t="s">
        <v>179</v>
      </c>
      <c r="AM1169" s="137" t="s">
        <v>134</v>
      </c>
      <c r="AN1169" s="1313" t="s">
        <v>131</v>
      </c>
      <c r="AO1169" s="779">
        <v>131.0</v>
      </c>
      <c r="AP1169" s="779">
        <v>0.112161169751389</v>
      </c>
      <c r="AQ1169" s="137" t="s">
        <v>166</v>
      </c>
      <c r="AR1169" s="1313" t="s">
        <v>5571</v>
      </c>
      <c r="AS1169" s="779">
        <v>0.531821336454792</v>
      </c>
      <c r="AT1169" s="137" t="s">
        <v>165</v>
      </c>
      <c r="AU1169" s="137" t="s">
        <v>179</v>
      </c>
      <c r="AV1169" s="137" t="s">
        <v>134</v>
      </c>
      <c r="AW1169" s="1314" t="s">
        <v>131</v>
      </c>
      <c r="AX1169" s="667" t="s">
        <v>144</v>
      </c>
      <c r="AZ1169" s="1313" t="s">
        <v>5572</v>
      </c>
    </row>
    <row r="1170">
      <c r="A1170" s="41">
        <v>1170.0</v>
      </c>
      <c r="B1170" s="126" t="s">
        <v>145</v>
      </c>
      <c r="C1170" s="59" t="s">
        <v>108</v>
      </c>
      <c r="D1170" s="59" t="s">
        <v>138</v>
      </c>
      <c r="E1170" s="362"/>
      <c r="F1170" s="1304" t="s">
        <v>6411</v>
      </c>
      <c r="G1170" s="1305" t="s">
        <v>6412</v>
      </c>
      <c r="H1170" s="1306" t="s">
        <v>5559</v>
      </c>
      <c r="I1170" s="1307">
        <v>45691.0</v>
      </c>
      <c r="J1170" s="1308">
        <v>45692.0</v>
      </c>
      <c r="K1170" s="1304"/>
      <c r="L1170" s="1304" t="s">
        <v>5561</v>
      </c>
      <c r="M1170" s="1306" t="s">
        <v>6413</v>
      </c>
      <c r="N1170" s="1306" t="s">
        <v>6414</v>
      </c>
      <c r="O1170" s="1306" t="s">
        <v>1547</v>
      </c>
      <c r="P1170" s="1306" t="s">
        <v>6415</v>
      </c>
      <c r="Q1170" s="49" t="str">
        <f t="array" ref="Q1170"> if(iserror(MATCH(V1170, 'File Links'!C:C, 0)), "N/A", HYPERLINK(INDEX('File Links'!B:B, MATCH(P1170, 'File Links'!C:C, 0))))</f>
        <v>https://drive.google.com/file/d/1yCifhK2ZQwpUZAjclr5TAmGCQqTbBrUa/view?usp=drivesdk</v>
      </c>
      <c r="R1170" s="1306" t="s">
        <v>3646</v>
      </c>
      <c r="S1170" s="156" t="s">
        <v>3647</v>
      </c>
      <c r="T1170" s="777" t="s">
        <v>131</v>
      </c>
      <c r="U1170" s="144" t="s">
        <v>131</v>
      </c>
      <c r="V1170" s="195" t="str">
        <f t="shared" si="57"/>
        <v>10.1098--rsos.231240.pdf</v>
      </c>
      <c r="W1170" s="1304" t="s">
        <v>2118</v>
      </c>
      <c r="X1170" s="51" t="str">
        <f t="array" ref="X1170"> if(iserror(MATCH(V1170, 'File Links'!C:C, 0)), "N/A", HYPERLINK(INDEX('File Links'!B:B, MATCH(V1170, 'File Links'!C:C, 0))))</f>
        <v>https://drive.google.com/file/d/17gaf2Zy_ljFfcAEDk5L8GBnTl5i7RGJE/view?usp=drivesdk</v>
      </c>
      <c r="Y1170" s="1304"/>
      <c r="Z1170" s="1306" t="s">
        <v>219</v>
      </c>
      <c r="AA1170" s="371" t="s">
        <v>131</v>
      </c>
      <c r="AB1170" s="1304" t="s">
        <v>6416</v>
      </c>
      <c r="AC1170" s="1306" t="s">
        <v>6417</v>
      </c>
      <c r="AD1170" s="1304" t="s">
        <v>6418</v>
      </c>
      <c r="AE1170" s="1333">
        <v>5.0</v>
      </c>
      <c r="AF1170" s="1309">
        <v>58.0</v>
      </c>
      <c r="AG1170" s="1333">
        <v>1.09</v>
      </c>
      <c r="AH1170" s="1304" t="s">
        <v>166</v>
      </c>
      <c r="AI1170" s="1304" t="s">
        <v>806</v>
      </c>
      <c r="AJ1170" s="1345">
        <v>0.001</v>
      </c>
      <c r="AK1170" s="1312" t="s">
        <v>128</v>
      </c>
      <c r="AL1170" s="1312" t="s">
        <v>179</v>
      </c>
      <c r="AM1170" s="1328" t="s">
        <v>134</v>
      </c>
      <c r="AN1170" s="1313" t="s">
        <v>131</v>
      </c>
      <c r="AO1170" s="1309">
        <v>27.0</v>
      </c>
      <c r="AP1170" s="1333">
        <v>0.72336</v>
      </c>
      <c r="AQ1170" s="1304" t="s">
        <v>166</v>
      </c>
      <c r="AR1170" s="1313" t="s">
        <v>5571</v>
      </c>
      <c r="AS1170" s="1333">
        <v>0.00137873815724571</v>
      </c>
      <c r="AT1170" s="1304" t="s">
        <v>165</v>
      </c>
      <c r="AU1170" s="1304" t="s">
        <v>179</v>
      </c>
      <c r="AV1170" s="1304" t="s">
        <v>130</v>
      </c>
      <c r="AW1170" s="1314" t="s">
        <v>131</v>
      </c>
      <c r="AX1170" s="1331" t="s">
        <v>136</v>
      </c>
      <c r="AZ1170" s="1313" t="s">
        <v>5572</v>
      </c>
    </row>
    <row r="1171">
      <c r="A1171" s="41">
        <v>1171.0</v>
      </c>
      <c r="B1171" s="126" t="s">
        <v>107</v>
      </c>
      <c r="C1171" s="59" t="s">
        <v>108</v>
      </c>
      <c r="D1171" s="59" t="s">
        <v>241</v>
      </c>
      <c r="E1171" s="362"/>
      <c r="F1171" s="123" t="s">
        <v>6411</v>
      </c>
      <c r="G1171" s="116" t="s">
        <v>6412</v>
      </c>
      <c r="H1171" s="137" t="s">
        <v>242</v>
      </c>
      <c r="I1171" s="314">
        <v>45667.0</v>
      </c>
      <c r="J1171" s="1317">
        <v>45692.0</v>
      </c>
      <c r="K1171" s="122"/>
      <c r="L1171" s="122" t="s">
        <v>5561</v>
      </c>
      <c r="M1171" s="137" t="s">
        <v>6413</v>
      </c>
      <c r="N1171" s="137" t="s">
        <v>6414</v>
      </c>
      <c r="O1171" s="122"/>
      <c r="P1171" s="137" t="str">
        <f> SUBSTITUTE(lower(N1171), "/", "--") &amp;  ".pdf"</f>
        <v>10.1177--0956797617705399.pdf</v>
      </c>
      <c r="Q1171" s="49" t="str">
        <f t="array" ref="Q1171"> if(iserror(MATCH(V1171, 'File Links'!C:C, 0)), "N/A", HYPERLINK(INDEX('File Links'!B:B, MATCH(P1171, 'File Links'!C:C, 0))))</f>
        <v>https://drive.google.com/file/d/1yCifhK2ZQwpUZAjclr5TAmGCQqTbBrUa/view?usp=drivesdk</v>
      </c>
      <c r="R1171" s="137" t="s">
        <v>6419</v>
      </c>
      <c r="S1171" s="156" t="s">
        <v>3647</v>
      </c>
      <c r="T1171" s="777" t="s">
        <v>131</v>
      </c>
      <c r="U1171" s="144" t="s">
        <v>131</v>
      </c>
      <c r="V1171" s="195" t="str">
        <f t="shared" si="57"/>
        <v>10.1098--rsos.231240.pdf</v>
      </c>
      <c r="W1171" s="137" t="s">
        <v>317</v>
      </c>
      <c r="X1171" s="51" t="str">
        <f t="array" ref="X1171"> if(iserror(MATCH(V1171, 'File Links'!C:C, 0)), "N/A", HYPERLINK(INDEX('File Links'!B:B, MATCH(V1171, 'File Links'!C:C, 0))))</f>
        <v>https://drive.google.com/file/d/17gaf2Zy_ljFfcAEDk5L8GBnTl5i7RGJE/view?usp=drivesdk</v>
      </c>
      <c r="Y1171" s="122"/>
      <c r="Z1171" s="137" t="s">
        <v>219</v>
      </c>
      <c r="AA1171" s="122"/>
      <c r="AB1171" s="137" t="s">
        <v>6420</v>
      </c>
      <c r="AC1171" s="122"/>
      <c r="AD1171" s="137" t="s">
        <v>6421</v>
      </c>
      <c r="AE1171" s="779">
        <v>5.0</v>
      </c>
      <c r="AF1171" s="779">
        <v>58.0</v>
      </c>
      <c r="AG1171" s="779">
        <v>1.09</v>
      </c>
      <c r="AH1171" s="137" t="s">
        <v>166</v>
      </c>
      <c r="AI1171" s="137" t="s">
        <v>875</v>
      </c>
      <c r="AJ1171" s="130">
        <v>0.001</v>
      </c>
      <c r="AK1171" s="123" t="s">
        <v>128</v>
      </c>
      <c r="AL1171" s="123" t="s">
        <v>179</v>
      </c>
      <c r="AM1171" s="137" t="s">
        <v>130</v>
      </c>
      <c r="AN1171" s="1313" t="s">
        <v>131</v>
      </c>
      <c r="AO1171" s="779">
        <v>27.0</v>
      </c>
      <c r="AP1171" s="779">
        <v>0.72336</v>
      </c>
      <c r="AQ1171" s="137" t="s">
        <v>166</v>
      </c>
      <c r="AR1171" s="1313" t="s">
        <v>5571</v>
      </c>
      <c r="AS1171" s="779">
        <v>0.00137873815724571</v>
      </c>
      <c r="AT1171" s="137" t="s">
        <v>165</v>
      </c>
      <c r="AU1171" s="137" t="s">
        <v>179</v>
      </c>
      <c r="AV1171" s="137" t="s">
        <v>130</v>
      </c>
      <c r="AW1171" s="1314" t="s">
        <v>131</v>
      </c>
      <c r="AX1171" s="667" t="s">
        <v>136</v>
      </c>
      <c r="AZ1171" s="1313" t="s">
        <v>5572</v>
      </c>
    </row>
    <row r="1172">
      <c r="A1172" s="41">
        <v>1172.0</v>
      </c>
      <c r="B1172" s="126" t="s">
        <v>145</v>
      </c>
      <c r="C1172" s="59" t="s">
        <v>108</v>
      </c>
      <c r="D1172" s="59" t="s">
        <v>138</v>
      </c>
      <c r="E1172" s="362"/>
      <c r="F1172" s="1304" t="s">
        <v>6422</v>
      </c>
      <c r="G1172" s="1305" t="s">
        <v>6423</v>
      </c>
      <c r="H1172" s="1306" t="s">
        <v>5559</v>
      </c>
      <c r="I1172" s="1307">
        <v>45691.0</v>
      </c>
      <c r="J1172" s="1308">
        <v>45692.0</v>
      </c>
      <c r="K1172" s="1304" t="s">
        <v>6424</v>
      </c>
      <c r="L1172" s="1304" t="s">
        <v>5561</v>
      </c>
      <c r="M1172" s="1306" t="s">
        <v>6290</v>
      </c>
      <c r="N1172" s="1306" t="s">
        <v>6291</v>
      </c>
      <c r="O1172" s="1309">
        <v>1.0</v>
      </c>
      <c r="P1172" s="1306" t="s">
        <v>6292</v>
      </c>
      <c r="Q1172" s="49" t="str">
        <f t="array" ref="Q1172"> if(iserror(MATCH(V1172, 'File Links'!C:C, 0)), "N/A", HYPERLINK(INDEX('File Links'!B:B, MATCH(P1172, 'File Links'!C:C, 0))))</f>
        <v>https://drive.google.com/file/d/1vWGgcW4pZ3FoyQKsaRTBIF-qNoze2NOS/view?usp=drivesdk</v>
      </c>
      <c r="R1172" s="1306" t="s">
        <v>3646</v>
      </c>
      <c r="S1172" s="156" t="s">
        <v>3647</v>
      </c>
      <c r="T1172" s="777" t="s">
        <v>131</v>
      </c>
      <c r="U1172" s="144" t="s">
        <v>131</v>
      </c>
      <c r="V1172" s="195" t="str">
        <f t="shared" si="57"/>
        <v>10.1098--rsos.231240.pdf</v>
      </c>
      <c r="W1172" s="137" t="s">
        <v>3658</v>
      </c>
      <c r="X1172" s="51" t="str">
        <f t="array" ref="X1172"> if(iserror(MATCH(V1172, 'File Links'!C:C, 0)), "N/A", HYPERLINK(INDEX('File Links'!B:B, MATCH(V1172, 'File Links'!C:C, 0))))</f>
        <v>https://drive.google.com/file/d/17gaf2Zy_ljFfcAEDk5L8GBnTl5i7RGJE/view?usp=drivesdk</v>
      </c>
      <c r="Y1172" s="1304"/>
      <c r="Z1172" s="1306" t="s">
        <v>219</v>
      </c>
      <c r="AA1172" s="1304" t="s">
        <v>1528</v>
      </c>
      <c r="AB1172" s="1304" t="s">
        <v>6294</v>
      </c>
      <c r="AC1172" s="1306" t="s">
        <v>6425</v>
      </c>
      <c r="AD1172" s="1304"/>
      <c r="AE1172" s="1304"/>
      <c r="AF1172" s="1309">
        <v>155.0</v>
      </c>
      <c r="AG1172" s="1304" t="s">
        <v>6426</v>
      </c>
      <c r="AH1172" s="1304" t="s">
        <v>166</v>
      </c>
      <c r="AI1172" s="1304"/>
      <c r="AJ1172" s="1337">
        <v>0.01723819924</v>
      </c>
      <c r="AK1172" s="1312" t="s">
        <v>165</v>
      </c>
      <c r="AL1172" s="1312" t="s">
        <v>179</v>
      </c>
      <c r="AM1172" s="1304" t="s">
        <v>130</v>
      </c>
      <c r="AN1172" s="1313" t="s">
        <v>131</v>
      </c>
      <c r="AO1172" s="1309">
        <v>225.0</v>
      </c>
      <c r="AP1172" s="1333">
        <v>0.19493521</v>
      </c>
      <c r="AQ1172" s="1304" t="s">
        <v>166</v>
      </c>
      <c r="AR1172" s="1313" t="s">
        <v>5571</v>
      </c>
      <c r="AS1172" s="1333">
        <v>0.2320364968</v>
      </c>
      <c r="AT1172" s="1304" t="s">
        <v>165</v>
      </c>
      <c r="AU1172" s="1304" t="s">
        <v>179</v>
      </c>
      <c r="AV1172" s="1304" t="s">
        <v>130</v>
      </c>
      <c r="AW1172" s="1314" t="s">
        <v>131</v>
      </c>
      <c r="AX1172" s="1331" t="s">
        <v>136</v>
      </c>
      <c r="AZ1172" s="1313" t="s">
        <v>5572</v>
      </c>
    </row>
    <row r="1173">
      <c r="A1173" s="41">
        <v>1173.0</v>
      </c>
      <c r="B1173" s="126" t="s">
        <v>145</v>
      </c>
      <c r="C1173" s="59" t="s">
        <v>108</v>
      </c>
      <c r="D1173" s="59" t="s">
        <v>138</v>
      </c>
      <c r="E1173" s="362"/>
      <c r="F1173" s="1304" t="s">
        <v>6427</v>
      </c>
      <c r="G1173" s="1305" t="s">
        <v>6428</v>
      </c>
      <c r="H1173" s="1306" t="s">
        <v>5559</v>
      </c>
      <c r="I1173" s="1307">
        <v>45692.0</v>
      </c>
      <c r="J1173" s="1308">
        <v>45692.0</v>
      </c>
      <c r="K1173" s="1304"/>
      <c r="L1173" s="1313" t="s">
        <v>6429</v>
      </c>
      <c r="M1173" s="1306" t="s">
        <v>6430</v>
      </c>
      <c r="N1173" s="1304" t="s">
        <v>6431</v>
      </c>
      <c r="O1173" s="1309">
        <v>1.0</v>
      </c>
      <c r="P1173" s="137" t="str">
        <f t="shared" ref="P1173:P1174" si="73"> SUBSTITUTE(lower(N1173), "/", "--") &amp;  ".pdf"</f>
        <v>10.1016--j.cognition.2017.06.025.pdf</v>
      </c>
      <c r="Q1173" s="49" t="str">
        <f t="array" ref="Q1173"> if(iserror(MATCH(V1173, 'File Links'!C:C, 0)), "N/A", HYPERLINK(INDEX('File Links'!B:B, MATCH(P1173, 'File Links'!C:C, 0))))</f>
        <v>https://drive.google.com/file/d/13eFbDRsrT4E_alMlB_gHi3f-ptev6t5p/view?usp=drivesdk</v>
      </c>
      <c r="R1173" s="1306" t="s">
        <v>3646</v>
      </c>
      <c r="S1173" s="156" t="s">
        <v>3647</v>
      </c>
      <c r="T1173" s="777" t="s">
        <v>131</v>
      </c>
      <c r="U1173" s="144" t="s">
        <v>131</v>
      </c>
      <c r="V1173" s="195" t="str">
        <f t="shared" si="57"/>
        <v>10.1098--rsos.231240.pdf</v>
      </c>
      <c r="W1173" s="137" t="s">
        <v>3658</v>
      </c>
      <c r="X1173" s="51" t="str">
        <f t="array" ref="X1173"> if(iserror(MATCH(V1173, 'File Links'!C:C, 0)), "N/A", HYPERLINK(INDEX('File Links'!B:B, MATCH(V1173, 'File Links'!C:C, 0))))</f>
        <v>https://drive.google.com/file/d/17gaf2Zy_ljFfcAEDk5L8GBnTl5i7RGJE/view?usp=drivesdk</v>
      </c>
      <c r="Y1173" s="1304"/>
      <c r="Z1173" s="1306" t="s">
        <v>141</v>
      </c>
      <c r="AA1173" s="1304" t="s">
        <v>6432</v>
      </c>
      <c r="AB1173" s="1304" t="s">
        <v>6433</v>
      </c>
      <c r="AC1173" s="1306" t="s">
        <v>6434</v>
      </c>
      <c r="AD1173" s="1304" t="s">
        <v>6435</v>
      </c>
      <c r="AE1173" s="1333">
        <v>3.0</v>
      </c>
      <c r="AF1173" s="1309">
        <v>16.0</v>
      </c>
      <c r="AG1173" s="1333">
        <v>0.95</v>
      </c>
      <c r="AH1173" s="1304" t="s">
        <v>166</v>
      </c>
      <c r="AI1173" s="1304" t="s">
        <v>843</v>
      </c>
      <c r="AJ1173" s="1316">
        <v>0.002</v>
      </c>
      <c r="AK1173" s="1312" t="s">
        <v>165</v>
      </c>
      <c r="AL1173" s="1312" t="s">
        <v>179</v>
      </c>
      <c r="AM1173" s="1361" t="s">
        <v>134</v>
      </c>
      <c r="AN1173" s="1313" t="s">
        <v>131</v>
      </c>
      <c r="AO1173" s="1309">
        <v>16.0</v>
      </c>
      <c r="AP1173" s="1349">
        <v>0.938139826109804</v>
      </c>
      <c r="AQ1173" s="1304" t="s">
        <v>166</v>
      </c>
      <c r="AR1173" s="1313" t="s">
        <v>5571</v>
      </c>
      <c r="AS1173" s="1333">
        <v>0.00245187028514065</v>
      </c>
      <c r="AT1173" s="1304" t="s">
        <v>165</v>
      </c>
      <c r="AU1173" s="1304" t="s">
        <v>179</v>
      </c>
      <c r="AV1173" s="1304" t="s">
        <v>130</v>
      </c>
      <c r="AW1173" s="1314" t="s">
        <v>131</v>
      </c>
      <c r="AX1173" s="1331" t="s">
        <v>136</v>
      </c>
      <c r="AZ1173" s="1313" t="s">
        <v>5572</v>
      </c>
    </row>
    <row r="1174">
      <c r="A1174" s="41">
        <v>1174.0</v>
      </c>
      <c r="B1174" s="126" t="s">
        <v>107</v>
      </c>
      <c r="C1174" s="59" t="s">
        <v>108</v>
      </c>
      <c r="D1174" s="59" t="s">
        <v>241</v>
      </c>
      <c r="E1174" s="362"/>
      <c r="F1174" s="123" t="s">
        <v>6427</v>
      </c>
      <c r="G1174" s="116" t="s">
        <v>6428</v>
      </c>
      <c r="H1174" s="137" t="s">
        <v>242</v>
      </c>
      <c r="I1174" s="314">
        <v>45667.0</v>
      </c>
      <c r="J1174" s="1317">
        <v>45692.0</v>
      </c>
      <c r="K1174" s="122"/>
      <c r="L1174" s="122" t="s">
        <v>5561</v>
      </c>
      <c r="M1174" s="137" t="s">
        <v>6430</v>
      </c>
      <c r="N1174" s="137" t="s">
        <v>6431</v>
      </c>
      <c r="O1174" s="122"/>
      <c r="P1174" s="137" t="str">
        <f t="shared" si="73"/>
        <v>10.1016--j.cognition.2017.06.025.pdf</v>
      </c>
      <c r="Q1174" s="49" t="str">
        <f t="array" ref="Q1174"> if(iserror(MATCH(V1174, 'File Links'!C:C, 0)), "N/A", HYPERLINK(INDEX('File Links'!B:B, MATCH(P1174, 'File Links'!C:C, 0))))</f>
        <v>https://drive.google.com/file/d/13eFbDRsrT4E_alMlB_gHi3f-ptev6t5p/view?usp=drivesdk</v>
      </c>
      <c r="R1174" s="137" t="s">
        <v>6436</v>
      </c>
      <c r="S1174" s="156" t="s">
        <v>3647</v>
      </c>
      <c r="T1174" s="777" t="s">
        <v>131</v>
      </c>
      <c r="U1174" s="144" t="s">
        <v>131</v>
      </c>
      <c r="V1174" s="195" t="str">
        <f t="shared" si="57"/>
        <v>10.1098--rsos.231240.pdf</v>
      </c>
      <c r="W1174" s="137" t="s">
        <v>3658</v>
      </c>
      <c r="X1174" s="51" t="str">
        <f t="array" ref="X1174"> if(iserror(MATCH(V1174, 'File Links'!C:C, 0)), "N/A", HYPERLINK(INDEX('File Links'!B:B, MATCH(V1174, 'File Links'!C:C, 0))))</f>
        <v>https://drive.google.com/file/d/17gaf2Zy_ljFfcAEDk5L8GBnTl5i7RGJE/view?usp=drivesdk</v>
      </c>
      <c r="Y1174" s="122"/>
      <c r="Z1174" s="137" t="s">
        <v>141</v>
      </c>
      <c r="AA1174" s="122"/>
      <c r="AB1174" s="137" t="s">
        <v>6437</v>
      </c>
      <c r="AC1174" s="122"/>
      <c r="AD1174" s="137" t="s">
        <v>6438</v>
      </c>
      <c r="AE1174" s="779">
        <v>237.0</v>
      </c>
      <c r="AF1174" s="779">
        <v>16.0</v>
      </c>
      <c r="AG1174" s="779">
        <v>0.95</v>
      </c>
      <c r="AH1174" s="137" t="s">
        <v>166</v>
      </c>
      <c r="AI1174" s="137" t="s">
        <v>6439</v>
      </c>
      <c r="AJ1174" s="130">
        <v>0.489</v>
      </c>
      <c r="AK1174" s="123" t="s">
        <v>165</v>
      </c>
      <c r="AL1174" s="123" t="s">
        <v>179</v>
      </c>
      <c r="AM1174" s="137" t="s">
        <v>134</v>
      </c>
      <c r="AN1174" s="1313" t="s">
        <v>131</v>
      </c>
      <c r="AO1174" s="779">
        <v>16.0</v>
      </c>
      <c r="AP1174" s="779">
        <v>0.938139826109804</v>
      </c>
      <c r="AQ1174" s="137" t="s">
        <v>166</v>
      </c>
      <c r="AR1174" s="1313" t="s">
        <v>5571</v>
      </c>
      <c r="AS1174" s="779">
        <v>0.00245187028514065</v>
      </c>
      <c r="AT1174" s="137" t="s">
        <v>165</v>
      </c>
      <c r="AU1174" s="137" t="s">
        <v>179</v>
      </c>
      <c r="AV1174" s="137" t="s">
        <v>134</v>
      </c>
      <c r="AW1174" s="1314" t="s">
        <v>131</v>
      </c>
      <c r="AX1174" s="667" t="s">
        <v>144</v>
      </c>
      <c r="AZ1174" s="1313" t="s">
        <v>5572</v>
      </c>
    </row>
    <row r="1175">
      <c r="A1175" s="41">
        <v>1175.0</v>
      </c>
      <c r="B1175" s="126" t="s">
        <v>145</v>
      </c>
      <c r="C1175" s="59" t="s">
        <v>108</v>
      </c>
      <c r="D1175" s="59" t="s">
        <v>138</v>
      </c>
      <c r="F1175" s="65" t="s">
        <v>6440</v>
      </c>
      <c r="G1175" s="54" t="s">
        <v>6441</v>
      </c>
      <c r="H1175" s="156" t="s">
        <v>5559</v>
      </c>
      <c r="I1175" s="149">
        <v>45692.0</v>
      </c>
      <c r="J1175" s="526">
        <v>45692.0</v>
      </c>
      <c r="K1175" s="65"/>
      <c r="L1175" s="126" t="s">
        <v>6442</v>
      </c>
      <c r="M1175" s="156" t="s">
        <v>6443</v>
      </c>
      <c r="N1175" s="156" t="s">
        <v>6444</v>
      </c>
      <c r="O1175" s="153">
        <v>1.0</v>
      </c>
      <c r="P1175" s="156" t="s">
        <v>6445</v>
      </c>
      <c r="Q1175" s="49" t="str">
        <f t="array" ref="Q1175"> if(iserror(MATCH(V1175, 'File Links'!C:C, 0)), "N/A", HYPERLINK(INDEX('File Links'!B:B, MATCH(P1175, 'File Links'!C:C, 0))))</f>
        <v>https://drive.google.com/file/d/1a_-X1vjB6N4-IwfcVsM4fHxFavXCK8pH/view?usp=drivesdk</v>
      </c>
      <c r="R1175" s="156" t="s">
        <v>3646</v>
      </c>
      <c r="S1175" s="156" t="s">
        <v>3647</v>
      </c>
      <c r="T1175" s="438" t="s">
        <v>131</v>
      </c>
      <c r="U1175" s="126" t="s">
        <v>131</v>
      </c>
      <c r="V1175" s="195" t="str">
        <f t="shared" si="57"/>
        <v>10.1098--rsos.231240.pdf</v>
      </c>
      <c r="W1175" s="156" t="s">
        <v>3658</v>
      </c>
      <c r="X1175" s="51" t="str">
        <f t="array" ref="X1175"> if(iserror(MATCH(V1175, 'File Links'!C:C, 0)), "N/A", HYPERLINK(INDEX('File Links'!B:B, MATCH(V1175, 'File Links'!C:C, 0))))</f>
        <v>https://drive.google.com/file/d/17gaf2Zy_ljFfcAEDk5L8GBnTl5i7RGJE/view?usp=drivesdk</v>
      </c>
      <c r="Y1175" s="65"/>
      <c r="Z1175" s="156" t="s">
        <v>219</v>
      </c>
      <c r="AA1175" s="371" t="s">
        <v>131</v>
      </c>
      <c r="AB1175" s="65" t="s">
        <v>6446</v>
      </c>
      <c r="AC1175" s="156" t="s">
        <v>6447</v>
      </c>
      <c r="AD1175" s="126" t="s">
        <v>6448</v>
      </c>
      <c r="AE1175" s="1362" t="s">
        <v>806</v>
      </c>
      <c r="AF1175" s="153">
        <v>415.0</v>
      </c>
      <c r="AG1175" s="126">
        <v>0.3</v>
      </c>
      <c r="AH1175" s="126" t="s">
        <v>3556</v>
      </c>
      <c r="AI1175" s="65" t="s">
        <v>806</v>
      </c>
      <c r="AJ1175" s="334">
        <v>0.001</v>
      </c>
      <c r="AK1175" s="58" t="s">
        <v>128</v>
      </c>
      <c r="AL1175" s="58" t="s">
        <v>179</v>
      </c>
      <c r="AM1175" s="65" t="s">
        <v>130</v>
      </c>
      <c r="AN1175" s="1363" t="s">
        <v>6449</v>
      </c>
      <c r="AO1175" s="153">
        <v>46.0</v>
      </c>
      <c r="AP1175" s="65" t="s">
        <v>6450</v>
      </c>
      <c r="AQ1175" s="65" t="s">
        <v>127</v>
      </c>
      <c r="AR1175" s="126" t="s">
        <v>5571</v>
      </c>
      <c r="AS1175" s="333">
        <v>0.977005295638734</v>
      </c>
      <c r="AT1175" s="65" t="s">
        <v>165</v>
      </c>
      <c r="AU1175" s="65" t="s">
        <v>179</v>
      </c>
      <c r="AV1175" s="65" t="s">
        <v>130</v>
      </c>
      <c r="AW1175" s="1329" t="s">
        <v>131</v>
      </c>
      <c r="AX1175" s="591" t="s">
        <v>136</v>
      </c>
      <c r="AZ1175" s="126" t="s">
        <v>6451</v>
      </c>
    </row>
    <row r="1176">
      <c r="A1176" s="41">
        <v>1176.0</v>
      </c>
      <c r="B1176" s="126" t="s">
        <v>107</v>
      </c>
      <c r="C1176" s="59" t="s">
        <v>108</v>
      </c>
      <c r="D1176" s="59" t="s">
        <v>241</v>
      </c>
      <c r="F1176" s="54" t="s">
        <v>6440</v>
      </c>
      <c r="G1176" s="148" t="s">
        <v>6441</v>
      </c>
      <c r="H1176" s="156" t="s">
        <v>242</v>
      </c>
      <c r="I1176" s="149">
        <v>45667.0</v>
      </c>
      <c r="J1176" s="526">
        <v>45692.0</v>
      </c>
      <c r="K1176" s="156" t="s">
        <v>6452</v>
      </c>
      <c r="L1176" s="126" t="s">
        <v>6453</v>
      </c>
      <c r="M1176" s="156" t="s">
        <v>6443</v>
      </c>
      <c r="N1176" s="156" t="s">
        <v>6444</v>
      </c>
      <c r="O1176" s="1362">
        <v>1.0</v>
      </c>
      <c r="P1176" s="156" t="str">
        <f> SUBSTITUTE(lower(N1176), "/", "--") &amp;  ".pdf"</f>
        <v>10.1177--0956797619854706.pdf</v>
      </c>
      <c r="Q1176" s="49" t="str">
        <f t="array" ref="Q1176"> if(iserror(MATCH(V1176, 'File Links'!C:C, 0)), "N/A", HYPERLINK(INDEX('File Links'!B:B, MATCH(P1176, 'File Links'!C:C, 0))))</f>
        <v>https://drive.google.com/file/d/1a_-X1vjB6N4-IwfcVsM4fHxFavXCK8pH/view?usp=drivesdk</v>
      </c>
      <c r="R1176" s="156" t="s">
        <v>6454</v>
      </c>
      <c r="S1176" s="156" t="s">
        <v>3647</v>
      </c>
      <c r="T1176" s="438" t="s">
        <v>131</v>
      </c>
      <c r="U1176" s="126" t="s">
        <v>131</v>
      </c>
      <c r="V1176" s="195" t="str">
        <f t="shared" si="57"/>
        <v>10.1098--rsos.231240.pdf</v>
      </c>
      <c r="W1176" s="156" t="s">
        <v>3658</v>
      </c>
      <c r="X1176" s="51" t="str">
        <f t="array" ref="X1176"> if(iserror(MATCH(V1176, 'File Links'!C:C, 0)), "N/A", HYPERLINK(INDEX('File Links'!B:B, MATCH(V1176, 'File Links'!C:C, 0))))</f>
        <v>https://drive.google.com/file/d/17gaf2Zy_ljFfcAEDk5L8GBnTl5i7RGJE/view?usp=drivesdk</v>
      </c>
      <c r="Y1176" s="65"/>
      <c r="Z1176" s="156" t="s">
        <v>219</v>
      </c>
      <c r="AA1176" s="65"/>
      <c r="AB1176" s="1057" t="s">
        <v>6455</v>
      </c>
      <c r="AC1176" s="65"/>
      <c r="AD1176" s="156" t="s">
        <v>6456</v>
      </c>
      <c r="AE1176" s="153">
        <v>5.0</v>
      </c>
      <c r="AF1176" s="153">
        <v>415.0</v>
      </c>
      <c r="AG1176" s="153">
        <v>0.329099978906873</v>
      </c>
      <c r="AH1176" s="156" t="s">
        <v>166</v>
      </c>
      <c r="AI1176" s="156" t="s">
        <v>875</v>
      </c>
      <c r="AJ1176" s="706">
        <v>0.001</v>
      </c>
      <c r="AK1176" s="54" t="s">
        <v>128</v>
      </c>
      <c r="AL1176" s="54" t="s">
        <v>179</v>
      </c>
      <c r="AM1176" s="1057" t="s">
        <v>134</v>
      </c>
      <c r="AN1176" s="687" t="s">
        <v>6457</v>
      </c>
      <c r="AO1176" s="153">
        <v>46.0</v>
      </c>
      <c r="AP1176" s="156" t="s">
        <v>131</v>
      </c>
      <c r="AQ1176" s="156" t="s">
        <v>166</v>
      </c>
      <c r="AR1176" s="126" t="s">
        <v>5571</v>
      </c>
      <c r="AS1176" s="153">
        <v>0.977005295638734</v>
      </c>
      <c r="AT1176" s="156" t="s">
        <v>165</v>
      </c>
      <c r="AU1176" s="156" t="s">
        <v>179</v>
      </c>
      <c r="AV1176" s="156" t="s">
        <v>134</v>
      </c>
      <c r="AW1176" s="1329" t="s">
        <v>131</v>
      </c>
      <c r="AX1176" s="677" t="s">
        <v>136</v>
      </c>
      <c r="AZ1176" s="126" t="s">
        <v>6451</v>
      </c>
    </row>
    <row r="1177">
      <c r="A1177" s="41">
        <v>1177.0</v>
      </c>
      <c r="B1177" s="126" t="s">
        <v>145</v>
      </c>
      <c r="C1177" s="59" t="s">
        <v>108</v>
      </c>
      <c r="D1177" s="59" t="s">
        <v>138</v>
      </c>
      <c r="F1177" s="65" t="s">
        <v>6458</v>
      </c>
      <c r="G1177" s="54" t="s">
        <v>6459</v>
      </c>
      <c r="H1177" s="156" t="s">
        <v>5559</v>
      </c>
      <c r="I1177" s="149">
        <v>45692.0</v>
      </c>
      <c r="J1177" s="526">
        <v>45692.0</v>
      </c>
      <c r="K1177" s="65"/>
      <c r="L1177" s="126" t="s">
        <v>6460</v>
      </c>
      <c r="M1177" s="156" t="s">
        <v>6461</v>
      </c>
      <c r="N1177" s="156" t="s">
        <v>6462</v>
      </c>
      <c r="O1177" s="153">
        <v>3.0</v>
      </c>
      <c r="P1177" s="156" t="s">
        <v>6463</v>
      </c>
      <c r="Q1177" s="49" t="str">
        <f t="array" ref="Q1177"> if(iserror(MATCH(V1177, 'File Links'!C:C, 0)), "N/A", HYPERLINK(INDEX('File Links'!B:B, MATCH(P1177, 'File Links'!C:C, 0))))</f>
        <v>https://drive.google.com/file/d/1Pb_juPmIU_Q7VY9NrSeQKbDclKBuO2i4/view?usp=drivesdk</v>
      </c>
      <c r="R1177" s="156" t="s">
        <v>3646</v>
      </c>
      <c r="S1177" s="156" t="s">
        <v>3647</v>
      </c>
      <c r="T1177" s="438" t="s">
        <v>131</v>
      </c>
      <c r="U1177" s="126" t="s">
        <v>131</v>
      </c>
      <c r="V1177" s="195" t="str">
        <f t="shared" si="57"/>
        <v>10.1098--rsos.231240.pdf</v>
      </c>
      <c r="W1177" s="156" t="s">
        <v>317</v>
      </c>
      <c r="X1177" s="51" t="str">
        <f t="array" ref="X1177"> if(iserror(MATCH(V1177, 'File Links'!C:C, 0)), "N/A", HYPERLINK(INDEX('File Links'!B:B, MATCH(V1177, 'File Links'!C:C, 0))))</f>
        <v>https://drive.google.com/file/d/17gaf2Zy_ljFfcAEDk5L8GBnTl5i7RGJE/view?usp=drivesdk</v>
      </c>
      <c r="Y1177" s="65"/>
      <c r="Z1177" s="156" t="s">
        <v>219</v>
      </c>
      <c r="AA1177" s="371" t="s">
        <v>131</v>
      </c>
      <c r="AB1177" s="65" t="s">
        <v>6464</v>
      </c>
      <c r="AC1177" s="156" t="s">
        <v>6465</v>
      </c>
      <c r="AD1177" s="126" t="s">
        <v>6466</v>
      </c>
      <c r="AE1177" s="1364" t="s">
        <v>6467</v>
      </c>
      <c r="AF1177" s="153">
        <v>40.0</v>
      </c>
      <c r="AG1177" s="333">
        <v>0.146</v>
      </c>
      <c r="AH1177" s="126" t="s">
        <v>867</v>
      </c>
      <c r="AI1177" s="126" t="s">
        <v>6467</v>
      </c>
      <c r="AJ1177" s="706">
        <v>0.015</v>
      </c>
      <c r="AK1177" s="58" t="s">
        <v>165</v>
      </c>
      <c r="AL1177" s="126" t="s">
        <v>179</v>
      </c>
      <c r="AM1177" s="65" t="s">
        <v>130</v>
      </c>
      <c r="AN1177" s="126" t="s">
        <v>131</v>
      </c>
      <c r="AO1177" s="153">
        <v>77.0</v>
      </c>
      <c r="AP1177" s="333">
        <v>0.498565288609021</v>
      </c>
      <c r="AQ1177" s="65" t="s">
        <v>166</v>
      </c>
      <c r="AR1177" s="126" t="s">
        <v>5571</v>
      </c>
      <c r="AS1177" s="1300">
        <f>4.29*10^-5</f>
        <v>0.0000429</v>
      </c>
      <c r="AT1177" s="65" t="s">
        <v>165</v>
      </c>
      <c r="AU1177" s="1362" t="s">
        <v>179</v>
      </c>
      <c r="AV1177" s="65" t="s">
        <v>130</v>
      </c>
      <c r="AW1177" s="1329" t="s">
        <v>131</v>
      </c>
      <c r="AX1177" s="591" t="s">
        <v>136</v>
      </c>
      <c r="AZ1177" s="126" t="s">
        <v>6451</v>
      </c>
    </row>
    <row r="1178">
      <c r="A1178" s="41">
        <v>1178.0</v>
      </c>
      <c r="B1178" s="126" t="s">
        <v>107</v>
      </c>
      <c r="C1178" s="59" t="s">
        <v>108</v>
      </c>
      <c r="D1178" s="59" t="s">
        <v>241</v>
      </c>
      <c r="F1178" s="54" t="s">
        <v>6458</v>
      </c>
      <c r="G1178" s="148" t="s">
        <v>6459</v>
      </c>
      <c r="H1178" s="156" t="s">
        <v>242</v>
      </c>
      <c r="I1178" s="149">
        <v>45667.0</v>
      </c>
      <c r="J1178" s="526">
        <v>45692.0</v>
      </c>
      <c r="K1178" s="65"/>
      <c r="L1178" s="65"/>
      <c r="M1178" s="156" t="s">
        <v>6461</v>
      </c>
      <c r="N1178" s="156" t="s">
        <v>6462</v>
      </c>
      <c r="O1178" s="1362">
        <v>3.0</v>
      </c>
      <c r="P1178" s="156" t="str">
        <f> SUBSTITUTE(lower(N1178), "/", "--") &amp;  ".pdf"</f>
        <v>10.1177--0146167207309195.pdf</v>
      </c>
      <c r="Q1178" s="49" t="str">
        <f t="array" ref="Q1178"> if(iserror(MATCH(V1178, 'File Links'!C:C, 0)), "N/A", HYPERLINK(INDEX('File Links'!B:B, MATCH(P1178, 'File Links'!C:C, 0))))</f>
        <v>https://drive.google.com/file/d/1Pb_juPmIU_Q7VY9NrSeQKbDclKBuO2i4/view?usp=drivesdk</v>
      </c>
      <c r="R1178" s="156" t="s">
        <v>6468</v>
      </c>
      <c r="S1178" s="156" t="s">
        <v>3647</v>
      </c>
      <c r="T1178" s="438" t="s">
        <v>131</v>
      </c>
      <c r="U1178" s="126" t="s">
        <v>131</v>
      </c>
      <c r="V1178" s="195" t="str">
        <f t="shared" si="57"/>
        <v>10.1098--rsos.231240.pdf</v>
      </c>
      <c r="W1178" s="156" t="s">
        <v>317</v>
      </c>
      <c r="X1178" s="51" t="str">
        <f t="array" ref="X1178"> if(iserror(MATCH(V1178, 'File Links'!C:C, 0)), "N/A", HYPERLINK(INDEX('File Links'!B:B, MATCH(V1178, 'File Links'!C:C, 0))))</f>
        <v>https://drive.google.com/file/d/17gaf2Zy_ljFfcAEDk5L8GBnTl5i7RGJE/view?usp=drivesdk</v>
      </c>
      <c r="Y1178" s="65"/>
      <c r="Z1178" s="156" t="s">
        <v>219</v>
      </c>
      <c r="AA1178" s="65"/>
      <c r="AB1178" s="65"/>
      <c r="AC1178" s="65"/>
      <c r="AD1178" s="156" t="s">
        <v>6469</v>
      </c>
      <c r="AE1178" s="153">
        <v>83.0</v>
      </c>
      <c r="AF1178" s="153">
        <v>40.0</v>
      </c>
      <c r="AG1178" s="158" t="s">
        <v>6470</v>
      </c>
      <c r="AH1178" s="116" t="s">
        <v>127</v>
      </c>
      <c r="AI1178" s="156" t="s">
        <v>6467</v>
      </c>
      <c r="AJ1178" s="706">
        <v>0.015</v>
      </c>
      <c r="AK1178" s="54" t="s">
        <v>165</v>
      </c>
      <c r="AL1178" s="54" t="s">
        <v>179</v>
      </c>
      <c r="AM1178" s="1057" t="s">
        <v>134</v>
      </c>
      <c r="AN1178" s="126" t="s">
        <v>131</v>
      </c>
      <c r="AO1178" s="153">
        <v>77.0</v>
      </c>
      <c r="AP1178" s="153">
        <v>0.498565288609021</v>
      </c>
      <c r="AQ1178" s="156" t="s">
        <v>166</v>
      </c>
      <c r="AR1178" s="126" t="s">
        <v>5571</v>
      </c>
      <c r="AS1178" s="1365">
        <v>4.28962951808074E-5</v>
      </c>
      <c r="AT1178" s="156" t="s">
        <v>165</v>
      </c>
      <c r="AU1178" s="156" t="s">
        <v>179</v>
      </c>
      <c r="AV1178" s="156" t="s">
        <v>134</v>
      </c>
      <c r="AW1178" s="1329" t="s">
        <v>131</v>
      </c>
      <c r="AX1178" s="677" t="s">
        <v>136</v>
      </c>
      <c r="AZ1178" s="126" t="s">
        <v>6451</v>
      </c>
    </row>
    <row r="1179">
      <c r="A1179" s="41">
        <v>1179.0</v>
      </c>
      <c r="B1179" s="126" t="s">
        <v>145</v>
      </c>
      <c r="C1179" s="59" t="s">
        <v>108</v>
      </c>
      <c r="D1179" s="59" t="s">
        <v>138</v>
      </c>
      <c r="F1179" s="65" t="s">
        <v>6471</v>
      </c>
      <c r="G1179" s="54" t="s">
        <v>6472</v>
      </c>
      <c r="H1179" s="156" t="s">
        <v>5559</v>
      </c>
      <c r="I1179" s="149">
        <v>45692.0</v>
      </c>
      <c r="J1179" s="526">
        <v>45692.0</v>
      </c>
      <c r="K1179" s="65"/>
      <c r="L1179" s="126" t="s">
        <v>6473</v>
      </c>
      <c r="M1179" s="156" t="s">
        <v>6474</v>
      </c>
      <c r="N1179" s="156" t="s">
        <v>6475</v>
      </c>
      <c r="O1179" s="153">
        <v>1.0</v>
      </c>
      <c r="P1179" s="156" t="s">
        <v>6476</v>
      </c>
      <c r="Q1179" s="49" t="str">
        <f t="array" ref="Q1179"> if(iserror(MATCH(V1179, 'File Links'!C:C, 0)), "N/A", HYPERLINK(INDEX('File Links'!B:B, MATCH(P1179, 'File Links'!C:C, 0))))</f>
        <v>https://drive.google.com/file/d/18geCDJ5bRB3bpM43MHvE6GJwLIjojiV3/view?usp=drivesdk</v>
      </c>
      <c r="R1179" s="156" t="s">
        <v>3646</v>
      </c>
      <c r="S1179" s="156" t="s">
        <v>3647</v>
      </c>
      <c r="T1179" s="438" t="s">
        <v>131</v>
      </c>
      <c r="U1179" s="126" t="s">
        <v>131</v>
      </c>
      <c r="V1179" s="195" t="str">
        <f t="shared" si="57"/>
        <v>10.1098--rsos.231240.pdf</v>
      </c>
      <c r="W1179" s="156" t="s">
        <v>317</v>
      </c>
      <c r="X1179" s="51" t="str">
        <f t="array" ref="X1179"> if(iserror(MATCH(V1179, 'File Links'!C:C, 0)), "N/A", HYPERLINK(INDEX('File Links'!B:B, MATCH(V1179, 'File Links'!C:C, 0))))</f>
        <v>https://drive.google.com/file/d/17gaf2Zy_ljFfcAEDk5L8GBnTl5i7RGJE/view?usp=drivesdk</v>
      </c>
      <c r="Y1179" s="65"/>
      <c r="Z1179" s="156" t="s">
        <v>141</v>
      </c>
      <c r="AA1179" s="371" t="s">
        <v>131</v>
      </c>
      <c r="AB1179" s="126" t="s">
        <v>6477</v>
      </c>
      <c r="AC1179" s="156" t="s">
        <v>6478</v>
      </c>
      <c r="AD1179" s="1362" t="s">
        <v>6479</v>
      </c>
      <c r="AE1179" s="498" t="s">
        <v>6480</v>
      </c>
      <c r="AF1179" s="153">
        <v>101.0</v>
      </c>
      <c r="AG1179" s="1362" t="s">
        <v>6481</v>
      </c>
      <c r="AH1179" s="116" t="s">
        <v>127</v>
      </c>
      <c r="AI1179" s="1362" t="s">
        <v>6480</v>
      </c>
      <c r="AJ1179" s="1364">
        <v>0.01</v>
      </c>
      <c r="AK1179" s="1362" t="s">
        <v>128</v>
      </c>
      <c r="AL1179" s="1362" t="s">
        <v>179</v>
      </c>
      <c r="AM1179" s="1362" t="s">
        <v>130</v>
      </c>
      <c r="AN1179" s="126" t="s">
        <v>131</v>
      </c>
      <c r="AO1179" s="153">
        <v>45.0</v>
      </c>
      <c r="AP1179" s="333">
        <v>0.343443573781914</v>
      </c>
      <c r="AQ1179" s="65" t="s">
        <v>166</v>
      </c>
      <c r="AR1179" s="126" t="s">
        <v>5571</v>
      </c>
      <c r="AS1179" s="333">
        <v>0.266690424017411</v>
      </c>
      <c r="AT1179" s="65" t="s">
        <v>165</v>
      </c>
      <c r="AU1179" s="65" t="s">
        <v>179</v>
      </c>
      <c r="AV1179" s="1362" t="s">
        <v>130</v>
      </c>
      <c r="AW1179" s="1329" t="s">
        <v>131</v>
      </c>
      <c r="AX1179" s="591" t="s">
        <v>136</v>
      </c>
      <c r="AZ1179" s="126" t="s">
        <v>6451</v>
      </c>
    </row>
    <row r="1180">
      <c r="A1180" s="41">
        <v>1180.0</v>
      </c>
      <c r="B1180" s="126" t="s">
        <v>107</v>
      </c>
      <c r="C1180" s="59" t="s">
        <v>108</v>
      </c>
      <c r="D1180" s="59" t="s">
        <v>241</v>
      </c>
      <c r="F1180" s="54" t="s">
        <v>6471</v>
      </c>
      <c r="G1180" s="148" t="s">
        <v>6472</v>
      </c>
      <c r="H1180" s="156" t="s">
        <v>242</v>
      </c>
      <c r="I1180" s="149">
        <v>45667.0</v>
      </c>
      <c r="J1180" s="526">
        <v>45692.0</v>
      </c>
      <c r="K1180" s="65"/>
      <c r="L1180" s="65"/>
      <c r="M1180" s="156" t="s">
        <v>6474</v>
      </c>
      <c r="N1180" s="156" t="s">
        <v>6475</v>
      </c>
      <c r="O1180" s="1362">
        <v>1.0</v>
      </c>
      <c r="P1180" s="156" t="str">
        <f t="shared" ref="P1180:P1182" si="74"> SUBSTITUTE(lower(N1180), "/", "--") &amp;  ".pdf"</f>
        <v>10.1126--science.1238041.pdf</v>
      </c>
      <c r="Q1180" s="49" t="str">
        <f t="array" ref="Q1180"> if(iserror(MATCH(V1180, 'File Links'!C:C, 0)), "N/A", HYPERLINK(INDEX('File Links'!B:B, MATCH(P1180, 'File Links'!C:C, 0))))</f>
        <v>https://drive.google.com/file/d/18geCDJ5bRB3bpM43MHvE6GJwLIjojiV3/view?usp=drivesdk</v>
      </c>
      <c r="R1180" s="156" t="s">
        <v>6482</v>
      </c>
      <c r="S1180" s="156" t="s">
        <v>3647</v>
      </c>
      <c r="T1180" s="438" t="s">
        <v>131</v>
      </c>
      <c r="U1180" s="126" t="s">
        <v>131</v>
      </c>
      <c r="V1180" s="195" t="str">
        <f t="shared" si="57"/>
        <v>10.1098--rsos.231240.pdf</v>
      </c>
      <c r="W1180" s="156" t="s">
        <v>317</v>
      </c>
      <c r="X1180" s="51" t="str">
        <f t="array" ref="X1180"> if(iserror(MATCH(V1180, 'File Links'!C:C, 0)), "N/A", HYPERLINK(INDEX('File Links'!B:B, MATCH(V1180, 'File Links'!C:C, 0))))</f>
        <v>https://drive.google.com/file/d/17gaf2Zy_ljFfcAEDk5L8GBnTl5i7RGJE/view?usp=drivesdk</v>
      </c>
      <c r="Y1180" s="65"/>
      <c r="Z1180" s="156" t="s">
        <v>141</v>
      </c>
      <c r="AA1180" s="65"/>
      <c r="AB1180" s="156" t="s">
        <v>6483</v>
      </c>
      <c r="AC1180" s="65"/>
      <c r="AD1180" s="156" t="s">
        <v>6484</v>
      </c>
      <c r="AE1180" s="153">
        <v>977.0</v>
      </c>
      <c r="AF1180" s="153">
        <v>101.0</v>
      </c>
      <c r="AG1180" s="158" t="s">
        <v>6485</v>
      </c>
      <c r="AH1180" s="116" t="s">
        <v>127</v>
      </c>
      <c r="AI1180" s="156" t="s">
        <v>6480</v>
      </c>
      <c r="AJ1180" s="706">
        <v>0.01</v>
      </c>
      <c r="AK1180" s="54" t="s">
        <v>128</v>
      </c>
      <c r="AL1180" s="54" t="s">
        <v>179</v>
      </c>
      <c r="AM1180" s="156" t="s">
        <v>134</v>
      </c>
      <c r="AN1180" s="126" t="s">
        <v>131</v>
      </c>
      <c r="AO1180" s="153">
        <v>45.0</v>
      </c>
      <c r="AP1180" s="153">
        <v>0.343443573781914</v>
      </c>
      <c r="AQ1180" s="156" t="s">
        <v>166</v>
      </c>
      <c r="AR1180" s="126" t="s">
        <v>5571</v>
      </c>
      <c r="AS1180" s="1058">
        <v>0.266690424017411</v>
      </c>
      <c r="AT1180" s="156" t="s">
        <v>165</v>
      </c>
      <c r="AU1180" s="156" t="s">
        <v>179</v>
      </c>
      <c r="AV1180" s="156" t="s">
        <v>134</v>
      </c>
      <c r="AW1180" s="1329" t="s">
        <v>131</v>
      </c>
      <c r="AX1180" s="677" t="s">
        <v>136</v>
      </c>
      <c r="AZ1180" s="126" t="s">
        <v>6451</v>
      </c>
    </row>
    <row r="1181">
      <c r="A1181" s="41">
        <v>1181.0</v>
      </c>
      <c r="B1181" s="126" t="s">
        <v>145</v>
      </c>
      <c r="C1181" s="59" t="s">
        <v>108</v>
      </c>
      <c r="D1181" s="59" t="s">
        <v>138</v>
      </c>
      <c r="F1181" s="65" t="s">
        <v>6486</v>
      </c>
      <c r="G1181" s="54" t="s">
        <v>6487</v>
      </c>
      <c r="H1181" s="156" t="s">
        <v>5559</v>
      </c>
      <c r="I1181" s="149">
        <v>45692.0</v>
      </c>
      <c r="J1181" s="526">
        <v>45692.0</v>
      </c>
      <c r="K1181" s="65"/>
      <c r="L1181" s="126" t="s">
        <v>6488</v>
      </c>
      <c r="M1181" s="156" t="s">
        <v>6489</v>
      </c>
      <c r="N1181" s="148" t="s">
        <v>6490</v>
      </c>
      <c r="O1181" s="153">
        <v>1.0</v>
      </c>
      <c r="P1181" s="156" t="str">
        <f t="shared" si="74"/>
        <v>10.1037--a0032108.pdf</v>
      </c>
      <c r="Q1181" s="105" t="str">
        <f t="array" ref="Q1181"> if(iserror(MATCH(V1181, 'File Links'!C:C, 0)), "N/A", HYPERLINK(INDEX('File Links'!B:B, MATCH(P1181, 'File Links'!C:C, 0))))</f>
        <v>#N/A</v>
      </c>
      <c r="R1181" s="156" t="s">
        <v>3646</v>
      </c>
      <c r="S1181" s="156" t="s">
        <v>3647</v>
      </c>
      <c r="T1181" s="438" t="s">
        <v>131</v>
      </c>
      <c r="U1181" s="126" t="s">
        <v>131</v>
      </c>
      <c r="V1181" s="195" t="str">
        <f t="shared" si="57"/>
        <v>10.1098--rsos.231240.pdf</v>
      </c>
      <c r="W1181" s="156" t="s">
        <v>317</v>
      </c>
      <c r="X1181" s="51" t="str">
        <f t="array" ref="X1181"> if(iserror(MATCH(V1181, 'File Links'!C:C, 0)), "N/A", HYPERLINK(INDEX('File Links'!B:B, MATCH(V1181, 'File Links'!C:C, 0))))</f>
        <v>https://drive.google.com/file/d/17gaf2Zy_ljFfcAEDk5L8GBnTl5i7RGJE/view?usp=drivesdk</v>
      </c>
      <c r="Y1181" s="65"/>
      <c r="Z1181" s="156" t="s">
        <v>141</v>
      </c>
      <c r="AA1181" s="371" t="s">
        <v>131</v>
      </c>
      <c r="AB1181" s="156" t="s">
        <v>6491</v>
      </c>
      <c r="AC1181" s="156" t="s">
        <v>6492</v>
      </c>
      <c r="AD1181" s="126" t="s">
        <v>6493</v>
      </c>
      <c r="AE1181" s="1364" t="s">
        <v>1248</v>
      </c>
      <c r="AF1181" s="1114">
        <v>59.0</v>
      </c>
      <c r="AG1181" s="158" t="s">
        <v>6494</v>
      </c>
      <c r="AH1181" s="148" t="s">
        <v>127</v>
      </c>
      <c r="AI1181" s="126" t="s">
        <v>1248</v>
      </c>
      <c r="AJ1181" s="1364">
        <v>0.07</v>
      </c>
      <c r="AK1181" s="58" t="s">
        <v>165</v>
      </c>
      <c r="AL1181" s="58" t="s">
        <v>179</v>
      </c>
      <c r="AM1181" s="65" t="s">
        <v>130</v>
      </c>
      <c r="AN1181" s="126" t="s">
        <v>131</v>
      </c>
      <c r="AO1181" s="153">
        <v>48.0</v>
      </c>
      <c r="AP1181" s="153">
        <v>0.6884827599</v>
      </c>
      <c r="AQ1181" s="156" t="s">
        <v>166</v>
      </c>
      <c r="AR1181" s="126" t="s">
        <v>5571</v>
      </c>
      <c r="AS1181" s="333">
        <v>0.0226713058255987</v>
      </c>
      <c r="AT1181" s="65" t="s">
        <v>165</v>
      </c>
      <c r="AU1181" s="65" t="s">
        <v>179</v>
      </c>
      <c r="AV1181" s="65" t="s">
        <v>130</v>
      </c>
      <c r="AW1181" s="1329" t="s">
        <v>131</v>
      </c>
      <c r="AX1181" s="591" t="s">
        <v>136</v>
      </c>
      <c r="AZ1181" s="126" t="s">
        <v>6451</v>
      </c>
    </row>
    <row r="1182">
      <c r="A1182" s="41">
        <v>1182.0</v>
      </c>
      <c r="B1182" s="126" t="s">
        <v>107</v>
      </c>
      <c r="C1182" s="59" t="s">
        <v>108</v>
      </c>
      <c r="D1182" s="59" t="s">
        <v>241</v>
      </c>
      <c r="F1182" s="54" t="s">
        <v>6486</v>
      </c>
      <c r="G1182" s="148" t="s">
        <v>6487</v>
      </c>
      <c r="H1182" s="156" t="s">
        <v>242</v>
      </c>
      <c r="I1182" s="149">
        <v>45667.0</v>
      </c>
      <c r="J1182" s="526">
        <v>45692.0</v>
      </c>
      <c r="K1182" s="156" t="s">
        <v>6495</v>
      </c>
      <c r="L1182" s="65"/>
      <c r="M1182" s="156" t="s">
        <v>6489</v>
      </c>
      <c r="N1182" s="148" t="s">
        <v>6490</v>
      </c>
      <c r="O1182" s="1362">
        <v>1.0</v>
      </c>
      <c r="P1182" s="156" t="str">
        <f t="shared" si="74"/>
        <v>10.1037--a0032108.pdf</v>
      </c>
      <c r="Q1182" s="105" t="str">
        <f t="array" ref="Q1182"> if(iserror(MATCH(V1182, 'File Links'!C:C, 0)), "N/A", HYPERLINK(INDEX('File Links'!B:B, MATCH(P1182, 'File Links'!C:C, 0))))</f>
        <v>#N/A</v>
      </c>
      <c r="R1182" s="156" t="s">
        <v>6496</v>
      </c>
      <c r="S1182" s="156" t="s">
        <v>3647</v>
      </c>
      <c r="T1182" s="438" t="s">
        <v>131</v>
      </c>
      <c r="U1182" s="126" t="s">
        <v>131</v>
      </c>
      <c r="V1182" s="195" t="str">
        <f t="shared" si="57"/>
        <v>10.1098--rsos.231240.pdf</v>
      </c>
      <c r="W1182" s="156" t="s">
        <v>317</v>
      </c>
      <c r="X1182" s="51" t="str">
        <f t="array" ref="X1182"> if(iserror(MATCH(V1182, 'File Links'!C:C, 0)), "N/A", HYPERLINK(INDEX('File Links'!B:B, MATCH(V1182, 'File Links'!C:C, 0))))</f>
        <v>https://drive.google.com/file/d/17gaf2Zy_ljFfcAEDk5L8GBnTl5i7RGJE/view?usp=drivesdk</v>
      </c>
      <c r="Y1182" s="65"/>
      <c r="Z1182" s="156" t="s">
        <v>141</v>
      </c>
      <c r="AA1182" s="65"/>
      <c r="AB1182" s="65"/>
      <c r="AC1182" s="65"/>
      <c r="AD1182" s="156" t="s">
        <v>6497</v>
      </c>
      <c r="AE1182" s="153">
        <v>105.0</v>
      </c>
      <c r="AF1182" s="153">
        <v>240.0</v>
      </c>
      <c r="AG1182" s="1056">
        <v>0.473887635970198</v>
      </c>
      <c r="AH1182" s="1057" t="s">
        <v>166</v>
      </c>
      <c r="AI1182" s="156" t="s">
        <v>1248</v>
      </c>
      <c r="AJ1182" s="706">
        <v>0.07</v>
      </c>
      <c r="AK1182" s="54" t="s">
        <v>165</v>
      </c>
      <c r="AL1182" s="54" t="s">
        <v>179</v>
      </c>
      <c r="AM1182" s="156" t="s">
        <v>130</v>
      </c>
      <c r="AN1182" s="126" t="s">
        <v>131</v>
      </c>
      <c r="AO1182" s="153">
        <v>48.0</v>
      </c>
      <c r="AP1182" s="153">
        <v>0.688482759870062</v>
      </c>
      <c r="AQ1182" s="156" t="s">
        <v>166</v>
      </c>
      <c r="AR1182" s="126" t="s">
        <v>5571</v>
      </c>
      <c r="AS1182" s="153">
        <v>0.0226713058255987</v>
      </c>
      <c r="AT1182" s="156" t="s">
        <v>165</v>
      </c>
      <c r="AU1182" s="156" t="s">
        <v>179</v>
      </c>
      <c r="AV1182" s="156" t="s">
        <v>130</v>
      </c>
      <c r="AW1182" s="1329" t="s">
        <v>131</v>
      </c>
      <c r="AX1182" s="677" t="s">
        <v>136</v>
      </c>
      <c r="AZ1182" s="126" t="s">
        <v>6451</v>
      </c>
    </row>
    <row r="1183">
      <c r="A1183" s="41">
        <v>1183.0</v>
      </c>
      <c r="B1183" s="126" t="s">
        <v>145</v>
      </c>
      <c r="C1183" s="59" t="s">
        <v>108</v>
      </c>
      <c r="D1183" s="59" t="s">
        <v>138</v>
      </c>
      <c r="E1183" s="362"/>
      <c r="F1183" s="1304" t="s">
        <v>6498</v>
      </c>
      <c r="G1183" s="1305" t="s">
        <v>6499</v>
      </c>
      <c r="H1183" s="1306" t="s">
        <v>5559</v>
      </c>
      <c r="I1183" s="1307">
        <v>45692.0</v>
      </c>
      <c r="J1183" s="1308">
        <v>45692.0</v>
      </c>
      <c r="K1183" s="1304"/>
      <c r="L1183" s="1304" t="s">
        <v>5561</v>
      </c>
      <c r="M1183" s="1306" t="s">
        <v>6500</v>
      </c>
      <c r="N1183" s="1306" t="s">
        <v>6501</v>
      </c>
      <c r="O1183" s="1309">
        <v>1.0</v>
      </c>
      <c r="P1183" s="1306" t="s">
        <v>6502</v>
      </c>
      <c r="Q1183" s="49" t="str">
        <f t="array" ref="Q1183"> if(iserror(MATCH(V1183, 'File Links'!C:C, 0)), "N/A", HYPERLINK(INDEX('File Links'!B:B, MATCH(P1183, 'File Links'!C:C, 0))))</f>
        <v>https://drive.google.com/file/d/12yIYc8a3z4MzJ_-PiAeu39d1ppwYynMI/view?usp=drivesdk</v>
      </c>
      <c r="R1183" s="1306" t="s">
        <v>3646</v>
      </c>
      <c r="S1183" s="156" t="s">
        <v>3647</v>
      </c>
      <c r="T1183" s="777" t="s">
        <v>131</v>
      </c>
      <c r="U1183" s="144" t="s">
        <v>131</v>
      </c>
      <c r="V1183" s="195" t="str">
        <f t="shared" si="57"/>
        <v>10.1098--rsos.231240.pdf</v>
      </c>
      <c r="W1183" s="137" t="s">
        <v>3797</v>
      </c>
      <c r="X1183" s="51" t="str">
        <f t="array" ref="X1183"> if(iserror(MATCH(V1183, 'File Links'!C:C, 0)), "N/A", HYPERLINK(INDEX('File Links'!B:B, MATCH(V1183, 'File Links'!C:C, 0))))</f>
        <v>https://drive.google.com/file/d/17gaf2Zy_ljFfcAEDk5L8GBnTl5i7RGJE/view?usp=drivesdk</v>
      </c>
      <c r="Y1183" s="1304"/>
      <c r="Z1183" s="1306" t="s">
        <v>219</v>
      </c>
      <c r="AA1183" s="1304" t="s">
        <v>1528</v>
      </c>
      <c r="AB1183" s="1304" t="s">
        <v>6503</v>
      </c>
      <c r="AC1183" s="1306" t="s">
        <v>6504</v>
      </c>
      <c r="AD1183" s="1304" t="s">
        <v>6505</v>
      </c>
      <c r="AE1183" s="1333">
        <v>4.0</v>
      </c>
      <c r="AF1183" s="1309">
        <v>110.0</v>
      </c>
      <c r="AG1183" s="1333">
        <v>0.62</v>
      </c>
      <c r="AH1183" s="1304" t="s">
        <v>166</v>
      </c>
      <c r="AI1183" s="1304" t="s">
        <v>843</v>
      </c>
      <c r="AJ1183" s="1337">
        <v>0.001</v>
      </c>
      <c r="AK1183" s="1312" t="s">
        <v>165</v>
      </c>
      <c r="AL1183" s="1312" t="s">
        <v>179</v>
      </c>
      <c r="AM1183" s="1304" t="s">
        <v>130</v>
      </c>
      <c r="AN1183" s="1313" t="s">
        <v>131</v>
      </c>
      <c r="AO1183" s="1309">
        <v>98.0</v>
      </c>
      <c r="AP1183" s="1333">
        <v>0.743298262941807</v>
      </c>
      <c r="AQ1183" s="1304" t="s">
        <v>166</v>
      </c>
      <c r="AR1183" s="1313" t="s">
        <v>5571</v>
      </c>
      <c r="AS1183" s="1333">
        <v>0.00994269298</v>
      </c>
      <c r="AT1183" s="1304" t="s">
        <v>165</v>
      </c>
      <c r="AU1183" s="1304" t="s">
        <v>179</v>
      </c>
      <c r="AV1183" s="1304" t="s">
        <v>130</v>
      </c>
      <c r="AW1183" s="1314" t="s">
        <v>131</v>
      </c>
      <c r="AX1183" s="1331" t="s">
        <v>136</v>
      </c>
      <c r="AZ1183" s="1313" t="s">
        <v>5572</v>
      </c>
    </row>
    <row r="1184">
      <c r="A1184" s="41">
        <v>1184.0</v>
      </c>
      <c r="B1184" s="65" t="s">
        <v>583</v>
      </c>
      <c r="C1184" s="59" t="s">
        <v>108</v>
      </c>
      <c r="D1184" s="59" t="s">
        <v>138</v>
      </c>
      <c r="E1184" s="362"/>
      <c r="F1184" s="1304" t="s">
        <v>6498</v>
      </c>
      <c r="G1184" s="1305" t="s">
        <v>6506</v>
      </c>
      <c r="H1184" s="1306" t="s">
        <v>5559</v>
      </c>
      <c r="I1184" s="1307">
        <v>45692.0</v>
      </c>
      <c r="J1184" s="1308">
        <v>45692.0</v>
      </c>
      <c r="K1184" s="1304"/>
      <c r="L1184" s="1304" t="s">
        <v>6507</v>
      </c>
      <c r="M1184" s="1306" t="s">
        <v>6500</v>
      </c>
      <c r="N1184" s="1306" t="s">
        <v>6501</v>
      </c>
      <c r="O1184" s="1309">
        <v>1.0</v>
      </c>
      <c r="P1184" s="1306" t="s">
        <v>6502</v>
      </c>
      <c r="Q1184" s="49" t="str">
        <f t="array" ref="Q1184"> if(iserror(MATCH(V1184, 'File Links'!C:C, 0)), "N/A", HYPERLINK(INDEX('File Links'!B:B, MATCH(P1184, 'File Links'!C:C, 0))))</f>
        <v>https://drive.google.com/file/d/12yIYc8a3z4MzJ_-PiAeu39d1ppwYynMI/view?usp=drivesdk</v>
      </c>
      <c r="R1184" s="1306" t="s">
        <v>3646</v>
      </c>
      <c r="S1184" s="156" t="s">
        <v>3647</v>
      </c>
      <c r="T1184" s="777" t="s">
        <v>131</v>
      </c>
      <c r="U1184" s="144" t="s">
        <v>131</v>
      </c>
      <c r="V1184" s="195" t="str">
        <f t="shared" si="57"/>
        <v>10.1098--rsos.231240.pdf</v>
      </c>
      <c r="W1184" s="137" t="s">
        <v>3797</v>
      </c>
      <c r="X1184" s="51" t="str">
        <f t="array" ref="X1184"> if(iserror(MATCH(V1184, 'File Links'!C:C, 0)), "N/A", HYPERLINK(INDEX('File Links'!B:B, MATCH(V1184, 'File Links'!C:C, 0))))</f>
        <v>https://drive.google.com/file/d/17gaf2Zy_ljFfcAEDk5L8GBnTl5i7RGJE/view?usp=drivesdk</v>
      </c>
      <c r="Y1184" s="1304"/>
      <c r="Z1184" s="1306" t="s">
        <v>219</v>
      </c>
      <c r="AA1184" s="1304" t="s">
        <v>1528</v>
      </c>
      <c r="AB1184" s="1304" t="s">
        <v>6503</v>
      </c>
      <c r="AC1184" s="1306" t="s">
        <v>6508</v>
      </c>
      <c r="AD1184" s="1304" t="s">
        <v>6509</v>
      </c>
      <c r="AE1184" s="1333">
        <v>4.0</v>
      </c>
      <c r="AF1184" s="1309">
        <v>110.0</v>
      </c>
      <c r="AG1184" s="1333">
        <v>0.67</v>
      </c>
      <c r="AH1184" s="1304" t="s">
        <v>166</v>
      </c>
      <c r="AI1184" s="1304" t="s">
        <v>843</v>
      </c>
      <c r="AJ1184" s="1337">
        <v>0.001</v>
      </c>
      <c r="AK1184" s="1312" t="s">
        <v>128</v>
      </c>
      <c r="AL1184" s="1312" t="s">
        <v>179</v>
      </c>
      <c r="AM1184" s="1304" t="s">
        <v>130</v>
      </c>
      <c r="AN1184" s="1313" t="s">
        <v>131</v>
      </c>
      <c r="AO1184" s="1309">
        <v>98.0</v>
      </c>
      <c r="AP1184" s="1333">
        <v>0.743298262941807</v>
      </c>
      <c r="AQ1184" s="1304" t="s">
        <v>166</v>
      </c>
      <c r="AR1184" s="1313" t="s">
        <v>5571</v>
      </c>
      <c r="AS1184" s="1333">
        <v>0.00994269298</v>
      </c>
      <c r="AT1184" s="1304" t="s">
        <v>165</v>
      </c>
      <c r="AU1184" s="1304" t="s">
        <v>179</v>
      </c>
      <c r="AV1184" s="1304" t="s">
        <v>130</v>
      </c>
      <c r="AW1184" s="1314" t="s">
        <v>131</v>
      </c>
      <c r="AX1184" s="1331" t="s">
        <v>136</v>
      </c>
      <c r="AZ1184" s="1313" t="s">
        <v>5572</v>
      </c>
    </row>
    <row r="1185">
      <c r="A1185" s="41">
        <v>1185.0</v>
      </c>
      <c r="B1185" s="65" t="s">
        <v>583</v>
      </c>
      <c r="C1185" s="59" t="s">
        <v>108</v>
      </c>
      <c r="D1185" s="59" t="s">
        <v>138</v>
      </c>
      <c r="E1185" s="362"/>
      <c r="F1185" s="1304" t="s">
        <v>6498</v>
      </c>
      <c r="G1185" s="1305" t="s">
        <v>6510</v>
      </c>
      <c r="H1185" s="1306" t="s">
        <v>5559</v>
      </c>
      <c r="I1185" s="1307">
        <v>45692.0</v>
      </c>
      <c r="J1185" s="1308">
        <v>45692.0</v>
      </c>
      <c r="K1185" s="1304"/>
      <c r="L1185" s="1304" t="s">
        <v>6507</v>
      </c>
      <c r="M1185" s="1306" t="s">
        <v>6500</v>
      </c>
      <c r="N1185" s="1306" t="s">
        <v>6501</v>
      </c>
      <c r="O1185" s="1309">
        <v>1.0</v>
      </c>
      <c r="P1185" s="1306" t="s">
        <v>6502</v>
      </c>
      <c r="Q1185" s="49" t="str">
        <f t="array" ref="Q1185"> if(iserror(MATCH(V1185, 'File Links'!C:C, 0)), "N/A", HYPERLINK(INDEX('File Links'!B:B, MATCH(P1185, 'File Links'!C:C, 0))))</f>
        <v>https://drive.google.com/file/d/12yIYc8a3z4MzJ_-PiAeu39d1ppwYynMI/view?usp=drivesdk</v>
      </c>
      <c r="R1185" s="1306" t="s">
        <v>3646</v>
      </c>
      <c r="S1185" s="156" t="s">
        <v>3647</v>
      </c>
      <c r="T1185" s="777" t="s">
        <v>131</v>
      </c>
      <c r="U1185" s="144" t="s">
        <v>131</v>
      </c>
      <c r="V1185" s="195" t="str">
        <f t="shared" si="57"/>
        <v>10.1098--rsos.231240.pdf</v>
      </c>
      <c r="W1185" s="137" t="s">
        <v>3797</v>
      </c>
      <c r="X1185" s="51" t="str">
        <f t="array" ref="X1185"> if(iserror(MATCH(V1185, 'File Links'!C:C, 0)), "N/A", HYPERLINK(INDEX('File Links'!B:B, MATCH(V1185, 'File Links'!C:C, 0))))</f>
        <v>https://drive.google.com/file/d/17gaf2Zy_ljFfcAEDk5L8GBnTl5i7RGJE/view?usp=drivesdk</v>
      </c>
      <c r="Y1185" s="1304"/>
      <c r="Z1185" s="1306" t="s">
        <v>219</v>
      </c>
      <c r="AA1185" s="1304" t="s">
        <v>1528</v>
      </c>
      <c r="AB1185" s="1304" t="s">
        <v>6503</v>
      </c>
      <c r="AC1185" s="1306" t="s">
        <v>6511</v>
      </c>
      <c r="AD1185" s="1304" t="s">
        <v>6512</v>
      </c>
      <c r="AE1185" s="1333">
        <v>4.0</v>
      </c>
      <c r="AF1185" s="1309">
        <v>110.0</v>
      </c>
      <c r="AG1185" s="1333">
        <v>0.47</v>
      </c>
      <c r="AH1185" s="1304" t="s">
        <v>166</v>
      </c>
      <c r="AI1185" s="1304" t="s">
        <v>843</v>
      </c>
      <c r="AJ1185" s="1337">
        <v>0.01</v>
      </c>
      <c r="AK1185" s="1312" t="s">
        <v>165</v>
      </c>
      <c r="AL1185" s="1312" t="s">
        <v>179</v>
      </c>
      <c r="AM1185" s="1304" t="s">
        <v>130</v>
      </c>
      <c r="AN1185" s="1313" t="s">
        <v>131</v>
      </c>
      <c r="AO1185" s="1309">
        <v>98.0</v>
      </c>
      <c r="AP1185" s="1333">
        <v>0.743298262941807</v>
      </c>
      <c r="AQ1185" s="1304" t="s">
        <v>166</v>
      </c>
      <c r="AR1185" s="1313" t="s">
        <v>5571</v>
      </c>
      <c r="AS1185" s="1333">
        <v>0.00994269298</v>
      </c>
      <c r="AT1185" s="1304" t="s">
        <v>165</v>
      </c>
      <c r="AU1185" s="1304" t="s">
        <v>179</v>
      </c>
      <c r="AV1185" s="1304" t="s">
        <v>130</v>
      </c>
      <c r="AW1185" s="1314" t="s">
        <v>131</v>
      </c>
      <c r="AX1185" s="1331" t="s">
        <v>136</v>
      </c>
      <c r="AZ1185" s="1313" t="s">
        <v>5572</v>
      </c>
    </row>
    <row r="1186">
      <c r="A1186" s="41">
        <v>1186.0</v>
      </c>
      <c r="B1186" s="65" t="s">
        <v>583</v>
      </c>
      <c r="C1186" s="59" t="s">
        <v>108</v>
      </c>
      <c r="D1186" s="59" t="s">
        <v>138</v>
      </c>
      <c r="E1186" s="362"/>
      <c r="F1186" s="1304" t="s">
        <v>6498</v>
      </c>
      <c r="G1186" s="1305" t="s">
        <v>6513</v>
      </c>
      <c r="H1186" s="1306" t="s">
        <v>5559</v>
      </c>
      <c r="I1186" s="1307">
        <v>45692.0</v>
      </c>
      <c r="J1186" s="1308">
        <v>45692.0</v>
      </c>
      <c r="K1186" s="1304"/>
      <c r="L1186" s="1304" t="s">
        <v>6507</v>
      </c>
      <c r="M1186" s="1306" t="s">
        <v>6500</v>
      </c>
      <c r="N1186" s="1306" t="s">
        <v>6501</v>
      </c>
      <c r="O1186" s="1309">
        <v>1.0</v>
      </c>
      <c r="P1186" s="1306" t="s">
        <v>6502</v>
      </c>
      <c r="Q1186" s="49" t="str">
        <f t="array" ref="Q1186"> if(iserror(MATCH(V1186, 'File Links'!C:C, 0)), "N/A", HYPERLINK(INDEX('File Links'!B:B, MATCH(P1186, 'File Links'!C:C, 0))))</f>
        <v>https://drive.google.com/file/d/12yIYc8a3z4MzJ_-PiAeu39d1ppwYynMI/view?usp=drivesdk</v>
      </c>
      <c r="R1186" s="1306" t="s">
        <v>3646</v>
      </c>
      <c r="S1186" s="156" t="s">
        <v>3647</v>
      </c>
      <c r="T1186" s="777" t="s">
        <v>131</v>
      </c>
      <c r="U1186" s="144" t="s">
        <v>131</v>
      </c>
      <c r="V1186" s="195" t="str">
        <f t="shared" si="57"/>
        <v>10.1098--rsos.231240.pdf</v>
      </c>
      <c r="W1186" s="137" t="s">
        <v>3797</v>
      </c>
      <c r="X1186" s="51" t="str">
        <f t="array" ref="X1186"> if(iserror(MATCH(V1186, 'File Links'!C:C, 0)), "N/A", HYPERLINK(INDEX('File Links'!B:B, MATCH(V1186, 'File Links'!C:C, 0))))</f>
        <v>https://drive.google.com/file/d/17gaf2Zy_ljFfcAEDk5L8GBnTl5i7RGJE/view?usp=drivesdk</v>
      </c>
      <c r="Y1186" s="1304"/>
      <c r="Z1186" s="1306" t="s">
        <v>219</v>
      </c>
      <c r="AA1186" s="1304" t="s">
        <v>1528</v>
      </c>
      <c r="AB1186" s="1304" t="s">
        <v>6503</v>
      </c>
      <c r="AC1186" s="1306" t="s">
        <v>6514</v>
      </c>
      <c r="AD1186" s="1304" t="s">
        <v>6515</v>
      </c>
      <c r="AE1186" s="1333">
        <v>4.0</v>
      </c>
      <c r="AF1186" s="1309">
        <v>110.0</v>
      </c>
      <c r="AG1186" s="1333">
        <v>0.61</v>
      </c>
      <c r="AH1186" s="1304" t="s">
        <v>166</v>
      </c>
      <c r="AI1186" s="1304" t="s">
        <v>843</v>
      </c>
      <c r="AJ1186" s="1337">
        <v>0.001</v>
      </c>
      <c r="AK1186" s="1312" t="s">
        <v>165</v>
      </c>
      <c r="AL1186" s="1312" t="s">
        <v>179</v>
      </c>
      <c r="AM1186" s="1304" t="s">
        <v>130</v>
      </c>
      <c r="AN1186" s="1313" t="s">
        <v>131</v>
      </c>
      <c r="AO1186" s="1309">
        <v>98.0</v>
      </c>
      <c r="AP1186" s="1333">
        <v>0.743298262941807</v>
      </c>
      <c r="AQ1186" s="1304" t="s">
        <v>166</v>
      </c>
      <c r="AR1186" s="1313" t="s">
        <v>5571</v>
      </c>
      <c r="AS1186" s="1333">
        <v>0.00994269298</v>
      </c>
      <c r="AT1186" s="1304" t="s">
        <v>165</v>
      </c>
      <c r="AU1186" s="1304" t="s">
        <v>179</v>
      </c>
      <c r="AV1186" s="1304" t="s">
        <v>130</v>
      </c>
      <c r="AW1186" s="1314" t="s">
        <v>131</v>
      </c>
      <c r="AX1186" s="1331" t="s">
        <v>136</v>
      </c>
      <c r="AZ1186" s="1313" t="s">
        <v>5572</v>
      </c>
    </row>
    <row r="1187">
      <c r="A1187" s="41">
        <v>1187.0</v>
      </c>
      <c r="B1187" s="65" t="s">
        <v>583</v>
      </c>
      <c r="C1187" s="59" t="s">
        <v>108</v>
      </c>
      <c r="D1187" s="59" t="s">
        <v>138</v>
      </c>
      <c r="E1187" s="362"/>
      <c r="F1187" s="1304" t="s">
        <v>6498</v>
      </c>
      <c r="G1187" s="1305" t="s">
        <v>6516</v>
      </c>
      <c r="H1187" s="1306" t="s">
        <v>5559</v>
      </c>
      <c r="I1187" s="1307">
        <v>45692.0</v>
      </c>
      <c r="J1187" s="1308">
        <v>45692.0</v>
      </c>
      <c r="K1187" s="1304"/>
      <c r="L1187" s="1304" t="s">
        <v>6507</v>
      </c>
      <c r="M1187" s="1306" t="s">
        <v>6500</v>
      </c>
      <c r="N1187" s="1306" t="s">
        <v>6501</v>
      </c>
      <c r="O1187" s="1309">
        <v>1.0</v>
      </c>
      <c r="P1187" s="1306" t="s">
        <v>6502</v>
      </c>
      <c r="Q1187" s="49" t="str">
        <f t="array" ref="Q1187"> if(iserror(MATCH(V1187, 'File Links'!C:C, 0)), "N/A", HYPERLINK(INDEX('File Links'!B:B, MATCH(P1187, 'File Links'!C:C, 0))))</f>
        <v>https://drive.google.com/file/d/12yIYc8a3z4MzJ_-PiAeu39d1ppwYynMI/view?usp=drivesdk</v>
      </c>
      <c r="R1187" s="1306" t="s">
        <v>3646</v>
      </c>
      <c r="S1187" s="156" t="s">
        <v>3647</v>
      </c>
      <c r="T1187" s="777" t="s">
        <v>131</v>
      </c>
      <c r="U1187" s="144" t="s">
        <v>131</v>
      </c>
      <c r="V1187" s="195" t="str">
        <f t="shared" si="57"/>
        <v>10.1098--rsos.231240.pdf</v>
      </c>
      <c r="W1187" s="137" t="s">
        <v>3797</v>
      </c>
      <c r="X1187" s="51" t="str">
        <f t="array" ref="X1187"> if(iserror(MATCH(V1187, 'File Links'!C:C, 0)), "N/A", HYPERLINK(INDEX('File Links'!B:B, MATCH(V1187, 'File Links'!C:C, 0))))</f>
        <v>https://drive.google.com/file/d/17gaf2Zy_ljFfcAEDk5L8GBnTl5i7RGJE/view?usp=drivesdk</v>
      </c>
      <c r="Y1187" s="1304"/>
      <c r="Z1187" s="1306" t="s">
        <v>219</v>
      </c>
      <c r="AA1187" s="1304" t="s">
        <v>1528</v>
      </c>
      <c r="AB1187" s="1304" t="s">
        <v>6503</v>
      </c>
      <c r="AC1187" s="1306" t="s">
        <v>6517</v>
      </c>
      <c r="AD1187" s="1304" t="s">
        <v>6518</v>
      </c>
      <c r="AE1187" s="1333">
        <v>4.0</v>
      </c>
      <c r="AF1187" s="1309">
        <v>110.0</v>
      </c>
      <c r="AG1187" s="1333">
        <v>0.64</v>
      </c>
      <c r="AH1187" s="1304" t="s">
        <v>166</v>
      </c>
      <c r="AI1187" s="1304" t="s">
        <v>843</v>
      </c>
      <c r="AJ1187" s="1337">
        <v>0.001</v>
      </c>
      <c r="AK1187" s="1312" t="s">
        <v>128</v>
      </c>
      <c r="AL1187" s="1312" t="s">
        <v>179</v>
      </c>
      <c r="AM1187" s="1304" t="s">
        <v>130</v>
      </c>
      <c r="AN1187" s="1313" t="s">
        <v>131</v>
      </c>
      <c r="AO1187" s="1309">
        <v>98.0</v>
      </c>
      <c r="AP1187" s="1333">
        <v>0.743298262941807</v>
      </c>
      <c r="AQ1187" s="1304" t="s">
        <v>166</v>
      </c>
      <c r="AR1187" s="1313" t="s">
        <v>5571</v>
      </c>
      <c r="AS1187" s="1333">
        <v>0.00994269298</v>
      </c>
      <c r="AT1187" s="1304" t="s">
        <v>165</v>
      </c>
      <c r="AU1187" s="1304" t="s">
        <v>179</v>
      </c>
      <c r="AV1187" s="1304" t="s">
        <v>130</v>
      </c>
      <c r="AW1187" s="1314" t="s">
        <v>131</v>
      </c>
      <c r="AX1187" s="1331" t="s">
        <v>136</v>
      </c>
      <c r="AZ1187" s="1313" t="s">
        <v>5572</v>
      </c>
    </row>
    <row r="1188">
      <c r="A1188" s="41">
        <v>1188.0</v>
      </c>
      <c r="B1188" s="65" t="s">
        <v>583</v>
      </c>
      <c r="C1188" s="59" t="s">
        <v>108</v>
      </c>
      <c r="D1188" s="59" t="s">
        <v>138</v>
      </c>
      <c r="E1188" s="362"/>
      <c r="F1188" s="1304" t="s">
        <v>6498</v>
      </c>
      <c r="G1188" s="1305" t="s">
        <v>6519</v>
      </c>
      <c r="H1188" s="1306" t="s">
        <v>5559</v>
      </c>
      <c r="I1188" s="1307">
        <v>45692.0</v>
      </c>
      <c r="J1188" s="1308">
        <v>45692.0</v>
      </c>
      <c r="K1188" s="1304"/>
      <c r="L1188" s="1304" t="s">
        <v>6507</v>
      </c>
      <c r="M1188" s="1306" t="s">
        <v>6500</v>
      </c>
      <c r="N1188" s="1306" t="s">
        <v>6501</v>
      </c>
      <c r="O1188" s="1309">
        <v>1.0</v>
      </c>
      <c r="P1188" s="1306" t="s">
        <v>6502</v>
      </c>
      <c r="Q1188" s="49" t="str">
        <f t="array" ref="Q1188"> if(iserror(MATCH(V1188, 'File Links'!C:C, 0)), "N/A", HYPERLINK(INDEX('File Links'!B:B, MATCH(P1188, 'File Links'!C:C, 0))))</f>
        <v>https://drive.google.com/file/d/12yIYc8a3z4MzJ_-PiAeu39d1ppwYynMI/view?usp=drivesdk</v>
      </c>
      <c r="R1188" s="1306" t="s">
        <v>3646</v>
      </c>
      <c r="S1188" s="156" t="s">
        <v>3647</v>
      </c>
      <c r="T1188" s="777" t="s">
        <v>131</v>
      </c>
      <c r="U1188" s="144" t="s">
        <v>131</v>
      </c>
      <c r="V1188" s="195" t="str">
        <f t="shared" si="57"/>
        <v>10.1098--rsos.231240.pdf</v>
      </c>
      <c r="W1188" s="137" t="s">
        <v>3797</v>
      </c>
      <c r="X1188" s="51" t="str">
        <f t="array" ref="X1188"> if(iserror(MATCH(V1188, 'File Links'!C:C, 0)), "N/A", HYPERLINK(INDEX('File Links'!B:B, MATCH(V1188, 'File Links'!C:C, 0))))</f>
        <v>https://drive.google.com/file/d/17gaf2Zy_ljFfcAEDk5L8GBnTl5i7RGJE/view?usp=drivesdk</v>
      </c>
      <c r="Y1188" s="1304"/>
      <c r="Z1188" s="1306" t="s">
        <v>219</v>
      </c>
      <c r="AA1188" s="1304" t="s">
        <v>1528</v>
      </c>
      <c r="AB1188" s="1304" t="s">
        <v>6503</v>
      </c>
      <c r="AC1188" s="1306" t="s">
        <v>6520</v>
      </c>
      <c r="AD1188" s="1304" t="s">
        <v>6521</v>
      </c>
      <c r="AE1188" s="1333">
        <v>4.0</v>
      </c>
      <c r="AF1188" s="1309">
        <v>110.0</v>
      </c>
      <c r="AG1188" s="1333">
        <v>-0.88</v>
      </c>
      <c r="AH1188" s="1304" t="s">
        <v>166</v>
      </c>
      <c r="AI1188" s="1304" t="s">
        <v>843</v>
      </c>
      <c r="AJ1188" s="1337">
        <v>0.001</v>
      </c>
      <c r="AK1188" s="1312" t="s">
        <v>128</v>
      </c>
      <c r="AL1188" s="1312" t="s">
        <v>179</v>
      </c>
      <c r="AM1188" s="1304" t="s">
        <v>130</v>
      </c>
      <c r="AN1188" s="1313" t="s">
        <v>131</v>
      </c>
      <c r="AO1188" s="1309">
        <v>98.0</v>
      </c>
      <c r="AP1188" s="1333">
        <v>0.743298262941807</v>
      </c>
      <c r="AQ1188" s="1304" t="s">
        <v>166</v>
      </c>
      <c r="AR1188" s="1313" t="s">
        <v>5571</v>
      </c>
      <c r="AS1188" s="1333">
        <v>0.00994269298</v>
      </c>
      <c r="AT1188" s="1304" t="s">
        <v>165</v>
      </c>
      <c r="AU1188" s="1304" t="s">
        <v>179</v>
      </c>
      <c r="AV1188" s="1304" t="s">
        <v>130</v>
      </c>
      <c r="AW1188" s="1314" t="s">
        <v>131</v>
      </c>
      <c r="AX1188" s="1331" t="s">
        <v>136</v>
      </c>
      <c r="AZ1188" s="1313" t="s">
        <v>5572</v>
      </c>
    </row>
    <row r="1189">
      <c r="A1189" s="41">
        <v>1189.0</v>
      </c>
      <c r="B1189" s="126" t="s">
        <v>145</v>
      </c>
      <c r="C1189" s="59" t="s">
        <v>108</v>
      </c>
      <c r="D1189" s="59" t="s">
        <v>241</v>
      </c>
      <c r="E1189" s="362"/>
      <c r="F1189" s="123" t="s">
        <v>6498</v>
      </c>
      <c r="G1189" s="116" t="s">
        <v>6499</v>
      </c>
      <c r="H1189" s="137" t="s">
        <v>242</v>
      </c>
      <c r="I1189" s="314">
        <v>45667.0</v>
      </c>
      <c r="J1189" s="1317">
        <v>45692.0</v>
      </c>
      <c r="K1189" s="122"/>
      <c r="L1189" s="122" t="s">
        <v>5561</v>
      </c>
      <c r="M1189" s="137" t="s">
        <v>6500</v>
      </c>
      <c r="N1189" s="137" t="s">
        <v>6501</v>
      </c>
      <c r="O1189" s="122"/>
      <c r="P1189" s="137" t="str">
        <f> SUBSTITUTE(lower(N1189), "/", "--") &amp;  ".pdf"</f>
        <v>10.1145--3173574.3174188.pdf</v>
      </c>
      <c r="Q1189" s="49" t="str">
        <f t="array" ref="Q1189"> if(iserror(MATCH(V1189, 'File Links'!C:C, 0)), "N/A", HYPERLINK(INDEX('File Links'!B:B, MATCH(P1189, 'File Links'!C:C, 0))))</f>
        <v>https://drive.google.com/file/d/12yIYc8a3z4MzJ_-PiAeu39d1ppwYynMI/view?usp=drivesdk</v>
      </c>
      <c r="R1189" s="137" t="s">
        <v>6522</v>
      </c>
      <c r="S1189" s="156" t="s">
        <v>3647</v>
      </c>
      <c r="T1189" s="777" t="s">
        <v>131</v>
      </c>
      <c r="U1189" s="144" t="s">
        <v>131</v>
      </c>
      <c r="V1189" s="195" t="str">
        <f t="shared" si="57"/>
        <v>10.1098--rsos.231240.pdf</v>
      </c>
      <c r="W1189" s="137" t="s">
        <v>3797</v>
      </c>
      <c r="X1189" s="51" t="str">
        <f t="array" ref="X1189"> if(iserror(MATCH(V1189, 'File Links'!C:C, 0)), "N/A", HYPERLINK(INDEX('File Links'!B:B, MATCH(V1189, 'File Links'!C:C, 0))))</f>
        <v>https://drive.google.com/file/d/17gaf2Zy_ljFfcAEDk5L8GBnTl5i7RGJE/view?usp=drivesdk</v>
      </c>
      <c r="Y1189" s="122"/>
      <c r="Z1189" s="137" t="s">
        <v>219</v>
      </c>
      <c r="AA1189" s="122"/>
      <c r="AB1189" s="137" t="s">
        <v>6523</v>
      </c>
      <c r="AC1189" s="122"/>
      <c r="AD1189" s="137" t="s">
        <v>6524</v>
      </c>
      <c r="AE1189" s="779">
        <v>614.0</v>
      </c>
      <c r="AF1189" s="779">
        <v>110.0</v>
      </c>
      <c r="AG1189" s="779">
        <v>0.67</v>
      </c>
      <c r="AH1189" s="137" t="s">
        <v>166</v>
      </c>
      <c r="AI1189" s="137" t="s">
        <v>6525</v>
      </c>
      <c r="AJ1189" s="130">
        <v>0.001</v>
      </c>
      <c r="AK1189" s="123" t="s">
        <v>128</v>
      </c>
      <c r="AL1189" s="123" t="s">
        <v>179</v>
      </c>
      <c r="AM1189" s="137" t="s">
        <v>130</v>
      </c>
      <c r="AN1189" s="1313" t="s">
        <v>131</v>
      </c>
      <c r="AO1189" s="779">
        <v>98.0</v>
      </c>
      <c r="AP1189" s="779">
        <v>0.743298262941807</v>
      </c>
      <c r="AQ1189" s="137" t="s">
        <v>166</v>
      </c>
      <c r="AR1189" s="1313" t="s">
        <v>5571</v>
      </c>
      <c r="AS1189" s="1335">
        <v>0.00994269297968994</v>
      </c>
      <c r="AT1189" s="137" t="s">
        <v>165</v>
      </c>
      <c r="AU1189" s="137" t="s">
        <v>179</v>
      </c>
      <c r="AV1189" s="137" t="s">
        <v>130</v>
      </c>
      <c r="AW1189" s="1314" t="s">
        <v>131</v>
      </c>
      <c r="AX1189" s="667" t="s">
        <v>136</v>
      </c>
      <c r="AZ1189" s="1313" t="s">
        <v>5572</v>
      </c>
    </row>
    <row r="1190">
      <c r="A1190" s="41">
        <v>1190.0</v>
      </c>
      <c r="B1190" s="539" t="s">
        <v>583</v>
      </c>
      <c r="C1190" s="59" t="s">
        <v>108</v>
      </c>
      <c r="D1190" s="59" t="s">
        <v>138</v>
      </c>
      <c r="F1190" s="65" t="s">
        <v>6526</v>
      </c>
      <c r="G1190" s="54" t="s">
        <v>6527</v>
      </c>
      <c r="H1190" s="156" t="s">
        <v>5559</v>
      </c>
      <c r="I1190" s="149">
        <v>45692.0</v>
      </c>
      <c r="J1190" s="526">
        <v>45692.0</v>
      </c>
      <c r="K1190" s="65"/>
      <c r="L1190" s="1366" t="s">
        <v>6528</v>
      </c>
      <c r="M1190" s="156" t="s">
        <v>6529</v>
      </c>
      <c r="N1190" s="156" t="s">
        <v>6530</v>
      </c>
      <c r="O1190" s="153">
        <v>2.0</v>
      </c>
      <c r="P1190" s="156" t="s">
        <v>6531</v>
      </c>
      <c r="Q1190" s="49" t="str">
        <f t="array" ref="Q1190"> if(iserror(MATCH(V1190, 'File Links'!C:C, 0)), "N/A", HYPERLINK(INDEX('File Links'!B:B, MATCH(P1190, 'File Links'!C:C, 0))))</f>
        <v>https://drive.google.com/file/d/1St2O5UfYoWXX1n7crfXuAdRXy1k6nYoo/view?usp=drivesdk</v>
      </c>
      <c r="R1190" s="156" t="s">
        <v>3646</v>
      </c>
      <c r="S1190" s="156" t="s">
        <v>3647</v>
      </c>
      <c r="T1190" s="438" t="s">
        <v>131</v>
      </c>
      <c r="U1190" s="126" t="s">
        <v>131</v>
      </c>
      <c r="V1190" s="195" t="str">
        <f t="shared" si="57"/>
        <v>10.1098--rsos.231240.pdf</v>
      </c>
      <c r="W1190" s="156" t="s">
        <v>317</v>
      </c>
      <c r="X1190" s="51" t="str">
        <f t="array" ref="X1190"> if(iserror(MATCH(V1190, 'File Links'!C:C, 0)), "N/A", HYPERLINK(INDEX('File Links'!B:B, MATCH(V1190, 'File Links'!C:C, 0))))</f>
        <v>https://drive.google.com/file/d/17gaf2Zy_ljFfcAEDk5L8GBnTl5i7RGJE/view?usp=drivesdk</v>
      </c>
      <c r="Y1190" s="65"/>
      <c r="Z1190" s="156" t="s">
        <v>1672</v>
      </c>
      <c r="AA1190" s="65" t="s">
        <v>1528</v>
      </c>
      <c r="AB1190" s="65" t="s">
        <v>6532</v>
      </c>
      <c r="AC1190" s="156" t="s">
        <v>6533</v>
      </c>
      <c r="AD1190" s="126" t="s">
        <v>6534</v>
      </c>
      <c r="AE1190" s="126" t="s">
        <v>6535</v>
      </c>
      <c r="AF1190" s="153">
        <v>327.0</v>
      </c>
      <c r="AG1190" s="1362">
        <v>-0.27</v>
      </c>
      <c r="AH1190" s="126" t="s">
        <v>980</v>
      </c>
      <c r="AI1190" s="65" t="s">
        <v>625</v>
      </c>
      <c r="AJ1190" s="334">
        <v>0.01</v>
      </c>
      <c r="AK1190" s="58" t="s">
        <v>128</v>
      </c>
      <c r="AL1190" s="58" t="s">
        <v>179</v>
      </c>
      <c r="AM1190" s="65" t="s">
        <v>130</v>
      </c>
      <c r="AN1190" s="126" t="s">
        <v>131</v>
      </c>
      <c r="AO1190" s="153">
        <v>79.0</v>
      </c>
      <c r="AP1190" s="1362" t="s">
        <v>131</v>
      </c>
      <c r="AQ1190" s="1296"/>
      <c r="AR1190" s="126" t="s">
        <v>5571</v>
      </c>
      <c r="AS1190" s="1296" t="s">
        <v>1528</v>
      </c>
      <c r="AT1190" s="1296" t="s">
        <v>1528</v>
      </c>
      <c r="AU1190" s="1296" t="s">
        <v>179</v>
      </c>
      <c r="AV1190" s="1362" t="s">
        <v>1898</v>
      </c>
      <c r="AW1190" s="1329" t="s">
        <v>131</v>
      </c>
      <c r="AX1190" s="591" t="s">
        <v>136</v>
      </c>
      <c r="AZ1190" s="126" t="s">
        <v>5572</v>
      </c>
    </row>
    <row r="1191">
      <c r="A1191" s="41">
        <v>1191.0</v>
      </c>
      <c r="B1191" s="126" t="s">
        <v>107</v>
      </c>
      <c r="C1191" s="59" t="s">
        <v>108</v>
      </c>
      <c r="D1191" s="59" t="s">
        <v>241</v>
      </c>
      <c r="F1191" s="54" t="s">
        <v>6526</v>
      </c>
      <c r="G1191" s="148" t="s">
        <v>6527</v>
      </c>
      <c r="H1191" s="156" t="s">
        <v>242</v>
      </c>
      <c r="I1191" s="149">
        <v>45667.0</v>
      </c>
      <c r="J1191" s="526">
        <v>45692.0</v>
      </c>
      <c r="K1191" s="156" t="s">
        <v>6536</v>
      </c>
      <c r="L1191" s="65"/>
      <c r="M1191" s="156" t="s">
        <v>6529</v>
      </c>
      <c r="N1191" s="156" t="s">
        <v>6530</v>
      </c>
      <c r="O1191" s="1362">
        <v>2.0</v>
      </c>
      <c r="P1191" s="156" t="str">
        <f> SUBSTITUTE(lower(N1191), "/", "--") &amp;  ".pdf"</f>
        <v>10.1287--mnsc.2019.3362.pdf</v>
      </c>
      <c r="Q1191" s="49" t="str">
        <f t="array" ref="Q1191"> if(iserror(MATCH(V1191, 'File Links'!C:C, 0)), "N/A", HYPERLINK(INDEX('File Links'!B:B, MATCH(P1191, 'File Links'!C:C, 0))))</f>
        <v>https://drive.google.com/file/d/1St2O5UfYoWXX1n7crfXuAdRXy1k6nYoo/view?usp=drivesdk</v>
      </c>
      <c r="R1191" s="156" t="s">
        <v>6537</v>
      </c>
      <c r="S1191" s="156" t="s">
        <v>3647</v>
      </c>
      <c r="T1191" s="438" t="s">
        <v>131</v>
      </c>
      <c r="U1191" s="126" t="s">
        <v>131</v>
      </c>
      <c r="V1191" s="195" t="str">
        <f t="shared" si="57"/>
        <v>10.1098--rsos.231240.pdf</v>
      </c>
      <c r="W1191" s="156" t="s">
        <v>317</v>
      </c>
      <c r="X1191" s="51" t="str">
        <f t="array" ref="X1191"> if(iserror(MATCH(V1191, 'File Links'!C:C, 0)), "N/A", HYPERLINK(INDEX('File Links'!B:B, MATCH(V1191, 'File Links'!C:C, 0))))</f>
        <v>https://drive.google.com/file/d/17gaf2Zy_ljFfcAEDk5L8GBnTl5i7RGJE/view?usp=drivesdk</v>
      </c>
      <c r="Y1191" s="65"/>
      <c r="Z1191" s="156" t="s">
        <v>1672</v>
      </c>
      <c r="AA1191" s="65"/>
      <c r="AB1191" s="156" t="s">
        <v>6538</v>
      </c>
      <c r="AC1191" s="65"/>
      <c r="AD1191" s="156" t="s">
        <v>6539</v>
      </c>
      <c r="AE1191" s="153">
        <v>10.0</v>
      </c>
      <c r="AF1191" s="1056">
        <v>400.0</v>
      </c>
      <c r="AG1191" s="156" t="s">
        <v>6540</v>
      </c>
      <c r="AH1191" s="156" t="s">
        <v>980</v>
      </c>
      <c r="AI1191" s="156" t="s">
        <v>625</v>
      </c>
      <c r="AJ1191" s="706">
        <v>0.01</v>
      </c>
      <c r="AK1191" s="54" t="s">
        <v>128</v>
      </c>
      <c r="AL1191" s="54" t="s">
        <v>179</v>
      </c>
      <c r="AM1191" s="1057" t="s">
        <v>134</v>
      </c>
      <c r="AN1191" s="1096" t="s">
        <v>6541</v>
      </c>
      <c r="AO1191" s="153">
        <v>79.0</v>
      </c>
      <c r="AP1191" s="156" t="s">
        <v>131</v>
      </c>
      <c r="AQ1191" s="65"/>
      <c r="AR1191" s="126" t="s">
        <v>5571</v>
      </c>
      <c r="AS1191" s="156" t="s">
        <v>131</v>
      </c>
      <c r="AT1191" s="65"/>
      <c r="AU1191" s="156" t="s">
        <v>179</v>
      </c>
      <c r="AV1191" s="156" t="s">
        <v>134</v>
      </c>
      <c r="AW1191" s="1329" t="s">
        <v>131</v>
      </c>
      <c r="AX1191" s="677" t="s">
        <v>136</v>
      </c>
      <c r="AZ1191" s="126" t="s">
        <v>5572</v>
      </c>
    </row>
    <row r="1192">
      <c r="A1192" s="41">
        <v>1192.0</v>
      </c>
      <c r="B1192" s="126" t="s">
        <v>145</v>
      </c>
      <c r="C1192" s="59" t="s">
        <v>108</v>
      </c>
      <c r="D1192" s="59" t="s">
        <v>138</v>
      </c>
      <c r="F1192" s="65" t="s">
        <v>6542</v>
      </c>
      <c r="G1192" s="54" t="s">
        <v>6543</v>
      </c>
      <c r="H1192" s="156" t="s">
        <v>5559</v>
      </c>
      <c r="I1192" s="149">
        <v>45692.0</v>
      </c>
      <c r="J1192" s="526">
        <v>45692.0</v>
      </c>
      <c r="K1192" s="65"/>
      <c r="L1192" s="126" t="s">
        <v>6544</v>
      </c>
      <c r="M1192" s="156" t="s">
        <v>6545</v>
      </c>
      <c r="N1192" s="156" t="s">
        <v>6546</v>
      </c>
      <c r="O1192" s="153">
        <v>2.0</v>
      </c>
      <c r="P1192" s="156" t="s">
        <v>6547</v>
      </c>
      <c r="Q1192" s="49" t="str">
        <f t="array" ref="Q1192"> if(iserror(MATCH(V1192, 'File Links'!C:C, 0)), "N/A", HYPERLINK(INDEX('File Links'!B:B, MATCH(P1192, 'File Links'!C:C, 0))))</f>
        <v>https://drive.google.com/file/d/1KanaZYJkrnwi0ABQ2gUtWRMUjQnhMt0r/view?usp=drivesdk</v>
      </c>
      <c r="R1192" s="156" t="s">
        <v>3646</v>
      </c>
      <c r="S1192" s="156" t="s">
        <v>3647</v>
      </c>
      <c r="T1192" s="438" t="s">
        <v>131</v>
      </c>
      <c r="U1192" s="126" t="s">
        <v>131</v>
      </c>
      <c r="V1192" s="195" t="str">
        <f t="shared" si="57"/>
        <v>10.1098--rsos.231240.pdf</v>
      </c>
      <c r="W1192" s="156" t="s">
        <v>3686</v>
      </c>
      <c r="X1192" s="51" t="str">
        <f t="array" ref="X1192"> if(iserror(MATCH(V1192, 'File Links'!C:C, 0)), "N/A", HYPERLINK(INDEX('File Links'!B:B, MATCH(V1192, 'File Links'!C:C, 0))))</f>
        <v>https://drive.google.com/file/d/17gaf2Zy_ljFfcAEDk5L8GBnTl5i7RGJE/view?usp=drivesdk</v>
      </c>
      <c r="Y1192" s="65"/>
      <c r="Z1192" s="156" t="s">
        <v>141</v>
      </c>
      <c r="AA1192" s="371" t="s">
        <v>131</v>
      </c>
      <c r="AB1192" s="156" t="s">
        <v>6548</v>
      </c>
      <c r="AC1192" s="156" t="s">
        <v>6549</v>
      </c>
      <c r="AD1192" s="126" t="s">
        <v>6550</v>
      </c>
      <c r="AE1192" s="1364" t="s">
        <v>6551</v>
      </c>
      <c r="AF1192" s="153">
        <v>94.0</v>
      </c>
      <c r="AG1192" s="1362">
        <v>0.03</v>
      </c>
      <c r="AH1192" s="1362" t="s">
        <v>980</v>
      </c>
      <c r="AI1192" s="1362" t="s">
        <v>6551</v>
      </c>
      <c r="AJ1192" s="1362">
        <v>0.05</v>
      </c>
      <c r="AK1192" s="1362" t="s">
        <v>128</v>
      </c>
      <c r="AL1192" s="58" t="s">
        <v>179</v>
      </c>
      <c r="AM1192" s="1362" t="s">
        <v>134</v>
      </c>
      <c r="AN1192" s="126" t="s">
        <v>131</v>
      </c>
      <c r="AO1192" s="153">
        <v>24.0</v>
      </c>
      <c r="AP1192" s="1362">
        <v>0.0548801</v>
      </c>
      <c r="AQ1192" s="1362" t="s">
        <v>166</v>
      </c>
      <c r="AR1192" s="126" t="s">
        <v>5571</v>
      </c>
      <c r="AS1192" s="126" t="s">
        <v>131</v>
      </c>
      <c r="AT1192" s="216" t="s">
        <v>131</v>
      </c>
      <c r="AU1192" s="65" t="s">
        <v>179</v>
      </c>
      <c r="AV1192" s="1362" t="s">
        <v>134</v>
      </c>
      <c r="AW1192" s="120" t="s">
        <v>6552</v>
      </c>
      <c r="AX1192" s="591" t="s">
        <v>144</v>
      </c>
      <c r="AZ1192" s="126" t="s">
        <v>5572</v>
      </c>
    </row>
    <row r="1193">
      <c r="A1193" s="41">
        <v>1193.0</v>
      </c>
      <c r="B1193" s="126" t="s">
        <v>107</v>
      </c>
      <c r="C1193" s="59" t="s">
        <v>108</v>
      </c>
      <c r="D1193" s="59" t="s">
        <v>241</v>
      </c>
      <c r="F1193" s="54" t="s">
        <v>6542</v>
      </c>
      <c r="G1193" s="148" t="s">
        <v>6543</v>
      </c>
      <c r="H1193" s="156" t="s">
        <v>242</v>
      </c>
      <c r="I1193" s="149">
        <v>45667.0</v>
      </c>
      <c r="J1193" s="526">
        <v>45692.0</v>
      </c>
      <c r="K1193" s="156" t="s">
        <v>6553</v>
      </c>
      <c r="L1193" s="65" t="s">
        <v>5561</v>
      </c>
      <c r="M1193" s="156" t="s">
        <v>6545</v>
      </c>
      <c r="N1193" s="156" t="s">
        <v>6546</v>
      </c>
      <c r="O1193" s="320">
        <v>2.0</v>
      </c>
      <c r="P1193" s="156" t="str">
        <f t="shared" ref="P1193:P1197" si="75"> SUBSTITUTE(lower(N1193), "/", "--") &amp;  ".pdf"</f>
        <v>10.1177--0956797618806296.pdf</v>
      </c>
      <c r="Q1193" s="49" t="str">
        <f t="array" ref="Q1193"> if(iserror(MATCH(V1193, 'File Links'!C:C, 0)), "N/A", HYPERLINK(INDEX('File Links'!B:B, MATCH(P1193, 'File Links'!C:C, 0))))</f>
        <v>https://drive.google.com/file/d/1KanaZYJkrnwi0ABQ2gUtWRMUjQnhMt0r/view?usp=drivesdk</v>
      </c>
      <c r="R1193" s="156" t="s">
        <v>6554</v>
      </c>
      <c r="S1193" s="156" t="s">
        <v>3647</v>
      </c>
      <c r="T1193" s="438" t="s">
        <v>131</v>
      </c>
      <c r="U1193" s="126" t="s">
        <v>131</v>
      </c>
      <c r="V1193" s="195" t="str">
        <f t="shared" si="57"/>
        <v>10.1098--rsos.231240.pdf</v>
      </c>
      <c r="W1193" s="156" t="s">
        <v>3686</v>
      </c>
      <c r="X1193" s="51" t="str">
        <f t="array" ref="X1193"> if(iserror(MATCH(V1193, 'File Links'!C:C, 0)), "N/A", HYPERLINK(INDEX('File Links'!B:B, MATCH(V1193, 'File Links'!C:C, 0))))</f>
        <v>https://drive.google.com/file/d/17gaf2Zy_ljFfcAEDk5L8GBnTl5i7RGJE/view?usp=drivesdk</v>
      </c>
      <c r="Y1193" s="65"/>
      <c r="Z1193" s="156" t="s">
        <v>141</v>
      </c>
      <c r="AA1193" s="65"/>
      <c r="AB1193" s="65"/>
      <c r="AC1193" s="65"/>
      <c r="AD1193" s="156" t="s">
        <v>6555</v>
      </c>
      <c r="AE1193" s="153">
        <v>1927.0</v>
      </c>
      <c r="AF1193" s="153">
        <v>94.0</v>
      </c>
      <c r="AG1193" s="153">
        <v>0.03</v>
      </c>
      <c r="AH1193" s="156" t="s">
        <v>980</v>
      </c>
      <c r="AI1193" s="156" t="s">
        <v>131</v>
      </c>
      <c r="AJ1193" s="336" t="s">
        <v>131</v>
      </c>
      <c r="AK1193" s="58"/>
      <c r="AL1193" s="54" t="s">
        <v>179</v>
      </c>
      <c r="AM1193" s="156" t="s">
        <v>134</v>
      </c>
      <c r="AN1193" s="126" t="s">
        <v>131</v>
      </c>
      <c r="AO1193" s="153">
        <v>24.0</v>
      </c>
      <c r="AP1193" s="156" t="s">
        <v>131</v>
      </c>
      <c r="AQ1193" s="65"/>
      <c r="AR1193" s="126" t="s">
        <v>5571</v>
      </c>
      <c r="AS1193" s="156" t="s">
        <v>131</v>
      </c>
      <c r="AT1193" s="65"/>
      <c r="AU1193" s="156" t="s">
        <v>179</v>
      </c>
      <c r="AV1193" s="156" t="s">
        <v>134</v>
      </c>
      <c r="AW1193" s="1329" t="s">
        <v>131</v>
      </c>
      <c r="AX1193" s="677" t="s">
        <v>144</v>
      </c>
      <c r="AZ1193" s="126" t="s">
        <v>5572</v>
      </c>
    </row>
    <row r="1194">
      <c r="A1194" s="41">
        <v>1194.0</v>
      </c>
      <c r="B1194" s="126" t="s">
        <v>145</v>
      </c>
      <c r="C1194" s="59" t="s">
        <v>108</v>
      </c>
      <c r="D1194" s="59" t="s">
        <v>138</v>
      </c>
      <c r="F1194" s="65" t="s">
        <v>6556</v>
      </c>
      <c r="G1194" s="54" t="s">
        <v>6557</v>
      </c>
      <c r="H1194" s="156" t="s">
        <v>5559</v>
      </c>
      <c r="I1194" s="149">
        <v>45692.0</v>
      </c>
      <c r="J1194" s="526">
        <v>45692.0</v>
      </c>
      <c r="K1194" s="65" t="s">
        <v>6558</v>
      </c>
      <c r="L1194" s="126" t="s">
        <v>6559</v>
      </c>
      <c r="M1194" s="156" t="s">
        <v>6560</v>
      </c>
      <c r="N1194" s="65" t="s">
        <v>6561</v>
      </c>
      <c r="O1194" s="153">
        <v>4.0</v>
      </c>
      <c r="P1194" s="156" t="str">
        <f t="shared" si="75"/>
        <v>10.1037--0022-3514.95.1.76.pdf</v>
      </c>
      <c r="Q1194" s="49" t="str">
        <f t="array" ref="Q1194"> if(iserror(MATCH(V1194, 'File Links'!C:C, 0)), "N/A", HYPERLINK(INDEX('File Links'!B:B, MATCH(P1194, 'File Links'!C:C, 0))))</f>
        <v>https://drive.google.com/file/d/14KU35or-OxTWODmUyKwRoB3qwuTQZobO/view?usp=drivesdk</v>
      </c>
      <c r="R1194" s="156" t="s">
        <v>3646</v>
      </c>
      <c r="S1194" s="156" t="s">
        <v>3647</v>
      </c>
      <c r="T1194" s="438" t="s">
        <v>131</v>
      </c>
      <c r="U1194" s="126" t="s">
        <v>131</v>
      </c>
      <c r="V1194" s="195" t="str">
        <f t="shared" si="57"/>
        <v>10.1098--rsos.231240.pdf</v>
      </c>
      <c r="W1194" s="156" t="s">
        <v>317</v>
      </c>
      <c r="X1194" s="51" t="str">
        <f t="array" ref="X1194"> if(iserror(MATCH(V1194, 'File Links'!C:C, 0)), "N/A", HYPERLINK(INDEX('File Links'!B:B, MATCH(V1194, 'File Links'!C:C, 0))))</f>
        <v>https://drive.google.com/file/d/17gaf2Zy_ljFfcAEDk5L8GBnTl5i7RGJE/view?usp=drivesdk</v>
      </c>
      <c r="Y1194" s="65"/>
      <c r="Z1194" s="156" t="s">
        <v>219</v>
      </c>
      <c r="AA1194" s="1362" t="s">
        <v>6562</v>
      </c>
      <c r="AB1194" s="65" t="s">
        <v>6563</v>
      </c>
      <c r="AC1194" s="156" t="s">
        <v>6564</v>
      </c>
      <c r="AD1194" s="1362" t="s">
        <v>6565</v>
      </c>
      <c r="AE1194" s="1362" t="s">
        <v>6566</v>
      </c>
      <c r="AF1194" s="153">
        <v>67.0</v>
      </c>
      <c r="AG1194" s="498">
        <v>-1.158</v>
      </c>
      <c r="AH1194" s="65" t="s">
        <v>166</v>
      </c>
      <c r="AI1194" s="1296" t="s">
        <v>6567</v>
      </c>
      <c r="AJ1194" s="1364">
        <v>0.05</v>
      </c>
      <c r="AK1194" s="126" t="s">
        <v>128</v>
      </c>
      <c r="AL1194" s="58" t="s">
        <v>179</v>
      </c>
      <c r="AM1194" s="65" t="s">
        <v>130</v>
      </c>
      <c r="AN1194" s="126" t="s">
        <v>131</v>
      </c>
      <c r="AO1194" s="153">
        <v>75.0</v>
      </c>
      <c r="AP1194" s="333">
        <v>-0.138751917564751</v>
      </c>
      <c r="AQ1194" s="65" t="s">
        <v>166</v>
      </c>
      <c r="AR1194" s="126" t="s">
        <v>5571</v>
      </c>
      <c r="AS1194" s="333">
        <v>0.236503257258824</v>
      </c>
      <c r="AT1194" s="65" t="s">
        <v>165</v>
      </c>
      <c r="AU1194" s="65" t="s">
        <v>179</v>
      </c>
      <c r="AV1194" s="65" t="s">
        <v>130</v>
      </c>
      <c r="AW1194" s="1329" t="s">
        <v>131</v>
      </c>
      <c r="AX1194" s="591" t="s">
        <v>136</v>
      </c>
      <c r="AZ1194" s="126" t="s">
        <v>6451</v>
      </c>
    </row>
    <row r="1195">
      <c r="A1195" s="41">
        <v>1195.0</v>
      </c>
      <c r="B1195" s="126" t="s">
        <v>107</v>
      </c>
      <c r="C1195" s="59" t="s">
        <v>108</v>
      </c>
      <c r="D1195" s="59" t="s">
        <v>241</v>
      </c>
      <c r="F1195" s="54" t="s">
        <v>6556</v>
      </c>
      <c r="G1195" s="148" t="s">
        <v>6557</v>
      </c>
      <c r="H1195" s="156" t="s">
        <v>242</v>
      </c>
      <c r="I1195" s="149">
        <v>45667.0</v>
      </c>
      <c r="J1195" s="526">
        <v>45692.0</v>
      </c>
      <c r="K1195" s="156" t="s">
        <v>6568</v>
      </c>
      <c r="L1195" s="65"/>
      <c r="M1195" s="156" t="s">
        <v>6560</v>
      </c>
      <c r="N1195" s="156" t="s">
        <v>6561</v>
      </c>
      <c r="O1195" s="320">
        <v>4.0</v>
      </c>
      <c r="P1195" s="156" t="str">
        <f t="shared" si="75"/>
        <v>10.1037--0022-3514.95.1.76.pdf</v>
      </c>
      <c r="Q1195" s="49" t="str">
        <f t="array" ref="Q1195"> if(iserror(MATCH(V1195, 'File Links'!C:C, 0)), "N/A", HYPERLINK(INDEX('File Links'!B:B, MATCH(P1195, 'File Links'!C:C, 0))))</f>
        <v>https://drive.google.com/file/d/14KU35or-OxTWODmUyKwRoB3qwuTQZobO/view?usp=drivesdk</v>
      </c>
      <c r="R1195" s="156" t="s">
        <v>6569</v>
      </c>
      <c r="S1195" s="156" t="s">
        <v>3647</v>
      </c>
      <c r="T1195" s="438" t="s">
        <v>131</v>
      </c>
      <c r="U1195" s="126" t="s">
        <v>131</v>
      </c>
      <c r="V1195" s="195" t="str">
        <f t="shared" si="57"/>
        <v>10.1098--rsos.231240.pdf</v>
      </c>
      <c r="W1195" s="156" t="s">
        <v>317</v>
      </c>
      <c r="X1195" s="51" t="str">
        <f t="array" ref="X1195"> if(iserror(MATCH(V1195, 'File Links'!C:C, 0)), "N/A", HYPERLINK(INDEX('File Links'!B:B, MATCH(V1195, 'File Links'!C:C, 0))))</f>
        <v>https://drive.google.com/file/d/17gaf2Zy_ljFfcAEDk5L8GBnTl5i7RGJE/view?usp=drivesdk</v>
      </c>
      <c r="Y1195" s="65"/>
      <c r="Z1195" s="156" t="s">
        <v>219</v>
      </c>
      <c r="AA1195" s="65"/>
      <c r="AB1195" s="156" t="s">
        <v>5734</v>
      </c>
      <c r="AC1195" s="65"/>
      <c r="AD1195" s="156" t="s">
        <v>6570</v>
      </c>
      <c r="AE1195" s="153">
        <v>86.0</v>
      </c>
      <c r="AF1195" s="153">
        <v>67.0</v>
      </c>
      <c r="AG1195" s="153">
        <v>1.15827489621123</v>
      </c>
      <c r="AH1195" s="156" t="s">
        <v>166</v>
      </c>
      <c r="AI1195" s="156" t="s">
        <v>6571</v>
      </c>
      <c r="AJ1195" s="1367">
        <v>9.45528557450159E-14</v>
      </c>
      <c r="AK1195" s="54" t="s">
        <v>165</v>
      </c>
      <c r="AL1195" s="54" t="s">
        <v>179</v>
      </c>
      <c r="AM1195" s="156" t="s">
        <v>1898</v>
      </c>
      <c r="AN1195" s="126" t="s">
        <v>131</v>
      </c>
      <c r="AO1195" s="153">
        <v>75.0</v>
      </c>
      <c r="AP1195" s="153">
        <v>-0.138751917564751</v>
      </c>
      <c r="AQ1195" s="156" t="s">
        <v>166</v>
      </c>
      <c r="AR1195" s="126" t="s">
        <v>5571</v>
      </c>
      <c r="AS1195" s="153">
        <v>0.236503257258824</v>
      </c>
      <c r="AT1195" s="156" t="s">
        <v>165</v>
      </c>
      <c r="AU1195" s="156" t="s">
        <v>179</v>
      </c>
      <c r="AV1195" s="1057" t="s">
        <v>1898</v>
      </c>
      <c r="AW1195" s="1329" t="s">
        <v>131</v>
      </c>
      <c r="AX1195" s="677" t="s">
        <v>136</v>
      </c>
      <c r="AZ1195" s="126" t="s">
        <v>6451</v>
      </c>
      <c r="BG1195" s="59" t="s">
        <v>134</v>
      </c>
      <c r="BH1195" s="94" t="s">
        <v>293</v>
      </c>
      <c r="BI1195" s="59" t="s">
        <v>136</v>
      </c>
    </row>
    <row r="1196">
      <c r="A1196" s="41">
        <v>1196.0</v>
      </c>
      <c r="B1196" s="126" t="s">
        <v>145</v>
      </c>
      <c r="C1196" s="59" t="s">
        <v>108</v>
      </c>
      <c r="D1196" s="59" t="s">
        <v>138</v>
      </c>
      <c r="F1196" s="65" t="s">
        <v>6572</v>
      </c>
      <c r="G1196" s="54" t="s">
        <v>6573</v>
      </c>
      <c r="H1196" s="156" t="s">
        <v>5559</v>
      </c>
      <c r="I1196" s="149">
        <v>45692.0</v>
      </c>
      <c r="J1196" s="1368">
        <v>45695.0</v>
      </c>
      <c r="K1196" s="65"/>
      <c r="L1196" s="126" t="s">
        <v>6574</v>
      </c>
      <c r="M1196" s="156" t="s">
        <v>6575</v>
      </c>
      <c r="N1196" s="65" t="s">
        <v>6576</v>
      </c>
      <c r="O1196" s="153">
        <v>6.0</v>
      </c>
      <c r="P1196" s="156" t="str">
        <f t="shared" si="75"/>
        <v>10.1037--0278-7393.34.1.146.pdf</v>
      </c>
      <c r="Q1196" s="49" t="str">
        <f t="array" ref="Q1196"> if(iserror(MATCH(V1196, 'File Links'!C:C, 0)), "N/A", HYPERLINK(INDEX('File Links'!B:B, MATCH(P1196, 'File Links'!C:C, 0))))</f>
        <v>https://drive.google.com/file/d/1qNTfBnw7SpCi3blakzyKQFcGYOfOx3la/view?usp=drivesdk</v>
      </c>
      <c r="R1196" s="156" t="s">
        <v>3646</v>
      </c>
      <c r="S1196" s="156" t="s">
        <v>3647</v>
      </c>
      <c r="T1196" s="438" t="s">
        <v>131</v>
      </c>
      <c r="U1196" s="126" t="s">
        <v>131</v>
      </c>
      <c r="V1196" s="195" t="str">
        <f t="shared" si="57"/>
        <v>10.1098--rsos.231240.pdf</v>
      </c>
      <c r="W1196" s="156" t="s">
        <v>3658</v>
      </c>
      <c r="X1196" s="51" t="str">
        <f t="array" ref="X1196"> if(iserror(MATCH(V1196, 'File Links'!C:C, 0)), "N/A", HYPERLINK(INDEX('File Links'!B:B, MATCH(V1196, 'File Links'!C:C, 0))))</f>
        <v>https://drive.google.com/file/d/17gaf2Zy_ljFfcAEDk5L8GBnTl5i7RGJE/view?usp=drivesdk</v>
      </c>
      <c r="Y1196" s="65"/>
      <c r="Z1196" s="156" t="s">
        <v>141</v>
      </c>
      <c r="AA1196" s="1362" t="s">
        <v>6577</v>
      </c>
      <c r="AB1196" s="65" t="s">
        <v>6578</v>
      </c>
      <c r="AC1196" s="156" t="s">
        <v>6579</v>
      </c>
      <c r="AD1196" s="126" t="s">
        <v>6580</v>
      </c>
      <c r="AE1196" s="126" t="s">
        <v>6581</v>
      </c>
      <c r="AF1196" s="153">
        <v>24.0</v>
      </c>
      <c r="AG1196" s="1364">
        <v>7.212</v>
      </c>
      <c r="AH1196" s="1362" t="s">
        <v>715</v>
      </c>
      <c r="AI1196" s="1296" t="s">
        <v>6582</v>
      </c>
      <c r="AJ1196" s="1369">
        <v>0.001</v>
      </c>
      <c r="AK1196" s="58" t="s">
        <v>128</v>
      </c>
      <c r="AL1196" s="1362" t="s">
        <v>179</v>
      </c>
      <c r="AM1196" s="65" t="s">
        <v>134</v>
      </c>
      <c r="AN1196" s="126" t="s">
        <v>131</v>
      </c>
      <c r="AO1196" s="153">
        <v>35.0</v>
      </c>
      <c r="AP1196" s="333">
        <v>0.850778190489016</v>
      </c>
      <c r="AQ1196" s="65" t="s">
        <v>166</v>
      </c>
      <c r="AR1196" s="126" t="s">
        <v>5571</v>
      </c>
      <c r="AS1196" s="1300">
        <v>1.93056826666521E-5</v>
      </c>
      <c r="AT1196" s="65" t="s">
        <v>165</v>
      </c>
      <c r="AU1196" s="1362" t="s">
        <v>211</v>
      </c>
      <c r="AV1196" s="1362" t="s">
        <v>134</v>
      </c>
      <c r="AW1196" s="1329" t="s">
        <v>131</v>
      </c>
      <c r="AX1196" s="591" t="s">
        <v>136</v>
      </c>
      <c r="AZ1196" s="126" t="s">
        <v>6451</v>
      </c>
    </row>
    <row r="1197">
      <c r="A1197" s="41">
        <v>1197.0</v>
      </c>
      <c r="B1197" s="126" t="s">
        <v>107</v>
      </c>
      <c r="C1197" s="59" t="s">
        <v>108</v>
      </c>
      <c r="D1197" s="59" t="s">
        <v>241</v>
      </c>
      <c r="F1197" s="54" t="s">
        <v>6572</v>
      </c>
      <c r="G1197" s="148" t="s">
        <v>6573</v>
      </c>
      <c r="H1197" s="156" t="s">
        <v>242</v>
      </c>
      <c r="I1197" s="149">
        <v>45667.0</v>
      </c>
      <c r="J1197" s="526">
        <v>45692.0</v>
      </c>
      <c r="K1197" s="65"/>
      <c r="L1197" s="65"/>
      <c r="M1197" s="156" t="s">
        <v>6575</v>
      </c>
      <c r="N1197" s="156" t="s">
        <v>6576</v>
      </c>
      <c r="O1197" s="1362">
        <v>6.0</v>
      </c>
      <c r="P1197" s="156" t="str">
        <f t="shared" si="75"/>
        <v>10.1037--0278-7393.34.1.146.pdf</v>
      </c>
      <c r="Q1197" s="49" t="str">
        <f t="array" ref="Q1197"> if(iserror(MATCH(V1197, 'File Links'!C:C, 0)), "N/A", HYPERLINK(INDEX('File Links'!B:B, MATCH(P1197, 'File Links'!C:C, 0))))</f>
        <v>https://drive.google.com/file/d/1qNTfBnw7SpCi3blakzyKQFcGYOfOx3la/view?usp=drivesdk</v>
      </c>
      <c r="R1197" s="156" t="s">
        <v>6583</v>
      </c>
      <c r="S1197" s="156" t="s">
        <v>3647</v>
      </c>
      <c r="T1197" s="438" t="s">
        <v>131</v>
      </c>
      <c r="U1197" s="126" t="s">
        <v>131</v>
      </c>
      <c r="V1197" s="195" t="str">
        <f t="shared" si="57"/>
        <v>10.1098--rsos.231240.pdf</v>
      </c>
      <c r="W1197" s="156" t="s">
        <v>3658</v>
      </c>
      <c r="X1197" s="51" t="str">
        <f t="array" ref="X1197"> if(iserror(MATCH(V1197, 'File Links'!C:C, 0)), "N/A", HYPERLINK(INDEX('File Links'!B:B, MATCH(V1197, 'File Links'!C:C, 0))))</f>
        <v>https://drive.google.com/file/d/17gaf2Zy_ljFfcAEDk5L8GBnTl5i7RGJE/view?usp=drivesdk</v>
      </c>
      <c r="Y1197" s="65"/>
      <c r="Z1197" s="156" t="s">
        <v>141</v>
      </c>
      <c r="AA1197" s="65"/>
      <c r="AB1197" s="1057" t="s">
        <v>6584</v>
      </c>
      <c r="AC1197" s="65"/>
      <c r="AD1197" s="156" t="s">
        <v>6585</v>
      </c>
      <c r="AE1197" s="153">
        <v>162.0</v>
      </c>
      <c r="AF1197" s="153">
        <v>24.0</v>
      </c>
      <c r="AG1197" s="158" t="s">
        <v>6586</v>
      </c>
      <c r="AH1197" s="116" t="s">
        <v>127</v>
      </c>
      <c r="AI1197" s="156" t="s">
        <v>6581</v>
      </c>
      <c r="AJ1197" s="706">
        <v>0.001</v>
      </c>
      <c r="AK1197" s="54" t="s">
        <v>128</v>
      </c>
      <c r="AL1197" s="54" t="s">
        <v>179</v>
      </c>
      <c r="AM1197" s="156" t="s">
        <v>134</v>
      </c>
      <c r="AN1197" s="126" t="s">
        <v>131</v>
      </c>
      <c r="AO1197" s="153">
        <v>35.0</v>
      </c>
      <c r="AP1197" s="153">
        <v>0.850778190489016</v>
      </c>
      <c r="AQ1197" s="156" t="s">
        <v>166</v>
      </c>
      <c r="AR1197" s="126" t="s">
        <v>5571</v>
      </c>
      <c r="AS1197" s="1058">
        <v>1.93056826666521E-5</v>
      </c>
      <c r="AT1197" s="156" t="s">
        <v>165</v>
      </c>
      <c r="AU1197" s="156" t="s">
        <v>179</v>
      </c>
      <c r="AV1197" s="156" t="s">
        <v>134</v>
      </c>
      <c r="AW1197" s="1329" t="s">
        <v>131</v>
      </c>
      <c r="AX1197" s="677" t="s">
        <v>136</v>
      </c>
      <c r="AZ1197" s="126" t="s">
        <v>6451</v>
      </c>
    </row>
    <row r="1198">
      <c r="A1198" s="41">
        <v>1198.0</v>
      </c>
      <c r="B1198" s="42" t="s">
        <v>145</v>
      </c>
      <c r="C1198" s="42" t="s">
        <v>108</v>
      </c>
      <c r="D1198" s="59" t="s">
        <v>138</v>
      </c>
      <c r="F1198" s="43" t="s">
        <v>6587</v>
      </c>
      <c r="G1198" s="44" t="s">
        <v>6588</v>
      </c>
      <c r="H1198" s="44" t="s">
        <v>184</v>
      </c>
      <c r="I1198" s="45">
        <v>45641.0</v>
      </c>
      <c r="J1198" s="992">
        <v>45673.0</v>
      </c>
      <c r="K1198" s="46" t="s">
        <v>113</v>
      </c>
      <c r="L1198" s="209" t="s">
        <v>6589</v>
      </c>
      <c r="M1198" s="44" t="s">
        <v>114</v>
      </c>
      <c r="N1198" s="44" t="s">
        <v>115</v>
      </c>
      <c r="O1198" s="47">
        <v>1.0</v>
      </c>
      <c r="P1198" s="48" t="s">
        <v>116</v>
      </c>
      <c r="Q1198" s="49" t="str">
        <f t="array" ref="Q1198"> if(iserror(MATCH(V1198, 'File Links'!C:C, 0)), "N/A", HYPERLINK(INDEX('File Links'!B:B, MATCH(P1198, 'File Links'!C:C, 0))))</f>
        <v>https://drive.google.com/file/d/140WKvPe6h8fNM79ffoPo5RX6uP0flGT4/view?usp=drivesdk</v>
      </c>
      <c r="R1198" s="865" t="s">
        <v>6590</v>
      </c>
      <c r="S1198" s="340" t="s">
        <v>6591</v>
      </c>
      <c r="T1198" s="46"/>
      <c r="U1198" s="50">
        <v>1.0</v>
      </c>
      <c r="V1198" s="195" t="str">
        <f t="shared" si="57"/>
        <v>10.1177--0956797617719730.pdf</v>
      </c>
      <c r="W1198" s="53" t="s">
        <v>202</v>
      </c>
      <c r="X1198" s="51" t="str">
        <f t="array" ref="X1198"> if(iserror(MATCH(V1198, 'File Links'!C:C, 0)), "N/A", HYPERLINK(INDEX('File Links'!B:B, MATCH(V1198, 'File Links'!C:C, 0))))</f>
        <v>https://drive.google.com/file/d/1_tN97pqKnfamGcztRzQHZ9UG0A8Hag_0/view?usp=drivesdk</v>
      </c>
      <c r="Y1198" s="46"/>
      <c r="Z1198" s="42" t="s">
        <v>141</v>
      </c>
      <c r="AA1198" s="46"/>
      <c r="AB1198" s="46" t="s">
        <v>122</v>
      </c>
      <c r="AC1198" s="46"/>
      <c r="AD1198" s="53" t="s">
        <v>6592</v>
      </c>
      <c r="AE1198" s="53">
        <v>5.0</v>
      </c>
      <c r="AF1198" s="47">
        <v>12.0</v>
      </c>
      <c r="AG1198" s="52" t="s">
        <v>126</v>
      </c>
      <c r="AH1198" s="96" t="s">
        <v>127</v>
      </c>
      <c r="AI1198" s="53">
        <v>5.0</v>
      </c>
      <c r="AJ1198" s="47">
        <v>0.01</v>
      </c>
      <c r="AK1198" s="43" t="s">
        <v>128</v>
      </c>
      <c r="AL1198" s="54" t="s">
        <v>179</v>
      </c>
      <c r="AM1198" s="53" t="s">
        <v>134</v>
      </c>
      <c r="AN1198" s="53" t="s">
        <v>131</v>
      </c>
      <c r="AO1198" s="47">
        <v>39.0</v>
      </c>
      <c r="AP1198" s="52">
        <v>0.313</v>
      </c>
      <c r="AQ1198" s="46" t="s">
        <v>132</v>
      </c>
      <c r="AR1198" s="46" t="s">
        <v>133</v>
      </c>
      <c r="AS1198" s="52">
        <v>0.004</v>
      </c>
      <c r="AT1198" s="404" t="s">
        <v>165</v>
      </c>
      <c r="AU1198" s="404" t="s">
        <v>179</v>
      </c>
      <c r="AV1198" s="43" t="s">
        <v>134</v>
      </c>
      <c r="AW1198" s="56" t="s">
        <v>6593</v>
      </c>
      <c r="AX1198" s="57" t="s">
        <v>136</v>
      </c>
      <c r="AY1198" s="126" t="s">
        <v>6589</v>
      </c>
      <c r="AZ1198" s="59" t="s">
        <v>137</v>
      </c>
    </row>
    <row r="1199">
      <c r="A1199" s="41">
        <v>1199.0</v>
      </c>
      <c r="B1199" s="59" t="s">
        <v>107</v>
      </c>
      <c r="C1199" s="59" t="s">
        <v>108</v>
      </c>
      <c r="D1199" s="59" t="s">
        <v>188</v>
      </c>
      <c r="F1199" s="59" t="s">
        <v>6587</v>
      </c>
      <c r="G1199" s="42" t="s">
        <v>6588</v>
      </c>
      <c r="H1199" s="42" t="s">
        <v>189</v>
      </c>
      <c r="I1199" s="61">
        <v>45644.0</v>
      </c>
      <c r="J1199" s="992">
        <v>45673.0</v>
      </c>
      <c r="K1199" s="62"/>
      <c r="L1199" s="62"/>
      <c r="M1199" s="42" t="s">
        <v>114</v>
      </c>
      <c r="N1199" s="42" t="s">
        <v>115</v>
      </c>
      <c r="O1199" s="42">
        <v>1.0</v>
      </c>
      <c r="P1199" s="63" t="s">
        <v>116</v>
      </c>
      <c r="Q1199" s="105" t="str">
        <f t="array" ref="Q1199"> if(iserror(MATCH(V1199, 'File Links'!C:C, 0)), "N/A", HYPERLINK(INDEX('File Links'!B:B, MATCH(P1199, 'File Links'!C:C, 0))))</f>
        <v>N/A</v>
      </c>
      <c r="R1199" s="42" t="s">
        <v>6594</v>
      </c>
      <c r="S1199" s="42" t="s">
        <v>6595</v>
      </c>
      <c r="T1199" s="62"/>
      <c r="U1199" s="63"/>
      <c r="V1199" s="42" t="s">
        <v>6596</v>
      </c>
      <c r="W1199" s="62"/>
      <c r="X1199" s="46" t="str">
        <f t="array" ref="X1199"> if(iserror(MATCH(V1199, 'File Links'!C:C, 0)), "N/A", HYPERLINK(INDEX('File Links'!B:B, MATCH(V1199, 'File Links'!C:C, 0))))</f>
        <v>N/A</v>
      </c>
      <c r="Y1199" s="42" t="s">
        <v>140</v>
      </c>
      <c r="Z1199" s="42" t="s">
        <v>141</v>
      </c>
      <c r="AA1199" s="62"/>
      <c r="AB1199" s="42" t="s">
        <v>142</v>
      </c>
      <c r="AC1199" s="62"/>
      <c r="AD1199" s="62"/>
      <c r="AE1199" s="62"/>
      <c r="AF1199" s="62"/>
      <c r="AG1199" s="62"/>
      <c r="AH1199" s="42"/>
      <c r="AI1199" s="62"/>
      <c r="AJ1199" s="62"/>
      <c r="AK1199" s="64"/>
      <c r="AL1199" s="62"/>
      <c r="AM1199" s="62"/>
      <c r="AN1199" s="148" t="s">
        <v>131</v>
      </c>
      <c r="AO1199" s="62"/>
      <c r="AP1199" s="42">
        <v>0.313</v>
      </c>
      <c r="AQ1199" s="62"/>
      <c r="AR1199" s="62"/>
      <c r="AS1199" s="42" t="s">
        <v>143</v>
      </c>
      <c r="AT1199" s="64"/>
      <c r="AU1199" s="64"/>
      <c r="AV1199" s="65"/>
      <c r="AX1199" s="64"/>
      <c r="AY1199" s="62"/>
      <c r="AZ1199" s="59" t="s">
        <v>137</v>
      </c>
    </row>
    <row r="1200">
      <c r="A1200" s="41">
        <v>1200.0</v>
      </c>
      <c r="B1200" s="126" t="s">
        <v>145</v>
      </c>
      <c r="C1200" s="59" t="s">
        <v>108</v>
      </c>
      <c r="D1200" s="59" t="s">
        <v>225</v>
      </c>
      <c r="F1200" s="65" t="s">
        <v>6597</v>
      </c>
      <c r="G1200" s="65" t="s">
        <v>6597</v>
      </c>
      <c r="H1200" s="156" t="s">
        <v>5061</v>
      </c>
      <c r="I1200" s="149">
        <v>45690.0</v>
      </c>
      <c r="J1200" s="65"/>
      <c r="K1200" s="156" t="s">
        <v>6598</v>
      </c>
      <c r="L1200" s="65"/>
      <c r="M1200" s="65" t="s">
        <v>6599</v>
      </c>
      <c r="N1200" s="65" t="s">
        <v>6600</v>
      </c>
      <c r="O1200" s="333">
        <v>1.0</v>
      </c>
      <c r="P1200" s="156" t="str">
        <f t="shared" ref="P1200:P1277" si="76">SUBSTITUTE(LOWER(N1200), "/", "--") &amp;  ".pdf"</f>
        <v>10.1257--aer.101.2.470.pdf</v>
      </c>
      <c r="Q1200" s="49" t="str">
        <f t="array" ref="Q1200"> if(iserror(MATCH(V1200, 'File Links'!C:C, 0)), "N/A", HYPERLINK(INDEX('File Links'!B:B, MATCH(P1200, 'File Links'!C:C, 0))))</f>
        <v>https://drive.google.com/file/d/1nZRWE8YtR8lD6JVTIYbN9Kn9F6IO3Tol/view?usp=drivesdk</v>
      </c>
      <c r="R1200" s="1370" t="s">
        <v>6601</v>
      </c>
      <c r="S1200" s="86" t="s">
        <v>6602</v>
      </c>
      <c r="T1200" s="1371"/>
      <c r="U1200" s="333">
        <v>1.0</v>
      </c>
      <c r="V1200" s="195" t="str">
        <f t="shared" ref="V1200:V1277" si="77"> hyperlink(vlookup(lower(S1200),#REF!, 2, FALSE), SUBSTITUTE(lower(S1200), "/", "--") &amp;  ".pdf")</f>
        <v>10.1126--science.aaf0918.pdf</v>
      </c>
      <c r="W1200" s="156" t="s">
        <v>6603</v>
      </c>
      <c r="X1200" s="51" t="str">
        <f t="array" ref="X1200"> if(iserror(MATCH(V1200, 'File Links'!C:C, 0)), "N/A", HYPERLINK(INDEX('File Links'!B:B, MATCH(V1200, 'File Links'!C:C, 0))))</f>
        <v>https://drive.google.com/file/d/1g2LUlGntoVWUQi433rats2xlfqkwajdf/view?usp=drivesdk</v>
      </c>
      <c r="Y1200" s="65"/>
      <c r="Z1200" s="156" t="s">
        <v>1802</v>
      </c>
      <c r="AA1200" s="371" t="s">
        <v>131</v>
      </c>
      <c r="AB1200" s="156" t="s">
        <v>6604</v>
      </c>
      <c r="AC1200" s="148" t="s">
        <v>6605</v>
      </c>
      <c r="AD1200" s="148" t="s">
        <v>6606</v>
      </c>
      <c r="AE1200" s="156" t="s">
        <v>6607</v>
      </c>
      <c r="AF1200" s="153">
        <v>120.0</v>
      </c>
      <c r="AG1200" s="153">
        <f> 1.85/(0.917 * sqrt(60*60/120))</f>
        <v>0.3683339627</v>
      </c>
      <c r="AH1200" s="148" t="s">
        <v>166</v>
      </c>
      <c r="AI1200" s="126" t="s">
        <v>6608</v>
      </c>
      <c r="AJ1200" s="153">
        <v>0.05</v>
      </c>
      <c r="AK1200" s="156" t="s">
        <v>128</v>
      </c>
      <c r="AL1200" s="156" t="s">
        <v>129</v>
      </c>
      <c r="AM1200" s="65" t="s">
        <v>130</v>
      </c>
      <c r="AN1200" s="148" t="s">
        <v>131</v>
      </c>
      <c r="AO1200" s="153">
        <v>318.0</v>
      </c>
      <c r="AP1200" s="153">
        <f> 0.667/(0.474 * sqrt(159*159/318))</f>
        <v>0.1578206864</v>
      </c>
      <c r="AQ1200" s="148" t="s">
        <v>166</v>
      </c>
      <c r="AR1200" s="148" t="s">
        <v>6609</v>
      </c>
      <c r="AS1200" s="153">
        <v>0.16</v>
      </c>
      <c r="AT1200" s="156" t="s">
        <v>165</v>
      </c>
      <c r="AU1200" s="156" t="s">
        <v>179</v>
      </c>
      <c r="AV1200" s="65" t="s">
        <v>130</v>
      </c>
      <c r="AW1200" s="432" t="s">
        <v>6610</v>
      </c>
      <c r="AX1200" s="65" t="s">
        <v>136</v>
      </c>
      <c r="AZ1200" s="59" t="s">
        <v>6611</v>
      </c>
    </row>
    <row r="1201">
      <c r="A1201" s="41">
        <v>1201.0</v>
      </c>
      <c r="B1201" s="59" t="s">
        <v>107</v>
      </c>
      <c r="C1201" s="42" t="s">
        <v>108</v>
      </c>
      <c r="D1201" s="59" t="s">
        <v>279</v>
      </c>
      <c r="F1201" s="65" t="s">
        <v>6597</v>
      </c>
      <c r="G1201" s="58" t="s">
        <v>6597</v>
      </c>
      <c r="H1201" s="156" t="s">
        <v>282</v>
      </c>
      <c r="I1201" s="149">
        <v>45662.0</v>
      </c>
      <c r="J1201" s="149">
        <v>45665.0</v>
      </c>
      <c r="K1201" s="156" t="s">
        <v>6612</v>
      </c>
      <c r="L1201" s="65"/>
      <c r="M1201" s="65" t="s">
        <v>6599</v>
      </c>
      <c r="N1201" s="65" t="s">
        <v>6600</v>
      </c>
      <c r="O1201" s="65"/>
      <c r="P1201" s="156" t="str">
        <f t="shared" si="76"/>
        <v>10.1257--aer.101.2.470.pdf</v>
      </c>
      <c r="Q1201" s="49" t="str">
        <f t="array" ref="Q1201"> if(iserror(MATCH(V1201, 'File Links'!C:C, 0)), "N/A", HYPERLINK(INDEX('File Links'!B:B, MATCH(P1201, 'File Links'!C:C, 0))))</f>
        <v>https://drive.google.com/file/d/1nZRWE8YtR8lD6JVTIYbN9Kn9F6IO3Tol/view?usp=drivesdk</v>
      </c>
      <c r="R1201" s="1372" t="s">
        <v>6601</v>
      </c>
      <c r="S1201" s="86" t="s">
        <v>6602</v>
      </c>
      <c r="T1201" s="65"/>
      <c r="U1201" s="65"/>
      <c r="V1201" s="195" t="str">
        <f t="shared" si="77"/>
        <v>10.1126--science.aaf0918.pdf</v>
      </c>
      <c r="W1201" s="156" t="s">
        <v>6613</v>
      </c>
      <c r="X1201" s="51" t="str">
        <f t="array" ref="X1201"> if(iserror(MATCH(V1201, 'File Links'!C:C, 0)), "N/A", HYPERLINK(INDEX('File Links'!B:B, MATCH(V1201, 'File Links'!C:C, 0))))</f>
        <v>https://drive.google.com/file/d/1g2LUlGntoVWUQi433rats2xlfqkwajdf/view?usp=drivesdk</v>
      </c>
      <c r="Y1201" s="65"/>
      <c r="Z1201" s="156" t="s">
        <v>1802</v>
      </c>
      <c r="AA1201" s="156" t="s">
        <v>6614</v>
      </c>
      <c r="AB1201" s="156" t="s">
        <v>6615</v>
      </c>
      <c r="AC1201" s="156" t="s">
        <v>6616</v>
      </c>
      <c r="AD1201" s="156" t="s">
        <v>6617</v>
      </c>
      <c r="AE1201" s="156" t="s">
        <v>6618</v>
      </c>
      <c r="AF1201" s="153">
        <v>120.0</v>
      </c>
      <c r="AG1201" s="153">
        <v>0.18</v>
      </c>
      <c r="AH1201" s="156" t="s">
        <v>208</v>
      </c>
      <c r="AI1201" s="65" t="s">
        <v>6619</v>
      </c>
      <c r="AJ1201" s="706">
        <v>0.05</v>
      </c>
      <c r="AK1201" s="54" t="s">
        <v>128</v>
      </c>
      <c r="AL1201" s="54" t="s">
        <v>129</v>
      </c>
      <c r="AM1201" s="65" t="s">
        <v>130</v>
      </c>
      <c r="AN1201" s="148" t="s">
        <v>131</v>
      </c>
      <c r="AO1201" s="153">
        <v>318.0</v>
      </c>
      <c r="AP1201" s="153">
        <v>0.08</v>
      </c>
      <c r="AQ1201" s="156" t="s">
        <v>208</v>
      </c>
      <c r="AR1201" s="156" t="s">
        <v>3248</v>
      </c>
      <c r="AS1201" s="153">
        <v>0.16</v>
      </c>
      <c r="AT1201" s="156" t="s">
        <v>165</v>
      </c>
      <c r="AU1201" s="156" t="s">
        <v>179</v>
      </c>
      <c r="AV1201" s="65" t="s">
        <v>130</v>
      </c>
      <c r="AW1201" s="65"/>
      <c r="AX1201" s="65" t="s">
        <v>136</v>
      </c>
      <c r="AZ1201" s="59" t="s">
        <v>6611</v>
      </c>
    </row>
    <row r="1202">
      <c r="A1202" s="41">
        <v>1202.0</v>
      </c>
      <c r="B1202" s="126" t="s">
        <v>145</v>
      </c>
      <c r="C1202" s="59" t="s">
        <v>108</v>
      </c>
      <c r="D1202" s="59" t="s">
        <v>225</v>
      </c>
      <c r="F1202" s="65" t="s">
        <v>6620</v>
      </c>
      <c r="G1202" s="65" t="s">
        <v>6620</v>
      </c>
      <c r="H1202" s="156" t="s">
        <v>5061</v>
      </c>
      <c r="I1202" s="149">
        <v>45690.0</v>
      </c>
      <c r="J1202" s="65"/>
      <c r="K1202" s="65"/>
      <c r="L1202" s="65"/>
      <c r="M1202" s="65" t="s">
        <v>6621</v>
      </c>
      <c r="N1202" s="65" t="s">
        <v>6622</v>
      </c>
      <c r="O1202" s="333">
        <v>1.0</v>
      </c>
      <c r="P1202" s="156" t="str">
        <f t="shared" si="76"/>
        <v>10.1257--aer.103.4.1325.pdf</v>
      </c>
      <c r="Q1202" s="49" t="str">
        <f t="array" ref="Q1202"> if(iserror(MATCH(V1202, 'File Links'!C:C, 0)), "N/A", HYPERLINK(INDEX('File Links'!B:B, MATCH(P1202, 'File Links'!C:C, 0))))</f>
        <v>https://drive.google.com/file/d/11sSauXb0HoVRgYDG9CnOlMBheFEjk0NQ/view?usp=drivesdk</v>
      </c>
      <c r="R1202" s="1372" t="s">
        <v>6601</v>
      </c>
      <c r="S1202" s="86" t="s">
        <v>6602</v>
      </c>
      <c r="T1202" s="1371"/>
      <c r="U1202" s="333">
        <v>9.0</v>
      </c>
      <c r="V1202" s="195" t="str">
        <f t="shared" si="77"/>
        <v>10.1126--science.aaf0918.pdf</v>
      </c>
      <c r="W1202" s="156" t="s">
        <v>6603</v>
      </c>
      <c r="X1202" s="51" t="str">
        <f t="array" ref="X1202"> if(iserror(MATCH(V1202, 'File Links'!C:C, 0)), "N/A", HYPERLINK(INDEX('File Links'!B:B, MATCH(V1202, 'File Links'!C:C, 0))))</f>
        <v>https://drive.google.com/file/d/1g2LUlGntoVWUQi433rats2xlfqkwajdf/view?usp=drivesdk</v>
      </c>
      <c r="Y1202" s="65"/>
      <c r="Z1202" s="156" t="s">
        <v>1802</v>
      </c>
      <c r="AA1202" s="156" t="s">
        <v>6623</v>
      </c>
      <c r="AB1202" s="65" t="s">
        <v>6624</v>
      </c>
      <c r="AC1202" s="156" t="s">
        <v>6625</v>
      </c>
      <c r="AD1202" s="148" t="s">
        <v>6626</v>
      </c>
      <c r="AE1202" s="156" t="s">
        <v>6627</v>
      </c>
      <c r="AF1202" s="153">
        <v>60.0</v>
      </c>
      <c r="AG1202" s="382">
        <v>2.899</v>
      </c>
      <c r="AH1202" s="156" t="s">
        <v>715</v>
      </c>
      <c r="AI1202" s="43" t="s">
        <v>6628</v>
      </c>
      <c r="AJ1202" s="153">
        <v>0.011</v>
      </c>
      <c r="AK1202" s="156" t="s">
        <v>165</v>
      </c>
      <c r="AL1202" s="156" t="s">
        <v>179</v>
      </c>
      <c r="AM1202" s="65" t="s">
        <v>130</v>
      </c>
      <c r="AN1202" s="148" t="s">
        <v>131</v>
      </c>
      <c r="AO1202" s="153">
        <v>102.0</v>
      </c>
      <c r="AP1202" s="158">
        <v>2.737</v>
      </c>
      <c r="AQ1202" s="377" t="s">
        <v>715</v>
      </c>
      <c r="AR1202" s="148" t="s">
        <v>6629</v>
      </c>
      <c r="AS1202" s="153">
        <v>0.026</v>
      </c>
      <c r="AT1202" s="156" t="s">
        <v>165</v>
      </c>
      <c r="AU1202" s="156" t="s">
        <v>179</v>
      </c>
      <c r="AV1202" s="65" t="s">
        <v>130</v>
      </c>
      <c r="AW1202" s="432" t="s">
        <v>6630</v>
      </c>
      <c r="AX1202" s="65" t="s">
        <v>136</v>
      </c>
      <c r="AZ1202" s="59" t="s">
        <v>6611</v>
      </c>
    </row>
    <row r="1203">
      <c r="A1203" s="41">
        <v>1203.0</v>
      </c>
      <c r="B1203" s="59" t="s">
        <v>107</v>
      </c>
      <c r="C1203" s="42" t="s">
        <v>108</v>
      </c>
      <c r="D1203" s="59" t="s">
        <v>279</v>
      </c>
      <c r="F1203" s="65" t="s">
        <v>6620</v>
      </c>
      <c r="G1203" s="58" t="s">
        <v>6620</v>
      </c>
      <c r="H1203" s="156" t="s">
        <v>282</v>
      </c>
      <c r="I1203" s="149">
        <v>45664.0</v>
      </c>
      <c r="J1203" s="149">
        <v>45667.0</v>
      </c>
      <c r="K1203" s="156" t="s">
        <v>6631</v>
      </c>
      <c r="L1203" s="65"/>
      <c r="M1203" s="65" t="s">
        <v>6621</v>
      </c>
      <c r="N1203" s="65" t="s">
        <v>6622</v>
      </c>
      <c r="O1203" s="65"/>
      <c r="P1203" s="156" t="str">
        <f t="shared" si="76"/>
        <v>10.1257--aer.103.4.1325.pdf</v>
      </c>
      <c r="Q1203" s="49" t="str">
        <f t="array" ref="Q1203"> if(iserror(MATCH(V1203, 'File Links'!C:C, 0)), "N/A", HYPERLINK(INDEX('File Links'!B:B, MATCH(P1203, 'File Links'!C:C, 0))))</f>
        <v>https://drive.google.com/file/d/11sSauXb0HoVRgYDG9CnOlMBheFEjk0NQ/view?usp=drivesdk</v>
      </c>
      <c r="R1203" s="1372" t="s">
        <v>6601</v>
      </c>
      <c r="S1203" s="86" t="s">
        <v>6602</v>
      </c>
      <c r="T1203" s="65"/>
      <c r="U1203" s="65"/>
      <c r="V1203" s="195" t="str">
        <f t="shared" si="77"/>
        <v>10.1126--science.aaf0918.pdf</v>
      </c>
      <c r="W1203" s="156" t="s">
        <v>6613</v>
      </c>
      <c r="X1203" s="51" t="str">
        <f t="array" ref="X1203"> if(iserror(MATCH(V1203, 'File Links'!C:C, 0)), "N/A", HYPERLINK(INDEX('File Links'!B:B, MATCH(V1203, 'File Links'!C:C, 0))))</f>
        <v>https://drive.google.com/file/d/1g2LUlGntoVWUQi433rats2xlfqkwajdf/view?usp=drivesdk</v>
      </c>
      <c r="Y1203" s="65"/>
      <c r="Z1203" s="156" t="s">
        <v>1802</v>
      </c>
      <c r="AA1203" s="156" t="s">
        <v>6623</v>
      </c>
      <c r="AB1203" s="65"/>
      <c r="AC1203" s="156" t="s">
        <v>6632</v>
      </c>
      <c r="AD1203" s="156" t="s">
        <v>6633</v>
      </c>
      <c r="AE1203" s="156" t="s">
        <v>6627</v>
      </c>
      <c r="AF1203" s="153">
        <v>60.0</v>
      </c>
      <c r="AG1203" s="1117">
        <v>2.8987760989718647</v>
      </c>
      <c r="AH1203" s="156" t="s">
        <v>715</v>
      </c>
      <c r="AI1203" s="43" t="s">
        <v>6634</v>
      </c>
      <c r="AJ1203" s="706">
        <v>0.011</v>
      </c>
      <c r="AK1203" s="54" t="s">
        <v>165</v>
      </c>
      <c r="AL1203" s="54" t="s">
        <v>179</v>
      </c>
      <c r="AM1203" s="65" t="s">
        <v>1898</v>
      </c>
      <c r="AN1203" s="148" t="s">
        <v>131</v>
      </c>
      <c r="AO1203" s="153">
        <v>102.0</v>
      </c>
      <c r="AP1203" s="153">
        <v>0.31</v>
      </c>
      <c r="AQ1203" s="156" t="s">
        <v>208</v>
      </c>
      <c r="AR1203" s="156" t="s">
        <v>3248</v>
      </c>
      <c r="AS1203" s="153">
        <v>0.026</v>
      </c>
      <c r="AT1203" s="156" t="s">
        <v>165</v>
      </c>
      <c r="AU1203" s="156" t="s">
        <v>179</v>
      </c>
      <c r="AV1203" s="65" t="s">
        <v>1898</v>
      </c>
      <c r="AW1203" s="65"/>
      <c r="AX1203" s="65" t="s">
        <v>136</v>
      </c>
      <c r="AZ1203" s="59" t="s">
        <v>6611</v>
      </c>
    </row>
    <row r="1204">
      <c r="A1204" s="41">
        <v>1204.0</v>
      </c>
      <c r="B1204" s="126" t="s">
        <v>145</v>
      </c>
      <c r="C1204" s="59" t="s">
        <v>108</v>
      </c>
      <c r="D1204" s="59" t="s">
        <v>225</v>
      </c>
      <c r="F1204" s="65" t="s">
        <v>6635</v>
      </c>
      <c r="G1204" s="65" t="s">
        <v>6635</v>
      </c>
      <c r="H1204" s="156" t="s">
        <v>5061</v>
      </c>
      <c r="I1204" s="149">
        <v>45690.0</v>
      </c>
      <c r="J1204" s="65"/>
      <c r="K1204" s="156" t="s">
        <v>6598</v>
      </c>
      <c r="L1204" s="65"/>
      <c r="M1204" s="65" t="s">
        <v>6636</v>
      </c>
      <c r="N1204" s="65" t="s">
        <v>6637</v>
      </c>
      <c r="O1204" s="333">
        <v>1.0</v>
      </c>
      <c r="P1204" s="156" t="str">
        <f t="shared" si="76"/>
        <v>10.1257--aer.102.1.337.pdf</v>
      </c>
      <c r="Q1204" s="49" t="str">
        <f t="array" ref="Q1204"> if(iserror(MATCH(V1204, 'File Links'!C:C, 0)), "N/A", HYPERLINK(INDEX('File Links'!B:B, MATCH(P1204, 'File Links'!C:C, 0))))</f>
        <v>https://drive.google.com/file/d/1hWfokltwBkoqHFEcC6Y6_dIRzbc3xn2Q/view?usp=drivesdk</v>
      </c>
      <c r="R1204" s="1372" t="s">
        <v>6601</v>
      </c>
      <c r="S1204" s="86" t="s">
        <v>6602</v>
      </c>
      <c r="T1204" s="1371"/>
      <c r="U1204" s="333">
        <v>10.0</v>
      </c>
      <c r="V1204" s="195" t="str">
        <f t="shared" si="77"/>
        <v>10.1126--science.aaf0918.pdf</v>
      </c>
      <c r="W1204" s="156" t="s">
        <v>6603</v>
      </c>
      <c r="X1204" s="51" t="str">
        <f t="array" ref="X1204"> if(iserror(MATCH(V1204, 'File Links'!C:C, 0)), "N/A", HYPERLINK(INDEX('File Links'!B:B, MATCH(V1204, 'File Links'!C:C, 0))))</f>
        <v>https://drive.google.com/file/d/1g2LUlGntoVWUQi433rats2xlfqkwajdf/view?usp=drivesdk</v>
      </c>
      <c r="Y1204" s="65"/>
      <c r="Z1204" s="156" t="s">
        <v>1802</v>
      </c>
      <c r="AA1204" s="126" t="s">
        <v>6638</v>
      </c>
      <c r="AB1204" s="156" t="s">
        <v>6639</v>
      </c>
      <c r="AC1204" s="148" t="s">
        <v>6640</v>
      </c>
      <c r="AD1204" s="148" t="s">
        <v>6641</v>
      </c>
      <c r="AE1204" s="156" t="s">
        <v>6642</v>
      </c>
      <c r="AF1204" s="153">
        <v>78.0</v>
      </c>
      <c r="AG1204" s="1373">
        <v>0.643</v>
      </c>
      <c r="AH1204" s="148" t="s">
        <v>6643</v>
      </c>
      <c r="AI1204" s="148" t="s">
        <v>6644</v>
      </c>
      <c r="AJ1204" s="158">
        <v>0.01</v>
      </c>
      <c r="AK1204" s="156" t="s">
        <v>128</v>
      </c>
      <c r="AL1204" s="156" t="s">
        <v>179</v>
      </c>
      <c r="AM1204" s="65" t="s">
        <v>130</v>
      </c>
      <c r="AN1204" s="148" t="s">
        <v>131</v>
      </c>
      <c r="AO1204" s="153">
        <v>40.0</v>
      </c>
      <c r="AP1204" s="158">
        <v>0.504</v>
      </c>
      <c r="AQ1204" s="148" t="s">
        <v>6643</v>
      </c>
      <c r="AR1204" s="156" t="s">
        <v>3248</v>
      </c>
      <c r="AS1204" s="153">
        <v>0.004</v>
      </c>
      <c r="AT1204" s="156" t="s">
        <v>165</v>
      </c>
      <c r="AU1204" s="156" t="s">
        <v>179</v>
      </c>
      <c r="AV1204" s="65" t="s">
        <v>130</v>
      </c>
      <c r="AW1204" s="432" t="s">
        <v>6645</v>
      </c>
      <c r="AX1204" s="65" t="s">
        <v>136</v>
      </c>
      <c r="AZ1204" s="59" t="s">
        <v>6611</v>
      </c>
    </row>
    <row r="1205">
      <c r="A1205" s="41">
        <v>1205.0</v>
      </c>
      <c r="B1205" s="59" t="s">
        <v>107</v>
      </c>
      <c r="C1205" s="42" t="s">
        <v>108</v>
      </c>
      <c r="D1205" s="59" t="s">
        <v>279</v>
      </c>
      <c r="F1205" s="65" t="s">
        <v>6635</v>
      </c>
      <c r="G1205" s="58" t="s">
        <v>6635</v>
      </c>
      <c r="H1205" s="156" t="s">
        <v>282</v>
      </c>
      <c r="I1205" s="149">
        <v>45664.0</v>
      </c>
      <c r="J1205" s="149">
        <v>45667.0</v>
      </c>
      <c r="K1205" s="156" t="s">
        <v>6646</v>
      </c>
      <c r="L1205" s="65"/>
      <c r="M1205" s="65" t="s">
        <v>6636</v>
      </c>
      <c r="N1205" s="65" t="s">
        <v>6637</v>
      </c>
      <c r="O1205" s="65"/>
      <c r="P1205" s="156" t="str">
        <f t="shared" si="76"/>
        <v>10.1257--aer.102.1.337.pdf</v>
      </c>
      <c r="Q1205" s="49" t="str">
        <f t="array" ref="Q1205"> if(iserror(MATCH(V1205, 'File Links'!C:C, 0)), "N/A", HYPERLINK(INDEX('File Links'!B:B, MATCH(P1205, 'File Links'!C:C, 0))))</f>
        <v>https://drive.google.com/file/d/1hWfokltwBkoqHFEcC6Y6_dIRzbc3xn2Q/view?usp=drivesdk</v>
      </c>
      <c r="R1205" s="1372" t="s">
        <v>6601</v>
      </c>
      <c r="S1205" s="86" t="s">
        <v>6602</v>
      </c>
      <c r="T1205" s="65"/>
      <c r="U1205" s="65"/>
      <c r="V1205" s="195" t="str">
        <f t="shared" si="77"/>
        <v>10.1126--science.aaf0918.pdf</v>
      </c>
      <c r="W1205" s="156" t="s">
        <v>6613</v>
      </c>
      <c r="X1205" s="51" t="str">
        <f t="array" ref="X1205"> if(iserror(MATCH(V1205, 'File Links'!C:C, 0)), "N/A", HYPERLINK(INDEX('File Links'!B:B, MATCH(V1205, 'File Links'!C:C, 0))))</f>
        <v>https://drive.google.com/file/d/1g2LUlGntoVWUQi433rats2xlfqkwajdf/view?usp=drivesdk</v>
      </c>
      <c r="Y1205" s="65"/>
      <c r="Z1205" s="156" t="s">
        <v>1802</v>
      </c>
      <c r="AA1205" s="148" t="s">
        <v>6647</v>
      </c>
      <c r="AB1205" s="156" t="s">
        <v>6648</v>
      </c>
      <c r="AC1205" s="156" t="s">
        <v>6649</v>
      </c>
      <c r="AD1205" s="156" t="s">
        <v>6650</v>
      </c>
      <c r="AE1205" s="156" t="s">
        <v>6642</v>
      </c>
      <c r="AF1205" s="153">
        <v>78.0</v>
      </c>
      <c r="AG1205" s="1373">
        <v>0.643</v>
      </c>
      <c r="AH1205" s="148" t="s">
        <v>166</v>
      </c>
      <c r="AI1205" s="156" t="s">
        <v>6651</v>
      </c>
      <c r="AJ1205" s="706">
        <v>0.001</v>
      </c>
      <c r="AK1205" s="54" t="s">
        <v>128</v>
      </c>
      <c r="AL1205" s="54" t="s">
        <v>179</v>
      </c>
      <c r="AM1205" s="65" t="s">
        <v>1898</v>
      </c>
      <c r="AN1205" s="148" t="s">
        <v>131</v>
      </c>
      <c r="AO1205" s="153">
        <v>40.0</v>
      </c>
      <c r="AP1205" s="153">
        <v>0.44</v>
      </c>
      <c r="AQ1205" s="156" t="s">
        <v>208</v>
      </c>
      <c r="AR1205" s="156" t="s">
        <v>3248</v>
      </c>
      <c r="AS1205" s="153">
        <v>0.004</v>
      </c>
      <c r="AT1205" s="156" t="s">
        <v>165</v>
      </c>
      <c r="AU1205" s="156" t="s">
        <v>179</v>
      </c>
      <c r="AV1205" s="65" t="s">
        <v>1898</v>
      </c>
      <c r="AW1205" s="65"/>
      <c r="AX1205" s="65" t="s">
        <v>136</v>
      </c>
      <c r="AZ1205" s="59" t="s">
        <v>6611</v>
      </c>
    </row>
    <row r="1206">
      <c r="A1206" s="41">
        <v>1206.0</v>
      </c>
      <c r="B1206" s="126" t="s">
        <v>145</v>
      </c>
      <c r="C1206" s="59" t="s">
        <v>108</v>
      </c>
      <c r="D1206" s="59" t="s">
        <v>225</v>
      </c>
      <c r="F1206" s="65" t="s">
        <v>6652</v>
      </c>
      <c r="G1206" s="65" t="s">
        <v>6652</v>
      </c>
      <c r="H1206" s="156" t="s">
        <v>5061</v>
      </c>
      <c r="I1206" s="149">
        <v>45690.0</v>
      </c>
      <c r="J1206" s="65"/>
      <c r="K1206" s="65"/>
      <c r="L1206" s="65"/>
      <c r="M1206" s="65" t="s">
        <v>6653</v>
      </c>
      <c r="N1206" s="65" t="s">
        <v>6654</v>
      </c>
      <c r="O1206" s="333">
        <v>1.0</v>
      </c>
      <c r="P1206" s="156" t="str">
        <f t="shared" si="76"/>
        <v>10.1257--aer.102.2.720.pdf</v>
      </c>
      <c r="Q1206" s="49" t="str">
        <f t="array" ref="Q1206"> if(iserror(MATCH(V1206, 'File Links'!C:C, 0)), "N/A", HYPERLINK(INDEX('File Links'!B:B, MATCH(P1206, 'File Links'!C:C, 0))))</f>
        <v>https://drive.google.com/file/d/1CGw2aFqdeWSzTPWBi4Jhk_HVOrooYuQO/view?usp=drivesdk</v>
      </c>
      <c r="R1206" s="1370" t="s">
        <v>6601</v>
      </c>
      <c r="S1206" s="86" t="s">
        <v>6602</v>
      </c>
      <c r="T1206" s="1371"/>
      <c r="U1206" s="333">
        <v>11.0</v>
      </c>
      <c r="V1206" s="195" t="str">
        <f t="shared" si="77"/>
        <v>10.1126--science.aaf0918.pdf</v>
      </c>
      <c r="W1206" s="156" t="s">
        <v>6603</v>
      </c>
      <c r="X1206" s="51" t="str">
        <f t="array" ref="X1206"> if(iserror(MATCH(V1206, 'File Links'!C:C, 0)), "N/A", HYPERLINK(INDEX('File Links'!B:B, MATCH(V1206, 'File Links'!C:C, 0))))</f>
        <v>https://drive.google.com/file/d/1g2LUlGntoVWUQi433rats2xlfqkwajdf/view?usp=drivesdk</v>
      </c>
      <c r="Y1206" s="65"/>
      <c r="Z1206" s="156" t="s">
        <v>1802</v>
      </c>
      <c r="AA1206" s="126" t="s">
        <v>6655</v>
      </c>
      <c r="AB1206" s="1374" t="s">
        <v>6656</v>
      </c>
      <c r="AC1206" s="126" t="s">
        <v>6657</v>
      </c>
      <c r="AD1206" s="148" t="s">
        <v>6658</v>
      </c>
      <c r="AE1206" s="148" t="s">
        <v>6659</v>
      </c>
      <c r="AF1206" s="153">
        <v>124.0</v>
      </c>
      <c r="AG1206" s="1117">
        <v>0.27150462314373774</v>
      </c>
      <c r="AH1206" s="156" t="s">
        <v>715</v>
      </c>
      <c r="AI1206" s="148" t="s">
        <v>6660</v>
      </c>
      <c r="AJ1206" s="158">
        <v>0.016</v>
      </c>
      <c r="AK1206" s="156" t="s">
        <v>165</v>
      </c>
      <c r="AL1206" s="156" t="s">
        <v>179</v>
      </c>
      <c r="AM1206" s="65" t="s">
        <v>130</v>
      </c>
      <c r="AN1206" s="148" t="s">
        <v>131</v>
      </c>
      <c r="AO1206" s="153">
        <v>128.0</v>
      </c>
      <c r="AP1206" s="375">
        <v>-0.33</v>
      </c>
      <c r="AQ1206" s="156" t="s">
        <v>208</v>
      </c>
      <c r="AR1206" s="148" t="s">
        <v>6661</v>
      </c>
      <c r="AS1206" s="153">
        <v>0.001</v>
      </c>
      <c r="AT1206" s="156" t="s">
        <v>128</v>
      </c>
      <c r="AU1206" s="156" t="s">
        <v>179</v>
      </c>
      <c r="AV1206" s="65" t="s">
        <v>130</v>
      </c>
      <c r="AW1206" s="432" t="s">
        <v>6662</v>
      </c>
      <c r="AX1206" s="65" t="s">
        <v>136</v>
      </c>
      <c r="AZ1206" s="59" t="s">
        <v>6611</v>
      </c>
    </row>
    <row r="1207">
      <c r="A1207" s="41">
        <v>1207.0</v>
      </c>
      <c r="B1207" s="59" t="s">
        <v>107</v>
      </c>
      <c r="C1207" s="42" t="s">
        <v>108</v>
      </c>
      <c r="D1207" s="59" t="s">
        <v>279</v>
      </c>
      <c r="F1207" s="65" t="s">
        <v>6652</v>
      </c>
      <c r="G1207" s="58" t="s">
        <v>6652</v>
      </c>
      <c r="H1207" s="156" t="s">
        <v>282</v>
      </c>
      <c r="I1207" s="149">
        <v>45664.0</v>
      </c>
      <c r="J1207" s="149">
        <v>45667.0</v>
      </c>
      <c r="K1207" s="156" t="s">
        <v>6663</v>
      </c>
      <c r="L1207" s="65"/>
      <c r="M1207" s="65" t="s">
        <v>6653</v>
      </c>
      <c r="N1207" s="65" t="s">
        <v>6654</v>
      </c>
      <c r="O1207" s="65"/>
      <c r="P1207" s="156" t="str">
        <f t="shared" si="76"/>
        <v>10.1257--aer.102.2.720.pdf</v>
      </c>
      <c r="Q1207" s="49" t="str">
        <f t="array" ref="Q1207"> if(iserror(MATCH(V1207, 'File Links'!C:C, 0)), "N/A", HYPERLINK(INDEX('File Links'!B:B, MATCH(P1207, 'File Links'!C:C, 0))))</f>
        <v>https://drive.google.com/file/d/1CGw2aFqdeWSzTPWBi4Jhk_HVOrooYuQO/view?usp=drivesdk</v>
      </c>
      <c r="R1207" s="1372" t="s">
        <v>6601</v>
      </c>
      <c r="S1207" s="86" t="s">
        <v>6602</v>
      </c>
      <c r="T1207" s="65"/>
      <c r="U1207" s="65"/>
      <c r="V1207" s="195" t="str">
        <f t="shared" si="77"/>
        <v>10.1126--science.aaf0918.pdf</v>
      </c>
      <c r="W1207" s="156" t="s">
        <v>6613</v>
      </c>
      <c r="X1207" s="51" t="str">
        <f t="array" ref="X1207"> if(iserror(MATCH(V1207, 'File Links'!C:C, 0)), "N/A", HYPERLINK(INDEX('File Links'!B:B, MATCH(V1207, 'File Links'!C:C, 0))))</f>
        <v>https://drive.google.com/file/d/1g2LUlGntoVWUQi433rats2xlfqkwajdf/view?usp=drivesdk</v>
      </c>
      <c r="Y1207" s="65"/>
      <c r="Z1207" s="156" t="s">
        <v>1802</v>
      </c>
      <c r="AA1207" s="156" t="s">
        <v>6664</v>
      </c>
      <c r="AB1207" s="156" t="s">
        <v>6665</v>
      </c>
      <c r="AC1207" s="156" t="s">
        <v>6666</v>
      </c>
      <c r="AD1207" s="156" t="s">
        <v>6667</v>
      </c>
      <c r="AE1207" s="156" t="s">
        <v>6668</v>
      </c>
      <c r="AF1207" s="153">
        <v>124.0</v>
      </c>
      <c r="AG1207" s="1117">
        <v>1.9999999999999996</v>
      </c>
      <c r="AH1207" s="148" t="s">
        <v>166</v>
      </c>
      <c r="AI1207" s="156" t="s">
        <v>6669</v>
      </c>
      <c r="AJ1207" s="706">
        <v>0.001</v>
      </c>
      <c r="AK1207" s="54" t="s">
        <v>128</v>
      </c>
      <c r="AL1207" s="54" t="s">
        <v>179</v>
      </c>
      <c r="AM1207" s="65" t="s">
        <v>134</v>
      </c>
      <c r="AN1207" s="148" t="s">
        <v>131</v>
      </c>
      <c r="AO1207" s="153">
        <v>128.0</v>
      </c>
      <c r="AP1207" s="153">
        <v>0.33</v>
      </c>
      <c r="AQ1207" s="156" t="s">
        <v>208</v>
      </c>
      <c r="AR1207" s="156" t="s">
        <v>3248</v>
      </c>
      <c r="AS1207" s="153">
        <v>0.001</v>
      </c>
      <c r="AT1207" s="156" t="s">
        <v>128</v>
      </c>
      <c r="AU1207" s="156" t="s">
        <v>179</v>
      </c>
      <c r="AV1207" s="65" t="s">
        <v>134</v>
      </c>
      <c r="AW1207" s="65"/>
      <c r="AX1207" s="65" t="s">
        <v>136</v>
      </c>
      <c r="AZ1207" s="59" t="s">
        <v>6611</v>
      </c>
    </row>
    <row r="1208">
      <c r="A1208" s="41">
        <v>1208.0</v>
      </c>
      <c r="B1208" s="126" t="s">
        <v>145</v>
      </c>
      <c r="C1208" s="59" t="s">
        <v>108</v>
      </c>
      <c r="D1208" s="59" t="s">
        <v>225</v>
      </c>
      <c r="F1208" s="65" t="s">
        <v>6670</v>
      </c>
      <c r="G1208" s="65" t="s">
        <v>6670</v>
      </c>
      <c r="H1208" s="156" t="s">
        <v>5061</v>
      </c>
      <c r="I1208" s="149">
        <v>45690.0</v>
      </c>
      <c r="J1208" s="65"/>
      <c r="K1208" s="156" t="s">
        <v>6671</v>
      </c>
      <c r="L1208" s="65"/>
      <c r="M1208" s="65" t="s">
        <v>6672</v>
      </c>
      <c r="N1208" s="65" t="s">
        <v>6673</v>
      </c>
      <c r="O1208" s="333">
        <v>1.0</v>
      </c>
      <c r="P1208" s="156" t="str">
        <f t="shared" si="76"/>
        <v>10.1257--aer.101.2.819.pdf</v>
      </c>
      <c r="Q1208" s="49" t="str">
        <f t="array" ref="Q1208"> if(iserror(MATCH(V1208, 'File Links'!C:C, 0)), "N/A", HYPERLINK(INDEX('File Links'!B:B, MATCH(P1208, 'File Links'!C:C, 0))))</f>
        <v>https://drive.google.com/file/d/1gPKErZn0U75GIXRc3TyDKhjO1YYEA8-a/view?usp=drivesdk</v>
      </c>
      <c r="R1208" s="1372" t="s">
        <v>6601</v>
      </c>
      <c r="S1208" s="86" t="s">
        <v>6602</v>
      </c>
      <c r="T1208" s="1371"/>
      <c r="U1208" s="333">
        <v>12.0</v>
      </c>
      <c r="V1208" s="195" t="str">
        <f t="shared" si="77"/>
        <v>10.1126--science.aaf0918.pdf</v>
      </c>
      <c r="W1208" s="156" t="s">
        <v>6603</v>
      </c>
      <c r="X1208" s="51" t="str">
        <f t="array" ref="X1208"> if(iserror(MATCH(V1208, 'File Links'!C:C, 0)), "N/A", HYPERLINK(INDEX('File Links'!B:B, MATCH(V1208, 'File Links'!C:C, 0))))</f>
        <v>https://drive.google.com/file/d/1g2LUlGntoVWUQi433rats2xlfqkwajdf/view?usp=drivesdk</v>
      </c>
      <c r="Y1208" s="65"/>
      <c r="Z1208" s="156" t="s">
        <v>1802</v>
      </c>
      <c r="AA1208" s="156" t="s">
        <v>6674</v>
      </c>
      <c r="AB1208" s="156" t="s">
        <v>6675</v>
      </c>
      <c r="AC1208" s="156" t="s">
        <v>6676</v>
      </c>
      <c r="AD1208" s="148" t="s">
        <v>6677</v>
      </c>
      <c r="AE1208" s="148" t="s">
        <v>6678</v>
      </c>
      <c r="AF1208" s="153">
        <v>120.0</v>
      </c>
      <c r="AG1208" s="153">
        <v>33.43</v>
      </c>
      <c r="AH1208" s="148" t="s">
        <v>6679</v>
      </c>
      <c r="AI1208" s="148" t="s">
        <v>6680</v>
      </c>
      <c r="AJ1208" s="706">
        <v>0.01</v>
      </c>
      <c r="AK1208" s="54" t="s">
        <v>128</v>
      </c>
      <c r="AL1208" s="156" t="s">
        <v>179</v>
      </c>
      <c r="AM1208" s="65" t="s">
        <v>130</v>
      </c>
      <c r="AN1208" s="148" t="s">
        <v>131</v>
      </c>
      <c r="AO1208" s="153">
        <v>160.0</v>
      </c>
      <c r="AP1208" s="158">
        <v>14.23</v>
      </c>
      <c r="AQ1208" s="148" t="s">
        <v>6679</v>
      </c>
      <c r="AR1208" s="148" t="s">
        <v>210</v>
      </c>
      <c r="AS1208" s="153">
        <v>0.142</v>
      </c>
      <c r="AT1208" s="156" t="s">
        <v>165</v>
      </c>
      <c r="AU1208" s="156" t="s">
        <v>179</v>
      </c>
      <c r="AV1208" s="65" t="s">
        <v>130</v>
      </c>
      <c r="AW1208" s="432" t="s">
        <v>6681</v>
      </c>
      <c r="AX1208" s="65" t="s">
        <v>136</v>
      </c>
      <c r="AZ1208" s="59" t="s">
        <v>6611</v>
      </c>
    </row>
    <row r="1209">
      <c r="A1209" s="41">
        <v>1209.0</v>
      </c>
      <c r="B1209" s="59" t="s">
        <v>107</v>
      </c>
      <c r="C1209" s="42" t="s">
        <v>108</v>
      </c>
      <c r="D1209" s="59" t="s">
        <v>279</v>
      </c>
      <c r="F1209" s="65" t="s">
        <v>6670</v>
      </c>
      <c r="G1209" s="58" t="s">
        <v>6670</v>
      </c>
      <c r="H1209" s="156" t="s">
        <v>282</v>
      </c>
      <c r="I1209" s="149">
        <v>45667.0</v>
      </c>
      <c r="J1209" s="65"/>
      <c r="K1209" s="156" t="s">
        <v>6682</v>
      </c>
      <c r="L1209" s="65"/>
      <c r="M1209" s="65" t="s">
        <v>6672</v>
      </c>
      <c r="N1209" s="65" t="s">
        <v>6673</v>
      </c>
      <c r="O1209" s="65"/>
      <c r="P1209" s="156" t="str">
        <f t="shared" si="76"/>
        <v>10.1257--aer.101.2.819.pdf</v>
      </c>
      <c r="Q1209" s="49" t="str">
        <f t="array" ref="Q1209"> if(iserror(MATCH(V1209, 'File Links'!C:C, 0)), "N/A", HYPERLINK(INDEX('File Links'!B:B, MATCH(P1209, 'File Links'!C:C, 0))))</f>
        <v>https://drive.google.com/file/d/1gPKErZn0U75GIXRc3TyDKhjO1YYEA8-a/view?usp=drivesdk</v>
      </c>
      <c r="R1209" s="1372" t="s">
        <v>6601</v>
      </c>
      <c r="S1209" s="86" t="s">
        <v>6602</v>
      </c>
      <c r="T1209" s="65"/>
      <c r="U1209" s="65"/>
      <c r="V1209" s="195" t="str">
        <f t="shared" si="77"/>
        <v>10.1126--science.aaf0918.pdf</v>
      </c>
      <c r="W1209" s="156" t="s">
        <v>6613</v>
      </c>
      <c r="X1209" s="51" t="str">
        <f t="array" ref="X1209"> if(iserror(MATCH(V1209, 'File Links'!C:C, 0)), "N/A", HYPERLINK(INDEX('File Links'!B:B, MATCH(V1209, 'File Links'!C:C, 0))))</f>
        <v>https://drive.google.com/file/d/1g2LUlGntoVWUQi433rats2xlfqkwajdf/view?usp=drivesdk</v>
      </c>
      <c r="Y1209" s="65"/>
      <c r="Z1209" s="156" t="s">
        <v>1802</v>
      </c>
      <c r="AA1209" s="156" t="s">
        <v>6674</v>
      </c>
      <c r="AB1209" s="156" t="s">
        <v>6683</v>
      </c>
      <c r="AC1209" s="156" t="s">
        <v>6684</v>
      </c>
      <c r="AD1209" s="156" t="s">
        <v>6685</v>
      </c>
      <c r="AE1209" s="156" t="s">
        <v>6686</v>
      </c>
      <c r="AF1209" s="153">
        <v>120.0</v>
      </c>
      <c r="AG1209" s="153">
        <v>33.43</v>
      </c>
      <c r="AH1209" s="357" t="s">
        <v>6687</v>
      </c>
      <c r="AI1209" s="156" t="s">
        <v>6688</v>
      </c>
      <c r="AJ1209" s="706">
        <v>0.01</v>
      </c>
      <c r="AK1209" s="54" t="s">
        <v>128</v>
      </c>
      <c r="AL1209" s="54" t="s">
        <v>179</v>
      </c>
      <c r="AM1209" s="65" t="s">
        <v>1898</v>
      </c>
      <c r="AN1209" s="148" t="s">
        <v>131</v>
      </c>
      <c r="AO1209" s="153">
        <v>160.0</v>
      </c>
      <c r="AP1209" s="153">
        <v>0.37</v>
      </c>
      <c r="AQ1209" s="156" t="s">
        <v>208</v>
      </c>
      <c r="AR1209" s="156" t="s">
        <v>3248</v>
      </c>
      <c r="AS1209" s="153">
        <v>0.142</v>
      </c>
      <c r="AT1209" s="156" t="s">
        <v>165</v>
      </c>
      <c r="AU1209" s="156" t="s">
        <v>179</v>
      </c>
      <c r="AV1209" s="65" t="s">
        <v>1898</v>
      </c>
      <c r="AW1209" s="65"/>
      <c r="AX1209" s="65" t="s">
        <v>136</v>
      </c>
      <c r="AZ1209" s="59" t="s">
        <v>6611</v>
      </c>
    </row>
    <row r="1210">
      <c r="A1210" s="41">
        <v>1210.0</v>
      </c>
      <c r="B1210" s="126" t="s">
        <v>145</v>
      </c>
      <c r="C1210" s="59" t="s">
        <v>108</v>
      </c>
      <c r="D1210" s="59" t="s">
        <v>225</v>
      </c>
      <c r="F1210" s="65" t="s">
        <v>6689</v>
      </c>
      <c r="G1210" s="65" t="s">
        <v>6689</v>
      </c>
      <c r="H1210" s="156" t="s">
        <v>5061</v>
      </c>
      <c r="I1210" s="149">
        <v>45690.0</v>
      </c>
      <c r="J1210" s="65"/>
      <c r="K1210" s="65"/>
      <c r="L1210" s="65"/>
      <c r="M1210" s="65" t="s">
        <v>6690</v>
      </c>
      <c r="N1210" s="65" t="s">
        <v>6691</v>
      </c>
      <c r="O1210" s="333">
        <v>1.0</v>
      </c>
      <c r="P1210" s="156" t="str">
        <f t="shared" si="76"/>
        <v>10.1257--aer.101.7.3109.pdf</v>
      </c>
      <c r="Q1210" s="49" t="str">
        <f t="array" ref="Q1210"> if(iserror(MATCH(V1210, 'File Links'!C:C, 0)), "N/A", HYPERLINK(INDEX('File Links'!B:B, MATCH(P1210, 'File Links'!C:C, 0))))</f>
        <v>https://drive.google.com/file/d/19J7SxgV3TKuAhMt2JaFPTLscquaGkcBh/view?usp=drivesdk</v>
      </c>
      <c r="R1210" s="1372" t="s">
        <v>6601</v>
      </c>
      <c r="S1210" s="86" t="s">
        <v>6602</v>
      </c>
      <c r="T1210" s="1371"/>
      <c r="U1210" s="333">
        <v>13.0</v>
      </c>
      <c r="V1210" s="195" t="str">
        <f t="shared" si="77"/>
        <v>10.1126--science.aaf0918.pdf</v>
      </c>
      <c r="W1210" s="156" t="s">
        <v>6603</v>
      </c>
      <c r="X1210" s="51" t="str">
        <f t="array" ref="X1210"> if(iserror(MATCH(V1210, 'File Links'!C:C, 0)), "N/A", HYPERLINK(INDEX('File Links'!B:B, MATCH(V1210, 'File Links'!C:C, 0))))</f>
        <v>https://drive.google.com/file/d/1g2LUlGntoVWUQi433rats2xlfqkwajdf/view?usp=drivesdk</v>
      </c>
      <c r="Y1210" s="65"/>
      <c r="Z1210" s="156" t="s">
        <v>1802</v>
      </c>
      <c r="AA1210" s="126" t="s">
        <v>6692</v>
      </c>
      <c r="AB1210" s="148" t="s">
        <v>6693</v>
      </c>
      <c r="AC1210" s="156" t="s">
        <v>6694</v>
      </c>
      <c r="AD1210" s="148" t="s">
        <v>6695</v>
      </c>
      <c r="AE1210" s="156" t="s">
        <v>6696</v>
      </c>
      <c r="AF1210" s="153">
        <v>58.0</v>
      </c>
      <c r="AG1210" s="158">
        <v>2.997</v>
      </c>
      <c r="AH1210" s="148" t="s">
        <v>6679</v>
      </c>
      <c r="AI1210" s="156" t="s">
        <v>6696</v>
      </c>
      <c r="AJ1210" s="153">
        <v>0.05</v>
      </c>
      <c r="AK1210" s="156" t="s">
        <v>128</v>
      </c>
      <c r="AL1210" s="156" t="s">
        <v>179</v>
      </c>
      <c r="AM1210" s="126" t="s">
        <v>134</v>
      </c>
      <c r="AN1210" s="148" t="s">
        <v>131</v>
      </c>
      <c r="AO1210" s="153">
        <v>131.0</v>
      </c>
      <c r="AP1210" s="158">
        <v>-0.057</v>
      </c>
      <c r="AQ1210" s="148" t="s">
        <v>6679</v>
      </c>
      <c r="AR1210" s="148" t="s">
        <v>806</v>
      </c>
      <c r="AS1210" s="153">
        <v>0.933</v>
      </c>
      <c r="AT1210" s="156" t="s">
        <v>165</v>
      </c>
      <c r="AU1210" s="156" t="s">
        <v>179</v>
      </c>
      <c r="AV1210" s="126" t="s">
        <v>134</v>
      </c>
      <c r="AW1210" s="432" t="s">
        <v>6697</v>
      </c>
      <c r="AX1210" s="65" t="s">
        <v>136</v>
      </c>
      <c r="AY1210" s="59" t="s">
        <v>6698</v>
      </c>
      <c r="AZ1210" s="59" t="s">
        <v>6611</v>
      </c>
    </row>
    <row r="1211">
      <c r="A1211" s="41">
        <v>1211.0</v>
      </c>
      <c r="B1211" s="59" t="s">
        <v>107</v>
      </c>
      <c r="C1211" s="42" t="s">
        <v>108</v>
      </c>
      <c r="D1211" s="59" t="s">
        <v>279</v>
      </c>
      <c r="F1211" s="65" t="s">
        <v>6689</v>
      </c>
      <c r="G1211" s="58" t="s">
        <v>6689</v>
      </c>
      <c r="H1211" s="156" t="s">
        <v>282</v>
      </c>
      <c r="I1211" s="149">
        <v>45667.0</v>
      </c>
      <c r="J1211" s="65"/>
      <c r="K1211" s="156" t="s">
        <v>6699</v>
      </c>
      <c r="L1211" s="65"/>
      <c r="M1211" s="65" t="s">
        <v>6690</v>
      </c>
      <c r="N1211" s="65" t="s">
        <v>6691</v>
      </c>
      <c r="O1211" s="65"/>
      <c r="P1211" s="156" t="str">
        <f t="shared" si="76"/>
        <v>10.1257--aer.101.7.3109.pdf</v>
      </c>
      <c r="Q1211" s="49" t="str">
        <f t="array" ref="Q1211"> if(iserror(MATCH(V1211, 'File Links'!C:C, 0)), "N/A", HYPERLINK(INDEX('File Links'!B:B, MATCH(P1211, 'File Links'!C:C, 0))))</f>
        <v>https://drive.google.com/file/d/19J7SxgV3TKuAhMt2JaFPTLscquaGkcBh/view?usp=drivesdk</v>
      </c>
      <c r="R1211" s="1372" t="s">
        <v>6601</v>
      </c>
      <c r="S1211" s="86" t="s">
        <v>6602</v>
      </c>
      <c r="T1211" s="65"/>
      <c r="U1211" s="65"/>
      <c r="V1211" s="195" t="str">
        <f t="shared" si="77"/>
        <v>10.1126--science.aaf0918.pdf</v>
      </c>
      <c r="W1211" s="156" t="s">
        <v>6613</v>
      </c>
      <c r="X1211" s="51" t="str">
        <f t="array" ref="X1211"> if(iserror(MATCH(V1211, 'File Links'!C:C, 0)), "N/A", HYPERLINK(INDEX('File Links'!B:B, MATCH(V1211, 'File Links'!C:C, 0))))</f>
        <v>https://drive.google.com/file/d/1g2LUlGntoVWUQi433rats2xlfqkwajdf/view?usp=drivesdk</v>
      </c>
      <c r="Y1211" s="65"/>
      <c r="Z1211" s="156" t="s">
        <v>1802</v>
      </c>
      <c r="AA1211" s="156" t="s">
        <v>6700</v>
      </c>
      <c r="AB1211" s="156" t="s">
        <v>6701</v>
      </c>
      <c r="AC1211" s="156" t="s">
        <v>6702</v>
      </c>
      <c r="AD1211" s="148" t="s">
        <v>6703</v>
      </c>
      <c r="AE1211" s="156" t="s">
        <v>6696</v>
      </c>
      <c r="AF1211" s="153">
        <v>58.0</v>
      </c>
      <c r="AG1211" s="153">
        <v>2.217</v>
      </c>
      <c r="AH1211" s="148" t="s">
        <v>127</v>
      </c>
      <c r="AI1211" s="156" t="s">
        <v>6704</v>
      </c>
      <c r="AJ1211" s="706">
        <v>0.05</v>
      </c>
      <c r="AK1211" s="54" t="s">
        <v>128</v>
      </c>
      <c r="AL1211" s="54" t="s">
        <v>179</v>
      </c>
      <c r="AM1211" s="65" t="s">
        <v>130</v>
      </c>
      <c r="AN1211" s="148" t="s">
        <v>131</v>
      </c>
      <c r="AO1211" s="153">
        <v>131.0</v>
      </c>
      <c r="AP1211" s="153">
        <v>-0.01</v>
      </c>
      <c r="AQ1211" s="156" t="s">
        <v>208</v>
      </c>
      <c r="AR1211" s="156" t="s">
        <v>3248</v>
      </c>
      <c r="AS1211" s="153">
        <v>0.933</v>
      </c>
      <c r="AT1211" s="156" t="s">
        <v>165</v>
      </c>
      <c r="AU1211" s="156" t="s">
        <v>129</v>
      </c>
      <c r="AV1211" s="65" t="s">
        <v>130</v>
      </c>
      <c r="AW1211" s="65"/>
      <c r="AX1211" s="65" t="s">
        <v>136</v>
      </c>
      <c r="AZ1211" s="59" t="s">
        <v>6611</v>
      </c>
    </row>
    <row r="1212">
      <c r="A1212" s="41">
        <v>1212.0</v>
      </c>
      <c r="B1212" s="126" t="s">
        <v>145</v>
      </c>
      <c r="C1212" s="59" t="s">
        <v>108</v>
      </c>
      <c r="D1212" s="59" t="s">
        <v>225</v>
      </c>
      <c r="F1212" s="65" t="s">
        <v>6705</v>
      </c>
      <c r="G1212" s="65" t="s">
        <v>6705</v>
      </c>
      <c r="H1212" s="156" t="s">
        <v>5061</v>
      </c>
      <c r="I1212" s="149">
        <v>45690.0</v>
      </c>
      <c r="J1212" s="65"/>
      <c r="K1212" s="65"/>
      <c r="L1212" s="126"/>
      <c r="M1212" s="65" t="s">
        <v>6706</v>
      </c>
      <c r="N1212" s="65" t="s">
        <v>6707</v>
      </c>
      <c r="O1212" s="333">
        <v>1.0</v>
      </c>
      <c r="P1212" s="156" t="str">
        <f t="shared" si="76"/>
        <v>10.1257--aer.102.5.2018.pdf</v>
      </c>
      <c r="Q1212" s="49" t="str">
        <f t="array" ref="Q1212"> if(iserror(MATCH(V1212, 'File Links'!C:C, 0)), "N/A", HYPERLINK(INDEX('File Links'!B:B, MATCH(P1212, 'File Links'!C:C, 0))))</f>
        <v>https://drive.google.com/file/d/17yYMWhyDAG179mIfO09X_DXEZMxaYLjP/view?usp=drivesdk</v>
      </c>
      <c r="R1212" s="1372" t="s">
        <v>6601</v>
      </c>
      <c r="S1212" s="86" t="s">
        <v>6602</v>
      </c>
      <c r="T1212" s="1371"/>
      <c r="U1212" s="333">
        <v>14.0</v>
      </c>
      <c r="V1212" s="195" t="str">
        <f t="shared" si="77"/>
        <v>10.1126--science.aaf0918.pdf</v>
      </c>
      <c r="W1212" s="156" t="s">
        <v>6603</v>
      </c>
      <c r="X1212" s="51" t="str">
        <f t="array" ref="X1212"> if(iserror(MATCH(V1212, 'File Links'!C:C, 0)), "N/A", HYPERLINK(INDEX('File Links'!B:B, MATCH(V1212, 'File Links'!C:C, 0))))</f>
        <v>https://drive.google.com/file/d/1g2LUlGntoVWUQi433rats2xlfqkwajdf/view?usp=drivesdk</v>
      </c>
      <c r="Y1212" s="65"/>
      <c r="Z1212" s="156" t="s">
        <v>1802</v>
      </c>
      <c r="AA1212" s="126" t="s">
        <v>6708</v>
      </c>
      <c r="AB1212" s="156" t="s">
        <v>6709</v>
      </c>
      <c r="AC1212" s="156" t="s">
        <v>6710</v>
      </c>
      <c r="AD1212" s="156" t="s">
        <v>6711</v>
      </c>
      <c r="AE1212" s="156" t="s">
        <v>6712</v>
      </c>
      <c r="AF1212" s="153">
        <v>288.0</v>
      </c>
      <c r="AG1212" s="1117">
        <v>5.135086696465202</v>
      </c>
      <c r="AH1212" s="156" t="s">
        <v>715</v>
      </c>
      <c r="AI1212" s="156" t="s">
        <v>6713</v>
      </c>
      <c r="AJ1212" s="706">
        <v>0.01</v>
      </c>
      <c r="AK1212" s="54" t="s">
        <v>128</v>
      </c>
      <c r="AL1212" s="156" t="s">
        <v>179</v>
      </c>
      <c r="AM1212" s="65" t="s">
        <v>130</v>
      </c>
      <c r="AN1212" s="148" t="s">
        <v>131</v>
      </c>
      <c r="AO1212" s="153">
        <v>48.0</v>
      </c>
      <c r="AP1212" s="158">
        <v>0.34</v>
      </c>
      <c r="AQ1212" s="148" t="s">
        <v>208</v>
      </c>
      <c r="AR1212" s="148" t="s">
        <v>6714</v>
      </c>
      <c r="AS1212" s="153">
        <v>0.016</v>
      </c>
      <c r="AT1212" s="156" t="s">
        <v>165</v>
      </c>
      <c r="AU1212" s="156" t="s">
        <v>179</v>
      </c>
      <c r="AV1212" s="126" t="s">
        <v>130</v>
      </c>
      <c r="AW1212" s="432" t="s">
        <v>6715</v>
      </c>
      <c r="AX1212" s="65" t="s">
        <v>136</v>
      </c>
      <c r="AZ1212" s="59" t="s">
        <v>6611</v>
      </c>
    </row>
    <row r="1213">
      <c r="A1213" s="41">
        <v>1213.0</v>
      </c>
      <c r="B1213" s="59" t="s">
        <v>107</v>
      </c>
      <c r="C1213" s="42" t="s">
        <v>108</v>
      </c>
      <c r="D1213" s="59" t="s">
        <v>279</v>
      </c>
      <c r="F1213" s="65" t="s">
        <v>6705</v>
      </c>
      <c r="G1213" s="58" t="s">
        <v>6705</v>
      </c>
      <c r="H1213" s="156" t="s">
        <v>282</v>
      </c>
      <c r="I1213" s="149">
        <v>45667.0</v>
      </c>
      <c r="J1213" s="65"/>
      <c r="K1213" s="156" t="s">
        <v>6716</v>
      </c>
      <c r="L1213" s="65"/>
      <c r="M1213" s="65" t="s">
        <v>6706</v>
      </c>
      <c r="N1213" s="65" t="s">
        <v>6707</v>
      </c>
      <c r="O1213" s="65"/>
      <c r="P1213" s="156" t="str">
        <f t="shared" si="76"/>
        <v>10.1257--aer.102.5.2018.pdf</v>
      </c>
      <c r="Q1213" s="49" t="str">
        <f t="array" ref="Q1213"> if(iserror(MATCH(V1213, 'File Links'!C:C, 0)), "N/A", HYPERLINK(INDEX('File Links'!B:B, MATCH(P1213, 'File Links'!C:C, 0))))</f>
        <v>https://drive.google.com/file/d/17yYMWhyDAG179mIfO09X_DXEZMxaYLjP/view?usp=drivesdk</v>
      </c>
      <c r="R1213" s="1372" t="s">
        <v>6601</v>
      </c>
      <c r="S1213" s="86" t="s">
        <v>6602</v>
      </c>
      <c r="T1213" s="65"/>
      <c r="U1213" s="65"/>
      <c r="V1213" s="195" t="str">
        <f t="shared" si="77"/>
        <v>10.1126--science.aaf0918.pdf</v>
      </c>
      <c r="W1213" s="156" t="s">
        <v>6613</v>
      </c>
      <c r="X1213" s="51" t="str">
        <f t="array" ref="X1213"> if(iserror(MATCH(V1213, 'File Links'!C:C, 0)), "N/A", HYPERLINK(INDEX('File Links'!B:B, MATCH(V1213, 'File Links'!C:C, 0))))</f>
        <v>https://drive.google.com/file/d/1g2LUlGntoVWUQi433rats2xlfqkwajdf/view?usp=drivesdk</v>
      </c>
      <c r="Y1213" s="65"/>
      <c r="Z1213" s="156" t="s">
        <v>1802</v>
      </c>
      <c r="AA1213" s="156" t="s">
        <v>6717</v>
      </c>
      <c r="AB1213" s="156" t="s">
        <v>6718</v>
      </c>
      <c r="AC1213" s="156" t="s">
        <v>6719</v>
      </c>
      <c r="AD1213" s="156" t="s">
        <v>6720</v>
      </c>
      <c r="AE1213" s="156" t="s">
        <v>6721</v>
      </c>
      <c r="AF1213" s="153">
        <v>288.0</v>
      </c>
      <c r="AG1213" s="153">
        <v>9.34</v>
      </c>
      <c r="AH1213" s="148" t="s">
        <v>127</v>
      </c>
      <c r="AI1213" s="156" t="s">
        <v>6722</v>
      </c>
      <c r="AJ1213" s="706">
        <v>0.01</v>
      </c>
      <c r="AK1213" s="54" t="s">
        <v>128</v>
      </c>
      <c r="AL1213" s="54" t="s">
        <v>179</v>
      </c>
      <c r="AM1213" s="65" t="s">
        <v>134</v>
      </c>
      <c r="AN1213" s="148" t="s">
        <v>131</v>
      </c>
      <c r="AO1213" s="153">
        <v>48.0</v>
      </c>
      <c r="AP1213" s="153">
        <v>0.34</v>
      </c>
      <c r="AQ1213" s="156" t="s">
        <v>208</v>
      </c>
      <c r="AR1213" s="156" t="s">
        <v>3248</v>
      </c>
      <c r="AS1213" s="153">
        <v>0.016</v>
      </c>
      <c r="AT1213" s="156" t="s">
        <v>165</v>
      </c>
      <c r="AU1213" s="156" t="s">
        <v>179</v>
      </c>
      <c r="AV1213" s="65" t="s">
        <v>1898</v>
      </c>
      <c r="AW1213" s="65"/>
      <c r="AX1213" s="65" t="s">
        <v>136</v>
      </c>
      <c r="AZ1213" s="59" t="s">
        <v>6611</v>
      </c>
    </row>
    <row r="1214">
      <c r="A1214" s="41">
        <v>1214.0</v>
      </c>
      <c r="B1214" s="126" t="s">
        <v>145</v>
      </c>
      <c r="C1214" s="59" t="s">
        <v>108</v>
      </c>
      <c r="D1214" s="59" t="s">
        <v>225</v>
      </c>
      <c r="F1214" s="65" t="s">
        <v>6723</v>
      </c>
      <c r="G1214" s="65" t="s">
        <v>6723</v>
      </c>
      <c r="H1214" s="156" t="s">
        <v>5061</v>
      </c>
      <c r="I1214" s="149">
        <v>45690.0</v>
      </c>
      <c r="J1214" s="65"/>
      <c r="K1214" s="156" t="s">
        <v>6724</v>
      </c>
      <c r="L1214" s="65"/>
      <c r="M1214" s="65" t="s">
        <v>6725</v>
      </c>
      <c r="N1214" s="65" t="s">
        <v>6726</v>
      </c>
      <c r="O1214" s="333">
        <v>1.0</v>
      </c>
      <c r="P1214" s="156" t="str">
        <f t="shared" si="76"/>
        <v>10.1257--aer.102.2.865.pdf</v>
      </c>
      <c r="Q1214" s="49" t="str">
        <f t="array" ref="Q1214"> if(iserror(MATCH(V1214, 'File Links'!C:C, 0)), "N/A", HYPERLINK(INDEX('File Links'!B:B, MATCH(P1214, 'File Links'!C:C, 0))))</f>
        <v>https://drive.google.com/file/d/1b2FC_ZxV315l7N6zoTHVU2AgAr7SbyXB/view?usp=drivesdk</v>
      </c>
      <c r="R1214" s="1372" t="s">
        <v>6601</v>
      </c>
      <c r="S1214" s="86" t="s">
        <v>6602</v>
      </c>
      <c r="T1214" s="1371"/>
      <c r="U1214" s="333">
        <v>15.0</v>
      </c>
      <c r="V1214" s="195" t="str">
        <f t="shared" si="77"/>
        <v>10.1126--science.aaf0918.pdf</v>
      </c>
      <c r="W1214" s="156" t="s">
        <v>6603</v>
      </c>
      <c r="X1214" s="51" t="str">
        <f t="array" ref="X1214"> if(iserror(MATCH(V1214, 'File Links'!C:C, 0)), "N/A", HYPERLINK(INDEX('File Links'!B:B, MATCH(V1214, 'File Links'!C:C, 0))))</f>
        <v>https://drive.google.com/file/d/1g2LUlGntoVWUQi433rats2xlfqkwajdf/view?usp=drivesdk</v>
      </c>
      <c r="Y1214" s="65"/>
      <c r="Z1214" s="156" t="s">
        <v>1802</v>
      </c>
      <c r="AA1214" s="371" t="s">
        <v>131</v>
      </c>
      <c r="AB1214" s="148" t="s">
        <v>6727</v>
      </c>
      <c r="AC1214" s="148" t="s">
        <v>6728</v>
      </c>
      <c r="AD1214" s="148" t="s">
        <v>6729</v>
      </c>
      <c r="AE1214" s="156" t="s">
        <v>6730</v>
      </c>
      <c r="AF1214" s="153">
        <v>120.0</v>
      </c>
      <c r="AG1214" s="158">
        <v>0.335</v>
      </c>
      <c r="AH1214" s="148" t="s">
        <v>6679</v>
      </c>
      <c r="AI1214" s="126" t="s">
        <v>6731</v>
      </c>
      <c r="AJ1214" s="153">
        <v>0.05</v>
      </c>
      <c r="AK1214" s="156" t="s">
        <v>128</v>
      </c>
      <c r="AL1214" s="156" t="s">
        <v>179</v>
      </c>
      <c r="AM1214" s="126" t="s">
        <v>134</v>
      </c>
      <c r="AN1214" s="148" t="s">
        <v>131</v>
      </c>
      <c r="AO1214" s="153">
        <v>220.0</v>
      </c>
      <c r="AP1214" s="158">
        <v>0.108</v>
      </c>
      <c r="AQ1214" s="148" t="s">
        <v>6679</v>
      </c>
      <c r="AR1214" s="148" t="s">
        <v>843</v>
      </c>
      <c r="AS1214" s="153">
        <v>0.01</v>
      </c>
      <c r="AT1214" s="156" t="s">
        <v>165</v>
      </c>
      <c r="AU1214" s="156" t="s">
        <v>179</v>
      </c>
      <c r="AV1214" s="126" t="s">
        <v>134</v>
      </c>
      <c r="AW1214" s="432" t="s">
        <v>6732</v>
      </c>
      <c r="AX1214" s="65" t="s">
        <v>431</v>
      </c>
      <c r="AY1214" s="59" t="s">
        <v>6733</v>
      </c>
      <c r="AZ1214" s="59" t="s">
        <v>6611</v>
      </c>
    </row>
    <row r="1215">
      <c r="A1215" s="41">
        <v>1215.0</v>
      </c>
      <c r="B1215" s="59" t="s">
        <v>107</v>
      </c>
      <c r="C1215" s="42" t="s">
        <v>108</v>
      </c>
      <c r="D1215" s="59" t="s">
        <v>279</v>
      </c>
      <c r="F1215" s="65" t="s">
        <v>6723</v>
      </c>
      <c r="G1215" s="58" t="s">
        <v>6723</v>
      </c>
      <c r="H1215" s="156" t="s">
        <v>282</v>
      </c>
      <c r="I1215" s="149">
        <v>45667.0</v>
      </c>
      <c r="J1215" s="65"/>
      <c r="K1215" s="156" t="s">
        <v>6734</v>
      </c>
      <c r="L1215" s="65"/>
      <c r="M1215" s="65" t="s">
        <v>6725</v>
      </c>
      <c r="N1215" s="65" t="s">
        <v>6726</v>
      </c>
      <c r="O1215" s="65"/>
      <c r="P1215" s="156" t="str">
        <f t="shared" si="76"/>
        <v>10.1257--aer.102.2.865.pdf</v>
      </c>
      <c r="Q1215" s="49" t="str">
        <f t="array" ref="Q1215"> if(iserror(MATCH(V1215, 'File Links'!C:C, 0)), "N/A", HYPERLINK(INDEX('File Links'!B:B, MATCH(P1215, 'File Links'!C:C, 0))))</f>
        <v>https://drive.google.com/file/d/1b2FC_ZxV315l7N6zoTHVU2AgAr7SbyXB/view?usp=drivesdk</v>
      </c>
      <c r="R1215" s="1372" t="s">
        <v>6601</v>
      </c>
      <c r="S1215" s="86" t="s">
        <v>6602</v>
      </c>
      <c r="T1215" s="65"/>
      <c r="U1215" s="65"/>
      <c r="V1215" s="195" t="str">
        <f t="shared" si="77"/>
        <v>10.1126--science.aaf0918.pdf</v>
      </c>
      <c r="W1215" s="156" t="s">
        <v>6613</v>
      </c>
      <c r="X1215" s="51" t="str">
        <f t="array" ref="X1215"> if(iserror(MATCH(V1215, 'File Links'!C:C, 0)), "N/A", HYPERLINK(INDEX('File Links'!B:B, MATCH(V1215, 'File Links'!C:C, 0))))</f>
        <v>https://drive.google.com/file/d/1g2LUlGntoVWUQi433rats2xlfqkwajdf/view?usp=drivesdk</v>
      </c>
      <c r="Y1215" s="65"/>
      <c r="Z1215" s="156" t="s">
        <v>1802</v>
      </c>
      <c r="AA1215" s="156" t="s">
        <v>6735</v>
      </c>
      <c r="AB1215" s="156" t="s">
        <v>6736</v>
      </c>
      <c r="AC1215" s="156" t="s">
        <v>6737</v>
      </c>
      <c r="AD1215" s="156" t="s">
        <v>6738</v>
      </c>
      <c r="AE1215" s="156" t="s">
        <v>6739</v>
      </c>
      <c r="AF1215" s="153">
        <v>120.0</v>
      </c>
      <c r="AG1215" s="153">
        <v>0.035</v>
      </c>
      <c r="AH1215" s="156" t="s">
        <v>6740</v>
      </c>
      <c r="AI1215" s="65"/>
      <c r="AJ1215" s="706">
        <v>0.05</v>
      </c>
      <c r="AK1215" s="54" t="s">
        <v>128</v>
      </c>
      <c r="AL1215" s="54" t="s">
        <v>179</v>
      </c>
      <c r="AM1215" s="65" t="s">
        <v>130</v>
      </c>
      <c r="AN1215" s="148" t="s">
        <v>131</v>
      </c>
      <c r="AO1215" s="153">
        <v>220.0</v>
      </c>
      <c r="AP1215" s="153">
        <v>0.53</v>
      </c>
      <c r="AQ1215" s="156" t="s">
        <v>208</v>
      </c>
      <c r="AR1215" s="156" t="s">
        <v>3248</v>
      </c>
      <c r="AS1215" s="153">
        <v>0.01</v>
      </c>
      <c r="AT1215" s="156" t="s">
        <v>165</v>
      </c>
      <c r="AU1215" s="156" t="s">
        <v>179</v>
      </c>
      <c r="AV1215" s="65" t="s">
        <v>130</v>
      </c>
      <c r="AW1215" s="65"/>
      <c r="AX1215" s="65" t="s">
        <v>136</v>
      </c>
      <c r="AZ1215" s="59" t="s">
        <v>6611</v>
      </c>
    </row>
    <row r="1216">
      <c r="A1216" s="41">
        <v>1216.0</v>
      </c>
      <c r="B1216" s="126" t="s">
        <v>145</v>
      </c>
      <c r="C1216" s="59" t="s">
        <v>108</v>
      </c>
      <c r="D1216" s="59" t="s">
        <v>225</v>
      </c>
      <c r="F1216" s="65" t="s">
        <v>6741</v>
      </c>
      <c r="G1216" s="65" t="s">
        <v>6741</v>
      </c>
      <c r="H1216" s="156" t="s">
        <v>5061</v>
      </c>
      <c r="I1216" s="149">
        <v>45690.0</v>
      </c>
      <c r="J1216" s="65"/>
      <c r="K1216" s="65"/>
      <c r="L1216" s="65"/>
      <c r="M1216" s="65" t="s">
        <v>6742</v>
      </c>
      <c r="N1216" s="65" t="s">
        <v>6743</v>
      </c>
      <c r="O1216" s="333">
        <v>2.0</v>
      </c>
      <c r="P1216" s="156" t="str">
        <f t="shared" si="76"/>
        <v>10.1257--aer.101.2.927.pdf</v>
      </c>
      <c r="Q1216" s="49" t="str">
        <f t="array" ref="Q1216"> if(iserror(MATCH(V1216, 'File Links'!C:C, 0)), "N/A", HYPERLINK(INDEX('File Links'!B:B, MATCH(P1216, 'File Links'!C:C, 0))))</f>
        <v>https://drive.google.com/file/d/1BktRBxUCABNKOmBS08ZeWLX5NwbuQmVb/view?usp=drivesdk</v>
      </c>
      <c r="R1216" s="1372" t="s">
        <v>6601</v>
      </c>
      <c r="S1216" s="86" t="s">
        <v>6602</v>
      </c>
      <c r="T1216" s="1371"/>
      <c r="U1216" s="333">
        <v>16.0</v>
      </c>
      <c r="V1216" s="195" t="str">
        <f t="shared" si="77"/>
        <v>10.1126--science.aaf0918.pdf</v>
      </c>
      <c r="W1216" s="156" t="s">
        <v>6603</v>
      </c>
      <c r="X1216" s="51" t="str">
        <f t="array" ref="X1216"> if(iserror(MATCH(V1216, 'File Links'!C:C, 0)), "N/A", HYPERLINK(INDEX('File Links'!B:B, MATCH(V1216, 'File Links'!C:C, 0))))</f>
        <v>https://drive.google.com/file/d/1g2LUlGntoVWUQi433rats2xlfqkwajdf/view?usp=drivesdk</v>
      </c>
      <c r="Y1216" s="65"/>
      <c r="Z1216" s="156" t="s">
        <v>1802</v>
      </c>
      <c r="AA1216" s="148" t="s">
        <v>6744</v>
      </c>
      <c r="AB1216" s="65" t="s">
        <v>6745</v>
      </c>
      <c r="AC1216" s="126" t="s">
        <v>6746</v>
      </c>
      <c r="AD1216" s="148" t="s">
        <v>6747</v>
      </c>
      <c r="AE1216" s="148" t="s">
        <v>6748</v>
      </c>
      <c r="AF1216" s="153">
        <v>126.0</v>
      </c>
      <c r="AG1216" s="153">
        <v>-2.739</v>
      </c>
      <c r="AH1216" s="148" t="s">
        <v>6749</v>
      </c>
      <c r="AI1216" s="156" t="s">
        <v>6750</v>
      </c>
      <c r="AJ1216" s="706">
        <v>0.01</v>
      </c>
      <c r="AK1216" s="156" t="s">
        <v>128</v>
      </c>
      <c r="AL1216" s="156" t="s">
        <v>179</v>
      </c>
      <c r="AM1216" s="126" t="s">
        <v>134</v>
      </c>
      <c r="AN1216" s="148" t="s">
        <v>131</v>
      </c>
      <c r="AO1216" s="153">
        <v>90.0</v>
      </c>
      <c r="AP1216" s="158">
        <v>-2.534</v>
      </c>
      <c r="AQ1216" s="148" t="s">
        <v>6749</v>
      </c>
      <c r="AR1216" s="148" t="s">
        <v>210</v>
      </c>
      <c r="AS1216" s="153">
        <v>0.001</v>
      </c>
      <c r="AT1216" s="156" t="s">
        <v>165</v>
      </c>
      <c r="AU1216" s="156" t="s">
        <v>179</v>
      </c>
      <c r="AV1216" s="126" t="s">
        <v>134</v>
      </c>
      <c r="AW1216" s="432" t="s">
        <v>6751</v>
      </c>
      <c r="AX1216" s="65" t="s">
        <v>136</v>
      </c>
      <c r="AY1216" s="59" t="s">
        <v>6752</v>
      </c>
      <c r="AZ1216" s="59" t="s">
        <v>6611</v>
      </c>
    </row>
    <row r="1217">
      <c r="A1217" s="41">
        <v>1217.0</v>
      </c>
      <c r="B1217" s="59" t="s">
        <v>107</v>
      </c>
      <c r="C1217" s="42" t="s">
        <v>108</v>
      </c>
      <c r="D1217" s="59" t="s">
        <v>279</v>
      </c>
      <c r="F1217" s="65" t="s">
        <v>6741</v>
      </c>
      <c r="G1217" s="58" t="s">
        <v>6741</v>
      </c>
      <c r="H1217" s="156" t="s">
        <v>282</v>
      </c>
      <c r="I1217" s="149">
        <v>45667.0</v>
      </c>
      <c r="J1217" s="65"/>
      <c r="K1217" s="156" t="s">
        <v>6753</v>
      </c>
      <c r="L1217" s="65"/>
      <c r="M1217" s="65" t="s">
        <v>6742</v>
      </c>
      <c r="N1217" s="65" t="s">
        <v>6743</v>
      </c>
      <c r="O1217" s="65"/>
      <c r="P1217" s="156" t="str">
        <f t="shared" si="76"/>
        <v>10.1257--aer.101.2.927.pdf</v>
      </c>
      <c r="Q1217" s="49" t="str">
        <f t="array" ref="Q1217"> if(iserror(MATCH(V1217, 'File Links'!C:C, 0)), "N/A", HYPERLINK(INDEX('File Links'!B:B, MATCH(P1217, 'File Links'!C:C, 0))))</f>
        <v>https://drive.google.com/file/d/1BktRBxUCABNKOmBS08ZeWLX5NwbuQmVb/view?usp=drivesdk</v>
      </c>
      <c r="R1217" s="1372" t="s">
        <v>6601</v>
      </c>
      <c r="S1217" s="86" t="s">
        <v>6602</v>
      </c>
      <c r="T1217" s="65"/>
      <c r="U1217" s="65"/>
      <c r="V1217" s="195" t="str">
        <f t="shared" si="77"/>
        <v>10.1126--science.aaf0918.pdf</v>
      </c>
      <c r="W1217" s="156" t="s">
        <v>6613</v>
      </c>
      <c r="X1217" s="51" t="str">
        <f t="array" ref="X1217"> if(iserror(MATCH(V1217, 'File Links'!C:C, 0)), "N/A", HYPERLINK(INDEX('File Links'!B:B, MATCH(V1217, 'File Links'!C:C, 0))))</f>
        <v>https://drive.google.com/file/d/1g2LUlGntoVWUQi433rats2xlfqkwajdf/view?usp=drivesdk</v>
      </c>
      <c r="Y1217" s="65"/>
      <c r="Z1217" s="156" t="s">
        <v>1802</v>
      </c>
      <c r="AA1217" s="148" t="s">
        <v>6744</v>
      </c>
      <c r="AB1217" s="65"/>
      <c r="AC1217" s="65"/>
      <c r="AD1217" s="156" t="s">
        <v>6754</v>
      </c>
      <c r="AE1217" s="156" t="s">
        <v>6755</v>
      </c>
      <c r="AF1217" s="153">
        <v>126.0</v>
      </c>
      <c r="AG1217" s="153">
        <v>-4.2</v>
      </c>
      <c r="AH1217" s="148" t="s">
        <v>127</v>
      </c>
      <c r="AI1217" s="156" t="s">
        <v>6756</v>
      </c>
      <c r="AJ1217" s="706">
        <v>0.01</v>
      </c>
      <c r="AK1217" s="54" t="s">
        <v>128</v>
      </c>
      <c r="AL1217" s="54" t="s">
        <v>179</v>
      </c>
      <c r="AM1217" s="65" t="s">
        <v>134</v>
      </c>
      <c r="AN1217" s="148" t="s">
        <v>131</v>
      </c>
      <c r="AO1217" s="153">
        <v>90.0</v>
      </c>
      <c r="AP1217" s="153">
        <v>0.3</v>
      </c>
      <c r="AQ1217" s="156" t="s">
        <v>208</v>
      </c>
      <c r="AR1217" s="156" t="s">
        <v>3248</v>
      </c>
      <c r="AS1217" s="153">
        <v>0.001</v>
      </c>
      <c r="AT1217" s="156" t="s">
        <v>165</v>
      </c>
      <c r="AU1217" s="156" t="s">
        <v>179</v>
      </c>
      <c r="AV1217" s="65" t="s">
        <v>134</v>
      </c>
      <c r="AW1217" s="65"/>
      <c r="AX1217" s="65" t="s">
        <v>136</v>
      </c>
      <c r="AZ1217" s="59" t="s">
        <v>6611</v>
      </c>
    </row>
    <row r="1218">
      <c r="A1218" s="41">
        <v>1218.0</v>
      </c>
      <c r="B1218" s="126" t="s">
        <v>145</v>
      </c>
      <c r="C1218" s="59" t="s">
        <v>108</v>
      </c>
      <c r="D1218" s="59" t="s">
        <v>225</v>
      </c>
      <c r="F1218" s="65" t="s">
        <v>6757</v>
      </c>
      <c r="G1218" s="65" t="s">
        <v>6757</v>
      </c>
      <c r="H1218" s="156" t="s">
        <v>5061</v>
      </c>
      <c r="I1218" s="149">
        <v>45690.0</v>
      </c>
      <c r="J1218" s="65"/>
      <c r="K1218" s="65"/>
      <c r="L1218" s="65"/>
      <c r="M1218" s="65" t="s">
        <v>6758</v>
      </c>
      <c r="N1218" s="65" t="s">
        <v>6759</v>
      </c>
      <c r="O1218" s="333">
        <v>1.0</v>
      </c>
      <c r="P1218" s="156" t="str">
        <f t="shared" si="76"/>
        <v>10.1093--qje--qjt035.pdf</v>
      </c>
      <c r="Q1218" s="49" t="str">
        <f t="array" ref="Q1218"> if(iserror(MATCH(V1218, 'File Links'!C:C, 0)), "N/A", HYPERLINK(INDEX('File Links'!B:B, MATCH(P1218, 'File Links'!C:C, 0))))</f>
        <v>https://drive.google.com/file/d/1AEIAMNY49STOE6ElNt-b8Hq1Zx5-39DC/view?usp=drivesdk</v>
      </c>
      <c r="R1218" s="1372" t="s">
        <v>6601</v>
      </c>
      <c r="S1218" s="86" t="s">
        <v>6602</v>
      </c>
      <c r="T1218" s="1371"/>
      <c r="U1218" s="333">
        <v>17.0</v>
      </c>
      <c r="V1218" s="195" t="str">
        <f t="shared" si="77"/>
        <v>10.1126--science.aaf0918.pdf</v>
      </c>
      <c r="W1218" s="156" t="s">
        <v>6603</v>
      </c>
      <c r="X1218" s="51" t="str">
        <f t="array" ref="X1218"> if(iserror(MATCH(V1218, 'File Links'!C:C, 0)), "N/A", HYPERLINK(INDEX('File Links'!B:B, MATCH(V1218, 'File Links'!C:C, 0))))</f>
        <v>https://drive.google.com/file/d/1g2LUlGntoVWUQi433rats2xlfqkwajdf/view?usp=drivesdk</v>
      </c>
      <c r="Y1218" s="65"/>
      <c r="Z1218" s="156" t="s">
        <v>1802</v>
      </c>
      <c r="AA1218" s="371" t="s">
        <v>131</v>
      </c>
      <c r="AB1218" s="156" t="s">
        <v>6760</v>
      </c>
      <c r="AC1218" s="65" t="s">
        <v>6761</v>
      </c>
      <c r="AD1218" s="148" t="s">
        <v>6762</v>
      </c>
      <c r="AE1218" s="148" t="s">
        <v>6763</v>
      </c>
      <c r="AF1218" s="153">
        <v>42.0</v>
      </c>
      <c r="AG1218" s="158">
        <v>-0.116</v>
      </c>
      <c r="AH1218" s="148" t="s">
        <v>6764</v>
      </c>
      <c r="AI1218" s="156" t="s">
        <v>6765</v>
      </c>
      <c r="AJ1218" s="153">
        <v>0.1</v>
      </c>
      <c r="AK1218" s="156" t="s">
        <v>128</v>
      </c>
      <c r="AL1218" s="156" t="s">
        <v>179</v>
      </c>
      <c r="AM1218" s="126" t="s">
        <v>134</v>
      </c>
      <c r="AN1218" s="148" t="s">
        <v>131</v>
      </c>
      <c r="AO1218" s="153">
        <v>144.0</v>
      </c>
      <c r="AP1218" s="158">
        <v>0.045</v>
      </c>
      <c r="AQ1218" s="148" t="s">
        <v>6764</v>
      </c>
      <c r="AR1218" s="148" t="s">
        <v>843</v>
      </c>
      <c r="AS1218" s="153">
        <v>0.154</v>
      </c>
      <c r="AT1218" s="156" t="s">
        <v>165</v>
      </c>
      <c r="AU1218" s="156" t="s">
        <v>179</v>
      </c>
      <c r="AV1218" s="126" t="s">
        <v>134</v>
      </c>
      <c r="AW1218" s="432" t="s">
        <v>6766</v>
      </c>
      <c r="AX1218" s="65" t="s">
        <v>136</v>
      </c>
      <c r="AZ1218" s="59" t="s">
        <v>6611</v>
      </c>
    </row>
    <row r="1219">
      <c r="A1219" s="41">
        <v>1219.0</v>
      </c>
      <c r="B1219" s="59" t="s">
        <v>107</v>
      </c>
      <c r="C1219" s="42" t="s">
        <v>108</v>
      </c>
      <c r="D1219" s="59" t="s">
        <v>279</v>
      </c>
      <c r="F1219" s="65" t="s">
        <v>6757</v>
      </c>
      <c r="G1219" s="58" t="s">
        <v>6757</v>
      </c>
      <c r="H1219" s="156" t="s">
        <v>282</v>
      </c>
      <c r="I1219" s="149">
        <v>45667.0</v>
      </c>
      <c r="J1219" s="65"/>
      <c r="K1219" s="156" t="s">
        <v>6767</v>
      </c>
      <c r="L1219" s="65"/>
      <c r="M1219" s="65" t="s">
        <v>6758</v>
      </c>
      <c r="N1219" s="65" t="s">
        <v>6759</v>
      </c>
      <c r="O1219" s="65"/>
      <c r="P1219" s="156" t="str">
        <f t="shared" si="76"/>
        <v>10.1093--qje--qjt035.pdf</v>
      </c>
      <c r="Q1219" s="49" t="str">
        <f t="array" ref="Q1219"> if(iserror(MATCH(V1219, 'File Links'!C:C, 0)), "N/A", HYPERLINK(INDEX('File Links'!B:B, MATCH(P1219, 'File Links'!C:C, 0))))</f>
        <v>https://drive.google.com/file/d/1AEIAMNY49STOE6ElNt-b8Hq1Zx5-39DC/view?usp=drivesdk</v>
      </c>
      <c r="R1219" s="1372" t="s">
        <v>6601</v>
      </c>
      <c r="S1219" s="86" t="s">
        <v>6602</v>
      </c>
      <c r="T1219" s="65"/>
      <c r="U1219" s="65"/>
      <c r="V1219" s="195" t="str">
        <f t="shared" si="77"/>
        <v>10.1126--science.aaf0918.pdf</v>
      </c>
      <c r="W1219" s="156" t="s">
        <v>6613</v>
      </c>
      <c r="X1219" s="51" t="str">
        <f t="array" ref="X1219"> if(iserror(MATCH(V1219, 'File Links'!C:C, 0)), "N/A", HYPERLINK(INDEX('File Links'!B:B, MATCH(V1219, 'File Links'!C:C, 0))))</f>
        <v>https://drive.google.com/file/d/1g2LUlGntoVWUQi433rats2xlfqkwajdf/view?usp=drivesdk</v>
      </c>
      <c r="Y1219" s="65"/>
      <c r="Z1219" s="156" t="s">
        <v>1802</v>
      </c>
      <c r="AA1219" s="156" t="s">
        <v>6768</v>
      </c>
      <c r="AB1219" s="156" t="s">
        <v>6769</v>
      </c>
      <c r="AC1219" s="65" t="s">
        <v>6770</v>
      </c>
      <c r="AD1219" s="156" t="s">
        <v>6771</v>
      </c>
      <c r="AE1219" s="156" t="s">
        <v>6772</v>
      </c>
      <c r="AF1219" s="153">
        <v>42.0</v>
      </c>
      <c r="AG1219" s="153">
        <v>-0.181</v>
      </c>
      <c r="AH1219" s="148" t="s">
        <v>127</v>
      </c>
      <c r="AI1219" s="156" t="s">
        <v>6773</v>
      </c>
      <c r="AJ1219" s="706">
        <v>0.1</v>
      </c>
      <c r="AK1219" s="54" t="s">
        <v>128</v>
      </c>
      <c r="AL1219" s="54" t="s">
        <v>179</v>
      </c>
      <c r="AM1219" s="65" t="s">
        <v>134</v>
      </c>
      <c r="AN1219" s="148" t="s">
        <v>131</v>
      </c>
      <c r="AO1219" s="153">
        <v>144.0</v>
      </c>
      <c r="AP1219" s="153">
        <v>-0.12</v>
      </c>
      <c r="AQ1219" s="156" t="s">
        <v>208</v>
      </c>
      <c r="AR1219" s="156" t="s">
        <v>3248</v>
      </c>
      <c r="AS1219" s="153">
        <v>0.154</v>
      </c>
      <c r="AT1219" s="156" t="s">
        <v>165</v>
      </c>
      <c r="AU1219" s="156" t="s">
        <v>179</v>
      </c>
      <c r="AV1219" s="65" t="s">
        <v>134</v>
      </c>
      <c r="AW1219" s="65"/>
      <c r="AX1219" s="65" t="s">
        <v>136</v>
      </c>
      <c r="AZ1219" s="59" t="s">
        <v>6611</v>
      </c>
    </row>
    <row r="1220">
      <c r="A1220" s="41">
        <v>1220.0</v>
      </c>
      <c r="B1220" s="126" t="s">
        <v>145</v>
      </c>
      <c r="C1220" s="59" t="s">
        <v>108</v>
      </c>
      <c r="D1220" s="59" t="s">
        <v>225</v>
      </c>
      <c r="F1220" s="65" t="s">
        <v>6774</v>
      </c>
      <c r="G1220" s="65" t="s">
        <v>6774</v>
      </c>
      <c r="H1220" s="156" t="s">
        <v>5061</v>
      </c>
      <c r="I1220" s="149">
        <v>45690.0</v>
      </c>
      <c r="J1220" s="65"/>
      <c r="K1220" s="65"/>
      <c r="L1220" s="65"/>
      <c r="M1220" s="65" t="s">
        <v>6775</v>
      </c>
      <c r="N1220" s="65" t="s">
        <v>6776</v>
      </c>
      <c r="O1220" s="333">
        <v>1.0</v>
      </c>
      <c r="P1220" s="156" t="str">
        <f t="shared" si="76"/>
        <v>10.1257--aer.102.7.3317.pdf</v>
      </c>
      <c r="Q1220" s="49" t="str">
        <f t="array" ref="Q1220"> if(iserror(MATCH(V1220, 'File Links'!C:C, 0)), "N/A", HYPERLINK(INDEX('File Links'!B:B, MATCH(P1220, 'File Links'!C:C, 0))))</f>
        <v>https://drive.google.com/file/d/1vGGh8iNvz5riiPFFfaYWDPoBsN1DieSC/view?usp=drivesdk</v>
      </c>
      <c r="R1220" s="1372" t="s">
        <v>6601</v>
      </c>
      <c r="S1220" s="86" t="s">
        <v>6602</v>
      </c>
      <c r="T1220" s="1371"/>
      <c r="U1220" s="333">
        <v>2.0</v>
      </c>
      <c r="V1220" s="195" t="str">
        <f t="shared" si="77"/>
        <v>10.1126--science.aaf0918.pdf</v>
      </c>
      <c r="W1220" s="156" t="s">
        <v>6603</v>
      </c>
      <c r="X1220" s="51" t="str">
        <f t="array" ref="X1220"> if(iserror(MATCH(V1220, 'File Links'!C:C, 0)), "N/A", HYPERLINK(INDEX('File Links'!B:B, MATCH(V1220, 'File Links'!C:C, 0))))</f>
        <v>https://drive.google.com/file/d/1g2LUlGntoVWUQi433rats2xlfqkwajdf/view?usp=drivesdk</v>
      </c>
      <c r="Y1220" s="65"/>
      <c r="Z1220" s="156" t="s">
        <v>1802</v>
      </c>
      <c r="AA1220" s="126" t="s">
        <v>6777</v>
      </c>
      <c r="AB1220" s="148" t="s">
        <v>6778</v>
      </c>
      <c r="AC1220" s="148" t="s">
        <v>6779</v>
      </c>
      <c r="AD1220" s="148" t="s">
        <v>6780</v>
      </c>
      <c r="AE1220" s="156" t="s">
        <v>6781</v>
      </c>
      <c r="AF1220" s="153">
        <v>117.0</v>
      </c>
      <c r="AG1220" s="158">
        <v>2.91</v>
      </c>
      <c r="AH1220" s="148" t="s">
        <v>980</v>
      </c>
      <c r="AI1220" s="126" t="s">
        <v>6782</v>
      </c>
      <c r="AJ1220" s="706">
        <v>0.05</v>
      </c>
      <c r="AK1220" s="156" t="s">
        <v>128</v>
      </c>
      <c r="AL1220" s="156" t="s">
        <v>179</v>
      </c>
      <c r="AM1220" s="65" t="s">
        <v>130</v>
      </c>
      <c r="AN1220" s="148" t="s">
        <v>131</v>
      </c>
      <c r="AO1220" s="153">
        <v>357.0</v>
      </c>
      <c r="AP1220" s="498">
        <v>2.021</v>
      </c>
      <c r="AQ1220" s="148" t="s">
        <v>980</v>
      </c>
      <c r="AR1220" s="148" t="s">
        <v>210</v>
      </c>
      <c r="AS1220" s="153">
        <v>0.012</v>
      </c>
      <c r="AT1220" s="156" t="s">
        <v>165</v>
      </c>
      <c r="AU1220" s="156" t="s">
        <v>179</v>
      </c>
      <c r="AV1220" s="65" t="s">
        <v>130</v>
      </c>
      <c r="AW1220" s="432" t="s">
        <v>6783</v>
      </c>
      <c r="AX1220" s="65" t="s">
        <v>136</v>
      </c>
      <c r="AY1220" s="59" t="s">
        <v>6784</v>
      </c>
      <c r="AZ1220" s="59" t="s">
        <v>6611</v>
      </c>
    </row>
    <row r="1221">
      <c r="A1221" s="41">
        <v>1221.0</v>
      </c>
      <c r="B1221" s="59" t="s">
        <v>107</v>
      </c>
      <c r="C1221" s="42" t="s">
        <v>108</v>
      </c>
      <c r="D1221" s="59" t="s">
        <v>279</v>
      </c>
      <c r="F1221" s="65" t="s">
        <v>6774</v>
      </c>
      <c r="G1221" s="58" t="s">
        <v>6774</v>
      </c>
      <c r="H1221" s="156" t="s">
        <v>282</v>
      </c>
      <c r="I1221" s="149">
        <v>45662.0</v>
      </c>
      <c r="J1221" s="149">
        <v>45665.0</v>
      </c>
      <c r="K1221" s="156" t="s">
        <v>6785</v>
      </c>
      <c r="L1221" s="65"/>
      <c r="M1221" s="65" t="s">
        <v>6775</v>
      </c>
      <c r="N1221" s="65" t="s">
        <v>6776</v>
      </c>
      <c r="O1221" s="65"/>
      <c r="P1221" s="156" t="str">
        <f t="shared" si="76"/>
        <v>10.1257--aer.102.7.3317.pdf</v>
      </c>
      <c r="Q1221" s="49" t="str">
        <f t="array" ref="Q1221"> if(iserror(MATCH(V1221, 'File Links'!C:C, 0)), "N/A", HYPERLINK(INDEX('File Links'!B:B, MATCH(P1221, 'File Links'!C:C, 0))))</f>
        <v>https://drive.google.com/file/d/1vGGh8iNvz5riiPFFfaYWDPoBsN1DieSC/view?usp=drivesdk</v>
      </c>
      <c r="R1221" s="1372" t="s">
        <v>6601</v>
      </c>
      <c r="S1221" s="86" t="s">
        <v>6602</v>
      </c>
      <c r="T1221" s="65"/>
      <c r="U1221" s="65"/>
      <c r="V1221" s="195" t="str">
        <f t="shared" si="77"/>
        <v>10.1126--science.aaf0918.pdf</v>
      </c>
      <c r="W1221" s="156" t="s">
        <v>6613</v>
      </c>
      <c r="X1221" s="51" t="str">
        <f t="array" ref="X1221"> if(iserror(MATCH(V1221, 'File Links'!C:C, 0)), "N/A", HYPERLINK(INDEX('File Links'!B:B, MATCH(V1221, 'File Links'!C:C, 0))))</f>
        <v>https://drive.google.com/file/d/1g2LUlGntoVWUQi433rats2xlfqkwajdf/view?usp=drivesdk</v>
      </c>
      <c r="Y1221" s="156"/>
      <c r="Z1221" s="156" t="s">
        <v>1802</v>
      </c>
      <c r="AA1221" s="156" t="s">
        <v>6786</v>
      </c>
      <c r="AB1221" s="156" t="s">
        <v>6787</v>
      </c>
      <c r="AC1221" s="156" t="s">
        <v>6788</v>
      </c>
      <c r="AD1221" s="156" t="s">
        <v>6789</v>
      </c>
      <c r="AE1221" s="156" t="s">
        <v>6781</v>
      </c>
      <c r="AF1221" s="153">
        <v>117.0</v>
      </c>
      <c r="AG1221" s="153">
        <v>-2.914</v>
      </c>
      <c r="AH1221" s="156" t="s">
        <v>6740</v>
      </c>
      <c r="AI1221" s="65"/>
      <c r="AJ1221" s="706">
        <v>0.05</v>
      </c>
      <c r="AK1221" s="54" t="s">
        <v>128</v>
      </c>
      <c r="AL1221" s="54" t="s">
        <v>129</v>
      </c>
      <c r="AM1221" s="65" t="s">
        <v>1898</v>
      </c>
      <c r="AN1221" s="148" t="s">
        <v>131</v>
      </c>
      <c r="AO1221" s="153">
        <v>357.0</v>
      </c>
      <c r="AP1221" s="333">
        <v>0.23</v>
      </c>
      <c r="AQ1221" s="156" t="s">
        <v>208</v>
      </c>
      <c r="AR1221" s="156" t="s">
        <v>3248</v>
      </c>
      <c r="AS1221" s="153">
        <v>0.012</v>
      </c>
      <c r="AT1221" s="156" t="s">
        <v>165</v>
      </c>
      <c r="AU1221" s="156" t="s">
        <v>179</v>
      </c>
      <c r="AV1221" s="65" t="s">
        <v>1898</v>
      </c>
      <c r="AW1221" s="65"/>
      <c r="AX1221" s="65" t="s">
        <v>136</v>
      </c>
      <c r="AZ1221" s="59" t="s">
        <v>6611</v>
      </c>
    </row>
    <row r="1222">
      <c r="A1222" s="41">
        <v>1222.0</v>
      </c>
      <c r="B1222" s="126" t="s">
        <v>145</v>
      </c>
      <c r="C1222" s="59" t="s">
        <v>108</v>
      </c>
      <c r="D1222" s="59" t="s">
        <v>225</v>
      </c>
      <c r="F1222" s="65" t="s">
        <v>6790</v>
      </c>
      <c r="G1222" s="65" t="s">
        <v>6790</v>
      </c>
      <c r="H1222" s="156" t="s">
        <v>5061</v>
      </c>
      <c r="I1222" s="149">
        <v>45690.0</v>
      </c>
      <c r="J1222" s="65"/>
      <c r="K1222" s="65"/>
      <c r="L1222" s="65"/>
      <c r="M1222" s="65" t="s">
        <v>6791</v>
      </c>
      <c r="N1222" s="65" t="s">
        <v>6792</v>
      </c>
      <c r="O1222" s="333">
        <v>1.0</v>
      </c>
      <c r="P1222" s="156" t="str">
        <f t="shared" si="76"/>
        <v>10.1257--aer.102.2.834.pdf</v>
      </c>
      <c r="Q1222" s="49" t="str">
        <f t="array" ref="Q1222"> if(iserror(MATCH(V1222, 'File Links'!C:C, 0)), "N/A", HYPERLINK(INDEX('File Links'!B:B, MATCH(P1222, 'File Links'!C:C, 0))))</f>
        <v>https://drive.google.com/file/d/15obABizUe2mVP6tTA7xfzSOU9zsFeGRP/view?usp=drivesdk</v>
      </c>
      <c r="R1222" s="1372" t="s">
        <v>6601</v>
      </c>
      <c r="S1222" s="86" t="s">
        <v>6602</v>
      </c>
      <c r="T1222" s="1371"/>
      <c r="U1222" s="333">
        <v>3.0</v>
      </c>
      <c r="V1222" s="195" t="str">
        <f t="shared" si="77"/>
        <v>10.1126--science.aaf0918.pdf</v>
      </c>
      <c r="W1222" s="156" t="s">
        <v>6603</v>
      </c>
      <c r="X1222" s="51" t="str">
        <f t="array" ref="X1222"> if(iserror(MATCH(V1222, 'File Links'!C:C, 0)), "N/A", HYPERLINK(INDEX('File Links'!B:B, MATCH(V1222, 'File Links'!C:C, 0))))</f>
        <v>https://drive.google.com/file/d/1g2LUlGntoVWUQi433rats2xlfqkwajdf/view?usp=drivesdk</v>
      </c>
      <c r="Y1222" s="65"/>
      <c r="Z1222" s="156" t="s">
        <v>1802</v>
      </c>
      <c r="AA1222" s="371" t="s">
        <v>131</v>
      </c>
      <c r="AB1222" s="148" t="s">
        <v>6793</v>
      </c>
      <c r="AC1222" s="148" t="s">
        <v>6794</v>
      </c>
      <c r="AD1222" s="148" t="s">
        <v>6795</v>
      </c>
      <c r="AE1222" s="156" t="s">
        <v>6796</v>
      </c>
      <c r="AF1222" s="153">
        <v>216.0</v>
      </c>
      <c r="AG1222" s="158">
        <v>57.8</v>
      </c>
      <c r="AH1222" s="148" t="s">
        <v>6797</v>
      </c>
      <c r="AI1222" s="148" t="s">
        <v>6796</v>
      </c>
      <c r="AJ1222" s="153">
        <v>0.007</v>
      </c>
      <c r="AK1222" s="156" t="s">
        <v>165</v>
      </c>
      <c r="AL1222" s="156" t="s">
        <v>179</v>
      </c>
      <c r="AM1222" s="126" t="s">
        <v>134</v>
      </c>
      <c r="AN1222" s="148" t="s">
        <v>131</v>
      </c>
      <c r="AO1222" s="153">
        <v>360.0</v>
      </c>
      <c r="AP1222" s="158">
        <v>80.28</v>
      </c>
      <c r="AQ1222" s="148" t="s">
        <v>6797</v>
      </c>
      <c r="AR1222" s="148" t="s">
        <v>210</v>
      </c>
      <c r="AS1222" s="153">
        <v>0.001</v>
      </c>
      <c r="AT1222" s="156" t="s">
        <v>165</v>
      </c>
      <c r="AU1222" s="156" t="s">
        <v>179</v>
      </c>
      <c r="AV1222" s="126" t="s">
        <v>134</v>
      </c>
      <c r="AW1222" s="432" t="s">
        <v>6798</v>
      </c>
      <c r="AX1222" s="65" t="s">
        <v>136</v>
      </c>
      <c r="AZ1222" s="59" t="s">
        <v>6611</v>
      </c>
    </row>
    <row r="1223">
      <c r="A1223" s="41">
        <v>1223.0</v>
      </c>
      <c r="B1223" s="59" t="s">
        <v>107</v>
      </c>
      <c r="C1223" s="42" t="s">
        <v>108</v>
      </c>
      <c r="D1223" s="59" t="s">
        <v>279</v>
      </c>
      <c r="F1223" s="65" t="s">
        <v>6790</v>
      </c>
      <c r="G1223" s="58" t="s">
        <v>6790</v>
      </c>
      <c r="H1223" s="156" t="s">
        <v>282</v>
      </c>
      <c r="I1223" s="149">
        <v>45662.0</v>
      </c>
      <c r="J1223" s="149">
        <v>45665.0</v>
      </c>
      <c r="K1223" s="156" t="s">
        <v>6799</v>
      </c>
      <c r="L1223" s="65"/>
      <c r="M1223" s="65" t="s">
        <v>6791</v>
      </c>
      <c r="N1223" s="65" t="s">
        <v>6792</v>
      </c>
      <c r="O1223" s="65"/>
      <c r="P1223" s="156" t="str">
        <f t="shared" si="76"/>
        <v>10.1257--aer.102.2.834.pdf</v>
      </c>
      <c r="Q1223" s="49" t="str">
        <f t="array" ref="Q1223"> if(iserror(MATCH(V1223, 'File Links'!C:C, 0)), "N/A", HYPERLINK(INDEX('File Links'!B:B, MATCH(P1223, 'File Links'!C:C, 0))))</f>
        <v>https://drive.google.com/file/d/15obABizUe2mVP6tTA7xfzSOU9zsFeGRP/view?usp=drivesdk</v>
      </c>
      <c r="R1223" s="1372" t="s">
        <v>6601</v>
      </c>
      <c r="S1223" s="86" t="s">
        <v>6602</v>
      </c>
      <c r="T1223" s="65"/>
      <c r="U1223" s="65"/>
      <c r="V1223" s="195" t="str">
        <f t="shared" si="77"/>
        <v>10.1126--science.aaf0918.pdf</v>
      </c>
      <c r="W1223" s="156" t="s">
        <v>6613</v>
      </c>
      <c r="X1223" s="51" t="str">
        <f t="array" ref="X1223"> if(iserror(MATCH(V1223, 'File Links'!C:C, 0)), "N/A", HYPERLINK(INDEX('File Links'!B:B, MATCH(V1223, 'File Links'!C:C, 0))))</f>
        <v>https://drive.google.com/file/d/1g2LUlGntoVWUQi433rats2xlfqkwajdf/view?usp=drivesdk</v>
      </c>
      <c r="Y1223" s="65"/>
      <c r="Z1223" s="156" t="s">
        <v>1802</v>
      </c>
      <c r="AA1223" s="156" t="s">
        <v>6800</v>
      </c>
      <c r="AB1223" s="156" t="s">
        <v>6801</v>
      </c>
      <c r="AC1223" s="156" t="s">
        <v>6802</v>
      </c>
      <c r="AD1223" s="156" t="s">
        <v>6803</v>
      </c>
      <c r="AE1223" s="156" t="s">
        <v>6796</v>
      </c>
      <c r="AF1223" s="153">
        <v>216.0</v>
      </c>
      <c r="AG1223" s="153">
        <v>5.92</v>
      </c>
      <c r="AH1223" s="156" t="s">
        <v>6804</v>
      </c>
      <c r="AI1223" s="156" t="s">
        <v>6805</v>
      </c>
      <c r="AJ1223" s="706">
        <v>0.007</v>
      </c>
      <c r="AK1223" s="54" t="s">
        <v>165</v>
      </c>
      <c r="AL1223" s="54" t="s">
        <v>129</v>
      </c>
      <c r="AM1223" s="65" t="s">
        <v>134</v>
      </c>
      <c r="AN1223" s="148" t="s">
        <v>131</v>
      </c>
      <c r="AO1223" s="153">
        <v>360.0</v>
      </c>
      <c r="AP1223" s="153">
        <v>0.66</v>
      </c>
      <c r="AQ1223" s="156" t="s">
        <v>208</v>
      </c>
      <c r="AR1223" s="156" t="s">
        <v>3248</v>
      </c>
      <c r="AS1223" s="153">
        <v>0.001</v>
      </c>
      <c r="AT1223" s="156" t="s">
        <v>165</v>
      </c>
      <c r="AU1223" s="156" t="s">
        <v>179</v>
      </c>
      <c r="AV1223" s="65" t="s">
        <v>134</v>
      </c>
      <c r="AW1223" s="65"/>
      <c r="AX1223" s="65" t="s">
        <v>136</v>
      </c>
      <c r="AZ1223" s="59" t="s">
        <v>6611</v>
      </c>
    </row>
    <row r="1224">
      <c r="A1224" s="41">
        <v>1224.0</v>
      </c>
      <c r="B1224" s="126" t="s">
        <v>145</v>
      </c>
      <c r="C1224" s="59" t="s">
        <v>108</v>
      </c>
      <c r="D1224" s="59" t="s">
        <v>225</v>
      </c>
      <c r="F1224" s="65" t="s">
        <v>6806</v>
      </c>
      <c r="G1224" s="65" t="s">
        <v>6806</v>
      </c>
      <c r="H1224" s="156" t="s">
        <v>5061</v>
      </c>
      <c r="I1224" s="149">
        <v>45690.0</v>
      </c>
      <c r="J1224" s="65"/>
      <c r="K1224" s="65"/>
      <c r="L1224" s="65"/>
      <c r="M1224" s="65" t="s">
        <v>6807</v>
      </c>
      <c r="N1224" s="65" t="s">
        <v>6808</v>
      </c>
      <c r="O1224" s="333">
        <v>1.0</v>
      </c>
      <c r="P1224" s="156" t="str">
        <f t="shared" si="76"/>
        <v>10.1257--aer.101.4.1211.pdf</v>
      </c>
      <c r="Q1224" s="49" t="str">
        <f t="array" ref="Q1224"> if(iserror(MATCH(V1224, 'File Links'!C:C, 0)), "N/A", HYPERLINK(INDEX('File Links'!B:B, MATCH(P1224, 'File Links'!C:C, 0))))</f>
        <v>https://drive.google.com/file/d/1NxbR_bwAiYFpZjIg55CMPxWtvCoOVIAQ/view?usp=drivesdk</v>
      </c>
      <c r="R1224" s="1372" t="s">
        <v>6601</v>
      </c>
      <c r="S1224" s="86" t="s">
        <v>6602</v>
      </c>
      <c r="T1224" s="1371"/>
      <c r="U1224" s="333">
        <v>4.0</v>
      </c>
      <c r="V1224" s="195" t="str">
        <f t="shared" si="77"/>
        <v>10.1126--science.aaf0918.pdf</v>
      </c>
      <c r="W1224" s="156" t="s">
        <v>6603</v>
      </c>
      <c r="X1224" s="51" t="str">
        <f t="array" ref="X1224"> if(iserror(MATCH(V1224, 'File Links'!C:C, 0)), "N/A", HYPERLINK(INDEX('File Links'!B:B, MATCH(V1224, 'File Links'!C:C, 0))))</f>
        <v>https://drive.google.com/file/d/1g2LUlGntoVWUQi433rats2xlfqkwajdf/view?usp=drivesdk</v>
      </c>
      <c r="Y1224" s="65"/>
      <c r="Z1224" s="156" t="s">
        <v>1802</v>
      </c>
      <c r="AA1224" s="371" t="s">
        <v>131</v>
      </c>
      <c r="AB1224" s="156" t="s">
        <v>6809</v>
      </c>
      <c r="AC1224" s="148" t="s">
        <v>6810</v>
      </c>
      <c r="AD1224" s="148" t="s">
        <v>6811</v>
      </c>
      <c r="AE1224" s="148" t="s">
        <v>6812</v>
      </c>
      <c r="AF1224" s="153">
        <v>162.0</v>
      </c>
      <c r="AG1224" s="1117">
        <v>5.318181818181818</v>
      </c>
      <c r="AH1224" s="156" t="s">
        <v>715</v>
      </c>
      <c r="AI1224" s="156" t="s">
        <v>6813</v>
      </c>
      <c r="AJ1224" s="158">
        <v>0.001</v>
      </c>
      <c r="AK1224" s="156" t="s">
        <v>128</v>
      </c>
      <c r="AL1224" s="148" t="s">
        <v>129</v>
      </c>
      <c r="AM1224" s="65" t="s">
        <v>130</v>
      </c>
      <c r="AN1224" s="148" t="s">
        <v>131</v>
      </c>
      <c r="AO1224" s="153">
        <v>264.0</v>
      </c>
      <c r="AP1224" s="158">
        <v>5.1</v>
      </c>
      <c r="AQ1224" s="148" t="s">
        <v>715</v>
      </c>
      <c r="AR1224" s="148" t="s">
        <v>6814</v>
      </c>
      <c r="AS1224" s="153">
        <v>0.003</v>
      </c>
      <c r="AT1224" s="156" t="s">
        <v>165</v>
      </c>
      <c r="AU1224" s="156" t="s">
        <v>179</v>
      </c>
      <c r="AV1224" s="65" t="s">
        <v>130</v>
      </c>
      <c r="AW1224" s="432" t="s">
        <v>6815</v>
      </c>
      <c r="AX1224" s="65" t="s">
        <v>136</v>
      </c>
      <c r="AZ1224" s="59" t="s">
        <v>6611</v>
      </c>
    </row>
    <row r="1225">
      <c r="A1225" s="41">
        <v>1225.0</v>
      </c>
      <c r="B1225" s="59" t="s">
        <v>107</v>
      </c>
      <c r="C1225" s="42" t="s">
        <v>108</v>
      </c>
      <c r="D1225" s="59" t="s">
        <v>279</v>
      </c>
      <c r="F1225" s="65" t="s">
        <v>6806</v>
      </c>
      <c r="G1225" s="58" t="s">
        <v>6806</v>
      </c>
      <c r="H1225" s="156" t="s">
        <v>282</v>
      </c>
      <c r="I1225" s="149">
        <v>45662.0</v>
      </c>
      <c r="J1225" s="149">
        <v>45665.0</v>
      </c>
      <c r="K1225" s="156" t="s">
        <v>6816</v>
      </c>
      <c r="L1225" s="65"/>
      <c r="M1225" s="65" t="s">
        <v>6807</v>
      </c>
      <c r="N1225" s="65" t="s">
        <v>6808</v>
      </c>
      <c r="O1225" s="65"/>
      <c r="P1225" s="156" t="str">
        <f t="shared" si="76"/>
        <v>10.1257--aer.101.4.1211.pdf</v>
      </c>
      <c r="Q1225" s="49" t="str">
        <f t="array" ref="Q1225"> if(iserror(MATCH(V1225, 'File Links'!C:C, 0)), "N/A", HYPERLINK(INDEX('File Links'!B:B, MATCH(P1225, 'File Links'!C:C, 0))))</f>
        <v>https://drive.google.com/file/d/1NxbR_bwAiYFpZjIg55CMPxWtvCoOVIAQ/view?usp=drivesdk</v>
      </c>
      <c r="R1225" s="1372" t="s">
        <v>6601</v>
      </c>
      <c r="S1225" s="86" t="s">
        <v>6602</v>
      </c>
      <c r="T1225" s="65"/>
      <c r="U1225" s="65"/>
      <c r="V1225" s="195" t="str">
        <f t="shared" si="77"/>
        <v>10.1126--science.aaf0918.pdf</v>
      </c>
      <c r="W1225" s="156" t="s">
        <v>6613</v>
      </c>
      <c r="X1225" s="51" t="str">
        <f t="array" ref="X1225"> if(iserror(MATCH(V1225, 'File Links'!C:C, 0)), "N/A", HYPERLINK(INDEX('File Links'!B:B, MATCH(V1225, 'File Links'!C:C, 0))))</f>
        <v>https://drive.google.com/file/d/1g2LUlGntoVWUQi433rats2xlfqkwajdf/view?usp=drivesdk</v>
      </c>
      <c r="Y1225" s="65"/>
      <c r="Z1225" s="156" t="s">
        <v>1802</v>
      </c>
      <c r="AA1225" s="156" t="s">
        <v>6817</v>
      </c>
      <c r="AB1225" s="156" t="s">
        <v>6818</v>
      </c>
      <c r="AC1225" s="156" t="s">
        <v>6819</v>
      </c>
      <c r="AD1225" s="156" t="s">
        <v>6820</v>
      </c>
      <c r="AE1225" s="156" t="s">
        <v>6821</v>
      </c>
      <c r="AF1225" s="153">
        <v>162.0</v>
      </c>
      <c r="AG1225" s="1117">
        <v>5.318181818181818</v>
      </c>
      <c r="AH1225" s="156" t="s">
        <v>715</v>
      </c>
      <c r="AI1225" s="156" t="s">
        <v>6813</v>
      </c>
      <c r="AJ1225" s="706">
        <v>0.01</v>
      </c>
      <c r="AK1225" s="54" t="s">
        <v>165</v>
      </c>
      <c r="AL1225" s="54" t="s">
        <v>211</v>
      </c>
      <c r="AM1225" s="65" t="s">
        <v>130</v>
      </c>
      <c r="AN1225" s="148" t="s">
        <v>131</v>
      </c>
      <c r="AO1225" s="153">
        <v>264.0</v>
      </c>
      <c r="AP1225" s="153">
        <v>0.36</v>
      </c>
      <c r="AQ1225" s="156" t="s">
        <v>208</v>
      </c>
      <c r="AR1225" s="156" t="s">
        <v>3248</v>
      </c>
      <c r="AS1225" s="153">
        <v>0.003</v>
      </c>
      <c r="AT1225" s="156" t="s">
        <v>165</v>
      </c>
      <c r="AU1225" s="156" t="s">
        <v>179</v>
      </c>
      <c r="AV1225" s="65" t="s">
        <v>130</v>
      </c>
      <c r="AW1225" s="65"/>
      <c r="AX1225" s="65" t="s">
        <v>136</v>
      </c>
      <c r="AZ1225" s="59" t="s">
        <v>6611</v>
      </c>
    </row>
    <row r="1226">
      <c r="A1226" s="41">
        <v>1226.0</v>
      </c>
      <c r="B1226" s="126" t="s">
        <v>145</v>
      </c>
      <c r="C1226" s="59" t="s">
        <v>108</v>
      </c>
      <c r="D1226" s="59" t="s">
        <v>225</v>
      </c>
      <c r="F1226" s="65" t="s">
        <v>6822</v>
      </c>
      <c r="G1226" s="65" t="s">
        <v>6822</v>
      </c>
      <c r="H1226" s="156" t="s">
        <v>5061</v>
      </c>
      <c r="I1226" s="149">
        <v>45690.0</v>
      </c>
      <c r="J1226" s="65"/>
      <c r="K1226" s="65"/>
      <c r="L1226" s="65"/>
      <c r="M1226" s="65" t="s">
        <v>6823</v>
      </c>
      <c r="N1226" s="65" t="s">
        <v>6824</v>
      </c>
      <c r="O1226" s="333">
        <v>1.0</v>
      </c>
      <c r="P1226" s="156" t="str">
        <f t="shared" si="76"/>
        <v>10.1257--aer.101.6.2562.pdf</v>
      </c>
      <c r="Q1226" s="49" t="str">
        <f t="array" ref="Q1226"> if(iserror(MATCH(V1226, 'File Links'!C:C, 0)), "N/A", HYPERLINK(INDEX('File Links'!B:B, MATCH(P1226, 'File Links'!C:C, 0))))</f>
        <v>https://drive.google.com/file/d/1CufoZHl_KItNfmOr5x_-4R-WsAKrS65V/view?usp=drivesdk</v>
      </c>
      <c r="R1226" s="1372" t="s">
        <v>6601</v>
      </c>
      <c r="S1226" s="86" t="s">
        <v>6602</v>
      </c>
      <c r="T1226" s="1371"/>
      <c r="U1226" s="333">
        <v>5.0</v>
      </c>
      <c r="V1226" s="195" t="str">
        <f t="shared" si="77"/>
        <v>10.1126--science.aaf0918.pdf</v>
      </c>
      <c r="W1226" s="156" t="s">
        <v>6603</v>
      </c>
      <c r="X1226" s="51" t="str">
        <f t="array" ref="X1226"> if(iserror(MATCH(V1226, 'File Links'!C:C, 0)), "N/A", HYPERLINK(INDEX('File Links'!B:B, MATCH(V1226, 'File Links'!C:C, 0))))</f>
        <v>https://drive.google.com/file/d/1g2LUlGntoVWUQi433rats2xlfqkwajdf/view?usp=drivesdk</v>
      </c>
      <c r="Y1226" s="65"/>
      <c r="Z1226" s="156" t="s">
        <v>1802</v>
      </c>
      <c r="AA1226" s="126" t="s">
        <v>6825</v>
      </c>
      <c r="AB1226" s="148" t="s">
        <v>6826</v>
      </c>
      <c r="AC1226" s="148" t="s">
        <v>6827</v>
      </c>
      <c r="AD1226" s="148" t="s">
        <v>6828</v>
      </c>
      <c r="AE1226" s="156" t="s">
        <v>6829</v>
      </c>
      <c r="AF1226" s="153">
        <v>72.0</v>
      </c>
      <c r="AG1226" s="153">
        <v>23.8</v>
      </c>
      <c r="AH1226" s="148" t="s">
        <v>6679</v>
      </c>
      <c r="AI1226" s="156" t="s">
        <v>6830</v>
      </c>
      <c r="AJ1226" s="706">
        <v>0.023</v>
      </c>
      <c r="AK1226" s="54" t="s">
        <v>165</v>
      </c>
      <c r="AL1226" s="156" t="s">
        <v>179</v>
      </c>
      <c r="AM1226" s="65" t="s">
        <v>134</v>
      </c>
      <c r="AN1226" s="148" t="s">
        <v>131</v>
      </c>
      <c r="AO1226" s="153">
        <v>168.0</v>
      </c>
      <c r="AP1226" s="158">
        <v>5.204</v>
      </c>
      <c r="AQ1226" s="148" t="s">
        <v>6679</v>
      </c>
      <c r="AR1226" s="148" t="s">
        <v>843</v>
      </c>
      <c r="AS1226" s="153">
        <v>0.571</v>
      </c>
      <c r="AT1226" s="156" t="s">
        <v>165</v>
      </c>
      <c r="AU1226" s="156" t="s">
        <v>179</v>
      </c>
      <c r="AV1226" s="126" t="s">
        <v>134</v>
      </c>
      <c r="AW1226" s="432" t="s">
        <v>6831</v>
      </c>
      <c r="AX1226" s="65" t="s">
        <v>136</v>
      </c>
      <c r="AZ1226" s="59" t="s">
        <v>6611</v>
      </c>
    </row>
    <row r="1227">
      <c r="A1227" s="41">
        <v>1227.0</v>
      </c>
      <c r="B1227" s="59" t="s">
        <v>107</v>
      </c>
      <c r="C1227" s="42" t="s">
        <v>108</v>
      </c>
      <c r="D1227" s="59" t="s">
        <v>279</v>
      </c>
      <c r="F1227" s="65" t="s">
        <v>6822</v>
      </c>
      <c r="G1227" s="58" t="s">
        <v>6822</v>
      </c>
      <c r="H1227" s="156" t="s">
        <v>282</v>
      </c>
      <c r="I1227" s="149">
        <v>45662.0</v>
      </c>
      <c r="J1227" s="149">
        <v>45666.0</v>
      </c>
      <c r="K1227" s="156" t="s">
        <v>6832</v>
      </c>
      <c r="L1227" s="65"/>
      <c r="M1227" s="65" t="s">
        <v>6823</v>
      </c>
      <c r="N1227" s="65" t="s">
        <v>6824</v>
      </c>
      <c r="O1227" s="65"/>
      <c r="P1227" s="156" t="str">
        <f t="shared" si="76"/>
        <v>10.1257--aer.101.6.2562.pdf</v>
      </c>
      <c r="Q1227" s="49" t="str">
        <f t="array" ref="Q1227"> if(iserror(MATCH(V1227, 'File Links'!C:C, 0)), "N/A", HYPERLINK(INDEX('File Links'!B:B, MATCH(P1227, 'File Links'!C:C, 0))))</f>
        <v>https://drive.google.com/file/d/1CufoZHl_KItNfmOr5x_-4R-WsAKrS65V/view?usp=drivesdk</v>
      </c>
      <c r="R1227" s="1372" t="s">
        <v>6601</v>
      </c>
      <c r="S1227" s="86" t="s">
        <v>6602</v>
      </c>
      <c r="T1227" s="65"/>
      <c r="U1227" s="65"/>
      <c r="V1227" s="195" t="str">
        <f t="shared" si="77"/>
        <v>10.1126--science.aaf0918.pdf</v>
      </c>
      <c r="W1227" s="156" t="s">
        <v>6613</v>
      </c>
      <c r="X1227" s="51" t="str">
        <f t="array" ref="X1227"> if(iserror(MATCH(V1227, 'File Links'!C:C, 0)), "N/A", HYPERLINK(INDEX('File Links'!B:B, MATCH(V1227, 'File Links'!C:C, 0))))</f>
        <v>https://drive.google.com/file/d/1g2LUlGntoVWUQi433rats2xlfqkwajdf/view?usp=drivesdk</v>
      </c>
      <c r="Y1227" s="65"/>
      <c r="Z1227" s="156" t="s">
        <v>1802</v>
      </c>
      <c r="AA1227" s="156" t="s">
        <v>6833</v>
      </c>
      <c r="AB1227" s="156" t="s">
        <v>6834</v>
      </c>
      <c r="AC1227" s="156" t="s">
        <v>6835</v>
      </c>
      <c r="AD1227" s="156" t="s">
        <v>6836</v>
      </c>
      <c r="AE1227" s="156" t="s">
        <v>6829</v>
      </c>
      <c r="AF1227" s="153">
        <v>72.0</v>
      </c>
      <c r="AG1227" s="153">
        <v>23.8</v>
      </c>
      <c r="AH1227" s="65" t="s">
        <v>6687</v>
      </c>
      <c r="AI1227" s="156" t="s">
        <v>6830</v>
      </c>
      <c r="AJ1227" s="706">
        <v>0.023</v>
      </c>
      <c r="AK1227" s="54" t="s">
        <v>165</v>
      </c>
      <c r="AL1227" s="54" t="s">
        <v>179</v>
      </c>
      <c r="AM1227" s="65" t="s">
        <v>134</v>
      </c>
      <c r="AN1227" s="148" t="s">
        <v>131</v>
      </c>
      <c r="AO1227" s="153">
        <v>168.0</v>
      </c>
      <c r="AP1227" s="153">
        <v>0.17</v>
      </c>
      <c r="AQ1227" s="156" t="s">
        <v>208</v>
      </c>
      <c r="AR1227" s="156" t="s">
        <v>3248</v>
      </c>
      <c r="AS1227" s="153">
        <v>0.571</v>
      </c>
      <c r="AT1227" s="156" t="s">
        <v>165</v>
      </c>
      <c r="AU1227" s="156" t="s">
        <v>179</v>
      </c>
      <c r="AV1227" s="65" t="s">
        <v>134</v>
      </c>
      <c r="AW1227" s="65"/>
      <c r="AX1227" s="65" t="s">
        <v>136</v>
      </c>
      <c r="AZ1227" s="59" t="s">
        <v>6611</v>
      </c>
    </row>
    <row r="1228">
      <c r="A1228" s="41">
        <v>1228.0</v>
      </c>
      <c r="B1228" s="126" t="s">
        <v>145</v>
      </c>
      <c r="C1228" s="59" t="s">
        <v>108</v>
      </c>
      <c r="D1228" s="59" t="s">
        <v>225</v>
      </c>
      <c r="F1228" s="65" t="s">
        <v>6837</v>
      </c>
      <c r="G1228" s="65" t="s">
        <v>6837</v>
      </c>
      <c r="H1228" s="156" t="s">
        <v>5061</v>
      </c>
      <c r="I1228" s="149">
        <v>45693.0</v>
      </c>
      <c r="J1228" s="65"/>
      <c r="K1228" s="156" t="s">
        <v>6838</v>
      </c>
      <c r="L1228" s="65"/>
      <c r="M1228" s="65" t="s">
        <v>6839</v>
      </c>
      <c r="N1228" s="65" t="s">
        <v>6840</v>
      </c>
      <c r="O1228" s="333">
        <v>1.0</v>
      </c>
      <c r="P1228" s="156" t="str">
        <f t="shared" si="76"/>
        <v>10.1257--aer.104.11.3434.pdf</v>
      </c>
      <c r="Q1228" s="49" t="str">
        <f t="array" ref="Q1228"> if(iserror(MATCH(V1228, 'File Links'!C:C, 0)), "N/A", HYPERLINK(INDEX('File Links'!B:B, MATCH(P1228, 'File Links'!C:C, 0))))</f>
        <v>https://drive.google.com/file/d/1_GSFYpdpPE9KlDDSJISHSbkxPaGiv90y/view?usp=drivesdk</v>
      </c>
      <c r="R1228" s="1372" t="s">
        <v>6601</v>
      </c>
      <c r="S1228" s="86" t="s">
        <v>6602</v>
      </c>
      <c r="T1228" s="1371"/>
      <c r="U1228" s="333">
        <v>6.0</v>
      </c>
      <c r="V1228" s="195" t="str">
        <f t="shared" si="77"/>
        <v>10.1126--science.aaf0918.pdf</v>
      </c>
      <c r="W1228" s="156" t="s">
        <v>6603</v>
      </c>
      <c r="X1228" s="51" t="str">
        <f t="array" ref="X1228"> if(iserror(MATCH(V1228, 'File Links'!C:C, 0)), "N/A", HYPERLINK(INDEX('File Links'!B:B, MATCH(V1228, 'File Links'!C:C, 0))))</f>
        <v>https://drive.google.com/file/d/1g2LUlGntoVWUQi433rats2xlfqkwajdf/view?usp=drivesdk</v>
      </c>
      <c r="Y1228" s="65"/>
      <c r="Z1228" s="156" t="s">
        <v>1802</v>
      </c>
      <c r="AA1228" s="126" t="s">
        <v>6841</v>
      </c>
      <c r="AB1228" s="156" t="s">
        <v>6842</v>
      </c>
      <c r="AC1228" s="148" t="s">
        <v>6843</v>
      </c>
      <c r="AD1228" s="148" t="s">
        <v>6844</v>
      </c>
      <c r="AE1228" s="65" t="s">
        <v>6845</v>
      </c>
      <c r="AF1228" s="153">
        <v>158.0</v>
      </c>
      <c r="AG1228" s="158">
        <v>0.0517</v>
      </c>
      <c r="AH1228" s="148" t="s">
        <v>6679</v>
      </c>
      <c r="AI1228" s="148" t="s">
        <v>6846</v>
      </c>
      <c r="AJ1228" s="153">
        <v>0.001</v>
      </c>
      <c r="AK1228" s="156" t="s">
        <v>165</v>
      </c>
      <c r="AL1228" s="156" t="s">
        <v>179</v>
      </c>
      <c r="AM1228" s="65" t="s">
        <v>130</v>
      </c>
      <c r="AN1228" s="148" t="s">
        <v>131</v>
      </c>
      <c r="AO1228" s="153">
        <v>156.0</v>
      </c>
      <c r="AP1228" s="158">
        <v>0.167</v>
      </c>
      <c r="AQ1228" s="148" t="s">
        <v>6679</v>
      </c>
      <c r="AR1228" s="148" t="s">
        <v>210</v>
      </c>
      <c r="AS1228" s="153">
        <v>0.001</v>
      </c>
      <c r="AT1228" s="156" t="s">
        <v>128</v>
      </c>
      <c r="AU1228" s="156" t="s">
        <v>179</v>
      </c>
      <c r="AV1228" s="65" t="s">
        <v>130</v>
      </c>
      <c r="AW1228" s="432" t="s">
        <v>6847</v>
      </c>
      <c r="AX1228" s="65" t="s">
        <v>136</v>
      </c>
      <c r="AZ1228" s="59" t="s">
        <v>6611</v>
      </c>
    </row>
    <row r="1229">
      <c r="A1229" s="41">
        <v>1229.0</v>
      </c>
      <c r="B1229" s="59" t="s">
        <v>107</v>
      </c>
      <c r="C1229" s="42" t="s">
        <v>108</v>
      </c>
      <c r="D1229" s="59" t="s">
        <v>279</v>
      </c>
      <c r="F1229" s="65" t="s">
        <v>6837</v>
      </c>
      <c r="G1229" s="58" t="s">
        <v>6837</v>
      </c>
      <c r="H1229" s="156" t="s">
        <v>282</v>
      </c>
      <c r="I1229" s="149">
        <v>45662.0</v>
      </c>
      <c r="J1229" s="149">
        <v>45666.0</v>
      </c>
      <c r="K1229" s="156" t="s">
        <v>6848</v>
      </c>
      <c r="L1229" s="65"/>
      <c r="M1229" s="65" t="s">
        <v>6839</v>
      </c>
      <c r="N1229" s="65" t="s">
        <v>6840</v>
      </c>
      <c r="O1229" s="65"/>
      <c r="P1229" s="156" t="str">
        <f t="shared" si="76"/>
        <v>10.1257--aer.104.11.3434.pdf</v>
      </c>
      <c r="Q1229" s="49" t="str">
        <f t="array" ref="Q1229"> if(iserror(MATCH(V1229, 'File Links'!C:C, 0)), "N/A", HYPERLINK(INDEX('File Links'!B:B, MATCH(P1229, 'File Links'!C:C, 0))))</f>
        <v>https://drive.google.com/file/d/1_GSFYpdpPE9KlDDSJISHSbkxPaGiv90y/view?usp=drivesdk</v>
      </c>
      <c r="R1229" s="1372" t="s">
        <v>6601</v>
      </c>
      <c r="S1229" s="86" t="s">
        <v>6602</v>
      </c>
      <c r="T1229" s="65"/>
      <c r="U1229" s="65"/>
      <c r="V1229" s="195" t="str">
        <f t="shared" si="77"/>
        <v>10.1126--science.aaf0918.pdf</v>
      </c>
      <c r="W1229" s="156" t="s">
        <v>6613</v>
      </c>
      <c r="X1229" s="51" t="str">
        <f t="array" ref="X1229"> if(iserror(MATCH(V1229, 'File Links'!C:C, 0)), "N/A", HYPERLINK(INDEX('File Links'!B:B, MATCH(V1229, 'File Links'!C:C, 0))))</f>
        <v>https://drive.google.com/file/d/1g2LUlGntoVWUQi433rats2xlfqkwajdf/view?usp=drivesdk</v>
      </c>
      <c r="Y1229" s="65"/>
      <c r="Z1229" s="156" t="s">
        <v>1802</v>
      </c>
      <c r="AA1229" s="156" t="s">
        <v>6849</v>
      </c>
      <c r="AB1229" s="156" t="s">
        <v>6850</v>
      </c>
      <c r="AC1229" s="156" t="s">
        <v>6851</v>
      </c>
      <c r="AD1229" s="156" t="s">
        <v>6852</v>
      </c>
      <c r="AE1229" s="156" t="s">
        <v>6853</v>
      </c>
      <c r="AF1229" s="153">
        <v>158.0</v>
      </c>
      <c r="AG1229" s="153">
        <v>0.0517</v>
      </c>
      <c r="AH1229" s="148" t="s">
        <v>6854</v>
      </c>
      <c r="AI1229" s="148" t="s">
        <v>6846</v>
      </c>
      <c r="AJ1229" s="706">
        <v>0.001</v>
      </c>
      <c r="AK1229" s="54" t="s">
        <v>165</v>
      </c>
      <c r="AL1229" s="54" t="s">
        <v>179</v>
      </c>
      <c r="AM1229" s="65" t="s">
        <v>130</v>
      </c>
      <c r="AN1229" s="148" t="s">
        <v>131</v>
      </c>
      <c r="AO1229" s="153">
        <v>156.0</v>
      </c>
      <c r="AP1229" s="153">
        <v>0.27</v>
      </c>
      <c r="AQ1229" s="156" t="s">
        <v>208</v>
      </c>
      <c r="AR1229" s="156" t="s">
        <v>3248</v>
      </c>
      <c r="AS1229" s="153">
        <v>0.001</v>
      </c>
      <c r="AT1229" s="156" t="s">
        <v>128</v>
      </c>
      <c r="AU1229" s="156" t="s">
        <v>179</v>
      </c>
      <c r="AV1229" s="65" t="s">
        <v>130</v>
      </c>
      <c r="AW1229" s="65"/>
      <c r="AX1229" s="65" t="s">
        <v>136</v>
      </c>
      <c r="AZ1229" s="59" t="s">
        <v>6611</v>
      </c>
    </row>
    <row r="1230">
      <c r="A1230" s="41">
        <v>1230.0</v>
      </c>
      <c r="B1230" s="126" t="s">
        <v>145</v>
      </c>
      <c r="C1230" s="59" t="s">
        <v>108</v>
      </c>
      <c r="D1230" s="59" t="s">
        <v>225</v>
      </c>
      <c r="F1230" s="65" t="s">
        <v>6855</v>
      </c>
      <c r="G1230" s="65" t="s">
        <v>6855</v>
      </c>
      <c r="H1230" s="156" t="s">
        <v>5061</v>
      </c>
      <c r="I1230" s="149">
        <v>45690.0</v>
      </c>
      <c r="J1230" s="65"/>
      <c r="K1230" s="156" t="s">
        <v>6856</v>
      </c>
      <c r="L1230" s="65"/>
      <c r="M1230" s="65" t="s">
        <v>6857</v>
      </c>
      <c r="N1230" s="65" t="s">
        <v>6858</v>
      </c>
      <c r="O1230" s="333">
        <v>1.0</v>
      </c>
      <c r="P1230" s="156" t="str">
        <f t="shared" si="76"/>
        <v>10.1257--aer.104.6.1735.pdf</v>
      </c>
      <c r="Q1230" s="49" t="str">
        <f t="array" ref="Q1230"> if(iserror(MATCH(V1230, 'File Links'!C:C, 0)), "N/A", HYPERLINK(INDEX('File Links'!B:B, MATCH(P1230, 'File Links'!C:C, 0))))</f>
        <v>https://drive.google.com/file/d/1wDNXb0olz39__EV_LKeVH7NGHiDMCeB6/view?usp=drivesdk</v>
      </c>
      <c r="R1230" s="1372" t="s">
        <v>6601</v>
      </c>
      <c r="S1230" s="86" t="s">
        <v>6602</v>
      </c>
      <c r="T1230" s="1371"/>
      <c r="U1230" s="333">
        <v>7.0</v>
      </c>
      <c r="V1230" s="195" t="str">
        <f t="shared" si="77"/>
        <v>10.1126--science.aaf0918.pdf</v>
      </c>
      <c r="W1230" s="156" t="s">
        <v>6603</v>
      </c>
      <c r="X1230" s="51" t="str">
        <f t="array" ref="X1230"> if(iserror(MATCH(V1230, 'File Links'!C:C, 0)), "N/A", HYPERLINK(INDEX('File Links'!B:B, MATCH(V1230, 'File Links'!C:C, 0))))</f>
        <v>https://drive.google.com/file/d/1g2LUlGntoVWUQi433rats2xlfqkwajdf/view?usp=drivesdk</v>
      </c>
      <c r="Y1230" s="65"/>
      <c r="Z1230" s="156" t="s">
        <v>1802</v>
      </c>
      <c r="AA1230" s="371" t="s">
        <v>131</v>
      </c>
      <c r="AB1230" s="148" t="s">
        <v>6859</v>
      </c>
      <c r="AC1230" s="156" t="s">
        <v>6860</v>
      </c>
      <c r="AD1230" s="148" t="s">
        <v>6861</v>
      </c>
      <c r="AE1230" s="156" t="s">
        <v>6862</v>
      </c>
      <c r="AF1230" s="153">
        <v>54.0</v>
      </c>
      <c r="AG1230" s="1373">
        <v>0.16</v>
      </c>
      <c r="AH1230" s="148" t="s">
        <v>6679</v>
      </c>
      <c r="AI1230" s="148" t="s">
        <v>6863</v>
      </c>
      <c r="AJ1230" s="153">
        <v>0.01</v>
      </c>
      <c r="AK1230" s="156" t="s">
        <v>165</v>
      </c>
      <c r="AL1230" s="156" t="s">
        <v>179</v>
      </c>
      <c r="AM1230" s="65" t="s">
        <v>130</v>
      </c>
      <c r="AN1230" s="148" t="s">
        <v>131</v>
      </c>
      <c r="AO1230" s="153">
        <v>96.0</v>
      </c>
      <c r="AP1230" s="158">
        <v>-0.03</v>
      </c>
      <c r="AQ1230" s="148" t="s">
        <v>6679</v>
      </c>
      <c r="AR1230" s="148" t="s">
        <v>210</v>
      </c>
      <c r="AS1230" s="153">
        <v>0.674</v>
      </c>
      <c r="AT1230" s="156" t="s">
        <v>165</v>
      </c>
      <c r="AU1230" s="156" t="s">
        <v>179</v>
      </c>
      <c r="AV1230" s="65" t="s">
        <v>130</v>
      </c>
      <c r="AW1230" s="432" t="s">
        <v>6864</v>
      </c>
      <c r="AX1230" s="65" t="s">
        <v>136</v>
      </c>
      <c r="AY1230" s="59" t="s">
        <v>6865</v>
      </c>
      <c r="AZ1230" s="59" t="s">
        <v>6611</v>
      </c>
    </row>
    <row r="1231">
      <c r="A1231" s="41">
        <v>1231.0</v>
      </c>
      <c r="B1231" s="59" t="s">
        <v>107</v>
      </c>
      <c r="C1231" s="42" t="s">
        <v>108</v>
      </c>
      <c r="D1231" s="59" t="s">
        <v>279</v>
      </c>
      <c r="F1231" s="65" t="s">
        <v>6855</v>
      </c>
      <c r="G1231" s="58" t="s">
        <v>6855</v>
      </c>
      <c r="H1231" s="156" t="s">
        <v>282</v>
      </c>
      <c r="I1231" s="149">
        <v>45662.0</v>
      </c>
      <c r="J1231" s="149">
        <v>45666.0</v>
      </c>
      <c r="K1231" s="156" t="s">
        <v>6866</v>
      </c>
      <c r="L1231" s="65"/>
      <c r="M1231" s="65" t="s">
        <v>6857</v>
      </c>
      <c r="N1231" s="65" t="s">
        <v>6858</v>
      </c>
      <c r="O1231" s="65"/>
      <c r="P1231" s="156" t="str">
        <f t="shared" si="76"/>
        <v>10.1257--aer.104.6.1735.pdf</v>
      </c>
      <c r="Q1231" s="49" t="str">
        <f t="array" ref="Q1231"> if(iserror(MATCH(V1231, 'File Links'!C:C, 0)), "N/A", HYPERLINK(INDEX('File Links'!B:B, MATCH(P1231, 'File Links'!C:C, 0))))</f>
        <v>https://drive.google.com/file/d/1wDNXb0olz39__EV_LKeVH7NGHiDMCeB6/view?usp=drivesdk</v>
      </c>
      <c r="R1231" s="1372" t="s">
        <v>6601</v>
      </c>
      <c r="S1231" s="86" t="s">
        <v>6602</v>
      </c>
      <c r="T1231" s="65"/>
      <c r="U1231" s="65"/>
      <c r="V1231" s="195" t="str">
        <f t="shared" si="77"/>
        <v>10.1126--science.aaf0918.pdf</v>
      </c>
      <c r="W1231" s="156" t="s">
        <v>6613</v>
      </c>
      <c r="X1231" s="51" t="str">
        <f t="array" ref="X1231"> if(iserror(MATCH(V1231, 'File Links'!C:C, 0)), "N/A", HYPERLINK(INDEX('File Links'!B:B, MATCH(V1231, 'File Links'!C:C, 0))))</f>
        <v>https://drive.google.com/file/d/1g2LUlGntoVWUQi433rats2xlfqkwajdf/view?usp=drivesdk</v>
      </c>
      <c r="Y1231" s="65"/>
      <c r="Z1231" s="156" t="s">
        <v>1802</v>
      </c>
      <c r="AA1231" s="156" t="s">
        <v>6867</v>
      </c>
      <c r="AB1231" s="156" t="s">
        <v>6868</v>
      </c>
      <c r="AC1231" s="156" t="s">
        <v>6869</v>
      </c>
      <c r="AD1231" s="156" t="s">
        <v>6870</v>
      </c>
      <c r="AE1231" s="156" t="s">
        <v>6862</v>
      </c>
      <c r="AF1231" s="153">
        <v>56.0</v>
      </c>
      <c r="AG1231" s="1117">
        <v>2.039636127355425</v>
      </c>
      <c r="AH1231" s="156" t="s">
        <v>715</v>
      </c>
      <c r="AI1231" s="156" t="s">
        <v>6871</v>
      </c>
      <c r="AJ1231" s="706">
        <v>0.01</v>
      </c>
      <c r="AK1231" s="54" t="s">
        <v>165</v>
      </c>
      <c r="AL1231" s="54" t="s">
        <v>129</v>
      </c>
      <c r="AM1231" s="65" t="s">
        <v>130</v>
      </c>
      <c r="AN1231" s="148" t="s">
        <v>131</v>
      </c>
      <c r="AO1231" s="153">
        <v>96.0</v>
      </c>
      <c r="AP1231" s="153">
        <v>-0.12</v>
      </c>
      <c r="AQ1231" s="156" t="s">
        <v>208</v>
      </c>
      <c r="AR1231" s="156" t="s">
        <v>3248</v>
      </c>
      <c r="AS1231" s="153">
        <v>0.674</v>
      </c>
      <c r="AT1231" s="156" t="s">
        <v>165</v>
      </c>
      <c r="AU1231" s="156" t="s">
        <v>179</v>
      </c>
      <c r="AV1231" s="65" t="s">
        <v>130</v>
      </c>
      <c r="AW1231" s="65"/>
      <c r="AX1231" s="65" t="s">
        <v>136</v>
      </c>
      <c r="AZ1231" s="59" t="s">
        <v>6611</v>
      </c>
    </row>
    <row r="1232">
      <c r="A1232" s="41">
        <v>1232.0</v>
      </c>
      <c r="B1232" s="126" t="s">
        <v>145</v>
      </c>
      <c r="C1232" s="59" t="s">
        <v>108</v>
      </c>
      <c r="D1232" s="59" t="s">
        <v>225</v>
      </c>
      <c r="F1232" s="43" t="s">
        <v>6872</v>
      </c>
      <c r="G1232" s="43" t="s">
        <v>6872</v>
      </c>
      <c r="H1232" s="156" t="s">
        <v>5061</v>
      </c>
      <c r="I1232" s="149">
        <v>45690.0</v>
      </c>
      <c r="J1232" s="65"/>
      <c r="K1232" s="43"/>
      <c r="L1232" s="43"/>
      <c r="M1232" s="43" t="s">
        <v>6873</v>
      </c>
      <c r="N1232" s="43" t="s">
        <v>6874</v>
      </c>
      <c r="O1232" s="382">
        <v>1.0</v>
      </c>
      <c r="P1232" s="156" t="str">
        <f t="shared" si="76"/>
        <v>10.1257--aer.101.2.526.pdf</v>
      </c>
      <c r="Q1232" s="49" t="str">
        <f t="array" ref="Q1232"> if(iserror(MATCH(V1232, 'File Links'!C:C, 0)), "N/A", HYPERLINK(INDEX('File Links'!B:B, MATCH(P1232, 'File Links'!C:C, 0))))</f>
        <v>https://drive.google.com/file/d/1DOLllL6R7032IvCSzFDDyxUuY_nU2qkX/view?usp=drivesdk</v>
      </c>
      <c r="R1232" s="1372" t="s">
        <v>6601</v>
      </c>
      <c r="S1232" s="86" t="s">
        <v>6602</v>
      </c>
      <c r="T1232" s="1371"/>
      <c r="U1232" s="333">
        <v>8.0</v>
      </c>
      <c r="V1232" s="195" t="str">
        <f t="shared" si="77"/>
        <v>10.1126--science.aaf0918.pdf</v>
      </c>
      <c r="W1232" s="156" t="s">
        <v>6603</v>
      </c>
      <c r="X1232" s="51" t="str">
        <f t="array" ref="X1232"> if(iserror(MATCH(V1232, 'File Links'!C:C, 0)), "N/A", HYPERLINK(INDEX('File Links'!B:B, MATCH(V1232, 'File Links'!C:C, 0))))</f>
        <v>https://drive.google.com/file/d/1g2LUlGntoVWUQi433rats2xlfqkwajdf/view?usp=drivesdk</v>
      </c>
      <c r="Y1232" s="43"/>
      <c r="Z1232" s="357" t="s">
        <v>1802</v>
      </c>
      <c r="AA1232" s="53" t="s">
        <v>6875</v>
      </c>
      <c r="AB1232" s="340" t="s">
        <v>6876</v>
      </c>
      <c r="AC1232" s="53" t="s">
        <v>6877</v>
      </c>
      <c r="AD1232" s="340" t="s">
        <v>6878</v>
      </c>
      <c r="AE1232" s="357" t="s">
        <v>6879</v>
      </c>
      <c r="AF1232" s="153">
        <v>168.0</v>
      </c>
      <c r="AG1232" s="354">
        <v>0.65</v>
      </c>
      <c r="AH1232" s="148" t="s">
        <v>6679</v>
      </c>
      <c r="AI1232" s="148" t="s">
        <v>6880</v>
      </c>
      <c r="AJ1232" s="153">
        <v>0.05</v>
      </c>
      <c r="AK1232" s="156" t="s">
        <v>128</v>
      </c>
      <c r="AL1232" s="156" t="s">
        <v>179</v>
      </c>
      <c r="AM1232" s="126" t="s">
        <v>134</v>
      </c>
      <c r="AN1232" s="148" t="s">
        <v>131</v>
      </c>
      <c r="AO1232" s="354">
        <v>128.0</v>
      </c>
      <c r="AP1232" s="344">
        <v>0.61</v>
      </c>
      <c r="AQ1232" s="148" t="s">
        <v>6679</v>
      </c>
      <c r="AR1232" s="148" t="s">
        <v>210</v>
      </c>
      <c r="AS1232" s="354">
        <v>0.001</v>
      </c>
      <c r="AT1232" s="357" t="s">
        <v>165</v>
      </c>
      <c r="AU1232" s="156" t="s">
        <v>179</v>
      </c>
      <c r="AV1232" s="126" t="s">
        <v>134</v>
      </c>
      <c r="AW1232" s="56" t="s">
        <v>6881</v>
      </c>
      <c r="AX1232" s="43" t="s">
        <v>136</v>
      </c>
      <c r="AZ1232" s="59" t="s">
        <v>6611</v>
      </c>
    </row>
    <row r="1233">
      <c r="A1233" s="41">
        <v>1233.0</v>
      </c>
      <c r="B1233" s="59" t="s">
        <v>107</v>
      </c>
      <c r="C1233" s="42" t="s">
        <v>108</v>
      </c>
      <c r="D1233" s="59" t="s">
        <v>279</v>
      </c>
      <c r="F1233" s="43" t="s">
        <v>6872</v>
      </c>
      <c r="G1233" s="46" t="s">
        <v>6872</v>
      </c>
      <c r="H1233" s="357" t="s">
        <v>282</v>
      </c>
      <c r="I1233" s="341">
        <v>45662.0</v>
      </c>
      <c r="J1233" s="149">
        <v>45666.0</v>
      </c>
      <c r="K1233" s="357" t="s">
        <v>6882</v>
      </c>
      <c r="L1233" s="43"/>
      <c r="M1233" s="43" t="s">
        <v>6873</v>
      </c>
      <c r="N1233" s="43" t="s">
        <v>6874</v>
      </c>
      <c r="O1233" s="43"/>
      <c r="P1233" s="156" t="str">
        <f t="shared" si="76"/>
        <v>10.1257--aer.101.2.526.pdf</v>
      </c>
      <c r="Q1233" s="49" t="str">
        <f t="array" ref="Q1233"> if(iserror(MATCH(V1233, 'File Links'!C:C, 0)), "N/A", HYPERLINK(INDEX('File Links'!B:B, MATCH(P1233, 'File Links'!C:C, 0))))</f>
        <v>https://drive.google.com/file/d/1DOLllL6R7032IvCSzFDDyxUuY_nU2qkX/view?usp=drivesdk</v>
      </c>
      <c r="R1233" s="1372" t="s">
        <v>6601</v>
      </c>
      <c r="S1233" s="86" t="s">
        <v>6602</v>
      </c>
      <c r="T1233" s="43"/>
      <c r="U1233" s="43"/>
      <c r="V1233" s="195" t="str">
        <f t="shared" si="77"/>
        <v>10.1126--science.aaf0918.pdf</v>
      </c>
      <c r="W1233" s="357" t="s">
        <v>6613</v>
      </c>
      <c r="X1233" s="51" t="str">
        <f t="array" ref="X1233"> if(iserror(MATCH(V1233, 'File Links'!C:C, 0)), "N/A", HYPERLINK(INDEX('File Links'!B:B, MATCH(V1233, 'File Links'!C:C, 0))))</f>
        <v>https://drive.google.com/file/d/1g2LUlGntoVWUQi433rats2xlfqkwajdf/view?usp=drivesdk</v>
      </c>
      <c r="Y1233" s="43"/>
      <c r="Z1233" s="357" t="s">
        <v>1802</v>
      </c>
      <c r="AA1233" s="357" t="s">
        <v>6883</v>
      </c>
      <c r="AB1233" s="357" t="s">
        <v>6884</v>
      </c>
      <c r="AC1233" s="43" t="s">
        <v>6885</v>
      </c>
      <c r="AD1233" s="340" t="s">
        <v>6886</v>
      </c>
      <c r="AE1233" s="357" t="s">
        <v>6879</v>
      </c>
      <c r="AF1233" s="354">
        <v>168.0</v>
      </c>
      <c r="AG1233" s="354">
        <v>0.65</v>
      </c>
      <c r="AH1233" s="357" t="s">
        <v>6687</v>
      </c>
      <c r="AI1233" s="357" t="s">
        <v>6887</v>
      </c>
      <c r="AJ1233" s="383">
        <v>0.05</v>
      </c>
      <c r="AK1233" s="44" t="s">
        <v>128</v>
      </c>
      <c r="AL1233" s="44" t="s">
        <v>129</v>
      </c>
      <c r="AM1233" s="43" t="s">
        <v>130</v>
      </c>
      <c r="AN1233" s="148" t="s">
        <v>131</v>
      </c>
      <c r="AO1233" s="354">
        <v>128.0</v>
      </c>
      <c r="AP1233" s="354">
        <v>0.73</v>
      </c>
      <c r="AQ1233" s="357" t="s">
        <v>208</v>
      </c>
      <c r="AR1233" s="357" t="s">
        <v>3248</v>
      </c>
      <c r="AS1233" s="354">
        <v>0.001</v>
      </c>
      <c r="AT1233" s="357" t="s">
        <v>165</v>
      </c>
      <c r="AU1233" s="357" t="s">
        <v>179</v>
      </c>
      <c r="AV1233" s="43" t="s">
        <v>130</v>
      </c>
      <c r="AW1233" s="43"/>
      <c r="AX1233" s="43" t="s">
        <v>136</v>
      </c>
      <c r="AZ1233" s="59" t="s">
        <v>6611</v>
      </c>
    </row>
    <row r="1234">
      <c r="A1234" s="41">
        <v>1234.0</v>
      </c>
      <c r="B1234" s="126" t="s">
        <v>145</v>
      </c>
      <c r="C1234" s="59" t="s">
        <v>108</v>
      </c>
      <c r="D1234" s="59" t="s">
        <v>225</v>
      </c>
      <c r="F1234" s="65" t="s">
        <v>6888</v>
      </c>
      <c r="G1234" s="65" t="s">
        <v>6888</v>
      </c>
      <c r="H1234" s="156" t="s">
        <v>5061</v>
      </c>
      <c r="I1234" s="149">
        <v>45690.0</v>
      </c>
      <c r="J1234" s="65"/>
      <c r="K1234" s="156" t="s">
        <v>6889</v>
      </c>
      <c r="L1234" s="65"/>
      <c r="M1234" s="65" t="s">
        <v>6890</v>
      </c>
      <c r="N1234" s="65" t="s">
        <v>6891</v>
      </c>
      <c r="O1234" s="333">
        <v>2.0</v>
      </c>
      <c r="P1234" s="156" t="str">
        <f t="shared" si="76"/>
        <v>10.1093--qje--qjr034.pdf</v>
      </c>
      <c r="Q1234" s="49" t="str">
        <f t="array" ref="Q1234"> if(iserror(MATCH(V1234, 'File Links'!C:C, 0)), "N/A", HYPERLINK(INDEX('File Links'!B:B, MATCH(P1234, 'File Links'!C:C, 0))))</f>
        <v>https://drive.google.com/file/d/1aDSm4Lq4K8IFN4JH8XXWURoEKbUjjmL3/view?usp=drivesdk</v>
      </c>
      <c r="R1234" s="1372" t="s">
        <v>6601</v>
      </c>
      <c r="S1234" s="86" t="s">
        <v>6602</v>
      </c>
      <c r="T1234" s="1371"/>
      <c r="U1234" s="498">
        <v>18.0</v>
      </c>
      <c r="V1234" s="195" t="str">
        <f t="shared" si="77"/>
        <v>10.1126--science.aaf0918.pdf</v>
      </c>
      <c r="W1234" s="156" t="s">
        <v>6603</v>
      </c>
      <c r="X1234" s="51" t="str">
        <f t="array" ref="X1234"> if(iserror(MATCH(V1234, 'File Links'!C:C, 0)), "N/A", HYPERLINK(INDEX('File Links'!B:B, MATCH(V1234, 'File Links'!C:C, 0))))</f>
        <v>https://drive.google.com/file/d/1g2LUlGntoVWUQi433rats2xlfqkwajdf/view?usp=drivesdk</v>
      </c>
      <c r="Y1234" s="65"/>
      <c r="Z1234" s="156" t="s">
        <v>1802</v>
      </c>
      <c r="AA1234" s="371" t="s">
        <v>131</v>
      </c>
      <c r="AB1234" s="156" t="s">
        <v>6892</v>
      </c>
      <c r="AC1234" s="1375" t="s">
        <v>6893</v>
      </c>
      <c r="AD1234" s="148" t="s">
        <v>6894</v>
      </c>
      <c r="AE1234" s="156" t="s">
        <v>6895</v>
      </c>
      <c r="AF1234" s="153">
        <v>112.0</v>
      </c>
      <c r="AG1234" s="158">
        <v>0.32</v>
      </c>
      <c r="AH1234" s="148" t="s">
        <v>6679</v>
      </c>
      <c r="AI1234" s="156" t="s">
        <v>6896</v>
      </c>
      <c r="AJ1234" s="153">
        <v>0.03</v>
      </c>
      <c r="AK1234" s="54" t="s">
        <v>165</v>
      </c>
      <c r="AL1234" s="54" t="s">
        <v>179</v>
      </c>
      <c r="AM1234" s="126" t="s">
        <v>134</v>
      </c>
      <c r="AN1234" s="148" t="s">
        <v>131</v>
      </c>
      <c r="AO1234" s="153">
        <v>262.0</v>
      </c>
      <c r="AP1234" s="158">
        <v>0.22</v>
      </c>
      <c r="AQ1234" s="148" t="s">
        <v>6679</v>
      </c>
      <c r="AR1234" s="148" t="s">
        <v>806</v>
      </c>
      <c r="AS1234" s="153">
        <v>0.055</v>
      </c>
      <c r="AT1234" s="156" t="s">
        <v>165</v>
      </c>
      <c r="AU1234" s="156" t="s">
        <v>179</v>
      </c>
      <c r="AV1234" s="126" t="s">
        <v>134</v>
      </c>
      <c r="AW1234" s="432" t="s">
        <v>6897</v>
      </c>
      <c r="AX1234" s="65" t="s">
        <v>136</v>
      </c>
      <c r="AZ1234" s="59" t="s">
        <v>6611</v>
      </c>
    </row>
    <row r="1235">
      <c r="A1235" s="41">
        <v>1235.0</v>
      </c>
      <c r="B1235" s="59" t="s">
        <v>107</v>
      </c>
      <c r="C1235" s="42" t="s">
        <v>108</v>
      </c>
      <c r="D1235" s="59" t="s">
        <v>279</v>
      </c>
      <c r="F1235" s="65" t="s">
        <v>6888</v>
      </c>
      <c r="G1235" s="58" t="s">
        <v>6888</v>
      </c>
      <c r="H1235" s="156" t="s">
        <v>282</v>
      </c>
      <c r="I1235" s="149">
        <v>45664.0</v>
      </c>
      <c r="J1235" s="341">
        <v>45667.0</v>
      </c>
      <c r="K1235" s="156" t="s">
        <v>6898</v>
      </c>
      <c r="L1235" s="65"/>
      <c r="M1235" s="65" t="s">
        <v>6890</v>
      </c>
      <c r="N1235" s="65" t="s">
        <v>6891</v>
      </c>
      <c r="O1235" s="65"/>
      <c r="P1235" s="156" t="str">
        <f t="shared" si="76"/>
        <v>10.1093--qje--qjr034.pdf</v>
      </c>
      <c r="Q1235" s="49" t="str">
        <f t="array" ref="Q1235"> if(iserror(MATCH(V1235, 'File Links'!C:C, 0)), "N/A", HYPERLINK(INDEX('File Links'!B:B, MATCH(P1235, 'File Links'!C:C, 0))))</f>
        <v>https://drive.google.com/file/d/1aDSm4Lq4K8IFN4JH8XXWURoEKbUjjmL3/view?usp=drivesdk</v>
      </c>
      <c r="R1235" s="1372" t="s">
        <v>6601</v>
      </c>
      <c r="S1235" s="86" t="s">
        <v>6602</v>
      </c>
      <c r="T1235" s="65"/>
      <c r="U1235" s="65"/>
      <c r="V1235" s="195" t="str">
        <f t="shared" si="77"/>
        <v>10.1126--science.aaf0918.pdf</v>
      </c>
      <c r="W1235" s="156" t="s">
        <v>6613</v>
      </c>
      <c r="X1235" s="51" t="str">
        <f t="array" ref="X1235"> if(iserror(MATCH(V1235, 'File Links'!C:C, 0)), "N/A", HYPERLINK(INDEX('File Links'!B:B, MATCH(V1235, 'File Links'!C:C, 0))))</f>
        <v>https://drive.google.com/file/d/1g2LUlGntoVWUQi433rats2xlfqkwajdf/view?usp=drivesdk</v>
      </c>
      <c r="Y1235" s="65"/>
      <c r="Z1235" s="156" t="s">
        <v>1802</v>
      </c>
      <c r="AA1235" s="156" t="s">
        <v>6899</v>
      </c>
      <c r="AB1235" s="156" t="s">
        <v>6900</v>
      </c>
      <c r="AC1235" s="156" t="s">
        <v>6901</v>
      </c>
      <c r="AD1235" s="156" t="s">
        <v>6902</v>
      </c>
      <c r="AE1235" s="156" t="s">
        <v>6895</v>
      </c>
      <c r="AF1235" s="153">
        <v>112.0</v>
      </c>
      <c r="AG1235" s="153">
        <v>0.32</v>
      </c>
      <c r="AH1235" s="357" t="s">
        <v>6687</v>
      </c>
      <c r="AI1235" s="156" t="s">
        <v>6903</v>
      </c>
      <c r="AJ1235" s="706">
        <v>0.03</v>
      </c>
      <c r="AK1235" s="54" t="s">
        <v>165</v>
      </c>
      <c r="AL1235" s="54" t="s">
        <v>129</v>
      </c>
      <c r="AM1235" s="65" t="s">
        <v>130</v>
      </c>
      <c r="AN1235" s="148" t="s">
        <v>131</v>
      </c>
      <c r="AO1235" s="153">
        <v>262.0</v>
      </c>
      <c r="AP1235" s="153">
        <v>0.12</v>
      </c>
      <c r="AQ1235" s="156" t="s">
        <v>208</v>
      </c>
      <c r="AR1235" s="156" t="s">
        <v>3248</v>
      </c>
      <c r="AS1235" s="153">
        <v>0.055</v>
      </c>
      <c r="AT1235" s="156" t="s">
        <v>165</v>
      </c>
      <c r="AU1235" s="156" t="s">
        <v>179</v>
      </c>
      <c r="AV1235" s="65" t="s">
        <v>130</v>
      </c>
      <c r="AW1235" s="65"/>
      <c r="AX1235" s="65" t="s">
        <v>136</v>
      </c>
      <c r="AZ1235" s="59" t="s">
        <v>6611</v>
      </c>
    </row>
    <row r="1236">
      <c r="A1236" s="41">
        <v>1236.0</v>
      </c>
      <c r="B1236" s="126" t="s">
        <v>145</v>
      </c>
      <c r="C1236" s="59" t="s">
        <v>108</v>
      </c>
      <c r="D1236" s="59" t="s">
        <v>225</v>
      </c>
      <c r="F1236" s="65" t="s">
        <v>6904</v>
      </c>
      <c r="G1236" s="156" t="s">
        <v>6905</v>
      </c>
      <c r="H1236" s="156" t="s">
        <v>6906</v>
      </c>
      <c r="I1236" s="149">
        <v>45682.0</v>
      </c>
      <c r="J1236" s="149">
        <v>45687.0</v>
      </c>
      <c r="K1236" s="65"/>
      <c r="L1236" s="156" t="s">
        <v>6907</v>
      </c>
      <c r="M1236" s="156" t="s">
        <v>6908</v>
      </c>
      <c r="N1236" s="156" t="s">
        <v>6909</v>
      </c>
      <c r="O1236" s="153">
        <v>1.0</v>
      </c>
      <c r="P1236" s="156" t="str">
        <f t="shared" si="76"/>
        <v>10.1126--science.1189993.pdf</v>
      </c>
      <c r="Q1236" s="49" t="str">
        <f t="array" ref="Q1236"> if(iserror(MATCH(V1236, 'File Links'!C:C, 0)), "N/A", HYPERLINK(INDEX('File Links'!B:B, MATCH(P1236, 'File Links'!C:C, 0))))</f>
        <v>https://drive.google.com/file/d/1AKsdj68dbJXeSGboPcfZ2uD3ua_fvFPP/view?usp=drivesdk</v>
      </c>
      <c r="R1236" s="156" t="s">
        <v>6910</v>
      </c>
      <c r="S1236" s="156" t="s">
        <v>6911</v>
      </c>
      <c r="T1236" s="1112" t="s">
        <v>6912</v>
      </c>
      <c r="U1236" s="153">
        <v>1.0</v>
      </c>
      <c r="V1236" s="195" t="str">
        <f t="shared" si="77"/>
        <v>10.1038--s41562-018-0399-z.pdf</v>
      </c>
      <c r="W1236" s="156" t="s">
        <v>202</v>
      </c>
      <c r="X1236" s="51" t="str">
        <f t="array" ref="X1236"> if(iserror(MATCH(V1236, 'File Links'!C:C, 0)), "N/A", HYPERLINK(INDEX('File Links'!B:B, MATCH(V1236, 'File Links'!C:C, 0))))</f>
        <v>https://drive.google.com/file/d/1qJE0K3gDNeo5WCbf6KkP1a0pxT3faRns/view?usp=drivesdk</v>
      </c>
      <c r="Y1236" s="65"/>
      <c r="Z1236" s="156" t="s">
        <v>219</v>
      </c>
      <c r="AA1236" s="156" t="s">
        <v>6913</v>
      </c>
      <c r="AB1236" s="156" t="s">
        <v>6914</v>
      </c>
      <c r="AC1236" s="156" t="s">
        <v>6915</v>
      </c>
      <c r="AD1236" s="156" t="s">
        <v>6916</v>
      </c>
      <c r="AE1236" s="156" t="s">
        <v>6917</v>
      </c>
      <c r="AF1236" s="153">
        <v>54.0</v>
      </c>
      <c r="AG1236" s="1117">
        <v>0.5414312553775226</v>
      </c>
      <c r="AH1236" s="156" t="s">
        <v>166</v>
      </c>
      <c r="AI1236" s="156" t="s">
        <v>6918</v>
      </c>
      <c r="AJ1236" s="153">
        <v>0.049</v>
      </c>
      <c r="AK1236" s="156" t="s">
        <v>165</v>
      </c>
      <c r="AL1236" s="1112" t="s">
        <v>211</v>
      </c>
      <c r="AM1236" s="65" t="s">
        <v>130</v>
      </c>
      <c r="AN1236" s="148" t="s">
        <v>131</v>
      </c>
      <c r="AO1236" s="153">
        <v>599.0</v>
      </c>
      <c r="AP1236" s="333">
        <v>0.063</v>
      </c>
      <c r="AQ1236" s="156" t="s">
        <v>208</v>
      </c>
      <c r="AR1236" s="156" t="s">
        <v>6919</v>
      </c>
      <c r="AS1236" s="153">
        <v>0.125</v>
      </c>
      <c r="AT1236" s="156" t="s">
        <v>165</v>
      </c>
      <c r="AU1236" s="1112" t="s">
        <v>129</v>
      </c>
      <c r="AV1236" s="65" t="s">
        <v>130</v>
      </c>
      <c r="AW1236" s="432" t="s">
        <v>6920</v>
      </c>
      <c r="AX1236" s="1296" t="s">
        <v>136</v>
      </c>
      <c r="AY1236" s="65"/>
      <c r="AZ1236" s="65" t="s">
        <v>5061</v>
      </c>
    </row>
    <row r="1237">
      <c r="A1237" s="41">
        <v>1237.0</v>
      </c>
      <c r="B1237" s="65" t="s">
        <v>107</v>
      </c>
      <c r="C1237" s="59" t="s">
        <v>108</v>
      </c>
      <c r="D1237" s="59" t="s">
        <v>1227</v>
      </c>
      <c r="F1237" s="151" t="s">
        <v>6904</v>
      </c>
      <c r="G1237" s="156" t="s">
        <v>6905</v>
      </c>
      <c r="H1237" s="156" t="s">
        <v>6921</v>
      </c>
      <c r="I1237" s="149">
        <v>45663.0</v>
      </c>
      <c r="J1237" s="149">
        <v>45687.0</v>
      </c>
      <c r="K1237" s="65"/>
      <c r="L1237" s="65"/>
      <c r="M1237" s="151" t="s">
        <v>6908</v>
      </c>
      <c r="N1237" s="151" t="s">
        <v>6909</v>
      </c>
      <c r="O1237" s="153">
        <v>1.0</v>
      </c>
      <c r="P1237" s="156" t="str">
        <f t="shared" si="76"/>
        <v>10.1126--science.1189993.pdf</v>
      </c>
      <c r="Q1237" s="49" t="str">
        <f t="array" ref="Q1237"> if(iserror(MATCH(V1237, 'File Links'!C:C, 0)), "N/A", HYPERLINK(INDEX('File Links'!B:B, MATCH(P1237, 'File Links'!C:C, 0))))</f>
        <v>https://drive.google.com/file/d/1AKsdj68dbJXeSGboPcfZ2uD3ua_fvFPP/view?usp=drivesdk</v>
      </c>
      <c r="R1237" s="156" t="s">
        <v>6910</v>
      </c>
      <c r="S1237" s="156" t="s">
        <v>6911</v>
      </c>
      <c r="T1237" s="65"/>
      <c r="U1237" s="153">
        <v>2.0</v>
      </c>
      <c r="V1237" s="195" t="str">
        <f t="shared" si="77"/>
        <v>10.1038--s41562-018-0399-z.pdf</v>
      </c>
      <c r="W1237" s="65"/>
      <c r="X1237" s="51" t="str">
        <f t="array" ref="X1237"> if(iserror(MATCH(V1237, 'File Links'!C:C, 0)), "N/A", HYPERLINK(INDEX('File Links'!B:B, MATCH(V1237, 'File Links'!C:C, 0))))</f>
        <v>https://drive.google.com/file/d/1qJE0K3gDNeo5WCbf6KkP1a0pxT3faRns/view?usp=drivesdk</v>
      </c>
      <c r="Y1237" s="65"/>
      <c r="Z1237" s="156" t="s">
        <v>219</v>
      </c>
      <c r="AA1237" s="65"/>
      <c r="AB1237" s="65"/>
      <c r="AC1237" s="65"/>
      <c r="AD1237" s="1376" t="s">
        <v>6922</v>
      </c>
      <c r="AE1237" s="153">
        <v>1713.0</v>
      </c>
      <c r="AF1237" s="153">
        <v>54.0</v>
      </c>
      <c r="AG1237" s="1056">
        <v>0.27</v>
      </c>
      <c r="AH1237" s="1057" t="s">
        <v>208</v>
      </c>
      <c r="AI1237" s="1057" t="s">
        <v>6923</v>
      </c>
      <c r="AJ1237" s="153">
        <v>0.049</v>
      </c>
      <c r="AK1237" s="156" t="s">
        <v>165</v>
      </c>
      <c r="AL1237" s="156" t="s">
        <v>211</v>
      </c>
      <c r="AM1237" s="65" t="s">
        <v>130</v>
      </c>
      <c r="AN1237" s="65"/>
      <c r="AO1237" s="153">
        <v>599.0</v>
      </c>
      <c r="AP1237" s="153">
        <v>0.0627</v>
      </c>
      <c r="AQ1237" s="156" t="s">
        <v>208</v>
      </c>
      <c r="AR1237" s="65"/>
      <c r="AS1237" s="153">
        <v>0.125</v>
      </c>
      <c r="AT1237" s="156" t="s">
        <v>165</v>
      </c>
      <c r="AU1237" s="156" t="s">
        <v>129</v>
      </c>
      <c r="AV1237" s="65" t="s">
        <v>130</v>
      </c>
      <c r="AW1237" s="1377" t="s">
        <v>6912</v>
      </c>
      <c r="AX1237" s="65" t="s">
        <v>136</v>
      </c>
      <c r="AY1237" s="65"/>
      <c r="AZ1237" s="65" t="s">
        <v>5061</v>
      </c>
    </row>
    <row r="1238">
      <c r="A1238" s="41">
        <v>1238.0</v>
      </c>
      <c r="B1238" s="126" t="s">
        <v>145</v>
      </c>
      <c r="C1238" s="59" t="s">
        <v>108</v>
      </c>
      <c r="D1238" s="59" t="s">
        <v>225</v>
      </c>
      <c r="F1238" s="151" t="s">
        <v>6924</v>
      </c>
      <c r="G1238" s="156" t="s">
        <v>6925</v>
      </c>
      <c r="H1238" s="156" t="s">
        <v>6906</v>
      </c>
      <c r="I1238" s="149">
        <v>45682.0</v>
      </c>
      <c r="J1238" s="149">
        <v>45687.0</v>
      </c>
      <c r="K1238" s="156" t="s">
        <v>6926</v>
      </c>
      <c r="L1238" s="156" t="s">
        <v>6927</v>
      </c>
      <c r="M1238" s="156" t="s">
        <v>6928</v>
      </c>
      <c r="N1238" s="156" t="s">
        <v>6929</v>
      </c>
      <c r="O1238" s="153">
        <v>1.0</v>
      </c>
      <c r="P1238" s="156" t="str">
        <f t="shared" si="76"/>
        <v>10.1126--science.1199327.pdf</v>
      </c>
      <c r="Q1238" s="49" t="str">
        <f t="array" ref="Q1238"> if(iserror(MATCH(V1238, 'File Links'!C:C, 0)), "N/A", HYPERLINK(INDEX('File Links'!B:B, MATCH(P1238, 'File Links'!C:C, 0))))</f>
        <v>https://drive.google.com/file/d/1nLprzUcZjsicDG7JT3icjAuAK7g2gLY1/view?usp=drivesdk</v>
      </c>
      <c r="R1238" s="156" t="s">
        <v>6910</v>
      </c>
      <c r="S1238" s="156" t="s">
        <v>6911</v>
      </c>
      <c r="T1238" s="1112" t="s">
        <v>6930</v>
      </c>
      <c r="U1238" s="153">
        <v>10.0</v>
      </c>
      <c r="V1238" s="195" t="str">
        <f t="shared" si="77"/>
        <v>10.1038--s41562-018-0399-z.pdf</v>
      </c>
      <c r="W1238" s="156" t="s">
        <v>202</v>
      </c>
      <c r="X1238" s="51" t="str">
        <f t="array" ref="X1238"> if(iserror(MATCH(V1238, 'File Links'!C:C, 0)), "N/A", HYPERLINK(INDEX('File Links'!B:B, MATCH(V1238, 'File Links'!C:C, 0))))</f>
        <v>https://drive.google.com/file/d/1qJE0K3gDNeo5WCbf6KkP1a0pxT3faRns/view?usp=drivesdk</v>
      </c>
      <c r="Y1238" s="65"/>
      <c r="Z1238" s="1112" t="s">
        <v>141</v>
      </c>
      <c r="AA1238" s="156" t="s">
        <v>6931</v>
      </c>
      <c r="AB1238" s="156" t="s">
        <v>6914</v>
      </c>
      <c r="AC1238" s="156" t="s">
        <v>6932</v>
      </c>
      <c r="AD1238" s="156" t="s">
        <v>6933</v>
      </c>
      <c r="AE1238" s="156" t="s">
        <v>6934</v>
      </c>
      <c r="AF1238" s="153">
        <v>40.0</v>
      </c>
      <c r="AG1238" s="153">
        <v>1.5</v>
      </c>
      <c r="AH1238" s="156" t="s">
        <v>166</v>
      </c>
      <c r="AI1238" s="156" t="s">
        <v>6935</v>
      </c>
      <c r="AJ1238" s="153">
        <v>0.05</v>
      </c>
      <c r="AK1238" s="156" t="s">
        <v>128</v>
      </c>
      <c r="AL1238" s="1112" t="s">
        <v>211</v>
      </c>
      <c r="AM1238" s="65" t="s">
        <v>130</v>
      </c>
      <c r="AN1238" s="156" t="s">
        <v>131</v>
      </c>
      <c r="AO1238" s="153">
        <v>49.0</v>
      </c>
      <c r="AP1238" s="333">
        <v>0.384</v>
      </c>
      <c r="AQ1238" s="156" t="s">
        <v>208</v>
      </c>
      <c r="AR1238" s="156" t="s">
        <v>6936</v>
      </c>
      <c r="AS1238" s="153">
        <v>0.006</v>
      </c>
      <c r="AT1238" s="156" t="s">
        <v>165</v>
      </c>
      <c r="AU1238" s="1112" t="s">
        <v>129</v>
      </c>
      <c r="AV1238" s="65" t="s">
        <v>130</v>
      </c>
      <c r="AW1238" s="432" t="s">
        <v>6937</v>
      </c>
      <c r="AX1238" s="1296" t="s">
        <v>136</v>
      </c>
      <c r="AY1238" s="65"/>
      <c r="AZ1238" s="65" t="s">
        <v>5061</v>
      </c>
    </row>
    <row r="1239">
      <c r="A1239" s="41">
        <v>1239.0</v>
      </c>
      <c r="B1239" s="65" t="s">
        <v>107</v>
      </c>
      <c r="C1239" s="59" t="s">
        <v>108</v>
      </c>
      <c r="D1239" s="59" t="s">
        <v>1227</v>
      </c>
      <c r="F1239" s="151" t="s">
        <v>6924</v>
      </c>
      <c r="G1239" s="156" t="s">
        <v>6925</v>
      </c>
      <c r="H1239" s="156" t="s">
        <v>6921</v>
      </c>
      <c r="I1239" s="149">
        <v>45663.0</v>
      </c>
      <c r="J1239" s="149">
        <v>45687.0</v>
      </c>
      <c r="K1239" s="65"/>
      <c r="L1239" s="65"/>
      <c r="M1239" s="151" t="s">
        <v>6928</v>
      </c>
      <c r="N1239" s="151" t="s">
        <v>6929</v>
      </c>
      <c r="O1239" s="153">
        <v>1.0</v>
      </c>
      <c r="P1239" s="156" t="str">
        <f t="shared" si="76"/>
        <v>10.1126--science.1199327.pdf</v>
      </c>
      <c r="Q1239" s="49" t="str">
        <f t="array" ref="Q1239"> if(iserror(MATCH(V1239, 'File Links'!C:C, 0)), "N/A", HYPERLINK(INDEX('File Links'!B:B, MATCH(P1239, 'File Links'!C:C, 0))))</f>
        <v>https://drive.google.com/file/d/1nLprzUcZjsicDG7JT3icjAuAK7g2gLY1/view?usp=drivesdk</v>
      </c>
      <c r="R1239" s="156" t="s">
        <v>6910</v>
      </c>
      <c r="S1239" s="156" t="s">
        <v>6911</v>
      </c>
      <c r="T1239" s="65"/>
      <c r="U1239" s="153">
        <v>1.0</v>
      </c>
      <c r="V1239" s="195" t="str">
        <f t="shared" si="77"/>
        <v>10.1038--s41562-018-0399-z.pdf</v>
      </c>
      <c r="W1239" s="65"/>
      <c r="X1239" s="51" t="str">
        <f t="array" ref="X1239"> if(iserror(MATCH(V1239, 'File Links'!C:C, 0)), "N/A", HYPERLINK(INDEX('File Links'!B:B, MATCH(V1239, 'File Links'!C:C, 0))))</f>
        <v>https://drive.google.com/file/d/1qJE0K3gDNeo5WCbf6KkP1a0pxT3faRns/view?usp=drivesdk</v>
      </c>
      <c r="Y1239" s="65"/>
      <c r="Z1239" s="156" t="s">
        <v>141</v>
      </c>
      <c r="AA1239" s="65"/>
      <c r="AB1239" s="65"/>
      <c r="AC1239" s="65"/>
      <c r="AD1239" s="1376" t="s">
        <v>6938</v>
      </c>
      <c r="AE1239" s="153">
        <v>773.0</v>
      </c>
      <c r="AF1239" s="153">
        <v>40.0</v>
      </c>
      <c r="AG1239" s="1378">
        <v>0.602</v>
      </c>
      <c r="AH1239" s="1057" t="s">
        <v>208</v>
      </c>
      <c r="AI1239" s="65"/>
      <c r="AJ1239" s="159">
        <v>3.9E-5</v>
      </c>
      <c r="AK1239" s="156" t="s">
        <v>165</v>
      </c>
      <c r="AL1239" s="65"/>
      <c r="AM1239" s="65" t="s">
        <v>130</v>
      </c>
      <c r="AN1239" s="65"/>
      <c r="AO1239" s="153">
        <v>49.0</v>
      </c>
      <c r="AP1239" s="153">
        <v>0.38</v>
      </c>
      <c r="AQ1239" s="156" t="s">
        <v>208</v>
      </c>
      <c r="AR1239" s="65"/>
      <c r="AS1239" s="153">
        <v>0.006</v>
      </c>
      <c r="AT1239" s="156" t="s">
        <v>165</v>
      </c>
      <c r="AU1239" s="156" t="s">
        <v>129</v>
      </c>
      <c r="AV1239" s="65" t="s">
        <v>130</v>
      </c>
      <c r="AW1239" s="1377" t="s">
        <v>6930</v>
      </c>
      <c r="AX1239" s="65" t="s">
        <v>136</v>
      </c>
      <c r="AY1239" s="65"/>
      <c r="AZ1239" s="65" t="s">
        <v>5061</v>
      </c>
    </row>
    <row r="1240">
      <c r="A1240" s="41">
        <v>1240.0</v>
      </c>
      <c r="B1240" s="126" t="s">
        <v>145</v>
      </c>
      <c r="C1240" s="59" t="s">
        <v>108</v>
      </c>
      <c r="D1240" s="59" t="s">
        <v>225</v>
      </c>
      <c r="F1240" s="151" t="s">
        <v>6939</v>
      </c>
      <c r="G1240" s="156" t="s">
        <v>6940</v>
      </c>
      <c r="H1240" s="156" t="s">
        <v>6906</v>
      </c>
      <c r="I1240" s="149">
        <v>45682.0</v>
      </c>
      <c r="J1240" s="149">
        <v>45687.0</v>
      </c>
      <c r="K1240" s="156" t="s">
        <v>6941</v>
      </c>
      <c r="L1240" s="148" t="s">
        <v>6942</v>
      </c>
      <c r="M1240" s="156" t="s">
        <v>6943</v>
      </c>
      <c r="N1240" s="156" t="s">
        <v>6944</v>
      </c>
      <c r="O1240" s="153">
        <v>1.0</v>
      </c>
      <c r="P1240" s="156" t="str">
        <f t="shared" si="76"/>
        <v>10.1126--science.1239918.pdf</v>
      </c>
      <c r="Q1240" s="49" t="str">
        <f t="array" ref="Q1240"> if(iserror(MATCH(V1240, 'File Links'!C:C, 0)), "N/A", HYPERLINK(INDEX('File Links'!B:B, MATCH(P1240, 'File Links'!C:C, 0))))</f>
        <v>https://drive.google.com/file/d/1r4PVlL83grqiq4UZ0to7L57VLrbdB9hi/view?usp=drivesdk</v>
      </c>
      <c r="R1240" s="156" t="s">
        <v>6910</v>
      </c>
      <c r="S1240" s="156" t="s">
        <v>6911</v>
      </c>
      <c r="T1240" s="1112" t="s">
        <v>6945</v>
      </c>
      <c r="U1240" s="153">
        <v>11.0</v>
      </c>
      <c r="V1240" s="195" t="str">
        <f t="shared" si="77"/>
        <v>10.1038--s41562-018-0399-z.pdf</v>
      </c>
      <c r="W1240" s="156" t="s">
        <v>202</v>
      </c>
      <c r="X1240" s="51" t="str">
        <f t="array" ref="X1240"> if(iserror(MATCH(V1240, 'File Links'!C:C, 0)), "N/A", HYPERLINK(INDEX('File Links'!B:B, MATCH(V1240, 'File Links'!C:C, 0))))</f>
        <v>https://drive.google.com/file/d/1qJE0K3gDNeo5WCbf6KkP1a0pxT3faRns/view?usp=drivesdk</v>
      </c>
      <c r="Y1240" s="65"/>
      <c r="Z1240" s="156" t="s">
        <v>219</v>
      </c>
      <c r="AA1240" s="371" t="s">
        <v>131</v>
      </c>
      <c r="AB1240" s="156" t="s">
        <v>6914</v>
      </c>
      <c r="AC1240" s="156" t="s">
        <v>6946</v>
      </c>
      <c r="AD1240" s="156" t="s">
        <v>6947</v>
      </c>
      <c r="AE1240" s="156" t="s">
        <v>6948</v>
      </c>
      <c r="AF1240" s="153">
        <v>86.0</v>
      </c>
      <c r="AG1240" s="498" t="s">
        <v>6949</v>
      </c>
      <c r="AH1240" s="148" t="s">
        <v>127</v>
      </c>
      <c r="AI1240" s="156" t="s">
        <v>6948</v>
      </c>
      <c r="AJ1240" s="153">
        <v>0.01</v>
      </c>
      <c r="AK1240" s="156" t="s">
        <v>165</v>
      </c>
      <c r="AL1240" s="156" t="s">
        <v>179</v>
      </c>
      <c r="AM1240" s="65" t="s">
        <v>130</v>
      </c>
      <c r="AN1240" s="156" t="s">
        <v>131</v>
      </c>
      <c r="AO1240" s="153">
        <v>714.0</v>
      </c>
      <c r="AP1240" s="333">
        <v>-0.027</v>
      </c>
      <c r="AQ1240" s="156" t="s">
        <v>208</v>
      </c>
      <c r="AR1240" s="156" t="s">
        <v>6919</v>
      </c>
      <c r="AS1240" s="153">
        <v>0.468</v>
      </c>
      <c r="AT1240" s="156" t="s">
        <v>165</v>
      </c>
      <c r="AU1240" s="1112" t="s">
        <v>129</v>
      </c>
      <c r="AV1240" s="65" t="s">
        <v>130</v>
      </c>
      <c r="AW1240" s="432" t="s">
        <v>6950</v>
      </c>
      <c r="AX1240" s="1296" t="s">
        <v>136</v>
      </c>
      <c r="AY1240" s="65"/>
      <c r="AZ1240" s="126" t="s">
        <v>6951</v>
      </c>
    </row>
    <row r="1241" ht="15.75" customHeight="1">
      <c r="A1241" s="41">
        <v>1241.0</v>
      </c>
      <c r="B1241" s="65" t="s">
        <v>107</v>
      </c>
      <c r="C1241" s="59" t="s">
        <v>108</v>
      </c>
      <c r="D1241" s="59" t="s">
        <v>1227</v>
      </c>
      <c r="F1241" s="151" t="s">
        <v>6939</v>
      </c>
      <c r="G1241" s="156" t="s">
        <v>6940</v>
      </c>
      <c r="H1241" s="156" t="s">
        <v>6921</v>
      </c>
      <c r="I1241" s="149">
        <v>45663.0</v>
      </c>
      <c r="J1241" s="149">
        <v>45687.0</v>
      </c>
      <c r="K1241" s="65"/>
      <c r="L1241" s="65"/>
      <c r="M1241" s="151" t="s">
        <v>6943</v>
      </c>
      <c r="N1241" s="151" t="s">
        <v>6944</v>
      </c>
      <c r="O1241" s="153">
        <v>1.0</v>
      </c>
      <c r="P1241" s="156" t="str">
        <f t="shared" si="76"/>
        <v>10.1126--science.1239918.pdf</v>
      </c>
      <c r="Q1241" s="49" t="str">
        <f t="array" ref="Q1241"> if(iserror(MATCH(V1241, 'File Links'!C:C, 0)), "N/A", HYPERLINK(INDEX('File Links'!B:B, MATCH(P1241, 'File Links'!C:C, 0))))</f>
        <v>https://drive.google.com/file/d/1r4PVlL83grqiq4UZ0to7L57VLrbdB9hi/view?usp=drivesdk</v>
      </c>
      <c r="R1241" s="156" t="s">
        <v>6910</v>
      </c>
      <c r="S1241" s="156" t="s">
        <v>6911</v>
      </c>
      <c r="T1241" s="65"/>
      <c r="U1241" s="153">
        <v>1.0</v>
      </c>
      <c r="V1241" s="195" t="str">
        <f t="shared" si="77"/>
        <v>10.1038--s41562-018-0399-z.pdf</v>
      </c>
      <c r="W1241" s="65"/>
      <c r="X1241" s="51" t="str">
        <f t="array" ref="X1241"> if(iserror(MATCH(V1241, 'File Links'!C:C, 0)), "N/A", HYPERLINK(INDEX('File Links'!B:B, MATCH(V1241, 'File Links'!C:C, 0))))</f>
        <v>https://drive.google.com/file/d/1qJE0K3gDNeo5WCbf6KkP1a0pxT3faRns/view?usp=drivesdk</v>
      </c>
      <c r="Y1241" s="65"/>
      <c r="Z1241" s="156" t="s">
        <v>219</v>
      </c>
      <c r="AA1241" s="65"/>
      <c r="AB1241" s="65"/>
      <c r="AC1241" s="65"/>
      <c r="AD1241" s="1376" t="s">
        <v>6952</v>
      </c>
      <c r="AE1241" s="153">
        <v>378.0</v>
      </c>
      <c r="AF1241" s="153">
        <v>86.0</v>
      </c>
      <c r="AG1241" s="1056">
        <v>0.269</v>
      </c>
      <c r="AH1241" s="1057" t="s">
        <v>208</v>
      </c>
      <c r="AI1241" s="65"/>
      <c r="AJ1241" s="153">
        <v>0.01</v>
      </c>
      <c r="AK1241" s="156" t="s">
        <v>165</v>
      </c>
      <c r="AL1241" s="65"/>
      <c r="AM1241" s="65"/>
      <c r="AN1241" s="65"/>
      <c r="AO1241" s="153">
        <v>714.0</v>
      </c>
      <c r="AP1241" s="1379">
        <v>0.08204666802424937</v>
      </c>
      <c r="AQ1241" s="1057" t="s">
        <v>166</v>
      </c>
      <c r="AR1241" s="1057" t="s">
        <v>6953</v>
      </c>
      <c r="AS1241" s="153">
        <v>0.4681</v>
      </c>
      <c r="AT1241" s="156" t="s">
        <v>165</v>
      </c>
      <c r="AU1241" s="156" t="s">
        <v>129</v>
      </c>
      <c r="AV1241" s="65" t="s">
        <v>130</v>
      </c>
      <c r="AW1241" s="1377" t="s">
        <v>6945</v>
      </c>
      <c r="AX1241" s="65" t="s">
        <v>136</v>
      </c>
      <c r="AY1241" s="65"/>
      <c r="AZ1241" s="65" t="s">
        <v>5061</v>
      </c>
    </row>
    <row r="1242">
      <c r="A1242" s="41">
        <v>1242.0</v>
      </c>
      <c r="B1242" s="126" t="s">
        <v>145</v>
      </c>
      <c r="C1242" s="59" t="s">
        <v>108</v>
      </c>
      <c r="D1242" s="59" t="s">
        <v>225</v>
      </c>
      <c r="F1242" s="151" t="s">
        <v>6954</v>
      </c>
      <c r="G1242" s="156" t="s">
        <v>6955</v>
      </c>
      <c r="H1242" s="156" t="s">
        <v>6906</v>
      </c>
      <c r="I1242" s="149">
        <v>45682.0</v>
      </c>
      <c r="J1242" s="149">
        <v>45692.0</v>
      </c>
      <c r="K1242" s="65"/>
      <c r="L1242" s="156" t="s">
        <v>6956</v>
      </c>
      <c r="M1242" s="156" t="s">
        <v>6272</v>
      </c>
      <c r="N1242" s="156" t="s">
        <v>6273</v>
      </c>
      <c r="O1242" s="153">
        <v>1.0</v>
      </c>
      <c r="P1242" s="156" t="str">
        <f t="shared" si="76"/>
        <v>10.1126--science.1190792.pdf</v>
      </c>
      <c r="Q1242" s="49" t="str">
        <f t="array" ref="Q1242"> if(iserror(MATCH(V1242, 'File Links'!C:C, 0)), "N/A", HYPERLINK(INDEX('File Links'!B:B, MATCH(P1242, 'File Links'!C:C, 0))))</f>
        <v>https://drive.google.com/file/d/1Chyql9h2DEg41XAYeRupg6Etz-OFp0us/view?usp=drivesdk</v>
      </c>
      <c r="R1242" s="156" t="s">
        <v>6910</v>
      </c>
      <c r="S1242" s="156" t="s">
        <v>6911</v>
      </c>
      <c r="T1242" s="1112" t="s">
        <v>6957</v>
      </c>
      <c r="U1242" s="153">
        <v>12.0</v>
      </c>
      <c r="V1242" s="195" t="str">
        <f t="shared" si="77"/>
        <v>10.1038--s41562-018-0399-z.pdf</v>
      </c>
      <c r="W1242" s="156" t="s">
        <v>202</v>
      </c>
      <c r="X1242" s="51" t="str">
        <f t="array" ref="X1242"> if(iserror(MATCH(V1242, 'File Links'!C:C, 0)), "N/A", HYPERLINK(INDEX('File Links'!B:B, MATCH(V1242, 'File Links'!C:C, 0))))</f>
        <v>https://drive.google.com/file/d/1qJE0K3gDNeo5WCbf6KkP1a0pxT3faRns/view?usp=drivesdk</v>
      </c>
      <c r="Y1242" s="65"/>
      <c r="Z1242" s="156" t="s">
        <v>219</v>
      </c>
      <c r="AA1242" s="371" t="s">
        <v>131</v>
      </c>
      <c r="AB1242" s="156" t="s">
        <v>6914</v>
      </c>
      <c r="AC1242" s="156" t="s">
        <v>6958</v>
      </c>
      <c r="AD1242" s="156" t="s">
        <v>6959</v>
      </c>
      <c r="AE1242" s="156" t="s">
        <v>6960</v>
      </c>
      <c r="AF1242" s="153">
        <v>24.0</v>
      </c>
      <c r="AG1242" s="156" t="s">
        <v>6961</v>
      </c>
      <c r="AH1242" s="156" t="s">
        <v>127</v>
      </c>
      <c r="AI1242" s="156" t="s">
        <v>6960</v>
      </c>
      <c r="AJ1242" s="153">
        <v>0.02</v>
      </c>
      <c r="AK1242" s="156" t="s">
        <v>165</v>
      </c>
      <c r="AL1242" s="156" t="s">
        <v>179</v>
      </c>
      <c r="AM1242" s="65" t="s">
        <v>130</v>
      </c>
      <c r="AN1242" s="156" t="s">
        <v>131</v>
      </c>
      <c r="AO1242" s="153">
        <v>95.0</v>
      </c>
      <c r="AP1242" s="1090">
        <v>0.586204</v>
      </c>
      <c r="AQ1242" s="156" t="s">
        <v>208</v>
      </c>
      <c r="AR1242" s="156" t="s">
        <v>6936</v>
      </c>
      <c r="AS1242" s="1090">
        <v>3.497E-10</v>
      </c>
      <c r="AT1242" s="1112" t="s">
        <v>165</v>
      </c>
      <c r="AU1242" s="1112" t="s">
        <v>129</v>
      </c>
      <c r="AV1242" s="65" t="s">
        <v>130</v>
      </c>
      <c r="AW1242" s="432" t="s">
        <v>6962</v>
      </c>
      <c r="AX1242" s="1296" t="s">
        <v>136</v>
      </c>
      <c r="AY1242" s="65"/>
      <c r="AZ1242" s="65" t="s">
        <v>5061</v>
      </c>
    </row>
    <row r="1243">
      <c r="A1243" s="41">
        <v>1243.0</v>
      </c>
      <c r="B1243" s="65" t="s">
        <v>107</v>
      </c>
      <c r="C1243" s="59" t="s">
        <v>108</v>
      </c>
      <c r="D1243" s="59" t="s">
        <v>1227</v>
      </c>
      <c r="F1243" s="151" t="s">
        <v>6954</v>
      </c>
      <c r="G1243" s="156" t="s">
        <v>6955</v>
      </c>
      <c r="H1243" s="156" t="s">
        <v>6921</v>
      </c>
      <c r="I1243" s="149">
        <v>45663.0</v>
      </c>
      <c r="J1243" s="149">
        <v>45692.0</v>
      </c>
      <c r="K1243" s="65"/>
      <c r="L1243" s="65"/>
      <c r="M1243" s="151" t="s">
        <v>6272</v>
      </c>
      <c r="N1243" s="151" t="s">
        <v>6273</v>
      </c>
      <c r="O1243" s="153">
        <v>1.0</v>
      </c>
      <c r="P1243" s="156" t="str">
        <f t="shared" si="76"/>
        <v>10.1126--science.1190792.pdf</v>
      </c>
      <c r="Q1243" s="49" t="str">
        <f t="array" ref="Q1243"> if(iserror(MATCH(V1243, 'File Links'!C:C, 0)), "N/A", HYPERLINK(INDEX('File Links'!B:B, MATCH(P1243, 'File Links'!C:C, 0))))</f>
        <v>https://drive.google.com/file/d/1Chyql9h2DEg41XAYeRupg6Etz-OFp0us/view?usp=drivesdk</v>
      </c>
      <c r="R1243" s="156" t="s">
        <v>6910</v>
      </c>
      <c r="S1243" s="156" t="s">
        <v>6911</v>
      </c>
      <c r="T1243" s="65"/>
      <c r="U1243" s="153">
        <v>1.0</v>
      </c>
      <c r="V1243" s="195" t="str">
        <f t="shared" si="77"/>
        <v>10.1038--s41562-018-0399-z.pdf</v>
      </c>
      <c r="W1243" s="65"/>
      <c r="X1243" s="51" t="str">
        <f t="array" ref="X1243"> if(iserror(MATCH(V1243, 'File Links'!C:C, 0)), "N/A", HYPERLINK(INDEX('File Links'!B:B, MATCH(V1243, 'File Links'!C:C, 0))))</f>
        <v>https://drive.google.com/file/d/1qJE0K3gDNeo5WCbf6KkP1a0pxT3faRns/view?usp=drivesdk</v>
      </c>
      <c r="Y1243" s="65"/>
      <c r="Z1243" s="1057" t="s">
        <v>141</v>
      </c>
      <c r="AA1243" s="65"/>
      <c r="AB1243" s="65"/>
      <c r="AC1243" s="65"/>
      <c r="AD1243" s="1380" t="s">
        <v>6963</v>
      </c>
      <c r="AE1243" s="153">
        <v>1832.0</v>
      </c>
      <c r="AF1243" s="153">
        <v>24.0</v>
      </c>
      <c r="AG1243" s="1056">
        <v>0.45</v>
      </c>
      <c r="AH1243" s="1057" t="s">
        <v>208</v>
      </c>
      <c r="AI1243" s="65"/>
      <c r="AJ1243" s="159">
        <v>0.0238</v>
      </c>
      <c r="AK1243" s="156" t="s">
        <v>165</v>
      </c>
      <c r="AL1243" s="65"/>
      <c r="AM1243" s="65"/>
      <c r="AN1243" s="65"/>
      <c r="AO1243" s="153">
        <v>95.0</v>
      </c>
      <c r="AP1243" s="153">
        <v>0.586204</v>
      </c>
      <c r="AQ1243" s="156" t="s">
        <v>208</v>
      </c>
      <c r="AR1243" s="156" t="s">
        <v>6964</v>
      </c>
      <c r="AS1243" s="153">
        <v>3.497E-10</v>
      </c>
      <c r="AT1243" s="156" t="s">
        <v>165</v>
      </c>
      <c r="AU1243" s="156" t="s">
        <v>129</v>
      </c>
      <c r="AV1243" s="65"/>
      <c r="AW1243" s="1377" t="s">
        <v>6957</v>
      </c>
      <c r="AX1243" s="65" t="s">
        <v>136</v>
      </c>
      <c r="AY1243" s="65"/>
      <c r="AZ1243" s="65" t="s">
        <v>5061</v>
      </c>
    </row>
    <row r="1244">
      <c r="A1244" s="41">
        <v>1244.0</v>
      </c>
      <c r="B1244" s="126" t="s">
        <v>145</v>
      </c>
      <c r="C1244" s="59" t="s">
        <v>108</v>
      </c>
      <c r="D1244" s="59" t="s">
        <v>225</v>
      </c>
      <c r="F1244" s="156" t="s">
        <v>6965</v>
      </c>
      <c r="G1244" s="156" t="s">
        <v>6966</v>
      </c>
      <c r="H1244" s="156" t="s">
        <v>6906</v>
      </c>
      <c r="I1244" s="149">
        <v>45682.0</v>
      </c>
      <c r="J1244" s="149">
        <v>45692.0</v>
      </c>
      <c r="K1244" s="65"/>
      <c r="L1244" s="156" t="s">
        <v>6967</v>
      </c>
      <c r="M1244" s="156" t="s">
        <v>6968</v>
      </c>
      <c r="N1244" s="156" t="s">
        <v>6969</v>
      </c>
      <c r="O1244" s="153">
        <v>1.0</v>
      </c>
      <c r="P1244" s="156" t="str">
        <f t="shared" si="76"/>
        <v>10.1126--science.1186799.pdf</v>
      </c>
      <c r="Q1244" s="49" t="str">
        <f t="array" ref="Q1244"> if(iserror(MATCH(V1244, 'File Links'!C:C, 0)), "N/A", HYPERLINK(INDEX('File Links'!B:B, MATCH(P1244, 'File Links'!C:C, 0))))</f>
        <v>https://drive.google.com/file/d/1E31uybgDVJiRN0FEcJfVIX_of85BuGEz/view?usp=drivesdk</v>
      </c>
      <c r="R1244" s="156" t="s">
        <v>6910</v>
      </c>
      <c r="S1244" s="156" t="s">
        <v>6911</v>
      </c>
      <c r="T1244" s="1112" t="s">
        <v>6970</v>
      </c>
      <c r="U1244" s="153">
        <v>13.0</v>
      </c>
      <c r="V1244" s="195" t="str">
        <f t="shared" si="77"/>
        <v>10.1038--s41562-018-0399-z.pdf</v>
      </c>
      <c r="W1244" s="156" t="s">
        <v>202</v>
      </c>
      <c r="X1244" s="51" t="str">
        <f t="array" ref="X1244"> if(iserror(MATCH(V1244, 'File Links'!C:C, 0)), "N/A", HYPERLINK(INDEX('File Links'!B:B, MATCH(V1244, 'File Links'!C:C, 0))))</f>
        <v>https://drive.google.com/file/d/1qJE0K3gDNeo5WCbf6KkP1a0pxT3faRns/view?usp=drivesdk</v>
      </c>
      <c r="Y1244" s="65"/>
      <c r="Z1244" s="156" t="s">
        <v>219</v>
      </c>
      <c r="AA1244" s="156" t="s">
        <v>6971</v>
      </c>
      <c r="AB1244" s="156" t="s">
        <v>6914</v>
      </c>
      <c r="AC1244" s="156" t="s">
        <v>6972</v>
      </c>
      <c r="AD1244" s="156" t="s">
        <v>6973</v>
      </c>
      <c r="AE1244" s="156" t="s">
        <v>6974</v>
      </c>
      <c r="AF1244" s="153">
        <v>40.0</v>
      </c>
      <c r="AG1244" s="1117">
        <v>0.8705228793740944</v>
      </c>
      <c r="AH1244" s="156" t="s">
        <v>166</v>
      </c>
      <c r="AI1244" s="156" t="s">
        <v>6975</v>
      </c>
      <c r="AJ1244" s="153">
        <v>0.01</v>
      </c>
      <c r="AK1244" s="156" t="s">
        <v>165</v>
      </c>
      <c r="AL1244" s="156" t="s">
        <v>211</v>
      </c>
      <c r="AM1244" s="65" t="s">
        <v>130</v>
      </c>
      <c r="AN1244" s="156" t="s">
        <v>131</v>
      </c>
      <c r="AO1244" s="153">
        <v>286.0</v>
      </c>
      <c r="AP1244" s="153">
        <v>-0.046</v>
      </c>
      <c r="AQ1244" s="156" t="s">
        <v>208</v>
      </c>
      <c r="AR1244" s="156" t="s">
        <v>6919</v>
      </c>
      <c r="AS1244" s="153">
        <v>0.436</v>
      </c>
      <c r="AT1244" s="156" t="s">
        <v>165</v>
      </c>
      <c r="AU1244" s="156" t="s">
        <v>211</v>
      </c>
      <c r="AV1244" s="65" t="s">
        <v>130</v>
      </c>
      <c r="AW1244" s="432" t="s">
        <v>6976</v>
      </c>
      <c r="AX1244" s="1296" t="s">
        <v>136</v>
      </c>
      <c r="AY1244" s="65"/>
      <c r="AZ1244" s="65" t="s">
        <v>5061</v>
      </c>
    </row>
    <row r="1245">
      <c r="A1245" s="41">
        <v>1245.0</v>
      </c>
      <c r="B1245" s="65" t="s">
        <v>107</v>
      </c>
      <c r="C1245" s="59" t="s">
        <v>108</v>
      </c>
      <c r="D1245" s="59" t="s">
        <v>1227</v>
      </c>
      <c r="F1245" s="151" t="s">
        <v>6965</v>
      </c>
      <c r="G1245" s="156" t="s">
        <v>6966</v>
      </c>
      <c r="H1245" s="156" t="s">
        <v>6921</v>
      </c>
      <c r="I1245" s="149">
        <v>45663.0</v>
      </c>
      <c r="J1245" s="149">
        <v>45692.0</v>
      </c>
      <c r="K1245" s="65"/>
      <c r="L1245" s="65"/>
      <c r="M1245" s="151" t="s">
        <v>6968</v>
      </c>
      <c r="N1245" s="151" t="s">
        <v>6969</v>
      </c>
      <c r="O1245" s="153">
        <v>1.0</v>
      </c>
      <c r="P1245" s="156" t="str">
        <f t="shared" si="76"/>
        <v>10.1126--science.1186799.pdf</v>
      </c>
      <c r="Q1245" s="49" t="str">
        <f t="array" ref="Q1245"> if(iserror(MATCH(V1245, 'File Links'!C:C, 0)), "N/A", HYPERLINK(INDEX('File Links'!B:B, MATCH(P1245, 'File Links'!C:C, 0))))</f>
        <v>https://drive.google.com/file/d/1E31uybgDVJiRN0FEcJfVIX_of85BuGEz/view?usp=drivesdk</v>
      </c>
      <c r="R1245" s="156" t="s">
        <v>6910</v>
      </c>
      <c r="S1245" s="156" t="s">
        <v>6911</v>
      </c>
      <c r="T1245" s="65"/>
      <c r="U1245" s="153">
        <v>1.0</v>
      </c>
      <c r="V1245" s="195" t="str">
        <f t="shared" si="77"/>
        <v>10.1038--s41562-018-0399-z.pdf</v>
      </c>
      <c r="W1245" s="65"/>
      <c r="X1245" s="51" t="str">
        <f t="array" ref="X1245"> if(iserror(MATCH(V1245, 'File Links'!C:C, 0)), "N/A", HYPERLINK(INDEX('File Links'!B:B, MATCH(V1245, 'File Links'!C:C, 0))))</f>
        <v>https://drive.google.com/file/d/1qJE0K3gDNeo5WCbf6KkP1a0pxT3faRns/view?usp=drivesdk</v>
      </c>
      <c r="Y1245" s="65"/>
      <c r="Z1245" s="1057" t="s">
        <v>1802</v>
      </c>
      <c r="AA1245" s="65"/>
      <c r="AB1245" s="65"/>
      <c r="AC1245" s="65"/>
      <c r="AD1245" s="1380" t="s">
        <v>6977</v>
      </c>
      <c r="AE1245" s="153">
        <v>709.0</v>
      </c>
      <c r="AF1245" s="153">
        <v>40.0</v>
      </c>
      <c r="AG1245" s="1056">
        <v>0.388</v>
      </c>
      <c r="AH1245" s="1057" t="s">
        <v>208</v>
      </c>
      <c r="AI1245" s="65"/>
      <c r="AJ1245" s="153">
        <v>0.01</v>
      </c>
      <c r="AK1245" s="156" t="s">
        <v>165</v>
      </c>
      <c r="AL1245" s="156" t="s">
        <v>179</v>
      </c>
      <c r="AM1245" s="65" t="s">
        <v>130</v>
      </c>
      <c r="AN1245" s="65"/>
      <c r="AO1245" s="153">
        <v>286.0</v>
      </c>
      <c r="AP1245" s="1379">
        <v>0.09145300219901326</v>
      </c>
      <c r="AQ1245" s="1057" t="s">
        <v>208</v>
      </c>
      <c r="AR1245" s="1057" t="s">
        <v>6978</v>
      </c>
      <c r="AS1245" s="153">
        <v>0.4362</v>
      </c>
      <c r="AT1245" s="156" t="s">
        <v>165</v>
      </c>
      <c r="AU1245" s="1057" t="s">
        <v>129</v>
      </c>
      <c r="AV1245" s="65" t="s">
        <v>130</v>
      </c>
      <c r="AW1245" s="1377" t="s">
        <v>6970</v>
      </c>
      <c r="AX1245" s="65" t="s">
        <v>136</v>
      </c>
      <c r="AY1245" s="65"/>
      <c r="AZ1245" s="65" t="s">
        <v>5061</v>
      </c>
    </row>
    <row r="1246">
      <c r="A1246" s="41">
        <v>1246.0</v>
      </c>
      <c r="B1246" s="126" t="s">
        <v>583</v>
      </c>
      <c r="C1246" s="59" t="s">
        <v>108</v>
      </c>
      <c r="D1246" s="59" t="s">
        <v>225</v>
      </c>
      <c r="F1246" s="151" t="s">
        <v>6979</v>
      </c>
      <c r="G1246" s="65" t="s">
        <v>6980</v>
      </c>
      <c r="H1246" s="156" t="s">
        <v>6906</v>
      </c>
      <c r="I1246" s="149">
        <v>45682.0</v>
      </c>
      <c r="J1246" s="149">
        <v>45692.0</v>
      </c>
      <c r="K1246" s="377" t="s">
        <v>6981</v>
      </c>
      <c r="L1246" s="156" t="s">
        <v>6982</v>
      </c>
      <c r="M1246" s="156" t="s">
        <v>6983</v>
      </c>
      <c r="N1246" s="156" t="s">
        <v>6984</v>
      </c>
      <c r="O1246" s="153">
        <v>1.0</v>
      </c>
      <c r="P1246" s="156" t="str">
        <f t="shared" si="76"/>
        <v>10.1126--science.1195701.pdf</v>
      </c>
      <c r="Q1246" s="49" t="str">
        <f t="array" ref="Q1246"> if(iserror(MATCH(V1246, 'File Links'!C:C, 0)), "N/A", HYPERLINK(INDEX('File Links'!B:B, MATCH(P1246, 'File Links'!C:C, 0))))</f>
        <v>https://drive.google.com/file/d/19X5spXSqhBiEOOUR62_YtANpegjkcJ1f/view?usp=drivesdk</v>
      </c>
      <c r="R1246" s="156" t="s">
        <v>6910</v>
      </c>
      <c r="S1246" s="156" t="s">
        <v>6911</v>
      </c>
      <c r="T1246" s="1381" t="s">
        <v>6985</v>
      </c>
      <c r="U1246" s="153">
        <v>14.0</v>
      </c>
      <c r="V1246" s="195" t="str">
        <f t="shared" si="77"/>
        <v>10.1038--s41562-018-0399-z.pdf</v>
      </c>
      <c r="W1246" s="156" t="s">
        <v>202</v>
      </c>
      <c r="X1246" s="51" t="str">
        <f t="array" ref="X1246"> if(iserror(MATCH(V1246, 'File Links'!C:C, 0)), "N/A", HYPERLINK(INDEX('File Links'!B:B, MATCH(V1246, 'File Links'!C:C, 0))))</f>
        <v>https://drive.google.com/file/d/1qJE0K3gDNeo5WCbf6KkP1a0pxT3faRns/view?usp=drivesdk</v>
      </c>
      <c r="Y1246" s="65"/>
      <c r="Z1246" s="156" t="s">
        <v>219</v>
      </c>
      <c r="AA1246" s="65"/>
      <c r="AB1246" s="156" t="s">
        <v>6914</v>
      </c>
      <c r="AC1246" s="156" t="s">
        <v>6986</v>
      </c>
      <c r="AD1246" s="156" t="s">
        <v>6987</v>
      </c>
      <c r="AE1246" s="156" t="s">
        <v>6988</v>
      </c>
      <c r="AF1246" s="153">
        <v>32.0</v>
      </c>
      <c r="AG1246" s="156" t="s">
        <v>6989</v>
      </c>
      <c r="AH1246" s="156" t="s">
        <v>127</v>
      </c>
      <c r="AI1246" s="156" t="s">
        <v>6988</v>
      </c>
      <c r="AJ1246" s="153">
        <v>0.05</v>
      </c>
      <c r="AK1246" s="156" t="s">
        <v>128</v>
      </c>
      <c r="AL1246" s="156" t="s">
        <v>179</v>
      </c>
      <c r="AM1246" s="65" t="s">
        <v>130</v>
      </c>
      <c r="AN1246" s="156" t="s">
        <v>131</v>
      </c>
      <c r="AO1246" s="153">
        <v>89.0</v>
      </c>
      <c r="AP1246" s="333">
        <v>0.355</v>
      </c>
      <c r="AQ1246" s="156" t="s">
        <v>208</v>
      </c>
      <c r="AR1246" s="156" t="s">
        <v>6936</v>
      </c>
      <c r="AS1246" s="153">
        <v>0.001</v>
      </c>
      <c r="AT1246" s="156" t="s">
        <v>128</v>
      </c>
      <c r="AU1246" s="1112" t="s">
        <v>129</v>
      </c>
      <c r="AV1246" s="65" t="s">
        <v>130</v>
      </c>
      <c r="AW1246" s="432" t="s">
        <v>6990</v>
      </c>
      <c r="AX1246" s="1296" t="s">
        <v>136</v>
      </c>
      <c r="AY1246" s="65"/>
      <c r="AZ1246" s="65" t="s">
        <v>5061</v>
      </c>
    </row>
    <row r="1247">
      <c r="A1247" s="41">
        <v>1247.0</v>
      </c>
      <c r="B1247" s="65" t="s">
        <v>107</v>
      </c>
      <c r="C1247" s="59" t="s">
        <v>108</v>
      </c>
      <c r="D1247" s="59" t="s">
        <v>1227</v>
      </c>
      <c r="F1247" s="151" t="s">
        <v>6979</v>
      </c>
      <c r="G1247" s="65" t="s">
        <v>6980</v>
      </c>
      <c r="H1247" s="156" t="s">
        <v>6921</v>
      </c>
      <c r="I1247" s="149">
        <v>45663.0</v>
      </c>
      <c r="J1247" s="149">
        <v>45692.0</v>
      </c>
      <c r="K1247" s="65"/>
      <c r="L1247" s="65"/>
      <c r="M1247" s="151" t="s">
        <v>6983</v>
      </c>
      <c r="N1247" s="151" t="s">
        <v>6984</v>
      </c>
      <c r="O1247" s="153">
        <v>1.0</v>
      </c>
      <c r="P1247" s="156" t="str">
        <f t="shared" si="76"/>
        <v>10.1126--science.1195701.pdf</v>
      </c>
      <c r="Q1247" s="49" t="str">
        <f t="array" ref="Q1247"> if(iserror(MATCH(V1247, 'File Links'!C:C, 0)), "N/A", HYPERLINK(INDEX('File Links'!B:B, MATCH(P1247, 'File Links'!C:C, 0))))</f>
        <v>https://drive.google.com/file/d/19X5spXSqhBiEOOUR62_YtANpegjkcJ1f/view?usp=drivesdk</v>
      </c>
      <c r="R1247" s="156" t="s">
        <v>6910</v>
      </c>
      <c r="S1247" s="156" t="s">
        <v>6911</v>
      </c>
      <c r="T1247" s="65"/>
      <c r="U1247" s="153">
        <v>1.0</v>
      </c>
      <c r="V1247" s="195" t="str">
        <f t="shared" si="77"/>
        <v>10.1038--s41562-018-0399-z.pdf</v>
      </c>
      <c r="W1247" s="65"/>
      <c r="X1247" s="51" t="str">
        <f t="array" ref="X1247"> if(iserror(MATCH(V1247, 'File Links'!C:C, 0)), "N/A", HYPERLINK(INDEX('File Links'!B:B, MATCH(V1247, 'File Links'!C:C, 0))))</f>
        <v>https://drive.google.com/file/d/1qJE0K3gDNeo5WCbf6KkP1a0pxT3faRns/view?usp=drivesdk</v>
      </c>
      <c r="Y1247" s="65"/>
      <c r="Z1247" s="1057" t="s">
        <v>1802</v>
      </c>
      <c r="AA1247" s="65"/>
      <c r="AB1247" s="65"/>
      <c r="AC1247" s="65"/>
      <c r="AD1247" s="1380" t="s">
        <v>6991</v>
      </c>
      <c r="AE1247" s="153">
        <v>1531.0</v>
      </c>
      <c r="AF1247" s="153">
        <v>32.0</v>
      </c>
      <c r="AG1247" s="1056">
        <v>0.453</v>
      </c>
      <c r="AH1247" s="1057" t="s">
        <v>208</v>
      </c>
      <c r="AI1247" s="65"/>
      <c r="AJ1247" s="1056">
        <v>0.0092</v>
      </c>
      <c r="AK1247" s="156" t="s">
        <v>165</v>
      </c>
      <c r="AL1247" s="65"/>
      <c r="AM1247" s="65" t="s">
        <v>130</v>
      </c>
      <c r="AN1247" s="65"/>
      <c r="AO1247" s="153">
        <v>89.0</v>
      </c>
      <c r="AP1247" s="1379">
        <v>0.750614756155934</v>
      </c>
      <c r="AQ1247" s="1057" t="s">
        <v>166</v>
      </c>
      <c r="AR1247" s="1057" t="s">
        <v>6992</v>
      </c>
      <c r="AS1247" s="1056">
        <v>6.0E-4</v>
      </c>
      <c r="AT1247" s="156" t="s">
        <v>165</v>
      </c>
      <c r="AU1247" s="156" t="s">
        <v>129</v>
      </c>
      <c r="AV1247" s="65" t="s">
        <v>130</v>
      </c>
      <c r="AW1247" s="1382" t="s">
        <v>6985</v>
      </c>
      <c r="AX1247" s="65" t="s">
        <v>136</v>
      </c>
      <c r="AY1247" s="65"/>
      <c r="AZ1247" s="65" t="s">
        <v>5061</v>
      </c>
    </row>
    <row r="1248">
      <c r="A1248" s="41">
        <v>1248.0</v>
      </c>
      <c r="B1248" s="126" t="s">
        <v>145</v>
      </c>
      <c r="C1248" s="59" t="s">
        <v>108</v>
      </c>
      <c r="D1248" s="59" t="s">
        <v>225</v>
      </c>
      <c r="F1248" s="151" t="s">
        <v>6993</v>
      </c>
      <c r="G1248" s="65" t="s">
        <v>6994</v>
      </c>
      <c r="H1248" s="156" t="s">
        <v>6906</v>
      </c>
      <c r="I1248" s="149">
        <v>45682.0</v>
      </c>
      <c r="J1248" s="149">
        <v>45692.0</v>
      </c>
      <c r="K1248" s="478" t="s">
        <v>6995</v>
      </c>
      <c r="L1248" s="156" t="s">
        <v>6996</v>
      </c>
      <c r="M1248" s="156" t="s">
        <v>6997</v>
      </c>
      <c r="N1248" s="156" t="s">
        <v>6998</v>
      </c>
      <c r="O1248" s="153">
        <v>1.0</v>
      </c>
      <c r="P1248" s="156" t="str">
        <f t="shared" si="76"/>
        <v>10.1038--nature15392.pdf</v>
      </c>
      <c r="Q1248" s="49" t="str">
        <f t="array" ref="Q1248"> if(iserror(MATCH(V1248, 'File Links'!C:C, 0)), "N/A", HYPERLINK(INDEX('File Links'!B:B, MATCH(P1248, 'File Links'!C:C, 0))))</f>
        <v>https://drive.google.com/file/d/1yPKBulDUT2sA_EL4XHrVvgND1nEVQNHI/view?usp=drivesdk</v>
      </c>
      <c r="R1248" s="156" t="s">
        <v>6910</v>
      </c>
      <c r="S1248" s="156" t="s">
        <v>6911</v>
      </c>
      <c r="T1248" s="1381" t="s">
        <v>6999</v>
      </c>
      <c r="U1248" s="153">
        <v>15.0</v>
      </c>
      <c r="V1248" s="195" t="str">
        <f t="shared" si="77"/>
        <v>10.1038--s41562-018-0399-z.pdf</v>
      </c>
      <c r="W1248" s="156" t="s">
        <v>202</v>
      </c>
      <c r="X1248" s="51" t="str">
        <f t="array" ref="X1248"> if(iserror(MATCH(V1248, 'File Links'!C:C, 0)), "N/A", HYPERLINK(INDEX('File Links'!B:B, MATCH(V1248, 'File Links'!C:C, 0))))</f>
        <v>https://drive.google.com/file/d/1qJE0K3gDNeo5WCbf6KkP1a0pxT3faRns/view?usp=drivesdk</v>
      </c>
      <c r="Y1248" s="65"/>
      <c r="Z1248" s="156" t="s">
        <v>219</v>
      </c>
      <c r="AA1248" s="371" t="s">
        <v>131</v>
      </c>
      <c r="AB1248" s="148" t="s">
        <v>7000</v>
      </c>
      <c r="AC1248" s="156" t="s">
        <v>7001</v>
      </c>
      <c r="AD1248" s="156" t="s">
        <v>7002</v>
      </c>
      <c r="AE1248" s="156" t="s">
        <v>868</v>
      </c>
      <c r="AF1248" s="153">
        <v>200.0</v>
      </c>
      <c r="AG1248" s="153">
        <v>0.104</v>
      </c>
      <c r="AH1248" s="191" t="s">
        <v>353</v>
      </c>
      <c r="AI1248" s="156" t="s">
        <v>7003</v>
      </c>
      <c r="AJ1248" s="153">
        <v>0.004</v>
      </c>
      <c r="AK1248" s="156" t="s">
        <v>165</v>
      </c>
      <c r="AL1248" s="156" t="s">
        <v>179</v>
      </c>
      <c r="AM1248" s="65" t="s">
        <v>134</v>
      </c>
      <c r="AN1248" s="156" t="s">
        <v>131</v>
      </c>
      <c r="AO1248" s="153">
        <v>480.0</v>
      </c>
      <c r="AP1248" s="333">
        <v>0.116</v>
      </c>
      <c r="AQ1248" s="156" t="s">
        <v>208</v>
      </c>
      <c r="AR1248" s="156" t="s">
        <v>6936</v>
      </c>
      <c r="AS1248" s="153">
        <v>0.011</v>
      </c>
      <c r="AT1248" s="156" t="s">
        <v>165</v>
      </c>
      <c r="AU1248" s="1112" t="s">
        <v>129</v>
      </c>
      <c r="AV1248" s="65" t="s">
        <v>134</v>
      </c>
      <c r="AW1248" s="432" t="s">
        <v>7004</v>
      </c>
      <c r="AX1248" s="1296" t="s">
        <v>136</v>
      </c>
      <c r="AY1248" s="65"/>
      <c r="AZ1248" s="126" t="s">
        <v>6951</v>
      </c>
    </row>
    <row r="1249">
      <c r="A1249" s="41">
        <v>1249.0</v>
      </c>
      <c r="B1249" s="65" t="s">
        <v>107</v>
      </c>
      <c r="C1249" s="59" t="s">
        <v>108</v>
      </c>
      <c r="D1249" s="59" t="s">
        <v>1227</v>
      </c>
      <c r="F1249" s="151" t="s">
        <v>6993</v>
      </c>
      <c r="G1249" s="65" t="s">
        <v>6994</v>
      </c>
      <c r="H1249" s="156" t="s">
        <v>6921</v>
      </c>
      <c r="I1249" s="149">
        <v>45663.0</v>
      </c>
      <c r="J1249" s="149">
        <v>45692.0</v>
      </c>
      <c r="K1249" s="65"/>
      <c r="L1249" s="65"/>
      <c r="M1249" s="151" t="s">
        <v>6997</v>
      </c>
      <c r="N1249" s="151" t="s">
        <v>6998</v>
      </c>
      <c r="O1249" s="153">
        <v>1.0</v>
      </c>
      <c r="P1249" s="156" t="str">
        <f t="shared" si="76"/>
        <v>10.1038--nature15392.pdf</v>
      </c>
      <c r="Q1249" s="49" t="str">
        <f t="array" ref="Q1249"> if(iserror(MATCH(V1249, 'File Links'!C:C, 0)), "N/A", HYPERLINK(INDEX('File Links'!B:B, MATCH(P1249, 'File Links'!C:C, 0))))</f>
        <v>https://drive.google.com/file/d/1yPKBulDUT2sA_EL4XHrVvgND1nEVQNHI/view?usp=drivesdk</v>
      </c>
      <c r="R1249" s="156" t="s">
        <v>6910</v>
      </c>
      <c r="S1249" s="156" t="s">
        <v>6911</v>
      </c>
      <c r="T1249" s="65"/>
      <c r="U1249" s="153">
        <v>1.0</v>
      </c>
      <c r="V1249" s="195" t="str">
        <f t="shared" si="77"/>
        <v>10.1038--s41562-018-0399-z.pdf</v>
      </c>
      <c r="W1249" s="65"/>
      <c r="X1249" s="51" t="str">
        <f t="array" ref="X1249"> if(iserror(MATCH(V1249, 'File Links'!C:C, 0)), "N/A", HYPERLINK(INDEX('File Links'!B:B, MATCH(V1249, 'File Links'!C:C, 0))))</f>
        <v>https://drive.google.com/file/d/1qJE0K3gDNeo5WCbf6KkP1a0pxT3faRns/view?usp=drivesdk</v>
      </c>
      <c r="Y1249" s="65"/>
      <c r="Z1249" s="1057" t="s">
        <v>1802</v>
      </c>
      <c r="AA1249" s="65"/>
      <c r="AB1249" s="65"/>
      <c r="AC1249" s="65"/>
      <c r="AD1249" s="156" t="s">
        <v>7005</v>
      </c>
      <c r="AE1249" s="153">
        <v>2.0</v>
      </c>
      <c r="AF1249" s="153">
        <v>200.0</v>
      </c>
      <c r="AG1249" s="1378">
        <v>0.201</v>
      </c>
      <c r="AH1249" s="1057" t="s">
        <v>208</v>
      </c>
      <c r="AI1249" s="65"/>
      <c r="AJ1249" s="153">
        <v>0.0044</v>
      </c>
      <c r="AK1249" s="156" t="s">
        <v>165</v>
      </c>
      <c r="AL1249" s="156" t="s">
        <v>179</v>
      </c>
      <c r="AM1249" s="65" t="s">
        <v>134</v>
      </c>
      <c r="AN1249" s="65"/>
      <c r="AO1249" s="153">
        <v>480.0</v>
      </c>
      <c r="AP1249" s="153">
        <v>0.1160417</v>
      </c>
      <c r="AQ1249" s="156" t="s">
        <v>208</v>
      </c>
      <c r="AR1249" s="1057" t="s">
        <v>7006</v>
      </c>
      <c r="AS1249" s="153">
        <v>0.0109</v>
      </c>
      <c r="AT1249" s="156" t="s">
        <v>165</v>
      </c>
      <c r="AU1249" s="156" t="s">
        <v>129</v>
      </c>
      <c r="AV1249" s="65" t="s">
        <v>134</v>
      </c>
      <c r="AW1249" s="1382" t="s">
        <v>6999</v>
      </c>
      <c r="AX1249" s="65" t="s">
        <v>136</v>
      </c>
      <c r="AY1249" s="65"/>
      <c r="AZ1249" s="65" t="s">
        <v>5061</v>
      </c>
    </row>
    <row r="1250">
      <c r="A1250" s="41">
        <v>1250.0</v>
      </c>
      <c r="B1250" s="126" t="s">
        <v>145</v>
      </c>
      <c r="C1250" s="59" t="s">
        <v>108</v>
      </c>
      <c r="D1250" s="59" t="s">
        <v>225</v>
      </c>
      <c r="F1250" s="151" t="s">
        <v>7007</v>
      </c>
      <c r="G1250" s="65" t="s">
        <v>7008</v>
      </c>
      <c r="H1250" s="156" t="s">
        <v>6906</v>
      </c>
      <c r="I1250" s="149">
        <v>45682.0</v>
      </c>
      <c r="J1250" s="149">
        <v>45692.0</v>
      </c>
      <c r="K1250" s="156" t="s">
        <v>7009</v>
      </c>
      <c r="L1250" s="156" t="s">
        <v>7010</v>
      </c>
      <c r="M1250" s="156" t="s">
        <v>7011</v>
      </c>
      <c r="N1250" s="156" t="s">
        <v>7012</v>
      </c>
      <c r="O1250" s="153">
        <v>1.0</v>
      </c>
      <c r="P1250" s="156" t="str">
        <f t="shared" si="76"/>
        <v>10.1126--science.1191465.pdf</v>
      </c>
      <c r="Q1250" s="49" t="str">
        <f t="array" ref="Q1250"> if(iserror(MATCH(V1250, 'File Links'!C:C, 0)), "N/A", HYPERLINK(INDEX('File Links'!B:B, MATCH(P1250, 'File Links'!C:C, 0))))</f>
        <v>https://drive.google.com/file/d/14xOP8LLETNXBDDadvwleV2pKnaxwaGBi/view?usp=drivesdk</v>
      </c>
      <c r="R1250" s="156" t="s">
        <v>6910</v>
      </c>
      <c r="S1250" s="156" t="s">
        <v>6911</v>
      </c>
      <c r="T1250" s="1381" t="s">
        <v>7013</v>
      </c>
      <c r="U1250" s="153">
        <v>16.0</v>
      </c>
      <c r="V1250" s="195" t="str">
        <f t="shared" si="77"/>
        <v>10.1038--s41562-018-0399-z.pdf</v>
      </c>
      <c r="W1250" s="156" t="s">
        <v>202</v>
      </c>
      <c r="X1250" s="51" t="str">
        <f t="array" ref="X1250"> if(iserror(MATCH(V1250, 'File Links'!C:C, 0)), "N/A", HYPERLINK(INDEX('File Links'!B:B, MATCH(V1250, 'File Links'!C:C, 0))))</f>
        <v>https://drive.google.com/file/d/1qJE0K3gDNeo5WCbf6KkP1a0pxT3faRns/view?usp=drivesdk</v>
      </c>
      <c r="Y1250" s="65"/>
      <c r="Z1250" s="1112" t="s">
        <v>141</v>
      </c>
      <c r="AA1250" s="156" t="s">
        <v>7014</v>
      </c>
      <c r="AB1250" s="156" t="s">
        <v>6914</v>
      </c>
      <c r="AC1250" s="156" t="s">
        <v>7015</v>
      </c>
      <c r="AD1250" s="156" t="s">
        <v>7016</v>
      </c>
      <c r="AE1250" s="156" t="s">
        <v>7017</v>
      </c>
      <c r="AF1250" s="153">
        <v>36.0</v>
      </c>
      <c r="AG1250" s="1383" t="s">
        <v>7018</v>
      </c>
      <c r="AH1250" s="156" t="s">
        <v>127</v>
      </c>
      <c r="AI1250" s="156" t="s">
        <v>7019</v>
      </c>
      <c r="AJ1250" s="153">
        <v>0.02</v>
      </c>
      <c r="AK1250" s="156" t="s">
        <v>165</v>
      </c>
      <c r="AL1250" s="156" t="s">
        <v>129</v>
      </c>
      <c r="AM1250" s="65" t="s">
        <v>130</v>
      </c>
      <c r="AN1250" s="156" t="s">
        <v>131</v>
      </c>
      <c r="AO1250" s="153">
        <v>306.0</v>
      </c>
      <c r="AP1250" s="333">
        <v>0.15</v>
      </c>
      <c r="AQ1250" s="156" t="s">
        <v>208</v>
      </c>
      <c r="AR1250" s="156" t="s">
        <v>6919</v>
      </c>
      <c r="AS1250" s="153">
        <v>0.009</v>
      </c>
      <c r="AT1250" s="156" t="s">
        <v>165</v>
      </c>
      <c r="AU1250" s="1112" t="s">
        <v>129</v>
      </c>
      <c r="AV1250" s="65" t="s">
        <v>130</v>
      </c>
      <c r="AW1250" s="432" t="s">
        <v>7020</v>
      </c>
      <c r="AX1250" s="1296" t="s">
        <v>136</v>
      </c>
      <c r="AY1250" s="65"/>
      <c r="AZ1250" s="65" t="s">
        <v>5061</v>
      </c>
    </row>
    <row r="1251">
      <c r="A1251" s="41">
        <v>1251.0</v>
      </c>
      <c r="B1251" s="65" t="s">
        <v>107</v>
      </c>
      <c r="C1251" s="59" t="s">
        <v>108</v>
      </c>
      <c r="D1251" s="59" t="s">
        <v>1227</v>
      </c>
      <c r="F1251" s="151" t="s">
        <v>7007</v>
      </c>
      <c r="G1251" s="65" t="s">
        <v>7008</v>
      </c>
      <c r="H1251" s="156" t="s">
        <v>6921</v>
      </c>
      <c r="I1251" s="149">
        <v>45663.0</v>
      </c>
      <c r="J1251" s="149">
        <v>45692.0</v>
      </c>
      <c r="K1251" s="65"/>
      <c r="L1251" s="65"/>
      <c r="M1251" s="151" t="s">
        <v>7011</v>
      </c>
      <c r="N1251" s="151" t="s">
        <v>7012</v>
      </c>
      <c r="O1251" s="153">
        <v>1.0</v>
      </c>
      <c r="P1251" s="156" t="str">
        <f t="shared" si="76"/>
        <v>10.1126--science.1191465.pdf</v>
      </c>
      <c r="Q1251" s="49" t="str">
        <f t="array" ref="Q1251"> if(iserror(MATCH(V1251, 'File Links'!C:C, 0)), "N/A", HYPERLINK(INDEX('File Links'!B:B, MATCH(P1251, 'File Links'!C:C, 0))))</f>
        <v>https://drive.google.com/file/d/14xOP8LLETNXBDDadvwleV2pKnaxwaGBi/view?usp=drivesdk</v>
      </c>
      <c r="R1251" s="156" t="s">
        <v>6910</v>
      </c>
      <c r="S1251" s="156" t="s">
        <v>6911</v>
      </c>
      <c r="T1251" s="65"/>
      <c r="U1251" s="153">
        <v>2.0</v>
      </c>
      <c r="V1251" s="195" t="str">
        <f t="shared" si="77"/>
        <v>10.1038--s41562-018-0399-z.pdf</v>
      </c>
      <c r="W1251" s="65"/>
      <c r="X1251" s="51" t="str">
        <f t="array" ref="X1251"> if(iserror(MATCH(V1251, 'File Links'!C:C, 0)), "N/A", HYPERLINK(INDEX('File Links'!B:B, MATCH(V1251, 'File Links'!C:C, 0))))</f>
        <v>https://drive.google.com/file/d/1qJE0K3gDNeo5WCbf6KkP1a0pxT3faRns/view?usp=drivesdk</v>
      </c>
      <c r="Y1251" s="65"/>
      <c r="Z1251" s="156" t="s">
        <v>141</v>
      </c>
      <c r="AA1251" s="65"/>
      <c r="AB1251" s="65"/>
      <c r="AC1251" s="65"/>
      <c r="AD1251" s="1380" t="s">
        <v>7021</v>
      </c>
      <c r="AE1251" s="153">
        <v>335.0</v>
      </c>
      <c r="AF1251" s="153">
        <v>36.0</v>
      </c>
      <c r="AG1251" s="1056">
        <v>0.377</v>
      </c>
      <c r="AH1251" s="1057" t="s">
        <v>208</v>
      </c>
      <c r="AI1251" s="65"/>
      <c r="AJ1251" s="153">
        <v>0.02</v>
      </c>
      <c r="AK1251" s="156" t="s">
        <v>165</v>
      </c>
      <c r="AL1251" s="65"/>
      <c r="AM1251" s="65"/>
      <c r="AN1251" s="65"/>
      <c r="AO1251" s="153">
        <v>306.0</v>
      </c>
      <c r="AP1251" s="1056">
        <v>0.1192779</v>
      </c>
      <c r="AQ1251" s="65"/>
      <c r="AR1251" s="1057" t="s">
        <v>7022</v>
      </c>
      <c r="AS1251" s="153">
        <v>0.0087</v>
      </c>
      <c r="AT1251" s="156" t="s">
        <v>165</v>
      </c>
      <c r="AU1251" s="156" t="s">
        <v>129</v>
      </c>
      <c r="AV1251" s="65" t="s">
        <v>134</v>
      </c>
      <c r="AW1251" s="1382" t="s">
        <v>7013</v>
      </c>
      <c r="AX1251" s="65" t="s">
        <v>136</v>
      </c>
      <c r="AY1251" s="65"/>
      <c r="AZ1251" s="65" t="s">
        <v>5061</v>
      </c>
    </row>
    <row r="1252">
      <c r="A1252" s="41">
        <v>1252.0</v>
      </c>
      <c r="B1252" s="126" t="s">
        <v>145</v>
      </c>
      <c r="C1252" s="59" t="s">
        <v>108</v>
      </c>
      <c r="D1252" s="59" t="s">
        <v>225</v>
      </c>
      <c r="F1252" s="151" t="s">
        <v>7023</v>
      </c>
      <c r="G1252" s="65" t="s">
        <v>7024</v>
      </c>
      <c r="H1252" s="156" t="s">
        <v>6906</v>
      </c>
      <c r="I1252" s="149">
        <v>45682.0</v>
      </c>
      <c r="J1252" s="149">
        <v>45692.0</v>
      </c>
      <c r="K1252" s="65"/>
      <c r="L1252" s="156" t="s">
        <v>7025</v>
      </c>
      <c r="M1252" s="156" t="s">
        <v>7026</v>
      </c>
      <c r="N1252" s="156" t="s">
        <v>7027</v>
      </c>
      <c r="O1252" s="153">
        <v>1.0</v>
      </c>
      <c r="P1252" s="156" t="str">
        <f t="shared" si="76"/>
        <v>10.1126--science.1199427.pdf</v>
      </c>
      <c r="Q1252" s="49" t="str">
        <f t="array" ref="Q1252"> if(iserror(MATCH(V1252, 'File Links'!C:C, 0)), "N/A", HYPERLINK(INDEX('File Links'!B:B, MATCH(P1252, 'File Links'!C:C, 0))))</f>
        <v>https://drive.google.com/file/d/1VlyFF2XH_n9dzHKe2EMaqBWsh-0cgYrJ/view?usp=drivesdk</v>
      </c>
      <c r="R1252" s="156" t="s">
        <v>6910</v>
      </c>
      <c r="S1252" s="156" t="s">
        <v>6911</v>
      </c>
      <c r="T1252" s="1381" t="s">
        <v>7028</v>
      </c>
      <c r="U1252" s="153">
        <v>17.0</v>
      </c>
      <c r="V1252" s="195" t="str">
        <f t="shared" si="77"/>
        <v>10.1038--s41562-018-0399-z.pdf</v>
      </c>
      <c r="W1252" s="156" t="s">
        <v>202</v>
      </c>
      <c r="X1252" s="51" t="str">
        <f t="array" ref="X1252"> if(iserror(MATCH(V1252, 'File Links'!C:C, 0)), "N/A", HYPERLINK(INDEX('File Links'!B:B, MATCH(V1252, 'File Links'!C:C, 0))))</f>
        <v>https://drive.google.com/file/d/1qJE0K3gDNeo5WCbf6KkP1a0pxT3faRns/view?usp=drivesdk</v>
      </c>
      <c r="Y1252" s="65"/>
      <c r="Z1252" s="1112" t="s">
        <v>234</v>
      </c>
      <c r="AA1252" s="126" t="s">
        <v>131</v>
      </c>
      <c r="AB1252" s="156" t="s">
        <v>6914</v>
      </c>
      <c r="AC1252" s="156" t="s">
        <v>7029</v>
      </c>
      <c r="AD1252" s="156" t="s">
        <v>7030</v>
      </c>
      <c r="AE1252" s="156" t="s">
        <v>7031</v>
      </c>
      <c r="AF1252" s="153">
        <v>20.0</v>
      </c>
      <c r="AG1252" s="65" t="s">
        <v>7032</v>
      </c>
      <c r="AH1252" s="156" t="s">
        <v>127</v>
      </c>
      <c r="AI1252" s="156" t="s">
        <v>7033</v>
      </c>
      <c r="AJ1252" s="153">
        <v>0.01</v>
      </c>
      <c r="AK1252" s="156" t="s">
        <v>128</v>
      </c>
      <c r="AL1252" s="156" t="s">
        <v>211</v>
      </c>
      <c r="AM1252" s="65" t="s">
        <v>130</v>
      </c>
      <c r="AN1252" s="156" t="s">
        <v>131</v>
      </c>
      <c r="AO1252" s="153">
        <v>79.0</v>
      </c>
      <c r="AP1252" s="333">
        <v>-0.098</v>
      </c>
      <c r="AQ1252" s="156" t="s">
        <v>208</v>
      </c>
      <c r="AR1252" s="156" t="s">
        <v>6919</v>
      </c>
      <c r="AS1252" s="153">
        <v>0.394</v>
      </c>
      <c r="AT1252" s="156" t="s">
        <v>165</v>
      </c>
      <c r="AU1252" s="1112" t="s">
        <v>129</v>
      </c>
      <c r="AV1252" s="65" t="s">
        <v>130</v>
      </c>
      <c r="AW1252" s="432" t="s">
        <v>7034</v>
      </c>
      <c r="AX1252" s="1296" t="s">
        <v>136</v>
      </c>
      <c r="AY1252" s="65"/>
      <c r="AZ1252" s="65" t="s">
        <v>5061</v>
      </c>
    </row>
    <row r="1253">
      <c r="A1253" s="41">
        <v>1253.0</v>
      </c>
      <c r="B1253" s="65" t="s">
        <v>107</v>
      </c>
      <c r="C1253" s="59" t="s">
        <v>108</v>
      </c>
      <c r="D1253" s="59" t="s">
        <v>1227</v>
      </c>
      <c r="F1253" s="151" t="s">
        <v>7023</v>
      </c>
      <c r="G1253" s="65" t="s">
        <v>7024</v>
      </c>
      <c r="H1253" s="156" t="s">
        <v>6921</v>
      </c>
      <c r="I1253" s="149">
        <v>45663.0</v>
      </c>
      <c r="J1253" s="149">
        <v>45692.0</v>
      </c>
      <c r="K1253" s="65"/>
      <c r="L1253" s="65"/>
      <c r="M1253" s="151" t="s">
        <v>7026</v>
      </c>
      <c r="N1253" s="151" t="s">
        <v>7027</v>
      </c>
      <c r="O1253" s="153">
        <v>1.0</v>
      </c>
      <c r="P1253" s="156" t="str">
        <f t="shared" si="76"/>
        <v>10.1126--science.1199427.pdf</v>
      </c>
      <c r="Q1253" s="49" t="str">
        <f t="array" ref="Q1253"> if(iserror(MATCH(V1253, 'File Links'!C:C, 0)), "N/A", HYPERLINK(INDEX('File Links'!B:B, MATCH(P1253, 'File Links'!C:C, 0))))</f>
        <v>https://drive.google.com/file/d/1VlyFF2XH_n9dzHKe2EMaqBWsh-0cgYrJ/view?usp=drivesdk</v>
      </c>
      <c r="R1253" s="156" t="s">
        <v>6910</v>
      </c>
      <c r="S1253" s="156" t="s">
        <v>6911</v>
      </c>
      <c r="T1253" s="65"/>
      <c r="U1253" s="153">
        <v>2.0</v>
      </c>
      <c r="V1253" s="195" t="str">
        <f t="shared" si="77"/>
        <v>10.1038--s41562-018-0399-z.pdf</v>
      </c>
      <c r="W1253" s="65"/>
      <c r="X1253" s="51" t="str">
        <f t="array" ref="X1253"> if(iserror(MATCH(V1253, 'File Links'!C:C, 0)), "N/A", HYPERLINK(INDEX('File Links'!B:B, MATCH(V1253, 'File Links'!C:C, 0))))</f>
        <v>https://drive.google.com/file/d/1qJE0K3gDNeo5WCbf6KkP1a0pxT3faRns/view?usp=drivesdk</v>
      </c>
      <c r="Y1253" s="65"/>
      <c r="Z1253" s="156" t="s">
        <v>234</v>
      </c>
      <c r="AA1253" s="65"/>
      <c r="AB1253" s="65"/>
      <c r="AC1253" s="65"/>
      <c r="AD1253" s="151" t="s">
        <v>7035</v>
      </c>
      <c r="AE1253" s="153">
        <v>212.0</v>
      </c>
      <c r="AF1253" s="153">
        <v>20.0</v>
      </c>
      <c r="AG1253" s="1378">
        <v>0.793</v>
      </c>
      <c r="AH1253" s="1057" t="s">
        <v>208</v>
      </c>
      <c r="AI1253" s="65"/>
      <c r="AJ1253" s="159">
        <v>0.01</v>
      </c>
      <c r="AK1253" s="156" t="s">
        <v>128</v>
      </c>
      <c r="AL1253" s="156" t="s">
        <v>179</v>
      </c>
      <c r="AM1253" s="1384" t="s">
        <v>134</v>
      </c>
      <c r="AN1253" s="65"/>
      <c r="AO1253" s="153">
        <v>79.0</v>
      </c>
      <c r="AP1253" s="1056">
        <v>-0.06</v>
      </c>
      <c r="AQ1253" s="1057" t="s">
        <v>166</v>
      </c>
      <c r="AR1253" s="65"/>
      <c r="AS1253" s="153">
        <v>0.39</v>
      </c>
      <c r="AT1253" s="156" t="s">
        <v>165</v>
      </c>
      <c r="AU1253" s="156" t="s">
        <v>129</v>
      </c>
      <c r="AV1253" s="65" t="s">
        <v>134</v>
      </c>
      <c r="AW1253" s="1382" t="s">
        <v>7028</v>
      </c>
      <c r="AX1253" s="65" t="s">
        <v>136</v>
      </c>
      <c r="AY1253" s="65"/>
      <c r="AZ1253" s="65" t="s">
        <v>5061</v>
      </c>
    </row>
    <row r="1254">
      <c r="A1254" s="41">
        <v>1254.0</v>
      </c>
      <c r="B1254" s="126" t="s">
        <v>145</v>
      </c>
      <c r="C1254" s="59" t="s">
        <v>108</v>
      </c>
      <c r="D1254" s="59" t="s">
        <v>225</v>
      </c>
      <c r="F1254" s="151" t="s">
        <v>7036</v>
      </c>
      <c r="G1254" s="65" t="s">
        <v>7037</v>
      </c>
      <c r="H1254" s="156" t="s">
        <v>6906</v>
      </c>
      <c r="I1254" s="149">
        <v>45682.0</v>
      </c>
      <c r="J1254" s="149">
        <v>45692.0</v>
      </c>
      <c r="K1254" s="478" t="s">
        <v>7038</v>
      </c>
      <c r="L1254" s="148" t="s">
        <v>7039</v>
      </c>
      <c r="M1254" s="156" t="s">
        <v>7040</v>
      </c>
      <c r="N1254" s="156" t="s">
        <v>7041</v>
      </c>
      <c r="O1254" s="153">
        <v>8.0</v>
      </c>
      <c r="P1254" s="156" t="str">
        <f t="shared" si="76"/>
        <v>10.1038--nature11467.pdf</v>
      </c>
      <c r="Q1254" s="49" t="str">
        <f t="array" ref="Q1254"> if(iserror(MATCH(V1254, 'File Links'!C:C, 0)), "N/A", HYPERLINK(INDEX('File Links'!B:B, MATCH(P1254, 'File Links'!C:C, 0))))</f>
        <v>https://drive.google.com/file/d/1FElRRlWoVi2usxTFNme1Bwz9RgmJPLKp/view?usp=drivesdk</v>
      </c>
      <c r="R1254" s="156" t="s">
        <v>6910</v>
      </c>
      <c r="S1254" s="156" t="s">
        <v>6911</v>
      </c>
      <c r="T1254" s="1381" t="s">
        <v>7042</v>
      </c>
      <c r="U1254" s="153">
        <v>18.0</v>
      </c>
      <c r="V1254" s="195" t="str">
        <f t="shared" si="77"/>
        <v>10.1038--s41562-018-0399-z.pdf</v>
      </c>
      <c r="W1254" s="156" t="s">
        <v>202</v>
      </c>
      <c r="X1254" s="51" t="str">
        <f t="array" ref="X1254"> if(iserror(MATCH(V1254, 'File Links'!C:C, 0)), "N/A", HYPERLINK(INDEX('File Links'!B:B, MATCH(V1254, 'File Links'!C:C, 0))))</f>
        <v>https://drive.google.com/file/d/1qJE0K3gDNeo5WCbf6KkP1a0pxT3faRns/view?usp=drivesdk</v>
      </c>
      <c r="Y1254" s="65"/>
      <c r="Z1254" s="1112" t="s">
        <v>203</v>
      </c>
      <c r="AA1254" s="126" t="s">
        <v>131</v>
      </c>
      <c r="AB1254" s="156" t="s">
        <v>6914</v>
      </c>
      <c r="AC1254" s="156" t="s">
        <v>7043</v>
      </c>
      <c r="AD1254" s="156" t="s">
        <v>7044</v>
      </c>
      <c r="AE1254" s="156" t="s">
        <v>745</v>
      </c>
      <c r="AF1254" s="153">
        <v>343.0</v>
      </c>
      <c r="AG1254" s="153">
        <v>10.95</v>
      </c>
      <c r="AH1254" s="191" t="s">
        <v>353</v>
      </c>
      <c r="AI1254" s="156" t="s">
        <v>7045</v>
      </c>
      <c r="AJ1254" s="153">
        <v>0.01</v>
      </c>
      <c r="AK1254" s="156" t="s">
        <v>128</v>
      </c>
      <c r="AL1254" s="156" t="s">
        <v>179</v>
      </c>
      <c r="AM1254" s="65" t="s">
        <v>130</v>
      </c>
      <c r="AN1254" s="156" t="s">
        <v>131</v>
      </c>
      <c r="AO1254" s="153">
        <v>2136.0</v>
      </c>
      <c r="AP1254" s="333">
        <v>0.026</v>
      </c>
      <c r="AQ1254" s="156" t="s">
        <v>208</v>
      </c>
      <c r="AR1254" s="156" t="s">
        <v>6919</v>
      </c>
      <c r="AS1254" s="153">
        <v>0.234</v>
      </c>
      <c r="AT1254" s="156" t="s">
        <v>165</v>
      </c>
      <c r="AU1254" s="1112" t="s">
        <v>129</v>
      </c>
      <c r="AV1254" s="65" t="s">
        <v>130</v>
      </c>
      <c r="AW1254" s="432" t="s">
        <v>7046</v>
      </c>
      <c r="AX1254" s="1296" t="s">
        <v>136</v>
      </c>
      <c r="AY1254" s="65"/>
      <c r="AZ1254" s="126" t="s">
        <v>7047</v>
      </c>
    </row>
    <row r="1255">
      <c r="A1255" s="41">
        <v>1255.0</v>
      </c>
      <c r="B1255" s="65" t="s">
        <v>107</v>
      </c>
      <c r="C1255" s="59" t="s">
        <v>108</v>
      </c>
      <c r="D1255" s="59" t="s">
        <v>1227</v>
      </c>
      <c r="F1255" s="151" t="s">
        <v>7036</v>
      </c>
      <c r="G1255" s="65" t="s">
        <v>7037</v>
      </c>
      <c r="H1255" s="156" t="s">
        <v>6921</v>
      </c>
      <c r="I1255" s="149">
        <v>45663.0</v>
      </c>
      <c r="J1255" s="149">
        <v>45687.0</v>
      </c>
      <c r="K1255" s="65"/>
      <c r="L1255" s="65"/>
      <c r="M1255" s="151" t="s">
        <v>7040</v>
      </c>
      <c r="N1255" s="151" t="s">
        <v>7041</v>
      </c>
      <c r="O1255" s="153">
        <v>8.0</v>
      </c>
      <c r="P1255" s="156" t="str">
        <f t="shared" si="76"/>
        <v>10.1038--nature11467.pdf</v>
      </c>
      <c r="Q1255" s="49" t="str">
        <f t="array" ref="Q1255"> if(iserror(MATCH(V1255, 'File Links'!C:C, 0)), "N/A", HYPERLINK(INDEX('File Links'!B:B, MATCH(P1255, 'File Links'!C:C, 0))))</f>
        <v>https://drive.google.com/file/d/1FElRRlWoVi2usxTFNme1Bwz9RgmJPLKp/view?usp=drivesdk</v>
      </c>
      <c r="R1255" s="156" t="s">
        <v>6910</v>
      </c>
      <c r="S1255" s="156" t="s">
        <v>6911</v>
      </c>
      <c r="T1255" s="65"/>
      <c r="U1255" s="153">
        <v>2.0</v>
      </c>
      <c r="V1255" s="195" t="str">
        <f t="shared" si="77"/>
        <v>10.1038--s41562-018-0399-z.pdf</v>
      </c>
      <c r="W1255" s="65"/>
      <c r="X1255" s="51" t="str">
        <f t="array" ref="X1255"> if(iserror(MATCH(V1255, 'File Links'!C:C, 0)), "N/A", HYPERLINK(INDEX('File Links'!B:B, MATCH(V1255, 'File Links'!C:C, 0))))</f>
        <v>https://drive.google.com/file/d/1qJE0K3gDNeo5WCbf6KkP1a0pxT3faRns/view?usp=drivesdk</v>
      </c>
      <c r="Y1255" s="65"/>
      <c r="Z1255" s="156" t="s">
        <v>203</v>
      </c>
      <c r="AA1255" s="65"/>
      <c r="AB1255" s="65"/>
      <c r="AC1255" s="65"/>
      <c r="AD1255" s="1385" t="s">
        <v>7048</v>
      </c>
      <c r="AE1255" s="153">
        <v>428.0</v>
      </c>
      <c r="AF1255" s="153">
        <v>343.0</v>
      </c>
      <c r="AG1255" s="1056">
        <v>0.141</v>
      </c>
      <c r="AH1255" s="1057" t="s">
        <v>208</v>
      </c>
      <c r="AI1255" s="65"/>
      <c r="AJ1255" s="153">
        <v>0.0089</v>
      </c>
      <c r="AK1255" s="156" t="s">
        <v>165</v>
      </c>
      <c r="AL1255" s="156" t="s">
        <v>179</v>
      </c>
      <c r="AM1255" s="65" t="s">
        <v>130</v>
      </c>
      <c r="AN1255" s="65"/>
      <c r="AO1255" s="153">
        <v>2136.0</v>
      </c>
      <c r="AP1255" s="1379">
        <v>0.04352736305001212</v>
      </c>
      <c r="AQ1255" s="1057" t="s">
        <v>166</v>
      </c>
      <c r="AR1255" s="1057" t="s">
        <v>7049</v>
      </c>
      <c r="AS1255" s="153">
        <v>0.2336</v>
      </c>
      <c r="AT1255" s="156" t="s">
        <v>165</v>
      </c>
      <c r="AU1255" s="156" t="s">
        <v>129</v>
      </c>
      <c r="AV1255" s="65" t="s">
        <v>130</v>
      </c>
      <c r="AW1255" s="1382" t="s">
        <v>7042</v>
      </c>
      <c r="AX1255" s="65" t="s">
        <v>136</v>
      </c>
      <c r="AY1255" s="65"/>
      <c r="AZ1255" s="65" t="s">
        <v>5061</v>
      </c>
    </row>
    <row r="1256">
      <c r="A1256" s="41">
        <v>1256.0</v>
      </c>
      <c r="B1256" s="126" t="s">
        <v>145</v>
      </c>
      <c r="C1256" s="59" t="s">
        <v>108</v>
      </c>
      <c r="D1256" s="59" t="s">
        <v>225</v>
      </c>
      <c r="F1256" s="151" t="s">
        <v>7050</v>
      </c>
      <c r="G1256" s="65" t="s">
        <v>7051</v>
      </c>
      <c r="H1256" s="156" t="s">
        <v>6906</v>
      </c>
      <c r="I1256" s="149">
        <v>45687.0</v>
      </c>
      <c r="J1256" s="149">
        <v>45692.0</v>
      </c>
      <c r="K1256" s="156" t="s">
        <v>7052</v>
      </c>
      <c r="L1256" s="148" t="s">
        <v>7053</v>
      </c>
      <c r="M1256" s="156" t="s">
        <v>7054</v>
      </c>
      <c r="N1256" s="156" t="s">
        <v>7055</v>
      </c>
      <c r="O1256" s="153">
        <v>1.0</v>
      </c>
      <c r="P1256" s="156" t="str">
        <f t="shared" si="76"/>
        <v>10.1126--science.1222426.pdf</v>
      </c>
      <c r="Q1256" s="49" t="str">
        <f t="array" ref="Q1256"> if(iserror(MATCH(V1256, 'File Links'!C:C, 0)), "N/A", HYPERLINK(INDEX('File Links'!B:B, MATCH(P1256, 'File Links'!C:C, 0))))</f>
        <v>https://drive.google.com/file/d/1wNBIYZ5dm9n9bSFCAgoMnPNgBJBMSCyH/view?usp=drivesdk</v>
      </c>
      <c r="R1256" s="156" t="s">
        <v>6910</v>
      </c>
      <c r="S1256" s="156" t="s">
        <v>6911</v>
      </c>
      <c r="T1256" s="1381" t="s">
        <v>7056</v>
      </c>
      <c r="U1256" s="153">
        <v>19.0</v>
      </c>
      <c r="V1256" s="195" t="str">
        <f t="shared" si="77"/>
        <v>10.1038--s41562-018-0399-z.pdf</v>
      </c>
      <c r="W1256" s="156" t="s">
        <v>202</v>
      </c>
      <c r="X1256" s="51" t="str">
        <f t="array" ref="X1256"> if(iserror(MATCH(V1256, 'File Links'!C:C, 0)), "N/A", HYPERLINK(INDEX('File Links'!B:B, MATCH(V1256, 'File Links'!C:C, 0))))</f>
        <v>https://drive.google.com/file/d/1qJE0K3gDNeo5WCbf6KkP1a0pxT3faRns/view?usp=drivesdk</v>
      </c>
      <c r="Y1256" s="65"/>
      <c r="Z1256" s="1112" t="s">
        <v>203</v>
      </c>
      <c r="AA1256" s="371" t="s">
        <v>131</v>
      </c>
      <c r="AB1256" s="156" t="s">
        <v>6914</v>
      </c>
      <c r="AC1256" s="156" t="s">
        <v>7057</v>
      </c>
      <c r="AD1256" s="156" t="s">
        <v>7058</v>
      </c>
      <c r="AE1256" s="156" t="s">
        <v>7059</v>
      </c>
      <c r="AF1256" s="153">
        <v>56.0</v>
      </c>
      <c r="AG1256" s="153">
        <v>0.07</v>
      </c>
      <c r="AH1256" s="156" t="s">
        <v>867</v>
      </c>
      <c r="AI1256" s="156" t="s">
        <v>7059</v>
      </c>
      <c r="AJ1256" s="153">
        <v>0.05</v>
      </c>
      <c r="AK1256" s="156" t="s">
        <v>128</v>
      </c>
      <c r="AL1256" s="148" t="s">
        <v>179</v>
      </c>
      <c r="AM1256" s="65" t="s">
        <v>130</v>
      </c>
      <c r="AN1256" s="156" t="s">
        <v>131</v>
      </c>
      <c r="AO1256" s="153">
        <v>619.0</v>
      </c>
      <c r="AP1256" s="333">
        <v>-0.015</v>
      </c>
      <c r="AQ1256" s="156" t="s">
        <v>208</v>
      </c>
      <c r="AR1256" s="156" t="s">
        <v>6919</v>
      </c>
      <c r="AS1256" s="153">
        <v>0.71</v>
      </c>
      <c r="AT1256" s="156" t="s">
        <v>165</v>
      </c>
      <c r="AU1256" s="1112" t="s">
        <v>129</v>
      </c>
      <c r="AV1256" s="65" t="s">
        <v>130</v>
      </c>
      <c r="AW1256" s="432" t="s">
        <v>7060</v>
      </c>
      <c r="AX1256" s="1296" t="s">
        <v>136</v>
      </c>
      <c r="AY1256" s="65"/>
      <c r="AZ1256" s="126" t="s">
        <v>7047</v>
      </c>
    </row>
    <row r="1257">
      <c r="A1257" s="41">
        <v>1257.0</v>
      </c>
      <c r="B1257" s="65" t="s">
        <v>107</v>
      </c>
      <c r="C1257" s="59" t="s">
        <v>108</v>
      </c>
      <c r="D1257" s="59" t="s">
        <v>1227</v>
      </c>
      <c r="F1257" s="151" t="s">
        <v>7050</v>
      </c>
      <c r="G1257" s="65" t="s">
        <v>7051</v>
      </c>
      <c r="H1257" s="156" t="s">
        <v>6921</v>
      </c>
      <c r="I1257" s="149">
        <v>45663.0</v>
      </c>
      <c r="J1257" s="149">
        <v>45692.0</v>
      </c>
      <c r="K1257" s="65"/>
      <c r="L1257" s="65"/>
      <c r="M1257" s="151" t="s">
        <v>7054</v>
      </c>
      <c r="N1257" s="151" t="s">
        <v>7055</v>
      </c>
      <c r="O1257" s="153">
        <v>1.0</v>
      </c>
      <c r="P1257" s="156" t="str">
        <f t="shared" si="76"/>
        <v>10.1126--science.1222426.pdf</v>
      </c>
      <c r="Q1257" s="49" t="str">
        <f t="array" ref="Q1257"> if(iserror(MATCH(V1257, 'File Links'!C:C, 0)), "N/A", HYPERLINK(INDEX('File Links'!B:B, MATCH(P1257, 'File Links'!C:C, 0))))</f>
        <v>https://drive.google.com/file/d/1wNBIYZ5dm9n9bSFCAgoMnPNgBJBMSCyH/view?usp=drivesdk</v>
      </c>
      <c r="R1257" s="156" t="s">
        <v>6910</v>
      </c>
      <c r="S1257" s="156" t="s">
        <v>6911</v>
      </c>
      <c r="T1257" s="65"/>
      <c r="U1257" s="153">
        <v>2.0</v>
      </c>
      <c r="V1257" s="195" t="str">
        <f t="shared" si="77"/>
        <v>10.1038--s41562-018-0399-z.pdf</v>
      </c>
      <c r="W1257" s="65"/>
      <c r="X1257" s="51" t="str">
        <f t="array" ref="X1257"> if(iserror(MATCH(V1257, 'File Links'!C:C, 0)), "N/A", HYPERLINK(INDEX('File Links'!B:B, MATCH(V1257, 'File Links'!C:C, 0))))</f>
        <v>https://drive.google.com/file/d/1qJE0K3gDNeo5WCbf6KkP1a0pxT3faRns/view?usp=drivesdk</v>
      </c>
      <c r="Y1257" s="65"/>
      <c r="Z1257" s="156" t="s">
        <v>1802</v>
      </c>
      <c r="AA1257" s="65"/>
      <c r="AB1257" s="65"/>
      <c r="AC1257" s="65"/>
      <c r="AD1257" s="1376" t="s">
        <v>7061</v>
      </c>
      <c r="AE1257" s="153">
        <v>683.0</v>
      </c>
      <c r="AF1257" s="153">
        <v>56.0</v>
      </c>
      <c r="AG1257" s="1378">
        <v>0.267</v>
      </c>
      <c r="AH1257" s="1057" t="s">
        <v>208</v>
      </c>
      <c r="AI1257" s="65"/>
      <c r="AJ1257" s="153">
        <v>0.046</v>
      </c>
      <c r="AK1257" s="156" t="s">
        <v>165</v>
      </c>
      <c r="AL1257" s="156" t="s">
        <v>179</v>
      </c>
      <c r="AM1257" s="65" t="s">
        <v>130</v>
      </c>
      <c r="AN1257" s="65"/>
      <c r="AO1257" s="153">
        <v>619.0</v>
      </c>
      <c r="AP1257" s="1379">
        <v>-0.029893513429658274</v>
      </c>
      <c r="AQ1257" s="1057" t="s">
        <v>166</v>
      </c>
      <c r="AR1257" s="1057" t="s">
        <v>7062</v>
      </c>
      <c r="AS1257" s="153">
        <v>0.7095</v>
      </c>
      <c r="AT1257" s="156" t="s">
        <v>165</v>
      </c>
      <c r="AU1257" s="156" t="s">
        <v>129</v>
      </c>
      <c r="AV1257" s="65" t="s">
        <v>130</v>
      </c>
      <c r="AW1257" s="1382" t="s">
        <v>7056</v>
      </c>
      <c r="AX1257" s="65" t="s">
        <v>136</v>
      </c>
      <c r="AY1257" s="65"/>
      <c r="AZ1257" s="65" t="s">
        <v>5061</v>
      </c>
    </row>
    <row r="1258">
      <c r="A1258" s="41">
        <v>1258.0</v>
      </c>
      <c r="B1258" s="126" t="s">
        <v>583</v>
      </c>
      <c r="C1258" s="59" t="s">
        <v>108</v>
      </c>
      <c r="D1258" s="59" t="s">
        <v>225</v>
      </c>
      <c r="F1258" s="151" t="s">
        <v>7063</v>
      </c>
      <c r="G1258" s="65" t="s">
        <v>7064</v>
      </c>
      <c r="H1258" s="156" t="s">
        <v>6906</v>
      </c>
      <c r="I1258" s="149">
        <v>45687.0</v>
      </c>
      <c r="J1258" s="149">
        <v>45692.0</v>
      </c>
      <c r="K1258" s="156" t="s">
        <v>7065</v>
      </c>
      <c r="L1258" s="156" t="s">
        <v>7066</v>
      </c>
      <c r="M1258" s="156" t="s">
        <v>7067</v>
      </c>
      <c r="N1258" s="156" t="s">
        <v>7068</v>
      </c>
      <c r="O1258" s="153">
        <v>1.0</v>
      </c>
      <c r="P1258" s="156" t="str">
        <f t="shared" si="76"/>
        <v>10.1126--science.1224313.pdf</v>
      </c>
      <c r="Q1258" s="49" t="str">
        <f t="array" ref="Q1258"> if(iserror(MATCH(V1258, 'File Links'!C:C, 0)), "N/A", HYPERLINK(INDEX('File Links'!B:B, MATCH(P1258, 'File Links'!C:C, 0))))</f>
        <v>https://drive.google.com/file/d/19EgT43RHjwkUo0_VH9RxY_gZl2qByBLZ/view?usp=drivesdk</v>
      </c>
      <c r="R1258" s="156" t="s">
        <v>6910</v>
      </c>
      <c r="S1258" s="156" t="s">
        <v>6911</v>
      </c>
      <c r="T1258" s="1381" t="s">
        <v>7069</v>
      </c>
      <c r="U1258" s="153">
        <v>2.0</v>
      </c>
      <c r="V1258" s="195" t="str">
        <f t="shared" si="77"/>
        <v>10.1038--s41562-018-0399-z.pdf</v>
      </c>
      <c r="W1258" s="156" t="s">
        <v>202</v>
      </c>
      <c r="X1258" s="51" t="str">
        <f t="array" ref="X1258"> if(iserror(MATCH(V1258, 'File Links'!C:C, 0)), "N/A", HYPERLINK(INDEX('File Links'!B:B, MATCH(V1258, 'File Links'!C:C, 0))))</f>
        <v>https://drive.google.com/file/d/1qJE0K3gDNeo5WCbf6KkP1a0pxT3faRns/view?usp=drivesdk</v>
      </c>
      <c r="Y1258" s="65"/>
      <c r="Z1258" s="156" t="s">
        <v>219</v>
      </c>
      <c r="AA1258" s="156" t="s">
        <v>7070</v>
      </c>
      <c r="AB1258" s="156" t="s">
        <v>6914</v>
      </c>
      <c r="AC1258" s="156" t="s">
        <v>7071</v>
      </c>
      <c r="AD1258" s="156" t="s">
        <v>7072</v>
      </c>
      <c r="AE1258" s="156" t="s">
        <v>7073</v>
      </c>
      <c r="AF1258" s="153">
        <v>15.0</v>
      </c>
      <c r="AG1258" s="65" t="s">
        <v>7074</v>
      </c>
      <c r="AH1258" s="156" t="s">
        <v>127</v>
      </c>
      <c r="AI1258" s="156" t="s">
        <v>7075</v>
      </c>
      <c r="AJ1258" s="153">
        <v>1.0E-4</v>
      </c>
      <c r="AK1258" s="156" t="s">
        <v>128</v>
      </c>
      <c r="AL1258" s="156" t="s">
        <v>129</v>
      </c>
      <c r="AM1258" s="65" t="s">
        <v>134</v>
      </c>
      <c r="AN1258" s="156" t="s">
        <v>131</v>
      </c>
      <c r="AO1258" s="153">
        <v>14.0</v>
      </c>
      <c r="AP1258" s="333">
        <v>0.829</v>
      </c>
      <c r="AQ1258" s="156" t="s">
        <v>208</v>
      </c>
      <c r="AR1258" s="156" t="s">
        <v>6936</v>
      </c>
      <c r="AS1258" s="153">
        <v>0.001</v>
      </c>
      <c r="AT1258" s="156" t="s">
        <v>128</v>
      </c>
      <c r="AU1258" s="156" t="s">
        <v>129</v>
      </c>
      <c r="AV1258" s="65" t="s">
        <v>134</v>
      </c>
      <c r="AW1258" s="432" t="s">
        <v>7076</v>
      </c>
      <c r="AX1258" s="1296" t="s">
        <v>136</v>
      </c>
      <c r="AY1258" s="65"/>
      <c r="AZ1258" s="65" t="s">
        <v>5061</v>
      </c>
    </row>
    <row r="1259">
      <c r="A1259" s="41">
        <v>1259.0</v>
      </c>
      <c r="B1259" s="65" t="s">
        <v>107</v>
      </c>
      <c r="C1259" s="59" t="s">
        <v>108</v>
      </c>
      <c r="D1259" s="59" t="s">
        <v>1227</v>
      </c>
      <c r="F1259" s="151" t="s">
        <v>7063</v>
      </c>
      <c r="G1259" s="65" t="s">
        <v>7064</v>
      </c>
      <c r="H1259" s="156" t="s">
        <v>6921</v>
      </c>
      <c r="I1259" s="149">
        <v>45663.0</v>
      </c>
      <c r="J1259" s="149">
        <v>45692.0</v>
      </c>
      <c r="K1259" s="65"/>
      <c r="L1259" s="65"/>
      <c r="M1259" s="151" t="s">
        <v>7067</v>
      </c>
      <c r="N1259" s="151" t="s">
        <v>7068</v>
      </c>
      <c r="O1259" s="153">
        <v>1.0</v>
      </c>
      <c r="P1259" s="156" t="str">
        <f t="shared" si="76"/>
        <v>10.1126--science.1224313.pdf</v>
      </c>
      <c r="Q1259" s="49" t="str">
        <f t="array" ref="Q1259"> if(iserror(MATCH(V1259, 'File Links'!C:C, 0)), "N/A", HYPERLINK(INDEX('File Links'!B:B, MATCH(P1259, 'File Links'!C:C, 0))))</f>
        <v>https://drive.google.com/file/d/19EgT43RHjwkUo0_VH9RxY_gZl2qByBLZ/view?usp=drivesdk</v>
      </c>
      <c r="R1259" s="156" t="s">
        <v>6910</v>
      </c>
      <c r="S1259" s="156" t="s">
        <v>6911</v>
      </c>
      <c r="T1259" s="65"/>
      <c r="U1259" s="153">
        <v>1.0</v>
      </c>
      <c r="V1259" s="195" t="str">
        <f t="shared" si="77"/>
        <v>10.1038--s41562-018-0399-z.pdf</v>
      </c>
      <c r="W1259" s="65"/>
      <c r="X1259" s="51" t="str">
        <f t="array" ref="X1259"> if(iserror(MATCH(V1259, 'File Links'!C:C, 0)), "N/A", HYPERLINK(INDEX('File Links'!B:B, MATCH(V1259, 'File Links'!C:C, 0))))</f>
        <v>https://drive.google.com/file/d/1qJE0K3gDNeo5WCbf6KkP1a0pxT3faRns/view?usp=drivesdk</v>
      </c>
      <c r="Y1259" s="65"/>
      <c r="Z1259" s="156" t="s">
        <v>219</v>
      </c>
      <c r="AA1259" s="65"/>
      <c r="AB1259" s="65"/>
      <c r="AC1259" s="65"/>
      <c r="AD1259" s="156" t="s">
        <v>7077</v>
      </c>
      <c r="AE1259" s="153">
        <v>1226.0</v>
      </c>
      <c r="AF1259" s="153">
        <v>15.0</v>
      </c>
      <c r="AG1259" s="1056">
        <v>0.961</v>
      </c>
      <c r="AH1259" s="1057" t="s">
        <v>208</v>
      </c>
      <c r="AI1259" s="65"/>
      <c r="AJ1259" s="153">
        <v>1.0E-4</v>
      </c>
      <c r="AK1259" s="156" t="s">
        <v>128</v>
      </c>
      <c r="AL1259" s="1057" t="s">
        <v>179</v>
      </c>
      <c r="AM1259" s="65" t="s">
        <v>134</v>
      </c>
      <c r="AN1259" s="65"/>
      <c r="AO1259" s="333">
        <v>14.0</v>
      </c>
      <c r="AP1259" s="539"/>
      <c r="AQ1259" s="539"/>
      <c r="AR1259" s="539"/>
      <c r="AS1259" s="159">
        <v>1.338E-4</v>
      </c>
      <c r="AT1259" s="156" t="s">
        <v>165</v>
      </c>
      <c r="AU1259" s="65"/>
      <c r="AV1259" s="65"/>
      <c r="AW1259" s="1377" t="s">
        <v>7069</v>
      </c>
      <c r="AX1259" s="65" t="s">
        <v>136</v>
      </c>
      <c r="AY1259" s="65"/>
      <c r="AZ1259" s="65" t="s">
        <v>5061</v>
      </c>
    </row>
    <row r="1260">
      <c r="A1260" s="41">
        <v>1260.0</v>
      </c>
      <c r="B1260" s="126" t="s">
        <v>583</v>
      </c>
      <c r="C1260" s="59" t="s">
        <v>108</v>
      </c>
      <c r="D1260" s="59" t="s">
        <v>225</v>
      </c>
      <c r="F1260" s="151" t="s">
        <v>7078</v>
      </c>
      <c r="G1260" s="65" t="s">
        <v>7079</v>
      </c>
      <c r="H1260" s="156" t="s">
        <v>6906</v>
      </c>
      <c r="I1260" s="149">
        <v>45687.0</v>
      </c>
      <c r="J1260" s="149">
        <v>45692.0</v>
      </c>
      <c r="K1260" s="478" t="s">
        <v>7080</v>
      </c>
      <c r="L1260" s="156" t="s">
        <v>7081</v>
      </c>
      <c r="M1260" s="156" t="s">
        <v>7082</v>
      </c>
      <c r="N1260" s="156" t="s">
        <v>7083</v>
      </c>
      <c r="O1260" s="153">
        <v>1.0</v>
      </c>
      <c r="P1260" s="156" t="str">
        <f t="shared" si="76"/>
        <v>10.1126--science.1207745.pdf</v>
      </c>
      <c r="Q1260" s="49" t="str">
        <f t="array" ref="Q1260"> if(iserror(MATCH(V1260, 'File Links'!C:C, 0)), "N/A", HYPERLINK(INDEX('File Links'!B:B, MATCH(P1260, 'File Links'!C:C, 0))))</f>
        <v>https://drive.google.com/file/d/1Ea_lj0SN0yiXoEUsbmTc67SPDOrQH-yU/view?usp=drivesdk</v>
      </c>
      <c r="R1260" s="156" t="s">
        <v>6910</v>
      </c>
      <c r="S1260" s="156" t="s">
        <v>6911</v>
      </c>
      <c r="T1260" s="1381" t="s">
        <v>7084</v>
      </c>
      <c r="U1260" s="153">
        <v>20.0</v>
      </c>
      <c r="V1260" s="195" t="str">
        <f t="shared" si="77"/>
        <v>10.1038--s41562-018-0399-z.pdf</v>
      </c>
      <c r="W1260" s="156" t="s">
        <v>202</v>
      </c>
      <c r="X1260" s="51" t="str">
        <f t="array" ref="X1260"> if(iserror(MATCH(V1260, 'File Links'!C:C, 0)), "N/A", HYPERLINK(INDEX('File Links'!B:B, MATCH(V1260, 'File Links'!C:C, 0))))</f>
        <v>https://drive.google.com/file/d/1qJE0K3gDNeo5WCbf6KkP1a0pxT3faRns/view?usp=drivesdk</v>
      </c>
      <c r="Y1260" s="65"/>
      <c r="Z1260" s="1112" t="s">
        <v>141</v>
      </c>
      <c r="AA1260" s="156" t="s">
        <v>7085</v>
      </c>
      <c r="AB1260" s="156" t="s">
        <v>6914</v>
      </c>
      <c r="AC1260" s="156" t="s">
        <v>7086</v>
      </c>
      <c r="AD1260" s="156" t="s">
        <v>7087</v>
      </c>
      <c r="AE1260" s="156" t="s">
        <v>7088</v>
      </c>
      <c r="AF1260" s="153">
        <v>46.0</v>
      </c>
      <c r="AG1260" s="153">
        <v>0.371</v>
      </c>
      <c r="AH1260" s="156" t="s">
        <v>166</v>
      </c>
      <c r="AI1260" s="156" t="s">
        <v>7089</v>
      </c>
      <c r="AJ1260" s="153">
        <v>0.0021</v>
      </c>
      <c r="AK1260" s="156" t="s">
        <v>165</v>
      </c>
      <c r="AL1260" s="156" t="s">
        <v>129</v>
      </c>
      <c r="AM1260" s="65" t="s">
        <v>134</v>
      </c>
      <c r="AN1260" s="156" t="s">
        <v>131</v>
      </c>
      <c r="AO1260" s="153">
        <v>234.0</v>
      </c>
      <c r="AP1260" s="333">
        <v>0.05</v>
      </c>
      <c r="AQ1260" s="156" t="s">
        <v>208</v>
      </c>
      <c r="AR1260" s="156" t="s">
        <v>6919</v>
      </c>
      <c r="AS1260" s="153">
        <v>0.449</v>
      </c>
      <c r="AT1260" s="156" t="s">
        <v>165</v>
      </c>
      <c r="AU1260" s="156" t="s">
        <v>129</v>
      </c>
      <c r="AV1260" s="65" t="s">
        <v>134</v>
      </c>
      <c r="AW1260" s="432" t="s">
        <v>7090</v>
      </c>
      <c r="AX1260" s="1296" t="s">
        <v>136</v>
      </c>
      <c r="AY1260" s="65"/>
      <c r="AZ1260" s="65" t="s">
        <v>5061</v>
      </c>
    </row>
    <row r="1261">
      <c r="A1261" s="41">
        <v>1261.0</v>
      </c>
      <c r="B1261" s="65" t="s">
        <v>107</v>
      </c>
      <c r="C1261" s="59" t="s">
        <v>108</v>
      </c>
      <c r="D1261" s="59" t="s">
        <v>1227</v>
      </c>
      <c r="F1261" s="151" t="s">
        <v>7078</v>
      </c>
      <c r="G1261" s="65" t="s">
        <v>7079</v>
      </c>
      <c r="H1261" s="156" t="s">
        <v>6921</v>
      </c>
      <c r="I1261" s="149">
        <v>45663.0</v>
      </c>
      <c r="J1261" s="149">
        <v>45692.0</v>
      </c>
      <c r="K1261" s="65"/>
      <c r="L1261" s="65"/>
      <c r="M1261" s="151" t="s">
        <v>7082</v>
      </c>
      <c r="N1261" s="151" t="s">
        <v>7083</v>
      </c>
      <c r="O1261" s="153">
        <v>1.0</v>
      </c>
      <c r="P1261" s="156" t="str">
        <f t="shared" si="76"/>
        <v>10.1126--science.1207745.pdf</v>
      </c>
      <c r="Q1261" s="49" t="str">
        <f t="array" ref="Q1261"> if(iserror(MATCH(V1261, 'File Links'!C:C, 0)), "N/A", HYPERLINK(INDEX('File Links'!B:B, MATCH(P1261, 'File Links'!C:C, 0))))</f>
        <v>https://drive.google.com/file/d/1Ea_lj0SN0yiXoEUsbmTc67SPDOrQH-yU/view?usp=drivesdk</v>
      </c>
      <c r="R1261" s="156" t="s">
        <v>6910</v>
      </c>
      <c r="S1261" s="156" t="s">
        <v>6911</v>
      </c>
      <c r="T1261" s="65"/>
      <c r="U1261" s="153">
        <v>2.0</v>
      </c>
      <c r="V1261" s="195" t="str">
        <f t="shared" si="77"/>
        <v>10.1038--s41562-018-0399-z.pdf</v>
      </c>
      <c r="W1261" s="65"/>
      <c r="X1261" s="51" t="str">
        <f t="array" ref="X1261"> if(iserror(MATCH(V1261, 'File Links'!C:C, 0)), "N/A", HYPERLINK(INDEX('File Links'!B:B, MATCH(V1261, 'File Links'!C:C, 0))))</f>
        <v>https://drive.google.com/file/d/1qJE0K3gDNeo5WCbf6KkP1a0pxT3faRns/view?usp=drivesdk</v>
      </c>
      <c r="Y1261" s="65"/>
      <c r="Z1261" s="156" t="s">
        <v>141</v>
      </c>
      <c r="AA1261" s="65"/>
      <c r="AB1261" s="65"/>
      <c r="AC1261" s="65"/>
      <c r="AD1261" s="1057" t="s">
        <v>7091</v>
      </c>
      <c r="AE1261" s="153">
        <v>776.0</v>
      </c>
      <c r="AF1261" s="153">
        <v>46.0</v>
      </c>
      <c r="AG1261" s="1056">
        <v>0.437</v>
      </c>
      <c r="AH1261" s="1057" t="s">
        <v>208</v>
      </c>
      <c r="AI1261" s="65"/>
      <c r="AJ1261" s="153">
        <v>0.0021</v>
      </c>
      <c r="AK1261" s="156" t="s">
        <v>165</v>
      </c>
      <c r="AL1261" s="1057" t="s">
        <v>179</v>
      </c>
      <c r="AM1261" s="65" t="s">
        <v>134</v>
      </c>
      <c r="AN1261" s="65"/>
      <c r="AO1261" s="153">
        <v>234.0</v>
      </c>
      <c r="AP1261" s="153">
        <v>0.04959059</v>
      </c>
      <c r="AQ1261" s="65"/>
      <c r="AR1261" s="1057" t="s">
        <v>7092</v>
      </c>
      <c r="AS1261" s="159">
        <v>0.4493</v>
      </c>
      <c r="AT1261" s="156" t="s">
        <v>165</v>
      </c>
      <c r="AU1261" s="156" t="s">
        <v>129</v>
      </c>
      <c r="AV1261" s="65" t="s">
        <v>134</v>
      </c>
      <c r="AW1261" s="1382" t="s">
        <v>7084</v>
      </c>
      <c r="AX1261" s="65" t="s">
        <v>136</v>
      </c>
      <c r="AY1261" s="65"/>
      <c r="AZ1261" s="65" t="s">
        <v>5061</v>
      </c>
    </row>
    <row r="1262">
      <c r="A1262" s="41">
        <v>1262.0</v>
      </c>
      <c r="B1262" s="126" t="s">
        <v>145</v>
      </c>
      <c r="C1262" s="59" t="s">
        <v>108</v>
      </c>
      <c r="D1262" s="59" t="s">
        <v>225</v>
      </c>
      <c r="F1262" s="151" t="s">
        <v>7093</v>
      </c>
      <c r="G1262" s="65" t="s">
        <v>7094</v>
      </c>
      <c r="H1262" s="156" t="s">
        <v>6906</v>
      </c>
      <c r="I1262" s="149">
        <v>45687.0</v>
      </c>
      <c r="J1262" s="149">
        <v>45692.0</v>
      </c>
      <c r="K1262" s="65"/>
      <c r="L1262" s="156" t="s">
        <v>7095</v>
      </c>
      <c r="M1262" s="156" t="s">
        <v>5154</v>
      </c>
      <c r="N1262" s="156" t="s">
        <v>5155</v>
      </c>
      <c r="O1262" s="153">
        <v>8.0</v>
      </c>
      <c r="P1262" s="156" t="str">
        <f t="shared" si="76"/>
        <v>10.1126--science.1250830.pdf</v>
      </c>
      <c r="Q1262" s="49" t="str">
        <f t="array" ref="Q1262"> if(iserror(MATCH(V1262, 'File Links'!C:C, 0)), "N/A", HYPERLINK(INDEX('File Links'!B:B, MATCH(P1262, 'File Links'!C:C, 0))))</f>
        <v>https://drive.google.com/file/d/164yvRbDzBp4QTOt60ne0zLFnKfzz6qWW/view?usp=drivesdk</v>
      </c>
      <c r="R1262" s="156" t="s">
        <v>6910</v>
      </c>
      <c r="S1262" s="156" t="s">
        <v>6911</v>
      </c>
      <c r="T1262" s="1381" t="s">
        <v>7096</v>
      </c>
      <c r="U1262" s="153">
        <v>21.0</v>
      </c>
      <c r="V1262" s="195" t="str">
        <f t="shared" si="77"/>
        <v>10.1038--s41562-018-0399-z.pdf</v>
      </c>
      <c r="W1262" s="156" t="s">
        <v>202</v>
      </c>
      <c r="X1262" s="51" t="str">
        <f t="array" ref="X1262"> if(iserror(MATCH(V1262, 'File Links'!C:C, 0)), "N/A", HYPERLINK(INDEX('File Links'!B:B, MATCH(V1262, 'File Links'!C:C, 0))))</f>
        <v>https://drive.google.com/file/d/1qJE0K3gDNeo5WCbf6KkP1a0pxT3faRns/view?usp=drivesdk</v>
      </c>
      <c r="Y1262" s="65"/>
      <c r="Z1262" s="156" t="s">
        <v>219</v>
      </c>
      <c r="AA1262" s="371" t="s">
        <v>131</v>
      </c>
      <c r="AB1262" s="156" t="s">
        <v>6914</v>
      </c>
      <c r="AC1262" s="156" t="s">
        <v>7097</v>
      </c>
      <c r="AD1262" s="156" t="s">
        <v>7098</v>
      </c>
      <c r="AE1262" s="156" t="s">
        <v>7099</v>
      </c>
      <c r="AF1262" s="153">
        <v>30.0</v>
      </c>
      <c r="AG1262" s="1386">
        <v>1.76767426631627</v>
      </c>
      <c r="AH1262" s="156" t="s">
        <v>166</v>
      </c>
      <c r="AI1262" s="148" t="s">
        <v>7100</v>
      </c>
      <c r="AJ1262" s="153">
        <v>0.001</v>
      </c>
      <c r="AK1262" s="156" t="s">
        <v>128</v>
      </c>
      <c r="AL1262" s="156" t="s">
        <v>179</v>
      </c>
      <c r="AM1262" s="65" t="s">
        <v>130</v>
      </c>
      <c r="AN1262" s="156" t="s">
        <v>131</v>
      </c>
      <c r="AO1262" s="153">
        <v>39.0</v>
      </c>
      <c r="AP1262" s="333">
        <v>0.594</v>
      </c>
      <c r="AQ1262" s="156" t="s">
        <v>208</v>
      </c>
      <c r="AR1262" s="156" t="s">
        <v>6936</v>
      </c>
      <c r="AS1262" s="153">
        <v>0.001</v>
      </c>
      <c r="AT1262" s="156" t="s">
        <v>128</v>
      </c>
      <c r="AU1262" s="1112" t="s">
        <v>129</v>
      </c>
      <c r="AV1262" s="65" t="s">
        <v>130</v>
      </c>
      <c r="AW1262" s="432" t="s">
        <v>7101</v>
      </c>
      <c r="AX1262" s="1296" t="s">
        <v>136</v>
      </c>
      <c r="AY1262" s="65"/>
      <c r="AZ1262" s="126" t="s">
        <v>6951</v>
      </c>
    </row>
    <row r="1263">
      <c r="A1263" s="41">
        <v>1263.0</v>
      </c>
      <c r="B1263" s="65" t="s">
        <v>107</v>
      </c>
      <c r="C1263" s="59" t="s">
        <v>108</v>
      </c>
      <c r="D1263" s="59" t="s">
        <v>1227</v>
      </c>
      <c r="F1263" s="151" t="s">
        <v>7093</v>
      </c>
      <c r="G1263" s="65" t="s">
        <v>7094</v>
      </c>
      <c r="H1263" s="156" t="s">
        <v>6921</v>
      </c>
      <c r="I1263" s="149">
        <v>45663.0</v>
      </c>
      <c r="J1263" s="149">
        <v>45692.0</v>
      </c>
      <c r="K1263" s="65"/>
      <c r="L1263" s="65"/>
      <c r="M1263" s="151" t="s">
        <v>5154</v>
      </c>
      <c r="N1263" s="151" t="s">
        <v>5155</v>
      </c>
      <c r="O1263" s="153">
        <v>8.0</v>
      </c>
      <c r="P1263" s="156" t="str">
        <f t="shared" si="76"/>
        <v>10.1126--science.1250830.pdf</v>
      </c>
      <c r="Q1263" s="49" t="str">
        <f t="array" ref="Q1263"> if(iserror(MATCH(V1263, 'File Links'!C:C, 0)), "N/A", HYPERLINK(INDEX('File Links'!B:B, MATCH(P1263, 'File Links'!C:C, 0))))</f>
        <v>https://drive.google.com/file/d/164yvRbDzBp4QTOt60ne0zLFnKfzz6qWW/view?usp=drivesdk</v>
      </c>
      <c r="R1263" s="156" t="s">
        <v>6910</v>
      </c>
      <c r="S1263" s="156" t="s">
        <v>6911</v>
      </c>
      <c r="T1263" s="65"/>
      <c r="U1263" s="153">
        <v>1.0</v>
      </c>
      <c r="V1263" s="195" t="str">
        <f t="shared" si="77"/>
        <v>10.1038--s41562-018-0399-z.pdf</v>
      </c>
      <c r="W1263" s="65"/>
      <c r="X1263" s="51" t="str">
        <f t="array" ref="X1263"> if(iserror(MATCH(V1263, 'File Links'!C:C, 0)), "N/A", HYPERLINK(INDEX('File Links'!B:B, MATCH(V1263, 'File Links'!C:C, 0))))</f>
        <v>https://drive.google.com/file/d/1qJE0K3gDNeo5WCbf6KkP1a0pxT3faRns/view?usp=drivesdk</v>
      </c>
      <c r="Y1263" s="65"/>
      <c r="Z1263" s="156" t="s">
        <v>219</v>
      </c>
      <c r="AA1263" s="65"/>
      <c r="AB1263" s="65"/>
      <c r="AC1263" s="65"/>
      <c r="AD1263" s="155" t="s">
        <v>7102</v>
      </c>
      <c r="AE1263" s="153">
        <v>76.0</v>
      </c>
      <c r="AF1263" s="153">
        <v>30.0</v>
      </c>
      <c r="AG1263" s="1056">
        <v>0.674</v>
      </c>
      <c r="AH1263" s="1057" t="s">
        <v>208</v>
      </c>
      <c r="AI1263" s="65"/>
      <c r="AJ1263" s="159">
        <v>4.4E-5</v>
      </c>
      <c r="AK1263" s="156" t="s">
        <v>165</v>
      </c>
      <c r="AL1263" s="156" t="s">
        <v>179</v>
      </c>
      <c r="AM1263" s="65" t="s">
        <v>130</v>
      </c>
      <c r="AN1263" s="65"/>
      <c r="AO1263" s="153">
        <v>39.0</v>
      </c>
      <c r="AP1263" s="153">
        <v>0.594</v>
      </c>
      <c r="AQ1263" s="156" t="s">
        <v>208</v>
      </c>
      <c r="AR1263" s="65"/>
      <c r="AS1263" s="159">
        <v>6.8E-5</v>
      </c>
      <c r="AT1263" s="156" t="s">
        <v>165</v>
      </c>
      <c r="AU1263" s="156" t="s">
        <v>129</v>
      </c>
      <c r="AV1263" s="65" t="s">
        <v>130</v>
      </c>
      <c r="AW1263" s="1382" t="s">
        <v>7096</v>
      </c>
      <c r="AX1263" s="65" t="s">
        <v>136</v>
      </c>
      <c r="AY1263" s="65"/>
      <c r="AZ1263" s="65" t="s">
        <v>5061</v>
      </c>
    </row>
    <row r="1264">
      <c r="A1264" s="41">
        <v>1264.0</v>
      </c>
      <c r="B1264" s="126" t="s">
        <v>145</v>
      </c>
      <c r="C1264" s="59" t="s">
        <v>108</v>
      </c>
      <c r="D1264" s="59" t="s">
        <v>225</v>
      </c>
      <c r="F1264" s="151" t="s">
        <v>7103</v>
      </c>
      <c r="G1264" s="65" t="s">
        <v>7104</v>
      </c>
      <c r="H1264" s="156" t="s">
        <v>6906</v>
      </c>
      <c r="I1264" s="149">
        <v>45687.0</v>
      </c>
      <c r="J1264" s="149">
        <v>45692.0</v>
      </c>
      <c r="K1264" s="65"/>
      <c r="L1264" s="156" t="s">
        <v>7105</v>
      </c>
      <c r="M1264" s="156" t="s">
        <v>7106</v>
      </c>
      <c r="N1264" s="156" t="s">
        <v>7107</v>
      </c>
      <c r="O1264" s="153">
        <v>1.0</v>
      </c>
      <c r="P1264" s="156" t="str">
        <f t="shared" si="76"/>
        <v>10.1126--science.1211180.pdf</v>
      </c>
      <c r="Q1264" s="49" t="str">
        <f t="array" ref="Q1264"> if(iserror(MATCH(V1264, 'File Links'!C:C, 0)), "N/A", HYPERLINK(INDEX('File Links'!B:B, MATCH(P1264, 'File Links'!C:C, 0))))</f>
        <v>https://drive.google.com/file/d/1SP5jHd3WRyyvYJcl4eFapcMBBizKeGUl/view?usp=drivesdk</v>
      </c>
      <c r="R1264" s="156" t="s">
        <v>6910</v>
      </c>
      <c r="S1264" s="156" t="s">
        <v>6911</v>
      </c>
      <c r="T1264" s="1112" t="s">
        <v>7108</v>
      </c>
      <c r="U1264" s="153">
        <v>3.0</v>
      </c>
      <c r="V1264" s="195" t="str">
        <f t="shared" si="77"/>
        <v>10.1038--s41562-018-0399-z.pdf</v>
      </c>
      <c r="W1264" s="156" t="s">
        <v>202</v>
      </c>
      <c r="X1264" s="51" t="str">
        <f t="array" ref="X1264"> if(iserror(MATCH(V1264, 'File Links'!C:C, 0)), "N/A", HYPERLINK(INDEX('File Links'!B:B, MATCH(V1264, 'File Links'!C:C, 0))))</f>
        <v>https://drive.google.com/file/d/1qJE0K3gDNeo5WCbf6KkP1a0pxT3faRns/view?usp=drivesdk</v>
      </c>
      <c r="Y1264" s="65"/>
      <c r="Z1264" s="156" t="s">
        <v>219</v>
      </c>
      <c r="AA1264" s="156" t="s">
        <v>7109</v>
      </c>
      <c r="AB1264" s="156" t="s">
        <v>6914</v>
      </c>
      <c r="AC1264" s="156" t="s">
        <v>7110</v>
      </c>
      <c r="AD1264" s="156" t="s">
        <v>7111</v>
      </c>
      <c r="AE1264" s="156" t="s">
        <v>7112</v>
      </c>
      <c r="AF1264" s="153">
        <v>72.0</v>
      </c>
      <c r="AG1264" s="1373">
        <v>3.17</v>
      </c>
      <c r="AH1264" s="156" t="s">
        <v>715</v>
      </c>
      <c r="AI1264" s="1387" t="s">
        <v>7113</v>
      </c>
      <c r="AJ1264" s="153">
        <v>0.018</v>
      </c>
      <c r="AK1264" s="156" t="s">
        <v>165</v>
      </c>
      <c r="AL1264" s="156" t="s">
        <v>211</v>
      </c>
      <c r="AM1264" s="65" t="s">
        <v>130</v>
      </c>
      <c r="AN1264" s="156" t="s">
        <v>131</v>
      </c>
      <c r="AO1264" s="153">
        <v>243.0</v>
      </c>
      <c r="AP1264" s="333">
        <v>0.146</v>
      </c>
      <c r="AQ1264" s="156" t="s">
        <v>208</v>
      </c>
      <c r="AR1264" s="156" t="s">
        <v>6936</v>
      </c>
      <c r="AS1264" s="153">
        <v>0.022</v>
      </c>
      <c r="AT1264" s="156" t="s">
        <v>165</v>
      </c>
      <c r="AU1264" s="156" t="s">
        <v>129</v>
      </c>
      <c r="AV1264" s="65" t="s">
        <v>130</v>
      </c>
      <c r="AW1264" s="432" t="s">
        <v>7114</v>
      </c>
      <c r="AX1264" s="1296" t="s">
        <v>136</v>
      </c>
      <c r="AY1264" s="65"/>
      <c r="AZ1264" s="65" t="s">
        <v>5061</v>
      </c>
    </row>
    <row r="1265">
      <c r="A1265" s="41">
        <v>1265.0</v>
      </c>
      <c r="B1265" s="65" t="s">
        <v>107</v>
      </c>
      <c r="C1265" s="59" t="s">
        <v>108</v>
      </c>
      <c r="D1265" s="59" t="s">
        <v>1227</v>
      </c>
      <c r="F1265" s="151" t="s">
        <v>7103</v>
      </c>
      <c r="G1265" s="65" t="s">
        <v>7104</v>
      </c>
      <c r="H1265" s="156" t="s">
        <v>6921</v>
      </c>
      <c r="I1265" s="149">
        <v>45663.0</v>
      </c>
      <c r="J1265" s="149">
        <v>45692.0</v>
      </c>
      <c r="K1265" s="65"/>
      <c r="L1265" s="65"/>
      <c r="M1265" s="151" t="s">
        <v>7106</v>
      </c>
      <c r="N1265" s="151" t="s">
        <v>7107</v>
      </c>
      <c r="O1265" s="153">
        <v>1.0</v>
      </c>
      <c r="P1265" s="156" t="str">
        <f t="shared" si="76"/>
        <v>10.1126--science.1211180.pdf</v>
      </c>
      <c r="Q1265" s="49" t="str">
        <f t="array" ref="Q1265"> if(iserror(MATCH(V1265, 'File Links'!C:C, 0)), "N/A", HYPERLINK(INDEX('File Links'!B:B, MATCH(P1265, 'File Links'!C:C, 0))))</f>
        <v>https://drive.google.com/file/d/1SP5jHd3WRyyvYJcl4eFapcMBBizKeGUl/view?usp=drivesdk</v>
      </c>
      <c r="R1265" s="156" t="s">
        <v>6910</v>
      </c>
      <c r="S1265" s="156" t="s">
        <v>6911</v>
      </c>
      <c r="T1265" s="65"/>
      <c r="U1265" s="153">
        <v>1.0</v>
      </c>
      <c r="V1265" s="195" t="str">
        <f t="shared" si="77"/>
        <v>10.1038--s41562-018-0399-z.pdf</v>
      </c>
      <c r="W1265" s="65"/>
      <c r="X1265" s="51" t="str">
        <f t="array" ref="X1265"> if(iserror(MATCH(V1265, 'File Links'!C:C, 0)), "N/A", HYPERLINK(INDEX('File Links'!B:B, MATCH(V1265, 'File Links'!C:C, 0))))</f>
        <v>https://drive.google.com/file/d/1qJE0K3gDNeo5WCbf6KkP1a0pxT3faRns/view?usp=drivesdk</v>
      </c>
      <c r="Y1265" s="65"/>
      <c r="Z1265" s="156" t="s">
        <v>219</v>
      </c>
      <c r="AA1265" s="65"/>
      <c r="AB1265" s="65"/>
      <c r="AC1265" s="65"/>
      <c r="AD1265" s="1388" t="s">
        <v>7115</v>
      </c>
      <c r="AE1265" s="159">
        <v>580.0</v>
      </c>
      <c r="AF1265" s="1056">
        <v>144.0</v>
      </c>
      <c r="AG1265" s="1056">
        <v>0.197</v>
      </c>
      <c r="AH1265" s="1057" t="s">
        <v>208</v>
      </c>
      <c r="AI1265" s="65"/>
      <c r="AJ1265" s="159">
        <v>0.018</v>
      </c>
      <c r="AK1265" s="156" t="s">
        <v>165</v>
      </c>
      <c r="AL1265" s="65"/>
      <c r="AM1265" s="65"/>
      <c r="AN1265" s="65"/>
      <c r="AO1265" s="1056">
        <v>486.0</v>
      </c>
      <c r="AP1265" s="539"/>
      <c r="AQ1265" s="539"/>
      <c r="AR1265" s="539"/>
      <c r="AS1265" s="159">
        <v>0.0223</v>
      </c>
      <c r="AT1265" s="156" t="s">
        <v>165</v>
      </c>
      <c r="AU1265" s="65"/>
      <c r="AV1265" s="65"/>
      <c r="AW1265" s="1377" t="s">
        <v>7108</v>
      </c>
      <c r="AX1265" s="65" t="s">
        <v>136</v>
      </c>
      <c r="AY1265" s="65"/>
      <c r="AZ1265" s="65" t="s">
        <v>5061</v>
      </c>
    </row>
    <row r="1266">
      <c r="A1266" s="41">
        <v>1266.0</v>
      </c>
      <c r="B1266" s="126" t="s">
        <v>145</v>
      </c>
      <c r="C1266" s="59" t="s">
        <v>108</v>
      </c>
      <c r="D1266" s="59" t="s">
        <v>225</v>
      </c>
      <c r="F1266" s="151" t="s">
        <v>7116</v>
      </c>
      <c r="G1266" s="65" t="s">
        <v>7117</v>
      </c>
      <c r="H1266" s="156" t="s">
        <v>6906</v>
      </c>
      <c r="I1266" s="149">
        <v>45687.0</v>
      </c>
      <c r="J1266" s="149">
        <v>45692.0</v>
      </c>
      <c r="K1266" s="65"/>
      <c r="L1266" s="156" t="s">
        <v>7118</v>
      </c>
      <c r="M1266" s="156" t="s">
        <v>7119</v>
      </c>
      <c r="N1266" s="156" t="s">
        <v>7120</v>
      </c>
      <c r="O1266" s="153">
        <v>1.0</v>
      </c>
      <c r="P1266" s="156" t="str">
        <f t="shared" si="76"/>
        <v>10.1038--nature12774.pdf</v>
      </c>
      <c r="Q1266" s="49" t="str">
        <f t="array" ref="Q1266"> if(iserror(MATCH(V1266, 'File Links'!C:C, 0)), "N/A", HYPERLINK(INDEX('File Links'!B:B, MATCH(P1266, 'File Links'!C:C, 0))))</f>
        <v>https://drive.google.com/file/d/1J8NYov-XHHaVlQCOR0yx9UGTvAN_EjiG/view?usp=drivesdk</v>
      </c>
      <c r="R1266" s="156" t="s">
        <v>6910</v>
      </c>
      <c r="S1266" s="156" t="s">
        <v>6911</v>
      </c>
      <c r="T1266" s="1381" t="s">
        <v>7121</v>
      </c>
      <c r="U1266" s="153">
        <v>4.0</v>
      </c>
      <c r="V1266" s="195" t="str">
        <f t="shared" si="77"/>
        <v>10.1038--s41562-018-0399-z.pdf</v>
      </c>
      <c r="W1266" s="156" t="s">
        <v>202</v>
      </c>
      <c r="X1266" s="51" t="str">
        <f t="array" ref="X1266"> if(iserror(MATCH(V1266, 'File Links'!C:C, 0)), "N/A", HYPERLINK(INDEX('File Links'!B:B, MATCH(V1266, 'File Links'!C:C, 0))))</f>
        <v>https://drive.google.com/file/d/1qJE0K3gDNeo5WCbf6KkP1a0pxT3faRns/view?usp=drivesdk</v>
      </c>
      <c r="Y1266" s="65"/>
      <c r="Z1266" s="156" t="s">
        <v>219</v>
      </c>
      <c r="AA1266" s="126" t="s">
        <v>131</v>
      </c>
      <c r="AB1266" s="156" t="s">
        <v>6914</v>
      </c>
      <c r="AC1266" s="156" t="s">
        <v>7122</v>
      </c>
      <c r="AD1266" s="156" t="s">
        <v>7123</v>
      </c>
      <c r="AE1266" s="1112" t="s">
        <v>7124</v>
      </c>
      <c r="AF1266" s="1090">
        <v>366.0</v>
      </c>
      <c r="AG1266" s="148" t="s">
        <v>7125</v>
      </c>
      <c r="AH1266" s="156" t="s">
        <v>127</v>
      </c>
      <c r="AI1266" s="156" t="s">
        <v>7124</v>
      </c>
      <c r="AJ1266" s="153">
        <v>1.0E-4</v>
      </c>
      <c r="AK1266" s="156" t="s">
        <v>128</v>
      </c>
      <c r="AL1266" s="156" t="s">
        <v>211</v>
      </c>
      <c r="AM1266" s="65" t="s">
        <v>130</v>
      </c>
      <c r="AN1266" s="156" t="s">
        <v>131</v>
      </c>
      <c r="AO1266" s="1090">
        <v>482.0</v>
      </c>
      <c r="AP1266" s="333">
        <v>0.361</v>
      </c>
      <c r="AQ1266" s="156" t="s">
        <v>208</v>
      </c>
      <c r="AR1266" s="156" t="s">
        <v>6936</v>
      </c>
      <c r="AS1266" s="153">
        <v>0.003</v>
      </c>
      <c r="AT1266" s="156" t="s">
        <v>165</v>
      </c>
      <c r="AU1266" s="156" t="s">
        <v>211</v>
      </c>
      <c r="AV1266" s="65" t="s">
        <v>130</v>
      </c>
      <c r="AW1266" s="432" t="s">
        <v>7126</v>
      </c>
      <c r="AX1266" s="1296" t="s">
        <v>136</v>
      </c>
      <c r="AY1266" s="65"/>
      <c r="AZ1266" s="65" t="s">
        <v>5061</v>
      </c>
    </row>
    <row r="1267">
      <c r="A1267" s="41">
        <v>1267.0</v>
      </c>
      <c r="B1267" s="65" t="s">
        <v>107</v>
      </c>
      <c r="C1267" s="59" t="s">
        <v>108</v>
      </c>
      <c r="D1267" s="59" t="s">
        <v>1227</v>
      </c>
      <c r="F1267" s="151" t="s">
        <v>7116</v>
      </c>
      <c r="G1267" s="65" t="s">
        <v>7117</v>
      </c>
      <c r="H1267" s="156" t="s">
        <v>6921</v>
      </c>
      <c r="I1267" s="149">
        <v>45663.0</v>
      </c>
      <c r="J1267" s="149">
        <v>45692.0</v>
      </c>
      <c r="K1267" s="65"/>
      <c r="L1267" s="65"/>
      <c r="M1267" s="151" t="s">
        <v>7119</v>
      </c>
      <c r="N1267" s="151" t="s">
        <v>7120</v>
      </c>
      <c r="O1267" s="153">
        <v>1.0</v>
      </c>
      <c r="P1267" s="156" t="str">
        <f t="shared" si="76"/>
        <v>10.1038--nature12774.pdf</v>
      </c>
      <c r="Q1267" s="49" t="str">
        <f t="array" ref="Q1267"> if(iserror(MATCH(V1267, 'File Links'!C:C, 0)), "N/A", HYPERLINK(INDEX('File Links'!B:B, MATCH(P1267, 'File Links'!C:C, 0))))</f>
        <v>https://drive.google.com/file/d/1J8NYov-XHHaVlQCOR0yx9UGTvAN_EjiG/view?usp=drivesdk</v>
      </c>
      <c r="R1267" s="156" t="s">
        <v>6910</v>
      </c>
      <c r="S1267" s="156" t="s">
        <v>6911</v>
      </c>
      <c r="T1267" s="65"/>
      <c r="U1267" s="153">
        <v>1.0</v>
      </c>
      <c r="V1267" s="195" t="str">
        <f t="shared" si="77"/>
        <v>10.1038--s41562-018-0399-z.pdf</v>
      </c>
      <c r="W1267" s="65"/>
      <c r="X1267" s="51" t="str">
        <f t="array" ref="X1267"> if(iserror(MATCH(V1267, 'File Links'!C:C, 0)), "N/A", HYPERLINK(INDEX('File Links'!B:B, MATCH(V1267, 'File Links'!C:C, 0))))</f>
        <v>https://drive.google.com/file/d/1qJE0K3gDNeo5WCbf6KkP1a0pxT3faRns/view?usp=drivesdk</v>
      </c>
      <c r="Y1267" s="65"/>
      <c r="Z1267" s="156" t="s">
        <v>219</v>
      </c>
      <c r="AA1267" s="65"/>
      <c r="AB1267" s="65"/>
      <c r="AC1267" s="65"/>
      <c r="AD1267" s="65" t="s">
        <v>7127</v>
      </c>
      <c r="AE1267" s="153">
        <v>389.0</v>
      </c>
      <c r="AF1267" s="153">
        <v>366.0</v>
      </c>
      <c r="AG1267" s="1056">
        <v>0.525</v>
      </c>
      <c r="AH1267" s="1057" t="s">
        <v>208</v>
      </c>
      <c r="AI1267" s="65"/>
      <c r="AJ1267" s="159">
        <v>5.4E-5</v>
      </c>
      <c r="AK1267" s="156" t="s">
        <v>165</v>
      </c>
      <c r="AL1267" s="65"/>
      <c r="AM1267" s="65"/>
      <c r="AN1267" s="65"/>
      <c r="AO1267" s="159">
        <v>482.0</v>
      </c>
      <c r="AP1267" s="159">
        <v>0.361</v>
      </c>
      <c r="AQ1267" s="156" t="s">
        <v>208</v>
      </c>
      <c r="AR1267" s="65"/>
      <c r="AS1267" s="159">
        <v>0.003</v>
      </c>
      <c r="AT1267" s="156" t="s">
        <v>165</v>
      </c>
      <c r="AU1267" s="65"/>
      <c r="AV1267" s="65"/>
      <c r="AW1267" s="1377" t="s">
        <v>7128</v>
      </c>
      <c r="AX1267" s="65" t="s">
        <v>136</v>
      </c>
      <c r="AY1267" s="65"/>
      <c r="AZ1267" s="65" t="s">
        <v>5061</v>
      </c>
    </row>
    <row r="1268">
      <c r="A1268" s="41">
        <v>1268.0</v>
      </c>
      <c r="B1268" s="126" t="s">
        <v>145</v>
      </c>
      <c r="C1268" s="59" t="s">
        <v>108</v>
      </c>
      <c r="D1268" s="59" t="s">
        <v>225</v>
      </c>
      <c r="F1268" s="151" t="s">
        <v>7129</v>
      </c>
      <c r="G1268" s="65" t="s">
        <v>7130</v>
      </c>
      <c r="H1268" s="156" t="s">
        <v>6906</v>
      </c>
      <c r="I1268" s="149">
        <v>45687.0</v>
      </c>
      <c r="J1268" s="149">
        <v>45692.0</v>
      </c>
      <c r="K1268" s="65"/>
      <c r="L1268" s="156" t="s">
        <v>7131</v>
      </c>
      <c r="M1268" s="156" t="s">
        <v>7132</v>
      </c>
      <c r="N1268" s="156" t="s">
        <v>7133</v>
      </c>
      <c r="O1268" s="65" t="s">
        <v>5504</v>
      </c>
      <c r="P1268" s="156" t="str">
        <f t="shared" si="76"/>
        <v>10.1126--science.1221936.pdf</v>
      </c>
      <c r="Q1268" s="49" t="str">
        <f t="array" ref="Q1268"> if(iserror(MATCH(V1268, 'File Links'!C:C, 0)), "N/A", HYPERLINK(INDEX('File Links'!B:B, MATCH(P1268, 'File Links'!C:C, 0))))</f>
        <v>https://drive.google.com/file/d/1iB1iRJQEIss4hSoqw92nY3NXxa2obChZ/view?usp=drivesdk</v>
      </c>
      <c r="R1268" s="156" t="s">
        <v>6910</v>
      </c>
      <c r="S1268" s="156" t="s">
        <v>6911</v>
      </c>
      <c r="T1268" s="1381" t="s">
        <v>7134</v>
      </c>
      <c r="U1268" s="153">
        <v>5.0</v>
      </c>
      <c r="V1268" s="195" t="str">
        <f t="shared" si="77"/>
        <v>10.1038--s41562-018-0399-z.pdf</v>
      </c>
      <c r="W1268" s="156" t="s">
        <v>202</v>
      </c>
      <c r="X1268" s="51" t="str">
        <f t="array" ref="X1268"> if(iserror(MATCH(V1268, 'File Links'!C:C, 0)), "N/A", HYPERLINK(INDEX('File Links'!B:B, MATCH(V1268, 'File Links'!C:C, 0))))</f>
        <v>https://drive.google.com/file/d/1qJE0K3gDNeo5WCbf6KkP1a0pxT3faRns/view?usp=drivesdk</v>
      </c>
      <c r="Y1268" s="65"/>
      <c r="Z1268" s="1112" t="s">
        <v>141</v>
      </c>
      <c r="AA1268" s="156" t="s">
        <v>7135</v>
      </c>
      <c r="AB1268" s="156" t="s">
        <v>6914</v>
      </c>
      <c r="AC1268" s="156" t="s">
        <v>7136</v>
      </c>
      <c r="AD1268" s="156" t="s">
        <v>7137</v>
      </c>
      <c r="AE1268" s="156" t="s">
        <v>7138</v>
      </c>
      <c r="AF1268" s="153">
        <v>15.0</v>
      </c>
      <c r="AG1268" s="153">
        <v>1.301</v>
      </c>
      <c r="AH1268" s="156" t="s">
        <v>715</v>
      </c>
      <c r="AI1268" s="156" t="s">
        <v>7139</v>
      </c>
      <c r="AJ1268" s="153">
        <v>0.005</v>
      </c>
      <c r="AK1268" s="156" t="s">
        <v>128</v>
      </c>
      <c r="AL1268" s="156" t="s">
        <v>179</v>
      </c>
      <c r="AM1268" s="1296" t="s">
        <v>134</v>
      </c>
      <c r="AN1268" s="156" t="s">
        <v>131</v>
      </c>
      <c r="AO1268" s="153">
        <v>92.0</v>
      </c>
      <c r="AP1268" s="333">
        <v>0.436</v>
      </c>
      <c r="AQ1268" s="156" t="s">
        <v>208</v>
      </c>
      <c r="AR1268" s="156" t="s">
        <v>6919</v>
      </c>
      <c r="AS1268" s="153">
        <v>0.001</v>
      </c>
      <c r="AT1268" s="156" t="s">
        <v>128</v>
      </c>
      <c r="AU1268" s="1112" t="s">
        <v>129</v>
      </c>
      <c r="AV1268" s="65" t="s">
        <v>134</v>
      </c>
      <c r="AW1268" s="432" t="s">
        <v>7140</v>
      </c>
      <c r="AX1268" s="1296" t="s">
        <v>136</v>
      </c>
      <c r="AY1268" s="65"/>
      <c r="AZ1268" s="65" t="s">
        <v>5061</v>
      </c>
    </row>
    <row r="1269">
      <c r="A1269" s="41">
        <v>1269.0</v>
      </c>
      <c r="B1269" s="65" t="s">
        <v>107</v>
      </c>
      <c r="C1269" s="59" t="s">
        <v>108</v>
      </c>
      <c r="D1269" s="59" t="s">
        <v>1227</v>
      </c>
      <c r="F1269" s="151" t="s">
        <v>7129</v>
      </c>
      <c r="G1269" s="65" t="s">
        <v>7130</v>
      </c>
      <c r="H1269" s="156" t="s">
        <v>6921</v>
      </c>
      <c r="I1269" s="149">
        <v>45663.0</v>
      </c>
      <c r="J1269" s="149">
        <v>45692.0</v>
      </c>
      <c r="K1269" s="65"/>
      <c r="L1269" s="65"/>
      <c r="M1269" s="151" t="s">
        <v>7132</v>
      </c>
      <c r="N1269" s="151" t="s">
        <v>7133</v>
      </c>
      <c r="O1269" s="1056">
        <v>1.0</v>
      </c>
      <c r="P1269" s="156" t="str">
        <f t="shared" si="76"/>
        <v>10.1126--science.1221936.pdf</v>
      </c>
      <c r="Q1269" s="49" t="str">
        <f t="array" ref="Q1269"> if(iserror(MATCH(V1269, 'File Links'!C:C, 0)), "N/A", HYPERLINK(INDEX('File Links'!B:B, MATCH(P1269, 'File Links'!C:C, 0))))</f>
        <v>https://drive.google.com/file/d/1iB1iRJQEIss4hSoqw92nY3NXxa2obChZ/view?usp=drivesdk</v>
      </c>
      <c r="R1269" s="156" t="s">
        <v>6910</v>
      </c>
      <c r="S1269" s="156" t="s">
        <v>6911</v>
      </c>
      <c r="T1269" s="65"/>
      <c r="U1269" s="153">
        <v>2.0</v>
      </c>
      <c r="V1269" s="195" t="str">
        <f t="shared" si="77"/>
        <v>10.1038--s41562-018-0399-z.pdf</v>
      </c>
      <c r="W1269" s="65"/>
      <c r="X1269" s="51" t="str">
        <f t="array" ref="X1269"> if(iserror(MATCH(V1269, 'File Links'!C:C, 0)), "N/A", HYPERLINK(INDEX('File Links'!B:B, MATCH(V1269, 'File Links'!C:C, 0))))</f>
        <v>https://drive.google.com/file/d/1qJE0K3gDNeo5WCbf6KkP1a0pxT3faRns/view?usp=drivesdk</v>
      </c>
      <c r="Y1269" s="65"/>
      <c r="Z1269" s="156" t="s">
        <v>141</v>
      </c>
      <c r="AA1269" s="65"/>
      <c r="AB1269" s="65"/>
      <c r="AC1269" s="65"/>
      <c r="AD1269" s="1376" t="s">
        <v>7141</v>
      </c>
      <c r="AE1269" s="153">
        <v>486.0</v>
      </c>
      <c r="AF1269" s="153">
        <v>15.0</v>
      </c>
      <c r="AG1269" s="1056">
        <v>0.674</v>
      </c>
      <c r="AH1269" s="1057" t="s">
        <v>208</v>
      </c>
      <c r="AI1269" s="65"/>
      <c r="AJ1269" s="153">
        <v>0.0042</v>
      </c>
      <c r="AK1269" s="156" t="s">
        <v>165</v>
      </c>
      <c r="AL1269" s="65"/>
      <c r="AM1269" s="65" t="s">
        <v>134</v>
      </c>
      <c r="AN1269" s="65"/>
      <c r="AO1269" s="153">
        <v>92.0</v>
      </c>
      <c r="AP1269" s="153">
        <v>0.43646</v>
      </c>
      <c r="AQ1269" s="156" t="s">
        <v>208</v>
      </c>
      <c r="AR1269" s="1057" t="s">
        <v>7142</v>
      </c>
      <c r="AS1269" s="159">
        <v>1.222E-5</v>
      </c>
      <c r="AT1269" s="156" t="s">
        <v>165</v>
      </c>
      <c r="AU1269" s="156" t="s">
        <v>129</v>
      </c>
      <c r="AV1269" s="65" t="s">
        <v>134</v>
      </c>
      <c r="AW1269" s="1377" t="s">
        <v>7143</v>
      </c>
      <c r="AX1269" s="65" t="s">
        <v>136</v>
      </c>
      <c r="AY1269" s="65"/>
      <c r="AZ1269" s="65" t="s">
        <v>5061</v>
      </c>
    </row>
    <row r="1270">
      <c r="A1270" s="41">
        <v>1270.0</v>
      </c>
      <c r="B1270" s="65" t="s">
        <v>583</v>
      </c>
      <c r="C1270" s="59" t="s">
        <v>108</v>
      </c>
      <c r="D1270" s="59" t="s">
        <v>225</v>
      </c>
      <c r="F1270" s="151" t="s">
        <v>7144</v>
      </c>
      <c r="G1270" s="65" t="s">
        <v>7145</v>
      </c>
      <c r="H1270" s="156" t="s">
        <v>6906</v>
      </c>
      <c r="I1270" s="149">
        <v>45687.0</v>
      </c>
      <c r="J1270" s="149">
        <v>45692.0</v>
      </c>
      <c r="K1270" s="156" t="s">
        <v>7146</v>
      </c>
      <c r="L1270" s="148" t="s">
        <v>7147</v>
      </c>
      <c r="M1270" s="156" t="s">
        <v>7148</v>
      </c>
      <c r="N1270" s="156" t="s">
        <v>7149</v>
      </c>
      <c r="O1270" s="153">
        <v>2.0</v>
      </c>
      <c r="P1270" s="156" t="str">
        <f t="shared" si="76"/>
        <v>10.1126--science.1215647.pdf</v>
      </c>
      <c r="Q1270" s="49" t="str">
        <f t="array" ref="Q1270"> if(iserror(MATCH(V1270, 'File Links'!C:C, 0)), "N/A", HYPERLINK(INDEX('File Links'!B:B, MATCH(P1270, 'File Links'!C:C, 0))))</f>
        <v>https://drive.google.com/file/d/1Vg-OUhY15FAok2mtyokmeZIHZaqgAHg5/view?usp=drivesdk</v>
      </c>
      <c r="R1270" s="156" t="s">
        <v>6910</v>
      </c>
      <c r="S1270" s="156" t="s">
        <v>6911</v>
      </c>
      <c r="T1270" s="1381" t="s">
        <v>7150</v>
      </c>
      <c r="U1270" s="153">
        <v>6.0</v>
      </c>
      <c r="V1270" s="195" t="str">
        <f t="shared" si="77"/>
        <v>10.1038--s41562-018-0399-z.pdf</v>
      </c>
      <c r="W1270" s="156" t="s">
        <v>202</v>
      </c>
      <c r="X1270" s="51" t="str">
        <f t="array" ref="X1270"> if(iserror(MATCH(V1270, 'File Links'!C:C, 0)), "N/A", HYPERLINK(INDEX('File Links'!B:B, MATCH(V1270, 'File Links'!C:C, 0))))</f>
        <v>https://drive.google.com/file/d/1qJE0K3gDNeo5WCbf6KkP1a0pxT3faRns/view?usp=drivesdk</v>
      </c>
      <c r="Y1270" s="65"/>
      <c r="Z1270" s="156" t="s">
        <v>219</v>
      </c>
      <c r="AA1270" s="156" t="s">
        <v>7151</v>
      </c>
      <c r="AB1270" s="156" t="s">
        <v>6914</v>
      </c>
      <c r="AC1270" s="156" t="s">
        <v>7152</v>
      </c>
      <c r="AD1270" s="156" t="s">
        <v>7153</v>
      </c>
      <c r="AE1270" s="156" t="s">
        <v>7154</v>
      </c>
      <c r="AF1270" s="153">
        <v>57.0</v>
      </c>
      <c r="AG1270" s="153">
        <v>0.59</v>
      </c>
      <c r="AH1270" s="156" t="s">
        <v>166</v>
      </c>
      <c r="AI1270" s="156" t="s">
        <v>7154</v>
      </c>
      <c r="AJ1270" s="153">
        <v>0.03</v>
      </c>
      <c r="AK1270" s="156" t="s">
        <v>165</v>
      </c>
      <c r="AL1270" s="156" t="s">
        <v>129</v>
      </c>
      <c r="AM1270" s="65" t="s">
        <v>130</v>
      </c>
      <c r="AN1270" s="156" t="s">
        <v>131</v>
      </c>
      <c r="AO1270" s="153">
        <v>531.0</v>
      </c>
      <c r="AP1270" s="333">
        <v>-0.035</v>
      </c>
      <c r="AQ1270" s="156" t="s">
        <v>208</v>
      </c>
      <c r="AR1270" s="156" t="s">
        <v>6919</v>
      </c>
      <c r="AS1270" s="493">
        <v>0.415</v>
      </c>
      <c r="AT1270" s="156" t="s">
        <v>165</v>
      </c>
      <c r="AU1270" s="1112" t="s">
        <v>129</v>
      </c>
      <c r="AV1270" s="65" t="s">
        <v>130</v>
      </c>
      <c r="AW1270" s="432" t="s">
        <v>7155</v>
      </c>
      <c r="AX1270" s="1296" t="s">
        <v>136</v>
      </c>
      <c r="AY1270" s="65"/>
      <c r="AZ1270" s="65" t="s">
        <v>5061</v>
      </c>
    </row>
    <row r="1271">
      <c r="A1271" s="41">
        <v>1271.0</v>
      </c>
      <c r="B1271" s="65" t="s">
        <v>107</v>
      </c>
      <c r="C1271" s="59" t="s">
        <v>108</v>
      </c>
      <c r="D1271" s="59" t="s">
        <v>1227</v>
      </c>
      <c r="F1271" s="151" t="s">
        <v>7144</v>
      </c>
      <c r="G1271" s="65" t="s">
        <v>7145</v>
      </c>
      <c r="H1271" s="156" t="s">
        <v>6921</v>
      </c>
      <c r="I1271" s="149">
        <v>45663.0</v>
      </c>
      <c r="J1271" s="149">
        <v>45692.0</v>
      </c>
      <c r="K1271" s="65"/>
      <c r="L1271" s="65"/>
      <c r="M1271" s="151" t="s">
        <v>7148</v>
      </c>
      <c r="N1271" s="151" t="s">
        <v>7149</v>
      </c>
      <c r="O1271" s="153">
        <v>2.0</v>
      </c>
      <c r="P1271" s="156" t="str">
        <f t="shared" si="76"/>
        <v>10.1126--science.1215647.pdf</v>
      </c>
      <c r="Q1271" s="49" t="str">
        <f t="array" ref="Q1271"> if(iserror(MATCH(V1271, 'File Links'!C:C, 0)), "N/A", HYPERLINK(INDEX('File Links'!B:B, MATCH(P1271, 'File Links'!C:C, 0))))</f>
        <v>https://drive.google.com/file/d/1Vg-OUhY15FAok2mtyokmeZIHZaqgAHg5/view?usp=drivesdk</v>
      </c>
      <c r="R1271" s="156" t="s">
        <v>6910</v>
      </c>
      <c r="S1271" s="156" t="s">
        <v>6911</v>
      </c>
      <c r="T1271" s="65"/>
      <c r="U1271" s="153">
        <v>2.0</v>
      </c>
      <c r="V1271" s="195" t="str">
        <f t="shared" si="77"/>
        <v>10.1038--s41562-018-0399-z.pdf</v>
      </c>
      <c r="W1271" s="65"/>
      <c r="X1271" s="51" t="str">
        <f t="array" ref="X1271"> if(iserror(MATCH(V1271, 'File Links'!C:C, 0)), "N/A", HYPERLINK(INDEX('File Links'!B:B, MATCH(V1271, 'File Links'!C:C, 0))))</f>
        <v>https://drive.google.com/file/d/1qJE0K3gDNeo5WCbf6KkP1a0pxT3faRns/view?usp=drivesdk</v>
      </c>
      <c r="Y1271" s="65"/>
      <c r="Z1271" s="156" t="s">
        <v>219</v>
      </c>
      <c r="AA1271" s="65"/>
      <c r="AB1271" s="65"/>
      <c r="AC1271" s="65"/>
      <c r="AD1271" s="1376" t="s">
        <v>7156</v>
      </c>
      <c r="AE1271" s="153">
        <v>494.0</v>
      </c>
      <c r="AF1271" s="153">
        <v>57.0</v>
      </c>
      <c r="AG1271" s="1056">
        <v>0.289</v>
      </c>
      <c r="AH1271" s="1057" t="s">
        <v>208</v>
      </c>
      <c r="AI1271" s="65"/>
      <c r="AJ1271" s="153">
        <v>0.03</v>
      </c>
      <c r="AK1271" s="156" t="s">
        <v>165</v>
      </c>
      <c r="AL1271" s="65"/>
      <c r="AM1271" s="65"/>
      <c r="AN1271" s="65"/>
      <c r="AO1271" s="153">
        <v>531.0</v>
      </c>
      <c r="AP1271" s="1056">
        <v>-0.04</v>
      </c>
      <c r="AQ1271" s="65"/>
      <c r="AR1271" s="65"/>
      <c r="AS1271" s="493">
        <v>0.414</v>
      </c>
      <c r="AT1271" s="156" t="s">
        <v>165</v>
      </c>
      <c r="AU1271" s="156" t="s">
        <v>129</v>
      </c>
      <c r="AV1271" s="65"/>
      <c r="AW1271" s="1377" t="s">
        <v>7157</v>
      </c>
      <c r="AX1271" s="65" t="s">
        <v>136</v>
      </c>
      <c r="AY1271" s="65"/>
      <c r="AZ1271" s="65" t="s">
        <v>5061</v>
      </c>
    </row>
    <row r="1272">
      <c r="A1272" s="41">
        <v>1272.0</v>
      </c>
      <c r="B1272" s="65" t="s">
        <v>583</v>
      </c>
      <c r="C1272" s="59" t="s">
        <v>108</v>
      </c>
      <c r="D1272" s="59" t="s">
        <v>225</v>
      </c>
      <c r="F1272" s="151" t="s">
        <v>7158</v>
      </c>
      <c r="G1272" s="156" t="str">
        <f>F1272&amp;"_"&amp;COUNTIF($C$3:F1272, F1272)</f>
        <v>Camereretal2018_7_1</v>
      </c>
      <c r="H1272" s="156" t="s">
        <v>6906</v>
      </c>
      <c r="I1272" s="149">
        <v>45687.0</v>
      </c>
      <c r="J1272" s="149">
        <v>45692.0</v>
      </c>
      <c r="K1272" s="156" t="s">
        <v>7159</v>
      </c>
      <c r="L1272" s="156" t="s">
        <v>7160</v>
      </c>
      <c r="M1272" s="156" t="s">
        <v>7161</v>
      </c>
      <c r="N1272" s="156" t="s">
        <v>7162</v>
      </c>
      <c r="O1272" s="153">
        <v>1.0</v>
      </c>
      <c r="P1272" s="156" t="str">
        <f t="shared" si="76"/>
        <v>10.1126--science.1253932.pdf</v>
      </c>
      <c r="Q1272" s="49" t="str">
        <f t="array" ref="Q1272"> if(iserror(MATCH(V1272, 'File Links'!C:C, 0)), "N/A", HYPERLINK(INDEX('File Links'!B:B, MATCH(P1272, 'File Links'!C:C, 0))))</f>
        <v>https://drive.google.com/file/d/1u3UeZsgg-pu1ZHEEX1uaXHGyGnnbQIHr/view?usp=drivesdk</v>
      </c>
      <c r="R1272" s="156" t="s">
        <v>6910</v>
      </c>
      <c r="S1272" s="156" t="s">
        <v>6911</v>
      </c>
      <c r="T1272" s="1381" t="s">
        <v>7163</v>
      </c>
      <c r="U1272" s="153">
        <v>7.0</v>
      </c>
      <c r="V1272" s="195" t="str">
        <f t="shared" si="77"/>
        <v>10.1038--s41562-018-0399-z.pdf</v>
      </c>
      <c r="W1272" s="156" t="s">
        <v>202</v>
      </c>
      <c r="X1272" s="51" t="str">
        <f t="array" ref="X1272"> if(iserror(MATCH(V1272, 'File Links'!C:C, 0)), "N/A", HYPERLINK(INDEX('File Links'!B:B, MATCH(V1272, 'File Links'!C:C, 0))))</f>
        <v>https://drive.google.com/file/d/1qJE0K3gDNeo5WCbf6KkP1a0pxT3faRns/view?usp=drivesdk</v>
      </c>
      <c r="Y1272" s="65"/>
      <c r="Z1272" s="156" t="s">
        <v>203</v>
      </c>
      <c r="AA1272" s="65"/>
      <c r="AB1272" s="156" t="s">
        <v>6914</v>
      </c>
      <c r="AC1272" s="156" t="s">
        <v>7164</v>
      </c>
      <c r="AD1272" s="65" t="s">
        <v>7165</v>
      </c>
      <c r="AE1272" s="65" t="s">
        <v>7166</v>
      </c>
      <c r="AF1272" s="493">
        <v>178.0</v>
      </c>
      <c r="AG1272" s="1117">
        <v>0.38892740882854915</v>
      </c>
      <c r="AH1272" s="156" t="s">
        <v>715</v>
      </c>
      <c r="AI1272" s="156" t="s">
        <v>7167</v>
      </c>
      <c r="AJ1272" s="153">
        <v>0.01</v>
      </c>
      <c r="AK1272" s="156" t="s">
        <v>128</v>
      </c>
      <c r="AL1272" s="156" t="s">
        <v>179</v>
      </c>
      <c r="AM1272" s="65" t="s">
        <v>130</v>
      </c>
      <c r="AN1272" s="156" t="s">
        <v>131</v>
      </c>
      <c r="AO1272" s="153">
        <v>407.0</v>
      </c>
      <c r="AP1272" s="333">
        <v>0.182</v>
      </c>
      <c r="AQ1272" s="156" t="s">
        <v>208</v>
      </c>
      <c r="AR1272" s="156" t="s">
        <v>6936</v>
      </c>
      <c r="AS1272" s="153">
        <v>0.001</v>
      </c>
      <c r="AT1272" s="156" t="s">
        <v>128</v>
      </c>
      <c r="AU1272" s="156" t="s">
        <v>179</v>
      </c>
      <c r="AV1272" s="65" t="s">
        <v>1898</v>
      </c>
      <c r="AW1272" s="432" t="s">
        <v>7168</v>
      </c>
      <c r="AX1272" s="1296" t="s">
        <v>136</v>
      </c>
      <c r="AY1272" s="65"/>
      <c r="AZ1272" s="65" t="s">
        <v>5061</v>
      </c>
    </row>
    <row r="1273">
      <c r="A1273" s="41">
        <v>1273.0</v>
      </c>
      <c r="B1273" s="65" t="s">
        <v>107</v>
      </c>
      <c r="C1273" s="59" t="s">
        <v>108</v>
      </c>
      <c r="D1273" s="59" t="s">
        <v>1227</v>
      </c>
      <c r="F1273" s="151" t="s">
        <v>7158</v>
      </c>
      <c r="G1273" s="156" t="s">
        <v>7169</v>
      </c>
      <c r="H1273" s="156" t="s">
        <v>6921</v>
      </c>
      <c r="I1273" s="149">
        <v>45663.0</v>
      </c>
      <c r="J1273" s="149">
        <v>45692.0</v>
      </c>
      <c r="K1273" s="65"/>
      <c r="L1273" s="65"/>
      <c r="M1273" s="151" t="s">
        <v>7161</v>
      </c>
      <c r="N1273" s="151" t="s">
        <v>7162</v>
      </c>
      <c r="O1273" s="153">
        <v>1.0</v>
      </c>
      <c r="P1273" s="156" t="str">
        <f t="shared" si="76"/>
        <v>10.1126--science.1253932.pdf</v>
      </c>
      <c r="Q1273" s="49" t="str">
        <f t="array" ref="Q1273"> if(iserror(MATCH(V1273, 'File Links'!C:C, 0)), "N/A", HYPERLINK(INDEX('File Links'!B:B, MATCH(P1273, 'File Links'!C:C, 0))))</f>
        <v>https://drive.google.com/file/d/1u3UeZsgg-pu1ZHEEX1uaXHGyGnnbQIHr/view?usp=drivesdk</v>
      </c>
      <c r="R1273" s="156" t="s">
        <v>6910</v>
      </c>
      <c r="S1273" s="156" t="s">
        <v>6911</v>
      </c>
      <c r="T1273" s="65"/>
      <c r="U1273" s="153">
        <v>1.0</v>
      </c>
      <c r="V1273" s="195" t="str">
        <f t="shared" si="77"/>
        <v>10.1038--s41562-018-0399-z.pdf</v>
      </c>
      <c r="W1273" s="65"/>
      <c r="X1273" s="51" t="str">
        <f t="array" ref="X1273"> if(iserror(MATCH(V1273, 'File Links'!C:C, 0)), "N/A", HYPERLINK(INDEX('File Links'!B:B, MATCH(V1273, 'File Links'!C:C, 0))))</f>
        <v>https://drive.google.com/file/d/1qJE0K3gDNeo5WCbf6KkP1a0pxT3faRns/view?usp=drivesdk</v>
      </c>
      <c r="Y1273" s="65"/>
      <c r="Z1273" s="156" t="s">
        <v>1802</v>
      </c>
      <c r="AA1273" s="65"/>
      <c r="AB1273" s="65"/>
      <c r="AC1273" s="65"/>
      <c r="AD1273" s="1389" t="s">
        <v>7170</v>
      </c>
      <c r="AE1273" s="153">
        <v>633.0</v>
      </c>
      <c r="AF1273" s="1056">
        <v>449.0</v>
      </c>
      <c r="AG1273" s="1056">
        <v>0.223</v>
      </c>
      <c r="AH1273" s="1057" t="s">
        <v>208</v>
      </c>
      <c r="AI1273" s="65"/>
      <c r="AJ1273" s="153">
        <v>0.0027</v>
      </c>
      <c r="AK1273" s="156" t="s">
        <v>165</v>
      </c>
      <c r="AL1273" s="65"/>
      <c r="AM1273" s="65" t="s">
        <v>130</v>
      </c>
      <c r="AN1273" s="65"/>
      <c r="AO1273" s="153">
        <v>407.0</v>
      </c>
      <c r="AP1273" s="1056">
        <v>0.3702</v>
      </c>
      <c r="AQ1273" s="1057" t="s">
        <v>2798</v>
      </c>
      <c r="AR1273" s="1057" t="s">
        <v>7171</v>
      </c>
      <c r="AS1273" s="1056">
        <v>2.1E-4</v>
      </c>
      <c r="AT1273" s="156" t="s">
        <v>165</v>
      </c>
      <c r="AU1273" s="156" t="s">
        <v>129</v>
      </c>
      <c r="AV1273" s="65"/>
      <c r="AW1273" s="1377" t="s">
        <v>7172</v>
      </c>
      <c r="AX1273" s="65" t="s">
        <v>136</v>
      </c>
      <c r="AY1273" s="65"/>
      <c r="AZ1273" s="65" t="s">
        <v>5061</v>
      </c>
    </row>
    <row r="1274">
      <c r="A1274" s="41">
        <v>1274.0</v>
      </c>
      <c r="B1274" s="126" t="s">
        <v>145</v>
      </c>
      <c r="C1274" s="59" t="s">
        <v>108</v>
      </c>
      <c r="D1274" s="59" t="s">
        <v>225</v>
      </c>
      <c r="F1274" s="151" t="s">
        <v>7173</v>
      </c>
      <c r="G1274" s="156" t="str">
        <f>F1274&amp;"_"&amp;COUNTIF($C$3:F1274, F1274)</f>
        <v>Camereretal2018_8_1</v>
      </c>
      <c r="H1274" s="156" t="s">
        <v>6906</v>
      </c>
      <c r="I1274" s="149">
        <v>45687.0</v>
      </c>
      <c r="J1274" s="149">
        <v>45692.0</v>
      </c>
      <c r="K1274" s="65"/>
      <c r="L1274" s="156" t="s">
        <v>7174</v>
      </c>
      <c r="M1274" s="156" t="s">
        <v>7175</v>
      </c>
      <c r="N1274" s="156" t="s">
        <v>7176</v>
      </c>
      <c r="O1274" s="153">
        <v>1.0</v>
      </c>
      <c r="P1274" s="156" t="str">
        <f t="shared" si="76"/>
        <v>10.1038--nature13530.pdf</v>
      </c>
      <c r="Q1274" s="49" t="str">
        <f t="array" ref="Q1274"> if(iserror(MATCH(V1274, 'File Links'!C:C, 0)), "N/A", HYPERLINK(INDEX('File Links'!B:B, MATCH(P1274, 'File Links'!C:C, 0))))</f>
        <v>https://drive.google.com/file/d/1-E1dAlVOdBXhL1-Ucgrt44k9SzyhPTJ-/view?usp=drivesdk</v>
      </c>
      <c r="R1274" s="156" t="s">
        <v>6910</v>
      </c>
      <c r="S1274" s="156" t="s">
        <v>6911</v>
      </c>
      <c r="T1274" s="1381" t="s">
        <v>7177</v>
      </c>
      <c r="U1274" s="153">
        <v>8.0</v>
      </c>
      <c r="V1274" s="195" t="str">
        <f t="shared" si="77"/>
        <v>10.1038--s41562-018-0399-z.pdf</v>
      </c>
      <c r="W1274" s="156" t="s">
        <v>202</v>
      </c>
      <c r="X1274" s="51" t="str">
        <f t="array" ref="X1274"> if(iserror(MATCH(V1274, 'File Links'!C:C, 0)), "N/A", HYPERLINK(INDEX('File Links'!B:B, MATCH(V1274, 'File Links'!C:C, 0))))</f>
        <v>https://drive.google.com/file/d/1qJE0K3gDNeo5WCbf6KkP1a0pxT3faRns/view?usp=drivesdk</v>
      </c>
      <c r="Y1274" s="65"/>
      <c r="Z1274" s="156" t="s">
        <v>219</v>
      </c>
      <c r="AA1274" s="371" t="s">
        <v>131</v>
      </c>
      <c r="AB1274" s="156" t="s">
        <v>6914</v>
      </c>
      <c r="AC1274" s="156" t="s">
        <v>7178</v>
      </c>
      <c r="AD1274" s="156" t="s">
        <v>7179</v>
      </c>
      <c r="AE1274" s="65" t="s">
        <v>805</v>
      </c>
      <c r="AF1274" s="153">
        <v>40.0</v>
      </c>
      <c r="AG1274" s="153">
        <v>0.8</v>
      </c>
      <c r="AH1274" s="191" t="s">
        <v>353</v>
      </c>
      <c r="AI1274" s="156" t="s">
        <v>7180</v>
      </c>
      <c r="AJ1274" s="153">
        <v>0.001</v>
      </c>
      <c r="AK1274" s="156" t="s">
        <v>128</v>
      </c>
      <c r="AL1274" s="156" t="s">
        <v>179</v>
      </c>
      <c r="AM1274" s="65" t="s">
        <v>130</v>
      </c>
      <c r="AN1274" s="156" t="s">
        <v>131</v>
      </c>
      <c r="AO1274" s="153">
        <v>22.0</v>
      </c>
      <c r="AP1274" s="333">
        <v>0.832</v>
      </c>
      <c r="AQ1274" s="156" t="s">
        <v>208</v>
      </c>
      <c r="AR1274" s="156" t="s">
        <v>6936</v>
      </c>
      <c r="AS1274" s="153">
        <v>0.001</v>
      </c>
      <c r="AT1274" s="156" t="s">
        <v>128</v>
      </c>
      <c r="AU1274" s="156" t="s">
        <v>129</v>
      </c>
      <c r="AV1274" s="65" t="s">
        <v>130</v>
      </c>
      <c r="AW1274" s="432" t="s">
        <v>7181</v>
      </c>
      <c r="AX1274" s="1296" t="s">
        <v>136</v>
      </c>
      <c r="AY1274" s="65"/>
      <c r="AZ1274" s="65" t="s">
        <v>5061</v>
      </c>
    </row>
    <row r="1275">
      <c r="A1275" s="41">
        <v>1275.0</v>
      </c>
      <c r="B1275" s="65" t="s">
        <v>107</v>
      </c>
      <c r="C1275" s="59" t="s">
        <v>108</v>
      </c>
      <c r="D1275" s="59" t="s">
        <v>1227</v>
      </c>
      <c r="F1275" s="151" t="s">
        <v>7173</v>
      </c>
      <c r="G1275" s="156" t="s">
        <v>7182</v>
      </c>
      <c r="H1275" s="156" t="s">
        <v>6921</v>
      </c>
      <c r="I1275" s="149">
        <v>45663.0</v>
      </c>
      <c r="J1275" s="149">
        <v>45692.0</v>
      </c>
      <c r="K1275" s="65"/>
      <c r="L1275" s="65"/>
      <c r="M1275" s="151" t="s">
        <v>7175</v>
      </c>
      <c r="N1275" s="151" t="s">
        <v>7176</v>
      </c>
      <c r="O1275" s="153">
        <v>1.0</v>
      </c>
      <c r="P1275" s="156" t="str">
        <f t="shared" si="76"/>
        <v>10.1038--nature13530.pdf</v>
      </c>
      <c r="Q1275" s="49" t="str">
        <f t="array" ref="Q1275"> if(iserror(MATCH(V1275, 'File Links'!C:C, 0)), "N/A", HYPERLINK(INDEX('File Links'!B:B, MATCH(P1275, 'File Links'!C:C, 0))))</f>
        <v>https://drive.google.com/file/d/1-E1dAlVOdBXhL1-Ucgrt44k9SzyhPTJ-/view?usp=drivesdk</v>
      </c>
      <c r="R1275" s="156" t="s">
        <v>6910</v>
      </c>
      <c r="S1275" s="156" t="s">
        <v>6911</v>
      </c>
      <c r="T1275" s="65"/>
      <c r="U1275" s="153">
        <v>1.0</v>
      </c>
      <c r="V1275" s="195" t="str">
        <f t="shared" si="77"/>
        <v>10.1038--s41562-018-0399-z.pdf</v>
      </c>
      <c r="W1275" s="65"/>
      <c r="X1275" s="51" t="str">
        <f t="array" ref="X1275"> if(iserror(MATCH(V1275, 'File Links'!C:C, 0)), "N/A", HYPERLINK(INDEX('File Links'!B:B, MATCH(V1275, 'File Links'!C:C, 0))))</f>
        <v>https://drive.google.com/file/d/1qJE0K3gDNeo5WCbf6KkP1a0pxT3faRns/view?usp=drivesdk</v>
      </c>
      <c r="Y1275" s="65"/>
      <c r="Z1275" s="156" t="s">
        <v>2933</v>
      </c>
      <c r="AA1275" s="65"/>
      <c r="AB1275" s="65"/>
      <c r="AC1275" s="65"/>
      <c r="AD1275" s="156" t="s">
        <v>7183</v>
      </c>
      <c r="AE1275" s="153">
        <v>2.0</v>
      </c>
      <c r="AF1275" s="153">
        <v>40.0</v>
      </c>
      <c r="AG1275" s="1056">
        <v>0.816</v>
      </c>
      <c r="AH1275" s="1057" t="s">
        <v>208</v>
      </c>
      <c r="AI1275" s="65"/>
      <c r="AJ1275" s="153">
        <v>0.001</v>
      </c>
      <c r="AK1275" s="156" t="s">
        <v>128</v>
      </c>
      <c r="AL1275" s="65"/>
      <c r="AM1275" s="65" t="s">
        <v>130</v>
      </c>
      <c r="AN1275" s="65"/>
      <c r="AO1275" s="153">
        <v>22.0</v>
      </c>
      <c r="AP1275" s="153">
        <v>0.8320501</v>
      </c>
      <c r="AQ1275" s="156" t="s">
        <v>208</v>
      </c>
      <c r="AR1275" s="1057" t="s">
        <v>7184</v>
      </c>
      <c r="AS1275" s="153">
        <v>1.58E-6</v>
      </c>
      <c r="AT1275" s="156" t="s">
        <v>165</v>
      </c>
      <c r="AU1275" s="156" t="s">
        <v>129</v>
      </c>
      <c r="AV1275" s="65" t="s">
        <v>130</v>
      </c>
      <c r="AW1275" s="1377" t="s">
        <v>6930</v>
      </c>
      <c r="AX1275" s="65" t="s">
        <v>136</v>
      </c>
      <c r="AY1275" s="65"/>
      <c r="AZ1275" s="65" t="s">
        <v>5061</v>
      </c>
    </row>
    <row r="1276">
      <c r="A1276" s="41">
        <v>1276.0</v>
      </c>
      <c r="B1276" s="65" t="s">
        <v>583</v>
      </c>
      <c r="C1276" s="59" t="s">
        <v>108</v>
      </c>
      <c r="D1276" s="59" t="s">
        <v>225</v>
      </c>
      <c r="F1276" s="151" t="s">
        <v>7185</v>
      </c>
      <c r="G1276" s="156" t="str">
        <f>F1276&amp;"_"&amp;COUNTIF($C$3:F1276, F1276)</f>
        <v>Camereretal2018_9_1</v>
      </c>
      <c r="H1276" s="156" t="s">
        <v>6906</v>
      </c>
      <c r="I1276" s="149">
        <v>45687.0</v>
      </c>
      <c r="J1276" s="149">
        <v>45692.0</v>
      </c>
      <c r="K1276" s="156" t="s">
        <v>7186</v>
      </c>
      <c r="L1276" s="156" t="s">
        <v>7187</v>
      </c>
      <c r="M1276" s="156" t="s">
        <v>7188</v>
      </c>
      <c r="N1276" s="156" t="s">
        <v>7189</v>
      </c>
      <c r="O1276" s="153">
        <v>1.0</v>
      </c>
      <c r="P1276" s="156" t="str">
        <f t="shared" si="76"/>
        <v>10.1126--science.1183532.pdf</v>
      </c>
      <c r="Q1276" s="49" t="str">
        <f t="array" ref="Q1276"> if(iserror(MATCH(V1276, 'File Links'!C:C, 0)), "N/A", HYPERLINK(INDEX('File Links'!B:B, MATCH(P1276, 'File Links'!C:C, 0))))</f>
        <v>https://drive.google.com/file/d/1evQDXWr9N4KV0RMwcCRfMKAkbspCGUUG/view?usp=drivesdk</v>
      </c>
      <c r="R1276" s="156" t="s">
        <v>6910</v>
      </c>
      <c r="S1276" s="156" t="s">
        <v>6911</v>
      </c>
      <c r="T1276" s="1381" t="s">
        <v>7190</v>
      </c>
      <c r="U1276" s="153">
        <v>9.0</v>
      </c>
      <c r="V1276" s="195" t="str">
        <f t="shared" si="77"/>
        <v>10.1038--s41562-018-0399-z.pdf</v>
      </c>
      <c r="W1276" s="156" t="s">
        <v>202</v>
      </c>
      <c r="X1276" s="51" t="str">
        <f t="array" ref="X1276"> if(iserror(MATCH(V1276, 'File Links'!C:C, 0)), "N/A", HYPERLINK(INDEX('File Links'!B:B, MATCH(V1276, 'File Links'!C:C, 0))))</f>
        <v>https://drive.google.com/file/d/1qJE0K3gDNeo5WCbf6KkP1a0pxT3faRns/view?usp=drivesdk</v>
      </c>
      <c r="Y1276" s="65"/>
      <c r="Z1276" s="156" t="s">
        <v>219</v>
      </c>
      <c r="AA1276" s="156" t="s">
        <v>7191</v>
      </c>
      <c r="AB1276" s="156" t="s">
        <v>6914</v>
      </c>
      <c r="AC1276" s="156" t="s">
        <v>7192</v>
      </c>
      <c r="AD1276" s="156" t="s">
        <v>7193</v>
      </c>
      <c r="AE1276" s="156" t="s">
        <v>7194</v>
      </c>
      <c r="AF1276" s="153">
        <v>63.0</v>
      </c>
      <c r="AG1276" s="156" t="s">
        <v>7195</v>
      </c>
      <c r="AH1276" s="156" t="s">
        <v>127</v>
      </c>
      <c r="AI1276" s="156" t="s">
        <v>7196</v>
      </c>
      <c r="AJ1276" s="153">
        <v>0.0</v>
      </c>
      <c r="AK1276" s="156" t="s">
        <v>165</v>
      </c>
      <c r="AL1276" s="156" t="s">
        <v>129</v>
      </c>
      <c r="AM1276" s="65" t="s">
        <v>130</v>
      </c>
      <c r="AN1276" s="156" t="s">
        <v>131</v>
      </c>
      <c r="AO1276" s="153">
        <v>42.0</v>
      </c>
      <c r="AP1276" s="333">
        <v>0.344</v>
      </c>
      <c r="AQ1276" s="156" t="s">
        <v>208</v>
      </c>
      <c r="AR1276" s="156" t="s">
        <v>6936</v>
      </c>
      <c r="AS1276" s="153">
        <v>0.025</v>
      </c>
      <c r="AT1276" s="156" t="s">
        <v>165</v>
      </c>
      <c r="AU1276" s="156" t="s">
        <v>129</v>
      </c>
      <c r="AV1276" s="65" t="s">
        <v>130</v>
      </c>
      <c r="AW1276" s="432" t="s">
        <v>7197</v>
      </c>
      <c r="AX1276" s="1296" t="s">
        <v>136</v>
      </c>
      <c r="AY1276" s="65"/>
      <c r="AZ1276" s="65" t="s">
        <v>5061</v>
      </c>
    </row>
    <row r="1277">
      <c r="A1277" s="41">
        <v>1277.0</v>
      </c>
      <c r="B1277" s="65" t="s">
        <v>107</v>
      </c>
      <c r="C1277" s="59" t="s">
        <v>108</v>
      </c>
      <c r="D1277" s="59" t="s">
        <v>1227</v>
      </c>
      <c r="F1277" s="151" t="s">
        <v>7185</v>
      </c>
      <c r="G1277" s="156" t="s">
        <v>7198</v>
      </c>
      <c r="H1277" s="156" t="s">
        <v>6921</v>
      </c>
      <c r="I1277" s="149">
        <v>45663.0</v>
      </c>
      <c r="J1277" s="149">
        <v>45692.0</v>
      </c>
      <c r="K1277" s="65"/>
      <c r="L1277" s="65"/>
      <c r="M1277" s="151" t="s">
        <v>7188</v>
      </c>
      <c r="N1277" s="151" t="s">
        <v>7189</v>
      </c>
      <c r="O1277" s="153">
        <v>1.0</v>
      </c>
      <c r="P1277" s="156" t="str">
        <f t="shared" si="76"/>
        <v>10.1126--science.1183532.pdf</v>
      </c>
      <c r="Q1277" s="49" t="str">
        <f t="array" ref="Q1277"> if(iserror(MATCH(V1277, 'File Links'!C:C, 0)), "N/A", HYPERLINK(INDEX('File Links'!B:B, MATCH(P1277, 'File Links'!C:C, 0))))</f>
        <v>https://drive.google.com/file/d/1evQDXWr9N4KV0RMwcCRfMKAkbspCGUUG/view?usp=drivesdk</v>
      </c>
      <c r="R1277" s="156" t="s">
        <v>6910</v>
      </c>
      <c r="S1277" s="156" t="s">
        <v>6911</v>
      </c>
      <c r="T1277" s="65"/>
      <c r="U1277" s="153">
        <v>1.0</v>
      </c>
      <c r="V1277" s="195" t="str">
        <f t="shared" si="77"/>
        <v>10.1038--s41562-018-0399-z.pdf</v>
      </c>
      <c r="W1277" s="65"/>
      <c r="X1277" s="51" t="str">
        <f t="array" ref="X1277"> if(iserror(MATCH(V1277, 'File Links'!C:C, 0)), "N/A", HYPERLINK(INDEX('File Links'!B:B, MATCH(V1277, 'File Links'!C:C, 0))))</f>
        <v>https://drive.google.com/file/d/1qJE0K3gDNeo5WCbf6KkP1a0pxT3faRns/view?usp=drivesdk</v>
      </c>
      <c r="Y1277" s="65"/>
      <c r="Z1277" s="156" t="s">
        <v>219</v>
      </c>
      <c r="AA1277" s="65"/>
      <c r="AB1277" s="65"/>
      <c r="AC1277" s="65"/>
      <c r="AD1277" s="1380" t="s">
        <v>7199</v>
      </c>
      <c r="AE1277" s="153">
        <v>615.0</v>
      </c>
      <c r="AF1277" s="1056">
        <v>105.0</v>
      </c>
      <c r="AG1277" s="1056">
        <v>0.631</v>
      </c>
      <c r="AH1277" s="1057" t="s">
        <v>208</v>
      </c>
      <c r="AI1277" s="65"/>
      <c r="AJ1277" s="153">
        <v>8.362E-9</v>
      </c>
      <c r="AK1277" s="156" t="s">
        <v>165</v>
      </c>
      <c r="AL1277" s="65"/>
      <c r="AM1277" s="65" t="s">
        <v>130</v>
      </c>
      <c r="AN1277" s="65"/>
      <c r="AO1277" s="153">
        <v>70.0</v>
      </c>
      <c r="AP1277" s="153">
        <v>0.344</v>
      </c>
      <c r="AQ1277" s="156" t="s">
        <v>208</v>
      </c>
      <c r="AR1277" s="65"/>
      <c r="AS1277" s="153">
        <v>0.0252</v>
      </c>
      <c r="AT1277" s="156" t="s">
        <v>165</v>
      </c>
      <c r="AU1277" s="65"/>
      <c r="AV1277" s="65" t="s">
        <v>130</v>
      </c>
      <c r="AW1277" s="1377" t="s">
        <v>7200</v>
      </c>
      <c r="AX1277" s="65" t="s">
        <v>136</v>
      </c>
      <c r="AY1277" s="65"/>
      <c r="AZ1277" s="65" t="s">
        <v>5061</v>
      </c>
    </row>
    <row r="1278">
      <c r="A1278" s="1390">
        <v>1278.0</v>
      </c>
      <c r="B1278" s="692" t="s">
        <v>145</v>
      </c>
      <c r="C1278" s="224" t="s">
        <v>108</v>
      </c>
      <c r="D1278" s="224" t="s">
        <v>983</v>
      </c>
      <c r="E1278" s="225"/>
      <c r="F1278" s="234" t="s">
        <v>7201</v>
      </c>
      <c r="G1278" s="232" t="s">
        <v>7202</v>
      </c>
      <c r="H1278" s="232" t="s">
        <v>7203</v>
      </c>
      <c r="I1278" s="1391" t="s">
        <v>112</v>
      </c>
      <c r="J1278" s="232" t="s">
        <v>7204</v>
      </c>
      <c r="K1278" s="232" t="s">
        <v>7205</v>
      </c>
      <c r="L1278" s="232" t="s">
        <v>7206</v>
      </c>
      <c r="M1278" s="232" t="s">
        <v>7207</v>
      </c>
      <c r="N1278" s="232" t="s">
        <v>4486</v>
      </c>
      <c r="O1278" s="693">
        <v>1.0</v>
      </c>
      <c r="P1278" s="232" t="s">
        <v>7208</v>
      </c>
      <c r="Q1278" s="1392" t="str">
        <f t="array" ref="Q1278"> if(iserror(MATCH(V1278, 'File Links'!C:C, 0)), "N/A", HYPERLINK(INDEX('File Links'!B:B, MATCH(P1278, 'File Links'!C:C, 0))))</f>
        <v>N/A</v>
      </c>
      <c r="R1278" s="232" t="s">
        <v>7209</v>
      </c>
      <c r="S1278" s="232" t="s">
        <v>131</v>
      </c>
      <c r="T1278" s="691" t="s">
        <v>7210</v>
      </c>
      <c r="U1278" s="693">
        <v>1.0</v>
      </c>
      <c r="V1278" s="232" t="s">
        <v>7211</v>
      </c>
      <c r="W1278" s="232" t="s">
        <v>7212</v>
      </c>
      <c r="X1278" s="228" t="str">
        <f t="array" ref="X1278"> if(iserror(MATCH(V1278, 'File Links'!C:C, 0)), "N/A", HYPERLINK(INDEX('File Links'!B:B, MATCH(V1278, 'File Links'!C:C, 0))))</f>
        <v>N/A</v>
      </c>
      <c r="Y1278" s="232"/>
      <c r="Z1278" s="232" t="s">
        <v>219</v>
      </c>
      <c r="AA1278" s="232" t="s">
        <v>7213</v>
      </c>
      <c r="AB1278" s="232" t="s">
        <v>7214</v>
      </c>
      <c r="AC1278" s="232" t="s">
        <v>7215</v>
      </c>
      <c r="AD1278" s="232" t="s">
        <v>7216</v>
      </c>
      <c r="AE1278" s="232" t="s">
        <v>500</v>
      </c>
      <c r="AF1278" s="693">
        <v>40.0</v>
      </c>
      <c r="AG1278" s="693">
        <v>0.09</v>
      </c>
      <c r="AH1278" s="1393" t="s">
        <v>867</v>
      </c>
      <c r="AI1278" s="232" t="s">
        <v>500</v>
      </c>
      <c r="AJ1278" s="232" t="s">
        <v>131</v>
      </c>
      <c r="AK1278" s="232" t="s">
        <v>165</v>
      </c>
      <c r="AL1278" s="232" t="s">
        <v>179</v>
      </c>
      <c r="AM1278" s="232" t="s">
        <v>130</v>
      </c>
      <c r="AN1278" s="232" t="s">
        <v>131</v>
      </c>
      <c r="AO1278" s="693">
        <v>60.0</v>
      </c>
      <c r="AP1278" s="1394">
        <v>0.48</v>
      </c>
      <c r="AQ1278" s="232" t="s">
        <v>166</v>
      </c>
      <c r="AR1278" s="232" t="s">
        <v>7217</v>
      </c>
      <c r="AS1278" s="693">
        <v>0.03</v>
      </c>
      <c r="AT1278" s="232" t="s">
        <v>165</v>
      </c>
      <c r="AU1278" s="232" t="s">
        <v>211</v>
      </c>
      <c r="AV1278" s="232" t="s">
        <v>130</v>
      </c>
      <c r="AW1278" s="232" t="s">
        <v>131</v>
      </c>
      <c r="AX1278" s="232" t="s">
        <v>136</v>
      </c>
      <c r="AY1278" s="234"/>
      <c r="AZ1278" s="224" t="s">
        <v>685</v>
      </c>
      <c r="BA1278" s="225"/>
      <c r="BB1278" s="225"/>
      <c r="BC1278" s="225"/>
      <c r="BD1278" s="225"/>
      <c r="BE1278" s="225"/>
      <c r="BF1278" s="225"/>
      <c r="BG1278" s="225"/>
      <c r="BH1278" s="225"/>
      <c r="BI1278" s="225"/>
      <c r="BJ1278" s="225"/>
      <c r="BK1278" s="225"/>
      <c r="BL1278" s="225"/>
      <c r="BM1278" s="225"/>
      <c r="BN1278" s="225"/>
      <c r="BO1278" s="225"/>
      <c r="BP1278" s="225"/>
      <c r="BQ1278" s="225"/>
      <c r="BR1278" s="225"/>
      <c r="BS1278" s="225"/>
      <c r="BT1278" s="225"/>
      <c r="BU1278" s="225"/>
      <c r="BV1278" s="225"/>
      <c r="BW1278" s="225"/>
      <c r="BX1278" s="225"/>
      <c r="BY1278" s="225"/>
      <c r="BZ1278" s="225"/>
      <c r="CA1278" s="225"/>
      <c r="CB1278" s="225"/>
      <c r="CC1278" s="225"/>
      <c r="CD1278" s="225"/>
      <c r="CE1278" s="225"/>
      <c r="CF1278" s="225"/>
      <c r="CG1278" s="225"/>
      <c r="CH1278" s="225"/>
      <c r="CI1278" s="225"/>
      <c r="CJ1278" s="225"/>
      <c r="CK1278" s="225"/>
      <c r="CL1278" s="225"/>
      <c r="CM1278" s="225"/>
      <c r="CN1278" s="225"/>
      <c r="CO1278" s="225"/>
      <c r="CP1278" s="225"/>
      <c r="CQ1278" s="225"/>
      <c r="CR1278" s="225"/>
      <c r="CS1278" s="225"/>
      <c r="CT1278" s="225"/>
      <c r="CU1278" s="225"/>
      <c r="CV1278" s="225"/>
      <c r="CW1278" s="225"/>
      <c r="CX1278" s="225"/>
      <c r="CY1278" s="225"/>
      <c r="CZ1278" s="225"/>
      <c r="DA1278" s="225"/>
      <c r="DB1278" s="225"/>
      <c r="DC1278" s="225"/>
      <c r="DD1278" s="225"/>
      <c r="DE1278" s="225"/>
      <c r="DF1278" s="225"/>
      <c r="DG1278" s="225"/>
      <c r="DH1278" s="225"/>
    </row>
    <row r="1279">
      <c r="A1279" s="107">
        <v>1279.0</v>
      </c>
      <c r="B1279" s="144" t="s">
        <v>107</v>
      </c>
      <c r="C1279" s="146" t="s">
        <v>108</v>
      </c>
      <c r="D1279" s="146" t="s">
        <v>169</v>
      </c>
      <c r="E1279" s="69"/>
      <c r="F1279" s="108" t="s">
        <v>7201</v>
      </c>
      <c r="G1279" s="119" t="s">
        <v>7202</v>
      </c>
      <c r="H1279" s="119" t="s">
        <v>7218</v>
      </c>
      <c r="I1279" s="1395" t="s">
        <v>7219</v>
      </c>
      <c r="J1279" s="108"/>
      <c r="K1279" s="119" t="s">
        <v>7220</v>
      </c>
      <c r="L1279" s="119" t="s">
        <v>7206</v>
      </c>
      <c r="M1279" s="119" t="s">
        <v>7207</v>
      </c>
      <c r="N1279" s="119" t="s">
        <v>4486</v>
      </c>
      <c r="O1279" s="534">
        <v>1.0</v>
      </c>
      <c r="P1279" s="119" t="s">
        <v>7208</v>
      </c>
      <c r="Q1279" s="1396" t="str">
        <f t="array" ref="Q1279"> if(iserror(MATCH(V1279, 'File Links'!C:C, 0)), "N/A", HYPERLINK(INDEX('File Links'!B:B, MATCH(P1279, 'File Links'!C:C, 0))))</f>
        <v>N/A</v>
      </c>
      <c r="R1279" s="119" t="s">
        <v>7209</v>
      </c>
      <c r="S1279" s="108"/>
      <c r="T1279" s="417" t="s">
        <v>7221</v>
      </c>
      <c r="U1279" s="534">
        <v>1.0</v>
      </c>
      <c r="V1279" s="119" t="s">
        <v>570</v>
      </c>
      <c r="W1279" s="119" t="s">
        <v>7212</v>
      </c>
      <c r="X1279" s="459" t="str">
        <f t="array" ref="X1279"> if(iserror(MATCH(V1279, 'File Links'!C:C, 0)), "N/A", HYPERLINK(INDEX('File Links'!B:B, MATCH(V1279, 'File Links'!C:C, 0))))</f>
        <v>N/A</v>
      </c>
      <c r="Y1279" s="108"/>
      <c r="Z1279" s="119" t="s">
        <v>219</v>
      </c>
      <c r="AA1279" s="119" t="s">
        <v>7213</v>
      </c>
      <c r="AB1279" s="119" t="s">
        <v>7222</v>
      </c>
      <c r="AC1279" s="119" t="s">
        <v>7215</v>
      </c>
      <c r="AD1279" s="119" t="s">
        <v>7223</v>
      </c>
      <c r="AE1279" s="119" t="s">
        <v>2764</v>
      </c>
      <c r="AF1279" s="534">
        <v>40.0</v>
      </c>
      <c r="AG1279" s="1397" t="s">
        <v>7224</v>
      </c>
      <c r="AH1279" s="119" t="s">
        <v>127</v>
      </c>
      <c r="AI1279" s="119" t="s">
        <v>2764</v>
      </c>
      <c r="AJ1279" s="119" t="s">
        <v>131</v>
      </c>
      <c r="AK1279" s="119" t="s">
        <v>131</v>
      </c>
      <c r="AL1279" s="119" t="s">
        <v>131</v>
      </c>
      <c r="AM1279" s="119" t="s">
        <v>131</v>
      </c>
      <c r="AN1279" s="108"/>
      <c r="AO1279" s="534">
        <v>60.0</v>
      </c>
      <c r="AP1279" s="1398">
        <v>0.48</v>
      </c>
      <c r="AQ1279" s="119" t="s">
        <v>166</v>
      </c>
      <c r="AR1279" s="119" t="s">
        <v>131</v>
      </c>
      <c r="AS1279" s="1399">
        <v>0.03</v>
      </c>
      <c r="AT1279" s="119" t="s">
        <v>165</v>
      </c>
      <c r="AU1279" s="119" t="s">
        <v>211</v>
      </c>
      <c r="AV1279" s="119" t="s">
        <v>130</v>
      </c>
      <c r="AW1279" s="119" t="s">
        <v>131</v>
      </c>
      <c r="AX1279" s="119" t="s">
        <v>136</v>
      </c>
      <c r="AY1279" s="108"/>
      <c r="AZ1279" s="224" t="s">
        <v>685</v>
      </c>
      <c r="BA1279" s="69"/>
      <c r="BB1279" s="69"/>
      <c r="BC1279" s="69"/>
      <c r="BD1279" s="69"/>
      <c r="BE1279" s="69"/>
      <c r="BF1279" s="69"/>
      <c r="BG1279" s="69"/>
      <c r="BH1279" s="69"/>
      <c r="BI1279" s="69"/>
      <c r="BJ1279" s="69"/>
      <c r="BK1279" s="69"/>
      <c r="BL1279" s="69"/>
      <c r="BM1279" s="69"/>
      <c r="BN1279" s="69"/>
      <c r="BO1279" s="69"/>
      <c r="BP1279" s="69"/>
      <c r="BQ1279" s="69"/>
      <c r="BR1279" s="69"/>
      <c r="BS1279" s="69"/>
      <c r="BT1279" s="69"/>
      <c r="BU1279" s="69"/>
      <c r="BV1279" s="69"/>
      <c r="BW1279" s="69"/>
      <c r="BX1279" s="69"/>
      <c r="BY1279" s="69"/>
      <c r="BZ1279" s="69"/>
      <c r="CA1279" s="69"/>
      <c r="CB1279" s="69"/>
      <c r="CC1279" s="69"/>
      <c r="CD1279" s="69"/>
      <c r="CE1279" s="69"/>
      <c r="CF1279" s="69"/>
      <c r="CG1279" s="69"/>
      <c r="CH1279" s="69"/>
      <c r="CI1279" s="69"/>
      <c r="CJ1279" s="69"/>
      <c r="CK1279" s="69"/>
      <c r="CL1279" s="69"/>
      <c r="CM1279" s="69"/>
      <c r="CN1279" s="69"/>
      <c r="CO1279" s="69"/>
      <c r="CP1279" s="69"/>
      <c r="CQ1279" s="69"/>
      <c r="CR1279" s="69"/>
      <c r="CS1279" s="69"/>
      <c r="CT1279" s="69"/>
      <c r="CU1279" s="69"/>
      <c r="CV1279" s="69"/>
      <c r="CW1279" s="69"/>
      <c r="CX1279" s="69"/>
      <c r="CY1279" s="69"/>
      <c r="CZ1279" s="69"/>
      <c r="DA1279" s="69"/>
      <c r="DB1279" s="69"/>
      <c r="DC1279" s="69"/>
      <c r="DD1279" s="69"/>
      <c r="DE1279" s="69"/>
      <c r="DF1279" s="69"/>
      <c r="DG1279" s="69"/>
      <c r="DH1279" s="69"/>
    </row>
    <row r="1280">
      <c r="A1280" s="1390">
        <v>1280.0</v>
      </c>
      <c r="B1280" s="692" t="s">
        <v>145</v>
      </c>
      <c r="C1280" s="224" t="s">
        <v>108</v>
      </c>
      <c r="D1280" s="224" t="s">
        <v>983</v>
      </c>
      <c r="E1280" s="225"/>
      <c r="F1280" s="234" t="s">
        <v>7225</v>
      </c>
      <c r="G1280" s="232" t="s">
        <v>7226</v>
      </c>
      <c r="H1280" s="232" t="s">
        <v>7203</v>
      </c>
      <c r="I1280" s="1391" t="s">
        <v>112</v>
      </c>
      <c r="J1280" s="1400" t="s">
        <v>7204</v>
      </c>
      <c r="K1280" s="232" t="s">
        <v>7227</v>
      </c>
      <c r="L1280" s="232" t="s">
        <v>7228</v>
      </c>
      <c r="M1280" s="232" t="s">
        <v>7207</v>
      </c>
      <c r="N1280" s="232" t="s">
        <v>4486</v>
      </c>
      <c r="O1280" s="693">
        <v>1.0</v>
      </c>
      <c r="P1280" s="232" t="s">
        <v>7208</v>
      </c>
      <c r="Q1280" s="1401" t="str">
        <f t="array" ref="Q1280"> if(iserror(MATCH(V1280, 'File Links'!C:C, 0)), "N/A", HYPERLINK(INDEX('File Links'!B:B, MATCH(P1280, 'File Links'!C:C, 0))))</f>
        <v>https://drive.google.com/file/d/1WZ-wmp0ZBZO-MwxvYanAL8j3J4k47183/view?usp=drivesdk</v>
      </c>
      <c r="R1280" s="232" t="s">
        <v>7229</v>
      </c>
      <c r="S1280" s="232" t="s">
        <v>7230</v>
      </c>
      <c r="T1280" s="691" t="s">
        <v>7231</v>
      </c>
      <c r="U1280" s="693">
        <v>1.0</v>
      </c>
      <c r="V1280" s="232" t="s">
        <v>7232</v>
      </c>
      <c r="W1280" s="232" t="s">
        <v>202</v>
      </c>
      <c r="X1280" s="1402" t="str">
        <f t="array" ref="X1280"> if(iserror(MATCH(V1280, 'File Links'!C:C, 0)), "N/A", HYPERLINK(INDEX('File Links'!B:B, MATCH(V1280, 'File Links'!C:C, 0))))</f>
        <v>https://drive.google.com/file/d/1DDCuEgQah24QordxkRGO0EIt6Q681jyL/view?usp=drivesdk</v>
      </c>
      <c r="Y1280" s="232"/>
      <c r="Z1280" s="232" t="s">
        <v>219</v>
      </c>
      <c r="AA1280" s="232" t="s">
        <v>7213</v>
      </c>
      <c r="AB1280" s="232" t="s">
        <v>7214</v>
      </c>
      <c r="AC1280" s="232" t="s">
        <v>7215</v>
      </c>
      <c r="AD1280" s="232" t="s">
        <v>7216</v>
      </c>
      <c r="AE1280" s="232" t="s">
        <v>500</v>
      </c>
      <c r="AF1280" s="693">
        <v>40.0</v>
      </c>
      <c r="AG1280" s="693">
        <v>0.09</v>
      </c>
      <c r="AH1280" s="1393" t="s">
        <v>867</v>
      </c>
      <c r="AI1280" s="232" t="s">
        <v>500</v>
      </c>
      <c r="AJ1280" s="232" t="s">
        <v>131</v>
      </c>
      <c r="AK1280" s="232" t="s">
        <v>165</v>
      </c>
      <c r="AL1280" s="232" t="s">
        <v>179</v>
      </c>
      <c r="AM1280" s="232" t="s">
        <v>130</v>
      </c>
      <c r="AN1280" s="232" t="s">
        <v>131</v>
      </c>
      <c r="AO1280" s="693">
        <v>90.0</v>
      </c>
      <c r="AP1280" s="1403">
        <v>-0.07313434738422134</v>
      </c>
      <c r="AQ1280" s="232" t="s">
        <v>166</v>
      </c>
      <c r="AR1280" s="232" t="s">
        <v>875</v>
      </c>
      <c r="AS1280" s="693">
        <v>0.1</v>
      </c>
      <c r="AT1280" s="232" t="s">
        <v>328</v>
      </c>
      <c r="AU1280" s="232" t="s">
        <v>179</v>
      </c>
      <c r="AV1280" s="232" t="s">
        <v>130</v>
      </c>
      <c r="AW1280" s="232" t="s">
        <v>131</v>
      </c>
      <c r="AX1280" s="232" t="s">
        <v>136</v>
      </c>
      <c r="AY1280" s="234"/>
      <c r="AZ1280" s="224" t="s">
        <v>685</v>
      </c>
      <c r="BA1280" s="225"/>
      <c r="BB1280" s="225"/>
      <c r="BC1280" s="225"/>
      <c r="BD1280" s="225"/>
      <c r="BE1280" s="225"/>
      <c r="BF1280" s="225"/>
      <c r="BG1280" s="225"/>
      <c r="BH1280" s="225"/>
      <c r="BI1280" s="225"/>
      <c r="BJ1280" s="225"/>
      <c r="BK1280" s="225"/>
      <c r="BL1280" s="225"/>
      <c r="BM1280" s="225"/>
      <c r="BN1280" s="225"/>
      <c r="BO1280" s="225"/>
      <c r="BP1280" s="225"/>
      <c r="BQ1280" s="225"/>
      <c r="BR1280" s="225"/>
      <c r="BS1280" s="225"/>
      <c r="BT1280" s="225"/>
      <c r="BU1280" s="225"/>
      <c r="BV1280" s="225"/>
      <c r="BW1280" s="225"/>
      <c r="BX1280" s="225"/>
      <c r="BY1280" s="225"/>
      <c r="BZ1280" s="225"/>
      <c r="CA1280" s="225"/>
      <c r="CB1280" s="225"/>
      <c r="CC1280" s="225"/>
      <c r="CD1280" s="225"/>
      <c r="CE1280" s="225"/>
      <c r="CF1280" s="225"/>
      <c r="CG1280" s="225"/>
      <c r="CH1280" s="225"/>
      <c r="CI1280" s="225"/>
      <c r="CJ1280" s="225"/>
      <c r="CK1280" s="225"/>
      <c r="CL1280" s="225"/>
      <c r="CM1280" s="225"/>
      <c r="CN1280" s="225"/>
      <c r="CO1280" s="225"/>
      <c r="CP1280" s="225"/>
      <c r="CQ1280" s="225"/>
      <c r="CR1280" s="225"/>
      <c r="CS1280" s="225"/>
      <c r="CT1280" s="225"/>
      <c r="CU1280" s="225"/>
      <c r="CV1280" s="225"/>
      <c r="CW1280" s="225"/>
      <c r="CX1280" s="225"/>
      <c r="CY1280" s="225"/>
      <c r="CZ1280" s="225"/>
      <c r="DA1280" s="225"/>
      <c r="DB1280" s="225"/>
      <c r="DC1280" s="225"/>
      <c r="DD1280" s="225"/>
      <c r="DE1280" s="225"/>
      <c r="DF1280" s="225"/>
      <c r="DG1280" s="225"/>
      <c r="DH1280" s="225"/>
    </row>
    <row r="1281">
      <c r="A1281" s="107">
        <v>1281.0</v>
      </c>
      <c r="B1281" s="144" t="s">
        <v>107</v>
      </c>
      <c r="C1281" s="146" t="s">
        <v>108</v>
      </c>
      <c r="D1281" s="146" t="s">
        <v>169</v>
      </c>
      <c r="E1281" s="69"/>
      <c r="F1281" s="108" t="s">
        <v>7225</v>
      </c>
      <c r="G1281" s="119" t="s">
        <v>7226</v>
      </c>
      <c r="H1281" s="119" t="s">
        <v>7218</v>
      </c>
      <c r="I1281" s="1395" t="s">
        <v>7219</v>
      </c>
      <c r="J1281" s="108"/>
      <c r="K1281" s="119" t="s">
        <v>7233</v>
      </c>
      <c r="L1281" s="119" t="s">
        <v>7228</v>
      </c>
      <c r="M1281" s="119" t="s">
        <v>7207</v>
      </c>
      <c r="N1281" s="119" t="s">
        <v>4486</v>
      </c>
      <c r="O1281" s="534">
        <v>1.0</v>
      </c>
      <c r="P1281" s="119" t="s">
        <v>7208</v>
      </c>
      <c r="Q1281" s="1158" t="str">
        <f t="array" ref="Q1281"> if(iserror(MATCH(V1281, 'File Links'!C:C, 0)), "N/A", HYPERLINK(INDEX('File Links'!B:B, MATCH(P1281, 'File Links'!C:C, 0))))</f>
        <v>https://drive.google.com/file/d/1WZ-wmp0ZBZO-MwxvYanAL8j3J4k47183/view?usp=drivesdk</v>
      </c>
      <c r="R1281" s="119" t="s">
        <v>7229</v>
      </c>
      <c r="S1281" s="119" t="s">
        <v>7230</v>
      </c>
      <c r="T1281" s="539"/>
      <c r="U1281" s="534">
        <v>1.0</v>
      </c>
      <c r="V1281" s="119" t="s">
        <v>7232</v>
      </c>
      <c r="W1281" s="119" t="s">
        <v>157</v>
      </c>
      <c r="X1281" s="1159" t="str">
        <f t="array" ref="X1281"> if(iserror(MATCH(V1281, 'File Links'!C:C, 0)), "N/A", HYPERLINK(INDEX('File Links'!B:B, MATCH(V1281, 'File Links'!C:C, 0))))</f>
        <v>https://drive.google.com/file/d/1DDCuEgQah24QordxkRGO0EIt6Q681jyL/view?usp=drivesdk</v>
      </c>
      <c r="Y1281" s="108"/>
      <c r="Z1281" s="119" t="s">
        <v>219</v>
      </c>
      <c r="AA1281" s="119" t="s">
        <v>7213</v>
      </c>
      <c r="AB1281" s="119" t="s">
        <v>7222</v>
      </c>
      <c r="AC1281" s="119" t="s">
        <v>7215</v>
      </c>
      <c r="AD1281" s="119" t="s">
        <v>7223</v>
      </c>
      <c r="AE1281" s="119" t="s">
        <v>2764</v>
      </c>
      <c r="AF1281" s="534">
        <v>40.0</v>
      </c>
      <c r="AG1281" s="1397" t="s">
        <v>7224</v>
      </c>
      <c r="AH1281" s="119" t="s">
        <v>127</v>
      </c>
      <c r="AI1281" s="119" t="s">
        <v>2764</v>
      </c>
      <c r="AJ1281" s="1404" t="s">
        <v>131</v>
      </c>
      <c r="AK1281" s="119" t="s">
        <v>131</v>
      </c>
      <c r="AL1281" s="119" t="s">
        <v>131</v>
      </c>
      <c r="AM1281" s="119" t="s">
        <v>131</v>
      </c>
      <c r="AN1281" s="108"/>
      <c r="AO1281" s="534">
        <v>90.0</v>
      </c>
      <c r="AP1281" s="113" t="s">
        <v>7234</v>
      </c>
      <c r="AQ1281" s="119" t="s">
        <v>127</v>
      </c>
      <c r="AR1281" s="1405">
        <v>45750.0</v>
      </c>
      <c r="AS1281" s="1399">
        <v>0.01</v>
      </c>
      <c r="AT1281" s="119" t="s">
        <v>328</v>
      </c>
      <c r="AU1281" s="119" t="s">
        <v>179</v>
      </c>
      <c r="AV1281" s="119" t="s">
        <v>130</v>
      </c>
      <c r="AW1281" s="119" t="s">
        <v>131</v>
      </c>
      <c r="AX1281" s="119" t="s">
        <v>136</v>
      </c>
      <c r="AY1281" s="108"/>
      <c r="AZ1281" s="224" t="s">
        <v>685</v>
      </c>
      <c r="BA1281" s="69"/>
      <c r="BB1281" s="69"/>
      <c r="BC1281" s="69"/>
      <c r="BD1281" s="69"/>
      <c r="BE1281" s="69"/>
      <c r="BF1281" s="69"/>
      <c r="BG1281" s="69"/>
      <c r="BH1281" s="69"/>
      <c r="BI1281" s="69"/>
      <c r="BJ1281" s="69"/>
      <c r="BK1281" s="69"/>
      <c r="BL1281" s="69"/>
      <c r="BM1281" s="69"/>
      <c r="BN1281" s="69"/>
      <c r="BO1281" s="69"/>
      <c r="BP1281" s="69"/>
      <c r="BQ1281" s="69"/>
      <c r="BR1281" s="69"/>
      <c r="BS1281" s="69"/>
      <c r="BT1281" s="69"/>
      <c r="BU1281" s="69"/>
      <c r="BV1281" s="69"/>
      <c r="BW1281" s="69"/>
      <c r="BX1281" s="69"/>
      <c r="BY1281" s="69"/>
      <c r="BZ1281" s="69"/>
      <c r="CA1281" s="69"/>
      <c r="CB1281" s="69"/>
      <c r="CC1281" s="69"/>
      <c r="CD1281" s="69"/>
      <c r="CE1281" s="69"/>
      <c r="CF1281" s="69"/>
      <c r="CG1281" s="69"/>
      <c r="CH1281" s="69"/>
      <c r="CI1281" s="69"/>
      <c r="CJ1281" s="69"/>
      <c r="CK1281" s="69"/>
      <c r="CL1281" s="69"/>
      <c r="CM1281" s="69"/>
      <c r="CN1281" s="69"/>
      <c r="CO1281" s="69"/>
      <c r="CP1281" s="69"/>
      <c r="CQ1281" s="69"/>
      <c r="CR1281" s="69"/>
      <c r="CS1281" s="69"/>
      <c r="CT1281" s="69"/>
      <c r="CU1281" s="69"/>
      <c r="CV1281" s="69"/>
      <c r="CW1281" s="69"/>
      <c r="CX1281" s="69"/>
      <c r="CY1281" s="69"/>
      <c r="CZ1281" s="69"/>
      <c r="DA1281" s="69"/>
      <c r="DB1281" s="69"/>
      <c r="DC1281" s="69"/>
      <c r="DD1281" s="69"/>
      <c r="DE1281" s="69"/>
      <c r="DF1281" s="69"/>
      <c r="DG1281" s="69"/>
      <c r="DH1281" s="69"/>
    </row>
    <row r="1282">
      <c r="A1282" s="1390">
        <v>1282.0</v>
      </c>
      <c r="B1282" s="692" t="s">
        <v>145</v>
      </c>
      <c r="C1282" s="224" t="s">
        <v>108</v>
      </c>
      <c r="D1282" s="224" t="s">
        <v>983</v>
      </c>
      <c r="E1282" s="225"/>
      <c r="F1282" s="234" t="s">
        <v>7235</v>
      </c>
      <c r="G1282" s="232" t="s">
        <v>7236</v>
      </c>
      <c r="H1282" s="232" t="s">
        <v>7203</v>
      </c>
      <c r="I1282" s="1391" t="s">
        <v>112</v>
      </c>
      <c r="J1282" s="232" t="s">
        <v>7204</v>
      </c>
      <c r="K1282" s="232" t="s">
        <v>131</v>
      </c>
      <c r="L1282" s="232" t="s">
        <v>7237</v>
      </c>
      <c r="M1282" s="232" t="s">
        <v>7207</v>
      </c>
      <c r="N1282" s="232" t="s">
        <v>4486</v>
      </c>
      <c r="O1282" s="693">
        <v>1.0</v>
      </c>
      <c r="P1282" s="232" t="s">
        <v>7208</v>
      </c>
      <c r="Q1282" s="1401" t="str">
        <f t="array" ref="Q1282"> if(iserror(MATCH(V1282, 'File Links'!C:C, 0)), "N/A", HYPERLINK(INDEX('File Links'!B:B, MATCH(P1282, 'File Links'!C:C, 0))))</f>
        <v>https://drive.google.com/file/d/1WZ-wmp0ZBZO-MwxvYanAL8j3J4k47183/view?usp=drivesdk</v>
      </c>
      <c r="R1282" s="232" t="s">
        <v>7238</v>
      </c>
      <c r="S1282" s="232" t="s">
        <v>7239</v>
      </c>
      <c r="T1282" s="691" t="s">
        <v>7231</v>
      </c>
      <c r="U1282" s="693">
        <v>1.0</v>
      </c>
      <c r="V1282" s="232" t="s">
        <v>7240</v>
      </c>
      <c r="W1282" s="232" t="s">
        <v>202</v>
      </c>
      <c r="X1282" s="1402" t="str">
        <f t="array" ref="X1282"> if(iserror(MATCH(V1282, 'File Links'!C:C, 0)), "N/A", HYPERLINK(INDEX('File Links'!B:B, MATCH(V1282, 'File Links'!C:C, 0))))</f>
        <v>https://drive.google.com/file/d/1CSCUNAQZCt3s32RgzUwXe6pe5scvK0yY/view?usp=drivesdk</v>
      </c>
      <c r="Y1282" s="232"/>
      <c r="Z1282" s="232" t="s">
        <v>219</v>
      </c>
      <c r="AA1282" s="232" t="s">
        <v>7213</v>
      </c>
      <c r="AB1282" s="232" t="s">
        <v>7214</v>
      </c>
      <c r="AC1282" s="232" t="s">
        <v>7215</v>
      </c>
      <c r="AD1282" s="232" t="s">
        <v>7216</v>
      </c>
      <c r="AE1282" s="232" t="s">
        <v>500</v>
      </c>
      <c r="AF1282" s="693">
        <v>40.0</v>
      </c>
      <c r="AG1282" s="693">
        <v>0.09</v>
      </c>
      <c r="AH1282" s="1393" t="s">
        <v>867</v>
      </c>
      <c r="AI1282" s="232" t="s">
        <v>500</v>
      </c>
      <c r="AJ1282" s="232" t="s">
        <v>131</v>
      </c>
      <c r="AK1282" s="232" t="s">
        <v>165</v>
      </c>
      <c r="AL1282" s="232" t="s">
        <v>179</v>
      </c>
      <c r="AM1282" s="232" t="s">
        <v>130</v>
      </c>
      <c r="AN1282" s="232" t="s">
        <v>131</v>
      </c>
      <c r="AO1282" s="693">
        <v>214.0</v>
      </c>
      <c r="AP1282" s="693">
        <v>-0.17</v>
      </c>
      <c r="AQ1282" s="232" t="s">
        <v>166</v>
      </c>
      <c r="AR1282" s="232" t="s">
        <v>489</v>
      </c>
      <c r="AS1282" s="693">
        <v>0.23</v>
      </c>
      <c r="AT1282" s="232" t="s">
        <v>165</v>
      </c>
      <c r="AU1282" s="232" t="s">
        <v>211</v>
      </c>
      <c r="AV1282" s="232" t="s">
        <v>130</v>
      </c>
      <c r="AW1282" s="234" t="s">
        <v>131</v>
      </c>
      <c r="AX1282" s="232" t="s">
        <v>136</v>
      </c>
      <c r="AY1282" s="234"/>
      <c r="AZ1282" s="224" t="s">
        <v>685</v>
      </c>
      <c r="BA1282" s="225"/>
      <c r="BB1282" s="225"/>
      <c r="BC1282" s="225"/>
      <c r="BD1282" s="225"/>
      <c r="BE1282" s="225"/>
      <c r="BF1282" s="225"/>
      <c r="BG1282" s="225"/>
      <c r="BH1282" s="225"/>
      <c r="BI1282" s="225"/>
      <c r="BJ1282" s="225"/>
      <c r="BK1282" s="225"/>
      <c r="BL1282" s="225"/>
      <c r="BM1282" s="225"/>
      <c r="BN1282" s="225"/>
      <c r="BO1282" s="225"/>
      <c r="BP1282" s="225"/>
      <c r="BQ1282" s="225"/>
      <c r="BR1282" s="225"/>
      <c r="BS1282" s="225"/>
      <c r="BT1282" s="225"/>
      <c r="BU1282" s="225"/>
      <c r="BV1282" s="225"/>
      <c r="BW1282" s="225"/>
      <c r="BX1282" s="225"/>
      <c r="BY1282" s="225"/>
      <c r="BZ1282" s="225"/>
      <c r="CA1282" s="225"/>
      <c r="CB1282" s="225"/>
      <c r="CC1282" s="225"/>
      <c r="CD1282" s="225"/>
      <c r="CE1282" s="225"/>
      <c r="CF1282" s="225"/>
      <c r="CG1282" s="225"/>
      <c r="CH1282" s="225"/>
      <c r="CI1282" s="225"/>
      <c r="CJ1282" s="225"/>
      <c r="CK1282" s="225"/>
      <c r="CL1282" s="225"/>
      <c r="CM1282" s="225"/>
      <c r="CN1282" s="225"/>
      <c r="CO1282" s="225"/>
      <c r="CP1282" s="225"/>
      <c r="CQ1282" s="225"/>
      <c r="CR1282" s="225"/>
      <c r="CS1282" s="225"/>
      <c r="CT1282" s="225"/>
      <c r="CU1282" s="225"/>
      <c r="CV1282" s="225"/>
      <c r="CW1282" s="225"/>
      <c r="CX1282" s="225"/>
      <c r="CY1282" s="225"/>
      <c r="CZ1282" s="225"/>
      <c r="DA1282" s="225"/>
      <c r="DB1282" s="225"/>
      <c r="DC1282" s="225"/>
      <c r="DD1282" s="225"/>
      <c r="DE1282" s="225"/>
      <c r="DF1282" s="225"/>
      <c r="DG1282" s="225"/>
      <c r="DH1282" s="225"/>
    </row>
    <row r="1283">
      <c r="A1283" s="107">
        <v>1283.0</v>
      </c>
      <c r="B1283" s="144" t="s">
        <v>107</v>
      </c>
      <c r="C1283" s="146" t="s">
        <v>108</v>
      </c>
      <c r="D1283" s="146" t="s">
        <v>169</v>
      </c>
      <c r="E1283" s="69"/>
      <c r="F1283" s="108" t="s">
        <v>7235</v>
      </c>
      <c r="G1283" s="119" t="s">
        <v>7236</v>
      </c>
      <c r="H1283" s="119" t="s">
        <v>7218</v>
      </c>
      <c r="I1283" s="1395" t="s">
        <v>7219</v>
      </c>
      <c r="J1283" s="108"/>
      <c r="K1283" s="119" t="s">
        <v>7241</v>
      </c>
      <c r="L1283" s="119" t="s">
        <v>7237</v>
      </c>
      <c r="M1283" s="119" t="s">
        <v>7207</v>
      </c>
      <c r="N1283" s="119" t="s">
        <v>4486</v>
      </c>
      <c r="O1283" s="534">
        <v>1.0</v>
      </c>
      <c r="P1283" s="119" t="s">
        <v>7208</v>
      </c>
      <c r="Q1283" s="1158" t="str">
        <f t="array" ref="Q1283"> if(iserror(MATCH(V1283, 'File Links'!C:C, 0)), "N/A", HYPERLINK(INDEX('File Links'!B:B, MATCH(P1283, 'File Links'!C:C, 0))))</f>
        <v>https://drive.google.com/file/d/1WZ-wmp0ZBZO-MwxvYanAL8j3J4k47183/view?usp=drivesdk</v>
      </c>
      <c r="R1283" s="119" t="s">
        <v>7238</v>
      </c>
      <c r="S1283" s="119" t="s">
        <v>7239</v>
      </c>
      <c r="T1283" s="539"/>
      <c r="U1283" s="534">
        <v>1.0</v>
      </c>
      <c r="V1283" s="119" t="s">
        <v>7240</v>
      </c>
      <c r="W1283" s="119" t="s">
        <v>7242</v>
      </c>
      <c r="X1283" s="1159" t="str">
        <f t="array" ref="X1283"> if(iserror(MATCH(V1283, 'File Links'!C:C, 0)), "N/A", HYPERLINK(INDEX('File Links'!B:B, MATCH(V1283, 'File Links'!C:C, 0))))</f>
        <v>https://drive.google.com/file/d/1CSCUNAQZCt3s32RgzUwXe6pe5scvK0yY/view?usp=drivesdk</v>
      </c>
      <c r="Y1283" s="108"/>
      <c r="Z1283" s="119" t="s">
        <v>219</v>
      </c>
      <c r="AA1283" s="119" t="s">
        <v>7213</v>
      </c>
      <c r="AB1283" s="119" t="s">
        <v>7214</v>
      </c>
      <c r="AC1283" s="119" t="s">
        <v>7215</v>
      </c>
      <c r="AD1283" s="119" t="s">
        <v>7223</v>
      </c>
      <c r="AE1283" s="119" t="s">
        <v>2764</v>
      </c>
      <c r="AF1283" s="534">
        <v>40.0</v>
      </c>
      <c r="AG1283" s="119" t="s">
        <v>7224</v>
      </c>
      <c r="AH1283" s="119" t="s">
        <v>127</v>
      </c>
      <c r="AI1283" s="119" t="s">
        <v>2764</v>
      </c>
      <c r="AJ1283" s="119" t="s">
        <v>131</v>
      </c>
      <c r="AK1283" s="119" t="s">
        <v>131</v>
      </c>
      <c r="AL1283" s="119" t="s">
        <v>131</v>
      </c>
      <c r="AM1283" s="119" t="s">
        <v>131</v>
      </c>
      <c r="AN1283" s="108"/>
      <c r="AO1283" s="534">
        <v>214.0</v>
      </c>
      <c r="AP1283" s="534">
        <v>-0.17</v>
      </c>
      <c r="AQ1283" s="119" t="s">
        <v>166</v>
      </c>
      <c r="AR1283" s="534">
        <v>4.0</v>
      </c>
      <c r="AS1283" s="1399">
        <v>0.23</v>
      </c>
      <c r="AT1283" s="119" t="s">
        <v>165</v>
      </c>
      <c r="AU1283" s="119" t="s">
        <v>179</v>
      </c>
      <c r="AV1283" s="119" t="s">
        <v>130</v>
      </c>
      <c r="AW1283" s="119" t="s">
        <v>131</v>
      </c>
      <c r="AX1283" s="119" t="s">
        <v>144</v>
      </c>
      <c r="AY1283" s="108"/>
      <c r="AZ1283" s="224" t="s">
        <v>685</v>
      </c>
      <c r="BA1283" s="69"/>
      <c r="BB1283" s="69"/>
      <c r="BC1283" s="69"/>
      <c r="BD1283" s="69"/>
      <c r="BE1283" s="69"/>
      <c r="BF1283" s="69"/>
      <c r="BG1283" s="69"/>
      <c r="BH1283" s="69"/>
      <c r="BI1283" s="69"/>
      <c r="BJ1283" s="69"/>
      <c r="BK1283" s="69"/>
      <c r="BL1283" s="69"/>
      <c r="BM1283" s="69"/>
      <c r="BN1283" s="69"/>
      <c r="BO1283" s="69"/>
      <c r="BP1283" s="69"/>
      <c r="BQ1283" s="69"/>
      <c r="BR1283" s="69"/>
      <c r="BS1283" s="69"/>
      <c r="BT1283" s="69"/>
      <c r="BU1283" s="69"/>
      <c r="BV1283" s="69"/>
      <c r="BW1283" s="69"/>
      <c r="BX1283" s="69"/>
      <c r="BY1283" s="69"/>
      <c r="BZ1283" s="69"/>
      <c r="CA1283" s="69"/>
      <c r="CB1283" s="69"/>
      <c r="CC1283" s="69"/>
      <c r="CD1283" s="69"/>
      <c r="CE1283" s="69"/>
      <c r="CF1283" s="69"/>
      <c r="CG1283" s="69"/>
      <c r="CH1283" s="69"/>
      <c r="CI1283" s="69"/>
      <c r="CJ1283" s="69"/>
      <c r="CK1283" s="69"/>
      <c r="CL1283" s="69"/>
      <c r="CM1283" s="69"/>
      <c r="CN1283" s="69"/>
      <c r="CO1283" s="69"/>
      <c r="CP1283" s="69"/>
      <c r="CQ1283" s="69"/>
      <c r="CR1283" s="69"/>
      <c r="CS1283" s="69"/>
      <c r="CT1283" s="69"/>
      <c r="CU1283" s="69"/>
      <c r="CV1283" s="69"/>
      <c r="CW1283" s="69"/>
      <c r="CX1283" s="69"/>
      <c r="CY1283" s="69"/>
      <c r="CZ1283" s="69"/>
      <c r="DA1283" s="69"/>
      <c r="DB1283" s="69"/>
      <c r="DC1283" s="69"/>
      <c r="DD1283" s="69"/>
      <c r="DE1283" s="69"/>
      <c r="DF1283" s="69"/>
      <c r="DG1283" s="69"/>
      <c r="DH1283" s="69"/>
    </row>
    <row r="1284">
      <c r="A1284" s="41">
        <v>1284.0</v>
      </c>
      <c r="B1284" s="224" t="s">
        <v>145</v>
      </c>
      <c r="C1284" s="224" t="s">
        <v>108</v>
      </c>
      <c r="D1284" s="224" t="s">
        <v>241</v>
      </c>
      <c r="E1284" s="225"/>
      <c r="F1284" s="224" t="s">
        <v>7243</v>
      </c>
      <c r="G1284" s="235" t="s">
        <v>7244</v>
      </c>
      <c r="H1284" s="235" t="s">
        <v>242</v>
      </c>
      <c r="I1284" s="1406">
        <v>45813.0</v>
      </c>
      <c r="J1284" s="235" t="s">
        <v>7245</v>
      </c>
      <c r="K1284" s="235"/>
      <c r="L1284" s="235" t="s">
        <v>7246</v>
      </c>
      <c r="M1284" s="235" t="s">
        <v>7247</v>
      </c>
      <c r="N1284" s="235" t="s">
        <v>7248</v>
      </c>
      <c r="O1284" s="235">
        <v>1.0</v>
      </c>
      <c r="P1284" s="235" t="s">
        <v>7249</v>
      </c>
      <c r="Q1284" s="1392" t="s">
        <v>7250</v>
      </c>
      <c r="R1284" s="235" t="s">
        <v>7251</v>
      </c>
      <c r="S1284" s="235" t="s">
        <v>7252</v>
      </c>
      <c r="T1284" s="1407" t="s">
        <v>7253</v>
      </c>
      <c r="U1284" s="235">
        <v>1.0</v>
      </c>
      <c r="V1284" s="231" t="s">
        <v>7254</v>
      </c>
      <c r="W1284" s="235" t="s">
        <v>7255</v>
      </c>
      <c r="X1284" s="692" t="s">
        <v>7250</v>
      </c>
      <c r="Y1284" s="1390"/>
      <c r="Z1284" s="235" t="s">
        <v>940</v>
      </c>
      <c r="AA1284" s="235" t="s">
        <v>7256</v>
      </c>
      <c r="AB1284" s="235" t="s">
        <v>7257</v>
      </c>
      <c r="AC1284" s="235" t="s">
        <v>7258</v>
      </c>
      <c r="AD1284" s="235" t="s">
        <v>7259</v>
      </c>
      <c r="AE1284" s="235" t="s">
        <v>489</v>
      </c>
      <c r="AF1284" s="235">
        <v>37.0</v>
      </c>
      <c r="AG1284" s="235" t="s">
        <v>131</v>
      </c>
      <c r="AH1284" s="235"/>
      <c r="AI1284" s="235" t="s">
        <v>7260</v>
      </c>
      <c r="AJ1284" s="235">
        <v>0.01</v>
      </c>
      <c r="AK1284" s="224" t="s">
        <v>128</v>
      </c>
      <c r="AL1284" s="235" t="s">
        <v>179</v>
      </c>
      <c r="AM1284" s="235" t="s">
        <v>130</v>
      </c>
      <c r="AN1284" s="235" t="s">
        <v>131</v>
      </c>
      <c r="AO1284" s="235">
        <v>240.0</v>
      </c>
      <c r="AP1284" s="235" t="s">
        <v>131</v>
      </c>
      <c r="AQ1284" s="235" t="s">
        <v>131</v>
      </c>
      <c r="AR1284" s="235" t="s">
        <v>7261</v>
      </c>
      <c r="AS1284" s="235">
        <v>0.001</v>
      </c>
      <c r="AT1284" s="224" t="s">
        <v>128</v>
      </c>
      <c r="AU1284" s="224" t="s">
        <v>179</v>
      </c>
      <c r="AV1284" s="692" t="s">
        <v>130</v>
      </c>
      <c r="AW1284" s="1408" t="s">
        <v>7262</v>
      </c>
      <c r="AX1284" s="224" t="s">
        <v>136</v>
      </c>
      <c r="AY1284" s="225"/>
      <c r="AZ1284" s="224" t="s">
        <v>807</v>
      </c>
      <c r="BA1284" s="225"/>
      <c r="BB1284" s="225"/>
      <c r="BC1284" s="225"/>
      <c r="BD1284" s="225"/>
      <c r="BE1284" s="225"/>
      <c r="BF1284" s="225"/>
      <c r="BG1284" s="225"/>
      <c r="BH1284" s="225"/>
      <c r="BI1284" s="225"/>
      <c r="BJ1284" s="225"/>
      <c r="BK1284" s="225"/>
      <c r="BL1284" s="225"/>
      <c r="BM1284" s="225"/>
      <c r="BN1284" s="225"/>
      <c r="BO1284" s="225"/>
      <c r="BP1284" s="225"/>
      <c r="BQ1284" s="225"/>
      <c r="BR1284" s="225"/>
      <c r="BS1284" s="225"/>
      <c r="BT1284" s="225"/>
      <c r="BU1284" s="225"/>
      <c r="BV1284" s="225"/>
      <c r="BW1284" s="225"/>
      <c r="BX1284" s="225"/>
      <c r="BY1284" s="225"/>
      <c r="BZ1284" s="225"/>
      <c r="CA1284" s="225"/>
      <c r="CB1284" s="225"/>
      <c r="CC1284" s="225"/>
      <c r="CD1284" s="225"/>
      <c r="CE1284" s="225"/>
      <c r="CF1284" s="225"/>
      <c r="CG1284" s="225"/>
      <c r="CH1284" s="225"/>
      <c r="CI1284" s="225"/>
      <c r="CJ1284" s="225"/>
      <c r="CK1284" s="225"/>
      <c r="CL1284" s="225"/>
      <c r="CM1284" s="225"/>
      <c r="CN1284" s="225"/>
      <c r="CO1284" s="225"/>
      <c r="CP1284" s="225"/>
      <c r="CQ1284" s="225"/>
      <c r="CR1284" s="225"/>
      <c r="CS1284" s="225"/>
      <c r="CT1284" s="225"/>
      <c r="CU1284" s="225"/>
      <c r="CV1284" s="225"/>
      <c r="CW1284" s="225"/>
      <c r="CX1284" s="225"/>
      <c r="CY1284" s="225"/>
      <c r="CZ1284" s="225"/>
      <c r="DA1284" s="225"/>
      <c r="DB1284" s="225"/>
      <c r="DC1284" s="225"/>
      <c r="DD1284" s="225"/>
      <c r="DE1284" s="225"/>
      <c r="DF1284" s="225"/>
      <c r="DG1284" s="225"/>
      <c r="DH1284" s="225"/>
    </row>
    <row r="1285">
      <c r="A1285" s="41">
        <v>1285.0</v>
      </c>
      <c r="B1285" s="59" t="s">
        <v>516</v>
      </c>
      <c r="C1285" s="59" t="s">
        <v>108</v>
      </c>
      <c r="D1285" s="59" t="s">
        <v>241</v>
      </c>
      <c r="F1285" s="59" t="s">
        <v>7243</v>
      </c>
      <c r="G1285" s="42" t="s">
        <v>7263</v>
      </c>
      <c r="H1285" s="42" t="s">
        <v>242</v>
      </c>
      <c r="I1285" s="60">
        <v>45813.0</v>
      </c>
      <c r="J1285" s="61"/>
      <c r="K1285" s="42"/>
      <c r="L1285" s="42"/>
      <c r="M1285" s="42" t="s">
        <v>7247</v>
      </c>
      <c r="N1285" s="42" t="s">
        <v>7248</v>
      </c>
      <c r="O1285" s="42"/>
      <c r="P1285" s="63" t="s">
        <v>7249</v>
      </c>
      <c r="Q1285" s="105" t="s">
        <v>7250</v>
      </c>
      <c r="R1285" s="42" t="s">
        <v>7251</v>
      </c>
      <c r="S1285" s="42" t="s">
        <v>7252</v>
      </c>
      <c r="T1285" s="1409" t="s">
        <v>7253</v>
      </c>
      <c r="U1285" s="63">
        <v>1.0</v>
      </c>
      <c r="V1285" s="572" t="s">
        <v>7254</v>
      </c>
      <c r="W1285" s="62"/>
      <c r="X1285" s="53" t="s">
        <v>7250</v>
      </c>
      <c r="Y1285" s="62"/>
      <c r="Z1285" s="42" t="s">
        <v>940</v>
      </c>
      <c r="AA1285" s="42" t="s">
        <v>7264</v>
      </c>
      <c r="AB1285" s="42" t="s">
        <v>7257</v>
      </c>
      <c r="AC1285" s="42" t="s">
        <v>7265</v>
      </c>
      <c r="AD1285" s="42" t="s">
        <v>7259</v>
      </c>
      <c r="AE1285" s="42" t="s">
        <v>489</v>
      </c>
      <c r="AF1285" s="42">
        <v>31.0</v>
      </c>
      <c r="AG1285" s="42" t="s">
        <v>131</v>
      </c>
      <c r="AH1285" s="42"/>
      <c r="AI1285" s="42" t="s">
        <v>7266</v>
      </c>
      <c r="AJ1285" s="42">
        <v>1.0E-4</v>
      </c>
      <c r="AK1285" s="59" t="s">
        <v>128</v>
      </c>
      <c r="AL1285" s="42" t="s">
        <v>179</v>
      </c>
      <c r="AM1285" s="42" t="s">
        <v>130</v>
      </c>
      <c r="AN1285" s="42" t="s">
        <v>131</v>
      </c>
      <c r="AO1285" s="42">
        <v>240.0</v>
      </c>
      <c r="AP1285" s="42" t="s">
        <v>131</v>
      </c>
      <c r="AQ1285" s="62"/>
      <c r="AR1285" s="42" t="s">
        <v>7267</v>
      </c>
      <c r="AS1285" s="42">
        <v>0.001</v>
      </c>
      <c r="AT1285" s="59" t="s">
        <v>128</v>
      </c>
      <c r="AU1285" s="59" t="s">
        <v>179</v>
      </c>
      <c r="AV1285" s="126" t="s">
        <v>130</v>
      </c>
      <c r="AW1285" s="94" t="s">
        <v>7262</v>
      </c>
      <c r="AX1285" s="59" t="s">
        <v>136</v>
      </c>
      <c r="AZ1285" s="59" t="s">
        <v>7268</v>
      </c>
    </row>
    <row r="1286">
      <c r="A1286" s="41">
        <v>1286.0</v>
      </c>
      <c r="B1286" s="59" t="s">
        <v>516</v>
      </c>
      <c r="C1286" s="59" t="s">
        <v>108</v>
      </c>
      <c r="D1286" s="59" t="s">
        <v>241</v>
      </c>
      <c r="F1286" s="59" t="s">
        <v>7243</v>
      </c>
      <c r="G1286" s="42" t="s">
        <v>7269</v>
      </c>
      <c r="H1286" s="42" t="s">
        <v>242</v>
      </c>
      <c r="I1286" s="60">
        <v>45813.0</v>
      </c>
      <c r="J1286" s="61"/>
      <c r="K1286" s="42"/>
      <c r="L1286" s="42"/>
      <c r="M1286" s="42" t="s">
        <v>7247</v>
      </c>
      <c r="N1286" s="42" t="s">
        <v>7248</v>
      </c>
      <c r="O1286" s="42"/>
      <c r="P1286" s="63" t="s">
        <v>7249</v>
      </c>
      <c r="Q1286" s="105" t="s">
        <v>7250</v>
      </c>
      <c r="R1286" s="42" t="s">
        <v>7251</v>
      </c>
      <c r="S1286" s="42" t="s">
        <v>7252</v>
      </c>
      <c r="T1286" s="1409" t="s">
        <v>7253</v>
      </c>
      <c r="U1286" s="63">
        <v>1.0</v>
      </c>
      <c r="V1286" s="572" t="s">
        <v>7254</v>
      </c>
      <c r="W1286" s="62"/>
      <c r="X1286" s="53" t="s">
        <v>7250</v>
      </c>
      <c r="Y1286" s="62"/>
      <c r="Z1286" s="42" t="s">
        <v>940</v>
      </c>
      <c r="AA1286" s="42" t="s">
        <v>7264</v>
      </c>
      <c r="AB1286" s="42" t="s">
        <v>7257</v>
      </c>
      <c r="AC1286" s="42" t="s">
        <v>7270</v>
      </c>
      <c r="AD1286" s="42" t="s">
        <v>7259</v>
      </c>
      <c r="AE1286" s="42" t="s">
        <v>489</v>
      </c>
      <c r="AF1286" s="42">
        <v>31.0</v>
      </c>
      <c r="AG1286" s="42" t="s">
        <v>131</v>
      </c>
      <c r="AH1286" s="42"/>
      <c r="AI1286" s="42" t="s">
        <v>7271</v>
      </c>
      <c r="AJ1286" s="42">
        <v>1.0E-4</v>
      </c>
      <c r="AK1286" s="59" t="s">
        <v>128</v>
      </c>
      <c r="AL1286" s="42" t="s">
        <v>179</v>
      </c>
      <c r="AM1286" s="42" t="s">
        <v>130</v>
      </c>
      <c r="AN1286" s="42" t="s">
        <v>131</v>
      </c>
      <c r="AO1286" s="42">
        <v>240.0</v>
      </c>
      <c r="AP1286" s="42" t="s">
        <v>131</v>
      </c>
      <c r="AQ1286" s="62"/>
      <c r="AR1286" s="42" t="s">
        <v>7272</v>
      </c>
      <c r="AS1286" s="42">
        <v>0.001</v>
      </c>
      <c r="AT1286" s="59" t="s">
        <v>128</v>
      </c>
      <c r="AU1286" s="59" t="s">
        <v>179</v>
      </c>
      <c r="AV1286" s="126" t="s">
        <v>130</v>
      </c>
      <c r="AW1286" s="94" t="s">
        <v>7262</v>
      </c>
      <c r="AX1286" s="59" t="s">
        <v>136</v>
      </c>
      <c r="AZ1286" s="59" t="s">
        <v>7268</v>
      </c>
    </row>
    <row r="1287">
      <c r="A1287" s="41">
        <v>1287.0</v>
      </c>
      <c r="B1287" s="59" t="s">
        <v>516</v>
      </c>
      <c r="C1287" s="59" t="s">
        <v>108</v>
      </c>
      <c r="D1287" s="59" t="s">
        <v>241</v>
      </c>
      <c r="F1287" s="59" t="s">
        <v>7243</v>
      </c>
      <c r="G1287" s="42" t="s">
        <v>7273</v>
      </c>
      <c r="H1287" s="42" t="s">
        <v>242</v>
      </c>
      <c r="I1287" s="60">
        <v>45813.0</v>
      </c>
      <c r="J1287" s="61"/>
      <c r="K1287" s="42"/>
      <c r="L1287" s="42"/>
      <c r="M1287" s="42" t="s">
        <v>7247</v>
      </c>
      <c r="N1287" s="42" t="s">
        <v>7248</v>
      </c>
      <c r="O1287" s="42"/>
      <c r="P1287" s="63" t="s">
        <v>7249</v>
      </c>
      <c r="Q1287" s="105" t="s">
        <v>7250</v>
      </c>
      <c r="R1287" s="42" t="s">
        <v>7251</v>
      </c>
      <c r="S1287" s="42" t="s">
        <v>7252</v>
      </c>
      <c r="T1287" s="1409" t="s">
        <v>7253</v>
      </c>
      <c r="U1287" s="63">
        <v>1.0</v>
      </c>
      <c r="V1287" s="572" t="s">
        <v>7254</v>
      </c>
      <c r="W1287" s="62"/>
      <c r="X1287" s="53" t="s">
        <v>7250</v>
      </c>
      <c r="Y1287" s="62"/>
      <c r="Z1287" s="42" t="s">
        <v>940</v>
      </c>
      <c r="AA1287" s="42" t="s">
        <v>7264</v>
      </c>
      <c r="AB1287" s="42" t="s">
        <v>7257</v>
      </c>
      <c r="AC1287" s="42" t="s">
        <v>7274</v>
      </c>
      <c r="AD1287" s="42" t="s">
        <v>7259</v>
      </c>
      <c r="AE1287" s="42" t="s">
        <v>489</v>
      </c>
      <c r="AF1287" s="42">
        <v>31.0</v>
      </c>
      <c r="AG1287" s="42" t="s">
        <v>131</v>
      </c>
      <c r="AH1287" s="42"/>
      <c r="AI1287" s="42" t="s">
        <v>7275</v>
      </c>
      <c r="AJ1287" s="42">
        <v>0.01</v>
      </c>
      <c r="AK1287" s="59" t="s">
        <v>128</v>
      </c>
      <c r="AL1287" s="42" t="s">
        <v>179</v>
      </c>
      <c r="AM1287" s="42" t="s">
        <v>130</v>
      </c>
      <c r="AN1287" s="42" t="s">
        <v>131</v>
      </c>
      <c r="AO1287" s="42">
        <v>240.0</v>
      </c>
      <c r="AP1287" s="42" t="s">
        <v>131</v>
      </c>
      <c r="AQ1287" s="62"/>
      <c r="AR1287" s="42" t="s">
        <v>7276</v>
      </c>
      <c r="AS1287" s="42">
        <v>0.001</v>
      </c>
      <c r="AT1287" s="59" t="s">
        <v>128</v>
      </c>
      <c r="AU1287" s="59" t="s">
        <v>179</v>
      </c>
      <c r="AV1287" s="126" t="s">
        <v>130</v>
      </c>
      <c r="AW1287" s="94" t="s">
        <v>7262</v>
      </c>
      <c r="AX1287" s="59" t="s">
        <v>136</v>
      </c>
      <c r="AZ1287" s="59" t="s">
        <v>7268</v>
      </c>
    </row>
    <row r="1288">
      <c r="A1288" s="41">
        <v>1288.0</v>
      </c>
      <c r="B1288" s="59" t="s">
        <v>516</v>
      </c>
      <c r="C1288" s="59" t="s">
        <v>108</v>
      </c>
      <c r="D1288" s="59" t="s">
        <v>241</v>
      </c>
      <c r="F1288" s="59" t="s">
        <v>7243</v>
      </c>
      <c r="G1288" s="42" t="s">
        <v>7277</v>
      </c>
      <c r="H1288" s="42" t="s">
        <v>242</v>
      </c>
      <c r="I1288" s="60">
        <v>45813.0</v>
      </c>
      <c r="J1288" s="61"/>
      <c r="K1288" s="42"/>
      <c r="L1288" s="42"/>
      <c r="M1288" s="42" t="s">
        <v>7247</v>
      </c>
      <c r="N1288" s="42" t="s">
        <v>7248</v>
      </c>
      <c r="O1288" s="42"/>
      <c r="P1288" s="63" t="s">
        <v>7249</v>
      </c>
      <c r="Q1288" s="105" t="s">
        <v>7250</v>
      </c>
      <c r="R1288" s="42" t="s">
        <v>7251</v>
      </c>
      <c r="S1288" s="42" t="s">
        <v>7252</v>
      </c>
      <c r="T1288" s="1409" t="s">
        <v>7253</v>
      </c>
      <c r="U1288" s="63">
        <v>1.0</v>
      </c>
      <c r="V1288" s="572" t="s">
        <v>7254</v>
      </c>
      <c r="W1288" s="62"/>
      <c r="X1288" s="53" t="s">
        <v>7250</v>
      </c>
      <c r="Y1288" s="62"/>
      <c r="Z1288" s="42" t="s">
        <v>940</v>
      </c>
      <c r="AA1288" s="42" t="s">
        <v>7264</v>
      </c>
      <c r="AB1288" s="42" t="s">
        <v>7257</v>
      </c>
      <c r="AC1288" s="42" t="s">
        <v>7278</v>
      </c>
      <c r="AD1288" s="42" t="s">
        <v>7259</v>
      </c>
      <c r="AE1288" s="42" t="s">
        <v>489</v>
      </c>
      <c r="AF1288" s="42">
        <v>31.0</v>
      </c>
      <c r="AG1288" s="42" t="s">
        <v>131</v>
      </c>
      <c r="AH1288" s="42"/>
      <c r="AI1288" s="42" t="s">
        <v>7279</v>
      </c>
      <c r="AJ1288" s="42">
        <v>0.05</v>
      </c>
      <c r="AK1288" s="59" t="s">
        <v>328</v>
      </c>
      <c r="AL1288" s="42" t="s">
        <v>179</v>
      </c>
      <c r="AM1288" s="42" t="s">
        <v>130</v>
      </c>
      <c r="AN1288" s="42" t="s">
        <v>131</v>
      </c>
      <c r="AO1288" s="42">
        <v>240.0</v>
      </c>
      <c r="AP1288" s="42" t="s">
        <v>131</v>
      </c>
      <c r="AQ1288" s="62"/>
      <c r="AR1288" s="42" t="s">
        <v>7280</v>
      </c>
      <c r="AS1288" s="42">
        <v>0.05</v>
      </c>
      <c r="AT1288" s="59" t="s">
        <v>328</v>
      </c>
      <c r="AU1288" s="59" t="s">
        <v>179</v>
      </c>
      <c r="AV1288" s="126" t="s">
        <v>130</v>
      </c>
      <c r="AW1288" s="94" t="s">
        <v>7262</v>
      </c>
      <c r="AX1288" s="59" t="s">
        <v>136</v>
      </c>
      <c r="AZ1288" s="59" t="s">
        <v>7268</v>
      </c>
    </row>
    <row r="1289">
      <c r="A1289" s="41">
        <v>1289.0</v>
      </c>
      <c r="B1289" s="59" t="s">
        <v>516</v>
      </c>
      <c r="C1289" s="59" t="s">
        <v>108</v>
      </c>
      <c r="D1289" s="59" t="s">
        <v>241</v>
      </c>
      <c r="F1289" s="59" t="s">
        <v>7243</v>
      </c>
      <c r="G1289" s="42" t="s">
        <v>7281</v>
      </c>
      <c r="H1289" s="42" t="s">
        <v>242</v>
      </c>
      <c r="I1289" s="60">
        <v>45813.0</v>
      </c>
      <c r="J1289" s="61"/>
      <c r="K1289" s="42"/>
      <c r="L1289" s="42"/>
      <c r="M1289" s="42" t="s">
        <v>7247</v>
      </c>
      <c r="N1289" s="42" t="s">
        <v>7248</v>
      </c>
      <c r="O1289" s="42"/>
      <c r="P1289" s="63" t="s">
        <v>7249</v>
      </c>
      <c r="Q1289" s="105" t="s">
        <v>7250</v>
      </c>
      <c r="R1289" s="42" t="s">
        <v>7251</v>
      </c>
      <c r="S1289" s="42" t="s">
        <v>7252</v>
      </c>
      <c r="T1289" s="1409" t="s">
        <v>7253</v>
      </c>
      <c r="U1289" s="63">
        <v>1.0</v>
      </c>
      <c r="V1289" s="572" t="s">
        <v>7254</v>
      </c>
      <c r="W1289" s="62"/>
      <c r="X1289" s="53" t="s">
        <v>7250</v>
      </c>
      <c r="Y1289" s="62"/>
      <c r="Z1289" s="42" t="s">
        <v>940</v>
      </c>
      <c r="AA1289" s="42" t="s">
        <v>7264</v>
      </c>
      <c r="AB1289" s="42" t="s">
        <v>7257</v>
      </c>
      <c r="AC1289" s="42" t="s">
        <v>7282</v>
      </c>
      <c r="AD1289" s="42" t="s">
        <v>7259</v>
      </c>
      <c r="AE1289" s="42" t="s">
        <v>489</v>
      </c>
      <c r="AF1289" s="42">
        <v>31.0</v>
      </c>
      <c r="AG1289" s="42" t="s">
        <v>131</v>
      </c>
      <c r="AH1289" s="42"/>
      <c r="AI1289" s="42" t="s">
        <v>7283</v>
      </c>
      <c r="AJ1289" s="42">
        <v>1.0E-4</v>
      </c>
      <c r="AK1289" s="59" t="s">
        <v>128</v>
      </c>
      <c r="AL1289" s="42" t="s">
        <v>179</v>
      </c>
      <c r="AM1289" s="42" t="s">
        <v>130</v>
      </c>
      <c r="AN1289" s="42" t="s">
        <v>131</v>
      </c>
      <c r="AO1289" s="42">
        <v>240.0</v>
      </c>
      <c r="AP1289" s="42" t="s">
        <v>131</v>
      </c>
      <c r="AQ1289" s="62"/>
      <c r="AR1289" s="42" t="s">
        <v>7284</v>
      </c>
      <c r="AS1289" s="42">
        <v>0.001</v>
      </c>
      <c r="AT1289" s="59" t="s">
        <v>128</v>
      </c>
      <c r="AU1289" s="59" t="s">
        <v>179</v>
      </c>
      <c r="AV1289" s="126" t="s">
        <v>130</v>
      </c>
      <c r="AW1289" s="94" t="s">
        <v>7262</v>
      </c>
      <c r="AX1289" s="59" t="s">
        <v>136</v>
      </c>
      <c r="AZ1289" s="59" t="s">
        <v>7268</v>
      </c>
    </row>
    <row r="1290">
      <c r="A1290" s="41">
        <v>1290.0</v>
      </c>
      <c r="B1290" s="59" t="s">
        <v>516</v>
      </c>
      <c r="C1290" s="59" t="s">
        <v>108</v>
      </c>
      <c r="D1290" s="59" t="s">
        <v>241</v>
      </c>
      <c r="F1290" s="59" t="s">
        <v>7243</v>
      </c>
      <c r="G1290" s="42" t="s">
        <v>7285</v>
      </c>
      <c r="H1290" s="42" t="s">
        <v>242</v>
      </c>
      <c r="I1290" s="60">
        <v>45813.0</v>
      </c>
      <c r="J1290" s="61"/>
      <c r="K1290" s="42"/>
      <c r="L1290" s="42"/>
      <c r="M1290" s="42" t="s">
        <v>7247</v>
      </c>
      <c r="N1290" s="42" t="s">
        <v>7248</v>
      </c>
      <c r="O1290" s="42"/>
      <c r="P1290" s="63" t="s">
        <v>7249</v>
      </c>
      <c r="Q1290" s="105" t="s">
        <v>7250</v>
      </c>
      <c r="R1290" s="42" t="s">
        <v>7251</v>
      </c>
      <c r="S1290" s="42" t="s">
        <v>7252</v>
      </c>
      <c r="T1290" s="1409" t="s">
        <v>7253</v>
      </c>
      <c r="U1290" s="63">
        <v>1.0</v>
      </c>
      <c r="V1290" s="572" t="s">
        <v>7254</v>
      </c>
      <c r="W1290" s="62"/>
      <c r="X1290" s="53" t="s">
        <v>7250</v>
      </c>
      <c r="Y1290" s="62"/>
      <c r="Z1290" s="42" t="s">
        <v>940</v>
      </c>
      <c r="AA1290" s="42" t="s">
        <v>7264</v>
      </c>
      <c r="AB1290" s="42" t="s">
        <v>7257</v>
      </c>
      <c r="AC1290" s="42" t="s">
        <v>7286</v>
      </c>
      <c r="AD1290" s="42" t="s">
        <v>7259</v>
      </c>
      <c r="AE1290" s="42" t="s">
        <v>489</v>
      </c>
      <c r="AF1290" s="42">
        <v>31.0</v>
      </c>
      <c r="AG1290" s="42" t="s">
        <v>131</v>
      </c>
      <c r="AH1290" s="42"/>
      <c r="AI1290" s="42" t="s">
        <v>7287</v>
      </c>
      <c r="AJ1290" s="42">
        <v>1.0E-4</v>
      </c>
      <c r="AK1290" s="59" t="s">
        <v>128</v>
      </c>
      <c r="AL1290" s="42" t="s">
        <v>179</v>
      </c>
      <c r="AM1290" s="42" t="s">
        <v>130</v>
      </c>
      <c r="AN1290" s="42" t="s">
        <v>131</v>
      </c>
      <c r="AO1290" s="42">
        <v>240.0</v>
      </c>
      <c r="AP1290" s="42" t="s">
        <v>131</v>
      </c>
      <c r="AQ1290" s="62"/>
      <c r="AR1290" s="42" t="s">
        <v>7288</v>
      </c>
      <c r="AS1290" s="42">
        <v>0.001</v>
      </c>
      <c r="AT1290" s="59" t="s">
        <v>128</v>
      </c>
      <c r="AU1290" s="59" t="s">
        <v>179</v>
      </c>
      <c r="AV1290" s="126" t="s">
        <v>130</v>
      </c>
      <c r="AW1290" s="94" t="s">
        <v>7262</v>
      </c>
      <c r="AX1290" s="59" t="s">
        <v>136</v>
      </c>
      <c r="AZ1290" s="59" t="s">
        <v>7268</v>
      </c>
    </row>
    <row r="1291">
      <c r="A1291" s="41">
        <v>1291.0</v>
      </c>
      <c r="B1291" s="59" t="s">
        <v>516</v>
      </c>
      <c r="C1291" s="59" t="s">
        <v>108</v>
      </c>
      <c r="D1291" s="59" t="s">
        <v>241</v>
      </c>
      <c r="F1291" s="59" t="s">
        <v>7243</v>
      </c>
      <c r="G1291" s="42" t="s">
        <v>7289</v>
      </c>
      <c r="H1291" s="42" t="s">
        <v>242</v>
      </c>
      <c r="I1291" s="60">
        <v>45813.0</v>
      </c>
      <c r="J1291" s="61"/>
      <c r="K1291" s="42"/>
      <c r="L1291" s="42"/>
      <c r="M1291" s="42" t="s">
        <v>7247</v>
      </c>
      <c r="N1291" s="42" t="s">
        <v>7248</v>
      </c>
      <c r="O1291" s="42"/>
      <c r="P1291" s="63" t="s">
        <v>7249</v>
      </c>
      <c r="Q1291" s="105" t="s">
        <v>7250</v>
      </c>
      <c r="R1291" s="42" t="s">
        <v>7251</v>
      </c>
      <c r="S1291" s="42" t="s">
        <v>7252</v>
      </c>
      <c r="T1291" s="1409" t="s">
        <v>7253</v>
      </c>
      <c r="U1291" s="63">
        <v>1.0</v>
      </c>
      <c r="V1291" s="572" t="s">
        <v>7254</v>
      </c>
      <c r="W1291" s="62"/>
      <c r="X1291" s="53" t="s">
        <v>7250</v>
      </c>
      <c r="Y1291" s="62"/>
      <c r="Z1291" s="42" t="s">
        <v>940</v>
      </c>
      <c r="AA1291" s="42" t="s">
        <v>7264</v>
      </c>
      <c r="AB1291" s="42" t="s">
        <v>7257</v>
      </c>
      <c r="AC1291" s="42" t="s">
        <v>7290</v>
      </c>
      <c r="AD1291" s="42" t="s">
        <v>7259</v>
      </c>
      <c r="AE1291" s="42" t="s">
        <v>489</v>
      </c>
      <c r="AF1291" s="42">
        <v>31.0</v>
      </c>
      <c r="AG1291" s="42" t="s">
        <v>131</v>
      </c>
      <c r="AH1291" s="42"/>
      <c r="AI1291" s="42" t="s">
        <v>7291</v>
      </c>
      <c r="AJ1291" s="42">
        <v>1.0E-4</v>
      </c>
      <c r="AK1291" s="59" t="s">
        <v>128</v>
      </c>
      <c r="AL1291" s="42" t="s">
        <v>179</v>
      </c>
      <c r="AM1291" s="42" t="s">
        <v>130</v>
      </c>
      <c r="AN1291" s="42" t="s">
        <v>131</v>
      </c>
      <c r="AO1291" s="42">
        <v>240.0</v>
      </c>
      <c r="AP1291" s="42" t="s">
        <v>131</v>
      </c>
      <c r="AQ1291" s="62"/>
      <c r="AR1291" s="42" t="s">
        <v>7292</v>
      </c>
      <c r="AS1291" s="42">
        <v>0.001</v>
      </c>
      <c r="AT1291" s="59" t="s">
        <v>128</v>
      </c>
      <c r="AU1291" s="59" t="s">
        <v>179</v>
      </c>
      <c r="AV1291" s="126" t="s">
        <v>130</v>
      </c>
      <c r="AW1291" s="94" t="s">
        <v>7262</v>
      </c>
      <c r="AX1291" s="59" t="s">
        <v>136</v>
      </c>
      <c r="AZ1291" s="59" t="s">
        <v>7268</v>
      </c>
    </row>
    <row r="1292">
      <c r="A1292" s="41">
        <v>1292.0</v>
      </c>
      <c r="B1292" s="59" t="s">
        <v>516</v>
      </c>
      <c r="C1292" s="59" t="s">
        <v>108</v>
      </c>
      <c r="D1292" s="59" t="s">
        <v>241</v>
      </c>
      <c r="F1292" s="59" t="s">
        <v>7243</v>
      </c>
      <c r="G1292" s="42" t="s">
        <v>7293</v>
      </c>
      <c r="H1292" s="42" t="s">
        <v>242</v>
      </c>
      <c r="I1292" s="60">
        <v>45813.0</v>
      </c>
      <c r="J1292" s="61"/>
      <c r="K1292" s="42"/>
      <c r="L1292" s="42"/>
      <c r="M1292" s="42" t="s">
        <v>7247</v>
      </c>
      <c r="N1292" s="42" t="s">
        <v>7248</v>
      </c>
      <c r="O1292" s="42"/>
      <c r="P1292" s="63" t="s">
        <v>7249</v>
      </c>
      <c r="Q1292" s="105" t="s">
        <v>7250</v>
      </c>
      <c r="R1292" s="42" t="s">
        <v>7251</v>
      </c>
      <c r="S1292" s="42" t="s">
        <v>7252</v>
      </c>
      <c r="T1292" s="1409" t="s">
        <v>7253</v>
      </c>
      <c r="U1292" s="63">
        <v>1.0</v>
      </c>
      <c r="V1292" s="572" t="s">
        <v>7254</v>
      </c>
      <c r="W1292" s="62"/>
      <c r="X1292" s="53" t="s">
        <v>7250</v>
      </c>
      <c r="Y1292" s="62"/>
      <c r="Z1292" s="42" t="s">
        <v>940</v>
      </c>
      <c r="AA1292" s="42" t="s">
        <v>7264</v>
      </c>
      <c r="AB1292" s="42" t="s">
        <v>7257</v>
      </c>
      <c r="AC1292" s="42"/>
      <c r="AD1292" s="42" t="s">
        <v>7294</v>
      </c>
      <c r="AE1292" s="42" t="s">
        <v>489</v>
      </c>
      <c r="AF1292" s="42">
        <v>31.0</v>
      </c>
      <c r="AG1292" s="42">
        <v>-0.96</v>
      </c>
      <c r="AH1292" s="42"/>
      <c r="AI1292" s="42" t="s">
        <v>7295</v>
      </c>
      <c r="AJ1292" s="42">
        <v>0.001</v>
      </c>
      <c r="AK1292" s="59" t="s">
        <v>128</v>
      </c>
      <c r="AL1292" s="42" t="s">
        <v>179</v>
      </c>
      <c r="AM1292" s="42" t="s">
        <v>130</v>
      </c>
      <c r="AN1292" s="42" t="s">
        <v>131</v>
      </c>
      <c r="AO1292" s="42">
        <v>240.0</v>
      </c>
      <c r="AP1292" s="42">
        <v>-0.85</v>
      </c>
      <c r="AQ1292" s="42" t="s">
        <v>208</v>
      </c>
      <c r="AR1292" s="42" t="s">
        <v>7296</v>
      </c>
      <c r="AS1292" s="42">
        <v>0.0073</v>
      </c>
      <c r="AT1292" s="59" t="s">
        <v>165</v>
      </c>
      <c r="AU1292" s="59" t="s">
        <v>179</v>
      </c>
      <c r="AV1292" s="126" t="s">
        <v>130</v>
      </c>
      <c r="AW1292" s="94" t="s">
        <v>7262</v>
      </c>
      <c r="AX1292" s="59" t="s">
        <v>136</v>
      </c>
      <c r="AZ1292" s="59" t="s">
        <v>7268</v>
      </c>
    </row>
    <row r="1293">
      <c r="A1293" s="41">
        <v>1293.0</v>
      </c>
      <c r="B1293" s="59" t="s">
        <v>516</v>
      </c>
      <c r="C1293" s="59" t="s">
        <v>108</v>
      </c>
      <c r="D1293" s="59" t="s">
        <v>241</v>
      </c>
      <c r="F1293" s="59" t="s">
        <v>7243</v>
      </c>
      <c r="G1293" s="42" t="s">
        <v>7297</v>
      </c>
      <c r="H1293" s="42" t="s">
        <v>242</v>
      </c>
      <c r="I1293" s="60">
        <v>45813.0</v>
      </c>
      <c r="J1293" s="61"/>
      <c r="K1293" s="42"/>
      <c r="L1293" s="42"/>
      <c r="M1293" s="42" t="s">
        <v>7247</v>
      </c>
      <c r="N1293" s="42" t="s">
        <v>7248</v>
      </c>
      <c r="O1293" s="42"/>
      <c r="P1293" s="63" t="s">
        <v>7249</v>
      </c>
      <c r="Q1293" s="105" t="s">
        <v>7250</v>
      </c>
      <c r="R1293" s="42" t="s">
        <v>7251</v>
      </c>
      <c r="S1293" s="42" t="s">
        <v>7252</v>
      </c>
      <c r="T1293" s="1409" t="s">
        <v>7253</v>
      </c>
      <c r="U1293" s="63">
        <v>1.0</v>
      </c>
      <c r="V1293" s="572" t="s">
        <v>7254</v>
      </c>
      <c r="W1293" s="62"/>
      <c r="X1293" s="53" t="s">
        <v>7250</v>
      </c>
      <c r="Y1293" s="62"/>
      <c r="Z1293" s="42" t="s">
        <v>940</v>
      </c>
      <c r="AA1293" s="42" t="s">
        <v>7264</v>
      </c>
      <c r="AB1293" s="42" t="s">
        <v>7257</v>
      </c>
      <c r="AC1293" s="42"/>
      <c r="AD1293" s="42" t="s">
        <v>7298</v>
      </c>
      <c r="AE1293" s="42" t="s">
        <v>489</v>
      </c>
      <c r="AF1293" s="42">
        <v>31.0</v>
      </c>
      <c r="AG1293" s="42">
        <v>0.95</v>
      </c>
      <c r="AH1293" s="42"/>
      <c r="AI1293" s="42" t="s">
        <v>7299</v>
      </c>
      <c r="AJ1293" s="42">
        <v>0.001</v>
      </c>
      <c r="AK1293" s="59" t="s">
        <v>128</v>
      </c>
      <c r="AL1293" s="42" t="s">
        <v>179</v>
      </c>
      <c r="AM1293" s="42" t="s">
        <v>130</v>
      </c>
      <c r="AN1293" s="42" t="s">
        <v>131</v>
      </c>
      <c r="AO1293" s="42">
        <v>240.0</v>
      </c>
      <c r="AP1293" s="42">
        <v>0.99</v>
      </c>
      <c r="AQ1293" s="42" t="s">
        <v>208</v>
      </c>
      <c r="AR1293" s="42" t="s">
        <v>7300</v>
      </c>
      <c r="AS1293" s="42">
        <v>0.001</v>
      </c>
      <c r="AT1293" s="59" t="s">
        <v>128</v>
      </c>
      <c r="AU1293" s="59" t="s">
        <v>179</v>
      </c>
      <c r="AV1293" s="126" t="s">
        <v>130</v>
      </c>
      <c r="AW1293" s="94" t="s">
        <v>7262</v>
      </c>
      <c r="AX1293" s="59" t="s">
        <v>136</v>
      </c>
      <c r="AZ1293" s="59" t="s">
        <v>7268</v>
      </c>
    </row>
    <row r="1294">
      <c r="A1294" s="41">
        <v>1294.0</v>
      </c>
      <c r="B1294" s="59" t="s">
        <v>583</v>
      </c>
      <c r="C1294" s="59" t="s">
        <v>108</v>
      </c>
      <c r="D1294" s="418" t="s">
        <v>188</v>
      </c>
      <c r="F1294" s="59" t="s">
        <v>7301</v>
      </c>
      <c r="G1294" s="42" t="s">
        <v>7302</v>
      </c>
      <c r="H1294" s="697" t="s">
        <v>7303</v>
      </c>
      <c r="I1294" s="60">
        <v>44986.0</v>
      </c>
      <c r="J1294" s="61">
        <v>45638.0</v>
      </c>
      <c r="K1294" s="42" t="s">
        <v>7304</v>
      </c>
      <c r="L1294" s="42" t="s">
        <v>7305</v>
      </c>
      <c r="M1294" s="42" t="s">
        <v>7306</v>
      </c>
      <c r="N1294" s="42" t="s">
        <v>7307</v>
      </c>
      <c r="O1294" s="42">
        <v>9.0</v>
      </c>
      <c r="P1294" s="63" t="s">
        <v>7308</v>
      </c>
      <c r="Q1294" s="49" t="str">
        <f t="array" ref="Q1294"> if(iserror(MATCH(V1294, 'File Links'!C:C, 0)), "N/A", HYPERLINK(INDEX('File Links'!B:B, MATCH(P1294, 'File Links'!C:C, 0))))</f>
        <v>https://drive.google.com/file/d/1gBF1OSh84_PEaQuwMpzqMOVewrJw3LKJ/view?usp=drivesdk</v>
      </c>
      <c r="R1294" s="42" t="s">
        <v>7309</v>
      </c>
      <c r="S1294" s="42" t="s">
        <v>7310</v>
      </c>
      <c r="T1294" s="62"/>
      <c r="U1294" s="63"/>
      <c r="V1294" s="195" t="str">
        <f t="shared" ref="V1294:V1301" si="78"> hyperlink(vlookup(lower(S1294),#REF!, 2, FALSE), SUBSTITUTE(lower(S1294), "/", "--") &amp;  ".pdf")</f>
        <v>10.1016--j.jesp.2012.10.014.pdf</v>
      </c>
      <c r="W1294" s="62"/>
      <c r="X1294" s="51" t="str">
        <f t="array" ref="X1294"> if(iserror(MATCH(V1294, 'File Links'!C:C, 0)), "N/A", HYPERLINK(INDEX('File Links'!B:B, MATCH(V1294, 'File Links'!C:C, 0))))</f>
        <v>https://drive.google.com/file/d/1_rFVHDaWBDKF-ni6stLki1Wt7mspwAb2/view?usp=drivesdk</v>
      </c>
      <c r="Y1294" s="62"/>
      <c r="Z1294" s="42" t="s">
        <v>219</v>
      </c>
      <c r="AA1294" s="62"/>
      <c r="AB1294" s="42" t="s">
        <v>7311</v>
      </c>
      <c r="AC1294" s="42" t="s">
        <v>7312</v>
      </c>
      <c r="AD1294" s="62"/>
      <c r="AE1294" s="62"/>
      <c r="AF1294" s="62"/>
      <c r="AG1294" s="62"/>
      <c r="AH1294" s="42"/>
      <c r="AI1294" s="62"/>
      <c r="AJ1294" s="62"/>
      <c r="AK1294" s="64"/>
      <c r="AL1294" s="62"/>
      <c r="AM1294" s="62"/>
      <c r="AN1294" s="62"/>
      <c r="AO1294" s="62"/>
      <c r="AP1294" s="62"/>
      <c r="AQ1294" s="62"/>
      <c r="AR1294" s="62"/>
      <c r="AS1294" s="62"/>
      <c r="AT1294" s="64"/>
      <c r="AU1294" s="64"/>
      <c r="AV1294" s="65"/>
      <c r="AX1294" s="64"/>
      <c r="AY1294" s="42"/>
    </row>
    <row r="1295">
      <c r="A1295" s="168">
        <v>1295.0</v>
      </c>
      <c r="B1295" s="165" t="s">
        <v>145</v>
      </c>
      <c r="C1295" s="165" t="s">
        <v>108</v>
      </c>
      <c r="D1295" s="165" t="s">
        <v>1451</v>
      </c>
      <c r="E1295" s="161"/>
      <c r="F1295" s="177" t="s">
        <v>7313</v>
      </c>
      <c r="G1295" s="183" t="s">
        <v>7314</v>
      </c>
      <c r="H1295" s="729" t="s">
        <v>1511</v>
      </c>
      <c r="I1295" s="1410" t="s">
        <v>112</v>
      </c>
      <c r="J1295" s="730">
        <v>45684.0</v>
      </c>
      <c r="K1295" s="729" t="s">
        <v>7315</v>
      </c>
      <c r="L1295" s="729" t="s">
        <v>7316</v>
      </c>
      <c r="M1295" s="729" t="s">
        <v>7317</v>
      </c>
      <c r="N1295" s="729" t="s">
        <v>7318</v>
      </c>
      <c r="O1295" s="177"/>
      <c r="P1295" s="729" t="s">
        <v>7319</v>
      </c>
      <c r="Q1295" s="1163" t="str">
        <f t="array" ref="Q1295"> if(iserror(MATCH(V1295, 'File Links'!C:C, 0)), "N/A", HYPERLINK(INDEX('File Links'!B:B, MATCH(P1295, 'File Links'!C:C, 0))))</f>
        <v>https://drive.google.com/file/d/1u2KiampcOcT7G124TEOiIzae-KDknBmd/view?usp=drivesdk</v>
      </c>
      <c r="R1295" s="1411" t="s">
        <v>7320</v>
      </c>
      <c r="S1295" s="729" t="s">
        <v>7321</v>
      </c>
      <c r="T1295" s="177"/>
      <c r="U1295" s="368">
        <v>1.0</v>
      </c>
      <c r="V1295" s="729" t="str">
        <f t="shared" si="78"/>
        <v>10.1016--j.appet.2013.12.020.pdf</v>
      </c>
      <c r="W1295" s="729" t="s">
        <v>7322</v>
      </c>
      <c r="X1295" s="1164" t="str">
        <f t="array" ref="X1295"> if(iserror(MATCH(V1295, 'File Links'!C:C, 0)), "N/A", HYPERLINK(INDEX('File Links'!B:B, MATCH(V1295, 'File Links'!C:C, 0))))</f>
        <v>https://drive.google.com/file/d/1c8fXNnhmY13vK0FI3aMB_LAx3-JbSZd7/view?usp=drivesdk</v>
      </c>
      <c r="Y1295" s="177"/>
      <c r="Z1295" s="729" t="s">
        <v>219</v>
      </c>
      <c r="AA1295" s="729" t="s">
        <v>7323</v>
      </c>
      <c r="AB1295" s="729" t="s">
        <v>7324</v>
      </c>
      <c r="AC1295" s="729" t="s">
        <v>7325</v>
      </c>
      <c r="AD1295" s="729" t="s">
        <v>7326</v>
      </c>
      <c r="AE1295" s="180">
        <v>4.0</v>
      </c>
      <c r="AF1295" s="180">
        <v>65.0</v>
      </c>
      <c r="AG1295" s="180">
        <v>0.21</v>
      </c>
      <c r="AH1295" s="729" t="s">
        <v>132</v>
      </c>
      <c r="AI1295" s="729" t="s">
        <v>489</v>
      </c>
      <c r="AJ1295" s="830">
        <v>0.999</v>
      </c>
      <c r="AK1295" s="183" t="s">
        <v>328</v>
      </c>
      <c r="AL1295" s="183" t="s">
        <v>179</v>
      </c>
      <c r="AM1295" s="177" t="s">
        <v>134</v>
      </c>
      <c r="AN1295" s="1412" t="s">
        <v>131</v>
      </c>
      <c r="AO1295" s="180">
        <v>70.0</v>
      </c>
      <c r="AP1295" s="180">
        <v>0.02</v>
      </c>
      <c r="AQ1295" s="729" t="s">
        <v>132</v>
      </c>
      <c r="AR1295" s="729" t="s">
        <v>875</v>
      </c>
      <c r="AS1295" s="180">
        <v>0.29</v>
      </c>
      <c r="AT1295" s="729" t="s">
        <v>165</v>
      </c>
      <c r="AU1295" s="729" t="s">
        <v>179</v>
      </c>
      <c r="AV1295" s="177" t="s">
        <v>134</v>
      </c>
      <c r="AW1295" s="1412" t="s">
        <v>131</v>
      </c>
      <c r="AX1295" s="177" t="s">
        <v>144</v>
      </c>
      <c r="AY1295" s="165" t="s">
        <v>7327</v>
      </c>
      <c r="AZ1295" s="165" t="s">
        <v>685</v>
      </c>
      <c r="BA1295" s="161"/>
      <c r="BB1295" s="161"/>
      <c r="BC1295" s="161"/>
      <c r="BD1295" s="161"/>
      <c r="BE1295" s="161"/>
      <c r="BF1295" s="161"/>
      <c r="BG1295" s="161"/>
      <c r="BH1295" s="161"/>
      <c r="BI1295" s="161"/>
      <c r="BJ1295" s="161"/>
      <c r="BK1295" s="161"/>
      <c r="BL1295" s="161"/>
      <c r="BM1295" s="161"/>
      <c r="BN1295" s="161"/>
      <c r="BO1295" s="161"/>
      <c r="BP1295" s="161"/>
      <c r="BQ1295" s="161"/>
      <c r="BR1295" s="161"/>
      <c r="BS1295" s="161"/>
      <c r="BT1295" s="161"/>
      <c r="BU1295" s="161"/>
      <c r="BV1295" s="161"/>
      <c r="BW1295" s="161"/>
      <c r="BX1295" s="161"/>
      <c r="BY1295" s="161"/>
      <c r="BZ1295" s="161"/>
      <c r="CA1295" s="161"/>
      <c r="CB1295" s="161"/>
      <c r="CC1295" s="161"/>
      <c r="CD1295" s="161"/>
      <c r="CE1295" s="161"/>
      <c r="CF1295" s="161"/>
      <c r="CG1295" s="161"/>
      <c r="CH1295" s="161"/>
      <c r="CI1295" s="161"/>
      <c r="CJ1295" s="161"/>
      <c r="CK1295" s="161"/>
      <c r="CL1295" s="161"/>
      <c r="CM1295" s="161"/>
      <c r="CN1295" s="161"/>
      <c r="CO1295" s="161"/>
      <c r="CP1295" s="161"/>
      <c r="CQ1295" s="161"/>
      <c r="CR1295" s="161"/>
      <c r="CS1295" s="161"/>
      <c r="CT1295" s="161"/>
      <c r="CU1295" s="161"/>
      <c r="CV1295" s="161"/>
      <c r="CW1295" s="161"/>
      <c r="CX1295" s="161"/>
      <c r="CY1295" s="161"/>
      <c r="CZ1295" s="161"/>
      <c r="DA1295" s="161"/>
      <c r="DB1295" s="161"/>
      <c r="DC1295" s="161"/>
      <c r="DD1295" s="161"/>
      <c r="DE1295" s="161"/>
      <c r="DF1295" s="161"/>
      <c r="DG1295" s="161"/>
      <c r="DH1295" s="161"/>
    </row>
    <row r="1296">
      <c r="A1296" s="168">
        <v>1296.0</v>
      </c>
      <c r="B1296" s="172" t="s">
        <v>107</v>
      </c>
      <c r="C1296" s="165" t="s">
        <v>108</v>
      </c>
      <c r="D1296" s="165" t="s">
        <v>241</v>
      </c>
      <c r="E1296" s="161"/>
      <c r="F1296" s="177" t="s">
        <v>7313</v>
      </c>
      <c r="G1296" s="729" t="s">
        <v>7314</v>
      </c>
      <c r="H1296" s="729" t="s">
        <v>242</v>
      </c>
      <c r="I1296" s="730">
        <v>45783.0</v>
      </c>
      <c r="J1296" s="177"/>
      <c r="K1296" s="729" t="s">
        <v>7328</v>
      </c>
      <c r="L1296" s="729" t="s">
        <v>7316</v>
      </c>
      <c r="M1296" s="729" t="s">
        <v>7317</v>
      </c>
      <c r="N1296" s="729" t="s">
        <v>7329</v>
      </c>
      <c r="O1296" s="177"/>
      <c r="P1296" s="729" t="str">
        <f>SUBSTITUTE(LOWER(N1296), "/", "--") &amp;  ".pdf"</f>
        <v>10.1177--0956797609358096.pdf</v>
      </c>
      <c r="Q1296" s="1163" t="str">
        <f t="array" ref="Q1296"> if(iserror(MATCH(V1296, 'File Links'!C:C, 0)), "N/A", HYPERLINK(INDEX('File Links'!B:B, MATCH(P1296, 'File Links'!C:C, 0))))</f>
        <v>https://drive.google.com/file/d/1u2KiampcOcT7G124TEOiIzae-KDknBmd/view?usp=drivesdk</v>
      </c>
      <c r="R1296" s="729" t="s">
        <v>7330</v>
      </c>
      <c r="S1296" s="729" t="s">
        <v>7321</v>
      </c>
      <c r="T1296" s="177"/>
      <c r="U1296" s="172">
        <v>1.0</v>
      </c>
      <c r="V1296" s="729" t="str">
        <f t="shared" si="78"/>
        <v>10.1016--j.appet.2013.12.020.pdf</v>
      </c>
      <c r="W1296" s="729" t="s">
        <v>157</v>
      </c>
      <c r="X1296" s="1164" t="str">
        <f t="array" ref="X1296"> if(iserror(MATCH(V1296, 'File Links'!C:C, 0)), "N/A", HYPERLINK(INDEX('File Links'!B:B, MATCH(V1296, 'File Links'!C:C, 0))))</f>
        <v>https://drive.google.com/file/d/1c8fXNnhmY13vK0FI3aMB_LAx3-JbSZd7/view?usp=drivesdk</v>
      </c>
      <c r="Y1296" s="177"/>
      <c r="Z1296" s="729" t="s">
        <v>203</v>
      </c>
      <c r="AA1296" s="729" t="s">
        <v>7331</v>
      </c>
      <c r="AB1296" s="164" t="s">
        <v>7332</v>
      </c>
      <c r="AC1296" s="729" t="s">
        <v>7333</v>
      </c>
      <c r="AD1296" s="729" t="s">
        <v>7334</v>
      </c>
      <c r="AE1296" s="729" t="s">
        <v>489</v>
      </c>
      <c r="AF1296" s="180">
        <v>65.0</v>
      </c>
      <c r="AG1296" s="180">
        <v>0.21</v>
      </c>
      <c r="AH1296" s="729" t="s">
        <v>867</v>
      </c>
      <c r="AI1296" s="729" t="s">
        <v>7335</v>
      </c>
      <c r="AJ1296" s="1413">
        <v>0.001</v>
      </c>
      <c r="AK1296" s="729" t="s">
        <v>128</v>
      </c>
      <c r="AL1296" s="729" t="s">
        <v>179</v>
      </c>
      <c r="AM1296" s="177" t="s">
        <v>130</v>
      </c>
      <c r="AN1296" s="172" t="s">
        <v>131</v>
      </c>
      <c r="AO1296" s="180">
        <v>70.0</v>
      </c>
      <c r="AP1296" s="180">
        <v>0.2</v>
      </c>
      <c r="AQ1296" s="729" t="s">
        <v>867</v>
      </c>
      <c r="AR1296" s="729" t="s">
        <v>7336</v>
      </c>
      <c r="AS1296" s="180">
        <v>0.29</v>
      </c>
      <c r="AT1296" s="729" t="s">
        <v>165</v>
      </c>
      <c r="AU1296" s="729" t="s">
        <v>179</v>
      </c>
      <c r="AV1296" s="177" t="s">
        <v>130</v>
      </c>
      <c r="AW1296" s="1412" t="s">
        <v>131</v>
      </c>
      <c r="AX1296" s="177" t="s">
        <v>136</v>
      </c>
      <c r="AY1296" s="165" t="s">
        <v>7337</v>
      </c>
      <c r="AZ1296" s="165" t="s">
        <v>685</v>
      </c>
      <c r="BA1296" s="161"/>
      <c r="BB1296" s="161"/>
      <c r="BC1296" s="161"/>
      <c r="BD1296" s="161"/>
      <c r="BE1296" s="161"/>
      <c r="BF1296" s="161"/>
      <c r="BG1296" s="161"/>
      <c r="BH1296" s="161"/>
      <c r="BI1296" s="161"/>
      <c r="BJ1296" s="161"/>
      <c r="BK1296" s="161"/>
      <c r="BL1296" s="161"/>
      <c r="BM1296" s="161"/>
      <c r="BN1296" s="161"/>
      <c r="BO1296" s="161"/>
      <c r="BP1296" s="161"/>
      <c r="BQ1296" s="161"/>
      <c r="BR1296" s="161"/>
      <c r="BS1296" s="161"/>
      <c r="BT1296" s="161"/>
      <c r="BU1296" s="161"/>
      <c r="BV1296" s="161"/>
      <c r="BW1296" s="161"/>
      <c r="BX1296" s="161"/>
      <c r="BY1296" s="161"/>
      <c r="BZ1296" s="161"/>
      <c r="CA1296" s="161"/>
      <c r="CB1296" s="161"/>
      <c r="CC1296" s="161"/>
      <c r="CD1296" s="161"/>
      <c r="CE1296" s="161"/>
      <c r="CF1296" s="161"/>
      <c r="CG1296" s="161"/>
      <c r="CH1296" s="161"/>
      <c r="CI1296" s="161"/>
      <c r="CJ1296" s="161"/>
      <c r="CK1296" s="161"/>
      <c r="CL1296" s="161"/>
      <c r="CM1296" s="161"/>
      <c r="CN1296" s="161"/>
      <c r="CO1296" s="161"/>
      <c r="CP1296" s="161"/>
      <c r="CQ1296" s="161"/>
      <c r="CR1296" s="161"/>
      <c r="CS1296" s="161"/>
      <c r="CT1296" s="161"/>
      <c r="CU1296" s="161"/>
      <c r="CV1296" s="161"/>
      <c r="CW1296" s="161"/>
      <c r="CX1296" s="161"/>
      <c r="CY1296" s="161"/>
      <c r="CZ1296" s="161"/>
      <c r="DA1296" s="161"/>
      <c r="DB1296" s="161"/>
      <c r="DC1296" s="161"/>
      <c r="DD1296" s="161"/>
      <c r="DE1296" s="161"/>
      <c r="DF1296" s="161"/>
      <c r="DG1296" s="161"/>
      <c r="DH1296" s="161"/>
    </row>
    <row r="1297">
      <c r="A1297" s="41">
        <v>1297.0</v>
      </c>
      <c r="B1297" s="365" t="s">
        <v>145</v>
      </c>
      <c r="C1297" s="365" t="s">
        <v>108</v>
      </c>
      <c r="D1297" s="185" t="s">
        <v>138</v>
      </c>
      <c r="E1297" s="186"/>
      <c r="F1297" s="187" t="s">
        <v>7338</v>
      </c>
      <c r="G1297" s="55" t="s">
        <v>7339</v>
      </c>
      <c r="H1297" s="46"/>
      <c r="I1297" s="44" t="s">
        <v>112</v>
      </c>
      <c r="J1297" s="45">
        <v>45639.0</v>
      </c>
      <c r="K1297" s="46" t="s">
        <v>7340</v>
      </c>
      <c r="L1297" s="340" t="s">
        <v>7341</v>
      </c>
      <c r="M1297" s="340" t="s">
        <v>7342</v>
      </c>
      <c r="N1297" s="44" t="s">
        <v>7343</v>
      </c>
      <c r="O1297" s="505">
        <v>2.0</v>
      </c>
      <c r="P1297" s="48" t="s">
        <v>7344</v>
      </c>
      <c r="Q1297" s="49" t="str">
        <f t="array" ref="Q1297"> if(iserror(MATCH(V1297, 'File Links'!C:C, 0)), "N/A", HYPERLINK(INDEX('File Links'!B:B, MATCH(P1297, 'File Links'!C:C, 0))))</f>
        <v>https://drive.google.com/file/d/1jvY3Sgds8iuvtsLXHlpUqcaSBliH2tJV/view?usp=drivesdk</v>
      </c>
      <c r="R1297" s="44" t="s">
        <v>7345</v>
      </c>
      <c r="S1297" s="53" t="s">
        <v>7346</v>
      </c>
      <c r="T1297" s="387"/>
      <c r="U1297" s="1173">
        <v>2.0</v>
      </c>
      <c r="V1297" s="195" t="str">
        <f t="shared" si="78"/>
        <v>murtagh_2004.pdf</v>
      </c>
      <c r="W1297" s="387" t="s">
        <v>7347</v>
      </c>
      <c r="X1297" s="51" t="str">
        <f t="array" ref="X1297"> if(iserror(MATCH(V1297, 'File Links'!C:C, 0)), "N/A", HYPERLINK(INDEX('File Links'!B:B, MATCH(V1297, 'File Links'!C:C, 0))))</f>
        <v>https://drive.google.com/file/d/1y0uavGuuD3FfKExlt9hI-j32m6j_RxXx/view?usp=drivesdk</v>
      </c>
      <c r="Y1297" s="387"/>
      <c r="Z1297" s="387" t="s">
        <v>219</v>
      </c>
      <c r="AA1297" s="387" t="s">
        <v>7348</v>
      </c>
      <c r="AB1297" s="387" t="s">
        <v>7349</v>
      </c>
      <c r="AC1297" s="387" t="s">
        <v>7350</v>
      </c>
      <c r="AD1297" s="387" t="s">
        <v>7351</v>
      </c>
      <c r="AE1297" s="387" t="s">
        <v>7352</v>
      </c>
      <c r="AF1297" s="1414">
        <v>58.0</v>
      </c>
      <c r="AG1297" s="1181" t="s">
        <v>7353</v>
      </c>
      <c r="AH1297" s="327" t="s">
        <v>127</v>
      </c>
      <c r="AI1297" s="387" t="s">
        <v>806</v>
      </c>
      <c r="AJ1297" s="1414">
        <v>0.001</v>
      </c>
      <c r="AK1297" s="328" t="s">
        <v>128</v>
      </c>
      <c r="AL1297" s="387" t="s">
        <v>211</v>
      </c>
      <c r="AM1297" s="387" t="s">
        <v>130</v>
      </c>
      <c r="AN1297" s="327" t="s">
        <v>131</v>
      </c>
      <c r="AO1297" s="1414">
        <v>76.0</v>
      </c>
      <c r="AP1297" s="1181" t="s">
        <v>7354</v>
      </c>
      <c r="AQ1297" s="327" t="s">
        <v>127</v>
      </c>
      <c r="AR1297" s="387" t="s">
        <v>7355</v>
      </c>
      <c r="AS1297" s="1414">
        <v>0.761</v>
      </c>
      <c r="AT1297" s="328" t="s">
        <v>165</v>
      </c>
      <c r="AU1297" s="328" t="s">
        <v>129</v>
      </c>
      <c r="AV1297" s="65" t="s">
        <v>130</v>
      </c>
      <c r="AW1297" s="327" t="s">
        <v>131</v>
      </c>
      <c r="AX1297" s="328" t="s">
        <v>136</v>
      </c>
      <c r="AY1297" s="321" t="s">
        <v>7356</v>
      </c>
      <c r="AZ1297" s="322" t="s">
        <v>137</v>
      </c>
    </row>
    <row r="1298">
      <c r="A1298" s="41">
        <v>1298.0</v>
      </c>
      <c r="B1298" s="365" t="s">
        <v>107</v>
      </c>
      <c r="C1298" s="185" t="s">
        <v>108</v>
      </c>
      <c r="D1298" s="185" t="s">
        <v>188</v>
      </c>
      <c r="E1298" s="186"/>
      <c r="F1298" s="185" t="s">
        <v>7338</v>
      </c>
      <c r="G1298" s="365" t="s">
        <v>7339</v>
      </c>
      <c r="H1298" s="42" t="s">
        <v>7357</v>
      </c>
      <c r="I1298" s="60">
        <v>44927.0</v>
      </c>
      <c r="J1298" s="61">
        <v>45636.0</v>
      </c>
      <c r="K1298" s="62"/>
      <c r="L1298" s="697" t="s">
        <v>7358</v>
      </c>
      <c r="M1298" s="340" t="s">
        <v>7342</v>
      </c>
      <c r="N1298" s="42" t="s">
        <v>7343</v>
      </c>
      <c r="O1298" s="42">
        <v>4.0</v>
      </c>
      <c r="P1298" s="63" t="s">
        <v>7344</v>
      </c>
      <c r="Q1298" s="49" t="str">
        <f t="array" ref="Q1298"> if(iserror(MATCH(V1298, 'File Links'!C:C, 0)), "N/A", HYPERLINK(INDEX('File Links'!B:B, MATCH(P1298, 'File Links'!C:C, 0))))</f>
        <v>https://drive.google.com/file/d/1jvY3Sgds8iuvtsLXHlpUqcaSBliH2tJV/view?usp=drivesdk</v>
      </c>
      <c r="R1298" s="42" t="s">
        <v>7345</v>
      </c>
      <c r="S1298" s="53" t="s">
        <v>7346</v>
      </c>
      <c r="T1298" s="325"/>
      <c r="U1298" s="319">
        <v>2.0</v>
      </c>
      <c r="V1298" s="195" t="str">
        <f t="shared" si="78"/>
        <v>murtagh_2004.pdf</v>
      </c>
      <c r="W1298" s="325"/>
      <c r="X1298" s="51" t="str">
        <f t="array" ref="X1298"> if(iserror(MATCH(V1298, 'File Links'!C:C, 0)), "N/A", HYPERLINK(INDEX('File Links'!B:B, MATCH(V1298, 'File Links'!C:C, 0))))</f>
        <v>https://drive.google.com/file/d/1y0uavGuuD3FfKExlt9hI-j32m6j_RxXx/view?usp=drivesdk</v>
      </c>
      <c r="Y1298" s="325"/>
      <c r="Z1298" s="319" t="s">
        <v>219</v>
      </c>
      <c r="AA1298" s="325"/>
      <c r="AB1298" s="319" t="s">
        <v>7359</v>
      </c>
      <c r="AC1298" s="325"/>
      <c r="AD1298" s="325"/>
      <c r="AE1298" s="325"/>
      <c r="AF1298" s="325"/>
      <c r="AG1298" s="325"/>
      <c r="AH1298" s="319"/>
      <c r="AI1298" s="325"/>
      <c r="AJ1298" s="325"/>
      <c r="AK1298" s="223"/>
      <c r="AL1298" s="325"/>
      <c r="AM1298" s="325"/>
      <c r="AN1298" s="327" t="s">
        <v>131</v>
      </c>
      <c r="AO1298" s="325"/>
      <c r="AP1298" s="325"/>
      <c r="AQ1298" s="325"/>
      <c r="AR1298" s="325"/>
      <c r="AS1298" s="325"/>
      <c r="AT1298" s="223"/>
      <c r="AU1298" s="223"/>
      <c r="AV1298" s="328"/>
      <c r="AW1298" s="223"/>
      <c r="AX1298" s="223"/>
      <c r="AY1298" s="319"/>
      <c r="AZ1298" s="322" t="s">
        <v>137</v>
      </c>
    </row>
    <row r="1299">
      <c r="A1299" s="41">
        <v>1299.0</v>
      </c>
      <c r="B1299" s="365" t="s">
        <v>145</v>
      </c>
      <c r="C1299" s="365" t="s">
        <v>108</v>
      </c>
      <c r="D1299" s="185" t="s">
        <v>138</v>
      </c>
      <c r="E1299" s="186"/>
      <c r="F1299" s="185" t="s">
        <v>7338</v>
      </c>
      <c r="G1299" s="55" t="s">
        <v>7360</v>
      </c>
      <c r="H1299" s="46"/>
      <c r="I1299" s="44" t="s">
        <v>112</v>
      </c>
      <c r="J1299" s="45">
        <v>45639.0</v>
      </c>
      <c r="K1299" s="46" t="s">
        <v>7340</v>
      </c>
      <c r="L1299" s="340" t="s">
        <v>7341</v>
      </c>
      <c r="M1299" s="340" t="s">
        <v>7342</v>
      </c>
      <c r="N1299" s="44" t="s">
        <v>7343</v>
      </c>
      <c r="O1299" s="505">
        <v>2.0</v>
      </c>
      <c r="P1299" s="48" t="s">
        <v>7344</v>
      </c>
      <c r="Q1299" s="49" t="str">
        <f t="array" ref="Q1299"> if(iserror(MATCH(V1299, 'File Links'!C:C, 0)), "N/A", HYPERLINK(INDEX('File Links'!B:B, MATCH(P1299, 'File Links'!C:C, 0))))</f>
        <v>https://drive.google.com/file/d/1jvY3Sgds8iuvtsLXHlpUqcaSBliH2tJV/view?usp=drivesdk</v>
      </c>
      <c r="R1299" s="44" t="s">
        <v>7345</v>
      </c>
      <c r="S1299" s="53" t="s">
        <v>7346</v>
      </c>
      <c r="T1299" s="387"/>
      <c r="U1299" s="1173">
        <v>2.0</v>
      </c>
      <c r="V1299" s="195" t="str">
        <f t="shared" si="78"/>
        <v>murtagh_2004.pdf</v>
      </c>
      <c r="W1299" s="387" t="s">
        <v>7347</v>
      </c>
      <c r="X1299" s="51" t="str">
        <f t="array" ref="X1299"> if(iserror(MATCH(V1299, 'File Links'!C:C, 0)), "N/A", HYPERLINK(INDEX('File Links'!B:B, MATCH(V1299, 'File Links'!C:C, 0))))</f>
        <v>https://drive.google.com/file/d/1y0uavGuuD3FfKExlt9hI-j32m6j_RxXx/view?usp=drivesdk</v>
      </c>
      <c r="Y1299" s="387"/>
      <c r="Z1299" s="387" t="s">
        <v>219</v>
      </c>
      <c r="AA1299" s="387" t="s">
        <v>7348</v>
      </c>
      <c r="AB1299" s="387" t="s">
        <v>7349</v>
      </c>
      <c r="AC1299" s="387" t="s">
        <v>7361</v>
      </c>
      <c r="AD1299" s="387" t="s">
        <v>7362</v>
      </c>
      <c r="AE1299" s="387" t="s">
        <v>806</v>
      </c>
      <c r="AF1299" s="1181">
        <v>40.0</v>
      </c>
      <c r="AG1299" s="1181" t="s">
        <v>7363</v>
      </c>
      <c r="AH1299" s="327" t="s">
        <v>127</v>
      </c>
      <c r="AI1299" s="387" t="s">
        <v>806</v>
      </c>
      <c r="AJ1299" s="1414">
        <v>0.01</v>
      </c>
      <c r="AK1299" s="328" t="s">
        <v>128</v>
      </c>
      <c r="AL1299" s="387" t="s">
        <v>211</v>
      </c>
      <c r="AM1299" s="387" t="s">
        <v>130</v>
      </c>
      <c r="AN1299" s="327" t="s">
        <v>131</v>
      </c>
      <c r="AO1299" s="1414">
        <v>76.0</v>
      </c>
      <c r="AP1299" s="1414">
        <v>-0.019</v>
      </c>
      <c r="AQ1299" s="387" t="s">
        <v>208</v>
      </c>
      <c r="AR1299" s="387" t="s">
        <v>7364</v>
      </c>
      <c r="AS1299" s="1414">
        <v>0.929</v>
      </c>
      <c r="AT1299" s="328" t="s">
        <v>165</v>
      </c>
      <c r="AU1299" s="328" t="s">
        <v>129</v>
      </c>
      <c r="AV1299" s="65" t="s">
        <v>130</v>
      </c>
      <c r="AW1299" s="327" t="s">
        <v>131</v>
      </c>
      <c r="AX1299" s="328" t="s">
        <v>136</v>
      </c>
      <c r="AY1299" s="409"/>
      <c r="AZ1299" s="322" t="s">
        <v>137</v>
      </c>
    </row>
    <row r="1300">
      <c r="A1300" s="41">
        <v>1300.0</v>
      </c>
      <c r="B1300" s="365" t="s">
        <v>145</v>
      </c>
      <c r="C1300" s="365" t="s">
        <v>108</v>
      </c>
      <c r="D1300" s="185" t="s">
        <v>138</v>
      </c>
      <c r="E1300" s="186"/>
      <c r="F1300" s="185" t="s">
        <v>7338</v>
      </c>
      <c r="G1300" s="55" t="s">
        <v>7365</v>
      </c>
      <c r="H1300" s="46"/>
      <c r="I1300" s="44" t="s">
        <v>112</v>
      </c>
      <c r="J1300" s="45">
        <v>45639.0</v>
      </c>
      <c r="K1300" s="46" t="s">
        <v>7340</v>
      </c>
      <c r="L1300" s="340" t="s">
        <v>7341</v>
      </c>
      <c r="M1300" s="340" t="s">
        <v>7342</v>
      </c>
      <c r="N1300" s="44" t="s">
        <v>7343</v>
      </c>
      <c r="O1300" s="505">
        <v>2.0</v>
      </c>
      <c r="P1300" s="48" t="s">
        <v>7344</v>
      </c>
      <c r="Q1300" s="49" t="str">
        <f t="array" ref="Q1300"> if(iserror(MATCH(V1300, 'File Links'!C:C, 0)), "N/A", HYPERLINK(INDEX('File Links'!B:B, MATCH(P1300, 'File Links'!C:C, 0))))</f>
        <v>https://drive.google.com/file/d/1jvY3Sgds8iuvtsLXHlpUqcaSBliH2tJV/view?usp=drivesdk</v>
      </c>
      <c r="R1300" s="44" t="s">
        <v>7345</v>
      </c>
      <c r="S1300" s="53" t="s">
        <v>7346</v>
      </c>
      <c r="T1300" s="387"/>
      <c r="U1300" s="1173">
        <v>2.0</v>
      </c>
      <c r="V1300" s="195" t="str">
        <f t="shared" si="78"/>
        <v>murtagh_2004.pdf</v>
      </c>
      <c r="W1300" s="387" t="s">
        <v>7347</v>
      </c>
      <c r="X1300" s="51" t="str">
        <f t="array" ref="X1300"> if(iserror(MATCH(V1300, 'File Links'!C:C, 0)), "N/A", HYPERLINK(INDEX('File Links'!B:B, MATCH(V1300, 'File Links'!C:C, 0))))</f>
        <v>https://drive.google.com/file/d/1y0uavGuuD3FfKExlt9hI-j32m6j_RxXx/view?usp=drivesdk</v>
      </c>
      <c r="Y1300" s="387"/>
      <c r="Z1300" s="387" t="s">
        <v>219</v>
      </c>
      <c r="AA1300" s="387" t="s">
        <v>7348</v>
      </c>
      <c r="AB1300" s="387" t="s">
        <v>7349</v>
      </c>
      <c r="AC1300" s="387" t="s">
        <v>7366</v>
      </c>
      <c r="AD1300" s="387" t="s">
        <v>7367</v>
      </c>
      <c r="AE1300" s="387" t="s">
        <v>806</v>
      </c>
      <c r="AF1300" s="1181">
        <v>39.0</v>
      </c>
      <c r="AG1300" s="1181" t="s">
        <v>7368</v>
      </c>
      <c r="AH1300" s="327" t="s">
        <v>127</v>
      </c>
      <c r="AI1300" s="387" t="s">
        <v>806</v>
      </c>
      <c r="AJ1300" s="1414">
        <v>0.001</v>
      </c>
      <c r="AK1300" s="328" t="s">
        <v>128</v>
      </c>
      <c r="AL1300" s="387" t="s">
        <v>211</v>
      </c>
      <c r="AM1300" s="387" t="s">
        <v>130</v>
      </c>
      <c r="AN1300" s="327" t="s">
        <v>131</v>
      </c>
      <c r="AO1300" s="1414">
        <v>76.0</v>
      </c>
      <c r="AP1300" s="1414">
        <v>0.091</v>
      </c>
      <c r="AQ1300" s="387" t="s">
        <v>208</v>
      </c>
      <c r="AR1300" s="387" t="s">
        <v>7364</v>
      </c>
      <c r="AS1300" s="1414">
        <v>0.666</v>
      </c>
      <c r="AT1300" s="328" t="s">
        <v>165</v>
      </c>
      <c r="AU1300" s="328" t="s">
        <v>129</v>
      </c>
      <c r="AV1300" s="65" t="s">
        <v>130</v>
      </c>
      <c r="AW1300" s="327" t="s">
        <v>131</v>
      </c>
      <c r="AX1300" s="328" t="s">
        <v>136</v>
      </c>
      <c r="AY1300" s="409"/>
      <c r="AZ1300" s="322" t="s">
        <v>137</v>
      </c>
    </row>
    <row r="1301">
      <c r="A1301" s="41">
        <v>1301.0</v>
      </c>
      <c r="B1301" s="319" t="s">
        <v>107</v>
      </c>
      <c r="C1301" s="319" t="s">
        <v>108</v>
      </c>
      <c r="D1301" s="322" t="s">
        <v>138</v>
      </c>
      <c r="E1301" s="223"/>
      <c r="F1301" s="328" t="s">
        <v>7369</v>
      </c>
      <c r="G1301" s="409" t="s">
        <v>7370</v>
      </c>
      <c r="H1301" s="46"/>
      <c r="I1301" s="44" t="s">
        <v>112</v>
      </c>
      <c r="J1301" s="45">
        <v>45641.0</v>
      </c>
      <c r="K1301" s="46" t="s">
        <v>7371</v>
      </c>
      <c r="L1301" s="340" t="s">
        <v>7372</v>
      </c>
      <c r="M1301" s="340" t="s">
        <v>7373</v>
      </c>
      <c r="N1301" s="44" t="s">
        <v>7374</v>
      </c>
      <c r="O1301" s="505">
        <v>1.0</v>
      </c>
      <c r="P1301" s="48" t="s">
        <v>7375</v>
      </c>
      <c r="Q1301" s="105" t="str">
        <f t="array" ref="Q1301"> if(iserror(MATCH(V1301, 'File Links'!C:C, 0)), "N/A", HYPERLINK(INDEX('File Links'!B:B, MATCH(P1301, 'File Links'!C:C, 0))))</f>
        <v>N/A</v>
      </c>
      <c r="R1301" s="44" t="s">
        <v>7376</v>
      </c>
      <c r="S1301" s="46"/>
      <c r="T1301" s="353" t="s">
        <v>7377</v>
      </c>
      <c r="U1301" s="383">
        <v>3.0</v>
      </c>
      <c r="V1301" s="195" t="str">
        <f t="shared" si="78"/>
        <v>.pdf</v>
      </c>
      <c r="W1301" s="46"/>
      <c r="X1301" s="46" t="str">
        <f t="array" ref="X1301"> if(iserror(MATCH(V1301, 'File Links'!C:C, 0)), "N/A", HYPERLINK(INDEX('File Links'!B:B, MATCH(V1301, 'File Links'!C:C, 0))))</f>
        <v>N/A</v>
      </c>
      <c r="Y1301" s="46"/>
      <c r="Z1301" s="46" t="s">
        <v>219</v>
      </c>
      <c r="AA1301" s="46"/>
      <c r="AB1301" s="46"/>
      <c r="AC1301" s="46"/>
      <c r="AD1301" s="46"/>
      <c r="AE1301" s="46"/>
      <c r="AF1301" s="46"/>
      <c r="AG1301" s="46"/>
      <c r="AH1301" s="102"/>
      <c r="AI1301" s="46"/>
      <c r="AJ1301" s="46"/>
      <c r="AK1301" s="43"/>
      <c r="AL1301" s="46"/>
      <c r="AM1301" s="46"/>
      <c r="AN1301" s="327" t="s">
        <v>131</v>
      </c>
      <c r="AO1301" s="46"/>
      <c r="AP1301" s="46"/>
      <c r="AQ1301" s="46"/>
      <c r="AR1301" s="46"/>
      <c r="AS1301" s="46"/>
      <c r="AT1301" s="43"/>
      <c r="AU1301" s="43"/>
      <c r="AV1301" s="43"/>
      <c r="AW1301" s="43"/>
      <c r="AX1301" s="43"/>
      <c r="AY1301" s="54"/>
    </row>
    <row r="1302">
      <c r="A1302" s="41">
        <v>1302.0</v>
      </c>
      <c r="B1302" s="319" t="s">
        <v>107</v>
      </c>
      <c r="C1302" s="322" t="s">
        <v>108</v>
      </c>
      <c r="D1302" s="322" t="s">
        <v>188</v>
      </c>
      <c r="E1302" s="223"/>
      <c r="F1302" s="322" t="s">
        <v>7369</v>
      </c>
      <c r="G1302" s="319" t="s">
        <v>7370</v>
      </c>
      <c r="H1302" s="42" t="s">
        <v>7357</v>
      </c>
      <c r="I1302" s="60">
        <v>44958.0</v>
      </c>
      <c r="J1302" s="61">
        <v>45638.0</v>
      </c>
      <c r="K1302" s="42" t="s">
        <v>7378</v>
      </c>
      <c r="L1302" s="697" t="s">
        <v>7358</v>
      </c>
      <c r="M1302" s="340" t="s">
        <v>7373</v>
      </c>
      <c r="N1302" s="42" t="s">
        <v>7374</v>
      </c>
      <c r="O1302" s="42">
        <v>3.0</v>
      </c>
      <c r="P1302" s="63" t="s">
        <v>7375</v>
      </c>
      <c r="Q1302" s="105" t="str">
        <f t="array" ref="Q1302"> if(iserror(MATCH(V1302, 'File Links'!C:C, 0)), "N/A", HYPERLINK(INDEX('File Links'!B:B, MATCH(P1302, 'File Links'!C:C, 0))))</f>
        <v>N/A</v>
      </c>
      <c r="R1302" s="42" t="s">
        <v>7376</v>
      </c>
      <c r="S1302" s="62"/>
      <c r="T1302" s="62"/>
      <c r="U1302" s="63">
        <v>3.0</v>
      </c>
      <c r="V1302" s="42" t="s">
        <v>570</v>
      </c>
      <c r="W1302" s="62"/>
      <c r="X1302" s="46" t="str">
        <f t="array" ref="X1302"> if(iserror(MATCH(V1302, 'File Links'!C:C, 0)), "N/A", HYPERLINK(INDEX('File Links'!B:B, MATCH(V1302, 'File Links'!C:C, 0))))</f>
        <v>N/A</v>
      </c>
      <c r="Y1302" s="42" t="s">
        <v>140</v>
      </c>
      <c r="Z1302" s="42" t="s">
        <v>219</v>
      </c>
      <c r="AA1302" s="62"/>
      <c r="AB1302" s="42" t="s">
        <v>7379</v>
      </c>
      <c r="AC1302" s="42" t="s">
        <v>7380</v>
      </c>
      <c r="AD1302" s="62"/>
      <c r="AE1302" s="62"/>
      <c r="AF1302" s="62"/>
      <c r="AG1302" s="62"/>
      <c r="AH1302" s="42"/>
      <c r="AI1302" s="62"/>
      <c r="AJ1302" s="62"/>
      <c r="AK1302" s="64"/>
      <c r="AL1302" s="62"/>
      <c r="AM1302" s="62"/>
      <c r="AN1302" s="327" t="s">
        <v>131</v>
      </c>
      <c r="AO1302" s="62"/>
      <c r="AP1302" s="62"/>
      <c r="AQ1302" s="62"/>
      <c r="AR1302" s="62"/>
      <c r="AS1302" s="62"/>
      <c r="AT1302" s="64"/>
      <c r="AU1302" s="64"/>
      <c r="AV1302" s="65"/>
      <c r="AX1302" s="64"/>
      <c r="AY1302" s="42"/>
    </row>
    <row r="1303">
      <c r="A1303" s="41">
        <v>1303.0</v>
      </c>
      <c r="B1303" s="146" t="s">
        <v>583</v>
      </c>
      <c r="C1303" s="146" t="s">
        <v>108</v>
      </c>
      <c r="D1303" s="146" t="s">
        <v>2623</v>
      </c>
      <c r="E1303" s="69"/>
      <c r="F1303" s="108" t="s">
        <v>7381</v>
      </c>
      <c r="G1303" s="109" t="s">
        <v>7382</v>
      </c>
      <c r="H1303" s="119" t="s">
        <v>7383</v>
      </c>
      <c r="I1303" s="110">
        <v>45654.0</v>
      </c>
      <c r="J1303" s="1415">
        <v>45673.0</v>
      </c>
      <c r="K1303" s="108"/>
      <c r="L1303" s="1416" t="s">
        <v>7384</v>
      </c>
      <c r="M1303" s="113" t="s">
        <v>7385</v>
      </c>
      <c r="N1303" s="215" t="s">
        <v>7386</v>
      </c>
      <c r="O1303" s="534">
        <v>1.0</v>
      </c>
      <c r="P1303" s="119" t="s">
        <v>7387</v>
      </c>
      <c r="Q1303" s="49" t="str">
        <f t="array" ref="Q1303"> if(iserror(MATCH(V1303, 'File Links'!C:C, 0)), "N/A", HYPERLINK(INDEX('File Links'!B:B, MATCH(P1303, 'File Links'!C:C, 0))))</f>
        <v>https://drive.google.com/file/d/1D8E42YuXrxlGwF61UWB4V8lYywAWr8dY/view?usp=drivesdk</v>
      </c>
      <c r="R1303" s="119" t="s">
        <v>7388</v>
      </c>
      <c r="S1303" s="215" t="s">
        <v>7389</v>
      </c>
      <c r="T1303" s="108"/>
      <c r="U1303" s="108"/>
      <c r="V1303" s="195" t="str">
        <f t="shared" ref="V1303:V1329" si="79"> hyperlink(vlookup(lower(S1303),#REF!, 2, FALSE), SUBSTITUTE(lower(S1303), "/", "--") &amp;  ".pdf")</f>
        <v>10.1037--a0024587.pdf</v>
      </c>
      <c r="W1303" s="215" t="s">
        <v>157</v>
      </c>
      <c r="X1303" s="51" t="str">
        <f t="array" ref="X1303"> if(iserror(MATCH(V1303, 'File Links'!C:C, 0)), "N/A", HYPERLINK(INDEX('File Links'!B:B, MATCH(V1303, 'File Links'!C:C, 0))))</f>
        <v>https://drive.google.com/file/d/1GYDJkUHLj_0GiFfIztass97sMyACxxL_/view?usp=drivesdk</v>
      </c>
      <c r="Y1303" s="108"/>
      <c r="Z1303" s="215" t="s">
        <v>219</v>
      </c>
      <c r="AA1303" s="215" t="s">
        <v>7390</v>
      </c>
      <c r="AB1303" s="215" t="s">
        <v>7391</v>
      </c>
      <c r="AC1303" s="215" t="s">
        <v>7392</v>
      </c>
      <c r="AD1303" s="215" t="s">
        <v>7393</v>
      </c>
      <c r="AE1303" s="221" t="s">
        <v>7394</v>
      </c>
      <c r="AF1303" s="1417">
        <v>97.0</v>
      </c>
      <c r="AG1303" s="1417">
        <v>0.55</v>
      </c>
      <c r="AH1303" s="1418" t="s">
        <v>132</v>
      </c>
      <c r="AI1303" s="207" t="s">
        <v>7395</v>
      </c>
      <c r="AJ1303" s="214">
        <v>0.023</v>
      </c>
      <c r="AK1303" s="215" t="s">
        <v>165</v>
      </c>
      <c r="AL1303" s="109" t="s">
        <v>179</v>
      </c>
      <c r="AM1303" s="1419" t="s">
        <v>130</v>
      </c>
      <c r="AN1303" s="327" t="s">
        <v>131</v>
      </c>
      <c r="AO1303" s="1417">
        <v>72.0</v>
      </c>
      <c r="AP1303" s="1417">
        <v>0.18</v>
      </c>
      <c r="AQ1303" s="215" t="s">
        <v>166</v>
      </c>
      <c r="AR1303" s="215" t="s">
        <v>7396</v>
      </c>
      <c r="AS1303" s="1417">
        <v>0.45</v>
      </c>
      <c r="AT1303" s="215" t="s">
        <v>165</v>
      </c>
      <c r="AU1303" s="215" t="s">
        <v>129</v>
      </c>
      <c r="AV1303" s="1419" t="s">
        <v>130</v>
      </c>
      <c r="AW1303" s="108"/>
      <c r="AX1303" s="1419" t="s">
        <v>136</v>
      </c>
      <c r="AY1303" s="148" t="s">
        <v>7384</v>
      </c>
      <c r="AZ1303" s="146" t="s">
        <v>137</v>
      </c>
    </row>
    <row r="1304">
      <c r="A1304" s="41">
        <v>1304.0</v>
      </c>
      <c r="B1304" s="146" t="s">
        <v>583</v>
      </c>
      <c r="C1304" s="146" t="s">
        <v>108</v>
      </c>
      <c r="D1304" s="146" t="s">
        <v>1263</v>
      </c>
      <c r="E1304" s="69"/>
      <c r="F1304" s="108" t="s">
        <v>7381</v>
      </c>
      <c r="G1304" s="109" t="s">
        <v>7382</v>
      </c>
      <c r="H1304" s="119" t="s">
        <v>5011</v>
      </c>
      <c r="I1304" s="110">
        <v>45646.0</v>
      </c>
      <c r="J1304" s="1415">
        <v>45673.0</v>
      </c>
      <c r="K1304" s="108"/>
      <c r="L1304" s="108"/>
      <c r="M1304" s="113" t="s">
        <v>7385</v>
      </c>
      <c r="N1304" s="119" t="s">
        <v>7386</v>
      </c>
      <c r="O1304" s="534">
        <v>1.0</v>
      </c>
      <c r="P1304" s="119" t="s">
        <v>7387</v>
      </c>
      <c r="Q1304" s="49" t="str">
        <f t="array" ref="Q1304"> if(iserror(MATCH(V1304, 'File Links'!C:C, 0)), "N/A", HYPERLINK(INDEX('File Links'!B:B, MATCH(P1304, 'File Links'!C:C, 0))))</f>
        <v>https://drive.google.com/file/d/1D8E42YuXrxlGwF61UWB4V8lYywAWr8dY/view?usp=drivesdk</v>
      </c>
      <c r="R1304" s="119" t="s">
        <v>7388</v>
      </c>
      <c r="S1304" s="119" t="s">
        <v>7389</v>
      </c>
      <c r="T1304" s="108"/>
      <c r="U1304" s="534">
        <v>1.0</v>
      </c>
      <c r="V1304" s="195" t="str">
        <f t="shared" si="79"/>
        <v>10.1037--a0024587.pdf</v>
      </c>
      <c r="W1304" s="119" t="s">
        <v>7397</v>
      </c>
      <c r="X1304" s="51" t="str">
        <f t="array" ref="X1304"> if(iserror(MATCH(V1304, 'File Links'!C:C, 0)), "N/A", HYPERLINK(INDEX('File Links'!B:B, MATCH(V1304, 'File Links'!C:C, 0))))</f>
        <v>https://drive.google.com/file/d/1GYDJkUHLj_0GiFfIztass97sMyACxxL_/view?usp=drivesdk</v>
      </c>
      <c r="Y1304" s="108"/>
      <c r="Z1304" s="119" t="s">
        <v>141</v>
      </c>
      <c r="AA1304" s="119" t="s">
        <v>7398</v>
      </c>
      <c r="AB1304" s="119" t="s">
        <v>7399</v>
      </c>
      <c r="AC1304" s="119" t="s">
        <v>7400</v>
      </c>
      <c r="AD1304" s="119" t="s">
        <v>7401</v>
      </c>
      <c r="AE1304" s="680" t="s">
        <v>7402</v>
      </c>
      <c r="AF1304" s="534">
        <v>141.0</v>
      </c>
      <c r="AG1304" s="534">
        <v>0.42</v>
      </c>
      <c r="AH1304" s="118" t="s">
        <v>166</v>
      </c>
      <c r="AI1304" s="109" t="s">
        <v>843</v>
      </c>
      <c r="AJ1304" s="114">
        <v>0.009</v>
      </c>
      <c r="AK1304" s="119" t="s">
        <v>165</v>
      </c>
      <c r="AL1304" s="109" t="s">
        <v>179</v>
      </c>
      <c r="AM1304" s="108" t="s">
        <v>130</v>
      </c>
      <c r="AN1304" s="327" t="s">
        <v>131</v>
      </c>
      <c r="AO1304" s="534">
        <v>38.0</v>
      </c>
      <c r="AP1304" s="534">
        <v>1.35</v>
      </c>
      <c r="AQ1304" s="119" t="s">
        <v>166</v>
      </c>
      <c r="AR1304" s="119" t="s">
        <v>806</v>
      </c>
      <c r="AS1304" s="534">
        <v>0.001</v>
      </c>
      <c r="AT1304" s="119" t="s">
        <v>128</v>
      </c>
      <c r="AU1304" s="119" t="s">
        <v>179</v>
      </c>
      <c r="AV1304" s="108" t="s">
        <v>130</v>
      </c>
      <c r="AW1304" s="108"/>
      <c r="AX1304" s="108" t="s">
        <v>136</v>
      </c>
      <c r="AY1304" s="65"/>
      <c r="AZ1304" s="146" t="s">
        <v>137</v>
      </c>
    </row>
    <row r="1305">
      <c r="A1305" s="41">
        <v>1305.0</v>
      </c>
      <c r="B1305" s="146" t="s">
        <v>583</v>
      </c>
      <c r="C1305" s="146" t="s">
        <v>108</v>
      </c>
      <c r="D1305" s="146" t="s">
        <v>1263</v>
      </c>
      <c r="E1305" s="69"/>
      <c r="F1305" s="108" t="s">
        <v>7381</v>
      </c>
      <c r="G1305" s="109" t="s">
        <v>7382</v>
      </c>
      <c r="H1305" s="119" t="s">
        <v>5011</v>
      </c>
      <c r="I1305" s="110">
        <v>45646.0</v>
      </c>
      <c r="J1305" s="1415">
        <v>45673.0</v>
      </c>
      <c r="K1305" s="119" t="s">
        <v>7403</v>
      </c>
      <c r="L1305" s="1416" t="s">
        <v>7404</v>
      </c>
      <c r="M1305" s="113" t="s">
        <v>7385</v>
      </c>
      <c r="N1305" s="119" t="s">
        <v>7386</v>
      </c>
      <c r="O1305" s="534">
        <v>1.0</v>
      </c>
      <c r="P1305" s="119" t="s">
        <v>7387</v>
      </c>
      <c r="Q1305" s="49" t="str">
        <f t="array" ref="Q1305"> if(iserror(MATCH(V1305, 'File Links'!C:C, 0)), "N/A", HYPERLINK(INDEX('File Links'!B:B, MATCH(P1305, 'File Links'!C:C, 0))))</f>
        <v>https://drive.google.com/file/d/1D8E42YuXrxlGwF61UWB4V8lYywAWr8dY/view?usp=drivesdk</v>
      </c>
      <c r="R1305" s="119" t="s">
        <v>7388</v>
      </c>
      <c r="S1305" s="119" t="s">
        <v>7389</v>
      </c>
      <c r="T1305" s="108"/>
      <c r="U1305" s="534">
        <v>1.0</v>
      </c>
      <c r="V1305" s="195" t="str">
        <f t="shared" si="79"/>
        <v>10.1037--a0024587.pdf</v>
      </c>
      <c r="W1305" s="119" t="s">
        <v>7397</v>
      </c>
      <c r="X1305" s="51" t="str">
        <f t="array" ref="X1305"> if(iserror(MATCH(V1305, 'File Links'!C:C, 0)), "N/A", HYPERLINK(INDEX('File Links'!B:B, MATCH(V1305, 'File Links'!C:C, 0))))</f>
        <v>https://drive.google.com/file/d/1GYDJkUHLj_0GiFfIztass97sMyACxxL_/view?usp=drivesdk</v>
      </c>
      <c r="Y1305" s="108"/>
      <c r="Z1305" s="119" t="s">
        <v>141</v>
      </c>
      <c r="AA1305" s="119" t="s">
        <v>7398</v>
      </c>
      <c r="AB1305" s="119" t="s">
        <v>7399</v>
      </c>
      <c r="AC1305" s="119" t="s">
        <v>7400</v>
      </c>
      <c r="AD1305" s="119" t="s">
        <v>7405</v>
      </c>
      <c r="AE1305" s="680" t="s">
        <v>806</v>
      </c>
      <c r="AF1305" s="534">
        <v>141.0</v>
      </c>
      <c r="AG1305" s="534">
        <v>0.34</v>
      </c>
      <c r="AH1305" s="118" t="s">
        <v>166</v>
      </c>
      <c r="AI1305" s="109" t="s">
        <v>806</v>
      </c>
      <c r="AJ1305" s="114">
        <v>0.06</v>
      </c>
      <c r="AK1305" s="119" t="s">
        <v>165</v>
      </c>
      <c r="AL1305" s="109" t="s">
        <v>179</v>
      </c>
      <c r="AM1305" s="108" t="s">
        <v>130</v>
      </c>
      <c r="AN1305" s="327" t="s">
        <v>131</v>
      </c>
      <c r="AO1305" s="534">
        <v>38.0</v>
      </c>
      <c r="AP1305" s="534">
        <v>0.439</v>
      </c>
      <c r="AQ1305" s="119" t="s">
        <v>166</v>
      </c>
      <c r="AR1305" s="119" t="s">
        <v>133</v>
      </c>
      <c r="AS1305" s="108"/>
      <c r="AT1305" s="108"/>
      <c r="AU1305" s="108"/>
      <c r="AV1305" s="108"/>
      <c r="AW1305" s="108"/>
      <c r="AX1305" s="108" t="s">
        <v>136</v>
      </c>
      <c r="AY1305" s="148" t="s">
        <v>7404</v>
      </c>
      <c r="AZ1305" s="146" t="s">
        <v>137</v>
      </c>
    </row>
    <row r="1306">
      <c r="A1306" s="41">
        <v>1306.0</v>
      </c>
      <c r="B1306" s="713" t="s">
        <v>107</v>
      </c>
      <c r="C1306" s="713" t="s">
        <v>108</v>
      </c>
      <c r="D1306" s="713" t="s">
        <v>2623</v>
      </c>
      <c r="E1306" s="694"/>
      <c r="F1306" s="1420" t="s">
        <v>7406</v>
      </c>
      <c r="G1306" s="715" t="s">
        <v>7407</v>
      </c>
      <c r="H1306" s="714" t="s">
        <v>7383</v>
      </c>
      <c r="I1306" s="716">
        <v>45654.0</v>
      </c>
      <c r="J1306" s="760">
        <v>45673.0</v>
      </c>
      <c r="K1306" s="1420"/>
      <c r="L1306" s="727" t="s">
        <v>7408</v>
      </c>
      <c r="M1306" s="113" t="s">
        <v>7385</v>
      </c>
      <c r="N1306" s="1421" t="s">
        <v>7386</v>
      </c>
      <c r="O1306" s="1422">
        <v>1.0</v>
      </c>
      <c r="P1306" s="714" t="s">
        <v>7387</v>
      </c>
      <c r="Q1306" s="49" t="str">
        <f t="array" ref="Q1306"> if(iserror(MATCH(V1306, 'File Links'!C:C, 0)), "N/A", HYPERLINK(INDEX('File Links'!B:B, MATCH(P1306, 'File Links'!C:C, 0))))</f>
        <v>https://drive.google.com/file/d/1D8E42YuXrxlGwF61UWB4V8lYywAWr8dY/view?usp=drivesdk</v>
      </c>
      <c r="R1306" s="714" t="s">
        <v>7409</v>
      </c>
      <c r="S1306" s="1421" t="s">
        <v>7410</v>
      </c>
      <c r="T1306" s="1420"/>
      <c r="U1306" s="1420"/>
      <c r="V1306" s="195" t="str">
        <f t="shared" si="79"/>
        <v>10.1186--2050-7283-1-22.pdf</v>
      </c>
      <c r="W1306" s="1421"/>
      <c r="X1306" s="51" t="str">
        <f t="array" ref="X1306"> if(iserror(MATCH(V1306, 'File Links'!C:C, 0)), "N/A", HYPERLINK(INDEX('File Links'!B:B, MATCH(V1306, 'File Links'!C:C, 0))))</f>
        <v>https://drive.google.com/file/d/177P2xO1D22ODvu0Zcz9Ls-wtsZM0ck_y/view?usp=drivesdk</v>
      </c>
      <c r="Y1306" s="1420"/>
      <c r="Z1306" s="1421" t="s">
        <v>219</v>
      </c>
      <c r="AA1306" s="1421" t="s">
        <v>7390</v>
      </c>
      <c r="AB1306" s="1421" t="s">
        <v>7391</v>
      </c>
      <c r="AC1306" s="1421" t="s">
        <v>7392</v>
      </c>
      <c r="AD1306" s="1421" t="s">
        <v>7393</v>
      </c>
      <c r="AE1306" s="1423">
        <v>245.0</v>
      </c>
      <c r="AF1306" s="1423">
        <v>97.0</v>
      </c>
      <c r="AG1306" s="1423">
        <v>0.55</v>
      </c>
      <c r="AH1306" s="1418" t="s">
        <v>132</v>
      </c>
      <c r="AI1306" s="1424" t="s">
        <v>7395</v>
      </c>
      <c r="AJ1306" s="1425">
        <v>0.023</v>
      </c>
      <c r="AK1306" s="1421" t="s">
        <v>165</v>
      </c>
      <c r="AL1306" s="1424" t="s">
        <v>129</v>
      </c>
      <c r="AM1306" s="1426" t="s">
        <v>130</v>
      </c>
      <c r="AN1306" s="327" t="s">
        <v>131</v>
      </c>
      <c r="AO1306" s="1423">
        <v>93.0</v>
      </c>
      <c r="AP1306" s="1423">
        <v>0.28</v>
      </c>
      <c r="AQ1306" s="1421" t="s">
        <v>166</v>
      </c>
      <c r="AR1306" s="1421" t="s">
        <v>7411</v>
      </c>
      <c r="AS1306" s="1423">
        <v>0.17</v>
      </c>
      <c r="AT1306" s="1421" t="s">
        <v>165</v>
      </c>
      <c r="AU1306" s="1421" t="s">
        <v>129</v>
      </c>
      <c r="AV1306" s="1426" t="s">
        <v>130</v>
      </c>
      <c r="AW1306" s="1420"/>
      <c r="AX1306" s="395" t="s">
        <v>144</v>
      </c>
      <c r="AY1306" s="727" t="s">
        <v>7412</v>
      </c>
      <c r="AZ1306" s="146" t="s">
        <v>137</v>
      </c>
    </row>
    <row r="1307">
      <c r="A1307" s="41">
        <v>1307.0</v>
      </c>
      <c r="B1307" s="394" t="s">
        <v>145</v>
      </c>
      <c r="C1307" s="394" t="s">
        <v>108</v>
      </c>
      <c r="D1307" s="394" t="s">
        <v>1263</v>
      </c>
      <c r="E1307" s="217"/>
      <c r="F1307" s="395" t="s">
        <v>7406</v>
      </c>
      <c r="G1307" s="396" t="s">
        <v>7407</v>
      </c>
      <c r="H1307" s="404" t="s">
        <v>5011</v>
      </c>
      <c r="I1307" s="724">
        <v>45646.0</v>
      </c>
      <c r="J1307" s="1427">
        <v>45673.0</v>
      </c>
      <c r="K1307" s="395"/>
      <c r="L1307" s="727" t="s">
        <v>7408</v>
      </c>
      <c r="M1307" s="113" t="s">
        <v>7385</v>
      </c>
      <c r="N1307" s="404" t="s">
        <v>7386</v>
      </c>
      <c r="O1307" s="725">
        <v>1.0</v>
      </c>
      <c r="P1307" s="404" t="s">
        <v>7387</v>
      </c>
      <c r="Q1307" s="49" t="str">
        <f t="array" ref="Q1307"> if(iserror(MATCH(V1307, 'File Links'!C:C, 0)), "N/A", HYPERLINK(INDEX('File Links'!B:B, MATCH(P1307, 'File Links'!C:C, 0))))</f>
        <v>https://drive.google.com/file/d/1D8E42YuXrxlGwF61UWB4V8lYywAWr8dY/view?usp=drivesdk</v>
      </c>
      <c r="R1307" s="404" t="s">
        <v>7409</v>
      </c>
      <c r="S1307" s="404" t="s">
        <v>7410</v>
      </c>
      <c r="T1307" s="395"/>
      <c r="U1307" s="395"/>
      <c r="V1307" s="195" t="str">
        <f t="shared" si="79"/>
        <v>10.1186--2050-7283-1-22.pdf</v>
      </c>
      <c r="W1307" s="404" t="s">
        <v>7413</v>
      </c>
      <c r="X1307" s="51" t="str">
        <f t="array" ref="X1307"> if(iserror(MATCH(V1307, 'File Links'!C:C, 0)), "N/A", HYPERLINK(INDEX('File Links'!B:B, MATCH(V1307, 'File Links'!C:C, 0))))</f>
        <v>https://drive.google.com/file/d/177P2xO1D22ODvu0Zcz9Ls-wtsZM0ck_y/view?usp=drivesdk</v>
      </c>
      <c r="Y1307" s="395"/>
      <c r="Z1307" s="404" t="s">
        <v>141</v>
      </c>
      <c r="AA1307" s="404" t="s">
        <v>7398</v>
      </c>
      <c r="AB1307" s="404" t="s">
        <v>7399</v>
      </c>
      <c r="AC1307" s="404" t="s">
        <v>7400</v>
      </c>
      <c r="AD1307" s="404" t="s">
        <v>7401</v>
      </c>
      <c r="AE1307" s="1428">
        <v>45416.0</v>
      </c>
      <c r="AF1307" s="725">
        <v>141.0</v>
      </c>
      <c r="AG1307" s="725">
        <v>0.42</v>
      </c>
      <c r="AH1307" s="400" t="s">
        <v>166</v>
      </c>
      <c r="AI1307" s="396" t="s">
        <v>843</v>
      </c>
      <c r="AJ1307" s="403">
        <v>0.009</v>
      </c>
      <c r="AK1307" s="404" t="s">
        <v>165</v>
      </c>
      <c r="AL1307" s="396" t="s">
        <v>179</v>
      </c>
      <c r="AM1307" s="395" t="s">
        <v>130</v>
      </c>
      <c r="AN1307" s="327" t="s">
        <v>131</v>
      </c>
      <c r="AO1307" s="767">
        <v>235.0</v>
      </c>
      <c r="AP1307" s="767">
        <v>-0.3</v>
      </c>
      <c r="AQ1307" s="395" t="s">
        <v>166</v>
      </c>
      <c r="AR1307" s="395" t="s">
        <v>7352</v>
      </c>
      <c r="AS1307" s="725">
        <v>0.05</v>
      </c>
      <c r="AT1307" s="404" t="s">
        <v>128</v>
      </c>
      <c r="AU1307" s="404" t="s">
        <v>179</v>
      </c>
      <c r="AV1307" s="395" t="s">
        <v>130</v>
      </c>
      <c r="AW1307" s="395"/>
      <c r="AX1307" s="395" t="s">
        <v>144</v>
      </c>
      <c r="AY1307" s="404"/>
      <c r="AZ1307" s="146" t="s">
        <v>137</v>
      </c>
    </row>
    <row r="1308">
      <c r="A1308" s="41">
        <v>1308.0</v>
      </c>
      <c r="B1308" s="394" t="s">
        <v>107</v>
      </c>
      <c r="C1308" s="394" t="s">
        <v>108</v>
      </c>
      <c r="D1308" s="394" t="s">
        <v>1263</v>
      </c>
      <c r="E1308" s="217"/>
      <c r="F1308" s="395" t="s">
        <v>7406</v>
      </c>
      <c r="G1308" s="396" t="s">
        <v>7407</v>
      </c>
      <c r="H1308" s="404" t="s">
        <v>5011</v>
      </c>
      <c r="I1308" s="724">
        <v>45646.0</v>
      </c>
      <c r="J1308" s="1427">
        <v>45673.0</v>
      </c>
      <c r="K1308" s="404" t="s">
        <v>7414</v>
      </c>
      <c r="L1308" s="404"/>
      <c r="M1308" s="113" t="s">
        <v>7385</v>
      </c>
      <c r="N1308" s="404" t="s">
        <v>7386</v>
      </c>
      <c r="O1308" s="725">
        <v>1.0</v>
      </c>
      <c r="P1308" s="404" t="s">
        <v>7387</v>
      </c>
      <c r="Q1308" s="49" t="str">
        <f t="array" ref="Q1308"> if(iserror(MATCH(V1308, 'File Links'!C:C, 0)), "N/A", HYPERLINK(INDEX('File Links'!B:B, MATCH(P1308, 'File Links'!C:C, 0))))</f>
        <v>https://drive.google.com/file/d/1D8E42YuXrxlGwF61UWB4V8lYywAWr8dY/view?usp=drivesdk</v>
      </c>
      <c r="R1308" s="404" t="s">
        <v>7409</v>
      </c>
      <c r="S1308" s="404" t="s">
        <v>7410</v>
      </c>
      <c r="T1308" s="395"/>
      <c r="U1308" s="395"/>
      <c r="V1308" s="195" t="str">
        <f t="shared" si="79"/>
        <v>10.1186--2050-7283-1-22.pdf</v>
      </c>
      <c r="W1308" s="404" t="s">
        <v>7413</v>
      </c>
      <c r="X1308" s="51" t="str">
        <f t="array" ref="X1308"> if(iserror(MATCH(V1308, 'File Links'!C:C, 0)), "N/A", HYPERLINK(INDEX('File Links'!B:B, MATCH(V1308, 'File Links'!C:C, 0))))</f>
        <v>https://drive.google.com/file/d/177P2xO1D22ODvu0Zcz9Ls-wtsZM0ck_y/view?usp=drivesdk</v>
      </c>
      <c r="Y1308" s="395"/>
      <c r="Z1308" s="404" t="s">
        <v>141</v>
      </c>
      <c r="AA1308" s="404" t="s">
        <v>7398</v>
      </c>
      <c r="AB1308" s="404" t="s">
        <v>7399</v>
      </c>
      <c r="AC1308" s="404" t="s">
        <v>7400</v>
      </c>
      <c r="AD1308" s="404" t="s">
        <v>7401</v>
      </c>
      <c r="AE1308" s="1428">
        <v>45416.0</v>
      </c>
      <c r="AF1308" s="725">
        <v>141.0</v>
      </c>
      <c r="AG1308" s="725">
        <v>0.42</v>
      </c>
      <c r="AH1308" s="400" t="s">
        <v>166</v>
      </c>
      <c r="AI1308" s="396" t="s">
        <v>843</v>
      </c>
      <c r="AJ1308" s="403">
        <v>0.009</v>
      </c>
      <c r="AK1308" s="404" t="s">
        <v>165</v>
      </c>
      <c r="AL1308" s="396" t="s">
        <v>179</v>
      </c>
      <c r="AM1308" s="395" t="s">
        <v>130</v>
      </c>
      <c r="AN1308" s="327" t="s">
        <v>131</v>
      </c>
      <c r="AO1308" s="725">
        <v>235.0</v>
      </c>
      <c r="AP1308" s="404" t="s">
        <v>7415</v>
      </c>
      <c r="AQ1308" s="404" t="s">
        <v>127</v>
      </c>
      <c r="AR1308" s="395" t="s">
        <v>806</v>
      </c>
      <c r="AS1308" s="725">
        <v>0.05</v>
      </c>
      <c r="AT1308" s="404" t="s">
        <v>128</v>
      </c>
      <c r="AU1308" s="404" t="s">
        <v>179</v>
      </c>
      <c r="AV1308" s="395" t="s">
        <v>130</v>
      </c>
      <c r="AW1308" s="395"/>
      <c r="AX1308" s="395" t="s">
        <v>144</v>
      </c>
      <c r="AY1308" s="404"/>
      <c r="AZ1308" s="146" t="s">
        <v>137</v>
      </c>
    </row>
    <row r="1309">
      <c r="A1309" s="41">
        <v>1309.0</v>
      </c>
      <c r="B1309" s="121" t="s">
        <v>107</v>
      </c>
      <c r="C1309" s="121" t="s">
        <v>108</v>
      </c>
      <c r="D1309" s="121" t="s">
        <v>2623</v>
      </c>
      <c r="E1309" s="104"/>
      <c r="F1309" s="122" t="s">
        <v>7416</v>
      </c>
      <c r="G1309" s="123" t="s">
        <v>7417</v>
      </c>
      <c r="H1309" s="137" t="s">
        <v>7383</v>
      </c>
      <c r="I1309" s="124">
        <v>45654.0</v>
      </c>
      <c r="J1309" s="815">
        <v>45674.0</v>
      </c>
      <c r="K1309" s="122"/>
      <c r="L1309" s="116" t="s">
        <v>7418</v>
      </c>
      <c r="M1309" s="113" t="s">
        <v>7385</v>
      </c>
      <c r="N1309" s="816" t="s">
        <v>7386</v>
      </c>
      <c r="O1309" s="779">
        <v>1.0</v>
      </c>
      <c r="P1309" s="137" t="s">
        <v>7387</v>
      </c>
      <c r="Q1309" s="49" t="str">
        <f t="array" ref="Q1309"> if(iserror(MATCH(V1309, 'File Links'!C:C, 0)), "N/A", HYPERLINK(INDEX('File Links'!B:B, MATCH(P1309, 'File Links'!C:C, 0))))</f>
        <v>https://drive.google.com/file/d/1D8E42YuXrxlGwF61UWB4V8lYywAWr8dY/view?usp=drivesdk</v>
      </c>
      <c r="R1309" s="137" t="s">
        <v>7419</v>
      </c>
      <c r="S1309" s="816" t="s">
        <v>7420</v>
      </c>
      <c r="T1309" s="122"/>
      <c r="U1309" s="122"/>
      <c r="V1309" s="195" t="str">
        <f t="shared" si="79"/>
        <v>10.1371--journal.pone.0147770.pdf</v>
      </c>
      <c r="W1309" s="119" t="s">
        <v>7413</v>
      </c>
      <c r="X1309" s="51" t="str">
        <f t="array" ref="X1309"> if(iserror(MATCH(V1309, 'File Links'!C:C, 0)), "N/A", HYPERLINK(INDEX('File Links'!B:B, MATCH(V1309, 'File Links'!C:C, 0))))</f>
        <v>https://drive.google.com/file/d/1UXS2QTqJQUfE_Pyj2Qy0nOdEsfBcSrJD/view?usp=drivesdk</v>
      </c>
      <c r="Y1309" s="122"/>
      <c r="Z1309" s="816" t="s">
        <v>219</v>
      </c>
      <c r="AA1309" s="821" t="s">
        <v>7390</v>
      </c>
      <c r="AB1309" s="816" t="s">
        <v>7391</v>
      </c>
      <c r="AC1309" s="821" t="s">
        <v>7392</v>
      </c>
      <c r="AD1309" s="816" t="s">
        <v>7393</v>
      </c>
      <c r="AE1309" s="817">
        <v>245.0</v>
      </c>
      <c r="AF1309" s="817">
        <v>97.0</v>
      </c>
      <c r="AG1309" s="817">
        <v>0.55</v>
      </c>
      <c r="AH1309" s="1418" t="s">
        <v>132</v>
      </c>
      <c r="AI1309" s="219" t="s">
        <v>7395</v>
      </c>
      <c r="AJ1309" s="820">
        <v>0.023</v>
      </c>
      <c r="AK1309" s="816" t="s">
        <v>165</v>
      </c>
      <c r="AL1309" s="219" t="s">
        <v>129</v>
      </c>
      <c r="AM1309" s="821" t="s">
        <v>130</v>
      </c>
      <c r="AN1309" s="327" t="s">
        <v>131</v>
      </c>
      <c r="AO1309" s="817">
        <v>228.0</v>
      </c>
      <c r="AP1309" s="817">
        <v>0.02</v>
      </c>
      <c r="AQ1309" s="816" t="s">
        <v>166</v>
      </c>
      <c r="AR1309" s="816" t="s">
        <v>7421</v>
      </c>
      <c r="AS1309" s="817">
        <v>0.78</v>
      </c>
      <c r="AT1309" s="816" t="s">
        <v>165</v>
      </c>
      <c r="AU1309" s="816" t="s">
        <v>129</v>
      </c>
      <c r="AV1309" s="821" t="s">
        <v>130</v>
      </c>
      <c r="AW1309" s="122"/>
      <c r="AX1309" s="821" t="s">
        <v>136</v>
      </c>
      <c r="AY1309" s="116" t="s">
        <v>7422</v>
      </c>
      <c r="AZ1309" s="146" t="s">
        <v>137</v>
      </c>
    </row>
    <row r="1310">
      <c r="A1310" s="41">
        <v>1310.0</v>
      </c>
      <c r="B1310" s="146" t="s">
        <v>145</v>
      </c>
      <c r="C1310" s="146" t="s">
        <v>108</v>
      </c>
      <c r="D1310" s="146" t="s">
        <v>1263</v>
      </c>
      <c r="E1310" s="69"/>
      <c r="F1310" s="108" t="s">
        <v>7416</v>
      </c>
      <c r="G1310" s="109" t="s">
        <v>7417</v>
      </c>
      <c r="H1310" s="119" t="s">
        <v>5011</v>
      </c>
      <c r="I1310" s="110">
        <v>45646.0</v>
      </c>
      <c r="J1310" s="815">
        <v>45674.0</v>
      </c>
      <c r="K1310" s="119" t="s">
        <v>7423</v>
      </c>
      <c r="L1310" s="113" t="s">
        <v>7424</v>
      </c>
      <c r="M1310" s="113" t="s">
        <v>7385</v>
      </c>
      <c r="N1310" s="119" t="s">
        <v>7386</v>
      </c>
      <c r="O1310" s="534">
        <v>1.0</v>
      </c>
      <c r="P1310" s="119" t="s">
        <v>7387</v>
      </c>
      <c r="Q1310" s="49" t="str">
        <f t="array" ref="Q1310"> if(iserror(MATCH(V1310, 'File Links'!C:C, 0)), "N/A", HYPERLINK(INDEX('File Links'!B:B, MATCH(P1310, 'File Links'!C:C, 0))))</f>
        <v>https://drive.google.com/file/d/1D8E42YuXrxlGwF61UWB4V8lYywAWr8dY/view?usp=drivesdk</v>
      </c>
      <c r="R1310" s="119" t="s">
        <v>7419</v>
      </c>
      <c r="S1310" s="119" t="s">
        <v>7420</v>
      </c>
      <c r="T1310" s="108"/>
      <c r="U1310" s="144">
        <v>1.0</v>
      </c>
      <c r="V1310" s="195" t="str">
        <f t="shared" si="79"/>
        <v>10.1371--journal.pone.0147770.pdf</v>
      </c>
      <c r="W1310" s="119" t="s">
        <v>7413</v>
      </c>
      <c r="X1310" s="51" t="str">
        <f t="array" ref="X1310"> if(iserror(MATCH(V1310, 'File Links'!C:C, 0)), "N/A", HYPERLINK(INDEX('File Links'!B:B, MATCH(V1310, 'File Links'!C:C, 0))))</f>
        <v>https://drive.google.com/file/d/1UXS2QTqJQUfE_Pyj2Qy0nOdEsfBcSrJD/view?usp=drivesdk</v>
      </c>
      <c r="Y1310" s="108"/>
      <c r="Z1310" s="119" t="s">
        <v>141</v>
      </c>
      <c r="AA1310" s="119" t="s">
        <v>7398</v>
      </c>
      <c r="AB1310" s="119" t="s">
        <v>7399</v>
      </c>
      <c r="AC1310" s="119" t="s">
        <v>7400</v>
      </c>
      <c r="AD1310" s="119" t="s">
        <v>7401</v>
      </c>
      <c r="AE1310" s="1429">
        <v>45416.0</v>
      </c>
      <c r="AF1310" s="534">
        <v>141.0</v>
      </c>
      <c r="AG1310" s="534">
        <v>0.42</v>
      </c>
      <c r="AH1310" s="118" t="s">
        <v>166</v>
      </c>
      <c r="AI1310" s="109" t="s">
        <v>843</v>
      </c>
      <c r="AJ1310" s="114">
        <v>0.009</v>
      </c>
      <c r="AK1310" s="119" t="s">
        <v>165</v>
      </c>
      <c r="AL1310" s="109" t="s">
        <v>179</v>
      </c>
      <c r="AM1310" s="108" t="s">
        <v>130</v>
      </c>
      <c r="AN1310" s="327" t="s">
        <v>131</v>
      </c>
      <c r="AO1310" s="534">
        <v>200.0</v>
      </c>
      <c r="AP1310" s="534">
        <v>-0.22</v>
      </c>
      <c r="AQ1310" s="119" t="s">
        <v>166</v>
      </c>
      <c r="AR1310" s="119" t="s">
        <v>300</v>
      </c>
      <c r="AS1310" s="534">
        <v>0.146</v>
      </c>
      <c r="AT1310" s="119" t="s">
        <v>165</v>
      </c>
      <c r="AU1310" s="119" t="s">
        <v>179</v>
      </c>
      <c r="AV1310" s="108" t="s">
        <v>130</v>
      </c>
      <c r="AW1310" s="777" t="s">
        <v>7425</v>
      </c>
      <c r="AX1310" s="108" t="s">
        <v>136</v>
      </c>
      <c r="AY1310" s="113" t="s">
        <v>7426</v>
      </c>
      <c r="AZ1310" s="146" t="s">
        <v>137</v>
      </c>
    </row>
    <row r="1311">
      <c r="A1311" s="41">
        <v>1311.0</v>
      </c>
      <c r="B1311" s="146" t="s">
        <v>145</v>
      </c>
      <c r="C1311" s="146" t="s">
        <v>108</v>
      </c>
      <c r="D1311" s="146" t="s">
        <v>1263</v>
      </c>
      <c r="E1311" s="69"/>
      <c r="F1311" s="108" t="s">
        <v>7416</v>
      </c>
      <c r="G1311" s="109" t="s">
        <v>7417</v>
      </c>
      <c r="H1311" s="119" t="s">
        <v>5011</v>
      </c>
      <c r="I1311" s="110">
        <v>45646.0</v>
      </c>
      <c r="J1311" s="815">
        <v>45674.0</v>
      </c>
      <c r="K1311" s="119" t="s">
        <v>7427</v>
      </c>
      <c r="L1311" s="119"/>
      <c r="M1311" s="113" t="s">
        <v>7385</v>
      </c>
      <c r="N1311" s="119" t="s">
        <v>7386</v>
      </c>
      <c r="O1311" s="534">
        <v>1.0</v>
      </c>
      <c r="P1311" s="119" t="s">
        <v>7387</v>
      </c>
      <c r="Q1311" s="49" t="str">
        <f t="array" ref="Q1311"> if(iserror(MATCH(V1311, 'File Links'!C:C, 0)), "N/A", HYPERLINK(INDEX('File Links'!B:B, MATCH(P1311, 'File Links'!C:C, 0))))</f>
        <v>https://drive.google.com/file/d/1D8E42YuXrxlGwF61UWB4V8lYywAWr8dY/view?usp=drivesdk</v>
      </c>
      <c r="R1311" s="119" t="s">
        <v>7419</v>
      </c>
      <c r="S1311" s="119" t="s">
        <v>7420</v>
      </c>
      <c r="T1311" s="108"/>
      <c r="U1311" s="144">
        <v>1.0</v>
      </c>
      <c r="V1311" s="195" t="str">
        <f t="shared" si="79"/>
        <v>10.1371--journal.pone.0147770.pdf</v>
      </c>
      <c r="W1311" s="119" t="s">
        <v>7413</v>
      </c>
      <c r="X1311" s="51" t="str">
        <f t="array" ref="X1311"> if(iserror(MATCH(V1311, 'File Links'!C:C, 0)), "N/A", HYPERLINK(INDEX('File Links'!B:B, MATCH(V1311, 'File Links'!C:C, 0))))</f>
        <v>https://drive.google.com/file/d/1UXS2QTqJQUfE_Pyj2Qy0nOdEsfBcSrJD/view?usp=drivesdk</v>
      </c>
      <c r="Y1311" s="108"/>
      <c r="Z1311" s="119" t="s">
        <v>141</v>
      </c>
      <c r="AA1311" s="119" t="s">
        <v>7398</v>
      </c>
      <c r="AB1311" s="119" t="s">
        <v>7399</v>
      </c>
      <c r="AC1311" s="119" t="s">
        <v>7400</v>
      </c>
      <c r="AD1311" s="119" t="s">
        <v>7428</v>
      </c>
      <c r="AE1311" s="534">
        <v>4.0</v>
      </c>
      <c r="AF1311" s="534">
        <v>141.0</v>
      </c>
      <c r="AG1311" s="119" t="s">
        <v>7429</v>
      </c>
      <c r="AH1311" s="118" t="s">
        <v>127</v>
      </c>
      <c r="AI1311" s="109" t="s">
        <v>843</v>
      </c>
      <c r="AJ1311" s="114">
        <v>0.001</v>
      </c>
      <c r="AK1311" s="119" t="s">
        <v>128</v>
      </c>
      <c r="AL1311" s="109" t="s">
        <v>179</v>
      </c>
      <c r="AM1311" s="108" t="s">
        <v>130</v>
      </c>
      <c r="AN1311" s="327" t="s">
        <v>131</v>
      </c>
      <c r="AO1311" s="534">
        <v>200.0</v>
      </c>
      <c r="AP1311" s="534">
        <v>0.28</v>
      </c>
      <c r="AQ1311" s="119" t="s">
        <v>166</v>
      </c>
      <c r="AR1311" s="119" t="s">
        <v>605</v>
      </c>
      <c r="AS1311" s="680">
        <v>0.05</v>
      </c>
      <c r="AT1311" s="119" t="s">
        <v>165</v>
      </c>
      <c r="AU1311" s="119" t="s">
        <v>179</v>
      </c>
      <c r="AV1311" s="108" t="s">
        <v>130</v>
      </c>
      <c r="AW1311" s="777" t="s">
        <v>7425</v>
      </c>
      <c r="AX1311" s="108" t="s">
        <v>136</v>
      </c>
      <c r="AY1311" s="119"/>
      <c r="AZ1311" s="146" t="s">
        <v>137</v>
      </c>
    </row>
    <row r="1312">
      <c r="A1312" s="41">
        <v>1312.0</v>
      </c>
      <c r="B1312" s="319" t="s">
        <v>145</v>
      </c>
      <c r="C1312" s="319" t="s">
        <v>108</v>
      </c>
      <c r="D1312" s="322" t="s">
        <v>138</v>
      </c>
      <c r="E1312" s="223"/>
      <c r="F1312" s="328" t="s">
        <v>7430</v>
      </c>
      <c r="G1312" s="409" t="s">
        <v>7431</v>
      </c>
      <c r="H1312" s="327" t="s">
        <v>138</v>
      </c>
      <c r="I1312" s="1430">
        <v>45641.0</v>
      </c>
      <c r="J1312" s="167">
        <v>45674.0</v>
      </c>
      <c r="K1312" s="387"/>
      <c r="L1312" s="321" t="s">
        <v>7432</v>
      </c>
      <c r="M1312" s="409" t="s">
        <v>7433</v>
      </c>
      <c r="N1312" s="409" t="s">
        <v>7434</v>
      </c>
      <c r="O1312" s="1414">
        <v>2.0</v>
      </c>
      <c r="P1312" s="657" t="s">
        <v>7435</v>
      </c>
      <c r="Q1312" s="49" t="str">
        <f t="array" ref="Q1312"> if(iserror(MATCH(V1312, 'File Links'!C:C, 0)), "N/A", HYPERLINK(INDEX('File Links'!B:B, MATCH(P1312, 'File Links'!C:C, 0))))</f>
        <v>https://drive.google.com/file/d/15Wsn7yRLOjnPIu3oOYbA1lhbZIRp1-8K/view?usp=drivesdk</v>
      </c>
      <c r="R1312" s="1035" t="s">
        <v>7436</v>
      </c>
      <c r="S1312" s="1035" t="s">
        <v>7437</v>
      </c>
      <c r="T1312" s="387"/>
      <c r="U1312" s="1179">
        <v>2.0</v>
      </c>
      <c r="V1312" s="195" t="str">
        <f t="shared" si="79"/>
        <v>10.1371--journal.pone.0096339.pdf</v>
      </c>
      <c r="W1312" s="119" t="s">
        <v>7413</v>
      </c>
      <c r="X1312" s="51" t="str">
        <f t="array" ref="X1312"> if(iserror(MATCH(V1312, 'File Links'!C:C, 0)), "N/A", HYPERLINK(INDEX('File Links'!B:B, MATCH(V1312, 'File Links'!C:C, 0))))</f>
        <v>https://drive.google.com/file/d/1gBBT6EBomzmICcRfzrG_6jxfvMnRuQIj/view?usp=drivesdk</v>
      </c>
      <c r="Y1312" s="387"/>
      <c r="Z1312" s="1431" t="s">
        <v>219</v>
      </c>
      <c r="AA1312" s="332" t="s">
        <v>7331</v>
      </c>
      <c r="AB1312" s="387" t="s">
        <v>7438</v>
      </c>
      <c r="AC1312" s="387" t="s">
        <v>7439</v>
      </c>
      <c r="AD1312" s="327" t="s">
        <v>7440</v>
      </c>
      <c r="AE1312" s="387" t="s">
        <v>210</v>
      </c>
      <c r="AF1312" s="1181">
        <v>33.0</v>
      </c>
      <c r="AG1312" s="1414">
        <v>1.1</v>
      </c>
      <c r="AH1312" s="659" t="s">
        <v>166</v>
      </c>
      <c r="AI1312" s="387" t="s">
        <v>210</v>
      </c>
      <c r="AJ1312" s="1414">
        <v>0.97</v>
      </c>
      <c r="AK1312" s="328" t="s">
        <v>165</v>
      </c>
      <c r="AL1312" s="109" t="s">
        <v>179</v>
      </c>
      <c r="AM1312" s="387" t="s">
        <v>130</v>
      </c>
      <c r="AN1312" s="327" t="s">
        <v>131</v>
      </c>
      <c r="AO1312" s="1414">
        <v>58.0</v>
      </c>
      <c r="AP1312" s="1414">
        <v>0.007</v>
      </c>
      <c r="AQ1312" s="387" t="s">
        <v>132</v>
      </c>
      <c r="AR1312" s="387" t="s">
        <v>133</v>
      </c>
      <c r="AS1312" s="1414">
        <v>0.851</v>
      </c>
      <c r="AT1312" s="328" t="s">
        <v>165</v>
      </c>
      <c r="AU1312" s="119" t="s">
        <v>179</v>
      </c>
      <c r="AV1312" s="328" t="s">
        <v>130</v>
      </c>
      <c r="AW1312" s="327" t="s">
        <v>131</v>
      </c>
      <c r="AX1312" s="328" t="s">
        <v>136</v>
      </c>
      <c r="AY1312" s="321" t="s">
        <v>7441</v>
      </c>
      <c r="AZ1312" s="146" t="s">
        <v>137</v>
      </c>
    </row>
    <row r="1313" ht="47.25" customHeight="1">
      <c r="A1313" s="41">
        <v>1313.0</v>
      </c>
      <c r="B1313" s="1432" t="s">
        <v>107</v>
      </c>
      <c r="C1313" s="1432" t="s">
        <v>108</v>
      </c>
      <c r="D1313" s="1432" t="s">
        <v>188</v>
      </c>
      <c r="E1313" s="809"/>
      <c r="F1313" s="1432" t="s">
        <v>7430</v>
      </c>
      <c r="G1313" s="1433" t="s">
        <v>7431</v>
      </c>
      <c r="H1313" s="1433" t="s">
        <v>7357</v>
      </c>
      <c r="I1313" s="1434">
        <v>45638.0</v>
      </c>
      <c r="J1313" s="167">
        <v>45674.0</v>
      </c>
      <c r="K1313" s="1433" t="s">
        <v>7442</v>
      </c>
      <c r="L1313" s="1433"/>
      <c r="M1313" s="1433" t="s">
        <v>7433</v>
      </c>
      <c r="N1313" s="1433" t="s">
        <v>7434</v>
      </c>
      <c r="O1313" s="1433">
        <v>1.0</v>
      </c>
      <c r="P1313" s="1433" t="s">
        <v>7435</v>
      </c>
      <c r="Q1313" s="49" t="str">
        <f t="array" ref="Q1313"> if(iserror(MATCH(V1313, 'File Links'!C:C, 0)), "N/A", HYPERLINK(INDEX('File Links'!B:B, MATCH(P1313, 'File Links'!C:C, 0))))</f>
        <v>https://drive.google.com/file/d/15Wsn7yRLOjnPIu3oOYbA1lhbZIRp1-8K/view?usp=drivesdk</v>
      </c>
      <c r="R1313" s="1433" t="s">
        <v>7443</v>
      </c>
      <c r="S1313" s="1433" t="s">
        <v>7437</v>
      </c>
      <c r="T1313" s="1435"/>
      <c r="U1313" s="1433"/>
      <c r="V1313" s="195" t="str">
        <f t="shared" si="79"/>
        <v>10.1371--journal.pone.0096339.pdf</v>
      </c>
      <c r="W1313" s="119" t="s">
        <v>7413</v>
      </c>
      <c r="X1313" s="51" t="str">
        <f t="array" ref="X1313"> if(iserror(MATCH(V1313, 'File Links'!C:C, 0)), "N/A", HYPERLINK(INDEX('File Links'!B:B, MATCH(V1313, 'File Links'!C:C, 0))))</f>
        <v>https://drive.google.com/file/d/1gBBT6EBomzmICcRfzrG_6jxfvMnRuQIj/view?usp=drivesdk</v>
      </c>
      <c r="Y1313" s="1435"/>
      <c r="Z1313" s="1431" t="s">
        <v>219</v>
      </c>
      <c r="AA1313" s="332" t="s">
        <v>7331</v>
      </c>
      <c r="AB1313" s="1433" t="s">
        <v>7444</v>
      </c>
      <c r="AC1313" s="1433" t="s">
        <v>7445</v>
      </c>
      <c r="AD1313" s="1433" t="s">
        <v>7446</v>
      </c>
      <c r="AE1313" s="1433" t="s">
        <v>7447</v>
      </c>
      <c r="AF1313" s="1433">
        <v>33.0</v>
      </c>
      <c r="AG1313" s="1433">
        <v>1.1</v>
      </c>
      <c r="AH1313" s="1433" t="s">
        <v>166</v>
      </c>
      <c r="AI1313" s="1433" t="s">
        <v>7447</v>
      </c>
      <c r="AJ1313" s="1433">
        <v>0.97</v>
      </c>
      <c r="AK1313" s="1432" t="s">
        <v>165</v>
      </c>
      <c r="AL1313" s="109" t="s">
        <v>179</v>
      </c>
      <c r="AM1313" s="1435"/>
      <c r="AN1313" s="327" t="s">
        <v>131</v>
      </c>
      <c r="AO1313" s="1435"/>
      <c r="AP1313" s="1435"/>
      <c r="AQ1313" s="1435"/>
      <c r="AR1313" s="1435"/>
      <c r="AS1313" s="1435"/>
      <c r="AT1313" s="809"/>
      <c r="AU1313" s="119" t="s">
        <v>179</v>
      </c>
      <c r="AV1313" s="1436"/>
      <c r="AW1313" s="809"/>
      <c r="AX1313" s="809"/>
      <c r="AY1313" s="1433"/>
      <c r="AZ1313" s="146" t="s">
        <v>137</v>
      </c>
    </row>
    <row r="1314">
      <c r="A1314" s="41">
        <v>1314.0</v>
      </c>
      <c r="B1314" s="319" t="s">
        <v>145</v>
      </c>
      <c r="C1314" s="319" t="s">
        <v>108</v>
      </c>
      <c r="D1314" s="322" t="s">
        <v>138</v>
      </c>
      <c r="E1314" s="223"/>
      <c r="F1314" s="1432" t="s">
        <v>7430</v>
      </c>
      <c r="G1314" s="409" t="s">
        <v>7448</v>
      </c>
      <c r="H1314" s="327" t="s">
        <v>138</v>
      </c>
      <c r="I1314" s="1430">
        <v>45641.0</v>
      </c>
      <c r="J1314" s="167">
        <v>45674.0</v>
      </c>
      <c r="K1314" s="327" t="s">
        <v>7449</v>
      </c>
      <c r="L1314" s="321" t="s">
        <v>7432</v>
      </c>
      <c r="M1314" s="409" t="s">
        <v>7433</v>
      </c>
      <c r="N1314" s="409" t="s">
        <v>7434</v>
      </c>
      <c r="O1314" s="1414">
        <v>2.0</v>
      </c>
      <c r="P1314" s="657" t="s">
        <v>7435</v>
      </c>
      <c r="Q1314" s="49" t="str">
        <f t="array" ref="Q1314"> if(iserror(MATCH(V1314, 'File Links'!C:C, 0)), "N/A", HYPERLINK(INDEX('File Links'!B:B, MATCH(P1314, 'File Links'!C:C, 0))))</f>
        <v>https://drive.google.com/file/d/15Wsn7yRLOjnPIu3oOYbA1lhbZIRp1-8K/view?usp=drivesdk</v>
      </c>
      <c r="R1314" s="1035" t="s">
        <v>7450</v>
      </c>
      <c r="S1314" s="1035" t="s">
        <v>7437</v>
      </c>
      <c r="T1314" s="387"/>
      <c r="U1314" s="1179">
        <v>2.0</v>
      </c>
      <c r="V1314" s="195" t="str">
        <f t="shared" si="79"/>
        <v>10.1371--journal.pone.0096339.pdf</v>
      </c>
      <c r="W1314" s="119" t="s">
        <v>7413</v>
      </c>
      <c r="X1314" s="51" t="str">
        <f t="array" ref="X1314"> if(iserror(MATCH(V1314, 'File Links'!C:C, 0)), "N/A", HYPERLINK(INDEX('File Links'!B:B, MATCH(V1314, 'File Links'!C:C, 0))))</f>
        <v>https://drive.google.com/file/d/1gBBT6EBomzmICcRfzrG_6jxfvMnRuQIj/view?usp=drivesdk</v>
      </c>
      <c r="Y1314" s="387"/>
      <c r="Z1314" s="1431" t="s">
        <v>219</v>
      </c>
      <c r="AA1314" s="332" t="s">
        <v>7331</v>
      </c>
      <c r="AB1314" s="387" t="s">
        <v>7438</v>
      </c>
      <c r="AC1314" s="387" t="s">
        <v>7451</v>
      </c>
      <c r="AD1314" s="327" t="s">
        <v>7452</v>
      </c>
      <c r="AE1314" s="387" t="s">
        <v>210</v>
      </c>
      <c r="AF1314" s="1181">
        <v>33.0</v>
      </c>
      <c r="AG1314" s="1414">
        <v>1.071</v>
      </c>
      <c r="AH1314" s="659" t="s">
        <v>166</v>
      </c>
      <c r="AI1314" s="387" t="s">
        <v>210</v>
      </c>
      <c r="AJ1314" s="1414">
        <v>0.97</v>
      </c>
      <c r="AK1314" s="328" t="s">
        <v>165</v>
      </c>
      <c r="AL1314" s="109" t="s">
        <v>179</v>
      </c>
      <c r="AM1314" s="387" t="s">
        <v>130</v>
      </c>
      <c r="AN1314" s="327" t="s">
        <v>131</v>
      </c>
      <c r="AO1314" s="1414">
        <v>58.0</v>
      </c>
      <c r="AP1314" s="1414">
        <v>0.454</v>
      </c>
      <c r="AQ1314" s="387" t="s">
        <v>132</v>
      </c>
      <c r="AR1314" s="387" t="s">
        <v>133</v>
      </c>
      <c r="AS1314" s="1414">
        <v>0.001</v>
      </c>
      <c r="AT1314" s="328" t="s">
        <v>128</v>
      </c>
      <c r="AU1314" s="119" t="s">
        <v>179</v>
      </c>
      <c r="AV1314" s="328" t="s">
        <v>130</v>
      </c>
      <c r="AW1314" s="327" t="s">
        <v>131</v>
      </c>
      <c r="AX1314" s="328" t="s">
        <v>136</v>
      </c>
      <c r="AY1314" s="409"/>
      <c r="AZ1314" s="146" t="s">
        <v>137</v>
      </c>
    </row>
    <row r="1315">
      <c r="A1315" s="41">
        <v>1315.0</v>
      </c>
      <c r="B1315" s="1432" t="s">
        <v>107</v>
      </c>
      <c r="C1315" s="1432" t="s">
        <v>108</v>
      </c>
      <c r="D1315" s="1432" t="s">
        <v>188</v>
      </c>
      <c r="E1315" s="809"/>
      <c r="F1315" s="1432" t="s">
        <v>7430</v>
      </c>
      <c r="G1315" s="1433" t="s">
        <v>7448</v>
      </c>
      <c r="H1315" s="1433" t="s">
        <v>7357</v>
      </c>
      <c r="I1315" s="1434">
        <v>45638.0</v>
      </c>
      <c r="J1315" s="167">
        <v>45674.0</v>
      </c>
      <c r="K1315" s="1435"/>
      <c r="L1315" s="1433"/>
      <c r="M1315" s="1433" t="s">
        <v>7433</v>
      </c>
      <c r="N1315" s="1433" t="s">
        <v>7434</v>
      </c>
      <c r="O1315" s="1433">
        <v>1.0</v>
      </c>
      <c r="P1315" s="1433" t="s">
        <v>7435</v>
      </c>
      <c r="Q1315" s="49" t="str">
        <f t="array" ref="Q1315"> if(iserror(MATCH(V1315, 'File Links'!C:C, 0)), "N/A", HYPERLINK(INDEX('File Links'!B:B, MATCH(P1315, 'File Links'!C:C, 0))))</f>
        <v>https://drive.google.com/file/d/15Wsn7yRLOjnPIu3oOYbA1lhbZIRp1-8K/view?usp=drivesdk</v>
      </c>
      <c r="R1315" s="1433" t="s">
        <v>7443</v>
      </c>
      <c r="S1315" s="1433" t="s">
        <v>7437</v>
      </c>
      <c r="T1315" s="1435"/>
      <c r="U1315" s="1433"/>
      <c r="V1315" s="195" t="str">
        <f t="shared" si="79"/>
        <v>10.1371--journal.pone.0096339.pdf</v>
      </c>
      <c r="W1315" s="119" t="s">
        <v>7413</v>
      </c>
      <c r="X1315" s="51" t="str">
        <f t="array" ref="X1315"> if(iserror(MATCH(V1315, 'File Links'!C:C, 0)), "N/A", HYPERLINK(INDEX('File Links'!B:B, MATCH(V1315, 'File Links'!C:C, 0))))</f>
        <v>https://drive.google.com/file/d/1gBBT6EBomzmICcRfzrG_6jxfvMnRuQIj/view?usp=drivesdk</v>
      </c>
      <c r="Y1315" s="1435"/>
      <c r="Z1315" s="1431" t="s">
        <v>219</v>
      </c>
      <c r="AA1315" s="332" t="s">
        <v>7331</v>
      </c>
      <c r="AB1315" s="1433" t="s">
        <v>7444</v>
      </c>
      <c r="AC1315" s="1433" t="s">
        <v>7453</v>
      </c>
      <c r="AD1315" s="1435"/>
      <c r="AE1315" s="1435"/>
      <c r="AF1315" s="1433">
        <v>33.0</v>
      </c>
      <c r="AG1315" s="1433">
        <v>1.1</v>
      </c>
      <c r="AH1315" s="1433" t="s">
        <v>166</v>
      </c>
      <c r="AI1315" s="1433" t="s">
        <v>7447</v>
      </c>
      <c r="AJ1315" s="1433">
        <v>0.97</v>
      </c>
      <c r="AK1315" s="1432" t="s">
        <v>165</v>
      </c>
      <c r="AL1315" s="109" t="s">
        <v>179</v>
      </c>
      <c r="AM1315" s="1435"/>
      <c r="AN1315" s="327" t="s">
        <v>131</v>
      </c>
      <c r="AO1315" s="1435"/>
      <c r="AP1315" s="1435"/>
      <c r="AQ1315" s="1435"/>
      <c r="AR1315" s="1435"/>
      <c r="AS1315" s="1435"/>
      <c r="AT1315" s="809"/>
      <c r="AU1315" s="809"/>
      <c r="AV1315" s="1436"/>
      <c r="AW1315" s="809"/>
      <c r="AX1315" s="809"/>
      <c r="AY1315" s="1432" t="s">
        <v>7454</v>
      </c>
      <c r="AZ1315" s="146" t="s">
        <v>137</v>
      </c>
    </row>
    <row r="1316">
      <c r="A1316" s="41">
        <v>1316.0</v>
      </c>
      <c r="B1316" s="1432" t="s">
        <v>107</v>
      </c>
      <c r="C1316" s="1432" t="s">
        <v>108</v>
      </c>
      <c r="D1316" s="1432" t="s">
        <v>188</v>
      </c>
      <c r="E1316" s="809"/>
      <c r="F1316" s="1432" t="s">
        <v>7430</v>
      </c>
      <c r="G1316" s="1433" t="s">
        <v>7455</v>
      </c>
      <c r="H1316" s="1433" t="s">
        <v>7357</v>
      </c>
      <c r="I1316" s="1434">
        <v>45638.0</v>
      </c>
      <c r="J1316" s="167">
        <v>45674.0</v>
      </c>
      <c r="K1316" s="1435"/>
      <c r="L1316" s="1433"/>
      <c r="M1316" s="1433" t="s">
        <v>7433</v>
      </c>
      <c r="N1316" s="1433" t="s">
        <v>7434</v>
      </c>
      <c r="O1316" s="1433">
        <v>1.0</v>
      </c>
      <c r="P1316" s="1433" t="s">
        <v>7435</v>
      </c>
      <c r="Q1316" s="49" t="str">
        <f t="array" ref="Q1316"> if(iserror(MATCH(V1316, 'File Links'!C:C, 0)), "N/A", HYPERLINK(INDEX('File Links'!B:B, MATCH(P1316, 'File Links'!C:C, 0))))</f>
        <v>https://drive.google.com/file/d/15Wsn7yRLOjnPIu3oOYbA1lhbZIRp1-8K/view?usp=drivesdk</v>
      </c>
      <c r="R1316" s="1433" t="s">
        <v>7443</v>
      </c>
      <c r="S1316" s="1433" t="s">
        <v>7437</v>
      </c>
      <c r="T1316" s="1435"/>
      <c r="U1316" s="1433"/>
      <c r="V1316" s="195" t="str">
        <f t="shared" si="79"/>
        <v>10.1371--journal.pone.0096339.pdf</v>
      </c>
      <c r="W1316" s="119" t="s">
        <v>7413</v>
      </c>
      <c r="X1316" s="51" t="str">
        <f t="array" ref="X1316"> if(iserror(MATCH(V1316, 'File Links'!C:C, 0)), "N/A", HYPERLINK(INDEX('File Links'!B:B, MATCH(V1316, 'File Links'!C:C, 0))))</f>
        <v>https://drive.google.com/file/d/1gBBT6EBomzmICcRfzrG_6jxfvMnRuQIj/view?usp=drivesdk</v>
      </c>
      <c r="Y1316" s="1435"/>
      <c r="Z1316" s="1431" t="s">
        <v>219</v>
      </c>
      <c r="AA1316" s="332" t="s">
        <v>7331</v>
      </c>
      <c r="AB1316" s="1433" t="s">
        <v>7444</v>
      </c>
      <c r="AC1316" s="1433" t="s">
        <v>7456</v>
      </c>
      <c r="AD1316" s="1435"/>
      <c r="AE1316" s="1435"/>
      <c r="AF1316" s="1433">
        <v>33.0</v>
      </c>
      <c r="AG1316" s="1433">
        <v>1.1</v>
      </c>
      <c r="AH1316" s="1433" t="s">
        <v>166</v>
      </c>
      <c r="AI1316" s="1433" t="s">
        <v>7447</v>
      </c>
      <c r="AJ1316" s="1433">
        <v>0.97</v>
      </c>
      <c r="AK1316" s="1432" t="s">
        <v>165</v>
      </c>
      <c r="AL1316" s="109" t="s">
        <v>179</v>
      </c>
      <c r="AM1316" s="1435"/>
      <c r="AN1316" s="327" t="s">
        <v>131</v>
      </c>
      <c r="AO1316" s="1435"/>
      <c r="AP1316" s="1435"/>
      <c r="AQ1316" s="1435"/>
      <c r="AR1316" s="1435"/>
      <c r="AS1316" s="1435"/>
      <c r="AT1316" s="809"/>
      <c r="AU1316" s="809"/>
      <c r="AV1316" s="1436"/>
      <c r="AW1316" s="809"/>
      <c r="AX1316" s="809"/>
      <c r="AY1316" s="1433"/>
      <c r="AZ1316" s="146" t="s">
        <v>137</v>
      </c>
    </row>
    <row r="1317">
      <c r="A1317" s="41">
        <v>1317.0</v>
      </c>
      <c r="B1317" s="59" t="s">
        <v>107</v>
      </c>
      <c r="C1317" s="59" t="s">
        <v>108</v>
      </c>
      <c r="D1317" s="59" t="s">
        <v>2623</v>
      </c>
      <c r="F1317" s="434" t="s">
        <v>7457</v>
      </c>
      <c r="G1317" s="1437" t="str">
        <f t="shared" ref="G1317:G1318" si="80">F1317&amp;"_"&amp;COUNTIF($B$3:F1317, F1317)</f>
        <v>curatescience204_1</v>
      </c>
      <c r="H1317" s="434" t="s">
        <v>7458</v>
      </c>
      <c r="I1317" s="435">
        <v>45675.0</v>
      </c>
      <c r="J1317" s="435">
        <v>45676.0</v>
      </c>
      <c r="K1317" s="65"/>
      <c r="L1317" s="126" t="s">
        <v>7459</v>
      </c>
      <c r="M1317" s="1438" t="s">
        <v>7460</v>
      </c>
      <c r="N1317" s="434" t="s">
        <v>7461</v>
      </c>
      <c r="O1317" s="126">
        <v>1.0</v>
      </c>
      <c r="P1317" s="1439" t="str">
        <f t="shared" ref="P1317:P1318" si="81"> SUBSTITUTE(lower(N1317), "/", "--") &amp;  ".pdf"</f>
        <v>10.1086--268936.pdf</v>
      </c>
      <c r="Q1317" s="49" t="str">
        <f t="array" ref="Q1317"> if(iserror(MATCH(V1317, 'File Links'!C:C, 0)), "N/A", HYPERLINK(INDEX('File Links'!B:B, MATCH(P1317, 'File Links'!C:C, 0))))</f>
        <v>https://drive.google.com/file/d/151z21j0N9goJiyhqVea_1u4UA83qXS6l/view?usp=drivesdk</v>
      </c>
      <c r="R1317" s="434" t="s">
        <v>7462</v>
      </c>
      <c r="S1317" s="434" t="s">
        <v>7463</v>
      </c>
      <c r="T1317" s="1052" t="s">
        <v>7464</v>
      </c>
      <c r="U1317" s="434" t="s">
        <v>7465</v>
      </c>
      <c r="V1317" s="195" t="str">
        <f t="shared" si="79"/>
        <v>10.1027--1864-9335--a000178.pdf</v>
      </c>
      <c r="W1317" s="434" t="s">
        <v>7466</v>
      </c>
      <c r="X1317" s="51" t="str">
        <f t="array" ref="X1317"> if(iserror(MATCH(V1317, 'File Links'!C:C, 0)), "N/A", HYPERLINK(INDEX('File Links'!B:B, MATCH(V1317, 'File Links'!C:C, 0))))</f>
        <v>https://drive.google.com/file/d/1fIqa3RxgdnsQkWwGnLkF4XAbM2g_WN4q/view?usp=drivesdk</v>
      </c>
      <c r="Z1317" s="434" t="s">
        <v>219</v>
      </c>
      <c r="AA1317" s="434" t="s">
        <v>7467</v>
      </c>
      <c r="AB1317" s="434" t="s">
        <v>7468</v>
      </c>
      <c r="AC1317" s="434" t="s">
        <v>7469</v>
      </c>
      <c r="AD1317" s="434" t="s">
        <v>7470</v>
      </c>
      <c r="AE1317" s="434" t="s">
        <v>7471</v>
      </c>
      <c r="AF1317" s="825">
        <v>61.0</v>
      </c>
      <c r="AG1317" s="825">
        <v>0.26</v>
      </c>
      <c r="AH1317" s="1418" t="s">
        <v>132</v>
      </c>
      <c r="AI1317" s="434" t="s">
        <v>7472</v>
      </c>
      <c r="AJ1317" s="334">
        <v>0.001</v>
      </c>
      <c r="AK1317" s="373" t="s">
        <v>128</v>
      </c>
      <c r="AL1317" s="373" t="s">
        <v>129</v>
      </c>
      <c r="AM1317" s="829" t="s">
        <v>130</v>
      </c>
      <c r="AN1317" s="327" t="s">
        <v>131</v>
      </c>
      <c r="AO1317" s="1440">
        <v>6289.0</v>
      </c>
      <c r="AP1317" s="825">
        <v>0.16</v>
      </c>
      <c r="AQ1317" s="434" t="s">
        <v>132</v>
      </c>
      <c r="AR1317" s="434" t="s">
        <v>7473</v>
      </c>
      <c r="AS1317" s="825">
        <v>0.001</v>
      </c>
      <c r="AT1317" s="434" t="s">
        <v>128</v>
      </c>
      <c r="AU1317" s="434" t="s">
        <v>129</v>
      </c>
      <c r="AV1317" s="829" t="s">
        <v>130</v>
      </c>
      <c r="AW1317" s="829" t="s">
        <v>7474</v>
      </c>
      <c r="AX1317" s="829" t="s">
        <v>136</v>
      </c>
    </row>
    <row r="1318">
      <c r="A1318" s="41">
        <v>1318.0</v>
      </c>
      <c r="B1318" s="59" t="s">
        <v>107</v>
      </c>
      <c r="C1318" s="59" t="s">
        <v>108</v>
      </c>
      <c r="D1318" s="59" t="s">
        <v>1227</v>
      </c>
      <c r="F1318" s="156" t="s">
        <v>7457</v>
      </c>
      <c r="G1318" s="1441" t="str">
        <f t="shared" si="80"/>
        <v>curatescience204_2</v>
      </c>
      <c r="H1318" s="156" t="s">
        <v>6921</v>
      </c>
      <c r="I1318" s="149">
        <v>45901.0</v>
      </c>
      <c r="J1318" s="149">
        <v>45901.0</v>
      </c>
      <c r="K1318" s="156" t="s">
        <v>7475</v>
      </c>
      <c r="L1318" s="65"/>
      <c r="M1318" s="1442" t="s">
        <v>7460</v>
      </c>
      <c r="N1318" s="156" t="s">
        <v>7461</v>
      </c>
      <c r="O1318" s="153">
        <v>1.0</v>
      </c>
      <c r="P1318" s="379" t="str">
        <f t="shared" si="81"/>
        <v>10.1086--268936.pdf</v>
      </c>
      <c r="Q1318" s="49" t="str">
        <f t="array" ref="Q1318"> if(iserror(MATCH(V1318, 'File Links'!C:C, 0)), "N/A", HYPERLINK(INDEX('File Links'!B:B, MATCH(P1318, 'File Links'!C:C, 0))))</f>
        <v>https://drive.google.com/file/d/151z21j0N9goJiyhqVea_1u4UA83qXS6l/view?usp=drivesdk</v>
      </c>
      <c r="R1318" s="434" t="s">
        <v>7462</v>
      </c>
      <c r="S1318" s="434" t="s">
        <v>7463</v>
      </c>
      <c r="T1318" s="1052" t="s">
        <v>7464</v>
      </c>
      <c r="U1318" s="65"/>
      <c r="V1318" s="195" t="str">
        <f t="shared" si="79"/>
        <v>10.1027--1864-9335--a000178.pdf</v>
      </c>
      <c r="W1318" s="65"/>
      <c r="X1318" s="51" t="str">
        <f t="array" ref="X1318"> if(iserror(MATCH(V1318, 'File Links'!C:C, 0)), "N/A", HYPERLINK(INDEX('File Links'!B:B, MATCH(V1318, 'File Links'!C:C, 0))))</f>
        <v>https://drive.google.com/file/d/1fIqa3RxgdnsQkWwGnLkF4XAbM2g_WN4q/view?usp=drivesdk</v>
      </c>
      <c r="Y1318" s="65"/>
      <c r="Z1318" s="156" t="s">
        <v>2038</v>
      </c>
      <c r="AA1318" s="156" t="s">
        <v>7476</v>
      </c>
      <c r="AB1318" s="65"/>
      <c r="AC1318" s="65"/>
      <c r="AD1318" s="156" t="s">
        <v>7477</v>
      </c>
      <c r="AE1318" s="153">
        <v>390.0</v>
      </c>
      <c r="AF1318" s="153">
        <v>132.0</v>
      </c>
      <c r="AG1318" s="65"/>
      <c r="AH1318" s="65"/>
      <c r="AI1318" s="65"/>
      <c r="AJ1318" s="706">
        <v>0.005</v>
      </c>
      <c r="AK1318" s="54" t="s">
        <v>128</v>
      </c>
      <c r="AL1318" s="58"/>
      <c r="AM1318" s="65" t="s">
        <v>130</v>
      </c>
      <c r="AN1318" s="327" t="s">
        <v>131</v>
      </c>
      <c r="AO1318" s="153">
        <v>5899.0</v>
      </c>
      <c r="AP1318" s="153">
        <v>0.49</v>
      </c>
      <c r="AQ1318" s="156" t="s">
        <v>166</v>
      </c>
      <c r="AR1318" s="65"/>
      <c r="AS1318" s="153">
        <v>0.001</v>
      </c>
      <c r="AT1318" s="156" t="s">
        <v>128</v>
      </c>
      <c r="AU1318" s="65"/>
      <c r="AV1318" s="65" t="s">
        <v>130</v>
      </c>
      <c r="AW1318" s="65"/>
      <c r="AX1318" s="65" t="s">
        <v>136</v>
      </c>
    </row>
    <row r="1319">
      <c r="A1319" s="41">
        <v>1319.0</v>
      </c>
      <c r="B1319" s="59" t="s">
        <v>145</v>
      </c>
      <c r="C1319" s="59" t="s">
        <v>108</v>
      </c>
      <c r="D1319" s="59" t="s">
        <v>1263</v>
      </c>
      <c r="F1319" s="156" t="s">
        <v>7478</v>
      </c>
      <c r="G1319" s="54" t="s">
        <v>7479</v>
      </c>
      <c r="H1319" s="156" t="s">
        <v>5011</v>
      </c>
      <c r="I1319" s="431">
        <v>45643.0</v>
      </c>
      <c r="J1319" s="537">
        <v>45736.0</v>
      </c>
      <c r="K1319" s="156" t="s">
        <v>7480</v>
      </c>
      <c r="L1319" s="148" t="s">
        <v>7481</v>
      </c>
      <c r="M1319" s="687" t="s">
        <v>7482</v>
      </c>
      <c r="N1319" s="156" t="s">
        <v>7483</v>
      </c>
      <c r="O1319" s="156" t="s">
        <v>3573</v>
      </c>
      <c r="P1319" s="379" t="s">
        <v>7484</v>
      </c>
      <c r="Q1319" s="49" t="str">
        <f t="array" ref="Q1319"> if(iserror(MATCH(V1319, 'File Links'!C:C, 0)), "N/A", HYPERLINK(INDEX('File Links'!B:B, MATCH(P1319, 'File Links'!C:C, 0))))</f>
        <v>https://drive.google.com/file/d/1k_ITkShMoY3bps8YyiRV8_CnbYN3486s/view?usp=drivesdk</v>
      </c>
      <c r="R1319" s="156" t="s">
        <v>7485</v>
      </c>
      <c r="S1319" s="156" t="s">
        <v>7486</v>
      </c>
      <c r="T1319" s="65"/>
      <c r="U1319" s="156" t="s">
        <v>4085</v>
      </c>
      <c r="V1319" s="195" t="str">
        <f t="shared" si="79"/>
        <v>10.1037--0022-3514.83.2.406.pdf</v>
      </c>
      <c r="W1319" s="156" t="s">
        <v>7487</v>
      </c>
      <c r="X1319" s="51" t="str">
        <f t="array" ref="X1319"> if(iserror(MATCH(V1319, 'File Links'!C:C, 0)), "N/A", HYPERLINK(INDEX('File Links'!B:B, MATCH(V1319, 'File Links'!C:C, 0))))</f>
        <v>https://drive.google.com/file/d/1OuxVCUkVnVBw7IH1mtlkV9HYUNX7kOe5/view?usp=drivesdk</v>
      </c>
      <c r="Y1319" s="65"/>
      <c r="Z1319" s="156" t="s">
        <v>219</v>
      </c>
      <c r="AA1319" s="156" t="s">
        <v>7488</v>
      </c>
      <c r="AB1319" s="65"/>
      <c r="AC1319" s="156" t="s">
        <v>7489</v>
      </c>
      <c r="AD1319" s="1287" t="s">
        <v>7490</v>
      </c>
      <c r="AE1319" s="153">
        <v>8.0</v>
      </c>
      <c r="AF1319" s="153">
        <v>30.0</v>
      </c>
      <c r="AG1319" s="156" t="s">
        <v>7491</v>
      </c>
      <c r="AH1319" s="336" t="s">
        <v>127</v>
      </c>
      <c r="AI1319" s="54" t="s">
        <v>606</v>
      </c>
      <c r="AJ1319" s="376">
        <v>0.01</v>
      </c>
      <c r="AK1319" s="156" t="s">
        <v>128</v>
      </c>
      <c r="AL1319" s="54" t="s">
        <v>179</v>
      </c>
      <c r="AM1319" s="65" t="s">
        <v>130</v>
      </c>
      <c r="AN1319" s="327" t="s">
        <v>131</v>
      </c>
      <c r="AO1319" s="153">
        <v>28.0</v>
      </c>
      <c r="AP1319" s="156" t="s">
        <v>7492</v>
      </c>
      <c r="AQ1319" s="156" t="s">
        <v>127</v>
      </c>
      <c r="AR1319" s="156" t="s">
        <v>843</v>
      </c>
      <c r="AS1319" s="153">
        <v>0.13</v>
      </c>
      <c r="AT1319" s="156" t="s">
        <v>165</v>
      </c>
      <c r="AU1319" s="156" t="s">
        <v>179</v>
      </c>
      <c r="AV1319" s="65" t="s">
        <v>130</v>
      </c>
      <c r="AW1319" s="1055" t="s">
        <v>131</v>
      </c>
      <c r="AX1319" s="65" t="s">
        <v>136</v>
      </c>
      <c r="AY1319" s="156"/>
      <c r="AZ1319" s="59" t="s">
        <v>137</v>
      </c>
    </row>
    <row r="1320">
      <c r="A1320" s="41">
        <v>1320.0</v>
      </c>
      <c r="B1320" s="59" t="s">
        <v>107</v>
      </c>
      <c r="C1320" s="59" t="s">
        <v>108</v>
      </c>
      <c r="D1320" s="59" t="s">
        <v>1263</v>
      </c>
      <c r="F1320" s="156" t="s">
        <v>7478</v>
      </c>
      <c r="G1320" s="54" t="s">
        <v>7479</v>
      </c>
      <c r="H1320" s="156" t="s">
        <v>5011</v>
      </c>
      <c r="I1320" s="431">
        <v>45643.0</v>
      </c>
      <c r="J1320" s="537">
        <v>45736.0</v>
      </c>
      <c r="K1320" s="156" t="s">
        <v>7493</v>
      </c>
      <c r="L1320" s="156"/>
      <c r="M1320" s="687" t="s">
        <v>7494</v>
      </c>
      <c r="N1320" s="156" t="s">
        <v>7483</v>
      </c>
      <c r="O1320" s="156" t="s">
        <v>3573</v>
      </c>
      <c r="P1320" s="379" t="s">
        <v>7484</v>
      </c>
      <c r="Q1320" s="49" t="str">
        <f t="array" ref="Q1320"> if(iserror(MATCH(V1320, 'File Links'!C:C, 0)), "N/A", HYPERLINK(INDEX('File Links'!B:B, MATCH(P1320, 'File Links'!C:C, 0))))</f>
        <v>https://drive.google.com/file/d/1k_ITkShMoY3bps8YyiRV8_CnbYN3486s/view?usp=drivesdk</v>
      </c>
      <c r="R1320" s="156" t="s">
        <v>7485</v>
      </c>
      <c r="S1320" s="156" t="s">
        <v>7486</v>
      </c>
      <c r="T1320" s="65"/>
      <c r="U1320" s="156" t="s">
        <v>4085</v>
      </c>
      <c r="V1320" s="195" t="str">
        <f t="shared" si="79"/>
        <v>10.1037--0022-3514.83.2.406.pdf</v>
      </c>
      <c r="W1320" s="156" t="s">
        <v>7487</v>
      </c>
      <c r="X1320" s="51" t="str">
        <f t="array" ref="X1320"> if(iserror(MATCH(V1320, 'File Links'!C:C, 0)), "N/A", HYPERLINK(INDEX('File Links'!B:B, MATCH(V1320, 'File Links'!C:C, 0))))</f>
        <v>https://drive.google.com/file/d/1OuxVCUkVnVBw7IH1mtlkV9HYUNX7kOe5/view?usp=drivesdk</v>
      </c>
      <c r="Y1320" s="65"/>
      <c r="Z1320" s="156" t="s">
        <v>219</v>
      </c>
      <c r="AA1320" s="156" t="s">
        <v>7488</v>
      </c>
      <c r="AB1320" s="65"/>
      <c r="AC1320" s="156" t="s">
        <v>7489</v>
      </c>
      <c r="AD1320" s="1287" t="s">
        <v>7490</v>
      </c>
      <c r="AE1320" s="65"/>
      <c r="AF1320" s="65"/>
      <c r="AG1320" s="65"/>
      <c r="AH1320" s="335"/>
      <c r="AI1320" s="58"/>
      <c r="AJ1320" s="58"/>
      <c r="AK1320" s="65"/>
      <c r="AL1320" s="58"/>
      <c r="AM1320" s="65"/>
      <c r="AN1320" s="327" t="s">
        <v>131</v>
      </c>
      <c r="AO1320" s="153">
        <v>28.0</v>
      </c>
      <c r="AP1320" s="156" t="s">
        <v>7495</v>
      </c>
      <c r="AQ1320" s="156" t="s">
        <v>127</v>
      </c>
      <c r="AR1320" s="156" t="s">
        <v>843</v>
      </c>
      <c r="AS1320" s="153">
        <v>0.05</v>
      </c>
      <c r="AT1320" s="156" t="s">
        <v>128</v>
      </c>
      <c r="AU1320" s="156" t="s">
        <v>179</v>
      </c>
      <c r="AV1320" s="65" t="s">
        <v>130</v>
      </c>
      <c r="AW1320" s="65"/>
      <c r="AX1320" s="65" t="s">
        <v>144</v>
      </c>
      <c r="AZ1320" s="59" t="s">
        <v>137</v>
      </c>
    </row>
    <row r="1321">
      <c r="A1321" s="41">
        <v>1321.0</v>
      </c>
      <c r="B1321" s="126" t="s">
        <v>107</v>
      </c>
      <c r="C1321" s="59" t="s">
        <v>108</v>
      </c>
      <c r="D1321" s="59" t="s">
        <v>241</v>
      </c>
      <c r="F1321" s="156" t="s">
        <v>7478</v>
      </c>
      <c r="G1321" s="156" t="s">
        <v>7479</v>
      </c>
      <c r="H1321" s="156" t="s">
        <v>242</v>
      </c>
      <c r="I1321" s="149">
        <v>45782.0</v>
      </c>
      <c r="J1321" s="537">
        <v>45736.0</v>
      </c>
      <c r="K1321" s="156" t="s">
        <v>7496</v>
      </c>
      <c r="L1321" s="156"/>
      <c r="M1321" s="156" t="s">
        <v>7497</v>
      </c>
      <c r="N1321" s="156" t="s">
        <v>7483</v>
      </c>
      <c r="O1321" s="156" t="s">
        <v>3573</v>
      </c>
      <c r="P1321" s="156" t="str">
        <f>SUBSTITUTE(LOWER(N1321), "/", "--") &amp;  ".pdf"</f>
        <v>10.1037--0022-3514.71.2.230.pdf</v>
      </c>
      <c r="Q1321" s="49" t="str">
        <f t="array" ref="Q1321"> if(iserror(MATCH(V1321, 'File Links'!C:C, 0)), "N/A", HYPERLINK(INDEX('File Links'!B:B, MATCH(P1321, 'File Links'!C:C, 0))))</f>
        <v>https://drive.google.com/file/d/1k_ITkShMoY3bps8YyiRV8_CnbYN3486s/view?usp=drivesdk</v>
      </c>
      <c r="R1321" s="156" t="s">
        <v>7485</v>
      </c>
      <c r="S1321" s="156" t="s">
        <v>7486</v>
      </c>
      <c r="T1321" s="65"/>
      <c r="U1321" s="156" t="s">
        <v>4085</v>
      </c>
      <c r="V1321" s="195" t="str">
        <f t="shared" si="79"/>
        <v>10.1037--0022-3514.83.2.406.pdf</v>
      </c>
      <c r="W1321" s="156" t="s">
        <v>131</v>
      </c>
      <c r="X1321" s="51" t="str">
        <f t="array" ref="X1321"> if(iserror(MATCH(V1321, 'File Links'!C:C, 0)), "N/A", HYPERLINK(INDEX('File Links'!B:B, MATCH(V1321, 'File Links'!C:C, 0))))</f>
        <v>https://drive.google.com/file/d/1OuxVCUkVnVBw7IH1mtlkV9HYUNX7kOe5/view?usp=drivesdk</v>
      </c>
      <c r="Y1321" s="65"/>
      <c r="Z1321" s="156" t="s">
        <v>219</v>
      </c>
      <c r="AA1321" s="156" t="s">
        <v>4045</v>
      </c>
      <c r="AB1321" s="156" t="s">
        <v>7498</v>
      </c>
      <c r="AC1321" s="156" t="s">
        <v>7499</v>
      </c>
      <c r="AD1321" s="1287" t="s">
        <v>7490</v>
      </c>
      <c r="AE1321" s="156" t="s">
        <v>597</v>
      </c>
      <c r="AF1321" s="153">
        <v>30.0</v>
      </c>
      <c r="AG1321" s="156" t="s">
        <v>7491</v>
      </c>
      <c r="AH1321" s="156" t="s">
        <v>127</v>
      </c>
      <c r="AI1321" s="156" t="s">
        <v>7500</v>
      </c>
      <c r="AJ1321" s="153">
        <v>0.01</v>
      </c>
      <c r="AK1321" s="156" t="s">
        <v>128</v>
      </c>
      <c r="AL1321" s="156" t="s">
        <v>179</v>
      </c>
      <c r="AM1321" s="65" t="s">
        <v>130</v>
      </c>
      <c r="AN1321" s="327" t="s">
        <v>131</v>
      </c>
      <c r="AO1321" s="153">
        <v>31.0</v>
      </c>
      <c r="AP1321" s="158" t="s">
        <v>7501</v>
      </c>
      <c r="AQ1321" s="148" t="s">
        <v>127</v>
      </c>
      <c r="AR1321" s="148" t="s">
        <v>843</v>
      </c>
      <c r="AS1321" s="153">
        <v>0.13</v>
      </c>
      <c r="AT1321" s="156" t="s">
        <v>165</v>
      </c>
      <c r="AU1321" s="156" t="s">
        <v>179</v>
      </c>
      <c r="AV1321" s="65" t="s">
        <v>130</v>
      </c>
      <c r="AW1321" s="65" t="s">
        <v>130</v>
      </c>
      <c r="AX1321" s="65" t="s">
        <v>136</v>
      </c>
      <c r="AZ1321" s="59" t="s">
        <v>137</v>
      </c>
    </row>
    <row r="1322">
      <c r="A1322" s="41">
        <v>1322.0</v>
      </c>
      <c r="B1322" s="59" t="s">
        <v>107</v>
      </c>
      <c r="C1322" s="59" t="s">
        <v>108</v>
      </c>
      <c r="D1322" s="59" t="s">
        <v>1263</v>
      </c>
      <c r="F1322" s="156" t="s">
        <v>7502</v>
      </c>
      <c r="G1322" s="54" t="s">
        <v>7503</v>
      </c>
      <c r="H1322" s="156" t="s">
        <v>5011</v>
      </c>
      <c r="I1322" s="431">
        <v>45643.0</v>
      </c>
      <c r="J1322" s="537">
        <v>45736.0</v>
      </c>
      <c r="K1322" s="156" t="s">
        <v>7504</v>
      </c>
      <c r="L1322" s="148" t="s">
        <v>7505</v>
      </c>
      <c r="M1322" s="687" t="s">
        <v>7506</v>
      </c>
      <c r="N1322" s="156" t="s">
        <v>7483</v>
      </c>
      <c r="O1322" s="156" t="s">
        <v>3573</v>
      </c>
      <c r="P1322" s="379" t="s">
        <v>7484</v>
      </c>
      <c r="Q1322" s="49" t="str">
        <f t="array" ref="Q1322"> if(iserror(MATCH(V1322, 'File Links'!C:C, 0)), "N/A", HYPERLINK(INDEX('File Links'!B:B, MATCH(P1322, 'File Links'!C:C, 0))))</f>
        <v>https://drive.google.com/file/d/1k_ITkShMoY3bps8YyiRV8_CnbYN3486s/view?usp=drivesdk</v>
      </c>
      <c r="R1322" s="156" t="s">
        <v>7507</v>
      </c>
      <c r="S1322" s="156" t="s">
        <v>7486</v>
      </c>
      <c r="T1322" s="65"/>
      <c r="U1322" s="156" t="s">
        <v>5504</v>
      </c>
      <c r="V1322" s="195" t="str">
        <f t="shared" si="79"/>
        <v>10.1037--0022-3514.83.2.406.pdf</v>
      </c>
      <c r="W1322" s="156" t="s">
        <v>7487</v>
      </c>
      <c r="X1322" s="51" t="str">
        <f t="array" ref="X1322"> if(iserror(MATCH(V1322, 'File Links'!C:C, 0)), "N/A", HYPERLINK(INDEX('File Links'!B:B, MATCH(V1322, 'File Links'!C:C, 0))))</f>
        <v>https://drive.google.com/file/d/1OuxVCUkVnVBw7IH1mtlkV9HYUNX7kOe5/view?usp=drivesdk</v>
      </c>
      <c r="Y1322" s="65"/>
      <c r="Z1322" s="156" t="s">
        <v>219</v>
      </c>
      <c r="AA1322" s="156" t="s">
        <v>7488</v>
      </c>
      <c r="AB1322" s="65"/>
      <c r="AC1322" s="156" t="s">
        <v>7489</v>
      </c>
      <c r="AD1322" s="1287" t="s">
        <v>7490</v>
      </c>
      <c r="AE1322" s="153">
        <v>8.0</v>
      </c>
      <c r="AF1322" s="153">
        <v>30.0</v>
      </c>
      <c r="AG1322" s="156" t="s">
        <v>7491</v>
      </c>
      <c r="AH1322" s="336" t="s">
        <v>127</v>
      </c>
      <c r="AI1322" s="54" t="s">
        <v>606</v>
      </c>
      <c r="AJ1322" s="376">
        <v>0.01</v>
      </c>
      <c r="AK1322" s="156" t="s">
        <v>128</v>
      </c>
      <c r="AL1322" s="54" t="s">
        <v>179</v>
      </c>
      <c r="AM1322" s="65" t="s">
        <v>130</v>
      </c>
      <c r="AN1322" s="327" t="s">
        <v>131</v>
      </c>
      <c r="AO1322" s="153">
        <v>37.0</v>
      </c>
      <c r="AP1322" s="156" t="s">
        <v>7508</v>
      </c>
      <c r="AQ1322" s="156" t="s">
        <v>127</v>
      </c>
      <c r="AR1322" s="156" t="s">
        <v>843</v>
      </c>
      <c r="AS1322" s="153">
        <v>0.09</v>
      </c>
      <c r="AT1322" s="156" t="s">
        <v>165</v>
      </c>
      <c r="AU1322" s="156" t="s">
        <v>179</v>
      </c>
      <c r="AV1322" s="65" t="s">
        <v>130</v>
      </c>
      <c r="AW1322" s="126" t="s">
        <v>131</v>
      </c>
      <c r="AX1322" s="65" t="s">
        <v>136</v>
      </c>
      <c r="AZ1322" s="59" t="s">
        <v>137</v>
      </c>
    </row>
    <row r="1323">
      <c r="A1323" s="41">
        <v>1323.0</v>
      </c>
      <c r="B1323" s="59" t="s">
        <v>107</v>
      </c>
      <c r="C1323" s="59" t="s">
        <v>108</v>
      </c>
      <c r="D1323" s="59" t="s">
        <v>1263</v>
      </c>
      <c r="F1323" s="156" t="s">
        <v>7502</v>
      </c>
      <c r="G1323" s="54" t="s">
        <v>7503</v>
      </c>
      <c r="H1323" s="156" t="s">
        <v>5011</v>
      </c>
      <c r="I1323" s="431">
        <v>45643.0</v>
      </c>
      <c r="J1323" s="537">
        <v>45736.0</v>
      </c>
      <c r="K1323" s="156" t="s">
        <v>7509</v>
      </c>
      <c r="L1323" s="156"/>
      <c r="M1323" s="687" t="s">
        <v>7510</v>
      </c>
      <c r="N1323" s="156" t="s">
        <v>7483</v>
      </c>
      <c r="O1323" s="156" t="s">
        <v>3573</v>
      </c>
      <c r="P1323" s="379" t="s">
        <v>7484</v>
      </c>
      <c r="Q1323" s="49" t="str">
        <f t="array" ref="Q1323"> if(iserror(MATCH(V1323, 'File Links'!C:C, 0)), "N/A", HYPERLINK(INDEX('File Links'!B:B, MATCH(P1323, 'File Links'!C:C, 0))))</f>
        <v>https://drive.google.com/file/d/1k_ITkShMoY3bps8YyiRV8_CnbYN3486s/view?usp=drivesdk</v>
      </c>
      <c r="R1323" s="156" t="s">
        <v>7507</v>
      </c>
      <c r="S1323" s="156" t="s">
        <v>7486</v>
      </c>
      <c r="T1323" s="65"/>
      <c r="U1323" s="156" t="s">
        <v>5504</v>
      </c>
      <c r="V1323" s="195" t="str">
        <f t="shared" si="79"/>
        <v>10.1037--0022-3514.83.2.406.pdf</v>
      </c>
      <c r="W1323" s="156" t="s">
        <v>7487</v>
      </c>
      <c r="X1323" s="51" t="str">
        <f t="array" ref="X1323"> if(iserror(MATCH(V1323, 'File Links'!C:C, 0)), "N/A", HYPERLINK(INDEX('File Links'!B:B, MATCH(V1323, 'File Links'!C:C, 0))))</f>
        <v>https://drive.google.com/file/d/1OuxVCUkVnVBw7IH1mtlkV9HYUNX7kOe5/view?usp=drivesdk</v>
      </c>
      <c r="Y1323" s="65"/>
      <c r="Z1323" s="156" t="s">
        <v>219</v>
      </c>
      <c r="AA1323" s="156" t="s">
        <v>7488</v>
      </c>
      <c r="AB1323" s="65"/>
      <c r="AC1323" s="156" t="s">
        <v>7489</v>
      </c>
      <c r="AD1323" s="1287" t="s">
        <v>7490</v>
      </c>
      <c r="AE1323" s="65"/>
      <c r="AF1323" s="65"/>
      <c r="AG1323" s="65"/>
      <c r="AH1323" s="335"/>
      <c r="AI1323" s="58"/>
      <c r="AJ1323" s="58"/>
      <c r="AK1323" s="65"/>
      <c r="AL1323" s="58"/>
      <c r="AM1323" s="65"/>
      <c r="AN1323" s="327" t="s">
        <v>131</v>
      </c>
      <c r="AO1323" s="153">
        <v>37.0</v>
      </c>
      <c r="AP1323" s="156" t="s">
        <v>7511</v>
      </c>
      <c r="AQ1323" s="156" t="s">
        <v>127</v>
      </c>
      <c r="AR1323" s="156" t="s">
        <v>843</v>
      </c>
      <c r="AS1323" s="153">
        <v>0.01</v>
      </c>
      <c r="AT1323" s="156" t="s">
        <v>165</v>
      </c>
      <c r="AU1323" s="156" t="s">
        <v>179</v>
      </c>
      <c r="AV1323" s="65" t="s">
        <v>130</v>
      </c>
      <c r="AW1323" s="126" t="s">
        <v>131</v>
      </c>
      <c r="AX1323" s="65" t="s">
        <v>144</v>
      </c>
      <c r="AZ1323" s="59" t="s">
        <v>137</v>
      </c>
    </row>
    <row r="1324">
      <c r="A1324" s="41">
        <v>1324.0</v>
      </c>
      <c r="B1324" s="126" t="s">
        <v>145</v>
      </c>
      <c r="C1324" s="59" t="s">
        <v>108</v>
      </c>
      <c r="D1324" s="59" t="s">
        <v>241</v>
      </c>
      <c r="F1324" s="156" t="s">
        <v>7502</v>
      </c>
      <c r="G1324" s="156" t="s">
        <v>7503</v>
      </c>
      <c r="H1324" s="156" t="s">
        <v>242</v>
      </c>
      <c r="I1324" s="149">
        <v>45782.0</v>
      </c>
      <c r="J1324" s="537">
        <v>45736.0</v>
      </c>
      <c r="K1324" s="156" t="s">
        <v>7496</v>
      </c>
      <c r="L1324" s="156"/>
      <c r="M1324" s="156" t="s">
        <v>7497</v>
      </c>
      <c r="N1324" s="156" t="s">
        <v>7483</v>
      </c>
      <c r="O1324" s="156" t="s">
        <v>3573</v>
      </c>
      <c r="P1324" s="156" t="str">
        <f>SUBSTITUTE(LOWER(N1324), "/", "--") &amp;  ".pdf"</f>
        <v>10.1037--0022-3514.71.2.230.pdf</v>
      </c>
      <c r="Q1324" s="49" t="str">
        <f t="array" ref="Q1324"> if(iserror(MATCH(V1324, 'File Links'!C:C, 0)), "N/A", HYPERLINK(INDEX('File Links'!B:B, MATCH(P1324, 'File Links'!C:C, 0))))</f>
        <v>https://drive.google.com/file/d/1k_ITkShMoY3bps8YyiRV8_CnbYN3486s/view?usp=drivesdk</v>
      </c>
      <c r="R1324" s="156" t="s">
        <v>7507</v>
      </c>
      <c r="S1324" s="156" t="s">
        <v>7486</v>
      </c>
      <c r="T1324" s="65"/>
      <c r="U1324" s="156" t="s">
        <v>5504</v>
      </c>
      <c r="V1324" s="195" t="str">
        <f t="shared" si="79"/>
        <v>10.1037--0022-3514.83.2.406.pdf</v>
      </c>
      <c r="W1324" s="1287" t="s">
        <v>7487</v>
      </c>
      <c r="X1324" s="51" t="str">
        <f t="array" ref="X1324"> if(iserror(MATCH(V1324, 'File Links'!C:C, 0)), "N/A", HYPERLINK(INDEX('File Links'!B:B, MATCH(V1324, 'File Links'!C:C, 0))))</f>
        <v>https://drive.google.com/file/d/1OuxVCUkVnVBw7IH1mtlkV9HYUNX7kOe5/view?usp=drivesdk</v>
      </c>
      <c r="Y1324" s="65"/>
      <c r="Z1324" s="156" t="s">
        <v>219</v>
      </c>
      <c r="AA1324" s="156" t="s">
        <v>4045</v>
      </c>
      <c r="AB1324" s="156" t="s">
        <v>7498</v>
      </c>
      <c r="AC1324" s="156" t="s">
        <v>7499</v>
      </c>
      <c r="AD1324" s="1287" t="s">
        <v>7490</v>
      </c>
      <c r="AE1324" s="156" t="s">
        <v>597</v>
      </c>
      <c r="AF1324" s="153">
        <v>30.0</v>
      </c>
      <c r="AG1324" s="156" t="s">
        <v>7491</v>
      </c>
      <c r="AH1324" s="156" t="s">
        <v>127</v>
      </c>
      <c r="AI1324" s="156" t="s">
        <v>7500</v>
      </c>
      <c r="AJ1324" s="153">
        <v>0.01</v>
      </c>
      <c r="AK1324" s="156" t="s">
        <v>128</v>
      </c>
      <c r="AL1324" s="156" t="s">
        <v>179</v>
      </c>
      <c r="AM1324" s="65" t="s">
        <v>130</v>
      </c>
      <c r="AN1324" s="327" t="s">
        <v>131</v>
      </c>
      <c r="AO1324" s="153">
        <v>40.0</v>
      </c>
      <c r="AP1324" s="158" t="s">
        <v>7512</v>
      </c>
      <c r="AQ1324" s="148" t="s">
        <v>127</v>
      </c>
      <c r="AR1324" s="148" t="s">
        <v>7513</v>
      </c>
      <c r="AS1324" s="153">
        <v>0.01</v>
      </c>
      <c r="AT1324" s="156" t="s">
        <v>165</v>
      </c>
      <c r="AU1324" s="156" t="s">
        <v>179</v>
      </c>
      <c r="AV1324" s="65" t="s">
        <v>130</v>
      </c>
      <c r="AW1324" s="126" t="s">
        <v>131</v>
      </c>
      <c r="AX1324" s="65" t="s">
        <v>136</v>
      </c>
      <c r="AZ1324" s="59" t="s">
        <v>137</v>
      </c>
    </row>
    <row r="1325">
      <c r="A1325" s="41">
        <v>1325.0</v>
      </c>
      <c r="B1325" s="59" t="s">
        <v>107</v>
      </c>
      <c r="C1325" s="59" t="s">
        <v>108</v>
      </c>
      <c r="D1325" s="59" t="s">
        <v>1263</v>
      </c>
      <c r="F1325" s="65" t="s">
        <v>7514</v>
      </c>
      <c r="G1325" s="54" t="s">
        <v>7515</v>
      </c>
      <c r="H1325" s="156" t="s">
        <v>5011</v>
      </c>
      <c r="I1325" s="431">
        <v>45643.0</v>
      </c>
      <c r="J1325" s="537">
        <v>45736.0</v>
      </c>
      <c r="K1325" s="156" t="s">
        <v>7516</v>
      </c>
      <c r="L1325" s="156"/>
      <c r="M1325" s="687" t="s">
        <v>7517</v>
      </c>
      <c r="N1325" s="156" t="s">
        <v>7483</v>
      </c>
      <c r="O1325" s="156" t="s">
        <v>3573</v>
      </c>
      <c r="P1325" s="379" t="s">
        <v>7484</v>
      </c>
      <c r="Q1325" s="49" t="str">
        <f t="array" ref="Q1325"> if(iserror(MATCH(V1325, 'File Links'!C:C, 0)), "N/A", HYPERLINK(INDEX('File Links'!B:B, MATCH(P1325, 'File Links'!C:C, 0))))</f>
        <v>https://drive.google.com/file/d/1k_ITkShMoY3bps8YyiRV8_CnbYN3486s/view?usp=drivesdk</v>
      </c>
      <c r="R1325" s="156" t="s">
        <v>7518</v>
      </c>
      <c r="S1325" s="156" t="s">
        <v>7519</v>
      </c>
      <c r="T1325" s="65"/>
      <c r="U1325" s="153">
        <v>2.0</v>
      </c>
      <c r="V1325" s="195" t="str">
        <f t="shared" si="79"/>
        <v>10.1037--0022-3514.90.6.893.pdf</v>
      </c>
      <c r="W1325" s="156" t="s">
        <v>7520</v>
      </c>
      <c r="X1325" s="51" t="str">
        <f t="array" ref="X1325"> if(iserror(MATCH(V1325, 'File Links'!C:C, 0)), "N/A", HYPERLINK(INDEX('File Links'!B:B, MATCH(V1325, 'File Links'!C:C, 0))))</f>
        <v>https://drive.google.com/file/d/1TGcGbqDcsz1Kyb3oCU4EoWJQ9dp-E7q6/view?usp=drivesdk</v>
      </c>
      <c r="Y1325" s="65"/>
      <c r="Z1325" s="156" t="s">
        <v>219</v>
      </c>
      <c r="AA1325" s="156" t="s">
        <v>7488</v>
      </c>
      <c r="AB1325" s="156" t="s">
        <v>7521</v>
      </c>
      <c r="AC1325" s="156" t="s">
        <v>7489</v>
      </c>
      <c r="AD1325" s="1287" t="s">
        <v>7490</v>
      </c>
      <c r="AE1325" s="153">
        <v>8.0</v>
      </c>
      <c r="AF1325" s="153">
        <v>30.0</v>
      </c>
      <c r="AG1325" s="156" t="s">
        <v>7491</v>
      </c>
      <c r="AH1325" s="336" t="s">
        <v>127</v>
      </c>
      <c r="AI1325" s="54" t="s">
        <v>606</v>
      </c>
      <c r="AJ1325" s="376">
        <v>0.01</v>
      </c>
      <c r="AK1325" s="156" t="s">
        <v>128</v>
      </c>
      <c r="AL1325" s="54" t="s">
        <v>179</v>
      </c>
      <c r="AM1325" s="65" t="s">
        <v>130</v>
      </c>
      <c r="AN1325" s="327" t="s">
        <v>131</v>
      </c>
      <c r="AO1325" s="153">
        <v>50.0</v>
      </c>
      <c r="AP1325" s="153">
        <v>0.225</v>
      </c>
      <c r="AQ1325" s="156" t="s">
        <v>166</v>
      </c>
      <c r="AR1325" s="156" t="s">
        <v>623</v>
      </c>
      <c r="AS1325" s="65"/>
      <c r="AT1325" s="65"/>
      <c r="AU1325" s="65"/>
      <c r="AV1325" s="65" t="s">
        <v>130</v>
      </c>
      <c r="AW1325" s="1055" t="s">
        <v>131</v>
      </c>
      <c r="AX1325" s="65" t="s">
        <v>136</v>
      </c>
      <c r="AZ1325" s="59" t="s">
        <v>137</v>
      </c>
    </row>
    <row r="1326">
      <c r="A1326" s="41">
        <v>1326.0</v>
      </c>
      <c r="B1326" s="126" t="s">
        <v>145</v>
      </c>
      <c r="C1326" s="59" t="s">
        <v>108</v>
      </c>
      <c r="D1326" s="59" t="s">
        <v>241</v>
      </c>
      <c r="F1326" s="65" t="s">
        <v>7514</v>
      </c>
      <c r="G1326" s="156" t="s">
        <v>7515</v>
      </c>
      <c r="H1326" s="156" t="s">
        <v>242</v>
      </c>
      <c r="I1326" s="149">
        <v>45782.0</v>
      </c>
      <c r="J1326" s="537">
        <v>45736.0</v>
      </c>
      <c r="K1326" s="1057" t="s">
        <v>7496</v>
      </c>
      <c r="L1326" s="156"/>
      <c r="M1326" s="156" t="s">
        <v>7497</v>
      </c>
      <c r="N1326" s="156" t="s">
        <v>7483</v>
      </c>
      <c r="O1326" s="156" t="s">
        <v>3573</v>
      </c>
      <c r="P1326" s="156" t="str">
        <f>SUBSTITUTE(LOWER(N1326), "/", "--") &amp;  ".pdf"</f>
        <v>10.1037--0022-3514.71.2.230.pdf</v>
      </c>
      <c r="Q1326" s="49" t="str">
        <f t="array" ref="Q1326"> if(iserror(MATCH(V1326, 'File Links'!C:C, 0)), "N/A", HYPERLINK(INDEX('File Links'!B:B, MATCH(P1326, 'File Links'!C:C, 0))))</f>
        <v>https://drive.google.com/file/d/1k_ITkShMoY3bps8YyiRV8_CnbYN3486s/view?usp=drivesdk</v>
      </c>
      <c r="R1326" s="1287" t="s">
        <v>7518</v>
      </c>
      <c r="S1326" s="1287" t="s">
        <v>7519</v>
      </c>
      <c r="T1326" s="65"/>
      <c r="U1326" s="126">
        <v>2.0</v>
      </c>
      <c r="V1326" s="195" t="str">
        <f t="shared" si="79"/>
        <v>10.1037--0022-3514.90.6.893.pdf</v>
      </c>
      <c r="W1326" s="156" t="s">
        <v>157</v>
      </c>
      <c r="X1326" s="51" t="str">
        <f t="array" ref="X1326"> if(iserror(MATCH(V1326, 'File Links'!C:C, 0)), "N/A", HYPERLINK(INDEX('File Links'!B:B, MATCH(V1326, 'File Links'!C:C, 0))))</f>
        <v>https://drive.google.com/file/d/1TGcGbqDcsz1Kyb3oCU4EoWJQ9dp-E7q6/view?usp=drivesdk</v>
      </c>
      <c r="Y1326" s="65"/>
      <c r="Z1326" s="156" t="s">
        <v>219</v>
      </c>
      <c r="AA1326" s="156" t="s">
        <v>4045</v>
      </c>
      <c r="AB1326" s="156" t="s">
        <v>7498</v>
      </c>
      <c r="AC1326" s="156" t="s">
        <v>7499</v>
      </c>
      <c r="AD1326" s="1287" t="s">
        <v>7490</v>
      </c>
      <c r="AE1326" s="156" t="s">
        <v>597</v>
      </c>
      <c r="AF1326" s="153">
        <v>30.0</v>
      </c>
      <c r="AG1326" s="156" t="s">
        <v>7491</v>
      </c>
      <c r="AH1326" s="156" t="s">
        <v>127</v>
      </c>
      <c r="AI1326" s="156" t="s">
        <v>7500</v>
      </c>
      <c r="AJ1326" s="153">
        <v>0.01</v>
      </c>
      <c r="AK1326" s="156" t="s">
        <v>128</v>
      </c>
      <c r="AL1326" s="156" t="s">
        <v>179</v>
      </c>
      <c r="AM1326" s="65" t="s">
        <v>130</v>
      </c>
      <c r="AN1326" s="327" t="s">
        <v>131</v>
      </c>
      <c r="AO1326" s="153">
        <v>80.0</v>
      </c>
      <c r="AP1326" s="153">
        <v>0.08</v>
      </c>
      <c r="AQ1326" s="156" t="s">
        <v>867</v>
      </c>
      <c r="AR1326" s="156" t="s">
        <v>7522</v>
      </c>
      <c r="AS1326" s="153">
        <v>0.06</v>
      </c>
      <c r="AT1326" s="156" t="s">
        <v>165</v>
      </c>
      <c r="AU1326" s="156" t="s">
        <v>179</v>
      </c>
      <c r="AV1326" s="65" t="s">
        <v>130</v>
      </c>
      <c r="AW1326" s="1055" t="s">
        <v>131</v>
      </c>
      <c r="AX1326" s="65" t="s">
        <v>136</v>
      </c>
      <c r="AZ1326" s="59" t="s">
        <v>137</v>
      </c>
    </row>
    <row r="1327">
      <c r="A1327" s="41">
        <v>1327.0</v>
      </c>
      <c r="B1327" s="59" t="s">
        <v>145</v>
      </c>
      <c r="C1327" s="59" t="s">
        <v>108</v>
      </c>
      <c r="D1327" s="59" t="s">
        <v>1263</v>
      </c>
      <c r="F1327" s="43" t="s">
        <v>7523</v>
      </c>
      <c r="G1327" s="44" t="s">
        <v>7524</v>
      </c>
      <c r="H1327" s="156" t="s">
        <v>5011</v>
      </c>
      <c r="I1327" s="508">
        <v>45646.0</v>
      </c>
      <c r="J1327" s="537">
        <v>45736.0</v>
      </c>
      <c r="K1327" s="357" t="s">
        <v>7525</v>
      </c>
      <c r="L1327" s="357" t="s">
        <v>7316</v>
      </c>
      <c r="M1327" s="687" t="s">
        <v>7526</v>
      </c>
      <c r="N1327" s="357" t="s">
        <v>7483</v>
      </c>
      <c r="O1327" s="357" t="s">
        <v>3573</v>
      </c>
      <c r="P1327" s="357" t="s">
        <v>7484</v>
      </c>
      <c r="Q1327" s="49" t="str">
        <f t="array" ref="Q1327"> if(iserror(MATCH(V1327, 'File Links'!C:C, 0)), "N/A", HYPERLINK(INDEX('File Links'!B:B, MATCH(P1327, 'File Links'!C:C, 0))))</f>
        <v>https://drive.google.com/file/d/1k_ITkShMoY3bps8YyiRV8_CnbYN3486s/view?usp=drivesdk</v>
      </c>
      <c r="R1327" s="357" t="s">
        <v>7527</v>
      </c>
      <c r="S1327" s="53" t="s">
        <v>7528</v>
      </c>
      <c r="T1327" s="43"/>
      <c r="U1327" s="43"/>
      <c r="V1327" s="195" t="str">
        <f t="shared" si="79"/>
        <v>pashler_2011.pdf</v>
      </c>
      <c r="W1327" s="43"/>
      <c r="X1327" s="51" t="str">
        <f t="array" ref="X1327"> if(iserror(MATCH(V1327, 'File Links'!C:C, 0)), "N/A", HYPERLINK(INDEX('File Links'!B:B, MATCH(V1327, 'File Links'!C:C, 0))))</f>
        <v>https://drive.google.com/file/d/1i2aa1erQ9i9knP8Z5bgGiSt6DXX7U7Fa/view?usp=drivesdk</v>
      </c>
      <c r="Y1327" s="43"/>
      <c r="Z1327" s="357" t="s">
        <v>219</v>
      </c>
      <c r="AA1327" s="357" t="s">
        <v>7488</v>
      </c>
      <c r="AB1327" s="43"/>
      <c r="AC1327" s="156" t="s">
        <v>7489</v>
      </c>
      <c r="AD1327" s="1287" t="s">
        <v>7490</v>
      </c>
      <c r="AE1327" s="354">
        <v>8.0</v>
      </c>
      <c r="AF1327" s="354">
        <v>30.0</v>
      </c>
      <c r="AG1327" s="357" t="s">
        <v>7491</v>
      </c>
      <c r="AH1327" s="48" t="s">
        <v>127</v>
      </c>
      <c r="AI1327" s="44" t="s">
        <v>606</v>
      </c>
      <c r="AJ1327" s="505">
        <v>0.01</v>
      </c>
      <c r="AK1327" s="357" t="s">
        <v>128</v>
      </c>
      <c r="AL1327" s="44" t="s">
        <v>179</v>
      </c>
      <c r="AM1327" s="43" t="s">
        <v>130</v>
      </c>
      <c r="AN1327" s="327" t="s">
        <v>131</v>
      </c>
      <c r="AO1327" s="354">
        <v>66.0</v>
      </c>
      <c r="AP1327" s="377" t="s">
        <v>7529</v>
      </c>
      <c r="AQ1327" s="357" t="s">
        <v>127</v>
      </c>
      <c r="AR1327" s="357" t="s">
        <v>868</v>
      </c>
      <c r="AS1327" s="354">
        <v>0.38</v>
      </c>
      <c r="AT1327" s="357" t="s">
        <v>165</v>
      </c>
      <c r="AU1327" s="357" t="s">
        <v>179</v>
      </c>
      <c r="AV1327" s="43" t="s">
        <v>130</v>
      </c>
      <c r="AW1327" s="1055" t="s">
        <v>131</v>
      </c>
      <c r="AX1327" s="43" t="s">
        <v>136</v>
      </c>
      <c r="AZ1327" s="59" t="s">
        <v>137</v>
      </c>
    </row>
    <row r="1328">
      <c r="A1328" s="41">
        <v>1328.0</v>
      </c>
      <c r="B1328" s="126" t="s">
        <v>107</v>
      </c>
      <c r="C1328" s="59" t="s">
        <v>108</v>
      </c>
      <c r="D1328" s="59" t="s">
        <v>241</v>
      </c>
      <c r="F1328" s="65" t="s">
        <v>7523</v>
      </c>
      <c r="G1328" s="156" t="s">
        <v>7524</v>
      </c>
      <c r="H1328" s="156" t="s">
        <v>242</v>
      </c>
      <c r="I1328" s="149">
        <v>45782.0</v>
      </c>
      <c r="J1328" s="537">
        <v>45736.0</v>
      </c>
      <c r="K1328" s="156" t="s">
        <v>7496</v>
      </c>
      <c r="L1328" s="156" t="s">
        <v>7316</v>
      </c>
      <c r="M1328" s="156" t="s">
        <v>7497</v>
      </c>
      <c r="N1328" s="156" t="s">
        <v>7483</v>
      </c>
      <c r="O1328" s="156" t="s">
        <v>3573</v>
      </c>
      <c r="P1328" s="156" t="str">
        <f>SUBSTITUTE(LOWER(N1328), "/", "--") &amp;  ".pdf"</f>
        <v>10.1037--0022-3514.71.2.230.pdf</v>
      </c>
      <c r="Q1328" s="49" t="str">
        <f t="array" ref="Q1328"> if(iserror(MATCH(V1328, 'File Links'!C:C, 0)), "N/A", HYPERLINK(INDEX('File Links'!B:B, MATCH(P1328, 'File Links'!C:C, 0))))</f>
        <v>https://drive.google.com/file/d/1k_ITkShMoY3bps8YyiRV8_CnbYN3486s/view?usp=drivesdk</v>
      </c>
      <c r="R1328" s="156" t="s">
        <v>7527</v>
      </c>
      <c r="S1328" s="53" t="s">
        <v>7528</v>
      </c>
      <c r="T1328" s="65"/>
      <c r="U1328" s="126">
        <v>1.0</v>
      </c>
      <c r="V1328" s="195" t="str">
        <f t="shared" si="79"/>
        <v>pashler_2011.pdf</v>
      </c>
      <c r="W1328" s="156" t="s">
        <v>7530</v>
      </c>
      <c r="X1328" s="51" t="str">
        <f t="array" ref="X1328"> if(iserror(MATCH(V1328, 'File Links'!C:C, 0)), "N/A", HYPERLINK(INDEX('File Links'!B:B, MATCH(V1328, 'File Links'!C:C, 0))))</f>
        <v>https://drive.google.com/file/d/1i2aa1erQ9i9knP8Z5bgGiSt6DXX7U7Fa/view?usp=drivesdk</v>
      </c>
      <c r="Y1328" s="65"/>
      <c r="Z1328" s="156" t="s">
        <v>219</v>
      </c>
      <c r="AA1328" s="156" t="s">
        <v>4045</v>
      </c>
      <c r="AB1328" s="156" t="s">
        <v>7498</v>
      </c>
      <c r="AC1328" s="156" t="s">
        <v>7499</v>
      </c>
      <c r="AD1328" s="1287" t="s">
        <v>7490</v>
      </c>
      <c r="AE1328" s="156" t="s">
        <v>597</v>
      </c>
      <c r="AF1328" s="153">
        <v>30.0</v>
      </c>
      <c r="AG1328" s="156" t="s">
        <v>7491</v>
      </c>
      <c r="AH1328" s="156" t="s">
        <v>127</v>
      </c>
      <c r="AI1328" s="156" t="s">
        <v>7500</v>
      </c>
      <c r="AJ1328" s="153">
        <v>0.01</v>
      </c>
      <c r="AK1328" s="156" t="s">
        <v>128</v>
      </c>
      <c r="AL1328" s="156" t="s">
        <v>179</v>
      </c>
      <c r="AM1328" s="65" t="s">
        <v>130</v>
      </c>
      <c r="AN1328" s="327" t="s">
        <v>131</v>
      </c>
      <c r="AO1328" s="153">
        <v>66.0</v>
      </c>
      <c r="AP1328" s="156" t="s">
        <v>7529</v>
      </c>
      <c r="AQ1328" s="156" t="s">
        <v>127</v>
      </c>
      <c r="AR1328" s="156" t="s">
        <v>7531</v>
      </c>
      <c r="AS1328" s="153">
        <v>0.38</v>
      </c>
      <c r="AT1328" s="156" t="s">
        <v>165</v>
      </c>
      <c r="AU1328" s="156" t="s">
        <v>179</v>
      </c>
      <c r="AV1328" s="65" t="s">
        <v>130</v>
      </c>
      <c r="AW1328" s="1055" t="s">
        <v>131</v>
      </c>
      <c r="AX1328" s="65" t="s">
        <v>136</v>
      </c>
      <c r="AZ1328" s="59" t="s">
        <v>137</v>
      </c>
    </row>
    <row r="1329">
      <c r="A1329" s="41">
        <v>1329.0</v>
      </c>
      <c r="B1329" s="146" t="s">
        <v>145</v>
      </c>
      <c r="C1329" s="146" t="s">
        <v>108</v>
      </c>
      <c r="D1329" s="146" t="s">
        <v>2623</v>
      </c>
      <c r="E1329" s="69"/>
      <c r="F1329" s="215" t="s">
        <v>7532</v>
      </c>
      <c r="G1329" s="207" t="str">
        <f t="shared" ref="G1329:G1332" si="82">F1329&amp;"_"&amp;COUNTIF($B$3:F1329, F1329)</f>
        <v>curatescience241_1</v>
      </c>
      <c r="H1329" s="215" t="s">
        <v>7458</v>
      </c>
      <c r="I1329" s="412">
        <v>45676.0</v>
      </c>
      <c r="J1329" s="1443">
        <v>45681.0</v>
      </c>
      <c r="K1329" s="108"/>
      <c r="L1329" s="146" t="s">
        <v>7533</v>
      </c>
      <c r="M1329" s="1444" t="s">
        <v>7534</v>
      </c>
      <c r="N1329" s="215" t="s">
        <v>7461</v>
      </c>
      <c r="O1329" s="144">
        <v>1.0</v>
      </c>
      <c r="P1329" s="215" t="str">
        <f t="shared" ref="P1329:P1331" si="83"> SUBSTITUTE(lower(N1329), "/", "--") &amp;  ".pdf"</f>
        <v>10.1086--268936.pdf</v>
      </c>
      <c r="Q1329" s="49" t="str">
        <f t="array" ref="Q1329"> if(iserror(MATCH(V1329, 'File Links'!C:C, 0)), "N/A", HYPERLINK(INDEX('File Links'!B:B, MATCH(P1329, 'File Links'!C:C, 0))))</f>
        <v>https://drive.google.com/file/d/151z21j0N9goJiyhqVea_1u4UA83qXS6l/view?usp=drivesdk</v>
      </c>
      <c r="R1329" s="215" t="s">
        <v>7462</v>
      </c>
      <c r="S1329" s="215" t="s">
        <v>7463</v>
      </c>
      <c r="T1329" s="1118" t="s">
        <v>7464</v>
      </c>
      <c r="U1329" s="215" t="s">
        <v>7465</v>
      </c>
      <c r="V1329" s="195" t="str">
        <f t="shared" si="79"/>
        <v>10.1027--1864-9335--a000178.pdf</v>
      </c>
      <c r="W1329" s="213" t="s">
        <v>7466</v>
      </c>
      <c r="X1329" s="51" t="str">
        <f t="array" ref="X1329"> if(iserror(MATCH(V1329, 'File Links'!C:C, 0)), "N/A", HYPERLINK(INDEX('File Links'!B:B, MATCH(V1329, 'File Links'!C:C, 0))))</f>
        <v>https://drive.google.com/file/d/1fIqa3RxgdnsQkWwGnLkF4XAbM2g_WN4q/view?usp=drivesdk</v>
      </c>
      <c r="Y1329" s="108"/>
      <c r="Z1329" s="215" t="s">
        <v>219</v>
      </c>
      <c r="AA1329" s="215" t="s">
        <v>7467</v>
      </c>
      <c r="AB1329" s="215" t="s">
        <v>7468</v>
      </c>
      <c r="AC1329" s="215" t="s">
        <v>7469</v>
      </c>
      <c r="AD1329" s="215" t="s">
        <v>7470</v>
      </c>
      <c r="AE1329" s="213">
        <v>391.0</v>
      </c>
      <c r="AF1329" s="1445">
        <v>132.0</v>
      </c>
      <c r="AG1329" s="221" t="s">
        <v>7535</v>
      </c>
      <c r="AH1329" s="213" t="s">
        <v>127</v>
      </c>
      <c r="AI1329" s="213" t="s">
        <v>7536</v>
      </c>
      <c r="AJ1329" s="1161">
        <v>0.004</v>
      </c>
      <c r="AK1329" s="207" t="s">
        <v>128</v>
      </c>
      <c r="AL1329" s="44" t="s">
        <v>179</v>
      </c>
      <c r="AM1329" s="1419" t="s">
        <v>130</v>
      </c>
      <c r="AN1329" s="327" t="s">
        <v>131</v>
      </c>
      <c r="AO1329" s="1446">
        <v>5899.0</v>
      </c>
      <c r="AP1329" s="1445" t="s">
        <v>7537</v>
      </c>
      <c r="AQ1329" s="1447" t="s">
        <v>127</v>
      </c>
      <c r="AR1329" s="1448" t="s">
        <v>7538</v>
      </c>
      <c r="AS1329" s="1417">
        <v>0.001</v>
      </c>
      <c r="AT1329" s="215" t="s">
        <v>128</v>
      </c>
      <c r="AU1329" s="357" t="s">
        <v>179</v>
      </c>
      <c r="AV1329" s="1419" t="s">
        <v>130</v>
      </c>
      <c r="AW1329" s="1055" t="s">
        <v>131</v>
      </c>
      <c r="AX1329" s="1419" t="s">
        <v>136</v>
      </c>
      <c r="AY1329" s="1449" t="s">
        <v>7539</v>
      </c>
      <c r="AZ1329" s="146" t="s">
        <v>137</v>
      </c>
    </row>
    <row r="1330">
      <c r="A1330" s="41">
        <v>1330.0</v>
      </c>
      <c r="B1330" s="146" t="s">
        <v>107</v>
      </c>
      <c r="C1330" s="146" t="s">
        <v>108</v>
      </c>
      <c r="D1330" s="146" t="s">
        <v>1227</v>
      </c>
      <c r="E1330" s="69"/>
      <c r="F1330" s="119" t="s">
        <v>7532</v>
      </c>
      <c r="G1330" s="109" t="str">
        <f t="shared" si="82"/>
        <v>curatescience241_2</v>
      </c>
      <c r="H1330" s="119" t="s">
        <v>6921</v>
      </c>
      <c r="I1330" s="414">
        <v>45901.0</v>
      </c>
      <c r="J1330" s="414">
        <v>45901.0</v>
      </c>
      <c r="K1330" s="119" t="s">
        <v>7475</v>
      </c>
      <c r="L1330" s="108"/>
      <c r="M1330" s="1450" t="s">
        <v>7534</v>
      </c>
      <c r="N1330" s="119" t="s">
        <v>7461</v>
      </c>
      <c r="O1330" s="108"/>
      <c r="P1330" s="119" t="str">
        <f t="shared" si="83"/>
        <v>10.1086--268936.pdf</v>
      </c>
      <c r="Q1330" s="105" t="str">
        <f t="array" ref="Q1330"> if(iserror(MATCH(V1330, 'File Links'!C:C, 0)), "N/A", HYPERLINK(INDEX('File Links'!B:B, MATCH(P1330, 'File Links'!C:C, 0))))</f>
        <v>N/A</v>
      </c>
      <c r="R1330" s="108"/>
      <c r="S1330" s="108"/>
      <c r="T1330" s="108"/>
      <c r="U1330" s="108"/>
      <c r="V1330" s="108"/>
      <c r="W1330" s="108"/>
      <c r="X1330" s="46" t="str">
        <f t="array" ref="X1330"> if(iserror(MATCH(V1330, 'File Links'!C:C, 0)), "N/A", HYPERLINK(INDEX('File Links'!B:B, MATCH(V1330, 'File Links'!C:C, 0))))</f>
        <v>N/A</v>
      </c>
      <c r="Y1330" s="119" t="s">
        <v>7540</v>
      </c>
      <c r="Z1330" s="108"/>
      <c r="AA1330" s="108"/>
      <c r="AB1330" s="108"/>
      <c r="AC1330" s="108"/>
      <c r="AD1330" s="108"/>
      <c r="AE1330" s="108"/>
      <c r="AF1330" s="108"/>
      <c r="AG1330" s="108"/>
      <c r="AH1330" s="108"/>
      <c r="AI1330" s="108"/>
      <c r="AJ1330" s="117"/>
      <c r="AK1330" s="111"/>
      <c r="AL1330" s="111"/>
      <c r="AM1330" s="108"/>
      <c r="AN1330" s="327" t="s">
        <v>131</v>
      </c>
      <c r="AO1330" s="108"/>
      <c r="AP1330" s="108"/>
      <c r="AQ1330" s="108"/>
      <c r="AR1330" s="108"/>
      <c r="AS1330" s="108"/>
      <c r="AT1330" s="108"/>
      <c r="AU1330" s="108"/>
      <c r="AV1330" s="108"/>
      <c r="AW1330" s="108"/>
      <c r="AX1330" s="108"/>
      <c r="AY1330" s="69"/>
      <c r="AZ1330" s="146" t="s">
        <v>137</v>
      </c>
    </row>
    <row r="1331">
      <c r="A1331" s="41">
        <v>1331.0</v>
      </c>
      <c r="B1331" s="378" t="s">
        <v>107</v>
      </c>
      <c r="C1331" s="378" t="s">
        <v>108</v>
      </c>
      <c r="D1331" s="378" t="s">
        <v>2623</v>
      </c>
      <c r="E1331" s="481"/>
      <c r="F1331" s="1190" t="s">
        <v>7541</v>
      </c>
      <c r="G1331" s="1005" t="str">
        <f t="shared" si="82"/>
        <v>curatescience244_1</v>
      </c>
      <c r="H1331" s="1190" t="s">
        <v>7458</v>
      </c>
      <c r="I1331" s="1451">
        <v>45676.0</v>
      </c>
      <c r="J1331" s="167">
        <v>45684.0</v>
      </c>
      <c r="K1331" s="486"/>
      <c r="L1331" s="485" t="s">
        <v>7542</v>
      </c>
      <c r="M1331" s="1452" t="s">
        <v>7543</v>
      </c>
      <c r="N1331" s="1190" t="s">
        <v>7544</v>
      </c>
      <c r="O1331" s="485">
        <v>1.0</v>
      </c>
      <c r="P1331" s="1190" t="str">
        <f t="shared" si="83"/>
        <v>10.1037--1089-2699.6.1.101.pdf</v>
      </c>
      <c r="Q1331" s="49" t="str">
        <f t="array" ref="Q1331"> if(iserror(MATCH(V1331, 'File Links'!C:C, 0)), "N/A", HYPERLINK(INDEX('File Links'!B:B, MATCH(P1331, 'File Links'!C:C, 0))))</f>
        <v>https://drive.google.com/file/d/120bw0itAYyHMiW9T7e3mTuddlQMPW3x8/view?usp=drivesdk</v>
      </c>
      <c r="R1331" s="1190" t="s">
        <v>7462</v>
      </c>
      <c r="S1331" s="1190" t="s">
        <v>7463</v>
      </c>
      <c r="T1331" s="1453" t="s">
        <v>7464</v>
      </c>
      <c r="U1331" s="1190" t="s">
        <v>7545</v>
      </c>
      <c r="V1331" s="195" t="str">
        <f t="shared" ref="V1331:V1339" si="84"> hyperlink(vlookup(lower(S1331),#REF!, 2, FALSE), SUBSTITUTE(lower(S1331), "/", "--") &amp;  ".pdf")</f>
        <v>10.1027--1864-9335--a000178.pdf</v>
      </c>
      <c r="W1331" s="1190" t="s">
        <v>7466</v>
      </c>
      <c r="X1331" s="51" t="str">
        <f t="array" ref="X1331"> if(iserror(MATCH(V1331, 'File Links'!C:C, 0)), "N/A", HYPERLINK(INDEX('File Links'!B:B, MATCH(V1331, 'File Links'!C:C, 0))))</f>
        <v>https://drive.google.com/file/d/1fIqa3RxgdnsQkWwGnLkF4XAbM2g_WN4q/view?usp=drivesdk</v>
      </c>
      <c r="Z1331" s="1190" t="s">
        <v>219</v>
      </c>
      <c r="AA1331" s="1190" t="s">
        <v>7546</v>
      </c>
      <c r="AB1331" s="1190" t="s">
        <v>7547</v>
      </c>
      <c r="AC1331" s="1190" t="s">
        <v>7548</v>
      </c>
      <c r="AD1331" s="1190" t="s">
        <v>7549</v>
      </c>
      <c r="AE1331" s="1190" t="s">
        <v>7550</v>
      </c>
      <c r="AF1331" s="1454">
        <v>160857.0</v>
      </c>
      <c r="AG1331" s="1455">
        <v>0.71</v>
      </c>
      <c r="AH1331" s="1456" t="s">
        <v>166</v>
      </c>
      <c r="AI1331" s="1190" t="s">
        <v>7551</v>
      </c>
      <c r="AJ1331" s="1457" t="s">
        <v>131</v>
      </c>
      <c r="AK1331" s="1457" t="s">
        <v>131</v>
      </c>
      <c r="AL1331" s="1457" t="s">
        <v>131</v>
      </c>
      <c r="AM1331" s="1458" t="s">
        <v>130</v>
      </c>
      <c r="AN1331" s="327" t="s">
        <v>131</v>
      </c>
      <c r="AO1331" s="1454">
        <v>6120.0</v>
      </c>
      <c r="AP1331" s="1455">
        <v>0.68</v>
      </c>
      <c r="AQ1331" s="1190" t="s">
        <v>166</v>
      </c>
      <c r="AR1331" s="1190" t="s">
        <v>7552</v>
      </c>
      <c r="AS1331" s="1455">
        <v>0.001</v>
      </c>
      <c r="AT1331" s="1190" t="s">
        <v>128</v>
      </c>
      <c r="AU1331" s="1190" t="s">
        <v>129</v>
      </c>
      <c r="AV1331" s="1458" t="s">
        <v>130</v>
      </c>
      <c r="AW1331" s="1055" t="s">
        <v>131</v>
      </c>
      <c r="AX1331" s="1458" t="s">
        <v>136</v>
      </c>
      <c r="AY1331" s="378" t="s">
        <v>7553</v>
      </c>
      <c r="AZ1331" s="378" t="s">
        <v>137</v>
      </c>
    </row>
    <row r="1332">
      <c r="A1332" s="41">
        <v>1332.0</v>
      </c>
      <c r="B1332" s="378" t="s">
        <v>145</v>
      </c>
      <c r="C1332" s="378" t="s">
        <v>108</v>
      </c>
      <c r="D1332" s="378" t="s">
        <v>1227</v>
      </c>
      <c r="E1332" s="481"/>
      <c r="F1332" s="482" t="s">
        <v>7541</v>
      </c>
      <c r="G1332" s="483" t="str">
        <f t="shared" si="82"/>
        <v>curatescience244_2</v>
      </c>
      <c r="H1332" s="482" t="s">
        <v>6921</v>
      </c>
      <c r="I1332" s="484">
        <v>45901.0</v>
      </c>
      <c r="J1332" s="167">
        <v>45684.0</v>
      </c>
      <c r="K1332" s="486"/>
      <c r="L1332" s="486"/>
      <c r="M1332" s="1459" t="s">
        <v>7554</v>
      </c>
      <c r="N1332" s="346" t="s">
        <v>7555</v>
      </c>
      <c r="O1332" s="492">
        <v>1.0</v>
      </c>
      <c r="P1332" s="156" t="str">
        <f>SUBSTITUTE(LOWER(N1332), "/", "--") &amp;  ".pdf"</f>
        <v>10.1037--0022-3514.83.1.44.pdf</v>
      </c>
      <c r="Q1332" s="49" t="str">
        <f t="array" ref="Q1332"> if(iserror(MATCH(V1332, 'File Links'!C:C, 0)), "N/A", HYPERLINK(INDEX('File Links'!B:B, MATCH(P1332, 'File Links'!C:C, 0))))</f>
        <v>https://drive.google.com/file/d/1fhnK_MpUTUYrtfdIB-pGhbkxyiXV1Wjs/view?usp=drivesdk</v>
      </c>
      <c r="R1332" s="1190" t="s">
        <v>7462</v>
      </c>
      <c r="S1332" s="1456" t="s">
        <v>7463</v>
      </c>
      <c r="T1332" s="1453" t="s">
        <v>7464</v>
      </c>
      <c r="U1332" s="1190" t="s">
        <v>7545</v>
      </c>
      <c r="V1332" s="195" t="str">
        <f t="shared" si="84"/>
        <v>10.1027--1864-9335--a000178.pdf</v>
      </c>
      <c r="W1332" s="1190" t="s">
        <v>7466</v>
      </c>
      <c r="X1332" s="51" t="str">
        <f t="array" ref="X1332"> if(iserror(MATCH(V1332, 'File Links'!C:C, 0)), "N/A", HYPERLINK(INDEX('File Links'!B:B, MATCH(V1332, 'File Links'!C:C, 0))))</f>
        <v>https://drive.google.com/file/d/1fIqa3RxgdnsQkWwGnLkF4XAbM2g_WN4q/view?usp=drivesdk</v>
      </c>
      <c r="Z1332" s="482" t="s">
        <v>219</v>
      </c>
      <c r="AA1332" s="485" t="s">
        <v>7556</v>
      </c>
      <c r="AB1332" s="1190" t="s">
        <v>7547</v>
      </c>
      <c r="AC1332" s="485" t="s">
        <v>7557</v>
      </c>
      <c r="AD1332" s="346" t="s">
        <v>7558</v>
      </c>
      <c r="AE1332" s="492">
        <v>49.0</v>
      </c>
      <c r="AF1332" s="492">
        <v>79.0</v>
      </c>
      <c r="AG1332" s="492">
        <v>1.01</v>
      </c>
      <c r="AH1332" s="482" t="s">
        <v>166</v>
      </c>
      <c r="AI1332" s="485" t="s">
        <v>7559</v>
      </c>
      <c r="AJ1332" s="491">
        <f>1*10^-5</f>
        <v>0.00001</v>
      </c>
      <c r="AK1332" s="483" t="s">
        <v>165</v>
      </c>
      <c r="AL1332" s="483" t="s">
        <v>179</v>
      </c>
      <c r="AM1332" s="486" t="s">
        <v>130</v>
      </c>
      <c r="AN1332" s="327" t="s">
        <v>131</v>
      </c>
      <c r="AO1332" s="492">
        <v>5842.0</v>
      </c>
      <c r="AP1332" s="492">
        <v>0.53</v>
      </c>
      <c r="AQ1332" s="482" t="s">
        <v>166</v>
      </c>
      <c r="AR1332" s="485" t="s">
        <v>7560</v>
      </c>
      <c r="AS1332" s="492">
        <v>0.001</v>
      </c>
      <c r="AT1332" s="482" t="s">
        <v>128</v>
      </c>
      <c r="AU1332" s="482" t="s">
        <v>179</v>
      </c>
      <c r="AV1332" s="486" t="s">
        <v>130</v>
      </c>
      <c r="AW1332" s="1460" t="s">
        <v>7561</v>
      </c>
      <c r="AX1332" s="486" t="s">
        <v>136</v>
      </c>
      <c r="AY1332" s="378" t="s">
        <v>7562</v>
      </c>
      <c r="AZ1332" s="378" t="s">
        <v>137</v>
      </c>
    </row>
    <row r="1333">
      <c r="A1333" s="41">
        <v>1333.0</v>
      </c>
      <c r="B1333" s="59" t="s">
        <v>107</v>
      </c>
      <c r="C1333" s="59" t="s">
        <v>108</v>
      </c>
      <c r="D1333" s="59" t="s">
        <v>1263</v>
      </c>
      <c r="F1333" s="65" t="s">
        <v>7563</v>
      </c>
      <c r="G1333" s="54" t="s">
        <v>7564</v>
      </c>
      <c r="H1333" s="156" t="s">
        <v>5011</v>
      </c>
      <c r="I1333" s="431">
        <v>45644.0</v>
      </c>
      <c r="J1333" s="537">
        <v>45736.0</v>
      </c>
      <c r="K1333" s="156" t="s">
        <v>7565</v>
      </c>
      <c r="L1333" s="156"/>
      <c r="M1333" s="687" t="s">
        <v>7566</v>
      </c>
      <c r="N1333" s="156" t="s">
        <v>7483</v>
      </c>
      <c r="O1333" s="156" t="s">
        <v>3573</v>
      </c>
      <c r="P1333" s="379" t="s">
        <v>7484</v>
      </c>
      <c r="Q1333" s="49" t="str">
        <f t="array" ref="Q1333"> if(iserror(MATCH(V1333, 'File Links'!C:C, 0)), "N/A", HYPERLINK(INDEX('File Links'!B:B, MATCH(P1333, 'File Links'!C:C, 0))))</f>
        <v>https://drive.google.com/file/d/1k_ITkShMoY3bps8YyiRV8_CnbYN3486s/view?usp=drivesdk</v>
      </c>
      <c r="R1333" s="156" t="s">
        <v>7567</v>
      </c>
      <c r="S1333" s="156" t="s">
        <v>7568</v>
      </c>
      <c r="T1333" s="65"/>
      <c r="U1333" s="153">
        <v>1.0</v>
      </c>
      <c r="V1333" s="195" t="str">
        <f t="shared" si="84"/>
        <v>10.1371--journal.pone.0029081.pdf</v>
      </c>
      <c r="W1333" s="156" t="s">
        <v>7569</v>
      </c>
      <c r="X1333" s="51" t="str">
        <f t="array" ref="X1333"> if(iserror(MATCH(V1333, 'File Links'!C:C, 0)), "N/A", HYPERLINK(INDEX('File Links'!B:B, MATCH(V1333, 'File Links'!C:C, 0))))</f>
        <v>https://drive.google.com/file/d/13yA5wer3pEP6DzO7ZMN-jDmSL2aYTKUo/view?usp=drivesdk</v>
      </c>
      <c r="Z1333" s="156" t="s">
        <v>219</v>
      </c>
      <c r="AA1333" s="156" t="s">
        <v>7488</v>
      </c>
      <c r="AB1333" s="65"/>
      <c r="AC1333" s="156" t="s">
        <v>7489</v>
      </c>
      <c r="AD1333" s="156" t="s">
        <v>7490</v>
      </c>
      <c r="AE1333" s="153">
        <v>8.0</v>
      </c>
      <c r="AF1333" s="153">
        <v>30.0</v>
      </c>
      <c r="AG1333" s="156" t="s">
        <v>7491</v>
      </c>
      <c r="AH1333" s="336" t="s">
        <v>127</v>
      </c>
      <c r="AI1333" s="54" t="s">
        <v>606</v>
      </c>
      <c r="AJ1333" s="376">
        <v>0.01</v>
      </c>
      <c r="AK1333" s="156" t="s">
        <v>128</v>
      </c>
      <c r="AL1333" s="54" t="s">
        <v>179</v>
      </c>
      <c r="AM1333" s="65" t="s">
        <v>130</v>
      </c>
      <c r="AN1333" s="327" t="s">
        <v>131</v>
      </c>
      <c r="AO1333" s="153">
        <v>120.0</v>
      </c>
      <c r="AP1333" s="153">
        <v>0.01</v>
      </c>
      <c r="AQ1333" s="156" t="s">
        <v>132</v>
      </c>
      <c r="AR1333" s="156" t="s">
        <v>210</v>
      </c>
      <c r="AS1333" s="126" t="s">
        <v>131</v>
      </c>
      <c r="AT1333" s="126" t="s">
        <v>131</v>
      </c>
      <c r="AU1333" s="126" t="s">
        <v>179</v>
      </c>
      <c r="AV1333" s="126" t="s">
        <v>130</v>
      </c>
      <c r="AW1333" s="1055" t="s">
        <v>131</v>
      </c>
      <c r="AX1333" s="65" t="s">
        <v>136</v>
      </c>
      <c r="AZ1333" s="59" t="s">
        <v>137</v>
      </c>
    </row>
    <row r="1334">
      <c r="A1334" s="41">
        <v>1334.0</v>
      </c>
      <c r="B1334" s="59" t="s">
        <v>107</v>
      </c>
      <c r="C1334" s="59" t="s">
        <v>108</v>
      </c>
      <c r="D1334" s="59" t="s">
        <v>1263</v>
      </c>
      <c r="F1334" s="65" t="s">
        <v>7563</v>
      </c>
      <c r="G1334" s="54" t="s">
        <v>7570</v>
      </c>
      <c r="H1334" s="156" t="s">
        <v>5011</v>
      </c>
      <c r="I1334" s="431">
        <v>45644.0</v>
      </c>
      <c r="J1334" s="537">
        <v>45736.0</v>
      </c>
      <c r="K1334" s="156" t="s">
        <v>7571</v>
      </c>
      <c r="L1334" s="156"/>
      <c r="M1334" s="687" t="s">
        <v>7572</v>
      </c>
      <c r="N1334" s="156" t="s">
        <v>7483</v>
      </c>
      <c r="O1334" s="156" t="s">
        <v>3573</v>
      </c>
      <c r="P1334" s="379" t="s">
        <v>7484</v>
      </c>
      <c r="Q1334" s="49" t="str">
        <f t="array" ref="Q1334"> if(iserror(MATCH(V1334, 'File Links'!C:C, 0)), "N/A", HYPERLINK(INDEX('File Links'!B:B, MATCH(P1334, 'File Links'!C:C, 0))))</f>
        <v>https://drive.google.com/file/d/1k_ITkShMoY3bps8YyiRV8_CnbYN3486s/view?usp=drivesdk</v>
      </c>
      <c r="R1334" s="156" t="s">
        <v>7567</v>
      </c>
      <c r="S1334" s="156" t="s">
        <v>7568</v>
      </c>
      <c r="T1334" s="65"/>
      <c r="U1334" s="153">
        <v>2.0</v>
      </c>
      <c r="V1334" s="195" t="str">
        <f t="shared" si="84"/>
        <v>10.1371--journal.pone.0029081.pdf</v>
      </c>
      <c r="W1334" s="156" t="s">
        <v>7569</v>
      </c>
      <c r="X1334" s="51" t="str">
        <f t="array" ref="X1334"> if(iserror(MATCH(V1334, 'File Links'!C:C, 0)), "N/A", HYPERLINK(INDEX('File Links'!B:B, MATCH(V1334, 'File Links'!C:C, 0))))</f>
        <v>https://drive.google.com/file/d/13yA5wer3pEP6DzO7ZMN-jDmSL2aYTKUo/view?usp=drivesdk</v>
      </c>
      <c r="Z1334" s="156" t="s">
        <v>219</v>
      </c>
      <c r="AA1334" s="156" t="s">
        <v>7488</v>
      </c>
      <c r="AB1334" s="65"/>
      <c r="AC1334" s="156" t="s">
        <v>7489</v>
      </c>
      <c r="AD1334" s="156" t="s">
        <v>7490</v>
      </c>
      <c r="AE1334" s="153">
        <v>8.0</v>
      </c>
      <c r="AF1334" s="153">
        <v>30.0</v>
      </c>
      <c r="AG1334" s="156" t="s">
        <v>7491</v>
      </c>
      <c r="AH1334" s="336" t="s">
        <v>127</v>
      </c>
      <c r="AI1334" s="54" t="s">
        <v>606</v>
      </c>
      <c r="AJ1334" s="376">
        <v>0.01</v>
      </c>
      <c r="AK1334" s="156" t="s">
        <v>128</v>
      </c>
      <c r="AL1334" s="54" t="s">
        <v>179</v>
      </c>
      <c r="AM1334" s="65" t="s">
        <v>130</v>
      </c>
      <c r="AN1334" s="327" t="s">
        <v>131</v>
      </c>
      <c r="AO1334" s="153">
        <v>25.0</v>
      </c>
      <c r="AP1334" s="153">
        <v>0.339</v>
      </c>
      <c r="AQ1334" s="156" t="s">
        <v>132</v>
      </c>
      <c r="AR1334" s="156" t="s">
        <v>489</v>
      </c>
      <c r="AS1334" s="153">
        <v>0.002</v>
      </c>
      <c r="AT1334" s="156" t="s">
        <v>165</v>
      </c>
      <c r="AU1334" s="156" t="s">
        <v>179</v>
      </c>
      <c r="AV1334" s="65" t="s">
        <v>130</v>
      </c>
      <c r="AW1334" s="1055" t="s">
        <v>131</v>
      </c>
      <c r="AX1334" s="65" t="s">
        <v>144</v>
      </c>
      <c r="AZ1334" s="59" t="s">
        <v>137</v>
      </c>
    </row>
    <row r="1335">
      <c r="A1335" s="41">
        <v>1335.0</v>
      </c>
      <c r="B1335" s="59" t="s">
        <v>107</v>
      </c>
      <c r="C1335" s="59" t="s">
        <v>108</v>
      </c>
      <c r="D1335" s="59" t="s">
        <v>1263</v>
      </c>
      <c r="F1335" s="65" t="s">
        <v>7563</v>
      </c>
      <c r="G1335" s="54" t="s">
        <v>7570</v>
      </c>
      <c r="H1335" s="156" t="s">
        <v>5011</v>
      </c>
      <c r="I1335" s="431">
        <v>45646.0</v>
      </c>
      <c r="J1335" s="537">
        <v>45736.0</v>
      </c>
      <c r="K1335" s="156" t="s">
        <v>7573</v>
      </c>
      <c r="L1335" s="65"/>
      <c r="M1335" s="687" t="s">
        <v>7574</v>
      </c>
      <c r="N1335" s="156" t="s">
        <v>7483</v>
      </c>
      <c r="O1335" s="156" t="s">
        <v>3573</v>
      </c>
      <c r="P1335" s="379" t="s">
        <v>7484</v>
      </c>
      <c r="Q1335" s="49" t="str">
        <f t="array" ref="Q1335"> if(iserror(MATCH(V1335, 'File Links'!C:C, 0)), "N/A", HYPERLINK(INDEX('File Links'!B:B, MATCH(P1335, 'File Links'!C:C, 0))))</f>
        <v>https://drive.google.com/file/d/1k_ITkShMoY3bps8YyiRV8_CnbYN3486s/view?usp=drivesdk</v>
      </c>
      <c r="R1335" s="156" t="s">
        <v>7567</v>
      </c>
      <c r="S1335" s="156" t="s">
        <v>7568</v>
      </c>
      <c r="T1335" s="65"/>
      <c r="U1335" s="153">
        <v>2.0</v>
      </c>
      <c r="V1335" s="195" t="str">
        <f t="shared" si="84"/>
        <v>10.1371--journal.pone.0029081.pdf</v>
      </c>
      <c r="W1335" s="156" t="s">
        <v>7569</v>
      </c>
      <c r="X1335" s="51" t="str">
        <f t="array" ref="X1335"> if(iserror(MATCH(V1335, 'File Links'!C:C, 0)), "N/A", HYPERLINK(INDEX('File Links'!B:B, MATCH(V1335, 'File Links'!C:C, 0))))</f>
        <v>https://drive.google.com/file/d/13yA5wer3pEP6DzO7ZMN-jDmSL2aYTKUo/view?usp=drivesdk</v>
      </c>
      <c r="Z1335" s="156" t="s">
        <v>219</v>
      </c>
      <c r="AA1335" s="156" t="s">
        <v>7488</v>
      </c>
      <c r="AB1335" s="65"/>
      <c r="AC1335" s="156" t="s">
        <v>7489</v>
      </c>
      <c r="AD1335" s="156" t="s">
        <v>7490</v>
      </c>
      <c r="AE1335" s="153">
        <v>8.0</v>
      </c>
      <c r="AF1335" s="153">
        <v>30.0</v>
      </c>
      <c r="AG1335" s="156" t="s">
        <v>7491</v>
      </c>
      <c r="AH1335" s="336" t="s">
        <v>127</v>
      </c>
      <c r="AI1335" s="54" t="s">
        <v>606</v>
      </c>
      <c r="AJ1335" s="376">
        <v>0.01</v>
      </c>
      <c r="AK1335" s="156" t="s">
        <v>128</v>
      </c>
      <c r="AL1335" s="54" t="s">
        <v>179</v>
      </c>
      <c r="AM1335" s="65" t="s">
        <v>130</v>
      </c>
      <c r="AN1335" s="327" t="s">
        <v>131</v>
      </c>
      <c r="AO1335" s="153">
        <v>50.0</v>
      </c>
      <c r="AP1335" s="153">
        <v>0.295</v>
      </c>
      <c r="AQ1335" s="156" t="s">
        <v>132</v>
      </c>
      <c r="AR1335" s="156" t="s">
        <v>489</v>
      </c>
      <c r="AS1335" s="153">
        <v>0.001</v>
      </c>
      <c r="AT1335" s="156" t="s">
        <v>128</v>
      </c>
      <c r="AU1335" s="156" t="s">
        <v>179</v>
      </c>
      <c r="AV1335" s="65" t="s">
        <v>130</v>
      </c>
      <c r="AW1335" s="1055" t="s">
        <v>131</v>
      </c>
      <c r="AX1335" s="65" t="s">
        <v>144</v>
      </c>
      <c r="AZ1335" s="59" t="s">
        <v>137</v>
      </c>
    </row>
    <row r="1336">
      <c r="A1336" s="41">
        <v>1336.0</v>
      </c>
      <c r="B1336" s="59" t="s">
        <v>107</v>
      </c>
      <c r="C1336" s="59" t="s">
        <v>108</v>
      </c>
      <c r="D1336" s="59" t="s">
        <v>1263</v>
      </c>
      <c r="F1336" s="65" t="s">
        <v>7563</v>
      </c>
      <c r="G1336" s="54" t="s">
        <v>7570</v>
      </c>
      <c r="H1336" s="156" t="s">
        <v>5011</v>
      </c>
      <c r="I1336" s="431">
        <v>45646.0</v>
      </c>
      <c r="J1336" s="537">
        <v>45736.0</v>
      </c>
      <c r="K1336" s="156" t="s">
        <v>7575</v>
      </c>
      <c r="L1336" s="65"/>
      <c r="M1336" s="687" t="s">
        <v>7576</v>
      </c>
      <c r="N1336" s="156" t="s">
        <v>7483</v>
      </c>
      <c r="O1336" s="156" t="s">
        <v>3573</v>
      </c>
      <c r="P1336" s="379" t="s">
        <v>7484</v>
      </c>
      <c r="Q1336" s="49" t="str">
        <f t="array" ref="Q1336"> if(iserror(MATCH(V1336, 'File Links'!C:C, 0)), "N/A", HYPERLINK(INDEX('File Links'!B:B, MATCH(P1336, 'File Links'!C:C, 0))))</f>
        <v>https://drive.google.com/file/d/1k_ITkShMoY3bps8YyiRV8_CnbYN3486s/view?usp=drivesdk</v>
      </c>
      <c r="R1336" s="156" t="s">
        <v>7567</v>
      </c>
      <c r="S1336" s="156" t="s">
        <v>7568</v>
      </c>
      <c r="T1336" s="65"/>
      <c r="U1336" s="153">
        <v>2.0</v>
      </c>
      <c r="V1336" s="195" t="str">
        <f t="shared" si="84"/>
        <v>10.1371--journal.pone.0029081.pdf</v>
      </c>
      <c r="W1336" s="156" t="s">
        <v>7569</v>
      </c>
      <c r="X1336" s="51" t="str">
        <f t="array" ref="X1336"> if(iserror(MATCH(V1336, 'File Links'!C:C, 0)), "N/A", HYPERLINK(INDEX('File Links'!B:B, MATCH(V1336, 'File Links'!C:C, 0))))</f>
        <v>https://drive.google.com/file/d/13yA5wer3pEP6DzO7ZMN-jDmSL2aYTKUo/view?usp=drivesdk</v>
      </c>
      <c r="Z1336" s="156" t="s">
        <v>219</v>
      </c>
      <c r="AA1336" s="156" t="s">
        <v>7488</v>
      </c>
      <c r="AB1336" s="65"/>
      <c r="AC1336" s="156" t="s">
        <v>7489</v>
      </c>
      <c r="AD1336" s="156" t="s">
        <v>7490</v>
      </c>
      <c r="AE1336" s="153">
        <v>8.0</v>
      </c>
      <c r="AF1336" s="153">
        <v>30.0</v>
      </c>
      <c r="AG1336" s="156" t="s">
        <v>7491</v>
      </c>
      <c r="AH1336" s="336" t="s">
        <v>127</v>
      </c>
      <c r="AI1336" s="54" t="s">
        <v>606</v>
      </c>
      <c r="AJ1336" s="376">
        <v>0.01</v>
      </c>
      <c r="AK1336" s="156" t="s">
        <v>128</v>
      </c>
      <c r="AL1336" s="54" t="s">
        <v>179</v>
      </c>
      <c r="AM1336" s="65" t="s">
        <v>130</v>
      </c>
      <c r="AN1336" s="327" t="s">
        <v>131</v>
      </c>
      <c r="AO1336" s="153">
        <v>25.0</v>
      </c>
      <c r="AP1336" s="153">
        <v>0.274</v>
      </c>
      <c r="AQ1336" s="156" t="s">
        <v>132</v>
      </c>
      <c r="AR1336" s="156" t="s">
        <v>489</v>
      </c>
      <c r="AS1336" s="153">
        <v>0.012</v>
      </c>
      <c r="AT1336" s="156" t="s">
        <v>165</v>
      </c>
      <c r="AU1336" s="156" t="s">
        <v>179</v>
      </c>
      <c r="AV1336" s="65" t="s">
        <v>130</v>
      </c>
      <c r="AW1336" s="1055" t="s">
        <v>131</v>
      </c>
      <c r="AX1336" s="65" t="s">
        <v>144</v>
      </c>
      <c r="AZ1336" s="59" t="s">
        <v>137</v>
      </c>
    </row>
    <row r="1337">
      <c r="A1337" s="41">
        <v>1337.0</v>
      </c>
      <c r="B1337" s="59" t="s">
        <v>107</v>
      </c>
      <c r="C1337" s="59" t="s">
        <v>108</v>
      </c>
      <c r="D1337" s="59" t="s">
        <v>1263</v>
      </c>
      <c r="F1337" s="65" t="s">
        <v>7563</v>
      </c>
      <c r="G1337" s="54" t="s">
        <v>7570</v>
      </c>
      <c r="H1337" s="156" t="s">
        <v>5011</v>
      </c>
      <c r="I1337" s="431">
        <v>45646.0</v>
      </c>
      <c r="J1337" s="537">
        <v>45736.0</v>
      </c>
      <c r="K1337" s="156" t="s">
        <v>7577</v>
      </c>
      <c r="L1337" s="65"/>
      <c r="M1337" s="687" t="s">
        <v>7578</v>
      </c>
      <c r="N1337" s="156" t="s">
        <v>7483</v>
      </c>
      <c r="O1337" s="156" t="s">
        <v>3573</v>
      </c>
      <c r="P1337" s="379" t="s">
        <v>7484</v>
      </c>
      <c r="Q1337" s="49" t="str">
        <f t="array" ref="Q1337"> if(iserror(MATCH(V1337, 'File Links'!C:C, 0)), "N/A", HYPERLINK(INDEX('File Links'!B:B, MATCH(P1337, 'File Links'!C:C, 0))))</f>
        <v>https://drive.google.com/file/d/1k_ITkShMoY3bps8YyiRV8_CnbYN3486s/view?usp=drivesdk</v>
      </c>
      <c r="R1337" s="156" t="s">
        <v>7567</v>
      </c>
      <c r="S1337" s="156" t="s">
        <v>7568</v>
      </c>
      <c r="T1337" s="65"/>
      <c r="U1337" s="153">
        <v>2.0</v>
      </c>
      <c r="V1337" s="195" t="str">
        <f t="shared" si="84"/>
        <v>10.1371--journal.pone.0029081.pdf</v>
      </c>
      <c r="W1337" s="156" t="s">
        <v>7569</v>
      </c>
      <c r="X1337" s="51" t="str">
        <f t="array" ref="X1337"> if(iserror(MATCH(V1337, 'File Links'!C:C, 0)), "N/A", HYPERLINK(INDEX('File Links'!B:B, MATCH(V1337, 'File Links'!C:C, 0))))</f>
        <v>https://drive.google.com/file/d/13yA5wer3pEP6DzO7ZMN-jDmSL2aYTKUo/view?usp=drivesdk</v>
      </c>
      <c r="Z1337" s="156" t="s">
        <v>219</v>
      </c>
      <c r="AA1337" s="156" t="s">
        <v>7488</v>
      </c>
      <c r="AB1337" s="65"/>
      <c r="AC1337" s="156" t="s">
        <v>7489</v>
      </c>
      <c r="AD1337" s="156" t="s">
        <v>7490</v>
      </c>
      <c r="AE1337" s="153">
        <v>8.0</v>
      </c>
      <c r="AF1337" s="153">
        <v>30.0</v>
      </c>
      <c r="AG1337" s="156" t="s">
        <v>7491</v>
      </c>
      <c r="AH1337" s="336" t="s">
        <v>127</v>
      </c>
      <c r="AI1337" s="54" t="s">
        <v>606</v>
      </c>
      <c r="AJ1337" s="376">
        <v>0.01</v>
      </c>
      <c r="AK1337" s="156" t="s">
        <v>128</v>
      </c>
      <c r="AL1337" s="54" t="s">
        <v>179</v>
      </c>
      <c r="AM1337" s="65" t="s">
        <v>130</v>
      </c>
      <c r="AN1337" s="327" t="s">
        <v>131</v>
      </c>
      <c r="AO1337" s="153">
        <v>25.0</v>
      </c>
      <c r="AP1337" s="153">
        <v>0.228</v>
      </c>
      <c r="AQ1337" s="156" t="s">
        <v>132</v>
      </c>
      <c r="AR1337" s="156" t="s">
        <v>489</v>
      </c>
      <c r="AS1337" s="153">
        <v>0.014</v>
      </c>
      <c r="AT1337" s="156" t="s">
        <v>165</v>
      </c>
      <c r="AU1337" s="156" t="s">
        <v>179</v>
      </c>
      <c r="AV1337" s="65" t="s">
        <v>130</v>
      </c>
      <c r="AW1337" s="1055" t="s">
        <v>131</v>
      </c>
      <c r="AX1337" s="65" t="s">
        <v>144</v>
      </c>
      <c r="AZ1337" s="59" t="s">
        <v>137</v>
      </c>
    </row>
    <row r="1338">
      <c r="A1338" s="41">
        <v>1338.0</v>
      </c>
      <c r="B1338" s="59" t="s">
        <v>107</v>
      </c>
      <c r="C1338" s="59" t="s">
        <v>108</v>
      </c>
      <c r="D1338" s="59" t="s">
        <v>1263</v>
      </c>
      <c r="F1338" s="65" t="s">
        <v>7563</v>
      </c>
      <c r="G1338" s="54" t="s">
        <v>7570</v>
      </c>
      <c r="H1338" s="156" t="s">
        <v>5011</v>
      </c>
      <c r="I1338" s="431">
        <v>45646.0</v>
      </c>
      <c r="J1338" s="537">
        <v>45736.0</v>
      </c>
      <c r="K1338" s="156" t="s">
        <v>7579</v>
      </c>
      <c r="L1338" s="65"/>
      <c r="M1338" s="687" t="s">
        <v>7580</v>
      </c>
      <c r="N1338" s="156" t="s">
        <v>7483</v>
      </c>
      <c r="O1338" s="156" t="s">
        <v>3573</v>
      </c>
      <c r="P1338" s="379" t="s">
        <v>7484</v>
      </c>
      <c r="Q1338" s="49" t="str">
        <f t="array" ref="Q1338"> if(iserror(MATCH(V1338, 'File Links'!C:C, 0)), "N/A", HYPERLINK(INDEX('File Links'!B:B, MATCH(P1338, 'File Links'!C:C, 0))))</f>
        <v>https://drive.google.com/file/d/1k_ITkShMoY3bps8YyiRV8_CnbYN3486s/view?usp=drivesdk</v>
      </c>
      <c r="R1338" s="156" t="s">
        <v>7567</v>
      </c>
      <c r="S1338" s="156" t="s">
        <v>7568</v>
      </c>
      <c r="T1338" s="65"/>
      <c r="U1338" s="153">
        <v>2.0</v>
      </c>
      <c r="V1338" s="195" t="str">
        <f t="shared" si="84"/>
        <v>10.1371--journal.pone.0029081.pdf</v>
      </c>
      <c r="W1338" s="156" t="s">
        <v>7569</v>
      </c>
      <c r="X1338" s="51" t="str">
        <f t="array" ref="X1338"> if(iserror(MATCH(V1338, 'File Links'!C:C, 0)), "N/A", HYPERLINK(INDEX('File Links'!B:B, MATCH(V1338, 'File Links'!C:C, 0))))</f>
        <v>https://drive.google.com/file/d/13yA5wer3pEP6DzO7ZMN-jDmSL2aYTKUo/view?usp=drivesdk</v>
      </c>
      <c r="Z1338" s="156" t="s">
        <v>219</v>
      </c>
      <c r="AA1338" s="156" t="s">
        <v>7488</v>
      </c>
      <c r="AB1338" s="65"/>
      <c r="AC1338" s="156" t="s">
        <v>7489</v>
      </c>
      <c r="AD1338" s="156" t="s">
        <v>7490</v>
      </c>
      <c r="AE1338" s="153">
        <v>8.0</v>
      </c>
      <c r="AF1338" s="153">
        <v>30.0</v>
      </c>
      <c r="AG1338" s="156" t="s">
        <v>7491</v>
      </c>
      <c r="AH1338" s="336" t="s">
        <v>127</v>
      </c>
      <c r="AI1338" s="54" t="s">
        <v>606</v>
      </c>
      <c r="AJ1338" s="376">
        <v>0.01</v>
      </c>
      <c r="AK1338" s="156" t="s">
        <v>128</v>
      </c>
      <c r="AL1338" s="54" t="s">
        <v>179</v>
      </c>
      <c r="AM1338" s="65" t="s">
        <v>130</v>
      </c>
      <c r="AN1338" s="327" t="s">
        <v>131</v>
      </c>
      <c r="AO1338" s="153">
        <v>25.0</v>
      </c>
      <c r="AP1338" s="153">
        <v>0.011</v>
      </c>
      <c r="AQ1338" s="156" t="s">
        <v>132</v>
      </c>
      <c r="AR1338" s="156" t="s">
        <v>489</v>
      </c>
      <c r="AS1338" s="153">
        <v>0.636</v>
      </c>
      <c r="AT1338" s="156" t="s">
        <v>165</v>
      </c>
      <c r="AU1338" s="156" t="s">
        <v>179</v>
      </c>
      <c r="AV1338" s="65" t="s">
        <v>130</v>
      </c>
      <c r="AW1338" s="1055" t="s">
        <v>131</v>
      </c>
      <c r="AX1338" s="65" t="s">
        <v>144</v>
      </c>
      <c r="AZ1338" s="59" t="s">
        <v>137</v>
      </c>
      <c r="BA1338" s="186"/>
      <c r="BB1338" s="186"/>
      <c r="BC1338" s="186"/>
      <c r="BD1338" s="186"/>
      <c r="BE1338" s="186"/>
      <c r="BF1338" s="186"/>
      <c r="BG1338" s="186"/>
      <c r="BH1338" s="186"/>
      <c r="BI1338" s="186"/>
      <c r="BJ1338" s="186"/>
      <c r="BK1338" s="186"/>
      <c r="BL1338" s="186"/>
      <c r="BM1338" s="186"/>
      <c r="BN1338" s="186"/>
      <c r="BO1338" s="186"/>
      <c r="BP1338" s="186"/>
      <c r="BQ1338" s="186"/>
      <c r="BR1338" s="186"/>
      <c r="BS1338" s="186"/>
      <c r="BT1338" s="186"/>
      <c r="BU1338" s="186"/>
      <c r="BV1338" s="186"/>
      <c r="BW1338" s="186"/>
      <c r="BX1338" s="186"/>
      <c r="BY1338" s="186"/>
      <c r="BZ1338" s="186"/>
      <c r="CA1338" s="186"/>
      <c r="CB1338" s="186"/>
      <c r="CC1338" s="186"/>
      <c r="CD1338" s="186"/>
      <c r="CE1338" s="186"/>
      <c r="CF1338" s="186"/>
      <c r="CG1338" s="186"/>
      <c r="CH1338" s="186"/>
      <c r="CI1338" s="186"/>
      <c r="CJ1338" s="186"/>
      <c r="CK1338" s="186"/>
      <c r="CL1338" s="186"/>
      <c r="CM1338" s="186"/>
      <c r="CN1338" s="186"/>
      <c r="CO1338" s="186"/>
      <c r="CP1338" s="186"/>
      <c r="CQ1338" s="186"/>
      <c r="CR1338" s="186"/>
      <c r="CS1338" s="186"/>
      <c r="CT1338" s="186"/>
      <c r="CU1338" s="186"/>
      <c r="CV1338" s="186"/>
      <c r="CW1338" s="186"/>
      <c r="CX1338" s="186"/>
      <c r="CY1338" s="186"/>
      <c r="CZ1338" s="186"/>
      <c r="DA1338" s="186"/>
      <c r="DB1338" s="186"/>
      <c r="DC1338" s="186"/>
      <c r="DD1338" s="186"/>
      <c r="DE1338" s="186"/>
      <c r="DF1338" s="186"/>
      <c r="DG1338" s="186"/>
      <c r="DH1338" s="186"/>
    </row>
    <row r="1339">
      <c r="A1339" s="41">
        <v>1339.0</v>
      </c>
      <c r="B1339" s="126" t="s">
        <v>145</v>
      </c>
      <c r="C1339" s="59" t="s">
        <v>108</v>
      </c>
      <c r="D1339" s="59" t="s">
        <v>241</v>
      </c>
      <c r="F1339" s="65" t="s">
        <v>7563</v>
      </c>
      <c r="G1339" s="156" t="s">
        <v>7564</v>
      </c>
      <c r="H1339" s="156" t="s">
        <v>242</v>
      </c>
      <c r="I1339" s="149">
        <v>45782.0</v>
      </c>
      <c r="J1339" s="537">
        <v>45736.0</v>
      </c>
      <c r="K1339" s="1057" t="s">
        <v>7496</v>
      </c>
      <c r="L1339" s="156" t="s">
        <v>7316</v>
      </c>
      <c r="M1339" s="156" t="s">
        <v>7497</v>
      </c>
      <c r="N1339" s="156" t="s">
        <v>7483</v>
      </c>
      <c r="O1339" s="156" t="s">
        <v>3573</v>
      </c>
      <c r="P1339" s="156" t="str">
        <f>SUBSTITUTE(LOWER(N1339), "/", "--") &amp;  ".pdf"</f>
        <v>10.1037--0022-3514.71.2.230.pdf</v>
      </c>
      <c r="Q1339" s="49" t="str">
        <f t="array" ref="Q1339"> if(iserror(MATCH(V1339, 'File Links'!C:C, 0)), "N/A", HYPERLINK(INDEX('File Links'!B:B, MATCH(P1339, 'File Links'!C:C, 0))))</f>
        <v>https://drive.google.com/file/d/1k_ITkShMoY3bps8YyiRV8_CnbYN3486s/view?usp=drivesdk</v>
      </c>
      <c r="R1339" s="156" t="s">
        <v>7567</v>
      </c>
      <c r="S1339" s="156" t="s">
        <v>7568</v>
      </c>
      <c r="T1339" s="65"/>
      <c r="U1339" s="153">
        <v>1.0</v>
      </c>
      <c r="V1339" s="195" t="str">
        <f t="shared" si="84"/>
        <v>10.1371--journal.pone.0029081.pdf</v>
      </c>
      <c r="W1339" s="156" t="s">
        <v>131</v>
      </c>
      <c r="X1339" s="51" t="str">
        <f t="array" ref="X1339"> if(iserror(MATCH(V1339, 'File Links'!C:C, 0)), "N/A", HYPERLINK(INDEX('File Links'!B:B, MATCH(V1339, 'File Links'!C:C, 0))))</f>
        <v>https://drive.google.com/file/d/13yA5wer3pEP6DzO7ZMN-jDmSL2aYTKUo/view?usp=drivesdk</v>
      </c>
      <c r="Y1339" s="65"/>
      <c r="Z1339" s="156" t="s">
        <v>219</v>
      </c>
      <c r="AA1339" s="156" t="s">
        <v>4045</v>
      </c>
      <c r="AB1339" s="156" t="s">
        <v>7498</v>
      </c>
      <c r="AC1339" s="156" t="s">
        <v>7499</v>
      </c>
      <c r="AD1339" s="156" t="s">
        <v>7581</v>
      </c>
      <c r="AE1339" s="156" t="s">
        <v>597</v>
      </c>
      <c r="AF1339" s="153">
        <v>30.0</v>
      </c>
      <c r="AG1339" s="156" t="s">
        <v>7491</v>
      </c>
      <c r="AH1339" s="156" t="s">
        <v>127</v>
      </c>
      <c r="AI1339" s="156" t="s">
        <v>7500</v>
      </c>
      <c r="AJ1339" s="153">
        <v>0.01</v>
      </c>
      <c r="AK1339" s="156" t="s">
        <v>128</v>
      </c>
      <c r="AL1339" s="156" t="s">
        <v>179</v>
      </c>
      <c r="AM1339" s="65" t="s">
        <v>134</v>
      </c>
      <c r="AN1339" s="327" t="s">
        <v>131</v>
      </c>
      <c r="AO1339" s="153">
        <v>120.0</v>
      </c>
      <c r="AP1339" s="153">
        <v>0.01</v>
      </c>
      <c r="AQ1339" s="156" t="s">
        <v>132</v>
      </c>
      <c r="AR1339" s="156" t="s">
        <v>7582</v>
      </c>
      <c r="AS1339" s="153">
        <v>0.05</v>
      </c>
      <c r="AT1339" s="156" t="s">
        <v>328</v>
      </c>
      <c r="AU1339" s="156" t="s">
        <v>179</v>
      </c>
      <c r="AV1339" s="65" t="s">
        <v>130</v>
      </c>
      <c r="AW1339" s="65" t="s">
        <v>130</v>
      </c>
      <c r="AX1339" s="65" t="s">
        <v>136</v>
      </c>
      <c r="AZ1339" s="59" t="s">
        <v>137</v>
      </c>
      <c r="BA1339" s="186"/>
      <c r="BB1339" s="186"/>
      <c r="BC1339" s="186"/>
      <c r="BD1339" s="186"/>
      <c r="BE1339" s="186"/>
      <c r="BF1339" s="186"/>
      <c r="BG1339" s="186"/>
      <c r="BH1339" s="186"/>
      <c r="BI1339" s="186"/>
      <c r="BJ1339" s="186"/>
      <c r="BK1339" s="186"/>
      <c r="BL1339" s="186"/>
      <c r="BM1339" s="186"/>
      <c r="BN1339" s="186"/>
      <c r="BO1339" s="186"/>
      <c r="BP1339" s="186"/>
      <c r="BQ1339" s="186"/>
      <c r="BR1339" s="186"/>
      <c r="BS1339" s="186"/>
      <c r="BT1339" s="186"/>
      <c r="BU1339" s="186"/>
      <c r="BV1339" s="186"/>
      <c r="BW1339" s="186"/>
      <c r="BX1339" s="186"/>
      <c r="BY1339" s="186"/>
      <c r="BZ1339" s="186"/>
      <c r="CA1339" s="186"/>
      <c r="CB1339" s="186"/>
      <c r="CC1339" s="186"/>
      <c r="CD1339" s="186"/>
      <c r="CE1339" s="186"/>
      <c r="CF1339" s="186"/>
      <c r="CG1339" s="186"/>
      <c r="CH1339" s="186"/>
      <c r="CI1339" s="186"/>
      <c r="CJ1339" s="186"/>
      <c r="CK1339" s="186"/>
      <c r="CL1339" s="186"/>
      <c r="CM1339" s="186"/>
      <c r="CN1339" s="186"/>
      <c r="CO1339" s="186"/>
      <c r="CP1339" s="186"/>
      <c r="CQ1339" s="186"/>
      <c r="CR1339" s="186"/>
      <c r="CS1339" s="186"/>
      <c r="CT1339" s="186"/>
      <c r="CU1339" s="186"/>
      <c r="CV1339" s="186"/>
      <c r="CW1339" s="186"/>
      <c r="CX1339" s="186"/>
      <c r="CY1339" s="186"/>
      <c r="CZ1339" s="186"/>
      <c r="DA1339" s="186"/>
      <c r="DB1339" s="186"/>
      <c r="DC1339" s="186"/>
      <c r="DD1339" s="186"/>
      <c r="DE1339" s="186"/>
      <c r="DF1339" s="186"/>
      <c r="DG1339" s="186"/>
      <c r="DH1339" s="186"/>
    </row>
    <row r="1340">
      <c r="A1340" s="168">
        <v>1340.0</v>
      </c>
      <c r="B1340" s="172" t="s">
        <v>107</v>
      </c>
      <c r="C1340" s="165" t="s">
        <v>108</v>
      </c>
      <c r="D1340" s="165" t="s">
        <v>2923</v>
      </c>
      <c r="E1340" s="161"/>
      <c r="F1340" s="177" t="s">
        <v>7583</v>
      </c>
      <c r="G1340" s="729" t="s">
        <v>7584</v>
      </c>
      <c r="H1340" s="729" t="s">
        <v>7585</v>
      </c>
      <c r="I1340" s="1410" t="s">
        <v>7204</v>
      </c>
      <c r="J1340" s="177"/>
      <c r="K1340" s="729" t="s">
        <v>7586</v>
      </c>
      <c r="L1340" s="729" t="s">
        <v>7587</v>
      </c>
      <c r="M1340" s="729" t="s">
        <v>7588</v>
      </c>
      <c r="N1340" s="729" t="s">
        <v>7589</v>
      </c>
      <c r="O1340" s="180">
        <v>1.0</v>
      </c>
      <c r="P1340" s="729" t="s">
        <v>7590</v>
      </c>
      <c r="Q1340" s="955" t="str">
        <f t="array" ref="Q1340"> if(iserror(MATCH(V1340, 'File Links'!C:C, 0)), "N/A", HYPERLINK(INDEX('File Links'!B:B, MATCH(P1340, 'File Links'!C:C, 0))))</f>
        <v>N/A</v>
      </c>
      <c r="R1340" s="729" t="s">
        <v>7591</v>
      </c>
      <c r="S1340" s="729" t="s">
        <v>131</v>
      </c>
      <c r="T1340" s="1411" t="s">
        <v>7592</v>
      </c>
      <c r="U1340" s="180" t="s">
        <v>131</v>
      </c>
      <c r="V1340" s="729" t="s">
        <v>570</v>
      </c>
      <c r="W1340" s="729" t="s">
        <v>131</v>
      </c>
      <c r="X1340" s="734" t="str">
        <f t="array" ref="X1340"> if(iserror(MATCH(V1340, 'File Links'!C:C, 0)), "N/A", HYPERLINK(INDEX('File Links'!B:B, MATCH(V1340, 'File Links'!C:C, 0))))</f>
        <v>N/A</v>
      </c>
      <c r="Y1340" s="1461" t="s">
        <v>7593</v>
      </c>
      <c r="Z1340" s="729" t="s">
        <v>219</v>
      </c>
      <c r="AA1340" s="729" t="s">
        <v>7594</v>
      </c>
      <c r="AB1340" s="729" t="s">
        <v>7595</v>
      </c>
      <c r="AC1340" s="729" t="s">
        <v>7596</v>
      </c>
      <c r="AD1340" s="729" t="s">
        <v>7597</v>
      </c>
      <c r="AE1340" s="180">
        <v>2.0</v>
      </c>
      <c r="AF1340" s="180">
        <v>40.0</v>
      </c>
      <c r="AG1340" s="180">
        <v>0.52</v>
      </c>
      <c r="AH1340" s="729" t="s">
        <v>208</v>
      </c>
      <c r="AI1340" s="180">
        <v>2.0</v>
      </c>
      <c r="AJ1340" s="180">
        <v>0.001</v>
      </c>
      <c r="AK1340" s="729" t="s">
        <v>165</v>
      </c>
      <c r="AL1340" s="729" t="s">
        <v>179</v>
      </c>
      <c r="AM1340" s="729" t="s">
        <v>130</v>
      </c>
      <c r="AN1340" s="172" t="s">
        <v>131</v>
      </c>
      <c r="AO1340" s="180">
        <v>314.0</v>
      </c>
      <c r="AP1340" s="180">
        <v>0.19</v>
      </c>
      <c r="AQ1340" s="729" t="s">
        <v>166</v>
      </c>
      <c r="AR1340" s="729" t="s">
        <v>131</v>
      </c>
      <c r="AS1340" s="180" t="s">
        <v>131</v>
      </c>
      <c r="AT1340" s="177"/>
      <c r="AU1340" s="729" t="s">
        <v>179</v>
      </c>
      <c r="AV1340" s="729" t="s">
        <v>130</v>
      </c>
      <c r="AW1340" s="177" t="s">
        <v>131</v>
      </c>
      <c r="AX1340" s="177"/>
      <c r="AY1340" s="161"/>
      <c r="AZ1340" s="165" t="s">
        <v>7598</v>
      </c>
      <c r="BA1340" s="161"/>
      <c r="BB1340" s="161"/>
      <c r="BC1340" s="161"/>
      <c r="BD1340" s="161"/>
      <c r="BE1340" s="161"/>
      <c r="BF1340" s="161"/>
      <c r="BG1340" s="161"/>
      <c r="BH1340" s="161"/>
      <c r="BI1340" s="161"/>
      <c r="BJ1340" s="161"/>
      <c r="BK1340" s="161"/>
      <c r="BL1340" s="161"/>
      <c r="BM1340" s="161"/>
      <c r="BN1340" s="161"/>
      <c r="BO1340" s="161"/>
      <c r="BP1340" s="161"/>
      <c r="BQ1340" s="161"/>
      <c r="BR1340" s="161"/>
      <c r="BS1340" s="161"/>
      <c r="BT1340" s="161"/>
      <c r="BU1340" s="161"/>
      <c r="BV1340" s="161"/>
      <c r="BW1340" s="161"/>
      <c r="BX1340" s="161"/>
      <c r="BY1340" s="161"/>
      <c r="BZ1340" s="161"/>
      <c r="CA1340" s="161"/>
      <c r="CB1340" s="161"/>
      <c r="CC1340" s="161"/>
      <c r="CD1340" s="161"/>
      <c r="CE1340" s="161"/>
      <c r="CF1340" s="161"/>
      <c r="CG1340" s="161"/>
      <c r="CH1340" s="161"/>
      <c r="CI1340" s="161"/>
      <c r="CJ1340" s="161"/>
      <c r="CK1340" s="161"/>
      <c r="CL1340" s="161"/>
      <c r="CM1340" s="161"/>
      <c r="CN1340" s="161"/>
      <c r="CO1340" s="161"/>
      <c r="CP1340" s="161"/>
      <c r="CQ1340" s="161"/>
      <c r="CR1340" s="161"/>
      <c r="CS1340" s="161"/>
      <c r="CT1340" s="161"/>
      <c r="CU1340" s="161"/>
      <c r="CV1340" s="161"/>
      <c r="CW1340" s="161"/>
      <c r="CX1340" s="161"/>
      <c r="CY1340" s="161"/>
      <c r="CZ1340" s="161"/>
      <c r="DA1340" s="161"/>
      <c r="DB1340" s="161"/>
      <c r="DC1340" s="161"/>
      <c r="DD1340" s="161"/>
      <c r="DE1340" s="161"/>
      <c r="DF1340" s="161"/>
      <c r="DG1340" s="161"/>
      <c r="DH1340" s="161"/>
    </row>
    <row r="1341">
      <c r="A1341" s="168">
        <v>1341.0</v>
      </c>
      <c r="B1341" s="172" t="s">
        <v>107</v>
      </c>
      <c r="C1341" s="165" t="s">
        <v>108</v>
      </c>
      <c r="D1341" s="165" t="s">
        <v>2923</v>
      </c>
      <c r="E1341" s="161"/>
      <c r="F1341" s="177" t="s">
        <v>7583</v>
      </c>
      <c r="G1341" s="729" t="s">
        <v>7584</v>
      </c>
      <c r="H1341" s="729" t="s">
        <v>7585</v>
      </c>
      <c r="I1341" s="1410" t="s">
        <v>7204</v>
      </c>
      <c r="J1341" s="177"/>
      <c r="K1341" s="729" t="s">
        <v>7586</v>
      </c>
      <c r="L1341" s="729" t="s">
        <v>7587</v>
      </c>
      <c r="M1341" s="729" t="s">
        <v>7588</v>
      </c>
      <c r="N1341" s="729" t="s">
        <v>7589</v>
      </c>
      <c r="O1341" s="180">
        <v>1.0</v>
      </c>
      <c r="P1341" s="729" t="s">
        <v>7590</v>
      </c>
      <c r="Q1341" s="955" t="str">
        <f t="array" ref="Q1341"> if(iserror(MATCH(V1341, 'File Links'!C:C, 0)), "N/A", HYPERLINK(INDEX('File Links'!B:B, MATCH(P1341, 'File Links'!C:C, 0))))</f>
        <v>N/A</v>
      </c>
      <c r="R1341" s="729" t="s">
        <v>7591</v>
      </c>
      <c r="S1341" s="729" t="s">
        <v>131</v>
      </c>
      <c r="T1341" s="1411" t="s">
        <v>7592</v>
      </c>
      <c r="U1341" s="180" t="s">
        <v>131</v>
      </c>
      <c r="V1341" s="729" t="s">
        <v>570</v>
      </c>
      <c r="W1341" s="729" t="s">
        <v>131</v>
      </c>
      <c r="X1341" s="734" t="str">
        <f t="array" ref="X1341"> if(iserror(MATCH(V1341, 'File Links'!C:C, 0)), "N/A", HYPERLINK(INDEX('File Links'!B:B, MATCH(V1341, 'File Links'!C:C, 0))))</f>
        <v>N/A</v>
      </c>
      <c r="Y1341" s="1461" t="s">
        <v>7599</v>
      </c>
      <c r="Z1341" s="729" t="s">
        <v>219</v>
      </c>
      <c r="AA1341" s="729" t="s">
        <v>7594</v>
      </c>
      <c r="AB1341" s="729" t="s">
        <v>7595</v>
      </c>
      <c r="AC1341" s="729" t="s">
        <v>7596</v>
      </c>
      <c r="AD1341" s="729" t="s">
        <v>7597</v>
      </c>
      <c r="AE1341" s="180">
        <v>2.0</v>
      </c>
      <c r="AF1341" s="180">
        <v>40.0</v>
      </c>
      <c r="AG1341" s="180">
        <v>0.52</v>
      </c>
      <c r="AH1341" s="729" t="s">
        <v>208</v>
      </c>
      <c r="AI1341" s="180">
        <v>2.0</v>
      </c>
      <c r="AJ1341" s="180">
        <v>0.001</v>
      </c>
      <c r="AK1341" s="729" t="s">
        <v>165</v>
      </c>
      <c r="AL1341" s="729" t="s">
        <v>179</v>
      </c>
      <c r="AM1341" s="729" t="s">
        <v>130</v>
      </c>
      <c r="AN1341" s="729" t="s">
        <v>131</v>
      </c>
      <c r="AO1341" s="180">
        <v>314.0</v>
      </c>
      <c r="AP1341" s="180">
        <v>0.19</v>
      </c>
      <c r="AQ1341" s="729" t="s">
        <v>166</v>
      </c>
      <c r="AR1341" s="729" t="s">
        <v>131</v>
      </c>
      <c r="AS1341" s="180" t="s">
        <v>131</v>
      </c>
      <c r="AT1341" s="180" t="s">
        <v>131</v>
      </c>
      <c r="AU1341" s="729" t="s">
        <v>179</v>
      </c>
      <c r="AV1341" s="729" t="s">
        <v>130</v>
      </c>
      <c r="AW1341" s="177" t="s">
        <v>131</v>
      </c>
      <c r="AX1341" s="177"/>
      <c r="AY1341" s="161"/>
      <c r="AZ1341" s="165" t="s">
        <v>7598</v>
      </c>
      <c r="BA1341" s="161"/>
      <c r="BB1341" s="161"/>
      <c r="BC1341" s="161"/>
      <c r="BD1341" s="161"/>
      <c r="BE1341" s="161"/>
      <c r="BF1341" s="161"/>
      <c r="BG1341" s="161"/>
      <c r="BH1341" s="161"/>
      <c r="BI1341" s="161"/>
      <c r="BJ1341" s="161"/>
      <c r="BK1341" s="161"/>
      <c r="BL1341" s="161"/>
      <c r="BM1341" s="161"/>
      <c r="BN1341" s="161"/>
      <c r="BO1341" s="161"/>
      <c r="BP1341" s="161"/>
      <c r="BQ1341" s="161"/>
      <c r="BR1341" s="161"/>
      <c r="BS1341" s="161"/>
      <c r="BT1341" s="161"/>
      <c r="BU1341" s="161"/>
      <c r="BV1341" s="161"/>
      <c r="BW1341" s="161"/>
      <c r="BX1341" s="161"/>
      <c r="BY1341" s="161"/>
      <c r="BZ1341" s="161"/>
      <c r="CA1341" s="161"/>
      <c r="CB1341" s="161"/>
      <c r="CC1341" s="161"/>
      <c r="CD1341" s="161"/>
      <c r="CE1341" s="161"/>
      <c r="CF1341" s="161"/>
      <c r="CG1341" s="161"/>
      <c r="CH1341" s="161"/>
      <c r="CI1341" s="161"/>
      <c r="CJ1341" s="161"/>
      <c r="CK1341" s="161"/>
      <c r="CL1341" s="161"/>
      <c r="CM1341" s="161"/>
      <c r="CN1341" s="161"/>
      <c r="CO1341" s="161"/>
      <c r="CP1341" s="161"/>
      <c r="CQ1341" s="161"/>
      <c r="CR1341" s="161"/>
      <c r="CS1341" s="161"/>
      <c r="CT1341" s="161"/>
      <c r="CU1341" s="161"/>
      <c r="CV1341" s="161"/>
      <c r="CW1341" s="161"/>
      <c r="CX1341" s="161"/>
      <c r="CY1341" s="161"/>
      <c r="CZ1341" s="161"/>
      <c r="DA1341" s="161"/>
      <c r="DB1341" s="161"/>
      <c r="DC1341" s="161"/>
      <c r="DD1341" s="161"/>
      <c r="DE1341" s="161"/>
      <c r="DF1341" s="161"/>
      <c r="DG1341" s="161"/>
      <c r="DH1341" s="161"/>
    </row>
    <row r="1342">
      <c r="A1342" s="41">
        <v>1342.0</v>
      </c>
      <c r="B1342" s="126" t="s">
        <v>145</v>
      </c>
      <c r="C1342" s="59" t="s">
        <v>108</v>
      </c>
      <c r="D1342" s="59" t="s">
        <v>2923</v>
      </c>
      <c r="F1342" s="65" t="s">
        <v>7600</v>
      </c>
      <c r="G1342" s="156" t="s">
        <v>7601</v>
      </c>
      <c r="H1342" s="156" t="s">
        <v>7585</v>
      </c>
      <c r="I1342" s="1284" t="s">
        <v>7204</v>
      </c>
      <c r="J1342" s="537">
        <v>45736.0</v>
      </c>
      <c r="K1342" s="156" t="s">
        <v>7602</v>
      </c>
      <c r="L1342" s="148" t="s">
        <v>7603</v>
      </c>
      <c r="M1342" s="156" t="s">
        <v>7588</v>
      </c>
      <c r="N1342" s="156" t="s">
        <v>7589</v>
      </c>
      <c r="O1342" s="153">
        <v>1.0</v>
      </c>
      <c r="P1342" s="379" t="s">
        <v>7590</v>
      </c>
      <c r="Q1342" s="49" t="str">
        <f t="array" ref="Q1342"> if(iserror(MATCH(V1342, 'File Links'!C:C, 0)), "N/A", HYPERLINK(INDEX('File Links'!B:B, MATCH(P1342, 'File Links'!C:C, 0))))</f>
        <v>https://drive.google.com/file/d/1-8hoTcDzN7GjN92fqlhu7SLhxRSQTUrd/view?usp=drivesdk</v>
      </c>
      <c r="R1342" s="156" t="s">
        <v>7604</v>
      </c>
      <c r="S1342" s="156" t="s">
        <v>7605</v>
      </c>
      <c r="T1342" s="156" t="s">
        <v>131</v>
      </c>
      <c r="U1342" s="153">
        <v>1.0</v>
      </c>
      <c r="V1342" s="379" t="s">
        <v>7606</v>
      </c>
      <c r="W1342" s="156" t="s">
        <v>202</v>
      </c>
      <c r="X1342" s="51" t="str">
        <f t="array" ref="X1342"> if(iserror(MATCH(V1342, 'File Links'!C:C, 0)), "N/A", HYPERLINK(INDEX('File Links'!B:B, MATCH(V1342, 'File Links'!C:C, 0))))</f>
        <v>https://drive.google.com/file/d/1x9sfN1Qyptlpks3NPyyD6PckLhoE6G6J/view?usp=drivesdk</v>
      </c>
      <c r="Y1342" s="65"/>
      <c r="Z1342" s="156" t="s">
        <v>219</v>
      </c>
      <c r="AA1342" s="156" t="s">
        <v>7594</v>
      </c>
      <c r="AB1342" s="156" t="s">
        <v>7595</v>
      </c>
      <c r="AC1342" s="148" t="s">
        <v>7607</v>
      </c>
      <c r="AD1342" s="156" t="s">
        <v>7597</v>
      </c>
      <c r="AE1342" s="153">
        <v>2.0</v>
      </c>
      <c r="AF1342" s="153">
        <v>40.0</v>
      </c>
      <c r="AG1342" s="153">
        <v>0.52</v>
      </c>
      <c r="AH1342" s="156" t="s">
        <v>208</v>
      </c>
      <c r="AI1342" s="153">
        <v>2.0</v>
      </c>
      <c r="AJ1342" s="153">
        <v>0.001</v>
      </c>
      <c r="AK1342" s="156" t="s">
        <v>165</v>
      </c>
      <c r="AL1342" s="156" t="s">
        <v>179</v>
      </c>
      <c r="AM1342" s="156" t="s">
        <v>130</v>
      </c>
      <c r="AN1342" s="327" t="s">
        <v>131</v>
      </c>
      <c r="AO1342" s="153">
        <v>240.0</v>
      </c>
      <c r="AP1342" s="1462">
        <v>0.06</v>
      </c>
      <c r="AQ1342" s="156" t="s">
        <v>208</v>
      </c>
      <c r="AR1342" s="156" t="s">
        <v>210</v>
      </c>
      <c r="AS1342" s="153" t="s">
        <v>131</v>
      </c>
      <c r="AT1342" s="126" t="s">
        <v>131</v>
      </c>
      <c r="AU1342" s="156" t="s">
        <v>179</v>
      </c>
      <c r="AV1342" s="156" t="s">
        <v>130</v>
      </c>
      <c r="AW1342" s="1463" t="s">
        <v>7608</v>
      </c>
      <c r="AX1342" s="1287" t="s">
        <v>136</v>
      </c>
      <c r="AZ1342" s="59" t="s">
        <v>137</v>
      </c>
      <c r="BA1342" s="69"/>
      <c r="BB1342" s="69"/>
      <c r="BC1342" s="69"/>
      <c r="BD1342" s="69"/>
      <c r="BE1342" s="69"/>
      <c r="BF1342" s="69"/>
      <c r="BG1342" s="69"/>
      <c r="BH1342" s="69"/>
      <c r="BI1342" s="69"/>
      <c r="BJ1342" s="69"/>
      <c r="BK1342" s="69"/>
      <c r="BL1342" s="69"/>
      <c r="BM1342" s="69"/>
      <c r="BN1342" s="69"/>
      <c r="BO1342" s="69"/>
      <c r="BP1342" s="69"/>
      <c r="BQ1342" s="69"/>
      <c r="BR1342" s="69"/>
      <c r="BS1342" s="69"/>
      <c r="BT1342" s="69"/>
      <c r="BU1342" s="69"/>
      <c r="BV1342" s="69"/>
      <c r="BW1342" s="69"/>
      <c r="BX1342" s="69"/>
      <c r="BY1342" s="69"/>
      <c r="BZ1342" s="69"/>
      <c r="CA1342" s="69"/>
      <c r="CB1342" s="69"/>
      <c r="CC1342" s="69"/>
      <c r="CD1342" s="69"/>
      <c r="CE1342" s="69"/>
      <c r="CF1342" s="69"/>
      <c r="CG1342" s="69"/>
      <c r="CH1342" s="69"/>
      <c r="CI1342" s="69"/>
      <c r="CJ1342" s="69"/>
      <c r="CK1342" s="69"/>
      <c r="CL1342" s="69"/>
      <c r="CM1342" s="69"/>
      <c r="CN1342" s="69"/>
      <c r="CO1342" s="69"/>
      <c r="CP1342" s="69"/>
      <c r="CQ1342" s="69"/>
      <c r="CR1342" s="69"/>
      <c r="CS1342" s="69"/>
      <c r="CT1342" s="69"/>
      <c r="CU1342" s="69"/>
      <c r="CV1342" s="69"/>
      <c r="CW1342" s="69"/>
      <c r="CX1342" s="69"/>
      <c r="CY1342" s="69"/>
      <c r="CZ1342" s="69"/>
      <c r="DA1342" s="69"/>
      <c r="DB1342" s="69"/>
      <c r="DC1342" s="69"/>
      <c r="DD1342" s="69"/>
      <c r="DE1342" s="69"/>
      <c r="DF1342" s="69"/>
      <c r="DG1342" s="69"/>
      <c r="DH1342" s="69"/>
    </row>
    <row r="1343">
      <c r="A1343" s="41">
        <v>1343.0</v>
      </c>
      <c r="B1343" s="126" t="s">
        <v>107</v>
      </c>
      <c r="C1343" s="59" t="s">
        <v>108</v>
      </c>
      <c r="D1343" s="59" t="s">
        <v>2923</v>
      </c>
      <c r="F1343" s="65" t="s">
        <v>7600</v>
      </c>
      <c r="G1343" s="156" t="s">
        <v>7601</v>
      </c>
      <c r="H1343" s="156" t="s">
        <v>7585</v>
      </c>
      <c r="I1343" s="1284" t="s">
        <v>7204</v>
      </c>
      <c r="J1343" s="65"/>
      <c r="K1343" s="156" t="s">
        <v>7602</v>
      </c>
      <c r="L1343" s="156" t="s">
        <v>7609</v>
      </c>
      <c r="M1343" s="156" t="s">
        <v>7588</v>
      </c>
      <c r="N1343" s="156" t="s">
        <v>7589</v>
      </c>
      <c r="O1343" s="153">
        <v>1.0</v>
      </c>
      <c r="P1343" s="379" t="s">
        <v>7590</v>
      </c>
      <c r="Q1343" s="49" t="str">
        <f t="array" ref="Q1343"> if(iserror(MATCH(V1343, 'File Links'!C:C, 0)), "N/A", HYPERLINK(INDEX('File Links'!B:B, MATCH(P1343, 'File Links'!C:C, 0))))</f>
        <v>https://drive.google.com/file/d/1-8hoTcDzN7GjN92fqlhu7SLhxRSQTUrd/view?usp=drivesdk</v>
      </c>
      <c r="R1343" s="156" t="s">
        <v>7604</v>
      </c>
      <c r="S1343" s="156" t="s">
        <v>7605</v>
      </c>
      <c r="T1343" s="156" t="s">
        <v>131</v>
      </c>
      <c r="U1343" s="153">
        <v>1.0</v>
      </c>
      <c r="V1343" s="379" t="s">
        <v>7606</v>
      </c>
      <c r="W1343" s="156" t="s">
        <v>202</v>
      </c>
      <c r="X1343" s="51" t="str">
        <f t="array" ref="X1343"> if(iserror(MATCH(V1343, 'File Links'!C:C, 0)), "N/A", HYPERLINK(INDEX('File Links'!B:B, MATCH(V1343, 'File Links'!C:C, 0))))</f>
        <v>https://drive.google.com/file/d/1x9sfN1Qyptlpks3NPyyD6PckLhoE6G6J/view?usp=drivesdk</v>
      </c>
      <c r="Y1343" s="65"/>
      <c r="Z1343" s="156" t="s">
        <v>219</v>
      </c>
      <c r="AA1343" s="156" t="s">
        <v>7594</v>
      </c>
      <c r="AB1343" s="156" t="s">
        <v>7595</v>
      </c>
      <c r="AC1343" s="156" t="s">
        <v>7596</v>
      </c>
      <c r="AD1343" s="156" t="s">
        <v>7597</v>
      </c>
      <c r="AE1343" s="153">
        <v>2.0</v>
      </c>
      <c r="AF1343" s="153">
        <v>40.0</v>
      </c>
      <c r="AG1343" s="153">
        <v>0.52</v>
      </c>
      <c r="AH1343" s="156" t="s">
        <v>208</v>
      </c>
      <c r="AI1343" s="153">
        <v>2.0</v>
      </c>
      <c r="AJ1343" s="153">
        <v>0.001</v>
      </c>
      <c r="AK1343" s="156" t="s">
        <v>165</v>
      </c>
      <c r="AL1343" s="156" t="s">
        <v>179</v>
      </c>
      <c r="AM1343" s="156" t="s">
        <v>130</v>
      </c>
      <c r="AN1343" s="156" t="s">
        <v>131</v>
      </c>
      <c r="AO1343" s="153">
        <v>240.0</v>
      </c>
      <c r="AP1343" s="153">
        <v>0.06</v>
      </c>
      <c r="AQ1343" s="156" t="s">
        <v>208</v>
      </c>
      <c r="AR1343" s="156" t="s">
        <v>210</v>
      </c>
      <c r="AS1343" s="153" t="s">
        <v>131</v>
      </c>
      <c r="AT1343" s="153" t="s">
        <v>131</v>
      </c>
      <c r="AU1343" s="156" t="s">
        <v>179</v>
      </c>
      <c r="AV1343" s="156" t="s">
        <v>130</v>
      </c>
      <c r="AW1343" s="432" t="s">
        <v>7610</v>
      </c>
      <c r="AX1343" s="156" t="s">
        <v>431</v>
      </c>
    </row>
    <row r="1344">
      <c r="A1344" s="41">
        <v>1344.0</v>
      </c>
      <c r="B1344" s="126" t="s">
        <v>107</v>
      </c>
      <c r="C1344" s="59" t="s">
        <v>108</v>
      </c>
      <c r="D1344" s="59" t="s">
        <v>983</v>
      </c>
      <c r="F1344" s="65" t="s">
        <v>7611</v>
      </c>
      <c r="G1344" s="156" t="s">
        <v>7612</v>
      </c>
      <c r="H1344" s="156" t="s">
        <v>7203</v>
      </c>
      <c r="I1344" s="1284" t="s">
        <v>112</v>
      </c>
      <c r="J1344" s="537">
        <v>45736.0</v>
      </c>
      <c r="K1344" s="156" t="s">
        <v>131</v>
      </c>
      <c r="L1344" s="148" t="s">
        <v>7613</v>
      </c>
      <c r="M1344" s="156" t="s">
        <v>7588</v>
      </c>
      <c r="N1344" s="156" t="s">
        <v>7589</v>
      </c>
      <c r="O1344" s="153">
        <v>1.0</v>
      </c>
      <c r="P1344" s="379" t="s">
        <v>7590</v>
      </c>
      <c r="Q1344" s="49" t="str">
        <f t="array" ref="Q1344"> if(iserror(MATCH(V1344, 'File Links'!C:C, 0)), "N/A", HYPERLINK(INDEX('File Links'!B:B, MATCH(P1344, 'File Links'!C:C, 0))))</f>
        <v>https://drive.google.com/file/d/1-8hoTcDzN7GjN92fqlhu7SLhxRSQTUrd/view?usp=drivesdk</v>
      </c>
      <c r="R1344" s="156" t="s">
        <v>7614</v>
      </c>
      <c r="S1344" s="156" t="s">
        <v>7605</v>
      </c>
      <c r="T1344" s="156" t="s">
        <v>131</v>
      </c>
      <c r="U1344" s="333">
        <v>2.0</v>
      </c>
      <c r="V1344" s="156" t="s">
        <v>7606</v>
      </c>
      <c r="W1344" s="156" t="s">
        <v>7615</v>
      </c>
      <c r="X1344" s="51" t="str">
        <f t="array" ref="X1344"> if(iserror(MATCH(V1344, 'File Links'!C:C, 0)), "N/A", HYPERLINK(INDEX('File Links'!B:B, MATCH(V1344, 'File Links'!C:C, 0))))</f>
        <v>https://drive.google.com/file/d/1x9sfN1Qyptlpks3NPyyD6PckLhoE6G6J/view?usp=drivesdk</v>
      </c>
      <c r="Y1344" s="156"/>
      <c r="Z1344" s="156" t="s">
        <v>219</v>
      </c>
      <c r="AA1344" s="156" t="s">
        <v>7594</v>
      </c>
      <c r="AB1344" s="156" t="s">
        <v>7616</v>
      </c>
      <c r="AC1344" s="156" t="s">
        <v>7594</v>
      </c>
      <c r="AD1344" s="156" t="s">
        <v>7617</v>
      </c>
      <c r="AE1344" s="156" t="s">
        <v>2764</v>
      </c>
      <c r="AF1344" s="153">
        <v>40.0</v>
      </c>
      <c r="AG1344" s="153">
        <v>0.52</v>
      </c>
      <c r="AH1344" s="156" t="s">
        <v>208</v>
      </c>
      <c r="AI1344" s="156" t="s">
        <v>2764</v>
      </c>
      <c r="AJ1344" s="153">
        <v>0.001</v>
      </c>
      <c r="AK1344" s="156" t="s">
        <v>165</v>
      </c>
      <c r="AL1344" s="156" t="s">
        <v>179</v>
      </c>
      <c r="AM1344" s="156" t="s">
        <v>130</v>
      </c>
      <c r="AN1344" s="327" t="s">
        <v>131</v>
      </c>
      <c r="AO1344" s="153">
        <v>240.0</v>
      </c>
      <c r="AP1344" s="153">
        <v>-0.319</v>
      </c>
      <c r="AQ1344" s="156" t="s">
        <v>166</v>
      </c>
      <c r="AR1344" s="156" t="s">
        <v>500</v>
      </c>
      <c r="AS1344" s="153">
        <v>0.071</v>
      </c>
      <c r="AT1344" s="156" t="s">
        <v>165</v>
      </c>
      <c r="AU1344" s="156" t="s">
        <v>179</v>
      </c>
      <c r="AV1344" s="156" t="s">
        <v>130</v>
      </c>
      <c r="AW1344" s="432" t="s">
        <v>7618</v>
      </c>
      <c r="AX1344" s="156" t="s">
        <v>136</v>
      </c>
      <c r="AY1344" s="65"/>
      <c r="AZ1344" s="59" t="s">
        <v>137</v>
      </c>
    </row>
    <row r="1345">
      <c r="A1345" s="41">
        <v>1345.0</v>
      </c>
      <c r="B1345" s="126" t="s">
        <v>145</v>
      </c>
      <c r="C1345" s="59" t="s">
        <v>108</v>
      </c>
      <c r="D1345" s="59" t="s">
        <v>2923</v>
      </c>
      <c r="F1345" s="65" t="s">
        <v>7611</v>
      </c>
      <c r="G1345" s="156" t="s">
        <v>7612</v>
      </c>
      <c r="H1345" s="156" t="s">
        <v>7585</v>
      </c>
      <c r="I1345" s="1284" t="s">
        <v>7204</v>
      </c>
      <c r="J1345" s="537">
        <v>45736.0</v>
      </c>
      <c r="K1345" s="156" t="s">
        <v>7602</v>
      </c>
      <c r="L1345" s="148" t="s">
        <v>7603</v>
      </c>
      <c r="M1345" s="156" t="s">
        <v>7588</v>
      </c>
      <c r="N1345" s="156" t="s">
        <v>7589</v>
      </c>
      <c r="O1345" s="153">
        <v>1.0</v>
      </c>
      <c r="P1345" s="379" t="s">
        <v>7590</v>
      </c>
      <c r="Q1345" s="49" t="str">
        <f t="array" ref="Q1345"> if(iserror(MATCH(V1345, 'File Links'!C:C, 0)), "N/A", HYPERLINK(INDEX('File Links'!B:B, MATCH(P1345, 'File Links'!C:C, 0))))</f>
        <v>https://drive.google.com/file/d/1-8hoTcDzN7GjN92fqlhu7SLhxRSQTUrd/view?usp=drivesdk</v>
      </c>
      <c r="R1345" s="156" t="s">
        <v>7614</v>
      </c>
      <c r="S1345" s="156" t="s">
        <v>7605</v>
      </c>
      <c r="T1345" s="65" t="s">
        <v>131</v>
      </c>
      <c r="U1345" s="333">
        <v>2.0</v>
      </c>
      <c r="V1345" s="156" t="s">
        <v>7606</v>
      </c>
      <c r="W1345" s="156" t="s">
        <v>202</v>
      </c>
      <c r="X1345" s="51" t="str">
        <f t="array" ref="X1345"> if(iserror(MATCH(V1345, 'File Links'!C:C, 0)), "N/A", HYPERLINK(INDEX('File Links'!B:B, MATCH(V1345, 'File Links'!C:C, 0))))</f>
        <v>https://drive.google.com/file/d/1x9sfN1Qyptlpks3NPyyD6PckLhoE6G6J/view?usp=drivesdk</v>
      </c>
      <c r="Y1345" s="65"/>
      <c r="Z1345" s="156" t="s">
        <v>219</v>
      </c>
      <c r="AA1345" s="156" t="s">
        <v>7594</v>
      </c>
      <c r="AB1345" s="156" t="s">
        <v>7595</v>
      </c>
      <c r="AC1345" s="148" t="s">
        <v>7619</v>
      </c>
      <c r="AD1345" s="156" t="s">
        <v>7597</v>
      </c>
      <c r="AE1345" s="153">
        <v>2.0</v>
      </c>
      <c r="AF1345" s="153">
        <v>40.0</v>
      </c>
      <c r="AG1345" s="153">
        <v>0.52</v>
      </c>
      <c r="AH1345" s="156" t="s">
        <v>208</v>
      </c>
      <c r="AI1345" s="153">
        <v>2.0</v>
      </c>
      <c r="AJ1345" s="153">
        <v>0.001</v>
      </c>
      <c r="AK1345" s="156" t="s">
        <v>165</v>
      </c>
      <c r="AL1345" s="156" t="s">
        <v>179</v>
      </c>
      <c r="AM1345" s="156" t="s">
        <v>130</v>
      </c>
      <c r="AN1345" s="327" t="s">
        <v>131</v>
      </c>
      <c r="AO1345" s="153">
        <v>90.0</v>
      </c>
      <c r="AP1345" s="153">
        <v>0.19</v>
      </c>
      <c r="AQ1345" s="156" t="s">
        <v>208</v>
      </c>
      <c r="AR1345" s="156" t="s">
        <v>210</v>
      </c>
      <c r="AS1345" s="153" t="s">
        <v>131</v>
      </c>
      <c r="AT1345" s="126" t="s">
        <v>131</v>
      </c>
      <c r="AU1345" s="156" t="s">
        <v>179</v>
      </c>
      <c r="AV1345" s="156" t="s">
        <v>130</v>
      </c>
      <c r="AW1345" s="1463" t="s">
        <v>7608</v>
      </c>
      <c r="AX1345" s="1287" t="s">
        <v>136</v>
      </c>
      <c r="AZ1345" s="59" t="s">
        <v>137</v>
      </c>
    </row>
    <row r="1346">
      <c r="A1346" s="41">
        <v>1346.0</v>
      </c>
      <c r="B1346" s="185" t="s">
        <v>583</v>
      </c>
      <c r="C1346" s="185" t="s">
        <v>108</v>
      </c>
      <c r="D1346" s="185" t="s">
        <v>2623</v>
      </c>
      <c r="E1346" s="186"/>
      <c r="F1346" s="366" t="s">
        <v>7620</v>
      </c>
      <c r="G1346" s="189" t="str">
        <f t="shared" ref="G1346:G1347" si="85">F1346&amp;"_"&amp;COUNTIF($B$3:F1346, F1346)</f>
        <v>curatescience283_1</v>
      </c>
      <c r="H1346" s="366" t="s">
        <v>7458</v>
      </c>
      <c r="I1346" s="367">
        <v>45675.0</v>
      </c>
      <c r="J1346" s="367">
        <v>45676.0</v>
      </c>
      <c r="K1346" s="187"/>
      <c r="L1346" s="187"/>
      <c r="M1346" s="1464" t="s">
        <v>7621</v>
      </c>
      <c r="N1346" s="366" t="s">
        <v>7622</v>
      </c>
      <c r="O1346" s="371">
        <v>1.0</v>
      </c>
      <c r="P1346" s="366" t="str">
        <f t="shared" ref="P1346:P1347" si="86"> SUBSTITUTE(lower(N1346), "/", "--") &amp;  ".pdf"</f>
        <v>10.1126--science.7455683.pdf</v>
      </c>
      <c r="Q1346" s="49" t="str">
        <f t="array" ref="Q1346"> if(iserror(MATCH(V1346, 'File Links'!C:C, 0)), "N/A", HYPERLINK(INDEX('File Links'!B:B, MATCH(P1346, 'File Links'!C:C, 0))))</f>
        <v>https://drive.google.com/file/d/1KdKryH9Qx-Olx2xYcWf9zZPlU9JsWLmq/view?usp=drivesdk</v>
      </c>
      <c r="R1346" s="366" t="s">
        <v>7462</v>
      </c>
      <c r="S1346" s="366" t="s">
        <v>7463</v>
      </c>
      <c r="T1346" s="1095" t="s">
        <v>7464</v>
      </c>
      <c r="U1346" s="366" t="s">
        <v>7623</v>
      </c>
      <c r="V1346" s="195" t="str">
        <f t="shared" ref="V1346:V1347" si="87"> hyperlink(vlookup(lower(S1346),#REF!, 2, FALSE), SUBSTITUTE(lower(S1346), "/", "--") &amp;  ".pdf")</f>
        <v>10.1027--1864-9335--a000178.pdf</v>
      </c>
      <c r="W1346" s="366" t="s">
        <v>7466</v>
      </c>
      <c r="X1346" s="51" t="str">
        <f t="array" ref="X1346"> if(iserror(MATCH(V1346, 'File Links'!C:C, 0)), "N/A", HYPERLINK(INDEX('File Links'!B:B, MATCH(V1346, 'File Links'!C:C, 0))))</f>
        <v>https://drive.google.com/file/d/1fIqa3RxgdnsQkWwGnLkF4XAbM2g_WN4q/view?usp=drivesdk</v>
      </c>
      <c r="Z1346" s="366" t="s">
        <v>219</v>
      </c>
      <c r="AA1346" s="366" t="s">
        <v>7624</v>
      </c>
      <c r="AB1346" s="366" t="s">
        <v>7625</v>
      </c>
      <c r="AC1346" s="366" t="s">
        <v>7626</v>
      </c>
      <c r="AD1346" s="366" t="s">
        <v>7627</v>
      </c>
      <c r="AE1346" s="366" t="s">
        <v>7628</v>
      </c>
      <c r="AF1346" s="366" t="s">
        <v>7629</v>
      </c>
      <c r="AG1346" s="366" t="s">
        <v>7630</v>
      </c>
      <c r="AH1346" s="164" t="s">
        <v>131</v>
      </c>
      <c r="AI1346" s="366" t="s">
        <v>7631</v>
      </c>
      <c r="AJ1346" s="1465">
        <v>0.05</v>
      </c>
      <c r="AK1346" s="189" t="s">
        <v>128</v>
      </c>
      <c r="AL1346" s="189" t="s">
        <v>129</v>
      </c>
      <c r="AM1346" s="1466" t="s">
        <v>130</v>
      </c>
      <c r="AN1346" s="327" t="s">
        <v>131</v>
      </c>
      <c r="AO1346" s="1467">
        <v>1243.0</v>
      </c>
      <c r="AP1346" s="1468">
        <v>0.65</v>
      </c>
      <c r="AQ1346" s="366" t="s">
        <v>166</v>
      </c>
      <c r="AR1346" s="366" t="s">
        <v>7632</v>
      </c>
      <c r="AS1346" s="1468">
        <v>0.001</v>
      </c>
      <c r="AT1346" s="366" t="s">
        <v>128</v>
      </c>
      <c r="AU1346" s="366" t="s">
        <v>129</v>
      </c>
      <c r="AV1346" s="1466" t="s">
        <v>130</v>
      </c>
      <c r="AW1346" s="1466" t="s">
        <v>7474</v>
      </c>
      <c r="AX1346" s="1466" t="s">
        <v>136</v>
      </c>
      <c r="AY1346" s="186"/>
      <c r="AZ1346" s="186"/>
    </row>
    <row r="1347">
      <c r="A1347" s="41">
        <v>1347.0</v>
      </c>
      <c r="B1347" s="185" t="s">
        <v>583</v>
      </c>
      <c r="C1347" s="185" t="s">
        <v>108</v>
      </c>
      <c r="D1347" s="185" t="s">
        <v>1227</v>
      </c>
      <c r="E1347" s="186"/>
      <c r="F1347" s="195" t="s">
        <v>7620</v>
      </c>
      <c r="G1347" s="55" t="str">
        <f t="shared" si="85"/>
        <v>curatescience283_2</v>
      </c>
      <c r="H1347" s="195" t="s">
        <v>6921</v>
      </c>
      <c r="I1347" s="188">
        <v>45901.0</v>
      </c>
      <c r="J1347" s="188">
        <v>45901.0</v>
      </c>
      <c r="K1347" s="187"/>
      <c r="L1347" s="187"/>
      <c r="M1347" s="1464" t="s">
        <v>7621</v>
      </c>
      <c r="N1347" s="195" t="s">
        <v>7622</v>
      </c>
      <c r="O1347" s="755">
        <v>1.0</v>
      </c>
      <c r="P1347" s="195" t="str">
        <f t="shared" si="86"/>
        <v>10.1126--science.7455683.pdf</v>
      </c>
      <c r="Q1347" s="49" t="str">
        <f t="array" ref="Q1347"> if(iserror(MATCH(V1347, 'File Links'!C:C, 0)), "N/A", HYPERLINK(INDEX('File Links'!B:B, MATCH(P1347, 'File Links'!C:C, 0))))</f>
        <v>https://drive.google.com/file/d/1KdKryH9Qx-Olx2xYcWf9zZPlU9JsWLmq/view?usp=drivesdk</v>
      </c>
      <c r="R1347" s="366" t="s">
        <v>7462</v>
      </c>
      <c r="S1347" s="366" t="s">
        <v>7463</v>
      </c>
      <c r="T1347" s="1095" t="s">
        <v>7464</v>
      </c>
      <c r="U1347" s="187"/>
      <c r="V1347" s="195" t="str">
        <f t="shared" si="87"/>
        <v>10.1027--1864-9335--a000178.pdf</v>
      </c>
      <c r="W1347" s="187"/>
      <c r="X1347" s="51" t="str">
        <f t="array" ref="X1347"> if(iserror(MATCH(V1347, 'File Links'!C:C, 0)), "N/A", HYPERLINK(INDEX('File Links'!B:B, MATCH(V1347, 'File Links'!C:C, 0))))</f>
        <v>https://drive.google.com/file/d/1fIqa3RxgdnsQkWwGnLkF4XAbM2g_WN4q/view?usp=drivesdk</v>
      </c>
      <c r="Z1347" s="195" t="s">
        <v>203</v>
      </c>
      <c r="AA1347" s="195" t="s">
        <v>7633</v>
      </c>
      <c r="AB1347" s="187"/>
      <c r="AC1347" s="187"/>
      <c r="AD1347" s="195" t="s">
        <v>7634</v>
      </c>
      <c r="AE1347" s="755">
        <v>453.0</v>
      </c>
      <c r="AF1347" s="755">
        <v>307.0</v>
      </c>
      <c r="AG1347" s="187"/>
      <c r="AH1347" s="187"/>
      <c r="AI1347" s="187"/>
      <c r="AJ1347" s="192"/>
      <c r="AK1347" s="190"/>
      <c r="AL1347" s="190"/>
      <c r="AM1347" s="187"/>
      <c r="AN1347" s="190"/>
      <c r="AO1347" s="755">
        <v>6271.0</v>
      </c>
      <c r="AP1347" s="755">
        <v>0.62</v>
      </c>
      <c r="AQ1347" s="195" t="s">
        <v>166</v>
      </c>
      <c r="AR1347" s="187"/>
      <c r="AS1347" s="755">
        <v>0.001</v>
      </c>
      <c r="AT1347" s="195" t="s">
        <v>128</v>
      </c>
      <c r="AU1347" s="195" t="s">
        <v>179</v>
      </c>
      <c r="AV1347" s="187" t="s">
        <v>130</v>
      </c>
      <c r="AW1347" s="187"/>
      <c r="AX1347" s="187" t="s">
        <v>136</v>
      </c>
      <c r="AY1347" s="186"/>
      <c r="AZ1347" s="186"/>
    </row>
    <row r="1348">
      <c r="A1348" s="41">
        <v>1348.0</v>
      </c>
      <c r="B1348" s="126" t="s">
        <v>145</v>
      </c>
      <c r="C1348" s="59" t="s">
        <v>108</v>
      </c>
      <c r="D1348" s="59" t="s">
        <v>983</v>
      </c>
      <c r="F1348" s="65" t="s">
        <v>7635</v>
      </c>
      <c r="G1348" s="156" t="s">
        <v>7636</v>
      </c>
      <c r="H1348" s="156" t="s">
        <v>7203</v>
      </c>
      <c r="I1348" s="1284" t="s">
        <v>112</v>
      </c>
      <c r="J1348" s="537">
        <v>45736.0</v>
      </c>
      <c r="K1348" s="156" t="s">
        <v>131</v>
      </c>
      <c r="L1348" s="156"/>
      <c r="M1348" s="156" t="s">
        <v>7588</v>
      </c>
      <c r="N1348" s="156" t="s">
        <v>7589</v>
      </c>
      <c r="O1348" s="153">
        <v>1.0</v>
      </c>
      <c r="P1348" s="379" t="s">
        <v>7590</v>
      </c>
      <c r="Q1348" s="49" t="str">
        <f t="array" ref="Q1348"> if(iserror(MATCH(V1348, 'File Links'!C:C, 0)), "N/A", HYPERLINK(INDEX('File Links'!B:B, MATCH(P1348, 'File Links'!C:C, 0))))</f>
        <v>https://drive.google.com/file/d/1-8hoTcDzN7GjN92fqlhu7SLhxRSQTUrd/view?usp=drivesdk</v>
      </c>
      <c r="R1348" s="156" t="s">
        <v>7637</v>
      </c>
      <c r="S1348" s="156" t="s">
        <v>7638</v>
      </c>
      <c r="T1348" s="65"/>
      <c r="U1348" s="153">
        <v>1.0</v>
      </c>
      <c r="V1348" s="379" t="s">
        <v>7639</v>
      </c>
      <c r="W1348" s="156" t="s">
        <v>6603</v>
      </c>
      <c r="X1348" s="51" t="str">
        <f t="array" ref="X1348"> if(iserror(MATCH(V1348, 'File Links'!C:C, 0)), "N/A", HYPERLINK(INDEX('File Links'!B:B, MATCH(V1348, 'File Links'!C:C, 0))))</f>
        <v>https://drive.google.com/file/d/1TOxKvkgLgldkEiOl4Cnst0AYk7w8IBCh/view?usp=drivesdk</v>
      </c>
      <c r="Y1348" s="156"/>
      <c r="Z1348" s="156" t="s">
        <v>219</v>
      </c>
      <c r="AA1348" s="156" t="s">
        <v>7594</v>
      </c>
      <c r="AB1348" s="156" t="s">
        <v>7640</v>
      </c>
      <c r="AC1348" s="156" t="s">
        <v>7594</v>
      </c>
      <c r="AD1348" s="156" t="s">
        <v>7617</v>
      </c>
      <c r="AE1348" s="156" t="s">
        <v>2764</v>
      </c>
      <c r="AF1348" s="153">
        <v>40.0</v>
      </c>
      <c r="AG1348" s="153">
        <v>0.52</v>
      </c>
      <c r="AH1348" s="156" t="s">
        <v>208</v>
      </c>
      <c r="AI1348" s="156" t="s">
        <v>2764</v>
      </c>
      <c r="AJ1348" s="153">
        <v>0.001</v>
      </c>
      <c r="AK1348" s="156" t="s">
        <v>165</v>
      </c>
      <c r="AL1348" s="156" t="s">
        <v>179</v>
      </c>
      <c r="AM1348" s="156" t="s">
        <v>130</v>
      </c>
      <c r="AN1348" s="156" t="s">
        <v>131</v>
      </c>
      <c r="AO1348" s="153">
        <v>100.0</v>
      </c>
      <c r="AP1348" s="153">
        <v>0.08</v>
      </c>
      <c r="AQ1348" s="156" t="s">
        <v>166</v>
      </c>
      <c r="AR1348" s="156" t="s">
        <v>500</v>
      </c>
      <c r="AS1348" s="153">
        <v>0.68</v>
      </c>
      <c r="AT1348" s="156" t="s">
        <v>165</v>
      </c>
      <c r="AU1348" s="156" t="s">
        <v>129</v>
      </c>
      <c r="AV1348" s="156" t="s">
        <v>130</v>
      </c>
      <c r="AW1348" s="65" t="s">
        <v>131</v>
      </c>
      <c r="AX1348" s="156" t="s">
        <v>136</v>
      </c>
      <c r="AY1348" s="65"/>
      <c r="AZ1348" s="59" t="s">
        <v>137</v>
      </c>
    </row>
    <row r="1349">
      <c r="A1349" s="41">
        <v>1349.0</v>
      </c>
      <c r="B1349" s="126" t="s">
        <v>107</v>
      </c>
      <c r="C1349" s="59" t="s">
        <v>108</v>
      </c>
      <c r="D1349" s="59" t="s">
        <v>2923</v>
      </c>
      <c r="F1349" s="65" t="s">
        <v>7635</v>
      </c>
      <c r="G1349" s="156" t="s">
        <v>7636</v>
      </c>
      <c r="H1349" s="156" t="s">
        <v>7585</v>
      </c>
      <c r="I1349" s="1284" t="s">
        <v>7204</v>
      </c>
      <c r="J1349" s="537">
        <v>45736.0</v>
      </c>
      <c r="K1349" s="156" t="s">
        <v>7641</v>
      </c>
      <c r="L1349" s="148" t="s">
        <v>7642</v>
      </c>
      <c r="M1349" s="156" t="s">
        <v>7588</v>
      </c>
      <c r="N1349" s="156" t="s">
        <v>7589</v>
      </c>
      <c r="O1349" s="153">
        <v>1.0</v>
      </c>
      <c r="P1349" s="379" t="s">
        <v>7590</v>
      </c>
      <c r="Q1349" s="49" t="str">
        <f t="array" ref="Q1349"> if(iserror(MATCH(V1349, 'File Links'!C:C, 0)), "N/A", HYPERLINK(INDEX('File Links'!B:B, MATCH(P1349, 'File Links'!C:C, 0))))</f>
        <v>https://drive.google.com/file/d/1-8hoTcDzN7GjN92fqlhu7SLhxRSQTUrd/view?usp=drivesdk</v>
      </c>
      <c r="R1349" s="156" t="s">
        <v>7637</v>
      </c>
      <c r="S1349" s="156" t="s">
        <v>7638</v>
      </c>
      <c r="T1349" s="156" t="s">
        <v>131</v>
      </c>
      <c r="U1349" s="153">
        <v>1.0</v>
      </c>
      <c r="V1349" s="379" t="s">
        <v>7639</v>
      </c>
      <c r="W1349" s="156" t="s">
        <v>202</v>
      </c>
      <c r="X1349" s="51" t="str">
        <f t="array" ref="X1349"> if(iserror(MATCH(V1349, 'File Links'!C:C, 0)), "N/A", HYPERLINK(INDEX('File Links'!B:B, MATCH(V1349, 'File Links'!C:C, 0))))</f>
        <v>https://drive.google.com/file/d/1TOxKvkgLgldkEiOl4Cnst0AYk7w8IBCh/view?usp=drivesdk</v>
      </c>
      <c r="Y1349" s="65"/>
      <c r="Z1349" s="156" t="s">
        <v>219</v>
      </c>
      <c r="AA1349" s="156" t="s">
        <v>7594</v>
      </c>
      <c r="AB1349" s="156" t="s">
        <v>7595</v>
      </c>
      <c r="AC1349" s="156" t="s">
        <v>7596</v>
      </c>
      <c r="AD1349" s="156" t="s">
        <v>7597</v>
      </c>
      <c r="AE1349" s="153">
        <v>2.0</v>
      </c>
      <c r="AF1349" s="153">
        <v>40.0</v>
      </c>
      <c r="AG1349" s="153">
        <v>0.52</v>
      </c>
      <c r="AH1349" s="156" t="s">
        <v>208</v>
      </c>
      <c r="AI1349" s="153">
        <v>2.0</v>
      </c>
      <c r="AJ1349" s="153">
        <v>0.001</v>
      </c>
      <c r="AK1349" s="156" t="s">
        <v>165</v>
      </c>
      <c r="AL1349" s="156" t="s">
        <v>179</v>
      </c>
      <c r="AM1349" s="156" t="s">
        <v>130</v>
      </c>
      <c r="AN1349" s="156" t="s">
        <v>131</v>
      </c>
      <c r="AO1349" s="153">
        <v>100.0</v>
      </c>
      <c r="AP1349" s="153">
        <v>0.08</v>
      </c>
      <c r="AQ1349" s="156" t="s">
        <v>166</v>
      </c>
      <c r="AR1349" s="156" t="s">
        <v>500</v>
      </c>
      <c r="AS1349" s="153" t="s">
        <v>131</v>
      </c>
      <c r="AT1349" s="156" t="s">
        <v>165</v>
      </c>
      <c r="AU1349" s="156" t="s">
        <v>129</v>
      </c>
      <c r="AV1349" s="156" t="s">
        <v>130</v>
      </c>
      <c r="AW1349" s="65" t="s">
        <v>131</v>
      </c>
      <c r="AX1349" s="156" t="s">
        <v>136</v>
      </c>
      <c r="AZ1349" s="59" t="s">
        <v>137</v>
      </c>
    </row>
    <row r="1350">
      <c r="A1350" s="41">
        <v>1350.0</v>
      </c>
      <c r="B1350" s="126" t="s">
        <v>107</v>
      </c>
      <c r="C1350" s="59" t="s">
        <v>108</v>
      </c>
      <c r="D1350" s="59" t="s">
        <v>2923</v>
      </c>
      <c r="F1350" s="65" t="s">
        <v>7635</v>
      </c>
      <c r="G1350" s="156" t="s">
        <v>7636</v>
      </c>
      <c r="H1350" s="156" t="s">
        <v>7585</v>
      </c>
      <c r="I1350" s="1284" t="s">
        <v>7204</v>
      </c>
      <c r="J1350" s="65"/>
      <c r="K1350" s="156" t="s">
        <v>7641</v>
      </c>
      <c r="L1350" s="156" t="s">
        <v>7587</v>
      </c>
      <c r="M1350" s="156" t="s">
        <v>7588</v>
      </c>
      <c r="N1350" s="156" t="s">
        <v>7589</v>
      </c>
      <c r="O1350" s="153">
        <v>1.0</v>
      </c>
      <c r="P1350" s="379" t="s">
        <v>7590</v>
      </c>
      <c r="Q1350" s="49" t="str">
        <f t="array" ref="Q1350"> if(iserror(MATCH(V1350, 'File Links'!C:C, 0)), "N/A", HYPERLINK(INDEX('File Links'!B:B, MATCH(P1350, 'File Links'!C:C, 0))))</f>
        <v>https://drive.google.com/file/d/1-8hoTcDzN7GjN92fqlhu7SLhxRSQTUrd/view?usp=drivesdk</v>
      </c>
      <c r="R1350" s="156" t="s">
        <v>7637</v>
      </c>
      <c r="S1350" s="156" t="s">
        <v>7638</v>
      </c>
      <c r="T1350" s="156" t="s">
        <v>131</v>
      </c>
      <c r="U1350" s="153">
        <v>1.0</v>
      </c>
      <c r="V1350" s="379" t="s">
        <v>7639</v>
      </c>
      <c r="W1350" s="156" t="s">
        <v>202</v>
      </c>
      <c r="X1350" s="51" t="str">
        <f t="array" ref="X1350"> if(iserror(MATCH(V1350, 'File Links'!C:C, 0)), "N/A", HYPERLINK(INDEX('File Links'!B:B, MATCH(V1350, 'File Links'!C:C, 0))))</f>
        <v>https://drive.google.com/file/d/1TOxKvkgLgldkEiOl4Cnst0AYk7w8IBCh/view?usp=drivesdk</v>
      </c>
      <c r="Y1350" s="65"/>
      <c r="Z1350" s="156" t="s">
        <v>219</v>
      </c>
      <c r="AA1350" s="156" t="s">
        <v>7594</v>
      </c>
      <c r="AB1350" s="156" t="s">
        <v>7595</v>
      </c>
      <c r="AC1350" s="156" t="s">
        <v>7596</v>
      </c>
      <c r="AD1350" s="156" t="s">
        <v>7597</v>
      </c>
      <c r="AE1350" s="153">
        <v>2.0</v>
      </c>
      <c r="AF1350" s="153">
        <v>40.0</v>
      </c>
      <c r="AG1350" s="153">
        <v>0.52</v>
      </c>
      <c r="AH1350" s="156" t="s">
        <v>208</v>
      </c>
      <c r="AI1350" s="153">
        <v>2.0</v>
      </c>
      <c r="AJ1350" s="153">
        <v>0.001</v>
      </c>
      <c r="AK1350" s="156" t="s">
        <v>165</v>
      </c>
      <c r="AL1350" s="156" t="s">
        <v>179</v>
      </c>
      <c r="AM1350" s="156" t="s">
        <v>130</v>
      </c>
      <c r="AN1350" s="156" t="s">
        <v>131</v>
      </c>
      <c r="AO1350" s="153">
        <v>100.0</v>
      </c>
      <c r="AP1350" s="153">
        <v>0.08</v>
      </c>
      <c r="AQ1350" s="156" t="s">
        <v>166</v>
      </c>
      <c r="AR1350" s="156" t="s">
        <v>500</v>
      </c>
      <c r="AS1350" s="153" t="s">
        <v>131</v>
      </c>
      <c r="AT1350" s="156" t="s">
        <v>165</v>
      </c>
      <c r="AU1350" s="156" t="s">
        <v>129</v>
      </c>
      <c r="AV1350" s="156" t="s">
        <v>130</v>
      </c>
      <c r="AW1350" s="65" t="s">
        <v>131</v>
      </c>
      <c r="AX1350" s="156" t="s">
        <v>136</v>
      </c>
    </row>
    <row r="1351">
      <c r="A1351" s="41">
        <v>1351.0</v>
      </c>
      <c r="B1351" s="126" t="s">
        <v>145</v>
      </c>
      <c r="C1351" s="59" t="s">
        <v>108</v>
      </c>
      <c r="D1351" s="59" t="s">
        <v>983</v>
      </c>
      <c r="F1351" s="65" t="s">
        <v>7643</v>
      </c>
      <c r="G1351" s="156" t="s">
        <v>7644</v>
      </c>
      <c r="H1351" s="156" t="s">
        <v>7203</v>
      </c>
      <c r="I1351" s="1284" t="s">
        <v>112</v>
      </c>
      <c r="J1351" s="537">
        <v>45736.0</v>
      </c>
      <c r="K1351" s="156" t="s">
        <v>131</v>
      </c>
      <c r="L1351" s="156"/>
      <c r="M1351" s="156" t="s">
        <v>7588</v>
      </c>
      <c r="N1351" s="156" t="s">
        <v>7589</v>
      </c>
      <c r="O1351" s="153">
        <v>1.0</v>
      </c>
      <c r="P1351" s="379" t="s">
        <v>7590</v>
      </c>
      <c r="Q1351" s="49" t="str">
        <f t="array" ref="Q1351"> if(iserror(MATCH(V1351, 'File Links'!C:C, 0)), "N/A", HYPERLINK(INDEX('File Links'!B:B, MATCH(P1351, 'File Links'!C:C, 0))))</f>
        <v>https://drive.google.com/file/d/1-8hoTcDzN7GjN92fqlhu7SLhxRSQTUrd/view?usp=drivesdk</v>
      </c>
      <c r="R1351" s="156" t="s">
        <v>7645</v>
      </c>
      <c r="S1351" s="156" t="s">
        <v>7638</v>
      </c>
      <c r="T1351" s="65"/>
      <c r="U1351" s="153">
        <v>2.0</v>
      </c>
      <c r="V1351" s="379" t="s">
        <v>7639</v>
      </c>
      <c r="W1351" s="156" t="s">
        <v>6603</v>
      </c>
      <c r="X1351" s="51" t="str">
        <f t="array" ref="X1351"> if(iserror(MATCH(V1351, 'File Links'!C:C, 0)), "N/A", HYPERLINK(INDEX('File Links'!B:B, MATCH(V1351, 'File Links'!C:C, 0))))</f>
        <v>https://drive.google.com/file/d/1TOxKvkgLgldkEiOl4Cnst0AYk7w8IBCh/view?usp=drivesdk</v>
      </c>
      <c r="Y1351" s="156"/>
      <c r="Z1351" s="156" t="s">
        <v>219</v>
      </c>
      <c r="AA1351" s="156" t="s">
        <v>7594</v>
      </c>
      <c r="AB1351" s="156" t="s">
        <v>7640</v>
      </c>
      <c r="AC1351" s="156" t="s">
        <v>7594</v>
      </c>
      <c r="AD1351" s="156" t="s">
        <v>7617</v>
      </c>
      <c r="AE1351" s="156" t="s">
        <v>2764</v>
      </c>
      <c r="AF1351" s="153">
        <v>40.0</v>
      </c>
      <c r="AG1351" s="153">
        <v>0.52</v>
      </c>
      <c r="AH1351" s="156" t="s">
        <v>208</v>
      </c>
      <c r="AI1351" s="156" t="s">
        <v>2764</v>
      </c>
      <c r="AJ1351" s="153">
        <v>0.001</v>
      </c>
      <c r="AK1351" s="156" t="s">
        <v>165</v>
      </c>
      <c r="AL1351" s="156" t="s">
        <v>179</v>
      </c>
      <c r="AM1351" s="156" t="s">
        <v>130</v>
      </c>
      <c r="AN1351" s="156" t="s">
        <v>131</v>
      </c>
      <c r="AO1351" s="153">
        <v>100.0</v>
      </c>
      <c r="AP1351" s="153">
        <v>0.21</v>
      </c>
      <c r="AQ1351" s="156" t="s">
        <v>166</v>
      </c>
      <c r="AR1351" s="156" t="s">
        <v>875</v>
      </c>
      <c r="AS1351" s="153">
        <v>0.29</v>
      </c>
      <c r="AT1351" s="156" t="s">
        <v>165</v>
      </c>
      <c r="AU1351" s="156" t="s">
        <v>129</v>
      </c>
      <c r="AV1351" s="156" t="s">
        <v>130</v>
      </c>
      <c r="AW1351" s="432" t="s">
        <v>7646</v>
      </c>
      <c r="AX1351" s="156" t="s">
        <v>136</v>
      </c>
      <c r="AY1351" s="65"/>
      <c r="AZ1351" s="59" t="s">
        <v>137</v>
      </c>
    </row>
    <row r="1352">
      <c r="A1352" s="41">
        <v>1352.0</v>
      </c>
      <c r="B1352" s="126" t="s">
        <v>107</v>
      </c>
      <c r="C1352" s="59" t="s">
        <v>108</v>
      </c>
      <c r="D1352" s="59" t="s">
        <v>2923</v>
      </c>
      <c r="F1352" s="65" t="s">
        <v>7643</v>
      </c>
      <c r="G1352" s="156" t="s">
        <v>7644</v>
      </c>
      <c r="H1352" s="156" t="s">
        <v>7585</v>
      </c>
      <c r="I1352" s="1284" t="s">
        <v>7204</v>
      </c>
      <c r="J1352" s="537">
        <v>45736.0</v>
      </c>
      <c r="K1352" s="156" t="s">
        <v>7647</v>
      </c>
      <c r="L1352" s="148" t="s">
        <v>7642</v>
      </c>
      <c r="M1352" s="156" t="s">
        <v>7588</v>
      </c>
      <c r="N1352" s="156" t="s">
        <v>7589</v>
      </c>
      <c r="O1352" s="153">
        <v>1.0</v>
      </c>
      <c r="P1352" s="379" t="s">
        <v>7590</v>
      </c>
      <c r="Q1352" s="49" t="str">
        <f t="array" ref="Q1352"> if(iserror(MATCH(V1352, 'File Links'!C:C, 0)), "N/A", HYPERLINK(INDEX('File Links'!B:B, MATCH(P1352, 'File Links'!C:C, 0))))</f>
        <v>https://drive.google.com/file/d/1-8hoTcDzN7GjN92fqlhu7SLhxRSQTUrd/view?usp=drivesdk</v>
      </c>
      <c r="R1352" s="156" t="s">
        <v>7645</v>
      </c>
      <c r="S1352" s="156" t="s">
        <v>7638</v>
      </c>
      <c r="T1352" s="156" t="s">
        <v>131</v>
      </c>
      <c r="U1352" s="153">
        <v>2.0</v>
      </c>
      <c r="V1352" s="379" t="s">
        <v>7639</v>
      </c>
      <c r="W1352" s="156" t="s">
        <v>202</v>
      </c>
      <c r="X1352" s="51" t="str">
        <f t="array" ref="X1352"> if(iserror(MATCH(V1352, 'File Links'!C:C, 0)), "N/A", HYPERLINK(INDEX('File Links'!B:B, MATCH(V1352, 'File Links'!C:C, 0))))</f>
        <v>https://drive.google.com/file/d/1TOxKvkgLgldkEiOl4Cnst0AYk7w8IBCh/view?usp=drivesdk</v>
      </c>
      <c r="Y1352" s="65"/>
      <c r="Z1352" s="156" t="s">
        <v>219</v>
      </c>
      <c r="AA1352" s="156" t="s">
        <v>7594</v>
      </c>
      <c r="AB1352" s="156" t="s">
        <v>7595</v>
      </c>
      <c r="AC1352" s="156" t="s">
        <v>7596</v>
      </c>
      <c r="AD1352" s="156" t="s">
        <v>7597</v>
      </c>
      <c r="AE1352" s="153">
        <v>2.0</v>
      </c>
      <c r="AF1352" s="153">
        <v>40.0</v>
      </c>
      <c r="AG1352" s="153">
        <v>0.52</v>
      </c>
      <c r="AH1352" s="156" t="s">
        <v>208</v>
      </c>
      <c r="AI1352" s="153">
        <v>2.0</v>
      </c>
      <c r="AJ1352" s="153">
        <v>0.001</v>
      </c>
      <c r="AK1352" s="156" t="s">
        <v>165</v>
      </c>
      <c r="AL1352" s="156" t="s">
        <v>179</v>
      </c>
      <c r="AM1352" s="156" t="s">
        <v>130</v>
      </c>
      <c r="AN1352" s="156" t="s">
        <v>131</v>
      </c>
      <c r="AO1352" s="153">
        <v>100.0</v>
      </c>
      <c r="AP1352" s="153">
        <v>0.21</v>
      </c>
      <c r="AQ1352" s="156" t="s">
        <v>166</v>
      </c>
      <c r="AR1352" s="156" t="s">
        <v>806</v>
      </c>
      <c r="AS1352" s="153" t="s">
        <v>131</v>
      </c>
      <c r="AT1352" s="126" t="s">
        <v>131</v>
      </c>
      <c r="AU1352" s="156" t="s">
        <v>129</v>
      </c>
      <c r="AV1352" s="156" t="s">
        <v>130</v>
      </c>
      <c r="AW1352" s="432" t="s">
        <v>7646</v>
      </c>
      <c r="AX1352" s="156" t="s">
        <v>136</v>
      </c>
      <c r="AZ1352" s="59" t="s">
        <v>137</v>
      </c>
    </row>
    <row r="1353">
      <c r="A1353" s="41">
        <v>1353.0</v>
      </c>
      <c r="B1353" s="126" t="s">
        <v>107</v>
      </c>
      <c r="C1353" s="59" t="s">
        <v>108</v>
      </c>
      <c r="D1353" s="59" t="s">
        <v>2923</v>
      </c>
      <c r="F1353" s="65" t="s">
        <v>7643</v>
      </c>
      <c r="G1353" s="156" t="s">
        <v>7644</v>
      </c>
      <c r="H1353" s="156" t="s">
        <v>7585</v>
      </c>
      <c r="I1353" s="1284" t="s">
        <v>7204</v>
      </c>
      <c r="J1353" s="65"/>
      <c r="K1353" s="156" t="s">
        <v>7647</v>
      </c>
      <c r="L1353" s="156" t="s">
        <v>7587</v>
      </c>
      <c r="M1353" s="156" t="s">
        <v>7588</v>
      </c>
      <c r="N1353" s="156" t="s">
        <v>7589</v>
      </c>
      <c r="O1353" s="153">
        <v>1.0</v>
      </c>
      <c r="P1353" s="379" t="s">
        <v>7590</v>
      </c>
      <c r="Q1353" s="49" t="str">
        <f t="array" ref="Q1353"> if(iserror(MATCH(V1353, 'File Links'!C:C, 0)), "N/A", HYPERLINK(INDEX('File Links'!B:B, MATCH(P1353, 'File Links'!C:C, 0))))</f>
        <v>https://drive.google.com/file/d/1-8hoTcDzN7GjN92fqlhu7SLhxRSQTUrd/view?usp=drivesdk</v>
      </c>
      <c r="R1353" s="156" t="s">
        <v>7645</v>
      </c>
      <c r="S1353" s="156" t="s">
        <v>7638</v>
      </c>
      <c r="T1353" s="156" t="s">
        <v>131</v>
      </c>
      <c r="U1353" s="153">
        <v>2.0</v>
      </c>
      <c r="V1353" s="379" t="s">
        <v>7639</v>
      </c>
      <c r="W1353" s="156" t="s">
        <v>202</v>
      </c>
      <c r="X1353" s="51" t="str">
        <f t="array" ref="X1353"> if(iserror(MATCH(V1353, 'File Links'!C:C, 0)), "N/A", HYPERLINK(INDEX('File Links'!B:B, MATCH(V1353, 'File Links'!C:C, 0))))</f>
        <v>https://drive.google.com/file/d/1TOxKvkgLgldkEiOl4Cnst0AYk7w8IBCh/view?usp=drivesdk</v>
      </c>
      <c r="Y1353" s="65"/>
      <c r="Z1353" s="156" t="s">
        <v>219</v>
      </c>
      <c r="AA1353" s="156" t="s">
        <v>7594</v>
      </c>
      <c r="AB1353" s="156" t="s">
        <v>7595</v>
      </c>
      <c r="AC1353" s="156" t="s">
        <v>7596</v>
      </c>
      <c r="AD1353" s="156" t="s">
        <v>7597</v>
      </c>
      <c r="AE1353" s="153">
        <v>2.0</v>
      </c>
      <c r="AF1353" s="153">
        <v>40.0</v>
      </c>
      <c r="AG1353" s="153">
        <v>0.52</v>
      </c>
      <c r="AH1353" s="156" t="s">
        <v>208</v>
      </c>
      <c r="AI1353" s="153">
        <v>2.0</v>
      </c>
      <c r="AJ1353" s="153">
        <v>0.001</v>
      </c>
      <c r="AK1353" s="156" t="s">
        <v>165</v>
      </c>
      <c r="AL1353" s="156" t="s">
        <v>179</v>
      </c>
      <c r="AM1353" s="156" t="s">
        <v>130</v>
      </c>
      <c r="AN1353" s="156" t="s">
        <v>131</v>
      </c>
      <c r="AO1353" s="153">
        <v>100.0</v>
      </c>
      <c r="AP1353" s="153">
        <v>0.21</v>
      </c>
      <c r="AQ1353" s="156" t="s">
        <v>166</v>
      </c>
      <c r="AR1353" s="156" t="s">
        <v>806</v>
      </c>
      <c r="AS1353" s="153" t="s">
        <v>131</v>
      </c>
      <c r="AT1353" s="153" t="s">
        <v>131</v>
      </c>
      <c r="AU1353" s="156" t="s">
        <v>129</v>
      </c>
      <c r="AV1353" s="156" t="s">
        <v>130</v>
      </c>
      <c r="AW1353" s="432" t="s">
        <v>7646</v>
      </c>
      <c r="AX1353" s="156" t="s">
        <v>136</v>
      </c>
    </row>
    <row r="1354">
      <c r="A1354" s="41">
        <v>1354.0</v>
      </c>
      <c r="B1354" s="126" t="s">
        <v>107</v>
      </c>
      <c r="C1354" s="59" t="s">
        <v>108</v>
      </c>
      <c r="D1354" s="59" t="s">
        <v>983</v>
      </c>
      <c r="F1354" s="65" t="s">
        <v>7648</v>
      </c>
      <c r="G1354" s="156" t="s">
        <v>7649</v>
      </c>
      <c r="H1354" s="156" t="s">
        <v>7203</v>
      </c>
      <c r="I1354" s="1284" t="s">
        <v>112</v>
      </c>
      <c r="J1354" s="537">
        <v>45736.0</v>
      </c>
      <c r="K1354" s="156" t="s">
        <v>131</v>
      </c>
      <c r="L1354" s="156"/>
      <c r="M1354" s="156" t="s">
        <v>7650</v>
      </c>
      <c r="N1354" s="156" t="s">
        <v>7589</v>
      </c>
      <c r="O1354" s="153">
        <v>2.0</v>
      </c>
      <c r="P1354" s="379" t="s">
        <v>7590</v>
      </c>
      <c r="Q1354" s="105" t="str">
        <f t="array" ref="Q1354"> if(iserror(MATCH(V1354, 'File Links'!C:C, 0)), "N/A", HYPERLINK(INDEX('File Links'!B:B, MATCH(P1354, 'File Links'!C:C, 0))))</f>
        <v>N/A</v>
      </c>
      <c r="R1354" s="156" t="s">
        <v>7651</v>
      </c>
      <c r="S1354" s="156" t="s">
        <v>131</v>
      </c>
      <c r="T1354" s="677" t="s">
        <v>7592</v>
      </c>
      <c r="U1354" s="153">
        <v>2.0</v>
      </c>
      <c r="V1354" s="379" t="s">
        <v>7652</v>
      </c>
      <c r="W1354" s="156" t="s">
        <v>7653</v>
      </c>
      <c r="X1354" s="46" t="str">
        <f t="array" ref="X1354"> if(iserror(MATCH(V1354, 'File Links'!C:C, 0)), "N/A", HYPERLINK(INDEX('File Links'!B:B, MATCH(V1354, 'File Links'!C:C, 0))))</f>
        <v>N/A</v>
      </c>
      <c r="Y1354" s="65"/>
      <c r="Z1354" s="156" t="s">
        <v>219</v>
      </c>
      <c r="AA1354" s="156" t="s">
        <v>7594</v>
      </c>
      <c r="AB1354" s="156" t="s">
        <v>7640</v>
      </c>
      <c r="AC1354" s="156" t="s">
        <v>7594</v>
      </c>
      <c r="AD1354" s="156" t="s">
        <v>7654</v>
      </c>
      <c r="AE1354" s="156" t="s">
        <v>500</v>
      </c>
      <c r="AF1354" s="153">
        <v>36.0</v>
      </c>
      <c r="AG1354" s="153">
        <v>0.671</v>
      </c>
      <c r="AH1354" s="156" t="s">
        <v>166</v>
      </c>
      <c r="AI1354" s="156" t="s">
        <v>500</v>
      </c>
      <c r="AJ1354" s="861">
        <v>0.02</v>
      </c>
      <c r="AK1354" s="156" t="s">
        <v>165</v>
      </c>
      <c r="AL1354" s="156" t="s">
        <v>179</v>
      </c>
      <c r="AM1354" s="156" t="s">
        <v>130</v>
      </c>
      <c r="AN1354" s="156" t="s">
        <v>131</v>
      </c>
      <c r="AO1354" s="153">
        <v>60.0</v>
      </c>
      <c r="AP1354" s="153">
        <v>0.31</v>
      </c>
      <c r="AQ1354" s="156" t="s">
        <v>166</v>
      </c>
      <c r="AR1354" s="156" t="s">
        <v>7217</v>
      </c>
      <c r="AS1354" s="1469" t="s">
        <v>131</v>
      </c>
      <c r="AT1354" s="156" t="s">
        <v>165</v>
      </c>
      <c r="AU1354" s="156" t="s">
        <v>179</v>
      </c>
      <c r="AV1354" s="156" t="s">
        <v>130</v>
      </c>
      <c r="AW1354" s="65" t="s">
        <v>131</v>
      </c>
      <c r="AX1354" s="156" t="s">
        <v>136</v>
      </c>
      <c r="AY1354" s="65"/>
      <c r="AZ1354" s="59" t="s">
        <v>137</v>
      </c>
    </row>
    <row r="1355">
      <c r="A1355" s="41">
        <v>1355.0</v>
      </c>
      <c r="B1355" s="126" t="s">
        <v>145</v>
      </c>
      <c r="C1355" s="59" t="s">
        <v>108</v>
      </c>
      <c r="D1355" s="59" t="s">
        <v>2923</v>
      </c>
      <c r="F1355" s="65" t="s">
        <v>7648</v>
      </c>
      <c r="G1355" s="156" t="s">
        <v>7649</v>
      </c>
      <c r="H1355" s="156" t="s">
        <v>7585</v>
      </c>
      <c r="I1355" s="1284" t="s">
        <v>7655</v>
      </c>
      <c r="J1355" s="537">
        <v>45736.0</v>
      </c>
      <c r="K1355" s="156" t="s">
        <v>7656</v>
      </c>
      <c r="L1355" s="156"/>
      <c r="M1355" s="156" t="s">
        <v>7650</v>
      </c>
      <c r="N1355" s="156" t="s">
        <v>7589</v>
      </c>
      <c r="O1355" s="153">
        <v>2.0</v>
      </c>
      <c r="P1355" s="379" t="s">
        <v>7590</v>
      </c>
      <c r="Q1355" s="105" t="str">
        <f t="array" ref="Q1355"> if(iserror(MATCH(V1355, 'File Links'!C:C, 0)), "N/A", HYPERLINK(INDEX('File Links'!B:B, MATCH(P1355, 'File Links'!C:C, 0))))</f>
        <v>N/A</v>
      </c>
      <c r="R1355" s="156" t="s">
        <v>7651</v>
      </c>
      <c r="S1355" s="156" t="s">
        <v>131</v>
      </c>
      <c r="T1355" s="677" t="s">
        <v>7592</v>
      </c>
      <c r="U1355" s="153">
        <v>2.0</v>
      </c>
      <c r="V1355" s="379" t="s">
        <v>7652</v>
      </c>
      <c r="W1355" s="156" t="s">
        <v>7653</v>
      </c>
      <c r="X1355" s="46" t="str">
        <f t="array" ref="X1355"> if(iserror(MATCH(V1355, 'File Links'!C:C, 0)), "N/A", HYPERLINK(INDEX('File Links'!B:B, MATCH(V1355, 'File Links'!C:C, 0))))</f>
        <v>N/A</v>
      </c>
      <c r="Y1355" s="65"/>
      <c r="Z1355" s="156" t="s">
        <v>219</v>
      </c>
      <c r="AA1355" s="156" t="s">
        <v>7594</v>
      </c>
      <c r="AB1355" s="156" t="s">
        <v>7595</v>
      </c>
      <c r="AC1355" s="156" t="s">
        <v>7657</v>
      </c>
      <c r="AD1355" s="156" t="s">
        <v>7658</v>
      </c>
      <c r="AE1355" s="153">
        <v>3.0</v>
      </c>
      <c r="AF1355" s="153">
        <v>36.0</v>
      </c>
      <c r="AG1355" s="153">
        <v>0.81</v>
      </c>
      <c r="AH1355" s="156" t="s">
        <v>166</v>
      </c>
      <c r="AI1355" s="156" t="s">
        <v>131</v>
      </c>
      <c r="AJ1355" s="153" t="s">
        <v>131</v>
      </c>
      <c r="AK1355" s="65"/>
      <c r="AL1355" s="156" t="s">
        <v>179</v>
      </c>
      <c r="AM1355" s="156" t="s">
        <v>130</v>
      </c>
      <c r="AN1355" s="156" t="s">
        <v>131</v>
      </c>
      <c r="AO1355" s="153">
        <v>60.0</v>
      </c>
      <c r="AP1355" s="153">
        <v>0.31</v>
      </c>
      <c r="AQ1355" s="156" t="s">
        <v>166</v>
      </c>
      <c r="AR1355" s="156" t="s">
        <v>131</v>
      </c>
      <c r="AS1355" s="153" t="s">
        <v>131</v>
      </c>
      <c r="AT1355" s="126" t="s">
        <v>131</v>
      </c>
      <c r="AU1355" s="156" t="s">
        <v>179</v>
      </c>
      <c r="AV1355" s="156" t="s">
        <v>130</v>
      </c>
      <c r="AW1355" s="65" t="s">
        <v>131</v>
      </c>
      <c r="AX1355" s="156" t="s">
        <v>136</v>
      </c>
      <c r="AZ1355" s="59" t="s">
        <v>137</v>
      </c>
    </row>
    <row r="1356">
      <c r="A1356" s="41">
        <v>1356.0</v>
      </c>
      <c r="B1356" s="126" t="s">
        <v>107</v>
      </c>
      <c r="C1356" s="59" t="s">
        <v>108</v>
      </c>
      <c r="D1356" s="59" t="s">
        <v>2923</v>
      </c>
      <c r="F1356" s="65" t="s">
        <v>7648</v>
      </c>
      <c r="G1356" s="156" t="s">
        <v>7649</v>
      </c>
      <c r="H1356" s="156" t="s">
        <v>7585</v>
      </c>
      <c r="I1356" s="1284" t="s">
        <v>7655</v>
      </c>
      <c r="J1356" s="65"/>
      <c r="K1356" s="156" t="s">
        <v>7656</v>
      </c>
      <c r="L1356" s="156" t="s">
        <v>7659</v>
      </c>
      <c r="M1356" s="156" t="s">
        <v>7650</v>
      </c>
      <c r="N1356" s="156" t="s">
        <v>7589</v>
      </c>
      <c r="O1356" s="153">
        <v>2.0</v>
      </c>
      <c r="P1356" s="379" t="s">
        <v>7590</v>
      </c>
      <c r="Q1356" s="105" t="str">
        <f t="array" ref="Q1356"> if(iserror(MATCH(V1356, 'File Links'!C:C, 0)), "N/A", HYPERLINK(INDEX('File Links'!B:B, MATCH(P1356, 'File Links'!C:C, 0))))</f>
        <v>N/A</v>
      </c>
      <c r="R1356" s="156" t="s">
        <v>7651</v>
      </c>
      <c r="S1356" s="156" t="s">
        <v>131</v>
      </c>
      <c r="T1356" s="677" t="s">
        <v>7592</v>
      </c>
      <c r="U1356" s="153">
        <v>2.0</v>
      </c>
      <c r="V1356" s="379" t="s">
        <v>570</v>
      </c>
      <c r="W1356" s="156" t="s">
        <v>131</v>
      </c>
      <c r="X1356" s="46" t="str">
        <f t="array" ref="X1356"> if(iserror(MATCH(V1356, 'File Links'!C:C, 0)), "N/A", HYPERLINK(INDEX('File Links'!B:B, MATCH(V1356, 'File Links'!C:C, 0))))</f>
        <v>N/A</v>
      </c>
      <c r="Y1356" s="65"/>
      <c r="Z1356" s="156" t="s">
        <v>219</v>
      </c>
      <c r="AA1356" s="156" t="s">
        <v>7594</v>
      </c>
      <c r="AB1356" s="156" t="s">
        <v>7595</v>
      </c>
      <c r="AC1356" s="156" t="s">
        <v>7657</v>
      </c>
      <c r="AD1356" s="156" t="s">
        <v>7658</v>
      </c>
      <c r="AE1356" s="153">
        <v>3.0</v>
      </c>
      <c r="AF1356" s="153">
        <v>36.0</v>
      </c>
      <c r="AG1356" s="153">
        <v>0.81</v>
      </c>
      <c r="AH1356" s="156" t="s">
        <v>166</v>
      </c>
      <c r="AI1356" s="156" t="s">
        <v>131</v>
      </c>
      <c r="AJ1356" s="153" t="s">
        <v>131</v>
      </c>
      <c r="AK1356" s="153" t="s">
        <v>131</v>
      </c>
      <c r="AL1356" s="156" t="s">
        <v>179</v>
      </c>
      <c r="AM1356" s="156" t="s">
        <v>130</v>
      </c>
      <c r="AN1356" s="156" t="s">
        <v>131</v>
      </c>
      <c r="AO1356" s="153">
        <v>60.0</v>
      </c>
      <c r="AP1356" s="153">
        <v>0.31</v>
      </c>
      <c r="AQ1356" s="156" t="s">
        <v>166</v>
      </c>
      <c r="AR1356" s="156" t="s">
        <v>131</v>
      </c>
      <c r="AS1356" s="153" t="s">
        <v>131</v>
      </c>
      <c r="AT1356" s="153" t="s">
        <v>131</v>
      </c>
      <c r="AU1356" s="156" t="s">
        <v>179</v>
      </c>
      <c r="AV1356" s="156" t="s">
        <v>130</v>
      </c>
      <c r="AW1356" s="65" t="s">
        <v>131</v>
      </c>
      <c r="AX1356" s="65"/>
    </row>
    <row r="1357">
      <c r="A1357" s="41">
        <v>1357.0</v>
      </c>
      <c r="B1357" s="126" t="s">
        <v>107</v>
      </c>
      <c r="C1357" s="59" t="s">
        <v>108</v>
      </c>
      <c r="D1357" s="59" t="s">
        <v>983</v>
      </c>
      <c r="F1357" s="156" t="s">
        <v>7660</v>
      </c>
      <c r="G1357" s="156" t="s">
        <v>7661</v>
      </c>
      <c r="H1357" s="156" t="s">
        <v>7203</v>
      </c>
      <c r="I1357" s="1284" t="s">
        <v>112</v>
      </c>
      <c r="J1357" s="537">
        <v>45736.0</v>
      </c>
      <c r="K1357" s="156" t="s">
        <v>131</v>
      </c>
      <c r="L1357" s="156"/>
      <c r="M1357" s="156" t="s">
        <v>7650</v>
      </c>
      <c r="N1357" s="156" t="s">
        <v>7589</v>
      </c>
      <c r="O1357" s="153">
        <v>1.0</v>
      </c>
      <c r="P1357" s="379" t="s">
        <v>7590</v>
      </c>
      <c r="Q1357" s="49" t="str">
        <f t="array" ref="Q1357"> if(iserror(MATCH(V1357, 'File Links'!C:C, 0)), "N/A", HYPERLINK(INDEX('File Links'!B:B, MATCH(P1357, 'File Links'!C:C, 0))))</f>
        <v>https://drive.google.com/file/d/1-8hoTcDzN7GjN92fqlhu7SLhxRSQTUrd/view?usp=drivesdk</v>
      </c>
      <c r="R1357" s="156" t="s">
        <v>7662</v>
      </c>
      <c r="S1357" s="156" t="s">
        <v>7638</v>
      </c>
      <c r="T1357" s="156" t="s">
        <v>131</v>
      </c>
      <c r="U1357" s="153">
        <v>1.0</v>
      </c>
      <c r="V1357" s="379" t="s">
        <v>7639</v>
      </c>
      <c r="W1357" s="156" t="s">
        <v>7663</v>
      </c>
      <c r="X1357" s="51" t="str">
        <f t="array" ref="X1357"> if(iserror(MATCH(V1357, 'File Links'!C:C, 0)), "N/A", HYPERLINK(INDEX('File Links'!B:B, MATCH(V1357, 'File Links'!C:C, 0))))</f>
        <v>https://drive.google.com/file/d/1TOxKvkgLgldkEiOl4Cnst0AYk7w8IBCh/view?usp=drivesdk</v>
      </c>
      <c r="Y1357" s="156"/>
      <c r="Z1357" s="156" t="s">
        <v>219</v>
      </c>
      <c r="AA1357" s="156" t="s">
        <v>7594</v>
      </c>
      <c r="AB1357" s="156" t="s">
        <v>7640</v>
      </c>
      <c r="AC1357" s="156" t="s">
        <v>7594</v>
      </c>
      <c r="AD1357" s="156" t="s">
        <v>7664</v>
      </c>
      <c r="AE1357" s="156" t="s">
        <v>2764</v>
      </c>
      <c r="AF1357" s="153">
        <v>40.0</v>
      </c>
      <c r="AG1357" s="153">
        <v>0.37</v>
      </c>
      <c r="AH1357" s="156" t="s">
        <v>208</v>
      </c>
      <c r="AI1357" s="156" t="s">
        <v>2764</v>
      </c>
      <c r="AJ1357" s="153">
        <v>0.02</v>
      </c>
      <c r="AK1357" s="156" t="s">
        <v>165</v>
      </c>
      <c r="AL1357" s="156" t="s">
        <v>179</v>
      </c>
      <c r="AM1357" s="156" t="s">
        <v>130</v>
      </c>
      <c r="AN1357" s="65" t="s">
        <v>131</v>
      </c>
      <c r="AO1357" s="153">
        <v>100.0</v>
      </c>
      <c r="AP1357" s="1470">
        <v>0.08</v>
      </c>
      <c r="AQ1357" s="1057" t="s">
        <v>166</v>
      </c>
      <c r="AR1357" s="1057" t="s">
        <v>500</v>
      </c>
      <c r="AS1357" s="1056">
        <v>0.68</v>
      </c>
      <c r="AT1357" s="156" t="s">
        <v>165</v>
      </c>
      <c r="AU1357" s="156" t="s">
        <v>129</v>
      </c>
      <c r="AV1357" s="156" t="s">
        <v>130</v>
      </c>
      <c r="AW1357" s="307" t="s">
        <v>7646</v>
      </c>
      <c r="AX1357" s="156" t="s">
        <v>136</v>
      </c>
      <c r="AY1357" s="65"/>
      <c r="AZ1357" s="59" t="s">
        <v>137</v>
      </c>
    </row>
    <row r="1358">
      <c r="A1358" s="41">
        <v>1358.0</v>
      </c>
      <c r="B1358" s="126" t="s">
        <v>145</v>
      </c>
      <c r="C1358" s="59" t="s">
        <v>108</v>
      </c>
      <c r="D1358" s="59" t="s">
        <v>983</v>
      </c>
      <c r="F1358" s="156" t="s">
        <v>7660</v>
      </c>
      <c r="G1358" s="148" t="s">
        <v>7665</v>
      </c>
      <c r="H1358" s="156" t="s">
        <v>7203</v>
      </c>
      <c r="I1358" s="1284" t="s">
        <v>112</v>
      </c>
      <c r="J1358" s="537">
        <v>45736.0</v>
      </c>
      <c r="K1358" s="156" t="s">
        <v>131</v>
      </c>
      <c r="L1358" s="156"/>
      <c r="M1358" s="156" t="s">
        <v>7650</v>
      </c>
      <c r="N1358" s="156" t="s">
        <v>7589</v>
      </c>
      <c r="O1358" s="153">
        <v>1.0</v>
      </c>
      <c r="P1358" s="379" t="s">
        <v>7590</v>
      </c>
      <c r="Q1358" s="49" t="str">
        <f t="array" ref="Q1358"> if(iserror(MATCH(V1358, 'File Links'!C:C, 0)), "N/A", HYPERLINK(INDEX('File Links'!B:B, MATCH(P1358, 'File Links'!C:C, 0))))</f>
        <v>https://drive.google.com/file/d/1-8hoTcDzN7GjN92fqlhu7SLhxRSQTUrd/view?usp=drivesdk</v>
      </c>
      <c r="R1358" s="156" t="s">
        <v>7662</v>
      </c>
      <c r="S1358" s="156" t="s">
        <v>7638</v>
      </c>
      <c r="T1358" s="156" t="s">
        <v>131</v>
      </c>
      <c r="U1358" s="153">
        <v>2.0</v>
      </c>
      <c r="V1358" s="379" t="s">
        <v>7639</v>
      </c>
      <c r="W1358" s="156" t="s">
        <v>7663</v>
      </c>
      <c r="X1358" s="51" t="str">
        <f t="array" ref="X1358"> if(iserror(MATCH(V1358, 'File Links'!C:C, 0)), "N/A", HYPERLINK(INDEX('File Links'!B:B, MATCH(V1358, 'File Links'!C:C, 0))))</f>
        <v>https://drive.google.com/file/d/1TOxKvkgLgldkEiOl4Cnst0AYk7w8IBCh/view?usp=drivesdk</v>
      </c>
      <c r="Y1358" s="156"/>
      <c r="Z1358" s="156" t="s">
        <v>219</v>
      </c>
      <c r="AA1358" s="156" t="s">
        <v>7594</v>
      </c>
      <c r="AB1358" s="156" t="s">
        <v>7640</v>
      </c>
      <c r="AC1358" s="156" t="s">
        <v>7594</v>
      </c>
      <c r="AD1358" s="156" t="s">
        <v>7664</v>
      </c>
      <c r="AE1358" s="156" t="s">
        <v>2764</v>
      </c>
      <c r="AF1358" s="153">
        <v>40.0</v>
      </c>
      <c r="AG1358" s="153">
        <v>0.37</v>
      </c>
      <c r="AH1358" s="156" t="s">
        <v>208</v>
      </c>
      <c r="AI1358" s="156" t="s">
        <v>2764</v>
      </c>
      <c r="AJ1358" s="153">
        <v>0.02</v>
      </c>
      <c r="AK1358" s="156" t="s">
        <v>165</v>
      </c>
      <c r="AL1358" s="156" t="s">
        <v>179</v>
      </c>
      <c r="AM1358" s="156" t="s">
        <v>130</v>
      </c>
      <c r="AN1358" s="65" t="s">
        <v>131</v>
      </c>
      <c r="AO1358" s="153">
        <v>100.0</v>
      </c>
      <c r="AP1358" s="1471">
        <v>0.21</v>
      </c>
      <c r="AQ1358" s="156" t="s">
        <v>166</v>
      </c>
      <c r="AR1358" s="156" t="s">
        <v>875</v>
      </c>
      <c r="AS1358" s="153">
        <v>0.29</v>
      </c>
      <c r="AT1358" s="156" t="s">
        <v>165</v>
      </c>
      <c r="AU1358" s="156" t="s">
        <v>129</v>
      </c>
      <c r="AV1358" s="156" t="s">
        <v>130</v>
      </c>
      <c r="AW1358" s="307" t="s">
        <v>7646</v>
      </c>
      <c r="AX1358" s="156" t="s">
        <v>136</v>
      </c>
      <c r="AY1358" s="65"/>
      <c r="AZ1358" s="59" t="s">
        <v>137</v>
      </c>
    </row>
    <row r="1359">
      <c r="A1359" s="41">
        <v>1359.0</v>
      </c>
      <c r="B1359" s="126" t="s">
        <v>145</v>
      </c>
      <c r="C1359" s="59" t="s">
        <v>108</v>
      </c>
      <c r="D1359" s="59" t="s">
        <v>983</v>
      </c>
      <c r="F1359" s="156" t="s">
        <v>7660</v>
      </c>
      <c r="G1359" s="148" t="s">
        <v>7666</v>
      </c>
      <c r="H1359" s="156" t="s">
        <v>7203</v>
      </c>
      <c r="I1359" s="1284" t="s">
        <v>112</v>
      </c>
      <c r="J1359" s="537">
        <v>45736.0</v>
      </c>
      <c r="K1359" s="156" t="s">
        <v>7667</v>
      </c>
      <c r="L1359" s="156"/>
      <c r="M1359" s="156" t="s">
        <v>7650</v>
      </c>
      <c r="N1359" s="156" t="s">
        <v>7589</v>
      </c>
      <c r="O1359" s="153">
        <v>2.0</v>
      </c>
      <c r="P1359" s="379" t="s">
        <v>7590</v>
      </c>
      <c r="Q1359" s="49" t="str">
        <f t="array" ref="Q1359"> if(iserror(MATCH(V1359, 'File Links'!C:C, 0)), "N/A", HYPERLINK(INDEX('File Links'!B:B, MATCH(P1359, 'File Links'!C:C, 0))))</f>
        <v>https://drive.google.com/file/d/1-8hoTcDzN7GjN92fqlhu7SLhxRSQTUrd/view?usp=drivesdk</v>
      </c>
      <c r="R1359" s="156" t="s">
        <v>7662</v>
      </c>
      <c r="S1359" s="156" t="s">
        <v>7638</v>
      </c>
      <c r="T1359" s="156" t="s">
        <v>131</v>
      </c>
      <c r="U1359" s="153">
        <v>3.0</v>
      </c>
      <c r="V1359" s="379" t="s">
        <v>7639</v>
      </c>
      <c r="W1359" s="156" t="s">
        <v>7663</v>
      </c>
      <c r="X1359" s="51" t="str">
        <f t="array" ref="X1359"> if(iserror(MATCH(V1359, 'File Links'!C:C, 0)), "N/A", HYPERLINK(INDEX('File Links'!B:B, MATCH(V1359, 'File Links'!C:C, 0))))</f>
        <v>https://drive.google.com/file/d/1TOxKvkgLgldkEiOl4Cnst0AYk7w8IBCh/view?usp=drivesdk</v>
      </c>
      <c r="Y1359" s="156"/>
      <c r="Z1359" s="156" t="s">
        <v>219</v>
      </c>
      <c r="AA1359" s="156" t="s">
        <v>7594</v>
      </c>
      <c r="AB1359" s="156" t="s">
        <v>7640</v>
      </c>
      <c r="AC1359" s="156" t="s">
        <v>7594</v>
      </c>
      <c r="AD1359" s="156" t="s">
        <v>7654</v>
      </c>
      <c r="AE1359" s="156" t="s">
        <v>500</v>
      </c>
      <c r="AF1359" s="153">
        <v>36.0</v>
      </c>
      <c r="AG1359" s="153">
        <v>0.671</v>
      </c>
      <c r="AH1359" s="156" t="s">
        <v>166</v>
      </c>
      <c r="AI1359" s="156" t="s">
        <v>500</v>
      </c>
      <c r="AJ1359" s="153">
        <v>0.02</v>
      </c>
      <c r="AK1359" s="156" t="s">
        <v>165</v>
      </c>
      <c r="AL1359" s="156" t="s">
        <v>179</v>
      </c>
      <c r="AM1359" s="156" t="s">
        <v>130</v>
      </c>
      <c r="AN1359" s="156" t="s">
        <v>131</v>
      </c>
      <c r="AO1359" s="153">
        <v>118.0</v>
      </c>
      <c r="AP1359" s="1471">
        <v>0.21</v>
      </c>
      <c r="AQ1359" s="156" t="s">
        <v>166</v>
      </c>
      <c r="AR1359" s="156" t="s">
        <v>1035</v>
      </c>
      <c r="AS1359" s="153">
        <v>0.26</v>
      </c>
      <c r="AT1359" s="156" t="s">
        <v>165</v>
      </c>
      <c r="AU1359" s="156" t="s">
        <v>129</v>
      </c>
      <c r="AV1359" s="156" t="s">
        <v>130</v>
      </c>
      <c r="AW1359" s="307" t="s">
        <v>7646</v>
      </c>
      <c r="AX1359" s="156" t="s">
        <v>136</v>
      </c>
      <c r="AY1359" s="65"/>
      <c r="AZ1359" s="59" t="s">
        <v>137</v>
      </c>
    </row>
    <row r="1360">
      <c r="A1360" s="41">
        <v>1360.0</v>
      </c>
      <c r="B1360" s="126" t="s">
        <v>107</v>
      </c>
      <c r="C1360" s="59" t="s">
        <v>108</v>
      </c>
      <c r="D1360" s="59" t="s">
        <v>2923</v>
      </c>
      <c r="F1360" s="65" t="s">
        <v>7660</v>
      </c>
      <c r="G1360" s="156" t="s">
        <v>7661</v>
      </c>
      <c r="H1360" s="156" t="s">
        <v>7585</v>
      </c>
      <c r="I1360" s="1284" t="s">
        <v>7655</v>
      </c>
      <c r="J1360" s="537">
        <v>45736.0</v>
      </c>
      <c r="K1360" s="156" t="s">
        <v>7668</v>
      </c>
      <c r="L1360" s="156"/>
      <c r="M1360" s="156" t="s">
        <v>7650</v>
      </c>
      <c r="N1360" s="156" t="s">
        <v>7589</v>
      </c>
      <c r="O1360" s="153">
        <v>2.0</v>
      </c>
      <c r="P1360" s="379" t="s">
        <v>7590</v>
      </c>
      <c r="Q1360" s="49" t="str">
        <f t="array" ref="Q1360"> if(iserror(MATCH(V1360, 'File Links'!C:C, 0)), "N/A", HYPERLINK(INDEX('File Links'!B:B, MATCH(P1360, 'File Links'!C:C, 0))))</f>
        <v>https://drive.google.com/file/d/1-8hoTcDzN7GjN92fqlhu7SLhxRSQTUrd/view?usp=drivesdk</v>
      </c>
      <c r="R1360" s="156" t="s">
        <v>7662</v>
      </c>
      <c r="S1360" s="156" t="s">
        <v>7638</v>
      </c>
      <c r="T1360" s="156" t="s">
        <v>131</v>
      </c>
      <c r="U1360" s="153">
        <v>3.0</v>
      </c>
      <c r="V1360" s="379" t="s">
        <v>7639</v>
      </c>
      <c r="W1360" s="156" t="s">
        <v>202</v>
      </c>
      <c r="X1360" s="51" t="str">
        <f t="array" ref="X1360"> if(iserror(MATCH(V1360, 'File Links'!C:C, 0)), "N/A", HYPERLINK(INDEX('File Links'!B:B, MATCH(V1360, 'File Links'!C:C, 0))))</f>
        <v>https://drive.google.com/file/d/1TOxKvkgLgldkEiOl4Cnst0AYk7w8IBCh/view?usp=drivesdk</v>
      </c>
      <c r="Y1360" s="65"/>
      <c r="Z1360" s="156" t="s">
        <v>219</v>
      </c>
      <c r="AA1360" s="156" t="s">
        <v>7594</v>
      </c>
      <c r="AB1360" s="156" t="s">
        <v>7595</v>
      </c>
      <c r="AC1360" s="156" t="s">
        <v>7657</v>
      </c>
      <c r="AD1360" s="156" t="s">
        <v>7658</v>
      </c>
      <c r="AE1360" s="153">
        <v>3.0</v>
      </c>
      <c r="AF1360" s="153">
        <v>36.0</v>
      </c>
      <c r="AG1360" s="153">
        <v>0.67</v>
      </c>
      <c r="AH1360" s="156" t="s">
        <v>166</v>
      </c>
      <c r="AI1360" s="156" t="s">
        <v>7669</v>
      </c>
      <c r="AJ1360" s="153" t="s">
        <v>131</v>
      </c>
      <c r="AK1360" s="65"/>
      <c r="AL1360" s="156" t="s">
        <v>179</v>
      </c>
      <c r="AM1360" s="156" t="s">
        <v>130</v>
      </c>
      <c r="AN1360" s="156" t="s">
        <v>131</v>
      </c>
      <c r="AO1360" s="153">
        <v>118.0</v>
      </c>
      <c r="AP1360" s="1056">
        <v>0.21</v>
      </c>
      <c r="AQ1360" s="1057" t="s">
        <v>166</v>
      </c>
      <c r="AR1360" s="1057" t="s">
        <v>133</v>
      </c>
      <c r="AS1360" s="1056" t="s">
        <v>131</v>
      </c>
      <c r="AT1360" s="126" t="s">
        <v>131</v>
      </c>
      <c r="AU1360" s="156" t="s">
        <v>129</v>
      </c>
      <c r="AV1360" s="156" t="s">
        <v>130</v>
      </c>
      <c r="AW1360" s="432" t="s">
        <v>7670</v>
      </c>
      <c r="AX1360" s="156" t="s">
        <v>136</v>
      </c>
      <c r="AZ1360" s="59" t="s">
        <v>137</v>
      </c>
    </row>
    <row r="1361">
      <c r="A1361" s="41">
        <v>1361.0</v>
      </c>
      <c r="B1361" s="126" t="s">
        <v>107</v>
      </c>
      <c r="C1361" s="59" t="s">
        <v>108</v>
      </c>
      <c r="D1361" s="59" t="s">
        <v>2923</v>
      </c>
      <c r="F1361" s="65" t="s">
        <v>7660</v>
      </c>
      <c r="G1361" s="156" t="s">
        <v>7661</v>
      </c>
      <c r="H1361" s="156" t="s">
        <v>7585</v>
      </c>
      <c r="I1361" s="1284" t="s">
        <v>7655</v>
      </c>
      <c r="J1361" s="65"/>
      <c r="K1361" s="156" t="s">
        <v>7668</v>
      </c>
      <c r="L1361" s="156" t="s">
        <v>7659</v>
      </c>
      <c r="M1361" s="156" t="s">
        <v>7650</v>
      </c>
      <c r="N1361" s="156" t="s">
        <v>7589</v>
      </c>
      <c r="O1361" s="153">
        <v>2.0</v>
      </c>
      <c r="P1361" s="379" t="s">
        <v>7590</v>
      </c>
      <c r="Q1361" s="49" t="str">
        <f t="array" ref="Q1361"> if(iserror(MATCH(V1361, 'File Links'!C:C, 0)), "N/A", HYPERLINK(INDEX('File Links'!B:B, MATCH(P1361, 'File Links'!C:C, 0))))</f>
        <v>https://drive.google.com/file/d/1-8hoTcDzN7GjN92fqlhu7SLhxRSQTUrd/view?usp=drivesdk</v>
      </c>
      <c r="R1361" s="156" t="s">
        <v>7662</v>
      </c>
      <c r="S1361" s="156" t="s">
        <v>7638</v>
      </c>
      <c r="T1361" s="156" t="s">
        <v>131</v>
      </c>
      <c r="U1361" s="153">
        <v>3.0</v>
      </c>
      <c r="V1361" s="379" t="s">
        <v>7639</v>
      </c>
      <c r="W1361" s="156" t="s">
        <v>202</v>
      </c>
      <c r="X1361" s="51" t="str">
        <f t="array" ref="X1361"> if(iserror(MATCH(V1361, 'File Links'!C:C, 0)), "N/A", HYPERLINK(INDEX('File Links'!B:B, MATCH(V1361, 'File Links'!C:C, 0))))</f>
        <v>https://drive.google.com/file/d/1TOxKvkgLgldkEiOl4Cnst0AYk7w8IBCh/view?usp=drivesdk</v>
      </c>
      <c r="Y1361" s="65"/>
      <c r="Z1361" s="156" t="s">
        <v>219</v>
      </c>
      <c r="AA1361" s="156" t="s">
        <v>7594</v>
      </c>
      <c r="AB1361" s="156" t="s">
        <v>7595</v>
      </c>
      <c r="AC1361" s="156" t="s">
        <v>7657</v>
      </c>
      <c r="AD1361" s="156" t="s">
        <v>7658</v>
      </c>
      <c r="AE1361" s="153">
        <v>3.0</v>
      </c>
      <c r="AF1361" s="153">
        <v>36.0</v>
      </c>
      <c r="AG1361" s="153">
        <v>0.67</v>
      </c>
      <c r="AH1361" s="156" t="s">
        <v>166</v>
      </c>
      <c r="AI1361" s="156" t="s">
        <v>7669</v>
      </c>
      <c r="AJ1361" s="153" t="s">
        <v>131</v>
      </c>
      <c r="AK1361" s="153" t="s">
        <v>131</v>
      </c>
      <c r="AL1361" s="156" t="s">
        <v>179</v>
      </c>
      <c r="AM1361" s="156" t="s">
        <v>130</v>
      </c>
      <c r="AN1361" s="156" t="s">
        <v>131</v>
      </c>
      <c r="AO1361" s="153">
        <v>118.0</v>
      </c>
      <c r="AP1361" s="153">
        <v>0.21</v>
      </c>
      <c r="AQ1361" s="156" t="s">
        <v>166</v>
      </c>
      <c r="AR1361" s="156" t="s">
        <v>133</v>
      </c>
      <c r="AS1361" s="153" t="s">
        <v>131</v>
      </c>
      <c r="AT1361" s="153" t="s">
        <v>131</v>
      </c>
      <c r="AU1361" s="156" t="s">
        <v>129</v>
      </c>
      <c r="AV1361" s="156" t="s">
        <v>130</v>
      </c>
      <c r="AW1361" s="432" t="s">
        <v>7670</v>
      </c>
      <c r="AX1361" s="156" t="s">
        <v>136</v>
      </c>
    </row>
    <row r="1362">
      <c r="A1362" s="351">
        <v>1362.0</v>
      </c>
      <c r="B1362" s="338" t="s">
        <v>145</v>
      </c>
      <c r="C1362" s="338" t="s">
        <v>108</v>
      </c>
      <c r="D1362" s="338" t="s">
        <v>2623</v>
      </c>
      <c r="E1362" s="339"/>
      <c r="F1362" s="500" t="s">
        <v>7671</v>
      </c>
      <c r="G1362" s="501" t="str">
        <f t="shared" ref="G1362:G1363" si="88">F1362&amp;"_"&amp;COUNTIF($B$3:F1362, F1362)</f>
        <v>curatescience320_1</v>
      </c>
      <c r="H1362" s="500" t="s">
        <v>7458</v>
      </c>
      <c r="I1362" s="502">
        <v>45675.0</v>
      </c>
      <c r="J1362" s="502">
        <v>45676.0</v>
      </c>
      <c r="K1362" s="43"/>
      <c r="L1362" s="43"/>
      <c r="M1362" s="1438" t="s">
        <v>7672</v>
      </c>
      <c r="N1362" s="500" t="s">
        <v>7673</v>
      </c>
      <c r="O1362" s="53" t="s">
        <v>3573</v>
      </c>
      <c r="P1362" s="500" t="str">
        <f t="shared" ref="P1362:P1363" si="89"> SUBSTITUTE(lower(N1362), "/", "--") &amp;  ".pdf"</f>
        <v>10.1017--s1930297500001170.pdf</v>
      </c>
      <c r="Q1362" s="101" t="str">
        <f t="array" ref="Q1362"> if(iserror(MATCH(V1362, 'File Links'!C:C, 0)), "N/A", HYPERLINK(INDEX('File Links'!B:B, MATCH(P1362, 'File Links'!C:C, 0))))</f>
        <v>https://drive.google.com/file/d/1htcfPlWHtz8E91jbq14ETkimhcWUSyMj/view?usp=drivesdk</v>
      </c>
      <c r="R1362" s="500" t="s">
        <v>7462</v>
      </c>
      <c r="S1362" s="500" t="s">
        <v>7463</v>
      </c>
      <c r="T1362" s="507" t="s">
        <v>7464</v>
      </c>
      <c r="U1362" s="500" t="s">
        <v>7674</v>
      </c>
      <c r="V1362" s="357" t="str">
        <f t="shared" ref="V1362:V1363" si="90"> hyperlink(vlookup(lower(S1362),#REF!, 2, FALSE), SUBSTITUTE(lower(S1362), "/", "--") &amp;  ".pdf")</f>
        <v>10.1027--1864-9335--a000178.pdf</v>
      </c>
      <c r="W1362" s="500" t="s">
        <v>7466</v>
      </c>
      <c r="X1362" s="51" t="str">
        <f t="array" ref="X1362"> if(iserror(MATCH(V1362, 'File Links'!C:C, 0)), "N/A", HYPERLINK(INDEX('File Links'!B:B, MATCH(V1362, 'File Links'!C:C, 0))))</f>
        <v>https://drive.google.com/file/d/1fIqa3RxgdnsQkWwGnLkF4XAbM2g_WN4q/view?usp=drivesdk</v>
      </c>
      <c r="Y1362" s="339"/>
      <c r="Z1362" s="500" t="s">
        <v>219</v>
      </c>
      <c r="AA1362" s="500" t="s">
        <v>7675</v>
      </c>
      <c r="AB1362" s="500" t="s">
        <v>7676</v>
      </c>
      <c r="AC1362" s="500" t="s">
        <v>7677</v>
      </c>
      <c r="AD1362" s="500" t="s">
        <v>7678</v>
      </c>
      <c r="AE1362" s="500" t="s">
        <v>7679</v>
      </c>
      <c r="AF1362" s="1472">
        <v>80.0</v>
      </c>
      <c r="AG1362" s="1472">
        <v>0.69</v>
      </c>
      <c r="AH1362" s="511" t="s">
        <v>166</v>
      </c>
      <c r="AI1362" s="500" t="s">
        <v>7680</v>
      </c>
      <c r="AJ1362" s="1473">
        <v>0.05</v>
      </c>
      <c r="AK1362" s="501" t="s">
        <v>128</v>
      </c>
      <c r="AL1362" s="501" t="s">
        <v>129</v>
      </c>
      <c r="AM1362" s="1474" t="s">
        <v>130</v>
      </c>
      <c r="AN1362" s="53" t="s">
        <v>131</v>
      </c>
      <c r="AO1362" s="1475">
        <v>5979.0</v>
      </c>
      <c r="AP1362" s="1472">
        <v>0.02</v>
      </c>
      <c r="AQ1362" s="500" t="s">
        <v>166</v>
      </c>
      <c r="AR1362" s="500" t="s">
        <v>7681</v>
      </c>
      <c r="AS1362" s="1472">
        <v>0.27</v>
      </c>
      <c r="AT1362" s="500" t="s">
        <v>165</v>
      </c>
      <c r="AU1362" s="500" t="s">
        <v>129</v>
      </c>
      <c r="AV1362" s="1474" t="s">
        <v>130</v>
      </c>
      <c r="AW1362" s="1476" t="s">
        <v>131</v>
      </c>
      <c r="AX1362" s="1474" t="s">
        <v>136</v>
      </c>
      <c r="AY1362" s="338" t="s">
        <v>7682</v>
      </c>
      <c r="AZ1362" s="338" t="s">
        <v>685</v>
      </c>
      <c r="BA1362" s="339"/>
      <c r="BB1362" s="339"/>
      <c r="BC1362" s="339"/>
      <c r="BD1362" s="339"/>
      <c r="BE1362" s="339"/>
      <c r="BF1362" s="339"/>
      <c r="BG1362" s="339"/>
      <c r="BH1362" s="339"/>
      <c r="BI1362" s="339"/>
      <c r="BJ1362" s="339"/>
      <c r="BK1362" s="339"/>
      <c r="BL1362" s="339"/>
      <c r="BM1362" s="339"/>
      <c r="BN1362" s="339"/>
      <c r="BO1362" s="339"/>
      <c r="BP1362" s="339"/>
      <c r="BQ1362" s="339"/>
      <c r="BR1362" s="339"/>
      <c r="BS1362" s="339"/>
      <c r="BT1362" s="339"/>
      <c r="BU1362" s="339"/>
      <c r="BV1362" s="339"/>
      <c r="BW1362" s="339"/>
      <c r="BX1362" s="339"/>
      <c r="BY1362" s="339"/>
      <c r="BZ1362" s="339"/>
      <c r="CA1362" s="339"/>
      <c r="CB1362" s="339"/>
      <c r="CC1362" s="339"/>
      <c r="CD1362" s="339"/>
      <c r="CE1362" s="339"/>
      <c r="CF1362" s="339"/>
      <c r="CG1362" s="339"/>
      <c r="CH1362" s="339"/>
      <c r="CI1362" s="339"/>
      <c r="CJ1362" s="339"/>
      <c r="CK1362" s="339"/>
      <c r="CL1362" s="339"/>
      <c r="CM1362" s="339"/>
      <c r="CN1362" s="339"/>
      <c r="CO1362" s="339"/>
      <c r="CP1362" s="339"/>
      <c r="CQ1362" s="339"/>
      <c r="CR1362" s="339"/>
      <c r="CS1362" s="339"/>
      <c r="CT1362" s="339"/>
      <c r="CU1362" s="339"/>
      <c r="CV1362" s="339"/>
      <c r="CW1362" s="339"/>
      <c r="CX1362" s="339"/>
      <c r="CY1362" s="339"/>
      <c r="CZ1362" s="339"/>
      <c r="DA1362" s="339"/>
      <c r="DB1362" s="339"/>
      <c r="DC1362" s="339"/>
      <c r="DD1362" s="339"/>
      <c r="DE1362" s="339"/>
      <c r="DF1362" s="339"/>
      <c r="DG1362" s="339"/>
      <c r="DH1362" s="339"/>
    </row>
    <row r="1363">
      <c r="A1363" s="351">
        <v>1363.0</v>
      </c>
      <c r="B1363" s="338" t="s">
        <v>107</v>
      </c>
      <c r="C1363" s="338" t="s">
        <v>108</v>
      </c>
      <c r="D1363" s="338" t="s">
        <v>1227</v>
      </c>
      <c r="E1363" s="339"/>
      <c r="F1363" s="357" t="s">
        <v>7671</v>
      </c>
      <c r="G1363" s="44" t="str">
        <f t="shared" si="88"/>
        <v>curatescience320_2</v>
      </c>
      <c r="H1363" s="357" t="s">
        <v>6921</v>
      </c>
      <c r="I1363" s="341">
        <v>45901.0</v>
      </c>
      <c r="J1363" s="341">
        <v>45901.0</v>
      </c>
      <c r="K1363" s="357" t="s">
        <v>7683</v>
      </c>
      <c r="L1363" s="43"/>
      <c r="M1363" s="1438" t="s">
        <v>7672</v>
      </c>
      <c r="N1363" s="357" t="s">
        <v>7673</v>
      </c>
      <c r="O1363" s="340" t="s">
        <v>3573</v>
      </c>
      <c r="P1363" s="357" t="str">
        <f t="shared" si="89"/>
        <v>10.1017--s1930297500001170.pdf</v>
      </c>
      <c r="Q1363" s="101" t="str">
        <f t="array" ref="Q1363"> if(iserror(MATCH(V1363, 'File Links'!C:C, 0)), "N/A", HYPERLINK(INDEX('File Links'!B:B, MATCH(P1363, 'File Links'!C:C, 0))))</f>
        <v>https://drive.google.com/file/d/1htcfPlWHtz8E91jbq14ETkimhcWUSyMj/view?usp=drivesdk</v>
      </c>
      <c r="R1363" s="500" t="s">
        <v>7462</v>
      </c>
      <c r="S1363" s="500" t="s">
        <v>7463</v>
      </c>
      <c r="T1363" s="43"/>
      <c r="U1363" s="43"/>
      <c r="V1363" s="357" t="str">
        <f t="shared" si="90"/>
        <v>10.1027--1864-9335--a000178.pdf</v>
      </c>
      <c r="W1363" s="43"/>
      <c r="X1363" s="51" t="str">
        <f t="array" ref="X1363"> if(iserror(MATCH(V1363, 'File Links'!C:C, 0)), "N/A", HYPERLINK(INDEX('File Links'!B:B, MATCH(V1363, 'File Links'!C:C, 0))))</f>
        <v>https://drive.google.com/file/d/1fIqa3RxgdnsQkWwGnLkF4XAbM2g_WN4q/view?usp=drivesdk</v>
      </c>
      <c r="Y1363" s="339"/>
      <c r="Z1363" s="357" t="s">
        <v>203</v>
      </c>
      <c r="AA1363" s="43"/>
      <c r="AB1363" s="43"/>
      <c r="AC1363" s="43"/>
      <c r="AD1363" s="357" t="s">
        <v>7684</v>
      </c>
      <c r="AE1363" s="354">
        <v>328.0</v>
      </c>
      <c r="AF1363" s="354">
        <v>80.0</v>
      </c>
      <c r="AG1363" s="354">
        <v>0.69</v>
      </c>
      <c r="AH1363" s="357" t="s">
        <v>166</v>
      </c>
      <c r="AI1363" s="43"/>
      <c r="AJ1363" s="383">
        <v>0.05</v>
      </c>
      <c r="AK1363" s="44" t="s">
        <v>128</v>
      </c>
      <c r="AL1363" s="44" t="s">
        <v>179</v>
      </c>
      <c r="AM1363" s="43" t="s">
        <v>130</v>
      </c>
      <c r="AN1363" s="46"/>
      <c r="AO1363" s="354">
        <v>5942.0</v>
      </c>
      <c r="AP1363" s="354">
        <v>0.61</v>
      </c>
      <c r="AQ1363" s="357" t="s">
        <v>166</v>
      </c>
      <c r="AR1363" s="43"/>
      <c r="AS1363" s="354">
        <v>0.001</v>
      </c>
      <c r="AT1363" s="357" t="s">
        <v>128</v>
      </c>
      <c r="AU1363" s="357" t="s">
        <v>179</v>
      </c>
      <c r="AV1363" s="43" t="s">
        <v>130</v>
      </c>
      <c r="AW1363" s="43"/>
      <c r="AX1363" s="43" t="s">
        <v>136</v>
      </c>
      <c r="AY1363" s="339"/>
      <c r="AZ1363" s="338" t="s">
        <v>685</v>
      </c>
      <c r="BA1363" s="339"/>
      <c r="BB1363" s="339"/>
      <c r="BC1363" s="339"/>
      <c r="BD1363" s="339"/>
      <c r="BE1363" s="339"/>
      <c r="BF1363" s="339"/>
      <c r="BG1363" s="339"/>
      <c r="BH1363" s="339"/>
      <c r="BI1363" s="339"/>
      <c r="BJ1363" s="339"/>
      <c r="BK1363" s="339"/>
      <c r="BL1363" s="339"/>
      <c r="BM1363" s="339"/>
      <c r="BN1363" s="339"/>
      <c r="BO1363" s="339"/>
      <c r="BP1363" s="339"/>
      <c r="BQ1363" s="339"/>
      <c r="BR1363" s="339"/>
      <c r="BS1363" s="339"/>
      <c r="BT1363" s="339"/>
      <c r="BU1363" s="339"/>
      <c r="BV1363" s="339"/>
      <c r="BW1363" s="339"/>
      <c r="BX1363" s="339"/>
      <c r="BY1363" s="339"/>
      <c r="BZ1363" s="339"/>
      <c r="CA1363" s="339"/>
      <c r="CB1363" s="339"/>
      <c r="CC1363" s="339"/>
      <c r="CD1363" s="339"/>
      <c r="CE1363" s="339"/>
      <c r="CF1363" s="339"/>
      <c r="CG1363" s="339"/>
      <c r="CH1363" s="339"/>
      <c r="CI1363" s="339"/>
      <c r="CJ1363" s="339"/>
      <c r="CK1363" s="339"/>
      <c r="CL1363" s="339"/>
      <c r="CM1363" s="339"/>
      <c r="CN1363" s="339"/>
      <c r="CO1363" s="339"/>
      <c r="CP1363" s="339"/>
      <c r="CQ1363" s="339"/>
      <c r="CR1363" s="339"/>
      <c r="CS1363" s="339"/>
      <c r="CT1363" s="339"/>
      <c r="CU1363" s="339"/>
      <c r="CV1363" s="339"/>
      <c r="CW1363" s="339"/>
      <c r="CX1363" s="339"/>
      <c r="CY1363" s="339"/>
      <c r="CZ1363" s="339"/>
      <c r="DA1363" s="339"/>
      <c r="DB1363" s="339"/>
      <c r="DC1363" s="339"/>
      <c r="DD1363" s="339"/>
      <c r="DE1363" s="339"/>
      <c r="DF1363" s="339"/>
      <c r="DG1363" s="339"/>
      <c r="DH1363" s="339"/>
    </row>
    <row r="1364">
      <c r="A1364" s="1477">
        <v>1364.0</v>
      </c>
      <c r="B1364" s="1478" t="s">
        <v>107</v>
      </c>
      <c r="C1364" s="907" t="s">
        <v>108</v>
      </c>
      <c r="D1364" s="907" t="s">
        <v>2923</v>
      </c>
      <c r="E1364" s="908"/>
      <c r="F1364" s="909" t="s">
        <v>7685</v>
      </c>
      <c r="G1364" s="909" t="s">
        <v>7686</v>
      </c>
      <c r="H1364" s="909" t="s">
        <v>7585</v>
      </c>
      <c r="I1364" s="1479" t="s">
        <v>7687</v>
      </c>
      <c r="J1364" s="912"/>
      <c r="K1364" s="909" t="s">
        <v>7688</v>
      </c>
      <c r="L1364" s="909" t="s">
        <v>7316</v>
      </c>
      <c r="M1364" s="909" t="s">
        <v>7689</v>
      </c>
      <c r="N1364" s="909" t="s">
        <v>7690</v>
      </c>
      <c r="O1364" s="915">
        <v>1.0</v>
      </c>
      <c r="P1364" s="909" t="s">
        <v>7691</v>
      </c>
      <c r="Q1364" s="913" t="str">
        <f t="array" ref="Q1364"> if(iserror(MATCH(V1364, 'File Links'!C:C, 0)), "N/A", HYPERLINK(INDEX('File Links'!B:B, MATCH(P1364, 'File Links'!C:C, 0))))</f>
        <v>https://drive.google.com/file/d/13IdVrs_fFWj8hYxe5OVSE67tGuCcKPct/view?usp=drivesdk</v>
      </c>
      <c r="R1364" s="909" t="s">
        <v>7692</v>
      </c>
      <c r="S1364" s="909" t="s">
        <v>7693</v>
      </c>
      <c r="T1364" s="909" t="s">
        <v>131</v>
      </c>
      <c r="U1364" s="915">
        <v>1.0</v>
      </c>
      <c r="V1364" s="909" t="s">
        <v>7694</v>
      </c>
      <c r="W1364" s="909" t="s">
        <v>202</v>
      </c>
      <c r="X1364" s="914" t="str">
        <f t="array" ref="X1364"> if(iserror(MATCH(V1364, 'File Links'!C:C, 0)), "N/A", HYPERLINK(INDEX('File Links'!B:B, MATCH(V1364, 'File Links'!C:C, 0))))</f>
        <v>https://drive.google.com/file/d/1JdFF8pu65hv5yMW8kuJKZT-omhqW3568/view?usp=drivesdk</v>
      </c>
      <c r="Y1364" s="912"/>
      <c r="Z1364" s="909" t="s">
        <v>219</v>
      </c>
      <c r="AA1364" s="909" t="s">
        <v>7695</v>
      </c>
      <c r="AB1364" s="909" t="s">
        <v>7696</v>
      </c>
      <c r="AC1364" s="909" t="s">
        <v>7695</v>
      </c>
      <c r="AD1364" s="909" t="s">
        <v>7697</v>
      </c>
      <c r="AE1364" s="909" t="s">
        <v>7698</v>
      </c>
      <c r="AF1364" s="915">
        <v>62.0</v>
      </c>
      <c r="AG1364" s="915">
        <v>1.21</v>
      </c>
      <c r="AH1364" s="909" t="s">
        <v>166</v>
      </c>
      <c r="AI1364" s="909" t="s">
        <v>7699</v>
      </c>
      <c r="AJ1364" s="915" t="s">
        <v>131</v>
      </c>
      <c r="AK1364" s="912"/>
      <c r="AL1364" s="909" t="s">
        <v>179</v>
      </c>
      <c r="AM1364" s="909" t="s">
        <v>130</v>
      </c>
      <c r="AN1364" s="909" t="s">
        <v>131</v>
      </c>
      <c r="AO1364" s="915">
        <v>149.0</v>
      </c>
      <c r="AP1364" s="1480">
        <v>0.184</v>
      </c>
      <c r="AQ1364" s="909" t="s">
        <v>166</v>
      </c>
      <c r="AR1364" s="909" t="s">
        <v>210</v>
      </c>
      <c r="AS1364" s="915">
        <v>0.26</v>
      </c>
      <c r="AT1364" s="909" t="s">
        <v>165</v>
      </c>
      <c r="AU1364" s="909" t="s">
        <v>179</v>
      </c>
      <c r="AV1364" s="909" t="s">
        <v>130</v>
      </c>
      <c r="AW1364" s="909" t="s">
        <v>131</v>
      </c>
      <c r="AX1364" s="909" t="s">
        <v>136</v>
      </c>
      <c r="AY1364" s="908"/>
      <c r="AZ1364" s="338" t="s">
        <v>685</v>
      </c>
      <c r="BA1364" s="908"/>
      <c r="BB1364" s="908"/>
      <c r="BC1364" s="908"/>
      <c r="BD1364" s="908"/>
      <c r="BE1364" s="908"/>
      <c r="BF1364" s="908"/>
      <c r="BG1364" s="908"/>
      <c r="BH1364" s="908"/>
      <c r="BI1364" s="908"/>
      <c r="BJ1364" s="908"/>
      <c r="BK1364" s="908"/>
      <c r="BL1364" s="908"/>
      <c r="BM1364" s="908"/>
      <c r="BN1364" s="908"/>
      <c r="BO1364" s="908"/>
      <c r="BP1364" s="908"/>
      <c r="BQ1364" s="908"/>
      <c r="BR1364" s="908"/>
      <c r="BS1364" s="908"/>
      <c r="BT1364" s="908"/>
      <c r="BU1364" s="908"/>
      <c r="BV1364" s="908"/>
      <c r="BW1364" s="908"/>
      <c r="BX1364" s="908"/>
      <c r="BY1364" s="908"/>
      <c r="BZ1364" s="908"/>
      <c r="CA1364" s="908"/>
      <c r="CB1364" s="908"/>
      <c r="CC1364" s="908"/>
      <c r="CD1364" s="908"/>
      <c r="CE1364" s="908"/>
      <c r="CF1364" s="908"/>
      <c r="CG1364" s="908"/>
      <c r="CH1364" s="908"/>
      <c r="CI1364" s="908"/>
      <c r="CJ1364" s="908"/>
      <c r="CK1364" s="908"/>
      <c r="CL1364" s="908"/>
      <c r="CM1364" s="908"/>
      <c r="CN1364" s="908"/>
      <c r="CO1364" s="908"/>
      <c r="CP1364" s="908"/>
      <c r="CQ1364" s="908"/>
      <c r="CR1364" s="908"/>
      <c r="CS1364" s="908"/>
      <c r="CT1364" s="908"/>
      <c r="CU1364" s="908"/>
      <c r="CV1364" s="908"/>
      <c r="CW1364" s="908"/>
      <c r="CX1364" s="908"/>
      <c r="CY1364" s="908"/>
      <c r="CZ1364" s="908"/>
      <c r="DA1364" s="908"/>
      <c r="DB1364" s="908"/>
      <c r="DC1364" s="908"/>
      <c r="DD1364" s="908"/>
      <c r="DE1364" s="908"/>
      <c r="DF1364" s="908"/>
      <c r="DG1364" s="908"/>
      <c r="DH1364" s="908"/>
    </row>
    <row r="1365">
      <c r="A1365" s="1481">
        <v>1365.0</v>
      </c>
      <c r="B1365" s="1482" t="s">
        <v>145</v>
      </c>
      <c r="C1365" s="1483" t="s">
        <v>108</v>
      </c>
      <c r="D1365" s="1483" t="s">
        <v>1434</v>
      </c>
      <c r="E1365" s="1484"/>
      <c r="F1365" s="1482" t="s">
        <v>7685</v>
      </c>
      <c r="G1365" s="1482" t="s">
        <v>7686</v>
      </c>
      <c r="H1365" s="1485" t="s">
        <v>1434</v>
      </c>
      <c r="I1365" s="1486" t="s">
        <v>112</v>
      </c>
      <c r="J1365" s="1487">
        <v>45740.0</v>
      </c>
      <c r="K1365" s="1488"/>
      <c r="L1365" s="1482" t="s">
        <v>7316</v>
      </c>
      <c r="M1365" s="1482" t="s">
        <v>7689</v>
      </c>
      <c r="N1365" s="1482" t="s">
        <v>7690</v>
      </c>
      <c r="O1365" s="1489">
        <v>1.0</v>
      </c>
      <c r="P1365" s="1485" t="s">
        <v>7691</v>
      </c>
      <c r="Q1365" s="1490" t="str">
        <f t="array" ref="Q1365"> if(iserror(MATCH(V1365, 'File Links'!C:C, 0)), "N/A", HYPERLINK(INDEX('File Links'!B:B, MATCH(P1365, 'File Links'!C:C, 0))))</f>
        <v>https://drive.google.com/file/d/13IdVrs_fFWj8hYxe5OVSE67tGuCcKPct/view?usp=drivesdk</v>
      </c>
      <c r="R1365" s="1491" t="s">
        <v>7692</v>
      </c>
      <c r="S1365" s="1482" t="s">
        <v>7693</v>
      </c>
      <c r="T1365" s="1492"/>
      <c r="U1365" s="1493">
        <v>1.0</v>
      </c>
      <c r="V1365" s="1485" t="s">
        <v>7694</v>
      </c>
      <c r="W1365" s="1485" t="s">
        <v>3563</v>
      </c>
      <c r="X1365" s="1494" t="str">
        <f t="array" ref="X1365"> if(iserror(MATCH(V1365, 'File Links'!C:C, 0)), "N/A", HYPERLINK(INDEX('File Links'!B:B, MATCH(V1365, 'File Links'!C:C, 0))))</f>
        <v>https://drive.google.com/file/d/1JdFF8pu65hv5yMW8kuJKZT-omhqW3568/view?usp=drivesdk</v>
      </c>
      <c r="Y1365" s="1482"/>
      <c r="Z1365" s="1485" t="s">
        <v>219</v>
      </c>
      <c r="AA1365" s="1482" t="s">
        <v>7700</v>
      </c>
      <c r="AB1365" s="1485" t="s">
        <v>7701</v>
      </c>
      <c r="AC1365" s="1485" t="s">
        <v>7702</v>
      </c>
      <c r="AD1365" s="1485" t="s">
        <v>7703</v>
      </c>
      <c r="AE1365" s="1485">
        <v>4.0</v>
      </c>
      <c r="AF1365" s="1486">
        <v>64.0</v>
      </c>
      <c r="AG1365" s="1486" t="s">
        <v>7704</v>
      </c>
      <c r="AH1365" s="1485" t="s">
        <v>127</v>
      </c>
      <c r="AI1365" s="1485" t="s">
        <v>843</v>
      </c>
      <c r="AJ1365" s="1486">
        <v>0.001</v>
      </c>
      <c r="AK1365" s="1485" t="s">
        <v>128</v>
      </c>
      <c r="AL1365" s="1485" t="s">
        <v>179</v>
      </c>
      <c r="AM1365" s="1482" t="s">
        <v>130</v>
      </c>
      <c r="AN1365" s="1482" t="s">
        <v>131</v>
      </c>
      <c r="AO1365" s="1486">
        <v>149.0</v>
      </c>
      <c r="AP1365" s="1486">
        <v>0.184</v>
      </c>
      <c r="AQ1365" s="1485" t="s">
        <v>166</v>
      </c>
      <c r="AR1365" s="1485" t="s">
        <v>625</v>
      </c>
      <c r="AS1365" s="1486">
        <v>0.26</v>
      </c>
      <c r="AT1365" s="1485" t="s">
        <v>165</v>
      </c>
      <c r="AU1365" s="1485" t="s">
        <v>179</v>
      </c>
      <c r="AV1365" s="1482" t="s">
        <v>130</v>
      </c>
      <c r="AW1365" s="1495" t="s">
        <v>131</v>
      </c>
      <c r="AX1365" s="1482" t="s">
        <v>136</v>
      </c>
      <c r="AY1365" s="1484"/>
      <c r="AZ1365" s="338" t="s">
        <v>685</v>
      </c>
      <c r="BA1365" s="1484"/>
      <c r="BB1365" s="1484"/>
      <c r="BC1365" s="1484"/>
      <c r="BD1365" s="1484"/>
      <c r="BE1365" s="1484"/>
      <c r="BF1365" s="1484"/>
      <c r="BG1365" s="1484"/>
      <c r="BH1365" s="1484"/>
      <c r="BI1365" s="1484"/>
      <c r="BJ1365" s="1484"/>
      <c r="BK1365" s="1484"/>
      <c r="BL1365" s="1484"/>
      <c r="BM1365" s="1484"/>
      <c r="BN1365" s="1484"/>
      <c r="BO1365" s="1484"/>
      <c r="BP1365" s="1484"/>
      <c r="BQ1365" s="1484"/>
      <c r="BR1365" s="1484"/>
      <c r="BS1365" s="1484"/>
      <c r="BT1365" s="1484"/>
      <c r="BU1365" s="1484"/>
      <c r="BV1365" s="1484"/>
      <c r="BW1365" s="1484"/>
      <c r="BX1365" s="1484"/>
      <c r="BY1365" s="1484"/>
      <c r="BZ1365" s="1484"/>
      <c r="CA1365" s="1484"/>
      <c r="CB1365" s="1484"/>
      <c r="CC1365" s="1484"/>
      <c r="CD1365" s="1484"/>
      <c r="CE1365" s="1484"/>
      <c r="CF1365" s="1484"/>
      <c r="CG1365" s="1484"/>
      <c r="CH1365" s="1484"/>
      <c r="CI1365" s="1484"/>
      <c r="CJ1365" s="1484"/>
      <c r="CK1365" s="1484"/>
      <c r="CL1365" s="1484"/>
      <c r="CM1365" s="1484"/>
      <c r="CN1365" s="1484"/>
      <c r="CO1365" s="1484"/>
      <c r="CP1365" s="1484"/>
      <c r="CQ1365" s="1484"/>
      <c r="CR1365" s="1484"/>
      <c r="CS1365" s="1484"/>
      <c r="CT1365" s="1484"/>
      <c r="CU1365" s="1484"/>
      <c r="CV1365" s="1484"/>
      <c r="CW1365" s="1484"/>
      <c r="CX1365" s="1484"/>
      <c r="CY1365" s="1484"/>
      <c r="CZ1365" s="1484"/>
      <c r="DA1365" s="1484"/>
      <c r="DB1365" s="1484"/>
      <c r="DC1365" s="1484"/>
      <c r="DD1365" s="1484"/>
      <c r="DE1365" s="1484"/>
      <c r="DF1365" s="1484"/>
      <c r="DG1365" s="1484"/>
      <c r="DH1365" s="1484"/>
    </row>
    <row r="1366">
      <c r="A1366" s="1477">
        <v>1366.0</v>
      </c>
      <c r="B1366" s="1478" t="s">
        <v>107</v>
      </c>
      <c r="C1366" s="907" t="s">
        <v>108</v>
      </c>
      <c r="D1366" s="907" t="s">
        <v>2923</v>
      </c>
      <c r="E1366" s="908"/>
      <c r="F1366" s="909" t="s">
        <v>7685</v>
      </c>
      <c r="G1366" s="909" t="s">
        <v>7686</v>
      </c>
      <c r="H1366" s="909" t="s">
        <v>7585</v>
      </c>
      <c r="I1366" s="1479" t="s">
        <v>7687</v>
      </c>
      <c r="J1366" s="912"/>
      <c r="K1366" s="909" t="s">
        <v>7688</v>
      </c>
      <c r="L1366" s="909" t="s">
        <v>7316</v>
      </c>
      <c r="M1366" s="909" t="s">
        <v>7689</v>
      </c>
      <c r="N1366" s="909" t="s">
        <v>7690</v>
      </c>
      <c r="O1366" s="915">
        <v>1.0</v>
      </c>
      <c r="P1366" s="909" t="s">
        <v>7691</v>
      </c>
      <c r="Q1366" s="913" t="str">
        <f t="array" ref="Q1366"> if(iserror(MATCH(V1366, 'File Links'!C:C, 0)), "N/A", HYPERLINK(INDEX('File Links'!B:B, MATCH(P1366, 'File Links'!C:C, 0))))</f>
        <v>https://drive.google.com/file/d/13IdVrs_fFWj8hYxe5OVSE67tGuCcKPct/view?usp=drivesdk</v>
      </c>
      <c r="R1366" s="909" t="s">
        <v>7692</v>
      </c>
      <c r="S1366" s="909" t="s">
        <v>7693</v>
      </c>
      <c r="T1366" s="909" t="s">
        <v>131</v>
      </c>
      <c r="U1366" s="915">
        <v>1.0</v>
      </c>
      <c r="V1366" s="909" t="s">
        <v>7694</v>
      </c>
      <c r="W1366" s="909" t="s">
        <v>202</v>
      </c>
      <c r="X1366" s="914" t="str">
        <f t="array" ref="X1366"> if(iserror(MATCH(V1366, 'File Links'!C:C, 0)), "N/A", HYPERLINK(INDEX('File Links'!B:B, MATCH(V1366, 'File Links'!C:C, 0))))</f>
        <v>https://drive.google.com/file/d/1JdFF8pu65hv5yMW8kuJKZT-omhqW3568/view?usp=drivesdk</v>
      </c>
      <c r="Y1366" s="912"/>
      <c r="Z1366" s="909" t="s">
        <v>219</v>
      </c>
      <c r="AA1366" s="909" t="s">
        <v>7695</v>
      </c>
      <c r="AB1366" s="909" t="s">
        <v>7696</v>
      </c>
      <c r="AC1366" s="909" t="s">
        <v>7695</v>
      </c>
      <c r="AD1366" s="909" t="s">
        <v>7697</v>
      </c>
      <c r="AE1366" s="909" t="s">
        <v>7698</v>
      </c>
      <c r="AF1366" s="915">
        <v>62.0</v>
      </c>
      <c r="AG1366" s="915">
        <v>1.21</v>
      </c>
      <c r="AH1366" s="909" t="s">
        <v>166</v>
      </c>
      <c r="AI1366" s="909" t="s">
        <v>7699</v>
      </c>
      <c r="AJ1366" s="915" t="s">
        <v>131</v>
      </c>
      <c r="AK1366" s="915" t="s">
        <v>131</v>
      </c>
      <c r="AL1366" s="909" t="s">
        <v>179</v>
      </c>
      <c r="AM1366" s="909" t="s">
        <v>130</v>
      </c>
      <c r="AN1366" s="909" t="s">
        <v>131</v>
      </c>
      <c r="AO1366" s="915">
        <v>149.0</v>
      </c>
      <c r="AP1366" s="1480">
        <v>0.184</v>
      </c>
      <c r="AQ1366" s="909" t="s">
        <v>166</v>
      </c>
      <c r="AR1366" s="909" t="s">
        <v>210</v>
      </c>
      <c r="AS1366" s="915">
        <v>0.26</v>
      </c>
      <c r="AT1366" s="909" t="s">
        <v>165</v>
      </c>
      <c r="AU1366" s="909" t="s">
        <v>179</v>
      </c>
      <c r="AV1366" s="909" t="s">
        <v>130</v>
      </c>
      <c r="AW1366" s="909" t="s">
        <v>131</v>
      </c>
      <c r="AX1366" s="909" t="s">
        <v>136</v>
      </c>
      <c r="AY1366" s="908"/>
      <c r="AZ1366" s="338" t="s">
        <v>685</v>
      </c>
      <c r="BA1366" s="908"/>
      <c r="BB1366" s="908"/>
      <c r="BC1366" s="908"/>
      <c r="BD1366" s="908"/>
      <c r="BE1366" s="908"/>
      <c r="BF1366" s="908"/>
      <c r="BG1366" s="908"/>
      <c r="BH1366" s="908"/>
      <c r="BI1366" s="908"/>
      <c r="BJ1366" s="908"/>
      <c r="BK1366" s="908"/>
      <c r="BL1366" s="908"/>
      <c r="BM1366" s="908"/>
      <c r="BN1366" s="908"/>
      <c r="BO1366" s="908"/>
      <c r="BP1366" s="908"/>
      <c r="BQ1366" s="908"/>
      <c r="BR1366" s="908"/>
      <c r="BS1366" s="908"/>
      <c r="BT1366" s="908"/>
      <c r="BU1366" s="908"/>
      <c r="BV1366" s="908"/>
      <c r="BW1366" s="908"/>
      <c r="BX1366" s="908"/>
      <c r="BY1366" s="908"/>
      <c r="BZ1366" s="908"/>
      <c r="CA1366" s="908"/>
      <c r="CB1366" s="908"/>
      <c r="CC1366" s="908"/>
      <c r="CD1366" s="908"/>
      <c r="CE1366" s="908"/>
      <c r="CF1366" s="908"/>
      <c r="CG1366" s="908"/>
      <c r="CH1366" s="908"/>
      <c r="CI1366" s="908"/>
      <c r="CJ1366" s="908"/>
      <c r="CK1366" s="908"/>
      <c r="CL1366" s="908"/>
      <c r="CM1366" s="908"/>
      <c r="CN1366" s="908"/>
      <c r="CO1366" s="908"/>
      <c r="CP1366" s="908"/>
      <c r="CQ1366" s="908"/>
      <c r="CR1366" s="908"/>
      <c r="CS1366" s="908"/>
      <c r="CT1366" s="908"/>
      <c r="CU1366" s="908"/>
      <c r="CV1366" s="908"/>
      <c r="CW1366" s="908"/>
      <c r="CX1366" s="908"/>
      <c r="CY1366" s="908"/>
      <c r="CZ1366" s="908"/>
      <c r="DA1366" s="908"/>
      <c r="DB1366" s="908"/>
      <c r="DC1366" s="908"/>
      <c r="DD1366" s="908"/>
      <c r="DE1366" s="908"/>
      <c r="DF1366" s="908"/>
      <c r="DG1366" s="908"/>
      <c r="DH1366" s="908"/>
    </row>
    <row r="1367">
      <c r="A1367" s="1477">
        <v>1367.0</v>
      </c>
      <c r="B1367" s="1478" t="s">
        <v>107</v>
      </c>
      <c r="C1367" s="907" t="s">
        <v>108</v>
      </c>
      <c r="D1367" s="907" t="s">
        <v>2923</v>
      </c>
      <c r="E1367" s="908"/>
      <c r="F1367" s="909" t="s">
        <v>7705</v>
      </c>
      <c r="G1367" s="909" t="s">
        <v>7706</v>
      </c>
      <c r="H1367" s="909" t="s">
        <v>7585</v>
      </c>
      <c r="I1367" s="1479" t="s">
        <v>7707</v>
      </c>
      <c r="J1367" s="912"/>
      <c r="K1367" s="909" t="s">
        <v>7688</v>
      </c>
      <c r="L1367" s="909" t="s">
        <v>7316</v>
      </c>
      <c r="M1367" s="909" t="s">
        <v>7689</v>
      </c>
      <c r="N1367" s="909" t="s">
        <v>7690</v>
      </c>
      <c r="O1367" s="915">
        <v>1.0</v>
      </c>
      <c r="P1367" s="909" t="s">
        <v>7691</v>
      </c>
      <c r="Q1367" s="913" t="str">
        <f t="array" ref="Q1367"> if(iserror(MATCH(V1367, 'File Links'!C:C, 0)), "N/A", HYPERLINK(INDEX('File Links'!B:B, MATCH(P1367, 'File Links'!C:C, 0))))</f>
        <v>https://drive.google.com/file/d/13IdVrs_fFWj8hYxe5OVSE67tGuCcKPct/view?usp=drivesdk</v>
      </c>
      <c r="R1367" s="909" t="s">
        <v>7708</v>
      </c>
      <c r="S1367" s="909" t="s">
        <v>7693</v>
      </c>
      <c r="T1367" s="909" t="s">
        <v>131</v>
      </c>
      <c r="U1367" s="915">
        <v>2.0</v>
      </c>
      <c r="V1367" s="909" t="s">
        <v>7694</v>
      </c>
      <c r="W1367" s="909" t="s">
        <v>202</v>
      </c>
      <c r="X1367" s="914" t="str">
        <f t="array" ref="X1367"> if(iserror(MATCH(V1367, 'File Links'!C:C, 0)), "N/A", HYPERLINK(INDEX('File Links'!B:B, MATCH(V1367, 'File Links'!C:C, 0))))</f>
        <v>https://drive.google.com/file/d/1JdFF8pu65hv5yMW8kuJKZT-omhqW3568/view?usp=drivesdk</v>
      </c>
      <c r="Y1367" s="912"/>
      <c r="Z1367" s="909" t="s">
        <v>219</v>
      </c>
      <c r="AA1367" s="909" t="s">
        <v>7695</v>
      </c>
      <c r="AB1367" s="909" t="s">
        <v>7696</v>
      </c>
      <c r="AC1367" s="909" t="s">
        <v>7695</v>
      </c>
      <c r="AD1367" s="909" t="s">
        <v>7709</v>
      </c>
      <c r="AE1367" s="909" t="s">
        <v>7698</v>
      </c>
      <c r="AF1367" s="915">
        <v>62.0</v>
      </c>
      <c r="AG1367" s="915">
        <v>1.21</v>
      </c>
      <c r="AH1367" s="909" t="s">
        <v>166</v>
      </c>
      <c r="AI1367" s="909" t="s">
        <v>7699</v>
      </c>
      <c r="AJ1367" s="915" t="s">
        <v>131</v>
      </c>
      <c r="AK1367" s="912"/>
      <c r="AL1367" s="909" t="s">
        <v>179</v>
      </c>
      <c r="AM1367" s="909" t="s">
        <v>130</v>
      </c>
      <c r="AN1367" s="909" t="s">
        <v>131</v>
      </c>
      <c r="AO1367" s="915">
        <v>152.0</v>
      </c>
      <c r="AP1367" s="1480">
        <v>-0.136</v>
      </c>
      <c r="AQ1367" s="909" t="s">
        <v>166</v>
      </c>
      <c r="AR1367" s="909" t="s">
        <v>500</v>
      </c>
      <c r="AS1367" s="915">
        <v>0.406</v>
      </c>
      <c r="AT1367" s="909" t="s">
        <v>165</v>
      </c>
      <c r="AU1367" s="909" t="s">
        <v>179</v>
      </c>
      <c r="AV1367" s="909" t="s">
        <v>130</v>
      </c>
      <c r="AW1367" s="909" t="s">
        <v>131</v>
      </c>
      <c r="AX1367" s="909" t="s">
        <v>136</v>
      </c>
      <c r="AY1367" s="908"/>
      <c r="AZ1367" s="338" t="s">
        <v>685</v>
      </c>
      <c r="BA1367" s="908"/>
      <c r="BB1367" s="908"/>
      <c r="BC1367" s="908"/>
      <c r="BD1367" s="908"/>
      <c r="BE1367" s="908"/>
      <c r="BF1367" s="908"/>
      <c r="BG1367" s="908"/>
      <c r="BH1367" s="908"/>
      <c r="BI1367" s="908"/>
      <c r="BJ1367" s="908"/>
      <c r="BK1367" s="908"/>
      <c r="BL1367" s="908"/>
      <c r="BM1367" s="908"/>
      <c r="BN1367" s="908"/>
      <c r="BO1367" s="908"/>
      <c r="BP1367" s="908"/>
      <c r="BQ1367" s="908"/>
      <c r="BR1367" s="908"/>
      <c r="BS1367" s="908"/>
      <c r="BT1367" s="908"/>
      <c r="BU1367" s="908"/>
      <c r="BV1367" s="908"/>
      <c r="BW1367" s="908"/>
      <c r="BX1367" s="908"/>
      <c r="BY1367" s="908"/>
      <c r="BZ1367" s="908"/>
      <c r="CA1367" s="908"/>
      <c r="CB1367" s="908"/>
      <c r="CC1367" s="908"/>
      <c r="CD1367" s="908"/>
      <c r="CE1367" s="908"/>
      <c r="CF1367" s="908"/>
      <c r="CG1367" s="908"/>
      <c r="CH1367" s="908"/>
      <c r="CI1367" s="908"/>
      <c r="CJ1367" s="908"/>
      <c r="CK1367" s="908"/>
      <c r="CL1367" s="908"/>
      <c r="CM1367" s="908"/>
      <c r="CN1367" s="908"/>
      <c r="CO1367" s="908"/>
      <c r="CP1367" s="908"/>
      <c r="CQ1367" s="908"/>
      <c r="CR1367" s="908"/>
      <c r="CS1367" s="908"/>
      <c r="CT1367" s="908"/>
      <c r="CU1367" s="908"/>
      <c r="CV1367" s="908"/>
      <c r="CW1367" s="908"/>
      <c r="CX1367" s="908"/>
      <c r="CY1367" s="908"/>
      <c r="CZ1367" s="908"/>
      <c r="DA1367" s="908"/>
      <c r="DB1367" s="908"/>
      <c r="DC1367" s="908"/>
      <c r="DD1367" s="908"/>
      <c r="DE1367" s="908"/>
      <c r="DF1367" s="908"/>
      <c r="DG1367" s="908"/>
      <c r="DH1367" s="908"/>
    </row>
    <row r="1368">
      <c r="A1368" s="1481">
        <v>1368.0</v>
      </c>
      <c r="B1368" s="1482" t="s">
        <v>145</v>
      </c>
      <c r="C1368" s="1483" t="s">
        <v>108</v>
      </c>
      <c r="D1368" s="1483" t="s">
        <v>1434</v>
      </c>
      <c r="E1368" s="1484"/>
      <c r="F1368" s="1482" t="s">
        <v>7705</v>
      </c>
      <c r="G1368" s="1482" t="s">
        <v>7706</v>
      </c>
      <c r="H1368" s="1485" t="s">
        <v>1434</v>
      </c>
      <c r="I1368" s="1486" t="s">
        <v>112</v>
      </c>
      <c r="J1368" s="1487">
        <v>45740.0</v>
      </c>
      <c r="K1368" s="1488"/>
      <c r="L1368" s="1482" t="s">
        <v>7316</v>
      </c>
      <c r="M1368" s="1482" t="s">
        <v>7689</v>
      </c>
      <c r="N1368" s="1482" t="s">
        <v>7690</v>
      </c>
      <c r="O1368" s="1489">
        <v>1.0</v>
      </c>
      <c r="P1368" s="1485" t="s">
        <v>7691</v>
      </c>
      <c r="Q1368" s="1490" t="str">
        <f t="array" ref="Q1368"> if(iserror(MATCH(V1368, 'File Links'!C:C, 0)), "N/A", HYPERLINK(INDEX('File Links'!B:B, MATCH(P1368, 'File Links'!C:C, 0))))</f>
        <v>https://drive.google.com/file/d/13IdVrs_fFWj8hYxe5OVSE67tGuCcKPct/view?usp=drivesdk</v>
      </c>
      <c r="R1368" s="1491" t="s">
        <v>7708</v>
      </c>
      <c r="S1368" s="1482" t="s">
        <v>7693</v>
      </c>
      <c r="T1368" s="1492"/>
      <c r="U1368" s="1493">
        <v>2.0</v>
      </c>
      <c r="V1368" s="1485" t="s">
        <v>7694</v>
      </c>
      <c r="W1368" s="1485" t="s">
        <v>157</v>
      </c>
      <c r="X1368" s="1494" t="str">
        <f t="array" ref="X1368"> if(iserror(MATCH(V1368, 'File Links'!C:C, 0)), "N/A", HYPERLINK(INDEX('File Links'!B:B, MATCH(V1368, 'File Links'!C:C, 0))))</f>
        <v>https://drive.google.com/file/d/1JdFF8pu65hv5yMW8kuJKZT-omhqW3568/view?usp=drivesdk</v>
      </c>
      <c r="Y1368" s="1482"/>
      <c r="Z1368" s="1485" t="s">
        <v>219</v>
      </c>
      <c r="AA1368" s="1482" t="s">
        <v>7700</v>
      </c>
      <c r="AB1368" s="1485" t="s">
        <v>7701</v>
      </c>
      <c r="AC1368" s="1485" t="s">
        <v>7702</v>
      </c>
      <c r="AD1368" s="1485" t="s">
        <v>7703</v>
      </c>
      <c r="AE1368" s="1485">
        <v>4.0</v>
      </c>
      <c r="AF1368" s="1486">
        <v>64.0</v>
      </c>
      <c r="AG1368" s="1486" t="s">
        <v>7704</v>
      </c>
      <c r="AH1368" s="1485" t="s">
        <v>127</v>
      </c>
      <c r="AI1368" s="1485" t="s">
        <v>843</v>
      </c>
      <c r="AJ1368" s="1486">
        <v>0.001</v>
      </c>
      <c r="AK1368" s="1485" t="s">
        <v>128</v>
      </c>
      <c r="AL1368" s="1485" t="s">
        <v>179</v>
      </c>
      <c r="AM1368" s="1482" t="s">
        <v>130</v>
      </c>
      <c r="AN1368" s="1482" t="s">
        <v>131</v>
      </c>
      <c r="AO1368" s="1486">
        <v>152.0</v>
      </c>
      <c r="AP1368" s="1486">
        <v>-0.136</v>
      </c>
      <c r="AQ1368" s="1485" t="s">
        <v>166</v>
      </c>
      <c r="AR1368" s="1485" t="s">
        <v>300</v>
      </c>
      <c r="AS1368" s="1486">
        <v>0.406</v>
      </c>
      <c r="AT1368" s="1485" t="s">
        <v>165</v>
      </c>
      <c r="AU1368" s="1485" t="s">
        <v>179</v>
      </c>
      <c r="AV1368" s="1482" t="s">
        <v>130</v>
      </c>
      <c r="AW1368" s="1495" t="s">
        <v>131</v>
      </c>
      <c r="AX1368" s="1482" t="s">
        <v>136</v>
      </c>
      <c r="AY1368" s="1484"/>
      <c r="AZ1368" s="338" t="s">
        <v>685</v>
      </c>
      <c r="BA1368" s="1484"/>
      <c r="BB1368" s="1484"/>
      <c r="BC1368" s="1484"/>
      <c r="BD1368" s="1484"/>
      <c r="BE1368" s="1484"/>
      <c r="BF1368" s="1484"/>
      <c r="BG1368" s="1484"/>
      <c r="BH1368" s="1484"/>
      <c r="BI1368" s="1484"/>
      <c r="BJ1368" s="1484"/>
      <c r="BK1368" s="1484"/>
      <c r="BL1368" s="1484"/>
      <c r="BM1368" s="1484"/>
      <c r="BN1368" s="1484"/>
      <c r="BO1368" s="1484"/>
      <c r="BP1368" s="1484"/>
      <c r="BQ1368" s="1484"/>
      <c r="BR1368" s="1484"/>
      <c r="BS1368" s="1484"/>
      <c r="BT1368" s="1484"/>
      <c r="BU1368" s="1484"/>
      <c r="BV1368" s="1484"/>
      <c r="BW1368" s="1484"/>
      <c r="BX1368" s="1484"/>
      <c r="BY1368" s="1484"/>
      <c r="BZ1368" s="1484"/>
      <c r="CA1368" s="1484"/>
      <c r="CB1368" s="1484"/>
      <c r="CC1368" s="1484"/>
      <c r="CD1368" s="1484"/>
      <c r="CE1368" s="1484"/>
      <c r="CF1368" s="1484"/>
      <c r="CG1368" s="1484"/>
      <c r="CH1368" s="1484"/>
      <c r="CI1368" s="1484"/>
      <c r="CJ1368" s="1484"/>
      <c r="CK1368" s="1484"/>
      <c r="CL1368" s="1484"/>
      <c r="CM1368" s="1484"/>
      <c r="CN1368" s="1484"/>
      <c r="CO1368" s="1484"/>
      <c r="CP1368" s="1484"/>
      <c r="CQ1368" s="1484"/>
      <c r="CR1368" s="1484"/>
      <c r="CS1368" s="1484"/>
      <c r="CT1368" s="1484"/>
      <c r="CU1368" s="1484"/>
      <c r="CV1368" s="1484"/>
      <c r="CW1368" s="1484"/>
      <c r="CX1368" s="1484"/>
      <c r="CY1368" s="1484"/>
      <c r="CZ1368" s="1484"/>
      <c r="DA1368" s="1484"/>
      <c r="DB1368" s="1484"/>
      <c r="DC1368" s="1484"/>
      <c r="DD1368" s="1484"/>
      <c r="DE1368" s="1484"/>
      <c r="DF1368" s="1484"/>
      <c r="DG1368" s="1484"/>
      <c r="DH1368" s="1484"/>
    </row>
    <row r="1369">
      <c r="A1369" s="1477">
        <v>1369.0</v>
      </c>
      <c r="B1369" s="1478" t="s">
        <v>107</v>
      </c>
      <c r="C1369" s="907" t="s">
        <v>108</v>
      </c>
      <c r="D1369" s="907" t="s">
        <v>2923</v>
      </c>
      <c r="E1369" s="908"/>
      <c r="F1369" s="909" t="s">
        <v>7705</v>
      </c>
      <c r="G1369" s="909" t="s">
        <v>7706</v>
      </c>
      <c r="H1369" s="909" t="s">
        <v>7585</v>
      </c>
      <c r="I1369" s="1479" t="s">
        <v>7707</v>
      </c>
      <c r="J1369" s="912"/>
      <c r="K1369" s="909" t="s">
        <v>7688</v>
      </c>
      <c r="L1369" s="909" t="s">
        <v>7316</v>
      </c>
      <c r="M1369" s="909" t="s">
        <v>7689</v>
      </c>
      <c r="N1369" s="909" t="s">
        <v>7690</v>
      </c>
      <c r="O1369" s="915">
        <v>1.0</v>
      </c>
      <c r="P1369" s="909" t="s">
        <v>7691</v>
      </c>
      <c r="Q1369" s="913" t="str">
        <f t="array" ref="Q1369"> if(iserror(MATCH(V1369, 'File Links'!C:C, 0)), "N/A", HYPERLINK(INDEX('File Links'!B:B, MATCH(P1369, 'File Links'!C:C, 0))))</f>
        <v>https://drive.google.com/file/d/13IdVrs_fFWj8hYxe5OVSE67tGuCcKPct/view?usp=drivesdk</v>
      </c>
      <c r="R1369" s="909" t="s">
        <v>7708</v>
      </c>
      <c r="S1369" s="909" t="s">
        <v>7693</v>
      </c>
      <c r="T1369" s="909" t="s">
        <v>131</v>
      </c>
      <c r="U1369" s="915">
        <v>2.0</v>
      </c>
      <c r="V1369" s="909" t="s">
        <v>7694</v>
      </c>
      <c r="W1369" s="909" t="s">
        <v>202</v>
      </c>
      <c r="X1369" s="914" t="str">
        <f t="array" ref="X1369"> if(iserror(MATCH(V1369, 'File Links'!C:C, 0)), "N/A", HYPERLINK(INDEX('File Links'!B:B, MATCH(V1369, 'File Links'!C:C, 0))))</f>
        <v>https://drive.google.com/file/d/1JdFF8pu65hv5yMW8kuJKZT-omhqW3568/view?usp=drivesdk</v>
      </c>
      <c r="Y1369" s="912"/>
      <c r="Z1369" s="909" t="s">
        <v>219</v>
      </c>
      <c r="AA1369" s="909" t="s">
        <v>7695</v>
      </c>
      <c r="AB1369" s="909" t="s">
        <v>7696</v>
      </c>
      <c r="AC1369" s="909" t="s">
        <v>7695</v>
      </c>
      <c r="AD1369" s="909" t="s">
        <v>7709</v>
      </c>
      <c r="AE1369" s="909" t="s">
        <v>7698</v>
      </c>
      <c r="AF1369" s="915">
        <v>62.0</v>
      </c>
      <c r="AG1369" s="915">
        <v>1.21</v>
      </c>
      <c r="AH1369" s="909" t="s">
        <v>166</v>
      </c>
      <c r="AI1369" s="909" t="s">
        <v>7699</v>
      </c>
      <c r="AJ1369" s="915" t="s">
        <v>131</v>
      </c>
      <c r="AK1369" s="915" t="s">
        <v>131</v>
      </c>
      <c r="AL1369" s="909" t="s">
        <v>179</v>
      </c>
      <c r="AM1369" s="909" t="s">
        <v>130</v>
      </c>
      <c r="AN1369" s="909" t="s">
        <v>131</v>
      </c>
      <c r="AO1369" s="915">
        <v>152.0</v>
      </c>
      <c r="AP1369" s="1480">
        <v>-0.136</v>
      </c>
      <c r="AQ1369" s="909" t="s">
        <v>166</v>
      </c>
      <c r="AR1369" s="909" t="s">
        <v>500</v>
      </c>
      <c r="AS1369" s="915">
        <v>0.406</v>
      </c>
      <c r="AT1369" s="909" t="s">
        <v>165</v>
      </c>
      <c r="AU1369" s="909" t="s">
        <v>179</v>
      </c>
      <c r="AV1369" s="909" t="s">
        <v>130</v>
      </c>
      <c r="AW1369" s="909" t="s">
        <v>131</v>
      </c>
      <c r="AX1369" s="909" t="s">
        <v>136</v>
      </c>
      <c r="AY1369" s="908"/>
      <c r="AZ1369" s="338" t="s">
        <v>685</v>
      </c>
      <c r="BA1369" s="908"/>
      <c r="BB1369" s="908"/>
      <c r="BC1369" s="908"/>
      <c r="BD1369" s="908"/>
      <c r="BE1369" s="908"/>
      <c r="BF1369" s="908"/>
      <c r="BG1369" s="908"/>
      <c r="BH1369" s="908"/>
      <c r="BI1369" s="908"/>
      <c r="BJ1369" s="908"/>
      <c r="BK1369" s="908"/>
      <c r="BL1369" s="908"/>
      <c r="BM1369" s="908"/>
      <c r="BN1369" s="908"/>
      <c r="BO1369" s="908"/>
      <c r="BP1369" s="908"/>
      <c r="BQ1369" s="908"/>
      <c r="BR1369" s="908"/>
      <c r="BS1369" s="908"/>
      <c r="BT1369" s="908"/>
      <c r="BU1369" s="908"/>
      <c r="BV1369" s="908"/>
      <c r="BW1369" s="908"/>
      <c r="BX1369" s="908"/>
      <c r="BY1369" s="908"/>
      <c r="BZ1369" s="908"/>
      <c r="CA1369" s="908"/>
      <c r="CB1369" s="908"/>
      <c r="CC1369" s="908"/>
      <c r="CD1369" s="908"/>
      <c r="CE1369" s="908"/>
      <c r="CF1369" s="908"/>
      <c r="CG1369" s="908"/>
      <c r="CH1369" s="908"/>
      <c r="CI1369" s="908"/>
      <c r="CJ1369" s="908"/>
      <c r="CK1369" s="908"/>
      <c r="CL1369" s="908"/>
      <c r="CM1369" s="908"/>
      <c r="CN1369" s="908"/>
      <c r="CO1369" s="908"/>
      <c r="CP1369" s="908"/>
      <c r="CQ1369" s="908"/>
      <c r="CR1369" s="908"/>
      <c r="CS1369" s="908"/>
      <c r="CT1369" s="908"/>
      <c r="CU1369" s="908"/>
      <c r="CV1369" s="908"/>
      <c r="CW1369" s="908"/>
      <c r="CX1369" s="908"/>
      <c r="CY1369" s="908"/>
      <c r="CZ1369" s="908"/>
      <c r="DA1369" s="908"/>
      <c r="DB1369" s="908"/>
      <c r="DC1369" s="908"/>
      <c r="DD1369" s="908"/>
      <c r="DE1369" s="908"/>
      <c r="DF1369" s="908"/>
      <c r="DG1369" s="908"/>
      <c r="DH1369" s="908"/>
    </row>
    <row r="1370">
      <c r="A1370" s="1477">
        <v>1370.0</v>
      </c>
      <c r="B1370" s="1478" t="s">
        <v>107</v>
      </c>
      <c r="C1370" s="907" t="s">
        <v>108</v>
      </c>
      <c r="D1370" s="907" t="s">
        <v>2923</v>
      </c>
      <c r="E1370" s="908"/>
      <c r="F1370" s="912" t="s">
        <v>7710</v>
      </c>
      <c r="G1370" s="909" t="s">
        <v>7711</v>
      </c>
      <c r="H1370" s="909" t="s">
        <v>7585</v>
      </c>
      <c r="I1370" s="1479" t="s">
        <v>7707</v>
      </c>
      <c r="J1370" s="912"/>
      <c r="K1370" s="909" t="s">
        <v>7712</v>
      </c>
      <c r="L1370" s="909" t="s">
        <v>7316</v>
      </c>
      <c r="M1370" s="909" t="s">
        <v>7689</v>
      </c>
      <c r="N1370" s="909" t="s">
        <v>7690</v>
      </c>
      <c r="O1370" s="915">
        <v>1.0</v>
      </c>
      <c r="P1370" s="909" t="s">
        <v>7691</v>
      </c>
      <c r="Q1370" s="913" t="str">
        <f t="array" ref="Q1370"> if(iserror(MATCH(V1370, 'File Links'!C:C, 0)), "N/A", HYPERLINK(INDEX('File Links'!B:B, MATCH(P1370, 'File Links'!C:C, 0))))</f>
        <v>https://drive.google.com/file/d/13IdVrs_fFWj8hYxe5OVSE67tGuCcKPct/view?usp=drivesdk</v>
      </c>
      <c r="R1370" s="909" t="s">
        <v>7713</v>
      </c>
      <c r="S1370" s="909" t="s">
        <v>7693</v>
      </c>
      <c r="T1370" s="909" t="s">
        <v>131</v>
      </c>
      <c r="U1370" s="915">
        <v>3.0</v>
      </c>
      <c r="V1370" s="909" t="s">
        <v>7694</v>
      </c>
      <c r="W1370" s="909" t="s">
        <v>202</v>
      </c>
      <c r="X1370" s="914" t="str">
        <f t="array" ref="X1370"> if(iserror(MATCH(V1370, 'File Links'!C:C, 0)), "N/A", HYPERLINK(INDEX('File Links'!B:B, MATCH(V1370, 'File Links'!C:C, 0))))</f>
        <v>https://drive.google.com/file/d/1JdFF8pu65hv5yMW8kuJKZT-omhqW3568/view?usp=drivesdk</v>
      </c>
      <c r="Y1370" s="912"/>
      <c r="Z1370" s="909" t="s">
        <v>219</v>
      </c>
      <c r="AA1370" s="909" t="s">
        <v>7695</v>
      </c>
      <c r="AB1370" s="909" t="s">
        <v>7696</v>
      </c>
      <c r="AC1370" s="909" t="s">
        <v>7695</v>
      </c>
      <c r="AD1370" s="909" t="s">
        <v>7709</v>
      </c>
      <c r="AE1370" s="909" t="s">
        <v>7698</v>
      </c>
      <c r="AF1370" s="915">
        <v>62.0</v>
      </c>
      <c r="AG1370" s="915">
        <v>1.21</v>
      </c>
      <c r="AH1370" s="909" t="s">
        <v>166</v>
      </c>
      <c r="AI1370" s="909" t="s">
        <v>7699</v>
      </c>
      <c r="AJ1370" s="915" t="s">
        <v>131</v>
      </c>
      <c r="AK1370" s="912"/>
      <c r="AL1370" s="909" t="s">
        <v>179</v>
      </c>
      <c r="AM1370" s="909" t="s">
        <v>130</v>
      </c>
      <c r="AN1370" s="909" t="s">
        <v>131</v>
      </c>
      <c r="AO1370" s="915">
        <v>151.0</v>
      </c>
      <c r="AP1370" s="1480">
        <v>-0.144</v>
      </c>
      <c r="AQ1370" s="909" t="s">
        <v>166</v>
      </c>
      <c r="AR1370" s="909" t="s">
        <v>489</v>
      </c>
      <c r="AS1370" s="915" t="s">
        <v>131</v>
      </c>
      <c r="AT1370" s="912"/>
      <c r="AU1370" s="909" t="s">
        <v>179</v>
      </c>
      <c r="AV1370" s="909" t="s">
        <v>130</v>
      </c>
      <c r="AW1370" s="909" t="s">
        <v>131</v>
      </c>
      <c r="AX1370" s="909" t="s">
        <v>144</v>
      </c>
      <c r="AY1370" s="908"/>
      <c r="AZ1370" s="338" t="s">
        <v>685</v>
      </c>
      <c r="BA1370" s="908"/>
      <c r="BB1370" s="908"/>
      <c r="BC1370" s="908"/>
      <c r="BD1370" s="908"/>
      <c r="BE1370" s="908"/>
      <c r="BF1370" s="908"/>
      <c r="BG1370" s="908"/>
      <c r="BH1370" s="908"/>
      <c r="BI1370" s="908"/>
      <c r="BJ1370" s="908"/>
      <c r="BK1370" s="908"/>
      <c r="BL1370" s="908"/>
      <c r="BM1370" s="908"/>
      <c r="BN1370" s="908"/>
      <c r="BO1370" s="908"/>
      <c r="BP1370" s="908"/>
      <c r="BQ1370" s="908"/>
      <c r="BR1370" s="908"/>
      <c r="BS1370" s="908"/>
      <c r="BT1370" s="908"/>
      <c r="BU1370" s="908"/>
      <c r="BV1370" s="908"/>
      <c r="BW1370" s="908"/>
      <c r="BX1370" s="908"/>
      <c r="BY1370" s="908"/>
      <c r="BZ1370" s="908"/>
      <c r="CA1370" s="908"/>
      <c r="CB1370" s="908"/>
      <c r="CC1370" s="908"/>
      <c r="CD1370" s="908"/>
      <c r="CE1370" s="908"/>
      <c r="CF1370" s="908"/>
      <c r="CG1370" s="908"/>
      <c r="CH1370" s="908"/>
      <c r="CI1370" s="908"/>
      <c r="CJ1370" s="908"/>
      <c r="CK1370" s="908"/>
      <c r="CL1370" s="908"/>
      <c r="CM1370" s="908"/>
      <c r="CN1370" s="908"/>
      <c r="CO1370" s="908"/>
      <c r="CP1370" s="908"/>
      <c r="CQ1370" s="908"/>
      <c r="CR1370" s="908"/>
      <c r="CS1370" s="908"/>
      <c r="CT1370" s="908"/>
      <c r="CU1370" s="908"/>
      <c r="CV1370" s="908"/>
      <c r="CW1370" s="908"/>
      <c r="CX1370" s="908"/>
      <c r="CY1370" s="908"/>
      <c r="CZ1370" s="908"/>
      <c r="DA1370" s="908"/>
      <c r="DB1370" s="908"/>
      <c r="DC1370" s="908"/>
      <c r="DD1370" s="908"/>
      <c r="DE1370" s="908"/>
      <c r="DF1370" s="908"/>
      <c r="DG1370" s="908"/>
      <c r="DH1370" s="908"/>
    </row>
    <row r="1371">
      <c r="A1371" s="1496">
        <v>1371.0</v>
      </c>
      <c r="B1371" s="717" t="s">
        <v>145</v>
      </c>
      <c r="C1371" s="713" t="s">
        <v>108</v>
      </c>
      <c r="D1371" s="713" t="s">
        <v>1434</v>
      </c>
      <c r="E1371" s="694"/>
      <c r="F1371" s="717" t="s">
        <v>7710</v>
      </c>
      <c r="G1371" s="717" t="s">
        <v>7711</v>
      </c>
      <c r="H1371" s="727" t="s">
        <v>1434</v>
      </c>
      <c r="I1371" s="1497" t="s">
        <v>112</v>
      </c>
      <c r="J1371" s="1498">
        <v>45740.0</v>
      </c>
      <c r="K1371" s="714"/>
      <c r="L1371" s="717" t="s">
        <v>7316</v>
      </c>
      <c r="M1371" s="717" t="s">
        <v>7689</v>
      </c>
      <c r="N1371" s="717" t="s">
        <v>7690</v>
      </c>
      <c r="O1371" s="1489">
        <v>1.0</v>
      </c>
      <c r="P1371" s="727" t="s">
        <v>7691</v>
      </c>
      <c r="Q1371" s="1499" t="str">
        <f t="array" ref="Q1371"> if(iserror(MATCH(V1371, 'File Links'!C:C, 0)), "N/A", HYPERLINK(INDEX('File Links'!B:B, MATCH(P1371, 'File Links'!C:C, 0))))</f>
        <v>https://drive.google.com/file/d/13IdVrs_fFWj8hYxe5OVSE67tGuCcKPct/view?usp=drivesdk</v>
      </c>
      <c r="R1371" s="1500" t="s">
        <v>7713</v>
      </c>
      <c r="S1371" s="717" t="s">
        <v>7693</v>
      </c>
      <c r="T1371" s="1501"/>
      <c r="U1371" s="1502">
        <v>3.0</v>
      </c>
      <c r="V1371" s="727" t="s">
        <v>7694</v>
      </c>
      <c r="W1371" s="727" t="s">
        <v>2043</v>
      </c>
      <c r="X1371" s="1503" t="str">
        <f t="array" ref="X1371"> if(iserror(MATCH(V1371, 'File Links'!C:C, 0)), "N/A", HYPERLINK(INDEX('File Links'!B:B, MATCH(V1371, 'File Links'!C:C, 0))))</f>
        <v>https://drive.google.com/file/d/1JdFF8pu65hv5yMW8kuJKZT-omhqW3568/view?usp=drivesdk</v>
      </c>
      <c r="Y1371" s="717"/>
      <c r="Z1371" s="727" t="s">
        <v>219</v>
      </c>
      <c r="AA1371" s="717" t="s">
        <v>7700</v>
      </c>
      <c r="AB1371" s="727" t="s">
        <v>7701</v>
      </c>
      <c r="AC1371" s="727" t="s">
        <v>7714</v>
      </c>
      <c r="AD1371" s="727" t="s">
        <v>7703</v>
      </c>
      <c r="AE1371" s="727">
        <v>4.0</v>
      </c>
      <c r="AF1371" s="1497">
        <v>64.0</v>
      </c>
      <c r="AG1371" s="1497" t="s">
        <v>7704</v>
      </c>
      <c r="AH1371" s="727" t="s">
        <v>127</v>
      </c>
      <c r="AI1371" s="727" t="s">
        <v>843</v>
      </c>
      <c r="AJ1371" s="1497">
        <v>0.001</v>
      </c>
      <c r="AK1371" s="727" t="s">
        <v>128</v>
      </c>
      <c r="AL1371" s="727" t="s">
        <v>179</v>
      </c>
      <c r="AM1371" s="717" t="s">
        <v>130</v>
      </c>
      <c r="AN1371" s="717" t="s">
        <v>131</v>
      </c>
      <c r="AO1371" s="1497">
        <v>151.0</v>
      </c>
      <c r="AP1371" s="1497">
        <v>-0.144</v>
      </c>
      <c r="AQ1371" s="727" t="s">
        <v>166</v>
      </c>
      <c r="AR1371" s="727" t="s">
        <v>7715</v>
      </c>
      <c r="AS1371" s="1497">
        <v>0.38</v>
      </c>
      <c r="AT1371" s="727" t="s">
        <v>165</v>
      </c>
      <c r="AU1371" s="727" t="s">
        <v>179</v>
      </c>
      <c r="AV1371" s="717" t="s">
        <v>130</v>
      </c>
      <c r="AW1371" s="1504" t="s">
        <v>131</v>
      </c>
      <c r="AX1371" s="717" t="s">
        <v>144</v>
      </c>
      <c r="AY1371" s="694"/>
      <c r="AZ1371" s="338" t="s">
        <v>685</v>
      </c>
      <c r="BA1371" s="694"/>
      <c r="BB1371" s="694"/>
      <c r="BC1371" s="694"/>
      <c r="BD1371" s="694"/>
      <c r="BE1371" s="694"/>
      <c r="BF1371" s="694"/>
      <c r="BG1371" s="694"/>
      <c r="BH1371" s="694"/>
      <c r="BI1371" s="694"/>
      <c r="BJ1371" s="694"/>
      <c r="BK1371" s="694"/>
      <c r="BL1371" s="694"/>
      <c r="BM1371" s="694"/>
      <c r="BN1371" s="694"/>
      <c r="BO1371" s="694"/>
      <c r="BP1371" s="694"/>
      <c r="BQ1371" s="694"/>
      <c r="BR1371" s="694"/>
      <c r="BS1371" s="694"/>
      <c r="BT1371" s="694"/>
      <c r="BU1371" s="694"/>
      <c r="BV1371" s="694"/>
      <c r="BW1371" s="694"/>
      <c r="BX1371" s="694"/>
      <c r="BY1371" s="694"/>
      <c r="BZ1371" s="694"/>
      <c r="CA1371" s="694"/>
      <c r="CB1371" s="694"/>
      <c r="CC1371" s="694"/>
      <c r="CD1371" s="694"/>
      <c r="CE1371" s="694"/>
      <c r="CF1371" s="694"/>
      <c r="CG1371" s="694"/>
      <c r="CH1371" s="694"/>
      <c r="CI1371" s="694"/>
      <c r="CJ1371" s="694"/>
      <c r="CK1371" s="694"/>
      <c r="CL1371" s="694"/>
      <c r="CM1371" s="694"/>
      <c r="CN1371" s="694"/>
      <c r="CO1371" s="694"/>
      <c r="CP1371" s="694"/>
      <c r="CQ1371" s="694"/>
      <c r="CR1371" s="694"/>
      <c r="CS1371" s="694"/>
      <c r="CT1371" s="694"/>
      <c r="CU1371" s="694"/>
      <c r="CV1371" s="694"/>
      <c r="CW1371" s="694"/>
      <c r="CX1371" s="694"/>
      <c r="CY1371" s="694"/>
      <c r="CZ1371" s="694"/>
      <c r="DA1371" s="694"/>
      <c r="DB1371" s="694"/>
      <c r="DC1371" s="694"/>
      <c r="DD1371" s="694"/>
      <c r="DE1371" s="694"/>
      <c r="DF1371" s="694"/>
      <c r="DG1371" s="694"/>
      <c r="DH1371" s="694"/>
    </row>
    <row r="1372">
      <c r="A1372" s="1505">
        <v>1372.0</v>
      </c>
      <c r="B1372" s="1506" t="s">
        <v>145</v>
      </c>
      <c r="C1372" s="1507" t="s">
        <v>108</v>
      </c>
      <c r="D1372" s="1507" t="s">
        <v>1434</v>
      </c>
      <c r="E1372" s="1508"/>
      <c r="F1372" s="1506" t="s">
        <v>7710</v>
      </c>
      <c r="G1372" s="1506" t="s">
        <v>7716</v>
      </c>
      <c r="H1372" s="1509" t="s">
        <v>1434</v>
      </c>
      <c r="I1372" s="1510" t="s">
        <v>112</v>
      </c>
      <c r="J1372" s="1511">
        <v>45740.0</v>
      </c>
      <c r="K1372" s="1512"/>
      <c r="L1372" s="1506" t="s">
        <v>7316</v>
      </c>
      <c r="M1372" s="1506" t="s">
        <v>7689</v>
      </c>
      <c r="N1372" s="1506" t="s">
        <v>7690</v>
      </c>
      <c r="O1372" s="1489">
        <v>1.0</v>
      </c>
      <c r="P1372" s="1509" t="s">
        <v>7691</v>
      </c>
      <c r="Q1372" s="1513" t="str">
        <f t="array" ref="Q1372"> if(iserror(MATCH(V1372, 'File Links'!C:C, 0)), "N/A", HYPERLINK(INDEX('File Links'!B:B, MATCH(P1372, 'File Links'!C:C, 0))))</f>
        <v>https://drive.google.com/file/d/13IdVrs_fFWj8hYxe5OVSE67tGuCcKPct/view?usp=drivesdk</v>
      </c>
      <c r="R1372" s="1514" t="s">
        <v>7713</v>
      </c>
      <c r="S1372" s="1506" t="s">
        <v>7693</v>
      </c>
      <c r="T1372" s="1515"/>
      <c r="U1372" s="1516">
        <v>3.0</v>
      </c>
      <c r="V1372" s="1509" t="s">
        <v>7694</v>
      </c>
      <c r="W1372" s="1509" t="s">
        <v>2043</v>
      </c>
      <c r="X1372" s="1517" t="str">
        <f t="array" ref="X1372"> if(iserror(MATCH(V1372, 'File Links'!C:C, 0)), "N/A", HYPERLINK(INDEX('File Links'!B:B, MATCH(V1372, 'File Links'!C:C, 0))))</f>
        <v>https://drive.google.com/file/d/1JdFF8pu65hv5yMW8kuJKZT-omhqW3568/view?usp=drivesdk</v>
      </c>
      <c r="Y1372" s="1506"/>
      <c r="Z1372" s="1509" t="s">
        <v>219</v>
      </c>
      <c r="AA1372" s="1506" t="s">
        <v>7700</v>
      </c>
      <c r="AB1372" s="1509" t="s">
        <v>7701</v>
      </c>
      <c r="AC1372" s="1509" t="s">
        <v>7717</v>
      </c>
      <c r="AD1372" s="1509" t="s">
        <v>7703</v>
      </c>
      <c r="AE1372" s="1509">
        <v>4.0</v>
      </c>
      <c r="AF1372" s="1510">
        <v>64.0</v>
      </c>
      <c r="AG1372" s="1510" t="s">
        <v>7704</v>
      </c>
      <c r="AH1372" s="1509" t="s">
        <v>127</v>
      </c>
      <c r="AI1372" s="1509" t="s">
        <v>843</v>
      </c>
      <c r="AJ1372" s="1510">
        <v>0.001</v>
      </c>
      <c r="AK1372" s="1509" t="s">
        <v>128</v>
      </c>
      <c r="AL1372" s="1509" t="s">
        <v>179</v>
      </c>
      <c r="AM1372" s="1506" t="s">
        <v>130</v>
      </c>
      <c r="AN1372" s="1506" t="s">
        <v>131</v>
      </c>
      <c r="AO1372" s="1510">
        <v>151.0</v>
      </c>
      <c r="AP1372" s="1510">
        <v>-0.127</v>
      </c>
      <c r="AQ1372" s="1509" t="s">
        <v>166</v>
      </c>
      <c r="AR1372" s="1509" t="s">
        <v>7715</v>
      </c>
      <c r="AS1372" s="1510">
        <v>0.437</v>
      </c>
      <c r="AT1372" s="1509" t="s">
        <v>165</v>
      </c>
      <c r="AU1372" s="1509" t="s">
        <v>179</v>
      </c>
      <c r="AV1372" s="1506" t="s">
        <v>130</v>
      </c>
      <c r="AW1372" s="1518" t="s">
        <v>131</v>
      </c>
      <c r="AX1372" s="1506" t="s">
        <v>144</v>
      </c>
      <c r="AY1372" s="1508"/>
      <c r="AZ1372" s="338" t="s">
        <v>685</v>
      </c>
      <c r="BA1372" s="1508"/>
      <c r="BB1372" s="1508"/>
      <c r="BC1372" s="1508"/>
      <c r="BD1372" s="1508"/>
      <c r="BE1372" s="1508"/>
      <c r="BF1372" s="1508"/>
      <c r="BG1372" s="1508"/>
      <c r="BH1372" s="1508"/>
      <c r="BI1372" s="1508"/>
      <c r="BJ1372" s="1508"/>
      <c r="BK1372" s="1508"/>
      <c r="BL1372" s="1508"/>
      <c r="BM1372" s="1508"/>
      <c r="BN1372" s="1508"/>
      <c r="BO1372" s="1508"/>
      <c r="BP1372" s="1508"/>
      <c r="BQ1372" s="1508"/>
      <c r="BR1372" s="1508"/>
      <c r="BS1372" s="1508"/>
      <c r="BT1372" s="1508"/>
      <c r="BU1372" s="1508"/>
      <c r="BV1372" s="1508"/>
      <c r="BW1372" s="1508"/>
      <c r="BX1372" s="1508"/>
      <c r="BY1372" s="1508"/>
      <c r="BZ1372" s="1508"/>
      <c r="CA1372" s="1508"/>
      <c r="CB1372" s="1508"/>
      <c r="CC1372" s="1508"/>
      <c r="CD1372" s="1508"/>
      <c r="CE1372" s="1508"/>
      <c r="CF1372" s="1508"/>
      <c r="CG1372" s="1508"/>
      <c r="CH1372" s="1508"/>
      <c r="CI1372" s="1508"/>
      <c r="CJ1372" s="1508"/>
      <c r="CK1372" s="1508"/>
      <c r="CL1372" s="1508"/>
      <c r="CM1372" s="1508"/>
      <c r="CN1372" s="1508"/>
      <c r="CO1372" s="1508"/>
      <c r="CP1372" s="1508"/>
      <c r="CQ1372" s="1508"/>
      <c r="CR1372" s="1508"/>
      <c r="CS1372" s="1508"/>
      <c r="CT1372" s="1508"/>
      <c r="CU1372" s="1508"/>
      <c r="CV1372" s="1508"/>
      <c r="CW1372" s="1508"/>
      <c r="CX1372" s="1508"/>
      <c r="CY1372" s="1508"/>
      <c r="CZ1372" s="1508"/>
      <c r="DA1372" s="1508"/>
      <c r="DB1372" s="1508"/>
      <c r="DC1372" s="1508"/>
      <c r="DD1372" s="1508"/>
      <c r="DE1372" s="1508"/>
      <c r="DF1372" s="1508"/>
      <c r="DG1372" s="1508"/>
      <c r="DH1372" s="1508"/>
    </row>
    <row r="1373">
      <c r="A1373" s="1477">
        <v>1373.0</v>
      </c>
      <c r="B1373" s="1478" t="s">
        <v>107</v>
      </c>
      <c r="C1373" s="907" t="s">
        <v>108</v>
      </c>
      <c r="D1373" s="907" t="s">
        <v>2923</v>
      </c>
      <c r="E1373" s="908"/>
      <c r="F1373" s="912" t="s">
        <v>7710</v>
      </c>
      <c r="G1373" s="909" t="s">
        <v>7711</v>
      </c>
      <c r="H1373" s="909" t="s">
        <v>7585</v>
      </c>
      <c r="I1373" s="1479" t="s">
        <v>7707</v>
      </c>
      <c r="J1373" s="912"/>
      <c r="K1373" s="909" t="s">
        <v>7712</v>
      </c>
      <c r="L1373" s="909" t="s">
        <v>7316</v>
      </c>
      <c r="M1373" s="909" t="s">
        <v>7689</v>
      </c>
      <c r="N1373" s="909" t="s">
        <v>7690</v>
      </c>
      <c r="O1373" s="915">
        <v>1.0</v>
      </c>
      <c r="P1373" s="909" t="s">
        <v>7691</v>
      </c>
      <c r="Q1373" s="913" t="str">
        <f t="array" ref="Q1373"> if(iserror(MATCH(V1373, 'File Links'!C:C, 0)), "N/A", HYPERLINK(INDEX('File Links'!B:B, MATCH(P1373, 'File Links'!C:C, 0))))</f>
        <v>https://drive.google.com/file/d/13IdVrs_fFWj8hYxe5OVSE67tGuCcKPct/view?usp=drivesdk</v>
      </c>
      <c r="R1373" s="909" t="s">
        <v>7713</v>
      </c>
      <c r="S1373" s="909" t="s">
        <v>7693</v>
      </c>
      <c r="T1373" s="909" t="s">
        <v>131</v>
      </c>
      <c r="U1373" s="915">
        <v>3.0</v>
      </c>
      <c r="V1373" s="909" t="s">
        <v>7694</v>
      </c>
      <c r="W1373" s="909" t="s">
        <v>202</v>
      </c>
      <c r="X1373" s="914" t="str">
        <f t="array" ref="X1373"> if(iserror(MATCH(V1373, 'File Links'!C:C, 0)), "N/A", HYPERLINK(INDEX('File Links'!B:B, MATCH(V1373, 'File Links'!C:C, 0))))</f>
        <v>https://drive.google.com/file/d/1JdFF8pu65hv5yMW8kuJKZT-omhqW3568/view?usp=drivesdk</v>
      </c>
      <c r="Y1373" s="912"/>
      <c r="Z1373" s="909" t="s">
        <v>219</v>
      </c>
      <c r="AA1373" s="909" t="s">
        <v>7695</v>
      </c>
      <c r="AB1373" s="909" t="s">
        <v>7696</v>
      </c>
      <c r="AC1373" s="909" t="s">
        <v>7695</v>
      </c>
      <c r="AD1373" s="909" t="s">
        <v>7709</v>
      </c>
      <c r="AE1373" s="909" t="s">
        <v>7698</v>
      </c>
      <c r="AF1373" s="915">
        <v>62.0</v>
      </c>
      <c r="AG1373" s="915">
        <v>1.21</v>
      </c>
      <c r="AH1373" s="909" t="s">
        <v>166</v>
      </c>
      <c r="AI1373" s="909" t="s">
        <v>7699</v>
      </c>
      <c r="AJ1373" s="915" t="s">
        <v>131</v>
      </c>
      <c r="AK1373" s="915" t="s">
        <v>131</v>
      </c>
      <c r="AL1373" s="909" t="s">
        <v>179</v>
      </c>
      <c r="AM1373" s="909" t="s">
        <v>130</v>
      </c>
      <c r="AN1373" s="909" t="s">
        <v>131</v>
      </c>
      <c r="AO1373" s="915">
        <v>151.0</v>
      </c>
      <c r="AP1373" s="1480">
        <v>-0.144</v>
      </c>
      <c r="AQ1373" s="909" t="s">
        <v>166</v>
      </c>
      <c r="AR1373" s="909" t="s">
        <v>489</v>
      </c>
      <c r="AS1373" s="915" t="s">
        <v>131</v>
      </c>
      <c r="AT1373" s="915" t="s">
        <v>131</v>
      </c>
      <c r="AU1373" s="909" t="s">
        <v>179</v>
      </c>
      <c r="AV1373" s="909" t="s">
        <v>130</v>
      </c>
      <c r="AW1373" s="909" t="s">
        <v>131</v>
      </c>
      <c r="AX1373" s="909" t="s">
        <v>144</v>
      </c>
      <c r="AY1373" s="908"/>
      <c r="AZ1373" s="338" t="s">
        <v>685</v>
      </c>
      <c r="BA1373" s="908"/>
      <c r="BB1373" s="908"/>
      <c r="BC1373" s="908"/>
      <c r="BD1373" s="908"/>
      <c r="BE1373" s="908"/>
      <c r="BF1373" s="908"/>
      <c r="BG1373" s="908"/>
      <c r="BH1373" s="908"/>
      <c r="BI1373" s="908"/>
      <c r="BJ1373" s="908"/>
      <c r="BK1373" s="908"/>
      <c r="BL1373" s="908"/>
      <c r="BM1373" s="908"/>
      <c r="BN1373" s="908"/>
      <c r="BO1373" s="908"/>
      <c r="BP1373" s="908"/>
      <c r="BQ1373" s="908"/>
      <c r="BR1373" s="908"/>
      <c r="BS1373" s="908"/>
      <c r="BT1373" s="908"/>
      <c r="BU1373" s="908"/>
      <c r="BV1373" s="908"/>
      <c r="BW1373" s="908"/>
      <c r="BX1373" s="908"/>
      <c r="BY1373" s="908"/>
      <c r="BZ1373" s="908"/>
      <c r="CA1373" s="908"/>
      <c r="CB1373" s="908"/>
      <c r="CC1373" s="908"/>
      <c r="CD1373" s="908"/>
      <c r="CE1373" s="908"/>
      <c r="CF1373" s="908"/>
      <c r="CG1373" s="908"/>
      <c r="CH1373" s="908"/>
      <c r="CI1373" s="908"/>
      <c r="CJ1373" s="908"/>
      <c r="CK1373" s="908"/>
      <c r="CL1373" s="908"/>
      <c r="CM1373" s="908"/>
      <c r="CN1373" s="908"/>
      <c r="CO1373" s="908"/>
      <c r="CP1373" s="908"/>
      <c r="CQ1373" s="908"/>
      <c r="CR1373" s="908"/>
      <c r="CS1373" s="908"/>
      <c r="CT1373" s="908"/>
      <c r="CU1373" s="908"/>
      <c r="CV1373" s="908"/>
      <c r="CW1373" s="908"/>
      <c r="CX1373" s="908"/>
      <c r="CY1373" s="908"/>
      <c r="CZ1373" s="908"/>
      <c r="DA1373" s="908"/>
      <c r="DB1373" s="908"/>
      <c r="DC1373" s="908"/>
      <c r="DD1373" s="908"/>
      <c r="DE1373" s="908"/>
      <c r="DF1373" s="908"/>
      <c r="DG1373" s="908"/>
      <c r="DH1373" s="908"/>
    </row>
    <row r="1374">
      <c r="A1374" s="1477">
        <v>1374.0</v>
      </c>
      <c r="B1374" s="1478" t="s">
        <v>107</v>
      </c>
      <c r="C1374" s="907" t="s">
        <v>108</v>
      </c>
      <c r="D1374" s="907" t="s">
        <v>2923</v>
      </c>
      <c r="E1374" s="908"/>
      <c r="F1374" s="912" t="s">
        <v>7718</v>
      </c>
      <c r="G1374" s="909" t="s">
        <v>7719</v>
      </c>
      <c r="H1374" s="909" t="s">
        <v>7585</v>
      </c>
      <c r="I1374" s="1479" t="s">
        <v>7707</v>
      </c>
      <c r="J1374" s="912"/>
      <c r="K1374" s="909" t="s">
        <v>7712</v>
      </c>
      <c r="L1374" s="909" t="s">
        <v>7316</v>
      </c>
      <c r="M1374" s="909" t="s">
        <v>7689</v>
      </c>
      <c r="N1374" s="909" t="s">
        <v>7690</v>
      </c>
      <c r="O1374" s="915">
        <v>1.0</v>
      </c>
      <c r="P1374" s="909" t="s">
        <v>7691</v>
      </c>
      <c r="Q1374" s="913" t="str">
        <f t="array" ref="Q1374"> if(iserror(MATCH(V1374, 'File Links'!C:C, 0)), "N/A", HYPERLINK(INDEX('File Links'!B:B, MATCH(P1374, 'File Links'!C:C, 0))))</f>
        <v>https://drive.google.com/file/d/13IdVrs_fFWj8hYxe5OVSE67tGuCcKPct/view?usp=drivesdk</v>
      </c>
      <c r="R1374" s="909" t="s">
        <v>7720</v>
      </c>
      <c r="S1374" s="909" t="s">
        <v>7693</v>
      </c>
      <c r="T1374" s="909" t="s">
        <v>131</v>
      </c>
      <c r="U1374" s="915">
        <v>4.0</v>
      </c>
      <c r="V1374" s="909" t="s">
        <v>7694</v>
      </c>
      <c r="W1374" s="909" t="s">
        <v>202</v>
      </c>
      <c r="X1374" s="914" t="str">
        <f t="array" ref="X1374"> if(iserror(MATCH(V1374, 'File Links'!C:C, 0)), "N/A", HYPERLINK(INDEX('File Links'!B:B, MATCH(V1374, 'File Links'!C:C, 0))))</f>
        <v>https://drive.google.com/file/d/1JdFF8pu65hv5yMW8kuJKZT-omhqW3568/view?usp=drivesdk</v>
      </c>
      <c r="Y1374" s="912"/>
      <c r="Z1374" s="909" t="s">
        <v>219</v>
      </c>
      <c r="AA1374" s="909" t="s">
        <v>7695</v>
      </c>
      <c r="AB1374" s="909" t="s">
        <v>7696</v>
      </c>
      <c r="AC1374" s="909" t="s">
        <v>7695</v>
      </c>
      <c r="AD1374" s="909" t="s">
        <v>7709</v>
      </c>
      <c r="AE1374" s="909" t="s">
        <v>7698</v>
      </c>
      <c r="AF1374" s="915">
        <v>62.0</v>
      </c>
      <c r="AG1374" s="915">
        <v>1.21</v>
      </c>
      <c r="AH1374" s="909" t="s">
        <v>166</v>
      </c>
      <c r="AI1374" s="909" t="s">
        <v>7699</v>
      </c>
      <c r="AJ1374" s="915" t="s">
        <v>131</v>
      </c>
      <c r="AK1374" s="912"/>
      <c r="AL1374" s="909" t="s">
        <v>179</v>
      </c>
      <c r="AM1374" s="909" t="s">
        <v>130</v>
      </c>
      <c r="AN1374" s="909" t="s">
        <v>131</v>
      </c>
      <c r="AO1374" s="915">
        <v>153.0</v>
      </c>
      <c r="AP1374" s="915">
        <v>0.042</v>
      </c>
      <c r="AQ1374" s="909" t="s">
        <v>166</v>
      </c>
      <c r="AR1374" s="909" t="s">
        <v>7721</v>
      </c>
      <c r="AS1374" s="915" t="s">
        <v>131</v>
      </c>
      <c r="AT1374" s="912"/>
      <c r="AU1374" s="909" t="s">
        <v>179</v>
      </c>
      <c r="AV1374" s="909" t="s">
        <v>130</v>
      </c>
      <c r="AW1374" s="912" t="s">
        <v>131</v>
      </c>
      <c r="AX1374" s="909" t="s">
        <v>144</v>
      </c>
      <c r="AY1374" s="908"/>
      <c r="AZ1374" s="338" t="s">
        <v>685</v>
      </c>
      <c r="BA1374" s="908"/>
      <c r="BB1374" s="908"/>
      <c r="BC1374" s="908"/>
      <c r="BD1374" s="908"/>
      <c r="BE1374" s="908"/>
      <c r="BF1374" s="908"/>
      <c r="BG1374" s="908"/>
      <c r="BH1374" s="908"/>
      <c r="BI1374" s="908"/>
      <c r="BJ1374" s="908"/>
      <c r="BK1374" s="908"/>
      <c r="BL1374" s="908"/>
      <c r="BM1374" s="908"/>
      <c r="BN1374" s="908"/>
      <c r="BO1374" s="908"/>
      <c r="BP1374" s="908"/>
      <c r="BQ1374" s="908"/>
      <c r="BR1374" s="908"/>
      <c r="BS1374" s="908"/>
      <c r="BT1374" s="908"/>
      <c r="BU1374" s="908"/>
      <c r="BV1374" s="908"/>
      <c r="BW1374" s="908"/>
      <c r="BX1374" s="908"/>
      <c r="BY1374" s="908"/>
      <c r="BZ1374" s="908"/>
      <c r="CA1374" s="908"/>
      <c r="CB1374" s="908"/>
      <c r="CC1374" s="908"/>
      <c r="CD1374" s="908"/>
      <c r="CE1374" s="908"/>
      <c r="CF1374" s="908"/>
      <c r="CG1374" s="908"/>
      <c r="CH1374" s="908"/>
      <c r="CI1374" s="908"/>
      <c r="CJ1374" s="908"/>
      <c r="CK1374" s="908"/>
      <c r="CL1374" s="908"/>
      <c r="CM1374" s="908"/>
      <c r="CN1374" s="908"/>
      <c r="CO1374" s="908"/>
      <c r="CP1374" s="908"/>
      <c r="CQ1374" s="908"/>
      <c r="CR1374" s="908"/>
      <c r="CS1374" s="908"/>
      <c r="CT1374" s="908"/>
      <c r="CU1374" s="908"/>
      <c r="CV1374" s="908"/>
      <c r="CW1374" s="908"/>
      <c r="CX1374" s="908"/>
      <c r="CY1374" s="908"/>
      <c r="CZ1374" s="908"/>
      <c r="DA1374" s="908"/>
      <c r="DB1374" s="908"/>
      <c r="DC1374" s="908"/>
      <c r="DD1374" s="908"/>
      <c r="DE1374" s="908"/>
      <c r="DF1374" s="908"/>
      <c r="DG1374" s="908"/>
      <c r="DH1374" s="908"/>
    </row>
    <row r="1375">
      <c r="A1375" s="1505">
        <v>1375.0</v>
      </c>
      <c r="B1375" s="1506" t="s">
        <v>145</v>
      </c>
      <c r="C1375" s="1507" t="s">
        <v>108</v>
      </c>
      <c r="D1375" s="1507" t="s">
        <v>1434</v>
      </c>
      <c r="E1375" s="1508"/>
      <c r="F1375" s="1506" t="s">
        <v>7718</v>
      </c>
      <c r="G1375" s="1506" t="s">
        <v>7719</v>
      </c>
      <c r="H1375" s="1509" t="s">
        <v>1434</v>
      </c>
      <c r="I1375" s="1510" t="s">
        <v>112</v>
      </c>
      <c r="J1375" s="1511">
        <v>45740.0</v>
      </c>
      <c r="K1375" s="1509" t="s">
        <v>7722</v>
      </c>
      <c r="L1375" s="1506" t="s">
        <v>7316</v>
      </c>
      <c r="M1375" s="1506" t="s">
        <v>7689</v>
      </c>
      <c r="N1375" s="1506" t="s">
        <v>7690</v>
      </c>
      <c r="O1375" s="1489">
        <v>1.0</v>
      </c>
      <c r="P1375" s="1509" t="s">
        <v>7691</v>
      </c>
      <c r="Q1375" s="1513" t="str">
        <f t="array" ref="Q1375"> if(iserror(MATCH(V1375, 'File Links'!C:C, 0)), "N/A", HYPERLINK(INDEX('File Links'!B:B, MATCH(P1375, 'File Links'!C:C, 0))))</f>
        <v>https://drive.google.com/file/d/13IdVrs_fFWj8hYxe5OVSE67tGuCcKPct/view?usp=drivesdk</v>
      </c>
      <c r="R1375" s="1514" t="s">
        <v>7720</v>
      </c>
      <c r="S1375" s="1506" t="s">
        <v>7693</v>
      </c>
      <c r="T1375" s="1515"/>
      <c r="U1375" s="1516">
        <v>4.0</v>
      </c>
      <c r="V1375" s="1509" t="s">
        <v>7694</v>
      </c>
      <c r="W1375" s="1509" t="s">
        <v>7723</v>
      </c>
      <c r="X1375" s="1517" t="str">
        <f t="array" ref="X1375"> if(iserror(MATCH(V1375, 'File Links'!C:C, 0)), "N/A", HYPERLINK(INDEX('File Links'!B:B, MATCH(V1375, 'File Links'!C:C, 0))))</f>
        <v>https://drive.google.com/file/d/1JdFF8pu65hv5yMW8kuJKZT-omhqW3568/view?usp=drivesdk</v>
      </c>
      <c r="Y1375" s="1506"/>
      <c r="Z1375" s="1509" t="s">
        <v>219</v>
      </c>
      <c r="AA1375" s="1506" t="s">
        <v>7700</v>
      </c>
      <c r="AB1375" s="1509" t="s">
        <v>7701</v>
      </c>
      <c r="AC1375" s="1509" t="s">
        <v>7714</v>
      </c>
      <c r="AD1375" s="1509" t="s">
        <v>7703</v>
      </c>
      <c r="AE1375" s="1509">
        <v>4.0</v>
      </c>
      <c r="AF1375" s="1510">
        <v>64.0</v>
      </c>
      <c r="AG1375" s="1510" t="s">
        <v>7704</v>
      </c>
      <c r="AH1375" s="1509" t="s">
        <v>127</v>
      </c>
      <c r="AI1375" s="1509" t="s">
        <v>843</v>
      </c>
      <c r="AJ1375" s="1510">
        <v>0.001</v>
      </c>
      <c r="AK1375" s="1509" t="s">
        <v>128</v>
      </c>
      <c r="AL1375" s="1509" t="s">
        <v>179</v>
      </c>
      <c r="AM1375" s="1506" t="s">
        <v>130</v>
      </c>
      <c r="AN1375" s="1506" t="s">
        <v>131</v>
      </c>
      <c r="AO1375" s="1510">
        <v>153.0</v>
      </c>
      <c r="AP1375" s="1510">
        <v>0.042</v>
      </c>
      <c r="AQ1375" s="1509" t="s">
        <v>166</v>
      </c>
      <c r="AR1375" s="1509" t="s">
        <v>7724</v>
      </c>
      <c r="AS1375" s="1510">
        <v>0.789</v>
      </c>
      <c r="AT1375" s="1509" t="s">
        <v>165</v>
      </c>
      <c r="AU1375" s="1509" t="s">
        <v>179</v>
      </c>
      <c r="AV1375" s="1506" t="s">
        <v>130</v>
      </c>
      <c r="AW1375" s="1518" t="s">
        <v>131</v>
      </c>
      <c r="AX1375" s="1506" t="s">
        <v>144</v>
      </c>
      <c r="AY1375" s="1508"/>
      <c r="AZ1375" s="338" t="s">
        <v>685</v>
      </c>
      <c r="BA1375" s="1508"/>
      <c r="BB1375" s="1508"/>
      <c r="BC1375" s="1508"/>
      <c r="BD1375" s="1508"/>
      <c r="BE1375" s="1508"/>
      <c r="BF1375" s="1508"/>
      <c r="BG1375" s="1508"/>
      <c r="BH1375" s="1508"/>
      <c r="BI1375" s="1508"/>
      <c r="BJ1375" s="1508"/>
      <c r="BK1375" s="1508"/>
      <c r="BL1375" s="1508"/>
      <c r="BM1375" s="1508"/>
      <c r="BN1375" s="1508"/>
      <c r="BO1375" s="1508"/>
      <c r="BP1375" s="1508"/>
      <c r="BQ1375" s="1508"/>
      <c r="BR1375" s="1508"/>
      <c r="BS1375" s="1508"/>
      <c r="BT1375" s="1508"/>
      <c r="BU1375" s="1508"/>
      <c r="BV1375" s="1508"/>
      <c r="BW1375" s="1508"/>
      <c r="BX1375" s="1508"/>
      <c r="BY1375" s="1508"/>
      <c r="BZ1375" s="1508"/>
      <c r="CA1375" s="1508"/>
      <c r="CB1375" s="1508"/>
      <c r="CC1375" s="1508"/>
      <c r="CD1375" s="1508"/>
      <c r="CE1375" s="1508"/>
      <c r="CF1375" s="1508"/>
      <c r="CG1375" s="1508"/>
      <c r="CH1375" s="1508"/>
      <c r="CI1375" s="1508"/>
      <c r="CJ1375" s="1508"/>
      <c r="CK1375" s="1508"/>
      <c r="CL1375" s="1508"/>
      <c r="CM1375" s="1508"/>
      <c r="CN1375" s="1508"/>
      <c r="CO1375" s="1508"/>
      <c r="CP1375" s="1508"/>
      <c r="CQ1375" s="1508"/>
      <c r="CR1375" s="1508"/>
      <c r="CS1375" s="1508"/>
      <c r="CT1375" s="1508"/>
      <c r="CU1375" s="1508"/>
      <c r="CV1375" s="1508"/>
      <c r="CW1375" s="1508"/>
      <c r="CX1375" s="1508"/>
      <c r="CY1375" s="1508"/>
      <c r="CZ1375" s="1508"/>
      <c r="DA1375" s="1508"/>
      <c r="DB1375" s="1508"/>
      <c r="DC1375" s="1508"/>
      <c r="DD1375" s="1508"/>
      <c r="DE1375" s="1508"/>
      <c r="DF1375" s="1508"/>
      <c r="DG1375" s="1508"/>
      <c r="DH1375" s="1508"/>
    </row>
    <row r="1376">
      <c r="A1376" s="41">
        <v>1376.0</v>
      </c>
      <c r="B1376" s="126" t="s">
        <v>145</v>
      </c>
      <c r="C1376" s="59" t="s">
        <v>108</v>
      </c>
      <c r="D1376" s="59" t="s">
        <v>1227</v>
      </c>
      <c r="F1376" s="156" t="s">
        <v>7725</v>
      </c>
      <c r="G1376" s="156" t="s">
        <v>7726</v>
      </c>
      <c r="H1376" s="156" t="s">
        <v>7727</v>
      </c>
      <c r="I1376" s="148" t="s">
        <v>7728</v>
      </c>
      <c r="J1376" s="167">
        <v>45736.0</v>
      </c>
      <c r="K1376" s="156" t="s">
        <v>7729</v>
      </c>
      <c r="L1376" s="156" t="s">
        <v>7730</v>
      </c>
      <c r="M1376" s="148" t="s">
        <v>7731</v>
      </c>
      <c r="N1376" s="156" t="s">
        <v>7732</v>
      </c>
      <c r="O1376" s="153">
        <v>3.0</v>
      </c>
      <c r="P1376" s="379" t="s">
        <v>7733</v>
      </c>
      <c r="Q1376" s="105" t="str">
        <f t="array" ref="Q1376"> if(iserror(MATCH(V1376, 'File Links'!C:C, 0)), "N/A", HYPERLINK(INDEX('File Links'!B:B, MATCH(P1376, 'File Links'!C:C, 0))))</f>
        <v>N/A</v>
      </c>
      <c r="R1376" s="156" t="s">
        <v>7734</v>
      </c>
      <c r="S1376" s="156" t="s">
        <v>7735</v>
      </c>
      <c r="T1376" s="156" t="s">
        <v>131</v>
      </c>
      <c r="U1376" s="153">
        <v>1.0</v>
      </c>
      <c r="V1376" s="306" t="s">
        <v>131</v>
      </c>
      <c r="W1376" s="156" t="s">
        <v>7736</v>
      </c>
      <c r="X1376" s="46" t="str">
        <f t="array" ref="X1376"> if(iserror(MATCH(V1376, 'File Links'!C:C, 0)), "N/A", HYPERLINK(INDEX('File Links'!B:B, MATCH(V1376, 'File Links'!C:C, 0))))</f>
        <v>N/A</v>
      </c>
      <c r="Y1376" s="156"/>
      <c r="Z1376" s="156" t="s">
        <v>219</v>
      </c>
      <c r="AA1376" s="156" t="s">
        <v>7737</v>
      </c>
      <c r="AB1376" s="156" t="s">
        <v>131</v>
      </c>
      <c r="AC1376" s="156" t="s">
        <v>7738</v>
      </c>
      <c r="AD1376" s="156" t="s">
        <v>7739</v>
      </c>
      <c r="AE1376" s="153">
        <v>2.0</v>
      </c>
      <c r="AF1376" s="153">
        <v>32.0</v>
      </c>
      <c r="AG1376" s="153">
        <v>0.77</v>
      </c>
      <c r="AH1376" s="156" t="s">
        <v>2798</v>
      </c>
      <c r="AI1376" s="156" t="s">
        <v>7740</v>
      </c>
      <c r="AJ1376" s="861">
        <v>0.03</v>
      </c>
      <c r="AK1376" s="156" t="s">
        <v>165</v>
      </c>
      <c r="AL1376" s="156" t="s">
        <v>179</v>
      </c>
      <c r="AM1376" s="156" t="s">
        <v>130</v>
      </c>
      <c r="AN1376" s="156" t="s">
        <v>131</v>
      </c>
      <c r="AO1376" s="153">
        <v>210.0</v>
      </c>
      <c r="AP1376" s="1471">
        <v>0.095</v>
      </c>
      <c r="AQ1376" s="156" t="s">
        <v>2798</v>
      </c>
      <c r="AR1376" s="156" t="s">
        <v>7741</v>
      </c>
      <c r="AS1376" s="153">
        <v>0.63</v>
      </c>
      <c r="AT1376" s="156" t="s">
        <v>165</v>
      </c>
      <c r="AU1376" s="156" t="s">
        <v>179</v>
      </c>
      <c r="AV1376" s="156" t="s">
        <v>130</v>
      </c>
      <c r="AW1376" s="156" t="s">
        <v>131</v>
      </c>
      <c r="AX1376" s="156" t="s">
        <v>144</v>
      </c>
      <c r="AY1376" s="65"/>
      <c r="AZ1376" s="59" t="s">
        <v>137</v>
      </c>
    </row>
    <row r="1377">
      <c r="A1377" s="41">
        <v>1377.0</v>
      </c>
      <c r="B1377" s="126" t="s">
        <v>107</v>
      </c>
      <c r="C1377" s="59" t="s">
        <v>108</v>
      </c>
      <c r="D1377" s="59" t="s">
        <v>1451</v>
      </c>
      <c r="F1377" s="156" t="s">
        <v>7725</v>
      </c>
      <c r="G1377" s="156" t="s">
        <v>7726</v>
      </c>
      <c r="H1377" s="156" t="s">
        <v>1511</v>
      </c>
      <c r="I1377" s="149">
        <v>45714.0</v>
      </c>
      <c r="J1377" s="167">
        <v>45736.0</v>
      </c>
      <c r="K1377" s="156" t="s">
        <v>7742</v>
      </c>
      <c r="L1377" s="156" t="s">
        <v>7730</v>
      </c>
      <c r="M1377" s="148" t="s">
        <v>7731</v>
      </c>
      <c r="N1377" s="156" t="s">
        <v>7732</v>
      </c>
      <c r="O1377" s="153">
        <v>3.0</v>
      </c>
      <c r="P1377" s="156" t="s">
        <v>7733</v>
      </c>
      <c r="Q1377" s="105" t="str">
        <f t="array" ref="Q1377"> if(iserror(MATCH(V1377, 'File Links'!C:C, 0)), "N/A", HYPERLINK(INDEX('File Links'!B:B, MATCH(P1377, 'File Links'!C:C, 0))))</f>
        <v>N/A</v>
      </c>
      <c r="R1377" s="156" t="s">
        <v>7734</v>
      </c>
      <c r="S1377" s="156" t="s">
        <v>7735</v>
      </c>
      <c r="T1377" s="156" t="s">
        <v>131</v>
      </c>
      <c r="U1377" s="153">
        <v>1.0</v>
      </c>
      <c r="V1377" s="148" t="s">
        <v>131</v>
      </c>
      <c r="W1377" s="156" t="s">
        <v>7743</v>
      </c>
      <c r="X1377" s="46" t="str">
        <f t="array" ref="X1377"> if(iserror(MATCH(V1377, 'File Links'!C:C, 0)), "N/A", HYPERLINK(INDEX('File Links'!B:B, MATCH(V1377, 'File Links'!C:C, 0))))</f>
        <v>N/A</v>
      </c>
      <c r="Y1377" s="156"/>
      <c r="Z1377" s="156" t="s">
        <v>219</v>
      </c>
      <c r="AA1377" s="156" t="s">
        <v>7737</v>
      </c>
      <c r="AB1377" s="156" t="s">
        <v>7744</v>
      </c>
      <c r="AC1377" s="156" t="s">
        <v>7738</v>
      </c>
      <c r="AD1377" s="156" t="s">
        <v>7745</v>
      </c>
      <c r="AE1377" s="153">
        <v>2.0</v>
      </c>
      <c r="AF1377" s="153">
        <v>32.0</v>
      </c>
      <c r="AG1377" s="156" t="s">
        <v>7746</v>
      </c>
      <c r="AH1377" s="156" t="s">
        <v>127</v>
      </c>
      <c r="AI1377" s="156" t="s">
        <v>2764</v>
      </c>
      <c r="AJ1377" s="153">
        <v>0.03</v>
      </c>
      <c r="AK1377" s="156" t="s">
        <v>165</v>
      </c>
      <c r="AL1377" s="156" t="s">
        <v>179</v>
      </c>
      <c r="AM1377" s="156" t="s">
        <v>130</v>
      </c>
      <c r="AN1377" s="156" t="s">
        <v>131</v>
      </c>
      <c r="AO1377" s="153">
        <v>210.0</v>
      </c>
      <c r="AP1377" s="1519" t="s">
        <v>7747</v>
      </c>
      <c r="AQ1377" s="156" t="s">
        <v>127</v>
      </c>
      <c r="AR1377" s="156" t="s">
        <v>875</v>
      </c>
      <c r="AS1377" s="153">
        <v>0.63</v>
      </c>
      <c r="AT1377" s="156" t="s">
        <v>165</v>
      </c>
      <c r="AU1377" s="156" t="s">
        <v>179</v>
      </c>
      <c r="AV1377" s="156" t="s">
        <v>130</v>
      </c>
      <c r="AW1377" s="156" t="s">
        <v>131</v>
      </c>
      <c r="AX1377" s="156" t="s">
        <v>144</v>
      </c>
      <c r="AZ1377" s="59" t="s">
        <v>137</v>
      </c>
    </row>
    <row r="1378">
      <c r="A1378" s="41">
        <v>1378.0</v>
      </c>
      <c r="B1378" s="126" t="s">
        <v>145</v>
      </c>
      <c r="C1378" s="59" t="s">
        <v>108</v>
      </c>
      <c r="D1378" s="59" t="s">
        <v>1227</v>
      </c>
      <c r="F1378" s="156" t="s">
        <v>7748</v>
      </c>
      <c r="G1378" s="156" t="s">
        <v>7749</v>
      </c>
      <c r="H1378" s="156" t="s">
        <v>7727</v>
      </c>
      <c r="I1378" s="148" t="s">
        <v>7728</v>
      </c>
      <c r="J1378" s="167">
        <v>45736.0</v>
      </c>
      <c r="K1378" s="148" t="s">
        <v>7750</v>
      </c>
      <c r="L1378" s="156" t="s">
        <v>7316</v>
      </c>
      <c r="M1378" s="148" t="s">
        <v>7731</v>
      </c>
      <c r="N1378" s="156" t="s">
        <v>7732</v>
      </c>
      <c r="O1378" s="153">
        <v>1.0</v>
      </c>
      <c r="P1378" s="379" t="s">
        <v>7733</v>
      </c>
      <c r="Q1378" s="49" t="str">
        <f t="array" ref="Q1378"> if(iserror(MATCH(V1378, 'File Links'!C:C, 0)), "N/A", HYPERLINK(INDEX('File Links'!B:B, MATCH(P1378, 'File Links'!C:C, 0))))</f>
        <v>https://drive.google.com/file/d/1w2KBBoT3U7JrwQsTrJduC-AS9fihTDq0/view?usp=drivesdk</v>
      </c>
      <c r="R1378" s="156" t="s">
        <v>7751</v>
      </c>
      <c r="S1378" s="156" t="s">
        <v>7752</v>
      </c>
      <c r="T1378" s="156" t="s">
        <v>131</v>
      </c>
      <c r="U1378" s="153">
        <v>1.0</v>
      </c>
      <c r="V1378" s="379" t="s">
        <v>7753</v>
      </c>
      <c r="W1378" s="156" t="s">
        <v>7754</v>
      </c>
      <c r="X1378" s="51" t="str">
        <f t="array" ref="X1378"> if(iserror(MATCH(V1378, 'File Links'!C:C, 0)), "N/A", HYPERLINK(INDEX('File Links'!B:B, MATCH(V1378, 'File Links'!C:C, 0))))</f>
        <v>https://drive.google.com/file/d/1G4tP3z0FT61HHKi1B51ImyPr28TywEAv/view?usp=drivesdk</v>
      </c>
      <c r="Y1378" s="156"/>
      <c r="Z1378" s="156" t="s">
        <v>219</v>
      </c>
      <c r="AA1378" s="156" t="s">
        <v>7737</v>
      </c>
      <c r="AB1378" s="156" t="s">
        <v>7755</v>
      </c>
      <c r="AC1378" s="156" t="s">
        <v>7738</v>
      </c>
      <c r="AD1378" s="126" t="s">
        <v>7756</v>
      </c>
      <c r="AE1378" s="153">
        <v>1.0</v>
      </c>
      <c r="AF1378" s="153">
        <v>32.0</v>
      </c>
      <c r="AG1378" s="148" t="s">
        <v>7757</v>
      </c>
      <c r="AH1378" s="156" t="s">
        <v>127</v>
      </c>
      <c r="AI1378" s="156" t="s">
        <v>2764</v>
      </c>
      <c r="AJ1378" s="153">
        <v>0.04</v>
      </c>
      <c r="AK1378" s="156" t="s">
        <v>165</v>
      </c>
      <c r="AL1378" s="156" t="s">
        <v>179</v>
      </c>
      <c r="AM1378" s="156" t="s">
        <v>130</v>
      </c>
      <c r="AN1378" s="156" t="s">
        <v>131</v>
      </c>
      <c r="AO1378" s="153">
        <v>47.0</v>
      </c>
      <c r="AP1378" s="1471">
        <v>0.14</v>
      </c>
      <c r="AQ1378" s="156" t="s">
        <v>7758</v>
      </c>
      <c r="AR1378" s="156" t="s">
        <v>875</v>
      </c>
      <c r="AS1378" s="156" t="s">
        <v>131</v>
      </c>
      <c r="AT1378" s="156" t="s">
        <v>165</v>
      </c>
      <c r="AU1378" s="156" t="s">
        <v>179</v>
      </c>
      <c r="AV1378" s="156" t="s">
        <v>130</v>
      </c>
      <c r="AW1378" s="156" t="s">
        <v>131</v>
      </c>
      <c r="AX1378" s="156" t="s">
        <v>136</v>
      </c>
      <c r="AY1378" s="65"/>
      <c r="AZ1378" s="59" t="s">
        <v>137</v>
      </c>
    </row>
    <row r="1379">
      <c r="A1379" s="41">
        <v>1379.0</v>
      </c>
      <c r="B1379" s="126" t="s">
        <v>107</v>
      </c>
      <c r="C1379" s="59" t="s">
        <v>108</v>
      </c>
      <c r="D1379" s="59" t="s">
        <v>1451</v>
      </c>
      <c r="F1379" s="156" t="s">
        <v>7748</v>
      </c>
      <c r="G1379" s="156" t="s">
        <v>7749</v>
      </c>
      <c r="H1379" s="156" t="s">
        <v>1511</v>
      </c>
      <c r="I1379" s="149">
        <v>45715.0</v>
      </c>
      <c r="J1379" s="167">
        <v>45736.0</v>
      </c>
      <c r="K1379" s="156" t="s">
        <v>7759</v>
      </c>
      <c r="L1379" s="156" t="s">
        <v>7316</v>
      </c>
      <c r="M1379" s="148" t="s">
        <v>7731</v>
      </c>
      <c r="N1379" s="156" t="s">
        <v>7732</v>
      </c>
      <c r="O1379" s="153">
        <v>3.0</v>
      </c>
      <c r="P1379" s="156" t="s">
        <v>7733</v>
      </c>
      <c r="Q1379" s="49" t="str">
        <f t="array" ref="Q1379"> if(iserror(MATCH(V1379, 'File Links'!C:C, 0)), "N/A", HYPERLINK(INDEX('File Links'!B:B, MATCH(P1379, 'File Links'!C:C, 0))))</f>
        <v>https://drive.google.com/file/d/1w2KBBoT3U7JrwQsTrJduC-AS9fihTDq0/view?usp=drivesdk</v>
      </c>
      <c r="R1379" s="156" t="s">
        <v>7751</v>
      </c>
      <c r="S1379" s="156" t="s">
        <v>7752</v>
      </c>
      <c r="T1379" s="156" t="s">
        <v>131</v>
      </c>
      <c r="U1379" s="153">
        <v>3.0</v>
      </c>
      <c r="V1379" s="156" t="s">
        <v>7753</v>
      </c>
      <c r="W1379" s="156" t="s">
        <v>7760</v>
      </c>
      <c r="X1379" s="51" t="str">
        <f t="array" ref="X1379"> if(iserror(MATCH(V1379, 'File Links'!C:C, 0)), "N/A", HYPERLINK(INDEX('File Links'!B:B, MATCH(V1379, 'File Links'!C:C, 0))))</f>
        <v>https://drive.google.com/file/d/1G4tP3z0FT61HHKi1B51ImyPr28TywEAv/view?usp=drivesdk</v>
      </c>
      <c r="Y1379" s="156"/>
      <c r="Z1379" s="156" t="s">
        <v>219</v>
      </c>
      <c r="AA1379" s="156" t="s">
        <v>7737</v>
      </c>
      <c r="AB1379" s="156" t="s">
        <v>7761</v>
      </c>
      <c r="AC1379" s="156" t="s">
        <v>7738</v>
      </c>
      <c r="AD1379" s="156" t="s">
        <v>7745</v>
      </c>
      <c r="AE1379" s="153">
        <v>2.0</v>
      </c>
      <c r="AF1379" s="153">
        <v>32.0</v>
      </c>
      <c r="AG1379" s="156" t="s">
        <v>7746</v>
      </c>
      <c r="AH1379" s="156" t="s">
        <v>127</v>
      </c>
      <c r="AI1379" s="156" t="s">
        <v>2764</v>
      </c>
      <c r="AJ1379" s="153">
        <v>0.03</v>
      </c>
      <c r="AK1379" s="156" t="s">
        <v>165</v>
      </c>
      <c r="AL1379" s="156" t="s">
        <v>179</v>
      </c>
      <c r="AM1379" s="156" t="s">
        <v>130</v>
      </c>
      <c r="AN1379" s="156" t="s">
        <v>131</v>
      </c>
      <c r="AO1379" s="153">
        <v>45.0</v>
      </c>
      <c r="AP1379" s="1520" t="s">
        <v>7762</v>
      </c>
      <c r="AQ1379" s="156" t="s">
        <v>127</v>
      </c>
      <c r="AR1379" s="156" t="s">
        <v>875</v>
      </c>
      <c r="AS1379" s="156" t="s">
        <v>131</v>
      </c>
      <c r="AT1379" s="156" t="s">
        <v>165</v>
      </c>
      <c r="AU1379" s="156" t="s">
        <v>179</v>
      </c>
      <c r="AV1379" s="156" t="s">
        <v>130</v>
      </c>
      <c r="AW1379" s="156" t="s">
        <v>131</v>
      </c>
      <c r="AX1379" s="156" t="s">
        <v>136</v>
      </c>
      <c r="AZ1379" s="59" t="s">
        <v>137</v>
      </c>
    </row>
    <row r="1380">
      <c r="A1380" s="41">
        <v>1380.0</v>
      </c>
      <c r="B1380" s="1432" t="s">
        <v>583</v>
      </c>
      <c r="C1380" s="1432" t="s">
        <v>108</v>
      </c>
      <c r="D1380" s="1432" t="s">
        <v>2623</v>
      </c>
      <c r="E1380" s="809"/>
      <c r="F1380" s="1521" t="s">
        <v>7763</v>
      </c>
      <c r="G1380" s="1522" t="str">
        <f>F1380&amp;"_"&amp;COUNTIF($B$3:F1380, F1380)</f>
        <v>curatescience395_1</v>
      </c>
      <c r="H1380" s="1521" t="s">
        <v>7458</v>
      </c>
      <c r="I1380" s="1523">
        <v>45675.0</v>
      </c>
      <c r="J1380" s="1523">
        <v>45676.0</v>
      </c>
      <c r="K1380" s="1436"/>
      <c r="L1380" s="1436"/>
      <c r="M1380" s="1524" t="s">
        <v>7764</v>
      </c>
      <c r="N1380" s="1521" t="s">
        <v>7765</v>
      </c>
      <c r="O1380" s="1436"/>
      <c r="P1380" s="1521" t="str">
        <f t="shared" ref="P1380:P1384" si="91"> SUBSTITUTE(lower(N1380), "/", "--") &amp;  ".pdf"</f>
        <v>10.1177--01461672952111004.pdf</v>
      </c>
      <c r="Q1380" s="49" t="str">
        <f t="array" ref="Q1380"> if(iserror(MATCH(V1380, 'File Links'!C:C, 0)), "N/A", HYPERLINK(INDEX('File Links'!B:B, MATCH(P1380, 'File Links'!C:C, 0))))</f>
        <v>https://drive.google.com/file/d/1DouZu51tYUlHCJt3ED5926-nk58IBtuY/view?usp=drivesdk</v>
      </c>
      <c r="R1380" s="1521" t="s">
        <v>7462</v>
      </c>
      <c r="S1380" s="1521" t="s">
        <v>7463</v>
      </c>
      <c r="T1380" s="1525" t="s">
        <v>7464</v>
      </c>
      <c r="U1380" s="1521" t="s">
        <v>7766</v>
      </c>
      <c r="V1380" s="195" t="str">
        <f t="shared" ref="V1380:V1384" si="92"> hyperlink(vlookup(lower(S1380),#REF!, 2, FALSE), SUBSTITUTE(lower(S1380), "/", "--") &amp;  ".pdf")</f>
        <v>10.1027--1864-9335--a000178.pdf</v>
      </c>
      <c r="W1380" s="1521" t="s">
        <v>7466</v>
      </c>
      <c r="X1380" s="51" t="str">
        <f t="array" ref="X1380"> if(iserror(MATCH(V1380, 'File Links'!C:C, 0)), "N/A", HYPERLINK(INDEX('File Links'!B:B, MATCH(V1380, 'File Links'!C:C, 0))))</f>
        <v>https://drive.google.com/file/d/1fIqa3RxgdnsQkWwGnLkF4XAbM2g_WN4q/view?usp=drivesdk</v>
      </c>
      <c r="Z1380" s="241" t="s">
        <v>203</v>
      </c>
      <c r="AA1380" s="1526" t="s">
        <v>7767</v>
      </c>
      <c r="AB1380" s="1521" t="s">
        <v>7768</v>
      </c>
      <c r="AC1380" s="1526" t="s">
        <v>7769</v>
      </c>
      <c r="AD1380" s="1521" t="s">
        <v>7770</v>
      </c>
      <c r="AE1380" s="1521" t="s">
        <v>7771</v>
      </c>
      <c r="AF1380" s="1527">
        <v>80.0</v>
      </c>
      <c r="AG1380" s="1527">
        <v>1.87</v>
      </c>
      <c r="AH1380" s="1526" t="s">
        <v>166</v>
      </c>
      <c r="AI1380" s="1521" t="s">
        <v>7772</v>
      </c>
      <c r="AJ1380" s="1528">
        <v>0.001</v>
      </c>
      <c r="AK1380" s="1522" t="s">
        <v>128</v>
      </c>
      <c r="AL1380" s="1522" t="s">
        <v>129</v>
      </c>
      <c r="AM1380" s="1529" t="s">
        <v>130</v>
      </c>
      <c r="AN1380" s="327" t="s">
        <v>131</v>
      </c>
      <c r="AO1380" s="1530">
        <v>6432.0</v>
      </c>
      <c r="AP1380" s="1527">
        <v>0.42</v>
      </c>
      <c r="AQ1380" s="1521" t="s">
        <v>166</v>
      </c>
      <c r="AR1380" s="1521" t="s">
        <v>7773</v>
      </c>
      <c r="AS1380" s="1527">
        <v>0.001</v>
      </c>
      <c r="AT1380" s="1521" t="s">
        <v>128</v>
      </c>
      <c r="AU1380" s="1521" t="s">
        <v>129</v>
      </c>
      <c r="AV1380" s="1529" t="s">
        <v>130</v>
      </c>
      <c r="AW1380" s="1460" t="s">
        <v>7561</v>
      </c>
      <c r="AX1380" s="1529" t="s">
        <v>136</v>
      </c>
      <c r="AY1380" s="1432" t="s">
        <v>7774</v>
      </c>
      <c r="AZ1380" s="809"/>
    </row>
    <row r="1381">
      <c r="A1381" s="41">
        <v>1381.0</v>
      </c>
      <c r="B1381" s="1432" t="s">
        <v>145</v>
      </c>
      <c r="C1381" s="322" t="s">
        <v>108</v>
      </c>
      <c r="D1381" s="322" t="s">
        <v>1227</v>
      </c>
      <c r="E1381" s="223"/>
      <c r="F1381" s="241" t="s">
        <v>7763</v>
      </c>
      <c r="G1381" s="409" t="s">
        <v>7775</v>
      </c>
      <c r="H1381" s="241" t="s">
        <v>6921</v>
      </c>
      <c r="I1381" s="655">
        <v>45901.0</v>
      </c>
      <c r="J1381" s="1531">
        <v>45684.0</v>
      </c>
      <c r="K1381" s="328"/>
      <c r="L1381" s="327" t="s">
        <v>7776</v>
      </c>
      <c r="M1381" s="1532" t="s">
        <v>7764</v>
      </c>
      <c r="N1381" s="241" t="s">
        <v>7765</v>
      </c>
      <c r="O1381" s="331">
        <v>1.0</v>
      </c>
      <c r="P1381" s="241" t="str">
        <f t="shared" si="91"/>
        <v>10.1177--01461672952111004.pdf</v>
      </c>
      <c r="Q1381" s="49" t="str">
        <f t="array" ref="Q1381"> if(iserror(MATCH(V1381, 'File Links'!C:C, 0)), "N/A", HYPERLINK(INDEX('File Links'!B:B, MATCH(P1381, 'File Links'!C:C, 0))))</f>
        <v>https://drive.google.com/file/d/1DouZu51tYUlHCJt3ED5926-nk58IBtuY/view?usp=drivesdk</v>
      </c>
      <c r="R1381" s="1521" t="s">
        <v>7462</v>
      </c>
      <c r="S1381" s="1521" t="s">
        <v>7463</v>
      </c>
      <c r="T1381" s="1525" t="s">
        <v>7464</v>
      </c>
      <c r="U1381" s="1521" t="s">
        <v>7766</v>
      </c>
      <c r="V1381" s="195" t="str">
        <f t="shared" si="92"/>
        <v>10.1027--1864-9335--a000178.pdf</v>
      </c>
      <c r="W1381" s="1521" t="s">
        <v>7466</v>
      </c>
      <c r="X1381" s="51" t="str">
        <f t="array" ref="X1381"> if(iserror(MATCH(V1381, 'File Links'!C:C, 0)), "N/A", HYPERLINK(INDEX('File Links'!B:B, MATCH(V1381, 'File Links'!C:C, 0))))</f>
        <v>https://drive.google.com/file/d/1fIqa3RxgdnsQkWwGnLkF4XAbM2g_WN4q/view?usp=drivesdk</v>
      </c>
      <c r="Z1381" s="241" t="s">
        <v>203</v>
      </c>
      <c r="AA1381" s="1526" t="s">
        <v>7767</v>
      </c>
      <c r="AB1381" s="1521" t="s">
        <v>7768</v>
      </c>
      <c r="AC1381" s="241" t="s">
        <v>7777</v>
      </c>
      <c r="AD1381" s="241" t="s">
        <v>7778</v>
      </c>
      <c r="AE1381" s="331">
        <v>1163.0</v>
      </c>
      <c r="AF1381" s="1189">
        <v>104.0</v>
      </c>
      <c r="AG1381" s="1189" t="s">
        <v>7779</v>
      </c>
      <c r="AH1381" s="321" t="s">
        <v>127</v>
      </c>
      <c r="AI1381" s="327" t="s">
        <v>7780</v>
      </c>
      <c r="AJ1381" s="1173">
        <v>0.01</v>
      </c>
      <c r="AK1381" s="409" t="s">
        <v>128</v>
      </c>
      <c r="AL1381" s="409" t="s">
        <v>179</v>
      </c>
      <c r="AM1381" s="328" t="s">
        <v>130</v>
      </c>
      <c r="AN1381" s="327" t="s">
        <v>131</v>
      </c>
      <c r="AO1381" s="331">
        <v>5627.0</v>
      </c>
      <c r="AP1381" s="1189">
        <v>2.2</v>
      </c>
      <c r="AQ1381" s="241" t="s">
        <v>166</v>
      </c>
      <c r="AR1381" s="327" t="s">
        <v>806</v>
      </c>
      <c r="AS1381" s="331">
        <v>0.001</v>
      </c>
      <c r="AT1381" s="241" t="s">
        <v>128</v>
      </c>
      <c r="AU1381" s="241" t="s">
        <v>179</v>
      </c>
      <c r="AV1381" s="328" t="s">
        <v>130</v>
      </c>
      <c r="AW1381" s="1460" t="s">
        <v>7561</v>
      </c>
      <c r="AX1381" s="328" t="s">
        <v>136</v>
      </c>
      <c r="AY1381" s="223"/>
      <c r="AZ1381" s="322" t="s">
        <v>137</v>
      </c>
    </row>
    <row r="1382">
      <c r="A1382" s="41">
        <v>1382.0</v>
      </c>
      <c r="B1382" s="1432" t="s">
        <v>145</v>
      </c>
      <c r="C1382" s="322" t="s">
        <v>108</v>
      </c>
      <c r="D1382" s="322" t="s">
        <v>1227</v>
      </c>
      <c r="E1382" s="223"/>
      <c r="F1382" s="241" t="s">
        <v>7763</v>
      </c>
      <c r="G1382" s="409" t="s">
        <v>7781</v>
      </c>
      <c r="H1382" s="241" t="s">
        <v>6921</v>
      </c>
      <c r="I1382" s="655">
        <v>45901.0</v>
      </c>
      <c r="J1382" s="1531">
        <v>45684.0</v>
      </c>
      <c r="K1382" s="328"/>
      <c r="L1382" s="328"/>
      <c r="M1382" s="1532" t="s">
        <v>7764</v>
      </c>
      <c r="N1382" s="241" t="s">
        <v>7765</v>
      </c>
      <c r="O1382" s="331">
        <v>1.0</v>
      </c>
      <c r="P1382" s="241" t="str">
        <f t="shared" si="91"/>
        <v>10.1177--01461672952111004.pdf</v>
      </c>
      <c r="Q1382" s="49" t="str">
        <f t="array" ref="Q1382"> if(iserror(MATCH(V1382, 'File Links'!C:C, 0)), "N/A", HYPERLINK(INDEX('File Links'!B:B, MATCH(P1382, 'File Links'!C:C, 0))))</f>
        <v>https://drive.google.com/file/d/1DouZu51tYUlHCJt3ED5926-nk58IBtuY/view?usp=drivesdk</v>
      </c>
      <c r="R1382" s="1521" t="s">
        <v>7462</v>
      </c>
      <c r="S1382" s="1521" t="s">
        <v>7463</v>
      </c>
      <c r="T1382" s="1525" t="s">
        <v>7464</v>
      </c>
      <c r="U1382" s="1521" t="s">
        <v>7766</v>
      </c>
      <c r="V1382" s="195" t="str">
        <f t="shared" si="92"/>
        <v>10.1027--1864-9335--a000178.pdf</v>
      </c>
      <c r="W1382" s="1521" t="s">
        <v>7466</v>
      </c>
      <c r="X1382" s="51" t="str">
        <f t="array" ref="X1382"> if(iserror(MATCH(V1382, 'File Links'!C:C, 0)), "N/A", HYPERLINK(INDEX('File Links'!B:B, MATCH(V1382, 'File Links'!C:C, 0))))</f>
        <v>https://drive.google.com/file/d/1fIqa3RxgdnsQkWwGnLkF4XAbM2g_WN4q/view?usp=drivesdk</v>
      </c>
      <c r="Z1382" s="241" t="s">
        <v>203</v>
      </c>
      <c r="AA1382" s="1526" t="s">
        <v>7767</v>
      </c>
      <c r="AB1382" s="1521" t="s">
        <v>7768</v>
      </c>
      <c r="AC1382" s="241" t="s">
        <v>7782</v>
      </c>
      <c r="AD1382" s="241" t="s">
        <v>7778</v>
      </c>
      <c r="AE1382" s="331">
        <v>1163.0</v>
      </c>
      <c r="AF1382" s="1189">
        <v>104.0</v>
      </c>
      <c r="AG1382" s="1189" t="s">
        <v>7779</v>
      </c>
      <c r="AH1382" s="321" t="s">
        <v>127</v>
      </c>
      <c r="AI1382" s="327" t="s">
        <v>7780</v>
      </c>
      <c r="AJ1382" s="1173">
        <v>0.01</v>
      </c>
      <c r="AK1382" s="409" t="s">
        <v>128</v>
      </c>
      <c r="AL1382" s="409" t="s">
        <v>179</v>
      </c>
      <c r="AM1382" s="328" t="s">
        <v>130</v>
      </c>
      <c r="AN1382" s="327" t="s">
        <v>131</v>
      </c>
      <c r="AO1382" s="331">
        <v>5284.0</v>
      </c>
      <c r="AP1382" s="1189">
        <v>1.79</v>
      </c>
      <c r="AQ1382" s="241" t="s">
        <v>166</v>
      </c>
      <c r="AR1382" s="327" t="s">
        <v>806</v>
      </c>
      <c r="AS1382" s="331">
        <v>0.001</v>
      </c>
      <c r="AT1382" s="241" t="s">
        <v>128</v>
      </c>
      <c r="AU1382" s="241" t="s">
        <v>179</v>
      </c>
      <c r="AV1382" s="328" t="s">
        <v>130</v>
      </c>
      <c r="AW1382" s="1460" t="s">
        <v>7561</v>
      </c>
      <c r="AX1382" s="328" t="s">
        <v>136</v>
      </c>
      <c r="AY1382" s="223"/>
      <c r="AZ1382" s="322" t="s">
        <v>137</v>
      </c>
    </row>
    <row r="1383">
      <c r="A1383" s="41">
        <v>1383.0</v>
      </c>
      <c r="B1383" s="1432" t="s">
        <v>145</v>
      </c>
      <c r="C1383" s="322" t="s">
        <v>108</v>
      </c>
      <c r="D1383" s="322" t="s">
        <v>1227</v>
      </c>
      <c r="E1383" s="223"/>
      <c r="F1383" s="241" t="s">
        <v>7763</v>
      </c>
      <c r="G1383" s="409" t="s">
        <v>7783</v>
      </c>
      <c r="H1383" s="241" t="s">
        <v>6921</v>
      </c>
      <c r="I1383" s="655">
        <v>45901.0</v>
      </c>
      <c r="J1383" s="1531">
        <v>45684.0</v>
      </c>
      <c r="K1383" s="328"/>
      <c r="L1383" s="327" t="s">
        <v>7784</v>
      </c>
      <c r="M1383" s="1532" t="s">
        <v>7764</v>
      </c>
      <c r="N1383" s="241" t="s">
        <v>7765</v>
      </c>
      <c r="O1383" s="331">
        <v>1.0</v>
      </c>
      <c r="P1383" s="241" t="str">
        <f t="shared" si="91"/>
        <v>10.1177--01461672952111004.pdf</v>
      </c>
      <c r="Q1383" s="49" t="str">
        <f t="array" ref="Q1383"> if(iserror(MATCH(V1383, 'File Links'!C:C, 0)), "N/A", HYPERLINK(INDEX('File Links'!B:B, MATCH(P1383, 'File Links'!C:C, 0))))</f>
        <v>https://drive.google.com/file/d/1DouZu51tYUlHCJt3ED5926-nk58IBtuY/view?usp=drivesdk</v>
      </c>
      <c r="R1383" s="1521" t="s">
        <v>7462</v>
      </c>
      <c r="S1383" s="1521" t="s">
        <v>7463</v>
      </c>
      <c r="T1383" s="1525" t="s">
        <v>7464</v>
      </c>
      <c r="U1383" s="1521" t="s">
        <v>7766</v>
      </c>
      <c r="V1383" s="195" t="str">
        <f t="shared" si="92"/>
        <v>10.1027--1864-9335--a000178.pdf</v>
      </c>
      <c r="W1383" s="1521" t="s">
        <v>7466</v>
      </c>
      <c r="X1383" s="51" t="str">
        <f t="array" ref="X1383"> if(iserror(MATCH(V1383, 'File Links'!C:C, 0)), "N/A", HYPERLINK(INDEX('File Links'!B:B, MATCH(V1383, 'File Links'!C:C, 0))))</f>
        <v>https://drive.google.com/file/d/1fIqa3RxgdnsQkWwGnLkF4XAbM2g_WN4q/view?usp=drivesdk</v>
      </c>
      <c r="Z1383" s="241" t="s">
        <v>203</v>
      </c>
      <c r="AA1383" s="1526" t="s">
        <v>7767</v>
      </c>
      <c r="AB1383" s="1521" t="s">
        <v>7768</v>
      </c>
      <c r="AC1383" s="241" t="s">
        <v>7785</v>
      </c>
      <c r="AD1383" s="241" t="s">
        <v>7778</v>
      </c>
      <c r="AE1383" s="331">
        <v>1163.0</v>
      </c>
      <c r="AF1383" s="1189">
        <v>104.0</v>
      </c>
      <c r="AG1383" s="1189" t="s">
        <v>7779</v>
      </c>
      <c r="AH1383" s="321" t="s">
        <v>127</v>
      </c>
      <c r="AI1383" s="327" t="s">
        <v>7780</v>
      </c>
      <c r="AJ1383" s="1173">
        <v>0.01</v>
      </c>
      <c r="AK1383" s="409" t="s">
        <v>128</v>
      </c>
      <c r="AL1383" s="409" t="s">
        <v>179</v>
      </c>
      <c r="AM1383" s="328" t="s">
        <v>130</v>
      </c>
      <c r="AN1383" s="327" t="s">
        <v>131</v>
      </c>
      <c r="AO1383" s="1533">
        <v>5609.0</v>
      </c>
      <c r="AP1383" s="331">
        <v>1.17</v>
      </c>
      <c r="AQ1383" s="241" t="s">
        <v>166</v>
      </c>
      <c r="AR1383" s="327" t="s">
        <v>806</v>
      </c>
      <c r="AS1383" s="331">
        <v>0.001</v>
      </c>
      <c r="AT1383" s="241" t="s">
        <v>128</v>
      </c>
      <c r="AU1383" s="241" t="s">
        <v>179</v>
      </c>
      <c r="AV1383" s="328" t="s">
        <v>130</v>
      </c>
      <c r="AW1383" s="1460" t="s">
        <v>7561</v>
      </c>
      <c r="AX1383" s="328" t="s">
        <v>136</v>
      </c>
      <c r="AY1383" s="322" t="s">
        <v>7786</v>
      </c>
      <c r="AZ1383" s="322" t="s">
        <v>137</v>
      </c>
    </row>
    <row r="1384">
      <c r="A1384" s="41">
        <v>1384.0</v>
      </c>
      <c r="B1384" s="1432" t="s">
        <v>145</v>
      </c>
      <c r="C1384" s="322" t="s">
        <v>108</v>
      </c>
      <c r="D1384" s="322" t="s">
        <v>1227</v>
      </c>
      <c r="E1384" s="223"/>
      <c r="F1384" s="241" t="s">
        <v>7763</v>
      </c>
      <c r="G1384" s="409" t="str">
        <f>F1384&amp;"_"&amp;COUNTIF($B$3:F1384, F1384)</f>
        <v>curatescience395_5</v>
      </c>
      <c r="H1384" s="241" t="s">
        <v>6921</v>
      </c>
      <c r="I1384" s="655">
        <v>45901.0</v>
      </c>
      <c r="J1384" s="1531">
        <v>45684.0</v>
      </c>
      <c r="K1384" s="328"/>
      <c r="L1384" s="327" t="s">
        <v>7776</v>
      </c>
      <c r="M1384" s="1532" t="s">
        <v>7764</v>
      </c>
      <c r="N1384" s="241" t="s">
        <v>7765</v>
      </c>
      <c r="O1384" s="331">
        <v>1.0</v>
      </c>
      <c r="P1384" s="241" t="str">
        <f t="shared" si="91"/>
        <v>10.1177--01461672952111004.pdf</v>
      </c>
      <c r="Q1384" s="49" t="str">
        <f t="array" ref="Q1384"> if(iserror(MATCH(V1384, 'File Links'!C:C, 0)), "N/A", HYPERLINK(INDEX('File Links'!B:B, MATCH(P1384, 'File Links'!C:C, 0))))</f>
        <v>https://drive.google.com/file/d/1DouZu51tYUlHCJt3ED5926-nk58IBtuY/view?usp=drivesdk</v>
      </c>
      <c r="R1384" s="1521" t="s">
        <v>7462</v>
      </c>
      <c r="S1384" s="1521" t="s">
        <v>7463</v>
      </c>
      <c r="T1384" s="1525" t="s">
        <v>7464</v>
      </c>
      <c r="U1384" s="1521" t="s">
        <v>7766</v>
      </c>
      <c r="V1384" s="195" t="str">
        <f t="shared" si="92"/>
        <v>10.1027--1864-9335--a000178.pdf</v>
      </c>
      <c r="W1384" s="1521" t="s">
        <v>7466</v>
      </c>
      <c r="X1384" s="51" t="str">
        <f t="array" ref="X1384"> if(iserror(MATCH(V1384, 'File Links'!C:C, 0)), "N/A", HYPERLINK(INDEX('File Links'!B:B, MATCH(V1384, 'File Links'!C:C, 0))))</f>
        <v>https://drive.google.com/file/d/1fIqa3RxgdnsQkWwGnLkF4XAbM2g_WN4q/view?usp=drivesdk</v>
      </c>
      <c r="Z1384" s="241" t="s">
        <v>203</v>
      </c>
      <c r="AA1384" s="1526" t="s">
        <v>7767</v>
      </c>
      <c r="AB1384" s="1521" t="s">
        <v>7768</v>
      </c>
      <c r="AC1384" s="241" t="s">
        <v>7787</v>
      </c>
      <c r="AD1384" s="241" t="s">
        <v>7778</v>
      </c>
      <c r="AE1384" s="331">
        <v>1163.0</v>
      </c>
      <c r="AF1384" s="1189">
        <v>104.0</v>
      </c>
      <c r="AG1384" s="1189" t="s">
        <v>7779</v>
      </c>
      <c r="AH1384" s="321" t="s">
        <v>127</v>
      </c>
      <c r="AI1384" s="327" t="s">
        <v>7780</v>
      </c>
      <c r="AJ1384" s="1173">
        <v>0.01</v>
      </c>
      <c r="AK1384" s="409" t="s">
        <v>128</v>
      </c>
      <c r="AL1384" s="409" t="s">
        <v>179</v>
      </c>
      <c r="AM1384" s="328" t="s">
        <v>130</v>
      </c>
      <c r="AN1384" s="327" t="s">
        <v>131</v>
      </c>
      <c r="AO1384" s="331">
        <v>5609.0</v>
      </c>
      <c r="AP1384" s="1189">
        <v>2.4</v>
      </c>
      <c r="AQ1384" s="241" t="s">
        <v>166</v>
      </c>
      <c r="AR1384" s="327" t="s">
        <v>806</v>
      </c>
      <c r="AS1384" s="331">
        <v>0.001</v>
      </c>
      <c r="AT1384" s="241" t="s">
        <v>128</v>
      </c>
      <c r="AU1384" s="241" t="s">
        <v>179</v>
      </c>
      <c r="AV1384" s="328" t="s">
        <v>130</v>
      </c>
      <c r="AW1384" s="1460" t="s">
        <v>7561</v>
      </c>
      <c r="AX1384" s="328" t="s">
        <v>136</v>
      </c>
      <c r="AY1384" s="223"/>
      <c r="AZ1384" s="322" t="s">
        <v>137</v>
      </c>
    </row>
    <row r="1385">
      <c r="A1385" s="41">
        <v>1385.0</v>
      </c>
      <c r="B1385" s="126" t="s">
        <v>516</v>
      </c>
      <c r="C1385" s="59" t="s">
        <v>108</v>
      </c>
      <c r="D1385" s="59" t="s">
        <v>1227</v>
      </c>
      <c r="F1385" s="65" t="s">
        <v>7788</v>
      </c>
      <c r="G1385" s="156" t="s">
        <v>7789</v>
      </c>
      <c r="H1385" s="156" t="s">
        <v>7727</v>
      </c>
      <c r="I1385" s="1284" t="s">
        <v>112</v>
      </c>
      <c r="J1385" s="1534">
        <v>45758.0</v>
      </c>
      <c r="K1385" s="156" t="s">
        <v>131</v>
      </c>
      <c r="L1385" s="148" t="s">
        <v>7790</v>
      </c>
      <c r="M1385" s="148" t="s">
        <v>7791</v>
      </c>
      <c r="N1385" s="156" t="s">
        <v>7732</v>
      </c>
      <c r="O1385" s="153">
        <v>2.0</v>
      </c>
      <c r="P1385" s="379" t="s">
        <v>7733</v>
      </c>
      <c r="Q1385" s="105" t="str">
        <f t="array" ref="Q1385"> if(iserror(MATCH(V1385, 'File Links'!C:C, 0)), "N/A", HYPERLINK(INDEX('File Links'!B:B, MATCH(P1385, 'File Links'!C:C, 0))))</f>
        <v>N/A</v>
      </c>
      <c r="R1385" s="156" t="s">
        <v>7792</v>
      </c>
      <c r="S1385" s="156" t="s">
        <v>131</v>
      </c>
      <c r="T1385" s="677" t="s">
        <v>7592</v>
      </c>
      <c r="U1385" s="153">
        <v>1.0</v>
      </c>
      <c r="V1385" s="379" t="s">
        <v>570</v>
      </c>
      <c r="W1385" s="1535" t="s">
        <v>157</v>
      </c>
      <c r="X1385" s="46" t="str">
        <f t="array" ref="X1385"> if(iserror(MATCH(V1385, 'File Links'!C:C, 0)), "N/A", HYPERLINK(INDEX('File Links'!B:B, MATCH(V1385, 'File Links'!C:C, 0))))</f>
        <v>N/A</v>
      </c>
      <c r="Y1385" s="156"/>
      <c r="Z1385" s="156" t="s">
        <v>219</v>
      </c>
      <c r="AA1385" s="156" t="s">
        <v>7737</v>
      </c>
      <c r="AB1385" s="1535" t="s">
        <v>7793</v>
      </c>
      <c r="AC1385" s="1535" t="s">
        <v>7794</v>
      </c>
      <c r="AD1385" s="65" t="s">
        <v>7795</v>
      </c>
      <c r="AE1385" s="153">
        <v>1.0</v>
      </c>
      <c r="AF1385" s="375">
        <v>27.0</v>
      </c>
      <c r="AG1385" s="156" t="s">
        <v>131</v>
      </c>
      <c r="AH1385" s="164" t="s">
        <v>131</v>
      </c>
      <c r="AI1385" s="156" t="s">
        <v>131</v>
      </c>
      <c r="AJ1385" s="861">
        <v>0.04</v>
      </c>
      <c r="AK1385" s="156" t="s">
        <v>165</v>
      </c>
      <c r="AL1385" s="156" t="s">
        <v>179</v>
      </c>
      <c r="AM1385" s="156" t="s">
        <v>130</v>
      </c>
      <c r="AN1385" s="156" t="s">
        <v>131</v>
      </c>
      <c r="AO1385" s="153">
        <v>235.0</v>
      </c>
      <c r="AP1385" s="153">
        <v>0.029299</v>
      </c>
      <c r="AQ1385" s="156" t="s">
        <v>2798</v>
      </c>
      <c r="AR1385" s="156" t="s">
        <v>7796</v>
      </c>
      <c r="AS1385" s="861">
        <v>0.927</v>
      </c>
      <c r="AT1385" s="156" t="s">
        <v>165</v>
      </c>
      <c r="AU1385" s="156" t="s">
        <v>129</v>
      </c>
      <c r="AV1385" s="156" t="s">
        <v>130</v>
      </c>
      <c r="AW1385" s="156" t="s">
        <v>131</v>
      </c>
      <c r="AX1385" s="156" t="s">
        <v>136</v>
      </c>
      <c r="AY1385" s="65"/>
      <c r="AZ1385" s="59" t="s">
        <v>7797</v>
      </c>
    </row>
    <row r="1386">
      <c r="A1386" s="41">
        <v>1386.0</v>
      </c>
      <c r="B1386" s="126" t="s">
        <v>516</v>
      </c>
      <c r="C1386" s="59" t="s">
        <v>108</v>
      </c>
      <c r="D1386" s="59" t="s">
        <v>1451</v>
      </c>
      <c r="F1386" s="65" t="s">
        <v>7788</v>
      </c>
      <c r="G1386" s="156" t="s">
        <v>7789</v>
      </c>
      <c r="H1386" s="156" t="s">
        <v>1511</v>
      </c>
      <c r="I1386" s="1284" t="s">
        <v>112</v>
      </c>
      <c r="J1386" s="150">
        <v>45758.0</v>
      </c>
      <c r="K1386" s="156" t="s">
        <v>7798</v>
      </c>
      <c r="L1386" s="156" t="s">
        <v>7316</v>
      </c>
      <c r="M1386" s="148" t="s">
        <v>7791</v>
      </c>
      <c r="N1386" s="156" t="s">
        <v>7732</v>
      </c>
      <c r="O1386" s="153">
        <v>2.0</v>
      </c>
      <c r="P1386" s="379" t="s">
        <v>7733</v>
      </c>
      <c r="Q1386" s="105" t="str">
        <f t="array" ref="Q1386"> if(iserror(MATCH(V1386, 'File Links'!C:C, 0)), "N/A", HYPERLINK(INDEX('File Links'!B:B, MATCH(P1386, 'File Links'!C:C, 0))))</f>
        <v>N/A</v>
      </c>
      <c r="R1386" s="156" t="s">
        <v>7792</v>
      </c>
      <c r="S1386" s="156" t="s">
        <v>131</v>
      </c>
      <c r="T1386" s="677" t="s">
        <v>7592</v>
      </c>
      <c r="U1386" s="1362">
        <v>1.0</v>
      </c>
      <c r="V1386" s="379" t="s">
        <v>570</v>
      </c>
      <c r="W1386" s="1536" t="s">
        <v>157</v>
      </c>
      <c r="X1386" s="46" t="str">
        <f t="array" ref="X1386"> if(iserror(MATCH(V1386, 'File Links'!C:C, 0)), "N/A", HYPERLINK(INDEX('File Links'!B:B, MATCH(V1386, 'File Links'!C:C, 0))))</f>
        <v>N/A</v>
      </c>
      <c r="Y1386" s="156" t="s">
        <v>7799</v>
      </c>
      <c r="Z1386" s="156" t="s">
        <v>219</v>
      </c>
      <c r="AA1386" s="156" t="s">
        <v>7737</v>
      </c>
      <c r="AB1386" s="156" t="s">
        <v>7761</v>
      </c>
      <c r="AC1386" s="1535" t="s">
        <v>7794</v>
      </c>
      <c r="AD1386" s="156" t="s">
        <v>7800</v>
      </c>
      <c r="AE1386" s="1537">
        <v>45689.0</v>
      </c>
      <c r="AF1386" s="153">
        <v>27.0</v>
      </c>
      <c r="AG1386" s="156" t="s">
        <v>7801</v>
      </c>
      <c r="AH1386" s="156" t="s">
        <v>127</v>
      </c>
      <c r="AI1386" s="156" t="s">
        <v>2764</v>
      </c>
      <c r="AJ1386" s="153">
        <v>0.01</v>
      </c>
      <c r="AK1386" s="156" t="s">
        <v>165</v>
      </c>
      <c r="AL1386" s="156" t="s">
        <v>179</v>
      </c>
      <c r="AM1386" s="156" t="s">
        <v>130</v>
      </c>
      <c r="AN1386" s="156" t="s">
        <v>131</v>
      </c>
      <c r="AO1386" s="153">
        <v>335.0</v>
      </c>
      <c r="AP1386" s="153">
        <v>-0.04</v>
      </c>
      <c r="AQ1386" s="156" t="s">
        <v>208</v>
      </c>
      <c r="AR1386" s="65"/>
      <c r="AS1386" s="65"/>
      <c r="AT1386" s="65"/>
      <c r="AU1386" s="65"/>
      <c r="AV1386" s="65"/>
      <c r="AW1386" s="65"/>
      <c r="AX1386" s="156" t="s">
        <v>136</v>
      </c>
      <c r="AZ1386" s="59" t="s">
        <v>7797</v>
      </c>
    </row>
    <row r="1387">
      <c r="A1387" s="41">
        <v>1387.0</v>
      </c>
      <c r="B1387" s="126" t="s">
        <v>516</v>
      </c>
      <c r="C1387" s="59" t="s">
        <v>108</v>
      </c>
      <c r="D1387" s="59" t="s">
        <v>1227</v>
      </c>
      <c r="F1387" s="65" t="s">
        <v>7802</v>
      </c>
      <c r="G1387" s="156" t="s">
        <v>7803</v>
      </c>
      <c r="H1387" s="156" t="s">
        <v>7727</v>
      </c>
      <c r="I1387" s="1284" t="s">
        <v>112</v>
      </c>
      <c r="J1387" s="1534">
        <v>45758.0</v>
      </c>
      <c r="K1387" s="156" t="s">
        <v>131</v>
      </c>
      <c r="L1387" s="156" t="s">
        <v>7316</v>
      </c>
      <c r="M1387" s="148" t="s">
        <v>7791</v>
      </c>
      <c r="N1387" s="156" t="s">
        <v>7732</v>
      </c>
      <c r="O1387" s="153">
        <v>3.0</v>
      </c>
      <c r="P1387" s="379" t="s">
        <v>7733</v>
      </c>
      <c r="Q1387" s="105" t="str">
        <f t="array" ref="Q1387"> if(iserror(MATCH(V1387, 'File Links'!C:C, 0)), "N/A", HYPERLINK(INDEX('File Links'!B:B, MATCH(P1387, 'File Links'!C:C, 0))))</f>
        <v>N/A</v>
      </c>
      <c r="R1387" s="156" t="s">
        <v>7804</v>
      </c>
      <c r="S1387" s="156" t="s">
        <v>131</v>
      </c>
      <c r="T1387" s="677" t="s">
        <v>7592</v>
      </c>
      <c r="U1387" s="153">
        <v>2.0</v>
      </c>
      <c r="V1387" s="379" t="s">
        <v>570</v>
      </c>
      <c r="W1387" s="156" t="s">
        <v>7805</v>
      </c>
      <c r="X1387" s="46" t="str">
        <f t="array" ref="X1387"> if(iserror(MATCH(V1387, 'File Links'!C:C, 0)), "N/A", HYPERLINK(INDEX('File Links'!B:B, MATCH(V1387, 'File Links'!C:C, 0))))</f>
        <v>N/A</v>
      </c>
      <c r="Y1387" s="156"/>
      <c r="Z1387" s="156" t="s">
        <v>219</v>
      </c>
      <c r="AA1387" s="156" t="s">
        <v>7737</v>
      </c>
      <c r="AB1387" s="156" t="s">
        <v>131</v>
      </c>
      <c r="AC1387" s="156" t="s">
        <v>7806</v>
      </c>
      <c r="AD1387" s="156" t="s">
        <v>7807</v>
      </c>
      <c r="AE1387" s="153">
        <v>2.0</v>
      </c>
      <c r="AF1387" s="153">
        <v>27.0</v>
      </c>
      <c r="AG1387" s="156" t="s">
        <v>131</v>
      </c>
      <c r="AH1387" s="164" t="s">
        <v>131</v>
      </c>
      <c r="AI1387" s="156" t="s">
        <v>131</v>
      </c>
      <c r="AJ1387" s="861">
        <v>0.01</v>
      </c>
      <c r="AK1387" s="156" t="s">
        <v>165</v>
      </c>
      <c r="AL1387" s="156" t="s">
        <v>129</v>
      </c>
      <c r="AM1387" s="156" t="s">
        <v>130</v>
      </c>
      <c r="AN1387" s="156" t="s">
        <v>131</v>
      </c>
      <c r="AO1387" s="153">
        <v>108.0</v>
      </c>
      <c r="AP1387" s="153">
        <v>-0.18</v>
      </c>
      <c r="AQ1387" s="156" t="s">
        <v>166</v>
      </c>
      <c r="AR1387" s="156" t="s">
        <v>7808</v>
      </c>
      <c r="AS1387" s="861">
        <v>0.35</v>
      </c>
      <c r="AT1387" s="156" t="s">
        <v>165</v>
      </c>
      <c r="AU1387" s="156" t="s">
        <v>129</v>
      </c>
      <c r="AV1387" s="156" t="s">
        <v>130</v>
      </c>
      <c r="AW1387" s="65" t="s">
        <v>131</v>
      </c>
      <c r="AX1387" s="156" t="s">
        <v>136</v>
      </c>
      <c r="AY1387" s="65"/>
      <c r="AZ1387" s="59" t="s">
        <v>7797</v>
      </c>
    </row>
    <row r="1388">
      <c r="A1388" s="41">
        <v>1388.0</v>
      </c>
      <c r="B1388" s="126" t="s">
        <v>107</v>
      </c>
      <c r="C1388" s="59" t="s">
        <v>108</v>
      </c>
      <c r="D1388" s="59" t="s">
        <v>1227</v>
      </c>
      <c r="F1388" s="65" t="s">
        <v>7809</v>
      </c>
      <c r="G1388" s="156" t="s">
        <v>7810</v>
      </c>
      <c r="H1388" s="156" t="s">
        <v>7727</v>
      </c>
      <c r="I1388" s="1284" t="s">
        <v>112</v>
      </c>
      <c r="J1388" s="1534">
        <v>45758.0</v>
      </c>
      <c r="K1388" s="156" t="s">
        <v>7811</v>
      </c>
      <c r="L1388" s="148" t="s">
        <v>7812</v>
      </c>
      <c r="M1388" s="148" t="s">
        <v>7791</v>
      </c>
      <c r="N1388" s="156" t="s">
        <v>7732</v>
      </c>
      <c r="O1388" s="153">
        <v>2.0</v>
      </c>
      <c r="P1388" s="379" t="s">
        <v>7733</v>
      </c>
      <c r="Q1388" s="49" t="str">
        <f t="array" ref="Q1388"> if(iserror(MATCH(V1388, 'File Links'!C:C, 0)), "N/A", HYPERLINK(INDEX('File Links'!B:B, MATCH(P1388, 'File Links'!C:C, 0))))</f>
        <v>https://drive.google.com/file/d/1w2KBBoT3U7JrwQsTrJduC-AS9fihTDq0/view?usp=drivesdk</v>
      </c>
      <c r="R1388" s="156" t="s">
        <v>7813</v>
      </c>
      <c r="S1388" s="156" t="s">
        <v>7814</v>
      </c>
      <c r="T1388" s="156" t="s">
        <v>131</v>
      </c>
      <c r="U1388" s="375">
        <v>1.0</v>
      </c>
      <c r="V1388" s="379" t="s">
        <v>7815</v>
      </c>
      <c r="W1388" s="377" t="s">
        <v>7816</v>
      </c>
      <c r="X1388" s="51" t="str">
        <f t="array" ref="X1388"> if(iserror(MATCH(V1388, 'File Links'!C:C, 0)), "N/A", HYPERLINK(INDEX('File Links'!B:B, MATCH(V1388, 'File Links'!C:C, 0))))</f>
        <v>https://drive.google.com/file/d/1grC_-CjFVn77v-PGNS3-UDB1Sv0gUwum/view?usp=drivesdk</v>
      </c>
      <c r="Y1388" s="156"/>
      <c r="Z1388" s="156" t="s">
        <v>219</v>
      </c>
      <c r="AA1388" s="156" t="s">
        <v>7737</v>
      </c>
      <c r="AB1388" s="1535" t="s">
        <v>7793</v>
      </c>
      <c r="AC1388" s="1535" t="s">
        <v>7817</v>
      </c>
      <c r="AD1388" s="478" t="s">
        <v>7800</v>
      </c>
      <c r="AE1388" s="1538">
        <v>45689.0</v>
      </c>
      <c r="AF1388" s="153">
        <v>27.0</v>
      </c>
      <c r="AG1388" s="478" t="s">
        <v>7801</v>
      </c>
      <c r="AH1388" s="478" t="s">
        <v>127</v>
      </c>
      <c r="AI1388" s="377" t="s">
        <v>868</v>
      </c>
      <c r="AJ1388" s="153">
        <v>0.01</v>
      </c>
      <c r="AK1388" s="156" t="s">
        <v>165</v>
      </c>
      <c r="AL1388" s="478" t="s">
        <v>179</v>
      </c>
      <c r="AM1388" s="156" t="s">
        <v>130</v>
      </c>
      <c r="AN1388" s="156" t="s">
        <v>131</v>
      </c>
      <c r="AO1388" s="333">
        <v>153.0</v>
      </c>
      <c r="AP1388" s="377" t="s">
        <v>7818</v>
      </c>
      <c r="AQ1388" s="478" t="s">
        <v>127</v>
      </c>
      <c r="AR1388" s="478" t="s">
        <v>875</v>
      </c>
      <c r="AS1388" s="153">
        <v>0.97</v>
      </c>
      <c r="AT1388" s="156" t="s">
        <v>165</v>
      </c>
      <c r="AU1388" s="156" t="s">
        <v>129</v>
      </c>
      <c r="AV1388" s="156" t="s">
        <v>130</v>
      </c>
      <c r="AW1388" s="65" t="s">
        <v>131</v>
      </c>
      <c r="AX1388" s="156" t="s">
        <v>136</v>
      </c>
      <c r="AY1388" s="65"/>
      <c r="AZ1388" s="59" t="s">
        <v>7819</v>
      </c>
    </row>
    <row r="1389">
      <c r="A1389" s="41">
        <v>1389.0</v>
      </c>
      <c r="B1389" s="126" t="s">
        <v>145</v>
      </c>
      <c r="C1389" s="59" t="s">
        <v>108</v>
      </c>
      <c r="D1389" s="59" t="s">
        <v>1451</v>
      </c>
      <c r="F1389" s="65" t="s">
        <v>7809</v>
      </c>
      <c r="G1389" s="156" t="s">
        <v>7810</v>
      </c>
      <c r="H1389" s="156" t="s">
        <v>1511</v>
      </c>
      <c r="I1389" s="1284" t="s">
        <v>112</v>
      </c>
      <c r="J1389" s="1534">
        <v>45758.0</v>
      </c>
      <c r="K1389" s="156" t="s">
        <v>7820</v>
      </c>
      <c r="L1389" s="148" t="s">
        <v>7821</v>
      </c>
      <c r="M1389" s="148" t="s">
        <v>7791</v>
      </c>
      <c r="N1389" s="156" t="s">
        <v>7732</v>
      </c>
      <c r="O1389" s="153">
        <v>2.0</v>
      </c>
      <c r="P1389" s="379" t="s">
        <v>7733</v>
      </c>
      <c r="Q1389" s="49" t="str">
        <f t="array" ref="Q1389"> if(iserror(MATCH(V1389, 'File Links'!C:C, 0)), "N/A", HYPERLINK(INDEX('File Links'!B:B, MATCH(P1389, 'File Links'!C:C, 0))))</f>
        <v>https://drive.google.com/file/d/1w2KBBoT3U7JrwQsTrJduC-AS9fihTDq0/view?usp=drivesdk</v>
      </c>
      <c r="R1389" s="156" t="s">
        <v>7813</v>
      </c>
      <c r="S1389" s="156" t="s">
        <v>7814</v>
      </c>
      <c r="T1389" s="156" t="s">
        <v>131</v>
      </c>
      <c r="U1389" s="354">
        <v>1.0</v>
      </c>
      <c r="V1389" s="379" t="s">
        <v>7815</v>
      </c>
      <c r="W1389" s="156" t="s">
        <v>7816</v>
      </c>
      <c r="X1389" s="51" t="str">
        <f t="array" ref="X1389"> if(iserror(MATCH(V1389, 'File Links'!C:C, 0)), "N/A", HYPERLINK(INDEX('File Links'!B:B, MATCH(V1389, 'File Links'!C:C, 0))))</f>
        <v>https://drive.google.com/file/d/1grC_-CjFVn77v-PGNS3-UDB1Sv0gUwum/view?usp=drivesdk</v>
      </c>
      <c r="Y1389" s="156"/>
      <c r="Z1389" s="156" t="s">
        <v>219</v>
      </c>
      <c r="AA1389" s="156" t="s">
        <v>7737</v>
      </c>
      <c r="AB1389" s="156" t="s">
        <v>7761</v>
      </c>
      <c r="AC1389" s="1535" t="s">
        <v>7817</v>
      </c>
      <c r="AD1389" s="156" t="s">
        <v>7800</v>
      </c>
      <c r="AE1389" s="1537">
        <v>45689.0</v>
      </c>
      <c r="AF1389" s="153">
        <v>27.0</v>
      </c>
      <c r="AG1389" s="156" t="s">
        <v>7801</v>
      </c>
      <c r="AH1389" s="156" t="s">
        <v>127</v>
      </c>
      <c r="AI1389" s="156" t="s">
        <v>2764</v>
      </c>
      <c r="AJ1389" s="153">
        <v>0.01</v>
      </c>
      <c r="AK1389" s="156" t="s">
        <v>165</v>
      </c>
      <c r="AL1389" s="156" t="s">
        <v>179</v>
      </c>
      <c r="AM1389" s="156" t="s">
        <v>130</v>
      </c>
      <c r="AN1389" s="156" t="s">
        <v>131</v>
      </c>
      <c r="AO1389" s="153">
        <v>153.0</v>
      </c>
      <c r="AP1389" s="148" t="s">
        <v>7818</v>
      </c>
      <c r="AQ1389" s="156" t="s">
        <v>127</v>
      </c>
      <c r="AR1389" s="156" t="s">
        <v>875</v>
      </c>
      <c r="AS1389" s="153">
        <v>0.97</v>
      </c>
      <c r="AT1389" s="156" t="s">
        <v>165</v>
      </c>
      <c r="AU1389" s="156" t="s">
        <v>129</v>
      </c>
      <c r="AV1389" s="156" t="s">
        <v>130</v>
      </c>
      <c r="AW1389" s="65" t="s">
        <v>131</v>
      </c>
      <c r="AX1389" s="156" t="s">
        <v>136</v>
      </c>
      <c r="AZ1389" s="59" t="s">
        <v>7819</v>
      </c>
    </row>
    <row r="1390">
      <c r="A1390" s="41">
        <v>1390.0</v>
      </c>
      <c r="B1390" s="126" t="s">
        <v>107</v>
      </c>
      <c r="C1390" s="59" t="s">
        <v>108</v>
      </c>
      <c r="D1390" s="59" t="s">
        <v>1227</v>
      </c>
      <c r="F1390" s="65" t="s">
        <v>7822</v>
      </c>
      <c r="G1390" s="156" t="s">
        <v>7823</v>
      </c>
      <c r="H1390" s="156" t="s">
        <v>7727</v>
      </c>
      <c r="I1390" s="1284" t="s">
        <v>112</v>
      </c>
      <c r="J1390" s="1534">
        <v>45758.0</v>
      </c>
      <c r="K1390" s="156" t="s">
        <v>7824</v>
      </c>
      <c r="L1390" s="148" t="s">
        <v>7825</v>
      </c>
      <c r="M1390" s="148" t="s">
        <v>7791</v>
      </c>
      <c r="N1390" s="156" t="s">
        <v>7732</v>
      </c>
      <c r="O1390" s="153">
        <v>2.0</v>
      </c>
      <c r="P1390" s="379" t="s">
        <v>7733</v>
      </c>
      <c r="Q1390" s="49" t="str">
        <f t="array" ref="Q1390"> if(iserror(MATCH(V1390, 'File Links'!C:C, 0)), "N/A", HYPERLINK(INDEX('File Links'!B:B, MATCH(P1390, 'File Links'!C:C, 0))))</f>
        <v>https://drive.google.com/file/d/1w2KBBoT3U7JrwQsTrJduC-AS9fihTDq0/view?usp=drivesdk</v>
      </c>
      <c r="R1390" s="156" t="s">
        <v>7813</v>
      </c>
      <c r="S1390" s="156" t="s">
        <v>7814</v>
      </c>
      <c r="T1390" s="65" t="s">
        <v>131</v>
      </c>
      <c r="U1390" s="333">
        <v>2.0</v>
      </c>
      <c r="V1390" s="156" t="s">
        <v>7815</v>
      </c>
      <c r="W1390" s="377" t="s">
        <v>7816</v>
      </c>
      <c r="X1390" s="51" t="str">
        <f t="array" ref="X1390"> if(iserror(MATCH(V1390, 'File Links'!C:C, 0)), "N/A", HYPERLINK(INDEX('File Links'!B:B, MATCH(V1390, 'File Links'!C:C, 0))))</f>
        <v>https://drive.google.com/file/d/1grC_-CjFVn77v-PGNS3-UDB1Sv0gUwum/view?usp=drivesdk</v>
      </c>
      <c r="Y1390" s="156"/>
      <c r="Z1390" s="156" t="s">
        <v>219</v>
      </c>
      <c r="AA1390" s="156" t="s">
        <v>7737</v>
      </c>
      <c r="AB1390" s="1535" t="s">
        <v>7793</v>
      </c>
      <c r="AC1390" s="1535" t="s">
        <v>7817</v>
      </c>
      <c r="AD1390" s="478" t="s">
        <v>7800</v>
      </c>
      <c r="AE1390" s="1538">
        <v>45689.0</v>
      </c>
      <c r="AF1390" s="153">
        <v>27.0</v>
      </c>
      <c r="AG1390" s="478" t="s">
        <v>7801</v>
      </c>
      <c r="AH1390" s="478" t="s">
        <v>127</v>
      </c>
      <c r="AI1390" s="377" t="s">
        <v>868</v>
      </c>
      <c r="AJ1390" s="153">
        <v>0.01</v>
      </c>
      <c r="AK1390" s="156" t="s">
        <v>165</v>
      </c>
      <c r="AL1390" s="478" t="s">
        <v>179</v>
      </c>
      <c r="AM1390" s="156" t="s">
        <v>130</v>
      </c>
      <c r="AN1390" s="156" t="s">
        <v>131</v>
      </c>
      <c r="AO1390" s="153">
        <v>148.0</v>
      </c>
      <c r="AP1390" s="377" t="s">
        <v>7826</v>
      </c>
      <c r="AQ1390" s="478" t="s">
        <v>127</v>
      </c>
      <c r="AR1390" s="377" t="s">
        <v>133</v>
      </c>
      <c r="AS1390" s="153">
        <v>0.43</v>
      </c>
      <c r="AT1390" s="156" t="s">
        <v>165</v>
      </c>
      <c r="AU1390" s="156" t="s">
        <v>129</v>
      </c>
      <c r="AV1390" s="156" t="s">
        <v>130</v>
      </c>
      <c r="AW1390" s="65" t="s">
        <v>131</v>
      </c>
      <c r="AX1390" s="156" t="s">
        <v>136</v>
      </c>
      <c r="AY1390" s="65"/>
      <c r="AZ1390" s="59" t="s">
        <v>7819</v>
      </c>
    </row>
    <row r="1391">
      <c r="A1391" s="41">
        <v>1391.0</v>
      </c>
      <c r="B1391" s="126" t="s">
        <v>145</v>
      </c>
      <c r="C1391" s="59" t="s">
        <v>108</v>
      </c>
      <c r="D1391" s="59" t="s">
        <v>1451</v>
      </c>
      <c r="F1391" s="65" t="s">
        <v>7822</v>
      </c>
      <c r="G1391" s="156" t="s">
        <v>7823</v>
      </c>
      <c r="H1391" s="156" t="s">
        <v>1511</v>
      </c>
      <c r="I1391" s="1284" t="s">
        <v>112</v>
      </c>
      <c r="J1391" s="1534">
        <v>45758.0</v>
      </c>
      <c r="K1391" s="156" t="s">
        <v>7827</v>
      </c>
      <c r="L1391" s="148" t="s">
        <v>7821</v>
      </c>
      <c r="M1391" s="148" t="s">
        <v>7791</v>
      </c>
      <c r="N1391" s="156" t="s">
        <v>7732</v>
      </c>
      <c r="O1391" s="153">
        <v>2.0</v>
      </c>
      <c r="P1391" s="379" t="s">
        <v>7733</v>
      </c>
      <c r="Q1391" s="49" t="str">
        <f t="array" ref="Q1391"> if(iserror(MATCH(V1391, 'File Links'!C:C, 0)), "N/A", HYPERLINK(INDEX('File Links'!B:B, MATCH(P1391, 'File Links'!C:C, 0))))</f>
        <v>https://drive.google.com/file/d/1w2KBBoT3U7JrwQsTrJduC-AS9fihTDq0/view?usp=drivesdk</v>
      </c>
      <c r="R1391" s="156" t="s">
        <v>7813</v>
      </c>
      <c r="S1391" s="156" t="s">
        <v>7814</v>
      </c>
      <c r="T1391" s="65" t="s">
        <v>131</v>
      </c>
      <c r="U1391" s="333">
        <v>2.0</v>
      </c>
      <c r="V1391" s="156" t="s">
        <v>7815</v>
      </c>
      <c r="W1391" s="156" t="s">
        <v>7816</v>
      </c>
      <c r="X1391" s="51" t="str">
        <f t="array" ref="X1391"> if(iserror(MATCH(V1391, 'File Links'!C:C, 0)), "N/A", HYPERLINK(INDEX('File Links'!B:B, MATCH(V1391, 'File Links'!C:C, 0))))</f>
        <v>https://drive.google.com/file/d/1grC_-CjFVn77v-PGNS3-UDB1Sv0gUwum/view?usp=drivesdk</v>
      </c>
      <c r="Y1391" s="156"/>
      <c r="Z1391" s="156" t="s">
        <v>219</v>
      </c>
      <c r="AA1391" s="156" t="s">
        <v>7737</v>
      </c>
      <c r="AB1391" s="156" t="s">
        <v>7761</v>
      </c>
      <c r="AC1391" s="1535" t="s">
        <v>7817</v>
      </c>
      <c r="AD1391" s="156" t="s">
        <v>7800</v>
      </c>
      <c r="AE1391" s="1537">
        <v>45689.0</v>
      </c>
      <c r="AF1391" s="153">
        <v>27.0</v>
      </c>
      <c r="AG1391" s="156" t="s">
        <v>7801</v>
      </c>
      <c r="AH1391" s="156" t="s">
        <v>127</v>
      </c>
      <c r="AI1391" s="156" t="s">
        <v>2764</v>
      </c>
      <c r="AJ1391" s="153">
        <v>0.01</v>
      </c>
      <c r="AK1391" s="156" t="s">
        <v>165</v>
      </c>
      <c r="AL1391" s="156" t="s">
        <v>179</v>
      </c>
      <c r="AM1391" s="156" t="s">
        <v>130</v>
      </c>
      <c r="AN1391" s="156" t="s">
        <v>131</v>
      </c>
      <c r="AO1391" s="153">
        <v>156.0</v>
      </c>
      <c r="AP1391" s="148" t="s">
        <v>7826</v>
      </c>
      <c r="AQ1391" s="156" t="s">
        <v>127</v>
      </c>
      <c r="AR1391" s="156" t="s">
        <v>1035</v>
      </c>
      <c r="AS1391" s="153">
        <v>0.43</v>
      </c>
      <c r="AT1391" s="156" t="s">
        <v>165</v>
      </c>
      <c r="AU1391" s="156" t="s">
        <v>129</v>
      </c>
      <c r="AV1391" s="156" t="s">
        <v>130</v>
      </c>
      <c r="AW1391" s="65" t="s">
        <v>131</v>
      </c>
      <c r="AX1391" s="156" t="s">
        <v>136</v>
      </c>
      <c r="AZ1391" s="59" t="s">
        <v>7819</v>
      </c>
    </row>
    <row r="1392">
      <c r="A1392" s="41">
        <v>1392.0</v>
      </c>
      <c r="B1392" s="126" t="s">
        <v>107</v>
      </c>
      <c r="C1392" s="59" t="s">
        <v>108</v>
      </c>
      <c r="D1392" s="59" t="s">
        <v>1227</v>
      </c>
      <c r="F1392" s="65" t="s">
        <v>7828</v>
      </c>
      <c r="G1392" s="156" t="s">
        <v>7829</v>
      </c>
      <c r="H1392" s="156" t="s">
        <v>7727</v>
      </c>
      <c r="I1392" s="1284" t="s">
        <v>112</v>
      </c>
      <c r="J1392" s="1534">
        <v>45758.0</v>
      </c>
      <c r="K1392" s="156" t="s">
        <v>131</v>
      </c>
      <c r="L1392" s="148" t="s">
        <v>7830</v>
      </c>
      <c r="M1392" s="148" t="s">
        <v>7791</v>
      </c>
      <c r="N1392" s="156" t="s">
        <v>7732</v>
      </c>
      <c r="O1392" s="153">
        <v>2.0</v>
      </c>
      <c r="P1392" s="379" t="s">
        <v>7733</v>
      </c>
      <c r="Q1392" s="49" t="str">
        <f t="array" ref="Q1392"> if(iserror(MATCH(V1392, 'File Links'!C:C, 0)), "N/A", HYPERLINK(INDEX('File Links'!B:B, MATCH(P1392, 'File Links'!C:C, 0))))</f>
        <v>https://drive.google.com/file/d/1w2KBBoT3U7JrwQsTrJduC-AS9fihTDq0/view?usp=drivesdk</v>
      </c>
      <c r="R1392" s="156" t="s">
        <v>7813</v>
      </c>
      <c r="S1392" s="156" t="s">
        <v>7814</v>
      </c>
      <c r="T1392" s="156" t="s">
        <v>131</v>
      </c>
      <c r="U1392" s="375">
        <v>3.0</v>
      </c>
      <c r="V1392" s="379" t="s">
        <v>7815</v>
      </c>
      <c r="W1392" s="377" t="s">
        <v>7816</v>
      </c>
      <c r="X1392" s="51" t="str">
        <f t="array" ref="X1392"> if(iserror(MATCH(V1392, 'File Links'!C:C, 0)), "N/A", HYPERLINK(INDEX('File Links'!B:B, MATCH(V1392, 'File Links'!C:C, 0))))</f>
        <v>https://drive.google.com/file/d/1grC_-CjFVn77v-PGNS3-UDB1Sv0gUwum/view?usp=drivesdk</v>
      </c>
      <c r="Y1392" s="156"/>
      <c r="Z1392" s="156" t="s">
        <v>219</v>
      </c>
      <c r="AA1392" s="156" t="s">
        <v>7737</v>
      </c>
      <c r="AB1392" s="1535" t="s">
        <v>7793</v>
      </c>
      <c r="AC1392" s="1535" t="s">
        <v>7817</v>
      </c>
      <c r="AD1392" s="478" t="s">
        <v>7800</v>
      </c>
      <c r="AE1392" s="1538">
        <v>45689.0</v>
      </c>
      <c r="AF1392" s="153">
        <v>27.0</v>
      </c>
      <c r="AG1392" s="478" t="s">
        <v>7801</v>
      </c>
      <c r="AH1392" s="478" t="s">
        <v>127</v>
      </c>
      <c r="AI1392" s="377" t="s">
        <v>868</v>
      </c>
      <c r="AJ1392" s="153">
        <v>0.01</v>
      </c>
      <c r="AK1392" s="156" t="s">
        <v>165</v>
      </c>
      <c r="AL1392" s="478" t="s">
        <v>179</v>
      </c>
      <c r="AM1392" s="156" t="s">
        <v>130</v>
      </c>
      <c r="AN1392" s="156" t="s">
        <v>131</v>
      </c>
      <c r="AO1392" s="153">
        <v>269.0</v>
      </c>
      <c r="AP1392" s="478" t="s">
        <v>7831</v>
      </c>
      <c r="AQ1392" s="478" t="s">
        <v>127</v>
      </c>
      <c r="AR1392" s="478" t="s">
        <v>4966</v>
      </c>
      <c r="AS1392" s="861">
        <v>0.07</v>
      </c>
      <c r="AT1392" s="156" t="s">
        <v>165</v>
      </c>
      <c r="AU1392" s="156" t="s">
        <v>129</v>
      </c>
      <c r="AV1392" s="156" t="s">
        <v>130</v>
      </c>
      <c r="AW1392" s="65" t="s">
        <v>131</v>
      </c>
      <c r="AX1392" s="156" t="s">
        <v>136</v>
      </c>
      <c r="AY1392" s="65"/>
      <c r="AZ1392" s="59" t="s">
        <v>7819</v>
      </c>
    </row>
    <row r="1393">
      <c r="A1393" s="41">
        <v>1393.0</v>
      </c>
      <c r="B1393" s="126" t="s">
        <v>145</v>
      </c>
      <c r="C1393" s="59" t="s">
        <v>108</v>
      </c>
      <c r="D1393" s="59" t="s">
        <v>1451</v>
      </c>
      <c r="F1393" s="65" t="s">
        <v>7828</v>
      </c>
      <c r="G1393" s="156" t="s">
        <v>7829</v>
      </c>
      <c r="H1393" s="156" t="s">
        <v>1511</v>
      </c>
      <c r="I1393" s="1284" t="s">
        <v>112</v>
      </c>
      <c r="J1393" s="1534">
        <v>45758.0</v>
      </c>
      <c r="K1393" s="156" t="s">
        <v>7827</v>
      </c>
      <c r="L1393" s="148" t="s">
        <v>7832</v>
      </c>
      <c r="M1393" s="148" t="s">
        <v>7791</v>
      </c>
      <c r="N1393" s="156" t="s">
        <v>7732</v>
      </c>
      <c r="O1393" s="153">
        <v>2.0</v>
      </c>
      <c r="P1393" s="379" t="s">
        <v>7733</v>
      </c>
      <c r="Q1393" s="49" t="str">
        <f t="array" ref="Q1393"> if(iserror(MATCH(V1393, 'File Links'!C:C, 0)), "N/A", HYPERLINK(INDEX('File Links'!B:B, MATCH(P1393, 'File Links'!C:C, 0))))</f>
        <v>https://drive.google.com/file/d/1w2KBBoT3U7JrwQsTrJduC-AS9fihTDq0/view?usp=drivesdk</v>
      </c>
      <c r="R1393" s="156" t="s">
        <v>7813</v>
      </c>
      <c r="S1393" s="156" t="s">
        <v>7814</v>
      </c>
      <c r="T1393" s="156" t="s">
        <v>131</v>
      </c>
      <c r="U1393" s="153">
        <v>3.0</v>
      </c>
      <c r="V1393" s="379" t="s">
        <v>7815</v>
      </c>
      <c r="W1393" s="156" t="s">
        <v>7816</v>
      </c>
      <c r="X1393" s="51" t="str">
        <f t="array" ref="X1393"> if(iserror(MATCH(V1393, 'File Links'!C:C, 0)), "N/A", HYPERLINK(INDEX('File Links'!B:B, MATCH(V1393, 'File Links'!C:C, 0))))</f>
        <v>https://drive.google.com/file/d/1grC_-CjFVn77v-PGNS3-UDB1Sv0gUwum/view?usp=drivesdk</v>
      </c>
      <c r="Y1393" s="156"/>
      <c r="Z1393" s="156" t="s">
        <v>219</v>
      </c>
      <c r="AA1393" s="156" t="s">
        <v>7737</v>
      </c>
      <c r="AB1393" s="156" t="s">
        <v>7761</v>
      </c>
      <c r="AC1393" s="1535" t="s">
        <v>7817</v>
      </c>
      <c r="AD1393" s="156" t="s">
        <v>7800</v>
      </c>
      <c r="AE1393" s="1537">
        <v>45689.0</v>
      </c>
      <c r="AF1393" s="153">
        <v>27.0</v>
      </c>
      <c r="AG1393" s="156" t="s">
        <v>7801</v>
      </c>
      <c r="AH1393" s="156" t="s">
        <v>127</v>
      </c>
      <c r="AI1393" s="156" t="s">
        <v>2764</v>
      </c>
      <c r="AJ1393" s="153">
        <v>0.01</v>
      </c>
      <c r="AK1393" s="156" t="s">
        <v>165</v>
      </c>
      <c r="AL1393" s="156" t="s">
        <v>179</v>
      </c>
      <c r="AM1393" s="156" t="s">
        <v>130</v>
      </c>
      <c r="AN1393" s="156" t="s">
        <v>131</v>
      </c>
      <c r="AO1393" s="375">
        <v>269.0</v>
      </c>
      <c r="AP1393" s="156" t="s">
        <v>7831</v>
      </c>
      <c r="AQ1393" s="156" t="s">
        <v>127</v>
      </c>
      <c r="AR1393" s="156" t="s">
        <v>4966</v>
      </c>
      <c r="AS1393" s="153">
        <v>0.07</v>
      </c>
      <c r="AT1393" s="156" t="s">
        <v>165</v>
      </c>
      <c r="AU1393" s="156" t="s">
        <v>129</v>
      </c>
      <c r="AV1393" s="156" t="s">
        <v>130</v>
      </c>
      <c r="AW1393" s="65" t="s">
        <v>131</v>
      </c>
      <c r="AX1393" s="156" t="s">
        <v>136</v>
      </c>
      <c r="AZ1393" s="59" t="s">
        <v>7819</v>
      </c>
    </row>
    <row r="1394" ht="21.75" customHeight="1">
      <c r="A1394" s="41">
        <v>1394.0</v>
      </c>
      <c r="B1394" s="126" t="s">
        <v>107</v>
      </c>
      <c r="C1394" s="59" t="s">
        <v>108</v>
      </c>
      <c r="D1394" s="59" t="s">
        <v>1227</v>
      </c>
      <c r="F1394" s="65" t="s">
        <v>7833</v>
      </c>
      <c r="G1394" s="156" t="s">
        <v>7834</v>
      </c>
      <c r="H1394" s="156" t="s">
        <v>7727</v>
      </c>
      <c r="I1394" s="1284" t="s">
        <v>112</v>
      </c>
      <c r="J1394" s="1534">
        <v>45758.0</v>
      </c>
      <c r="K1394" s="156" t="s">
        <v>131</v>
      </c>
      <c r="L1394" s="148" t="s">
        <v>7835</v>
      </c>
      <c r="M1394" s="148" t="s">
        <v>7791</v>
      </c>
      <c r="N1394" s="156" t="s">
        <v>7732</v>
      </c>
      <c r="O1394" s="153">
        <v>4.0</v>
      </c>
      <c r="P1394" s="379" t="s">
        <v>7733</v>
      </c>
      <c r="Q1394" s="49" t="str">
        <f t="array" ref="Q1394"> if(iserror(MATCH(V1394, 'File Links'!C:C, 0)), "N/A", HYPERLINK(INDEX('File Links'!B:B, MATCH(P1394, 'File Links'!C:C, 0))))</f>
        <v>https://drive.google.com/file/d/1w2KBBoT3U7JrwQsTrJduC-AS9fihTDq0/view?usp=drivesdk</v>
      </c>
      <c r="R1394" s="156" t="s">
        <v>7836</v>
      </c>
      <c r="S1394" s="156" t="s">
        <v>7735</v>
      </c>
      <c r="T1394" s="156" t="s">
        <v>131</v>
      </c>
      <c r="U1394" s="153">
        <v>2.0</v>
      </c>
      <c r="V1394" s="156" t="s">
        <v>7837</v>
      </c>
      <c r="W1394" s="377" t="s">
        <v>2449</v>
      </c>
      <c r="X1394" s="51" t="str">
        <f t="array" ref="X1394"> if(iserror(MATCH(V1394, 'File Links'!C:C, 0)), "N/A", HYPERLINK(INDEX('File Links'!B:B, MATCH(V1394, 'File Links'!C:C, 0))))</f>
        <v>https://drive.google.com/file/d/1TZ4v__dPOmI3xNzFpnJFIk9lq8TKq6BL/view?usp=drivesdk</v>
      </c>
      <c r="Y1394" s="156"/>
      <c r="Z1394" s="156" t="s">
        <v>219</v>
      </c>
      <c r="AA1394" s="156" t="s">
        <v>7737</v>
      </c>
      <c r="AB1394" s="1535" t="s">
        <v>7838</v>
      </c>
      <c r="AC1394" s="1535" t="s">
        <v>7839</v>
      </c>
      <c r="AD1394" s="377" t="s">
        <v>7840</v>
      </c>
      <c r="AE1394" s="153">
        <v>2.0</v>
      </c>
      <c r="AF1394" s="153">
        <v>45.0</v>
      </c>
      <c r="AG1394" s="377" t="s">
        <v>7841</v>
      </c>
      <c r="AH1394" s="478" t="s">
        <v>127</v>
      </c>
      <c r="AI1394" s="478" t="s">
        <v>2764</v>
      </c>
      <c r="AJ1394" s="153">
        <v>0.025</v>
      </c>
      <c r="AK1394" s="156" t="s">
        <v>165</v>
      </c>
      <c r="AL1394" s="156" t="s">
        <v>179</v>
      </c>
      <c r="AM1394" s="156" t="s">
        <v>130</v>
      </c>
      <c r="AN1394" s="156" t="s">
        <v>131</v>
      </c>
      <c r="AO1394" s="153">
        <v>115.0</v>
      </c>
      <c r="AP1394" s="861">
        <v>0.01</v>
      </c>
      <c r="AQ1394" s="156" t="s">
        <v>867</v>
      </c>
      <c r="AR1394" s="478" t="s">
        <v>4966</v>
      </c>
      <c r="AS1394" s="153">
        <v>0.22</v>
      </c>
      <c r="AT1394" s="156" t="s">
        <v>165</v>
      </c>
      <c r="AU1394" s="156" t="s">
        <v>179</v>
      </c>
      <c r="AV1394" s="156" t="s">
        <v>130</v>
      </c>
      <c r="AW1394" s="156" t="s">
        <v>131</v>
      </c>
      <c r="AX1394" s="156" t="s">
        <v>144</v>
      </c>
      <c r="AY1394" s="65"/>
      <c r="AZ1394" s="59" t="s">
        <v>7819</v>
      </c>
    </row>
    <row r="1395" ht="24.0" customHeight="1">
      <c r="A1395" s="41">
        <v>1395.0</v>
      </c>
      <c r="B1395" s="126" t="s">
        <v>145</v>
      </c>
      <c r="C1395" s="59" t="s">
        <v>108</v>
      </c>
      <c r="D1395" s="59" t="s">
        <v>1451</v>
      </c>
      <c r="F1395" s="65" t="s">
        <v>7833</v>
      </c>
      <c r="G1395" s="156" t="s">
        <v>7834</v>
      </c>
      <c r="H1395" s="156" t="s">
        <v>1511</v>
      </c>
      <c r="I1395" s="1284" t="s">
        <v>112</v>
      </c>
      <c r="J1395" s="1534">
        <v>45758.0</v>
      </c>
      <c r="K1395" s="156" t="s">
        <v>7842</v>
      </c>
      <c r="L1395" s="148" t="s">
        <v>7843</v>
      </c>
      <c r="M1395" s="148" t="s">
        <v>7791</v>
      </c>
      <c r="N1395" s="156" t="s">
        <v>7732</v>
      </c>
      <c r="O1395" s="153">
        <v>4.0</v>
      </c>
      <c r="P1395" s="379" t="s">
        <v>7733</v>
      </c>
      <c r="Q1395" s="49" t="str">
        <f t="array" ref="Q1395"> if(iserror(MATCH(V1395, 'File Links'!C:C, 0)), "N/A", HYPERLINK(INDEX('File Links'!B:B, MATCH(P1395, 'File Links'!C:C, 0))))</f>
        <v>https://drive.google.com/file/d/1w2KBBoT3U7JrwQsTrJduC-AS9fihTDq0/view?usp=drivesdk</v>
      </c>
      <c r="R1395" s="156" t="s">
        <v>7836</v>
      </c>
      <c r="S1395" s="156" t="s">
        <v>7735</v>
      </c>
      <c r="T1395" s="156" t="s">
        <v>131</v>
      </c>
      <c r="U1395" s="153">
        <v>2.0</v>
      </c>
      <c r="V1395" s="156" t="s">
        <v>7837</v>
      </c>
      <c r="W1395" s="156" t="s">
        <v>7743</v>
      </c>
      <c r="X1395" s="51" t="str">
        <f t="array" ref="X1395"> if(iserror(MATCH(V1395, 'File Links'!C:C, 0)), "N/A", HYPERLINK(INDEX('File Links'!B:B, MATCH(V1395, 'File Links'!C:C, 0))))</f>
        <v>https://drive.google.com/file/d/1TZ4v__dPOmI3xNzFpnJFIk9lq8TKq6BL/view?usp=drivesdk</v>
      </c>
      <c r="Y1395" s="156"/>
      <c r="Z1395" s="156" t="s">
        <v>219</v>
      </c>
      <c r="AA1395" s="156" t="s">
        <v>7737</v>
      </c>
      <c r="AB1395" s="156" t="s">
        <v>7761</v>
      </c>
      <c r="AC1395" s="1535" t="s">
        <v>7839</v>
      </c>
      <c r="AD1395" s="148" t="s">
        <v>7840</v>
      </c>
      <c r="AE1395" s="153">
        <v>2.0</v>
      </c>
      <c r="AF1395" s="153">
        <v>45.0</v>
      </c>
      <c r="AG1395" s="148" t="s">
        <v>7844</v>
      </c>
      <c r="AH1395" s="156" t="s">
        <v>127</v>
      </c>
      <c r="AI1395" s="156" t="s">
        <v>2764</v>
      </c>
      <c r="AJ1395" s="153">
        <v>0.025</v>
      </c>
      <c r="AK1395" s="156" t="s">
        <v>165</v>
      </c>
      <c r="AL1395" s="156" t="s">
        <v>179</v>
      </c>
      <c r="AM1395" s="156" t="s">
        <v>130</v>
      </c>
      <c r="AN1395" s="156" t="s">
        <v>131</v>
      </c>
      <c r="AO1395" s="153">
        <v>115.0</v>
      </c>
      <c r="AP1395" s="153">
        <v>0.01</v>
      </c>
      <c r="AQ1395" s="156" t="s">
        <v>867</v>
      </c>
      <c r="AR1395" s="156" t="s">
        <v>4966</v>
      </c>
      <c r="AS1395" s="153">
        <v>0.22</v>
      </c>
      <c r="AT1395" s="156" t="s">
        <v>165</v>
      </c>
      <c r="AU1395" s="156" t="s">
        <v>179</v>
      </c>
      <c r="AV1395" s="156" t="s">
        <v>130</v>
      </c>
      <c r="AW1395" s="65" t="s">
        <v>131</v>
      </c>
      <c r="AX1395" s="156" t="s">
        <v>144</v>
      </c>
      <c r="AZ1395" s="59" t="s">
        <v>7819</v>
      </c>
    </row>
    <row r="1396" ht="19.5" customHeight="1">
      <c r="A1396" s="41">
        <v>1396.0</v>
      </c>
      <c r="B1396" s="126" t="s">
        <v>583</v>
      </c>
      <c r="C1396" s="59" t="s">
        <v>108</v>
      </c>
      <c r="D1396" s="59" t="s">
        <v>1227</v>
      </c>
      <c r="F1396" s="65" t="s">
        <v>7845</v>
      </c>
      <c r="G1396" s="156" t="s">
        <v>7846</v>
      </c>
      <c r="H1396" s="156" t="s">
        <v>7727</v>
      </c>
      <c r="I1396" s="1284" t="s">
        <v>112</v>
      </c>
      <c r="J1396" s="1534">
        <v>45758.0</v>
      </c>
      <c r="K1396" s="156" t="s">
        <v>131</v>
      </c>
      <c r="L1396" s="148" t="s">
        <v>7847</v>
      </c>
      <c r="M1396" s="148" t="s">
        <v>7791</v>
      </c>
      <c r="N1396" s="156" t="s">
        <v>7732</v>
      </c>
      <c r="O1396" s="153">
        <v>3.0</v>
      </c>
      <c r="P1396" s="379" t="s">
        <v>7733</v>
      </c>
      <c r="Q1396" s="49" t="str">
        <f t="array" ref="Q1396"> if(iserror(MATCH(V1396, 'File Links'!C:C, 0)), "N/A", HYPERLINK(INDEX('File Links'!B:B, MATCH(P1396, 'File Links'!C:C, 0))))</f>
        <v>https://drive.google.com/file/d/1w2KBBoT3U7JrwQsTrJduC-AS9fihTDq0/view?usp=drivesdk</v>
      </c>
      <c r="R1396" s="156" t="s">
        <v>7751</v>
      </c>
      <c r="S1396" s="156" t="s">
        <v>7752</v>
      </c>
      <c r="T1396" s="156" t="s">
        <v>131</v>
      </c>
      <c r="U1396" s="153">
        <v>3.0</v>
      </c>
      <c r="V1396" s="379" t="s">
        <v>7753</v>
      </c>
      <c r="W1396" s="377" t="s">
        <v>6603</v>
      </c>
      <c r="X1396" s="51" t="str">
        <f t="array" ref="X1396"> if(iserror(MATCH(V1396, 'File Links'!C:C, 0)), "N/A", HYPERLINK(INDEX('File Links'!B:B, MATCH(V1396, 'File Links'!C:C, 0))))</f>
        <v>https://drive.google.com/file/d/1G4tP3z0FT61HHKi1B51ImyPr28TywEAv/view?usp=drivesdk</v>
      </c>
      <c r="Y1396" s="156"/>
      <c r="Z1396" s="156" t="s">
        <v>219</v>
      </c>
      <c r="AA1396" s="156" t="s">
        <v>7737</v>
      </c>
      <c r="AB1396" s="156" t="s">
        <v>7755</v>
      </c>
      <c r="AC1396" s="1535" t="s">
        <v>7848</v>
      </c>
      <c r="AD1396" s="156" t="s">
        <v>7739</v>
      </c>
      <c r="AE1396" s="153">
        <v>2.0</v>
      </c>
      <c r="AF1396" s="153">
        <v>32.0</v>
      </c>
      <c r="AG1396" s="377" t="s">
        <v>7746</v>
      </c>
      <c r="AH1396" s="478" t="s">
        <v>127</v>
      </c>
      <c r="AI1396" s="377" t="s">
        <v>868</v>
      </c>
      <c r="AJ1396" s="153">
        <v>0.03</v>
      </c>
      <c r="AK1396" s="156" t="s">
        <v>165</v>
      </c>
      <c r="AL1396" s="156" t="s">
        <v>179</v>
      </c>
      <c r="AM1396" s="156" t="s">
        <v>130</v>
      </c>
      <c r="AN1396" s="156" t="s">
        <v>131</v>
      </c>
      <c r="AO1396" s="153">
        <v>45.0</v>
      </c>
      <c r="AP1396" s="1471">
        <v>0.14</v>
      </c>
      <c r="AQ1396" s="156" t="s">
        <v>7758</v>
      </c>
      <c r="AR1396" s="377" t="s">
        <v>806</v>
      </c>
      <c r="AS1396" s="156" t="s">
        <v>131</v>
      </c>
      <c r="AT1396" s="156" t="s">
        <v>165</v>
      </c>
      <c r="AU1396" s="156" t="s">
        <v>179</v>
      </c>
      <c r="AV1396" s="156" t="s">
        <v>130</v>
      </c>
      <c r="AW1396" s="156" t="s">
        <v>131</v>
      </c>
      <c r="AX1396" s="156" t="s">
        <v>136</v>
      </c>
      <c r="AY1396" s="65"/>
      <c r="AZ1396" s="59" t="s">
        <v>7819</v>
      </c>
    </row>
    <row r="1397">
      <c r="A1397" s="41">
        <v>1397.0</v>
      </c>
      <c r="B1397" s="126" t="s">
        <v>583</v>
      </c>
      <c r="C1397" s="59" t="s">
        <v>108</v>
      </c>
      <c r="D1397" s="59" t="s">
        <v>1451</v>
      </c>
      <c r="F1397" s="65" t="s">
        <v>7845</v>
      </c>
      <c r="G1397" s="156" t="s">
        <v>7846</v>
      </c>
      <c r="H1397" s="156" t="s">
        <v>1511</v>
      </c>
      <c r="I1397" s="1284" t="s">
        <v>112</v>
      </c>
      <c r="J1397" s="1534">
        <v>45758.0</v>
      </c>
      <c r="K1397" s="156" t="s">
        <v>7849</v>
      </c>
      <c r="L1397" s="148" t="s">
        <v>7850</v>
      </c>
      <c r="M1397" s="148" t="s">
        <v>7791</v>
      </c>
      <c r="N1397" s="156" t="s">
        <v>7732</v>
      </c>
      <c r="O1397" s="153">
        <v>4.0</v>
      </c>
      <c r="P1397" s="379" t="s">
        <v>7733</v>
      </c>
      <c r="Q1397" s="49" t="str">
        <f t="array" ref="Q1397"> if(iserror(MATCH(V1397, 'File Links'!C:C, 0)), "N/A", HYPERLINK(INDEX('File Links'!B:B, MATCH(P1397, 'File Links'!C:C, 0))))</f>
        <v>https://drive.google.com/file/d/1w2KBBoT3U7JrwQsTrJduC-AS9fihTDq0/view?usp=drivesdk</v>
      </c>
      <c r="R1397" s="156" t="s">
        <v>7751</v>
      </c>
      <c r="S1397" s="156" t="s">
        <v>7752</v>
      </c>
      <c r="T1397" s="156" t="s">
        <v>131</v>
      </c>
      <c r="U1397" s="153">
        <v>4.0</v>
      </c>
      <c r="V1397" s="379" t="s">
        <v>7753</v>
      </c>
      <c r="W1397" s="156" t="s">
        <v>7760</v>
      </c>
      <c r="X1397" s="51" t="str">
        <f t="array" ref="X1397"> if(iserror(MATCH(V1397, 'File Links'!C:C, 0)), "N/A", HYPERLINK(INDEX('File Links'!B:B, MATCH(V1397, 'File Links'!C:C, 0))))</f>
        <v>https://drive.google.com/file/d/1G4tP3z0FT61HHKi1B51ImyPr28TywEAv/view?usp=drivesdk</v>
      </c>
      <c r="Y1397" s="156"/>
      <c r="Z1397" s="156" t="s">
        <v>219</v>
      </c>
      <c r="AA1397" s="156" t="s">
        <v>7737</v>
      </c>
      <c r="AB1397" s="156" t="s">
        <v>7761</v>
      </c>
      <c r="AC1397" s="1535" t="s">
        <v>7848</v>
      </c>
      <c r="AD1397" s="156" t="s">
        <v>7851</v>
      </c>
      <c r="AE1397" s="153">
        <v>2.0</v>
      </c>
      <c r="AF1397" s="153">
        <v>45.0</v>
      </c>
      <c r="AG1397" s="156" t="s">
        <v>7841</v>
      </c>
      <c r="AH1397" s="156" t="s">
        <v>127</v>
      </c>
      <c r="AI1397" s="156" t="s">
        <v>2764</v>
      </c>
      <c r="AJ1397" s="153">
        <v>0.025</v>
      </c>
      <c r="AK1397" s="156" t="s">
        <v>165</v>
      </c>
      <c r="AL1397" s="156" t="s">
        <v>179</v>
      </c>
      <c r="AM1397" s="156" t="s">
        <v>130</v>
      </c>
      <c r="AN1397" s="156" t="s">
        <v>131</v>
      </c>
      <c r="AO1397" s="153">
        <v>28.0</v>
      </c>
      <c r="AP1397" s="1535">
        <v>0.2</v>
      </c>
      <c r="AQ1397" s="478" t="s">
        <v>7758</v>
      </c>
      <c r="AR1397" s="148" t="s">
        <v>7852</v>
      </c>
      <c r="AS1397" s="156" t="s">
        <v>131</v>
      </c>
      <c r="AT1397" s="156" t="s">
        <v>165</v>
      </c>
      <c r="AU1397" s="156" t="s">
        <v>179</v>
      </c>
      <c r="AV1397" s="156" t="s">
        <v>130</v>
      </c>
      <c r="AW1397" s="65" t="s">
        <v>131</v>
      </c>
      <c r="AX1397" s="156" t="s">
        <v>136</v>
      </c>
      <c r="AZ1397" s="59" t="s">
        <v>7819</v>
      </c>
    </row>
    <row r="1398">
      <c r="A1398" s="41">
        <v>1398.0</v>
      </c>
      <c r="B1398" s="126" t="s">
        <v>145</v>
      </c>
      <c r="C1398" s="59" t="s">
        <v>108</v>
      </c>
      <c r="D1398" s="59" t="s">
        <v>1227</v>
      </c>
      <c r="F1398" s="65" t="s">
        <v>7853</v>
      </c>
      <c r="G1398" s="156" t="s">
        <v>7854</v>
      </c>
      <c r="H1398" s="156" t="s">
        <v>7727</v>
      </c>
      <c r="I1398" s="1284" t="s">
        <v>112</v>
      </c>
      <c r="J1398" s="1534">
        <v>45758.0</v>
      </c>
      <c r="K1398" s="156" t="s">
        <v>7855</v>
      </c>
      <c r="L1398" s="148" t="s">
        <v>7856</v>
      </c>
      <c r="M1398" s="148" t="s">
        <v>7791</v>
      </c>
      <c r="N1398" s="156" t="s">
        <v>7732</v>
      </c>
      <c r="O1398" s="153">
        <v>4.0</v>
      </c>
      <c r="P1398" s="379" t="s">
        <v>7733</v>
      </c>
      <c r="Q1398" s="49" t="str">
        <f t="array" ref="Q1398"> if(iserror(MATCH(V1398, 'File Links'!C:C, 0)), "N/A", HYPERLINK(INDEX('File Links'!B:B, MATCH(P1398, 'File Links'!C:C, 0))))</f>
        <v>https://drive.google.com/file/d/1w2KBBoT3U7JrwQsTrJduC-AS9fihTDq0/view?usp=drivesdk</v>
      </c>
      <c r="R1398" s="156" t="s">
        <v>7857</v>
      </c>
      <c r="S1398" s="156" t="s">
        <v>7858</v>
      </c>
      <c r="T1398" s="156" t="s">
        <v>131</v>
      </c>
      <c r="U1398" s="375">
        <v>1.0</v>
      </c>
      <c r="V1398" s="379" t="s">
        <v>7859</v>
      </c>
      <c r="W1398" s="377" t="s">
        <v>7860</v>
      </c>
      <c r="X1398" s="51" t="str">
        <f t="array" ref="X1398"> if(iserror(MATCH(V1398, 'File Links'!C:C, 0)), "N/A", HYPERLINK(INDEX('File Links'!B:B, MATCH(V1398, 'File Links'!C:C, 0))))</f>
        <v>https://drive.google.com/file/d/1_Adjy9YHg45Gx42zRW_GMddJujIpRnLp/view?usp=drivesdk</v>
      </c>
      <c r="Y1398" s="156"/>
      <c r="Z1398" s="156" t="s">
        <v>219</v>
      </c>
      <c r="AA1398" s="156" t="s">
        <v>7737</v>
      </c>
      <c r="AB1398" s="1539" t="s">
        <v>7861</v>
      </c>
      <c r="AC1398" s="1535" t="s">
        <v>7848</v>
      </c>
      <c r="AD1398" s="478" t="s">
        <v>7851</v>
      </c>
      <c r="AE1398" s="153">
        <v>2.0</v>
      </c>
      <c r="AF1398" s="153">
        <v>45.0</v>
      </c>
      <c r="AG1398" s="377" t="s">
        <v>7844</v>
      </c>
      <c r="AH1398" s="478" t="s">
        <v>127</v>
      </c>
      <c r="AI1398" s="478" t="s">
        <v>2764</v>
      </c>
      <c r="AJ1398" s="861">
        <v>0.025</v>
      </c>
      <c r="AK1398" s="156" t="s">
        <v>165</v>
      </c>
      <c r="AL1398" s="156" t="s">
        <v>179</v>
      </c>
      <c r="AM1398" s="156" t="s">
        <v>130</v>
      </c>
      <c r="AN1398" s="156" t="s">
        <v>131</v>
      </c>
      <c r="AO1398" s="153">
        <v>57.0</v>
      </c>
      <c r="AP1398" s="153">
        <v>0.076</v>
      </c>
      <c r="AQ1398" s="156" t="s">
        <v>867</v>
      </c>
      <c r="AR1398" s="478" t="s">
        <v>500</v>
      </c>
      <c r="AS1398" s="861">
        <v>0.001</v>
      </c>
      <c r="AT1398" s="156" t="s">
        <v>128</v>
      </c>
      <c r="AU1398" s="156" t="s">
        <v>179</v>
      </c>
      <c r="AV1398" s="156" t="s">
        <v>130</v>
      </c>
      <c r="AW1398" s="156" t="s">
        <v>131</v>
      </c>
      <c r="AX1398" s="156" t="s">
        <v>144</v>
      </c>
      <c r="AY1398" s="65"/>
      <c r="AZ1398" s="59" t="s">
        <v>7819</v>
      </c>
    </row>
    <row r="1399">
      <c r="A1399" s="41">
        <v>1399.0</v>
      </c>
      <c r="B1399" s="126" t="s">
        <v>107</v>
      </c>
      <c r="C1399" s="59" t="s">
        <v>108</v>
      </c>
      <c r="D1399" s="59" t="s">
        <v>1451</v>
      </c>
      <c r="F1399" s="65" t="s">
        <v>7853</v>
      </c>
      <c r="G1399" s="156" t="s">
        <v>7854</v>
      </c>
      <c r="H1399" s="156" t="s">
        <v>1511</v>
      </c>
      <c r="I1399" s="1284" t="s">
        <v>112</v>
      </c>
      <c r="J1399" s="1534">
        <v>45758.0</v>
      </c>
      <c r="K1399" s="156" t="s">
        <v>7862</v>
      </c>
      <c r="L1399" s="148" t="s">
        <v>7863</v>
      </c>
      <c r="M1399" s="148" t="s">
        <v>7791</v>
      </c>
      <c r="N1399" s="156" t="s">
        <v>7732</v>
      </c>
      <c r="O1399" s="153">
        <v>4.0</v>
      </c>
      <c r="P1399" s="379" t="s">
        <v>7733</v>
      </c>
      <c r="Q1399" s="49" t="str">
        <f t="array" ref="Q1399"> if(iserror(MATCH(V1399, 'File Links'!C:C, 0)), "N/A", HYPERLINK(INDEX('File Links'!B:B, MATCH(P1399, 'File Links'!C:C, 0))))</f>
        <v>https://drive.google.com/file/d/1w2KBBoT3U7JrwQsTrJduC-AS9fihTDq0/view?usp=drivesdk</v>
      </c>
      <c r="R1399" s="156" t="s">
        <v>7857</v>
      </c>
      <c r="S1399" s="156" t="s">
        <v>7858</v>
      </c>
      <c r="T1399" s="156" t="s">
        <v>131</v>
      </c>
      <c r="U1399" s="153">
        <v>1.0</v>
      </c>
      <c r="V1399" s="379" t="s">
        <v>7859</v>
      </c>
      <c r="W1399" s="156" t="s">
        <v>7864</v>
      </c>
      <c r="X1399" s="51" t="str">
        <f t="array" ref="X1399"> if(iserror(MATCH(V1399, 'File Links'!C:C, 0)), "N/A", HYPERLINK(INDEX('File Links'!B:B, MATCH(V1399, 'File Links'!C:C, 0))))</f>
        <v>https://drive.google.com/file/d/1_Adjy9YHg45Gx42zRW_GMddJujIpRnLp/view?usp=drivesdk</v>
      </c>
      <c r="Y1399" s="156"/>
      <c r="Z1399" s="156" t="s">
        <v>219</v>
      </c>
      <c r="AA1399" s="156" t="s">
        <v>7737</v>
      </c>
      <c r="AB1399" s="156" t="s">
        <v>7761</v>
      </c>
      <c r="AC1399" s="1535" t="s">
        <v>7848</v>
      </c>
      <c r="AD1399" s="156" t="s">
        <v>7851</v>
      </c>
      <c r="AE1399" s="153">
        <v>2.0</v>
      </c>
      <c r="AF1399" s="153">
        <v>45.0</v>
      </c>
      <c r="AG1399" s="156" t="s">
        <v>7841</v>
      </c>
      <c r="AH1399" s="156" t="s">
        <v>127</v>
      </c>
      <c r="AI1399" s="156" t="s">
        <v>2764</v>
      </c>
      <c r="AJ1399" s="153">
        <v>0.025</v>
      </c>
      <c r="AK1399" s="156" t="s">
        <v>165</v>
      </c>
      <c r="AL1399" s="156" t="s">
        <v>179</v>
      </c>
      <c r="AM1399" s="156" t="s">
        <v>130</v>
      </c>
      <c r="AN1399" s="156" t="s">
        <v>131</v>
      </c>
      <c r="AO1399" s="375">
        <v>57.0</v>
      </c>
      <c r="AP1399" s="153">
        <v>0.076</v>
      </c>
      <c r="AQ1399" s="156" t="s">
        <v>132</v>
      </c>
      <c r="AR1399" s="156" t="s">
        <v>500</v>
      </c>
      <c r="AS1399" s="153">
        <v>0.001</v>
      </c>
      <c r="AT1399" s="156" t="s">
        <v>128</v>
      </c>
      <c r="AU1399" s="156" t="s">
        <v>179</v>
      </c>
      <c r="AV1399" s="156" t="s">
        <v>130</v>
      </c>
      <c r="AW1399" s="65" t="s">
        <v>131</v>
      </c>
      <c r="AX1399" s="156" t="s">
        <v>136</v>
      </c>
      <c r="AZ1399" s="59" t="s">
        <v>7819</v>
      </c>
    </row>
    <row r="1400">
      <c r="A1400" s="41">
        <v>1400.0</v>
      </c>
      <c r="B1400" s="1540" t="s">
        <v>107</v>
      </c>
      <c r="C1400" s="1540" t="s">
        <v>108</v>
      </c>
      <c r="D1400" s="1449" t="s">
        <v>2623</v>
      </c>
      <c r="E1400" s="1541"/>
      <c r="F1400" s="65" t="s">
        <v>7865</v>
      </c>
      <c r="G1400" s="54" t="s">
        <v>7866</v>
      </c>
      <c r="H1400" s="156" t="s">
        <v>7383</v>
      </c>
      <c r="I1400" s="1542">
        <v>45292.0</v>
      </c>
      <c r="J1400" s="431">
        <v>45681.0</v>
      </c>
      <c r="K1400" s="65"/>
      <c r="L1400" s="336" t="s">
        <v>7316</v>
      </c>
      <c r="M1400" s="336" t="s">
        <v>7867</v>
      </c>
      <c r="N1400" s="434" t="s">
        <v>7868</v>
      </c>
      <c r="O1400" s="153">
        <v>2.0</v>
      </c>
      <c r="P1400" s="379" t="s">
        <v>7869</v>
      </c>
      <c r="Q1400" s="1543" t="str">
        <f> hyperlink(vlookup(lower(N1400),'File Links'!E:F, 2, FALSE), "LINK")</f>
        <v>LINK</v>
      </c>
      <c r="R1400" s="336" t="s">
        <v>7870</v>
      </c>
      <c r="S1400" s="434" t="s">
        <v>7871</v>
      </c>
      <c r="T1400" s="65"/>
      <c r="U1400" s="153">
        <v>1.0</v>
      </c>
      <c r="V1400" s="379" t="s">
        <v>7872</v>
      </c>
      <c r="W1400" s="137" t="s">
        <v>157</v>
      </c>
      <c r="X1400" s="1544" t="str">
        <f> hyperlink(vlookup(lower(S1400),'File Links'!E:F, 2, FALSE), "LINK")</f>
        <v>LINK</v>
      </c>
      <c r="Y1400" s="65"/>
      <c r="Z1400" s="434" t="s">
        <v>219</v>
      </c>
      <c r="AA1400" s="434" t="s">
        <v>7873</v>
      </c>
      <c r="AB1400" s="434" t="s">
        <v>7874</v>
      </c>
      <c r="AC1400" s="434" t="s">
        <v>7875</v>
      </c>
      <c r="AD1400" s="434" t="s">
        <v>7876</v>
      </c>
      <c r="AE1400" s="825">
        <v>55.0</v>
      </c>
      <c r="AF1400" s="825">
        <v>71.0</v>
      </c>
      <c r="AG1400" s="825">
        <v>0.34</v>
      </c>
      <c r="AH1400" s="1545" t="s">
        <v>166</v>
      </c>
      <c r="AI1400" s="373" t="s">
        <v>7877</v>
      </c>
      <c r="AJ1400" s="828">
        <v>0.02</v>
      </c>
      <c r="AK1400" s="434" t="s">
        <v>165</v>
      </c>
      <c r="AL1400" s="373" t="s">
        <v>129</v>
      </c>
      <c r="AM1400" s="829" t="s">
        <v>130</v>
      </c>
      <c r="AN1400" s="65"/>
      <c r="AO1400" s="825">
        <v>148.0</v>
      </c>
      <c r="AP1400" s="825">
        <v>0.16</v>
      </c>
      <c r="AQ1400" s="434" t="s">
        <v>166</v>
      </c>
      <c r="AR1400" s="434" t="s">
        <v>7878</v>
      </c>
      <c r="AS1400" s="825">
        <v>0.37</v>
      </c>
      <c r="AT1400" s="434" t="s">
        <v>328</v>
      </c>
      <c r="AU1400" s="434" t="s">
        <v>129</v>
      </c>
      <c r="AV1400" s="829" t="s">
        <v>130</v>
      </c>
      <c r="AW1400" s="1546" t="s">
        <v>7879</v>
      </c>
      <c r="AX1400" s="829" t="s">
        <v>136</v>
      </c>
      <c r="AY1400" s="65"/>
      <c r="AZ1400" s="335"/>
      <c r="BA1400" s="65"/>
      <c r="BB1400" s="65"/>
      <c r="BC1400" s="65"/>
      <c r="BD1400" s="65"/>
      <c r="BE1400" s="65"/>
      <c r="BF1400" s="65"/>
      <c r="BJ1400" s="104"/>
      <c r="BK1400" s="104"/>
      <c r="BL1400" s="104"/>
      <c r="BM1400" s="104"/>
      <c r="BN1400" s="104"/>
      <c r="BO1400" s="104"/>
      <c r="BP1400" s="104"/>
      <c r="BQ1400" s="104"/>
      <c r="BR1400" s="104"/>
      <c r="BS1400" s="104"/>
      <c r="BT1400" s="104"/>
      <c r="BU1400" s="104"/>
      <c r="BV1400" s="104"/>
      <c r="BW1400" s="104"/>
      <c r="BX1400" s="104"/>
      <c r="BY1400" s="104"/>
      <c r="BZ1400" s="104"/>
      <c r="CA1400" s="104"/>
      <c r="CB1400" s="104"/>
      <c r="CC1400" s="104"/>
      <c r="CD1400" s="104"/>
      <c r="CE1400" s="104"/>
      <c r="CF1400" s="104"/>
      <c r="CG1400" s="104"/>
      <c r="CH1400" s="104"/>
      <c r="CI1400" s="104"/>
      <c r="CJ1400" s="104"/>
      <c r="CK1400" s="104"/>
      <c r="CL1400" s="104"/>
      <c r="CM1400" s="104"/>
      <c r="CN1400" s="104"/>
      <c r="CO1400" s="104"/>
      <c r="CP1400" s="104"/>
      <c r="CQ1400" s="104"/>
      <c r="CR1400" s="104"/>
      <c r="CS1400" s="104"/>
      <c r="CT1400" s="104"/>
      <c r="CU1400" s="104"/>
      <c r="CV1400" s="104"/>
      <c r="CW1400" s="104"/>
      <c r="CX1400" s="104"/>
      <c r="CY1400" s="104"/>
      <c r="CZ1400" s="104"/>
      <c r="DA1400" s="104"/>
      <c r="DB1400" s="104"/>
      <c r="DC1400" s="104"/>
      <c r="DD1400" s="104"/>
      <c r="DE1400" s="104"/>
      <c r="DF1400" s="104"/>
      <c r="DG1400" s="104"/>
      <c r="DH1400" s="104"/>
    </row>
    <row r="1401">
      <c r="A1401" s="41">
        <v>1401.0</v>
      </c>
      <c r="B1401" s="121" t="s">
        <v>145</v>
      </c>
      <c r="C1401" s="121" t="s">
        <v>108</v>
      </c>
      <c r="D1401" s="121" t="s">
        <v>1263</v>
      </c>
      <c r="E1401" s="104"/>
      <c r="F1401" s="1547" t="s">
        <v>7865</v>
      </c>
      <c r="G1401" s="116" t="s">
        <v>7866</v>
      </c>
      <c r="H1401" s="137" t="s">
        <v>5011</v>
      </c>
      <c r="I1401" s="124">
        <v>45646.0</v>
      </c>
      <c r="J1401" s="1531">
        <v>45684.0</v>
      </c>
      <c r="K1401" s="137" t="s">
        <v>7880</v>
      </c>
      <c r="L1401" s="137"/>
      <c r="M1401" s="116" t="s">
        <v>7881</v>
      </c>
      <c r="N1401" s="137" t="s">
        <v>7868</v>
      </c>
      <c r="O1401" s="779">
        <v>2.0</v>
      </c>
      <c r="P1401" s="137" t="s">
        <v>7869</v>
      </c>
      <c r="Q1401" s="49" t="str">
        <f t="array" ref="Q1401"> if(iserror(MATCH(V1401, 'File Links'!C:C, 0)), "N/A", HYPERLINK(INDEX('File Links'!B:B, MATCH(P1401, 'File Links'!C:C, 0))))</f>
        <v>https://drive.google.com/file/d/12hPE3_ROkrr-EwAg8DQR8e8OYrtwuoYT/view?usp=drivesdk</v>
      </c>
      <c r="R1401" s="113" t="s">
        <v>7882</v>
      </c>
      <c r="S1401" s="137" t="s">
        <v>7871</v>
      </c>
      <c r="T1401" s="122"/>
      <c r="U1401" s="779">
        <v>1.0</v>
      </c>
      <c r="V1401" s="195" t="str">
        <f> hyperlink(vlookup(lower(S1401),#REF!, 2, FALSE), SUBSTITUTE(lower(S1401), "/", "--") &amp;  ".pdf")</f>
        <v>10.3758--s13423-014-0757-4.pdf</v>
      </c>
      <c r="W1401" s="137" t="s">
        <v>157</v>
      </c>
      <c r="X1401" s="51" t="str">
        <f t="array" ref="X1401"> if(iserror(MATCH(V1401, 'File Links'!C:C, 0)), "N/A", HYPERLINK(INDEX('File Links'!B:B, MATCH(V1401, 'File Links'!C:C, 0))))</f>
        <v>https://drive.google.com/file/d/1p5ydRsZ4brAO2FqzQtlUbRAhPkcmRVgm/view?usp=drivesdk</v>
      </c>
      <c r="Y1401" s="122"/>
      <c r="Z1401" s="137" t="s">
        <v>219</v>
      </c>
      <c r="AA1401" s="137" t="s">
        <v>7883</v>
      </c>
      <c r="AB1401" s="137" t="s">
        <v>7884</v>
      </c>
      <c r="AC1401" s="137" t="s">
        <v>7885</v>
      </c>
      <c r="AD1401" s="116" t="s">
        <v>7886</v>
      </c>
      <c r="AE1401" s="1548">
        <v>45574.0</v>
      </c>
      <c r="AF1401" s="779">
        <v>71.0</v>
      </c>
      <c r="AG1401" s="137" t="s">
        <v>7887</v>
      </c>
      <c r="AH1401" s="220" t="s">
        <v>127</v>
      </c>
      <c r="AI1401" s="123" t="s">
        <v>621</v>
      </c>
      <c r="AJ1401" s="127">
        <v>0.02</v>
      </c>
      <c r="AK1401" s="137" t="s">
        <v>128</v>
      </c>
      <c r="AL1401" s="123" t="s">
        <v>179</v>
      </c>
      <c r="AM1401" s="122" t="s">
        <v>130</v>
      </c>
      <c r="AN1401" s="327" t="s">
        <v>131</v>
      </c>
      <c r="AO1401" s="779">
        <v>148.0</v>
      </c>
      <c r="AP1401" s="779">
        <v>0.16</v>
      </c>
      <c r="AQ1401" s="137" t="s">
        <v>166</v>
      </c>
      <c r="AR1401" s="137" t="s">
        <v>489</v>
      </c>
      <c r="AS1401" s="779">
        <v>0.37</v>
      </c>
      <c r="AT1401" s="137" t="s">
        <v>165</v>
      </c>
      <c r="AU1401" s="137" t="s">
        <v>179</v>
      </c>
      <c r="AV1401" s="122" t="s">
        <v>130</v>
      </c>
      <c r="AW1401" s="1549" t="s">
        <v>7879</v>
      </c>
      <c r="AX1401" s="906" t="s">
        <v>136</v>
      </c>
      <c r="AY1401" s="104"/>
      <c r="AZ1401" s="121" t="s">
        <v>137</v>
      </c>
      <c r="BJ1401" s="104"/>
      <c r="BK1401" s="104"/>
      <c r="BL1401" s="104"/>
      <c r="BM1401" s="104"/>
      <c r="BN1401" s="104"/>
      <c r="BO1401" s="104"/>
      <c r="BP1401" s="104"/>
      <c r="BQ1401" s="104"/>
      <c r="BR1401" s="104"/>
      <c r="BS1401" s="104"/>
      <c r="BT1401" s="104"/>
      <c r="BU1401" s="104"/>
      <c r="BV1401" s="104"/>
      <c r="BW1401" s="104"/>
      <c r="BX1401" s="104"/>
      <c r="BY1401" s="104"/>
      <c r="BZ1401" s="104"/>
      <c r="CA1401" s="104"/>
      <c r="CB1401" s="104"/>
      <c r="CC1401" s="104"/>
      <c r="CD1401" s="104"/>
      <c r="CE1401" s="104"/>
      <c r="CF1401" s="104"/>
      <c r="CG1401" s="104"/>
      <c r="CH1401" s="104"/>
      <c r="CI1401" s="104"/>
      <c r="CJ1401" s="104"/>
      <c r="CK1401" s="104"/>
      <c r="CL1401" s="104"/>
      <c r="CM1401" s="104"/>
      <c r="CN1401" s="104"/>
      <c r="CO1401" s="104"/>
      <c r="CP1401" s="104"/>
      <c r="CQ1401" s="104"/>
      <c r="CR1401" s="104"/>
      <c r="CS1401" s="104"/>
      <c r="CT1401" s="104"/>
      <c r="CU1401" s="104"/>
      <c r="CV1401" s="104"/>
      <c r="CW1401" s="104"/>
      <c r="CX1401" s="104"/>
      <c r="CY1401" s="104"/>
      <c r="CZ1401" s="104"/>
      <c r="DA1401" s="104"/>
      <c r="DB1401" s="104"/>
      <c r="DC1401" s="104"/>
      <c r="DD1401" s="104"/>
      <c r="DE1401" s="104"/>
      <c r="DF1401" s="104"/>
      <c r="DG1401" s="104"/>
      <c r="DH1401" s="104"/>
    </row>
    <row r="1402">
      <c r="A1402" s="41">
        <v>1402.0</v>
      </c>
      <c r="B1402" s="1540" t="s">
        <v>107</v>
      </c>
      <c r="C1402" s="1540" t="s">
        <v>108</v>
      </c>
      <c r="D1402" s="1540" t="s">
        <v>2623</v>
      </c>
      <c r="E1402" s="1541"/>
      <c r="F1402" s="335" t="s">
        <v>7888</v>
      </c>
      <c r="G1402" s="54" t="s">
        <v>7889</v>
      </c>
      <c r="H1402" s="156" t="s">
        <v>7383</v>
      </c>
      <c r="I1402" s="1542">
        <v>45292.0</v>
      </c>
      <c r="J1402" s="431">
        <v>45681.0</v>
      </c>
      <c r="K1402" s="65"/>
      <c r="L1402" s="156" t="s">
        <v>7316</v>
      </c>
      <c r="M1402" s="336" t="s">
        <v>7867</v>
      </c>
      <c r="N1402" s="434" t="s">
        <v>7868</v>
      </c>
      <c r="O1402" s="153">
        <v>2.0</v>
      </c>
      <c r="P1402" s="379" t="s">
        <v>7869</v>
      </c>
      <c r="Q1402" s="1543" t="str">
        <f> HYPERLINK(VLOOKUP(LOWER(N1402),'File Links'!E:F, 2, FALSE), "LINK")</f>
        <v>LINK</v>
      </c>
      <c r="R1402" s="336" t="s">
        <v>7890</v>
      </c>
      <c r="S1402" s="434" t="s">
        <v>7871</v>
      </c>
      <c r="T1402" s="65"/>
      <c r="U1402" s="153">
        <v>2.0</v>
      </c>
      <c r="V1402" s="379" t="s">
        <v>7872</v>
      </c>
      <c r="W1402" s="137" t="s">
        <v>157</v>
      </c>
      <c r="X1402" s="1544" t="str">
        <f> hyperlink(vlookup(lower(S1402),'File Links'!E:F, 2, FALSE), "LINK")</f>
        <v>LINK</v>
      </c>
      <c r="Y1402" s="65"/>
      <c r="Z1402" s="434" t="s">
        <v>219</v>
      </c>
      <c r="AA1402" s="434" t="s">
        <v>7873</v>
      </c>
      <c r="AB1402" s="434" t="s">
        <v>7874</v>
      </c>
      <c r="AC1402" s="434" t="s">
        <v>7891</v>
      </c>
      <c r="AD1402" s="434" t="s">
        <v>7876</v>
      </c>
      <c r="AE1402" s="825">
        <v>55.0</v>
      </c>
      <c r="AF1402" s="825">
        <v>71.0</v>
      </c>
      <c r="AG1402" s="825">
        <v>0.34</v>
      </c>
      <c r="AH1402" s="1545" t="s">
        <v>166</v>
      </c>
      <c r="AI1402" s="373" t="s">
        <v>7877</v>
      </c>
      <c r="AJ1402" s="828">
        <v>0.02</v>
      </c>
      <c r="AK1402" s="434" t="s">
        <v>165</v>
      </c>
      <c r="AL1402" s="373" t="s">
        <v>129</v>
      </c>
      <c r="AM1402" s="829" t="s">
        <v>130</v>
      </c>
      <c r="AN1402" s="65"/>
      <c r="AO1402" s="825">
        <v>148.0</v>
      </c>
      <c r="AP1402" s="825">
        <v>0.09</v>
      </c>
      <c r="AQ1402" s="434" t="s">
        <v>166</v>
      </c>
      <c r="AR1402" s="434" t="s">
        <v>7892</v>
      </c>
      <c r="AS1402" s="825">
        <v>0.62</v>
      </c>
      <c r="AT1402" s="434" t="s">
        <v>328</v>
      </c>
      <c r="AU1402" s="434" t="s">
        <v>129</v>
      </c>
      <c r="AV1402" s="829" t="s">
        <v>130</v>
      </c>
      <c r="AW1402" s="1546" t="s">
        <v>7893</v>
      </c>
      <c r="AX1402" s="829" t="s">
        <v>136</v>
      </c>
      <c r="AY1402" s="65"/>
      <c r="AZ1402" s="335"/>
      <c r="BA1402" s="65"/>
      <c r="BB1402" s="65"/>
      <c r="BC1402" s="65"/>
      <c r="BJ1402" s="104"/>
      <c r="BK1402" s="104"/>
      <c r="BL1402" s="104"/>
      <c r="BM1402" s="104"/>
      <c r="BN1402" s="104"/>
      <c r="BO1402" s="104"/>
      <c r="BP1402" s="104"/>
      <c r="BQ1402" s="104"/>
      <c r="BR1402" s="104"/>
      <c r="BS1402" s="104"/>
      <c r="BT1402" s="104"/>
      <c r="BU1402" s="104"/>
      <c r="BV1402" s="104"/>
      <c r="BW1402" s="104"/>
      <c r="BX1402" s="104"/>
      <c r="BY1402" s="104"/>
      <c r="BZ1402" s="104"/>
      <c r="CA1402" s="104"/>
      <c r="CB1402" s="104"/>
      <c r="CC1402" s="104"/>
      <c r="CD1402" s="104"/>
      <c r="CE1402" s="104"/>
      <c r="CF1402" s="104"/>
      <c r="CG1402" s="104"/>
      <c r="CH1402" s="104"/>
      <c r="CI1402" s="104"/>
      <c r="CJ1402" s="104"/>
      <c r="CK1402" s="104"/>
      <c r="CL1402" s="104"/>
      <c r="CM1402" s="104"/>
      <c r="CN1402" s="104"/>
      <c r="CO1402" s="104"/>
      <c r="CP1402" s="104"/>
      <c r="CQ1402" s="104"/>
      <c r="CR1402" s="104"/>
      <c r="CS1402" s="104"/>
      <c r="CT1402" s="104"/>
      <c r="CU1402" s="104"/>
      <c r="CV1402" s="104"/>
      <c r="CW1402" s="104"/>
      <c r="CX1402" s="104"/>
      <c r="CY1402" s="104"/>
      <c r="CZ1402" s="104"/>
      <c r="DA1402" s="104"/>
      <c r="DB1402" s="104"/>
      <c r="DC1402" s="104"/>
      <c r="DD1402" s="104"/>
      <c r="DE1402" s="104"/>
      <c r="DF1402" s="104"/>
      <c r="DG1402" s="104"/>
      <c r="DH1402" s="104"/>
    </row>
    <row r="1403">
      <c r="A1403" s="41">
        <v>1403.0</v>
      </c>
      <c r="B1403" s="121" t="s">
        <v>145</v>
      </c>
      <c r="C1403" s="121" t="s">
        <v>108</v>
      </c>
      <c r="D1403" s="121" t="s">
        <v>1263</v>
      </c>
      <c r="E1403" s="104"/>
      <c r="F1403" s="1550" t="s">
        <v>7888</v>
      </c>
      <c r="G1403" s="116" t="s">
        <v>7889</v>
      </c>
      <c r="H1403" s="137" t="s">
        <v>5011</v>
      </c>
      <c r="I1403" s="124">
        <v>45646.0</v>
      </c>
      <c r="J1403" s="1531">
        <v>45684.0</v>
      </c>
      <c r="K1403" s="137" t="s">
        <v>7894</v>
      </c>
      <c r="L1403" s="137"/>
      <c r="M1403" s="116" t="s">
        <v>7881</v>
      </c>
      <c r="N1403" s="137" t="s">
        <v>7868</v>
      </c>
      <c r="O1403" s="779">
        <v>2.0</v>
      </c>
      <c r="P1403" s="137" t="s">
        <v>7869</v>
      </c>
      <c r="Q1403" s="49" t="str">
        <f t="array" ref="Q1403"> if(iserror(MATCH(V1403, 'File Links'!C:C, 0)), "N/A", HYPERLINK(INDEX('File Links'!B:B, MATCH(P1403, 'File Links'!C:C, 0))))</f>
        <v>https://drive.google.com/file/d/12hPE3_ROkrr-EwAg8DQR8e8OYrtwuoYT/view?usp=drivesdk</v>
      </c>
      <c r="R1403" s="113" t="s">
        <v>7882</v>
      </c>
      <c r="S1403" s="137" t="s">
        <v>7871</v>
      </c>
      <c r="T1403" s="122"/>
      <c r="U1403" s="779">
        <v>2.0</v>
      </c>
      <c r="V1403" s="195" t="str">
        <f> hyperlink(vlookup(lower(S1403),#REF!, 2, FALSE), SUBSTITUTE(lower(S1403), "/", "--") &amp;  ".pdf")</f>
        <v>10.3758--s13423-014-0757-4.pdf</v>
      </c>
      <c r="W1403" s="137" t="s">
        <v>157</v>
      </c>
      <c r="X1403" s="51" t="str">
        <f t="array" ref="X1403"> if(iserror(MATCH(V1403, 'File Links'!C:C, 0)), "N/A", HYPERLINK(INDEX('File Links'!B:B, MATCH(V1403, 'File Links'!C:C, 0))))</f>
        <v>https://drive.google.com/file/d/1p5ydRsZ4brAO2FqzQtlUbRAhPkcmRVgm/view?usp=drivesdk</v>
      </c>
      <c r="Y1403" s="122"/>
      <c r="Z1403" s="137" t="s">
        <v>219</v>
      </c>
      <c r="AA1403" s="137" t="s">
        <v>7883</v>
      </c>
      <c r="AB1403" s="137" t="s">
        <v>7884</v>
      </c>
      <c r="AC1403" s="137" t="s">
        <v>7885</v>
      </c>
      <c r="AD1403" s="137" t="s">
        <v>7895</v>
      </c>
      <c r="AE1403" s="1548">
        <v>45574.0</v>
      </c>
      <c r="AF1403" s="779">
        <v>71.0</v>
      </c>
      <c r="AG1403" s="137" t="s">
        <v>7887</v>
      </c>
      <c r="AH1403" s="220" t="s">
        <v>127</v>
      </c>
      <c r="AI1403" s="123" t="s">
        <v>621</v>
      </c>
      <c r="AJ1403" s="127">
        <v>0.02</v>
      </c>
      <c r="AK1403" s="137" t="s">
        <v>128</v>
      </c>
      <c r="AL1403" s="123" t="s">
        <v>179</v>
      </c>
      <c r="AM1403" s="122" t="s">
        <v>130</v>
      </c>
      <c r="AN1403" s="327" t="s">
        <v>131</v>
      </c>
      <c r="AO1403" s="779">
        <v>148.0</v>
      </c>
      <c r="AP1403" s="779">
        <v>-0.09</v>
      </c>
      <c r="AQ1403" s="137" t="s">
        <v>166</v>
      </c>
      <c r="AR1403" s="137" t="s">
        <v>489</v>
      </c>
      <c r="AS1403" s="779">
        <v>0.62</v>
      </c>
      <c r="AT1403" s="137" t="s">
        <v>165</v>
      </c>
      <c r="AU1403" s="137" t="s">
        <v>179</v>
      </c>
      <c r="AV1403" s="122" t="s">
        <v>130</v>
      </c>
      <c r="AW1403" s="666" t="s">
        <v>7893</v>
      </c>
      <c r="AX1403" s="906" t="s">
        <v>136</v>
      </c>
      <c r="AY1403" s="104"/>
      <c r="AZ1403" s="121" t="s">
        <v>137</v>
      </c>
    </row>
    <row r="1404">
      <c r="A1404" s="41">
        <v>1404.0</v>
      </c>
      <c r="B1404" s="126" t="s">
        <v>145</v>
      </c>
      <c r="C1404" s="59" t="s">
        <v>108</v>
      </c>
      <c r="D1404" s="59" t="s">
        <v>1227</v>
      </c>
      <c r="F1404" s="65" t="s">
        <v>7896</v>
      </c>
      <c r="G1404" s="156" t="s">
        <v>7897</v>
      </c>
      <c r="H1404" s="156" t="s">
        <v>7727</v>
      </c>
      <c r="I1404" s="1284" t="s">
        <v>112</v>
      </c>
      <c r="J1404" s="1534">
        <v>45758.0</v>
      </c>
      <c r="K1404" s="156" t="s">
        <v>131</v>
      </c>
      <c r="L1404" s="148" t="s">
        <v>7898</v>
      </c>
      <c r="M1404" s="156" t="s">
        <v>7899</v>
      </c>
      <c r="N1404" s="156" t="s">
        <v>7900</v>
      </c>
      <c r="O1404" s="153">
        <v>1.0</v>
      </c>
      <c r="P1404" s="379" t="s">
        <v>7901</v>
      </c>
      <c r="Q1404" s="49" t="str">
        <f t="array" ref="Q1404"> if(iserror(MATCH(V1404, 'File Links'!C:C, 0)), "N/A", HYPERLINK(INDEX('File Links'!B:B, MATCH(P1404, 'File Links'!C:C, 0))))</f>
        <v>https://drive.google.com/file/d/1qeprGIAy7AN_pByPqzOUMvJ-k5SpkEYf/view?usp=drivesdk</v>
      </c>
      <c r="R1404" s="156" t="s">
        <v>7902</v>
      </c>
      <c r="S1404" s="156" t="s">
        <v>7903</v>
      </c>
      <c r="T1404" s="156" t="s">
        <v>131</v>
      </c>
      <c r="U1404" s="153">
        <v>1.0</v>
      </c>
      <c r="V1404" s="379" t="s">
        <v>7904</v>
      </c>
      <c r="W1404" s="478" t="s">
        <v>2449</v>
      </c>
      <c r="X1404" s="51" t="str">
        <f t="array" ref="X1404"> if(iserror(MATCH(V1404, 'File Links'!C:C, 0)), "N/A", HYPERLINK(INDEX('File Links'!B:B, MATCH(V1404, 'File Links'!C:C, 0))))</f>
        <v>https://drive.google.com/file/d/182GXuG3qegDOfzlWQwH4rNCoeEmBWZVE/view?usp=drivesdk</v>
      </c>
      <c r="Y1404" s="156"/>
      <c r="Z1404" s="156" t="s">
        <v>219</v>
      </c>
      <c r="AA1404" s="156" t="s">
        <v>7905</v>
      </c>
      <c r="AB1404" s="1551" t="s">
        <v>7906</v>
      </c>
      <c r="AC1404" s="1535" t="s">
        <v>7907</v>
      </c>
      <c r="AD1404" s="1535" t="s">
        <v>7908</v>
      </c>
      <c r="AE1404" s="153">
        <v>5.0</v>
      </c>
      <c r="AF1404" s="153">
        <v>42.0</v>
      </c>
      <c r="AG1404" s="861">
        <v>0.34</v>
      </c>
      <c r="AH1404" s="377" t="s">
        <v>208</v>
      </c>
      <c r="AI1404" s="156" t="s">
        <v>875</v>
      </c>
      <c r="AJ1404" s="861">
        <v>0.05</v>
      </c>
      <c r="AK1404" s="156" t="s">
        <v>128</v>
      </c>
      <c r="AL1404" s="380" t="s">
        <v>179</v>
      </c>
      <c r="AM1404" s="539" t="s">
        <v>134</v>
      </c>
      <c r="AN1404" s="156" t="s">
        <v>131</v>
      </c>
      <c r="AO1404" s="153">
        <v>200.0</v>
      </c>
      <c r="AP1404" s="153">
        <v>-0.2</v>
      </c>
      <c r="AQ1404" s="156" t="s">
        <v>166</v>
      </c>
      <c r="AR1404" s="377" t="s">
        <v>868</v>
      </c>
      <c r="AS1404" s="861">
        <v>0.162</v>
      </c>
      <c r="AT1404" s="156" t="s">
        <v>165</v>
      </c>
      <c r="AU1404" s="156" t="s">
        <v>129</v>
      </c>
      <c r="AV1404" s="156" t="s">
        <v>130</v>
      </c>
      <c r="AW1404" s="156" t="s">
        <v>131</v>
      </c>
      <c r="AX1404" s="156" t="s">
        <v>136</v>
      </c>
      <c r="AY1404" s="65"/>
      <c r="AZ1404" s="59" t="s">
        <v>7909</v>
      </c>
    </row>
    <row r="1405">
      <c r="A1405" s="41">
        <v>1405.0</v>
      </c>
      <c r="B1405" s="126" t="s">
        <v>145</v>
      </c>
      <c r="C1405" s="59" t="s">
        <v>108</v>
      </c>
      <c r="D1405" s="59" t="s">
        <v>1451</v>
      </c>
      <c r="F1405" s="65" t="s">
        <v>7896</v>
      </c>
      <c r="G1405" s="156" t="s">
        <v>7897</v>
      </c>
      <c r="H1405" s="156" t="s">
        <v>1511</v>
      </c>
      <c r="I1405" s="1284" t="s">
        <v>112</v>
      </c>
      <c r="J1405" s="1534">
        <v>45758.0</v>
      </c>
      <c r="K1405" s="156" t="s">
        <v>7910</v>
      </c>
      <c r="L1405" s="148" t="s">
        <v>7911</v>
      </c>
      <c r="M1405" s="156" t="s">
        <v>7899</v>
      </c>
      <c r="N1405" s="156" t="s">
        <v>7900</v>
      </c>
      <c r="O1405" s="153">
        <v>1.0</v>
      </c>
      <c r="P1405" s="379" t="s">
        <v>7901</v>
      </c>
      <c r="Q1405" s="49" t="str">
        <f t="array" ref="Q1405"> if(iserror(MATCH(V1405, 'File Links'!C:C, 0)), "N/A", HYPERLINK(INDEX('File Links'!B:B, MATCH(P1405, 'File Links'!C:C, 0))))</f>
        <v>https://drive.google.com/file/d/1qeprGIAy7AN_pByPqzOUMvJ-k5SpkEYf/view?usp=drivesdk</v>
      </c>
      <c r="R1405" s="156" t="s">
        <v>7902</v>
      </c>
      <c r="S1405" s="156" t="s">
        <v>7903</v>
      </c>
      <c r="T1405" s="156" t="s">
        <v>131</v>
      </c>
      <c r="U1405" s="153">
        <v>1.0</v>
      </c>
      <c r="V1405" s="379" t="s">
        <v>7904</v>
      </c>
      <c r="W1405" s="156" t="s">
        <v>2449</v>
      </c>
      <c r="X1405" s="51" t="str">
        <f t="array" ref="X1405"> if(iserror(MATCH(V1405, 'File Links'!C:C, 0)), "N/A", HYPERLINK(INDEX('File Links'!B:B, MATCH(V1405, 'File Links'!C:C, 0))))</f>
        <v>https://drive.google.com/file/d/182GXuG3qegDOfzlWQwH4rNCoeEmBWZVE/view?usp=drivesdk</v>
      </c>
      <c r="Y1405" s="156"/>
      <c r="Z1405" s="156" t="s">
        <v>219</v>
      </c>
      <c r="AA1405" s="156" t="s">
        <v>7905</v>
      </c>
      <c r="AB1405" s="156" t="s">
        <v>7906</v>
      </c>
      <c r="AC1405" s="1535" t="s">
        <v>7907</v>
      </c>
      <c r="AD1405" s="148" t="s">
        <v>7912</v>
      </c>
      <c r="AE1405" s="153">
        <v>5.0</v>
      </c>
      <c r="AF1405" s="153">
        <v>42.0</v>
      </c>
      <c r="AG1405" s="377" t="s">
        <v>7913</v>
      </c>
      <c r="AH1405" s="377" t="s">
        <v>7914</v>
      </c>
      <c r="AI1405" s="156" t="s">
        <v>875</v>
      </c>
      <c r="AJ1405" s="153">
        <v>0.05</v>
      </c>
      <c r="AK1405" s="156" t="s">
        <v>128</v>
      </c>
      <c r="AL1405" s="380" t="s">
        <v>179</v>
      </c>
      <c r="AM1405" s="539" t="s">
        <v>134</v>
      </c>
      <c r="AN1405" s="156" t="s">
        <v>131</v>
      </c>
      <c r="AO1405" s="153">
        <v>200.0</v>
      </c>
      <c r="AP1405" s="156" t="s">
        <v>7915</v>
      </c>
      <c r="AQ1405" s="156" t="s">
        <v>166</v>
      </c>
      <c r="AR1405" s="156" t="s">
        <v>2764</v>
      </c>
      <c r="AS1405" s="153">
        <v>0.215</v>
      </c>
      <c r="AT1405" s="156" t="s">
        <v>165</v>
      </c>
      <c r="AU1405" s="156" t="s">
        <v>129</v>
      </c>
      <c r="AV1405" s="156" t="s">
        <v>130</v>
      </c>
      <c r="AW1405" s="65" t="s">
        <v>131</v>
      </c>
      <c r="AX1405" s="156" t="s">
        <v>144</v>
      </c>
      <c r="AZ1405" s="59" t="s">
        <v>7909</v>
      </c>
    </row>
    <row r="1406" ht="15.75" customHeight="1">
      <c r="A1406" s="41">
        <v>1406.0</v>
      </c>
      <c r="B1406" s="126" t="s">
        <v>583</v>
      </c>
      <c r="C1406" s="59" t="s">
        <v>108</v>
      </c>
      <c r="D1406" s="59" t="s">
        <v>1227</v>
      </c>
      <c r="F1406" s="65" t="s">
        <v>7916</v>
      </c>
      <c r="G1406" s="156" t="s">
        <v>7917</v>
      </c>
      <c r="H1406" s="156" t="s">
        <v>7727</v>
      </c>
      <c r="I1406" s="1284" t="s">
        <v>112</v>
      </c>
      <c r="J1406" s="1534">
        <v>45758.0</v>
      </c>
      <c r="K1406" s="156" t="s">
        <v>7918</v>
      </c>
      <c r="L1406" s="148" t="s">
        <v>7919</v>
      </c>
      <c r="M1406" s="156" t="s">
        <v>7899</v>
      </c>
      <c r="N1406" s="156" t="s">
        <v>7900</v>
      </c>
      <c r="O1406" s="153">
        <v>1.0</v>
      </c>
      <c r="P1406" s="379" t="s">
        <v>7901</v>
      </c>
      <c r="Q1406" s="49" t="str">
        <f t="array" ref="Q1406"> if(iserror(MATCH(V1406, 'File Links'!C:C, 0)), "N/A", HYPERLINK(INDEX('File Links'!B:B, MATCH(P1406, 'File Links'!C:C, 0))))</f>
        <v>https://drive.google.com/file/d/1qeprGIAy7AN_pByPqzOUMvJ-k5SpkEYf/view?usp=drivesdk</v>
      </c>
      <c r="R1406" s="156" t="s">
        <v>7920</v>
      </c>
      <c r="S1406" s="156" t="s">
        <v>7921</v>
      </c>
      <c r="T1406" s="156" t="s">
        <v>131</v>
      </c>
      <c r="U1406" s="153">
        <v>1.0</v>
      </c>
      <c r="V1406" s="379" t="s">
        <v>7922</v>
      </c>
      <c r="W1406" s="377" t="s">
        <v>202</v>
      </c>
      <c r="X1406" s="51" t="str">
        <f t="array" ref="X1406"> if(iserror(MATCH(V1406, 'File Links'!C:C, 0)), "N/A", HYPERLINK(INDEX('File Links'!B:B, MATCH(V1406, 'File Links'!C:C, 0))))</f>
        <v>https://drive.google.com/file/d/1Siah8cHN9e47_gL9zhIF1EGajvH1CyAB/view?usp=drivesdk</v>
      </c>
      <c r="Y1406" s="156" t="s">
        <v>7923</v>
      </c>
      <c r="Z1406" s="156" t="s">
        <v>219</v>
      </c>
      <c r="AA1406" s="156" t="s">
        <v>7905</v>
      </c>
      <c r="AB1406" s="156" t="s">
        <v>7924</v>
      </c>
      <c r="AC1406" s="1535" t="s">
        <v>7907</v>
      </c>
      <c r="AD1406" s="156" t="s">
        <v>131</v>
      </c>
      <c r="AE1406" s="153">
        <v>5.0</v>
      </c>
      <c r="AF1406" s="153">
        <v>42.0</v>
      </c>
      <c r="AG1406" s="861">
        <v>0.34</v>
      </c>
      <c r="AH1406" s="156" t="s">
        <v>715</v>
      </c>
      <c r="AI1406" s="156" t="s">
        <v>875</v>
      </c>
      <c r="AJ1406" s="861">
        <v>0.05</v>
      </c>
      <c r="AK1406" s="156" t="s">
        <v>128</v>
      </c>
      <c r="AL1406" s="156" t="s">
        <v>129</v>
      </c>
      <c r="AM1406" s="156" t="s">
        <v>130</v>
      </c>
      <c r="AN1406" s="156" t="s">
        <v>131</v>
      </c>
      <c r="AO1406" s="156" t="s">
        <v>131</v>
      </c>
      <c r="AP1406" s="1469" t="s">
        <v>131</v>
      </c>
      <c r="AQ1406" s="126" t="s">
        <v>131</v>
      </c>
      <c r="AR1406" s="156" t="s">
        <v>131</v>
      </c>
      <c r="AS1406" s="1469" t="s">
        <v>131</v>
      </c>
      <c r="AT1406" s="156" t="s">
        <v>165</v>
      </c>
      <c r="AU1406" s="156" t="s">
        <v>211</v>
      </c>
      <c r="AV1406" s="156" t="s">
        <v>1898</v>
      </c>
      <c r="AW1406" s="156" t="s">
        <v>131</v>
      </c>
      <c r="AX1406" s="156" t="s">
        <v>144</v>
      </c>
      <c r="AY1406" s="65"/>
      <c r="AZ1406" s="59" t="s">
        <v>7909</v>
      </c>
    </row>
    <row r="1407" ht="18.0" customHeight="1">
      <c r="A1407" s="41">
        <v>1407.0</v>
      </c>
      <c r="B1407" s="126" t="s">
        <v>7925</v>
      </c>
      <c r="C1407" s="59" t="s">
        <v>108</v>
      </c>
      <c r="D1407" s="59" t="s">
        <v>1451</v>
      </c>
      <c r="F1407" s="65" t="s">
        <v>7916</v>
      </c>
      <c r="G1407" s="156" t="s">
        <v>7917</v>
      </c>
      <c r="H1407" s="156" t="s">
        <v>1511</v>
      </c>
      <c r="I1407" s="1284" t="s">
        <v>112</v>
      </c>
      <c r="J1407" s="1534">
        <v>45758.0</v>
      </c>
      <c r="K1407" s="156" t="s">
        <v>7926</v>
      </c>
      <c r="L1407" s="148" t="s">
        <v>7927</v>
      </c>
      <c r="M1407" s="156" t="s">
        <v>7899</v>
      </c>
      <c r="N1407" s="156" t="s">
        <v>7900</v>
      </c>
      <c r="O1407" s="153">
        <v>1.0</v>
      </c>
      <c r="P1407" s="379" t="s">
        <v>7901</v>
      </c>
      <c r="Q1407" s="49" t="str">
        <f t="array" ref="Q1407"> if(iserror(MATCH(V1407, 'File Links'!C:C, 0)), "N/A", HYPERLINK(INDEX('File Links'!B:B, MATCH(P1407, 'File Links'!C:C, 0))))</f>
        <v>https://drive.google.com/file/d/1qeprGIAy7AN_pByPqzOUMvJ-k5SpkEYf/view?usp=drivesdk</v>
      </c>
      <c r="R1407" s="156" t="s">
        <v>7920</v>
      </c>
      <c r="S1407" s="156" t="s">
        <v>7921</v>
      </c>
      <c r="T1407" s="156" t="s">
        <v>131</v>
      </c>
      <c r="U1407" s="153">
        <v>1.0</v>
      </c>
      <c r="V1407" s="379" t="s">
        <v>7922</v>
      </c>
      <c r="W1407" s="156" t="s">
        <v>7928</v>
      </c>
      <c r="X1407" s="51" t="str">
        <f t="array" ref="X1407"> if(iserror(MATCH(V1407, 'File Links'!C:C, 0)), "N/A", HYPERLINK(INDEX('File Links'!B:B, MATCH(V1407, 'File Links'!C:C, 0))))</f>
        <v>https://drive.google.com/file/d/1Siah8cHN9e47_gL9zhIF1EGajvH1CyAB/view?usp=drivesdk</v>
      </c>
      <c r="Y1407" s="156"/>
      <c r="Z1407" s="156" t="s">
        <v>219</v>
      </c>
      <c r="AA1407" s="156" t="s">
        <v>7905</v>
      </c>
      <c r="AB1407" s="156" t="s">
        <v>7906</v>
      </c>
      <c r="AC1407" s="1535" t="s">
        <v>7907</v>
      </c>
      <c r="AD1407" s="148" t="s">
        <v>7912</v>
      </c>
      <c r="AE1407" s="153">
        <v>5.0</v>
      </c>
      <c r="AF1407" s="153">
        <v>42.0</v>
      </c>
      <c r="AG1407" s="377" t="s">
        <v>7913</v>
      </c>
      <c r="AH1407" s="377" t="s">
        <v>7914</v>
      </c>
      <c r="AI1407" s="156" t="s">
        <v>875</v>
      </c>
      <c r="AJ1407" s="153">
        <v>0.05</v>
      </c>
      <c r="AK1407" s="156" t="s">
        <v>128</v>
      </c>
      <c r="AL1407" s="380" t="s">
        <v>179</v>
      </c>
      <c r="AM1407" s="539" t="s">
        <v>134</v>
      </c>
      <c r="AN1407" s="156" t="s">
        <v>131</v>
      </c>
      <c r="AO1407" s="153">
        <v>305.0</v>
      </c>
      <c r="AP1407" s="153">
        <v>0.67</v>
      </c>
      <c r="AQ1407" s="156" t="s">
        <v>715</v>
      </c>
      <c r="AR1407" s="156" t="s">
        <v>500</v>
      </c>
      <c r="AS1407" s="153">
        <v>0.167</v>
      </c>
      <c r="AT1407" s="156" t="s">
        <v>165</v>
      </c>
      <c r="AU1407" s="156" t="s">
        <v>179</v>
      </c>
      <c r="AV1407" s="156" t="s">
        <v>130</v>
      </c>
      <c r="AW1407" s="432" t="s">
        <v>7929</v>
      </c>
      <c r="AX1407" s="156" t="s">
        <v>144</v>
      </c>
      <c r="AZ1407" s="59" t="s">
        <v>7909</v>
      </c>
    </row>
    <row r="1408" ht="20.25" customHeight="1">
      <c r="A1408" s="41">
        <v>1408.0</v>
      </c>
      <c r="B1408" s="70" t="s">
        <v>145</v>
      </c>
      <c r="C1408" s="70" t="s">
        <v>108</v>
      </c>
      <c r="D1408" s="70" t="s">
        <v>192</v>
      </c>
      <c r="E1408" s="71"/>
      <c r="F1408" s="91" t="s">
        <v>7930</v>
      </c>
      <c r="G1408" s="74" t="s">
        <v>7931</v>
      </c>
      <c r="H1408" s="74" t="s">
        <v>195</v>
      </c>
      <c r="I1408" s="626">
        <v>45639.0</v>
      </c>
      <c r="J1408" s="1531">
        <v>45684.0</v>
      </c>
      <c r="K1408" s="74" t="s">
        <v>7932</v>
      </c>
      <c r="L1408" s="1552" t="s">
        <v>7933</v>
      </c>
      <c r="M1408" s="98" t="s">
        <v>7934</v>
      </c>
      <c r="N1408" s="74" t="s">
        <v>7935</v>
      </c>
      <c r="O1408" s="632">
        <v>1.0</v>
      </c>
      <c r="P1408" s="96" t="s">
        <v>7936</v>
      </c>
      <c r="Q1408" s="49" t="str">
        <f t="array" ref="Q1408"> if(iserror(MATCH(V1408, 'File Links'!C:C, 0)), "N/A", HYPERLINK(INDEX('File Links'!B:B, MATCH(P1408, 'File Links'!C:C, 0))))</f>
        <v>https://drive.google.com/file/d/1Sg7pV5-MRMEfG7acPaIDjV0AQ3yqElU4/view?usp=drivesdk</v>
      </c>
      <c r="R1408" s="74" t="s">
        <v>7937</v>
      </c>
      <c r="S1408" s="74" t="s">
        <v>7938</v>
      </c>
      <c r="T1408" s="80"/>
      <c r="U1408" s="77">
        <v>1.0</v>
      </c>
      <c r="V1408" s="195" t="str">
        <f t="shared" ref="V1408:V1429" si="93"> hyperlink(vlookup(lower(S1408),#REF!, 2, FALSE), SUBSTITUTE(lower(S1408), "/", "--") &amp;  ".pdf")</f>
        <v>10.1177--1745691612463078.pdf</v>
      </c>
      <c r="W1408" s="838" t="s">
        <v>7939</v>
      </c>
      <c r="X1408" s="51" t="str">
        <f t="array" ref="X1408"> if(iserror(MATCH(V1408, 'File Links'!C:C, 0)), "N/A", HYPERLINK(INDEX('File Links'!B:B, MATCH(V1408, 'File Links'!C:C, 0))))</f>
        <v>https://drive.google.com/file/d/1SA7ZP2ow52I8kFKx4p2nJ0nUspPn6as_/view?usp=drivesdk</v>
      </c>
      <c r="Y1408" s="80"/>
      <c r="Z1408" s="74" t="s">
        <v>219</v>
      </c>
      <c r="AA1408" s="74" t="s">
        <v>7940</v>
      </c>
      <c r="AB1408" s="74" t="s">
        <v>7941</v>
      </c>
      <c r="AC1408" s="74" t="s">
        <v>7942</v>
      </c>
      <c r="AD1408" s="74" t="s">
        <v>7943</v>
      </c>
      <c r="AE1408" s="632">
        <v>409.0</v>
      </c>
      <c r="AF1408" s="632">
        <v>100.0</v>
      </c>
      <c r="AG1408" s="632">
        <v>0.25</v>
      </c>
      <c r="AH1408" s="96" t="s">
        <v>166</v>
      </c>
      <c r="AI1408" s="74" t="s">
        <v>7944</v>
      </c>
      <c r="AJ1408" s="632">
        <v>0.01</v>
      </c>
      <c r="AK1408" s="92" t="s">
        <v>165</v>
      </c>
      <c r="AL1408" s="123" t="s">
        <v>179</v>
      </c>
      <c r="AM1408" s="840" t="s">
        <v>130</v>
      </c>
      <c r="AN1408" s="327" t="s">
        <v>131</v>
      </c>
      <c r="AO1408" s="77" t="s">
        <v>131</v>
      </c>
      <c r="AP1408" s="77" t="s">
        <v>131</v>
      </c>
      <c r="AQ1408" s="126" t="s">
        <v>131</v>
      </c>
      <c r="AR1408" s="80"/>
      <c r="AS1408" s="77" t="s">
        <v>131</v>
      </c>
      <c r="AT1408" s="77" t="s">
        <v>131</v>
      </c>
      <c r="AU1408" s="77" t="s">
        <v>131</v>
      </c>
      <c r="AV1408" s="77" t="s">
        <v>131</v>
      </c>
      <c r="AW1408" s="77" t="s">
        <v>131</v>
      </c>
      <c r="AX1408" s="77" t="s">
        <v>567</v>
      </c>
      <c r="AY1408" s="89"/>
      <c r="AZ1408" s="90" t="s">
        <v>137</v>
      </c>
    </row>
    <row r="1409">
      <c r="A1409" s="41">
        <v>1409.0</v>
      </c>
      <c r="B1409" s="836" t="s">
        <v>107</v>
      </c>
      <c r="C1409" s="836" t="s">
        <v>108</v>
      </c>
      <c r="D1409" s="836" t="s">
        <v>214</v>
      </c>
      <c r="E1409" s="749"/>
      <c r="F1409" s="848" t="s">
        <v>7930</v>
      </c>
      <c r="G1409" s="838" t="s">
        <v>7931</v>
      </c>
      <c r="H1409" s="838" t="s">
        <v>215</v>
      </c>
      <c r="I1409" s="991">
        <v>45641.0</v>
      </c>
      <c r="J1409" s="1531">
        <v>45684.0</v>
      </c>
      <c r="K1409" s="838" t="s">
        <v>7945</v>
      </c>
      <c r="L1409" s="838"/>
      <c r="M1409" s="996" t="s">
        <v>7934</v>
      </c>
      <c r="N1409" s="838" t="s">
        <v>7935</v>
      </c>
      <c r="O1409" s="841">
        <v>1.0</v>
      </c>
      <c r="P1409" s="842" t="s">
        <v>7936</v>
      </c>
      <c r="Q1409" s="49" t="str">
        <f t="array" ref="Q1409"> if(iserror(MATCH(V1409, 'File Links'!C:C, 0)), "N/A", HYPERLINK(INDEX('File Links'!B:B, MATCH(P1409, 'File Links'!C:C, 0))))</f>
        <v>https://drive.google.com/file/d/1Sg7pV5-MRMEfG7acPaIDjV0AQ3yqElU4/view?usp=drivesdk</v>
      </c>
      <c r="R1409" s="838" t="s">
        <v>7937</v>
      </c>
      <c r="S1409" s="838" t="s">
        <v>7938</v>
      </c>
      <c r="T1409" s="840"/>
      <c r="U1409" s="847"/>
      <c r="V1409" s="195" t="str">
        <f t="shared" si="93"/>
        <v>10.1177--1745691612463078.pdf</v>
      </c>
      <c r="W1409" s="838" t="s">
        <v>7939</v>
      </c>
      <c r="X1409" s="51" t="str">
        <f t="array" ref="X1409"> if(iserror(MATCH(V1409, 'File Links'!C:C, 0)), "N/A", HYPERLINK(INDEX('File Links'!B:B, MATCH(V1409, 'File Links'!C:C, 0))))</f>
        <v>https://drive.google.com/file/d/1SA7ZP2ow52I8kFKx4p2nJ0nUspPn6as_/view?usp=drivesdk</v>
      </c>
      <c r="Y1409" s="840"/>
      <c r="Z1409" s="74" t="s">
        <v>219</v>
      </c>
      <c r="AA1409" s="838" t="s">
        <v>7946</v>
      </c>
      <c r="AB1409" s="838" t="s">
        <v>7947</v>
      </c>
      <c r="AC1409" s="838" t="s">
        <v>7948</v>
      </c>
      <c r="AD1409" s="838" t="s">
        <v>7949</v>
      </c>
      <c r="AE1409" s="841">
        <v>411.0</v>
      </c>
      <c r="AF1409" s="841">
        <v>100.0</v>
      </c>
      <c r="AG1409" s="841">
        <v>0.25</v>
      </c>
      <c r="AH1409" s="842" t="s">
        <v>166</v>
      </c>
      <c r="AI1409" s="841">
        <v>409.0</v>
      </c>
      <c r="AJ1409" s="841">
        <v>0.01</v>
      </c>
      <c r="AK1409" s="837" t="s">
        <v>165</v>
      </c>
      <c r="AL1409" s="123" t="s">
        <v>179</v>
      </c>
      <c r="AM1409" s="840" t="s">
        <v>130</v>
      </c>
      <c r="AN1409" s="840"/>
      <c r="AO1409" s="841">
        <v>52.0</v>
      </c>
      <c r="AP1409" s="840"/>
      <c r="AQ1409" s="840"/>
      <c r="AR1409" s="840"/>
      <c r="AS1409" s="840"/>
      <c r="AT1409" s="848"/>
      <c r="AU1409" s="848"/>
      <c r="AV1409" s="848"/>
      <c r="AW1409" s="848"/>
      <c r="AX1409" s="848"/>
      <c r="AY1409" s="749"/>
      <c r="AZ1409" s="749"/>
    </row>
    <row r="1410">
      <c r="A1410" s="41">
        <v>1410.0</v>
      </c>
      <c r="B1410" s="70" t="s">
        <v>145</v>
      </c>
      <c r="C1410" s="70" t="s">
        <v>108</v>
      </c>
      <c r="D1410" s="70" t="s">
        <v>192</v>
      </c>
      <c r="E1410" s="71"/>
      <c r="F1410" s="848" t="s">
        <v>7930</v>
      </c>
      <c r="G1410" s="74" t="s">
        <v>7950</v>
      </c>
      <c r="H1410" s="74" t="s">
        <v>195</v>
      </c>
      <c r="I1410" s="626">
        <v>45639.0</v>
      </c>
      <c r="J1410" s="1531">
        <v>45684.0</v>
      </c>
      <c r="K1410" s="74" t="s">
        <v>7932</v>
      </c>
      <c r="L1410" s="1552" t="s">
        <v>7951</v>
      </c>
      <c r="M1410" s="98" t="s">
        <v>7934</v>
      </c>
      <c r="N1410" s="74" t="s">
        <v>7935</v>
      </c>
      <c r="O1410" s="632">
        <v>1.0</v>
      </c>
      <c r="P1410" s="96" t="s">
        <v>7936</v>
      </c>
      <c r="Q1410" s="49" t="str">
        <f t="array" ref="Q1410"> if(iserror(MATCH(V1410, 'File Links'!C:C, 0)), "N/A", HYPERLINK(INDEX('File Links'!B:B, MATCH(P1410, 'File Links'!C:C, 0))))</f>
        <v>https://drive.google.com/file/d/1Sg7pV5-MRMEfG7acPaIDjV0AQ3yqElU4/view?usp=drivesdk</v>
      </c>
      <c r="R1410" s="74" t="s">
        <v>7937</v>
      </c>
      <c r="S1410" s="74" t="s">
        <v>7938</v>
      </c>
      <c r="T1410" s="80"/>
      <c r="U1410" s="77">
        <v>1.0</v>
      </c>
      <c r="V1410" s="195" t="str">
        <f t="shared" si="93"/>
        <v>10.1177--1745691612463078.pdf</v>
      </c>
      <c r="W1410" s="838" t="s">
        <v>7939</v>
      </c>
      <c r="X1410" s="51" t="str">
        <f t="array" ref="X1410"> if(iserror(MATCH(V1410, 'File Links'!C:C, 0)), "N/A", HYPERLINK(INDEX('File Links'!B:B, MATCH(V1410, 'File Links'!C:C, 0))))</f>
        <v>https://drive.google.com/file/d/1SA7ZP2ow52I8kFKx4p2nJ0nUspPn6as_/view?usp=drivesdk</v>
      </c>
      <c r="Y1410" s="80"/>
      <c r="Z1410" s="74" t="s">
        <v>219</v>
      </c>
      <c r="AA1410" s="74" t="s">
        <v>7940</v>
      </c>
      <c r="AB1410" s="74" t="s">
        <v>7941</v>
      </c>
      <c r="AC1410" s="74" t="s">
        <v>7952</v>
      </c>
      <c r="AD1410" s="74" t="s">
        <v>7953</v>
      </c>
      <c r="AE1410" s="632">
        <v>409.0</v>
      </c>
      <c r="AF1410" s="632">
        <v>100.0</v>
      </c>
      <c r="AG1410" s="98" t="s">
        <v>7954</v>
      </c>
      <c r="AH1410" s="98" t="s">
        <v>127</v>
      </c>
      <c r="AI1410" s="59">
        <v>409.0</v>
      </c>
      <c r="AJ1410" s="632">
        <v>0.56</v>
      </c>
      <c r="AK1410" s="92" t="s">
        <v>165</v>
      </c>
      <c r="AL1410" s="123" t="s">
        <v>179</v>
      </c>
      <c r="AM1410" s="840" t="s">
        <v>130</v>
      </c>
      <c r="AN1410" s="327" t="s">
        <v>131</v>
      </c>
      <c r="AO1410" s="77" t="s">
        <v>131</v>
      </c>
      <c r="AP1410" s="77" t="s">
        <v>131</v>
      </c>
      <c r="AQ1410" s="126" t="s">
        <v>131</v>
      </c>
      <c r="AR1410" s="80"/>
      <c r="AS1410" s="77" t="s">
        <v>131</v>
      </c>
      <c r="AT1410" s="77" t="s">
        <v>131</v>
      </c>
      <c r="AU1410" s="77" t="s">
        <v>131</v>
      </c>
      <c r="AV1410" s="77" t="s">
        <v>131</v>
      </c>
      <c r="AW1410" s="77" t="s">
        <v>131</v>
      </c>
      <c r="AX1410" s="77" t="s">
        <v>567</v>
      </c>
      <c r="AY1410" s="89"/>
      <c r="AZ1410" s="90" t="s">
        <v>137</v>
      </c>
    </row>
    <row r="1411">
      <c r="A1411" s="41">
        <v>1411.0</v>
      </c>
      <c r="B1411" s="59" t="s">
        <v>145</v>
      </c>
      <c r="C1411" s="59" t="s">
        <v>108</v>
      </c>
      <c r="D1411" s="59" t="s">
        <v>1451</v>
      </c>
      <c r="F1411" s="122" t="s">
        <v>7955</v>
      </c>
      <c r="G1411" s="123" t="s">
        <v>7956</v>
      </c>
      <c r="H1411" s="137" t="s">
        <v>1511</v>
      </c>
      <c r="I1411" s="1553" t="s">
        <v>112</v>
      </c>
      <c r="J1411" s="1534">
        <v>45758.0</v>
      </c>
      <c r="K1411" s="137" t="s">
        <v>7957</v>
      </c>
      <c r="L1411" s="116" t="s">
        <v>7958</v>
      </c>
      <c r="M1411" s="137" t="s">
        <v>7959</v>
      </c>
      <c r="N1411" s="137" t="s">
        <v>6944</v>
      </c>
      <c r="O1411" s="375">
        <v>1.0</v>
      </c>
      <c r="P1411" s="137" t="s">
        <v>7960</v>
      </c>
      <c r="Q1411" s="49" t="str">
        <f t="array" ref="Q1411"> if(iserror(MATCH(V1411, 'File Links'!C:C, 0)), "N/A", HYPERLINK(INDEX('File Links'!B:B, MATCH(P1411, 'File Links'!C:C, 0))))</f>
        <v>https://drive.google.com/file/d/1r4PVlL83grqiq4UZ0to7L57VLrbdB9hi/view?usp=drivesdk</v>
      </c>
      <c r="R1411" s="137" t="s">
        <v>7961</v>
      </c>
      <c r="S1411" s="137" t="s">
        <v>7962</v>
      </c>
      <c r="T1411" s="122"/>
      <c r="U1411" s="368">
        <v>1.0</v>
      </c>
      <c r="V1411" s="195" t="str">
        <f t="shared" si="93"/>
        <v>10.1037--pspa0000064.pdf</v>
      </c>
      <c r="W1411" s="116" t="s">
        <v>202</v>
      </c>
      <c r="X1411" s="51" t="str">
        <f t="array" ref="X1411"> if(iserror(MATCH(V1411, 'File Links'!C:C, 0)), "N/A", HYPERLINK(INDEX('File Links'!B:B, MATCH(V1411, 'File Links'!C:C, 0))))</f>
        <v>https://drive.google.com/file/d/1RF-nEXDyW9UWyQIuqmtLdTtTuTs-52JT/view?usp=drivesdk</v>
      </c>
      <c r="Y1411" s="122"/>
      <c r="Z1411" s="137" t="s">
        <v>219</v>
      </c>
      <c r="AA1411" s="137" t="s">
        <v>7963</v>
      </c>
      <c r="AB1411" s="137" t="s">
        <v>7964</v>
      </c>
      <c r="AC1411" s="377" t="s">
        <v>7965</v>
      </c>
      <c r="AD1411" s="377" t="s">
        <v>7966</v>
      </c>
      <c r="AE1411" s="779">
        <v>2.0</v>
      </c>
      <c r="AF1411" s="779">
        <v>80.0</v>
      </c>
      <c r="AG1411" s="779">
        <v>0.05</v>
      </c>
      <c r="AH1411" s="137" t="s">
        <v>7967</v>
      </c>
      <c r="AI1411" s="137" t="s">
        <v>7968</v>
      </c>
      <c r="AJ1411" s="130">
        <v>0.01</v>
      </c>
      <c r="AK1411" s="123" t="s">
        <v>165</v>
      </c>
      <c r="AL1411" s="123" t="s">
        <v>179</v>
      </c>
      <c r="AM1411" s="122" t="s">
        <v>130</v>
      </c>
      <c r="AN1411" s="368" t="s">
        <v>131</v>
      </c>
      <c r="AO1411" s="779">
        <v>300.0</v>
      </c>
      <c r="AP1411" s="779">
        <v>0.07</v>
      </c>
      <c r="AQ1411" s="137" t="s">
        <v>166</v>
      </c>
      <c r="AR1411" s="137" t="s">
        <v>875</v>
      </c>
      <c r="AS1411" s="779">
        <v>0.775</v>
      </c>
      <c r="AT1411" s="137" t="s">
        <v>165</v>
      </c>
      <c r="AU1411" s="137" t="s">
        <v>179</v>
      </c>
      <c r="AV1411" s="368" t="s">
        <v>134</v>
      </c>
      <c r="AW1411" s="368" t="s">
        <v>131</v>
      </c>
      <c r="AX1411" s="122" t="s">
        <v>136</v>
      </c>
      <c r="AZ1411" s="59" t="s">
        <v>7909</v>
      </c>
    </row>
    <row r="1412">
      <c r="A1412" s="41">
        <v>1412.0</v>
      </c>
      <c r="B1412" s="59" t="s">
        <v>107</v>
      </c>
      <c r="C1412" s="59" t="s">
        <v>108</v>
      </c>
      <c r="D1412" s="59" t="s">
        <v>1451</v>
      </c>
      <c r="F1412" s="122" t="s">
        <v>7955</v>
      </c>
      <c r="G1412" s="123" t="s">
        <v>7969</v>
      </c>
      <c r="H1412" s="137" t="s">
        <v>1511</v>
      </c>
      <c r="I1412" s="1554"/>
      <c r="J1412" s="1534">
        <v>45758.0</v>
      </c>
      <c r="K1412" s="137" t="s">
        <v>7970</v>
      </c>
      <c r="L1412" s="116" t="s">
        <v>7971</v>
      </c>
      <c r="M1412" s="137" t="s">
        <v>7959</v>
      </c>
      <c r="N1412" s="137" t="s">
        <v>6944</v>
      </c>
      <c r="O1412" s="779">
        <v>5.0</v>
      </c>
      <c r="P1412" s="137" t="s">
        <v>7960</v>
      </c>
      <c r="Q1412" s="49" t="str">
        <f t="array" ref="Q1412"> if(iserror(MATCH(V1412, 'File Links'!C:C, 0)), "N/A", HYPERLINK(INDEX('File Links'!B:B, MATCH(P1412, 'File Links'!C:C, 0))))</f>
        <v>https://drive.google.com/file/d/1r4PVlL83grqiq4UZ0to7L57VLrbdB9hi/view?usp=drivesdk</v>
      </c>
      <c r="R1412" s="137" t="s">
        <v>7961</v>
      </c>
      <c r="S1412" s="137" t="s">
        <v>7962</v>
      </c>
      <c r="T1412" s="122"/>
      <c r="U1412" s="368">
        <v>1.0</v>
      </c>
      <c r="V1412" s="195" t="str">
        <f t="shared" si="93"/>
        <v>10.1037--pspa0000064.pdf</v>
      </c>
      <c r="W1412" s="116" t="s">
        <v>202</v>
      </c>
      <c r="X1412" s="51" t="str">
        <f t="array" ref="X1412"> if(iserror(MATCH(V1412, 'File Links'!C:C, 0)), "N/A", HYPERLINK(INDEX('File Links'!B:B, MATCH(V1412, 'File Links'!C:C, 0))))</f>
        <v>https://drive.google.com/file/d/1RF-nEXDyW9UWyQIuqmtLdTtTuTs-52JT/view?usp=drivesdk</v>
      </c>
      <c r="Y1412" s="122"/>
      <c r="Z1412" s="137" t="s">
        <v>219</v>
      </c>
      <c r="AA1412" s="137" t="s">
        <v>7963</v>
      </c>
      <c r="AB1412" s="137" t="s">
        <v>7964</v>
      </c>
      <c r="AC1412" s="377" t="s">
        <v>7965</v>
      </c>
      <c r="AD1412" s="137" t="s">
        <v>7972</v>
      </c>
      <c r="AE1412" s="779">
        <v>2.0</v>
      </c>
      <c r="AF1412" s="779">
        <v>80.0</v>
      </c>
      <c r="AG1412" s="779">
        <v>0.13</v>
      </c>
      <c r="AH1412" s="137" t="s">
        <v>7967</v>
      </c>
      <c r="AI1412" s="137" t="s">
        <v>7968</v>
      </c>
      <c r="AJ1412" s="130">
        <v>3.0E-4</v>
      </c>
      <c r="AK1412" s="123" t="s">
        <v>165</v>
      </c>
      <c r="AL1412" s="123" t="s">
        <v>179</v>
      </c>
      <c r="AM1412" s="122" t="s">
        <v>130</v>
      </c>
      <c r="AN1412" s="368" t="s">
        <v>131</v>
      </c>
      <c r="AO1412" s="779">
        <v>300.0</v>
      </c>
      <c r="AP1412" s="779">
        <v>0.19</v>
      </c>
      <c r="AQ1412" s="137" t="s">
        <v>980</v>
      </c>
      <c r="AR1412" s="137" t="s">
        <v>875</v>
      </c>
      <c r="AS1412" s="779">
        <v>0.001</v>
      </c>
      <c r="AT1412" s="137" t="s">
        <v>128</v>
      </c>
      <c r="AU1412" s="137" t="s">
        <v>179</v>
      </c>
      <c r="AV1412" s="368" t="s">
        <v>134</v>
      </c>
      <c r="AW1412" s="368" t="s">
        <v>131</v>
      </c>
      <c r="AX1412" s="122" t="s">
        <v>136</v>
      </c>
      <c r="AZ1412" s="59" t="s">
        <v>7909</v>
      </c>
    </row>
    <row r="1413">
      <c r="A1413" s="41">
        <v>1413.0</v>
      </c>
      <c r="B1413" s="59" t="s">
        <v>145</v>
      </c>
      <c r="C1413" s="59" t="s">
        <v>108</v>
      </c>
      <c r="D1413" s="59" t="s">
        <v>1451</v>
      </c>
      <c r="F1413" s="122" t="s">
        <v>7955</v>
      </c>
      <c r="G1413" s="123" t="s">
        <v>7973</v>
      </c>
      <c r="H1413" s="137" t="s">
        <v>1511</v>
      </c>
      <c r="I1413" s="1554"/>
      <c r="J1413" s="1534">
        <v>45758.0</v>
      </c>
      <c r="K1413" s="137" t="s">
        <v>7974</v>
      </c>
      <c r="L1413" s="116" t="s">
        <v>7975</v>
      </c>
      <c r="M1413" s="137" t="s">
        <v>7959</v>
      </c>
      <c r="N1413" s="137" t="s">
        <v>6944</v>
      </c>
      <c r="O1413" s="779">
        <v>5.0</v>
      </c>
      <c r="P1413" s="137" t="s">
        <v>7960</v>
      </c>
      <c r="Q1413" s="49" t="str">
        <f t="array" ref="Q1413"> if(iserror(MATCH(V1413, 'File Links'!C:C, 0)), "N/A", HYPERLINK(INDEX('File Links'!B:B, MATCH(P1413, 'File Links'!C:C, 0))))</f>
        <v>https://drive.google.com/file/d/1r4PVlL83grqiq4UZ0to7L57VLrbdB9hi/view?usp=drivesdk</v>
      </c>
      <c r="R1413" s="137" t="s">
        <v>7961</v>
      </c>
      <c r="S1413" s="137" t="s">
        <v>7962</v>
      </c>
      <c r="T1413" s="122"/>
      <c r="U1413" s="368">
        <v>1.0</v>
      </c>
      <c r="V1413" s="195" t="str">
        <f t="shared" si="93"/>
        <v>10.1037--pspa0000064.pdf</v>
      </c>
      <c r="W1413" s="116" t="s">
        <v>202</v>
      </c>
      <c r="X1413" s="51" t="str">
        <f t="array" ref="X1413"> if(iserror(MATCH(V1413, 'File Links'!C:C, 0)), "N/A", HYPERLINK(INDEX('File Links'!B:B, MATCH(V1413, 'File Links'!C:C, 0))))</f>
        <v>https://drive.google.com/file/d/1RF-nEXDyW9UWyQIuqmtLdTtTuTs-52JT/view?usp=drivesdk</v>
      </c>
      <c r="Y1413" s="122"/>
      <c r="Z1413" s="137" t="s">
        <v>219</v>
      </c>
      <c r="AA1413" s="137" t="s">
        <v>7963</v>
      </c>
      <c r="AB1413" s="137" t="s">
        <v>7964</v>
      </c>
      <c r="AC1413" s="377" t="s">
        <v>7965</v>
      </c>
      <c r="AD1413" s="137" t="s">
        <v>7976</v>
      </c>
      <c r="AE1413" s="779">
        <v>2.0</v>
      </c>
      <c r="AF1413" s="779">
        <v>80.0</v>
      </c>
      <c r="AG1413" s="779">
        <v>0.0</v>
      </c>
      <c r="AH1413" s="137" t="s">
        <v>7967</v>
      </c>
      <c r="AI1413" s="137" t="s">
        <v>7968</v>
      </c>
      <c r="AJ1413" s="130">
        <v>0.3</v>
      </c>
      <c r="AK1413" s="123" t="s">
        <v>165</v>
      </c>
      <c r="AL1413" s="123" t="s">
        <v>179</v>
      </c>
      <c r="AM1413" s="122" t="s">
        <v>134</v>
      </c>
      <c r="AN1413" s="368" t="s">
        <v>131</v>
      </c>
      <c r="AO1413" s="779">
        <v>300.0</v>
      </c>
      <c r="AP1413" s="137" t="s">
        <v>7977</v>
      </c>
      <c r="AQ1413" s="137" t="s">
        <v>127</v>
      </c>
      <c r="AR1413" s="137" t="s">
        <v>875</v>
      </c>
      <c r="AS1413" s="1555">
        <v>0.625</v>
      </c>
      <c r="AT1413" s="137" t="s">
        <v>165</v>
      </c>
      <c r="AU1413" s="137" t="s">
        <v>179</v>
      </c>
      <c r="AV1413" s="122" t="s">
        <v>134</v>
      </c>
      <c r="AW1413" s="368" t="s">
        <v>131</v>
      </c>
      <c r="AX1413" s="122" t="s">
        <v>136</v>
      </c>
      <c r="AZ1413" s="59" t="s">
        <v>7909</v>
      </c>
    </row>
    <row r="1414">
      <c r="A1414" s="41">
        <v>1414.0</v>
      </c>
      <c r="B1414" s="59" t="s">
        <v>107</v>
      </c>
      <c r="C1414" s="59" t="s">
        <v>108</v>
      </c>
      <c r="D1414" s="59" t="s">
        <v>1451</v>
      </c>
      <c r="F1414" s="122" t="s">
        <v>7955</v>
      </c>
      <c r="G1414" s="123" t="s">
        <v>7978</v>
      </c>
      <c r="H1414" s="137" t="s">
        <v>1511</v>
      </c>
      <c r="I1414" s="1554"/>
      <c r="J1414" s="218">
        <v>45761.0</v>
      </c>
      <c r="K1414" s="137" t="s">
        <v>7979</v>
      </c>
      <c r="L1414" s="116" t="s">
        <v>7980</v>
      </c>
      <c r="M1414" s="137" t="s">
        <v>7959</v>
      </c>
      <c r="N1414" s="137" t="s">
        <v>6944</v>
      </c>
      <c r="O1414" s="779">
        <v>5.0</v>
      </c>
      <c r="P1414" s="137" t="s">
        <v>7960</v>
      </c>
      <c r="Q1414" s="49" t="str">
        <f t="array" ref="Q1414"> if(iserror(MATCH(V1414, 'File Links'!C:C, 0)), "N/A", HYPERLINK(INDEX('File Links'!B:B, MATCH(P1414, 'File Links'!C:C, 0))))</f>
        <v>https://drive.google.com/file/d/1r4PVlL83grqiq4UZ0to7L57VLrbdB9hi/view?usp=drivesdk</v>
      </c>
      <c r="R1414" s="137" t="s">
        <v>7961</v>
      </c>
      <c r="S1414" s="137" t="s">
        <v>7962</v>
      </c>
      <c r="T1414" s="122"/>
      <c r="U1414" s="368">
        <v>1.0</v>
      </c>
      <c r="V1414" s="195" t="str">
        <f t="shared" si="93"/>
        <v>10.1037--pspa0000064.pdf</v>
      </c>
      <c r="W1414" s="116" t="s">
        <v>202</v>
      </c>
      <c r="X1414" s="51" t="str">
        <f t="array" ref="X1414"> if(iserror(MATCH(V1414, 'File Links'!C:C, 0)), "N/A", HYPERLINK(INDEX('File Links'!B:B, MATCH(V1414, 'File Links'!C:C, 0))))</f>
        <v>https://drive.google.com/file/d/1RF-nEXDyW9UWyQIuqmtLdTtTuTs-52JT/view?usp=drivesdk</v>
      </c>
      <c r="Y1414" s="122"/>
      <c r="Z1414" s="137" t="s">
        <v>219</v>
      </c>
      <c r="AA1414" s="137" t="s">
        <v>7963</v>
      </c>
      <c r="AB1414" s="137" t="s">
        <v>7964</v>
      </c>
      <c r="AC1414" s="377" t="s">
        <v>7965</v>
      </c>
      <c r="AD1414" s="137" t="s">
        <v>7981</v>
      </c>
      <c r="AE1414" s="1556" t="s">
        <v>7982</v>
      </c>
      <c r="AF1414" s="779">
        <v>69.0</v>
      </c>
      <c r="AG1414" s="779">
        <v>0.04</v>
      </c>
      <c r="AH1414" s="137" t="s">
        <v>7967</v>
      </c>
      <c r="AI1414" s="137" t="s">
        <v>7968</v>
      </c>
      <c r="AJ1414" s="130">
        <v>0.04</v>
      </c>
      <c r="AK1414" s="123" t="s">
        <v>165</v>
      </c>
      <c r="AL1414" s="123" t="s">
        <v>179</v>
      </c>
      <c r="AM1414" s="122" t="s">
        <v>130</v>
      </c>
      <c r="AN1414" s="129"/>
      <c r="AO1414" s="493">
        <v>303.0</v>
      </c>
      <c r="AP1414" s="779">
        <v>0.05</v>
      </c>
      <c r="AQ1414" s="137" t="s">
        <v>166</v>
      </c>
      <c r="AR1414" s="137" t="s">
        <v>1035</v>
      </c>
      <c r="AS1414" s="779">
        <v>0.363</v>
      </c>
      <c r="AT1414" s="137" t="s">
        <v>165</v>
      </c>
      <c r="AU1414" s="137" t="s">
        <v>179</v>
      </c>
      <c r="AV1414" s="122" t="s">
        <v>130</v>
      </c>
      <c r="AW1414" s="368" t="s">
        <v>131</v>
      </c>
      <c r="AX1414" s="122" t="s">
        <v>136</v>
      </c>
      <c r="AZ1414" s="59" t="s">
        <v>7909</v>
      </c>
    </row>
    <row r="1415">
      <c r="A1415" s="41">
        <v>1415.0</v>
      </c>
      <c r="B1415" s="59" t="s">
        <v>107</v>
      </c>
      <c r="C1415" s="59" t="s">
        <v>108</v>
      </c>
      <c r="D1415" s="59" t="s">
        <v>1451</v>
      </c>
      <c r="F1415" s="122" t="s">
        <v>7955</v>
      </c>
      <c r="G1415" s="123" t="s">
        <v>7983</v>
      </c>
      <c r="H1415" s="137" t="s">
        <v>1511</v>
      </c>
      <c r="I1415" s="1554"/>
      <c r="J1415" s="218">
        <v>45761.0</v>
      </c>
      <c r="K1415" s="137" t="s">
        <v>7984</v>
      </c>
      <c r="L1415" s="137" t="s">
        <v>7316</v>
      </c>
      <c r="M1415" s="137" t="s">
        <v>7959</v>
      </c>
      <c r="N1415" s="137" t="s">
        <v>6944</v>
      </c>
      <c r="O1415" s="779">
        <v>5.0</v>
      </c>
      <c r="P1415" s="137" t="s">
        <v>7960</v>
      </c>
      <c r="Q1415" s="49" t="str">
        <f t="array" ref="Q1415"> if(iserror(MATCH(V1415, 'File Links'!C:C, 0)), "N/A", HYPERLINK(INDEX('File Links'!B:B, MATCH(P1415, 'File Links'!C:C, 0))))</f>
        <v>https://drive.google.com/file/d/1r4PVlL83grqiq4UZ0to7L57VLrbdB9hi/view?usp=drivesdk</v>
      </c>
      <c r="R1415" s="137" t="s">
        <v>7961</v>
      </c>
      <c r="S1415" s="137" t="s">
        <v>7962</v>
      </c>
      <c r="T1415" s="122"/>
      <c r="U1415" s="368">
        <v>1.0</v>
      </c>
      <c r="V1415" s="195" t="str">
        <f t="shared" si="93"/>
        <v>10.1037--pspa0000064.pdf</v>
      </c>
      <c r="W1415" s="116" t="s">
        <v>202</v>
      </c>
      <c r="X1415" s="51" t="str">
        <f t="array" ref="X1415"> if(iserror(MATCH(V1415, 'File Links'!C:C, 0)), "N/A", HYPERLINK(INDEX('File Links'!B:B, MATCH(V1415, 'File Links'!C:C, 0))))</f>
        <v>https://drive.google.com/file/d/1RF-nEXDyW9UWyQIuqmtLdTtTuTs-52JT/view?usp=drivesdk</v>
      </c>
      <c r="Y1415" s="122"/>
      <c r="Z1415" s="137" t="s">
        <v>219</v>
      </c>
      <c r="AA1415" s="137" t="s">
        <v>7963</v>
      </c>
      <c r="AB1415" s="137" t="s">
        <v>7964</v>
      </c>
      <c r="AC1415" s="377" t="s">
        <v>7965</v>
      </c>
      <c r="AD1415" s="137" t="s">
        <v>7985</v>
      </c>
      <c r="AE1415" s="779">
        <v>3.0</v>
      </c>
      <c r="AF1415" s="779">
        <v>69.0</v>
      </c>
      <c r="AG1415" s="779">
        <v>-0.01</v>
      </c>
      <c r="AH1415" s="137" t="s">
        <v>7967</v>
      </c>
      <c r="AI1415" s="137" t="s">
        <v>7968</v>
      </c>
      <c r="AJ1415" s="130">
        <v>0.9</v>
      </c>
      <c r="AK1415" s="123" t="s">
        <v>165</v>
      </c>
      <c r="AL1415" s="123" t="s">
        <v>179</v>
      </c>
      <c r="AM1415" s="122" t="s">
        <v>130</v>
      </c>
      <c r="AN1415" s="129"/>
      <c r="AO1415" s="493">
        <v>303.0</v>
      </c>
      <c r="AP1415" s="779">
        <v>0.37</v>
      </c>
      <c r="AQ1415" s="137" t="s">
        <v>980</v>
      </c>
      <c r="AR1415" s="137" t="s">
        <v>1035</v>
      </c>
      <c r="AS1415" s="779">
        <v>0.01</v>
      </c>
      <c r="AT1415" s="137" t="s">
        <v>128</v>
      </c>
      <c r="AU1415" s="137" t="s">
        <v>179</v>
      </c>
      <c r="AV1415" s="122" t="s">
        <v>130</v>
      </c>
      <c r="AW1415" s="368" t="s">
        <v>131</v>
      </c>
      <c r="AX1415" s="122" t="s">
        <v>136</v>
      </c>
      <c r="AZ1415" s="59" t="s">
        <v>7909</v>
      </c>
    </row>
    <row r="1416">
      <c r="A1416" s="41">
        <v>1416.0</v>
      </c>
      <c r="B1416" s="59" t="s">
        <v>107</v>
      </c>
      <c r="C1416" s="59" t="s">
        <v>108</v>
      </c>
      <c r="D1416" s="59" t="s">
        <v>1451</v>
      </c>
      <c r="F1416" s="122" t="s">
        <v>7955</v>
      </c>
      <c r="G1416" s="123" t="s">
        <v>7986</v>
      </c>
      <c r="H1416" s="137" t="s">
        <v>1511</v>
      </c>
      <c r="I1416" s="1554"/>
      <c r="J1416" s="218">
        <v>45761.0</v>
      </c>
      <c r="K1416" s="137" t="s">
        <v>7987</v>
      </c>
      <c r="L1416" s="137" t="s">
        <v>7316</v>
      </c>
      <c r="M1416" s="137" t="s">
        <v>7959</v>
      </c>
      <c r="N1416" s="137" t="s">
        <v>6944</v>
      </c>
      <c r="O1416" s="779">
        <v>5.0</v>
      </c>
      <c r="P1416" s="137" t="s">
        <v>7960</v>
      </c>
      <c r="Q1416" s="49" t="str">
        <f t="array" ref="Q1416"> if(iserror(MATCH(V1416, 'File Links'!C:C, 0)), "N/A", HYPERLINK(INDEX('File Links'!B:B, MATCH(P1416, 'File Links'!C:C, 0))))</f>
        <v>https://drive.google.com/file/d/1r4PVlL83grqiq4UZ0to7L57VLrbdB9hi/view?usp=drivesdk</v>
      </c>
      <c r="R1416" s="137" t="s">
        <v>7961</v>
      </c>
      <c r="S1416" s="137" t="s">
        <v>7962</v>
      </c>
      <c r="T1416" s="122"/>
      <c r="U1416" s="368">
        <v>1.0</v>
      </c>
      <c r="V1416" s="195" t="str">
        <f t="shared" si="93"/>
        <v>10.1037--pspa0000064.pdf</v>
      </c>
      <c r="W1416" s="116" t="s">
        <v>202</v>
      </c>
      <c r="X1416" s="51" t="str">
        <f t="array" ref="X1416"> if(iserror(MATCH(V1416, 'File Links'!C:C, 0)), "N/A", HYPERLINK(INDEX('File Links'!B:B, MATCH(V1416, 'File Links'!C:C, 0))))</f>
        <v>https://drive.google.com/file/d/1RF-nEXDyW9UWyQIuqmtLdTtTuTs-52JT/view?usp=drivesdk</v>
      </c>
      <c r="Y1416" s="122"/>
      <c r="Z1416" s="137" t="s">
        <v>219</v>
      </c>
      <c r="AA1416" s="137" t="s">
        <v>7963</v>
      </c>
      <c r="AB1416" s="137" t="s">
        <v>7964</v>
      </c>
      <c r="AC1416" s="377" t="s">
        <v>7965</v>
      </c>
      <c r="AD1416" s="137" t="s">
        <v>7976</v>
      </c>
      <c r="AE1416" s="779">
        <v>2.0</v>
      </c>
      <c r="AF1416" s="779">
        <v>69.0</v>
      </c>
      <c r="AG1416" s="779">
        <v>-0.01</v>
      </c>
      <c r="AH1416" s="137" t="s">
        <v>7967</v>
      </c>
      <c r="AI1416" s="137" t="s">
        <v>7968</v>
      </c>
      <c r="AJ1416" s="130">
        <v>0.9</v>
      </c>
      <c r="AK1416" s="123" t="s">
        <v>165</v>
      </c>
      <c r="AL1416" s="123" t="s">
        <v>179</v>
      </c>
      <c r="AM1416" s="122" t="s">
        <v>134</v>
      </c>
      <c r="AN1416" s="129"/>
      <c r="AO1416" s="493">
        <v>303.0</v>
      </c>
      <c r="AP1416" s="137" t="s">
        <v>7988</v>
      </c>
      <c r="AQ1416" s="137" t="s">
        <v>127</v>
      </c>
      <c r="AR1416" s="137" t="s">
        <v>1035</v>
      </c>
      <c r="AS1416" s="779">
        <v>0.412</v>
      </c>
      <c r="AT1416" s="137" t="s">
        <v>165</v>
      </c>
      <c r="AU1416" s="137" t="s">
        <v>179</v>
      </c>
      <c r="AV1416" s="122" t="s">
        <v>134</v>
      </c>
      <c r="AW1416" s="368" t="s">
        <v>131</v>
      </c>
      <c r="AX1416" s="122" t="s">
        <v>136</v>
      </c>
      <c r="AZ1416" s="59" t="s">
        <v>7909</v>
      </c>
    </row>
    <row r="1417">
      <c r="A1417" s="41">
        <v>1417.0</v>
      </c>
      <c r="B1417" s="121" t="s">
        <v>107</v>
      </c>
      <c r="C1417" s="121" t="s">
        <v>108</v>
      </c>
      <c r="D1417" s="121" t="s">
        <v>1451</v>
      </c>
      <c r="E1417" s="104"/>
      <c r="F1417" s="122" t="s">
        <v>7955</v>
      </c>
      <c r="G1417" s="123" t="s">
        <v>7989</v>
      </c>
      <c r="H1417" s="137" t="s">
        <v>1511</v>
      </c>
      <c r="I1417" s="1554"/>
      <c r="J1417" s="218">
        <v>45761.0</v>
      </c>
      <c r="K1417" s="137" t="s">
        <v>7990</v>
      </c>
      <c r="L1417" s="116" t="s">
        <v>7991</v>
      </c>
      <c r="M1417" s="137" t="s">
        <v>7959</v>
      </c>
      <c r="N1417" s="137" t="s">
        <v>6944</v>
      </c>
      <c r="O1417" s="222">
        <v>3.0</v>
      </c>
      <c r="P1417" s="1356" t="s">
        <v>7960</v>
      </c>
      <c r="Q1417" s="49" t="str">
        <f t="array" ref="Q1417"> if(iserror(MATCH(V1417, 'File Links'!C:C, 0)), "N/A", HYPERLINK(INDEX('File Links'!B:B, MATCH(P1417, 'File Links'!C:C, 0))))</f>
        <v>https://drive.google.com/file/d/1r4PVlL83grqiq4UZ0to7L57VLrbdB9hi/view?usp=drivesdk</v>
      </c>
      <c r="R1417" s="137" t="s">
        <v>7961</v>
      </c>
      <c r="S1417" s="137" t="s">
        <v>7962</v>
      </c>
      <c r="T1417" s="122"/>
      <c r="U1417" s="216">
        <v>1.0</v>
      </c>
      <c r="V1417" s="137" t="str">
        <f t="shared" si="93"/>
        <v>10.1037--pspa0000064.pdf</v>
      </c>
      <c r="W1417" s="116" t="s">
        <v>202</v>
      </c>
      <c r="X1417" s="51" t="str">
        <f t="array" ref="X1417"> if(iserror(MATCH(V1417, 'File Links'!C:C, 0)), "N/A", HYPERLINK(INDEX('File Links'!B:B, MATCH(V1417, 'File Links'!C:C, 0))))</f>
        <v>https://drive.google.com/file/d/1RF-nEXDyW9UWyQIuqmtLdTtTuTs-52JT/view?usp=drivesdk</v>
      </c>
      <c r="Y1417" s="122"/>
      <c r="Z1417" s="137" t="s">
        <v>219</v>
      </c>
      <c r="AA1417" s="137" t="s">
        <v>7963</v>
      </c>
      <c r="AB1417" s="137" t="s">
        <v>7964</v>
      </c>
      <c r="AC1417" s="116" t="s">
        <v>7965</v>
      </c>
      <c r="AD1417" s="137" t="s">
        <v>7992</v>
      </c>
      <c r="AE1417" s="779">
        <v>3.0</v>
      </c>
      <c r="AF1417" s="222">
        <v>69.0</v>
      </c>
      <c r="AG1417" s="779">
        <v>0.04</v>
      </c>
      <c r="AH1417" s="137" t="s">
        <v>7967</v>
      </c>
      <c r="AI1417" s="137" t="s">
        <v>7968</v>
      </c>
      <c r="AJ1417" s="130">
        <v>0.04</v>
      </c>
      <c r="AK1417" s="123" t="s">
        <v>165</v>
      </c>
      <c r="AL1417" s="123" t="s">
        <v>179</v>
      </c>
      <c r="AM1417" s="122" t="s">
        <v>130</v>
      </c>
      <c r="AN1417" s="129"/>
      <c r="AO1417" s="779">
        <v>303.0</v>
      </c>
      <c r="AP1417" s="779">
        <v>0.05</v>
      </c>
      <c r="AQ1417" s="137" t="s">
        <v>166</v>
      </c>
      <c r="AR1417" s="137" t="s">
        <v>1035</v>
      </c>
      <c r="AS1417" s="779">
        <v>0.363</v>
      </c>
      <c r="AT1417" s="137" t="s">
        <v>165</v>
      </c>
      <c r="AU1417" s="137" t="s">
        <v>179</v>
      </c>
      <c r="AV1417" s="216" t="s">
        <v>134</v>
      </c>
      <c r="AW1417" s="368" t="s">
        <v>131</v>
      </c>
      <c r="AX1417" s="122" t="s">
        <v>136</v>
      </c>
      <c r="AY1417" s="104"/>
      <c r="AZ1417" s="121" t="s">
        <v>7819</v>
      </c>
    </row>
    <row r="1418" ht="18.0" customHeight="1">
      <c r="A1418" s="41">
        <v>1418.0</v>
      </c>
      <c r="B1418" s="121" t="s">
        <v>107</v>
      </c>
      <c r="C1418" s="121" t="s">
        <v>108</v>
      </c>
      <c r="D1418" s="121" t="s">
        <v>1451</v>
      </c>
      <c r="E1418" s="104"/>
      <c r="F1418" s="122" t="s">
        <v>7955</v>
      </c>
      <c r="G1418" s="123" t="s">
        <v>7993</v>
      </c>
      <c r="H1418" s="137" t="s">
        <v>1511</v>
      </c>
      <c r="I1418" s="1554"/>
      <c r="J1418" s="218">
        <v>45761.0</v>
      </c>
      <c r="K1418" s="137" t="s">
        <v>7994</v>
      </c>
      <c r="L1418" s="116" t="s">
        <v>7991</v>
      </c>
      <c r="M1418" s="137" t="s">
        <v>7959</v>
      </c>
      <c r="N1418" s="137" t="s">
        <v>6944</v>
      </c>
      <c r="O1418" s="222">
        <v>3.0</v>
      </c>
      <c r="P1418" s="1356" t="s">
        <v>7960</v>
      </c>
      <c r="Q1418" s="49" t="str">
        <f t="array" ref="Q1418"> if(iserror(MATCH(V1418, 'File Links'!C:C, 0)), "N/A", HYPERLINK(INDEX('File Links'!B:B, MATCH(P1418, 'File Links'!C:C, 0))))</f>
        <v>https://drive.google.com/file/d/1r4PVlL83grqiq4UZ0to7L57VLrbdB9hi/view?usp=drivesdk</v>
      </c>
      <c r="R1418" s="137" t="s">
        <v>7961</v>
      </c>
      <c r="S1418" s="137" t="s">
        <v>7962</v>
      </c>
      <c r="T1418" s="122"/>
      <c r="U1418" s="216">
        <v>1.0</v>
      </c>
      <c r="V1418" s="137" t="str">
        <f t="shared" si="93"/>
        <v>10.1037--pspa0000064.pdf</v>
      </c>
      <c r="W1418" s="116" t="s">
        <v>202</v>
      </c>
      <c r="X1418" s="51" t="str">
        <f t="array" ref="X1418"> if(iserror(MATCH(V1418, 'File Links'!C:C, 0)), "N/A", HYPERLINK(INDEX('File Links'!B:B, MATCH(V1418, 'File Links'!C:C, 0))))</f>
        <v>https://drive.google.com/file/d/1RF-nEXDyW9UWyQIuqmtLdTtTuTs-52JT/view?usp=drivesdk</v>
      </c>
      <c r="Y1418" s="122"/>
      <c r="Z1418" s="137" t="s">
        <v>219</v>
      </c>
      <c r="AA1418" s="137" t="s">
        <v>7963</v>
      </c>
      <c r="AB1418" s="137" t="s">
        <v>7964</v>
      </c>
      <c r="AC1418" s="116" t="s">
        <v>7965</v>
      </c>
      <c r="AD1418" s="137" t="s">
        <v>7995</v>
      </c>
      <c r="AE1418" s="779">
        <v>3.0</v>
      </c>
      <c r="AF1418" s="222">
        <v>69.0</v>
      </c>
      <c r="AG1418" s="779">
        <v>0.15</v>
      </c>
      <c r="AH1418" s="137" t="s">
        <v>7967</v>
      </c>
      <c r="AI1418" s="137" t="s">
        <v>7968</v>
      </c>
      <c r="AJ1418" s="130">
        <v>0.001</v>
      </c>
      <c r="AK1418" s="123" t="s">
        <v>128</v>
      </c>
      <c r="AL1418" s="123" t="s">
        <v>179</v>
      </c>
      <c r="AM1418" s="122" t="s">
        <v>130</v>
      </c>
      <c r="AN1418" s="129"/>
      <c r="AO1418" s="779">
        <v>303.0</v>
      </c>
      <c r="AP1418" s="779">
        <v>0.37</v>
      </c>
      <c r="AQ1418" s="137" t="s">
        <v>980</v>
      </c>
      <c r="AR1418" s="137" t="s">
        <v>1035</v>
      </c>
      <c r="AS1418" s="779">
        <v>0.01</v>
      </c>
      <c r="AT1418" s="137" t="s">
        <v>128</v>
      </c>
      <c r="AU1418" s="137" t="s">
        <v>179</v>
      </c>
      <c r="AV1418" s="216" t="s">
        <v>134</v>
      </c>
      <c r="AW1418" s="368" t="s">
        <v>131</v>
      </c>
      <c r="AX1418" s="122" t="s">
        <v>136</v>
      </c>
      <c r="AY1418" s="104"/>
      <c r="AZ1418" s="121" t="s">
        <v>7909</v>
      </c>
    </row>
    <row r="1419" ht="18.0" customHeight="1">
      <c r="A1419" s="41">
        <v>1419.0</v>
      </c>
      <c r="B1419" s="121" t="s">
        <v>107</v>
      </c>
      <c r="C1419" s="121" t="s">
        <v>108</v>
      </c>
      <c r="D1419" s="121" t="s">
        <v>1451</v>
      </c>
      <c r="E1419" s="104"/>
      <c r="F1419" s="122" t="s">
        <v>7955</v>
      </c>
      <c r="G1419" s="123" t="s">
        <v>7996</v>
      </c>
      <c r="H1419" s="137" t="s">
        <v>1511</v>
      </c>
      <c r="I1419" s="1554"/>
      <c r="J1419" s="218">
        <v>45761.0</v>
      </c>
      <c r="K1419" s="137" t="s">
        <v>7997</v>
      </c>
      <c r="L1419" s="116" t="s">
        <v>7998</v>
      </c>
      <c r="M1419" s="137" t="s">
        <v>7959</v>
      </c>
      <c r="N1419" s="137" t="s">
        <v>6944</v>
      </c>
      <c r="O1419" s="222">
        <v>3.0</v>
      </c>
      <c r="P1419" s="1356" t="s">
        <v>7960</v>
      </c>
      <c r="Q1419" s="49" t="str">
        <f t="array" ref="Q1419"> if(iserror(MATCH(V1419, 'File Links'!C:C, 0)), "N/A", HYPERLINK(INDEX('File Links'!B:B, MATCH(P1419, 'File Links'!C:C, 0))))</f>
        <v>https://drive.google.com/file/d/1r4PVlL83grqiq4UZ0to7L57VLrbdB9hi/view?usp=drivesdk</v>
      </c>
      <c r="R1419" s="137" t="s">
        <v>7961</v>
      </c>
      <c r="S1419" s="137" t="s">
        <v>7962</v>
      </c>
      <c r="T1419" s="122"/>
      <c r="U1419" s="216">
        <v>1.0</v>
      </c>
      <c r="V1419" s="137" t="str">
        <f t="shared" si="93"/>
        <v>10.1037--pspa0000064.pdf</v>
      </c>
      <c r="W1419" s="116" t="s">
        <v>202</v>
      </c>
      <c r="X1419" s="51" t="str">
        <f t="array" ref="X1419"> if(iserror(MATCH(V1419, 'File Links'!C:C, 0)), "N/A", HYPERLINK(INDEX('File Links'!B:B, MATCH(V1419, 'File Links'!C:C, 0))))</f>
        <v>https://drive.google.com/file/d/1RF-nEXDyW9UWyQIuqmtLdTtTuTs-52JT/view?usp=drivesdk</v>
      </c>
      <c r="Y1419" s="122"/>
      <c r="Z1419" s="137" t="s">
        <v>219</v>
      </c>
      <c r="AA1419" s="137" t="s">
        <v>7963</v>
      </c>
      <c r="AB1419" s="137" t="s">
        <v>7964</v>
      </c>
      <c r="AC1419" s="116" t="s">
        <v>7965</v>
      </c>
      <c r="AD1419" s="137" t="s">
        <v>7976</v>
      </c>
      <c r="AE1419" s="779">
        <v>3.0</v>
      </c>
      <c r="AF1419" s="222">
        <v>69.0</v>
      </c>
      <c r="AG1419" s="779">
        <v>0.0</v>
      </c>
      <c r="AH1419" s="137" t="s">
        <v>7967</v>
      </c>
      <c r="AI1419" s="137" t="s">
        <v>7968</v>
      </c>
      <c r="AJ1419" s="130">
        <v>0.22</v>
      </c>
      <c r="AK1419" s="123" t="s">
        <v>165</v>
      </c>
      <c r="AL1419" s="123" t="s">
        <v>179</v>
      </c>
      <c r="AM1419" s="122" t="s">
        <v>134</v>
      </c>
      <c r="AN1419" s="129"/>
      <c r="AO1419" s="779">
        <v>303.0</v>
      </c>
      <c r="AP1419" s="137" t="s">
        <v>7988</v>
      </c>
      <c r="AQ1419" s="137" t="s">
        <v>127</v>
      </c>
      <c r="AR1419" s="137" t="s">
        <v>1035</v>
      </c>
      <c r="AS1419" s="779">
        <v>0.412</v>
      </c>
      <c r="AT1419" s="137" t="s">
        <v>165</v>
      </c>
      <c r="AU1419" s="137" t="s">
        <v>179</v>
      </c>
      <c r="AV1419" s="122" t="s">
        <v>134</v>
      </c>
      <c r="AW1419" s="368" t="s">
        <v>131</v>
      </c>
      <c r="AX1419" s="122" t="s">
        <v>136</v>
      </c>
      <c r="AY1419" s="104"/>
      <c r="AZ1419" s="121" t="s">
        <v>7819</v>
      </c>
    </row>
    <row r="1420" ht="21.0" customHeight="1">
      <c r="A1420" s="41">
        <v>1420.0</v>
      </c>
      <c r="B1420" s="59" t="s">
        <v>107</v>
      </c>
      <c r="C1420" s="59" t="s">
        <v>108</v>
      </c>
      <c r="D1420" s="59" t="s">
        <v>1451</v>
      </c>
      <c r="F1420" s="122" t="s">
        <v>7955</v>
      </c>
      <c r="G1420" s="123" t="s">
        <v>7999</v>
      </c>
      <c r="H1420" s="137" t="s">
        <v>1511</v>
      </c>
      <c r="I1420" s="1554"/>
      <c r="J1420" s="218">
        <v>45761.0</v>
      </c>
      <c r="K1420" s="137" t="s">
        <v>8000</v>
      </c>
      <c r="L1420" s="116" t="s">
        <v>8001</v>
      </c>
      <c r="M1420" s="137" t="s">
        <v>7959</v>
      </c>
      <c r="N1420" s="137" t="s">
        <v>6944</v>
      </c>
      <c r="O1420" s="779">
        <v>5.0</v>
      </c>
      <c r="P1420" s="1356" t="s">
        <v>7960</v>
      </c>
      <c r="Q1420" s="49" t="str">
        <f t="array" ref="Q1420"> if(iserror(MATCH(V1420, 'File Links'!C:C, 0)), "N/A", HYPERLINK(INDEX('File Links'!B:B, MATCH(P1420, 'File Links'!C:C, 0))))</f>
        <v>https://drive.google.com/file/d/1r4PVlL83grqiq4UZ0to7L57VLrbdB9hi/view?usp=drivesdk</v>
      </c>
      <c r="R1420" s="137" t="s">
        <v>7961</v>
      </c>
      <c r="S1420" s="137" t="s">
        <v>7962</v>
      </c>
      <c r="T1420" s="122"/>
      <c r="U1420" s="368">
        <v>1.0</v>
      </c>
      <c r="V1420" s="195" t="str">
        <f t="shared" si="93"/>
        <v>10.1037--pspa0000064.pdf</v>
      </c>
      <c r="W1420" s="116" t="s">
        <v>202</v>
      </c>
      <c r="X1420" s="51" t="str">
        <f t="array" ref="X1420"> if(iserror(MATCH(V1420, 'File Links'!C:C, 0)), "N/A", HYPERLINK(INDEX('File Links'!B:B, MATCH(V1420, 'File Links'!C:C, 0))))</f>
        <v>https://drive.google.com/file/d/1RF-nEXDyW9UWyQIuqmtLdTtTuTs-52JT/view?usp=drivesdk</v>
      </c>
      <c r="Y1420" s="122"/>
      <c r="Z1420" s="137" t="s">
        <v>219</v>
      </c>
      <c r="AA1420" s="137" t="s">
        <v>7963</v>
      </c>
      <c r="AB1420" s="137" t="s">
        <v>7964</v>
      </c>
      <c r="AC1420" s="377" t="s">
        <v>7965</v>
      </c>
      <c r="AD1420" s="116" t="s">
        <v>8002</v>
      </c>
      <c r="AE1420" s="779">
        <v>3.0</v>
      </c>
      <c r="AF1420" s="779">
        <v>356.0</v>
      </c>
      <c r="AG1420" s="779">
        <v>0.01</v>
      </c>
      <c r="AH1420" s="137" t="s">
        <v>7967</v>
      </c>
      <c r="AI1420" s="137" t="s">
        <v>7968</v>
      </c>
      <c r="AJ1420" s="130">
        <v>0.04</v>
      </c>
      <c r="AK1420" s="123" t="s">
        <v>165</v>
      </c>
      <c r="AL1420" s="123" t="s">
        <v>179</v>
      </c>
      <c r="AM1420" s="122" t="s">
        <v>130</v>
      </c>
      <c r="AN1420" s="129"/>
      <c r="AO1420" s="779">
        <v>369.0</v>
      </c>
      <c r="AP1420" s="779">
        <v>0.01</v>
      </c>
      <c r="AQ1420" s="137" t="s">
        <v>166</v>
      </c>
      <c r="AR1420" s="137" t="s">
        <v>1035</v>
      </c>
      <c r="AS1420" s="779">
        <v>0.775</v>
      </c>
      <c r="AT1420" s="137" t="s">
        <v>165</v>
      </c>
      <c r="AU1420" s="137" t="s">
        <v>179</v>
      </c>
      <c r="AV1420" s="216" t="s">
        <v>134</v>
      </c>
      <c r="AW1420" s="368" t="s">
        <v>131</v>
      </c>
      <c r="AX1420" s="122" t="s">
        <v>136</v>
      </c>
      <c r="AZ1420" s="59" t="s">
        <v>7909</v>
      </c>
    </row>
    <row r="1421">
      <c r="A1421" s="41">
        <v>1421.0</v>
      </c>
      <c r="B1421" s="59" t="s">
        <v>107</v>
      </c>
      <c r="C1421" s="59" t="s">
        <v>108</v>
      </c>
      <c r="D1421" s="59" t="s">
        <v>1451</v>
      </c>
      <c r="F1421" s="122" t="s">
        <v>7955</v>
      </c>
      <c r="G1421" s="123" t="s">
        <v>8003</v>
      </c>
      <c r="H1421" s="137" t="s">
        <v>1511</v>
      </c>
      <c r="I1421" s="1554"/>
      <c r="J1421" s="218">
        <v>45761.0</v>
      </c>
      <c r="K1421" s="137" t="s">
        <v>8004</v>
      </c>
      <c r="L1421" s="116" t="s">
        <v>8005</v>
      </c>
      <c r="M1421" s="137" t="s">
        <v>7959</v>
      </c>
      <c r="N1421" s="137" t="s">
        <v>6944</v>
      </c>
      <c r="O1421" s="779">
        <v>5.0</v>
      </c>
      <c r="P1421" s="1356" t="s">
        <v>7960</v>
      </c>
      <c r="Q1421" s="49" t="str">
        <f t="array" ref="Q1421"> if(iserror(MATCH(V1421, 'File Links'!C:C, 0)), "N/A", HYPERLINK(INDEX('File Links'!B:B, MATCH(P1421, 'File Links'!C:C, 0))))</f>
        <v>https://drive.google.com/file/d/1r4PVlL83grqiq4UZ0to7L57VLrbdB9hi/view?usp=drivesdk</v>
      </c>
      <c r="R1421" s="137" t="s">
        <v>7961</v>
      </c>
      <c r="S1421" s="137" t="s">
        <v>7962</v>
      </c>
      <c r="T1421" s="122"/>
      <c r="U1421" s="368">
        <v>1.0</v>
      </c>
      <c r="V1421" s="195" t="str">
        <f t="shared" si="93"/>
        <v>10.1037--pspa0000064.pdf</v>
      </c>
      <c r="W1421" s="116" t="s">
        <v>202</v>
      </c>
      <c r="X1421" s="51" t="str">
        <f t="array" ref="X1421"> if(iserror(MATCH(V1421, 'File Links'!C:C, 0)), "N/A", HYPERLINK(INDEX('File Links'!B:B, MATCH(V1421, 'File Links'!C:C, 0))))</f>
        <v>https://drive.google.com/file/d/1RF-nEXDyW9UWyQIuqmtLdTtTuTs-52JT/view?usp=drivesdk</v>
      </c>
      <c r="Y1421" s="122"/>
      <c r="Z1421" s="137" t="s">
        <v>219</v>
      </c>
      <c r="AA1421" s="137" t="s">
        <v>7963</v>
      </c>
      <c r="AB1421" s="137" t="s">
        <v>7964</v>
      </c>
      <c r="AC1421" s="377" t="s">
        <v>7965</v>
      </c>
      <c r="AD1421" s="137" t="s">
        <v>8006</v>
      </c>
      <c r="AE1421" s="779">
        <v>3.0</v>
      </c>
      <c r="AF1421" s="779">
        <v>356.0</v>
      </c>
      <c r="AG1421" s="779">
        <v>0.07</v>
      </c>
      <c r="AH1421" s="137" t="s">
        <v>7967</v>
      </c>
      <c r="AI1421" s="137" t="s">
        <v>7968</v>
      </c>
      <c r="AJ1421" s="130">
        <v>0.001</v>
      </c>
      <c r="AK1421" s="123" t="s">
        <v>128</v>
      </c>
      <c r="AL1421" s="123" t="s">
        <v>179</v>
      </c>
      <c r="AM1421" s="122" t="s">
        <v>130</v>
      </c>
      <c r="AN1421" s="129"/>
      <c r="AO1421" s="779">
        <v>369.0</v>
      </c>
      <c r="AP1421" s="137" t="s">
        <v>8007</v>
      </c>
      <c r="AQ1421" s="137" t="s">
        <v>127</v>
      </c>
      <c r="AR1421" s="137" t="s">
        <v>1035</v>
      </c>
      <c r="AS1421" s="779">
        <v>0.001</v>
      </c>
      <c r="AT1421" s="137" t="s">
        <v>128</v>
      </c>
      <c r="AU1421" s="137" t="s">
        <v>179</v>
      </c>
      <c r="AV1421" s="216" t="s">
        <v>134</v>
      </c>
      <c r="AW1421" s="368" t="s">
        <v>131</v>
      </c>
      <c r="AX1421" s="122" t="s">
        <v>136</v>
      </c>
      <c r="AZ1421" s="59" t="s">
        <v>7909</v>
      </c>
    </row>
    <row r="1422">
      <c r="A1422" s="41">
        <v>1422.0</v>
      </c>
      <c r="B1422" s="59" t="s">
        <v>107</v>
      </c>
      <c r="C1422" s="59" t="s">
        <v>108</v>
      </c>
      <c r="D1422" s="59" t="s">
        <v>1451</v>
      </c>
      <c r="F1422" s="122" t="s">
        <v>7955</v>
      </c>
      <c r="G1422" s="123" t="s">
        <v>8008</v>
      </c>
      <c r="H1422" s="137" t="s">
        <v>1511</v>
      </c>
      <c r="I1422" s="1554"/>
      <c r="J1422" s="218">
        <v>45761.0</v>
      </c>
      <c r="K1422" s="137" t="s">
        <v>8009</v>
      </c>
      <c r="L1422" s="116" t="s">
        <v>8005</v>
      </c>
      <c r="M1422" s="137" t="s">
        <v>7959</v>
      </c>
      <c r="N1422" s="137" t="s">
        <v>6944</v>
      </c>
      <c r="O1422" s="779">
        <v>5.0</v>
      </c>
      <c r="P1422" s="1356" t="s">
        <v>7960</v>
      </c>
      <c r="Q1422" s="49" t="str">
        <f t="array" ref="Q1422"> if(iserror(MATCH(V1422, 'File Links'!C:C, 0)), "N/A", HYPERLINK(INDEX('File Links'!B:B, MATCH(P1422, 'File Links'!C:C, 0))))</f>
        <v>https://drive.google.com/file/d/1r4PVlL83grqiq4UZ0to7L57VLrbdB9hi/view?usp=drivesdk</v>
      </c>
      <c r="R1422" s="137" t="s">
        <v>7961</v>
      </c>
      <c r="S1422" s="137" t="s">
        <v>7962</v>
      </c>
      <c r="T1422" s="122"/>
      <c r="U1422" s="368">
        <v>1.0</v>
      </c>
      <c r="V1422" s="195" t="str">
        <f t="shared" si="93"/>
        <v>10.1037--pspa0000064.pdf</v>
      </c>
      <c r="W1422" s="116" t="s">
        <v>202</v>
      </c>
      <c r="X1422" s="51" t="str">
        <f t="array" ref="X1422"> if(iserror(MATCH(V1422, 'File Links'!C:C, 0)), "N/A", HYPERLINK(INDEX('File Links'!B:B, MATCH(V1422, 'File Links'!C:C, 0))))</f>
        <v>https://drive.google.com/file/d/1RF-nEXDyW9UWyQIuqmtLdTtTuTs-52JT/view?usp=drivesdk</v>
      </c>
      <c r="Y1422" s="122"/>
      <c r="Z1422" s="137" t="s">
        <v>219</v>
      </c>
      <c r="AA1422" s="137" t="s">
        <v>7963</v>
      </c>
      <c r="AB1422" s="137" t="s">
        <v>7964</v>
      </c>
      <c r="AC1422" s="377" t="s">
        <v>7965</v>
      </c>
      <c r="AD1422" s="137" t="s">
        <v>7976</v>
      </c>
      <c r="AE1422" s="779">
        <v>3.0</v>
      </c>
      <c r="AF1422" s="779">
        <v>356.0</v>
      </c>
      <c r="AG1422" s="779">
        <v>0.0</v>
      </c>
      <c r="AH1422" s="137" t="s">
        <v>7967</v>
      </c>
      <c r="AI1422" s="137" t="s">
        <v>7968</v>
      </c>
      <c r="AJ1422" s="130">
        <v>0.25</v>
      </c>
      <c r="AK1422" s="123" t="s">
        <v>165</v>
      </c>
      <c r="AL1422" s="123" t="s">
        <v>179</v>
      </c>
      <c r="AM1422" s="122" t="s">
        <v>134</v>
      </c>
      <c r="AN1422" s="129"/>
      <c r="AO1422" s="779">
        <v>369.0</v>
      </c>
      <c r="AP1422" s="137" t="s">
        <v>8010</v>
      </c>
      <c r="AQ1422" s="137" t="s">
        <v>127</v>
      </c>
      <c r="AR1422" s="137" t="s">
        <v>1035</v>
      </c>
      <c r="AS1422" s="779">
        <v>0.045</v>
      </c>
      <c r="AT1422" s="137" t="s">
        <v>165</v>
      </c>
      <c r="AU1422" s="137" t="s">
        <v>179</v>
      </c>
      <c r="AV1422" s="122" t="s">
        <v>134</v>
      </c>
      <c r="AW1422" s="368" t="s">
        <v>131</v>
      </c>
      <c r="AX1422" s="122" t="s">
        <v>136</v>
      </c>
      <c r="AZ1422" s="59" t="s">
        <v>7909</v>
      </c>
    </row>
    <row r="1423">
      <c r="A1423" s="41">
        <v>1423.0</v>
      </c>
      <c r="B1423" s="59" t="s">
        <v>107</v>
      </c>
      <c r="C1423" s="59" t="s">
        <v>108</v>
      </c>
      <c r="D1423" s="59" t="s">
        <v>241</v>
      </c>
      <c r="F1423" s="65" t="s">
        <v>7955</v>
      </c>
      <c r="G1423" s="156" t="s">
        <v>8011</v>
      </c>
      <c r="H1423" s="156" t="s">
        <v>242</v>
      </c>
      <c r="I1423" s="149">
        <v>45782.0</v>
      </c>
      <c r="J1423" s="1534">
        <v>45758.0</v>
      </c>
      <c r="K1423" s="156" t="s">
        <v>8012</v>
      </c>
      <c r="L1423" s="148" t="s">
        <v>8013</v>
      </c>
      <c r="M1423" s="156" t="s">
        <v>8014</v>
      </c>
      <c r="N1423" s="156" t="s">
        <v>6944</v>
      </c>
      <c r="O1423" s="153">
        <v>1.0</v>
      </c>
      <c r="P1423" s="603" t="str">
        <f t="shared" ref="P1423:P1425" si="94">SUBSTITUTE(LOWER(N1423), "/", "--") &amp;  ".pdf"</f>
        <v>10.1126--science.1239918.pdf</v>
      </c>
      <c r="Q1423" s="49" t="str">
        <f t="array" ref="Q1423"> if(iserror(MATCH(V1423, 'File Links'!C:C, 0)), "N/A", HYPERLINK(INDEX('File Links'!B:B, MATCH(P1423, 'File Links'!C:C, 0))))</f>
        <v>https://drive.google.com/file/d/1r4PVlL83grqiq4UZ0to7L57VLrbdB9hi/view?usp=drivesdk</v>
      </c>
      <c r="R1423" s="156" t="s">
        <v>7961</v>
      </c>
      <c r="S1423" s="156" t="s">
        <v>7962</v>
      </c>
      <c r="T1423" s="65"/>
      <c r="U1423" s="126">
        <v>1.0</v>
      </c>
      <c r="V1423" s="195" t="str">
        <f t="shared" si="93"/>
        <v>10.1037--pspa0000064.pdf</v>
      </c>
      <c r="W1423" s="156" t="s">
        <v>157</v>
      </c>
      <c r="X1423" s="51" t="str">
        <f t="array" ref="X1423"> if(iserror(MATCH(V1423, 'File Links'!C:C, 0)), "N/A", HYPERLINK(INDEX('File Links'!B:B, MATCH(V1423, 'File Links'!C:C, 0))))</f>
        <v>https://drive.google.com/file/d/1RF-nEXDyW9UWyQIuqmtLdTtTuTs-52JT/view?usp=drivesdk</v>
      </c>
      <c r="Y1423" s="65"/>
      <c r="Z1423" s="156" t="s">
        <v>219</v>
      </c>
      <c r="AA1423" s="156" t="s">
        <v>4045</v>
      </c>
      <c r="AB1423" s="156" t="s">
        <v>8015</v>
      </c>
      <c r="AC1423" s="156" t="s">
        <v>7499</v>
      </c>
      <c r="AD1423" s="156" t="s">
        <v>8016</v>
      </c>
      <c r="AE1423" s="156" t="s">
        <v>2764</v>
      </c>
      <c r="AF1423" s="375">
        <v>80.0</v>
      </c>
      <c r="AG1423" s="493">
        <v>0.05</v>
      </c>
      <c r="AH1423" s="137" t="s">
        <v>7967</v>
      </c>
      <c r="AI1423" s="156" t="s">
        <v>8017</v>
      </c>
      <c r="AJ1423" s="153">
        <v>0.01</v>
      </c>
      <c r="AK1423" s="156" t="s">
        <v>165</v>
      </c>
      <c r="AL1423" s="156" t="s">
        <v>179</v>
      </c>
      <c r="AM1423" s="65" t="s">
        <v>130</v>
      </c>
      <c r="AN1423" s="368" t="s">
        <v>131</v>
      </c>
      <c r="AO1423" s="375">
        <v>300.0</v>
      </c>
      <c r="AP1423" s="153">
        <v>0.07</v>
      </c>
      <c r="AQ1423" s="156" t="s">
        <v>166</v>
      </c>
      <c r="AR1423" s="156" t="s">
        <v>8018</v>
      </c>
      <c r="AS1423" s="1557">
        <v>0.775</v>
      </c>
      <c r="AT1423" s="156" t="s">
        <v>165</v>
      </c>
      <c r="AU1423" s="156" t="s">
        <v>179</v>
      </c>
      <c r="AV1423" s="65" t="s">
        <v>134</v>
      </c>
      <c r="AW1423" s="368" t="s">
        <v>131</v>
      </c>
      <c r="AX1423" s="65" t="s">
        <v>136</v>
      </c>
      <c r="AZ1423" s="59" t="s">
        <v>7909</v>
      </c>
    </row>
    <row r="1424">
      <c r="A1424" s="41">
        <v>1424.0</v>
      </c>
      <c r="B1424" s="59" t="s">
        <v>145</v>
      </c>
      <c r="C1424" s="59" t="s">
        <v>108</v>
      </c>
      <c r="D1424" s="59" t="s">
        <v>241</v>
      </c>
      <c r="F1424" s="65" t="s">
        <v>7955</v>
      </c>
      <c r="G1424" s="156" t="s">
        <v>7956</v>
      </c>
      <c r="H1424" s="156" t="s">
        <v>242</v>
      </c>
      <c r="I1424" s="149">
        <v>45783.0</v>
      </c>
      <c r="J1424" s="1534">
        <v>45758.0</v>
      </c>
      <c r="K1424" s="156" t="s">
        <v>8012</v>
      </c>
      <c r="L1424" s="148" t="s">
        <v>8019</v>
      </c>
      <c r="M1424" s="156" t="s">
        <v>8014</v>
      </c>
      <c r="N1424" s="156" t="s">
        <v>6944</v>
      </c>
      <c r="O1424" s="153">
        <v>1.0</v>
      </c>
      <c r="P1424" s="603" t="str">
        <f t="shared" si="94"/>
        <v>10.1126--science.1239918.pdf</v>
      </c>
      <c r="Q1424" s="49" t="str">
        <f t="array" ref="Q1424"> if(iserror(MATCH(V1424, 'File Links'!C:C, 0)), "N/A", HYPERLINK(INDEX('File Links'!B:B, MATCH(P1424, 'File Links'!C:C, 0))))</f>
        <v>https://drive.google.com/file/d/1r4PVlL83grqiq4UZ0to7L57VLrbdB9hi/view?usp=drivesdk</v>
      </c>
      <c r="R1424" s="156" t="s">
        <v>7961</v>
      </c>
      <c r="S1424" s="156" t="s">
        <v>7962</v>
      </c>
      <c r="T1424" s="65"/>
      <c r="U1424" s="126">
        <v>1.0</v>
      </c>
      <c r="V1424" s="195" t="str">
        <f t="shared" si="93"/>
        <v>10.1037--pspa0000064.pdf</v>
      </c>
      <c r="W1424" s="156" t="s">
        <v>157</v>
      </c>
      <c r="X1424" s="51" t="str">
        <f t="array" ref="X1424"> if(iserror(MATCH(V1424, 'File Links'!C:C, 0)), "N/A", HYPERLINK(INDEX('File Links'!B:B, MATCH(V1424, 'File Links'!C:C, 0))))</f>
        <v>https://drive.google.com/file/d/1RF-nEXDyW9UWyQIuqmtLdTtTuTs-52JT/view?usp=drivesdk</v>
      </c>
      <c r="Y1424" s="65"/>
      <c r="Z1424" s="156" t="s">
        <v>219</v>
      </c>
      <c r="AA1424" s="156" t="s">
        <v>4045</v>
      </c>
      <c r="AB1424" s="156" t="s">
        <v>8020</v>
      </c>
      <c r="AC1424" s="156" t="s">
        <v>8021</v>
      </c>
      <c r="AD1424" s="156" t="s">
        <v>7972</v>
      </c>
      <c r="AE1424" s="156" t="s">
        <v>2764</v>
      </c>
      <c r="AF1424" s="375">
        <v>80.0</v>
      </c>
      <c r="AG1424" s="493">
        <v>0.13</v>
      </c>
      <c r="AH1424" s="137" t="s">
        <v>7967</v>
      </c>
      <c r="AI1424" s="156" t="s">
        <v>8022</v>
      </c>
      <c r="AJ1424" s="153">
        <v>3.0E-4</v>
      </c>
      <c r="AK1424" s="156" t="s">
        <v>165</v>
      </c>
      <c r="AL1424" s="156" t="s">
        <v>179</v>
      </c>
      <c r="AM1424" s="65" t="s">
        <v>130</v>
      </c>
      <c r="AN1424" s="368" t="s">
        <v>131</v>
      </c>
      <c r="AO1424" s="375">
        <v>300.0</v>
      </c>
      <c r="AP1424" s="153">
        <v>0.19</v>
      </c>
      <c r="AQ1424" s="156" t="s">
        <v>980</v>
      </c>
      <c r="AR1424" s="156" t="s">
        <v>8023</v>
      </c>
      <c r="AS1424" s="1557">
        <v>0.001</v>
      </c>
      <c r="AT1424" s="156" t="s">
        <v>128</v>
      </c>
      <c r="AU1424" s="156" t="s">
        <v>179</v>
      </c>
      <c r="AV1424" s="65" t="s">
        <v>134</v>
      </c>
      <c r="AW1424" s="368" t="s">
        <v>131</v>
      </c>
      <c r="AX1424" s="65" t="s">
        <v>136</v>
      </c>
      <c r="AZ1424" s="59" t="s">
        <v>7909</v>
      </c>
      <c r="BA1424" s="339"/>
      <c r="BB1424" s="339"/>
      <c r="BC1424" s="339"/>
      <c r="BD1424" s="339"/>
      <c r="BE1424" s="339"/>
      <c r="BF1424" s="339"/>
      <c r="BG1424" s="339"/>
      <c r="BH1424" s="339"/>
      <c r="BI1424" s="339"/>
      <c r="BJ1424" s="339"/>
      <c r="BK1424" s="339"/>
      <c r="BL1424" s="339"/>
      <c r="BM1424" s="339"/>
      <c r="BN1424" s="339"/>
      <c r="BO1424" s="339"/>
      <c r="BP1424" s="339"/>
      <c r="BQ1424" s="339"/>
      <c r="BR1424" s="339"/>
      <c r="BS1424" s="339"/>
      <c r="BT1424" s="339"/>
      <c r="BU1424" s="339"/>
      <c r="BV1424" s="339"/>
      <c r="BW1424" s="339"/>
      <c r="BX1424" s="339"/>
      <c r="BY1424" s="339"/>
      <c r="BZ1424" s="339"/>
      <c r="CA1424" s="339"/>
      <c r="CB1424" s="339"/>
      <c r="CC1424" s="339"/>
      <c r="CD1424" s="339"/>
      <c r="CE1424" s="339"/>
      <c r="CF1424" s="339"/>
      <c r="CG1424" s="339"/>
      <c r="CH1424" s="339"/>
      <c r="CI1424" s="339"/>
      <c r="CJ1424" s="339"/>
      <c r="CK1424" s="339"/>
      <c r="CL1424" s="339"/>
      <c r="CM1424" s="339"/>
      <c r="CN1424" s="339"/>
      <c r="CO1424" s="339"/>
      <c r="CP1424" s="339"/>
      <c r="CQ1424" s="339"/>
      <c r="CR1424" s="339"/>
      <c r="CS1424" s="339"/>
      <c r="CT1424" s="339"/>
      <c r="CU1424" s="339"/>
      <c r="CV1424" s="339"/>
      <c r="CW1424" s="339"/>
      <c r="CX1424" s="339"/>
      <c r="CY1424" s="339"/>
      <c r="CZ1424" s="339"/>
      <c r="DA1424" s="339"/>
      <c r="DB1424" s="339"/>
      <c r="DC1424" s="339"/>
      <c r="DD1424" s="339"/>
      <c r="DE1424" s="339"/>
      <c r="DF1424" s="339"/>
      <c r="DG1424" s="339"/>
      <c r="DH1424" s="339"/>
    </row>
    <row r="1425">
      <c r="A1425" s="41">
        <v>1425.0</v>
      </c>
      <c r="B1425" s="59" t="s">
        <v>107</v>
      </c>
      <c r="C1425" s="59" t="s">
        <v>108</v>
      </c>
      <c r="D1425" s="59" t="s">
        <v>241</v>
      </c>
      <c r="F1425" s="65" t="s">
        <v>7955</v>
      </c>
      <c r="G1425" s="156" t="s">
        <v>7969</v>
      </c>
      <c r="H1425" s="156" t="s">
        <v>242</v>
      </c>
      <c r="I1425" s="149">
        <v>45783.0</v>
      </c>
      <c r="J1425" s="1534">
        <v>45758.0</v>
      </c>
      <c r="K1425" s="156" t="s">
        <v>8012</v>
      </c>
      <c r="L1425" s="148" t="s">
        <v>8024</v>
      </c>
      <c r="M1425" s="156" t="s">
        <v>8014</v>
      </c>
      <c r="N1425" s="156" t="s">
        <v>6944</v>
      </c>
      <c r="O1425" s="153">
        <v>1.0</v>
      </c>
      <c r="P1425" s="603" t="str">
        <f t="shared" si="94"/>
        <v>10.1126--science.1239918.pdf</v>
      </c>
      <c r="Q1425" s="49" t="str">
        <f t="array" ref="Q1425"> if(iserror(MATCH(V1425, 'File Links'!C:C, 0)), "N/A", HYPERLINK(INDEX('File Links'!B:B, MATCH(P1425, 'File Links'!C:C, 0))))</f>
        <v>https://drive.google.com/file/d/1r4PVlL83grqiq4UZ0to7L57VLrbdB9hi/view?usp=drivesdk</v>
      </c>
      <c r="R1425" s="156" t="s">
        <v>7961</v>
      </c>
      <c r="S1425" s="156" t="s">
        <v>7962</v>
      </c>
      <c r="T1425" s="65"/>
      <c r="U1425" s="126">
        <v>1.0</v>
      </c>
      <c r="V1425" s="195" t="str">
        <f t="shared" si="93"/>
        <v>10.1037--pspa0000064.pdf</v>
      </c>
      <c r="W1425" s="156" t="s">
        <v>157</v>
      </c>
      <c r="X1425" s="51" t="str">
        <f t="array" ref="X1425"> if(iserror(MATCH(V1425, 'File Links'!C:C, 0)), "N/A", HYPERLINK(INDEX('File Links'!B:B, MATCH(V1425, 'File Links'!C:C, 0))))</f>
        <v>https://drive.google.com/file/d/1RF-nEXDyW9UWyQIuqmtLdTtTuTs-52JT/view?usp=drivesdk</v>
      </c>
      <c r="Y1425" s="65"/>
      <c r="Z1425" s="156" t="s">
        <v>219</v>
      </c>
      <c r="AA1425" s="156" t="s">
        <v>4045</v>
      </c>
      <c r="AB1425" s="156" t="s">
        <v>8025</v>
      </c>
      <c r="AC1425" s="156" t="s">
        <v>8021</v>
      </c>
      <c r="AD1425" s="156" t="s">
        <v>8026</v>
      </c>
      <c r="AE1425" s="156" t="s">
        <v>2764</v>
      </c>
      <c r="AF1425" s="375">
        <v>80.0</v>
      </c>
      <c r="AG1425" s="375">
        <v>0.0</v>
      </c>
      <c r="AH1425" s="137" t="s">
        <v>7967</v>
      </c>
      <c r="AI1425" s="156" t="s">
        <v>8027</v>
      </c>
      <c r="AJ1425" s="153">
        <v>0.3</v>
      </c>
      <c r="AK1425" s="156" t="s">
        <v>165</v>
      </c>
      <c r="AL1425" s="156" t="s">
        <v>179</v>
      </c>
      <c r="AM1425" s="65" t="s">
        <v>130</v>
      </c>
      <c r="AN1425" s="368" t="s">
        <v>131</v>
      </c>
      <c r="AO1425" s="375">
        <v>300.0</v>
      </c>
      <c r="AP1425" s="478" t="s">
        <v>7977</v>
      </c>
      <c r="AQ1425" s="478" t="s">
        <v>127</v>
      </c>
      <c r="AR1425" s="156" t="s">
        <v>8028</v>
      </c>
      <c r="AS1425" s="1555">
        <v>0.625</v>
      </c>
      <c r="AT1425" s="156" t="s">
        <v>165</v>
      </c>
      <c r="AU1425" s="156" t="s">
        <v>179</v>
      </c>
      <c r="AV1425" s="65" t="s">
        <v>134</v>
      </c>
      <c r="AW1425" s="368" t="s">
        <v>131</v>
      </c>
      <c r="AX1425" s="65" t="s">
        <v>136</v>
      </c>
      <c r="AZ1425" s="59" t="s">
        <v>7909</v>
      </c>
      <c r="BA1425" s="339"/>
      <c r="BB1425" s="339"/>
      <c r="BC1425" s="339"/>
      <c r="BD1425" s="339"/>
      <c r="BE1425" s="339"/>
      <c r="BF1425" s="339"/>
      <c r="BG1425" s="339"/>
      <c r="BH1425" s="339"/>
      <c r="BI1425" s="339"/>
      <c r="BJ1425" s="339"/>
      <c r="BK1425" s="339"/>
      <c r="BL1425" s="339"/>
      <c r="BM1425" s="339"/>
      <c r="BN1425" s="339"/>
      <c r="BO1425" s="339"/>
      <c r="BP1425" s="339"/>
      <c r="BQ1425" s="339"/>
      <c r="BR1425" s="339"/>
      <c r="BS1425" s="339"/>
      <c r="BT1425" s="339"/>
      <c r="BU1425" s="339"/>
      <c r="BV1425" s="339"/>
      <c r="BW1425" s="339"/>
      <c r="BX1425" s="339"/>
      <c r="BY1425" s="339"/>
      <c r="BZ1425" s="339"/>
      <c r="CA1425" s="339"/>
      <c r="CB1425" s="339"/>
      <c r="CC1425" s="339"/>
      <c r="CD1425" s="339"/>
      <c r="CE1425" s="339"/>
      <c r="CF1425" s="339"/>
      <c r="CG1425" s="339"/>
      <c r="CH1425" s="339"/>
      <c r="CI1425" s="339"/>
      <c r="CJ1425" s="339"/>
      <c r="CK1425" s="339"/>
      <c r="CL1425" s="339"/>
      <c r="CM1425" s="339"/>
      <c r="CN1425" s="339"/>
      <c r="CO1425" s="339"/>
      <c r="CP1425" s="339"/>
      <c r="CQ1425" s="339"/>
      <c r="CR1425" s="339"/>
      <c r="CS1425" s="339"/>
      <c r="CT1425" s="339"/>
      <c r="CU1425" s="339"/>
      <c r="CV1425" s="339"/>
      <c r="CW1425" s="339"/>
      <c r="CX1425" s="339"/>
      <c r="CY1425" s="339"/>
      <c r="CZ1425" s="339"/>
      <c r="DA1425" s="339"/>
      <c r="DB1425" s="339"/>
      <c r="DC1425" s="339"/>
      <c r="DD1425" s="339"/>
      <c r="DE1425" s="339"/>
      <c r="DF1425" s="339"/>
      <c r="DG1425" s="339"/>
      <c r="DH1425" s="339"/>
    </row>
    <row r="1426">
      <c r="A1426" s="41">
        <v>1426.0</v>
      </c>
      <c r="B1426" s="185" t="s">
        <v>145</v>
      </c>
      <c r="C1426" s="185" t="s">
        <v>108</v>
      </c>
      <c r="D1426" s="185" t="s">
        <v>2623</v>
      </c>
      <c r="E1426" s="186"/>
      <c r="F1426" s="366" t="s">
        <v>8029</v>
      </c>
      <c r="G1426" s="189" t="str">
        <f t="shared" ref="G1426:G1429" si="95">F1426&amp;"_"&amp;COUNTIF($B$3:F1426, F1426)</f>
        <v>curatescience533_1</v>
      </c>
      <c r="H1426" s="366" t="s">
        <v>7458</v>
      </c>
      <c r="I1426" s="367">
        <v>45676.0</v>
      </c>
      <c r="J1426" s="1531">
        <v>45684.0</v>
      </c>
      <c r="K1426" s="187"/>
      <c r="L1426" s="371" t="s">
        <v>8030</v>
      </c>
      <c r="M1426" s="1464" t="s">
        <v>8031</v>
      </c>
      <c r="N1426" s="366" t="s">
        <v>8032</v>
      </c>
      <c r="O1426" s="371">
        <v>2.0</v>
      </c>
      <c r="P1426" s="1558" t="str">
        <f t="shared" ref="P1426:P1429" si="96"> SUBSTITUTE(lower(N1426), "/", "--") &amp;  ".pdf"</f>
        <v>10.1111--j.1467-9280.2009.02426.x.pdf</v>
      </c>
      <c r="Q1426" s="49" t="str">
        <f t="array" ref="Q1426"> if(iserror(MATCH(V1426, 'File Links'!C:C, 0)), "N/A", HYPERLINK(INDEX('File Links'!B:B, MATCH(P1426, 'File Links'!C:C, 0))))</f>
        <v>https://drive.google.com/file/d/1dqYztlMOBsUY1H2Tadvsh9mJOiZQ1nVh/view?usp=drivesdk</v>
      </c>
      <c r="R1426" s="366" t="s">
        <v>8033</v>
      </c>
      <c r="S1426" s="366" t="s">
        <v>8034</v>
      </c>
      <c r="T1426" s="1095" t="s">
        <v>8035</v>
      </c>
      <c r="U1426" s="366" t="s">
        <v>8036</v>
      </c>
      <c r="V1426" s="195" t="str">
        <f t="shared" si="93"/>
        <v>10.1016--j.jesp.2015.10.012.pdf</v>
      </c>
      <c r="W1426" s="366" t="s">
        <v>7466</v>
      </c>
      <c r="X1426" s="51" t="str">
        <f t="array" ref="X1426"> if(iserror(MATCH(V1426, 'File Links'!C:C, 0)), "N/A", HYPERLINK(INDEX('File Links'!B:B, MATCH(V1426, 'File Links'!C:C, 0))))</f>
        <v>https://drive.google.com/file/d/1xuc-fvipcLZQMaybgsFtBL29-3ClXZFF/view?usp=drivesdk</v>
      </c>
      <c r="Z1426" s="366" t="s">
        <v>219</v>
      </c>
      <c r="AA1426" s="366" t="s">
        <v>8037</v>
      </c>
      <c r="AB1426" s="366" t="s">
        <v>8038</v>
      </c>
      <c r="AC1426" s="366" t="s">
        <v>8039</v>
      </c>
      <c r="AD1426" s="366" t="s">
        <v>8040</v>
      </c>
      <c r="AE1426" s="1559">
        <v>1171.0</v>
      </c>
      <c r="AF1426" s="1468">
        <v>51.0</v>
      </c>
      <c r="AG1426" s="1468">
        <v>0.59</v>
      </c>
      <c r="AH1426" s="1559" t="s">
        <v>166</v>
      </c>
      <c r="AI1426" s="366" t="s">
        <v>8041</v>
      </c>
      <c r="AJ1426" s="1465">
        <v>0.05</v>
      </c>
      <c r="AK1426" s="189" t="s">
        <v>128</v>
      </c>
      <c r="AL1426" s="1560" t="s">
        <v>179</v>
      </c>
      <c r="AM1426" s="1466" t="s">
        <v>130</v>
      </c>
      <c r="AN1426" s="1560" t="s">
        <v>131</v>
      </c>
      <c r="AO1426" s="1561">
        <v>2374.0</v>
      </c>
      <c r="AP1426" s="1093">
        <v>0.03</v>
      </c>
      <c r="AQ1426" s="366" t="s">
        <v>166</v>
      </c>
      <c r="AR1426" s="1559">
        <v>6.0</v>
      </c>
      <c r="AS1426" s="1093">
        <v>0.543</v>
      </c>
      <c r="AT1426" s="366" t="s">
        <v>165</v>
      </c>
      <c r="AU1426" s="366" t="s">
        <v>129</v>
      </c>
      <c r="AV1426" s="1466" t="s">
        <v>130</v>
      </c>
      <c r="AW1426" s="1562" t="s">
        <v>131</v>
      </c>
      <c r="AX1426" s="1466" t="s">
        <v>136</v>
      </c>
      <c r="AY1426" s="185" t="s">
        <v>8042</v>
      </c>
      <c r="AZ1426" s="185" t="s">
        <v>137</v>
      </c>
      <c r="BA1426" s="339"/>
      <c r="BB1426" s="339"/>
      <c r="BC1426" s="339"/>
      <c r="BD1426" s="339"/>
      <c r="BE1426" s="339"/>
      <c r="BF1426" s="339"/>
      <c r="BG1426" s="339"/>
      <c r="BH1426" s="339"/>
      <c r="BI1426" s="339"/>
      <c r="BJ1426" s="339"/>
      <c r="BK1426" s="339"/>
      <c r="BL1426" s="339"/>
      <c r="BM1426" s="339"/>
      <c r="BN1426" s="339"/>
      <c r="BO1426" s="339"/>
      <c r="BP1426" s="339"/>
      <c r="BQ1426" s="339"/>
      <c r="BR1426" s="339"/>
      <c r="BS1426" s="339"/>
      <c r="BT1426" s="339"/>
      <c r="BU1426" s="339"/>
      <c r="BV1426" s="339"/>
      <c r="BW1426" s="339"/>
      <c r="BX1426" s="339"/>
      <c r="BY1426" s="339"/>
      <c r="BZ1426" s="339"/>
      <c r="CA1426" s="339"/>
      <c r="CB1426" s="339"/>
      <c r="CC1426" s="339"/>
      <c r="CD1426" s="339"/>
      <c r="CE1426" s="339"/>
      <c r="CF1426" s="339"/>
      <c r="CG1426" s="339"/>
      <c r="CH1426" s="339"/>
      <c r="CI1426" s="339"/>
      <c r="CJ1426" s="339"/>
      <c r="CK1426" s="339"/>
      <c r="CL1426" s="339"/>
      <c r="CM1426" s="339"/>
      <c r="CN1426" s="339"/>
      <c r="CO1426" s="339"/>
      <c r="CP1426" s="339"/>
      <c r="CQ1426" s="339"/>
      <c r="CR1426" s="339"/>
      <c r="CS1426" s="339"/>
      <c r="CT1426" s="339"/>
      <c r="CU1426" s="339"/>
      <c r="CV1426" s="339"/>
      <c r="CW1426" s="339"/>
      <c r="CX1426" s="339"/>
      <c r="CY1426" s="339"/>
      <c r="CZ1426" s="339"/>
      <c r="DA1426" s="339"/>
      <c r="DB1426" s="339"/>
      <c r="DC1426" s="339"/>
      <c r="DD1426" s="339"/>
      <c r="DE1426" s="339"/>
      <c r="DF1426" s="339"/>
      <c r="DG1426" s="339"/>
      <c r="DH1426" s="339"/>
    </row>
    <row r="1427">
      <c r="A1427" s="41">
        <v>1427.0</v>
      </c>
      <c r="B1427" s="185" t="s">
        <v>107</v>
      </c>
      <c r="C1427" s="185" t="s">
        <v>108</v>
      </c>
      <c r="D1427" s="185" t="s">
        <v>1227</v>
      </c>
      <c r="E1427" s="186"/>
      <c r="F1427" s="195" t="s">
        <v>8029</v>
      </c>
      <c r="G1427" s="55" t="str">
        <f t="shared" si="95"/>
        <v>curatescience533_2</v>
      </c>
      <c r="H1427" s="195" t="s">
        <v>6921</v>
      </c>
      <c r="I1427" s="188">
        <v>45901.0</v>
      </c>
      <c r="J1427" s="1531">
        <v>45684.0</v>
      </c>
      <c r="K1427" s="187"/>
      <c r="L1427" s="187"/>
      <c r="M1427" s="1464" t="s">
        <v>8031</v>
      </c>
      <c r="N1427" s="195" t="s">
        <v>8032</v>
      </c>
      <c r="O1427" s="755">
        <v>2.0</v>
      </c>
      <c r="P1427" s="974" t="str">
        <f t="shared" si="96"/>
        <v>10.1111--j.1467-9280.2009.02426.x.pdf</v>
      </c>
      <c r="Q1427" s="49" t="str">
        <f t="array" ref="Q1427"> if(iserror(MATCH(V1427, 'File Links'!C:C, 0)), "N/A", HYPERLINK(INDEX('File Links'!B:B, MATCH(P1427, 'File Links'!C:C, 0))))</f>
        <v>https://drive.google.com/file/d/1dqYztlMOBsUY1H2Tadvsh9mJOiZQ1nVh/view?usp=drivesdk</v>
      </c>
      <c r="R1427" s="366" t="s">
        <v>8033</v>
      </c>
      <c r="S1427" s="366" t="s">
        <v>8034</v>
      </c>
      <c r="T1427" s="1095" t="s">
        <v>8035</v>
      </c>
      <c r="U1427" s="1563" t="s">
        <v>8036</v>
      </c>
      <c r="V1427" s="195" t="str">
        <f t="shared" si="93"/>
        <v>10.1016--j.jesp.2015.10.012.pdf</v>
      </c>
      <c r="W1427" s="187"/>
      <c r="X1427" s="51" t="str">
        <f t="array" ref="X1427"> if(iserror(MATCH(V1427, 'File Links'!C:C, 0)), "N/A", HYPERLINK(INDEX('File Links'!B:B, MATCH(V1427, 'File Links'!C:C, 0))))</f>
        <v>https://drive.google.com/file/d/1xuc-fvipcLZQMaybgsFtBL29-3ClXZFF/view?usp=drivesdk</v>
      </c>
      <c r="Z1427" s="195" t="s">
        <v>219</v>
      </c>
      <c r="AA1427" s="195" t="s">
        <v>8043</v>
      </c>
      <c r="AB1427" s="187"/>
      <c r="AC1427" s="187"/>
      <c r="AD1427" s="195" t="s">
        <v>8044</v>
      </c>
      <c r="AE1427" s="755">
        <v>1171.0</v>
      </c>
      <c r="AF1427" s="987">
        <v>50.0</v>
      </c>
      <c r="AG1427" s="755">
        <v>0.59</v>
      </c>
      <c r="AH1427" s="195" t="s">
        <v>166</v>
      </c>
      <c r="AI1427" s="187"/>
      <c r="AJ1427" s="1119">
        <v>0.043</v>
      </c>
      <c r="AK1427" s="55" t="s">
        <v>165</v>
      </c>
      <c r="AL1427" s="190"/>
      <c r="AM1427" s="187" t="s">
        <v>130</v>
      </c>
      <c r="AN1427" s="190"/>
      <c r="AO1427" s="755">
        <v>2285.0</v>
      </c>
      <c r="AP1427" s="755">
        <v>0.03</v>
      </c>
      <c r="AQ1427" s="195" t="s">
        <v>166</v>
      </c>
      <c r="AR1427" s="187"/>
      <c r="AS1427" s="755">
        <v>0.543</v>
      </c>
      <c r="AT1427" s="195" t="s">
        <v>165</v>
      </c>
      <c r="AU1427" s="187"/>
      <c r="AV1427" s="187" t="s">
        <v>130</v>
      </c>
      <c r="AW1427" s="187"/>
      <c r="AX1427" s="187" t="s">
        <v>136</v>
      </c>
      <c r="AY1427" s="185" t="s">
        <v>8045</v>
      </c>
      <c r="AZ1427" s="185" t="s">
        <v>137</v>
      </c>
      <c r="BA1427" s="1564"/>
      <c r="BB1427" s="1564"/>
      <c r="BC1427" s="1564"/>
      <c r="BD1427" s="1564"/>
      <c r="BE1427" s="1564"/>
      <c r="BF1427" s="1564"/>
      <c r="BG1427" s="1564"/>
      <c r="BH1427" s="1564"/>
      <c r="BI1427" s="1564"/>
      <c r="BJ1427" s="1564"/>
      <c r="BK1427" s="1564"/>
      <c r="BL1427" s="1564"/>
      <c r="BM1427" s="1564"/>
      <c r="BN1427" s="1564"/>
      <c r="BO1427" s="1564"/>
      <c r="BP1427" s="1564"/>
      <c r="BQ1427" s="1564"/>
      <c r="BR1427" s="1564"/>
      <c r="BS1427" s="1564"/>
      <c r="BT1427" s="1564"/>
      <c r="BU1427" s="1564"/>
      <c r="BV1427" s="1564"/>
      <c r="BW1427" s="1564"/>
      <c r="BX1427" s="1564"/>
      <c r="BY1427" s="1564"/>
      <c r="BZ1427" s="1564"/>
      <c r="CA1427" s="1564"/>
      <c r="CB1427" s="1564"/>
      <c r="CC1427" s="1564"/>
      <c r="CD1427" s="1564"/>
      <c r="CE1427" s="1564"/>
      <c r="CF1427" s="1564"/>
      <c r="CG1427" s="1564"/>
      <c r="CH1427" s="1564"/>
      <c r="CI1427" s="1564"/>
      <c r="CJ1427" s="1564"/>
      <c r="CK1427" s="1564"/>
      <c r="CL1427" s="1564"/>
      <c r="CM1427" s="1564"/>
      <c r="CN1427" s="1564"/>
      <c r="CO1427" s="1564"/>
      <c r="CP1427" s="1564"/>
      <c r="CQ1427" s="1564"/>
      <c r="CR1427" s="1564"/>
      <c r="CS1427" s="1564"/>
      <c r="CT1427" s="1564"/>
      <c r="CU1427" s="1564"/>
      <c r="CV1427" s="1564"/>
      <c r="CW1427" s="1564"/>
      <c r="CX1427" s="1564"/>
      <c r="CY1427" s="1564"/>
      <c r="CZ1427" s="1564"/>
      <c r="DA1427" s="1564"/>
      <c r="DB1427" s="1564"/>
      <c r="DC1427" s="1564"/>
      <c r="DD1427" s="1564"/>
      <c r="DE1427" s="1564"/>
      <c r="DF1427" s="1564"/>
      <c r="DG1427" s="1564"/>
      <c r="DH1427" s="1564"/>
    </row>
    <row r="1428">
      <c r="A1428" s="41">
        <v>1428.0</v>
      </c>
      <c r="B1428" s="185" t="s">
        <v>145</v>
      </c>
      <c r="C1428" s="322" t="s">
        <v>108</v>
      </c>
      <c r="D1428" s="322" t="s">
        <v>2623</v>
      </c>
      <c r="E1428" s="223"/>
      <c r="F1428" s="384" t="s">
        <v>8046</v>
      </c>
      <c r="G1428" s="385" t="str">
        <f t="shared" si="95"/>
        <v>curatescience537_1</v>
      </c>
      <c r="H1428" s="384" t="s">
        <v>7458</v>
      </c>
      <c r="I1428" s="386">
        <v>45675.0</v>
      </c>
      <c r="J1428" s="386">
        <v>45676.0</v>
      </c>
      <c r="K1428" s="328"/>
      <c r="L1428" s="328"/>
      <c r="M1428" s="1565" t="s">
        <v>8047</v>
      </c>
      <c r="N1428" s="384" t="s">
        <v>8048</v>
      </c>
      <c r="O1428" s="327">
        <v>1.0</v>
      </c>
      <c r="P1428" s="1566" t="str">
        <f t="shared" si="96"/>
        <v>10.1027--1864-9335--a000147.pdf</v>
      </c>
      <c r="Q1428" s="49" t="str">
        <f t="array" ref="Q1428"> if(iserror(MATCH(V1428, 'File Links'!C:C, 0)), "N/A", HYPERLINK(INDEX('File Links'!B:B, MATCH(P1428, 'File Links'!C:C, 0))))</f>
        <v>https://drive.google.com/file/d/1Nb1xwSCq02ajI3h9-mZBwiuifn_7H1iR/view?usp=drivesdk</v>
      </c>
      <c r="R1428" s="384" t="s">
        <v>8033</v>
      </c>
      <c r="S1428" s="384" t="s">
        <v>8034</v>
      </c>
      <c r="T1428" s="393" t="s">
        <v>8035</v>
      </c>
      <c r="U1428" s="384" t="s">
        <v>8049</v>
      </c>
      <c r="V1428" s="195" t="str">
        <f t="shared" si="93"/>
        <v>10.1016--j.jesp.2015.10.012.pdf</v>
      </c>
      <c r="W1428" s="384" t="s">
        <v>7466</v>
      </c>
      <c r="X1428" s="51" t="str">
        <f t="array" ref="X1428"> if(iserror(MATCH(V1428, 'File Links'!C:C, 0)), "N/A", HYPERLINK(INDEX('File Links'!B:B, MATCH(V1428, 'File Links'!C:C, 0))))</f>
        <v>https://drive.google.com/file/d/1xuc-fvipcLZQMaybgsFtBL29-3ClXZFF/view?usp=drivesdk</v>
      </c>
      <c r="Z1428" s="384" t="s">
        <v>219</v>
      </c>
      <c r="AA1428" s="384" t="s">
        <v>8050</v>
      </c>
      <c r="AB1428" s="384" t="s">
        <v>8051</v>
      </c>
      <c r="AC1428" s="384" t="s">
        <v>8052</v>
      </c>
      <c r="AD1428" s="384" t="s">
        <v>8053</v>
      </c>
      <c r="AE1428" s="384" t="s">
        <v>8054</v>
      </c>
      <c r="AF1428" s="1567">
        <v>80.0</v>
      </c>
      <c r="AG1428" s="1567">
        <v>0.86</v>
      </c>
      <c r="AH1428" s="389" t="s">
        <v>166</v>
      </c>
      <c r="AI1428" s="384" t="s">
        <v>8055</v>
      </c>
      <c r="AJ1428" s="1568">
        <v>0.001</v>
      </c>
      <c r="AK1428" s="385" t="s">
        <v>128</v>
      </c>
      <c r="AL1428" s="385" t="s">
        <v>129</v>
      </c>
      <c r="AM1428" s="1569" t="s">
        <v>130</v>
      </c>
      <c r="AN1428" s="327" t="s">
        <v>131</v>
      </c>
      <c r="AO1428" s="1570">
        <v>3119.0</v>
      </c>
      <c r="AP1428" s="1570">
        <v>0.01</v>
      </c>
      <c r="AQ1428" s="1571" t="s">
        <v>166</v>
      </c>
      <c r="AR1428" s="332">
        <v>73.0</v>
      </c>
      <c r="AS1428" s="1570">
        <v>0.827</v>
      </c>
      <c r="AT1428" s="384" t="s">
        <v>165</v>
      </c>
      <c r="AU1428" s="384" t="s">
        <v>129</v>
      </c>
      <c r="AV1428" s="1569" t="s">
        <v>130</v>
      </c>
      <c r="AW1428" s="1572" t="s">
        <v>131</v>
      </c>
      <c r="AX1428" s="1569" t="s">
        <v>136</v>
      </c>
      <c r="AY1428" s="223"/>
      <c r="AZ1428" s="322" t="s">
        <v>137</v>
      </c>
      <c r="BA1428" s="339"/>
      <c r="BB1428" s="339"/>
      <c r="BC1428" s="339"/>
      <c r="BD1428" s="339"/>
      <c r="BE1428" s="339"/>
      <c r="BF1428" s="339"/>
      <c r="BG1428" s="339"/>
      <c r="BH1428" s="339"/>
      <c r="BI1428" s="339"/>
      <c r="BJ1428" s="339"/>
      <c r="BK1428" s="339"/>
      <c r="BL1428" s="339"/>
      <c r="BM1428" s="339"/>
      <c r="BN1428" s="339"/>
      <c r="BO1428" s="339"/>
      <c r="BP1428" s="339"/>
      <c r="BQ1428" s="339"/>
      <c r="BR1428" s="339"/>
      <c r="BS1428" s="339"/>
      <c r="BT1428" s="339"/>
      <c r="BU1428" s="339"/>
      <c r="BV1428" s="339"/>
      <c r="BW1428" s="339"/>
      <c r="BX1428" s="339"/>
      <c r="BY1428" s="339"/>
      <c r="BZ1428" s="339"/>
      <c r="CA1428" s="339"/>
      <c r="CB1428" s="339"/>
      <c r="CC1428" s="339"/>
      <c r="CD1428" s="339"/>
      <c r="CE1428" s="339"/>
      <c r="CF1428" s="339"/>
      <c r="CG1428" s="339"/>
      <c r="CH1428" s="339"/>
      <c r="CI1428" s="339"/>
      <c r="CJ1428" s="339"/>
      <c r="CK1428" s="339"/>
      <c r="CL1428" s="339"/>
      <c r="CM1428" s="339"/>
      <c r="CN1428" s="339"/>
      <c r="CO1428" s="339"/>
      <c r="CP1428" s="339"/>
      <c r="CQ1428" s="339"/>
      <c r="CR1428" s="339"/>
      <c r="CS1428" s="339"/>
      <c r="CT1428" s="339"/>
      <c r="CU1428" s="339"/>
      <c r="CV1428" s="339"/>
      <c r="CW1428" s="339"/>
      <c r="CX1428" s="339"/>
      <c r="CY1428" s="339"/>
      <c r="CZ1428" s="339"/>
      <c r="DA1428" s="339"/>
      <c r="DB1428" s="339"/>
      <c r="DC1428" s="339"/>
      <c r="DD1428" s="339"/>
      <c r="DE1428" s="339"/>
      <c r="DF1428" s="339"/>
      <c r="DG1428" s="339"/>
      <c r="DH1428" s="339"/>
    </row>
    <row r="1429">
      <c r="A1429" s="41">
        <v>1429.0</v>
      </c>
      <c r="B1429" s="185" t="s">
        <v>107</v>
      </c>
      <c r="C1429" s="322" t="s">
        <v>108</v>
      </c>
      <c r="D1429" s="322" t="s">
        <v>1227</v>
      </c>
      <c r="E1429" s="223"/>
      <c r="F1429" s="241" t="s">
        <v>8046</v>
      </c>
      <c r="G1429" s="409" t="str">
        <f t="shared" si="95"/>
        <v>curatescience537_2</v>
      </c>
      <c r="H1429" s="241" t="s">
        <v>6921</v>
      </c>
      <c r="I1429" s="655">
        <v>45901.0</v>
      </c>
      <c r="J1429" s="655">
        <v>45901.0</v>
      </c>
      <c r="K1429" s="328"/>
      <c r="L1429" s="328"/>
      <c r="M1429" s="1565" t="s">
        <v>8047</v>
      </c>
      <c r="N1429" s="241" t="s">
        <v>8048</v>
      </c>
      <c r="O1429" s="331">
        <v>1.0</v>
      </c>
      <c r="P1429" s="1320" t="str">
        <f t="shared" si="96"/>
        <v>10.1027--1864-9335--a000147.pdf</v>
      </c>
      <c r="Q1429" s="49" t="str">
        <f t="array" ref="Q1429"> if(iserror(MATCH(V1429, 'File Links'!C:C, 0)), "N/A", HYPERLINK(INDEX('File Links'!B:B, MATCH(P1429, 'File Links'!C:C, 0))))</f>
        <v>https://drive.google.com/file/d/1Nb1xwSCq02ajI3h9-mZBwiuifn_7H1iR/view?usp=drivesdk</v>
      </c>
      <c r="R1429" s="384" t="s">
        <v>8033</v>
      </c>
      <c r="S1429" s="384" t="s">
        <v>8034</v>
      </c>
      <c r="T1429" s="393" t="s">
        <v>8035</v>
      </c>
      <c r="U1429" s="328"/>
      <c r="V1429" s="195" t="str">
        <f t="shared" si="93"/>
        <v>10.1016--j.jesp.2015.10.012.pdf</v>
      </c>
      <c r="W1429" s="328"/>
      <c r="X1429" s="51" t="str">
        <f t="array" ref="X1429"> if(iserror(MATCH(V1429, 'File Links'!C:C, 0)), "N/A", HYPERLINK(INDEX('File Links'!B:B, MATCH(V1429, 'File Links'!C:C, 0))))</f>
        <v>https://drive.google.com/file/d/1xuc-fvipcLZQMaybgsFtBL29-3ClXZFF/view?usp=drivesdk</v>
      </c>
      <c r="Z1429" s="241" t="s">
        <v>219</v>
      </c>
      <c r="AA1429" s="241" t="s">
        <v>8056</v>
      </c>
      <c r="AB1429" s="328"/>
      <c r="AC1429" s="328"/>
      <c r="AD1429" s="241" t="s">
        <v>8057</v>
      </c>
      <c r="AE1429" s="331">
        <v>170.0</v>
      </c>
      <c r="AF1429" s="331">
        <v>80.0</v>
      </c>
      <c r="AG1429" s="331">
        <v>0.86</v>
      </c>
      <c r="AH1429" s="241" t="s">
        <v>166</v>
      </c>
      <c r="AI1429" s="328"/>
      <c r="AJ1429" s="1173">
        <v>0.001</v>
      </c>
      <c r="AK1429" s="409" t="s">
        <v>128</v>
      </c>
      <c r="AL1429" s="409" t="s">
        <v>179</v>
      </c>
      <c r="AM1429" s="328" t="s">
        <v>130</v>
      </c>
      <c r="AN1429" s="327" t="s">
        <v>131</v>
      </c>
      <c r="AO1429" s="331">
        <v>3119.0</v>
      </c>
      <c r="AP1429" s="331">
        <v>0.01</v>
      </c>
      <c r="AQ1429" s="241" t="s">
        <v>166</v>
      </c>
      <c r="AR1429" s="327">
        <v>73.0</v>
      </c>
      <c r="AS1429" s="331">
        <v>0.827</v>
      </c>
      <c r="AT1429" s="241" t="s">
        <v>165</v>
      </c>
      <c r="AU1429" s="328"/>
      <c r="AV1429" s="328"/>
      <c r="AW1429" s="328"/>
      <c r="AX1429" s="328" t="s">
        <v>136</v>
      </c>
      <c r="AY1429" s="223"/>
      <c r="AZ1429" s="322" t="s">
        <v>137</v>
      </c>
      <c r="BA1429" s="339"/>
      <c r="BB1429" s="339"/>
      <c r="BC1429" s="339"/>
      <c r="BD1429" s="339"/>
      <c r="BE1429" s="339"/>
      <c r="BF1429" s="339"/>
      <c r="BG1429" s="339"/>
      <c r="BH1429" s="339"/>
      <c r="BI1429" s="339"/>
      <c r="BJ1429" s="339"/>
      <c r="BK1429" s="339"/>
      <c r="BL1429" s="339"/>
      <c r="BM1429" s="339"/>
      <c r="BN1429" s="339"/>
      <c r="BO1429" s="339"/>
      <c r="BP1429" s="339"/>
      <c r="BQ1429" s="339"/>
      <c r="BR1429" s="339"/>
      <c r="BS1429" s="339"/>
      <c r="BT1429" s="339"/>
      <c r="BU1429" s="339"/>
      <c r="BV1429" s="339"/>
      <c r="BW1429" s="339"/>
      <c r="BX1429" s="339"/>
      <c r="BY1429" s="339"/>
      <c r="BZ1429" s="339"/>
      <c r="CA1429" s="339"/>
      <c r="CB1429" s="339"/>
      <c r="CC1429" s="339"/>
      <c r="CD1429" s="339"/>
      <c r="CE1429" s="339"/>
      <c r="CF1429" s="339"/>
      <c r="CG1429" s="339"/>
      <c r="CH1429" s="339"/>
      <c r="CI1429" s="339"/>
      <c r="CJ1429" s="339"/>
      <c r="CK1429" s="339"/>
      <c r="CL1429" s="339"/>
      <c r="CM1429" s="339"/>
      <c r="CN1429" s="339"/>
      <c r="CO1429" s="339"/>
      <c r="CP1429" s="339"/>
      <c r="CQ1429" s="339"/>
      <c r="CR1429" s="339"/>
      <c r="CS1429" s="339"/>
      <c r="CT1429" s="339"/>
      <c r="CU1429" s="339"/>
      <c r="CV1429" s="339"/>
      <c r="CW1429" s="339"/>
      <c r="CX1429" s="339"/>
      <c r="CY1429" s="339"/>
      <c r="CZ1429" s="339"/>
      <c r="DA1429" s="339"/>
      <c r="DB1429" s="339"/>
      <c r="DC1429" s="339"/>
      <c r="DD1429" s="339"/>
      <c r="DE1429" s="339"/>
      <c r="DF1429" s="339"/>
      <c r="DG1429" s="339"/>
      <c r="DH1429" s="339"/>
    </row>
    <row r="1430">
      <c r="A1430" s="41">
        <v>1430.0</v>
      </c>
      <c r="B1430" s="59" t="s">
        <v>516</v>
      </c>
      <c r="C1430" s="59" t="s">
        <v>108</v>
      </c>
      <c r="D1430" s="59" t="s">
        <v>1451</v>
      </c>
      <c r="F1430" s="65" t="s">
        <v>8058</v>
      </c>
      <c r="G1430" s="54" t="s">
        <v>8059</v>
      </c>
      <c r="H1430" s="65"/>
      <c r="I1430" s="1284" t="s">
        <v>112</v>
      </c>
      <c r="J1430" s="537">
        <v>45761.0</v>
      </c>
      <c r="K1430" s="65"/>
      <c r="L1430" s="156" t="s">
        <v>7316</v>
      </c>
      <c r="M1430" s="156" t="s">
        <v>8060</v>
      </c>
      <c r="N1430" s="156" t="s">
        <v>6944</v>
      </c>
      <c r="O1430" s="65"/>
      <c r="P1430" s="1573" t="s">
        <v>7960</v>
      </c>
      <c r="Q1430" s="105" t="str">
        <f t="array" ref="Q1430"> if(iserror(MATCH(V1430, 'File Links'!C:C, 0)), "N/A", HYPERLINK(INDEX('File Links'!B:B, MATCH(P1430, 'File Links'!C:C, 0))))</f>
        <v>N/A</v>
      </c>
      <c r="R1430" s="677" t="s">
        <v>8061</v>
      </c>
      <c r="S1430" s="156" t="s">
        <v>7962</v>
      </c>
      <c r="T1430" s="65"/>
      <c r="U1430" s="65"/>
      <c r="V1430" s="379" t="s">
        <v>570</v>
      </c>
      <c r="W1430" s="65"/>
      <c r="X1430" s="46" t="str">
        <f t="array" ref="X1430"> if(iserror(MATCH(V1430, 'File Links'!C:C, 0)), "N/A", HYPERLINK(INDEX('File Links'!B:B, MATCH(V1430, 'File Links'!C:C, 0))))</f>
        <v>N/A</v>
      </c>
      <c r="Y1430" s="156" t="s">
        <v>7540</v>
      </c>
      <c r="Z1430" s="65"/>
      <c r="AA1430" s="65"/>
      <c r="AB1430" s="65"/>
      <c r="AC1430" s="65"/>
      <c r="AD1430" s="65"/>
      <c r="AE1430" s="65"/>
      <c r="AF1430" s="65"/>
      <c r="AG1430" s="65"/>
      <c r="AH1430" s="65"/>
      <c r="AI1430" s="65"/>
      <c r="AJ1430" s="335"/>
      <c r="AK1430" s="58"/>
      <c r="AL1430" s="58"/>
      <c r="AM1430" s="65"/>
      <c r="AN1430" s="327" t="s">
        <v>131</v>
      </c>
      <c r="AO1430" s="65"/>
      <c r="AP1430" s="65"/>
      <c r="AQ1430" s="65"/>
      <c r="AR1430" s="65"/>
      <c r="AS1430" s="65"/>
      <c r="AT1430" s="65"/>
      <c r="AU1430" s="65"/>
      <c r="AV1430" s="65"/>
      <c r="AW1430" s="65"/>
      <c r="AX1430" s="65"/>
      <c r="AZ1430" s="59" t="s">
        <v>7797</v>
      </c>
      <c r="BA1430" s="339"/>
      <c r="BB1430" s="339"/>
      <c r="BC1430" s="339"/>
      <c r="BD1430" s="339"/>
      <c r="BE1430" s="339"/>
      <c r="BF1430" s="339"/>
      <c r="BG1430" s="339"/>
      <c r="BH1430" s="339"/>
      <c r="BI1430" s="339"/>
      <c r="BJ1430" s="339"/>
      <c r="BK1430" s="339"/>
      <c r="BL1430" s="339"/>
      <c r="BM1430" s="339"/>
      <c r="BN1430" s="339"/>
      <c r="BO1430" s="339"/>
      <c r="BP1430" s="339"/>
      <c r="BQ1430" s="339"/>
      <c r="BR1430" s="339"/>
      <c r="BS1430" s="339"/>
      <c r="BT1430" s="339"/>
      <c r="BU1430" s="339"/>
      <c r="BV1430" s="339"/>
      <c r="BW1430" s="339"/>
      <c r="BX1430" s="339"/>
      <c r="BY1430" s="339"/>
      <c r="BZ1430" s="339"/>
      <c r="CA1430" s="339"/>
      <c r="CB1430" s="339"/>
      <c r="CC1430" s="339"/>
      <c r="CD1430" s="339"/>
      <c r="CE1430" s="339"/>
      <c r="CF1430" s="339"/>
      <c r="CG1430" s="339"/>
      <c r="CH1430" s="339"/>
      <c r="CI1430" s="339"/>
      <c r="CJ1430" s="339"/>
      <c r="CK1430" s="339"/>
      <c r="CL1430" s="339"/>
      <c r="CM1430" s="339"/>
      <c r="CN1430" s="339"/>
      <c r="CO1430" s="339"/>
      <c r="CP1430" s="339"/>
      <c r="CQ1430" s="339"/>
      <c r="CR1430" s="339"/>
      <c r="CS1430" s="339"/>
      <c r="CT1430" s="339"/>
      <c r="CU1430" s="339"/>
      <c r="CV1430" s="339"/>
      <c r="CW1430" s="339"/>
      <c r="CX1430" s="339"/>
      <c r="CY1430" s="339"/>
      <c r="CZ1430" s="339"/>
      <c r="DA1430" s="339"/>
      <c r="DB1430" s="339"/>
      <c r="DC1430" s="339"/>
      <c r="DD1430" s="339"/>
      <c r="DE1430" s="339"/>
      <c r="DF1430" s="339"/>
      <c r="DG1430" s="339"/>
      <c r="DH1430" s="339"/>
    </row>
    <row r="1431">
      <c r="A1431" s="41">
        <v>1431.0</v>
      </c>
      <c r="B1431" s="59" t="s">
        <v>516</v>
      </c>
      <c r="C1431" s="59" t="s">
        <v>108</v>
      </c>
      <c r="D1431" s="59" t="s">
        <v>241</v>
      </c>
      <c r="F1431" s="65" t="s">
        <v>8058</v>
      </c>
      <c r="G1431" s="156" t="s">
        <v>8059</v>
      </c>
      <c r="H1431" s="156" t="s">
        <v>242</v>
      </c>
      <c r="I1431" s="149">
        <v>45782.0</v>
      </c>
      <c r="J1431" s="537"/>
      <c r="K1431" s="156" t="s">
        <v>8062</v>
      </c>
      <c r="L1431" s="156" t="s">
        <v>7316</v>
      </c>
      <c r="M1431" s="156" t="s">
        <v>8060</v>
      </c>
      <c r="N1431" s="156" t="s">
        <v>6944</v>
      </c>
      <c r="O1431" s="153">
        <v>3.0</v>
      </c>
      <c r="P1431" s="603" t="str">
        <f t="shared" ref="P1431:P1433" si="97">SUBSTITUTE(LOWER(N1431), "/", "--") &amp;  ".pdf"</f>
        <v>10.1126--science.1239918.pdf</v>
      </c>
      <c r="Q1431" s="105" t="str">
        <f t="array" ref="Q1431"> if(iserror(MATCH(V1431, 'File Links'!C:C, 0)), "N/A", HYPERLINK(INDEX('File Links'!B:B, MATCH(P1431, 'File Links'!C:C, 0))))</f>
        <v>N/A</v>
      </c>
      <c r="R1431" s="701" t="s">
        <v>8063</v>
      </c>
      <c r="S1431" s="65"/>
      <c r="T1431" s="65"/>
      <c r="U1431" s="65"/>
      <c r="V1431" s="379" t="s">
        <v>570</v>
      </c>
      <c r="W1431" s="65"/>
      <c r="X1431" s="46" t="str">
        <f t="array" ref="X1431"> if(iserror(MATCH(V1431, 'File Links'!C:C, 0)), "N/A", HYPERLINK(INDEX('File Links'!B:B, MATCH(V1431, 'File Links'!C:C, 0))))</f>
        <v>N/A</v>
      </c>
      <c r="Y1431" s="1574" t="s">
        <v>8064</v>
      </c>
      <c r="Z1431" s="156" t="s">
        <v>219</v>
      </c>
      <c r="AA1431" s="156" t="s">
        <v>4045</v>
      </c>
      <c r="AB1431" s="156" t="s">
        <v>8065</v>
      </c>
      <c r="AC1431" s="156" t="s">
        <v>8021</v>
      </c>
      <c r="AD1431" s="156" t="s">
        <v>8066</v>
      </c>
      <c r="AE1431" s="156" t="s">
        <v>8067</v>
      </c>
      <c r="AF1431" s="153">
        <v>69.0</v>
      </c>
      <c r="AG1431" s="158" t="s">
        <v>8068</v>
      </c>
      <c r="AH1431" s="116" t="s">
        <v>127</v>
      </c>
      <c r="AI1431" s="148" t="s">
        <v>8069</v>
      </c>
      <c r="AJ1431" s="153">
        <v>0.04</v>
      </c>
      <c r="AK1431" s="156" t="s">
        <v>165</v>
      </c>
      <c r="AL1431" s="156" t="s">
        <v>179</v>
      </c>
      <c r="AM1431" s="65"/>
      <c r="AN1431" s="327" t="s">
        <v>131</v>
      </c>
      <c r="AO1431" s="65"/>
      <c r="AP1431" s="65"/>
      <c r="AQ1431" s="65"/>
      <c r="AR1431" s="65"/>
      <c r="AS1431" s="65"/>
      <c r="AT1431" s="65"/>
      <c r="AU1431" s="65"/>
      <c r="AV1431" s="65"/>
      <c r="AW1431" s="65"/>
      <c r="AX1431" s="65"/>
      <c r="AZ1431" s="59" t="s">
        <v>7797</v>
      </c>
      <c r="BA1431" s="339"/>
      <c r="BB1431" s="339"/>
      <c r="BC1431" s="339"/>
      <c r="BD1431" s="339"/>
      <c r="BE1431" s="339"/>
      <c r="BF1431" s="339"/>
      <c r="BG1431" s="339"/>
      <c r="BH1431" s="339"/>
      <c r="BI1431" s="339"/>
      <c r="BJ1431" s="339"/>
      <c r="BK1431" s="339"/>
      <c r="BL1431" s="339"/>
      <c r="BM1431" s="339"/>
      <c r="BN1431" s="339"/>
      <c r="BO1431" s="339"/>
      <c r="BP1431" s="339"/>
      <c r="BQ1431" s="339"/>
      <c r="BR1431" s="339"/>
      <c r="BS1431" s="339"/>
      <c r="BT1431" s="339"/>
      <c r="BU1431" s="339"/>
      <c r="BV1431" s="339"/>
      <c r="BW1431" s="339"/>
      <c r="BX1431" s="339"/>
      <c r="BY1431" s="339"/>
      <c r="BZ1431" s="339"/>
      <c r="CA1431" s="339"/>
      <c r="CB1431" s="339"/>
      <c r="CC1431" s="339"/>
      <c r="CD1431" s="339"/>
      <c r="CE1431" s="339"/>
      <c r="CF1431" s="339"/>
      <c r="CG1431" s="339"/>
      <c r="CH1431" s="339"/>
      <c r="CI1431" s="339"/>
      <c r="CJ1431" s="339"/>
      <c r="CK1431" s="339"/>
      <c r="CL1431" s="339"/>
      <c r="CM1431" s="339"/>
      <c r="CN1431" s="339"/>
      <c r="CO1431" s="339"/>
      <c r="CP1431" s="339"/>
      <c r="CQ1431" s="339"/>
      <c r="CR1431" s="339"/>
      <c r="CS1431" s="339"/>
      <c r="CT1431" s="339"/>
      <c r="CU1431" s="339"/>
      <c r="CV1431" s="339"/>
      <c r="CW1431" s="339"/>
      <c r="CX1431" s="339"/>
      <c r="CY1431" s="339"/>
      <c r="CZ1431" s="339"/>
      <c r="DA1431" s="339"/>
      <c r="DB1431" s="339"/>
      <c r="DC1431" s="339"/>
      <c r="DD1431" s="339"/>
      <c r="DE1431" s="339"/>
      <c r="DF1431" s="339"/>
      <c r="DG1431" s="339"/>
      <c r="DH1431" s="339"/>
    </row>
    <row r="1432">
      <c r="A1432" s="41">
        <v>1432.0</v>
      </c>
      <c r="B1432" s="59" t="s">
        <v>516</v>
      </c>
      <c r="C1432" s="59" t="s">
        <v>108</v>
      </c>
      <c r="D1432" s="59" t="s">
        <v>241</v>
      </c>
      <c r="F1432" s="65" t="s">
        <v>8058</v>
      </c>
      <c r="G1432" s="156" t="s">
        <v>8070</v>
      </c>
      <c r="H1432" s="156" t="s">
        <v>242</v>
      </c>
      <c r="I1432" s="149">
        <v>45783.0</v>
      </c>
      <c r="J1432" s="65"/>
      <c r="K1432" s="156" t="s">
        <v>8062</v>
      </c>
      <c r="L1432" s="156" t="s">
        <v>7316</v>
      </c>
      <c r="M1432" s="156" t="s">
        <v>8060</v>
      </c>
      <c r="N1432" s="156" t="s">
        <v>6944</v>
      </c>
      <c r="O1432" s="153">
        <v>3.0</v>
      </c>
      <c r="P1432" s="603" t="str">
        <f t="shared" si="97"/>
        <v>10.1126--science.1239918.pdf</v>
      </c>
      <c r="Q1432" s="105" t="str">
        <f t="array" ref="Q1432"> if(iserror(MATCH(V1432, 'File Links'!C:C, 0)), "N/A", HYPERLINK(INDEX('File Links'!B:B, MATCH(P1432, 'File Links'!C:C, 0))))</f>
        <v>N/A</v>
      </c>
      <c r="R1432" s="701" t="s">
        <v>8063</v>
      </c>
      <c r="S1432" s="65"/>
      <c r="T1432" s="65"/>
      <c r="U1432" s="65"/>
      <c r="V1432" s="570"/>
      <c r="W1432" s="65"/>
      <c r="X1432" s="46" t="str">
        <f t="array" ref="X1432"> if(iserror(MATCH(V1432, 'File Links'!C:C, 0)), "N/A", HYPERLINK(INDEX('File Links'!B:B, MATCH(V1432, 'File Links'!C:C, 0))))</f>
        <v>N/A</v>
      </c>
      <c r="Y1432" s="1574" t="s">
        <v>8064</v>
      </c>
      <c r="Z1432" s="156" t="s">
        <v>219</v>
      </c>
      <c r="AA1432" s="156" t="s">
        <v>4045</v>
      </c>
      <c r="AB1432" s="156" t="s">
        <v>8071</v>
      </c>
      <c r="AC1432" s="65"/>
      <c r="AD1432" s="156" t="s">
        <v>8072</v>
      </c>
      <c r="AE1432" s="156" t="s">
        <v>210</v>
      </c>
      <c r="AF1432" s="153">
        <v>69.0</v>
      </c>
      <c r="AG1432" s="153">
        <v>-0.01</v>
      </c>
      <c r="AH1432" s="156" t="s">
        <v>980</v>
      </c>
      <c r="AI1432" s="156" t="s">
        <v>8073</v>
      </c>
      <c r="AJ1432" s="153">
        <v>0.9</v>
      </c>
      <c r="AK1432" s="156" t="s">
        <v>165</v>
      </c>
      <c r="AL1432" s="156" t="s">
        <v>179</v>
      </c>
      <c r="AM1432" s="65"/>
      <c r="AN1432" s="327" t="s">
        <v>131</v>
      </c>
      <c r="AO1432" s="65"/>
      <c r="AP1432" s="65"/>
      <c r="AQ1432" s="65"/>
      <c r="AR1432" s="65"/>
      <c r="AS1432" s="65"/>
      <c r="AT1432" s="65"/>
      <c r="AU1432" s="65"/>
      <c r="AV1432" s="65"/>
      <c r="AW1432" s="65"/>
      <c r="AX1432" s="65"/>
      <c r="AZ1432" s="59" t="s">
        <v>7797</v>
      </c>
      <c r="BA1432" s="217"/>
      <c r="BB1432" s="217"/>
      <c r="BC1432" s="217"/>
      <c r="BD1432" s="217"/>
      <c r="BE1432" s="217"/>
      <c r="BF1432" s="217"/>
      <c r="BG1432" s="217"/>
      <c r="BH1432" s="217"/>
      <c r="BI1432" s="217"/>
      <c r="BJ1432" s="217"/>
      <c r="BK1432" s="217"/>
      <c r="BL1432" s="217"/>
      <c r="BM1432" s="217"/>
      <c r="BN1432" s="217"/>
      <c r="BO1432" s="217"/>
      <c r="BP1432" s="217"/>
      <c r="BQ1432" s="217"/>
      <c r="BR1432" s="217"/>
      <c r="BS1432" s="217"/>
      <c r="BT1432" s="217"/>
      <c r="BU1432" s="217"/>
      <c r="BV1432" s="217"/>
      <c r="BW1432" s="217"/>
      <c r="BX1432" s="217"/>
      <c r="BY1432" s="217"/>
      <c r="BZ1432" s="217"/>
      <c r="CA1432" s="217"/>
      <c r="CB1432" s="217"/>
      <c r="CC1432" s="217"/>
      <c r="CD1432" s="217"/>
      <c r="CE1432" s="217"/>
      <c r="CF1432" s="217"/>
      <c r="CG1432" s="217"/>
      <c r="CH1432" s="217"/>
      <c r="CI1432" s="217"/>
      <c r="CJ1432" s="217"/>
      <c r="CK1432" s="217"/>
      <c r="CL1432" s="217"/>
      <c r="CM1432" s="217"/>
      <c r="CN1432" s="217"/>
      <c r="CO1432" s="217"/>
      <c r="CP1432" s="217"/>
      <c r="CQ1432" s="217"/>
      <c r="CR1432" s="217"/>
      <c r="CS1432" s="217"/>
      <c r="CT1432" s="217"/>
      <c r="CU1432" s="217"/>
      <c r="CV1432" s="217"/>
      <c r="CW1432" s="217"/>
      <c r="CX1432" s="217"/>
      <c r="CY1432" s="217"/>
      <c r="CZ1432" s="217"/>
      <c r="DA1432" s="217"/>
      <c r="DB1432" s="217"/>
      <c r="DC1432" s="217"/>
      <c r="DD1432" s="217"/>
      <c r="DE1432" s="217"/>
      <c r="DF1432" s="217"/>
      <c r="DG1432" s="217"/>
      <c r="DH1432" s="217"/>
    </row>
    <row r="1433">
      <c r="A1433" s="41">
        <v>1433.0</v>
      </c>
      <c r="B1433" s="59" t="s">
        <v>516</v>
      </c>
      <c r="C1433" s="59" t="s">
        <v>108</v>
      </c>
      <c r="D1433" s="59" t="s">
        <v>241</v>
      </c>
      <c r="F1433" s="65" t="s">
        <v>8058</v>
      </c>
      <c r="G1433" s="156" t="s">
        <v>8074</v>
      </c>
      <c r="H1433" s="156" t="s">
        <v>242</v>
      </c>
      <c r="I1433" s="149">
        <v>45783.0</v>
      </c>
      <c r="J1433" s="65"/>
      <c r="K1433" s="156" t="s">
        <v>8062</v>
      </c>
      <c r="L1433" s="156" t="s">
        <v>7316</v>
      </c>
      <c r="M1433" s="156" t="s">
        <v>8060</v>
      </c>
      <c r="N1433" s="156" t="s">
        <v>6944</v>
      </c>
      <c r="O1433" s="153">
        <v>3.0</v>
      </c>
      <c r="P1433" s="603" t="str">
        <f t="shared" si="97"/>
        <v>10.1126--science.1239918.pdf</v>
      </c>
      <c r="Q1433" s="105" t="str">
        <f t="array" ref="Q1433"> if(iserror(MATCH(V1433, 'File Links'!C:C, 0)), "N/A", HYPERLINK(INDEX('File Links'!B:B, MATCH(P1433, 'File Links'!C:C, 0))))</f>
        <v>N/A</v>
      </c>
      <c r="R1433" s="701" t="s">
        <v>8063</v>
      </c>
      <c r="S1433" s="65"/>
      <c r="T1433" s="65"/>
      <c r="U1433" s="65"/>
      <c r="V1433" s="570"/>
      <c r="W1433" s="65"/>
      <c r="X1433" s="46" t="str">
        <f t="array" ref="X1433"> if(iserror(MATCH(V1433, 'File Links'!C:C, 0)), "N/A", HYPERLINK(INDEX('File Links'!B:B, MATCH(V1433, 'File Links'!C:C, 0))))</f>
        <v>N/A</v>
      </c>
      <c r="Y1433" s="1574" t="s">
        <v>8064</v>
      </c>
      <c r="Z1433" s="156" t="s">
        <v>219</v>
      </c>
      <c r="AA1433" s="156" t="s">
        <v>4045</v>
      </c>
      <c r="AB1433" s="156" t="s">
        <v>8075</v>
      </c>
      <c r="AC1433" s="65"/>
      <c r="AD1433" s="156" t="s">
        <v>8026</v>
      </c>
      <c r="AE1433" s="65"/>
      <c r="AF1433" s="153">
        <v>69.0</v>
      </c>
      <c r="AG1433" s="158" t="s">
        <v>8076</v>
      </c>
      <c r="AH1433" s="116" t="s">
        <v>127</v>
      </c>
      <c r="AI1433" s="148" t="s">
        <v>8069</v>
      </c>
      <c r="AJ1433" s="153">
        <v>0.9</v>
      </c>
      <c r="AK1433" s="156" t="s">
        <v>165</v>
      </c>
      <c r="AL1433" s="156" t="s">
        <v>179</v>
      </c>
      <c r="AM1433" s="65"/>
      <c r="AN1433" s="327" t="s">
        <v>131</v>
      </c>
      <c r="AO1433" s="65"/>
      <c r="AP1433" s="65"/>
      <c r="AQ1433" s="65"/>
      <c r="AR1433" s="65"/>
      <c r="AS1433" s="65"/>
      <c r="AT1433" s="65"/>
      <c r="AU1433" s="65"/>
      <c r="AV1433" s="65"/>
      <c r="AW1433" s="65"/>
      <c r="AX1433" s="65"/>
      <c r="AZ1433" s="59" t="s">
        <v>7797</v>
      </c>
      <c r="BA1433" s="217"/>
      <c r="BB1433" s="217"/>
      <c r="BC1433" s="217"/>
      <c r="BD1433" s="217"/>
      <c r="BE1433" s="217"/>
      <c r="BF1433" s="217"/>
      <c r="BG1433" s="217"/>
      <c r="BH1433" s="217"/>
      <c r="BI1433" s="217"/>
      <c r="BJ1433" s="217"/>
      <c r="BK1433" s="217"/>
      <c r="BL1433" s="217"/>
      <c r="BM1433" s="217"/>
      <c r="BN1433" s="217"/>
      <c r="BO1433" s="217"/>
      <c r="BP1433" s="217"/>
      <c r="BQ1433" s="217"/>
      <c r="BR1433" s="217"/>
      <c r="BS1433" s="217"/>
      <c r="BT1433" s="217"/>
      <c r="BU1433" s="217"/>
      <c r="BV1433" s="217"/>
      <c r="BW1433" s="217"/>
      <c r="BX1433" s="217"/>
      <c r="BY1433" s="217"/>
      <c r="BZ1433" s="217"/>
      <c r="CA1433" s="217"/>
      <c r="CB1433" s="217"/>
      <c r="CC1433" s="217"/>
      <c r="CD1433" s="217"/>
      <c r="CE1433" s="217"/>
      <c r="CF1433" s="217"/>
      <c r="CG1433" s="217"/>
      <c r="CH1433" s="217"/>
      <c r="CI1433" s="217"/>
      <c r="CJ1433" s="217"/>
      <c r="CK1433" s="217"/>
      <c r="CL1433" s="217"/>
      <c r="CM1433" s="217"/>
      <c r="CN1433" s="217"/>
      <c r="CO1433" s="217"/>
      <c r="CP1433" s="217"/>
      <c r="CQ1433" s="217"/>
      <c r="CR1433" s="217"/>
      <c r="CS1433" s="217"/>
      <c r="CT1433" s="217"/>
      <c r="CU1433" s="217"/>
      <c r="CV1433" s="217"/>
      <c r="CW1433" s="217"/>
      <c r="CX1433" s="217"/>
      <c r="CY1433" s="217"/>
      <c r="CZ1433" s="217"/>
      <c r="DA1433" s="217"/>
      <c r="DB1433" s="217"/>
      <c r="DC1433" s="217"/>
      <c r="DD1433" s="217"/>
      <c r="DE1433" s="217"/>
      <c r="DF1433" s="217"/>
      <c r="DG1433" s="217"/>
      <c r="DH1433" s="217"/>
    </row>
    <row r="1434">
      <c r="A1434" s="41">
        <v>1434.0</v>
      </c>
      <c r="B1434" s="59" t="s">
        <v>107</v>
      </c>
      <c r="C1434" s="59" t="s">
        <v>108</v>
      </c>
      <c r="D1434" s="59" t="s">
        <v>1451</v>
      </c>
      <c r="F1434" s="65" t="s">
        <v>8077</v>
      </c>
      <c r="G1434" s="54" t="s">
        <v>8078</v>
      </c>
      <c r="H1434" s="65"/>
      <c r="I1434" s="1284" t="s">
        <v>112</v>
      </c>
      <c r="J1434" s="537">
        <v>45761.0</v>
      </c>
      <c r="K1434" s="65"/>
      <c r="L1434" s="156" t="s">
        <v>7316</v>
      </c>
      <c r="M1434" s="156" t="s">
        <v>8060</v>
      </c>
      <c r="N1434" s="156" t="s">
        <v>6944</v>
      </c>
      <c r="O1434" s="153">
        <v>5.0</v>
      </c>
      <c r="P1434" s="1573" t="s">
        <v>7960</v>
      </c>
      <c r="Q1434" s="49" t="str">
        <f t="array" ref="Q1434"> if(iserror(MATCH(V1434, 'File Links'!C:C, 0)), "N/A", HYPERLINK(INDEX('File Links'!B:B, MATCH(P1434, 'File Links'!C:C, 0))))</f>
        <v>https://drive.google.com/file/d/1r4PVlL83grqiq4UZ0to7L57VLrbdB9hi/view?usp=drivesdk</v>
      </c>
      <c r="R1434" s="156" t="s">
        <v>8079</v>
      </c>
      <c r="S1434" s="156" t="s">
        <v>7962</v>
      </c>
      <c r="T1434" s="65"/>
      <c r="U1434" s="65"/>
      <c r="V1434" s="379" t="s">
        <v>8080</v>
      </c>
      <c r="W1434" s="65"/>
      <c r="X1434" s="51" t="str">
        <f t="array" ref="X1434"> if(iserror(MATCH(V1434, 'File Links'!C:C, 0)), "N/A", HYPERLINK(INDEX('File Links'!B:B, MATCH(V1434, 'File Links'!C:C, 0))))</f>
        <v>https://drive.google.com/file/d/1RF-nEXDyW9UWyQIuqmtLdTtTuTs-52JT/view?usp=drivesdk</v>
      </c>
      <c r="Y1434" s="156" t="s">
        <v>7540</v>
      </c>
      <c r="Z1434" s="65"/>
      <c r="AA1434" s="65"/>
      <c r="AB1434" s="65"/>
      <c r="AC1434" s="65"/>
      <c r="AD1434" s="65"/>
      <c r="AE1434" s="65"/>
      <c r="AF1434" s="65"/>
      <c r="AG1434" s="65"/>
      <c r="AH1434" s="65"/>
      <c r="AI1434" s="65"/>
      <c r="AJ1434" s="335"/>
      <c r="AK1434" s="58"/>
      <c r="AL1434" s="58"/>
      <c r="AM1434" s="65"/>
      <c r="AN1434" s="327" t="s">
        <v>131</v>
      </c>
      <c r="AO1434" s="65"/>
      <c r="AP1434" s="65"/>
      <c r="AQ1434" s="65"/>
      <c r="AR1434" s="65"/>
      <c r="AS1434" s="65"/>
      <c r="AT1434" s="65"/>
      <c r="AU1434" s="65"/>
      <c r="AV1434" s="65"/>
      <c r="AW1434" s="65"/>
      <c r="AX1434" s="65"/>
      <c r="AZ1434" s="59" t="s">
        <v>7819</v>
      </c>
      <c r="BA1434" s="89"/>
      <c r="BB1434" s="89"/>
      <c r="BC1434" s="89"/>
      <c r="BD1434" s="89"/>
      <c r="BE1434" s="89"/>
      <c r="BF1434" s="89"/>
      <c r="BG1434" s="89"/>
      <c r="BH1434" s="89"/>
      <c r="BI1434" s="89"/>
      <c r="BJ1434" s="89"/>
      <c r="BK1434" s="89"/>
      <c r="BL1434" s="89"/>
      <c r="BM1434" s="89"/>
      <c r="BN1434" s="89"/>
      <c r="BO1434" s="89"/>
      <c r="BP1434" s="89"/>
      <c r="BQ1434" s="89"/>
      <c r="BR1434" s="89"/>
      <c r="BS1434" s="89"/>
      <c r="BT1434" s="89"/>
      <c r="BU1434" s="89"/>
      <c r="BV1434" s="89"/>
      <c r="BW1434" s="89"/>
      <c r="BX1434" s="89"/>
      <c r="BY1434" s="89"/>
      <c r="BZ1434" s="89"/>
      <c r="CA1434" s="89"/>
      <c r="CB1434" s="89"/>
      <c r="CC1434" s="89"/>
      <c r="CD1434" s="89"/>
      <c r="CE1434" s="89"/>
      <c r="CF1434" s="89"/>
      <c r="CG1434" s="89"/>
      <c r="CH1434" s="89"/>
      <c r="CI1434" s="89"/>
      <c r="CJ1434" s="89"/>
      <c r="CK1434" s="89"/>
      <c r="CL1434" s="89"/>
      <c r="CM1434" s="89"/>
      <c r="CN1434" s="89"/>
      <c r="CO1434" s="89"/>
      <c r="CP1434" s="89"/>
      <c r="CQ1434" s="89"/>
      <c r="CR1434" s="89"/>
      <c r="CS1434" s="89"/>
      <c r="CT1434" s="89"/>
      <c r="CU1434" s="89"/>
      <c r="CV1434" s="89"/>
      <c r="CW1434" s="89"/>
      <c r="CX1434" s="89"/>
      <c r="CY1434" s="89"/>
      <c r="CZ1434" s="89"/>
      <c r="DA1434" s="89"/>
      <c r="DB1434" s="89"/>
      <c r="DC1434" s="89"/>
      <c r="DD1434" s="89"/>
      <c r="DE1434" s="89"/>
      <c r="DF1434" s="89"/>
      <c r="DG1434" s="89"/>
      <c r="DH1434" s="89"/>
    </row>
    <row r="1435">
      <c r="A1435" s="41">
        <v>1435.0</v>
      </c>
      <c r="B1435" s="59" t="s">
        <v>145</v>
      </c>
      <c r="C1435" s="59" t="s">
        <v>108</v>
      </c>
      <c r="D1435" s="59" t="s">
        <v>241</v>
      </c>
      <c r="F1435" s="65" t="s">
        <v>8077</v>
      </c>
      <c r="G1435" s="156" t="s">
        <v>8078</v>
      </c>
      <c r="H1435" s="156" t="s">
        <v>242</v>
      </c>
      <c r="I1435" s="149">
        <v>45782.0</v>
      </c>
      <c r="J1435" s="537">
        <v>45761.0</v>
      </c>
      <c r="K1435" s="156" t="s">
        <v>8081</v>
      </c>
      <c r="L1435" s="148" t="s">
        <v>8082</v>
      </c>
      <c r="M1435" s="156" t="s">
        <v>8060</v>
      </c>
      <c r="N1435" s="156" t="s">
        <v>6944</v>
      </c>
      <c r="O1435" s="153">
        <v>3.0</v>
      </c>
      <c r="P1435" s="603" t="str">
        <f t="shared" ref="P1435:P1437" si="98">SUBSTITUTE(LOWER(N1435), "/", "--") &amp;  ".pdf"</f>
        <v>10.1126--science.1239918.pdf</v>
      </c>
      <c r="Q1435" s="49" t="str">
        <f t="array" ref="Q1435"> if(iserror(MATCH(V1435, 'File Links'!C:C, 0)), "N/A", HYPERLINK(INDEX('File Links'!B:B, MATCH(P1435, 'File Links'!C:C, 0))))</f>
        <v>https://drive.google.com/file/d/1r4PVlL83grqiq4UZ0to7L57VLrbdB9hi/view?usp=drivesdk</v>
      </c>
      <c r="R1435" s="156" t="s">
        <v>8079</v>
      </c>
      <c r="S1435" s="156" t="s">
        <v>7962</v>
      </c>
      <c r="T1435" s="65"/>
      <c r="U1435" s="126">
        <v>2.0</v>
      </c>
      <c r="V1435" s="195" t="str">
        <f t="shared" ref="V1435:V1439" si="99"> hyperlink(vlookup(lower(S1435),#REF!, 2, FALSE), SUBSTITUTE(lower(S1435), "/", "--") &amp;  ".pdf")</f>
        <v>10.1037--pspa0000064.pdf</v>
      </c>
      <c r="W1435" s="156" t="s">
        <v>157</v>
      </c>
      <c r="X1435" s="51" t="str">
        <f t="array" ref="X1435"> if(iserror(MATCH(V1435, 'File Links'!C:C, 0)), "N/A", HYPERLINK(INDEX('File Links'!B:B, MATCH(V1435, 'File Links'!C:C, 0))))</f>
        <v>https://drive.google.com/file/d/1RF-nEXDyW9UWyQIuqmtLdTtTuTs-52JT/view?usp=drivesdk</v>
      </c>
      <c r="Y1435" s="65"/>
      <c r="Z1435" s="156" t="s">
        <v>219</v>
      </c>
      <c r="AA1435" s="377" t="s">
        <v>8083</v>
      </c>
      <c r="AB1435" s="156" t="s">
        <v>8065</v>
      </c>
      <c r="AC1435" s="368" t="s">
        <v>8084</v>
      </c>
      <c r="AD1435" s="148" t="s">
        <v>8085</v>
      </c>
      <c r="AE1435" s="156" t="s">
        <v>8067</v>
      </c>
      <c r="AF1435" s="153">
        <v>69.0</v>
      </c>
      <c r="AG1435" s="375">
        <v>0.04</v>
      </c>
      <c r="AH1435" s="137" t="s">
        <v>7967</v>
      </c>
      <c r="AI1435" s="156" t="s">
        <v>8086</v>
      </c>
      <c r="AJ1435" s="153">
        <v>0.04</v>
      </c>
      <c r="AK1435" s="156" t="s">
        <v>165</v>
      </c>
      <c r="AL1435" s="156" t="s">
        <v>179</v>
      </c>
      <c r="AM1435" s="65" t="s">
        <v>130</v>
      </c>
      <c r="AN1435" s="327" t="s">
        <v>131</v>
      </c>
      <c r="AO1435" s="375">
        <v>193.0</v>
      </c>
      <c r="AP1435" s="153">
        <v>0.05</v>
      </c>
      <c r="AQ1435" s="156" t="s">
        <v>166</v>
      </c>
      <c r="AR1435" s="156" t="s">
        <v>8087</v>
      </c>
      <c r="AS1435" s="153">
        <v>0.363</v>
      </c>
      <c r="AT1435" s="156" t="s">
        <v>165</v>
      </c>
      <c r="AU1435" s="156" t="s">
        <v>179</v>
      </c>
      <c r="AV1435" s="65" t="s">
        <v>134</v>
      </c>
      <c r="AW1435" s="368" t="s">
        <v>131</v>
      </c>
      <c r="AX1435" s="65" t="s">
        <v>136</v>
      </c>
      <c r="AZ1435" s="59" t="s">
        <v>7909</v>
      </c>
    </row>
    <row r="1436">
      <c r="A1436" s="41">
        <v>1436.0</v>
      </c>
      <c r="B1436" s="59" t="s">
        <v>145</v>
      </c>
      <c r="C1436" s="59" t="s">
        <v>108</v>
      </c>
      <c r="D1436" s="59" t="s">
        <v>241</v>
      </c>
      <c r="F1436" s="65" t="s">
        <v>8077</v>
      </c>
      <c r="G1436" s="156" t="s">
        <v>8088</v>
      </c>
      <c r="H1436" s="156" t="s">
        <v>242</v>
      </c>
      <c r="I1436" s="149">
        <v>45783.0</v>
      </c>
      <c r="J1436" s="537">
        <v>45761.0</v>
      </c>
      <c r="K1436" s="156" t="s">
        <v>8081</v>
      </c>
      <c r="L1436" s="148" t="s">
        <v>8089</v>
      </c>
      <c r="M1436" s="156" t="s">
        <v>8060</v>
      </c>
      <c r="N1436" s="156" t="s">
        <v>6944</v>
      </c>
      <c r="O1436" s="153">
        <v>3.0</v>
      </c>
      <c r="P1436" s="603" t="str">
        <f t="shared" si="98"/>
        <v>10.1126--science.1239918.pdf</v>
      </c>
      <c r="Q1436" s="49" t="str">
        <f t="array" ref="Q1436"> if(iserror(MATCH(V1436, 'File Links'!C:C, 0)), "N/A", HYPERLINK(INDEX('File Links'!B:B, MATCH(P1436, 'File Links'!C:C, 0))))</f>
        <v>https://drive.google.com/file/d/1r4PVlL83grqiq4UZ0to7L57VLrbdB9hi/view?usp=drivesdk</v>
      </c>
      <c r="R1436" s="156" t="s">
        <v>8079</v>
      </c>
      <c r="S1436" s="156" t="s">
        <v>7962</v>
      </c>
      <c r="T1436" s="65"/>
      <c r="U1436" s="126">
        <v>2.0</v>
      </c>
      <c r="V1436" s="195" t="str">
        <f t="shared" si="99"/>
        <v>10.1037--pspa0000064.pdf</v>
      </c>
      <c r="W1436" s="156" t="s">
        <v>157</v>
      </c>
      <c r="X1436" s="51" t="str">
        <f t="array" ref="X1436"> if(iserror(MATCH(V1436, 'File Links'!C:C, 0)), "N/A", HYPERLINK(INDEX('File Links'!B:B, MATCH(V1436, 'File Links'!C:C, 0))))</f>
        <v>https://drive.google.com/file/d/1RF-nEXDyW9UWyQIuqmtLdTtTuTs-52JT/view?usp=drivesdk</v>
      </c>
      <c r="Y1436" s="65"/>
      <c r="Z1436" s="156" t="s">
        <v>219</v>
      </c>
      <c r="AA1436" s="377" t="s">
        <v>8083</v>
      </c>
      <c r="AB1436" s="156" t="s">
        <v>8071</v>
      </c>
      <c r="AC1436" s="156" t="s">
        <v>8021</v>
      </c>
      <c r="AD1436" s="156" t="s">
        <v>8072</v>
      </c>
      <c r="AE1436" s="368" t="s">
        <v>210</v>
      </c>
      <c r="AF1436" s="153">
        <v>69.0</v>
      </c>
      <c r="AG1436" s="493">
        <v>-0.01</v>
      </c>
      <c r="AH1436" s="137" t="s">
        <v>7967</v>
      </c>
      <c r="AI1436" s="156" t="s">
        <v>8073</v>
      </c>
      <c r="AJ1436" s="153">
        <v>0.9</v>
      </c>
      <c r="AK1436" s="156" t="s">
        <v>165</v>
      </c>
      <c r="AL1436" s="156" t="s">
        <v>179</v>
      </c>
      <c r="AM1436" s="65" t="s">
        <v>130</v>
      </c>
      <c r="AN1436" s="327" t="s">
        <v>131</v>
      </c>
      <c r="AO1436" s="153">
        <v>290.0</v>
      </c>
      <c r="AP1436" s="153">
        <v>0.37</v>
      </c>
      <c r="AQ1436" s="156" t="s">
        <v>980</v>
      </c>
      <c r="AR1436" s="156" t="s">
        <v>8090</v>
      </c>
      <c r="AS1436" s="153">
        <v>0.001</v>
      </c>
      <c r="AT1436" s="156" t="s">
        <v>128</v>
      </c>
      <c r="AU1436" s="156" t="s">
        <v>179</v>
      </c>
      <c r="AV1436" s="65" t="s">
        <v>134</v>
      </c>
      <c r="AW1436" s="368" t="s">
        <v>131</v>
      </c>
      <c r="AX1436" s="65" t="s">
        <v>136</v>
      </c>
      <c r="AZ1436" s="59" t="s">
        <v>7819</v>
      </c>
      <c r="BA1436" s="89"/>
      <c r="BB1436" s="89"/>
      <c r="BC1436" s="89"/>
      <c r="BD1436" s="89"/>
      <c r="BE1436" s="89"/>
      <c r="BF1436" s="89"/>
      <c r="BG1436" s="89"/>
      <c r="BH1436" s="89"/>
      <c r="BI1436" s="89"/>
      <c r="BJ1436" s="89"/>
      <c r="BK1436" s="89"/>
      <c r="BL1436" s="89"/>
      <c r="BM1436" s="89"/>
      <c r="BN1436" s="89"/>
      <c r="BO1436" s="89"/>
      <c r="BP1436" s="89"/>
      <c r="BQ1436" s="89"/>
      <c r="BR1436" s="89"/>
      <c r="BS1436" s="89"/>
      <c r="BT1436" s="89"/>
      <c r="BU1436" s="89"/>
      <c r="BV1436" s="89"/>
      <c r="BW1436" s="89"/>
      <c r="BX1436" s="89"/>
      <c r="BY1436" s="89"/>
      <c r="BZ1436" s="89"/>
      <c r="CA1436" s="89"/>
      <c r="CB1436" s="89"/>
      <c r="CC1436" s="89"/>
      <c r="CD1436" s="89"/>
      <c r="CE1436" s="89"/>
      <c r="CF1436" s="89"/>
      <c r="CG1436" s="89"/>
      <c r="CH1436" s="89"/>
      <c r="CI1436" s="89"/>
      <c r="CJ1436" s="89"/>
      <c r="CK1436" s="89"/>
      <c r="CL1436" s="89"/>
      <c r="CM1436" s="89"/>
      <c r="CN1436" s="89"/>
      <c r="CO1436" s="89"/>
      <c r="CP1436" s="89"/>
      <c r="CQ1436" s="89"/>
      <c r="CR1436" s="89"/>
      <c r="CS1436" s="89"/>
      <c r="CT1436" s="89"/>
      <c r="CU1436" s="89"/>
      <c r="CV1436" s="89"/>
      <c r="CW1436" s="89"/>
      <c r="CX1436" s="89"/>
      <c r="CY1436" s="89"/>
      <c r="CZ1436" s="89"/>
      <c r="DA1436" s="89"/>
      <c r="DB1436" s="89"/>
      <c r="DC1436" s="89"/>
      <c r="DD1436" s="89"/>
      <c r="DE1436" s="89"/>
      <c r="DF1436" s="89"/>
      <c r="DG1436" s="89"/>
      <c r="DH1436" s="89"/>
    </row>
    <row r="1437">
      <c r="A1437" s="41">
        <v>1437.0</v>
      </c>
      <c r="B1437" s="59" t="s">
        <v>145</v>
      </c>
      <c r="C1437" s="59" t="s">
        <v>108</v>
      </c>
      <c r="D1437" s="59" t="s">
        <v>241</v>
      </c>
      <c r="F1437" s="65" t="s">
        <v>8077</v>
      </c>
      <c r="G1437" s="156" t="s">
        <v>8091</v>
      </c>
      <c r="H1437" s="156" t="s">
        <v>242</v>
      </c>
      <c r="I1437" s="149">
        <v>45783.0</v>
      </c>
      <c r="J1437" s="537">
        <v>45761.0</v>
      </c>
      <c r="K1437" s="156" t="s">
        <v>8081</v>
      </c>
      <c r="L1437" s="148" t="s">
        <v>8092</v>
      </c>
      <c r="M1437" s="156" t="s">
        <v>8060</v>
      </c>
      <c r="N1437" s="156" t="s">
        <v>6944</v>
      </c>
      <c r="O1437" s="153">
        <v>3.0</v>
      </c>
      <c r="P1437" s="603" t="str">
        <f t="shared" si="98"/>
        <v>10.1126--science.1239918.pdf</v>
      </c>
      <c r="Q1437" s="49" t="str">
        <f t="array" ref="Q1437"> if(iserror(MATCH(V1437, 'File Links'!C:C, 0)), "N/A", HYPERLINK(INDEX('File Links'!B:B, MATCH(P1437, 'File Links'!C:C, 0))))</f>
        <v>https://drive.google.com/file/d/1r4PVlL83grqiq4UZ0to7L57VLrbdB9hi/view?usp=drivesdk</v>
      </c>
      <c r="R1437" s="156" t="s">
        <v>8079</v>
      </c>
      <c r="S1437" s="156" t="s">
        <v>7962</v>
      </c>
      <c r="T1437" s="65"/>
      <c r="U1437" s="126">
        <v>2.0</v>
      </c>
      <c r="V1437" s="195" t="str">
        <f t="shared" si="99"/>
        <v>10.1037--pspa0000064.pdf</v>
      </c>
      <c r="W1437" s="156" t="s">
        <v>157</v>
      </c>
      <c r="X1437" s="51" t="str">
        <f t="array" ref="X1437"> if(iserror(MATCH(V1437, 'File Links'!C:C, 0)), "N/A", HYPERLINK(INDEX('File Links'!B:B, MATCH(V1437, 'File Links'!C:C, 0))))</f>
        <v>https://drive.google.com/file/d/1RF-nEXDyW9UWyQIuqmtLdTtTuTs-52JT/view?usp=drivesdk</v>
      </c>
      <c r="Y1437" s="65"/>
      <c r="Z1437" s="156" t="s">
        <v>219</v>
      </c>
      <c r="AA1437" s="377" t="s">
        <v>8083</v>
      </c>
      <c r="AB1437" s="156" t="s">
        <v>8075</v>
      </c>
      <c r="AC1437" s="156" t="s">
        <v>8021</v>
      </c>
      <c r="AD1437" s="156" t="s">
        <v>8026</v>
      </c>
      <c r="AE1437" s="368" t="s">
        <v>210</v>
      </c>
      <c r="AF1437" s="153">
        <v>69.0</v>
      </c>
      <c r="AG1437" s="493">
        <v>-0.01</v>
      </c>
      <c r="AH1437" s="137" t="s">
        <v>7967</v>
      </c>
      <c r="AI1437" s="156" t="s">
        <v>8093</v>
      </c>
      <c r="AJ1437" s="153">
        <v>0.9</v>
      </c>
      <c r="AK1437" s="156" t="s">
        <v>165</v>
      </c>
      <c r="AL1437" s="156" t="s">
        <v>179</v>
      </c>
      <c r="AM1437" s="539" t="s">
        <v>134</v>
      </c>
      <c r="AN1437" s="327" t="s">
        <v>131</v>
      </c>
      <c r="AO1437" s="153">
        <v>290.0</v>
      </c>
      <c r="AP1437" s="375" t="s">
        <v>7988</v>
      </c>
      <c r="AQ1437" s="377" t="s">
        <v>127</v>
      </c>
      <c r="AR1437" s="156" t="s">
        <v>8094</v>
      </c>
      <c r="AS1437" s="153">
        <v>0.412</v>
      </c>
      <c r="AT1437" s="156" t="s">
        <v>165</v>
      </c>
      <c r="AU1437" s="156" t="s">
        <v>179</v>
      </c>
      <c r="AV1437" s="65" t="s">
        <v>134</v>
      </c>
      <c r="AW1437" s="368" t="s">
        <v>131</v>
      </c>
      <c r="AX1437" s="65" t="s">
        <v>136</v>
      </c>
      <c r="AZ1437" s="59" t="s">
        <v>7819</v>
      </c>
    </row>
    <row r="1438">
      <c r="A1438" s="41">
        <v>1438.0</v>
      </c>
      <c r="B1438" s="185" t="s">
        <v>145</v>
      </c>
      <c r="C1438" s="146" t="s">
        <v>108</v>
      </c>
      <c r="D1438" s="146" t="s">
        <v>2623</v>
      </c>
      <c r="E1438" s="69"/>
      <c r="F1438" s="215" t="s">
        <v>8095</v>
      </c>
      <c r="G1438" s="207" t="str">
        <f t="shared" ref="G1438:G1439" si="100">F1438&amp;"_"&amp;COUNTIF($B$3:F1438, F1438)</f>
        <v>curatescience558_1</v>
      </c>
      <c r="H1438" s="215" t="s">
        <v>7458</v>
      </c>
      <c r="I1438" s="412">
        <v>45675.0</v>
      </c>
      <c r="J1438" s="412">
        <v>45676.0</v>
      </c>
      <c r="K1438" s="108"/>
      <c r="L1438" s="108"/>
      <c r="M1438" s="1444" t="s">
        <v>8096</v>
      </c>
      <c r="N1438" s="215" t="s">
        <v>8097</v>
      </c>
      <c r="O1438" s="144">
        <v>1.0</v>
      </c>
      <c r="P1438" s="1575" t="str">
        <f t="shared" ref="P1438:P1439" si="101"> SUBSTITUTE(lower(N1438), "/", "--") &amp;  ".pdf"</f>
        <v>10.1037--0022-3514.45.4.805.pdf</v>
      </c>
      <c r="Q1438" s="49" t="str">
        <f t="array" ref="Q1438"> if(iserror(MATCH(V1438, 'File Links'!C:C, 0)), "N/A", HYPERLINK(INDEX('File Links'!B:B, MATCH(P1438, 'File Links'!C:C, 0))))</f>
        <v>https://drive.google.com/file/d/1VbP_Ewf88OEuvCt9ZwvGSNNhhGDSj19O/view?usp=drivesdk</v>
      </c>
      <c r="R1438" s="215" t="s">
        <v>8033</v>
      </c>
      <c r="S1438" s="215" t="s">
        <v>8034</v>
      </c>
      <c r="T1438" s="1118" t="s">
        <v>8035</v>
      </c>
      <c r="U1438" s="215" t="s">
        <v>8098</v>
      </c>
      <c r="V1438" s="195" t="str">
        <f t="shared" si="99"/>
        <v>10.1016--j.jesp.2015.10.012.pdf</v>
      </c>
      <c r="W1438" s="215" t="s">
        <v>7466</v>
      </c>
      <c r="X1438" s="51" t="str">
        <f t="array" ref="X1438"> if(iserror(MATCH(V1438, 'File Links'!C:C, 0)), "N/A", HYPERLINK(INDEX('File Links'!B:B, MATCH(V1438, 'File Links'!C:C, 0))))</f>
        <v>https://drive.google.com/file/d/1xuc-fvipcLZQMaybgsFtBL29-3ClXZFF/view?usp=drivesdk</v>
      </c>
      <c r="Z1438" s="215" t="s">
        <v>219</v>
      </c>
      <c r="AA1438" s="215" t="s">
        <v>8099</v>
      </c>
      <c r="AB1438" s="215" t="s">
        <v>8100</v>
      </c>
      <c r="AC1438" s="215" t="s">
        <v>8101</v>
      </c>
      <c r="AD1438" s="1448" t="s">
        <v>8102</v>
      </c>
      <c r="AE1438" s="534">
        <v>809.0</v>
      </c>
      <c r="AF1438" s="1417">
        <v>114.0</v>
      </c>
      <c r="AG1438" s="221" t="s">
        <v>8103</v>
      </c>
      <c r="AH1438" s="213" t="s">
        <v>127</v>
      </c>
      <c r="AI1438" s="213">
        <v>809.0</v>
      </c>
      <c r="AJ1438" s="1576">
        <v>0.001</v>
      </c>
      <c r="AK1438" s="207" t="s">
        <v>128</v>
      </c>
      <c r="AL1438" s="213" t="s">
        <v>179</v>
      </c>
      <c r="AM1438" s="1419" t="s">
        <v>130</v>
      </c>
      <c r="AN1438" s="213" t="s">
        <v>131</v>
      </c>
      <c r="AO1438" s="1577">
        <v>2365.0</v>
      </c>
      <c r="AP1438" s="1577">
        <v>5.0E-5</v>
      </c>
      <c r="AQ1438" s="814" t="s">
        <v>867</v>
      </c>
      <c r="AR1438" s="332">
        <v>73.0</v>
      </c>
      <c r="AS1438" s="1577">
        <v>0.72</v>
      </c>
      <c r="AT1438" s="119" t="s">
        <v>165</v>
      </c>
      <c r="AU1438" s="213" t="s">
        <v>179</v>
      </c>
      <c r="AV1438" s="1419" t="s">
        <v>130</v>
      </c>
      <c r="AW1438" s="1578" t="s">
        <v>131</v>
      </c>
      <c r="AX1438" s="1419" t="s">
        <v>136</v>
      </c>
      <c r="AY1438" s="146" t="s">
        <v>8104</v>
      </c>
      <c r="AZ1438" s="146" t="s">
        <v>137</v>
      </c>
    </row>
    <row r="1439">
      <c r="A1439" s="41">
        <v>1439.0</v>
      </c>
      <c r="B1439" s="185" t="s">
        <v>107</v>
      </c>
      <c r="C1439" s="146" t="s">
        <v>108</v>
      </c>
      <c r="D1439" s="146" t="s">
        <v>1227</v>
      </c>
      <c r="E1439" s="69"/>
      <c r="F1439" s="119" t="s">
        <v>8095</v>
      </c>
      <c r="G1439" s="109" t="str">
        <f t="shared" si="100"/>
        <v>curatescience558_2</v>
      </c>
      <c r="H1439" s="119" t="s">
        <v>6921</v>
      </c>
      <c r="I1439" s="414">
        <v>45901.0</v>
      </c>
      <c r="J1439" s="414">
        <v>45901.0</v>
      </c>
      <c r="K1439" s="108"/>
      <c r="L1439" s="108"/>
      <c r="M1439" s="1444" t="s">
        <v>8096</v>
      </c>
      <c r="N1439" s="119" t="s">
        <v>8097</v>
      </c>
      <c r="O1439" s="534">
        <v>1.0</v>
      </c>
      <c r="P1439" s="533" t="str">
        <f t="shared" si="101"/>
        <v>10.1037--0022-3514.45.4.805.pdf</v>
      </c>
      <c r="Q1439" s="49" t="str">
        <f t="array" ref="Q1439"> if(iserror(MATCH(V1439, 'File Links'!C:C, 0)), "N/A", HYPERLINK(INDEX('File Links'!B:B, MATCH(P1439, 'File Links'!C:C, 0))))</f>
        <v>https://drive.google.com/file/d/1VbP_Ewf88OEuvCt9ZwvGSNNhhGDSj19O/view?usp=drivesdk</v>
      </c>
      <c r="R1439" s="215" t="s">
        <v>8033</v>
      </c>
      <c r="S1439" s="215" t="s">
        <v>8034</v>
      </c>
      <c r="T1439" s="1118" t="s">
        <v>8035</v>
      </c>
      <c r="U1439" s="108"/>
      <c r="V1439" s="195" t="str">
        <f t="shared" si="99"/>
        <v>10.1016--j.jesp.2015.10.012.pdf</v>
      </c>
      <c r="W1439" s="108"/>
      <c r="X1439" s="51" t="str">
        <f t="array" ref="X1439"> if(iserror(MATCH(V1439, 'File Links'!C:C, 0)), "N/A", HYPERLINK(INDEX('File Links'!B:B, MATCH(V1439, 'File Links'!C:C, 0))))</f>
        <v>https://drive.google.com/file/d/1xuc-fvipcLZQMaybgsFtBL29-3ClXZFF/view?usp=drivesdk</v>
      </c>
      <c r="Z1439" s="119" t="s">
        <v>219</v>
      </c>
      <c r="AA1439" s="108"/>
      <c r="AB1439" s="108"/>
      <c r="AC1439" s="108"/>
      <c r="AD1439" s="119" t="s">
        <v>8105</v>
      </c>
      <c r="AE1439" s="534">
        <v>809.0</v>
      </c>
      <c r="AF1439" s="1103">
        <v>115.0</v>
      </c>
      <c r="AG1439" s="534">
        <v>0.17</v>
      </c>
      <c r="AH1439" s="113" t="s">
        <v>867</v>
      </c>
      <c r="AI1439" s="108"/>
      <c r="AJ1439" s="363">
        <v>0.001</v>
      </c>
      <c r="AK1439" s="109" t="s">
        <v>128</v>
      </c>
      <c r="AL1439" s="109" t="s">
        <v>179</v>
      </c>
      <c r="AM1439" s="108" t="s">
        <v>134</v>
      </c>
      <c r="AN1439" s="111"/>
      <c r="AO1439" s="534">
        <v>2365.0</v>
      </c>
      <c r="AP1439" s="534">
        <v>5.0E-5</v>
      </c>
      <c r="AQ1439" s="113" t="s">
        <v>867</v>
      </c>
      <c r="AR1439" s="332">
        <v>73.0</v>
      </c>
      <c r="AS1439" s="534">
        <v>0.72</v>
      </c>
      <c r="AT1439" s="119" t="s">
        <v>165</v>
      </c>
      <c r="AU1439" s="108"/>
      <c r="AV1439" s="108" t="s">
        <v>130</v>
      </c>
      <c r="AW1439" s="108"/>
      <c r="AX1439" s="108" t="s">
        <v>136</v>
      </c>
      <c r="AY1439" s="69"/>
      <c r="AZ1439" s="146" t="s">
        <v>137</v>
      </c>
    </row>
    <row r="1440">
      <c r="A1440" s="41">
        <v>1440.0</v>
      </c>
      <c r="B1440" s="59" t="s">
        <v>107</v>
      </c>
      <c r="C1440" s="59" t="s">
        <v>108</v>
      </c>
      <c r="D1440" s="59" t="s">
        <v>1451</v>
      </c>
      <c r="F1440" s="65" t="s">
        <v>8106</v>
      </c>
      <c r="G1440" s="54" t="s">
        <v>8107</v>
      </c>
      <c r="H1440" s="65"/>
      <c r="I1440" s="1284" t="s">
        <v>112</v>
      </c>
      <c r="J1440" s="537">
        <v>45761.0</v>
      </c>
      <c r="K1440" s="65"/>
      <c r="L1440" s="156" t="s">
        <v>7316</v>
      </c>
      <c r="M1440" s="156" t="s">
        <v>8108</v>
      </c>
      <c r="N1440" s="156" t="s">
        <v>6944</v>
      </c>
      <c r="O1440" s="153">
        <v>5.0</v>
      </c>
      <c r="P1440" s="1573" t="s">
        <v>7960</v>
      </c>
      <c r="Q1440" s="49" t="str">
        <f t="array" ref="Q1440"> if(iserror(MATCH(V1440, 'File Links'!C:C, 0)), "N/A", HYPERLINK(INDEX('File Links'!B:B, MATCH(P1440, 'File Links'!C:C, 0))))</f>
        <v>https://drive.google.com/file/d/1r4PVlL83grqiq4UZ0to7L57VLrbdB9hi/view?usp=drivesdk</v>
      </c>
      <c r="R1440" s="156" t="s">
        <v>8109</v>
      </c>
      <c r="S1440" s="156" t="s">
        <v>7962</v>
      </c>
      <c r="T1440" s="65"/>
      <c r="U1440" s="65"/>
      <c r="V1440" s="379" t="s">
        <v>8080</v>
      </c>
      <c r="W1440" s="65"/>
      <c r="X1440" s="51" t="str">
        <f t="array" ref="X1440"> if(iserror(MATCH(V1440, 'File Links'!C:C, 0)), "N/A", HYPERLINK(INDEX('File Links'!B:B, MATCH(V1440, 'File Links'!C:C, 0))))</f>
        <v>https://drive.google.com/file/d/1RF-nEXDyW9UWyQIuqmtLdTtTuTs-52JT/view?usp=drivesdk</v>
      </c>
      <c r="Y1440" s="156" t="s">
        <v>7540</v>
      </c>
      <c r="Z1440" s="65"/>
      <c r="AA1440" s="65"/>
      <c r="AB1440" s="65"/>
      <c r="AC1440" s="65"/>
      <c r="AD1440" s="65"/>
      <c r="AE1440" s="65"/>
      <c r="AF1440" s="65"/>
      <c r="AG1440" s="65"/>
      <c r="AH1440" s="65"/>
      <c r="AI1440" s="65"/>
      <c r="AJ1440" s="335"/>
      <c r="AK1440" s="58"/>
      <c r="AL1440" s="58"/>
      <c r="AM1440" s="65"/>
      <c r="AN1440" s="58"/>
      <c r="AO1440" s="65"/>
      <c r="AP1440" s="65"/>
      <c r="AQ1440" s="65"/>
      <c r="AR1440" s="65"/>
      <c r="AS1440" s="65"/>
      <c r="AT1440" s="65"/>
      <c r="AU1440" s="65"/>
      <c r="AV1440" s="65"/>
      <c r="AW1440" s="368"/>
      <c r="AX1440" s="65"/>
      <c r="AZ1440" s="59" t="s">
        <v>7909</v>
      </c>
      <c r="BA1440" s="186"/>
      <c r="BB1440" s="186"/>
    </row>
    <row r="1441">
      <c r="A1441" s="41">
        <v>1441.0</v>
      </c>
      <c r="B1441" s="338" t="s">
        <v>145</v>
      </c>
      <c r="C1441" s="338" t="s">
        <v>108</v>
      </c>
      <c r="D1441" s="338" t="s">
        <v>241</v>
      </c>
      <c r="E1441" s="339"/>
      <c r="F1441" s="43" t="s">
        <v>8106</v>
      </c>
      <c r="G1441" s="357" t="s">
        <v>8107</v>
      </c>
      <c r="H1441" s="357" t="s">
        <v>242</v>
      </c>
      <c r="I1441" s="341">
        <v>45782.0</v>
      </c>
      <c r="J1441" s="1579">
        <v>45761.0</v>
      </c>
      <c r="K1441" s="357" t="s">
        <v>8110</v>
      </c>
      <c r="L1441" s="340" t="s">
        <v>8111</v>
      </c>
      <c r="M1441" s="357" t="s">
        <v>8108</v>
      </c>
      <c r="N1441" s="357" t="s">
        <v>6944</v>
      </c>
      <c r="O1441" s="354">
        <v>5.0</v>
      </c>
      <c r="P1441" s="514" t="str">
        <f t="shared" ref="P1441:P1443" si="102">SUBSTITUTE(LOWER(N1441), "/", "--") &amp;  ".pdf"</f>
        <v>10.1126--science.1239918.pdf</v>
      </c>
      <c r="Q1441" s="49" t="str">
        <f t="array" ref="Q1441"> if(iserror(MATCH(V1441, 'File Links'!C:C, 0)), "N/A", HYPERLINK(INDEX('File Links'!B:B, MATCH(P1441, 'File Links'!C:C, 0))))</f>
        <v>https://drive.google.com/file/d/1r4PVlL83grqiq4UZ0to7L57VLrbdB9hi/view?usp=drivesdk</v>
      </c>
      <c r="R1441" s="357" t="s">
        <v>8109</v>
      </c>
      <c r="S1441" s="357" t="s">
        <v>7962</v>
      </c>
      <c r="T1441" s="43"/>
      <c r="U1441" s="53">
        <v>3.0</v>
      </c>
      <c r="V1441" s="357" t="str">
        <f t="shared" ref="V1441:V1449" si="103"> hyperlink(vlookup(lower(S1441),#REF!, 2, FALSE), SUBSTITUTE(lower(S1441), "/", "--") &amp;  ".pdf")</f>
        <v>10.1037--pspa0000064.pdf</v>
      </c>
      <c r="W1441" s="357" t="s">
        <v>157</v>
      </c>
      <c r="X1441" s="51" t="str">
        <f t="array" ref="X1441"> if(iserror(MATCH(V1441, 'File Links'!C:C, 0)), "N/A", HYPERLINK(INDEX('File Links'!B:B, MATCH(V1441, 'File Links'!C:C, 0))))</f>
        <v>https://drive.google.com/file/d/1RF-nEXDyW9UWyQIuqmtLdTtTuTs-52JT/view?usp=drivesdk</v>
      </c>
      <c r="Y1441" s="43"/>
      <c r="Z1441" s="357" t="s">
        <v>219</v>
      </c>
      <c r="AA1441" s="340" t="s">
        <v>8083</v>
      </c>
      <c r="AB1441" s="357" t="s">
        <v>8112</v>
      </c>
      <c r="AC1441" s="357" t="s">
        <v>8021</v>
      </c>
      <c r="AD1441" s="357" t="s">
        <v>8113</v>
      </c>
      <c r="AE1441" s="357" t="s">
        <v>500</v>
      </c>
      <c r="AF1441" s="354">
        <v>356.0</v>
      </c>
      <c r="AG1441" s="354">
        <v>0.01</v>
      </c>
      <c r="AH1441" s="137" t="s">
        <v>7967</v>
      </c>
      <c r="AI1441" s="357" t="s">
        <v>8114</v>
      </c>
      <c r="AJ1441" s="354">
        <v>0.04</v>
      </c>
      <c r="AK1441" s="357" t="s">
        <v>165</v>
      </c>
      <c r="AL1441" s="357" t="s">
        <v>179</v>
      </c>
      <c r="AM1441" s="43" t="s">
        <v>130</v>
      </c>
      <c r="AN1441" s="327" t="s">
        <v>131</v>
      </c>
      <c r="AO1441" s="354">
        <v>370.0</v>
      </c>
      <c r="AP1441" s="354">
        <v>0.01</v>
      </c>
      <c r="AQ1441" s="357" t="s">
        <v>166</v>
      </c>
      <c r="AR1441" s="357" t="s">
        <v>8115</v>
      </c>
      <c r="AS1441" s="354">
        <v>0.775</v>
      </c>
      <c r="AT1441" s="357" t="s">
        <v>165</v>
      </c>
      <c r="AU1441" s="357" t="s">
        <v>179</v>
      </c>
      <c r="AV1441" s="43" t="s">
        <v>134</v>
      </c>
      <c r="AW1441" s="368" t="s">
        <v>131</v>
      </c>
      <c r="AX1441" s="43" t="s">
        <v>136</v>
      </c>
      <c r="AY1441" s="339"/>
      <c r="AZ1441" s="338" t="s">
        <v>7909</v>
      </c>
      <c r="BA1441" s="186"/>
      <c r="BB1441" s="186"/>
    </row>
    <row r="1442">
      <c r="A1442" s="41">
        <v>1442.0</v>
      </c>
      <c r="B1442" s="338" t="s">
        <v>145</v>
      </c>
      <c r="C1442" s="338" t="s">
        <v>108</v>
      </c>
      <c r="D1442" s="338" t="s">
        <v>241</v>
      </c>
      <c r="E1442" s="339"/>
      <c r="F1442" s="43" t="s">
        <v>8106</v>
      </c>
      <c r="G1442" s="357" t="s">
        <v>8116</v>
      </c>
      <c r="H1442" s="357" t="s">
        <v>242</v>
      </c>
      <c r="I1442" s="341">
        <v>45783.0</v>
      </c>
      <c r="J1442" s="1579">
        <v>45761.0</v>
      </c>
      <c r="K1442" s="357" t="s">
        <v>8110</v>
      </c>
      <c r="L1442" s="340" t="s">
        <v>8117</v>
      </c>
      <c r="M1442" s="357" t="s">
        <v>8108</v>
      </c>
      <c r="N1442" s="357" t="s">
        <v>6944</v>
      </c>
      <c r="O1442" s="354">
        <v>5.0</v>
      </c>
      <c r="P1442" s="514" t="str">
        <f t="shared" si="102"/>
        <v>10.1126--science.1239918.pdf</v>
      </c>
      <c r="Q1442" s="49" t="str">
        <f t="array" ref="Q1442"> if(iserror(MATCH(V1442, 'File Links'!C:C, 0)), "N/A", HYPERLINK(INDEX('File Links'!B:B, MATCH(P1442, 'File Links'!C:C, 0))))</f>
        <v>https://drive.google.com/file/d/1r4PVlL83grqiq4UZ0to7L57VLrbdB9hi/view?usp=drivesdk</v>
      </c>
      <c r="R1442" s="357" t="s">
        <v>8109</v>
      </c>
      <c r="S1442" s="357" t="s">
        <v>7962</v>
      </c>
      <c r="T1442" s="43"/>
      <c r="U1442" s="53">
        <v>3.0</v>
      </c>
      <c r="V1442" s="357" t="str">
        <f t="shared" si="103"/>
        <v>10.1037--pspa0000064.pdf</v>
      </c>
      <c r="W1442" s="357" t="s">
        <v>157</v>
      </c>
      <c r="X1442" s="51" t="str">
        <f t="array" ref="X1442"> if(iserror(MATCH(V1442, 'File Links'!C:C, 0)), "N/A", HYPERLINK(INDEX('File Links'!B:B, MATCH(V1442, 'File Links'!C:C, 0))))</f>
        <v>https://drive.google.com/file/d/1RF-nEXDyW9UWyQIuqmtLdTtTuTs-52JT/view?usp=drivesdk</v>
      </c>
      <c r="Y1442" s="43"/>
      <c r="Z1442" s="357" t="s">
        <v>219</v>
      </c>
      <c r="AA1442" s="340" t="s">
        <v>8083</v>
      </c>
      <c r="AB1442" s="357" t="s">
        <v>8118</v>
      </c>
      <c r="AC1442" s="357" t="s">
        <v>8021</v>
      </c>
      <c r="AD1442" s="357" t="s">
        <v>8006</v>
      </c>
      <c r="AE1442" s="357" t="s">
        <v>500</v>
      </c>
      <c r="AF1442" s="354">
        <v>356.0</v>
      </c>
      <c r="AG1442" s="354">
        <v>0.07</v>
      </c>
      <c r="AH1442" s="137" t="s">
        <v>7967</v>
      </c>
      <c r="AI1442" s="357" t="s">
        <v>8119</v>
      </c>
      <c r="AJ1442" s="354">
        <v>0.001</v>
      </c>
      <c r="AK1442" s="357" t="s">
        <v>128</v>
      </c>
      <c r="AL1442" s="357" t="s">
        <v>179</v>
      </c>
      <c r="AM1442" s="43" t="s">
        <v>130</v>
      </c>
      <c r="AN1442" s="327" t="s">
        <v>131</v>
      </c>
      <c r="AO1442" s="354">
        <v>370.0</v>
      </c>
      <c r="AP1442" s="357" t="s">
        <v>8007</v>
      </c>
      <c r="AQ1442" s="357" t="s">
        <v>127</v>
      </c>
      <c r="AR1442" s="357" t="s">
        <v>8120</v>
      </c>
      <c r="AS1442" s="354">
        <v>0.001</v>
      </c>
      <c r="AT1442" s="357" t="s">
        <v>128</v>
      </c>
      <c r="AU1442" s="357" t="s">
        <v>179</v>
      </c>
      <c r="AV1442" s="43" t="s">
        <v>134</v>
      </c>
      <c r="AW1442" s="368" t="s">
        <v>131</v>
      </c>
      <c r="AX1442" s="43" t="s">
        <v>136</v>
      </c>
      <c r="AY1442" s="339"/>
      <c r="AZ1442" s="338" t="s">
        <v>7909</v>
      </c>
      <c r="BA1442" s="186"/>
      <c r="BB1442" s="186"/>
    </row>
    <row r="1443">
      <c r="A1443" s="41">
        <v>1443.0</v>
      </c>
      <c r="B1443" s="338" t="s">
        <v>145</v>
      </c>
      <c r="C1443" s="338" t="s">
        <v>108</v>
      </c>
      <c r="D1443" s="338" t="s">
        <v>241</v>
      </c>
      <c r="E1443" s="339"/>
      <c r="F1443" s="43" t="s">
        <v>8106</v>
      </c>
      <c r="G1443" s="357" t="s">
        <v>8121</v>
      </c>
      <c r="H1443" s="357" t="s">
        <v>242</v>
      </c>
      <c r="I1443" s="341">
        <v>45783.0</v>
      </c>
      <c r="J1443" s="1579">
        <v>45761.0</v>
      </c>
      <c r="K1443" s="357" t="s">
        <v>8110</v>
      </c>
      <c r="L1443" s="340" t="s">
        <v>8122</v>
      </c>
      <c r="M1443" s="357" t="s">
        <v>8108</v>
      </c>
      <c r="N1443" s="357" t="s">
        <v>6944</v>
      </c>
      <c r="O1443" s="354">
        <v>5.0</v>
      </c>
      <c r="P1443" s="514" t="str">
        <f t="shared" si="102"/>
        <v>10.1126--science.1239918.pdf</v>
      </c>
      <c r="Q1443" s="49" t="str">
        <f t="array" ref="Q1443"> if(iserror(MATCH(V1443, 'File Links'!C:C, 0)), "N/A", HYPERLINK(INDEX('File Links'!B:B, MATCH(P1443, 'File Links'!C:C, 0))))</f>
        <v>https://drive.google.com/file/d/1r4PVlL83grqiq4UZ0to7L57VLrbdB9hi/view?usp=drivesdk</v>
      </c>
      <c r="R1443" s="357" t="s">
        <v>8109</v>
      </c>
      <c r="S1443" s="357" t="s">
        <v>7962</v>
      </c>
      <c r="T1443" s="43"/>
      <c r="U1443" s="53">
        <v>3.0</v>
      </c>
      <c r="V1443" s="357" t="str">
        <f t="shared" si="103"/>
        <v>10.1037--pspa0000064.pdf</v>
      </c>
      <c r="W1443" s="357" t="s">
        <v>157</v>
      </c>
      <c r="X1443" s="51" t="str">
        <f t="array" ref="X1443"> if(iserror(MATCH(V1443, 'File Links'!C:C, 0)), "N/A", HYPERLINK(INDEX('File Links'!B:B, MATCH(V1443, 'File Links'!C:C, 0))))</f>
        <v>https://drive.google.com/file/d/1RF-nEXDyW9UWyQIuqmtLdTtTuTs-52JT/view?usp=drivesdk</v>
      </c>
      <c r="Y1443" s="43"/>
      <c r="Z1443" s="357" t="s">
        <v>219</v>
      </c>
      <c r="AA1443" s="340" t="s">
        <v>8083</v>
      </c>
      <c r="AB1443" s="357" t="s">
        <v>8123</v>
      </c>
      <c r="AC1443" s="357" t="s">
        <v>8021</v>
      </c>
      <c r="AD1443" s="357" t="s">
        <v>7976</v>
      </c>
      <c r="AE1443" s="357" t="s">
        <v>500</v>
      </c>
      <c r="AF1443" s="354">
        <v>356.0</v>
      </c>
      <c r="AG1443" s="354">
        <v>0.0</v>
      </c>
      <c r="AH1443" s="137" t="s">
        <v>7967</v>
      </c>
      <c r="AI1443" s="357" t="s">
        <v>8124</v>
      </c>
      <c r="AJ1443" s="354">
        <v>0.25</v>
      </c>
      <c r="AK1443" s="357" t="s">
        <v>165</v>
      </c>
      <c r="AL1443" s="357" t="s">
        <v>179</v>
      </c>
      <c r="AM1443" s="43" t="s">
        <v>134</v>
      </c>
      <c r="AN1443" s="327" t="s">
        <v>131</v>
      </c>
      <c r="AO1443" s="354">
        <v>370.0</v>
      </c>
      <c r="AP1443" s="357" t="s">
        <v>8010</v>
      </c>
      <c r="AQ1443" s="357" t="s">
        <v>127</v>
      </c>
      <c r="AR1443" s="357" t="s">
        <v>8125</v>
      </c>
      <c r="AS1443" s="354">
        <v>0.045</v>
      </c>
      <c r="AT1443" s="357" t="s">
        <v>165</v>
      </c>
      <c r="AU1443" s="357" t="s">
        <v>179</v>
      </c>
      <c r="AV1443" s="43" t="s">
        <v>134</v>
      </c>
      <c r="AW1443" s="368" t="s">
        <v>131</v>
      </c>
      <c r="AX1443" s="43" t="s">
        <v>136</v>
      </c>
      <c r="AY1443" s="339"/>
      <c r="AZ1443" s="338" t="s">
        <v>7909</v>
      </c>
      <c r="BA1443" s="186"/>
      <c r="BB1443" s="186"/>
    </row>
    <row r="1444">
      <c r="A1444" s="41">
        <v>1444.0</v>
      </c>
      <c r="B1444" s="1580" t="s">
        <v>107</v>
      </c>
      <c r="C1444" s="1580" t="s">
        <v>108</v>
      </c>
      <c r="D1444" s="1580" t="s">
        <v>2623</v>
      </c>
      <c r="E1444" s="1564"/>
      <c r="F1444" s="1304" t="s">
        <v>8126</v>
      </c>
      <c r="G1444" s="1305" t="s">
        <v>8127</v>
      </c>
      <c r="H1444" s="1306" t="s">
        <v>7383</v>
      </c>
      <c r="I1444" s="1581">
        <v>45292.0</v>
      </c>
      <c r="J1444" s="1582">
        <v>45765.0</v>
      </c>
      <c r="K1444" s="1304"/>
      <c r="L1444" s="1583" t="s">
        <v>8128</v>
      </c>
      <c r="M1444" s="1583" t="s">
        <v>8129</v>
      </c>
      <c r="N1444" s="1584" t="s">
        <v>8130</v>
      </c>
      <c r="O1444" s="1309">
        <v>3.0</v>
      </c>
      <c r="P1444" s="1310" t="s">
        <v>8131</v>
      </c>
      <c r="Q1444" s="49" t="str">
        <f t="array" ref="Q1444"> if(iserror(MATCH(V1444, 'File Links'!C:C, 0)), "N/A", HYPERLINK(INDEX('File Links'!B:B, MATCH(P1444, 'File Links'!C:C, 0))))</f>
        <v>https://drive.google.com/file/d/1acuUVGe9a1FY0NzYPbpq8pAnbZKrjA2v/view?usp=drivesdk</v>
      </c>
      <c r="R1444" s="1306" t="s">
        <v>8132</v>
      </c>
      <c r="S1444" s="1584" t="s">
        <v>8133</v>
      </c>
      <c r="T1444" s="1304"/>
      <c r="U1444" s="1309">
        <v>1.0</v>
      </c>
      <c r="V1444" s="1306" t="str">
        <f t="shared" si="103"/>
        <v>10.1016--j.jesp.2015.08.005.pdf</v>
      </c>
      <c r="W1444" s="1585" t="s">
        <v>8134</v>
      </c>
      <c r="X1444" s="51" t="str">
        <f t="array" ref="X1444"> if(iserror(MATCH(V1444, 'File Links'!C:C, 0)), "N/A", HYPERLINK(INDEX('File Links'!B:B, MATCH(V1444, 'File Links'!C:C, 0))))</f>
        <v>https://drive.google.com/file/d/1-xurSGJuM3s6RBApJqwPJeMlgGlC3K_D/view?usp=drivesdk</v>
      </c>
      <c r="Y1444" s="1304"/>
      <c r="Z1444" s="1584" t="s">
        <v>219</v>
      </c>
      <c r="AA1444" s="1584" t="s">
        <v>8135</v>
      </c>
      <c r="AB1444" s="1584" t="s">
        <v>8136</v>
      </c>
      <c r="AC1444" s="1586" t="s">
        <v>8137</v>
      </c>
      <c r="AD1444" s="478" t="s">
        <v>8138</v>
      </c>
      <c r="AE1444" s="1587">
        <v>6.0</v>
      </c>
      <c r="AF1444" s="1588">
        <v>145.0</v>
      </c>
      <c r="AG1444" s="1588">
        <v>0.767</v>
      </c>
      <c r="AH1444" s="1589" t="s">
        <v>166</v>
      </c>
      <c r="AI1444" s="1590" t="s">
        <v>8139</v>
      </c>
      <c r="AJ1444" s="1591">
        <v>0.03</v>
      </c>
      <c r="AK1444" s="1584" t="s">
        <v>165</v>
      </c>
      <c r="AL1444" s="480" t="s">
        <v>179</v>
      </c>
      <c r="AM1444" s="1592" t="s">
        <v>130</v>
      </c>
      <c r="AN1444" s="368" t="s">
        <v>131</v>
      </c>
      <c r="AO1444" s="1587">
        <v>520.0</v>
      </c>
      <c r="AP1444" s="1588">
        <v>0.35</v>
      </c>
      <c r="AQ1444" s="1584" t="s">
        <v>166</v>
      </c>
      <c r="AR1444" s="1584" t="s">
        <v>8140</v>
      </c>
      <c r="AS1444" s="1588">
        <v>0.04</v>
      </c>
      <c r="AT1444" s="1584" t="s">
        <v>165</v>
      </c>
      <c r="AU1444" s="480" t="s">
        <v>179</v>
      </c>
      <c r="AV1444" s="1592" t="s">
        <v>130</v>
      </c>
      <c r="AW1444" s="1593" t="s">
        <v>8141</v>
      </c>
      <c r="AX1444" s="1594" t="s">
        <v>136</v>
      </c>
      <c r="AY1444" s="1564"/>
      <c r="AZ1444" s="338" t="s">
        <v>7909</v>
      </c>
      <c r="BA1444" s="186"/>
      <c r="BB1444" s="186"/>
    </row>
    <row r="1445">
      <c r="A1445" s="41">
        <v>1445.0</v>
      </c>
      <c r="B1445" s="59" t="s">
        <v>145</v>
      </c>
      <c r="C1445" s="59" t="s">
        <v>108</v>
      </c>
      <c r="D1445" s="59" t="s">
        <v>1451</v>
      </c>
      <c r="F1445" s="1110" t="s">
        <v>8126</v>
      </c>
      <c r="G1445" s="1585" t="s">
        <v>8127</v>
      </c>
      <c r="H1445" s="1595" t="s">
        <v>1511</v>
      </c>
      <c r="I1445" s="1596" t="s">
        <v>112</v>
      </c>
      <c r="J1445" s="1582">
        <v>45765.0</v>
      </c>
      <c r="K1445" s="1595" t="s">
        <v>8142</v>
      </c>
      <c r="L1445" s="1597" t="s">
        <v>8143</v>
      </c>
      <c r="M1445" s="1598" t="s">
        <v>8144</v>
      </c>
      <c r="N1445" s="1595" t="s">
        <v>8130</v>
      </c>
      <c r="O1445" s="1089">
        <v>3.0</v>
      </c>
      <c r="P1445" s="1599" t="s">
        <v>8131</v>
      </c>
      <c r="Q1445" s="49" t="str">
        <f t="array" ref="Q1445"> if(iserror(MATCH(V1445, 'File Links'!C:C, 0)), "N/A", HYPERLINK(INDEX('File Links'!B:B, MATCH(P1445, 'File Links'!C:C, 0))))</f>
        <v>https://drive.google.com/file/d/1acuUVGe9a1FY0NzYPbpq8pAnbZKrjA2v/view?usp=drivesdk</v>
      </c>
      <c r="R1445" s="1595" t="s">
        <v>8145</v>
      </c>
      <c r="S1445" s="1595" t="s">
        <v>8133</v>
      </c>
      <c r="T1445" s="1110"/>
      <c r="U1445" s="1089">
        <v>1.0</v>
      </c>
      <c r="V1445" s="195" t="str">
        <f t="shared" si="103"/>
        <v>10.1016--j.jesp.2015.08.005.pdf</v>
      </c>
      <c r="W1445" s="1585" t="s">
        <v>8134</v>
      </c>
      <c r="X1445" s="51" t="str">
        <f t="array" ref="X1445"> if(iserror(MATCH(V1445, 'File Links'!C:C, 0)), "N/A", HYPERLINK(INDEX('File Links'!B:B, MATCH(V1445, 'File Links'!C:C, 0))))</f>
        <v>https://drive.google.com/file/d/1-xurSGJuM3s6RBApJqwPJeMlgGlC3K_D/view?usp=drivesdk</v>
      </c>
      <c r="Z1445" s="1595" t="s">
        <v>219</v>
      </c>
      <c r="AA1445" s="1595" t="s">
        <v>8146</v>
      </c>
      <c r="AB1445" s="1595" t="s">
        <v>8147</v>
      </c>
      <c r="AC1445" s="478" t="s">
        <v>8148</v>
      </c>
      <c r="AD1445" s="1595" t="s">
        <v>8138</v>
      </c>
      <c r="AE1445" s="1089">
        <v>6.0</v>
      </c>
      <c r="AF1445" s="1089">
        <v>145.0</v>
      </c>
      <c r="AG1445" s="1089">
        <v>0.033</v>
      </c>
      <c r="AH1445" s="1600" t="s">
        <v>867</v>
      </c>
      <c r="AI1445" s="1600" t="s">
        <v>1035</v>
      </c>
      <c r="AJ1445" s="1601">
        <v>0.03</v>
      </c>
      <c r="AK1445" s="1595" t="s">
        <v>165</v>
      </c>
      <c r="AL1445" s="1585" t="s">
        <v>179</v>
      </c>
      <c r="AM1445" s="1110" t="s">
        <v>130</v>
      </c>
      <c r="AN1445" s="368" t="s">
        <v>131</v>
      </c>
      <c r="AO1445" s="1089">
        <v>520.0</v>
      </c>
      <c r="AP1445" s="1089">
        <v>0.006</v>
      </c>
      <c r="AQ1445" s="1595" t="s">
        <v>132</v>
      </c>
      <c r="AR1445" s="1595" t="s">
        <v>8149</v>
      </c>
      <c r="AS1445" s="1089">
        <v>0.079</v>
      </c>
      <c r="AT1445" s="1595" t="s">
        <v>165</v>
      </c>
      <c r="AU1445" s="1595" t="s">
        <v>179</v>
      </c>
      <c r="AV1445" s="1110" t="s">
        <v>130</v>
      </c>
      <c r="AW1445" s="1602" t="s">
        <v>8150</v>
      </c>
      <c r="AX1445" s="1110" t="s">
        <v>136</v>
      </c>
      <c r="AY1445" s="1110"/>
      <c r="AZ1445" s="338" t="s">
        <v>7909</v>
      </c>
      <c r="BA1445" s="186"/>
      <c r="BB1445" s="186"/>
    </row>
    <row r="1446">
      <c r="A1446" s="41">
        <v>1446.0</v>
      </c>
      <c r="B1446" s="59" t="s">
        <v>145</v>
      </c>
      <c r="C1446" s="59" t="s">
        <v>108</v>
      </c>
      <c r="D1446" s="59" t="s">
        <v>1451</v>
      </c>
      <c r="F1446" s="1110" t="s">
        <v>8126</v>
      </c>
      <c r="G1446" s="1585" t="s">
        <v>8151</v>
      </c>
      <c r="H1446" s="1595" t="s">
        <v>1511</v>
      </c>
      <c r="I1446" s="1603"/>
      <c r="J1446" s="1582">
        <v>45765.0</v>
      </c>
      <c r="K1446" s="1110"/>
      <c r="L1446" s="1597" t="s">
        <v>8143</v>
      </c>
      <c r="M1446" s="1598" t="s">
        <v>8144</v>
      </c>
      <c r="N1446" s="1595" t="s">
        <v>8130</v>
      </c>
      <c r="O1446" s="1089">
        <v>3.0</v>
      </c>
      <c r="P1446" s="1599" t="s">
        <v>8131</v>
      </c>
      <c r="Q1446" s="49" t="str">
        <f t="array" ref="Q1446"> if(iserror(MATCH(V1446, 'File Links'!C:C, 0)), "N/A", HYPERLINK(INDEX('File Links'!B:B, MATCH(P1446, 'File Links'!C:C, 0))))</f>
        <v>https://drive.google.com/file/d/1acuUVGe9a1FY0NzYPbpq8pAnbZKrjA2v/view?usp=drivesdk</v>
      </c>
      <c r="R1446" s="1595" t="s">
        <v>8145</v>
      </c>
      <c r="S1446" s="1595" t="s">
        <v>8133</v>
      </c>
      <c r="T1446" s="1110"/>
      <c r="U1446" s="1089">
        <v>1.0</v>
      </c>
      <c r="V1446" s="195" t="str">
        <f t="shared" si="103"/>
        <v>10.1016--j.jesp.2015.08.005.pdf</v>
      </c>
      <c r="W1446" s="1585" t="s">
        <v>8134</v>
      </c>
      <c r="X1446" s="51" t="str">
        <f t="array" ref="X1446"> if(iserror(MATCH(V1446, 'File Links'!C:C, 0)), "N/A", HYPERLINK(INDEX('File Links'!B:B, MATCH(V1446, 'File Links'!C:C, 0))))</f>
        <v>https://drive.google.com/file/d/1-xurSGJuM3s6RBApJqwPJeMlgGlC3K_D/view?usp=drivesdk</v>
      </c>
      <c r="Z1446" s="1595" t="s">
        <v>219</v>
      </c>
      <c r="AA1446" s="1595" t="s">
        <v>8152</v>
      </c>
      <c r="AB1446" s="1595" t="s">
        <v>8147</v>
      </c>
      <c r="AC1446" s="478" t="s">
        <v>8148</v>
      </c>
      <c r="AD1446" s="1595" t="s">
        <v>8153</v>
      </c>
      <c r="AE1446" s="1089">
        <v>6.0</v>
      </c>
      <c r="AF1446" s="1089">
        <v>145.0</v>
      </c>
      <c r="AG1446" s="1089">
        <v>0.048</v>
      </c>
      <c r="AH1446" s="1600" t="s">
        <v>867</v>
      </c>
      <c r="AI1446" s="1600" t="s">
        <v>1035</v>
      </c>
      <c r="AJ1446" s="1601">
        <v>0.008</v>
      </c>
      <c r="AK1446" s="1595" t="s">
        <v>165</v>
      </c>
      <c r="AL1446" s="1585" t="s">
        <v>179</v>
      </c>
      <c r="AM1446" s="1110" t="s">
        <v>130</v>
      </c>
      <c r="AN1446" s="368" t="s">
        <v>131</v>
      </c>
      <c r="AO1446" s="1089">
        <v>520.0</v>
      </c>
      <c r="AP1446" s="1089">
        <v>0.001</v>
      </c>
      <c r="AQ1446" s="1595" t="s">
        <v>132</v>
      </c>
      <c r="AR1446" s="1595" t="s">
        <v>8154</v>
      </c>
      <c r="AS1446" s="1089">
        <v>0.494</v>
      </c>
      <c r="AT1446" s="1595" t="s">
        <v>165</v>
      </c>
      <c r="AU1446" s="1595" t="s">
        <v>179</v>
      </c>
      <c r="AV1446" s="1110" t="s">
        <v>130</v>
      </c>
      <c r="AW1446" s="1602" t="s">
        <v>8150</v>
      </c>
      <c r="AX1446" s="1110" t="s">
        <v>136</v>
      </c>
      <c r="AY1446" s="1110"/>
      <c r="AZ1446" s="338" t="s">
        <v>7909</v>
      </c>
      <c r="BA1446" s="186"/>
      <c r="BB1446" s="186"/>
    </row>
    <row r="1447">
      <c r="A1447" s="41">
        <v>1447.0</v>
      </c>
      <c r="B1447" s="185" t="s">
        <v>583</v>
      </c>
      <c r="C1447" s="165" t="s">
        <v>108</v>
      </c>
      <c r="D1447" s="165" t="s">
        <v>2623</v>
      </c>
      <c r="E1447" s="161"/>
      <c r="F1447" s="1162" t="s">
        <v>8155</v>
      </c>
      <c r="G1447" s="1604" t="str">
        <f t="shared" ref="G1447:G1448" si="104">F1447&amp;"_"&amp;COUNTIF($B$3:F1447, F1447)</f>
        <v>curatescience578_1</v>
      </c>
      <c r="H1447" s="1162" t="s">
        <v>7458</v>
      </c>
      <c r="I1447" s="1605">
        <v>45675.0</v>
      </c>
      <c r="J1447" s="1605">
        <v>45676.0</v>
      </c>
      <c r="K1447" s="177"/>
      <c r="L1447" s="177"/>
      <c r="M1447" s="1606" t="s">
        <v>8156</v>
      </c>
      <c r="N1447" s="1162" t="s">
        <v>8157</v>
      </c>
      <c r="O1447" s="172">
        <v>2.0</v>
      </c>
      <c r="P1447" s="1607" t="str">
        <f t="shared" ref="P1447:P1448" si="105"> SUBSTITUTE(lower(N1447), "/", "--") &amp;  ".pdf"</f>
        <v>10.1037--0022-3514.82.5.792.pdf</v>
      </c>
      <c r="Q1447" s="49" t="str">
        <f t="array" ref="Q1447"> if(iserror(MATCH(V1447, 'File Links'!C:C, 0)), "N/A", HYPERLINK(INDEX('File Links'!B:B, MATCH(P1447, 'File Links'!C:C, 0))))</f>
        <v>https://drive.google.com/file/d/1yhJ17uggr6j5uXr73Jms5KP35M6RDUxL/view?usp=drivesdk</v>
      </c>
      <c r="R1447" s="1162" t="s">
        <v>8033</v>
      </c>
      <c r="S1447" s="1162" t="s">
        <v>8034</v>
      </c>
      <c r="T1447" s="1608" t="s">
        <v>8035</v>
      </c>
      <c r="U1447" s="1162" t="s">
        <v>8158</v>
      </c>
      <c r="V1447" s="195" t="str">
        <f t="shared" si="103"/>
        <v>10.1016--j.jesp.2015.10.012.pdf</v>
      </c>
      <c r="W1447" s="1162" t="s">
        <v>7466</v>
      </c>
      <c r="X1447" s="51" t="str">
        <f t="array" ref="X1447"> if(iserror(MATCH(V1447, 'File Links'!C:C, 0)), "N/A", HYPERLINK(INDEX('File Links'!B:B, MATCH(V1447, 'File Links'!C:C, 0))))</f>
        <v>https://drive.google.com/file/d/1xuc-fvipcLZQMaybgsFtBL29-3ClXZFF/view?usp=drivesdk</v>
      </c>
      <c r="Y1447" s="177"/>
      <c r="Z1447" s="1162" t="s">
        <v>219</v>
      </c>
      <c r="AA1447" s="1162" t="s">
        <v>8159</v>
      </c>
      <c r="AB1447" s="1162" t="s">
        <v>8160</v>
      </c>
      <c r="AC1447" s="1162" t="s">
        <v>8161</v>
      </c>
      <c r="AD1447" s="1162" t="s">
        <v>8162</v>
      </c>
      <c r="AE1447" s="1162" t="s">
        <v>8163</v>
      </c>
      <c r="AF1447" s="1609">
        <v>357.0</v>
      </c>
      <c r="AG1447" s="1609">
        <v>0.45</v>
      </c>
      <c r="AH1447" s="1610" t="s">
        <v>166</v>
      </c>
      <c r="AI1447" s="1162" t="s">
        <v>8164</v>
      </c>
      <c r="AJ1447" s="1611">
        <v>0.001</v>
      </c>
      <c r="AK1447" s="1604" t="s">
        <v>165</v>
      </c>
      <c r="AL1447" s="1604" t="s">
        <v>129</v>
      </c>
      <c r="AM1447" s="1612" t="s">
        <v>130</v>
      </c>
      <c r="AN1447" s="1604" t="s">
        <v>7474</v>
      </c>
      <c r="AO1447" s="1613">
        <v>1200.0</v>
      </c>
      <c r="AP1447" s="1609">
        <v>0.15</v>
      </c>
      <c r="AQ1447" s="1162" t="s">
        <v>166</v>
      </c>
      <c r="AR1447" s="1162" t="s">
        <v>8165</v>
      </c>
      <c r="AS1447" s="1609">
        <v>0.02</v>
      </c>
      <c r="AT1447" s="1162" t="s">
        <v>128</v>
      </c>
      <c r="AU1447" s="1162" t="s">
        <v>129</v>
      </c>
      <c r="AV1447" s="1612" t="s">
        <v>130</v>
      </c>
      <c r="AW1447" s="1612" t="s">
        <v>7474</v>
      </c>
      <c r="AX1447" s="1612" t="s">
        <v>136</v>
      </c>
      <c r="AY1447" s="161"/>
      <c r="AZ1447" s="161"/>
    </row>
    <row r="1448">
      <c r="A1448" s="41">
        <v>1448.0</v>
      </c>
      <c r="B1448" s="185" t="s">
        <v>583</v>
      </c>
      <c r="C1448" s="165" t="s">
        <v>108</v>
      </c>
      <c r="D1448" s="165" t="s">
        <v>1227</v>
      </c>
      <c r="E1448" s="161"/>
      <c r="F1448" s="729" t="s">
        <v>8155</v>
      </c>
      <c r="G1448" s="183" t="str">
        <f t="shared" si="104"/>
        <v>curatescience578_2</v>
      </c>
      <c r="H1448" s="729" t="s">
        <v>6921</v>
      </c>
      <c r="I1448" s="730">
        <v>45901.0</v>
      </c>
      <c r="J1448" s="730">
        <v>45901.0</v>
      </c>
      <c r="K1448" s="177"/>
      <c r="L1448" s="177"/>
      <c r="M1448" s="1606" t="s">
        <v>8156</v>
      </c>
      <c r="N1448" s="729" t="s">
        <v>8157</v>
      </c>
      <c r="O1448" s="180">
        <v>2.0</v>
      </c>
      <c r="P1448" s="951" t="str">
        <f t="shared" si="105"/>
        <v>10.1037--0022-3514.82.5.792.pdf</v>
      </c>
      <c r="Q1448" s="49" t="str">
        <f t="array" ref="Q1448"> if(iserror(MATCH(V1448, 'File Links'!C:C, 0)), "N/A", HYPERLINK(INDEX('File Links'!B:B, MATCH(P1448, 'File Links'!C:C, 0))))</f>
        <v>https://drive.google.com/file/d/1yhJ17uggr6j5uXr73Jms5KP35M6RDUxL/view?usp=drivesdk</v>
      </c>
      <c r="R1448" s="1162" t="s">
        <v>8033</v>
      </c>
      <c r="S1448" s="1162" t="s">
        <v>8034</v>
      </c>
      <c r="T1448" s="1608" t="s">
        <v>8035</v>
      </c>
      <c r="U1448" s="177"/>
      <c r="V1448" s="195" t="str">
        <f t="shared" si="103"/>
        <v>10.1016--j.jesp.2015.10.012.pdf</v>
      </c>
      <c r="W1448" s="177"/>
      <c r="X1448" s="51" t="str">
        <f t="array" ref="X1448"> if(iserror(MATCH(V1448, 'File Links'!C:C, 0)), "N/A", HYPERLINK(INDEX('File Links'!B:B, MATCH(V1448, 'File Links'!C:C, 0))))</f>
        <v>https://drive.google.com/file/d/1xuc-fvipcLZQMaybgsFtBL29-3ClXZFF/view?usp=drivesdk</v>
      </c>
      <c r="Y1448" s="177"/>
      <c r="Z1448" s="729" t="s">
        <v>219</v>
      </c>
      <c r="AA1448" s="177"/>
      <c r="AB1448" s="177"/>
      <c r="AC1448" s="177"/>
      <c r="AD1448" s="729" t="s">
        <v>8166</v>
      </c>
      <c r="AE1448" s="180">
        <v>796.0</v>
      </c>
      <c r="AF1448" s="180">
        <v>357.0</v>
      </c>
      <c r="AG1448" s="180">
        <v>0.21</v>
      </c>
      <c r="AH1448" s="729" t="s">
        <v>166</v>
      </c>
      <c r="AI1448" s="177"/>
      <c r="AJ1448" s="830">
        <v>0.001</v>
      </c>
      <c r="AK1448" s="183" t="s">
        <v>128</v>
      </c>
      <c r="AL1448" s="734"/>
      <c r="AM1448" s="177" t="s">
        <v>130</v>
      </c>
      <c r="AN1448" s="734"/>
      <c r="AO1448" s="180">
        <v>3136.0</v>
      </c>
      <c r="AP1448" s="180">
        <v>0.001</v>
      </c>
      <c r="AQ1448" s="164" t="s">
        <v>867</v>
      </c>
      <c r="AR1448" s="177"/>
      <c r="AS1448" s="180">
        <v>0.16</v>
      </c>
      <c r="AT1448" s="729" t="s">
        <v>165</v>
      </c>
      <c r="AU1448" s="177"/>
      <c r="AV1448" s="177"/>
      <c r="AW1448" s="177"/>
      <c r="AX1448" s="177" t="s">
        <v>136</v>
      </c>
      <c r="AY1448" s="161"/>
      <c r="AZ1448" s="161"/>
    </row>
    <row r="1449">
      <c r="A1449" s="41">
        <v>1449.0</v>
      </c>
      <c r="B1449" s="59" t="s">
        <v>107</v>
      </c>
      <c r="C1449" s="59" t="s">
        <v>108</v>
      </c>
      <c r="D1449" s="59" t="s">
        <v>2623</v>
      </c>
      <c r="F1449" s="65" t="s">
        <v>8167</v>
      </c>
      <c r="G1449" s="54" t="s">
        <v>8168</v>
      </c>
      <c r="H1449" s="156" t="s">
        <v>7383</v>
      </c>
      <c r="I1449" s="1542">
        <v>45292.0</v>
      </c>
      <c r="J1449" s="1614">
        <v>45765.0</v>
      </c>
      <c r="K1449" s="65"/>
      <c r="L1449" s="148" t="s">
        <v>8169</v>
      </c>
      <c r="M1449" s="148" t="s">
        <v>8129</v>
      </c>
      <c r="N1449" s="434" t="s">
        <v>8130</v>
      </c>
      <c r="O1449" s="153">
        <v>3.0</v>
      </c>
      <c r="P1449" s="1573" t="s">
        <v>8131</v>
      </c>
      <c r="Q1449" s="49" t="str">
        <f t="array" ref="Q1449"> if(iserror(MATCH(V1449, 'File Links'!C:C, 0)), "N/A", HYPERLINK(INDEX('File Links'!B:B, MATCH(P1449, 'File Links'!C:C, 0))))</f>
        <v>https://drive.google.com/file/d/1acuUVGe9a1FY0NzYPbpq8pAnbZKrjA2v/view?usp=drivesdk</v>
      </c>
      <c r="R1449" s="156" t="s">
        <v>8170</v>
      </c>
      <c r="S1449" s="434" t="s">
        <v>8133</v>
      </c>
      <c r="T1449" s="65"/>
      <c r="U1449" s="153">
        <v>3.0</v>
      </c>
      <c r="V1449" s="195" t="str">
        <f t="shared" si="103"/>
        <v>10.1016--j.jesp.2015.08.005.pdf</v>
      </c>
      <c r="W1449" s="434" t="s">
        <v>157</v>
      </c>
      <c r="X1449" s="51" t="str">
        <f t="array" ref="X1449"> if(iserror(MATCH(V1449, 'File Links'!C:C, 0)), "N/A", HYPERLINK(INDEX('File Links'!B:B, MATCH(V1449, 'File Links'!C:C, 0))))</f>
        <v>https://drive.google.com/file/d/1-xurSGJuM3s6RBApJqwPJeMlgGlC3K_D/view?usp=drivesdk</v>
      </c>
      <c r="Y1449" s="478" t="s">
        <v>7540</v>
      </c>
      <c r="Z1449" s="434" t="s">
        <v>219</v>
      </c>
      <c r="AA1449" s="434" t="s">
        <v>8135</v>
      </c>
      <c r="AB1449" s="434" t="s">
        <v>8136</v>
      </c>
      <c r="AC1449" s="434" t="s">
        <v>8137</v>
      </c>
      <c r="AD1449" s="434" t="s">
        <v>8171</v>
      </c>
      <c r="AE1449" s="825">
        <v>470.0</v>
      </c>
      <c r="AF1449" s="825">
        <v>145.0</v>
      </c>
      <c r="AG1449" s="825">
        <v>0.767</v>
      </c>
      <c r="AH1449" s="826" t="s">
        <v>166</v>
      </c>
      <c r="AI1449" s="827" t="s">
        <v>8139</v>
      </c>
      <c r="AJ1449" s="828">
        <v>0.03</v>
      </c>
      <c r="AK1449" s="434" t="s">
        <v>165</v>
      </c>
      <c r="AL1449" s="373" t="s">
        <v>129</v>
      </c>
      <c r="AM1449" s="829" t="s">
        <v>130</v>
      </c>
      <c r="AN1449" s="65"/>
      <c r="AO1449" s="825">
        <v>254.0</v>
      </c>
      <c r="AP1449" s="825">
        <v>0.15</v>
      </c>
      <c r="AQ1449" s="434" t="s">
        <v>166</v>
      </c>
      <c r="AR1449" s="434" t="s">
        <v>8172</v>
      </c>
      <c r="AS1449" s="825">
        <v>0.15</v>
      </c>
      <c r="AT1449" s="434" t="s">
        <v>165</v>
      </c>
      <c r="AU1449" s="434" t="s">
        <v>129</v>
      </c>
      <c r="AV1449" s="829" t="s">
        <v>130</v>
      </c>
      <c r="AW1449" s="1546" t="s">
        <v>8141</v>
      </c>
      <c r="AX1449" s="1615" t="s">
        <v>136</v>
      </c>
      <c r="AZ1449" s="338" t="s">
        <v>7909</v>
      </c>
    </row>
    <row r="1450">
      <c r="A1450" s="41">
        <v>1450.0</v>
      </c>
      <c r="B1450" s="59" t="s">
        <v>107</v>
      </c>
      <c r="C1450" s="59" t="s">
        <v>108</v>
      </c>
      <c r="D1450" s="59" t="s">
        <v>1451</v>
      </c>
      <c r="F1450" s="65" t="s">
        <v>8167</v>
      </c>
      <c r="G1450" s="54" t="s">
        <v>8168</v>
      </c>
      <c r="H1450" s="65"/>
      <c r="I1450" s="1616" t="s">
        <v>112</v>
      </c>
      <c r="J1450" s="1614">
        <v>45765.0</v>
      </c>
      <c r="K1450" s="65"/>
      <c r="L1450" s="148" t="s">
        <v>8173</v>
      </c>
      <c r="M1450" s="336" t="s">
        <v>8174</v>
      </c>
      <c r="N1450" s="156" t="s">
        <v>8130</v>
      </c>
      <c r="O1450" s="153">
        <v>3.0</v>
      </c>
      <c r="P1450" s="1573" t="s">
        <v>8131</v>
      </c>
      <c r="Q1450" s="49" t="str">
        <f t="array" ref="Q1450"> if(iserror(MATCH(V1450, 'File Links'!C:C, 0)), "N/A", HYPERLINK(INDEX('File Links'!B:B, MATCH(P1450, 'File Links'!C:C, 0))))</f>
        <v>https://drive.google.com/file/d/1acuUVGe9a1FY0NzYPbpq8pAnbZKrjA2v/view?usp=drivesdk</v>
      </c>
      <c r="R1450" s="156" t="s">
        <v>8170</v>
      </c>
      <c r="S1450" s="156" t="s">
        <v>8133</v>
      </c>
      <c r="T1450" s="65"/>
      <c r="U1450" s="153">
        <v>3.0</v>
      </c>
      <c r="V1450" s="379" t="s">
        <v>8175</v>
      </c>
      <c r="X1450" s="51" t="str">
        <f t="array" ref="X1450"> if(iserror(MATCH(V1450, 'File Links'!C:C, 0)), "N/A", HYPERLINK(INDEX('File Links'!B:B, MATCH(V1450, 'File Links'!C:C, 0))))</f>
        <v>https://drive.google.com/file/d/1-xurSGJuM3s6RBApJqwPJeMlgGlC3K_D/view?usp=drivesdk</v>
      </c>
      <c r="Y1450" s="156" t="s">
        <v>7540</v>
      </c>
      <c r="Z1450" s="65"/>
      <c r="AA1450" s="65"/>
      <c r="AB1450" s="65"/>
      <c r="AC1450" s="65"/>
      <c r="AD1450" s="65"/>
      <c r="AE1450" s="65"/>
      <c r="AF1450" s="65"/>
      <c r="AG1450" s="65"/>
      <c r="AH1450" s="1617"/>
      <c r="AI1450" s="1617"/>
      <c r="AJ1450" s="58"/>
      <c r="AK1450" s="65"/>
      <c r="AL1450" s="58"/>
      <c r="AM1450" s="65"/>
      <c r="AN1450" s="65"/>
      <c r="AO1450" s="65"/>
      <c r="AP1450" s="65"/>
      <c r="AQ1450" s="65"/>
      <c r="AR1450" s="65"/>
      <c r="AS1450" s="65"/>
      <c r="AT1450" s="65"/>
      <c r="AU1450" s="65"/>
      <c r="AV1450" s="65"/>
      <c r="AW1450" s="65"/>
      <c r="AX1450" s="65"/>
      <c r="AY1450" s="65"/>
      <c r="AZ1450" s="338" t="s">
        <v>7909</v>
      </c>
    </row>
    <row r="1451">
      <c r="A1451" s="41">
        <v>1451.0</v>
      </c>
      <c r="B1451" s="59" t="s">
        <v>583</v>
      </c>
      <c r="C1451" s="59" t="s">
        <v>108</v>
      </c>
      <c r="D1451" s="59" t="s">
        <v>2623</v>
      </c>
      <c r="F1451" s="65" t="s">
        <v>8176</v>
      </c>
      <c r="G1451" s="54" t="s">
        <v>8177</v>
      </c>
      <c r="H1451" s="156" t="s">
        <v>7383</v>
      </c>
      <c r="I1451" s="1542">
        <v>45292.0</v>
      </c>
      <c r="J1451" s="1614">
        <v>45765.0</v>
      </c>
      <c r="K1451" s="65"/>
      <c r="L1451" s="148" t="s">
        <v>8178</v>
      </c>
      <c r="M1451" s="148" t="s">
        <v>8179</v>
      </c>
      <c r="N1451" s="434" t="s">
        <v>8130</v>
      </c>
      <c r="O1451" s="153">
        <v>2.0</v>
      </c>
      <c r="P1451" s="1573" t="s">
        <v>8131</v>
      </c>
      <c r="Q1451" s="49" t="str">
        <f t="array" ref="Q1451"> if(iserror(MATCH(V1451, 'File Links'!C:C, 0)), "N/A", HYPERLINK(INDEX('File Links'!B:B, MATCH(P1451, 'File Links'!C:C, 0))))</f>
        <v>https://drive.google.com/file/d/1acuUVGe9a1FY0NzYPbpq8pAnbZKrjA2v/view?usp=drivesdk</v>
      </c>
      <c r="R1451" s="677" t="s">
        <v>8180</v>
      </c>
      <c r="S1451" s="1052" t="s">
        <v>8181</v>
      </c>
      <c r="T1451" s="65"/>
      <c r="U1451" s="1618">
        <v>1.0</v>
      </c>
      <c r="V1451" s="195" t="str">
        <f t="shared" ref="V1451:V1477" si="106"> hyperlink(vlookup(lower(S1451),#REF!, 2, FALSE), SUBSTITUTE(lower(S1451), "/", "--") &amp;  ".pdf")</f>
        <v>10.1037--arc0000007.pdf</v>
      </c>
      <c r="W1451" s="434" t="s">
        <v>157</v>
      </c>
      <c r="X1451" s="51" t="str">
        <f t="array" ref="X1451"> if(iserror(MATCH(V1451, 'File Links'!C:C, 0)), "N/A", HYPERLINK(INDEX('File Links'!B:B, MATCH(V1451, 'File Links'!C:C, 0))))</f>
        <v>https://drive.google.com/file/d/1gyeq5B_qi3Jnlf4Z_IsX5vLD1Nya92z0/view?usp=drivesdk</v>
      </c>
      <c r="Y1451" s="65"/>
      <c r="Z1451" s="434" t="s">
        <v>219</v>
      </c>
      <c r="AA1451" s="434" t="s">
        <v>8182</v>
      </c>
      <c r="AB1451" s="434" t="s">
        <v>8183</v>
      </c>
      <c r="AC1451" s="434" t="s">
        <v>8184</v>
      </c>
      <c r="AD1451" s="1586" t="s">
        <v>8185</v>
      </c>
      <c r="AE1451" s="1619">
        <v>1215.0</v>
      </c>
      <c r="AF1451" s="1619">
        <v>77.0</v>
      </c>
      <c r="AG1451" s="1619">
        <v>0.28</v>
      </c>
      <c r="AH1451" s="191" t="s">
        <v>353</v>
      </c>
      <c r="AI1451" s="381" t="s">
        <v>8186</v>
      </c>
      <c r="AJ1451" s="1620">
        <v>0.001</v>
      </c>
      <c r="AK1451" s="1586" t="s">
        <v>165</v>
      </c>
      <c r="AL1451" s="381" t="s">
        <v>129</v>
      </c>
      <c r="AM1451" s="1621" t="s">
        <v>130</v>
      </c>
      <c r="AN1451" s="368" t="s">
        <v>131</v>
      </c>
      <c r="AO1451" s="1619">
        <v>90.0</v>
      </c>
      <c r="AP1451" s="1619">
        <v>0.12</v>
      </c>
      <c r="AQ1451" s="1586" t="s">
        <v>166</v>
      </c>
      <c r="AR1451" s="1586" t="s">
        <v>8187</v>
      </c>
      <c r="AS1451" s="1619">
        <v>0.15</v>
      </c>
      <c r="AT1451" s="1586" t="s">
        <v>165</v>
      </c>
      <c r="AU1451" s="1586" t="s">
        <v>129</v>
      </c>
      <c r="AV1451" s="1621" t="s">
        <v>130</v>
      </c>
      <c r="AW1451" s="65"/>
      <c r="AX1451" s="829" t="s">
        <v>136</v>
      </c>
      <c r="AZ1451" s="338" t="s">
        <v>7909</v>
      </c>
      <c r="BA1451" s="89"/>
      <c r="BB1451" s="89"/>
    </row>
    <row r="1452">
      <c r="A1452" s="41">
        <v>1452.0</v>
      </c>
      <c r="B1452" s="59" t="s">
        <v>107</v>
      </c>
      <c r="C1452" s="59" t="s">
        <v>108</v>
      </c>
      <c r="D1452" s="59" t="s">
        <v>2623</v>
      </c>
      <c r="F1452" s="65" t="s">
        <v>8176</v>
      </c>
      <c r="G1452" s="54" t="s">
        <v>8177</v>
      </c>
      <c r="H1452" s="156" t="s">
        <v>7383</v>
      </c>
      <c r="I1452" s="1542">
        <v>45292.0</v>
      </c>
      <c r="J1452" s="1614">
        <v>45765.0</v>
      </c>
      <c r="K1452" s="65"/>
      <c r="L1452" s="148" t="s">
        <v>8188</v>
      </c>
      <c r="M1452" s="148" t="s">
        <v>8179</v>
      </c>
      <c r="N1452" s="434" t="s">
        <v>8130</v>
      </c>
      <c r="O1452" s="153">
        <v>2.0</v>
      </c>
      <c r="P1452" s="1573" t="s">
        <v>8131</v>
      </c>
      <c r="Q1452" s="49" t="str">
        <f t="array" ref="Q1452"> if(iserror(MATCH(V1452, 'File Links'!C:C, 0)), "N/A", HYPERLINK(INDEX('File Links'!B:B, MATCH(P1452, 'File Links'!C:C, 0))))</f>
        <v>https://drive.google.com/file/d/1acuUVGe9a1FY0NzYPbpq8pAnbZKrjA2v/view?usp=drivesdk</v>
      </c>
      <c r="R1452" s="677" t="s">
        <v>8189</v>
      </c>
      <c r="S1452" s="1052" t="s">
        <v>8181</v>
      </c>
      <c r="T1452" s="65"/>
      <c r="U1452" s="1618">
        <v>1.0</v>
      </c>
      <c r="V1452" s="195" t="str">
        <f t="shared" si="106"/>
        <v>10.1037--arc0000007.pdf</v>
      </c>
      <c r="W1452" s="434" t="s">
        <v>157</v>
      </c>
      <c r="X1452" s="51" t="str">
        <f t="array" ref="X1452"> if(iserror(MATCH(V1452, 'File Links'!C:C, 0)), "N/A", HYPERLINK(INDEX('File Links'!B:B, MATCH(V1452, 'File Links'!C:C, 0))))</f>
        <v>https://drive.google.com/file/d/1gyeq5B_qi3Jnlf4Z_IsX5vLD1Nya92z0/view?usp=drivesdk</v>
      </c>
      <c r="Y1452" s="65"/>
      <c r="Z1452" s="434" t="s">
        <v>219</v>
      </c>
      <c r="AA1452" s="434" t="s">
        <v>8182</v>
      </c>
      <c r="AB1452" s="434" t="s">
        <v>8183</v>
      </c>
      <c r="AC1452" s="434" t="s">
        <v>8184</v>
      </c>
      <c r="AD1452" s="1586" t="s">
        <v>8185</v>
      </c>
      <c r="AE1452" s="1619">
        <v>1215.0</v>
      </c>
      <c r="AF1452" s="1619">
        <v>77.0</v>
      </c>
      <c r="AG1452" s="1619">
        <v>0.28</v>
      </c>
      <c r="AH1452" s="191" t="s">
        <v>353</v>
      </c>
      <c r="AI1452" s="381" t="s">
        <v>8186</v>
      </c>
      <c r="AJ1452" s="1620">
        <v>0.001</v>
      </c>
      <c r="AK1452" s="1586" t="s">
        <v>165</v>
      </c>
      <c r="AL1452" s="381" t="s">
        <v>129</v>
      </c>
      <c r="AM1452" s="1621" t="s">
        <v>130</v>
      </c>
      <c r="AN1452" s="368" t="s">
        <v>131</v>
      </c>
      <c r="AO1452" s="1619">
        <v>96.0</v>
      </c>
      <c r="AP1452" s="1619">
        <v>0.09</v>
      </c>
      <c r="AQ1452" s="1586" t="s">
        <v>166</v>
      </c>
      <c r="AR1452" s="1586" t="s">
        <v>8190</v>
      </c>
      <c r="AS1452" s="1622">
        <v>0.2</v>
      </c>
      <c r="AT1452" s="1586" t="s">
        <v>165</v>
      </c>
      <c r="AU1452" s="1586" t="s">
        <v>129</v>
      </c>
      <c r="AV1452" s="1621" t="s">
        <v>130</v>
      </c>
      <c r="AW1452" s="65"/>
      <c r="AX1452" s="829" t="s">
        <v>136</v>
      </c>
      <c r="AZ1452" s="338" t="s">
        <v>7909</v>
      </c>
      <c r="BA1452" s="89"/>
      <c r="BB1452" s="89"/>
    </row>
    <row r="1453">
      <c r="A1453" s="41">
        <v>1453.0</v>
      </c>
      <c r="B1453" s="59" t="s">
        <v>107</v>
      </c>
      <c r="C1453" s="59" t="s">
        <v>108</v>
      </c>
      <c r="D1453" s="59" t="s">
        <v>2623</v>
      </c>
      <c r="F1453" s="65" t="s">
        <v>8176</v>
      </c>
      <c r="G1453" s="54" t="s">
        <v>8177</v>
      </c>
      <c r="H1453" s="156" t="s">
        <v>7383</v>
      </c>
      <c r="I1453" s="1542">
        <v>45292.0</v>
      </c>
      <c r="J1453" s="1614">
        <v>45765.0</v>
      </c>
      <c r="K1453" s="65"/>
      <c r="L1453" s="148" t="s">
        <v>8188</v>
      </c>
      <c r="M1453" s="148" t="s">
        <v>8179</v>
      </c>
      <c r="N1453" s="434" t="s">
        <v>8130</v>
      </c>
      <c r="O1453" s="153">
        <v>2.0</v>
      </c>
      <c r="P1453" s="1573" t="s">
        <v>8131</v>
      </c>
      <c r="Q1453" s="49" t="str">
        <f t="array" ref="Q1453"> if(iserror(MATCH(V1453, 'File Links'!C:C, 0)), "N/A", HYPERLINK(INDEX('File Links'!B:B, MATCH(P1453, 'File Links'!C:C, 0))))</f>
        <v>https://drive.google.com/file/d/1acuUVGe9a1FY0NzYPbpq8pAnbZKrjA2v/view?usp=drivesdk</v>
      </c>
      <c r="R1453" s="677" t="s">
        <v>8191</v>
      </c>
      <c r="S1453" s="1052" t="s">
        <v>8181</v>
      </c>
      <c r="T1453" s="65"/>
      <c r="U1453" s="1618">
        <v>1.0</v>
      </c>
      <c r="V1453" s="195" t="str">
        <f t="shared" si="106"/>
        <v>10.1037--arc0000007.pdf</v>
      </c>
      <c r="W1453" s="434" t="s">
        <v>157</v>
      </c>
      <c r="X1453" s="51" t="str">
        <f t="array" ref="X1453"> if(iserror(MATCH(V1453, 'File Links'!C:C, 0)), "N/A", HYPERLINK(INDEX('File Links'!B:B, MATCH(V1453, 'File Links'!C:C, 0))))</f>
        <v>https://drive.google.com/file/d/1gyeq5B_qi3Jnlf4Z_IsX5vLD1Nya92z0/view?usp=drivesdk</v>
      </c>
      <c r="Y1453" s="65"/>
      <c r="Z1453" s="434" t="s">
        <v>219</v>
      </c>
      <c r="AA1453" s="434" t="s">
        <v>8182</v>
      </c>
      <c r="AB1453" s="434" t="s">
        <v>8183</v>
      </c>
      <c r="AC1453" s="434" t="s">
        <v>8184</v>
      </c>
      <c r="AD1453" s="1586" t="s">
        <v>8185</v>
      </c>
      <c r="AE1453" s="1619">
        <v>1215.0</v>
      </c>
      <c r="AF1453" s="1619">
        <v>77.0</v>
      </c>
      <c r="AG1453" s="1619">
        <v>0.28</v>
      </c>
      <c r="AH1453" s="191" t="s">
        <v>353</v>
      </c>
      <c r="AI1453" s="381" t="s">
        <v>8186</v>
      </c>
      <c r="AJ1453" s="1620">
        <v>0.001</v>
      </c>
      <c r="AK1453" s="1586" t="s">
        <v>165</v>
      </c>
      <c r="AL1453" s="381" t="s">
        <v>129</v>
      </c>
      <c r="AM1453" s="1621" t="s">
        <v>130</v>
      </c>
      <c r="AN1453" s="368" t="s">
        <v>131</v>
      </c>
      <c r="AO1453" s="1619">
        <v>110.0</v>
      </c>
      <c r="AP1453" s="1622">
        <v>0.05</v>
      </c>
      <c r="AQ1453" s="1586" t="s">
        <v>166</v>
      </c>
      <c r="AR1453" s="1586" t="s">
        <v>8192</v>
      </c>
      <c r="AS1453" s="1622">
        <v>0.3</v>
      </c>
      <c r="AT1453" s="1586" t="s">
        <v>165</v>
      </c>
      <c r="AU1453" s="1586" t="s">
        <v>129</v>
      </c>
      <c r="AV1453" s="1621" t="s">
        <v>130</v>
      </c>
      <c r="AW1453" s="65"/>
      <c r="AX1453" s="829" t="s">
        <v>136</v>
      </c>
      <c r="AZ1453" s="338" t="s">
        <v>7909</v>
      </c>
      <c r="BA1453" s="89"/>
      <c r="BB1453" s="89"/>
    </row>
    <row r="1454">
      <c r="A1454" s="41">
        <v>1454.0</v>
      </c>
      <c r="B1454" s="59" t="s">
        <v>145</v>
      </c>
      <c r="C1454" s="1623" t="s">
        <v>108</v>
      </c>
      <c r="D1454" s="1623" t="s">
        <v>1451</v>
      </c>
      <c r="E1454" s="1120"/>
      <c r="F1454" s="1624" t="s">
        <v>8176</v>
      </c>
      <c r="G1454" s="1625" t="s">
        <v>8177</v>
      </c>
      <c r="H1454" s="1626" t="s">
        <v>1511</v>
      </c>
      <c r="I1454" s="1627" t="s">
        <v>112</v>
      </c>
      <c r="J1454" s="1614">
        <v>45765.0</v>
      </c>
      <c r="K1454" s="1626" t="s">
        <v>8193</v>
      </c>
      <c r="L1454" s="488" t="s">
        <v>8194</v>
      </c>
      <c r="M1454" s="1628" t="s">
        <v>8195</v>
      </c>
      <c r="N1454" s="1626" t="s">
        <v>8196</v>
      </c>
      <c r="O1454" s="493">
        <v>2.0</v>
      </c>
      <c r="P1454" s="1629" t="s">
        <v>8197</v>
      </c>
      <c r="Q1454" s="49" t="str">
        <f t="array" ref="Q1454"> if(iserror(MATCH(V1454, 'File Links'!C:C, 0)), "N/A", HYPERLINK(INDEX('File Links'!B:B, MATCH(P1454, 'File Links'!C:C, 0))))</f>
        <v>https://drive.google.com/file/d/1QDNRrzD1VCOwR4bsx3QJgYLm2e6VV-no/view?usp=drivesdk</v>
      </c>
      <c r="R1454" s="1630" t="s">
        <v>8198</v>
      </c>
      <c r="S1454" s="1626" t="s">
        <v>8181</v>
      </c>
      <c r="T1454" s="1624"/>
      <c r="U1454" s="1557">
        <v>1.0</v>
      </c>
      <c r="V1454" s="195" t="str">
        <f t="shared" si="106"/>
        <v>10.1037--arc0000007.pdf</v>
      </c>
      <c r="W1454" s="1625" t="s">
        <v>8199</v>
      </c>
      <c r="X1454" s="51" t="str">
        <f t="array" ref="X1454"> if(iserror(MATCH(V1454, 'File Links'!C:C, 0)), "N/A", HYPERLINK(INDEX('File Links'!B:B, MATCH(V1454, 'File Links'!C:C, 0))))</f>
        <v>https://drive.google.com/file/d/1gyeq5B_qi3Jnlf4Z_IsX5vLD1Nya92z0/view?usp=drivesdk</v>
      </c>
      <c r="Y1454" s="1624"/>
      <c r="Z1454" s="1626" t="s">
        <v>219</v>
      </c>
      <c r="AA1454" s="1626" t="s">
        <v>8200</v>
      </c>
      <c r="AB1454" s="1626" t="s">
        <v>8201</v>
      </c>
      <c r="AC1454" s="1626" t="s">
        <v>8202</v>
      </c>
      <c r="AD1454" s="488" t="s">
        <v>8203</v>
      </c>
      <c r="AE1454" s="1557">
        <v>4.0</v>
      </c>
      <c r="AF1454" s="1557">
        <v>75.0</v>
      </c>
      <c r="AG1454" s="1626" t="s">
        <v>8204</v>
      </c>
      <c r="AH1454" s="1631" t="s">
        <v>127</v>
      </c>
      <c r="AI1454" s="1625" t="s">
        <v>489</v>
      </c>
      <c r="AJ1454" s="1632">
        <v>0.04</v>
      </c>
      <c r="AK1454" s="1626" t="s">
        <v>165</v>
      </c>
      <c r="AL1454" s="1625" t="s">
        <v>179</v>
      </c>
      <c r="AM1454" s="1624" t="s">
        <v>130</v>
      </c>
      <c r="AN1454" s="368" t="s">
        <v>131</v>
      </c>
      <c r="AO1454" s="1557">
        <v>260.0</v>
      </c>
      <c r="AP1454" s="1633">
        <v>0.02</v>
      </c>
      <c r="AQ1454" s="1626" t="s">
        <v>166</v>
      </c>
      <c r="AR1454" s="1626" t="s">
        <v>489</v>
      </c>
      <c r="AS1454" s="1633">
        <v>0.995</v>
      </c>
      <c r="AT1454" s="1626" t="s">
        <v>165</v>
      </c>
      <c r="AU1454" s="1626" t="s">
        <v>179</v>
      </c>
      <c r="AV1454" s="1624" t="s">
        <v>130</v>
      </c>
      <c r="AW1454" s="1624"/>
      <c r="AX1454" s="1624" t="s">
        <v>136</v>
      </c>
      <c r="AY1454" s="1624"/>
      <c r="AZ1454" s="59" t="s">
        <v>7909</v>
      </c>
      <c r="BA1454" s="89"/>
      <c r="BB1454" s="89"/>
    </row>
    <row r="1455">
      <c r="A1455" s="41">
        <v>1455.0</v>
      </c>
      <c r="B1455" s="338" t="s">
        <v>145</v>
      </c>
      <c r="C1455" s="338" t="s">
        <v>108</v>
      </c>
      <c r="D1455" s="338" t="s">
        <v>2623</v>
      </c>
      <c r="E1455" s="339"/>
      <c r="F1455" s="500" t="s">
        <v>8205</v>
      </c>
      <c r="G1455" s="501" t="str">
        <f t="shared" ref="G1455:G1462" si="107">F1455&amp;"_"&amp;COUNTIF($B$3:F1455, F1455)</f>
        <v>curatescience599_1</v>
      </c>
      <c r="H1455" s="500" t="s">
        <v>7458</v>
      </c>
      <c r="I1455" s="502">
        <v>45675.0</v>
      </c>
      <c r="J1455" s="502">
        <v>45676.0</v>
      </c>
      <c r="K1455" s="43"/>
      <c r="L1455" s="53" t="s">
        <v>8206</v>
      </c>
      <c r="M1455" s="1438" t="s">
        <v>8207</v>
      </c>
      <c r="N1455" s="500" t="s">
        <v>8208</v>
      </c>
      <c r="O1455" s="53">
        <v>2.0</v>
      </c>
      <c r="P1455" s="1634" t="str">
        <f t="shared" ref="P1455:P1462" si="108"> SUBSTITUTE(lower(N1455), "/", "--") &amp;  ".pdf"</f>
        <v>10.1037--h0054651.pdf</v>
      </c>
      <c r="Q1455" s="49" t="str">
        <f t="array" ref="Q1455"> if(iserror(MATCH(V1455, 'File Links'!C:C, 0)), "N/A", HYPERLINK(INDEX('File Links'!B:B, MATCH(P1455, 'File Links'!C:C, 0))))</f>
        <v>https://drive.google.com/file/d/16SOoUfTCSMe7mtchsl8axpkAxtRIR28i/view?usp=drivesdk</v>
      </c>
      <c r="R1455" s="500" t="s">
        <v>8033</v>
      </c>
      <c r="S1455" s="500" t="s">
        <v>8034</v>
      </c>
      <c r="T1455" s="507" t="s">
        <v>8035</v>
      </c>
      <c r="U1455" s="500" t="s">
        <v>8209</v>
      </c>
      <c r="V1455" s="357" t="str">
        <f t="shared" si="106"/>
        <v>10.1016--j.jesp.2015.10.012.pdf</v>
      </c>
      <c r="W1455" s="500" t="s">
        <v>7466</v>
      </c>
      <c r="X1455" s="51" t="str">
        <f t="array" ref="X1455"> if(iserror(MATCH(V1455, 'File Links'!C:C, 0)), "N/A", HYPERLINK(INDEX('File Links'!B:B, MATCH(V1455, 'File Links'!C:C, 0))))</f>
        <v>https://drive.google.com/file/d/1xuc-fvipcLZQMaybgsFtBL29-3ClXZFF/view?usp=drivesdk</v>
      </c>
      <c r="Y1455" s="339"/>
      <c r="Z1455" s="500" t="s">
        <v>141</v>
      </c>
      <c r="AA1455" s="500" t="s">
        <v>8210</v>
      </c>
      <c r="AB1455" s="500" t="s">
        <v>8211</v>
      </c>
      <c r="AC1455" s="500" t="s">
        <v>8212</v>
      </c>
      <c r="AD1455" s="500" t="s">
        <v>8213</v>
      </c>
      <c r="AE1455" s="511" t="s">
        <v>8214</v>
      </c>
      <c r="AF1455" s="512">
        <v>100.0</v>
      </c>
      <c r="AG1455" s="1472">
        <v>4.35</v>
      </c>
      <c r="AH1455" s="500" t="s">
        <v>8215</v>
      </c>
      <c r="AI1455" s="511" t="s">
        <v>8216</v>
      </c>
      <c r="AJ1455" s="1473" t="s">
        <v>131</v>
      </c>
      <c r="AK1455" s="504" t="s">
        <v>131</v>
      </c>
      <c r="AL1455" s="504" t="s">
        <v>131</v>
      </c>
      <c r="AM1455" s="1472" t="s">
        <v>131</v>
      </c>
      <c r="AN1455" s="327" t="s">
        <v>131</v>
      </c>
      <c r="AO1455" s="1635">
        <v>3279.0</v>
      </c>
      <c r="AP1455" s="512">
        <v>0.88</v>
      </c>
      <c r="AQ1455" s="500" t="s">
        <v>166</v>
      </c>
      <c r="AR1455" s="500" t="s">
        <v>8217</v>
      </c>
      <c r="AS1455" s="1472">
        <v>0.001</v>
      </c>
      <c r="AT1455" s="500" t="s">
        <v>128</v>
      </c>
      <c r="AU1455" s="511" t="s">
        <v>179</v>
      </c>
      <c r="AV1455" s="1474" t="s">
        <v>130</v>
      </c>
      <c r="AW1455" s="1474" t="s">
        <v>7474</v>
      </c>
      <c r="AX1455" s="1474" t="s">
        <v>136</v>
      </c>
      <c r="AY1455" s="338" t="s">
        <v>8218</v>
      </c>
      <c r="AZ1455" s="338" t="s">
        <v>685</v>
      </c>
      <c r="BA1455" s="89"/>
      <c r="BB1455" s="89"/>
    </row>
    <row r="1456">
      <c r="A1456" s="41">
        <v>1456.0</v>
      </c>
      <c r="B1456" s="338" t="s">
        <v>107</v>
      </c>
      <c r="C1456" s="338" t="s">
        <v>108</v>
      </c>
      <c r="D1456" s="338" t="s">
        <v>1227</v>
      </c>
      <c r="E1456" s="339"/>
      <c r="F1456" s="357" t="s">
        <v>8205</v>
      </c>
      <c r="G1456" s="44" t="str">
        <f t="shared" si="107"/>
        <v>curatescience599_2</v>
      </c>
      <c r="H1456" s="357" t="s">
        <v>6921</v>
      </c>
      <c r="I1456" s="341">
        <v>45901.0</v>
      </c>
      <c r="J1456" s="341">
        <v>45901.0</v>
      </c>
      <c r="K1456" s="43"/>
      <c r="L1456" s="53" t="s">
        <v>8219</v>
      </c>
      <c r="M1456" s="1442" t="s">
        <v>8207</v>
      </c>
      <c r="N1456" s="357" t="s">
        <v>8208</v>
      </c>
      <c r="O1456" s="354">
        <v>1.0</v>
      </c>
      <c r="P1456" s="514" t="str">
        <f t="shared" si="108"/>
        <v>10.1037--h0054651.pdf</v>
      </c>
      <c r="Q1456" s="49" t="str">
        <f t="array" ref="Q1456"> if(iserror(MATCH(V1456, 'File Links'!C:C, 0)), "N/A", HYPERLINK(INDEX('File Links'!B:B, MATCH(P1456, 'File Links'!C:C, 0))))</f>
        <v>https://drive.google.com/file/d/16SOoUfTCSMe7mtchsl8axpkAxtRIR28i/view?usp=drivesdk</v>
      </c>
      <c r="R1456" s="500" t="s">
        <v>8033</v>
      </c>
      <c r="S1456" s="500" t="s">
        <v>8034</v>
      </c>
      <c r="T1456" s="507" t="s">
        <v>8035</v>
      </c>
      <c r="U1456" s="43"/>
      <c r="V1456" s="357" t="str">
        <f t="shared" si="106"/>
        <v>10.1016--j.jesp.2015.10.012.pdf</v>
      </c>
      <c r="W1456" s="43"/>
      <c r="X1456" s="51" t="str">
        <f t="array" ref="X1456"> if(iserror(MATCH(V1456, 'File Links'!C:C, 0)), "N/A", HYPERLINK(INDEX('File Links'!B:B, MATCH(V1456, 'File Links'!C:C, 0))))</f>
        <v>https://drive.google.com/file/d/1xuc-fvipcLZQMaybgsFtBL29-3ClXZFF/view?usp=drivesdk</v>
      </c>
      <c r="Y1456" s="339"/>
      <c r="Z1456" s="357" t="s">
        <v>141</v>
      </c>
      <c r="AA1456" s="357" t="s">
        <v>6210</v>
      </c>
      <c r="AB1456" s="43"/>
      <c r="AC1456" s="43"/>
      <c r="AD1456" s="357" t="s">
        <v>8220</v>
      </c>
      <c r="AE1456" s="354">
        <v>649.0</v>
      </c>
      <c r="AF1456" s="354">
        <v>70.0</v>
      </c>
      <c r="AG1456" s="354">
        <v>2.04</v>
      </c>
      <c r="AH1456" s="357" t="s">
        <v>166</v>
      </c>
      <c r="AI1456" s="43"/>
      <c r="AJ1456" s="102"/>
      <c r="AK1456" s="46"/>
      <c r="AL1456" s="46"/>
      <c r="AM1456" s="43"/>
      <c r="AN1456" s="327" t="s">
        <v>131</v>
      </c>
      <c r="AO1456" s="354">
        <v>3337.0</v>
      </c>
      <c r="AP1456" s="354">
        <v>0.88</v>
      </c>
      <c r="AQ1456" s="357" t="s">
        <v>166</v>
      </c>
      <c r="AR1456" s="43"/>
      <c r="AS1456" s="354">
        <v>0.001</v>
      </c>
      <c r="AT1456" s="357" t="s">
        <v>128</v>
      </c>
      <c r="AU1456" s="357" t="s">
        <v>179</v>
      </c>
      <c r="AV1456" s="43" t="s">
        <v>134</v>
      </c>
      <c r="AW1456" s="43"/>
      <c r="AX1456" s="43" t="s">
        <v>136</v>
      </c>
      <c r="AY1456" s="339"/>
      <c r="AZ1456" s="338" t="s">
        <v>685</v>
      </c>
      <c r="BA1456" s="89"/>
      <c r="BB1456" s="89"/>
    </row>
    <row r="1457">
      <c r="A1457" s="41">
        <v>1457.0</v>
      </c>
      <c r="B1457" s="338" t="s">
        <v>107</v>
      </c>
      <c r="C1457" s="338" t="s">
        <v>108</v>
      </c>
      <c r="D1457" s="338" t="s">
        <v>2623</v>
      </c>
      <c r="E1457" s="339"/>
      <c r="F1457" s="500" t="s">
        <v>8221</v>
      </c>
      <c r="G1457" s="501" t="str">
        <f t="shared" si="107"/>
        <v>curatescience600_1</v>
      </c>
      <c r="H1457" s="500" t="s">
        <v>7458</v>
      </c>
      <c r="I1457" s="502">
        <v>45675.0</v>
      </c>
      <c r="J1457" s="502">
        <v>45676.0</v>
      </c>
      <c r="K1457" s="43"/>
      <c r="L1457" s="53" t="s">
        <v>8222</v>
      </c>
      <c r="M1457" s="1438" t="s">
        <v>8223</v>
      </c>
      <c r="N1457" s="500" t="s">
        <v>8224</v>
      </c>
      <c r="O1457" s="354"/>
      <c r="P1457" s="1634" t="str">
        <f t="shared" si="108"/>
        <v>10.1016--s0010-0277(99)00073-6.pdf</v>
      </c>
      <c r="Q1457" s="49" t="str">
        <f t="array" ref="Q1457"> if(iserror(MATCH(V1457, 'File Links'!C:C, 0)), "N/A", HYPERLINK(INDEX('File Links'!B:B, MATCH(P1457, 'File Links'!C:C, 0))))</f>
        <v>https://drive.google.com/file/d/1-SOOgACp6dnzzYdlh2PFI-ANnAwmf5c6/view?usp=drivesdk</v>
      </c>
      <c r="R1457" s="500" t="s">
        <v>8033</v>
      </c>
      <c r="S1457" s="500" t="s">
        <v>8034</v>
      </c>
      <c r="T1457" s="507" t="s">
        <v>8035</v>
      </c>
      <c r="U1457" s="500" t="s">
        <v>8225</v>
      </c>
      <c r="V1457" s="357" t="str">
        <f t="shared" si="106"/>
        <v>10.1016--j.jesp.2015.10.012.pdf</v>
      </c>
      <c r="W1457" s="500" t="s">
        <v>7466</v>
      </c>
      <c r="X1457" s="51" t="str">
        <f t="array" ref="X1457"> if(iserror(MATCH(V1457, 'File Links'!C:C, 0)), "N/A", HYPERLINK(INDEX('File Links'!B:B, MATCH(V1457, 'File Links'!C:C, 0))))</f>
        <v>https://drive.google.com/file/d/1xuc-fvipcLZQMaybgsFtBL29-3ClXZFF/view?usp=drivesdk</v>
      </c>
      <c r="Y1457" s="339"/>
      <c r="Z1457" s="500" t="s">
        <v>141</v>
      </c>
      <c r="AA1457" s="500" t="s">
        <v>8226</v>
      </c>
      <c r="AB1457" s="500" t="s">
        <v>8227</v>
      </c>
      <c r="AC1457" s="500" t="s">
        <v>8228</v>
      </c>
      <c r="AD1457" s="500" t="s">
        <v>8229</v>
      </c>
      <c r="AE1457" s="500" t="s">
        <v>8230</v>
      </c>
      <c r="AF1457" s="1472">
        <v>98.0</v>
      </c>
      <c r="AG1457" s="500" t="s">
        <v>8231</v>
      </c>
      <c r="AH1457" s="164" t="s">
        <v>131</v>
      </c>
      <c r="AI1457" s="500" t="s">
        <v>8232</v>
      </c>
      <c r="AJ1457" s="1473">
        <v>0.05</v>
      </c>
      <c r="AK1457" s="501" t="s">
        <v>128</v>
      </c>
      <c r="AL1457" s="501" t="s">
        <v>129</v>
      </c>
      <c r="AM1457" s="1474" t="s">
        <v>130</v>
      </c>
      <c r="AN1457" s="327" t="s">
        <v>131</v>
      </c>
      <c r="AO1457" s="1475">
        <v>1200.0</v>
      </c>
      <c r="AP1457" s="1472">
        <v>0.12</v>
      </c>
      <c r="AQ1457" s="500" t="s">
        <v>166</v>
      </c>
      <c r="AR1457" s="500" t="s">
        <v>8233</v>
      </c>
      <c r="AS1457" s="1472">
        <v>0.03</v>
      </c>
      <c r="AT1457" s="500" t="s">
        <v>128</v>
      </c>
      <c r="AU1457" s="500" t="s">
        <v>129</v>
      </c>
      <c r="AV1457" s="1474" t="s">
        <v>130</v>
      </c>
      <c r="AW1457" s="1474" t="s">
        <v>7474</v>
      </c>
      <c r="AX1457" s="1474" t="s">
        <v>136</v>
      </c>
      <c r="AY1457" s="338" t="s">
        <v>8234</v>
      </c>
      <c r="AZ1457" s="338" t="s">
        <v>685</v>
      </c>
      <c r="BA1457" s="89"/>
      <c r="BB1457" s="89"/>
    </row>
    <row r="1458">
      <c r="A1458" s="41">
        <v>1458.0</v>
      </c>
      <c r="B1458" s="338" t="s">
        <v>145</v>
      </c>
      <c r="C1458" s="338" t="s">
        <v>108</v>
      </c>
      <c r="D1458" s="338" t="s">
        <v>1227</v>
      </c>
      <c r="E1458" s="339"/>
      <c r="F1458" s="357" t="s">
        <v>8221</v>
      </c>
      <c r="G1458" s="44" t="str">
        <f t="shared" si="107"/>
        <v>curatescience600_2</v>
      </c>
      <c r="H1458" s="357" t="s">
        <v>6921</v>
      </c>
      <c r="I1458" s="341">
        <v>45901.0</v>
      </c>
      <c r="J1458" s="341">
        <v>45901.0</v>
      </c>
      <c r="K1458" s="43"/>
      <c r="L1458" s="53" t="s">
        <v>8235</v>
      </c>
      <c r="M1458" s="1442" t="s">
        <v>8223</v>
      </c>
      <c r="N1458" s="357" t="s">
        <v>8224</v>
      </c>
      <c r="O1458" s="354">
        <v>1.0</v>
      </c>
      <c r="P1458" s="514" t="str">
        <f t="shared" si="108"/>
        <v>10.1016--s0010-0277(99)00073-6.pdf</v>
      </c>
      <c r="Q1458" s="49" t="str">
        <f t="array" ref="Q1458"> if(iserror(MATCH(V1458, 'File Links'!C:C, 0)), "N/A", HYPERLINK(INDEX('File Links'!B:B, MATCH(P1458, 'File Links'!C:C, 0))))</f>
        <v>https://drive.google.com/file/d/1-SOOgACp6dnzzYdlh2PFI-ANnAwmf5c6/view?usp=drivesdk</v>
      </c>
      <c r="R1458" s="500" t="s">
        <v>8033</v>
      </c>
      <c r="S1458" s="500" t="s">
        <v>8034</v>
      </c>
      <c r="T1458" s="507" t="s">
        <v>8035</v>
      </c>
      <c r="U1458" s="53">
        <v>2.0</v>
      </c>
      <c r="V1458" s="357" t="str">
        <f t="shared" si="106"/>
        <v>10.1016--j.jesp.2015.10.012.pdf</v>
      </c>
      <c r="W1458" s="53" t="s">
        <v>8236</v>
      </c>
      <c r="X1458" s="51" t="str">
        <f t="array" ref="X1458"> if(iserror(MATCH(V1458, 'File Links'!C:C, 0)), "N/A", HYPERLINK(INDEX('File Links'!B:B, MATCH(V1458, 'File Links'!C:C, 0))))</f>
        <v>https://drive.google.com/file/d/1xuc-fvipcLZQMaybgsFtBL29-3ClXZFF/view?usp=drivesdk</v>
      </c>
      <c r="Y1458" s="339"/>
      <c r="Z1458" s="357" t="s">
        <v>141</v>
      </c>
      <c r="AA1458" s="357" t="s">
        <v>8237</v>
      </c>
      <c r="AB1458" s="500" t="s">
        <v>8227</v>
      </c>
      <c r="AC1458" s="500" t="s">
        <v>8228</v>
      </c>
      <c r="AD1458" s="1636" t="s">
        <v>8238</v>
      </c>
      <c r="AE1458" s="354">
        <v>9.0</v>
      </c>
      <c r="AF1458" s="354">
        <v>56.0</v>
      </c>
      <c r="AG1458" s="354">
        <v>0.63</v>
      </c>
      <c r="AH1458" s="357" t="s">
        <v>166</v>
      </c>
      <c r="AI1458" s="53" t="s">
        <v>8239</v>
      </c>
      <c r="AJ1458" s="383">
        <v>0.05</v>
      </c>
      <c r="AK1458" s="44" t="s">
        <v>128</v>
      </c>
      <c r="AL1458" s="53" t="s">
        <v>179</v>
      </c>
      <c r="AM1458" s="43" t="s">
        <v>130</v>
      </c>
      <c r="AN1458" s="327" t="s">
        <v>131</v>
      </c>
      <c r="AO1458" s="354">
        <v>1335.0</v>
      </c>
      <c r="AP1458" s="354">
        <v>0.26</v>
      </c>
      <c r="AQ1458" s="357" t="s">
        <v>166</v>
      </c>
      <c r="AR1458" s="53" t="s">
        <v>8240</v>
      </c>
      <c r="AS1458" s="354">
        <v>0.001</v>
      </c>
      <c r="AT1458" s="357" t="s">
        <v>128</v>
      </c>
      <c r="AU1458" s="53" t="s">
        <v>179</v>
      </c>
      <c r="AV1458" s="43" t="s">
        <v>130</v>
      </c>
      <c r="AW1458" s="1637" t="s">
        <v>8035</v>
      </c>
      <c r="AX1458" s="43" t="s">
        <v>136</v>
      </c>
      <c r="AY1458" s="338" t="s">
        <v>8241</v>
      </c>
      <c r="AZ1458" s="338" t="s">
        <v>685</v>
      </c>
    </row>
    <row r="1459">
      <c r="A1459" s="41">
        <v>1459.0</v>
      </c>
      <c r="B1459" s="338" t="s">
        <v>107</v>
      </c>
      <c r="C1459" s="338" t="s">
        <v>108</v>
      </c>
      <c r="D1459" s="338" t="s">
        <v>2623</v>
      </c>
      <c r="E1459" s="339"/>
      <c r="F1459" s="500" t="s">
        <v>8242</v>
      </c>
      <c r="G1459" s="501" t="str">
        <f t="shared" si="107"/>
        <v>curatescience620_1</v>
      </c>
      <c r="H1459" s="500" t="s">
        <v>7458</v>
      </c>
      <c r="I1459" s="502">
        <v>45675.0</v>
      </c>
      <c r="J1459" s="502">
        <v>45676.0</v>
      </c>
      <c r="K1459" s="43"/>
      <c r="L1459" s="43"/>
      <c r="M1459" s="1438" t="s">
        <v>8243</v>
      </c>
      <c r="N1459" s="500" t="s">
        <v>8244</v>
      </c>
      <c r="O1459" s="53">
        <v>3.0</v>
      </c>
      <c r="P1459" s="1634" t="str">
        <f t="shared" si="108"/>
        <v>10.1016--0010-0285(73)90033-9.pdf</v>
      </c>
      <c r="Q1459" s="49" t="str">
        <f t="array" ref="Q1459"> if(iserror(MATCH(V1459, 'File Links'!C:C, 0)), "N/A", HYPERLINK(INDEX('File Links'!B:B, MATCH(P1459, 'File Links'!C:C, 0))))</f>
        <v>https://drive.google.com/file/d/1p9X3tD24EWbnOA_5MSM9HTgujzLisIGn/view?usp=drivesdk</v>
      </c>
      <c r="R1459" s="500" t="s">
        <v>8033</v>
      </c>
      <c r="S1459" s="500" t="s">
        <v>8034</v>
      </c>
      <c r="T1459" s="507" t="s">
        <v>8035</v>
      </c>
      <c r="U1459" s="500" t="s">
        <v>8245</v>
      </c>
      <c r="V1459" s="357" t="str">
        <f t="shared" si="106"/>
        <v>10.1016--j.jesp.2015.10.012.pdf</v>
      </c>
      <c r="W1459" s="500" t="s">
        <v>7466</v>
      </c>
      <c r="X1459" s="51" t="str">
        <f t="array" ref="X1459"> if(iserror(MATCH(V1459, 'File Links'!C:C, 0)), "N/A", HYPERLINK(INDEX('File Links'!B:B, MATCH(V1459, 'File Links'!C:C, 0))))</f>
        <v>https://drive.google.com/file/d/1xuc-fvipcLZQMaybgsFtBL29-3ClXZFF/view?usp=drivesdk</v>
      </c>
      <c r="Y1459" s="339"/>
      <c r="Z1459" s="500" t="s">
        <v>141</v>
      </c>
      <c r="AA1459" s="500" t="s">
        <v>8246</v>
      </c>
      <c r="AB1459" s="500" t="s">
        <v>8247</v>
      </c>
      <c r="AC1459" s="500" t="s">
        <v>8248</v>
      </c>
      <c r="AD1459" s="500" t="s">
        <v>8249</v>
      </c>
      <c r="AE1459" s="500" t="s">
        <v>8250</v>
      </c>
      <c r="AF1459" s="1472">
        <v>152.0</v>
      </c>
      <c r="AG1459" s="1472">
        <v>0.82</v>
      </c>
      <c r="AH1459" s="511" t="s">
        <v>166</v>
      </c>
      <c r="AI1459" s="500" t="s">
        <v>8251</v>
      </c>
      <c r="AJ1459" s="1473">
        <v>0.001</v>
      </c>
      <c r="AK1459" s="501" t="s">
        <v>128</v>
      </c>
      <c r="AL1459" s="501" t="s">
        <v>129</v>
      </c>
      <c r="AM1459" s="1474" t="s">
        <v>130</v>
      </c>
      <c r="AN1459" s="327" t="s">
        <v>131</v>
      </c>
      <c r="AO1459" s="1475">
        <v>1450.0</v>
      </c>
      <c r="AP1459" s="1472">
        <v>0.78</v>
      </c>
      <c r="AQ1459" s="500" t="s">
        <v>166</v>
      </c>
      <c r="AR1459" s="500" t="s">
        <v>8252</v>
      </c>
      <c r="AS1459" s="1472">
        <v>0.001</v>
      </c>
      <c r="AT1459" s="500" t="s">
        <v>128</v>
      </c>
      <c r="AU1459" s="500" t="s">
        <v>129</v>
      </c>
      <c r="AV1459" s="1474" t="s">
        <v>130</v>
      </c>
      <c r="AW1459" s="1474" t="s">
        <v>7474</v>
      </c>
      <c r="AX1459" s="1474" t="s">
        <v>136</v>
      </c>
      <c r="AY1459" s="338" t="s">
        <v>8253</v>
      </c>
      <c r="AZ1459" s="338" t="s">
        <v>685</v>
      </c>
    </row>
    <row r="1460">
      <c r="A1460" s="41">
        <v>1460.0</v>
      </c>
      <c r="B1460" s="338" t="s">
        <v>145</v>
      </c>
      <c r="C1460" s="338" t="s">
        <v>108</v>
      </c>
      <c r="D1460" s="338" t="s">
        <v>1227</v>
      </c>
      <c r="E1460" s="339"/>
      <c r="F1460" s="357" t="s">
        <v>8242</v>
      </c>
      <c r="G1460" s="44" t="str">
        <f t="shared" si="107"/>
        <v>curatescience620_2</v>
      </c>
      <c r="H1460" s="357" t="s">
        <v>6921</v>
      </c>
      <c r="I1460" s="341">
        <v>45901.0</v>
      </c>
      <c r="J1460" s="341">
        <v>45901.0</v>
      </c>
      <c r="K1460" s="43"/>
      <c r="L1460" s="53" t="s">
        <v>8254</v>
      </c>
      <c r="M1460" s="1438" t="s">
        <v>8243</v>
      </c>
      <c r="N1460" s="357" t="s">
        <v>8244</v>
      </c>
      <c r="O1460" s="354">
        <v>3.0</v>
      </c>
      <c r="P1460" s="514" t="str">
        <f t="shared" si="108"/>
        <v>10.1016--0010-0285(73)90033-9.pdf</v>
      </c>
      <c r="Q1460" s="49" t="str">
        <f t="array" ref="Q1460"> if(iserror(MATCH(V1460, 'File Links'!C:C, 0)), "N/A", HYPERLINK(INDEX('File Links'!B:B, MATCH(P1460, 'File Links'!C:C, 0))))</f>
        <v>https://drive.google.com/file/d/1p9X3tD24EWbnOA_5MSM9HTgujzLisIGn/view?usp=drivesdk</v>
      </c>
      <c r="R1460" s="500" t="s">
        <v>8033</v>
      </c>
      <c r="S1460" s="500" t="s">
        <v>8034</v>
      </c>
      <c r="T1460" s="507" t="s">
        <v>8035</v>
      </c>
      <c r="U1460" s="53">
        <v>4.3</v>
      </c>
      <c r="V1460" s="357" t="str">
        <f t="shared" si="106"/>
        <v>10.1016--j.jesp.2015.10.012.pdf</v>
      </c>
      <c r="W1460" s="53" t="s">
        <v>8236</v>
      </c>
      <c r="X1460" s="51" t="str">
        <f t="array" ref="X1460"> if(iserror(MATCH(V1460, 'File Links'!C:C, 0)), "N/A", HYPERLINK(INDEX('File Links'!B:B, MATCH(V1460, 'File Links'!C:C, 0))))</f>
        <v>https://drive.google.com/file/d/1xuc-fvipcLZQMaybgsFtBL29-3ClXZFF/view?usp=drivesdk</v>
      </c>
      <c r="Y1460" s="339"/>
      <c r="Z1460" s="357" t="s">
        <v>203</v>
      </c>
      <c r="AA1460" s="357" t="s">
        <v>8255</v>
      </c>
      <c r="AB1460" s="500" t="s">
        <v>8247</v>
      </c>
      <c r="AC1460" s="500" t="s">
        <v>8248</v>
      </c>
      <c r="AD1460" s="357" t="s">
        <v>8256</v>
      </c>
      <c r="AE1460" s="354">
        <v>212.0</v>
      </c>
      <c r="AF1460" s="354">
        <v>152.0</v>
      </c>
      <c r="AG1460" s="354">
        <v>0.82</v>
      </c>
      <c r="AH1460" s="357" t="s">
        <v>166</v>
      </c>
      <c r="AI1460" s="53" t="s">
        <v>8257</v>
      </c>
      <c r="AJ1460" s="383">
        <v>0.001</v>
      </c>
      <c r="AK1460" s="44" t="s">
        <v>128</v>
      </c>
      <c r="AL1460" s="44" t="s">
        <v>211</v>
      </c>
      <c r="AM1460" s="43" t="s">
        <v>130</v>
      </c>
      <c r="AN1460" s="327" t="s">
        <v>131</v>
      </c>
      <c r="AO1460" s="354">
        <v>3088.0</v>
      </c>
      <c r="AP1460" s="354">
        <v>0.09</v>
      </c>
      <c r="AQ1460" s="357" t="s">
        <v>166</v>
      </c>
      <c r="AR1460" s="53" t="s">
        <v>8258</v>
      </c>
      <c r="AS1460" s="354">
        <v>0.015</v>
      </c>
      <c r="AT1460" s="357" t="s">
        <v>165</v>
      </c>
      <c r="AU1460" s="53" t="s">
        <v>179</v>
      </c>
      <c r="AV1460" s="53" t="s">
        <v>130</v>
      </c>
      <c r="AW1460" s="1637" t="s">
        <v>8035</v>
      </c>
      <c r="AX1460" s="43" t="s">
        <v>136</v>
      </c>
      <c r="AY1460" s="338" t="s">
        <v>8259</v>
      </c>
      <c r="AZ1460" s="338" t="s">
        <v>685</v>
      </c>
    </row>
    <row r="1461">
      <c r="A1461" s="41">
        <v>1461.0</v>
      </c>
      <c r="B1461" s="338" t="s">
        <v>107</v>
      </c>
      <c r="C1461" s="338" t="s">
        <v>108</v>
      </c>
      <c r="D1461" s="338" t="s">
        <v>2623</v>
      </c>
      <c r="E1461" s="339"/>
      <c r="F1461" s="500" t="s">
        <v>8260</v>
      </c>
      <c r="G1461" s="501" t="str">
        <f t="shared" si="107"/>
        <v>curatescience641_1</v>
      </c>
      <c r="H1461" s="500" t="s">
        <v>7458</v>
      </c>
      <c r="I1461" s="502">
        <v>45675.0</v>
      </c>
      <c r="J1461" s="502">
        <v>45676.0</v>
      </c>
      <c r="K1461" s="43"/>
      <c r="L1461" s="43"/>
      <c r="M1461" s="1438" t="s">
        <v>8261</v>
      </c>
      <c r="N1461" s="500" t="s">
        <v>8262</v>
      </c>
      <c r="O1461" s="53" t="s">
        <v>3573</v>
      </c>
      <c r="P1461" s="1634" t="str">
        <f t="shared" si="108"/>
        <v>10.1111--j.1467-9280.2006.01824.x.pdf</v>
      </c>
      <c r="Q1461" s="49" t="str">
        <f t="array" ref="Q1461"> if(iserror(MATCH(V1461, 'File Links'!C:C, 0)), "N/A", HYPERLINK(INDEX('File Links'!B:B, MATCH(P1461, 'File Links'!C:C, 0))))</f>
        <v>https://drive.google.com/file/d/14h-UnLvc59XK91wSbRiIAUMtz5chtiz5/view?usp=drivesdk</v>
      </c>
      <c r="R1461" s="500" t="s">
        <v>8033</v>
      </c>
      <c r="S1461" s="500" t="s">
        <v>8034</v>
      </c>
      <c r="T1461" s="507" t="s">
        <v>8035</v>
      </c>
      <c r="U1461" s="500" t="s">
        <v>8263</v>
      </c>
      <c r="V1461" s="357" t="str">
        <f t="shared" si="106"/>
        <v>10.1016--j.jesp.2015.10.012.pdf</v>
      </c>
      <c r="W1461" s="500" t="s">
        <v>7466</v>
      </c>
      <c r="X1461" s="51" t="str">
        <f t="array" ref="X1461"> if(iserror(MATCH(V1461, 'File Links'!C:C, 0)), "N/A", HYPERLINK(INDEX('File Links'!B:B, MATCH(V1461, 'File Links'!C:C, 0))))</f>
        <v>https://drive.google.com/file/d/1xuc-fvipcLZQMaybgsFtBL29-3ClXZFF/view?usp=drivesdk</v>
      </c>
      <c r="Y1461" s="339"/>
      <c r="Z1461" s="500" t="s">
        <v>219</v>
      </c>
      <c r="AA1461" s="500" t="s">
        <v>8264</v>
      </c>
      <c r="AB1461" s="500" t="s">
        <v>8265</v>
      </c>
      <c r="AC1461" s="500" t="s">
        <v>8266</v>
      </c>
      <c r="AD1461" s="500" t="s">
        <v>8267</v>
      </c>
      <c r="AE1461" s="500" t="s">
        <v>8268</v>
      </c>
      <c r="AF1461" s="1472">
        <v>42.0</v>
      </c>
      <c r="AG1461" s="1472">
        <v>0.77</v>
      </c>
      <c r="AH1461" s="511" t="s">
        <v>166</v>
      </c>
      <c r="AI1461" s="500" t="s">
        <v>8269</v>
      </c>
      <c r="AJ1461" s="1473">
        <v>0.02</v>
      </c>
      <c r="AK1461" s="501" t="s">
        <v>165</v>
      </c>
      <c r="AL1461" s="501" t="s">
        <v>129</v>
      </c>
      <c r="AM1461" s="1474" t="s">
        <v>130</v>
      </c>
      <c r="AN1461" s="327" t="s">
        <v>131</v>
      </c>
      <c r="AO1461" s="1475">
        <v>1200.0</v>
      </c>
      <c r="AP1461" s="1472">
        <v>0.18</v>
      </c>
      <c r="AQ1461" s="500" t="s">
        <v>166</v>
      </c>
      <c r="AR1461" s="500" t="s">
        <v>8270</v>
      </c>
      <c r="AS1461" s="1472">
        <v>0.04</v>
      </c>
      <c r="AT1461" s="500" t="s">
        <v>128</v>
      </c>
      <c r="AU1461" s="500" t="s">
        <v>129</v>
      </c>
      <c r="AV1461" s="1474" t="s">
        <v>130</v>
      </c>
      <c r="AW1461" s="1474" t="s">
        <v>7474</v>
      </c>
      <c r="AX1461" s="1474" t="s">
        <v>136</v>
      </c>
      <c r="AY1461" s="339"/>
      <c r="AZ1461" s="338" t="s">
        <v>685</v>
      </c>
    </row>
    <row r="1462">
      <c r="A1462" s="41">
        <v>1462.0</v>
      </c>
      <c r="B1462" s="338" t="s">
        <v>145</v>
      </c>
      <c r="C1462" s="338" t="s">
        <v>108</v>
      </c>
      <c r="D1462" s="338" t="s">
        <v>1227</v>
      </c>
      <c r="E1462" s="339"/>
      <c r="F1462" s="357" t="s">
        <v>8260</v>
      </c>
      <c r="G1462" s="44" t="str">
        <f t="shared" si="107"/>
        <v>curatescience641_2</v>
      </c>
      <c r="H1462" s="357" t="s">
        <v>6921</v>
      </c>
      <c r="I1462" s="341">
        <v>45901.0</v>
      </c>
      <c r="J1462" s="341">
        <v>45901.0</v>
      </c>
      <c r="K1462" s="43"/>
      <c r="L1462" s="53" t="s">
        <v>8271</v>
      </c>
      <c r="M1462" s="1438" t="s">
        <v>8261</v>
      </c>
      <c r="N1462" s="357" t="s">
        <v>8262</v>
      </c>
      <c r="O1462" s="340" t="s">
        <v>3573</v>
      </c>
      <c r="P1462" s="514" t="str">
        <f t="shared" si="108"/>
        <v>10.1111--j.1467-9280.2006.01824.x.pdf</v>
      </c>
      <c r="Q1462" s="49" t="str">
        <f t="array" ref="Q1462"> if(iserror(MATCH(V1462, 'File Links'!C:C, 0)), "N/A", HYPERLINK(INDEX('File Links'!B:B, MATCH(P1462, 'File Links'!C:C, 0))))</f>
        <v>https://drive.google.com/file/d/14h-UnLvc59XK91wSbRiIAUMtz5chtiz5/view?usp=drivesdk</v>
      </c>
      <c r="R1462" s="500" t="s">
        <v>8033</v>
      </c>
      <c r="S1462" s="500" t="s">
        <v>8034</v>
      </c>
      <c r="T1462" s="507" t="s">
        <v>8035</v>
      </c>
      <c r="U1462" s="53">
        <v>1.0</v>
      </c>
      <c r="V1462" s="357" t="str">
        <f t="shared" si="106"/>
        <v>10.1016--j.jesp.2015.10.012.pdf</v>
      </c>
      <c r="W1462" s="53" t="s">
        <v>8272</v>
      </c>
      <c r="X1462" s="51" t="str">
        <f t="array" ref="X1462"> if(iserror(MATCH(V1462, 'File Links'!C:C, 0)), "N/A", HYPERLINK(INDEX('File Links'!B:B, MATCH(V1462, 'File Links'!C:C, 0))))</f>
        <v>https://drive.google.com/file/d/1xuc-fvipcLZQMaybgsFtBL29-3ClXZFF/view?usp=drivesdk</v>
      </c>
      <c r="Y1462" s="43"/>
      <c r="Z1462" s="357" t="s">
        <v>288</v>
      </c>
      <c r="AA1462" s="500" t="s">
        <v>8264</v>
      </c>
      <c r="AB1462" s="500" t="s">
        <v>8265</v>
      </c>
      <c r="AC1462" s="500" t="s">
        <v>8266</v>
      </c>
      <c r="AD1462" s="357" t="s">
        <v>8273</v>
      </c>
      <c r="AE1462" s="354">
        <v>1071.0</v>
      </c>
      <c r="AF1462" s="354">
        <v>42.0</v>
      </c>
      <c r="AG1462" s="354">
        <v>0.77</v>
      </c>
      <c r="AH1462" s="357" t="s">
        <v>166</v>
      </c>
      <c r="AI1462" s="53" t="s">
        <v>8269</v>
      </c>
      <c r="AJ1462" s="383">
        <v>0.02</v>
      </c>
      <c r="AK1462" s="44" t="s">
        <v>165</v>
      </c>
      <c r="AL1462" s="44" t="s">
        <v>179</v>
      </c>
      <c r="AM1462" s="43" t="s">
        <v>130</v>
      </c>
      <c r="AN1462" s="53" t="s">
        <v>131</v>
      </c>
      <c r="AO1462" s="354">
        <v>2969.0</v>
      </c>
      <c r="AP1462" s="354">
        <v>0.03</v>
      </c>
      <c r="AQ1462" s="357" t="s">
        <v>166</v>
      </c>
      <c r="AR1462" s="53" t="s">
        <v>8274</v>
      </c>
      <c r="AS1462" s="354">
        <v>0.37</v>
      </c>
      <c r="AT1462" s="357" t="s">
        <v>165</v>
      </c>
      <c r="AU1462" s="357" t="s">
        <v>179</v>
      </c>
      <c r="AV1462" s="43" t="s">
        <v>130</v>
      </c>
      <c r="AW1462" s="1637" t="s">
        <v>8275</v>
      </c>
      <c r="AX1462" s="43" t="s">
        <v>136</v>
      </c>
      <c r="AY1462" s="338" t="s">
        <v>8276</v>
      </c>
      <c r="AZ1462" s="338" t="s">
        <v>685</v>
      </c>
    </row>
    <row r="1463">
      <c r="A1463" s="41">
        <v>1463.0</v>
      </c>
      <c r="B1463" s="319" t="s">
        <v>145</v>
      </c>
      <c r="C1463" s="319" t="s">
        <v>108</v>
      </c>
      <c r="D1463" s="319" t="s">
        <v>146</v>
      </c>
      <c r="E1463" s="325"/>
      <c r="F1463" s="328" t="s">
        <v>8277</v>
      </c>
      <c r="G1463" s="409" t="s">
        <v>8278</v>
      </c>
      <c r="H1463" s="409" t="s">
        <v>146</v>
      </c>
      <c r="I1463" s="656">
        <v>45638.0</v>
      </c>
      <c r="J1463" s="1638">
        <v>45674.0</v>
      </c>
      <c r="K1463" s="387"/>
      <c r="L1463" s="387"/>
      <c r="M1463" s="321" t="s">
        <v>8279</v>
      </c>
      <c r="N1463" s="409" t="s">
        <v>8280</v>
      </c>
      <c r="O1463" s="1033">
        <v>1.0</v>
      </c>
      <c r="P1463" s="1639" t="s">
        <v>8281</v>
      </c>
      <c r="Q1463" s="49" t="str">
        <f t="array" ref="Q1463"> if(iserror(MATCH(V1463, 'File Links'!C:C, 0)), "N/A", HYPERLINK(INDEX('File Links'!B:B, MATCH(P1463, 'File Links'!C:C, 0))))</f>
        <v>https://drive.google.com/file/d/1VcKqsyqYAl_exqLf4Zk_sKFNXaU3WlBH/view?usp=drivesdk</v>
      </c>
      <c r="R1463" s="409" t="s">
        <v>8282</v>
      </c>
      <c r="S1463" s="409" t="s">
        <v>8283</v>
      </c>
      <c r="T1463" s="387"/>
      <c r="U1463" s="1034">
        <v>1.0</v>
      </c>
      <c r="V1463" s="195" t="str">
        <f t="shared" si="106"/>
        <v>10.1177--0956797613486983.pdf</v>
      </c>
      <c r="W1463" s="409" t="s">
        <v>3563</v>
      </c>
      <c r="X1463" s="51" t="str">
        <f t="array" ref="X1463"> if(iserror(MATCH(V1463, 'File Links'!C:C, 0)), "N/A", HYPERLINK(INDEX('File Links'!B:B, MATCH(V1463, 'File Links'!C:C, 0))))</f>
        <v>https://drive.google.com/file/d/1GB5oPjHVuDXBTZ2__Had-zRIf9ZK4G7S/view?usp=drivesdk</v>
      </c>
      <c r="Y1463" s="387"/>
      <c r="Z1463" s="409" t="s">
        <v>219</v>
      </c>
      <c r="AA1463" s="385" t="s">
        <v>8284</v>
      </c>
      <c r="AB1463" s="385" t="s">
        <v>8285</v>
      </c>
      <c r="AC1463" s="385" t="s">
        <v>8286</v>
      </c>
      <c r="AD1463" s="385" t="s">
        <v>8287</v>
      </c>
      <c r="AE1463" s="391">
        <v>1.0</v>
      </c>
      <c r="AF1463" s="1414">
        <v>56.0</v>
      </c>
      <c r="AG1463" s="409" t="s">
        <v>8288</v>
      </c>
      <c r="AH1463" s="657" t="s">
        <v>127</v>
      </c>
      <c r="AI1463" s="391">
        <v>1.0</v>
      </c>
      <c r="AJ1463" s="391">
        <v>0.028</v>
      </c>
      <c r="AK1463" s="241" t="s">
        <v>165</v>
      </c>
      <c r="AL1463" s="409" t="s">
        <v>129</v>
      </c>
      <c r="AM1463" s="387" t="s">
        <v>130</v>
      </c>
      <c r="AN1463" s="327" t="s">
        <v>131</v>
      </c>
      <c r="AO1463" s="391">
        <v>105.0</v>
      </c>
      <c r="AP1463" s="391">
        <v>2.28E-4</v>
      </c>
      <c r="AQ1463" s="113" t="s">
        <v>8289</v>
      </c>
      <c r="AR1463" s="409" t="s">
        <v>2764</v>
      </c>
      <c r="AS1463" s="391">
        <v>0.826</v>
      </c>
      <c r="AT1463" s="241" t="s">
        <v>165</v>
      </c>
      <c r="AU1463" s="1640" t="s">
        <v>179</v>
      </c>
      <c r="AV1463" s="328" t="s">
        <v>134</v>
      </c>
      <c r="AW1463" s="1037" t="s">
        <v>8290</v>
      </c>
      <c r="AX1463" s="1038" t="s">
        <v>136</v>
      </c>
      <c r="AY1463" s="223"/>
      <c r="AZ1463" s="1432" t="s">
        <v>137</v>
      </c>
    </row>
    <row r="1464">
      <c r="A1464" s="41">
        <v>1464.0</v>
      </c>
      <c r="B1464" s="1432" t="s">
        <v>107</v>
      </c>
      <c r="C1464" s="1432" t="s">
        <v>108</v>
      </c>
      <c r="D1464" s="1432" t="s">
        <v>169</v>
      </c>
      <c r="E1464" s="809"/>
      <c r="F1464" s="1436" t="s">
        <v>8277</v>
      </c>
      <c r="G1464" s="1641" t="s">
        <v>8278</v>
      </c>
      <c r="H1464" s="1640" t="s">
        <v>169</v>
      </c>
      <c r="I1464" s="1642">
        <v>45653.0</v>
      </c>
      <c r="J1464" s="1638">
        <v>45674.0</v>
      </c>
      <c r="K1464" s="1640" t="s">
        <v>8291</v>
      </c>
      <c r="L1464" s="1436"/>
      <c r="M1464" s="1643" t="s">
        <v>8279</v>
      </c>
      <c r="N1464" s="1640" t="s">
        <v>8280</v>
      </c>
      <c r="O1464" s="1644">
        <v>1.0</v>
      </c>
      <c r="P1464" s="1645" t="s">
        <v>8281</v>
      </c>
      <c r="Q1464" s="49" t="str">
        <f t="array" ref="Q1464"> if(iserror(MATCH(V1464, 'File Links'!C:C, 0)), "N/A", HYPERLINK(INDEX('File Links'!B:B, MATCH(P1464, 'File Links'!C:C, 0))))</f>
        <v>https://drive.google.com/file/d/1VcKqsyqYAl_exqLf4Zk_sKFNXaU3WlBH/view?usp=drivesdk</v>
      </c>
      <c r="R1464" s="1640" t="s">
        <v>8282</v>
      </c>
      <c r="S1464" s="1640" t="s">
        <v>8283</v>
      </c>
      <c r="T1464" s="1436"/>
      <c r="U1464" s="1644">
        <v>1.0</v>
      </c>
      <c r="V1464" s="195" t="str">
        <f t="shared" si="106"/>
        <v>10.1177--0956797613486983.pdf</v>
      </c>
      <c r="W1464" s="1640" t="s">
        <v>2118</v>
      </c>
      <c r="X1464" s="51" t="str">
        <f t="array" ref="X1464"> if(iserror(MATCH(V1464, 'File Links'!C:C, 0)), "N/A", HYPERLINK(INDEX('File Links'!B:B, MATCH(V1464, 'File Links'!C:C, 0))))</f>
        <v>https://drive.google.com/file/d/1GB5oPjHVuDXBTZ2__Had-zRIf9ZK4G7S/view?usp=drivesdk</v>
      </c>
      <c r="Y1464" s="1436"/>
      <c r="Z1464" s="1640" t="s">
        <v>219</v>
      </c>
      <c r="AA1464" s="1640" t="s">
        <v>8292</v>
      </c>
      <c r="AB1464" s="385" t="s">
        <v>8285</v>
      </c>
      <c r="AC1464" s="1640" t="s">
        <v>8293</v>
      </c>
      <c r="AD1464" s="1640" t="s">
        <v>8294</v>
      </c>
      <c r="AE1464" s="1640" t="s">
        <v>805</v>
      </c>
      <c r="AF1464" s="1644">
        <v>56.0</v>
      </c>
      <c r="AG1464" s="1640" t="s">
        <v>8295</v>
      </c>
      <c r="AH1464" s="191" t="s">
        <v>353</v>
      </c>
      <c r="AI1464" s="1641" t="s">
        <v>7217</v>
      </c>
      <c r="AJ1464" s="1641" t="s">
        <v>8296</v>
      </c>
      <c r="AK1464" s="1640" t="s">
        <v>165</v>
      </c>
      <c r="AL1464" s="1641" t="s">
        <v>179</v>
      </c>
      <c r="AM1464" s="1436" t="s">
        <v>130</v>
      </c>
      <c r="AN1464" s="1436"/>
      <c r="AO1464" s="1644">
        <v>219.0</v>
      </c>
      <c r="AP1464" s="1640" t="s">
        <v>8297</v>
      </c>
      <c r="AQ1464" s="113" t="s">
        <v>8289</v>
      </c>
      <c r="AR1464" s="1640" t="s">
        <v>868</v>
      </c>
      <c r="AS1464" s="1640" t="s">
        <v>8298</v>
      </c>
      <c r="AT1464" s="1640" t="s">
        <v>165</v>
      </c>
      <c r="AU1464" s="1640" t="s">
        <v>179</v>
      </c>
      <c r="AV1464" s="1646" t="s">
        <v>134</v>
      </c>
      <c r="AW1464" s="1037" t="s">
        <v>8290</v>
      </c>
      <c r="AX1464" s="1647" t="s">
        <v>431</v>
      </c>
      <c r="AY1464" s="809"/>
      <c r="AZ1464" s="1432" t="s">
        <v>137</v>
      </c>
    </row>
    <row r="1465">
      <c r="A1465" s="41">
        <v>1465.0</v>
      </c>
      <c r="B1465" s="1432" t="s">
        <v>107</v>
      </c>
      <c r="C1465" s="1432" t="s">
        <v>108</v>
      </c>
      <c r="D1465" s="1432" t="s">
        <v>169</v>
      </c>
      <c r="E1465" s="809"/>
      <c r="F1465" s="1436" t="s">
        <v>8277</v>
      </c>
      <c r="G1465" s="1641" t="s">
        <v>8299</v>
      </c>
      <c r="H1465" s="1640" t="s">
        <v>169</v>
      </c>
      <c r="I1465" s="1642">
        <v>45653.0</v>
      </c>
      <c r="J1465" s="1638">
        <v>45674.0</v>
      </c>
      <c r="K1465" s="1640" t="s">
        <v>8291</v>
      </c>
      <c r="L1465" s="1436"/>
      <c r="M1465" s="1643" t="s">
        <v>8279</v>
      </c>
      <c r="N1465" s="1640" t="s">
        <v>8280</v>
      </c>
      <c r="O1465" s="1644">
        <v>1.0</v>
      </c>
      <c r="P1465" s="1645" t="s">
        <v>8281</v>
      </c>
      <c r="Q1465" s="49" t="str">
        <f t="array" ref="Q1465"> if(iserror(MATCH(V1465, 'File Links'!C:C, 0)), "N/A", HYPERLINK(INDEX('File Links'!B:B, MATCH(P1465, 'File Links'!C:C, 0))))</f>
        <v>https://drive.google.com/file/d/1VcKqsyqYAl_exqLf4Zk_sKFNXaU3WlBH/view?usp=drivesdk</v>
      </c>
      <c r="R1465" s="1640" t="s">
        <v>8282</v>
      </c>
      <c r="S1465" s="1640" t="s">
        <v>8283</v>
      </c>
      <c r="T1465" s="1436"/>
      <c r="U1465" s="1644">
        <v>1.0</v>
      </c>
      <c r="V1465" s="195" t="str">
        <f t="shared" si="106"/>
        <v>10.1177--0956797613486983.pdf</v>
      </c>
      <c r="W1465" s="1640" t="s">
        <v>2118</v>
      </c>
      <c r="X1465" s="51" t="str">
        <f t="array" ref="X1465"> if(iserror(MATCH(V1465, 'File Links'!C:C, 0)), "N/A", HYPERLINK(INDEX('File Links'!B:B, MATCH(V1465, 'File Links'!C:C, 0))))</f>
        <v>https://drive.google.com/file/d/1GB5oPjHVuDXBTZ2__Had-zRIf9ZK4G7S/view?usp=drivesdk</v>
      </c>
      <c r="Y1465" s="1436"/>
      <c r="Z1465" s="1640" t="s">
        <v>219</v>
      </c>
      <c r="AA1465" s="1640" t="s">
        <v>8292</v>
      </c>
      <c r="AB1465" s="385" t="s">
        <v>8285</v>
      </c>
      <c r="AC1465" s="1640" t="s">
        <v>8300</v>
      </c>
      <c r="AD1465" s="1640" t="s">
        <v>8301</v>
      </c>
      <c r="AE1465" s="1640" t="s">
        <v>805</v>
      </c>
      <c r="AF1465" s="1644">
        <v>56.0</v>
      </c>
      <c r="AG1465" s="1640" t="s">
        <v>8302</v>
      </c>
      <c r="AH1465" s="191" t="s">
        <v>353</v>
      </c>
      <c r="AI1465" s="1641" t="s">
        <v>7217</v>
      </c>
      <c r="AJ1465" s="1641" t="s">
        <v>8303</v>
      </c>
      <c r="AK1465" s="1640" t="s">
        <v>165</v>
      </c>
      <c r="AL1465" s="1641" t="s">
        <v>179</v>
      </c>
      <c r="AM1465" s="1436" t="s">
        <v>130</v>
      </c>
      <c r="AN1465" s="1436"/>
      <c r="AO1465" s="1644">
        <v>105.0</v>
      </c>
      <c r="AP1465" s="1640" t="s">
        <v>8304</v>
      </c>
      <c r="AQ1465" s="156" t="s">
        <v>353</v>
      </c>
      <c r="AR1465" s="1640" t="s">
        <v>868</v>
      </c>
      <c r="AS1465" s="1436"/>
      <c r="AT1465" s="1436"/>
      <c r="AU1465" s="1436"/>
      <c r="AV1465" s="1646" t="s">
        <v>134</v>
      </c>
      <c r="AW1465" s="1037" t="s">
        <v>8290</v>
      </c>
      <c r="AX1465" s="1647" t="s">
        <v>431</v>
      </c>
      <c r="AY1465" s="809"/>
      <c r="AZ1465" s="1432" t="s">
        <v>137</v>
      </c>
    </row>
    <row r="1466">
      <c r="A1466" s="41">
        <v>1466.0</v>
      </c>
      <c r="B1466" s="1432" t="s">
        <v>107</v>
      </c>
      <c r="C1466" s="1432" t="s">
        <v>108</v>
      </c>
      <c r="D1466" s="1432" t="s">
        <v>169</v>
      </c>
      <c r="E1466" s="809"/>
      <c r="F1466" s="1436" t="s">
        <v>8277</v>
      </c>
      <c r="G1466" s="1641" t="s">
        <v>8305</v>
      </c>
      <c r="H1466" s="1640" t="s">
        <v>169</v>
      </c>
      <c r="I1466" s="1642">
        <v>45653.0</v>
      </c>
      <c r="J1466" s="1638">
        <v>45674.0</v>
      </c>
      <c r="K1466" s="1640" t="s">
        <v>8291</v>
      </c>
      <c r="L1466" s="1436"/>
      <c r="M1466" s="1643" t="s">
        <v>8279</v>
      </c>
      <c r="N1466" s="1640" t="s">
        <v>8280</v>
      </c>
      <c r="O1466" s="1644">
        <v>1.0</v>
      </c>
      <c r="P1466" s="1645" t="s">
        <v>8281</v>
      </c>
      <c r="Q1466" s="49" t="str">
        <f t="array" ref="Q1466"> if(iserror(MATCH(V1466, 'File Links'!C:C, 0)), "N/A", HYPERLINK(INDEX('File Links'!B:B, MATCH(P1466, 'File Links'!C:C, 0))))</f>
        <v>https://drive.google.com/file/d/1VcKqsyqYAl_exqLf4Zk_sKFNXaU3WlBH/view?usp=drivesdk</v>
      </c>
      <c r="R1466" s="1640" t="s">
        <v>8282</v>
      </c>
      <c r="S1466" s="1640" t="s">
        <v>8283</v>
      </c>
      <c r="T1466" s="1436"/>
      <c r="U1466" s="1644">
        <v>1.0</v>
      </c>
      <c r="V1466" s="195" t="str">
        <f t="shared" si="106"/>
        <v>10.1177--0956797613486983.pdf</v>
      </c>
      <c r="W1466" s="1640" t="s">
        <v>2118</v>
      </c>
      <c r="X1466" s="51" t="str">
        <f t="array" ref="X1466"> if(iserror(MATCH(V1466, 'File Links'!C:C, 0)), "N/A", HYPERLINK(INDEX('File Links'!B:B, MATCH(V1466, 'File Links'!C:C, 0))))</f>
        <v>https://drive.google.com/file/d/1GB5oPjHVuDXBTZ2__Had-zRIf9ZK4G7S/view?usp=drivesdk</v>
      </c>
      <c r="Y1466" s="1436"/>
      <c r="Z1466" s="1640" t="s">
        <v>219</v>
      </c>
      <c r="AA1466" s="1640" t="s">
        <v>8292</v>
      </c>
      <c r="AB1466" s="385" t="s">
        <v>8285</v>
      </c>
      <c r="AC1466" s="1640" t="s">
        <v>8306</v>
      </c>
      <c r="AD1466" s="1640" t="s">
        <v>8301</v>
      </c>
      <c r="AE1466" s="1640" t="s">
        <v>805</v>
      </c>
      <c r="AF1466" s="1644">
        <v>56.0</v>
      </c>
      <c r="AG1466" s="1640" t="s">
        <v>8307</v>
      </c>
      <c r="AH1466" s="191" t="s">
        <v>353</v>
      </c>
      <c r="AI1466" s="1641" t="s">
        <v>7217</v>
      </c>
      <c r="AJ1466" s="1641" t="s">
        <v>8308</v>
      </c>
      <c r="AK1466" s="1640" t="s">
        <v>165</v>
      </c>
      <c r="AL1466" s="1641" t="s">
        <v>179</v>
      </c>
      <c r="AM1466" s="1436" t="s">
        <v>130</v>
      </c>
      <c r="AN1466" s="1436"/>
      <c r="AO1466" s="1644">
        <v>114.0</v>
      </c>
      <c r="AP1466" s="1640" t="s">
        <v>8309</v>
      </c>
      <c r="AQ1466" s="156" t="s">
        <v>353</v>
      </c>
      <c r="AR1466" s="1640" t="s">
        <v>868</v>
      </c>
      <c r="AS1466" s="1436"/>
      <c r="AT1466" s="1436"/>
      <c r="AU1466" s="1436"/>
      <c r="AV1466" s="1646" t="s">
        <v>134</v>
      </c>
      <c r="AW1466" s="1037" t="s">
        <v>8290</v>
      </c>
      <c r="AX1466" s="1647" t="s">
        <v>431</v>
      </c>
      <c r="AY1466" s="1432" t="s">
        <v>8310</v>
      </c>
      <c r="AZ1466" s="1432" t="s">
        <v>137</v>
      </c>
      <c r="BA1466" s="69"/>
      <c r="BB1466" s="69"/>
    </row>
    <row r="1467">
      <c r="A1467" s="41">
        <v>1467.0</v>
      </c>
      <c r="B1467" s="319" t="s">
        <v>145</v>
      </c>
      <c r="C1467" s="319" t="s">
        <v>108</v>
      </c>
      <c r="D1467" s="319" t="s">
        <v>146</v>
      </c>
      <c r="E1467" s="325"/>
      <c r="F1467" s="328" t="s">
        <v>8277</v>
      </c>
      <c r="G1467" s="409" t="s">
        <v>8311</v>
      </c>
      <c r="H1467" s="409" t="s">
        <v>146</v>
      </c>
      <c r="I1467" s="656">
        <v>45638.0</v>
      </c>
      <c r="J1467" s="1638">
        <v>45674.0</v>
      </c>
      <c r="K1467" s="385" t="s">
        <v>8312</v>
      </c>
      <c r="L1467" s="327" t="s">
        <v>8313</v>
      </c>
      <c r="M1467" s="321" t="s">
        <v>8279</v>
      </c>
      <c r="N1467" s="409" t="s">
        <v>8280</v>
      </c>
      <c r="O1467" s="1033">
        <v>1.0</v>
      </c>
      <c r="P1467" s="1639" t="s">
        <v>8281</v>
      </c>
      <c r="Q1467" s="49" t="str">
        <f t="array" ref="Q1467"> if(iserror(MATCH(V1467, 'File Links'!C:C, 0)), "N/A", HYPERLINK(INDEX('File Links'!B:B, MATCH(P1467, 'File Links'!C:C, 0))))</f>
        <v>https://drive.google.com/file/d/1VcKqsyqYAl_exqLf4Zk_sKFNXaU3WlBH/view?usp=drivesdk</v>
      </c>
      <c r="R1467" s="409" t="s">
        <v>8282</v>
      </c>
      <c r="S1467" s="409" t="s">
        <v>8283</v>
      </c>
      <c r="T1467" s="387"/>
      <c r="U1467" s="1648">
        <v>2.0</v>
      </c>
      <c r="V1467" s="195" t="str">
        <f t="shared" si="106"/>
        <v>10.1177--0956797613486983.pdf</v>
      </c>
      <c r="W1467" s="409" t="s">
        <v>3563</v>
      </c>
      <c r="X1467" s="51" t="str">
        <f t="array" ref="X1467"> if(iserror(MATCH(V1467, 'File Links'!C:C, 0)), "N/A", HYPERLINK(INDEX('File Links'!B:B, MATCH(V1467, 'File Links'!C:C, 0))))</f>
        <v>https://drive.google.com/file/d/1GB5oPjHVuDXBTZ2__Had-zRIf9ZK4G7S/view?usp=drivesdk</v>
      </c>
      <c r="Y1467" s="387"/>
      <c r="Z1467" s="409" t="s">
        <v>219</v>
      </c>
      <c r="AA1467" s="385" t="s">
        <v>8284</v>
      </c>
      <c r="AB1467" s="385" t="s">
        <v>8285</v>
      </c>
      <c r="AC1467" s="389" t="s">
        <v>8314</v>
      </c>
      <c r="AD1467" s="385" t="s">
        <v>8287</v>
      </c>
      <c r="AE1467" s="391">
        <v>1.0</v>
      </c>
      <c r="AF1467" s="1414">
        <v>56.0</v>
      </c>
      <c r="AG1467" s="409" t="s">
        <v>8288</v>
      </c>
      <c r="AH1467" s="657" t="s">
        <v>127</v>
      </c>
      <c r="AI1467" s="391">
        <v>1.0</v>
      </c>
      <c r="AJ1467" s="391">
        <v>0.028</v>
      </c>
      <c r="AK1467" s="241" t="s">
        <v>165</v>
      </c>
      <c r="AL1467" s="409" t="s">
        <v>129</v>
      </c>
      <c r="AM1467" s="387" t="s">
        <v>130</v>
      </c>
      <c r="AN1467" s="327" t="s">
        <v>131</v>
      </c>
      <c r="AO1467" s="1189">
        <v>233.0</v>
      </c>
      <c r="AP1467" s="1189">
        <v>5.63E-4</v>
      </c>
      <c r="AQ1467" s="113" t="s">
        <v>8289</v>
      </c>
      <c r="AR1467" s="409" t="s">
        <v>2764</v>
      </c>
      <c r="AS1467" s="1189">
        <v>0.72</v>
      </c>
      <c r="AT1467" s="241" t="s">
        <v>165</v>
      </c>
      <c r="AU1467" s="1640" t="s">
        <v>179</v>
      </c>
      <c r="AV1467" s="328" t="s">
        <v>134</v>
      </c>
      <c r="AW1467" s="1037" t="s">
        <v>8290</v>
      </c>
      <c r="AX1467" s="328" t="s">
        <v>136</v>
      </c>
      <c r="AY1467" s="223"/>
      <c r="AZ1467" s="1432" t="s">
        <v>137</v>
      </c>
      <c r="BA1467" s="69"/>
      <c r="BB1467" s="69"/>
    </row>
    <row r="1468">
      <c r="A1468" s="41">
        <v>1468.0</v>
      </c>
      <c r="B1468" s="90" t="s">
        <v>145</v>
      </c>
      <c r="C1468" s="90" t="s">
        <v>108</v>
      </c>
      <c r="D1468" s="90" t="s">
        <v>2623</v>
      </c>
      <c r="E1468" s="89"/>
      <c r="F1468" s="83" t="s">
        <v>8315</v>
      </c>
      <c r="G1468" s="73" t="str">
        <f t="shared" ref="G1468:G1471" si="109">F1468&amp;"_"&amp;COUNTIF($B$3:F1468, F1468)</f>
        <v>curatescience73_1</v>
      </c>
      <c r="H1468" s="83" t="s">
        <v>7458</v>
      </c>
      <c r="I1468" s="1649">
        <v>45675.0</v>
      </c>
      <c r="J1468" s="1650">
        <v>45713.0</v>
      </c>
      <c r="K1468" s="91"/>
      <c r="L1468" s="91"/>
      <c r="M1468" s="1651" t="s">
        <v>8316</v>
      </c>
      <c r="N1468" s="83" t="s">
        <v>8317</v>
      </c>
      <c r="O1468" s="77">
        <v>1.0</v>
      </c>
      <c r="P1468" s="1652" t="str">
        <f t="shared" ref="P1468:P1471" si="110"> SUBSTITUTE(lower(N1468), "/", "--") &amp;  ".pdf"</f>
        <v>10.1037--a0029288.pdf</v>
      </c>
      <c r="Q1468" s="49" t="str">
        <f t="array" ref="Q1468"> if(iserror(MATCH(V1468, 'File Links'!C:C, 0)), "N/A", HYPERLINK(INDEX('File Links'!B:B, MATCH(P1468, 'File Links'!C:C, 0))))</f>
        <v>https://drive.google.com/file/d/1vcCVkrjNwZHH8glmh9tGMygAb5DPf3dE/view?usp=drivesdk</v>
      </c>
      <c r="R1468" s="83" t="s">
        <v>7462</v>
      </c>
      <c r="S1468" s="83" t="s">
        <v>7463</v>
      </c>
      <c r="T1468" s="1084" t="s">
        <v>7464</v>
      </c>
      <c r="U1468" s="83" t="s">
        <v>8318</v>
      </c>
      <c r="V1468" s="195" t="str">
        <f t="shared" si="106"/>
        <v>10.1027--1864-9335--a000178.pdf</v>
      </c>
      <c r="W1468" s="83" t="s">
        <v>7466</v>
      </c>
      <c r="X1468" s="51" t="str">
        <f t="array" ref="X1468"> if(iserror(MATCH(V1468, 'File Links'!C:C, 0)), "N/A", HYPERLINK(INDEX('File Links'!B:B, MATCH(V1468, 'File Links'!C:C, 0))))</f>
        <v>https://drive.google.com/file/d/1fIqa3RxgdnsQkWwGnLkF4XAbM2g_WN4q/view?usp=drivesdk</v>
      </c>
      <c r="Z1468" s="83" t="s">
        <v>219</v>
      </c>
      <c r="AA1468" s="83" t="s">
        <v>8319</v>
      </c>
      <c r="AB1468" s="83" t="s">
        <v>8320</v>
      </c>
      <c r="AC1468" s="83" t="s">
        <v>8321</v>
      </c>
      <c r="AD1468" s="83" t="s">
        <v>8322</v>
      </c>
      <c r="AE1468" s="83" t="s">
        <v>8323</v>
      </c>
      <c r="AF1468" s="1653">
        <v>30.0</v>
      </c>
      <c r="AG1468" s="1654">
        <v>0.8</v>
      </c>
      <c r="AH1468" s="1655" t="s">
        <v>166</v>
      </c>
      <c r="AI1468" s="83" t="s">
        <v>8324</v>
      </c>
      <c r="AJ1468" s="1656">
        <v>0.043</v>
      </c>
      <c r="AK1468" s="73" t="s">
        <v>165</v>
      </c>
      <c r="AL1468" s="1655" t="s">
        <v>179</v>
      </c>
      <c r="AM1468" s="72" t="s">
        <v>130</v>
      </c>
      <c r="AN1468" s="1657" t="s">
        <v>131</v>
      </c>
      <c r="AO1468" s="1658">
        <v>6340.0</v>
      </c>
      <c r="AP1468" s="1653">
        <v>-0.02</v>
      </c>
      <c r="AQ1468" s="83" t="s">
        <v>166</v>
      </c>
      <c r="AR1468" s="83" t="s">
        <v>8325</v>
      </c>
      <c r="AS1468" s="1653">
        <v>0.44</v>
      </c>
      <c r="AT1468" s="83" t="s">
        <v>165</v>
      </c>
      <c r="AU1468" s="83" t="s">
        <v>129</v>
      </c>
      <c r="AV1468" s="72" t="s">
        <v>130</v>
      </c>
      <c r="AW1468" s="1659" t="s">
        <v>131</v>
      </c>
      <c r="AX1468" s="72" t="s">
        <v>136</v>
      </c>
      <c r="AY1468" s="89"/>
      <c r="AZ1468" s="90" t="s">
        <v>137</v>
      </c>
      <c r="BA1468" s="69"/>
      <c r="BB1468" s="69"/>
    </row>
    <row r="1469">
      <c r="A1469" s="41">
        <v>1469.0</v>
      </c>
      <c r="B1469" s="90" t="s">
        <v>107</v>
      </c>
      <c r="C1469" s="90" t="s">
        <v>108</v>
      </c>
      <c r="D1469" s="90" t="s">
        <v>1227</v>
      </c>
      <c r="E1469" s="89"/>
      <c r="F1469" s="92" t="s">
        <v>8315</v>
      </c>
      <c r="G1469" s="74" t="str">
        <f t="shared" si="109"/>
        <v>curatescience73_2</v>
      </c>
      <c r="H1469" s="92" t="s">
        <v>6921</v>
      </c>
      <c r="I1469" s="850">
        <v>45901.0</v>
      </c>
      <c r="J1469" s="1650">
        <v>45713.0</v>
      </c>
      <c r="K1469" s="91"/>
      <c r="L1469" s="91"/>
      <c r="M1469" s="1660" t="s">
        <v>8316</v>
      </c>
      <c r="N1469" s="92" t="s">
        <v>8317</v>
      </c>
      <c r="O1469" s="95">
        <v>1.0</v>
      </c>
      <c r="P1469" s="934" t="str">
        <f t="shared" si="110"/>
        <v>10.1037--a0029288.pdf</v>
      </c>
      <c r="Q1469" s="49" t="str">
        <f t="array" ref="Q1469"> if(iserror(MATCH(V1469, 'File Links'!C:C, 0)), "N/A", HYPERLINK(INDEX('File Links'!B:B, MATCH(P1469, 'File Links'!C:C, 0))))</f>
        <v>https://drive.google.com/file/d/1vcCVkrjNwZHH8glmh9tGMygAb5DPf3dE/view?usp=drivesdk</v>
      </c>
      <c r="R1469" s="83" t="s">
        <v>7462</v>
      </c>
      <c r="S1469" s="83" t="s">
        <v>7463</v>
      </c>
      <c r="T1469" s="1084" t="s">
        <v>7464</v>
      </c>
      <c r="U1469" s="91"/>
      <c r="V1469" s="195" t="str">
        <f t="shared" si="106"/>
        <v>10.1027--1864-9335--a000178.pdf</v>
      </c>
      <c r="W1469" s="91"/>
      <c r="X1469" s="51" t="str">
        <f t="array" ref="X1469"> if(iserror(MATCH(V1469, 'File Links'!C:C, 0)), "N/A", HYPERLINK(INDEX('File Links'!B:B, MATCH(V1469, 'File Links'!C:C, 0))))</f>
        <v>https://drive.google.com/file/d/1fIqa3RxgdnsQkWwGnLkF4XAbM2g_WN4q/view?usp=drivesdk</v>
      </c>
      <c r="Y1469" s="91"/>
      <c r="Z1469" s="92" t="s">
        <v>1802</v>
      </c>
      <c r="AA1469" s="92" t="s">
        <v>8326</v>
      </c>
      <c r="AB1469" s="91"/>
      <c r="AC1469" s="91"/>
      <c r="AD1469" s="92" t="s">
        <v>8327</v>
      </c>
      <c r="AE1469" s="95">
        <v>302.0</v>
      </c>
      <c r="AF1469" s="95">
        <v>30.0</v>
      </c>
      <c r="AG1469" s="95">
        <v>0.8</v>
      </c>
      <c r="AH1469" s="92" t="s">
        <v>166</v>
      </c>
      <c r="AI1469" s="91"/>
      <c r="AJ1469" s="630">
        <v>0.043</v>
      </c>
      <c r="AK1469" s="74" t="s">
        <v>165</v>
      </c>
      <c r="AL1469" s="80"/>
      <c r="AM1469" s="91" t="s">
        <v>130</v>
      </c>
      <c r="AN1469" s="853" t="s">
        <v>131</v>
      </c>
      <c r="AO1469" s="1661">
        <v>6333.0</v>
      </c>
      <c r="AP1469" s="95">
        <v>-0.02</v>
      </c>
      <c r="AQ1469" s="92" t="s">
        <v>166</v>
      </c>
      <c r="AR1469" s="91"/>
      <c r="AS1469" s="95">
        <v>0.83</v>
      </c>
      <c r="AT1469" s="92" t="s">
        <v>165</v>
      </c>
      <c r="AU1469" s="92" t="s">
        <v>179</v>
      </c>
      <c r="AV1469" s="91" t="s">
        <v>130</v>
      </c>
      <c r="AW1469" s="91"/>
      <c r="AX1469" s="91" t="s">
        <v>136</v>
      </c>
      <c r="AY1469" s="89"/>
      <c r="AZ1469" s="90" t="s">
        <v>137</v>
      </c>
      <c r="BA1469" s="69"/>
      <c r="BB1469" s="69"/>
    </row>
    <row r="1470">
      <c r="A1470" s="41">
        <v>1470.0</v>
      </c>
      <c r="B1470" s="535" t="s">
        <v>145</v>
      </c>
      <c r="C1470" s="535" t="s">
        <v>108</v>
      </c>
      <c r="D1470" s="535" t="s">
        <v>2623</v>
      </c>
      <c r="E1470" s="536"/>
      <c r="F1470" s="1203" t="s">
        <v>8328</v>
      </c>
      <c r="G1470" s="1019" t="str">
        <f t="shared" si="109"/>
        <v>curatescience75_1</v>
      </c>
      <c r="H1470" s="1203" t="s">
        <v>7458</v>
      </c>
      <c r="I1470" s="1662">
        <v>45675.0</v>
      </c>
      <c r="J1470" s="1650">
        <v>45713.0</v>
      </c>
      <c r="K1470" s="1029"/>
      <c r="L1470" s="1029"/>
      <c r="M1470" s="1663" t="s">
        <v>8329</v>
      </c>
      <c r="N1470" s="1203" t="s">
        <v>8330</v>
      </c>
      <c r="O1470" s="1664">
        <v>1.0</v>
      </c>
      <c r="P1470" s="1665" t="str">
        <f t="shared" si="110"/>
        <v>10.1016--j.jesp.2010.05.014.pdf</v>
      </c>
      <c r="Q1470" s="49" t="str">
        <f t="array" ref="Q1470"> if(iserror(MATCH(V1470, 'File Links'!C:C, 0)), "N/A", HYPERLINK(INDEX('File Links'!B:B, MATCH(P1470, 'File Links'!C:C, 0))))</f>
        <v>https://drive.google.com/file/d/1eGcl00TFvqtXToShjh3zwuqo-qNHAocO/view?usp=drivesdk</v>
      </c>
      <c r="R1470" s="1203" t="s">
        <v>7462</v>
      </c>
      <c r="S1470" s="1203" t="s">
        <v>7463</v>
      </c>
      <c r="T1470" s="1209" t="s">
        <v>7464</v>
      </c>
      <c r="U1470" s="1203" t="s">
        <v>8331</v>
      </c>
      <c r="V1470" s="195" t="str">
        <f t="shared" si="106"/>
        <v>10.1027--1864-9335--a000178.pdf</v>
      </c>
      <c r="W1470" s="1203" t="s">
        <v>7466</v>
      </c>
      <c r="X1470" s="51" t="str">
        <f t="array" ref="X1470"> if(iserror(MATCH(V1470, 'File Links'!C:C, 0)), "N/A", HYPERLINK(INDEX('File Links'!B:B, MATCH(V1470, 'File Links'!C:C, 0))))</f>
        <v>https://drive.google.com/file/d/1fIqa3RxgdnsQkWwGnLkF4XAbM2g_WN4q/view?usp=drivesdk</v>
      </c>
      <c r="Y1470" s="1029"/>
      <c r="Z1470" s="1203" t="s">
        <v>219</v>
      </c>
      <c r="AA1470" s="1203" t="s">
        <v>8332</v>
      </c>
      <c r="AB1470" s="1203" t="s">
        <v>8333</v>
      </c>
      <c r="AC1470" s="1203" t="s">
        <v>8334</v>
      </c>
      <c r="AD1470" s="1203" t="s">
        <v>8335</v>
      </c>
      <c r="AE1470" s="1203" t="s">
        <v>8336</v>
      </c>
      <c r="AF1470" s="1666">
        <v>33.0</v>
      </c>
      <c r="AG1470" s="1667">
        <v>0.86</v>
      </c>
      <c r="AH1470" s="1668" t="s">
        <v>166</v>
      </c>
      <c r="AI1470" s="1668">
        <v>945.0</v>
      </c>
      <c r="AJ1470" s="1669">
        <v>0.023</v>
      </c>
      <c r="AK1470" s="1019" t="s">
        <v>165</v>
      </c>
      <c r="AL1470" s="1668" t="s">
        <v>179</v>
      </c>
      <c r="AM1470" s="1670" t="s">
        <v>130</v>
      </c>
      <c r="AN1470" s="1671" t="s">
        <v>131</v>
      </c>
      <c r="AO1470" s="1672">
        <v>6335.0</v>
      </c>
      <c r="AP1470" s="1666">
        <v>0.13</v>
      </c>
      <c r="AQ1470" s="1203" t="s">
        <v>166</v>
      </c>
      <c r="AR1470" s="1203" t="s">
        <v>8337</v>
      </c>
      <c r="AS1470" s="1666">
        <v>0.001</v>
      </c>
      <c r="AT1470" s="1203" t="s">
        <v>128</v>
      </c>
      <c r="AU1470" s="1203" t="s">
        <v>129</v>
      </c>
      <c r="AV1470" s="1670" t="s">
        <v>130</v>
      </c>
      <c r="AW1470" s="1673" t="s">
        <v>131</v>
      </c>
      <c r="AX1470" s="1670" t="s">
        <v>136</v>
      </c>
      <c r="AY1470" s="536"/>
      <c r="AZ1470" s="90" t="s">
        <v>137</v>
      </c>
      <c r="BA1470" s="69"/>
      <c r="BB1470" s="69"/>
    </row>
    <row r="1471">
      <c r="A1471" s="41">
        <v>1471.0</v>
      </c>
      <c r="B1471" s="535" t="s">
        <v>107</v>
      </c>
      <c r="C1471" s="535" t="s">
        <v>108</v>
      </c>
      <c r="D1471" s="535" t="s">
        <v>1227</v>
      </c>
      <c r="E1471" s="536"/>
      <c r="F1471" s="1015" t="s">
        <v>8328</v>
      </c>
      <c r="G1471" s="1016" t="str">
        <f t="shared" si="109"/>
        <v>curatescience75_2</v>
      </c>
      <c r="H1471" s="1015" t="s">
        <v>6921</v>
      </c>
      <c r="I1471" s="1042">
        <v>45901.0</v>
      </c>
      <c r="J1471" s="1650">
        <v>45713.0</v>
      </c>
      <c r="K1471" s="1029"/>
      <c r="L1471" s="1029"/>
      <c r="M1471" s="1674" t="s">
        <v>8329</v>
      </c>
      <c r="N1471" s="1015" t="s">
        <v>8330</v>
      </c>
      <c r="O1471" s="1044">
        <v>1.0</v>
      </c>
      <c r="P1471" s="1675" t="str">
        <f t="shared" si="110"/>
        <v>10.1016--j.jesp.2010.05.014.pdf</v>
      </c>
      <c r="Q1471" s="49" t="str">
        <f t="array" ref="Q1471"> if(iserror(MATCH(V1471, 'File Links'!C:C, 0)), "N/A", HYPERLINK(INDEX('File Links'!B:B, MATCH(P1471, 'File Links'!C:C, 0))))</f>
        <v>https://drive.google.com/file/d/1eGcl00TFvqtXToShjh3zwuqo-qNHAocO/view?usp=drivesdk</v>
      </c>
      <c r="R1471" s="1203" t="s">
        <v>7462</v>
      </c>
      <c r="S1471" s="1203" t="s">
        <v>7463</v>
      </c>
      <c r="T1471" s="1209" t="s">
        <v>7464</v>
      </c>
      <c r="U1471" s="1029"/>
      <c r="V1471" s="195" t="str">
        <f t="shared" si="106"/>
        <v>10.1027--1864-9335--a000178.pdf</v>
      </c>
      <c r="X1471" s="51" t="str">
        <f t="array" ref="X1471"> if(iserror(MATCH(V1471, 'File Links'!C:C, 0)), "N/A", HYPERLINK(INDEX('File Links'!B:B, MATCH(V1471, 'File Links'!C:C, 0))))</f>
        <v>https://drive.google.com/file/d/1fIqa3RxgdnsQkWwGnLkF4XAbM2g_WN4q/view?usp=drivesdk</v>
      </c>
      <c r="Y1471" s="1029"/>
      <c r="Z1471" s="1015" t="s">
        <v>219</v>
      </c>
      <c r="AA1471" s="1015" t="s">
        <v>8338</v>
      </c>
      <c r="AB1471" s="1029"/>
      <c r="AC1471" s="1029"/>
      <c r="AD1471" s="1015" t="s">
        <v>8339</v>
      </c>
      <c r="AE1471" s="1044">
        <v>945.0</v>
      </c>
      <c r="AF1471" s="1044">
        <v>60.0</v>
      </c>
      <c r="AG1471" s="1044">
        <v>0.86</v>
      </c>
      <c r="AH1471" s="1015" t="s">
        <v>166</v>
      </c>
      <c r="AI1471" s="1029"/>
      <c r="AJ1471" s="1206">
        <v>0.023</v>
      </c>
      <c r="AK1471" s="1016" t="s">
        <v>165</v>
      </c>
      <c r="AL1471" s="1016" t="s">
        <v>179</v>
      </c>
      <c r="AM1471" s="1029" t="s">
        <v>130</v>
      </c>
      <c r="AN1471" s="1664" t="s">
        <v>131</v>
      </c>
      <c r="AO1471" s="1044">
        <v>6336.0</v>
      </c>
      <c r="AP1471" s="1044">
        <v>0.13</v>
      </c>
      <c r="AQ1471" s="1015" t="s">
        <v>166</v>
      </c>
      <c r="AR1471" s="1029"/>
      <c r="AS1471" s="1044">
        <v>0.001</v>
      </c>
      <c r="AT1471" s="1015" t="s">
        <v>128</v>
      </c>
      <c r="AU1471" s="1015" t="s">
        <v>179</v>
      </c>
      <c r="AV1471" s="1029" t="s">
        <v>130</v>
      </c>
      <c r="AW1471" s="1029"/>
      <c r="AX1471" s="1029" t="s">
        <v>136</v>
      </c>
      <c r="AY1471" s="536"/>
      <c r="AZ1471" s="90" t="s">
        <v>137</v>
      </c>
      <c r="BA1471" s="69"/>
      <c r="BB1471" s="69"/>
    </row>
    <row r="1472">
      <c r="A1472" s="41">
        <v>1472.0</v>
      </c>
      <c r="B1472" s="665" t="s">
        <v>145</v>
      </c>
      <c r="C1472" s="665" t="s">
        <v>108</v>
      </c>
      <c r="D1472" s="665" t="s">
        <v>146</v>
      </c>
      <c r="E1472" s="810"/>
      <c r="F1472" s="122" t="s">
        <v>8340</v>
      </c>
      <c r="G1472" s="123" t="s">
        <v>8341</v>
      </c>
      <c r="H1472" s="123" t="s">
        <v>146</v>
      </c>
      <c r="I1472" s="127" t="s">
        <v>112</v>
      </c>
      <c r="J1472" s="124">
        <v>45638.0</v>
      </c>
      <c r="K1472" s="129"/>
      <c r="L1472" s="129"/>
      <c r="M1472" s="116" t="s">
        <v>8279</v>
      </c>
      <c r="N1472" s="123" t="s">
        <v>8280</v>
      </c>
      <c r="O1472" s="1676">
        <v>1.0</v>
      </c>
      <c r="P1472" s="1677" t="s">
        <v>8281</v>
      </c>
      <c r="Q1472" s="49" t="str">
        <f t="array" ref="Q1472"> if(iserror(MATCH(V1472, 'File Links'!C:C, 0)), "N/A", HYPERLINK(INDEX('File Links'!B:B, MATCH(P1472, 'File Links'!C:C, 0))))</f>
        <v>https://drive.google.com/file/d/1VcKqsyqYAl_exqLf4Zk_sKFNXaU3WlBH/view?usp=drivesdk</v>
      </c>
      <c r="R1472" s="123" t="s">
        <v>8282</v>
      </c>
      <c r="S1472" s="123" t="s">
        <v>8283</v>
      </c>
      <c r="T1472" s="129"/>
      <c r="U1472" s="1678">
        <v>2.0</v>
      </c>
      <c r="V1472" s="195" t="str">
        <f t="shared" si="106"/>
        <v>10.1177--0956797613486983.pdf</v>
      </c>
      <c r="W1472" s="123" t="s">
        <v>3563</v>
      </c>
      <c r="X1472" s="51" t="str">
        <f t="array" ref="X1472"> if(iserror(MATCH(V1472, 'File Links'!C:C, 0)), "N/A", HYPERLINK(INDEX('File Links'!B:B, MATCH(V1472, 'File Links'!C:C, 0))))</f>
        <v>https://drive.google.com/file/d/1GB5oPjHVuDXBTZ2__Had-zRIf9ZK4G7S/view?usp=drivesdk</v>
      </c>
      <c r="Y1472" s="129"/>
      <c r="Z1472" s="123" t="s">
        <v>219</v>
      </c>
      <c r="AA1472" s="219" t="s">
        <v>8284</v>
      </c>
      <c r="AB1472" s="219" t="s">
        <v>8285</v>
      </c>
      <c r="AC1472" s="219" t="s">
        <v>8342</v>
      </c>
      <c r="AD1472" s="219" t="s">
        <v>8287</v>
      </c>
      <c r="AE1472" s="127">
        <v>1.0</v>
      </c>
      <c r="AF1472" s="317">
        <v>56.0</v>
      </c>
      <c r="AG1472" s="123" t="s">
        <v>8288</v>
      </c>
      <c r="AH1472" s="220" t="s">
        <v>127</v>
      </c>
      <c r="AI1472" s="127">
        <v>1.0</v>
      </c>
      <c r="AJ1472" s="127">
        <v>0.028</v>
      </c>
      <c r="AK1472" s="137" t="s">
        <v>165</v>
      </c>
      <c r="AL1472" s="123" t="s">
        <v>129</v>
      </c>
      <c r="AM1472" s="129" t="s">
        <v>130</v>
      </c>
      <c r="AN1472" s="327" t="s">
        <v>131</v>
      </c>
      <c r="AO1472" s="127">
        <v>125.0</v>
      </c>
      <c r="AP1472" s="127">
        <v>5.63E-4</v>
      </c>
      <c r="AQ1472" s="113" t="s">
        <v>8289</v>
      </c>
      <c r="AR1472" s="123" t="s">
        <v>2764</v>
      </c>
      <c r="AS1472" s="127">
        <v>0.72</v>
      </c>
      <c r="AT1472" s="137" t="s">
        <v>165</v>
      </c>
      <c r="AU1472" s="119" t="s">
        <v>179</v>
      </c>
      <c r="AV1472" s="122" t="s">
        <v>134</v>
      </c>
      <c r="AW1472" s="666" t="s">
        <v>8343</v>
      </c>
      <c r="AX1472" s="906" t="s">
        <v>136</v>
      </c>
      <c r="AY1472" s="104"/>
      <c r="AZ1472" s="1432" t="s">
        <v>137</v>
      </c>
    </row>
    <row r="1473">
      <c r="A1473" s="41">
        <v>1473.0</v>
      </c>
      <c r="B1473" s="146" t="s">
        <v>107</v>
      </c>
      <c r="C1473" s="146" t="s">
        <v>108</v>
      </c>
      <c r="D1473" s="146" t="s">
        <v>169</v>
      </c>
      <c r="E1473" s="69"/>
      <c r="F1473" s="108" t="s">
        <v>8340</v>
      </c>
      <c r="G1473" s="109" t="s">
        <v>8341</v>
      </c>
      <c r="H1473" s="119" t="s">
        <v>169</v>
      </c>
      <c r="I1473" s="583">
        <v>45653.0</v>
      </c>
      <c r="J1473" s="108"/>
      <c r="K1473" s="119" t="s">
        <v>8291</v>
      </c>
      <c r="L1473" s="108"/>
      <c r="M1473" s="113" t="s">
        <v>8279</v>
      </c>
      <c r="N1473" s="119" t="s">
        <v>8280</v>
      </c>
      <c r="O1473" s="534">
        <v>1.0</v>
      </c>
      <c r="P1473" s="533" t="s">
        <v>8281</v>
      </c>
      <c r="Q1473" s="49" t="str">
        <f t="array" ref="Q1473"> if(iserror(MATCH(V1473, 'File Links'!C:C, 0)), "N/A", HYPERLINK(INDEX('File Links'!B:B, MATCH(P1473, 'File Links'!C:C, 0))))</f>
        <v>https://drive.google.com/file/d/1VcKqsyqYAl_exqLf4Zk_sKFNXaU3WlBH/view?usp=drivesdk</v>
      </c>
      <c r="R1473" s="119" t="s">
        <v>8344</v>
      </c>
      <c r="S1473" s="119" t="s">
        <v>8283</v>
      </c>
      <c r="T1473" s="108"/>
      <c r="U1473" s="534">
        <v>2.0</v>
      </c>
      <c r="V1473" s="195" t="str">
        <f t="shared" si="106"/>
        <v>10.1177--0956797613486983.pdf</v>
      </c>
      <c r="W1473" s="119" t="s">
        <v>2118</v>
      </c>
      <c r="X1473" s="51" t="str">
        <f t="array" ref="X1473"> if(iserror(MATCH(V1473, 'File Links'!C:C, 0)), "N/A", HYPERLINK(INDEX('File Links'!B:B, MATCH(V1473, 'File Links'!C:C, 0))))</f>
        <v>https://drive.google.com/file/d/1GB5oPjHVuDXBTZ2__Had-zRIf9ZK4G7S/view?usp=drivesdk</v>
      </c>
      <c r="Y1473" s="108"/>
      <c r="Z1473" s="119" t="s">
        <v>219</v>
      </c>
      <c r="AA1473" s="119" t="s">
        <v>8292</v>
      </c>
      <c r="AB1473" s="108"/>
      <c r="AC1473" s="119" t="s">
        <v>8293</v>
      </c>
      <c r="AD1473" s="119" t="s">
        <v>8294</v>
      </c>
      <c r="AE1473" s="119" t="s">
        <v>805</v>
      </c>
      <c r="AF1473" s="534">
        <v>56.0</v>
      </c>
      <c r="AG1473" s="119" t="s">
        <v>8295</v>
      </c>
      <c r="AH1473" s="191" t="s">
        <v>353</v>
      </c>
      <c r="AI1473" s="109" t="s">
        <v>7217</v>
      </c>
      <c r="AJ1473" s="109" t="s">
        <v>8296</v>
      </c>
      <c r="AK1473" s="119" t="s">
        <v>165</v>
      </c>
      <c r="AL1473" s="109" t="s">
        <v>179</v>
      </c>
      <c r="AM1473" s="108" t="s">
        <v>130</v>
      </c>
      <c r="AN1473" s="108"/>
      <c r="AO1473" s="534">
        <v>233.0</v>
      </c>
      <c r="AP1473" s="119" t="s">
        <v>8345</v>
      </c>
      <c r="AQ1473" s="113" t="s">
        <v>8289</v>
      </c>
      <c r="AR1473" s="119" t="s">
        <v>868</v>
      </c>
      <c r="AS1473" s="119" t="s">
        <v>8346</v>
      </c>
      <c r="AT1473" s="119" t="s">
        <v>165</v>
      </c>
      <c r="AU1473" s="119" t="s">
        <v>179</v>
      </c>
      <c r="AV1473" s="108" t="s">
        <v>130</v>
      </c>
      <c r="AW1473" s="653" t="s">
        <v>8347</v>
      </c>
      <c r="AX1473" s="835" t="s">
        <v>431</v>
      </c>
      <c r="AY1473" s="146" t="s">
        <v>8348</v>
      </c>
      <c r="AZ1473" s="1432" t="s">
        <v>137</v>
      </c>
    </row>
    <row r="1474">
      <c r="A1474" s="41">
        <v>1474.0</v>
      </c>
      <c r="B1474" s="146" t="s">
        <v>107</v>
      </c>
      <c r="C1474" s="146" t="s">
        <v>108</v>
      </c>
      <c r="D1474" s="146" t="s">
        <v>169</v>
      </c>
      <c r="E1474" s="69"/>
      <c r="F1474" s="108" t="s">
        <v>8340</v>
      </c>
      <c r="G1474" s="109" t="s">
        <v>8349</v>
      </c>
      <c r="H1474" s="119" t="s">
        <v>169</v>
      </c>
      <c r="I1474" s="583">
        <v>45653.0</v>
      </c>
      <c r="J1474" s="108"/>
      <c r="K1474" s="119" t="s">
        <v>8291</v>
      </c>
      <c r="L1474" s="108"/>
      <c r="M1474" s="113" t="s">
        <v>8279</v>
      </c>
      <c r="N1474" s="119" t="s">
        <v>8280</v>
      </c>
      <c r="O1474" s="534">
        <v>1.0</v>
      </c>
      <c r="P1474" s="533" t="s">
        <v>8281</v>
      </c>
      <c r="Q1474" s="49" t="str">
        <f t="array" ref="Q1474"> if(iserror(MATCH(V1474, 'File Links'!C:C, 0)), "N/A", HYPERLINK(INDEX('File Links'!B:B, MATCH(P1474, 'File Links'!C:C, 0))))</f>
        <v>https://drive.google.com/file/d/1VcKqsyqYAl_exqLf4Zk_sKFNXaU3WlBH/view?usp=drivesdk</v>
      </c>
      <c r="R1474" s="119" t="s">
        <v>8344</v>
      </c>
      <c r="S1474" s="119" t="s">
        <v>8283</v>
      </c>
      <c r="T1474" s="108"/>
      <c r="U1474" s="534">
        <v>2.0</v>
      </c>
      <c r="V1474" s="195" t="str">
        <f t="shared" si="106"/>
        <v>10.1177--0956797613486983.pdf</v>
      </c>
      <c r="W1474" s="119" t="s">
        <v>2118</v>
      </c>
      <c r="X1474" s="51" t="str">
        <f t="array" ref="X1474"> if(iserror(MATCH(V1474, 'File Links'!C:C, 0)), "N/A", HYPERLINK(INDEX('File Links'!B:B, MATCH(V1474, 'File Links'!C:C, 0))))</f>
        <v>https://drive.google.com/file/d/1GB5oPjHVuDXBTZ2__Had-zRIf9ZK4G7S/view?usp=drivesdk</v>
      </c>
      <c r="Y1474" s="108"/>
      <c r="Z1474" s="119" t="s">
        <v>219</v>
      </c>
      <c r="AA1474" s="119" t="s">
        <v>8292</v>
      </c>
      <c r="AB1474" s="108"/>
      <c r="AC1474" s="119" t="s">
        <v>8300</v>
      </c>
      <c r="AD1474" s="119" t="s">
        <v>8301</v>
      </c>
      <c r="AE1474" s="119" t="s">
        <v>805</v>
      </c>
      <c r="AF1474" s="534">
        <v>56.0</v>
      </c>
      <c r="AG1474" s="119" t="s">
        <v>8302</v>
      </c>
      <c r="AH1474" s="191" t="s">
        <v>353</v>
      </c>
      <c r="AI1474" s="109" t="s">
        <v>7217</v>
      </c>
      <c r="AJ1474" s="109" t="s">
        <v>8303</v>
      </c>
      <c r="AK1474" s="119" t="s">
        <v>165</v>
      </c>
      <c r="AL1474" s="109" t="s">
        <v>179</v>
      </c>
      <c r="AM1474" s="108" t="s">
        <v>130</v>
      </c>
      <c r="AN1474" s="108"/>
      <c r="AO1474" s="534">
        <v>125.0</v>
      </c>
      <c r="AP1474" s="119" t="s">
        <v>8350</v>
      </c>
      <c r="AQ1474" s="156" t="s">
        <v>353</v>
      </c>
      <c r="AR1474" s="119" t="s">
        <v>868</v>
      </c>
      <c r="AS1474" s="108"/>
      <c r="AT1474" s="108"/>
      <c r="AU1474" s="108"/>
      <c r="AV1474" s="108"/>
      <c r="AW1474" s="653" t="s">
        <v>8347</v>
      </c>
      <c r="AX1474" s="835" t="s">
        <v>431</v>
      </c>
      <c r="AY1474" s="69"/>
      <c r="AZ1474" s="1432" t="s">
        <v>137</v>
      </c>
    </row>
    <row r="1475">
      <c r="A1475" s="41">
        <v>1475.0</v>
      </c>
      <c r="B1475" s="146" t="s">
        <v>107</v>
      </c>
      <c r="C1475" s="146" t="s">
        <v>108</v>
      </c>
      <c r="D1475" s="146" t="s">
        <v>169</v>
      </c>
      <c r="E1475" s="69"/>
      <c r="F1475" s="108" t="s">
        <v>8340</v>
      </c>
      <c r="G1475" s="109" t="s">
        <v>8351</v>
      </c>
      <c r="H1475" s="119" t="s">
        <v>169</v>
      </c>
      <c r="I1475" s="583">
        <v>45653.0</v>
      </c>
      <c r="J1475" s="108"/>
      <c r="K1475" s="119" t="s">
        <v>8291</v>
      </c>
      <c r="L1475" s="108"/>
      <c r="M1475" s="113" t="s">
        <v>8279</v>
      </c>
      <c r="N1475" s="119" t="s">
        <v>8280</v>
      </c>
      <c r="O1475" s="534">
        <v>1.0</v>
      </c>
      <c r="P1475" s="533" t="s">
        <v>8281</v>
      </c>
      <c r="Q1475" s="49" t="str">
        <f t="array" ref="Q1475"> if(iserror(MATCH(V1475, 'File Links'!C:C, 0)), "N/A", HYPERLINK(INDEX('File Links'!B:B, MATCH(P1475, 'File Links'!C:C, 0))))</f>
        <v>https://drive.google.com/file/d/1VcKqsyqYAl_exqLf4Zk_sKFNXaU3WlBH/view?usp=drivesdk</v>
      </c>
      <c r="R1475" s="119" t="s">
        <v>8344</v>
      </c>
      <c r="S1475" s="119" t="s">
        <v>8283</v>
      </c>
      <c r="T1475" s="108"/>
      <c r="U1475" s="534">
        <v>2.0</v>
      </c>
      <c r="V1475" s="195" t="str">
        <f t="shared" si="106"/>
        <v>10.1177--0956797613486983.pdf</v>
      </c>
      <c r="W1475" s="119" t="s">
        <v>2118</v>
      </c>
      <c r="X1475" s="51" t="str">
        <f t="array" ref="X1475"> if(iserror(MATCH(V1475, 'File Links'!C:C, 0)), "N/A", HYPERLINK(INDEX('File Links'!B:B, MATCH(V1475, 'File Links'!C:C, 0))))</f>
        <v>https://drive.google.com/file/d/1GB5oPjHVuDXBTZ2__Had-zRIf9ZK4G7S/view?usp=drivesdk</v>
      </c>
      <c r="Y1475" s="108"/>
      <c r="Z1475" s="119" t="s">
        <v>219</v>
      </c>
      <c r="AA1475" s="119" t="s">
        <v>8292</v>
      </c>
      <c r="AB1475" s="108"/>
      <c r="AC1475" s="119" t="s">
        <v>8306</v>
      </c>
      <c r="AD1475" s="119" t="s">
        <v>8301</v>
      </c>
      <c r="AE1475" s="119" t="s">
        <v>805</v>
      </c>
      <c r="AF1475" s="534">
        <v>56.0</v>
      </c>
      <c r="AG1475" s="119" t="s">
        <v>8307</v>
      </c>
      <c r="AH1475" s="191" t="s">
        <v>353</v>
      </c>
      <c r="AI1475" s="109" t="s">
        <v>7217</v>
      </c>
      <c r="AJ1475" s="109" t="s">
        <v>8308</v>
      </c>
      <c r="AK1475" s="119" t="s">
        <v>165</v>
      </c>
      <c r="AL1475" s="109" t="s">
        <v>179</v>
      </c>
      <c r="AM1475" s="108" t="s">
        <v>130</v>
      </c>
      <c r="AN1475" s="108"/>
      <c r="AO1475" s="534">
        <v>108.0</v>
      </c>
      <c r="AP1475" s="119" t="s">
        <v>8352</v>
      </c>
      <c r="AQ1475" s="156" t="s">
        <v>353</v>
      </c>
      <c r="AR1475" s="119" t="s">
        <v>868</v>
      </c>
      <c r="AS1475" s="108"/>
      <c r="AT1475" s="108"/>
      <c r="AU1475" s="108"/>
      <c r="AV1475" s="108"/>
      <c r="AW1475" s="653" t="s">
        <v>8347</v>
      </c>
      <c r="AX1475" s="835" t="s">
        <v>431</v>
      </c>
      <c r="AY1475" s="69"/>
      <c r="AZ1475" s="1432" t="s">
        <v>137</v>
      </c>
      <c r="BA1475" s="69"/>
      <c r="BB1475" s="69"/>
      <c r="BC1475" s="69"/>
      <c r="BD1475" s="69"/>
      <c r="BE1475" s="69"/>
      <c r="BF1475" s="69"/>
      <c r="BG1475" s="69"/>
      <c r="BH1475" s="69"/>
      <c r="BI1475" s="69"/>
      <c r="BJ1475" s="69"/>
      <c r="BK1475" s="69"/>
      <c r="BL1475" s="69"/>
      <c r="BM1475" s="69"/>
      <c r="BN1475" s="69"/>
      <c r="BO1475" s="69"/>
      <c r="BP1475" s="69"/>
      <c r="BQ1475" s="69"/>
      <c r="BR1475" s="69"/>
      <c r="BS1475" s="69"/>
      <c r="BT1475" s="69"/>
      <c r="BU1475" s="69"/>
      <c r="BV1475" s="69"/>
      <c r="BW1475" s="69"/>
      <c r="BX1475" s="69"/>
      <c r="BY1475" s="69"/>
      <c r="BZ1475" s="69"/>
      <c r="CA1475" s="69"/>
      <c r="CB1475" s="69"/>
      <c r="CC1475" s="69"/>
      <c r="CD1475" s="69"/>
      <c r="CE1475" s="69"/>
      <c r="CF1475" s="69"/>
      <c r="CG1475" s="69"/>
      <c r="CH1475" s="69"/>
      <c r="CI1475" s="69"/>
      <c r="CJ1475" s="69"/>
      <c r="CK1475" s="69"/>
      <c r="CL1475" s="69"/>
      <c r="CM1475" s="69"/>
      <c r="CN1475" s="69"/>
      <c r="CO1475" s="69"/>
      <c r="CP1475" s="69"/>
      <c r="CQ1475" s="69"/>
      <c r="CR1475" s="69"/>
      <c r="CS1475" s="69"/>
      <c r="CT1475" s="69"/>
      <c r="CU1475" s="69"/>
      <c r="CV1475" s="69"/>
      <c r="CW1475" s="69"/>
      <c r="CX1475" s="69"/>
      <c r="CY1475" s="69"/>
      <c r="CZ1475" s="69"/>
      <c r="DA1475" s="69"/>
      <c r="DB1475" s="69"/>
      <c r="DC1475" s="69"/>
      <c r="DD1475" s="69"/>
      <c r="DE1475" s="69"/>
      <c r="DF1475" s="69"/>
      <c r="DG1475" s="69"/>
      <c r="DH1475" s="69"/>
    </row>
    <row r="1476">
      <c r="A1476" s="41">
        <v>1476.0</v>
      </c>
      <c r="B1476" s="185" t="s">
        <v>583</v>
      </c>
      <c r="C1476" s="185" t="s">
        <v>108</v>
      </c>
      <c r="D1476" s="185" t="s">
        <v>2623</v>
      </c>
      <c r="E1476" s="186"/>
      <c r="F1476" s="366" t="s">
        <v>8353</v>
      </c>
      <c r="G1476" s="189" t="str">
        <f t="shared" ref="G1476:G1477" si="111">F1476&amp;"_"&amp;COUNTIF($B$3:F1476, F1476)</f>
        <v>curatescience86_1</v>
      </c>
      <c r="H1476" s="366" t="s">
        <v>7458</v>
      </c>
      <c r="I1476" s="367">
        <v>45675.0</v>
      </c>
      <c r="J1476" s="367">
        <v>45676.0</v>
      </c>
      <c r="K1476" s="187"/>
      <c r="L1476" s="187"/>
      <c r="M1476" s="1464" t="s">
        <v>8354</v>
      </c>
      <c r="N1476" s="366" t="s">
        <v>8355</v>
      </c>
      <c r="O1476" s="371">
        <v>1.0</v>
      </c>
      <c r="P1476" s="1558" t="str">
        <f t="shared" ref="P1476:P1477" si="112"> SUBSTITUTE(lower(N1476), "/", "--") &amp;  ".pdf"</f>
        <v>10.1016--j.jesp.2009.03.009.pdf</v>
      </c>
      <c r="Q1476" s="49" t="str">
        <f t="array" ref="Q1476"> if(iserror(MATCH(V1476, 'File Links'!C:C, 0)), "N/A", HYPERLINK(INDEX('File Links'!B:B, MATCH(P1476, 'File Links'!C:C, 0))))</f>
        <v>https://drive.google.com/file/d/13E6exELEtdG2RSbqcPYafnphBAN0Qwtm/view?usp=drivesdk</v>
      </c>
      <c r="R1476" s="366" t="s">
        <v>7462</v>
      </c>
      <c r="S1476" s="366" t="s">
        <v>7463</v>
      </c>
      <c r="T1476" s="1095" t="s">
        <v>7464</v>
      </c>
      <c r="U1476" s="366" t="s">
        <v>8356</v>
      </c>
      <c r="V1476" s="195" t="str">
        <f t="shared" si="106"/>
        <v>10.1027--1864-9335--a000178.pdf</v>
      </c>
      <c r="W1476" s="366" t="s">
        <v>7466</v>
      </c>
      <c r="X1476" s="51" t="str">
        <f t="array" ref="X1476"> if(iserror(MATCH(V1476, 'File Links'!C:C, 0)), "N/A", HYPERLINK(INDEX('File Links'!B:B, MATCH(V1476, 'File Links'!C:C, 0))))</f>
        <v>https://drive.google.com/file/d/1fIqa3RxgdnsQkWwGnLkF4XAbM2g_WN4q/view?usp=drivesdk</v>
      </c>
      <c r="Y1476" s="187"/>
      <c r="Z1476" s="366" t="s">
        <v>141</v>
      </c>
      <c r="AA1476" s="366" t="s">
        <v>8357</v>
      </c>
      <c r="AB1476" s="366" t="s">
        <v>8358</v>
      </c>
      <c r="AC1476" s="366" t="s">
        <v>8359</v>
      </c>
      <c r="AD1476" s="366" t="s">
        <v>8360</v>
      </c>
      <c r="AE1476" s="366" t="s">
        <v>8361</v>
      </c>
      <c r="AF1476" s="1468">
        <v>213.0</v>
      </c>
      <c r="AG1476" s="1468">
        <v>0.06</v>
      </c>
      <c r="AH1476" s="1418" t="s">
        <v>132</v>
      </c>
      <c r="AI1476" s="366" t="s">
        <v>8362</v>
      </c>
      <c r="AJ1476" s="1465">
        <v>0.01</v>
      </c>
      <c r="AK1476" s="189" t="s">
        <v>128</v>
      </c>
      <c r="AL1476" s="1559" t="s">
        <v>179</v>
      </c>
      <c r="AM1476" s="1466" t="s">
        <v>130</v>
      </c>
      <c r="AN1476" s="1559" t="s">
        <v>131</v>
      </c>
      <c r="AO1476" s="1467">
        <v>6120.0</v>
      </c>
      <c r="AP1476" s="1468">
        <v>0.03</v>
      </c>
      <c r="AQ1476" s="366" t="s">
        <v>132</v>
      </c>
      <c r="AR1476" s="366" t="s">
        <v>8363</v>
      </c>
      <c r="AS1476" s="1468">
        <v>0.05</v>
      </c>
      <c r="AT1476" s="366" t="s">
        <v>128</v>
      </c>
      <c r="AU1476" s="366" t="s">
        <v>129</v>
      </c>
      <c r="AV1476" s="1466" t="s">
        <v>130</v>
      </c>
      <c r="AW1476" s="1562" t="s">
        <v>131</v>
      </c>
      <c r="AX1476" s="1466" t="s">
        <v>136</v>
      </c>
      <c r="AY1476" s="186"/>
      <c r="AZ1476" s="185" t="s">
        <v>137</v>
      </c>
      <c r="BA1476" s="69"/>
      <c r="BB1476" s="69"/>
      <c r="BC1476" s="69"/>
      <c r="BD1476" s="69"/>
      <c r="BE1476" s="69"/>
      <c r="BF1476" s="69"/>
      <c r="BG1476" s="69"/>
      <c r="BH1476" s="69"/>
      <c r="BI1476" s="69"/>
      <c r="BJ1476" s="69"/>
      <c r="BK1476" s="69"/>
      <c r="BL1476" s="69"/>
      <c r="BM1476" s="69"/>
      <c r="BN1476" s="69"/>
      <c r="BO1476" s="69"/>
      <c r="BP1476" s="69"/>
      <c r="BQ1476" s="69"/>
      <c r="BR1476" s="69"/>
      <c r="BS1476" s="69"/>
      <c r="BT1476" s="69"/>
      <c r="BU1476" s="69"/>
      <c r="BV1476" s="69"/>
      <c r="BW1476" s="69"/>
      <c r="BX1476" s="69"/>
      <c r="BY1476" s="69"/>
      <c r="BZ1476" s="69"/>
      <c r="CA1476" s="69"/>
      <c r="CB1476" s="69"/>
      <c r="CC1476" s="69"/>
      <c r="CD1476" s="69"/>
      <c r="CE1476" s="69"/>
      <c r="CF1476" s="69"/>
      <c r="CG1476" s="69"/>
      <c r="CH1476" s="69"/>
      <c r="CI1476" s="69"/>
      <c r="CJ1476" s="69"/>
      <c r="CK1476" s="69"/>
      <c r="CL1476" s="69"/>
      <c r="CM1476" s="69"/>
      <c r="CN1476" s="69"/>
      <c r="CO1476" s="69"/>
      <c r="CP1476" s="69"/>
      <c r="CQ1476" s="69"/>
      <c r="CR1476" s="69"/>
      <c r="CS1476" s="69"/>
      <c r="CT1476" s="69"/>
      <c r="CU1476" s="69"/>
      <c r="CV1476" s="69"/>
      <c r="CW1476" s="69"/>
      <c r="CX1476" s="69"/>
      <c r="CY1476" s="69"/>
      <c r="CZ1476" s="69"/>
      <c r="DA1476" s="69"/>
      <c r="DB1476" s="69"/>
      <c r="DC1476" s="69"/>
      <c r="DD1476" s="69"/>
      <c r="DE1476" s="69"/>
      <c r="DF1476" s="69"/>
      <c r="DG1476" s="69"/>
      <c r="DH1476" s="69"/>
    </row>
    <row r="1477">
      <c r="A1477" s="41">
        <v>1477.0</v>
      </c>
      <c r="B1477" s="185" t="s">
        <v>516</v>
      </c>
      <c r="C1477" s="185" t="s">
        <v>108</v>
      </c>
      <c r="D1477" s="185" t="s">
        <v>1227</v>
      </c>
      <c r="E1477" s="186"/>
      <c r="F1477" s="195" t="s">
        <v>8353</v>
      </c>
      <c r="G1477" s="55" t="str">
        <f t="shared" si="111"/>
        <v>curatescience86_2</v>
      </c>
      <c r="H1477" s="195" t="s">
        <v>6921</v>
      </c>
      <c r="I1477" s="188">
        <v>45901.0</v>
      </c>
      <c r="J1477" s="188">
        <v>45901.0</v>
      </c>
      <c r="K1477" s="187"/>
      <c r="L1477" s="187"/>
      <c r="M1477" s="1679" t="s">
        <v>8354</v>
      </c>
      <c r="N1477" s="195" t="s">
        <v>8355</v>
      </c>
      <c r="O1477" s="755">
        <v>1.0</v>
      </c>
      <c r="P1477" s="974" t="str">
        <f t="shared" si="112"/>
        <v>10.1016--j.jesp.2009.03.009.pdf</v>
      </c>
      <c r="Q1477" s="49" t="str">
        <f t="array" ref="Q1477"> if(iserror(MATCH(V1477, 'File Links'!C:C, 0)), "N/A", HYPERLINK(INDEX('File Links'!B:B, MATCH(P1477, 'File Links'!C:C, 0))))</f>
        <v>https://drive.google.com/file/d/13E6exELEtdG2RSbqcPYafnphBAN0Qwtm/view?usp=drivesdk</v>
      </c>
      <c r="R1477" s="366" t="s">
        <v>7462</v>
      </c>
      <c r="S1477" s="366" t="s">
        <v>7463</v>
      </c>
      <c r="T1477" s="1095" t="s">
        <v>7464</v>
      </c>
      <c r="U1477" s="187"/>
      <c r="V1477" s="195" t="str">
        <f t="shared" si="106"/>
        <v>10.1027--1864-9335--a000178.pdf</v>
      </c>
      <c r="X1477" s="51" t="str">
        <f t="array" ref="X1477"> if(iserror(MATCH(V1477, 'File Links'!C:C, 0)), "N/A", HYPERLINK(INDEX('File Links'!B:B, MATCH(V1477, 'File Links'!C:C, 0))))</f>
        <v>https://drive.google.com/file/d/1fIqa3RxgdnsQkWwGnLkF4XAbM2g_WN4q/view?usp=drivesdk</v>
      </c>
      <c r="Y1477" s="187"/>
      <c r="Z1477" s="195" t="s">
        <v>219</v>
      </c>
      <c r="AA1477" s="195" t="s">
        <v>8364</v>
      </c>
      <c r="AB1477" s="187"/>
      <c r="AC1477" s="187"/>
      <c r="AD1477" s="195" t="s">
        <v>8365</v>
      </c>
      <c r="AE1477" s="755">
        <v>868.0</v>
      </c>
      <c r="AF1477" s="755">
        <v>213.0</v>
      </c>
      <c r="AG1477" s="187"/>
      <c r="AH1477" s="187"/>
      <c r="AI1477" s="187"/>
      <c r="AJ1477" s="192"/>
      <c r="AK1477" s="190"/>
      <c r="AL1477" s="190"/>
      <c r="AM1477" s="187"/>
      <c r="AN1477" s="190"/>
      <c r="AO1477" s="187"/>
      <c r="AP1477" s="187"/>
      <c r="AQ1477" s="187"/>
      <c r="AR1477" s="187"/>
      <c r="AS1477" s="187"/>
      <c r="AT1477" s="187"/>
      <c r="AU1477" s="187"/>
      <c r="AV1477" s="187"/>
      <c r="AW1477" s="187"/>
      <c r="AX1477" s="187" t="s">
        <v>136</v>
      </c>
      <c r="AY1477" s="186"/>
      <c r="AZ1477" s="185" t="s">
        <v>137</v>
      </c>
      <c r="BA1477" s="69"/>
      <c r="BB1477" s="69"/>
      <c r="BC1477" s="69"/>
      <c r="BD1477" s="69"/>
      <c r="BE1477" s="69"/>
      <c r="BF1477" s="69"/>
      <c r="BG1477" s="69"/>
      <c r="BH1477" s="69"/>
      <c r="BI1477" s="69"/>
      <c r="BJ1477" s="69"/>
      <c r="BK1477" s="69"/>
      <c r="BL1477" s="69"/>
      <c r="BM1477" s="69"/>
      <c r="BN1477" s="69"/>
      <c r="BO1477" s="69"/>
      <c r="BP1477" s="69"/>
      <c r="BQ1477" s="69"/>
      <c r="BR1477" s="69"/>
      <c r="BS1477" s="69"/>
      <c r="BT1477" s="69"/>
      <c r="BU1477" s="69"/>
      <c r="BV1477" s="69"/>
      <c r="BW1477" s="69"/>
      <c r="BX1477" s="69"/>
      <c r="BY1477" s="69"/>
      <c r="BZ1477" s="69"/>
      <c r="CA1477" s="69"/>
      <c r="CB1477" s="69"/>
      <c r="CC1477" s="69"/>
      <c r="CD1477" s="69"/>
      <c r="CE1477" s="69"/>
      <c r="CF1477" s="69"/>
      <c r="CG1477" s="69"/>
      <c r="CH1477" s="69"/>
      <c r="CI1477" s="69"/>
      <c r="CJ1477" s="69"/>
      <c r="CK1477" s="69"/>
      <c r="CL1477" s="69"/>
      <c r="CM1477" s="69"/>
      <c r="CN1477" s="69"/>
      <c r="CO1477" s="69"/>
      <c r="CP1477" s="69"/>
      <c r="CQ1477" s="69"/>
      <c r="CR1477" s="69"/>
      <c r="CS1477" s="69"/>
      <c r="CT1477" s="69"/>
      <c r="CU1477" s="69"/>
      <c r="CV1477" s="69"/>
      <c r="CW1477" s="69"/>
      <c r="CX1477" s="69"/>
      <c r="CY1477" s="69"/>
      <c r="CZ1477" s="69"/>
      <c r="DA1477" s="69"/>
      <c r="DB1477" s="69"/>
      <c r="DC1477" s="69"/>
      <c r="DD1477" s="69"/>
      <c r="DE1477" s="69"/>
      <c r="DF1477" s="69"/>
      <c r="DG1477" s="69"/>
      <c r="DH1477" s="69"/>
    </row>
    <row r="1478">
      <c r="A1478" s="41">
        <v>1478.0</v>
      </c>
      <c r="B1478" s="144" t="s">
        <v>516</v>
      </c>
      <c r="C1478" s="146" t="s">
        <v>108</v>
      </c>
      <c r="D1478" s="146" t="s">
        <v>169</v>
      </c>
      <c r="E1478" s="69"/>
      <c r="F1478" s="119" t="s">
        <v>8366</v>
      </c>
      <c r="G1478" s="119" t="s">
        <v>8367</v>
      </c>
      <c r="H1478" s="119" t="s">
        <v>7218</v>
      </c>
      <c r="I1478" s="1395" t="s">
        <v>7219</v>
      </c>
      <c r="J1478" s="108"/>
      <c r="K1478" s="119" t="s">
        <v>7220</v>
      </c>
      <c r="L1478" s="119" t="s">
        <v>8368</v>
      </c>
      <c r="M1478" s="119" t="s">
        <v>7207</v>
      </c>
      <c r="N1478" s="119" t="s">
        <v>4486</v>
      </c>
      <c r="O1478" s="534">
        <v>1.0</v>
      </c>
      <c r="P1478" s="533" t="s">
        <v>7208</v>
      </c>
      <c r="Q1478" s="105" t="str">
        <f t="array" ref="Q1478"> if(iserror(MATCH(V1478, 'File Links'!C:C, 0)), "N/A", HYPERLINK(INDEX('File Links'!B:B, MATCH(P1478, 'File Links'!C:C, 0))))</f>
        <v>N/A</v>
      </c>
      <c r="R1478" s="119" t="s">
        <v>8369</v>
      </c>
      <c r="S1478" s="1680" t="s">
        <v>131</v>
      </c>
      <c r="T1478" s="417" t="s">
        <v>8370</v>
      </c>
      <c r="U1478" s="534">
        <v>1.0</v>
      </c>
      <c r="V1478" s="119" t="s">
        <v>570</v>
      </c>
      <c r="W1478" s="119" t="s">
        <v>7212</v>
      </c>
      <c r="X1478" s="46" t="str">
        <f t="array" ref="X1478"> if(iserror(MATCH(V1478, 'File Links'!C:C, 0)), "N/A", HYPERLINK(INDEX('File Links'!B:B, MATCH(V1478, 'File Links'!C:C, 0))))</f>
        <v>N/A</v>
      </c>
      <c r="Y1478" s="108"/>
      <c r="Z1478" s="119" t="s">
        <v>219</v>
      </c>
      <c r="AA1478" s="119" t="s">
        <v>7213</v>
      </c>
      <c r="AB1478" s="119" t="s">
        <v>7222</v>
      </c>
      <c r="AC1478" s="119" t="s">
        <v>8371</v>
      </c>
      <c r="AD1478" s="119" t="s">
        <v>7223</v>
      </c>
      <c r="AE1478" s="478" t="s">
        <v>868</v>
      </c>
      <c r="AF1478" s="534">
        <v>40.0</v>
      </c>
      <c r="AG1478" s="1397" t="s">
        <v>7224</v>
      </c>
      <c r="AH1478" s="119" t="s">
        <v>127</v>
      </c>
      <c r="AI1478" s="119" t="s">
        <v>2764</v>
      </c>
      <c r="AJ1478" s="1404" t="s">
        <v>131</v>
      </c>
      <c r="AK1478" s="119" t="s">
        <v>131</v>
      </c>
      <c r="AL1478" s="119" t="s">
        <v>131</v>
      </c>
      <c r="AM1478" s="119" t="s">
        <v>131</v>
      </c>
      <c r="AN1478" s="108"/>
      <c r="AO1478" s="534">
        <v>60.0</v>
      </c>
      <c r="AP1478" s="1681" t="s">
        <v>8372</v>
      </c>
      <c r="AQ1478" s="119" t="s">
        <v>127</v>
      </c>
      <c r="AR1478" s="119" t="s">
        <v>131</v>
      </c>
      <c r="AS1478" s="1399">
        <v>0.04</v>
      </c>
      <c r="AT1478" s="119" t="s">
        <v>128</v>
      </c>
      <c r="AU1478" s="119" t="s">
        <v>211</v>
      </c>
      <c r="AV1478" s="119" t="s">
        <v>130</v>
      </c>
      <c r="AW1478" s="119" t="s">
        <v>131</v>
      </c>
      <c r="AX1478" s="119" t="s">
        <v>136</v>
      </c>
      <c r="AY1478" s="108"/>
      <c r="AZ1478" s="146" t="s">
        <v>8373</v>
      </c>
      <c r="BA1478" s="69"/>
      <c r="BB1478" s="69"/>
      <c r="BC1478" s="69"/>
      <c r="BD1478" s="69"/>
      <c r="BE1478" s="69"/>
      <c r="BF1478" s="69"/>
      <c r="BG1478" s="69"/>
      <c r="BH1478" s="69"/>
      <c r="BI1478" s="69"/>
      <c r="BJ1478" s="69"/>
      <c r="BK1478" s="69"/>
      <c r="BL1478" s="69"/>
      <c r="BM1478" s="69"/>
      <c r="BN1478" s="69"/>
      <c r="BO1478" s="69"/>
      <c r="BP1478" s="69"/>
      <c r="BQ1478" s="69"/>
      <c r="BR1478" s="69"/>
      <c r="BS1478" s="69"/>
      <c r="BT1478" s="69"/>
      <c r="BU1478" s="69"/>
      <c r="BV1478" s="69"/>
      <c r="BW1478" s="69"/>
      <c r="BX1478" s="69"/>
      <c r="BY1478" s="69"/>
      <c r="BZ1478" s="69"/>
      <c r="CA1478" s="69"/>
      <c r="CB1478" s="69"/>
      <c r="CC1478" s="69"/>
      <c r="CD1478" s="69"/>
      <c r="CE1478" s="69"/>
      <c r="CF1478" s="69"/>
      <c r="CG1478" s="69"/>
      <c r="CH1478" s="69"/>
      <c r="CI1478" s="69"/>
      <c r="CJ1478" s="69"/>
      <c r="CK1478" s="69"/>
      <c r="CL1478" s="69"/>
      <c r="CM1478" s="69"/>
      <c r="CN1478" s="69"/>
      <c r="CO1478" s="69"/>
      <c r="CP1478" s="69"/>
      <c r="CQ1478" s="69"/>
      <c r="CR1478" s="69"/>
      <c r="CS1478" s="69"/>
      <c r="CT1478" s="69"/>
      <c r="CU1478" s="69"/>
      <c r="CV1478" s="69"/>
      <c r="CW1478" s="69"/>
      <c r="CX1478" s="69"/>
      <c r="CY1478" s="69"/>
      <c r="CZ1478" s="69"/>
      <c r="DA1478" s="69"/>
      <c r="DB1478" s="69"/>
      <c r="DC1478" s="69"/>
      <c r="DD1478" s="69"/>
      <c r="DE1478" s="69"/>
      <c r="DF1478" s="69"/>
      <c r="DG1478" s="69"/>
      <c r="DH1478" s="69"/>
    </row>
    <row r="1479">
      <c r="A1479" s="41">
        <v>1479.0</v>
      </c>
      <c r="B1479" s="144" t="s">
        <v>516</v>
      </c>
      <c r="C1479" s="146" t="s">
        <v>108</v>
      </c>
      <c r="D1479" s="146" t="s">
        <v>983</v>
      </c>
      <c r="E1479" s="69"/>
      <c r="F1479" s="119" t="s">
        <v>8366</v>
      </c>
      <c r="G1479" s="119" t="s">
        <v>8367</v>
      </c>
      <c r="H1479" s="119" t="s">
        <v>7203</v>
      </c>
      <c r="I1479" s="1395" t="s">
        <v>112</v>
      </c>
      <c r="J1479" s="1682" t="s">
        <v>7204</v>
      </c>
      <c r="K1479" s="108" t="s">
        <v>8374</v>
      </c>
      <c r="L1479" s="119" t="s">
        <v>8368</v>
      </c>
      <c r="M1479" s="119" t="s">
        <v>7207</v>
      </c>
      <c r="N1479" s="119" t="s">
        <v>4486</v>
      </c>
      <c r="O1479" s="534">
        <v>1.0</v>
      </c>
      <c r="P1479" s="533" t="s">
        <v>7208</v>
      </c>
      <c r="Q1479" s="105" t="str">
        <f t="array" ref="Q1479"> if(iserror(MATCH(V1479, 'File Links'!C:C, 0)), "N/A", HYPERLINK(INDEX('File Links'!B:B, MATCH(P1479, 'File Links'!C:C, 0))))</f>
        <v>N/A</v>
      </c>
      <c r="R1479" s="119" t="s">
        <v>8369</v>
      </c>
      <c r="S1479" s="119" t="s">
        <v>131</v>
      </c>
      <c r="T1479" s="417" t="s">
        <v>8370</v>
      </c>
      <c r="U1479" s="534">
        <v>1.0</v>
      </c>
      <c r="V1479" s="119" t="s">
        <v>8375</v>
      </c>
      <c r="W1479" s="119" t="s">
        <v>7212</v>
      </c>
      <c r="X1479" s="46" t="str">
        <f t="array" ref="X1479"> if(iserror(MATCH(V1479, 'File Links'!C:C, 0)), "N/A", HYPERLINK(INDEX('File Links'!B:B, MATCH(V1479, 'File Links'!C:C, 0))))</f>
        <v>N/A</v>
      </c>
      <c r="Y1479" s="119"/>
      <c r="Z1479" s="119" t="s">
        <v>219</v>
      </c>
      <c r="AA1479" s="119" t="s">
        <v>7213</v>
      </c>
      <c r="AB1479" s="119" t="s">
        <v>7214</v>
      </c>
      <c r="AC1479" s="119" t="s">
        <v>7215</v>
      </c>
      <c r="AD1479" s="119" t="s">
        <v>7216</v>
      </c>
      <c r="AE1479" s="478" t="s">
        <v>500</v>
      </c>
      <c r="AF1479" s="534">
        <v>40.0</v>
      </c>
      <c r="AG1479" s="534">
        <v>0.09</v>
      </c>
      <c r="AH1479" s="1418" t="s">
        <v>867</v>
      </c>
      <c r="AI1479" s="119" t="s">
        <v>500</v>
      </c>
      <c r="AJ1479" s="119" t="s">
        <v>131</v>
      </c>
      <c r="AK1479" s="119" t="s">
        <v>165</v>
      </c>
      <c r="AL1479" s="119" t="s">
        <v>179</v>
      </c>
      <c r="AM1479" s="119" t="s">
        <v>130</v>
      </c>
      <c r="AN1479" s="119" t="s">
        <v>131</v>
      </c>
      <c r="AO1479" s="534">
        <v>60.0</v>
      </c>
      <c r="AP1479" s="1398">
        <v>-1.8</v>
      </c>
      <c r="AQ1479" s="119" t="s">
        <v>127</v>
      </c>
      <c r="AR1479" s="119" t="s">
        <v>7217</v>
      </c>
      <c r="AS1479" s="534">
        <v>0.04</v>
      </c>
      <c r="AT1479" s="119" t="s">
        <v>128</v>
      </c>
      <c r="AU1479" s="119" t="s">
        <v>211</v>
      </c>
      <c r="AV1479" s="119" t="s">
        <v>130</v>
      </c>
      <c r="AW1479" s="119" t="s">
        <v>131</v>
      </c>
      <c r="AX1479" s="119" t="s">
        <v>136</v>
      </c>
      <c r="AY1479" s="108"/>
      <c r="AZ1479" s="146" t="s">
        <v>8373</v>
      </c>
      <c r="BA1479" s="69"/>
      <c r="BB1479" s="69"/>
      <c r="BC1479" s="69"/>
      <c r="BD1479" s="69"/>
      <c r="BE1479" s="69"/>
      <c r="BF1479" s="69"/>
      <c r="BG1479" s="69"/>
      <c r="BH1479" s="69"/>
      <c r="BI1479" s="69"/>
      <c r="BJ1479" s="69"/>
      <c r="BK1479" s="69"/>
      <c r="BL1479" s="69"/>
      <c r="BM1479" s="69"/>
      <c r="BN1479" s="69"/>
      <c r="BO1479" s="69"/>
      <c r="BP1479" s="69"/>
      <c r="BQ1479" s="69"/>
      <c r="BR1479" s="69"/>
      <c r="BS1479" s="69"/>
      <c r="BT1479" s="69"/>
      <c r="BU1479" s="69"/>
      <c r="BV1479" s="69"/>
      <c r="BW1479" s="69"/>
      <c r="BX1479" s="69"/>
      <c r="BY1479" s="69"/>
      <c r="BZ1479" s="69"/>
      <c r="CA1479" s="69"/>
      <c r="CB1479" s="69"/>
      <c r="CC1479" s="69"/>
      <c r="CD1479" s="69"/>
      <c r="CE1479" s="69"/>
      <c r="CF1479" s="69"/>
      <c r="CG1479" s="69"/>
      <c r="CH1479" s="69"/>
      <c r="CI1479" s="69"/>
      <c r="CJ1479" s="69"/>
      <c r="CK1479" s="69"/>
      <c r="CL1479" s="69"/>
      <c r="CM1479" s="69"/>
      <c r="CN1479" s="69"/>
      <c r="CO1479" s="69"/>
      <c r="CP1479" s="69"/>
      <c r="CQ1479" s="69"/>
      <c r="CR1479" s="69"/>
      <c r="CS1479" s="69"/>
      <c r="CT1479" s="69"/>
      <c r="CU1479" s="69"/>
      <c r="CV1479" s="69"/>
      <c r="CW1479" s="69"/>
      <c r="CX1479" s="69"/>
      <c r="CY1479" s="69"/>
      <c r="CZ1479" s="69"/>
      <c r="DA1479" s="69"/>
      <c r="DB1479" s="69"/>
      <c r="DC1479" s="69"/>
      <c r="DD1479" s="69"/>
      <c r="DE1479" s="69"/>
      <c r="DF1479" s="69"/>
      <c r="DG1479" s="69"/>
      <c r="DH1479" s="69"/>
    </row>
    <row r="1480">
      <c r="A1480" s="41">
        <v>1480.0</v>
      </c>
      <c r="B1480" s="53" t="s">
        <v>107</v>
      </c>
      <c r="C1480" s="338" t="s">
        <v>108</v>
      </c>
      <c r="D1480" s="338" t="s">
        <v>169</v>
      </c>
      <c r="E1480" s="339"/>
      <c r="F1480" s="1683" t="s">
        <v>8376</v>
      </c>
      <c r="G1480" s="357" t="s">
        <v>8377</v>
      </c>
      <c r="H1480" s="357" t="s">
        <v>7218</v>
      </c>
      <c r="I1480" s="1684" t="s">
        <v>8378</v>
      </c>
      <c r="J1480" s="43"/>
      <c r="K1480" s="43" t="s">
        <v>8379</v>
      </c>
      <c r="L1480" s="53" t="s">
        <v>8380</v>
      </c>
      <c r="M1480" s="357" t="s">
        <v>8381</v>
      </c>
      <c r="N1480" s="357" t="s">
        <v>8382</v>
      </c>
      <c r="O1480" s="357" t="s">
        <v>4085</v>
      </c>
      <c r="P1480" s="514" t="s">
        <v>8383</v>
      </c>
      <c r="Q1480" s="105" t="str">
        <f t="array" ref="Q1480"> if(iserror(MATCH(V1480, 'File Links'!C:C, 0)), "N/A", HYPERLINK(INDEX('File Links'!B:B, MATCH(P1480, 'File Links'!C:C, 0))))</f>
        <v>N/A</v>
      </c>
      <c r="R1480" s="357" t="s">
        <v>8384</v>
      </c>
      <c r="S1480" s="43"/>
      <c r="T1480" s="593" t="s">
        <v>8385</v>
      </c>
      <c r="U1480" s="357" t="s">
        <v>8386</v>
      </c>
      <c r="V1480" s="357" t="s">
        <v>570</v>
      </c>
      <c r="W1480" s="43" t="s">
        <v>157</v>
      </c>
      <c r="X1480" s="46" t="str">
        <f t="array" ref="X1480"> if(iserror(MATCH(V1480, 'File Links'!C:C, 0)), "N/A", HYPERLINK(INDEX('File Links'!B:B, MATCH(V1480, 'File Links'!C:C, 0))))</f>
        <v>N/A</v>
      </c>
      <c r="Y1480" s="43"/>
      <c r="Z1480" s="43" t="s">
        <v>219</v>
      </c>
      <c r="AA1480" s="357" t="s">
        <v>8387</v>
      </c>
      <c r="AB1480" s="357" t="s">
        <v>8388</v>
      </c>
      <c r="AC1480" s="357" t="s">
        <v>8389</v>
      </c>
      <c r="AD1480" s="43" t="s">
        <v>8390</v>
      </c>
      <c r="AE1480" s="43" t="s">
        <v>1166</v>
      </c>
      <c r="AF1480" s="354">
        <v>210.0</v>
      </c>
      <c r="AG1480" s="354">
        <v>0.58</v>
      </c>
      <c r="AH1480" s="357" t="s">
        <v>166</v>
      </c>
      <c r="AI1480" s="43" t="s">
        <v>8391</v>
      </c>
      <c r="AJ1480" s="1685">
        <v>0.018</v>
      </c>
      <c r="AK1480" s="43" t="s">
        <v>165</v>
      </c>
      <c r="AL1480" s="43" t="s">
        <v>179</v>
      </c>
      <c r="AM1480" s="43" t="s">
        <v>130</v>
      </c>
      <c r="AN1480" s="53" t="s">
        <v>131</v>
      </c>
      <c r="AO1480" s="354">
        <v>1008.0</v>
      </c>
      <c r="AP1480" s="1686">
        <v>-0.098</v>
      </c>
      <c r="AQ1480" s="357" t="s">
        <v>166</v>
      </c>
      <c r="AR1480" s="43" t="s">
        <v>131</v>
      </c>
      <c r="AS1480" s="1687" t="s">
        <v>131</v>
      </c>
      <c r="AT1480" s="43" t="s">
        <v>165</v>
      </c>
      <c r="AU1480" s="43" t="s">
        <v>179</v>
      </c>
      <c r="AV1480" s="43" t="s">
        <v>130</v>
      </c>
      <c r="AW1480" s="357" t="s">
        <v>131</v>
      </c>
      <c r="AX1480" s="43" t="s">
        <v>136</v>
      </c>
      <c r="AY1480" s="43"/>
      <c r="AZ1480" s="338" t="s">
        <v>8392</v>
      </c>
      <c r="BA1480" s="339"/>
      <c r="BB1480" s="339"/>
      <c r="BC1480" s="339"/>
      <c r="BD1480" s="339"/>
      <c r="BE1480" s="339"/>
      <c r="BF1480" s="339"/>
      <c r="BG1480" s="339"/>
      <c r="BH1480" s="339"/>
      <c r="BI1480" s="339"/>
      <c r="BJ1480" s="339"/>
      <c r="BK1480" s="339"/>
      <c r="BL1480" s="339"/>
      <c r="BM1480" s="339"/>
      <c r="BN1480" s="339"/>
      <c r="BO1480" s="339"/>
      <c r="BP1480" s="339"/>
      <c r="BQ1480" s="339"/>
      <c r="BR1480" s="339"/>
      <c r="BS1480" s="339"/>
      <c r="BT1480" s="339"/>
      <c r="BU1480" s="339"/>
      <c r="BV1480" s="339"/>
      <c r="BW1480" s="339"/>
      <c r="BX1480" s="339"/>
      <c r="BY1480" s="339"/>
      <c r="BZ1480" s="339"/>
      <c r="CA1480" s="339"/>
      <c r="CB1480" s="339"/>
      <c r="CC1480" s="339"/>
      <c r="CD1480" s="339"/>
      <c r="CE1480" s="339"/>
      <c r="CF1480" s="339"/>
      <c r="CG1480" s="339"/>
      <c r="CH1480" s="339"/>
      <c r="CI1480" s="339"/>
      <c r="CJ1480" s="339"/>
      <c r="CK1480" s="339"/>
      <c r="CL1480" s="339"/>
      <c r="CM1480" s="339"/>
      <c r="CN1480" s="339"/>
      <c r="CO1480" s="339"/>
      <c r="CP1480" s="339"/>
      <c r="CQ1480" s="339"/>
      <c r="CR1480" s="339"/>
      <c r="CS1480" s="339"/>
      <c r="CT1480" s="339"/>
      <c r="CU1480" s="339"/>
      <c r="CV1480" s="339"/>
      <c r="CW1480" s="339"/>
      <c r="CX1480" s="339"/>
      <c r="CY1480" s="339"/>
      <c r="CZ1480" s="339"/>
      <c r="DA1480" s="339"/>
      <c r="DB1480" s="339"/>
      <c r="DC1480" s="339"/>
      <c r="DD1480" s="339"/>
      <c r="DE1480" s="339"/>
      <c r="DF1480" s="339"/>
      <c r="DG1480" s="339"/>
      <c r="DH1480" s="339"/>
    </row>
    <row r="1481">
      <c r="A1481" s="41">
        <v>1481.0</v>
      </c>
      <c r="B1481" s="53" t="s">
        <v>145</v>
      </c>
      <c r="C1481" s="338" t="s">
        <v>108</v>
      </c>
      <c r="D1481" s="338" t="s">
        <v>1434</v>
      </c>
      <c r="E1481" s="339"/>
      <c r="F1481" s="53" t="s">
        <v>8376</v>
      </c>
      <c r="G1481" s="53" t="s">
        <v>8393</v>
      </c>
      <c r="H1481" s="340" t="s">
        <v>8394</v>
      </c>
      <c r="I1481" s="344" t="s">
        <v>8395</v>
      </c>
      <c r="J1481" s="1579">
        <v>45741.0</v>
      </c>
      <c r="K1481" s="340" t="s">
        <v>8396</v>
      </c>
      <c r="L1481" s="43"/>
      <c r="M1481" s="53" t="s">
        <v>8381</v>
      </c>
      <c r="N1481" s="53" t="s">
        <v>8382</v>
      </c>
      <c r="O1481" s="52" t="s">
        <v>4085</v>
      </c>
      <c r="P1481" s="1688" t="s">
        <v>8383</v>
      </c>
      <c r="Q1481" s="105" t="str">
        <f t="array" ref="Q1481"> if(iserror(MATCH(V1481, 'File Links'!C:C, 0)), "N/A", HYPERLINK(INDEX('File Links'!B:B, MATCH(P1481, 'File Links'!C:C, 0))))</f>
        <v>N/A</v>
      </c>
      <c r="R1481" s="1689" t="s">
        <v>8384</v>
      </c>
      <c r="S1481" s="43"/>
      <c r="T1481" s="1690" t="s">
        <v>8385</v>
      </c>
      <c r="U1481" s="52" t="s">
        <v>8397</v>
      </c>
      <c r="V1481" s="340" t="s">
        <v>570</v>
      </c>
      <c r="W1481" s="340" t="s">
        <v>8398</v>
      </c>
      <c r="X1481" s="46" t="str">
        <f t="array" ref="X1481"> if(iserror(MATCH(V1481, 'File Links'!C:C, 0)), "N/A", HYPERLINK(INDEX('File Links'!B:B, MATCH(V1481, 'File Links'!C:C, 0))))</f>
        <v>N/A</v>
      </c>
      <c r="Y1481" s="53"/>
      <c r="Z1481" s="340" t="s">
        <v>203</v>
      </c>
      <c r="AA1481" s="53" t="s">
        <v>8399</v>
      </c>
      <c r="AB1481" s="340" t="s">
        <v>8400</v>
      </c>
      <c r="AC1481" s="340" t="s">
        <v>8401</v>
      </c>
      <c r="AD1481" s="340" t="s">
        <v>8402</v>
      </c>
      <c r="AE1481" s="340">
        <v>16.0</v>
      </c>
      <c r="AF1481" s="344">
        <v>210.0</v>
      </c>
      <c r="AG1481" s="344">
        <v>0.03</v>
      </c>
      <c r="AH1481" s="340" t="s">
        <v>867</v>
      </c>
      <c r="AI1481" s="340" t="s">
        <v>175</v>
      </c>
      <c r="AJ1481" s="344">
        <v>0.018</v>
      </c>
      <c r="AK1481" s="340" t="s">
        <v>165</v>
      </c>
      <c r="AL1481" s="340" t="s">
        <v>179</v>
      </c>
      <c r="AM1481" s="53" t="s">
        <v>130</v>
      </c>
      <c r="AN1481" s="53" t="s">
        <v>131</v>
      </c>
      <c r="AO1481" s="344">
        <v>1008.0</v>
      </c>
      <c r="AP1481" s="344">
        <v>-0.098</v>
      </c>
      <c r="AQ1481" s="340" t="s">
        <v>166</v>
      </c>
      <c r="AR1481" s="340" t="s">
        <v>8403</v>
      </c>
      <c r="AS1481" s="344">
        <v>0.27</v>
      </c>
      <c r="AT1481" s="340" t="s">
        <v>165</v>
      </c>
      <c r="AU1481" s="340" t="s">
        <v>129</v>
      </c>
      <c r="AV1481" s="53" t="s">
        <v>130</v>
      </c>
      <c r="AW1481" s="1691" t="s">
        <v>131</v>
      </c>
      <c r="AX1481" s="53" t="s">
        <v>136</v>
      </c>
      <c r="AY1481" s="339"/>
      <c r="AZ1481" s="338" t="s">
        <v>685</v>
      </c>
      <c r="BA1481" s="339"/>
      <c r="BB1481" s="339"/>
      <c r="BC1481" s="339"/>
      <c r="BD1481" s="339"/>
      <c r="BE1481" s="339"/>
      <c r="BF1481" s="339"/>
      <c r="BG1481" s="339"/>
      <c r="BH1481" s="339"/>
      <c r="BI1481" s="339"/>
      <c r="BJ1481" s="339"/>
      <c r="BK1481" s="339"/>
      <c r="BL1481" s="339"/>
      <c r="BM1481" s="339"/>
      <c r="BN1481" s="339"/>
      <c r="BO1481" s="339"/>
      <c r="BP1481" s="339"/>
      <c r="BQ1481" s="339"/>
      <c r="BR1481" s="339"/>
      <c r="BS1481" s="339"/>
      <c r="BT1481" s="339"/>
      <c r="BU1481" s="339"/>
      <c r="BV1481" s="339"/>
      <c r="BW1481" s="339"/>
      <c r="BX1481" s="339"/>
      <c r="BY1481" s="339"/>
      <c r="BZ1481" s="339"/>
      <c r="CA1481" s="339"/>
      <c r="CB1481" s="339"/>
      <c r="CC1481" s="339"/>
      <c r="CD1481" s="339"/>
      <c r="CE1481" s="339"/>
      <c r="CF1481" s="339"/>
      <c r="CG1481" s="339"/>
      <c r="CH1481" s="339"/>
      <c r="CI1481" s="339"/>
      <c r="CJ1481" s="339"/>
      <c r="CK1481" s="339"/>
      <c r="CL1481" s="339"/>
      <c r="CM1481" s="339"/>
      <c r="CN1481" s="339"/>
      <c r="CO1481" s="339"/>
      <c r="CP1481" s="339"/>
      <c r="CQ1481" s="339"/>
      <c r="CR1481" s="339"/>
      <c r="CS1481" s="339"/>
      <c r="CT1481" s="339"/>
      <c r="CU1481" s="339"/>
      <c r="CV1481" s="339"/>
      <c r="CW1481" s="339"/>
      <c r="CX1481" s="339"/>
      <c r="CY1481" s="339"/>
      <c r="CZ1481" s="339"/>
      <c r="DA1481" s="339"/>
      <c r="DB1481" s="339"/>
      <c r="DC1481" s="339"/>
      <c r="DD1481" s="339"/>
      <c r="DE1481" s="339"/>
      <c r="DF1481" s="339"/>
      <c r="DG1481" s="339"/>
      <c r="DH1481" s="339"/>
    </row>
    <row r="1482">
      <c r="A1482" s="41">
        <v>1482.0</v>
      </c>
      <c r="B1482" s="53" t="s">
        <v>145</v>
      </c>
      <c r="C1482" s="338" t="s">
        <v>108</v>
      </c>
      <c r="D1482" s="338" t="s">
        <v>1434</v>
      </c>
      <c r="E1482" s="339"/>
      <c r="F1482" s="53" t="s">
        <v>8376</v>
      </c>
      <c r="G1482" s="53" t="s">
        <v>8404</v>
      </c>
      <c r="H1482" s="340" t="s">
        <v>8394</v>
      </c>
      <c r="I1482" s="344" t="s">
        <v>8395</v>
      </c>
      <c r="J1482" s="1579">
        <v>45741.0</v>
      </c>
      <c r="K1482" s="340" t="s">
        <v>8405</v>
      </c>
      <c r="L1482" s="43"/>
      <c r="M1482" s="53" t="s">
        <v>8381</v>
      </c>
      <c r="N1482" s="53" t="s">
        <v>8382</v>
      </c>
      <c r="O1482" s="52" t="s">
        <v>4085</v>
      </c>
      <c r="P1482" s="1688" t="s">
        <v>8383</v>
      </c>
      <c r="Q1482" s="105" t="str">
        <f t="array" ref="Q1482"> if(iserror(MATCH(V1482, 'File Links'!C:C, 0)), "N/A", HYPERLINK(INDEX('File Links'!B:B, MATCH(P1482, 'File Links'!C:C, 0))))</f>
        <v>N/A</v>
      </c>
      <c r="R1482" s="1689" t="s">
        <v>8406</v>
      </c>
      <c r="S1482" s="43"/>
      <c r="T1482" s="1690" t="s">
        <v>8385</v>
      </c>
      <c r="U1482" s="52" t="s">
        <v>8407</v>
      </c>
      <c r="V1482" s="340" t="s">
        <v>570</v>
      </c>
      <c r="W1482" s="340" t="s">
        <v>8398</v>
      </c>
      <c r="X1482" s="46" t="str">
        <f t="array" ref="X1482"> if(iserror(MATCH(V1482, 'File Links'!C:C, 0)), "N/A", HYPERLINK(INDEX('File Links'!B:B, MATCH(V1482, 'File Links'!C:C, 0))))</f>
        <v>N/A</v>
      </c>
      <c r="Y1482" s="53"/>
      <c r="Z1482" s="340" t="s">
        <v>203</v>
      </c>
      <c r="AA1482" s="53" t="s">
        <v>8399</v>
      </c>
      <c r="AB1482" s="340" t="s">
        <v>8400</v>
      </c>
      <c r="AC1482" s="340" t="s">
        <v>8408</v>
      </c>
      <c r="AD1482" s="340" t="s">
        <v>8409</v>
      </c>
      <c r="AE1482" s="340">
        <v>16.0</v>
      </c>
      <c r="AF1482" s="344">
        <v>210.0</v>
      </c>
      <c r="AG1482" s="344">
        <v>0.02</v>
      </c>
      <c r="AH1482" s="340" t="s">
        <v>867</v>
      </c>
      <c r="AI1482" s="340" t="s">
        <v>175</v>
      </c>
      <c r="AJ1482" s="344">
        <v>0.045</v>
      </c>
      <c r="AK1482" s="340" t="s">
        <v>165</v>
      </c>
      <c r="AL1482" s="340" t="s">
        <v>179</v>
      </c>
      <c r="AM1482" s="53" t="s">
        <v>130</v>
      </c>
      <c r="AN1482" s="53" t="s">
        <v>131</v>
      </c>
      <c r="AO1482" s="344">
        <v>1008.0</v>
      </c>
      <c r="AP1482" s="344">
        <v>-0.13</v>
      </c>
      <c r="AQ1482" s="340" t="s">
        <v>166</v>
      </c>
      <c r="AR1482" s="340" t="s">
        <v>8403</v>
      </c>
      <c r="AS1482" s="344">
        <v>0.088</v>
      </c>
      <c r="AT1482" s="340" t="s">
        <v>165</v>
      </c>
      <c r="AU1482" s="340" t="s">
        <v>129</v>
      </c>
      <c r="AV1482" s="53" t="s">
        <v>130</v>
      </c>
      <c r="AW1482" s="1691" t="s">
        <v>131</v>
      </c>
      <c r="AX1482" s="53" t="s">
        <v>136</v>
      </c>
      <c r="AY1482" s="339"/>
      <c r="AZ1482" s="338" t="s">
        <v>685</v>
      </c>
      <c r="BA1482" s="339"/>
      <c r="BB1482" s="339"/>
      <c r="BC1482" s="339"/>
      <c r="BD1482" s="339"/>
      <c r="BE1482" s="339"/>
      <c r="BF1482" s="339"/>
      <c r="BG1482" s="339"/>
      <c r="BH1482" s="339"/>
      <c r="BI1482" s="339"/>
      <c r="BJ1482" s="339"/>
      <c r="BK1482" s="339"/>
      <c r="BL1482" s="339"/>
      <c r="BM1482" s="339"/>
      <c r="BN1482" s="339"/>
      <c r="BO1482" s="339"/>
      <c r="BP1482" s="339"/>
      <c r="BQ1482" s="339"/>
      <c r="BR1482" s="339"/>
      <c r="BS1482" s="339"/>
      <c r="BT1482" s="339"/>
      <c r="BU1482" s="339"/>
      <c r="BV1482" s="339"/>
      <c r="BW1482" s="339"/>
      <c r="BX1482" s="339"/>
      <c r="BY1482" s="339"/>
      <c r="BZ1482" s="339"/>
      <c r="CA1482" s="339"/>
      <c r="CB1482" s="339"/>
      <c r="CC1482" s="339"/>
      <c r="CD1482" s="339"/>
      <c r="CE1482" s="339"/>
      <c r="CF1482" s="339"/>
      <c r="CG1482" s="339"/>
      <c r="CH1482" s="339"/>
      <c r="CI1482" s="339"/>
      <c r="CJ1482" s="339"/>
      <c r="CK1482" s="339"/>
      <c r="CL1482" s="339"/>
      <c r="CM1482" s="339"/>
      <c r="CN1482" s="339"/>
      <c r="CO1482" s="339"/>
      <c r="CP1482" s="339"/>
      <c r="CQ1482" s="339"/>
      <c r="CR1482" s="339"/>
      <c r="CS1482" s="339"/>
      <c r="CT1482" s="339"/>
      <c r="CU1482" s="339"/>
      <c r="CV1482" s="339"/>
      <c r="CW1482" s="339"/>
      <c r="CX1482" s="339"/>
      <c r="CY1482" s="339"/>
      <c r="CZ1482" s="339"/>
      <c r="DA1482" s="339"/>
      <c r="DB1482" s="339"/>
      <c r="DC1482" s="339"/>
      <c r="DD1482" s="339"/>
      <c r="DE1482" s="339"/>
      <c r="DF1482" s="339"/>
      <c r="DG1482" s="339"/>
      <c r="DH1482" s="339"/>
    </row>
    <row r="1483">
      <c r="A1483" s="41">
        <v>1483.0</v>
      </c>
      <c r="B1483" s="53" t="s">
        <v>145</v>
      </c>
      <c r="C1483" s="338" t="s">
        <v>108</v>
      </c>
      <c r="D1483" s="338" t="s">
        <v>1434</v>
      </c>
      <c r="E1483" s="339"/>
      <c r="F1483" s="53" t="s">
        <v>8376</v>
      </c>
      <c r="G1483" s="53" t="s">
        <v>8410</v>
      </c>
      <c r="H1483" s="340" t="s">
        <v>8394</v>
      </c>
      <c r="I1483" s="344" t="s">
        <v>8395</v>
      </c>
      <c r="J1483" s="1579">
        <v>45741.0</v>
      </c>
      <c r="K1483" s="340" t="s">
        <v>8411</v>
      </c>
      <c r="L1483" s="43"/>
      <c r="M1483" s="53" t="s">
        <v>8381</v>
      </c>
      <c r="N1483" s="53" t="s">
        <v>8382</v>
      </c>
      <c r="O1483" s="52" t="s">
        <v>4085</v>
      </c>
      <c r="P1483" s="1688" t="s">
        <v>8383</v>
      </c>
      <c r="Q1483" s="105" t="str">
        <f t="array" ref="Q1483"> if(iserror(MATCH(V1483, 'File Links'!C:C, 0)), "N/A", HYPERLINK(INDEX('File Links'!B:B, MATCH(P1483, 'File Links'!C:C, 0))))</f>
        <v>N/A</v>
      </c>
      <c r="R1483" s="1689" t="s">
        <v>8412</v>
      </c>
      <c r="S1483" s="43"/>
      <c r="T1483" s="1690" t="s">
        <v>8385</v>
      </c>
      <c r="U1483" s="52" t="s">
        <v>8413</v>
      </c>
      <c r="V1483" s="340" t="s">
        <v>570</v>
      </c>
      <c r="W1483" s="340" t="s">
        <v>8398</v>
      </c>
      <c r="X1483" s="46" t="str">
        <f t="array" ref="X1483"> if(iserror(MATCH(V1483, 'File Links'!C:C, 0)), "N/A", HYPERLINK(INDEX('File Links'!B:B, MATCH(V1483, 'File Links'!C:C, 0))))</f>
        <v>N/A</v>
      </c>
      <c r="Y1483" s="53"/>
      <c r="Z1483" s="340" t="s">
        <v>203</v>
      </c>
      <c r="AA1483" s="53" t="s">
        <v>8399</v>
      </c>
      <c r="AB1483" s="340" t="s">
        <v>8400</v>
      </c>
      <c r="AC1483" s="340" t="s">
        <v>8401</v>
      </c>
      <c r="AD1483" s="340" t="s">
        <v>8402</v>
      </c>
      <c r="AE1483" s="340">
        <v>16.0</v>
      </c>
      <c r="AF1483" s="344">
        <v>210.0</v>
      </c>
      <c r="AG1483" s="344">
        <v>0.02</v>
      </c>
      <c r="AH1483" s="340" t="s">
        <v>867</v>
      </c>
      <c r="AI1483" s="340" t="s">
        <v>175</v>
      </c>
      <c r="AJ1483" s="344">
        <v>0.018</v>
      </c>
      <c r="AK1483" s="340" t="s">
        <v>165</v>
      </c>
      <c r="AL1483" s="340" t="s">
        <v>179</v>
      </c>
      <c r="AM1483" s="53" t="s">
        <v>130</v>
      </c>
      <c r="AN1483" s="53" t="s">
        <v>131</v>
      </c>
      <c r="AO1483" s="344">
        <v>1127.0</v>
      </c>
      <c r="AP1483" s="344">
        <v>0.096</v>
      </c>
      <c r="AQ1483" s="340" t="s">
        <v>166</v>
      </c>
      <c r="AR1483" s="340" t="s">
        <v>8403</v>
      </c>
      <c r="AS1483" s="344">
        <v>0.261</v>
      </c>
      <c r="AT1483" s="340" t="s">
        <v>165</v>
      </c>
      <c r="AU1483" s="340" t="s">
        <v>129</v>
      </c>
      <c r="AV1483" s="53" t="s">
        <v>130</v>
      </c>
      <c r="AW1483" s="1691" t="s">
        <v>131</v>
      </c>
      <c r="AX1483" s="53" t="s">
        <v>136</v>
      </c>
      <c r="AY1483" s="339"/>
      <c r="AZ1483" s="338" t="s">
        <v>685</v>
      </c>
      <c r="BA1483" s="339"/>
      <c r="BB1483" s="339"/>
      <c r="BC1483" s="339"/>
      <c r="BD1483" s="339"/>
      <c r="BE1483" s="339"/>
      <c r="BF1483" s="339"/>
      <c r="BG1483" s="339"/>
      <c r="BH1483" s="339"/>
      <c r="BI1483" s="339"/>
      <c r="BJ1483" s="339"/>
      <c r="BK1483" s="339"/>
      <c r="BL1483" s="339"/>
      <c r="BM1483" s="339"/>
      <c r="BN1483" s="339"/>
      <c r="BO1483" s="339"/>
      <c r="BP1483" s="339"/>
      <c r="BQ1483" s="339"/>
      <c r="BR1483" s="339"/>
      <c r="BS1483" s="339"/>
      <c r="BT1483" s="339"/>
      <c r="BU1483" s="339"/>
      <c r="BV1483" s="339"/>
      <c r="BW1483" s="339"/>
      <c r="BX1483" s="339"/>
      <c r="BY1483" s="339"/>
      <c r="BZ1483" s="339"/>
      <c r="CA1483" s="339"/>
      <c r="CB1483" s="339"/>
      <c r="CC1483" s="339"/>
      <c r="CD1483" s="339"/>
      <c r="CE1483" s="339"/>
      <c r="CF1483" s="339"/>
      <c r="CG1483" s="339"/>
      <c r="CH1483" s="339"/>
      <c r="CI1483" s="339"/>
      <c r="CJ1483" s="339"/>
      <c r="CK1483" s="339"/>
      <c r="CL1483" s="339"/>
      <c r="CM1483" s="339"/>
      <c r="CN1483" s="339"/>
      <c r="CO1483" s="339"/>
      <c r="CP1483" s="339"/>
      <c r="CQ1483" s="339"/>
      <c r="CR1483" s="339"/>
      <c r="CS1483" s="339"/>
      <c r="CT1483" s="339"/>
      <c r="CU1483" s="339"/>
      <c r="CV1483" s="339"/>
      <c r="CW1483" s="339"/>
      <c r="CX1483" s="339"/>
      <c r="CY1483" s="339"/>
      <c r="CZ1483" s="339"/>
      <c r="DA1483" s="339"/>
      <c r="DB1483" s="339"/>
      <c r="DC1483" s="339"/>
      <c r="DD1483" s="339"/>
      <c r="DE1483" s="339"/>
      <c r="DF1483" s="339"/>
      <c r="DG1483" s="339"/>
      <c r="DH1483" s="339"/>
    </row>
    <row r="1484">
      <c r="A1484" s="41">
        <v>1484.0</v>
      </c>
      <c r="B1484" s="53" t="s">
        <v>145</v>
      </c>
      <c r="C1484" s="338" t="s">
        <v>108</v>
      </c>
      <c r="D1484" s="338" t="s">
        <v>1434</v>
      </c>
      <c r="E1484" s="339"/>
      <c r="F1484" s="53" t="s">
        <v>8376</v>
      </c>
      <c r="G1484" s="53" t="s">
        <v>8414</v>
      </c>
      <c r="H1484" s="340" t="s">
        <v>8394</v>
      </c>
      <c r="I1484" s="344" t="s">
        <v>8395</v>
      </c>
      <c r="J1484" s="1579">
        <v>45741.0</v>
      </c>
      <c r="K1484" s="340" t="s">
        <v>8405</v>
      </c>
      <c r="L1484" s="43"/>
      <c r="M1484" s="53" t="s">
        <v>8381</v>
      </c>
      <c r="N1484" s="53" t="s">
        <v>8382</v>
      </c>
      <c r="O1484" s="52" t="s">
        <v>4085</v>
      </c>
      <c r="P1484" s="1688" t="s">
        <v>8383</v>
      </c>
      <c r="Q1484" s="105" t="str">
        <f t="array" ref="Q1484"> if(iserror(MATCH(V1484, 'File Links'!C:C, 0)), "N/A", HYPERLINK(INDEX('File Links'!B:B, MATCH(P1484, 'File Links'!C:C, 0))))</f>
        <v>N/A</v>
      </c>
      <c r="R1484" s="1689" t="s">
        <v>8415</v>
      </c>
      <c r="S1484" s="43"/>
      <c r="T1484" s="1690" t="s">
        <v>8385</v>
      </c>
      <c r="U1484" s="52" t="s">
        <v>8416</v>
      </c>
      <c r="V1484" s="340" t="s">
        <v>570</v>
      </c>
      <c r="W1484" s="340" t="s">
        <v>8398</v>
      </c>
      <c r="X1484" s="46" t="str">
        <f t="array" ref="X1484"> if(iserror(MATCH(V1484, 'File Links'!C:C, 0)), "N/A", HYPERLINK(INDEX('File Links'!B:B, MATCH(V1484, 'File Links'!C:C, 0))))</f>
        <v>N/A</v>
      </c>
      <c r="Y1484" s="53"/>
      <c r="Z1484" s="340" t="s">
        <v>203</v>
      </c>
      <c r="AA1484" s="53" t="s">
        <v>8399</v>
      </c>
      <c r="AB1484" s="340" t="s">
        <v>8400</v>
      </c>
      <c r="AC1484" s="340" t="s">
        <v>8408</v>
      </c>
      <c r="AD1484" s="340" t="s">
        <v>8409</v>
      </c>
      <c r="AE1484" s="340">
        <v>16.0</v>
      </c>
      <c r="AF1484" s="344">
        <v>210.0</v>
      </c>
      <c r="AG1484" s="344">
        <v>0.03</v>
      </c>
      <c r="AH1484" s="340" t="s">
        <v>867</v>
      </c>
      <c r="AI1484" s="340" t="s">
        <v>175</v>
      </c>
      <c r="AJ1484" s="344">
        <v>0.045</v>
      </c>
      <c r="AK1484" s="340" t="s">
        <v>165</v>
      </c>
      <c r="AL1484" s="340" t="s">
        <v>179</v>
      </c>
      <c r="AM1484" s="53" t="s">
        <v>130</v>
      </c>
      <c r="AN1484" s="53" t="s">
        <v>131</v>
      </c>
      <c r="AO1484" s="344">
        <v>1127.0</v>
      </c>
      <c r="AP1484" s="344">
        <v>-0.15</v>
      </c>
      <c r="AQ1484" s="340" t="s">
        <v>166</v>
      </c>
      <c r="AR1484" s="340" t="s">
        <v>8403</v>
      </c>
      <c r="AS1484" s="344">
        <v>0.108</v>
      </c>
      <c r="AT1484" s="340" t="s">
        <v>165</v>
      </c>
      <c r="AU1484" s="340" t="s">
        <v>129</v>
      </c>
      <c r="AV1484" s="53" t="s">
        <v>130</v>
      </c>
      <c r="AW1484" s="1691" t="s">
        <v>131</v>
      </c>
      <c r="AX1484" s="53" t="s">
        <v>136</v>
      </c>
      <c r="AY1484" s="339"/>
      <c r="AZ1484" s="338" t="s">
        <v>685</v>
      </c>
      <c r="BA1484" s="339"/>
      <c r="BB1484" s="339"/>
      <c r="BC1484" s="339"/>
      <c r="BD1484" s="339"/>
      <c r="BE1484" s="339"/>
      <c r="BF1484" s="339"/>
      <c r="BG1484" s="339"/>
      <c r="BH1484" s="339"/>
      <c r="BI1484" s="339"/>
      <c r="BJ1484" s="339"/>
      <c r="BK1484" s="339"/>
      <c r="BL1484" s="339"/>
      <c r="BM1484" s="339"/>
      <c r="BN1484" s="339"/>
      <c r="BO1484" s="339"/>
      <c r="BP1484" s="339"/>
      <c r="BQ1484" s="339"/>
      <c r="BR1484" s="339"/>
      <c r="BS1484" s="339"/>
      <c r="BT1484" s="339"/>
      <c r="BU1484" s="339"/>
      <c r="BV1484" s="339"/>
      <c r="BW1484" s="339"/>
      <c r="BX1484" s="339"/>
      <c r="BY1484" s="339"/>
      <c r="BZ1484" s="339"/>
      <c r="CA1484" s="339"/>
      <c r="CB1484" s="339"/>
      <c r="CC1484" s="339"/>
      <c r="CD1484" s="339"/>
      <c r="CE1484" s="339"/>
      <c r="CF1484" s="339"/>
      <c r="CG1484" s="339"/>
      <c r="CH1484" s="339"/>
      <c r="CI1484" s="339"/>
      <c r="CJ1484" s="339"/>
      <c r="CK1484" s="339"/>
      <c r="CL1484" s="339"/>
      <c r="CM1484" s="339"/>
      <c r="CN1484" s="339"/>
      <c r="CO1484" s="339"/>
      <c r="CP1484" s="339"/>
      <c r="CQ1484" s="339"/>
      <c r="CR1484" s="339"/>
      <c r="CS1484" s="339"/>
      <c r="CT1484" s="339"/>
      <c r="CU1484" s="339"/>
      <c r="CV1484" s="339"/>
      <c r="CW1484" s="339"/>
      <c r="CX1484" s="339"/>
      <c r="CY1484" s="339"/>
      <c r="CZ1484" s="339"/>
      <c r="DA1484" s="339"/>
      <c r="DB1484" s="339"/>
      <c r="DC1484" s="339"/>
      <c r="DD1484" s="339"/>
      <c r="DE1484" s="339"/>
      <c r="DF1484" s="339"/>
      <c r="DG1484" s="339"/>
      <c r="DH1484" s="339"/>
    </row>
    <row r="1485">
      <c r="A1485" s="41">
        <v>1485.0</v>
      </c>
      <c r="B1485" s="53" t="s">
        <v>107</v>
      </c>
      <c r="C1485" s="338" t="s">
        <v>108</v>
      </c>
      <c r="D1485" s="338" t="s">
        <v>169</v>
      </c>
      <c r="E1485" s="339"/>
      <c r="F1485" s="43" t="s">
        <v>8417</v>
      </c>
      <c r="G1485" s="357" t="s">
        <v>8418</v>
      </c>
      <c r="H1485" s="357" t="s">
        <v>7218</v>
      </c>
      <c r="I1485" s="1684" t="s">
        <v>8378</v>
      </c>
      <c r="J1485" s="43"/>
      <c r="K1485" s="43" t="s">
        <v>8379</v>
      </c>
      <c r="L1485" s="43"/>
      <c r="M1485" s="357" t="s">
        <v>8381</v>
      </c>
      <c r="N1485" s="357" t="s">
        <v>8382</v>
      </c>
      <c r="O1485" s="357" t="s">
        <v>4085</v>
      </c>
      <c r="P1485" s="514" t="s">
        <v>8383</v>
      </c>
      <c r="Q1485" s="105" t="str">
        <f t="array" ref="Q1485"> if(iserror(MATCH(V1485, 'File Links'!C:C, 0)), "N/A", HYPERLINK(INDEX('File Links'!B:B, MATCH(P1485, 'File Links'!C:C, 0))))</f>
        <v>N/A</v>
      </c>
      <c r="R1485" s="357" t="s">
        <v>8406</v>
      </c>
      <c r="S1485" s="43"/>
      <c r="T1485" s="593" t="s">
        <v>8385</v>
      </c>
      <c r="U1485" s="357" t="s">
        <v>8419</v>
      </c>
      <c r="V1485" s="357" t="s">
        <v>570</v>
      </c>
      <c r="W1485" s="43" t="s">
        <v>157</v>
      </c>
      <c r="X1485" s="46" t="str">
        <f t="array" ref="X1485"> if(iserror(MATCH(V1485, 'File Links'!C:C, 0)), "N/A", HYPERLINK(INDEX('File Links'!B:B, MATCH(V1485, 'File Links'!C:C, 0))))</f>
        <v>N/A</v>
      </c>
      <c r="Y1485" s="43"/>
      <c r="Z1485" s="43" t="s">
        <v>219</v>
      </c>
      <c r="AA1485" s="357" t="s">
        <v>8387</v>
      </c>
      <c r="AB1485" s="357" t="s">
        <v>8388</v>
      </c>
      <c r="AC1485" s="357" t="s">
        <v>8389</v>
      </c>
      <c r="AD1485" s="1692" t="s">
        <v>8420</v>
      </c>
      <c r="AE1485" s="43" t="s">
        <v>1166</v>
      </c>
      <c r="AF1485" s="354">
        <v>210.0</v>
      </c>
      <c r="AG1485" s="1693">
        <v>-0.34</v>
      </c>
      <c r="AH1485" s="357" t="s">
        <v>166</v>
      </c>
      <c r="AI1485" s="43" t="s">
        <v>8391</v>
      </c>
      <c r="AJ1485" s="382">
        <v>0.045</v>
      </c>
      <c r="AK1485" s="43" t="s">
        <v>165</v>
      </c>
      <c r="AL1485" s="43" t="s">
        <v>179</v>
      </c>
      <c r="AM1485" s="43" t="s">
        <v>130</v>
      </c>
      <c r="AN1485" s="43"/>
      <c r="AO1485" s="354">
        <v>1008.0</v>
      </c>
      <c r="AP1485" s="354">
        <v>-0.13</v>
      </c>
      <c r="AQ1485" s="357" t="s">
        <v>166</v>
      </c>
      <c r="AR1485" s="43" t="s">
        <v>131</v>
      </c>
      <c r="AS1485" s="382">
        <v>0.88</v>
      </c>
      <c r="AT1485" s="43" t="s">
        <v>165</v>
      </c>
      <c r="AU1485" s="43" t="s">
        <v>179</v>
      </c>
      <c r="AV1485" s="43" t="s">
        <v>130</v>
      </c>
      <c r="AW1485" s="357" t="s">
        <v>131</v>
      </c>
      <c r="AX1485" s="43" t="s">
        <v>136</v>
      </c>
      <c r="AY1485" s="43"/>
      <c r="AZ1485" s="338" t="s">
        <v>685</v>
      </c>
      <c r="BA1485" s="339"/>
      <c r="BB1485" s="339"/>
      <c r="BC1485" s="339"/>
      <c r="BD1485" s="339"/>
      <c r="BE1485" s="339"/>
      <c r="BF1485" s="339"/>
      <c r="BG1485" s="339"/>
      <c r="BH1485" s="339"/>
      <c r="BI1485" s="339"/>
      <c r="BJ1485" s="339"/>
      <c r="BK1485" s="339"/>
      <c r="BL1485" s="339"/>
      <c r="BM1485" s="339"/>
      <c r="BN1485" s="339"/>
      <c r="BO1485" s="339"/>
      <c r="BP1485" s="339"/>
      <c r="BQ1485" s="339"/>
      <c r="BR1485" s="339"/>
      <c r="BS1485" s="339"/>
      <c r="BT1485" s="339"/>
      <c r="BU1485" s="339"/>
      <c r="BV1485" s="339"/>
      <c r="BW1485" s="339"/>
      <c r="BX1485" s="339"/>
      <c r="BY1485" s="339"/>
      <c r="BZ1485" s="339"/>
      <c r="CA1485" s="339"/>
      <c r="CB1485" s="339"/>
      <c r="CC1485" s="339"/>
      <c r="CD1485" s="339"/>
      <c r="CE1485" s="339"/>
      <c r="CF1485" s="339"/>
      <c r="CG1485" s="339"/>
      <c r="CH1485" s="339"/>
      <c r="CI1485" s="339"/>
      <c r="CJ1485" s="339"/>
      <c r="CK1485" s="339"/>
      <c r="CL1485" s="339"/>
      <c r="CM1485" s="339"/>
      <c r="CN1485" s="339"/>
      <c r="CO1485" s="339"/>
      <c r="CP1485" s="339"/>
      <c r="CQ1485" s="339"/>
      <c r="CR1485" s="339"/>
      <c r="CS1485" s="339"/>
      <c r="CT1485" s="339"/>
      <c r="CU1485" s="339"/>
      <c r="CV1485" s="339"/>
      <c r="CW1485" s="339"/>
      <c r="CX1485" s="339"/>
      <c r="CY1485" s="339"/>
      <c r="CZ1485" s="339"/>
      <c r="DA1485" s="339"/>
      <c r="DB1485" s="339"/>
      <c r="DC1485" s="339"/>
      <c r="DD1485" s="339"/>
      <c r="DE1485" s="339"/>
      <c r="DF1485" s="339"/>
      <c r="DG1485" s="339"/>
      <c r="DH1485" s="339"/>
    </row>
    <row r="1486">
      <c r="A1486" s="41">
        <v>1486.0</v>
      </c>
      <c r="B1486" s="53" t="s">
        <v>107</v>
      </c>
      <c r="C1486" s="338" t="s">
        <v>108</v>
      </c>
      <c r="D1486" s="338" t="s">
        <v>169</v>
      </c>
      <c r="E1486" s="339"/>
      <c r="F1486" s="43" t="s">
        <v>8421</v>
      </c>
      <c r="G1486" s="357" t="s">
        <v>8422</v>
      </c>
      <c r="H1486" s="357" t="s">
        <v>7218</v>
      </c>
      <c r="I1486" s="1684" t="s">
        <v>8378</v>
      </c>
      <c r="J1486" s="43"/>
      <c r="K1486" s="43" t="s">
        <v>8379</v>
      </c>
      <c r="L1486" s="43"/>
      <c r="M1486" s="357" t="s">
        <v>8381</v>
      </c>
      <c r="N1486" s="357" t="s">
        <v>8382</v>
      </c>
      <c r="O1486" s="357" t="s">
        <v>4085</v>
      </c>
      <c r="P1486" s="514" t="s">
        <v>8383</v>
      </c>
      <c r="Q1486" s="105" t="str">
        <f t="array" ref="Q1486"> if(iserror(MATCH(V1486, 'File Links'!C:C, 0)), "N/A", HYPERLINK(INDEX('File Links'!B:B, MATCH(P1486, 'File Links'!C:C, 0))))</f>
        <v>N/A</v>
      </c>
      <c r="R1486" s="357" t="s">
        <v>8415</v>
      </c>
      <c r="S1486" s="43"/>
      <c r="T1486" s="593" t="s">
        <v>8385</v>
      </c>
      <c r="U1486" s="357" t="s">
        <v>8423</v>
      </c>
      <c r="V1486" s="357" t="s">
        <v>570</v>
      </c>
      <c r="W1486" s="43" t="s">
        <v>157</v>
      </c>
      <c r="X1486" s="46" t="str">
        <f t="array" ref="X1486"> if(iserror(MATCH(V1486, 'File Links'!C:C, 0)), "N/A", HYPERLINK(INDEX('File Links'!B:B, MATCH(V1486, 'File Links'!C:C, 0))))</f>
        <v>N/A</v>
      </c>
      <c r="Y1486" s="43"/>
      <c r="Z1486" s="43" t="s">
        <v>219</v>
      </c>
      <c r="AA1486" s="357" t="s">
        <v>8387</v>
      </c>
      <c r="AB1486" s="357" t="s">
        <v>8388</v>
      </c>
      <c r="AC1486" s="357" t="s">
        <v>8389</v>
      </c>
      <c r="AD1486" s="43" t="s">
        <v>8420</v>
      </c>
      <c r="AE1486" s="43" t="s">
        <v>1166</v>
      </c>
      <c r="AF1486" s="354">
        <v>210.0</v>
      </c>
      <c r="AG1486" s="354">
        <v>-0.34</v>
      </c>
      <c r="AH1486" s="357" t="s">
        <v>166</v>
      </c>
      <c r="AI1486" s="43" t="s">
        <v>8391</v>
      </c>
      <c r="AJ1486" s="382">
        <v>0.045</v>
      </c>
      <c r="AK1486" s="43" t="s">
        <v>165</v>
      </c>
      <c r="AL1486" s="43" t="s">
        <v>179</v>
      </c>
      <c r="AM1486" s="43" t="s">
        <v>130</v>
      </c>
      <c r="AN1486" s="43"/>
      <c r="AO1486" s="354">
        <v>1127.0</v>
      </c>
      <c r="AP1486" s="354">
        <v>-0.15</v>
      </c>
      <c r="AQ1486" s="357" t="s">
        <v>166</v>
      </c>
      <c r="AR1486" s="43" t="s">
        <v>131</v>
      </c>
      <c r="AS1486" s="382">
        <v>0.108</v>
      </c>
      <c r="AT1486" s="43" t="s">
        <v>165</v>
      </c>
      <c r="AU1486" s="43" t="s">
        <v>179</v>
      </c>
      <c r="AV1486" s="43" t="s">
        <v>130</v>
      </c>
      <c r="AW1486" s="357" t="s">
        <v>131</v>
      </c>
      <c r="AX1486" s="43" t="s">
        <v>136</v>
      </c>
      <c r="AY1486" s="43"/>
      <c r="AZ1486" s="338" t="s">
        <v>685</v>
      </c>
      <c r="BA1486" s="339"/>
      <c r="BB1486" s="339"/>
      <c r="BC1486" s="339"/>
      <c r="BD1486" s="339"/>
      <c r="BE1486" s="339"/>
      <c r="BF1486" s="339"/>
      <c r="BG1486" s="339"/>
      <c r="BH1486" s="339"/>
      <c r="BI1486" s="339"/>
      <c r="BJ1486" s="339"/>
      <c r="BK1486" s="339"/>
      <c r="BL1486" s="339"/>
      <c r="BM1486" s="339"/>
      <c r="BN1486" s="339"/>
      <c r="BO1486" s="339"/>
      <c r="BP1486" s="339"/>
      <c r="BQ1486" s="339"/>
      <c r="BR1486" s="339"/>
      <c r="BS1486" s="339"/>
      <c r="BT1486" s="339"/>
      <c r="BU1486" s="339"/>
      <c r="BV1486" s="339"/>
      <c r="BW1486" s="339"/>
      <c r="BX1486" s="339"/>
      <c r="BY1486" s="339"/>
      <c r="BZ1486" s="339"/>
      <c r="CA1486" s="339"/>
      <c r="CB1486" s="339"/>
      <c r="CC1486" s="339"/>
      <c r="CD1486" s="339"/>
      <c r="CE1486" s="339"/>
      <c r="CF1486" s="339"/>
      <c r="CG1486" s="339"/>
      <c r="CH1486" s="339"/>
      <c r="CI1486" s="339"/>
      <c r="CJ1486" s="339"/>
      <c r="CK1486" s="339"/>
      <c r="CL1486" s="339"/>
      <c r="CM1486" s="339"/>
      <c r="CN1486" s="339"/>
      <c r="CO1486" s="339"/>
      <c r="CP1486" s="339"/>
      <c r="CQ1486" s="339"/>
      <c r="CR1486" s="339"/>
      <c r="CS1486" s="339"/>
      <c r="CT1486" s="339"/>
      <c r="CU1486" s="339"/>
      <c r="CV1486" s="339"/>
      <c r="CW1486" s="339"/>
      <c r="CX1486" s="339"/>
      <c r="CY1486" s="339"/>
      <c r="CZ1486" s="339"/>
      <c r="DA1486" s="339"/>
      <c r="DB1486" s="339"/>
      <c r="DC1486" s="339"/>
      <c r="DD1486" s="339"/>
      <c r="DE1486" s="339"/>
      <c r="DF1486" s="339"/>
      <c r="DG1486" s="339"/>
      <c r="DH1486" s="339"/>
    </row>
    <row r="1487">
      <c r="A1487" s="41">
        <v>1487.0</v>
      </c>
      <c r="B1487" s="53" t="s">
        <v>107</v>
      </c>
      <c r="C1487" s="338" t="s">
        <v>108</v>
      </c>
      <c r="D1487" s="338" t="s">
        <v>169</v>
      </c>
      <c r="E1487" s="339"/>
      <c r="F1487" s="43" t="s">
        <v>8424</v>
      </c>
      <c r="G1487" s="357" t="s">
        <v>8425</v>
      </c>
      <c r="H1487" s="357" t="s">
        <v>7218</v>
      </c>
      <c r="I1487" s="1684" t="s">
        <v>8378</v>
      </c>
      <c r="J1487" s="43"/>
      <c r="K1487" s="43" t="s">
        <v>8426</v>
      </c>
      <c r="L1487" s="43"/>
      <c r="M1487" s="357" t="s">
        <v>8427</v>
      </c>
      <c r="N1487" s="357" t="s">
        <v>8428</v>
      </c>
      <c r="O1487" s="354">
        <v>3.0</v>
      </c>
      <c r="P1487" s="514" t="s">
        <v>8429</v>
      </c>
      <c r="Q1487" s="105" t="str">
        <f t="array" ref="Q1487"> if(iserror(MATCH(V1487, 'File Links'!C:C, 0)), "N/A", HYPERLINK(INDEX('File Links'!B:B, MATCH(P1487, 'File Links'!C:C, 0))))</f>
        <v>N/A</v>
      </c>
      <c r="R1487" s="357" t="s">
        <v>8430</v>
      </c>
      <c r="S1487" s="43"/>
      <c r="T1487" s="593" t="s">
        <v>8431</v>
      </c>
      <c r="U1487" s="357" t="s">
        <v>8432</v>
      </c>
      <c r="V1487" s="357" t="s">
        <v>8433</v>
      </c>
      <c r="W1487" s="43" t="s">
        <v>157</v>
      </c>
      <c r="X1487" s="46" t="str">
        <f t="array" ref="X1487"> if(iserror(MATCH(V1487, 'File Links'!C:C, 0)), "N/A", HYPERLINK(INDEX('File Links'!B:B, MATCH(V1487, 'File Links'!C:C, 0))))</f>
        <v>N/A</v>
      </c>
      <c r="Y1487" s="43"/>
      <c r="Z1487" s="357" t="s">
        <v>219</v>
      </c>
      <c r="AA1487" s="43" t="s">
        <v>8434</v>
      </c>
      <c r="AB1487" s="357" t="s">
        <v>8435</v>
      </c>
      <c r="AC1487" s="357" t="s">
        <v>8436</v>
      </c>
      <c r="AD1487" s="357" t="s">
        <v>8437</v>
      </c>
      <c r="AE1487" s="357" t="s">
        <v>616</v>
      </c>
      <c r="AF1487" s="354">
        <v>250.0</v>
      </c>
      <c r="AG1487" s="43" t="s">
        <v>8438</v>
      </c>
      <c r="AH1487" s="43" t="s">
        <v>127</v>
      </c>
      <c r="AI1487" s="43" t="s">
        <v>8439</v>
      </c>
      <c r="AJ1487" s="1694">
        <v>0.03</v>
      </c>
      <c r="AK1487" s="43" t="s">
        <v>165</v>
      </c>
      <c r="AL1487" s="43" t="s">
        <v>179</v>
      </c>
      <c r="AM1487" s="43" t="s">
        <v>130</v>
      </c>
      <c r="AN1487" s="43"/>
      <c r="AO1487" s="354">
        <v>1305.0</v>
      </c>
      <c r="AP1487" s="354">
        <v>0.05</v>
      </c>
      <c r="AQ1487" s="357" t="s">
        <v>980</v>
      </c>
      <c r="AR1487" s="43" t="s">
        <v>131</v>
      </c>
      <c r="AS1487" s="1694">
        <v>0.432</v>
      </c>
      <c r="AT1487" s="43" t="s">
        <v>165</v>
      </c>
      <c r="AU1487" s="43" t="s">
        <v>179</v>
      </c>
      <c r="AV1487" s="43" t="s">
        <v>130</v>
      </c>
      <c r="AW1487" s="43" t="s">
        <v>8440</v>
      </c>
      <c r="AX1487" s="43" t="s">
        <v>136</v>
      </c>
      <c r="AY1487" s="43"/>
      <c r="AZ1487" s="338" t="s">
        <v>685</v>
      </c>
      <c r="BA1487" s="339"/>
      <c r="BB1487" s="339"/>
      <c r="BC1487" s="339"/>
      <c r="BD1487" s="339"/>
      <c r="BE1487" s="339"/>
      <c r="BF1487" s="339"/>
      <c r="BG1487" s="339"/>
      <c r="BH1487" s="339"/>
      <c r="BI1487" s="339"/>
      <c r="BJ1487" s="339"/>
      <c r="BK1487" s="339"/>
      <c r="BL1487" s="339"/>
      <c r="BM1487" s="339"/>
      <c r="BN1487" s="339"/>
      <c r="BO1487" s="339"/>
      <c r="BP1487" s="339"/>
      <c r="BQ1487" s="339"/>
      <c r="BR1487" s="339"/>
      <c r="BS1487" s="339"/>
      <c r="BT1487" s="339"/>
      <c r="BU1487" s="339"/>
      <c r="BV1487" s="339"/>
      <c r="BW1487" s="339"/>
      <c r="BX1487" s="339"/>
      <c r="BY1487" s="339"/>
      <c r="BZ1487" s="339"/>
      <c r="CA1487" s="339"/>
      <c r="CB1487" s="339"/>
      <c r="CC1487" s="339"/>
      <c r="CD1487" s="339"/>
      <c r="CE1487" s="339"/>
      <c r="CF1487" s="339"/>
      <c r="CG1487" s="339"/>
      <c r="CH1487" s="339"/>
      <c r="CI1487" s="339"/>
      <c r="CJ1487" s="339"/>
      <c r="CK1487" s="339"/>
      <c r="CL1487" s="339"/>
      <c r="CM1487" s="339"/>
      <c r="CN1487" s="339"/>
      <c r="CO1487" s="339"/>
      <c r="CP1487" s="339"/>
      <c r="CQ1487" s="339"/>
      <c r="CR1487" s="339"/>
      <c r="CS1487" s="339"/>
      <c r="CT1487" s="339"/>
      <c r="CU1487" s="339"/>
      <c r="CV1487" s="339"/>
      <c r="CW1487" s="339"/>
      <c r="CX1487" s="339"/>
      <c r="CY1487" s="339"/>
      <c r="CZ1487" s="339"/>
      <c r="DA1487" s="339"/>
      <c r="DB1487" s="339"/>
      <c r="DC1487" s="339"/>
      <c r="DD1487" s="339"/>
      <c r="DE1487" s="339"/>
      <c r="DF1487" s="339"/>
      <c r="DG1487" s="339"/>
      <c r="DH1487" s="339"/>
    </row>
    <row r="1488">
      <c r="A1488" s="41">
        <v>1488.0</v>
      </c>
      <c r="B1488" s="53" t="s">
        <v>107</v>
      </c>
      <c r="C1488" s="338" t="s">
        <v>108</v>
      </c>
      <c r="D1488" s="338" t="s">
        <v>1434</v>
      </c>
      <c r="E1488" s="339"/>
      <c r="F1488" s="53" t="s">
        <v>8424</v>
      </c>
      <c r="G1488" s="53" t="s">
        <v>8425</v>
      </c>
      <c r="H1488" s="340" t="s">
        <v>8394</v>
      </c>
      <c r="I1488" s="344" t="s">
        <v>8441</v>
      </c>
      <c r="J1488" s="1579">
        <v>45741.0</v>
      </c>
      <c r="K1488" s="357"/>
      <c r="L1488" s="43"/>
      <c r="M1488" s="53" t="s">
        <v>8427</v>
      </c>
      <c r="N1488" s="53" t="s">
        <v>8428</v>
      </c>
      <c r="O1488" s="52">
        <v>3.0</v>
      </c>
      <c r="P1488" s="1688" t="s">
        <v>8429</v>
      </c>
      <c r="Q1488" s="105" t="str">
        <f t="array" ref="Q1488"> if(iserror(MATCH(V1488, 'File Links'!C:C, 0)), "N/A", HYPERLINK(INDEX('File Links'!B:B, MATCH(P1488, 'File Links'!C:C, 0))))</f>
        <v>N/A</v>
      </c>
      <c r="R1488" s="1689" t="s">
        <v>8430</v>
      </c>
      <c r="S1488" s="43"/>
      <c r="T1488" s="1690" t="s">
        <v>8431</v>
      </c>
      <c r="U1488" s="52" t="s">
        <v>8442</v>
      </c>
      <c r="V1488" s="340" t="s">
        <v>8433</v>
      </c>
      <c r="W1488" s="340" t="s">
        <v>8443</v>
      </c>
      <c r="X1488" s="46" t="str">
        <f t="array" ref="X1488"> if(iserror(MATCH(V1488, 'File Links'!C:C, 0)), "N/A", HYPERLINK(INDEX('File Links'!B:B, MATCH(V1488, 'File Links'!C:C, 0))))</f>
        <v>N/A</v>
      </c>
      <c r="Y1488" s="53"/>
      <c r="Z1488" s="340" t="s">
        <v>2072</v>
      </c>
      <c r="AA1488" s="53" t="s">
        <v>8444</v>
      </c>
      <c r="AB1488" s="340" t="s">
        <v>8445</v>
      </c>
      <c r="AC1488" s="340" t="s">
        <v>8446</v>
      </c>
      <c r="AD1488" s="340" t="s">
        <v>8447</v>
      </c>
      <c r="AE1488" s="340">
        <v>28.0</v>
      </c>
      <c r="AF1488" s="344">
        <v>250.0</v>
      </c>
      <c r="AG1488" s="344">
        <v>0.33</v>
      </c>
      <c r="AH1488" s="340" t="s">
        <v>354</v>
      </c>
      <c r="AI1488" s="340" t="s">
        <v>5129</v>
      </c>
      <c r="AJ1488" s="344">
        <v>0.03</v>
      </c>
      <c r="AK1488" s="340" t="s">
        <v>165</v>
      </c>
      <c r="AL1488" s="340" t="s">
        <v>179</v>
      </c>
      <c r="AM1488" s="53" t="s">
        <v>130</v>
      </c>
      <c r="AN1488" s="53" t="s">
        <v>131</v>
      </c>
      <c r="AO1488" s="344">
        <v>1118.0</v>
      </c>
      <c r="AP1488" s="344">
        <v>0.162</v>
      </c>
      <c r="AQ1488" s="340" t="s">
        <v>980</v>
      </c>
      <c r="AR1488" s="340" t="s">
        <v>8448</v>
      </c>
      <c r="AS1488" s="344">
        <v>0.022</v>
      </c>
      <c r="AT1488" s="340" t="s">
        <v>165</v>
      </c>
      <c r="AU1488" s="340" t="s">
        <v>179</v>
      </c>
      <c r="AV1488" s="53" t="s">
        <v>130</v>
      </c>
      <c r="AW1488" s="1691" t="s">
        <v>8449</v>
      </c>
      <c r="AX1488" s="53" t="s">
        <v>136</v>
      </c>
      <c r="AY1488" s="339"/>
      <c r="AZ1488" s="338" t="s">
        <v>685</v>
      </c>
      <c r="BA1488" s="339"/>
      <c r="BB1488" s="339"/>
      <c r="BC1488" s="339"/>
      <c r="BD1488" s="339"/>
      <c r="BE1488" s="339"/>
      <c r="BF1488" s="339"/>
      <c r="BG1488" s="339"/>
      <c r="BH1488" s="339"/>
      <c r="BI1488" s="339"/>
      <c r="BJ1488" s="339"/>
      <c r="BK1488" s="339"/>
      <c r="BL1488" s="339"/>
      <c r="BM1488" s="339"/>
      <c r="BN1488" s="339"/>
      <c r="BO1488" s="339"/>
      <c r="BP1488" s="339"/>
      <c r="BQ1488" s="339"/>
      <c r="BR1488" s="339"/>
      <c r="BS1488" s="339"/>
      <c r="BT1488" s="339"/>
      <c r="BU1488" s="339"/>
      <c r="BV1488" s="339"/>
      <c r="BW1488" s="339"/>
      <c r="BX1488" s="339"/>
      <c r="BY1488" s="339"/>
      <c r="BZ1488" s="339"/>
      <c r="CA1488" s="339"/>
      <c r="CB1488" s="339"/>
      <c r="CC1488" s="339"/>
      <c r="CD1488" s="339"/>
      <c r="CE1488" s="339"/>
      <c r="CF1488" s="339"/>
      <c r="CG1488" s="339"/>
      <c r="CH1488" s="339"/>
      <c r="CI1488" s="339"/>
      <c r="CJ1488" s="339"/>
      <c r="CK1488" s="339"/>
      <c r="CL1488" s="339"/>
      <c r="CM1488" s="339"/>
      <c r="CN1488" s="339"/>
      <c r="CO1488" s="339"/>
      <c r="CP1488" s="339"/>
      <c r="CQ1488" s="339"/>
      <c r="CR1488" s="339"/>
      <c r="CS1488" s="339"/>
      <c r="CT1488" s="339"/>
      <c r="CU1488" s="339"/>
      <c r="CV1488" s="339"/>
      <c r="CW1488" s="339"/>
      <c r="CX1488" s="339"/>
      <c r="CY1488" s="339"/>
      <c r="CZ1488" s="339"/>
      <c r="DA1488" s="339"/>
      <c r="DB1488" s="339"/>
      <c r="DC1488" s="339"/>
      <c r="DD1488" s="339"/>
      <c r="DE1488" s="339"/>
      <c r="DF1488" s="339"/>
      <c r="DG1488" s="339"/>
      <c r="DH1488" s="339"/>
    </row>
    <row r="1489">
      <c r="A1489" s="41">
        <v>1489.0</v>
      </c>
      <c r="B1489" s="53" t="s">
        <v>145</v>
      </c>
      <c r="C1489" s="338" t="s">
        <v>108</v>
      </c>
      <c r="D1489" s="338" t="s">
        <v>1434</v>
      </c>
      <c r="E1489" s="339"/>
      <c r="F1489" s="53" t="s">
        <v>8424</v>
      </c>
      <c r="G1489" s="53" t="s">
        <v>8450</v>
      </c>
      <c r="H1489" s="340" t="s">
        <v>8394</v>
      </c>
      <c r="I1489" s="344" t="s">
        <v>8441</v>
      </c>
      <c r="J1489" s="1579">
        <v>45741.0</v>
      </c>
      <c r="K1489" s="357"/>
      <c r="L1489" s="43"/>
      <c r="M1489" s="53" t="s">
        <v>8427</v>
      </c>
      <c r="N1489" s="53" t="s">
        <v>8428</v>
      </c>
      <c r="O1489" s="52">
        <v>3.0</v>
      </c>
      <c r="P1489" s="1688" t="s">
        <v>8429</v>
      </c>
      <c r="Q1489" s="105" t="str">
        <f t="array" ref="Q1489"> if(iserror(MATCH(V1489, 'File Links'!C:C, 0)), "N/A", HYPERLINK(INDEX('File Links'!B:B, MATCH(P1489, 'File Links'!C:C, 0))))</f>
        <v>N/A</v>
      </c>
      <c r="R1489" s="1689" t="s">
        <v>8430</v>
      </c>
      <c r="S1489" s="43"/>
      <c r="T1489" s="1690" t="s">
        <v>8431</v>
      </c>
      <c r="U1489" s="52" t="s">
        <v>8451</v>
      </c>
      <c r="V1489" s="340" t="s">
        <v>8433</v>
      </c>
      <c r="W1489" s="340" t="s">
        <v>8443</v>
      </c>
      <c r="X1489" s="46" t="str">
        <f t="array" ref="X1489"> if(iserror(MATCH(V1489, 'File Links'!C:C, 0)), "N/A", HYPERLINK(INDEX('File Links'!B:B, MATCH(V1489, 'File Links'!C:C, 0))))</f>
        <v>N/A</v>
      </c>
      <c r="Y1489" s="53"/>
      <c r="Z1489" s="340" t="s">
        <v>2072</v>
      </c>
      <c r="AA1489" s="53" t="s">
        <v>8444</v>
      </c>
      <c r="AB1489" s="340" t="s">
        <v>8445</v>
      </c>
      <c r="AC1489" s="340" t="s">
        <v>8446</v>
      </c>
      <c r="AD1489" s="340" t="s">
        <v>8447</v>
      </c>
      <c r="AE1489" s="340">
        <v>28.0</v>
      </c>
      <c r="AF1489" s="344">
        <v>250.0</v>
      </c>
      <c r="AG1489" s="344">
        <v>0.33</v>
      </c>
      <c r="AH1489" s="340" t="s">
        <v>354</v>
      </c>
      <c r="AI1489" s="340" t="s">
        <v>5129</v>
      </c>
      <c r="AJ1489" s="344">
        <v>0.03</v>
      </c>
      <c r="AK1489" s="340" t="s">
        <v>165</v>
      </c>
      <c r="AL1489" s="340" t="s">
        <v>179</v>
      </c>
      <c r="AM1489" s="53" t="s">
        <v>130</v>
      </c>
      <c r="AN1489" s="53" t="s">
        <v>131</v>
      </c>
      <c r="AO1489" s="344">
        <v>1305.0</v>
      </c>
      <c r="AP1489" s="344">
        <v>0.05</v>
      </c>
      <c r="AQ1489" s="340" t="s">
        <v>980</v>
      </c>
      <c r="AR1489" s="340" t="s">
        <v>8448</v>
      </c>
      <c r="AS1489" s="344">
        <v>0.432</v>
      </c>
      <c r="AT1489" s="340" t="s">
        <v>165</v>
      </c>
      <c r="AU1489" s="340" t="s">
        <v>179</v>
      </c>
      <c r="AV1489" s="53" t="s">
        <v>130</v>
      </c>
      <c r="AW1489" s="1691" t="s">
        <v>8452</v>
      </c>
      <c r="AX1489" s="53" t="s">
        <v>136</v>
      </c>
      <c r="AY1489" s="339"/>
      <c r="AZ1489" s="338" t="s">
        <v>685</v>
      </c>
      <c r="BA1489" s="339"/>
      <c r="BB1489" s="339"/>
      <c r="BC1489" s="339"/>
      <c r="BD1489" s="339"/>
      <c r="BE1489" s="339"/>
      <c r="BF1489" s="339"/>
      <c r="BG1489" s="339"/>
      <c r="BH1489" s="339"/>
      <c r="BI1489" s="339"/>
      <c r="BJ1489" s="339"/>
      <c r="BK1489" s="339"/>
      <c r="BL1489" s="339"/>
      <c r="BM1489" s="339"/>
      <c r="BN1489" s="339"/>
      <c r="BO1489" s="339"/>
      <c r="BP1489" s="339"/>
      <c r="BQ1489" s="339"/>
      <c r="BR1489" s="339"/>
      <c r="BS1489" s="339"/>
      <c r="BT1489" s="339"/>
      <c r="BU1489" s="339"/>
      <c r="BV1489" s="339"/>
      <c r="BW1489" s="339"/>
      <c r="BX1489" s="339"/>
      <c r="BY1489" s="339"/>
      <c r="BZ1489" s="339"/>
      <c r="CA1489" s="339"/>
      <c r="CB1489" s="339"/>
      <c r="CC1489" s="339"/>
      <c r="CD1489" s="339"/>
      <c r="CE1489" s="339"/>
      <c r="CF1489" s="339"/>
      <c r="CG1489" s="339"/>
      <c r="CH1489" s="339"/>
      <c r="CI1489" s="339"/>
      <c r="CJ1489" s="339"/>
      <c r="CK1489" s="339"/>
      <c r="CL1489" s="339"/>
      <c r="CM1489" s="339"/>
      <c r="CN1489" s="339"/>
      <c r="CO1489" s="339"/>
      <c r="CP1489" s="339"/>
      <c r="CQ1489" s="339"/>
      <c r="CR1489" s="339"/>
      <c r="CS1489" s="339"/>
      <c r="CT1489" s="339"/>
      <c r="CU1489" s="339"/>
      <c r="CV1489" s="339"/>
      <c r="CW1489" s="339"/>
      <c r="CX1489" s="339"/>
      <c r="CY1489" s="339"/>
      <c r="CZ1489" s="339"/>
      <c r="DA1489" s="339"/>
      <c r="DB1489" s="339"/>
      <c r="DC1489" s="339"/>
      <c r="DD1489" s="339"/>
      <c r="DE1489" s="339"/>
      <c r="DF1489" s="339"/>
      <c r="DG1489" s="339"/>
      <c r="DH1489" s="339"/>
    </row>
    <row r="1490">
      <c r="A1490" s="41">
        <v>1490.0</v>
      </c>
      <c r="B1490" s="53" t="s">
        <v>145</v>
      </c>
      <c r="C1490" s="338" t="s">
        <v>108</v>
      </c>
      <c r="D1490" s="338" t="s">
        <v>1434</v>
      </c>
      <c r="E1490" s="339"/>
      <c r="F1490" s="43" t="s">
        <v>8453</v>
      </c>
      <c r="G1490" s="357" t="s">
        <v>8454</v>
      </c>
      <c r="H1490" s="357" t="s">
        <v>8394</v>
      </c>
      <c r="I1490" s="341">
        <v>45231.0</v>
      </c>
      <c r="J1490" s="341">
        <v>45712.0</v>
      </c>
      <c r="K1490" s="43"/>
      <c r="L1490" s="43"/>
      <c r="M1490" s="357" t="s">
        <v>8455</v>
      </c>
      <c r="N1490" s="357" t="s">
        <v>8456</v>
      </c>
      <c r="O1490" s="354">
        <v>4.0</v>
      </c>
      <c r="P1490" s="514" t="s">
        <v>8457</v>
      </c>
      <c r="Q1490" s="105" t="str">
        <f t="array" ref="Q1490"> if(iserror(MATCH(V1490, 'File Links'!C:C, 0)), "N/A", HYPERLINK(INDEX('File Links'!B:B, MATCH(P1490, 'File Links'!C:C, 0))))</f>
        <v>N/A</v>
      </c>
      <c r="R1490" s="357" t="s">
        <v>8458</v>
      </c>
      <c r="S1490" s="357" t="s">
        <v>131</v>
      </c>
      <c r="T1490" s="506" t="s">
        <v>8459</v>
      </c>
      <c r="U1490" s="357" t="s">
        <v>8460</v>
      </c>
      <c r="V1490" s="357" t="s">
        <v>8433</v>
      </c>
      <c r="W1490" s="43" t="s">
        <v>8443</v>
      </c>
      <c r="X1490" s="46" t="str">
        <f t="array" ref="X1490"> if(iserror(MATCH(V1490, 'File Links'!C:C, 0)), "N/A", HYPERLINK(INDEX('File Links'!B:B, MATCH(V1490, 'File Links'!C:C, 0))))</f>
        <v>N/A</v>
      </c>
      <c r="Y1490" s="43"/>
      <c r="Z1490" s="357" t="s">
        <v>2072</v>
      </c>
      <c r="AA1490" s="357" t="s">
        <v>8461</v>
      </c>
      <c r="AB1490" s="357" t="s">
        <v>8462</v>
      </c>
      <c r="AC1490" s="43" t="s">
        <v>8463</v>
      </c>
      <c r="AD1490" s="357" t="s">
        <v>8464</v>
      </c>
      <c r="AE1490" s="354">
        <v>29.0</v>
      </c>
      <c r="AF1490" s="354">
        <v>405.0</v>
      </c>
      <c r="AG1490" s="354">
        <v>0.27</v>
      </c>
      <c r="AH1490" s="357" t="s">
        <v>166</v>
      </c>
      <c r="AI1490" s="357" t="s">
        <v>4275</v>
      </c>
      <c r="AJ1490" s="354">
        <v>0.056</v>
      </c>
      <c r="AK1490" s="357" t="s">
        <v>165</v>
      </c>
      <c r="AL1490" s="357" t="s">
        <v>179</v>
      </c>
      <c r="AM1490" s="357" t="s">
        <v>130</v>
      </c>
      <c r="AN1490" s="357" t="s">
        <v>131</v>
      </c>
      <c r="AO1490" s="354">
        <v>1283.0</v>
      </c>
      <c r="AP1490" s="354">
        <v>-0.07</v>
      </c>
      <c r="AQ1490" s="357" t="s">
        <v>166</v>
      </c>
      <c r="AR1490" s="357" t="s">
        <v>131</v>
      </c>
      <c r="AS1490" s="354">
        <v>0.379</v>
      </c>
      <c r="AT1490" s="357" t="s">
        <v>165</v>
      </c>
      <c r="AU1490" s="357" t="s">
        <v>179</v>
      </c>
      <c r="AV1490" s="357" t="s">
        <v>130</v>
      </c>
      <c r="AW1490" s="56" t="s">
        <v>8465</v>
      </c>
      <c r="AX1490" s="357" t="s">
        <v>136</v>
      </c>
      <c r="AY1490" s="43"/>
      <c r="AZ1490" s="338" t="s">
        <v>685</v>
      </c>
      <c r="BA1490" s="339"/>
      <c r="BB1490" s="339"/>
      <c r="BC1490" s="339"/>
      <c r="BD1490" s="339"/>
      <c r="BE1490" s="339"/>
      <c r="BF1490" s="339"/>
      <c r="BG1490" s="339"/>
      <c r="BH1490" s="339"/>
      <c r="BI1490" s="339"/>
      <c r="BJ1490" s="339"/>
      <c r="BK1490" s="339"/>
      <c r="BL1490" s="339"/>
      <c r="BM1490" s="339"/>
      <c r="BN1490" s="339"/>
      <c r="BO1490" s="339"/>
      <c r="BP1490" s="339"/>
      <c r="BQ1490" s="339"/>
      <c r="BR1490" s="339"/>
      <c r="BS1490" s="339"/>
      <c r="BT1490" s="339"/>
      <c r="BU1490" s="339"/>
      <c r="BV1490" s="339"/>
      <c r="BW1490" s="339"/>
      <c r="BX1490" s="339"/>
      <c r="BY1490" s="339"/>
      <c r="BZ1490" s="339"/>
      <c r="CA1490" s="339"/>
      <c r="CB1490" s="339"/>
      <c r="CC1490" s="339"/>
      <c r="CD1490" s="339"/>
      <c r="CE1490" s="339"/>
      <c r="CF1490" s="339"/>
      <c r="CG1490" s="339"/>
      <c r="CH1490" s="339"/>
      <c r="CI1490" s="339"/>
      <c r="CJ1490" s="339"/>
      <c r="CK1490" s="339"/>
      <c r="CL1490" s="339"/>
      <c r="CM1490" s="339"/>
      <c r="CN1490" s="339"/>
      <c r="CO1490" s="339"/>
      <c r="CP1490" s="339"/>
      <c r="CQ1490" s="339"/>
      <c r="CR1490" s="339"/>
      <c r="CS1490" s="339"/>
      <c r="CT1490" s="339"/>
      <c r="CU1490" s="339"/>
      <c r="CV1490" s="339"/>
      <c r="CW1490" s="339"/>
      <c r="CX1490" s="339"/>
      <c r="CY1490" s="339"/>
      <c r="CZ1490" s="339"/>
      <c r="DA1490" s="339"/>
      <c r="DB1490" s="339"/>
      <c r="DC1490" s="339"/>
      <c r="DD1490" s="339"/>
      <c r="DE1490" s="339"/>
      <c r="DF1490" s="339"/>
      <c r="DG1490" s="339"/>
      <c r="DH1490" s="339"/>
    </row>
    <row r="1491">
      <c r="A1491" s="41">
        <v>1491.0</v>
      </c>
      <c r="B1491" s="53" t="s">
        <v>107</v>
      </c>
      <c r="C1491" s="338" t="s">
        <v>108</v>
      </c>
      <c r="D1491" s="338" t="s">
        <v>146</v>
      </c>
      <c r="E1491" s="339"/>
      <c r="F1491" s="53" t="s">
        <v>8453</v>
      </c>
      <c r="G1491" s="53" t="s">
        <v>8466</v>
      </c>
      <c r="H1491" s="340" t="s">
        <v>8467</v>
      </c>
      <c r="I1491" s="342">
        <v>45231.0</v>
      </c>
      <c r="J1491" s="43"/>
      <c r="K1491" s="357"/>
      <c r="L1491" s="53" t="s">
        <v>8468</v>
      </c>
      <c r="M1491" s="53" t="s">
        <v>8455</v>
      </c>
      <c r="N1491" s="53" t="s">
        <v>8456</v>
      </c>
      <c r="O1491" s="52">
        <v>4.0</v>
      </c>
      <c r="P1491" s="1688" t="s">
        <v>8457</v>
      </c>
      <c r="Q1491" s="105" t="str">
        <f t="array" ref="Q1491"> if(iserror(MATCH(V1491, 'File Links'!C:C, 0)), "N/A", HYPERLINK(INDEX('File Links'!B:B, MATCH(P1491, 'File Links'!C:C, 0))))</f>
        <v>N/A</v>
      </c>
      <c r="R1491" s="1689" t="s">
        <v>8469</v>
      </c>
      <c r="S1491" s="53" t="s">
        <v>131</v>
      </c>
      <c r="T1491" s="1690" t="s">
        <v>8459</v>
      </c>
      <c r="U1491" s="382"/>
      <c r="V1491" s="340"/>
      <c r="W1491" s="340" t="s">
        <v>157</v>
      </c>
      <c r="X1491" s="46" t="str">
        <f t="array" ref="X1491"> if(iserror(MATCH(V1491, 'File Links'!C:C, 0)), "N/A", HYPERLINK(INDEX('File Links'!B:B, MATCH(V1491, 'File Links'!C:C, 0))))</f>
        <v>N/A</v>
      </c>
      <c r="Y1491" s="43"/>
      <c r="Z1491" s="340" t="s">
        <v>2072</v>
      </c>
      <c r="AA1491" s="53" t="s">
        <v>8470</v>
      </c>
      <c r="AB1491" s="340" t="s">
        <v>8471</v>
      </c>
      <c r="AC1491" s="340" t="s">
        <v>8472</v>
      </c>
      <c r="AD1491" s="340" t="s">
        <v>8473</v>
      </c>
      <c r="AE1491" s="340">
        <v>29.0</v>
      </c>
      <c r="AF1491" s="344">
        <v>405.0</v>
      </c>
      <c r="AG1491" s="344">
        <v>0.4</v>
      </c>
      <c r="AH1491" s="340" t="s">
        <v>166</v>
      </c>
      <c r="AI1491" s="340" t="s">
        <v>4267</v>
      </c>
      <c r="AJ1491" s="344">
        <v>0.007</v>
      </c>
      <c r="AK1491" s="340" t="s">
        <v>165</v>
      </c>
      <c r="AL1491" s="340" t="s">
        <v>129</v>
      </c>
      <c r="AM1491" s="53" t="s">
        <v>130</v>
      </c>
      <c r="AN1491" s="43"/>
      <c r="AO1491" s="344">
        <v>1283.0</v>
      </c>
      <c r="AP1491" s="344">
        <v>0.05</v>
      </c>
      <c r="AQ1491" s="340" t="s">
        <v>166</v>
      </c>
      <c r="AR1491" s="357"/>
      <c r="AS1491" s="344">
        <v>0.496</v>
      </c>
      <c r="AT1491" s="340" t="s">
        <v>165</v>
      </c>
      <c r="AU1491" s="340" t="s">
        <v>129</v>
      </c>
      <c r="AV1491" s="53" t="s">
        <v>130</v>
      </c>
      <c r="AW1491" s="1691" t="s">
        <v>8465</v>
      </c>
      <c r="AX1491" s="53" t="s">
        <v>136</v>
      </c>
      <c r="AY1491" s="339"/>
      <c r="AZ1491" s="338" t="s">
        <v>685</v>
      </c>
      <c r="BA1491" s="339"/>
      <c r="BB1491" s="339"/>
      <c r="BC1491" s="339"/>
      <c r="BD1491" s="339"/>
      <c r="BE1491" s="339"/>
      <c r="BF1491" s="339"/>
      <c r="BG1491" s="339"/>
      <c r="BH1491" s="339"/>
      <c r="BI1491" s="339"/>
      <c r="BJ1491" s="339"/>
      <c r="BK1491" s="339"/>
      <c r="BL1491" s="339"/>
      <c r="BM1491" s="339"/>
      <c r="BN1491" s="339"/>
      <c r="BO1491" s="339"/>
      <c r="BP1491" s="339"/>
      <c r="BQ1491" s="339"/>
      <c r="BR1491" s="339"/>
      <c r="BS1491" s="339"/>
      <c r="BT1491" s="339"/>
      <c r="BU1491" s="339"/>
      <c r="BV1491" s="339"/>
      <c r="BW1491" s="339"/>
      <c r="BX1491" s="339"/>
      <c r="BY1491" s="339"/>
      <c r="BZ1491" s="339"/>
      <c r="CA1491" s="339"/>
      <c r="CB1491" s="339"/>
      <c r="CC1491" s="339"/>
      <c r="CD1491" s="339"/>
      <c r="CE1491" s="339"/>
      <c r="CF1491" s="339"/>
      <c r="CG1491" s="339"/>
      <c r="CH1491" s="339"/>
      <c r="CI1491" s="339"/>
      <c r="CJ1491" s="339"/>
      <c r="CK1491" s="339"/>
      <c r="CL1491" s="339"/>
      <c r="CM1491" s="339"/>
      <c r="CN1491" s="339"/>
      <c r="CO1491" s="339"/>
      <c r="CP1491" s="339"/>
      <c r="CQ1491" s="339"/>
      <c r="CR1491" s="339"/>
      <c r="CS1491" s="339"/>
      <c r="CT1491" s="339"/>
      <c r="CU1491" s="339"/>
      <c r="CV1491" s="339"/>
      <c r="CW1491" s="339"/>
      <c r="CX1491" s="339"/>
      <c r="CY1491" s="339"/>
      <c r="CZ1491" s="339"/>
      <c r="DA1491" s="339"/>
      <c r="DB1491" s="339"/>
      <c r="DC1491" s="339"/>
      <c r="DD1491" s="339"/>
      <c r="DE1491" s="339"/>
      <c r="DF1491" s="339"/>
      <c r="DG1491" s="339"/>
      <c r="DH1491" s="339"/>
    </row>
    <row r="1492">
      <c r="A1492" s="41">
        <v>1492.0</v>
      </c>
      <c r="B1492" s="53" t="s">
        <v>107</v>
      </c>
      <c r="C1492" s="338" t="s">
        <v>108</v>
      </c>
      <c r="D1492" s="338" t="s">
        <v>1434</v>
      </c>
      <c r="E1492" s="339"/>
      <c r="F1492" s="43" t="s">
        <v>8474</v>
      </c>
      <c r="G1492" s="357" t="s">
        <v>8475</v>
      </c>
      <c r="H1492" s="357" t="s">
        <v>8394</v>
      </c>
      <c r="I1492" s="341">
        <v>45231.0</v>
      </c>
      <c r="J1492" s="341">
        <v>45712.0</v>
      </c>
      <c r="K1492" s="43"/>
      <c r="L1492" s="43"/>
      <c r="M1492" s="357" t="s">
        <v>8455</v>
      </c>
      <c r="N1492" s="357" t="s">
        <v>8456</v>
      </c>
      <c r="O1492" s="354">
        <v>4.0</v>
      </c>
      <c r="P1492" s="514" t="s">
        <v>8457</v>
      </c>
      <c r="Q1492" s="105" t="str">
        <f t="array" ref="Q1492"> if(iserror(MATCH(V1492, 'File Links'!C:C, 0)), "N/A", HYPERLINK(INDEX('File Links'!B:B, MATCH(P1492, 'File Links'!C:C, 0))))</f>
        <v>N/A</v>
      </c>
      <c r="R1492" s="357" t="s">
        <v>8458</v>
      </c>
      <c r="S1492" s="357" t="s">
        <v>131</v>
      </c>
      <c r="T1492" s="506" t="s">
        <v>8459</v>
      </c>
      <c r="U1492" s="357" t="s">
        <v>8476</v>
      </c>
      <c r="V1492" s="357" t="s">
        <v>8433</v>
      </c>
      <c r="W1492" s="43" t="s">
        <v>8443</v>
      </c>
      <c r="X1492" s="46" t="str">
        <f t="array" ref="X1492"> if(iserror(MATCH(V1492, 'File Links'!C:C, 0)), "N/A", HYPERLINK(INDEX('File Links'!B:B, MATCH(V1492, 'File Links'!C:C, 0))))</f>
        <v>N/A</v>
      </c>
      <c r="Y1492" s="43"/>
      <c r="Z1492" s="357" t="s">
        <v>2072</v>
      </c>
      <c r="AA1492" s="357" t="s">
        <v>8461</v>
      </c>
      <c r="AB1492" s="357" t="s">
        <v>8462</v>
      </c>
      <c r="AC1492" s="43" t="s">
        <v>8477</v>
      </c>
      <c r="AD1492" s="357" t="s">
        <v>8478</v>
      </c>
      <c r="AE1492" s="354">
        <v>29.0</v>
      </c>
      <c r="AF1492" s="354">
        <v>405.0</v>
      </c>
      <c r="AG1492" s="354">
        <v>0.4</v>
      </c>
      <c r="AH1492" s="357" t="s">
        <v>166</v>
      </c>
      <c r="AI1492" s="357" t="s">
        <v>4275</v>
      </c>
      <c r="AJ1492" s="354">
        <v>0.007</v>
      </c>
      <c r="AK1492" s="357" t="s">
        <v>165</v>
      </c>
      <c r="AL1492" s="357" t="s">
        <v>179</v>
      </c>
      <c r="AM1492" s="357" t="s">
        <v>130</v>
      </c>
      <c r="AN1492" s="357" t="s">
        <v>131</v>
      </c>
      <c r="AO1492" s="354">
        <v>1283.0</v>
      </c>
      <c r="AP1492" s="354">
        <v>0.05</v>
      </c>
      <c r="AQ1492" s="357" t="s">
        <v>166</v>
      </c>
      <c r="AR1492" s="357" t="s">
        <v>131</v>
      </c>
      <c r="AS1492" s="354">
        <v>0.496</v>
      </c>
      <c r="AT1492" s="357" t="s">
        <v>165</v>
      </c>
      <c r="AU1492" s="357" t="s">
        <v>179</v>
      </c>
      <c r="AV1492" s="357" t="s">
        <v>130</v>
      </c>
      <c r="AW1492" s="56" t="s">
        <v>8465</v>
      </c>
      <c r="AX1492" s="357" t="s">
        <v>136</v>
      </c>
      <c r="AY1492" s="43"/>
      <c r="AZ1492" s="338" t="s">
        <v>685</v>
      </c>
      <c r="BA1492" s="339"/>
      <c r="BB1492" s="339"/>
      <c r="BC1492" s="339"/>
      <c r="BD1492" s="339"/>
      <c r="BE1492" s="339"/>
      <c r="BF1492" s="339"/>
      <c r="BG1492" s="339"/>
      <c r="BH1492" s="339"/>
      <c r="BI1492" s="339"/>
      <c r="BJ1492" s="339"/>
      <c r="BK1492" s="339"/>
      <c r="BL1492" s="339"/>
      <c r="BM1492" s="339"/>
      <c r="BN1492" s="339"/>
      <c r="BO1492" s="339"/>
      <c r="BP1492" s="339"/>
      <c r="BQ1492" s="339"/>
      <c r="BR1492" s="339"/>
      <c r="BS1492" s="339"/>
      <c r="BT1492" s="339"/>
      <c r="BU1492" s="339"/>
      <c r="BV1492" s="339"/>
      <c r="BW1492" s="339"/>
      <c r="BX1492" s="339"/>
      <c r="BY1492" s="339"/>
      <c r="BZ1492" s="339"/>
      <c r="CA1492" s="339"/>
      <c r="CB1492" s="339"/>
      <c r="CC1492" s="339"/>
      <c r="CD1492" s="339"/>
      <c r="CE1492" s="339"/>
      <c r="CF1492" s="339"/>
      <c r="CG1492" s="339"/>
      <c r="CH1492" s="339"/>
      <c r="CI1492" s="339"/>
      <c r="CJ1492" s="339"/>
      <c r="CK1492" s="339"/>
      <c r="CL1492" s="339"/>
      <c r="CM1492" s="339"/>
      <c r="CN1492" s="339"/>
      <c r="CO1492" s="339"/>
      <c r="CP1492" s="339"/>
      <c r="CQ1492" s="339"/>
      <c r="CR1492" s="339"/>
      <c r="CS1492" s="339"/>
      <c r="CT1492" s="339"/>
      <c r="CU1492" s="339"/>
      <c r="CV1492" s="339"/>
      <c r="CW1492" s="339"/>
      <c r="CX1492" s="339"/>
      <c r="CY1492" s="339"/>
      <c r="CZ1492" s="339"/>
      <c r="DA1492" s="339"/>
      <c r="DB1492" s="339"/>
      <c r="DC1492" s="339"/>
      <c r="DD1492" s="339"/>
      <c r="DE1492" s="339"/>
      <c r="DF1492" s="339"/>
      <c r="DG1492" s="339"/>
      <c r="DH1492" s="339"/>
    </row>
    <row r="1493">
      <c r="A1493" s="41">
        <v>1493.0</v>
      </c>
      <c r="B1493" s="216" t="s">
        <v>583</v>
      </c>
      <c r="C1493" s="121" t="s">
        <v>108</v>
      </c>
      <c r="D1493" s="121" t="s">
        <v>169</v>
      </c>
      <c r="E1493" s="104"/>
      <c r="F1493" s="122" t="s">
        <v>8479</v>
      </c>
      <c r="G1493" s="137" t="s">
        <v>8480</v>
      </c>
      <c r="H1493" s="137" t="s">
        <v>7218</v>
      </c>
      <c r="I1493" s="1553" t="s">
        <v>8378</v>
      </c>
      <c r="J1493" s="122"/>
      <c r="K1493" s="122" t="s">
        <v>8481</v>
      </c>
      <c r="L1493" s="137" t="s">
        <v>8482</v>
      </c>
      <c r="M1493" s="137" t="s">
        <v>8483</v>
      </c>
      <c r="N1493" s="137" t="s">
        <v>8484</v>
      </c>
      <c r="O1493" s="1695">
        <v>3.0</v>
      </c>
      <c r="P1493" s="1356" t="s">
        <v>8485</v>
      </c>
      <c r="Q1493" s="105" t="str">
        <f t="array" ref="Q1493"> if(iserror(MATCH(V1493, 'File Links'!C:C, 0)), "N/A", HYPERLINK(INDEX('File Links'!B:B, MATCH(P1493, 'File Links'!C:C, 0))))</f>
        <v>N/A</v>
      </c>
      <c r="R1493" s="137" t="s">
        <v>8486</v>
      </c>
      <c r="S1493" s="122"/>
      <c r="T1493" s="1696" t="s">
        <v>8487</v>
      </c>
      <c r="U1493" s="137" t="s">
        <v>8488</v>
      </c>
      <c r="V1493" s="137" t="s">
        <v>8433</v>
      </c>
      <c r="W1493" s="122" t="s">
        <v>157</v>
      </c>
      <c r="X1493" s="46" t="str">
        <f t="array" ref="X1493"> if(iserror(MATCH(V1493, 'File Links'!C:C, 0)), "N/A", HYPERLINK(INDEX('File Links'!B:B, MATCH(V1493, 'File Links'!C:C, 0))))</f>
        <v>N/A</v>
      </c>
      <c r="Y1493" s="122"/>
      <c r="Z1493" s="137" t="s">
        <v>219</v>
      </c>
      <c r="AA1493" s="122" t="s">
        <v>8489</v>
      </c>
      <c r="AB1493" s="137" t="s">
        <v>8490</v>
      </c>
      <c r="AC1493" s="137" t="s">
        <v>8491</v>
      </c>
      <c r="AD1493" s="122" t="s">
        <v>8492</v>
      </c>
      <c r="AE1493" s="122" t="s">
        <v>8493</v>
      </c>
      <c r="AF1493" s="779">
        <v>197.0</v>
      </c>
      <c r="AG1493" s="779">
        <v>0.7</v>
      </c>
      <c r="AH1493" s="137" t="s">
        <v>166</v>
      </c>
      <c r="AI1493" s="122" t="s">
        <v>8493</v>
      </c>
      <c r="AJ1493" s="1695">
        <v>0.001</v>
      </c>
      <c r="AK1493" s="122" t="s">
        <v>128</v>
      </c>
      <c r="AL1493" s="122" t="s">
        <v>179</v>
      </c>
      <c r="AM1493" s="122" t="s">
        <v>130</v>
      </c>
      <c r="AN1493" s="122"/>
      <c r="AO1493" s="779">
        <v>1489.0</v>
      </c>
      <c r="AP1493" s="216" t="s">
        <v>8494</v>
      </c>
      <c r="AQ1493" s="122" t="s">
        <v>127</v>
      </c>
      <c r="AR1493" s="122" t="s">
        <v>131</v>
      </c>
      <c r="AS1493" s="1695">
        <v>0.443</v>
      </c>
      <c r="AT1493" s="122" t="s">
        <v>165</v>
      </c>
      <c r="AU1493" s="122" t="s">
        <v>179</v>
      </c>
      <c r="AV1493" s="122" t="s">
        <v>130</v>
      </c>
      <c r="AW1493" s="666" t="s">
        <v>8495</v>
      </c>
      <c r="AX1493" s="122" t="s">
        <v>136</v>
      </c>
      <c r="AY1493" s="122"/>
      <c r="AZ1493" s="338" t="s">
        <v>685</v>
      </c>
      <c r="BA1493" s="104"/>
      <c r="BB1493" s="104"/>
      <c r="BC1493" s="104"/>
      <c r="BD1493" s="104"/>
      <c r="BE1493" s="104"/>
      <c r="BF1493" s="104"/>
      <c r="BG1493" s="104"/>
      <c r="BH1493" s="104"/>
      <c r="BI1493" s="104"/>
      <c r="BJ1493" s="104"/>
      <c r="BK1493" s="104"/>
      <c r="BL1493" s="104"/>
      <c r="BM1493" s="104"/>
      <c r="BN1493" s="104"/>
      <c r="BO1493" s="104"/>
      <c r="BP1493" s="104"/>
      <c r="BQ1493" s="104"/>
      <c r="BR1493" s="104"/>
      <c r="BS1493" s="104"/>
      <c r="BT1493" s="104"/>
      <c r="BU1493" s="104"/>
      <c r="BV1493" s="104"/>
      <c r="BW1493" s="104"/>
      <c r="BX1493" s="104"/>
      <c r="BY1493" s="104"/>
      <c r="BZ1493" s="104"/>
      <c r="CA1493" s="104"/>
      <c r="CB1493" s="104"/>
      <c r="CC1493" s="104"/>
      <c r="CD1493" s="104"/>
      <c r="CE1493" s="104"/>
      <c r="CF1493" s="104"/>
      <c r="CG1493" s="104"/>
      <c r="CH1493" s="104"/>
      <c r="CI1493" s="104"/>
      <c r="CJ1493" s="104"/>
      <c r="CK1493" s="104"/>
      <c r="CL1493" s="104"/>
      <c r="CM1493" s="104"/>
      <c r="CN1493" s="104"/>
      <c r="CO1493" s="104"/>
      <c r="CP1493" s="104"/>
      <c r="CQ1493" s="104"/>
      <c r="CR1493" s="104"/>
      <c r="CS1493" s="104"/>
      <c r="CT1493" s="104"/>
      <c r="CU1493" s="104"/>
      <c r="CV1493" s="104"/>
      <c r="CW1493" s="104"/>
      <c r="CX1493" s="104"/>
      <c r="CY1493" s="104"/>
      <c r="CZ1493" s="104"/>
      <c r="DA1493" s="104"/>
      <c r="DB1493" s="104"/>
      <c r="DC1493" s="104"/>
      <c r="DD1493" s="104"/>
      <c r="DE1493" s="104"/>
      <c r="DF1493" s="104"/>
      <c r="DG1493" s="104"/>
      <c r="DH1493" s="104"/>
    </row>
    <row r="1494">
      <c r="A1494" s="41">
        <v>1494.0</v>
      </c>
      <c r="B1494" s="216" t="s">
        <v>583</v>
      </c>
      <c r="C1494" s="121" t="s">
        <v>108</v>
      </c>
      <c r="D1494" s="121" t="s">
        <v>1434</v>
      </c>
      <c r="E1494" s="104"/>
      <c r="F1494" s="216" t="s">
        <v>8479</v>
      </c>
      <c r="G1494" s="216" t="s">
        <v>8480</v>
      </c>
      <c r="H1494" s="116" t="s">
        <v>8394</v>
      </c>
      <c r="I1494" s="218">
        <v>45231.0</v>
      </c>
      <c r="J1494" s="125">
        <v>45741.0</v>
      </c>
      <c r="K1494" s="116" t="s">
        <v>8496</v>
      </c>
      <c r="L1494" s="216" t="s">
        <v>8482</v>
      </c>
      <c r="M1494" s="216" t="s">
        <v>8483</v>
      </c>
      <c r="N1494" s="216" t="s">
        <v>8484</v>
      </c>
      <c r="O1494" s="1697">
        <v>3.0</v>
      </c>
      <c r="P1494" s="1698" t="s">
        <v>8485</v>
      </c>
      <c r="Q1494" s="105" t="str">
        <f t="array" ref="Q1494"> if(iserror(MATCH(V1494, 'File Links'!C:C, 0)), "N/A", HYPERLINK(INDEX('File Links'!B:B, MATCH(P1494, 'File Links'!C:C, 0))))</f>
        <v>N/A</v>
      </c>
      <c r="R1494" s="1699" t="s">
        <v>8486</v>
      </c>
      <c r="S1494" s="122"/>
      <c r="T1494" s="1700" t="s">
        <v>8487</v>
      </c>
      <c r="U1494" s="1695"/>
      <c r="V1494" s="116" t="s">
        <v>8433</v>
      </c>
      <c r="W1494" s="116" t="s">
        <v>157</v>
      </c>
      <c r="X1494" s="46" t="str">
        <f t="array" ref="X1494"> if(iserror(MATCH(V1494, 'File Links'!C:C, 0)), "N/A", HYPERLINK(INDEX('File Links'!B:B, MATCH(V1494, 'File Links'!C:C, 0))))</f>
        <v>N/A</v>
      </c>
      <c r="Y1494" s="216" t="s">
        <v>8497</v>
      </c>
      <c r="Z1494" s="116" t="s">
        <v>2072</v>
      </c>
      <c r="AA1494" s="216" t="s">
        <v>8498</v>
      </c>
      <c r="AB1494" s="116" t="s">
        <v>8499</v>
      </c>
      <c r="AC1494" s="116" t="s">
        <v>8500</v>
      </c>
      <c r="AD1494" s="116" t="s">
        <v>8501</v>
      </c>
      <c r="AE1494" s="116" t="s">
        <v>615</v>
      </c>
      <c r="AF1494" s="222">
        <v>197.0</v>
      </c>
      <c r="AG1494" s="222">
        <v>0.47</v>
      </c>
      <c r="AH1494" s="116" t="s">
        <v>166</v>
      </c>
      <c r="AI1494" s="116" t="s">
        <v>8502</v>
      </c>
      <c r="AJ1494" s="222">
        <v>0.01</v>
      </c>
      <c r="AK1494" s="116" t="s">
        <v>128</v>
      </c>
      <c r="AL1494" s="116" t="s">
        <v>179</v>
      </c>
      <c r="AM1494" s="216" t="s">
        <v>130</v>
      </c>
      <c r="AN1494" s="216" t="s">
        <v>131</v>
      </c>
      <c r="AO1494" s="222">
        <v>3007.0</v>
      </c>
      <c r="AP1494" s="222" t="s">
        <v>8503</v>
      </c>
      <c r="AQ1494" s="116" t="s">
        <v>127</v>
      </c>
      <c r="AR1494" s="116" t="s">
        <v>8504</v>
      </c>
      <c r="AS1494" s="222">
        <v>1.0E-4</v>
      </c>
      <c r="AT1494" s="116" t="s">
        <v>128</v>
      </c>
      <c r="AU1494" s="116" t="s">
        <v>179</v>
      </c>
      <c r="AV1494" s="216" t="s">
        <v>130</v>
      </c>
      <c r="AW1494" s="1701" t="s">
        <v>8505</v>
      </c>
      <c r="AX1494" s="216" t="s">
        <v>136</v>
      </c>
      <c r="AY1494" s="104"/>
      <c r="AZ1494" s="338" t="s">
        <v>685</v>
      </c>
      <c r="BA1494" s="104"/>
      <c r="BB1494" s="104"/>
      <c r="BC1494" s="104"/>
      <c r="BD1494" s="104"/>
      <c r="BE1494" s="104"/>
      <c r="BF1494" s="104"/>
      <c r="BG1494" s="104"/>
      <c r="BH1494" s="104"/>
      <c r="BI1494" s="104"/>
      <c r="BJ1494" s="104"/>
      <c r="BK1494" s="104"/>
      <c r="BL1494" s="104"/>
      <c r="BM1494" s="104"/>
      <c r="BN1494" s="104"/>
      <c r="BO1494" s="104"/>
      <c r="BP1494" s="104"/>
      <c r="BQ1494" s="104"/>
      <c r="BR1494" s="104"/>
      <c r="BS1494" s="104"/>
      <c r="BT1494" s="104"/>
      <c r="BU1494" s="104"/>
      <c r="BV1494" s="104"/>
      <c r="BW1494" s="104"/>
      <c r="BX1494" s="104"/>
      <c r="BY1494" s="104"/>
      <c r="BZ1494" s="104"/>
      <c r="CA1494" s="104"/>
      <c r="CB1494" s="104"/>
      <c r="CC1494" s="104"/>
      <c r="CD1494" s="104"/>
      <c r="CE1494" s="104"/>
      <c r="CF1494" s="104"/>
      <c r="CG1494" s="104"/>
      <c r="CH1494" s="104"/>
      <c r="CI1494" s="104"/>
      <c r="CJ1494" s="104"/>
      <c r="CK1494" s="104"/>
      <c r="CL1494" s="104"/>
      <c r="CM1494" s="104"/>
      <c r="CN1494" s="104"/>
      <c r="CO1494" s="104"/>
      <c r="CP1494" s="104"/>
      <c r="CQ1494" s="104"/>
      <c r="CR1494" s="104"/>
      <c r="CS1494" s="104"/>
      <c r="CT1494" s="104"/>
      <c r="CU1494" s="104"/>
      <c r="CV1494" s="104"/>
      <c r="CW1494" s="104"/>
      <c r="CX1494" s="104"/>
      <c r="CY1494" s="104"/>
      <c r="CZ1494" s="104"/>
      <c r="DA1494" s="104"/>
      <c r="DB1494" s="104"/>
      <c r="DC1494" s="104"/>
      <c r="DD1494" s="104"/>
      <c r="DE1494" s="104"/>
      <c r="DF1494" s="104"/>
      <c r="DG1494" s="104"/>
      <c r="DH1494" s="104"/>
    </row>
    <row r="1495">
      <c r="A1495" s="41">
        <v>1495.0</v>
      </c>
      <c r="B1495" s="53" t="s">
        <v>145</v>
      </c>
      <c r="C1495" s="338" t="s">
        <v>108</v>
      </c>
      <c r="D1495" s="338" t="s">
        <v>1434</v>
      </c>
      <c r="E1495" s="339"/>
      <c r="F1495" s="43" t="s">
        <v>8506</v>
      </c>
      <c r="G1495" s="357" t="s">
        <v>8507</v>
      </c>
      <c r="H1495" s="357" t="s">
        <v>8394</v>
      </c>
      <c r="I1495" s="1684" t="s">
        <v>8508</v>
      </c>
      <c r="J1495" s="341">
        <v>45712.0</v>
      </c>
      <c r="K1495" s="43"/>
      <c r="L1495" s="53" t="s">
        <v>8509</v>
      </c>
      <c r="M1495" s="357" t="s">
        <v>8510</v>
      </c>
      <c r="N1495" s="357" t="s">
        <v>8511</v>
      </c>
      <c r="O1495" s="354">
        <v>1.0</v>
      </c>
      <c r="P1495" s="514" t="s">
        <v>8512</v>
      </c>
      <c r="Q1495" s="105" t="str">
        <f t="array" ref="Q1495"> if(iserror(MATCH(V1495, 'File Links'!C:C, 0)), "N/A", HYPERLINK(INDEX('File Links'!B:B, MATCH(P1495, 'File Links'!C:C, 0))))</f>
        <v>N/A</v>
      </c>
      <c r="R1495" s="357" t="s">
        <v>8513</v>
      </c>
      <c r="S1495" s="357" t="s">
        <v>131</v>
      </c>
      <c r="T1495" s="506" t="s">
        <v>8514</v>
      </c>
      <c r="U1495" s="357" t="s">
        <v>8515</v>
      </c>
      <c r="V1495" s="357" t="s">
        <v>8433</v>
      </c>
      <c r="W1495" s="357" t="s">
        <v>1587</v>
      </c>
      <c r="X1495" s="46" t="str">
        <f t="array" ref="X1495"> if(iserror(MATCH(V1495, 'File Links'!C:C, 0)), "N/A", HYPERLINK(INDEX('File Links'!B:B, MATCH(V1495, 'File Links'!C:C, 0))))</f>
        <v>N/A</v>
      </c>
      <c r="Y1495" s="43"/>
      <c r="Z1495" s="357" t="s">
        <v>2072</v>
      </c>
      <c r="AA1495" s="357" t="s">
        <v>8516</v>
      </c>
      <c r="AB1495" s="357" t="s">
        <v>8517</v>
      </c>
      <c r="AC1495" s="43" t="s">
        <v>8518</v>
      </c>
      <c r="AD1495" s="43" t="s">
        <v>8519</v>
      </c>
      <c r="AE1495" s="1702">
        <v>15.0</v>
      </c>
      <c r="AF1495" s="354">
        <v>87.0</v>
      </c>
      <c r="AG1495" s="354">
        <v>0.045</v>
      </c>
      <c r="AH1495" s="357" t="s">
        <v>132</v>
      </c>
      <c r="AI1495" s="357" t="s">
        <v>620</v>
      </c>
      <c r="AJ1495" s="354">
        <v>0.048</v>
      </c>
      <c r="AK1495" s="357" t="s">
        <v>165</v>
      </c>
      <c r="AL1495" s="357" t="s">
        <v>179</v>
      </c>
      <c r="AM1495" s="357" t="s">
        <v>130</v>
      </c>
      <c r="AN1495" s="357" t="s">
        <v>131</v>
      </c>
      <c r="AO1495" s="354">
        <v>636.0</v>
      </c>
      <c r="AP1495" s="354">
        <v>0.05</v>
      </c>
      <c r="AQ1495" s="357" t="s">
        <v>166</v>
      </c>
      <c r="AR1495" s="357" t="s">
        <v>131</v>
      </c>
      <c r="AS1495" s="354">
        <v>0.513</v>
      </c>
      <c r="AT1495" s="357" t="s">
        <v>165</v>
      </c>
      <c r="AU1495" s="357" t="s">
        <v>179</v>
      </c>
      <c r="AV1495" s="357" t="s">
        <v>130</v>
      </c>
      <c r="AW1495" s="56" t="s">
        <v>8520</v>
      </c>
      <c r="AX1495" s="357" t="s">
        <v>136</v>
      </c>
      <c r="AY1495" s="43"/>
      <c r="AZ1495" s="338" t="s">
        <v>685</v>
      </c>
      <c r="BA1495" s="339"/>
      <c r="BB1495" s="339"/>
      <c r="BC1495" s="339"/>
      <c r="BD1495" s="339"/>
      <c r="BE1495" s="339"/>
      <c r="BF1495" s="339"/>
      <c r="BG1495" s="339"/>
      <c r="BH1495" s="339"/>
      <c r="BI1495" s="339"/>
      <c r="BJ1495" s="339"/>
      <c r="BK1495" s="339"/>
      <c r="BL1495" s="339"/>
      <c r="BM1495" s="339"/>
      <c r="BN1495" s="339"/>
      <c r="BO1495" s="339"/>
      <c r="BP1495" s="339"/>
      <c r="BQ1495" s="339"/>
      <c r="BR1495" s="339"/>
      <c r="BS1495" s="339"/>
      <c r="BT1495" s="339"/>
      <c r="BU1495" s="339"/>
      <c r="BV1495" s="339"/>
      <c r="BW1495" s="339"/>
      <c r="BX1495" s="339"/>
      <c r="BY1495" s="339"/>
      <c r="BZ1495" s="339"/>
      <c r="CA1495" s="339"/>
      <c r="CB1495" s="339"/>
      <c r="CC1495" s="339"/>
      <c r="CD1495" s="339"/>
      <c r="CE1495" s="339"/>
      <c r="CF1495" s="339"/>
      <c r="CG1495" s="339"/>
      <c r="CH1495" s="339"/>
      <c r="CI1495" s="339"/>
      <c r="CJ1495" s="339"/>
      <c r="CK1495" s="339"/>
      <c r="CL1495" s="339"/>
      <c r="CM1495" s="339"/>
      <c r="CN1495" s="339"/>
      <c r="CO1495" s="339"/>
      <c r="CP1495" s="339"/>
      <c r="CQ1495" s="339"/>
      <c r="CR1495" s="339"/>
      <c r="CS1495" s="339"/>
      <c r="CT1495" s="339"/>
      <c r="CU1495" s="339"/>
      <c r="CV1495" s="339"/>
      <c r="CW1495" s="339"/>
      <c r="CX1495" s="339"/>
      <c r="CY1495" s="339"/>
      <c r="CZ1495" s="339"/>
      <c r="DA1495" s="339"/>
      <c r="DB1495" s="339"/>
      <c r="DC1495" s="339"/>
      <c r="DD1495" s="339"/>
      <c r="DE1495" s="339"/>
      <c r="DF1495" s="339"/>
      <c r="DG1495" s="339"/>
      <c r="DH1495" s="339"/>
    </row>
    <row r="1496">
      <c r="A1496" s="41">
        <v>1496.0</v>
      </c>
      <c r="B1496" s="53" t="s">
        <v>107</v>
      </c>
      <c r="C1496" s="338" t="s">
        <v>108</v>
      </c>
      <c r="D1496" s="338" t="s">
        <v>146</v>
      </c>
      <c r="E1496" s="339"/>
      <c r="F1496" s="53" t="s">
        <v>8506</v>
      </c>
      <c r="G1496" s="53" t="s">
        <v>8521</v>
      </c>
      <c r="H1496" s="340" t="s">
        <v>8522</v>
      </c>
      <c r="I1496" s="344" t="s">
        <v>8523</v>
      </c>
      <c r="J1496" s="43"/>
      <c r="K1496" s="357"/>
      <c r="L1496" s="53" t="s">
        <v>8524</v>
      </c>
      <c r="M1496" s="53" t="s">
        <v>8510</v>
      </c>
      <c r="N1496" s="53" t="s">
        <v>8511</v>
      </c>
      <c r="O1496" s="52">
        <v>1.0</v>
      </c>
      <c r="P1496" s="1688" t="s">
        <v>8512</v>
      </c>
      <c r="Q1496" s="105" t="str">
        <f t="array" ref="Q1496"> if(iserror(MATCH(V1496, 'File Links'!C:C, 0)), "N/A", HYPERLINK(INDEX('File Links'!B:B, MATCH(P1496, 'File Links'!C:C, 0))))</f>
        <v>N/A</v>
      </c>
      <c r="R1496" s="1689" t="s">
        <v>8513</v>
      </c>
      <c r="S1496" s="53" t="s">
        <v>131</v>
      </c>
      <c r="T1496" s="1690" t="s">
        <v>8514</v>
      </c>
      <c r="U1496" s="52" t="s">
        <v>8515</v>
      </c>
      <c r="V1496" s="340"/>
      <c r="W1496" s="340" t="s">
        <v>157</v>
      </c>
      <c r="X1496" s="46" t="str">
        <f t="array" ref="X1496"> if(iserror(MATCH(V1496, 'File Links'!C:C, 0)), "N/A", HYPERLINK(INDEX('File Links'!B:B, MATCH(V1496, 'File Links'!C:C, 0))))</f>
        <v>N/A</v>
      </c>
      <c r="Y1496" s="43"/>
      <c r="Z1496" s="340" t="s">
        <v>2072</v>
      </c>
      <c r="AA1496" s="53" t="s">
        <v>8525</v>
      </c>
      <c r="AB1496" s="340" t="s">
        <v>8526</v>
      </c>
      <c r="AC1496" s="340" t="s">
        <v>8527</v>
      </c>
      <c r="AD1496" s="340" t="s">
        <v>8528</v>
      </c>
      <c r="AE1496" s="340">
        <v>15.0</v>
      </c>
      <c r="AF1496" s="344">
        <v>87.0</v>
      </c>
      <c r="AG1496" s="348">
        <v>0.045</v>
      </c>
      <c r="AH1496" s="340" t="s">
        <v>132</v>
      </c>
      <c r="AI1496" s="340" t="s">
        <v>620</v>
      </c>
      <c r="AJ1496" s="344">
        <v>0.048</v>
      </c>
      <c r="AK1496" s="340" t="s">
        <v>165</v>
      </c>
      <c r="AL1496" s="340" t="s">
        <v>179</v>
      </c>
      <c r="AM1496" s="53" t="s">
        <v>130</v>
      </c>
      <c r="AN1496" s="43"/>
      <c r="AO1496" s="344">
        <v>636.0</v>
      </c>
      <c r="AP1496" s="344">
        <v>0.05</v>
      </c>
      <c r="AQ1496" s="340" t="s">
        <v>166</v>
      </c>
      <c r="AR1496" s="357"/>
      <c r="AS1496" s="344">
        <v>0.513</v>
      </c>
      <c r="AT1496" s="340" t="s">
        <v>165</v>
      </c>
      <c r="AU1496" s="340" t="s">
        <v>179</v>
      </c>
      <c r="AV1496" s="53" t="s">
        <v>130</v>
      </c>
      <c r="AW1496" s="1691" t="s">
        <v>8520</v>
      </c>
      <c r="AX1496" s="53" t="s">
        <v>136</v>
      </c>
      <c r="AY1496" s="339"/>
      <c r="AZ1496" s="338" t="s">
        <v>685</v>
      </c>
      <c r="BA1496" s="339"/>
      <c r="BB1496" s="339"/>
      <c r="BC1496" s="339"/>
      <c r="BD1496" s="339"/>
      <c r="BE1496" s="339"/>
      <c r="BF1496" s="339"/>
      <c r="BG1496" s="339"/>
      <c r="BH1496" s="339"/>
      <c r="BI1496" s="339"/>
      <c r="BJ1496" s="339"/>
      <c r="BK1496" s="339"/>
      <c r="BL1496" s="339"/>
      <c r="BM1496" s="339"/>
      <c r="BN1496" s="339"/>
      <c r="BO1496" s="339"/>
      <c r="BP1496" s="339"/>
      <c r="BQ1496" s="339"/>
      <c r="BR1496" s="339"/>
      <c r="BS1496" s="339"/>
      <c r="BT1496" s="339"/>
      <c r="BU1496" s="339"/>
      <c r="BV1496" s="339"/>
      <c r="BW1496" s="339"/>
      <c r="BX1496" s="339"/>
      <c r="BY1496" s="339"/>
      <c r="BZ1496" s="339"/>
      <c r="CA1496" s="339"/>
      <c r="CB1496" s="339"/>
      <c r="CC1496" s="339"/>
      <c r="CD1496" s="339"/>
      <c r="CE1496" s="339"/>
      <c r="CF1496" s="339"/>
      <c r="CG1496" s="339"/>
      <c r="CH1496" s="339"/>
      <c r="CI1496" s="339"/>
      <c r="CJ1496" s="339"/>
      <c r="CK1496" s="339"/>
      <c r="CL1496" s="339"/>
      <c r="CM1496" s="339"/>
      <c r="CN1496" s="339"/>
      <c r="CO1496" s="339"/>
      <c r="CP1496" s="339"/>
      <c r="CQ1496" s="339"/>
      <c r="CR1496" s="339"/>
      <c r="CS1496" s="339"/>
      <c r="CT1496" s="339"/>
      <c r="CU1496" s="339"/>
      <c r="CV1496" s="339"/>
      <c r="CW1496" s="339"/>
      <c r="CX1496" s="339"/>
      <c r="CY1496" s="339"/>
      <c r="CZ1496" s="339"/>
      <c r="DA1496" s="339"/>
      <c r="DB1496" s="339"/>
      <c r="DC1496" s="339"/>
      <c r="DD1496" s="339"/>
      <c r="DE1496" s="339"/>
      <c r="DF1496" s="339"/>
      <c r="DG1496" s="339"/>
      <c r="DH1496" s="339"/>
    </row>
    <row r="1497">
      <c r="A1497" s="41">
        <v>1497.0</v>
      </c>
      <c r="B1497" s="53" t="s">
        <v>145</v>
      </c>
      <c r="C1497" s="338" t="s">
        <v>108</v>
      </c>
      <c r="D1497" s="338" t="s">
        <v>1434</v>
      </c>
      <c r="E1497" s="339"/>
      <c r="F1497" s="43" t="s">
        <v>8529</v>
      </c>
      <c r="G1497" s="357" t="s">
        <v>8530</v>
      </c>
      <c r="H1497" s="357" t="s">
        <v>8394</v>
      </c>
      <c r="I1497" s="1684" t="s">
        <v>8508</v>
      </c>
      <c r="J1497" s="341">
        <v>45712.0</v>
      </c>
      <c r="K1497" s="43"/>
      <c r="L1497" s="53" t="s">
        <v>8509</v>
      </c>
      <c r="M1497" s="357" t="s">
        <v>8510</v>
      </c>
      <c r="N1497" s="357" t="s">
        <v>8511</v>
      </c>
      <c r="O1497" s="354">
        <v>1.0</v>
      </c>
      <c r="P1497" s="514" t="s">
        <v>8512</v>
      </c>
      <c r="Q1497" s="105" t="str">
        <f t="array" ref="Q1497"> if(iserror(MATCH(V1497, 'File Links'!C:C, 0)), "N/A", HYPERLINK(INDEX('File Links'!B:B, MATCH(P1497, 'File Links'!C:C, 0))))</f>
        <v>N/A</v>
      </c>
      <c r="R1497" s="357" t="s">
        <v>8531</v>
      </c>
      <c r="S1497" s="357" t="s">
        <v>131</v>
      </c>
      <c r="T1497" s="506" t="s">
        <v>8514</v>
      </c>
      <c r="U1497" s="357" t="s">
        <v>8432</v>
      </c>
      <c r="V1497" s="357" t="s">
        <v>8433</v>
      </c>
      <c r="W1497" s="357" t="s">
        <v>1587</v>
      </c>
      <c r="X1497" s="46" t="str">
        <f t="array" ref="X1497"> if(iserror(MATCH(V1497, 'File Links'!C:C, 0)), "N/A", HYPERLINK(INDEX('File Links'!B:B, MATCH(V1497, 'File Links'!C:C, 0))))</f>
        <v>N/A</v>
      </c>
      <c r="Y1497" s="43"/>
      <c r="Z1497" s="357" t="s">
        <v>2072</v>
      </c>
      <c r="AA1497" s="357" t="s">
        <v>8516</v>
      </c>
      <c r="AB1497" s="357" t="s">
        <v>8517</v>
      </c>
      <c r="AC1497" s="43" t="s">
        <v>8518</v>
      </c>
      <c r="AD1497" s="43" t="s">
        <v>8519</v>
      </c>
      <c r="AE1497" s="1702">
        <v>15.0</v>
      </c>
      <c r="AF1497" s="354">
        <v>87.0</v>
      </c>
      <c r="AG1497" s="354">
        <v>0.045</v>
      </c>
      <c r="AH1497" s="357" t="s">
        <v>132</v>
      </c>
      <c r="AI1497" s="357" t="s">
        <v>620</v>
      </c>
      <c r="AJ1497" s="354">
        <v>0.048</v>
      </c>
      <c r="AK1497" s="357" t="s">
        <v>165</v>
      </c>
      <c r="AL1497" s="357" t="s">
        <v>179</v>
      </c>
      <c r="AM1497" s="357" t="s">
        <v>130</v>
      </c>
      <c r="AN1497" s="357" t="s">
        <v>131</v>
      </c>
      <c r="AO1497" s="354">
        <v>574.0</v>
      </c>
      <c r="AP1497" s="354">
        <v>-0.06</v>
      </c>
      <c r="AQ1497" s="357" t="s">
        <v>166</v>
      </c>
      <c r="AR1497" s="357" t="s">
        <v>131</v>
      </c>
      <c r="AS1497" s="354">
        <v>0.489</v>
      </c>
      <c r="AT1497" s="357" t="s">
        <v>165</v>
      </c>
      <c r="AU1497" s="357" t="s">
        <v>179</v>
      </c>
      <c r="AV1497" s="357" t="s">
        <v>130</v>
      </c>
      <c r="AW1497" s="56" t="s">
        <v>8532</v>
      </c>
      <c r="AX1497" s="357" t="s">
        <v>136</v>
      </c>
      <c r="AY1497" s="43"/>
      <c r="AZ1497" s="338" t="s">
        <v>685</v>
      </c>
      <c r="BA1497" s="339"/>
      <c r="BB1497" s="339"/>
      <c r="BC1497" s="339"/>
      <c r="BD1497" s="339"/>
      <c r="BE1497" s="339"/>
      <c r="BF1497" s="339"/>
      <c r="BG1497" s="339"/>
      <c r="BH1497" s="339"/>
      <c r="BI1497" s="339"/>
      <c r="BJ1497" s="339"/>
      <c r="BK1497" s="339"/>
      <c r="BL1497" s="339"/>
      <c r="BM1497" s="339"/>
      <c r="BN1497" s="339"/>
      <c r="BO1497" s="339"/>
      <c r="BP1497" s="339"/>
      <c r="BQ1497" s="339"/>
      <c r="BR1497" s="339"/>
      <c r="BS1497" s="339"/>
      <c r="BT1497" s="339"/>
      <c r="BU1497" s="339"/>
      <c r="BV1497" s="339"/>
      <c r="BW1497" s="339"/>
      <c r="BX1497" s="339"/>
      <c r="BY1497" s="339"/>
      <c r="BZ1497" s="339"/>
      <c r="CA1497" s="339"/>
      <c r="CB1497" s="339"/>
      <c r="CC1497" s="339"/>
      <c r="CD1497" s="339"/>
      <c r="CE1497" s="339"/>
      <c r="CF1497" s="339"/>
      <c r="CG1497" s="339"/>
      <c r="CH1497" s="339"/>
      <c r="CI1497" s="339"/>
      <c r="CJ1497" s="339"/>
      <c r="CK1497" s="339"/>
      <c r="CL1497" s="339"/>
      <c r="CM1497" s="339"/>
      <c r="CN1497" s="339"/>
      <c r="CO1497" s="339"/>
      <c r="CP1497" s="339"/>
      <c r="CQ1497" s="339"/>
      <c r="CR1497" s="339"/>
      <c r="CS1497" s="339"/>
      <c r="CT1497" s="339"/>
      <c r="CU1497" s="339"/>
      <c r="CV1497" s="339"/>
      <c r="CW1497" s="339"/>
      <c r="CX1497" s="339"/>
      <c r="CY1497" s="339"/>
      <c r="CZ1497" s="339"/>
      <c r="DA1497" s="339"/>
      <c r="DB1497" s="339"/>
      <c r="DC1497" s="339"/>
      <c r="DD1497" s="339"/>
      <c r="DE1497" s="339"/>
      <c r="DF1497" s="339"/>
      <c r="DG1497" s="339"/>
      <c r="DH1497" s="339"/>
    </row>
    <row r="1498">
      <c r="A1498" s="41">
        <v>1498.0</v>
      </c>
      <c r="B1498" s="53" t="s">
        <v>107</v>
      </c>
      <c r="C1498" s="338" t="s">
        <v>108</v>
      </c>
      <c r="D1498" s="338" t="s">
        <v>146</v>
      </c>
      <c r="E1498" s="339"/>
      <c r="F1498" s="53" t="s">
        <v>8529</v>
      </c>
      <c r="G1498" s="53" t="s">
        <v>8533</v>
      </c>
      <c r="H1498" s="340" t="s">
        <v>8522</v>
      </c>
      <c r="I1498" s="344" t="s">
        <v>8523</v>
      </c>
      <c r="J1498" s="43"/>
      <c r="K1498" s="357"/>
      <c r="L1498" s="53" t="s">
        <v>8524</v>
      </c>
      <c r="M1498" s="53" t="s">
        <v>8510</v>
      </c>
      <c r="N1498" s="53" t="s">
        <v>8511</v>
      </c>
      <c r="O1498" s="52">
        <v>1.0</v>
      </c>
      <c r="P1498" s="1688" t="s">
        <v>8512</v>
      </c>
      <c r="Q1498" s="105" t="str">
        <f t="array" ref="Q1498"> if(iserror(MATCH(V1498, 'File Links'!C:C, 0)), "N/A", HYPERLINK(INDEX('File Links'!B:B, MATCH(P1498, 'File Links'!C:C, 0))))</f>
        <v>N/A</v>
      </c>
      <c r="R1498" s="1689" t="s">
        <v>8531</v>
      </c>
      <c r="S1498" s="53" t="s">
        <v>131</v>
      </c>
      <c r="T1498" s="1690" t="s">
        <v>8514</v>
      </c>
      <c r="U1498" s="52" t="s">
        <v>8432</v>
      </c>
      <c r="V1498" s="340"/>
      <c r="W1498" s="340" t="s">
        <v>157</v>
      </c>
      <c r="X1498" s="46" t="str">
        <f t="array" ref="X1498"> if(iserror(MATCH(V1498, 'File Links'!C:C, 0)), "N/A", HYPERLINK(INDEX('File Links'!B:B, MATCH(V1498, 'File Links'!C:C, 0))))</f>
        <v>N/A</v>
      </c>
      <c r="Y1498" s="43"/>
      <c r="Z1498" s="340" t="s">
        <v>2072</v>
      </c>
      <c r="AA1498" s="53" t="s">
        <v>8525</v>
      </c>
      <c r="AB1498" s="340" t="s">
        <v>8526</v>
      </c>
      <c r="AC1498" s="340" t="s">
        <v>8527</v>
      </c>
      <c r="AD1498" s="340" t="s">
        <v>8528</v>
      </c>
      <c r="AE1498" s="340">
        <v>15.0</v>
      </c>
      <c r="AF1498" s="344">
        <v>87.0</v>
      </c>
      <c r="AG1498" s="348">
        <v>0.045</v>
      </c>
      <c r="AH1498" s="340" t="s">
        <v>132</v>
      </c>
      <c r="AI1498" s="340" t="s">
        <v>620</v>
      </c>
      <c r="AJ1498" s="344">
        <v>0.048</v>
      </c>
      <c r="AK1498" s="340" t="s">
        <v>165</v>
      </c>
      <c r="AL1498" s="340" t="s">
        <v>179</v>
      </c>
      <c r="AM1498" s="53" t="s">
        <v>130</v>
      </c>
      <c r="AN1498" s="43"/>
      <c r="AO1498" s="344">
        <v>574.0</v>
      </c>
      <c r="AP1498" s="344">
        <v>-0.06</v>
      </c>
      <c r="AQ1498" s="340" t="s">
        <v>166</v>
      </c>
      <c r="AR1498" s="357"/>
      <c r="AS1498" s="344">
        <v>0.489</v>
      </c>
      <c r="AT1498" s="340" t="s">
        <v>165</v>
      </c>
      <c r="AU1498" s="340" t="s">
        <v>179</v>
      </c>
      <c r="AV1498" s="53" t="s">
        <v>130</v>
      </c>
      <c r="AW1498" s="1691" t="s">
        <v>8532</v>
      </c>
      <c r="AX1498" s="53" t="s">
        <v>136</v>
      </c>
      <c r="AY1498" s="339"/>
      <c r="AZ1498" s="338" t="s">
        <v>685</v>
      </c>
      <c r="BA1498" s="339"/>
      <c r="BB1498" s="339"/>
      <c r="BC1498" s="339"/>
      <c r="BD1498" s="339"/>
      <c r="BE1498" s="339"/>
      <c r="BF1498" s="339"/>
      <c r="BG1498" s="339"/>
      <c r="BH1498" s="339"/>
      <c r="BI1498" s="339"/>
      <c r="BJ1498" s="339"/>
      <c r="BK1498" s="339"/>
      <c r="BL1498" s="339"/>
      <c r="BM1498" s="339"/>
      <c r="BN1498" s="339"/>
      <c r="BO1498" s="339"/>
      <c r="BP1498" s="339"/>
      <c r="BQ1498" s="339"/>
      <c r="BR1498" s="339"/>
      <c r="BS1498" s="339"/>
      <c r="BT1498" s="339"/>
      <c r="BU1498" s="339"/>
      <c r="BV1498" s="339"/>
      <c r="BW1498" s="339"/>
      <c r="BX1498" s="339"/>
      <c r="BY1498" s="339"/>
      <c r="BZ1498" s="339"/>
      <c r="CA1498" s="339"/>
      <c r="CB1498" s="339"/>
      <c r="CC1498" s="339"/>
      <c r="CD1498" s="339"/>
      <c r="CE1498" s="339"/>
      <c r="CF1498" s="339"/>
      <c r="CG1498" s="339"/>
      <c r="CH1498" s="339"/>
      <c r="CI1498" s="339"/>
      <c r="CJ1498" s="339"/>
      <c r="CK1498" s="339"/>
      <c r="CL1498" s="339"/>
      <c r="CM1498" s="339"/>
      <c r="CN1498" s="339"/>
      <c r="CO1498" s="339"/>
      <c r="CP1498" s="339"/>
      <c r="CQ1498" s="339"/>
      <c r="CR1498" s="339"/>
      <c r="CS1498" s="339"/>
      <c r="CT1498" s="339"/>
      <c r="CU1498" s="339"/>
      <c r="CV1498" s="339"/>
      <c r="CW1498" s="339"/>
      <c r="CX1498" s="339"/>
      <c r="CY1498" s="339"/>
      <c r="CZ1498" s="339"/>
      <c r="DA1498" s="339"/>
      <c r="DB1498" s="339"/>
      <c r="DC1498" s="339"/>
      <c r="DD1498" s="339"/>
      <c r="DE1498" s="339"/>
      <c r="DF1498" s="339"/>
      <c r="DG1498" s="339"/>
      <c r="DH1498" s="339"/>
    </row>
    <row r="1499">
      <c r="A1499" s="41">
        <v>1499.0</v>
      </c>
      <c r="B1499" s="53" t="s">
        <v>145</v>
      </c>
      <c r="C1499" s="338" t="s">
        <v>108</v>
      </c>
      <c r="D1499" s="338" t="s">
        <v>1434</v>
      </c>
      <c r="E1499" s="339"/>
      <c r="F1499" s="43" t="s">
        <v>8534</v>
      </c>
      <c r="G1499" s="357" t="s">
        <v>8535</v>
      </c>
      <c r="H1499" s="357" t="s">
        <v>8394</v>
      </c>
      <c r="I1499" s="1684" t="s">
        <v>8508</v>
      </c>
      <c r="J1499" s="341">
        <v>45712.0</v>
      </c>
      <c r="K1499" s="43"/>
      <c r="L1499" s="43"/>
      <c r="M1499" s="357" t="s">
        <v>8510</v>
      </c>
      <c r="N1499" s="357" t="s">
        <v>8511</v>
      </c>
      <c r="O1499" s="354">
        <v>1.0</v>
      </c>
      <c r="P1499" s="514" t="s">
        <v>8512</v>
      </c>
      <c r="Q1499" s="105" t="str">
        <f t="array" ref="Q1499"> if(iserror(MATCH(V1499, 'File Links'!C:C, 0)), "N/A", HYPERLINK(INDEX('File Links'!B:B, MATCH(P1499, 'File Links'!C:C, 0))))</f>
        <v>N/A</v>
      </c>
      <c r="R1499" s="357" t="s">
        <v>8536</v>
      </c>
      <c r="S1499" s="357" t="s">
        <v>131</v>
      </c>
      <c r="T1499" s="506" t="s">
        <v>8514</v>
      </c>
      <c r="U1499" s="357" t="s">
        <v>8537</v>
      </c>
      <c r="V1499" s="357" t="s">
        <v>8433</v>
      </c>
      <c r="W1499" s="357" t="s">
        <v>1587</v>
      </c>
      <c r="X1499" s="46" t="str">
        <f t="array" ref="X1499"> if(iserror(MATCH(V1499, 'File Links'!C:C, 0)), "N/A", HYPERLINK(INDEX('File Links'!B:B, MATCH(V1499, 'File Links'!C:C, 0))))</f>
        <v>N/A</v>
      </c>
      <c r="Y1499" s="43"/>
      <c r="Z1499" s="357" t="s">
        <v>2072</v>
      </c>
      <c r="AA1499" s="357" t="s">
        <v>8516</v>
      </c>
      <c r="AB1499" s="357" t="s">
        <v>8517</v>
      </c>
      <c r="AC1499" s="43" t="s">
        <v>8518</v>
      </c>
      <c r="AD1499" s="43" t="s">
        <v>8519</v>
      </c>
      <c r="AE1499" s="354">
        <v>15.0</v>
      </c>
      <c r="AF1499" s="354">
        <v>87.0</v>
      </c>
      <c r="AG1499" s="354">
        <v>0.045</v>
      </c>
      <c r="AH1499" s="357" t="s">
        <v>132</v>
      </c>
      <c r="AI1499" s="357" t="s">
        <v>620</v>
      </c>
      <c r="AJ1499" s="354">
        <v>0.048</v>
      </c>
      <c r="AK1499" s="357" t="s">
        <v>165</v>
      </c>
      <c r="AL1499" s="357" t="s">
        <v>179</v>
      </c>
      <c r="AM1499" s="357" t="s">
        <v>130</v>
      </c>
      <c r="AN1499" s="357" t="s">
        <v>131</v>
      </c>
      <c r="AO1499" s="354">
        <v>702.0</v>
      </c>
      <c r="AP1499" s="354">
        <v>0.1</v>
      </c>
      <c r="AQ1499" s="357" t="s">
        <v>166</v>
      </c>
      <c r="AR1499" s="357" t="s">
        <v>131</v>
      </c>
      <c r="AS1499" s="354">
        <v>0.174</v>
      </c>
      <c r="AT1499" s="357" t="s">
        <v>165</v>
      </c>
      <c r="AU1499" s="357" t="s">
        <v>179</v>
      </c>
      <c r="AV1499" s="357" t="s">
        <v>130</v>
      </c>
      <c r="AW1499" s="56" t="s">
        <v>8538</v>
      </c>
      <c r="AX1499" s="357" t="s">
        <v>136</v>
      </c>
      <c r="AY1499" s="43"/>
      <c r="AZ1499" s="338" t="s">
        <v>685</v>
      </c>
      <c r="BA1499" s="339"/>
      <c r="BB1499" s="339"/>
      <c r="BC1499" s="339"/>
      <c r="BD1499" s="339"/>
      <c r="BE1499" s="339"/>
      <c r="BF1499" s="339"/>
      <c r="BG1499" s="339"/>
      <c r="BH1499" s="339"/>
      <c r="BI1499" s="339"/>
      <c r="BJ1499" s="339"/>
      <c r="BK1499" s="339"/>
      <c r="BL1499" s="339"/>
      <c r="BM1499" s="339"/>
      <c r="BN1499" s="339"/>
      <c r="BO1499" s="339"/>
      <c r="BP1499" s="339"/>
      <c r="BQ1499" s="339"/>
      <c r="BR1499" s="339"/>
      <c r="BS1499" s="339"/>
      <c r="BT1499" s="339"/>
      <c r="BU1499" s="339"/>
      <c r="BV1499" s="339"/>
      <c r="BW1499" s="339"/>
      <c r="BX1499" s="339"/>
      <c r="BY1499" s="339"/>
      <c r="BZ1499" s="339"/>
      <c r="CA1499" s="339"/>
      <c r="CB1499" s="339"/>
      <c r="CC1499" s="339"/>
      <c r="CD1499" s="339"/>
      <c r="CE1499" s="339"/>
      <c r="CF1499" s="339"/>
      <c r="CG1499" s="339"/>
      <c r="CH1499" s="339"/>
      <c r="CI1499" s="339"/>
      <c r="CJ1499" s="339"/>
      <c r="CK1499" s="339"/>
      <c r="CL1499" s="339"/>
      <c r="CM1499" s="339"/>
      <c r="CN1499" s="339"/>
      <c r="CO1499" s="339"/>
      <c r="CP1499" s="339"/>
      <c r="CQ1499" s="339"/>
      <c r="CR1499" s="339"/>
      <c r="CS1499" s="339"/>
      <c r="CT1499" s="339"/>
      <c r="CU1499" s="339"/>
      <c r="CV1499" s="339"/>
      <c r="CW1499" s="339"/>
      <c r="CX1499" s="339"/>
      <c r="CY1499" s="339"/>
      <c r="CZ1499" s="339"/>
      <c r="DA1499" s="339"/>
      <c r="DB1499" s="339"/>
      <c r="DC1499" s="339"/>
      <c r="DD1499" s="339"/>
      <c r="DE1499" s="339"/>
      <c r="DF1499" s="339"/>
      <c r="DG1499" s="339"/>
      <c r="DH1499" s="339"/>
    </row>
    <row r="1500">
      <c r="A1500" s="41">
        <v>1500.0</v>
      </c>
      <c r="B1500" s="53" t="s">
        <v>107</v>
      </c>
      <c r="C1500" s="338" t="s">
        <v>108</v>
      </c>
      <c r="D1500" s="338" t="s">
        <v>146</v>
      </c>
      <c r="E1500" s="339"/>
      <c r="F1500" s="53" t="s">
        <v>8534</v>
      </c>
      <c r="G1500" s="53" t="s">
        <v>8539</v>
      </c>
      <c r="H1500" s="340" t="s">
        <v>8522</v>
      </c>
      <c r="I1500" s="344" t="s">
        <v>8523</v>
      </c>
      <c r="J1500" s="43"/>
      <c r="K1500" s="357"/>
      <c r="L1500" s="53" t="s">
        <v>8524</v>
      </c>
      <c r="M1500" s="53" t="s">
        <v>8510</v>
      </c>
      <c r="N1500" s="53" t="s">
        <v>8511</v>
      </c>
      <c r="O1500" s="52">
        <v>1.0</v>
      </c>
      <c r="P1500" s="1688" t="s">
        <v>8512</v>
      </c>
      <c r="Q1500" s="105" t="str">
        <f t="array" ref="Q1500"> if(iserror(MATCH(V1500, 'File Links'!C:C, 0)), "N/A", HYPERLINK(INDEX('File Links'!B:B, MATCH(P1500, 'File Links'!C:C, 0))))</f>
        <v>N/A</v>
      </c>
      <c r="R1500" s="1689" t="s">
        <v>8536</v>
      </c>
      <c r="S1500" s="53" t="s">
        <v>131</v>
      </c>
      <c r="T1500" s="1690" t="s">
        <v>8514</v>
      </c>
      <c r="U1500" s="52" t="s">
        <v>8537</v>
      </c>
      <c r="V1500" s="340"/>
      <c r="W1500" s="340" t="s">
        <v>157</v>
      </c>
      <c r="X1500" s="46" t="str">
        <f t="array" ref="X1500"> if(iserror(MATCH(V1500, 'File Links'!C:C, 0)), "N/A", HYPERLINK(INDEX('File Links'!B:B, MATCH(V1500, 'File Links'!C:C, 0))))</f>
        <v>N/A</v>
      </c>
      <c r="Y1500" s="43"/>
      <c r="Z1500" s="340" t="s">
        <v>2072</v>
      </c>
      <c r="AA1500" s="53" t="s">
        <v>8525</v>
      </c>
      <c r="AB1500" s="340" t="s">
        <v>8526</v>
      </c>
      <c r="AC1500" s="340" t="s">
        <v>8527</v>
      </c>
      <c r="AD1500" s="340" t="s">
        <v>8528</v>
      </c>
      <c r="AE1500" s="340">
        <v>15.0</v>
      </c>
      <c r="AF1500" s="344">
        <v>87.0</v>
      </c>
      <c r="AG1500" s="348">
        <v>0.045</v>
      </c>
      <c r="AH1500" s="340" t="s">
        <v>132</v>
      </c>
      <c r="AI1500" s="340" t="s">
        <v>620</v>
      </c>
      <c r="AJ1500" s="344">
        <v>0.048</v>
      </c>
      <c r="AK1500" s="340" t="s">
        <v>165</v>
      </c>
      <c r="AL1500" s="340" t="s">
        <v>179</v>
      </c>
      <c r="AM1500" s="53" t="s">
        <v>130</v>
      </c>
      <c r="AN1500" s="43"/>
      <c r="AO1500" s="344">
        <v>702.0</v>
      </c>
      <c r="AP1500" s="344">
        <v>0.1</v>
      </c>
      <c r="AQ1500" s="340" t="s">
        <v>166</v>
      </c>
      <c r="AR1500" s="357"/>
      <c r="AS1500" s="344">
        <v>0.174</v>
      </c>
      <c r="AT1500" s="340" t="s">
        <v>165</v>
      </c>
      <c r="AU1500" s="340" t="s">
        <v>179</v>
      </c>
      <c r="AV1500" s="53" t="s">
        <v>130</v>
      </c>
      <c r="AW1500" s="1691" t="s">
        <v>8538</v>
      </c>
      <c r="AX1500" s="53" t="s">
        <v>136</v>
      </c>
      <c r="AY1500" s="339"/>
      <c r="AZ1500" s="338" t="s">
        <v>685</v>
      </c>
      <c r="BA1500" s="339"/>
      <c r="BB1500" s="339"/>
      <c r="BC1500" s="339"/>
      <c r="BD1500" s="339"/>
      <c r="BE1500" s="339"/>
      <c r="BF1500" s="339"/>
      <c r="BG1500" s="339"/>
      <c r="BH1500" s="339"/>
      <c r="BI1500" s="339"/>
      <c r="BJ1500" s="339"/>
      <c r="BK1500" s="339"/>
      <c r="BL1500" s="339"/>
      <c r="BM1500" s="339"/>
      <c r="BN1500" s="339"/>
      <c r="BO1500" s="339"/>
      <c r="BP1500" s="339"/>
      <c r="BQ1500" s="339"/>
      <c r="BR1500" s="339"/>
      <c r="BS1500" s="339"/>
      <c r="BT1500" s="339"/>
      <c r="BU1500" s="339"/>
      <c r="BV1500" s="339"/>
      <c r="BW1500" s="339"/>
      <c r="BX1500" s="339"/>
      <c r="BY1500" s="339"/>
      <c r="BZ1500" s="339"/>
      <c r="CA1500" s="339"/>
      <c r="CB1500" s="339"/>
      <c r="CC1500" s="339"/>
      <c r="CD1500" s="339"/>
      <c r="CE1500" s="339"/>
      <c r="CF1500" s="339"/>
      <c r="CG1500" s="339"/>
      <c r="CH1500" s="339"/>
      <c r="CI1500" s="339"/>
      <c r="CJ1500" s="339"/>
      <c r="CK1500" s="339"/>
      <c r="CL1500" s="339"/>
      <c r="CM1500" s="339"/>
      <c r="CN1500" s="339"/>
      <c r="CO1500" s="339"/>
      <c r="CP1500" s="339"/>
      <c r="CQ1500" s="339"/>
      <c r="CR1500" s="339"/>
      <c r="CS1500" s="339"/>
      <c r="CT1500" s="339"/>
      <c r="CU1500" s="339"/>
      <c r="CV1500" s="339"/>
      <c r="CW1500" s="339"/>
      <c r="CX1500" s="339"/>
      <c r="CY1500" s="339"/>
      <c r="CZ1500" s="339"/>
      <c r="DA1500" s="339"/>
      <c r="DB1500" s="339"/>
      <c r="DC1500" s="339"/>
      <c r="DD1500" s="339"/>
      <c r="DE1500" s="339"/>
      <c r="DF1500" s="339"/>
      <c r="DG1500" s="339"/>
      <c r="DH1500" s="339"/>
    </row>
    <row r="1501">
      <c r="A1501" s="41">
        <v>1501.0</v>
      </c>
      <c r="B1501" s="1703" t="s">
        <v>145</v>
      </c>
      <c r="C1501" s="1703" t="s">
        <v>108</v>
      </c>
      <c r="D1501" s="713" t="s">
        <v>138</v>
      </c>
      <c r="E1501" s="694"/>
      <c r="F1501" s="1420" t="s">
        <v>8540</v>
      </c>
      <c r="G1501" s="715" t="s">
        <v>8541</v>
      </c>
      <c r="H1501" s="715" t="s">
        <v>8542</v>
      </c>
      <c r="I1501" s="1704">
        <v>45641.0</v>
      </c>
      <c r="J1501" s="167">
        <v>45684.0</v>
      </c>
      <c r="K1501" s="720"/>
      <c r="L1501" s="717" t="s">
        <v>8543</v>
      </c>
      <c r="M1501" s="715" t="s">
        <v>8544</v>
      </c>
      <c r="N1501" s="715" t="s">
        <v>8545</v>
      </c>
      <c r="O1501" s="1705">
        <v>3.0</v>
      </c>
      <c r="P1501" s="1706" t="s">
        <v>8546</v>
      </c>
      <c r="Q1501" s="49" t="str">
        <f t="array" ref="Q1501"> if(iserror(MATCH(V1501, 'File Links'!C:C, 0)), "N/A", HYPERLINK(INDEX('File Links'!B:B, MATCH(P1501, 'File Links'!C:C, 0))))</f>
        <v>https://drive.google.com/file/d/1_IO4PdoMe7l8Q03W9hLBkKiHGidC5w-t/view?usp=drivesdk</v>
      </c>
      <c r="R1501" s="762" t="s">
        <v>8547</v>
      </c>
      <c r="S1501" s="727" t="s">
        <v>8548</v>
      </c>
      <c r="T1501" s="720"/>
      <c r="U1501" s="1707">
        <v>3.0</v>
      </c>
      <c r="V1501" s="195" t="str">
        <f> hyperlink(vlookup(lower(S1501),#REF!, 2, FALSE), SUBSTITUTE(lower(S1501), "/", "--") &amp;  ".pdf")</f>
        <v>10.1525--collabra.177.pdf</v>
      </c>
      <c r="W1501" s="717" t="s">
        <v>202</v>
      </c>
      <c r="X1501" s="51" t="str">
        <f t="array" ref="X1501"> if(iserror(MATCH(V1501, 'File Links'!C:C, 0)), "N/A", HYPERLINK(INDEX('File Links'!B:B, MATCH(V1501, 'File Links'!C:C, 0))))</f>
        <v>https://drive.google.com/file/d/1SNviYFYkLPApLDE4sxFOX_wRepMI0nnI/view?usp=drivesdk</v>
      </c>
      <c r="Y1501" s="720"/>
      <c r="Z1501" s="720" t="s">
        <v>219</v>
      </c>
      <c r="AA1501" s="70" t="s">
        <v>8549</v>
      </c>
      <c r="AB1501" s="720" t="s">
        <v>8550</v>
      </c>
      <c r="AC1501" s="720" t="s">
        <v>8551</v>
      </c>
      <c r="AD1501" s="720" t="s">
        <v>8552</v>
      </c>
      <c r="AE1501" s="720" t="s">
        <v>125</v>
      </c>
      <c r="AF1501" s="1705">
        <v>33.0</v>
      </c>
      <c r="AG1501" s="1705">
        <v>0.86</v>
      </c>
      <c r="AH1501" s="763" t="s">
        <v>166</v>
      </c>
      <c r="AI1501" s="720" t="s">
        <v>125</v>
      </c>
      <c r="AJ1501" s="1705">
        <v>0.05</v>
      </c>
      <c r="AK1501" s="1420" t="s">
        <v>128</v>
      </c>
      <c r="AL1501" s="720" t="s">
        <v>129</v>
      </c>
      <c r="AM1501" s="720" t="s">
        <v>130</v>
      </c>
      <c r="AN1501" s="327" t="s">
        <v>131</v>
      </c>
      <c r="AO1501" s="1705">
        <v>28.0</v>
      </c>
      <c r="AP1501" s="1705">
        <v>0.06</v>
      </c>
      <c r="AQ1501" s="720" t="s">
        <v>166</v>
      </c>
      <c r="AR1501" s="1708" t="s">
        <v>8553</v>
      </c>
      <c r="AS1501" s="717" t="s">
        <v>131</v>
      </c>
      <c r="AT1501" s="717" t="s">
        <v>131</v>
      </c>
      <c r="AU1501" s="717" t="s">
        <v>131</v>
      </c>
      <c r="AV1501" s="1466" t="s">
        <v>130</v>
      </c>
      <c r="AW1501" s="1709" t="s">
        <v>8554</v>
      </c>
      <c r="AX1501" s="1710" t="s">
        <v>136</v>
      </c>
      <c r="AY1501" s="694"/>
      <c r="AZ1501" s="713" t="s">
        <v>137</v>
      </c>
    </row>
    <row r="1502">
      <c r="A1502" s="41">
        <v>1502.0</v>
      </c>
      <c r="B1502" s="1703" t="s">
        <v>107</v>
      </c>
      <c r="C1502" s="90" t="s">
        <v>108</v>
      </c>
      <c r="D1502" s="90" t="s">
        <v>188</v>
      </c>
      <c r="E1502" s="89"/>
      <c r="F1502" s="90" t="s">
        <v>8540</v>
      </c>
      <c r="G1502" s="70" t="s">
        <v>8541</v>
      </c>
      <c r="H1502" s="70" t="s">
        <v>8555</v>
      </c>
      <c r="I1502" s="1711">
        <v>45644.0</v>
      </c>
      <c r="J1502" s="167">
        <v>45684.0</v>
      </c>
      <c r="K1502" s="71"/>
      <c r="L1502" s="71"/>
      <c r="M1502" s="70" t="s">
        <v>8544</v>
      </c>
      <c r="N1502" s="70" t="s">
        <v>8545</v>
      </c>
      <c r="O1502" s="70">
        <v>3.0</v>
      </c>
      <c r="P1502" s="1712" t="s">
        <v>8546</v>
      </c>
      <c r="Q1502" s="105" t="str">
        <f t="array" ref="Q1502"> if(iserror(MATCH(V1502, 'File Links'!C:C, 0)), "N/A", HYPERLINK(INDEX('File Links'!B:B, MATCH(P1502, 'File Links'!C:C, 0))))</f>
        <v>N/A</v>
      </c>
      <c r="R1502" s="70" t="s">
        <v>8556</v>
      </c>
      <c r="S1502" s="70" t="s">
        <v>8557</v>
      </c>
      <c r="T1502" s="71"/>
      <c r="U1502" s="70"/>
      <c r="V1502" s="70" t="s">
        <v>8558</v>
      </c>
      <c r="W1502" s="717" t="s">
        <v>202</v>
      </c>
      <c r="X1502" s="46" t="str">
        <f t="array" ref="X1502"> if(iserror(MATCH(V1502, 'File Links'!C:C, 0)), "N/A", HYPERLINK(INDEX('File Links'!B:B, MATCH(V1502, 'File Links'!C:C, 0))))</f>
        <v>N/A</v>
      </c>
      <c r="Y1502" s="70" t="s">
        <v>140</v>
      </c>
      <c r="Z1502" s="70" t="s">
        <v>219</v>
      </c>
      <c r="AA1502" s="70" t="s">
        <v>8559</v>
      </c>
      <c r="AB1502" s="70" t="s">
        <v>8550</v>
      </c>
      <c r="AC1502" s="70" t="s">
        <v>8560</v>
      </c>
      <c r="AD1502" s="71"/>
      <c r="AE1502" s="71"/>
      <c r="AF1502" s="70">
        <v>33.0</v>
      </c>
      <c r="AG1502" s="70">
        <v>2.44</v>
      </c>
      <c r="AH1502" s="70" t="s">
        <v>127</v>
      </c>
      <c r="AI1502" s="70" t="s">
        <v>8561</v>
      </c>
      <c r="AJ1502" s="70">
        <v>0.05</v>
      </c>
      <c r="AK1502" s="90" t="s">
        <v>128</v>
      </c>
      <c r="AL1502" s="71"/>
      <c r="AM1502" s="71"/>
      <c r="AN1502" s="71"/>
      <c r="AO1502" s="71"/>
      <c r="AP1502" s="70">
        <v>0.06</v>
      </c>
      <c r="AQ1502" s="71"/>
      <c r="AR1502" s="71"/>
      <c r="AS1502" s="70" t="s">
        <v>143</v>
      </c>
      <c r="AT1502" s="89"/>
      <c r="AU1502" s="89"/>
      <c r="AV1502" s="91"/>
      <c r="AW1502" s="89"/>
      <c r="AX1502" s="89"/>
      <c r="AY1502" s="89"/>
      <c r="AZ1502" s="713" t="s">
        <v>137</v>
      </c>
    </row>
    <row r="1503">
      <c r="A1503" s="41">
        <v>1503.0</v>
      </c>
      <c r="B1503" s="1703" t="s">
        <v>107</v>
      </c>
      <c r="C1503" s="90" t="s">
        <v>108</v>
      </c>
      <c r="D1503" s="90" t="s">
        <v>188</v>
      </c>
      <c r="E1503" s="89"/>
      <c r="F1503" s="90" t="s">
        <v>8540</v>
      </c>
      <c r="G1503" s="70" t="s">
        <v>8541</v>
      </c>
      <c r="H1503" s="70" t="s">
        <v>8555</v>
      </c>
      <c r="I1503" s="1711">
        <v>45644.0</v>
      </c>
      <c r="J1503" s="167">
        <v>45684.0</v>
      </c>
      <c r="K1503" s="71"/>
      <c r="L1503" s="71"/>
      <c r="M1503" s="70" t="s">
        <v>8544</v>
      </c>
      <c r="N1503" s="70" t="s">
        <v>8545</v>
      </c>
      <c r="O1503" s="70">
        <v>3.0</v>
      </c>
      <c r="P1503" s="1712" t="s">
        <v>8546</v>
      </c>
      <c r="Q1503" s="105" t="str">
        <f t="array" ref="Q1503"> if(iserror(MATCH(V1503, 'File Links'!C:C, 0)), "N/A", HYPERLINK(INDEX('File Links'!B:B, MATCH(P1503, 'File Links'!C:C, 0))))</f>
        <v>N/A</v>
      </c>
      <c r="R1503" s="70" t="s">
        <v>8556</v>
      </c>
      <c r="S1503" s="70" t="s">
        <v>8557</v>
      </c>
      <c r="T1503" s="71"/>
      <c r="U1503" s="70"/>
      <c r="V1503" s="70" t="s">
        <v>8558</v>
      </c>
      <c r="W1503" s="717" t="s">
        <v>202</v>
      </c>
      <c r="X1503" s="46" t="str">
        <f t="array" ref="X1503"> if(iserror(MATCH(V1503, 'File Links'!C:C, 0)), "N/A", HYPERLINK(INDEX('File Links'!B:B, MATCH(V1503, 'File Links'!C:C, 0))))</f>
        <v>N/A</v>
      </c>
      <c r="Y1503" s="70" t="s">
        <v>140</v>
      </c>
      <c r="Z1503" s="70" t="s">
        <v>219</v>
      </c>
      <c r="AA1503" s="70" t="s">
        <v>8562</v>
      </c>
      <c r="AB1503" s="70" t="s">
        <v>8550</v>
      </c>
      <c r="AC1503" s="70" t="s">
        <v>8560</v>
      </c>
      <c r="AD1503" s="71"/>
      <c r="AE1503" s="71"/>
      <c r="AF1503" s="70">
        <v>33.0</v>
      </c>
      <c r="AG1503" s="70">
        <v>2.43</v>
      </c>
      <c r="AH1503" s="70" t="s">
        <v>127</v>
      </c>
      <c r="AI1503" s="70" t="s">
        <v>8563</v>
      </c>
      <c r="AJ1503" s="70">
        <v>0.05</v>
      </c>
      <c r="AK1503" s="90" t="s">
        <v>128</v>
      </c>
      <c r="AL1503" s="71"/>
      <c r="AM1503" s="71"/>
      <c r="AN1503" s="71"/>
      <c r="AO1503" s="71"/>
      <c r="AP1503" s="70">
        <v>-0.23</v>
      </c>
      <c r="AQ1503" s="71"/>
      <c r="AR1503" s="71"/>
      <c r="AS1503" s="70" t="s">
        <v>143</v>
      </c>
      <c r="AT1503" s="89"/>
      <c r="AU1503" s="89"/>
      <c r="AV1503" s="91"/>
      <c r="AW1503" s="89"/>
      <c r="AX1503" s="89"/>
      <c r="AY1503" s="89"/>
      <c r="AZ1503" s="713" t="s">
        <v>137</v>
      </c>
    </row>
    <row r="1504">
      <c r="A1504" s="41">
        <v>1504.0</v>
      </c>
      <c r="B1504" s="1703" t="s">
        <v>107</v>
      </c>
      <c r="C1504" s="90" t="s">
        <v>108</v>
      </c>
      <c r="D1504" s="90" t="s">
        <v>188</v>
      </c>
      <c r="E1504" s="89"/>
      <c r="F1504" s="90" t="s">
        <v>8540</v>
      </c>
      <c r="G1504" s="70" t="s">
        <v>8541</v>
      </c>
      <c r="H1504" s="70" t="s">
        <v>8555</v>
      </c>
      <c r="I1504" s="1711">
        <v>45644.0</v>
      </c>
      <c r="J1504" s="167">
        <v>45684.0</v>
      </c>
      <c r="K1504" s="71"/>
      <c r="L1504" s="71"/>
      <c r="M1504" s="70" t="s">
        <v>8544</v>
      </c>
      <c r="N1504" s="70" t="s">
        <v>8545</v>
      </c>
      <c r="O1504" s="70">
        <v>3.0</v>
      </c>
      <c r="P1504" s="1712" t="s">
        <v>8546</v>
      </c>
      <c r="Q1504" s="105" t="str">
        <f t="array" ref="Q1504"> if(iserror(MATCH(V1504, 'File Links'!C:C, 0)), "N/A", HYPERLINK(INDEX('File Links'!B:B, MATCH(P1504, 'File Links'!C:C, 0))))</f>
        <v>N/A</v>
      </c>
      <c r="R1504" s="70" t="s">
        <v>8556</v>
      </c>
      <c r="S1504" s="70" t="s">
        <v>8557</v>
      </c>
      <c r="T1504" s="71"/>
      <c r="U1504" s="70"/>
      <c r="V1504" s="70" t="s">
        <v>8558</v>
      </c>
      <c r="W1504" s="717" t="s">
        <v>202</v>
      </c>
      <c r="X1504" s="46" t="str">
        <f t="array" ref="X1504"> if(iserror(MATCH(V1504, 'File Links'!C:C, 0)), "N/A", HYPERLINK(INDEX('File Links'!B:B, MATCH(V1504, 'File Links'!C:C, 0))))</f>
        <v>N/A</v>
      </c>
      <c r="Y1504" s="70" t="s">
        <v>140</v>
      </c>
      <c r="Z1504" s="70" t="s">
        <v>219</v>
      </c>
      <c r="AA1504" s="70" t="s">
        <v>8564</v>
      </c>
      <c r="AB1504" s="70" t="s">
        <v>8550</v>
      </c>
      <c r="AC1504" s="70" t="s">
        <v>8560</v>
      </c>
      <c r="AD1504" s="71"/>
      <c r="AE1504" s="71"/>
      <c r="AF1504" s="70">
        <v>33.0</v>
      </c>
      <c r="AG1504" s="70" t="s">
        <v>8565</v>
      </c>
      <c r="AH1504" s="70" t="s">
        <v>127</v>
      </c>
      <c r="AI1504" s="70" t="s">
        <v>8566</v>
      </c>
      <c r="AJ1504" s="70">
        <v>0.63</v>
      </c>
      <c r="AK1504" s="90" t="s">
        <v>328</v>
      </c>
      <c r="AL1504" s="71"/>
      <c r="AM1504" s="71"/>
      <c r="AN1504" s="71"/>
      <c r="AO1504" s="71"/>
      <c r="AP1504" s="70">
        <v>-0.1</v>
      </c>
      <c r="AQ1504" s="71"/>
      <c r="AR1504" s="71"/>
      <c r="AS1504" s="70" t="s">
        <v>143</v>
      </c>
      <c r="AT1504" s="89"/>
      <c r="AU1504" s="89"/>
      <c r="AV1504" s="91"/>
      <c r="AW1504" s="89"/>
      <c r="AX1504" s="89"/>
      <c r="AY1504" s="89"/>
      <c r="AZ1504" s="713" t="s">
        <v>137</v>
      </c>
    </row>
    <row r="1505">
      <c r="A1505" s="41">
        <v>1505.0</v>
      </c>
      <c r="B1505" s="1703" t="s">
        <v>145</v>
      </c>
      <c r="C1505" s="1703" t="s">
        <v>108</v>
      </c>
      <c r="D1505" s="713" t="s">
        <v>138</v>
      </c>
      <c r="E1505" s="694"/>
      <c r="F1505" s="90" t="s">
        <v>8540</v>
      </c>
      <c r="G1505" s="715" t="s">
        <v>8567</v>
      </c>
      <c r="H1505" s="715" t="s">
        <v>8542</v>
      </c>
      <c r="I1505" s="1704">
        <v>45641.0</v>
      </c>
      <c r="J1505" s="167">
        <v>45684.0</v>
      </c>
      <c r="K1505" s="720"/>
      <c r="L1505" s="717" t="s">
        <v>8543</v>
      </c>
      <c r="M1505" s="715" t="s">
        <v>8544</v>
      </c>
      <c r="N1505" s="715" t="s">
        <v>8545</v>
      </c>
      <c r="O1505" s="1705">
        <v>3.0</v>
      </c>
      <c r="P1505" s="1706" t="s">
        <v>8546</v>
      </c>
      <c r="Q1505" s="49" t="str">
        <f t="array" ref="Q1505"> if(iserror(MATCH(V1505, 'File Links'!C:C, 0)), "N/A", HYPERLINK(INDEX('File Links'!B:B, MATCH(P1505, 'File Links'!C:C, 0))))</f>
        <v>https://drive.google.com/file/d/1_IO4PdoMe7l8Q03W9hLBkKiHGidC5w-t/view?usp=drivesdk</v>
      </c>
      <c r="R1505" s="1713" t="s">
        <v>8568</v>
      </c>
      <c r="S1505" s="727" t="s">
        <v>8548</v>
      </c>
      <c r="T1505" s="720"/>
      <c r="U1505" s="1707">
        <v>3.0</v>
      </c>
      <c r="V1505" s="195" t="str">
        <f t="shared" ref="V1505:V1578" si="113"> hyperlink(vlookup(lower(S1505),#REF!, 2, FALSE), SUBSTITUTE(lower(S1505), "/", "--") &amp;  ".pdf")</f>
        <v>10.1525--collabra.177.pdf</v>
      </c>
      <c r="W1505" s="717" t="s">
        <v>202</v>
      </c>
      <c r="X1505" s="51" t="str">
        <f t="array" ref="X1505"> if(iserror(MATCH(V1505, 'File Links'!C:C, 0)), "N/A", HYPERLINK(INDEX('File Links'!B:B, MATCH(V1505, 'File Links'!C:C, 0))))</f>
        <v>https://drive.google.com/file/d/1SNviYFYkLPApLDE4sxFOX_wRepMI0nnI/view?usp=drivesdk</v>
      </c>
      <c r="Y1505" s="720"/>
      <c r="Z1505" s="720" t="s">
        <v>219</v>
      </c>
      <c r="AA1505" s="70" t="s">
        <v>8549</v>
      </c>
      <c r="AB1505" s="720" t="s">
        <v>8550</v>
      </c>
      <c r="AC1505" s="720" t="s">
        <v>8569</v>
      </c>
      <c r="AD1505" s="720" t="s">
        <v>8570</v>
      </c>
      <c r="AE1505" s="720" t="s">
        <v>125</v>
      </c>
      <c r="AF1505" s="1705">
        <v>33.0</v>
      </c>
      <c r="AG1505" s="1705">
        <v>0.85</v>
      </c>
      <c r="AH1505" s="763" t="s">
        <v>166</v>
      </c>
      <c r="AI1505" s="720" t="s">
        <v>125</v>
      </c>
      <c r="AJ1505" s="1705">
        <v>0.05</v>
      </c>
      <c r="AK1505" s="1420" t="s">
        <v>128</v>
      </c>
      <c r="AL1505" s="720" t="s">
        <v>129</v>
      </c>
      <c r="AM1505" s="720" t="s">
        <v>130</v>
      </c>
      <c r="AN1505" s="327" t="s">
        <v>131</v>
      </c>
      <c r="AO1505" s="1705">
        <v>28.0</v>
      </c>
      <c r="AP1505" s="1705">
        <v>-0.23</v>
      </c>
      <c r="AQ1505" s="720" t="s">
        <v>166</v>
      </c>
      <c r="AR1505" s="1708" t="s">
        <v>8553</v>
      </c>
      <c r="AS1505" s="717" t="s">
        <v>131</v>
      </c>
      <c r="AT1505" s="717" t="s">
        <v>131</v>
      </c>
      <c r="AU1505" s="717" t="s">
        <v>131</v>
      </c>
      <c r="AV1505" s="1466" t="s">
        <v>130</v>
      </c>
      <c r="AW1505" s="1709" t="s">
        <v>8554</v>
      </c>
      <c r="AX1505" s="1710" t="s">
        <v>136</v>
      </c>
      <c r="AY1505" s="694"/>
      <c r="AZ1505" s="713" t="s">
        <v>137</v>
      </c>
    </row>
    <row r="1506">
      <c r="A1506" s="41">
        <v>1506.0</v>
      </c>
      <c r="B1506" s="1703" t="s">
        <v>145</v>
      </c>
      <c r="C1506" s="1703" t="s">
        <v>108</v>
      </c>
      <c r="D1506" s="713" t="s">
        <v>138</v>
      </c>
      <c r="E1506" s="694"/>
      <c r="F1506" s="90" t="s">
        <v>8540</v>
      </c>
      <c r="G1506" s="715" t="s">
        <v>8571</v>
      </c>
      <c r="H1506" s="715" t="s">
        <v>8542</v>
      </c>
      <c r="I1506" s="1704">
        <v>45641.0</v>
      </c>
      <c r="J1506" s="167">
        <v>45684.0</v>
      </c>
      <c r="K1506" s="720"/>
      <c r="L1506" s="717" t="s">
        <v>8543</v>
      </c>
      <c r="M1506" s="715" t="s">
        <v>8544</v>
      </c>
      <c r="N1506" s="715" t="s">
        <v>8545</v>
      </c>
      <c r="O1506" s="1705">
        <v>3.0</v>
      </c>
      <c r="P1506" s="1706" t="s">
        <v>8546</v>
      </c>
      <c r="Q1506" s="49" t="str">
        <f t="array" ref="Q1506"> if(iserror(MATCH(V1506, 'File Links'!C:C, 0)), "N/A", HYPERLINK(INDEX('File Links'!B:B, MATCH(P1506, 'File Links'!C:C, 0))))</f>
        <v>https://drive.google.com/file/d/1_IO4PdoMe7l8Q03W9hLBkKiHGidC5w-t/view?usp=drivesdk</v>
      </c>
      <c r="R1506" s="1713" t="s">
        <v>8568</v>
      </c>
      <c r="S1506" s="727" t="s">
        <v>8548</v>
      </c>
      <c r="T1506" s="720"/>
      <c r="U1506" s="1707">
        <v>3.0</v>
      </c>
      <c r="V1506" s="195" t="str">
        <f t="shared" si="113"/>
        <v>10.1525--collabra.177.pdf</v>
      </c>
      <c r="W1506" s="717" t="s">
        <v>202</v>
      </c>
      <c r="X1506" s="51" t="str">
        <f t="array" ref="X1506"> if(iserror(MATCH(V1506, 'File Links'!C:C, 0)), "N/A", HYPERLINK(INDEX('File Links'!B:B, MATCH(V1506, 'File Links'!C:C, 0))))</f>
        <v>https://drive.google.com/file/d/1SNviYFYkLPApLDE4sxFOX_wRepMI0nnI/view?usp=drivesdk</v>
      </c>
      <c r="Y1506" s="720"/>
      <c r="Z1506" s="720" t="s">
        <v>219</v>
      </c>
      <c r="AA1506" s="70" t="s">
        <v>8549</v>
      </c>
      <c r="AB1506" s="720" t="s">
        <v>8550</v>
      </c>
      <c r="AC1506" s="720" t="s">
        <v>8572</v>
      </c>
      <c r="AD1506" s="720" t="s">
        <v>8573</v>
      </c>
      <c r="AE1506" s="720" t="s">
        <v>125</v>
      </c>
      <c r="AF1506" s="1705">
        <v>33.0</v>
      </c>
      <c r="AG1506" s="1502" t="s">
        <v>131</v>
      </c>
      <c r="AH1506" s="164" t="s">
        <v>131</v>
      </c>
      <c r="AI1506" s="720" t="s">
        <v>125</v>
      </c>
      <c r="AJ1506" s="1705">
        <v>0.63</v>
      </c>
      <c r="AK1506" s="1420" t="s">
        <v>328</v>
      </c>
      <c r="AL1506" s="720" t="s">
        <v>129</v>
      </c>
      <c r="AM1506" s="720" t="s">
        <v>130</v>
      </c>
      <c r="AN1506" s="327" t="s">
        <v>131</v>
      </c>
      <c r="AO1506" s="1705">
        <v>28.0</v>
      </c>
      <c r="AP1506" s="1705">
        <v>-0.1</v>
      </c>
      <c r="AQ1506" s="720" t="s">
        <v>166</v>
      </c>
      <c r="AR1506" s="1708" t="s">
        <v>8553</v>
      </c>
      <c r="AS1506" s="717" t="s">
        <v>131</v>
      </c>
      <c r="AT1506" s="717" t="s">
        <v>131</v>
      </c>
      <c r="AU1506" s="717" t="s">
        <v>131</v>
      </c>
      <c r="AV1506" s="1466" t="s">
        <v>130</v>
      </c>
      <c r="AW1506" s="1709" t="s">
        <v>8554</v>
      </c>
      <c r="AX1506" s="1710" t="s">
        <v>136</v>
      </c>
      <c r="AY1506" s="694"/>
      <c r="AZ1506" s="713" t="s">
        <v>137</v>
      </c>
    </row>
    <row r="1507">
      <c r="A1507" s="41">
        <v>1507.0</v>
      </c>
      <c r="B1507" s="42" t="s">
        <v>278</v>
      </c>
      <c r="C1507" s="42" t="s">
        <v>108</v>
      </c>
      <c r="D1507" s="59" t="s">
        <v>138</v>
      </c>
      <c r="F1507" s="43" t="s">
        <v>8574</v>
      </c>
      <c r="G1507" s="44" t="s">
        <v>8575</v>
      </c>
      <c r="H1507" s="44" t="s">
        <v>8576</v>
      </c>
      <c r="I1507" s="44" t="s">
        <v>112</v>
      </c>
      <c r="J1507" s="45">
        <v>45641.0</v>
      </c>
      <c r="K1507" s="46"/>
      <c r="L1507" s="46"/>
      <c r="M1507" s="340" t="s">
        <v>8577</v>
      </c>
      <c r="N1507" s="44" t="s">
        <v>8578</v>
      </c>
      <c r="O1507" s="505">
        <v>3.0</v>
      </c>
      <c r="P1507" s="1714" t="s">
        <v>8579</v>
      </c>
      <c r="Q1507" s="49" t="str">
        <f t="array" ref="Q1507"> if(iserror(MATCH(V1507, 'File Links'!C:C, 0)), "N/A", HYPERLINK(INDEX('File Links'!B:B, MATCH(P1507, 'File Links'!C:C, 0))))</f>
        <v>https://drive.google.com/file/d/1xUlRe3MC-gZV8Zhd6NQNLSAYxUKd-bXT/view?usp=drivesdk</v>
      </c>
      <c r="R1507" s="44" t="s">
        <v>8580</v>
      </c>
      <c r="S1507" s="44" t="s">
        <v>8581</v>
      </c>
      <c r="T1507" s="46"/>
      <c r="U1507" s="50">
        <v>3.0</v>
      </c>
      <c r="V1507" s="195" t="str">
        <f t="shared" si="113"/>
        <v>10.17605--osf.io--e9d3k.pdf</v>
      </c>
      <c r="W1507" s="46" t="s">
        <v>120</v>
      </c>
      <c r="X1507" s="51" t="str">
        <f t="array" ref="X1507"> if(iserror(MATCH(V1507, 'File Links'!C:C, 0)), "N/A", HYPERLINK(INDEX('File Links'!B:B, MATCH(V1507, 'File Links'!C:C, 0))))</f>
        <v>https://drive.google.com/file/d/1VipPphabn-Kfe9AzHC0j5FX1Fqp3bd0q/view?usp=drivesdk</v>
      </c>
      <c r="Y1507" s="46"/>
      <c r="Z1507" s="46" t="s">
        <v>219</v>
      </c>
      <c r="AA1507" s="46" t="s">
        <v>8582</v>
      </c>
      <c r="AB1507" s="46" t="s">
        <v>8583</v>
      </c>
      <c r="AC1507" s="46" t="s">
        <v>8584</v>
      </c>
      <c r="AD1507" s="46" t="s">
        <v>8585</v>
      </c>
      <c r="AE1507" s="46" t="s">
        <v>621</v>
      </c>
      <c r="AF1507" s="47">
        <v>298.0</v>
      </c>
      <c r="AG1507" s="47">
        <v>0.04</v>
      </c>
      <c r="AH1507" s="48" t="s">
        <v>132</v>
      </c>
      <c r="AI1507" s="46" t="s">
        <v>621</v>
      </c>
      <c r="AJ1507" s="47">
        <v>0.004</v>
      </c>
      <c r="AK1507" s="43" t="s">
        <v>165</v>
      </c>
      <c r="AL1507" s="46" t="s">
        <v>129</v>
      </c>
      <c r="AM1507" s="46" t="s">
        <v>130</v>
      </c>
      <c r="AN1507" s="46"/>
      <c r="AO1507" s="47">
        <v>743.0</v>
      </c>
      <c r="AP1507" s="47">
        <v>0.04</v>
      </c>
      <c r="AQ1507" s="46" t="s">
        <v>132</v>
      </c>
      <c r="AR1507" s="46" t="s">
        <v>210</v>
      </c>
      <c r="AS1507" s="47">
        <v>0.001</v>
      </c>
      <c r="AT1507" s="43" t="s">
        <v>128</v>
      </c>
      <c r="AU1507" s="43" t="s">
        <v>129</v>
      </c>
      <c r="AV1507" s="43" t="s">
        <v>130</v>
      </c>
      <c r="AW1507" s="56" t="s">
        <v>8586</v>
      </c>
      <c r="AX1507" s="57" t="s">
        <v>136</v>
      </c>
    </row>
    <row r="1508">
      <c r="A1508" s="41">
        <v>1508.0</v>
      </c>
      <c r="B1508" s="528" t="s">
        <v>278</v>
      </c>
      <c r="C1508" s="528" t="s">
        <v>108</v>
      </c>
      <c r="D1508" s="528" t="s">
        <v>188</v>
      </c>
      <c r="E1508" s="529"/>
      <c r="F1508" s="528" t="s">
        <v>8574</v>
      </c>
      <c r="G1508" s="42" t="s">
        <v>8575</v>
      </c>
      <c r="H1508" s="42" t="s">
        <v>8587</v>
      </c>
      <c r="I1508" s="60">
        <v>45078.0</v>
      </c>
      <c r="J1508" s="61">
        <v>45644.0</v>
      </c>
      <c r="K1508" s="62"/>
      <c r="L1508" s="62"/>
      <c r="M1508" s="340" t="s">
        <v>8577</v>
      </c>
      <c r="N1508" s="42" t="s">
        <v>8578</v>
      </c>
      <c r="O1508" s="42">
        <v>3.0</v>
      </c>
      <c r="P1508" s="939" t="s">
        <v>8579</v>
      </c>
      <c r="Q1508" s="49" t="str">
        <f t="array" ref="Q1508"> if(iserror(MATCH(V1508, 'File Links'!C:C, 0)), "N/A", HYPERLINK(INDEX('File Links'!B:B, MATCH(P1508, 'File Links'!C:C, 0))))</f>
        <v>https://drive.google.com/file/d/1xUlRe3MC-gZV8Zhd6NQNLSAYxUKd-bXT/view?usp=drivesdk</v>
      </c>
      <c r="R1508" s="42" t="s">
        <v>8580</v>
      </c>
      <c r="S1508" s="42" t="s">
        <v>8581</v>
      </c>
      <c r="T1508" s="62"/>
      <c r="U1508" s="63"/>
      <c r="V1508" s="195" t="str">
        <f t="shared" si="113"/>
        <v>10.17605--osf.io--e9d3k.pdf</v>
      </c>
      <c r="W1508" s="42" t="s">
        <v>202</v>
      </c>
      <c r="X1508" s="51" t="str">
        <f t="array" ref="X1508"> if(iserror(MATCH(V1508, 'File Links'!C:C, 0)), "N/A", HYPERLINK(INDEX('File Links'!B:B, MATCH(V1508, 'File Links'!C:C, 0))))</f>
        <v>https://drive.google.com/file/d/1VipPphabn-Kfe9AzHC0j5FX1Fqp3bd0q/view?usp=drivesdk</v>
      </c>
      <c r="Y1508" s="62"/>
      <c r="Z1508" s="42" t="s">
        <v>219</v>
      </c>
      <c r="AA1508" s="62"/>
      <c r="AB1508" s="42" t="s">
        <v>8583</v>
      </c>
      <c r="AC1508" s="42" t="s">
        <v>8588</v>
      </c>
      <c r="AD1508" s="62"/>
      <c r="AE1508" s="62"/>
      <c r="AF1508" s="62"/>
      <c r="AG1508" s="62"/>
      <c r="AH1508" s="42"/>
      <c r="AI1508" s="62"/>
      <c r="AJ1508" s="62"/>
      <c r="AK1508" s="64"/>
      <c r="AL1508" s="62"/>
      <c r="AM1508" s="62"/>
      <c r="AN1508" s="62"/>
      <c r="AO1508" s="62"/>
      <c r="AP1508" s="62"/>
      <c r="AQ1508" s="62"/>
      <c r="AR1508" s="62"/>
      <c r="AS1508" s="62"/>
      <c r="AT1508" s="64"/>
      <c r="AU1508" s="64"/>
      <c r="AV1508" s="65"/>
      <c r="AX1508" s="64"/>
    </row>
    <row r="1509">
      <c r="A1509" s="41">
        <v>1509.0</v>
      </c>
      <c r="B1509" s="42" t="s">
        <v>278</v>
      </c>
      <c r="C1509" s="42" t="s">
        <v>108</v>
      </c>
      <c r="D1509" s="59" t="s">
        <v>138</v>
      </c>
      <c r="F1509" s="528" t="s">
        <v>8574</v>
      </c>
      <c r="G1509" s="44" t="s">
        <v>8589</v>
      </c>
      <c r="H1509" s="44" t="s">
        <v>8576</v>
      </c>
      <c r="I1509" s="44" t="s">
        <v>112</v>
      </c>
      <c r="J1509" s="45">
        <v>45641.0</v>
      </c>
      <c r="K1509" s="46"/>
      <c r="L1509" s="46"/>
      <c r="M1509" s="340" t="s">
        <v>8577</v>
      </c>
      <c r="N1509" s="44" t="s">
        <v>8578</v>
      </c>
      <c r="O1509" s="505">
        <v>3.0</v>
      </c>
      <c r="P1509" s="1714" t="s">
        <v>8579</v>
      </c>
      <c r="Q1509" s="49" t="str">
        <f t="array" ref="Q1509"> if(iserror(MATCH(V1509, 'File Links'!C:C, 0)), "N/A", HYPERLINK(INDEX('File Links'!B:B, MATCH(P1509, 'File Links'!C:C, 0))))</f>
        <v>https://drive.google.com/file/d/1xUlRe3MC-gZV8Zhd6NQNLSAYxUKd-bXT/view?usp=drivesdk</v>
      </c>
      <c r="R1509" s="44" t="s">
        <v>8580</v>
      </c>
      <c r="S1509" s="44" t="s">
        <v>8581</v>
      </c>
      <c r="T1509" s="46"/>
      <c r="U1509" s="50">
        <v>3.0</v>
      </c>
      <c r="V1509" s="195" t="str">
        <f t="shared" si="113"/>
        <v>10.17605--osf.io--e9d3k.pdf</v>
      </c>
      <c r="W1509" s="46" t="s">
        <v>120</v>
      </c>
      <c r="X1509" s="51" t="str">
        <f t="array" ref="X1509"> if(iserror(MATCH(V1509, 'File Links'!C:C, 0)), "N/A", HYPERLINK(INDEX('File Links'!B:B, MATCH(V1509, 'File Links'!C:C, 0))))</f>
        <v>https://drive.google.com/file/d/1VipPphabn-Kfe9AzHC0j5FX1Fqp3bd0q/view?usp=drivesdk</v>
      </c>
      <c r="Y1509" s="46"/>
      <c r="Z1509" s="46" t="s">
        <v>219</v>
      </c>
      <c r="AA1509" s="46" t="s">
        <v>8582</v>
      </c>
      <c r="AB1509" s="46" t="s">
        <v>8583</v>
      </c>
      <c r="AC1509" s="46" t="s">
        <v>8590</v>
      </c>
      <c r="AD1509" s="46" t="s">
        <v>8591</v>
      </c>
      <c r="AE1509" s="46" t="s">
        <v>621</v>
      </c>
      <c r="AF1509" s="47">
        <v>298.0</v>
      </c>
      <c r="AG1509" s="47">
        <v>0.12</v>
      </c>
      <c r="AH1509" s="48" t="s">
        <v>132</v>
      </c>
      <c r="AI1509" s="46" t="s">
        <v>621</v>
      </c>
      <c r="AJ1509" s="47">
        <v>0.001</v>
      </c>
      <c r="AK1509" s="43" t="s">
        <v>128</v>
      </c>
      <c r="AL1509" s="46" t="s">
        <v>129</v>
      </c>
      <c r="AM1509" s="46" t="s">
        <v>130</v>
      </c>
      <c r="AN1509" s="46"/>
      <c r="AO1509" s="47">
        <v>743.0</v>
      </c>
      <c r="AP1509" s="47">
        <v>0.07</v>
      </c>
      <c r="AQ1509" s="46" t="s">
        <v>132</v>
      </c>
      <c r="AR1509" s="46" t="s">
        <v>210</v>
      </c>
      <c r="AS1509" s="47">
        <v>0.001</v>
      </c>
      <c r="AT1509" s="43" t="s">
        <v>128</v>
      </c>
      <c r="AU1509" s="43" t="s">
        <v>129</v>
      </c>
      <c r="AV1509" s="43" t="s">
        <v>130</v>
      </c>
      <c r="AW1509" s="56" t="s">
        <v>8586</v>
      </c>
      <c r="AX1509" s="57" t="s">
        <v>136</v>
      </c>
    </row>
    <row r="1510">
      <c r="A1510" s="41">
        <v>1510.0</v>
      </c>
      <c r="B1510" s="42" t="s">
        <v>278</v>
      </c>
      <c r="C1510" s="42" t="s">
        <v>108</v>
      </c>
      <c r="D1510" s="59" t="s">
        <v>138</v>
      </c>
      <c r="F1510" s="528" t="s">
        <v>8574</v>
      </c>
      <c r="G1510" s="44" t="s">
        <v>8592</v>
      </c>
      <c r="H1510" s="44" t="s">
        <v>8576</v>
      </c>
      <c r="I1510" s="44" t="s">
        <v>112</v>
      </c>
      <c r="J1510" s="45">
        <v>45641.0</v>
      </c>
      <c r="K1510" s="46"/>
      <c r="L1510" s="46"/>
      <c r="M1510" s="340" t="s">
        <v>8577</v>
      </c>
      <c r="N1510" s="44" t="s">
        <v>8578</v>
      </c>
      <c r="O1510" s="505">
        <v>3.0</v>
      </c>
      <c r="P1510" s="1714" t="s">
        <v>8579</v>
      </c>
      <c r="Q1510" s="49" t="str">
        <f t="array" ref="Q1510"> if(iserror(MATCH(V1510, 'File Links'!C:C, 0)), "N/A", HYPERLINK(INDEX('File Links'!B:B, MATCH(P1510, 'File Links'!C:C, 0))))</f>
        <v>https://drive.google.com/file/d/1xUlRe3MC-gZV8Zhd6NQNLSAYxUKd-bXT/view?usp=drivesdk</v>
      </c>
      <c r="R1510" s="44" t="s">
        <v>8580</v>
      </c>
      <c r="S1510" s="44" t="s">
        <v>8581</v>
      </c>
      <c r="T1510" s="46"/>
      <c r="U1510" s="50">
        <v>3.0</v>
      </c>
      <c r="V1510" s="195" t="str">
        <f t="shared" si="113"/>
        <v>10.17605--osf.io--e9d3k.pdf</v>
      </c>
      <c r="W1510" s="46" t="s">
        <v>120</v>
      </c>
      <c r="X1510" s="51" t="str">
        <f t="array" ref="X1510"> if(iserror(MATCH(V1510, 'File Links'!C:C, 0)), "N/A", HYPERLINK(INDEX('File Links'!B:B, MATCH(V1510, 'File Links'!C:C, 0))))</f>
        <v>https://drive.google.com/file/d/1VipPphabn-Kfe9AzHC0j5FX1Fqp3bd0q/view?usp=drivesdk</v>
      </c>
      <c r="Y1510" s="46"/>
      <c r="Z1510" s="46" t="s">
        <v>219</v>
      </c>
      <c r="AA1510" s="46" t="s">
        <v>8582</v>
      </c>
      <c r="AB1510" s="46" t="s">
        <v>8583</v>
      </c>
      <c r="AC1510" s="46" t="s">
        <v>8593</v>
      </c>
      <c r="AD1510" s="46" t="s">
        <v>8594</v>
      </c>
      <c r="AE1510" s="46" t="s">
        <v>621</v>
      </c>
      <c r="AF1510" s="47">
        <v>298.0</v>
      </c>
      <c r="AG1510" s="47">
        <v>0.01</v>
      </c>
      <c r="AH1510" s="48" t="s">
        <v>132</v>
      </c>
      <c r="AI1510" s="46" t="s">
        <v>621</v>
      </c>
      <c r="AJ1510" s="47">
        <v>0.349</v>
      </c>
      <c r="AK1510" s="43" t="s">
        <v>165</v>
      </c>
      <c r="AL1510" s="46" t="s">
        <v>129</v>
      </c>
      <c r="AM1510" s="46" t="s">
        <v>130</v>
      </c>
      <c r="AN1510" s="46"/>
      <c r="AO1510" s="47">
        <v>743.0</v>
      </c>
      <c r="AP1510" s="47">
        <v>0.01</v>
      </c>
      <c r="AQ1510" s="46" t="s">
        <v>132</v>
      </c>
      <c r="AR1510" s="46" t="s">
        <v>210</v>
      </c>
      <c r="AS1510" s="47">
        <v>0.349</v>
      </c>
      <c r="AT1510" s="43" t="s">
        <v>165</v>
      </c>
      <c r="AU1510" s="43" t="s">
        <v>129</v>
      </c>
      <c r="AV1510" s="43" t="s">
        <v>130</v>
      </c>
      <c r="AW1510" s="56" t="s">
        <v>8586</v>
      </c>
      <c r="AX1510" s="57" t="s">
        <v>136</v>
      </c>
    </row>
    <row r="1511">
      <c r="A1511" s="41">
        <v>1511.0</v>
      </c>
      <c r="B1511" s="42" t="s">
        <v>278</v>
      </c>
      <c r="C1511" s="42" t="s">
        <v>108</v>
      </c>
      <c r="D1511" s="59" t="s">
        <v>138</v>
      </c>
      <c r="F1511" s="528" t="s">
        <v>8574</v>
      </c>
      <c r="G1511" s="44" t="s">
        <v>8595</v>
      </c>
      <c r="H1511" s="44" t="s">
        <v>8576</v>
      </c>
      <c r="I1511" s="44" t="s">
        <v>112</v>
      </c>
      <c r="J1511" s="45">
        <v>45641.0</v>
      </c>
      <c r="K1511" s="46"/>
      <c r="L1511" s="46"/>
      <c r="M1511" s="340" t="s">
        <v>8577</v>
      </c>
      <c r="N1511" s="44" t="s">
        <v>8578</v>
      </c>
      <c r="O1511" s="505">
        <v>3.0</v>
      </c>
      <c r="P1511" s="1714" t="s">
        <v>8579</v>
      </c>
      <c r="Q1511" s="49" t="str">
        <f t="array" ref="Q1511"> if(iserror(MATCH(V1511, 'File Links'!C:C, 0)), "N/A", HYPERLINK(INDEX('File Links'!B:B, MATCH(P1511, 'File Links'!C:C, 0))))</f>
        <v>https://drive.google.com/file/d/1xUlRe3MC-gZV8Zhd6NQNLSAYxUKd-bXT/view?usp=drivesdk</v>
      </c>
      <c r="R1511" s="44" t="s">
        <v>8580</v>
      </c>
      <c r="S1511" s="44" t="s">
        <v>8581</v>
      </c>
      <c r="T1511" s="46"/>
      <c r="U1511" s="50">
        <v>3.0</v>
      </c>
      <c r="V1511" s="195" t="str">
        <f t="shared" si="113"/>
        <v>10.17605--osf.io--e9d3k.pdf</v>
      </c>
      <c r="W1511" s="46" t="s">
        <v>120</v>
      </c>
      <c r="X1511" s="51" t="str">
        <f t="array" ref="X1511"> if(iserror(MATCH(V1511, 'File Links'!C:C, 0)), "N/A", HYPERLINK(INDEX('File Links'!B:B, MATCH(V1511, 'File Links'!C:C, 0))))</f>
        <v>https://drive.google.com/file/d/1VipPphabn-Kfe9AzHC0j5FX1Fqp3bd0q/view?usp=drivesdk</v>
      </c>
      <c r="Y1511" s="46"/>
      <c r="Z1511" s="46" t="s">
        <v>219</v>
      </c>
      <c r="AA1511" s="46" t="s">
        <v>8582</v>
      </c>
      <c r="AB1511" s="46" t="s">
        <v>8583</v>
      </c>
      <c r="AC1511" s="46" t="s">
        <v>8596</v>
      </c>
      <c r="AD1511" s="46" t="s">
        <v>8597</v>
      </c>
      <c r="AE1511" s="46" t="s">
        <v>621</v>
      </c>
      <c r="AF1511" s="47">
        <v>298.0</v>
      </c>
      <c r="AG1511" s="47">
        <v>0.07</v>
      </c>
      <c r="AH1511" s="48" t="s">
        <v>132</v>
      </c>
      <c r="AI1511" s="46" t="s">
        <v>621</v>
      </c>
      <c r="AJ1511" s="47">
        <v>0.001</v>
      </c>
      <c r="AK1511" s="43" t="s">
        <v>128</v>
      </c>
      <c r="AL1511" s="46" t="s">
        <v>129</v>
      </c>
      <c r="AM1511" s="46" t="s">
        <v>130</v>
      </c>
      <c r="AN1511" s="46"/>
      <c r="AO1511" s="47">
        <v>743.0</v>
      </c>
      <c r="AP1511" s="47">
        <v>0.02</v>
      </c>
      <c r="AQ1511" s="46" t="s">
        <v>132</v>
      </c>
      <c r="AR1511" s="46" t="s">
        <v>843</v>
      </c>
      <c r="AS1511" s="47">
        <v>0.01</v>
      </c>
      <c r="AT1511" s="43" t="s">
        <v>128</v>
      </c>
      <c r="AU1511" s="43" t="s">
        <v>129</v>
      </c>
      <c r="AV1511" s="43" t="s">
        <v>130</v>
      </c>
      <c r="AW1511" s="56" t="s">
        <v>8586</v>
      </c>
      <c r="AX1511" s="57" t="s">
        <v>136</v>
      </c>
    </row>
    <row r="1512">
      <c r="A1512" s="41">
        <v>1512.0</v>
      </c>
      <c r="B1512" s="42" t="s">
        <v>278</v>
      </c>
      <c r="C1512" s="42" t="s">
        <v>108</v>
      </c>
      <c r="D1512" s="59" t="s">
        <v>138</v>
      </c>
      <c r="F1512" s="528" t="s">
        <v>8574</v>
      </c>
      <c r="G1512" s="44" t="s">
        <v>8598</v>
      </c>
      <c r="H1512" s="44" t="s">
        <v>8576</v>
      </c>
      <c r="I1512" s="44" t="s">
        <v>112</v>
      </c>
      <c r="J1512" s="45">
        <v>45641.0</v>
      </c>
      <c r="K1512" s="46"/>
      <c r="L1512" s="46"/>
      <c r="M1512" s="340" t="s">
        <v>8577</v>
      </c>
      <c r="N1512" s="44" t="s">
        <v>8578</v>
      </c>
      <c r="O1512" s="505">
        <v>3.0</v>
      </c>
      <c r="P1512" s="1714" t="s">
        <v>8579</v>
      </c>
      <c r="Q1512" s="49" t="str">
        <f t="array" ref="Q1512"> if(iserror(MATCH(V1512, 'File Links'!C:C, 0)), "N/A", HYPERLINK(INDEX('File Links'!B:B, MATCH(P1512, 'File Links'!C:C, 0))))</f>
        <v>https://drive.google.com/file/d/1xUlRe3MC-gZV8Zhd6NQNLSAYxUKd-bXT/view?usp=drivesdk</v>
      </c>
      <c r="R1512" s="44" t="s">
        <v>8580</v>
      </c>
      <c r="S1512" s="44" t="s">
        <v>8581</v>
      </c>
      <c r="T1512" s="46"/>
      <c r="U1512" s="50">
        <v>3.0</v>
      </c>
      <c r="V1512" s="195" t="str">
        <f t="shared" si="113"/>
        <v>10.17605--osf.io--e9d3k.pdf</v>
      </c>
      <c r="W1512" s="46" t="s">
        <v>120</v>
      </c>
      <c r="X1512" s="51" t="str">
        <f t="array" ref="X1512"> if(iserror(MATCH(V1512, 'File Links'!C:C, 0)), "N/A", HYPERLINK(INDEX('File Links'!B:B, MATCH(V1512, 'File Links'!C:C, 0))))</f>
        <v>https://drive.google.com/file/d/1VipPphabn-Kfe9AzHC0j5FX1Fqp3bd0q/view?usp=drivesdk</v>
      </c>
      <c r="Y1512" s="46"/>
      <c r="Z1512" s="46" t="s">
        <v>219</v>
      </c>
      <c r="AA1512" s="46" t="s">
        <v>8582</v>
      </c>
      <c r="AB1512" s="46" t="s">
        <v>8583</v>
      </c>
      <c r="AC1512" s="46" t="s">
        <v>8599</v>
      </c>
      <c r="AD1512" s="46" t="s">
        <v>8600</v>
      </c>
      <c r="AE1512" s="46" t="s">
        <v>621</v>
      </c>
      <c r="AF1512" s="47">
        <v>298.0</v>
      </c>
      <c r="AG1512" s="47">
        <v>0.1</v>
      </c>
      <c r="AH1512" s="48" t="s">
        <v>132</v>
      </c>
      <c r="AI1512" s="46" t="s">
        <v>621</v>
      </c>
      <c r="AJ1512" s="47">
        <v>0.001</v>
      </c>
      <c r="AK1512" s="43" t="s">
        <v>128</v>
      </c>
      <c r="AL1512" s="46" t="s">
        <v>129</v>
      </c>
      <c r="AM1512" s="46" t="s">
        <v>130</v>
      </c>
      <c r="AN1512" s="46"/>
      <c r="AO1512" s="47">
        <v>743.0</v>
      </c>
      <c r="AP1512" s="47">
        <v>0.1</v>
      </c>
      <c r="AQ1512" s="46" t="s">
        <v>132</v>
      </c>
      <c r="AR1512" s="46" t="s">
        <v>843</v>
      </c>
      <c r="AS1512" s="47">
        <v>0.001</v>
      </c>
      <c r="AT1512" s="43" t="s">
        <v>128</v>
      </c>
      <c r="AU1512" s="43" t="s">
        <v>129</v>
      </c>
      <c r="AV1512" s="43" t="s">
        <v>130</v>
      </c>
      <c r="AW1512" s="56" t="s">
        <v>8586</v>
      </c>
      <c r="AX1512" s="57" t="s">
        <v>136</v>
      </c>
    </row>
    <row r="1513">
      <c r="A1513" s="41">
        <v>1513.0</v>
      </c>
      <c r="B1513" s="42" t="s">
        <v>278</v>
      </c>
      <c r="C1513" s="42" t="s">
        <v>108</v>
      </c>
      <c r="D1513" s="59" t="s">
        <v>138</v>
      </c>
      <c r="F1513" s="528" t="s">
        <v>8574</v>
      </c>
      <c r="G1513" s="44" t="s">
        <v>8601</v>
      </c>
      <c r="H1513" s="44" t="s">
        <v>8576</v>
      </c>
      <c r="I1513" s="44" t="s">
        <v>112</v>
      </c>
      <c r="J1513" s="45">
        <v>45641.0</v>
      </c>
      <c r="K1513" s="46"/>
      <c r="L1513" s="46"/>
      <c r="M1513" s="340" t="s">
        <v>8577</v>
      </c>
      <c r="N1513" s="44" t="s">
        <v>8578</v>
      </c>
      <c r="O1513" s="505">
        <v>3.0</v>
      </c>
      <c r="P1513" s="1714" t="s">
        <v>8579</v>
      </c>
      <c r="Q1513" s="49" t="str">
        <f t="array" ref="Q1513"> if(iserror(MATCH(V1513, 'File Links'!C:C, 0)), "N/A", HYPERLINK(INDEX('File Links'!B:B, MATCH(P1513, 'File Links'!C:C, 0))))</f>
        <v>https://drive.google.com/file/d/1xUlRe3MC-gZV8Zhd6NQNLSAYxUKd-bXT/view?usp=drivesdk</v>
      </c>
      <c r="R1513" s="44" t="s">
        <v>8580</v>
      </c>
      <c r="S1513" s="44" t="s">
        <v>8581</v>
      </c>
      <c r="T1513" s="46"/>
      <c r="U1513" s="50">
        <v>3.0</v>
      </c>
      <c r="V1513" s="195" t="str">
        <f t="shared" si="113"/>
        <v>10.17605--osf.io--e9d3k.pdf</v>
      </c>
      <c r="W1513" s="46" t="s">
        <v>120</v>
      </c>
      <c r="X1513" s="51" t="str">
        <f t="array" ref="X1513"> if(iserror(MATCH(V1513, 'File Links'!C:C, 0)), "N/A", HYPERLINK(INDEX('File Links'!B:B, MATCH(V1513, 'File Links'!C:C, 0))))</f>
        <v>https://drive.google.com/file/d/1VipPphabn-Kfe9AzHC0j5FX1Fqp3bd0q/view?usp=drivesdk</v>
      </c>
      <c r="Y1513" s="46"/>
      <c r="Z1513" s="46" t="s">
        <v>219</v>
      </c>
      <c r="AA1513" s="46" t="s">
        <v>8582</v>
      </c>
      <c r="AB1513" s="46" t="s">
        <v>8583</v>
      </c>
      <c r="AC1513" s="46" t="s">
        <v>8602</v>
      </c>
      <c r="AD1513" s="46" t="s">
        <v>8603</v>
      </c>
      <c r="AE1513" s="46" t="s">
        <v>621</v>
      </c>
      <c r="AF1513" s="47">
        <v>298.0</v>
      </c>
      <c r="AG1513" s="47">
        <v>0.01</v>
      </c>
      <c r="AH1513" s="48" t="s">
        <v>132</v>
      </c>
      <c r="AI1513" s="46" t="s">
        <v>621</v>
      </c>
      <c r="AJ1513" s="47">
        <v>0.2</v>
      </c>
      <c r="AK1513" s="43" t="s">
        <v>328</v>
      </c>
      <c r="AL1513" s="46" t="s">
        <v>129</v>
      </c>
      <c r="AM1513" s="46" t="s">
        <v>130</v>
      </c>
      <c r="AN1513" s="46"/>
      <c r="AO1513" s="47">
        <v>743.0</v>
      </c>
      <c r="AP1513" s="47">
        <v>0.01</v>
      </c>
      <c r="AQ1513" s="46" t="s">
        <v>132</v>
      </c>
      <c r="AR1513" s="46" t="s">
        <v>843</v>
      </c>
      <c r="AS1513" s="47">
        <v>0.24</v>
      </c>
      <c r="AT1513" s="43" t="s">
        <v>165</v>
      </c>
      <c r="AU1513" s="43" t="s">
        <v>129</v>
      </c>
      <c r="AV1513" s="43" t="s">
        <v>130</v>
      </c>
      <c r="AW1513" s="56" t="s">
        <v>8586</v>
      </c>
      <c r="AX1513" s="57" t="s">
        <v>136</v>
      </c>
    </row>
    <row r="1514">
      <c r="A1514" s="41">
        <v>1514.0</v>
      </c>
      <c r="B1514" s="42" t="s">
        <v>278</v>
      </c>
      <c r="C1514" s="42" t="s">
        <v>108</v>
      </c>
      <c r="D1514" s="59" t="s">
        <v>138</v>
      </c>
      <c r="F1514" s="528" t="s">
        <v>8574</v>
      </c>
      <c r="G1514" s="44" t="s">
        <v>8604</v>
      </c>
      <c r="H1514" s="44" t="s">
        <v>8576</v>
      </c>
      <c r="I1514" s="44" t="s">
        <v>112</v>
      </c>
      <c r="J1514" s="45">
        <v>45641.0</v>
      </c>
      <c r="K1514" s="46"/>
      <c r="L1514" s="46"/>
      <c r="M1514" s="340" t="s">
        <v>8577</v>
      </c>
      <c r="N1514" s="44" t="s">
        <v>8578</v>
      </c>
      <c r="O1514" s="505">
        <v>3.0</v>
      </c>
      <c r="P1514" s="1714" t="s">
        <v>8579</v>
      </c>
      <c r="Q1514" s="49" t="str">
        <f t="array" ref="Q1514"> if(iserror(MATCH(V1514, 'File Links'!C:C, 0)), "N/A", HYPERLINK(INDEX('File Links'!B:B, MATCH(P1514, 'File Links'!C:C, 0))))</f>
        <v>https://drive.google.com/file/d/1xUlRe3MC-gZV8Zhd6NQNLSAYxUKd-bXT/view?usp=drivesdk</v>
      </c>
      <c r="R1514" s="44" t="s">
        <v>8580</v>
      </c>
      <c r="S1514" s="44" t="s">
        <v>8581</v>
      </c>
      <c r="T1514" s="46"/>
      <c r="U1514" s="50">
        <v>3.0</v>
      </c>
      <c r="V1514" s="195" t="str">
        <f t="shared" si="113"/>
        <v>10.17605--osf.io--e9d3k.pdf</v>
      </c>
      <c r="W1514" s="46" t="s">
        <v>120</v>
      </c>
      <c r="X1514" s="51" t="str">
        <f t="array" ref="X1514"> if(iserror(MATCH(V1514, 'File Links'!C:C, 0)), "N/A", HYPERLINK(INDEX('File Links'!B:B, MATCH(V1514, 'File Links'!C:C, 0))))</f>
        <v>https://drive.google.com/file/d/1VipPphabn-Kfe9AzHC0j5FX1Fqp3bd0q/view?usp=drivesdk</v>
      </c>
      <c r="Y1514" s="46"/>
      <c r="Z1514" s="46" t="s">
        <v>219</v>
      </c>
      <c r="AA1514" s="46" t="s">
        <v>8582</v>
      </c>
      <c r="AB1514" s="46" t="s">
        <v>8583</v>
      </c>
      <c r="AC1514" s="46" t="s">
        <v>8605</v>
      </c>
      <c r="AD1514" s="46" t="s">
        <v>8603</v>
      </c>
      <c r="AE1514" s="46" t="s">
        <v>621</v>
      </c>
      <c r="AF1514" s="47">
        <v>298.0</v>
      </c>
      <c r="AG1514" s="47">
        <v>0.01</v>
      </c>
      <c r="AH1514" s="48" t="s">
        <v>132</v>
      </c>
      <c r="AI1514" s="46" t="s">
        <v>621</v>
      </c>
      <c r="AJ1514" s="47">
        <v>0.2</v>
      </c>
      <c r="AK1514" s="43" t="s">
        <v>328</v>
      </c>
      <c r="AL1514" s="46" t="s">
        <v>129</v>
      </c>
      <c r="AM1514" s="46" t="s">
        <v>130</v>
      </c>
      <c r="AN1514" s="46"/>
      <c r="AO1514" s="47">
        <v>743.0</v>
      </c>
      <c r="AP1514" s="47">
        <v>0.02</v>
      </c>
      <c r="AQ1514" s="46" t="s">
        <v>132</v>
      </c>
      <c r="AR1514" s="46" t="s">
        <v>843</v>
      </c>
      <c r="AS1514" s="47">
        <v>0.01</v>
      </c>
      <c r="AT1514" s="43" t="s">
        <v>128</v>
      </c>
      <c r="AU1514" s="43" t="s">
        <v>129</v>
      </c>
      <c r="AV1514" s="43" t="s">
        <v>130</v>
      </c>
      <c r="AW1514" s="56" t="s">
        <v>8586</v>
      </c>
      <c r="AX1514" s="57" t="s">
        <v>136</v>
      </c>
    </row>
    <row r="1515">
      <c r="A1515" s="41">
        <v>1515.0</v>
      </c>
      <c r="B1515" s="42" t="s">
        <v>278</v>
      </c>
      <c r="C1515" s="42" t="s">
        <v>108</v>
      </c>
      <c r="D1515" s="59" t="s">
        <v>138</v>
      </c>
      <c r="F1515" s="528" t="s">
        <v>8574</v>
      </c>
      <c r="G1515" s="44" t="s">
        <v>8606</v>
      </c>
      <c r="H1515" s="44" t="s">
        <v>8576</v>
      </c>
      <c r="I1515" s="44" t="s">
        <v>112</v>
      </c>
      <c r="J1515" s="45">
        <v>45641.0</v>
      </c>
      <c r="K1515" s="46"/>
      <c r="L1515" s="46"/>
      <c r="M1515" s="340" t="s">
        <v>8577</v>
      </c>
      <c r="N1515" s="44" t="s">
        <v>8578</v>
      </c>
      <c r="O1515" s="505">
        <v>3.0</v>
      </c>
      <c r="P1515" s="1714" t="s">
        <v>8579</v>
      </c>
      <c r="Q1515" s="49" t="str">
        <f t="array" ref="Q1515"> if(iserror(MATCH(V1515, 'File Links'!C:C, 0)), "N/A", HYPERLINK(INDEX('File Links'!B:B, MATCH(P1515, 'File Links'!C:C, 0))))</f>
        <v>https://drive.google.com/file/d/1xUlRe3MC-gZV8Zhd6NQNLSAYxUKd-bXT/view?usp=drivesdk</v>
      </c>
      <c r="R1515" s="44" t="s">
        <v>8580</v>
      </c>
      <c r="S1515" s="44" t="s">
        <v>8581</v>
      </c>
      <c r="T1515" s="46"/>
      <c r="U1515" s="50">
        <v>3.0</v>
      </c>
      <c r="V1515" s="195" t="str">
        <f t="shared" si="113"/>
        <v>10.17605--osf.io--e9d3k.pdf</v>
      </c>
      <c r="W1515" s="46" t="s">
        <v>120</v>
      </c>
      <c r="X1515" s="51" t="str">
        <f t="array" ref="X1515"> if(iserror(MATCH(V1515, 'File Links'!C:C, 0)), "N/A", HYPERLINK(INDEX('File Links'!B:B, MATCH(V1515, 'File Links'!C:C, 0))))</f>
        <v>https://drive.google.com/file/d/1VipPphabn-Kfe9AzHC0j5FX1Fqp3bd0q/view?usp=drivesdk</v>
      </c>
      <c r="Y1515" s="46"/>
      <c r="Z1515" s="46" t="s">
        <v>219</v>
      </c>
      <c r="AA1515" s="46" t="s">
        <v>8582</v>
      </c>
      <c r="AB1515" s="46" t="s">
        <v>8583</v>
      </c>
      <c r="AC1515" s="46" t="s">
        <v>8607</v>
      </c>
      <c r="AD1515" s="46" t="s">
        <v>8608</v>
      </c>
      <c r="AE1515" s="46" t="s">
        <v>621</v>
      </c>
      <c r="AF1515" s="47">
        <v>298.0</v>
      </c>
      <c r="AG1515" s="47">
        <v>0.04</v>
      </c>
      <c r="AH1515" s="48" t="s">
        <v>132</v>
      </c>
      <c r="AI1515" s="46" t="s">
        <v>621</v>
      </c>
      <c r="AJ1515" s="47">
        <v>0.005</v>
      </c>
      <c r="AK1515" s="43" t="s">
        <v>165</v>
      </c>
      <c r="AL1515" s="46" t="s">
        <v>129</v>
      </c>
      <c r="AM1515" s="46" t="s">
        <v>130</v>
      </c>
      <c r="AN1515" s="46"/>
      <c r="AO1515" s="47">
        <v>743.0</v>
      </c>
      <c r="AP1515" s="47">
        <v>0.04</v>
      </c>
      <c r="AQ1515" s="46" t="s">
        <v>132</v>
      </c>
      <c r="AR1515" s="46" t="s">
        <v>806</v>
      </c>
      <c r="AS1515" s="47">
        <v>0.001</v>
      </c>
      <c r="AT1515" s="43" t="s">
        <v>128</v>
      </c>
      <c r="AU1515" s="43" t="s">
        <v>129</v>
      </c>
      <c r="AV1515" s="43" t="s">
        <v>130</v>
      </c>
      <c r="AW1515" s="56" t="s">
        <v>8586</v>
      </c>
      <c r="AX1515" s="57" t="s">
        <v>136</v>
      </c>
    </row>
    <row r="1516">
      <c r="A1516" s="41">
        <v>1516.0</v>
      </c>
      <c r="B1516" s="42" t="s">
        <v>278</v>
      </c>
      <c r="C1516" s="42" t="s">
        <v>108</v>
      </c>
      <c r="D1516" s="59" t="s">
        <v>138</v>
      </c>
      <c r="F1516" s="528" t="s">
        <v>8574</v>
      </c>
      <c r="G1516" s="44" t="s">
        <v>8609</v>
      </c>
      <c r="H1516" s="44" t="s">
        <v>8576</v>
      </c>
      <c r="I1516" s="44" t="s">
        <v>112</v>
      </c>
      <c r="J1516" s="45">
        <v>45641.0</v>
      </c>
      <c r="K1516" s="46"/>
      <c r="L1516" s="46"/>
      <c r="M1516" s="340" t="s">
        <v>8577</v>
      </c>
      <c r="N1516" s="44" t="s">
        <v>8578</v>
      </c>
      <c r="O1516" s="505">
        <v>3.0</v>
      </c>
      <c r="P1516" s="1714" t="s">
        <v>8579</v>
      </c>
      <c r="Q1516" s="49" t="str">
        <f t="array" ref="Q1516"> if(iserror(MATCH(V1516, 'File Links'!C:C, 0)), "N/A", HYPERLINK(INDEX('File Links'!B:B, MATCH(P1516, 'File Links'!C:C, 0))))</f>
        <v>https://drive.google.com/file/d/1xUlRe3MC-gZV8Zhd6NQNLSAYxUKd-bXT/view?usp=drivesdk</v>
      </c>
      <c r="R1516" s="44" t="s">
        <v>8580</v>
      </c>
      <c r="S1516" s="44" t="s">
        <v>8581</v>
      </c>
      <c r="T1516" s="46"/>
      <c r="U1516" s="50">
        <v>3.0</v>
      </c>
      <c r="V1516" s="195" t="str">
        <f t="shared" si="113"/>
        <v>10.17605--osf.io--e9d3k.pdf</v>
      </c>
      <c r="W1516" s="46" t="s">
        <v>120</v>
      </c>
      <c r="X1516" s="51" t="str">
        <f t="array" ref="X1516"> if(iserror(MATCH(V1516, 'File Links'!C:C, 0)), "N/A", HYPERLINK(INDEX('File Links'!B:B, MATCH(V1516, 'File Links'!C:C, 0))))</f>
        <v>https://drive.google.com/file/d/1VipPphabn-Kfe9AzHC0j5FX1Fqp3bd0q/view?usp=drivesdk</v>
      </c>
      <c r="Y1516" s="46"/>
      <c r="Z1516" s="46" t="s">
        <v>219</v>
      </c>
      <c r="AA1516" s="46" t="s">
        <v>8582</v>
      </c>
      <c r="AB1516" s="46" t="s">
        <v>8583</v>
      </c>
      <c r="AC1516" s="46" t="s">
        <v>8610</v>
      </c>
      <c r="AD1516" s="46" t="s">
        <v>8611</v>
      </c>
      <c r="AE1516" s="46" t="s">
        <v>621</v>
      </c>
      <c r="AF1516" s="47">
        <v>298.0</v>
      </c>
      <c r="AG1516" s="47">
        <v>0.08</v>
      </c>
      <c r="AH1516" s="48" t="s">
        <v>132</v>
      </c>
      <c r="AI1516" s="46" t="s">
        <v>621</v>
      </c>
      <c r="AJ1516" s="47">
        <v>0.001</v>
      </c>
      <c r="AK1516" s="43" t="s">
        <v>128</v>
      </c>
      <c r="AL1516" s="46" t="s">
        <v>129</v>
      </c>
      <c r="AM1516" s="46" t="s">
        <v>130</v>
      </c>
      <c r="AN1516" s="46"/>
      <c r="AO1516" s="47">
        <v>743.0</v>
      </c>
      <c r="AP1516" s="47">
        <v>0.08</v>
      </c>
      <c r="AQ1516" s="46" t="s">
        <v>132</v>
      </c>
      <c r="AR1516" s="46" t="s">
        <v>806</v>
      </c>
      <c r="AS1516" s="47">
        <v>0.08</v>
      </c>
      <c r="AT1516" s="43" t="s">
        <v>165</v>
      </c>
      <c r="AU1516" s="43" t="s">
        <v>129</v>
      </c>
      <c r="AV1516" s="43" t="s">
        <v>130</v>
      </c>
      <c r="AW1516" s="56" t="s">
        <v>8586</v>
      </c>
      <c r="AX1516" s="57" t="s">
        <v>136</v>
      </c>
    </row>
    <row r="1517">
      <c r="A1517" s="41">
        <v>1517.0</v>
      </c>
      <c r="B1517" s="42" t="s">
        <v>278</v>
      </c>
      <c r="C1517" s="42" t="s">
        <v>108</v>
      </c>
      <c r="D1517" s="59" t="s">
        <v>138</v>
      </c>
      <c r="F1517" s="528" t="s">
        <v>8574</v>
      </c>
      <c r="G1517" s="44" t="s">
        <v>8612</v>
      </c>
      <c r="H1517" s="44" t="s">
        <v>8576</v>
      </c>
      <c r="I1517" s="44" t="s">
        <v>112</v>
      </c>
      <c r="J1517" s="45">
        <v>45641.0</v>
      </c>
      <c r="K1517" s="46"/>
      <c r="L1517" s="46"/>
      <c r="M1517" s="340" t="s">
        <v>8577</v>
      </c>
      <c r="N1517" s="44" t="s">
        <v>8578</v>
      </c>
      <c r="O1517" s="505">
        <v>3.0</v>
      </c>
      <c r="P1517" s="1714" t="s">
        <v>8579</v>
      </c>
      <c r="Q1517" s="49" t="str">
        <f t="array" ref="Q1517"> if(iserror(MATCH(V1517, 'File Links'!C:C, 0)), "N/A", HYPERLINK(INDEX('File Links'!B:B, MATCH(P1517, 'File Links'!C:C, 0))))</f>
        <v>https://drive.google.com/file/d/1xUlRe3MC-gZV8Zhd6NQNLSAYxUKd-bXT/view?usp=drivesdk</v>
      </c>
      <c r="R1517" s="44" t="s">
        <v>8580</v>
      </c>
      <c r="S1517" s="44" t="s">
        <v>8581</v>
      </c>
      <c r="T1517" s="46"/>
      <c r="U1517" s="50">
        <v>3.0</v>
      </c>
      <c r="V1517" s="195" t="str">
        <f t="shared" si="113"/>
        <v>10.17605--osf.io--e9d3k.pdf</v>
      </c>
      <c r="W1517" s="46" t="s">
        <v>120</v>
      </c>
      <c r="X1517" s="51" t="str">
        <f t="array" ref="X1517"> if(iserror(MATCH(V1517, 'File Links'!C:C, 0)), "N/A", HYPERLINK(INDEX('File Links'!B:B, MATCH(V1517, 'File Links'!C:C, 0))))</f>
        <v>https://drive.google.com/file/d/1VipPphabn-Kfe9AzHC0j5FX1Fqp3bd0q/view?usp=drivesdk</v>
      </c>
      <c r="Y1517" s="46"/>
      <c r="Z1517" s="46" t="s">
        <v>219</v>
      </c>
      <c r="AA1517" s="46" t="s">
        <v>8582</v>
      </c>
      <c r="AB1517" s="46" t="s">
        <v>8583</v>
      </c>
      <c r="AC1517" s="46" t="s">
        <v>8613</v>
      </c>
      <c r="AD1517" s="46" t="s">
        <v>8614</v>
      </c>
      <c r="AE1517" s="46" t="s">
        <v>621</v>
      </c>
      <c r="AF1517" s="47">
        <v>298.0</v>
      </c>
      <c r="AG1517" s="47">
        <v>0.01</v>
      </c>
      <c r="AH1517" s="48" t="s">
        <v>132</v>
      </c>
      <c r="AI1517" s="46" t="s">
        <v>621</v>
      </c>
      <c r="AJ1517" s="47">
        <v>0.568</v>
      </c>
      <c r="AK1517" s="43" t="s">
        <v>165</v>
      </c>
      <c r="AL1517" s="46" t="s">
        <v>129</v>
      </c>
      <c r="AM1517" s="46" t="s">
        <v>130</v>
      </c>
      <c r="AN1517" s="46"/>
      <c r="AO1517" s="47">
        <v>743.0</v>
      </c>
      <c r="AP1517" s="47">
        <v>0.0</v>
      </c>
      <c r="AQ1517" s="46" t="s">
        <v>132</v>
      </c>
      <c r="AR1517" s="46" t="s">
        <v>806</v>
      </c>
      <c r="AS1517" s="47">
        <v>0.77</v>
      </c>
      <c r="AT1517" s="43" t="s">
        <v>165</v>
      </c>
      <c r="AU1517" s="43" t="s">
        <v>129</v>
      </c>
      <c r="AV1517" s="43" t="s">
        <v>130</v>
      </c>
      <c r="AW1517" s="56" t="s">
        <v>8586</v>
      </c>
      <c r="AX1517" s="57" t="s">
        <v>136</v>
      </c>
    </row>
    <row r="1518">
      <c r="A1518" s="41">
        <v>1518.0</v>
      </c>
      <c r="B1518" s="42" t="s">
        <v>278</v>
      </c>
      <c r="C1518" s="42" t="s">
        <v>108</v>
      </c>
      <c r="D1518" s="59" t="s">
        <v>138</v>
      </c>
      <c r="F1518" s="528" t="s">
        <v>8574</v>
      </c>
      <c r="G1518" s="44" t="s">
        <v>8615</v>
      </c>
      <c r="H1518" s="44" t="s">
        <v>8576</v>
      </c>
      <c r="I1518" s="44" t="s">
        <v>112</v>
      </c>
      <c r="J1518" s="45">
        <v>45641.0</v>
      </c>
      <c r="K1518" s="46"/>
      <c r="L1518" s="46"/>
      <c r="M1518" s="340" t="s">
        <v>8577</v>
      </c>
      <c r="N1518" s="44" t="s">
        <v>8578</v>
      </c>
      <c r="O1518" s="505">
        <v>3.0</v>
      </c>
      <c r="P1518" s="1714" t="s">
        <v>8579</v>
      </c>
      <c r="Q1518" s="49" t="str">
        <f t="array" ref="Q1518"> if(iserror(MATCH(V1518, 'File Links'!C:C, 0)), "N/A", HYPERLINK(INDEX('File Links'!B:B, MATCH(P1518, 'File Links'!C:C, 0))))</f>
        <v>https://drive.google.com/file/d/1xUlRe3MC-gZV8Zhd6NQNLSAYxUKd-bXT/view?usp=drivesdk</v>
      </c>
      <c r="R1518" s="44" t="s">
        <v>8580</v>
      </c>
      <c r="S1518" s="44" t="s">
        <v>8581</v>
      </c>
      <c r="T1518" s="46"/>
      <c r="U1518" s="50">
        <v>3.0</v>
      </c>
      <c r="V1518" s="195" t="str">
        <f t="shared" si="113"/>
        <v>10.17605--osf.io--e9d3k.pdf</v>
      </c>
      <c r="W1518" s="46" t="s">
        <v>120</v>
      </c>
      <c r="X1518" s="51" t="str">
        <f t="array" ref="X1518"> if(iserror(MATCH(V1518, 'File Links'!C:C, 0)), "N/A", HYPERLINK(INDEX('File Links'!B:B, MATCH(V1518, 'File Links'!C:C, 0))))</f>
        <v>https://drive.google.com/file/d/1VipPphabn-Kfe9AzHC0j5FX1Fqp3bd0q/view?usp=drivesdk</v>
      </c>
      <c r="Y1518" s="46"/>
      <c r="Z1518" s="46" t="s">
        <v>219</v>
      </c>
      <c r="AA1518" s="46" t="s">
        <v>8582</v>
      </c>
      <c r="AB1518" s="46" t="s">
        <v>8583</v>
      </c>
      <c r="AC1518" s="46" t="s">
        <v>8616</v>
      </c>
      <c r="AD1518" s="46" t="s">
        <v>8617</v>
      </c>
      <c r="AE1518" s="46" t="s">
        <v>8618</v>
      </c>
      <c r="AF1518" s="47">
        <v>298.0</v>
      </c>
      <c r="AG1518" s="47">
        <v>0.11</v>
      </c>
      <c r="AH1518" s="48" t="s">
        <v>132</v>
      </c>
      <c r="AI1518" s="46" t="s">
        <v>621</v>
      </c>
      <c r="AJ1518" s="47">
        <v>0.001</v>
      </c>
      <c r="AK1518" s="43" t="s">
        <v>128</v>
      </c>
      <c r="AL1518" s="46" t="s">
        <v>129</v>
      </c>
      <c r="AM1518" s="46" t="s">
        <v>130</v>
      </c>
      <c r="AN1518" s="46"/>
      <c r="AO1518" s="47">
        <v>743.0</v>
      </c>
      <c r="AP1518" s="47">
        <v>0.04</v>
      </c>
      <c r="AQ1518" s="46" t="s">
        <v>132</v>
      </c>
      <c r="AR1518" s="46" t="s">
        <v>806</v>
      </c>
      <c r="AS1518" s="47">
        <v>0.001</v>
      </c>
      <c r="AT1518" s="43" t="s">
        <v>128</v>
      </c>
      <c r="AU1518" s="43" t="s">
        <v>129</v>
      </c>
      <c r="AV1518" s="43" t="s">
        <v>130</v>
      </c>
      <c r="AW1518" s="56" t="s">
        <v>8586</v>
      </c>
      <c r="AX1518" s="57" t="s">
        <v>136</v>
      </c>
    </row>
    <row r="1519">
      <c r="A1519" s="41">
        <v>1519.0</v>
      </c>
      <c r="B1519" s="42" t="s">
        <v>278</v>
      </c>
      <c r="C1519" s="42" t="s">
        <v>108</v>
      </c>
      <c r="D1519" s="59" t="s">
        <v>138</v>
      </c>
      <c r="F1519" s="528" t="s">
        <v>8574</v>
      </c>
      <c r="G1519" s="44" t="s">
        <v>8619</v>
      </c>
      <c r="H1519" s="44" t="s">
        <v>8576</v>
      </c>
      <c r="I1519" s="44" t="s">
        <v>112</v>
      </c>
      <c r="J1519" s="45">
        <v>45641.0</v>
      </c>
      <c r="K1519" s="46"/>
      <c r="L1519" s="46"/>
      <c r="M1519" s="340" t="s">
        <v>8577</v>
      </c>
      <c r="N1519" s="44" t="s">
        <v>8578</v>
      </c>
      <c r="O1519" s="505">
        <v>3.0</v>
      </c>
      <c r="P1519" s="1714" t="s">
        <v>8579</v>
      </c>
      <c r="Q1519" s="49" t="str">
        <f t="array" ref="Q1519"> if(iserror(MATCH(V1519, 'File Links'!C:C, 0)), "N/A", HYPERLINK(INDEX('File Links'!B:B, MATCH(P1519, 'File Links'!C:C, 0))))</f>
        <v>https://drive.google.com/file/d/1xUlRe3MC-gZV8Zhd6NQNLSAYxUKd-bXT/view?usp=drivesdk</v>
      </c>
      <c r="R1519" s="44" t="s">
        <v>8580</v>
      </c>
      <c r="S1519" s="44" t="s">
        <v>8581</v>
      </c>
      <c r="T1519" s="46"/>
      <c r="U1519" s="50">
        <v>3.0</v>
      </c>
      <c r="V1519" s="195" t="str">
        <f t="shared" si="113"/>
        <v>10.17605--osf.io--e9d3k.pdf</v>
      </c>
      <c r="W1519" s="46" t="s">
        <v>120</v>
      </c>
      <c r="X1519" s="51" t="str">
        <f t="array" ref="X1519"> if(iserror(MATCH(V1519, 'File Links'!C:C, 0)), "N/A", HYPERLINK(INDEX('File Links'!B:B, MATCH(V1519, 'File Links'!C:C, 0))))</f>
        <v>https://drive.google.com/file/d/1VipPphabn-Kfe9AzHC0j5FX1Fqp3bd0q/view?usp=drivesdk</v>
      </c>
      <c r="Y1519" s="46"/>
      <c r="Z1519" s="46" t="s">
        <v>219</v>
      </c>
      <c r="AA1519" s="46" t="s">
        <v>8582</v>
      </c>
      <c r="AB1519" s="46" t="s">
        <v>8583</v>
      </c>
      <c r="AC1519" s="46" t="s">
        <v>8620</v>
      </c>
      <c r="AD1519" s="46" t="s">
        <v>8621</v>
      </c>
      <c r="AE1519" s="46" t="s">
        <v>625</v>
      </c>
      <c r="AF1519" s="47">
        <v>298.0</v>
      </c>
      <c r="AG1519" s="47">
        <v>0.01</v>
      </c>
      <c r="AH1519" s="48" t="s">
        <v>132</v>
      </c>
      <c r="AI1519" s="46" t="s">
        <v>625</v>
      </c>
      <c r="AJ1519" s="47">
        <v>0.613</v>
      </c>
      <c r="AK1519" s="43" t="s">
        <v>165</v>
      </c>
      <c r="AL1519" s="46" t="s">
        <v>129</v>
      </c>
      <c r="AM1519" s="46" t="s">
        <v>130</v>
      </c>
      <c r="AN1519" s="46"/>
      <c r="AO1519" s="47">
        <v>743.0</v>
      </c>
      <c r="AP1519" s="47">
        <v>0.0</v>
      </c>
      <c r="AQ1519" s="46" t="s">
        <v>132</v>
      </c>
      <c r="AR1519" s="46" t="s">
        <v>806</v>
      </c>
      <c r="AS1519" s="47">
        <v>0.32</v>
      </c>
      <c r="AT1519" s="43" t="s">
        <v>165</v>
      </c>
      <c r="AU1519" s="43" t="s">
        <v>129</v>
      </c>
      <c r="AV1519" s="43" t="s">
        <v>130</v>
      </c>
      <c r="AW1519" s="56" t="s">
        <v>8586</v>
      </c>
      <c r="AX1519" s="57" t="s">
        <v>136</v>
      </c>
    </row>
    <row r="1520">
      <c r="A1520" s="41">
        <v>1520.0</v>
      </c>
      <c r="B1520" s="42" t="s">
        <v>278</v>
      </c>
      <c r="C1520" s="42" t="s">
        <v>108</v>
      </c>
      <c r="D1520" s="59" t="s">
        <v>138</v>
      </c>
      <c r="F1520" s="528" t="s">
        <v>8574</v>
      </c>
      <c r="G1520" s="44" t="s">
        <v>8622</v>
      </c>
      <c r="H1520" s="44" t="s">
        <v>8576</v>
      </c>
      <c r="I1520" s="44" t="s">
        <v>112</v>
      </c>
      <c r="J1520" s="45">
        <v>45641.0</v>
      </c>
      <c r="K1520" s="46"/>
      <c r="L1520" s="46"/>
      <c r="M1520" s="340" t="s">
        <v>8577</v>
      </c>
      <c r="N1520" s="44" t="s">
        <v>8578</v>
      </c>
      <c r="O1520" s="505">
        <v>3.0</v>
      </c>
      <c r="P1520" s="1714" t="s">
        <v>8579</v>
      </c>
      <c r="Q1520" s="49" t="str">
        <f t="array" ref="Q1520"> if(iserror(MATCH(V1520, 'File Links'!C:C, 0)), "N/A", HYPERLINK(INDEX('File Links'!B:B, MATCH(P1520, 'File Links'!C:C, 0))))</f>
        <v>https://drive.google.com/file/d/1xUlRe3MC-gZV8Zhd6NQNLSAYxUKd-bXT/view?usp=drivesdk</v>
      </c>
      <c r="R1520" s="44" t="s">
        <v>8580</v>
      </c>
      <c r="S1520" s="44" t="s">
        <v>8581</v>
      </c>
      <c r="T1520" s="46"/>
      <c r="U1520" s="50">
        <v>3.0</v>
      </c>
      <c r="V1520" s="195" t="str">
        <f t="shared" si="113"/>
        <v>10.17605--osf.io--e9d3k.pdf</v>
      </c>
      <c r="W1520" s="46" t="s">
        <v>120</v>
      </c>
      <c r="X1520" s="51" t="str">
        <f t="array" ref="X1520"> if(iserror(MATCH(V1520, 'File Links'!C:C, 0)), "N/A", HYPERLINK(INDEX('File Links'!B:B, MATCH(V1520, 'File Links'!C:C, 0))))</f>
        <v>https://drive.google.com/file/d/1VipPphabn-Kfe9AzHC0j5FX1Fqp3bd0q/view?usp=drivesdk</v>
      </c>
      <c r="Y1520" s="46"/>
      <c r="Z1520" s="46" t="s">
        <v>219</v>
      </c>
      <c r="AA1520" s="46" t="s">
        <v>8582</v>
      </c>
      <c r="AB1520" s="46" t="s">
        <v>8583</v>
      </c>
      <c r="AC1520" s="46" t="s">
        <v>8623</v>
      </c>
      <c r="AD1520" s="46" t="s">
        <v>8624</v>
      </c>
      <c r="AE1520" s="46" t="s">
        <v>625</v>
      </c>
      <c r="AF1520" s="47">
        <v>298.0</v>
      </c>
      <c r="AG1520" s="47">
        <v>0.02</v>
      </c>
      <c r="AH1520" s="48" t="s">
        <v>132</v>
      </c>
      <c r="AI1520" s="46" t="s">
        <v>625</v>
      </c>
      <c r="AJ1520" s="47">
        <v>0.095</v>
      </c>
      <c r="AK1520" s="43" t="s">
        <v>165</v>
      </c>
      <c r="AL1520" s="46" t="s">
        <v>129</v>
      </c>
      <c r="AM1520" s="46" t="s">
        <v>130</v>
      </c>
      <c r="AN1520" s="46"/>
      <c r="AO1520" s="47">
        <v>743.0</v>
      </c>
      <c r="AP1520" s="47">
        <v>0.04</v>
      </c>
      <c r="AQ1520" s="46" t="s">
        <v>132</v>
      </c>
      <c r="AR1520" s="46" t="s">
        <v>133</v>
      </c>
      <c r="AS1520" s="47">
        <v>0.01</v>
      </c>
      <c r="AT1520" s="43" t="s">
        <v>128</v>
      </c>
      <c r="AU1520" s="43" t="s">
        <v>129</v>
      </c>
      <c r="AV1520" s="43" t="s">
        <v>130</v>
      </c>
      <c r="AW1520" s="56" t="s">
        <v>8586</v>
      </c>
      <c r="AX1520" s="57" t="s">
        <v>136</v>
      </c>
    </row>
    <row r="1521">
      <c r="A1521" s="41">
        <v>1521.0</v>
      </c>
      <c r="B1521" s="106" t="s">
        <v>145</v>
      </c>
      <c r="C1521" s="106" t="s">
        <v>108</v>
      </c>
      <c r="D1521" s="106" t="s">
        <v>146</v>
      </c>
      <c r="E1521" s="107"/>
      <c r="F1521" s="108" t="s">
        <v>8625</v>
      </c>
      <c r="G1521" s="109" t="s">
        <v>8626</v>
      </c>
      <c r="H1521" s="109" t="s">
        <v>146</v>
      </c>
      <c r="I1521" s="114" t="s">
        <v>112</v>
      </c>
      <c r="J1521" s="110">
        <v>45638.0</v>
      </c>
      <c r="K1521" s="207" t="s">
        <v>8627</v>
      </c>
      <c r="L1521" s="144" t="s">
        <v>8628</v>
      </c>
      <c r="M1521" s="113" t="s">
        <v>8629</v>
      </c>
      <c r="N1521" s="109" t="s">
        <v>8630</v>
      </c>
      <c r="O1521" s="1715" t="s">
        <v>3573</v>
      </c>
      <c r="P1521" s="532" t="s">
        <v>8631</v>
      </c>
      <c r="Q1521" s="49" t="str">
        <f t="array" ref="Q1521"> if(iserror(MATCH(V1521, 'File Links'!C:C, 0)), "N/A", HYPERLINK(INDEX('File Links'!B:B, MATCH(P1521, 'File Links'!C:C, 0))))</f>
        <v>https://drive.google.com/file/d/1-8o-L3-LBDg-R5swBEF53YfzOD1dWuZJ/view?usp=drivesdk</v>
      </c>
      <c r="R1521" s="415" t="s">
        <v>8632</v>
      </c>
      <c r="S1521" s="415" t="s">
        <v>8633</v>
      </c>
      <c r="T1521" s="111"/>
      <c r="U1521" s="1716">
        <v>1.0</v>
      </c>
      <c r="V1521" s="195" t="str">
        <f t="shared" si="113"/>
        <v>10.17605--osf.io--fmd75.pdf</v>
      </c>
      <c r="W1521" s="109" t="s">
        <v>157</v>
      </c>
      <c r="X1521" s="51" t="str">
        <f t="array" ref="X1521"> if(iserror(MATCH(V1521, 'File Links'!C:C, 0)), "N/A", HYPERLINK(INDEX('File Links'!B:B, MATCH(V1521, 'File Links'!C:C, 0))))</f>
        <v>https://drive.google.com/file/d/1ricWbnnQ27T1O2HoAIXHZb1YA8sK8_s2/view?usp=drivesdk</v>
      </c>
      <c r="Y1521" s="111"/>
      <c r="Z1521" s="109" t="s">
        <v>219</v>
      </c>
      <c r="AA1521" s="207" t="s">
        <v>8634</v>
      </c>
      <c r="AB1521" s="207" t="s">
        <v>8635</v>
      </c>
      <c r="AC1521" s="109" t="s">
        <v>8636</v>
      </c>
      <c r="AD1521" s="109" t="s">
        <v>8637</v>
      </c>
      <c r="AE1521" s="456">
        <v>7.0</v>
      </c>
      <c r="AF1521" s="114">
        <v>81.0</v>
      </c>
      <c r="AG1521" s="1717">
        <v>-0.49</v>
      </c>
      <c r="AH1521" s="118" t="s">
        <v>166</v>
      </c>
      <c r="AI1521" s="114">
        <v>7.0</v>
      </c>
      <c r="AJ1521" s="114">
        <v>0.05</v>
      </c>
      <c r="AK1521" s="119" t="s">
        <v>128</v>
      </c>
      <c r="AL1521" s="113" t="s">
        <v>179</v>
      </c>
      <c r="AM1521" s="111" t="s">
        <v>130</v>
      </c>
      <c r="AN1521" s="144" t="s">
        <v>131</v>
      </c>
      <c r="AO1521" s="114">
        <v>300.0</v>
      </c>
      <c r="AP1521" s="1718">
        <v>-0.017</v>
      </c>
      <c r="AQ1521" s="814" t="s">
        <v>208</v>
      </c>
      <c r="AR1521" s="109" t="s">
        <v>1166</v>
      </c>
      <c r="AS1521" s="114">
        <v>0.383</v>
      </c>
      <c r="AT1521" s="119" t="s">
        <v>165</v>
      </c>
      <c r="AU1521" s="119" t="s">
        <v>129</v>
      </c>
      <c r="AV1521" s="108" t="s">
        <v>130</v>
      </c>
      <c r="AW1521" s="653" t="s">
        <v>8638</v>
      </c>
      <c r="AX1521" s="835" t="s">
        <v>144</v>
      </c>
      <c r="AY1521" s="69"/>
      <c r="AZ1521" s="146" t="s">
        <v>137</v>
      </c>
    </row>
    <row r="1522">
      <c r="A1522" s="41">
        <v>1522.0</v>
      </c>
      <c r="B1522" s="106" t="s">
        <v>107</v>
      </c>
      <c r="C1522" s="146" t="s">
        <v>108</v>
      </c>
      <c r="D1522" s="146" t="s">
        <v>169</v>
      </c>
      <c r="E1522" s="69"/>
      <c r="F1522" s="108" t="s">
        <v>8625</v>
      </c>
      <c r="G1522" s="109" t="s">
        <v>8626</v>
      </c>
      <c r="H1522" s="119" t="s">
        <v>169</v>
      </c>
      <c r="I1522" s="583">
        <v>45637.0</v>
      </c>
      <c r="J1522" s="108"/>
      <c r="K1522" s="119" t="s">
        <v>8639</v>
      </c>
      <c r="L1522" s="108"/>
      <c r="M1522" s="113" t="s">
        <v>8629</v>
      </c>
      <c r="N1522" s="119" t="s">
        <v>8630</v>
      </c>
      <c r="O1522" s="119" t="s">
        <v>3573</v>
      </c>
      <c r="P1522" s="533" t="s">
        <v>8631</v>
      </c>
      <c r="Q1522" s="49" t="str">
        <f t="array" ref="Q1522"> if(iserror(MATCH(V1522, 'File Links'!C:C, 0)), "N/A", HYPERLINK(INDEX('File Links'!B:B, MATCH(P1522, 'File Links'!C:C, 0))))</f>
        <v>https://drive.google.com/file/d/1-8o-L3-LBDg-R5swBEF53YfzOD1dWuZJ/view?usp=drivesdk</v>
      </c>
      <c r="R1522" s="119" t="s">
        <v>8640</v>
      </c>
      <c r="S1522" s="119" t="s">
        <v>8633</v>
      </c>
      <c r="T1522" s="108"/>
      <c r="U1522" s="534">
        <v>1.0</v>
      </c>
      <c r="V1522" s="195" t="str">
        <f t="shared" si="113"/>
        <v>10.17605--osf.io--fmd75.pdf</v>
      </c>
      <c r="W1522" s="119" t="s">
        <v>157</v>
      </c>
      <c r="X1522" s="51" t="str">
        <f t="array" ref="X1522"> if(iserror(MATCH(V1522, 'File Links'!C:C, 0)), "N/A", HYPERLINK(INDEX('File Links'!B:B, MATCH(V1522, 'File Links'!C:C, 0))))</f>
        <v>https://drive.google.com/file/d/1ricWbnnQ27T1O2HoAIXHZb1YA8sK8_s2/view?usp=drivesdk</v>
      </c>
      <c r="Y1522" s="108"/>
      <c r="Z1522" s="119" t="s">
        <v>141</v>
      </c>
      <c r="AA1522" s="119" t="s">
        <v>8641</v>
      </c>
      <c r="AB1522" s="119" t="s">
        <v>8642</v>
      </c>
      <c r="AC1522" s="119" t="s">
        <v>8643</v>
      </c>
      <c r="AD1522" s="119" t="s">
        <v>8644</v>
      </c>
      <c r="AE1522" s="119" t="s">
        <v>125</v>
      </c>
      <c r="AF1522" s="534">
        <v>81.0</v>
      </c>
      <c r="AG1522" s="119" t="s">
        <v>8645</v>
      </c>
      <c r="AH1522" s="118" t="s">
        <v>166</v>
      </c>
      <c r="AI1522" s="109" t="s">
        <v>4966</v>
      </c>
      <c r="AJ1522" s="109" t="s">
        <v>8646</v>
      </c>
      <c r="AK1522" s="119" t="s">
        <v>128</v>
      </c>
      <c r="AL1522" s="109" t="s">
        <v>179</v>
      </c>
      <c r="AM1522" s="108" t="s">
        <v>130</v>
      </c>
      <c r="AN1522" s="108"/>
      <c r="AO1522" s="534">
        <v>300.0</v>
      </c>
      <c r="AP1522" s="1100" t="s">
        <v>8647</v>
      </c>
      <c r="AQ1522" s="119" t="s">
        <v>208</v>
      </c>
      <c r="AR1522" s="119" t="s">
        <v>175</v>
      </c>
      <c r="AS1522" s="119" t="s">
        <v>8648</v>
      </c>
      <c r="AT1522" s="119" t="s">
        <v>165</v>
      </c>
      <c r="AU1522" s="119" t="s">
        <v>211</v>
      </c>
      <c r="AV1522" s="108" t="s">
        <v>130</v>
      </c>
      <c r="AW1522" s="653" t="s">
        <v>8649</v>
      </c>
      <c r="AX1522" s="835" t="s">
        <v>136</v>
      </c>
      <c r="AY1522" s="69"/>
      <c r="AZ1522" s="146" t="s">
        <v>137</v>
      </c>
    </row>
    <row r="1523">
      <c r="A1523" s="41">
        <v>1523.0</v>
      </c>
      <c r="B1523" s="319" t="s">
        <v>145</v>
      </c>
      <c r="C1523" s="319" t="s">
        <v>108</v>
      </c>
      <c r="D1523" s="322" t="s">
        <v>1434</v>
      </c>
      <c r="E1523" s="223"/>
      <c r="F1523" s="328" t="s">
        <v>8650</v>
      </c>
      <c r="G1523" s="409" t="s">
        <v>8651</v>
      </c>
      <c r="H1523" s="409" t="s">
        <v>8652</v>
      </c>
      <c r="I1523" s="1719">
        <v>45639.0</v>
      </c>
      <c r="J1523" s="1720">
        <v>45684.0</v>
      </c>
      <c r="K1523" s="387"/>
      <c r="L1523" s="387"/>
      <c r="M1523" s="409" t="s">
        <v>8653</v>
      </c>
      <c r="N1523" s="409" t="s">
        <v>8654</v>
      </c>
      <c r="O1523" s="327">
        <v>1.0</v>
      </c>
      <c r="P1523" s="1639" t="s">
        <v>8655</v>
      </c>
      <c r="Q1523" s="49" t="str">
        <f t="array" ref="Q1523"> if(iserror(MATCH(V1523, 'File Links'!C:C, 0)), "N/A", HYPERLINK(INDEX('File Links'!B:B, MATCH(P1523, 'File Links'!C:C, 0))))</f>
        <v>https://drive.google.com/file/d/1y_lQGjVlo6Fl18TxXjJCuEtRwnUYubwf/view?usp=drivesdk</v>
      </c>
      <c r="R1523" s="409" t="s">
        <v>8656</v>
      </c>
      <c r="S1523" s="321" t="s">
        <v>201</v>
      </c>
      <c r="T1523" s="387"/>
      <c r="U1523" s="332">
        <v>2.0</v>
      </c>
      <c r="V1523" s="195" t="str">
        <f t="shared" si="113"/>
        <v>10.1016--j.jesp.2020.104066.pdf</v>
      </c>
      <c r="W1523" s="1641" t="s">
        <v>313</v>
      </c>
      <c r="X1523" s="51" t="str">
        <f t="array" ref="X1523"> if(iserror(MATCH(V1523, 'File Links'!C:C, 0)), "N/A", HYPERLINK(INDEX('File Links'!B:B, MATCH(V1523, 'File Links'!C:C, 0))))</f>
        <v>https://drive.google.com/file/d/1Q7xa-u3DEssueb6fBYD39BjDPub6xcHR/view?usp=drivesdk</v>
      </c>
      <c r="Y1523" s="387"/>
      <c r="Z1523" s="409" t="s">
        <v>8657</v>
      </c>
      <c r="AA1523" s="409" t="s">
        <v>8658</v>
      </c>
      <c r="AB1523" s="409" t="s">
        <v>8659</v>
      </c>
      <c r="AC1523" s="1721" t="s">
        <v>8660</v>
      </c>
      <c r="AD1523" s="409" t="s">
        <v>8661</v>
      </c>
      <c r="AE1523" s="391">
        <v>5.0</v>
      </c>
      <c r="AF1523" s="391">
        <v>62.0</v>
      </c>
      <c r="AG1523" s="409" t="s">
        <v>8662</v>
      </c>
      <c r="AH1523" s="659" t="s">
        <v>127</v>
      </c>
      <c r="AI1523" s="327" t="s">
        <v>806</v>
      </c>
      <c r="AJ1523" s="391">
        <v>0.01</v>
      </c>
      <c r="AK1523" s="328" t="s">
        <v>128</v>
      </c>
      <c r="AL1523" s="387" t="s">
        <v>179</v>
      </c>
      <c r="AM1523" s="387" t="s">
        <v>134</v>
      </c>
      <c r="AN1523" s="1641" t="s">
        <v>131</v>
      </c>
      <c r="AO1523" s="391">
        <v>170.0</v>
      </c>
      <c r="AP1523" s="391">
        <v>0.019</v>
      </c>
      <c r="AQ1523" s="327" t="s">
        <v>8663</v>
      </c>
      <c r="AR1523" s="572" t="s">
        <v>875</v>
      </c>
      <c r="AS1523" s="391">
        <v>0.81</v>
      </c>
      <c r="AT1523" s="328" t="s">
        <v>165</v>
      </c>
      <c r="AU1523" s="328" t="s">
        <v>179</v>
      </c>
      <c r="AV1523" s="328" t="s">
        <v>134</v>
      </c>
      <c r="AW1523" s="1037" t="s">
        <v>8664</v>
      </c>
      <c r="AX1523" s="408" t="s">
        <v>136</v>
      </c>
      <c r="AY1523" s="223"/>
      <c r="AZ1523" s="322" t="s">
        <v>137</v>
      </c>
    </row>
    <row r="1524">
      <c r="A1524" s="41">
        <v>1524.0</v>
      </c>
      <c r="B1524" s="1433" t="s">
        <v>107</v>
      </c>
      <c r="C1524" s="1432" t="s">
        <v>108</v>
      </c>
      <c r="D1524" s="1432" t="s">
        <v>1803</v>
      </c>
      <c r="E1524" s="809"/>
      <c r="F1524" s="1640" t="s">
        <v>8650</v>
      </c>
      <c r="G1524" s="1641" t="s">
        <v>8651</v>
      </c>
      <c r="H1524" s="1641" t="s">
        <v>8665</v>
      </c>
      <c r="I1524" s="1722">
        <v>45642.0</v>
      </c>
      <c r="J1524" s="1723">
        <v>45684.0</v>
      </c>
      <c r="K1524" s="1641" t="s">
        <v>8666</v>
      </c>
      <c r="L1524" s="1724"/>
      <c r="M1524" s="1641" t="s">
        <v>8653</v>
      </c>
      <c r="N1524" s="1641" t="s">
        <v>8654</v>
      </c>
      <c r="O1524" s="1724"/>
      <c r="P1524" s="1725" t="s">
        <v>8655</v>
      </c>
      <c r="Q1524" s="49" t="str">
        <f t="array" ref="Q1524"> if(iserror(MATCH(V1524, 'File Links'!C:C, 0)), "N/A", HYPERLINK(INDEX('File Links'!B:B, MATCH(P1524, 'File Links'!C:C, 0))))</f>
        <v>https://drive.google.com/file/d/1y_lQGjVlo6Fl18TxXjJCuEtRwnUYubwf/view?usp=drivesdk</v>
      </c>
      <c r="R1524" s="1641" t="s">
        <v>8656</v>
      </c>
      <c r="S1524" s="321" t="s">
        <v>201</v>
      </c>
      <c r="T1524" s="1724"/>
      <c r="U1524" s="1726">
        <v>2.0</v>
      </c>
      <c r="V1524" s="195" t="str">
        <f t="shared" si="113"/>
        <v>10.1016--j.jesp.2020.104066.pdf</v>
      </c>
      <c r="W1524" s="1641" t="s">
        <v>313</v>
      </c>
      <c r="X1524" s="51" t="str">
        <f t="array" ref="X1524"> if(iserror(MATCH(V1524, 'File Links'!C:C, 0)), "N/A", HYPERLINK(INDEX('File Links'!B:B, MATCH(V1524, 'File Links'!C:C, 0))))</f>
        <v>https://drive.google.com/file/d/1Q7xa-u3DEssueb6fBYD39BjDPub6xcHR/view?usp=drivesdk</v>
      </c>
      <c r="Y1524" s="1724"/>
      <c r="Z1524" s="1727" t="s">
        <v>8657</v>
      </c>
      <c r="AA1524" s="1641" t="s">
        <v>204</v>
      </c>
      <c r="AB1524" s="1727" t="s">
        <v>8659</v>
      </c>
      <c r="AC1524" s="1641" t="s">
        <v>8660</v>
      </c>
      <c r="AD1524" s="1641" t="s">
        <v>8667</v>
      </c>
      <c r="AF1524" s="1728">
        <v>62.0</v>
      </c>
      <c r="AG1524" s="1729" t="s">
        <v>8668</v>
      </c>
      <c r="AH1524" s="116" t="s">
        <v>127</v>
      </c>
      <c r="AI1524" s="1641" t="s">
        <v>8669</v>
      </c>
      <c r="AJ1524" s="1728">
        <v>0.01</v>
      </c>
      <c r="AK1524" s="1640" t="s">
        <v>128</v>
      </c>
      <c r="AL1524" s="1730" t="s">
        <v>131</v>
      </c>
      <c r="AM1524" s="1730" t="s">
        <v>131</v>
      </c>
      <c r="AN1524" s="1641" t="s">
        <v>131</v>
      </c>
      <c r="AO1524" s="1731">
        <v>175.0</v>
      </c>
      <c r="AP1524" s="1728">
        <v>0.11</v>
      </c>
      <c r="AQ1524" s="327" t="s">
        <v>8663</v>
      </c>
      <c r="AR1524" s="1732" t="s">
        <v>8670</v>
      </c>
      <c r="AS1524" s="1733">
        <v>0.743</v>
      </c>
      <c r="AT1524" s="1734" t="s">
        <v>165</v>
      </c>
      <c r="AU1524" s="1735" t="s">
        <v>131</v>
      </c>
      <c r="AV1524" s="1735" t="s">
        <v>131</v>
      </c>
      <c r="AW1524" s="1734" t="s">
        <v>8664</v>
      </c>
      <c r="AX1524" s="1734" t="s">
        <v>136</v>
      </c>
      <c r="AY1524" s="809"/>
      <c r="AZ1524" s="322" t="s">
        <v>137</v>
      </c>
    </row>
    <row r="1525">
      <c r="A1525" s="41">
        <v>1525.0</v>
      </c>
      <c r="B1525" s="319" t="s">
        <v>145</v>
      </c>
      <c r="C1525" s="319" t="s">
        <v>108</v>
      </c>
      <c r="D1525" s="322" t="s">
        <v>1434</v>
      </c>
      <c r="E1525" s="223"/>
      <c r="F1525" s="1640" t="s">
        <v>8650</v>
      </c>
      <c r="G1525" s="409" t="s">
        <v>8671</v>
      </c>
      <c r="H1525" s="409" t="s">
        <v>8652</v>
      </c>
      <c r="I1525" s="1719">
        <v>45639.0</v>
      </c>
      <c r="J1525" s="1720">
        <v>45684.0</v>
      </c>
      <c r="K1525" s="387"/>
      <c r="L1525" s="387"/>
      <c r="M1525" s="409" t="s">
        <v>8653</v>
      </c>
      <c r="N1525" s="409" t="s">
        <v>8654</v>
      </c>
      <c r="O1525" s="327">
        <v>1.0</v>
      </c>
      <c r="P1525" s="1639" t="s">
        <v>8655</v>
      </c>
      <c r="Q1525" s="49" t="str">
        <f t="array" ref="Q1525"> if(iserror(MATCH(V1525, 'File Links'!C:C, 0)), "N/A", HYPERLINK(INDEX('File Links'!B:B, MATCH(P1525, 'File Links'!C:C, 0))))</f>
        <v>https://drive.google.com/file/d/1y_lQGjVlo6Fl18TxXjJCuEtRwnUYubwf/view?usp=drivesdk</v>
      </c>
      <c r="R1525" s="409" t="s">
        <v>8656</v>
      </c>
      <c r="S1525" s="321" t="s">
        <v>201</v>
      </c>
      <c r="T1525" s="387"/>
      <c r="U1525" s="332">
        <v>2.0</v>
      </c>
      <c r="V1525" s="195" t="str">
        <f t="shared" si="113"/>
        <v>10.1016--j.jesp.2020.104066.pdf</v>
      </c>
      <c r="W1525" s="1641" t="s">
        <v>313</v>
      </c>
      <c r="X1525" s="51" t="str">
        <f t="array" ref="X1525"> if(iserror(MATCH(V1525, 'File Links'!C:C, 0)), "N/A", HYPERLINK(INDEX('File Links'!B:B, MATCH(V1525, 'File Links'!C:C, 0))))</f>
        <v>https://drive.google.com/file/d/1Q7xa-u3DEssueb6fBYD39BjDPub6xcHR/view?usp=drivesdk</v>
      </c>
      <c r="Y1525" s="387"/>
      <c r="Z1525" s="409" t="s">
        <v>8657</v>
      </c>
      <c r="AA1525" s="409" t="s">
        <v>8658</v>
      </c>
      <c r="AB1525" s="409" t="s">
        <v>8659</v>
      </c>
      <c r="AC1525" s="1721" t="s">
        <v>8660</v>
      </c>
      <c r="AD1525" s="409" t="s">
        <v>8672</v>
      </c>
      <c r="AE1525" s="391">
        <v>6.0</v>
      </c>
      <c r="AF1525" s="391">
        <v>62.0</v>
      </c>
      <c r="AG1525" s="321" t="s">
        <v>8673</v>
      </c>
      <c r="AH1525" s="659" t="s">
        <v>127</v>
      </c>
      <c r="AI1525" s="327" t="s">
        <v>806</v>
      </c>
      <c r="AJ1525" s="321" t="s">
        <v>131</v>
      </c>
      <c r="AK1525" s="321" t="s">
        <v>131</v>
      </c>
      <c r="AL1525" s="387" t="s">
        <v>179</v>
      </c>
      <c r="AM1525" s="387" t="s">
        <v>134</v>
      </c>
      <c r="AN1525" s="1641" t="s">
        <v>131</v>
      </c>
      <c r="AO1525" s="391">
        <v>170.0</v>
      </c>
      <c r="AP1525" s="391">
        <v>0.079</v>
      </c>
      <c r="AQ1525" s="327" t="s">
        <v>8663</v>
      </c>
      <c r="AR1525" s="572" t="s">
        <v>875</v>
      </c>
      <c r="AS1525" s="391">
        <v>0.31</v>
      </c>
      <c r="AT1525" s="328" t="s">
        <v>165</v>
      </c>
      <c r="AU1525" s="328" t="s">
        <v>179</v>
      </c>
      <c r="AV1525" s="328" t="s">
        <v>134</v>
      </c>
      <c r="AW1525" s="1037" t="s">
        <v>8664</v>
      </c>
      <c r="AX1525" s="408" t="s">
        <v>136</v>
      </c>
      <c r="AY1525" s="223"/>
      <c r="AZ1525" s="322" t="s">
        <v>137</v>
      </c>
    </row>
    <row r="1526">
      <c r="A1526" s="41">
        <v>1526.0</v>
      </c>
      <c r="B1526" s="319" t="s">
        <v>145</v>
      </c>
      <c r="C1526" s="319" t="s">
        <v>108</v>
      </c>
      <c r="D1526" s="322" t="s">
        <v>1434</v>
      </c>
      <c r="E1526" s="223"/>
      <c r="F1526" s="1640" t="s">
        <v>8650</v>
      </c>
      <c r="G1526" s="409" t="s">
        <v>8674</v>
      </c>
      <c r="H1526" s="409" t="s">
        <v>8652</v>
      </c>
      <c r="I1526" s="1719">
        <v>45639.0</v>
      </c>
      <c r="J1526" s="1720">
        <v>45684.0</v>
      </c>
      <c r="K1526" s="387"/>
      <c r="L1526" s="387"/>
      <c r="M1526" s="409" t="s">
        <v>8653</v>
      </c>
      <c r="N1526" s="409" t="s">
        <v>8654</v>
      </c>
      <c r="O1526" s="327">
        <v>1.0</v>
      </c>
      <c r="P1526" s="1639" t="s">
        <v>8655</v>
      </c>
      <c r="Q1526" s="49" t="str">
        <f t="array" ref="Q1526"> if(iserror(MATCH(V1526, 'File Links'!C:C, 0)), "N/A", HYPERLINK(INDEX('File Links'!B:B, MATCH(P1526, 'File Links'!C:C, 0))))</f>
        <v>https://drive.google.com/file/d/1y_lQGjVlo6Fl18TxXjJCuEtRwnUYubwf/view?usp=drivesdk</v>
      </c>
      <c r="R1526" s="409" t="s">
        <v>8656</v>
      </c>
      <c r="S1526" s="321" t="s">
        <v>201</v>
      </c>
      <c r="T1526" s="387"/>
      <c r="U1526" s="332">
        <v>2.0</v>
      </c>
      <c r="V1526" s="195" t="str">
        <f t="shared" si="113"/>
        <v>10.1016--j.jesp.2020.104066.pdf</v>
      </c>
      <c r="W1526" s="1641" t="s">
        <v>313</v>
      </c>
      <c r="X1526" s="51" t="str">
        <f t="array" ref="X1526"> if(iserror(MATCH(V1526, 'File Links'!C:C, 0)), "N/A", HYPERLINK(INDEX('File Links'!B:B, MATCH(V1526, 'File Links'!C:C, 0))))</f>
        <v>https://drive.google.com/file/d/1Q7xa-u3DEssueb6fBYD39BjDPub6xcHR/view?usp=drivesdk</v>
      </c>
      <c r="Y1526" s="387"/>
      <c r="Z1526" s="409" t="s">
        <v>8657</v>
      </c>
      <c r="AA1526" s="409" t="s">
        <v>8658</v>
      </c>
      <c r="AB1526" s="409" t="s">
        <v>8659</v>
      </c>
      <c r="AC1526" s="1721" t="s">
        <v>8660</v>
      </c>
      <c r="AD1526" s="409" t="s">
        <v>8675</v>
      </c>
      <c r="AE1526" s="391">
        <v>5.0</v>
      </c>
      <c r="AF1526" s="391">
        <v>62.0</v>
      </c>
      <c r="AG1526" s="409" t="s">
        <v>8676</v>
      </c>
      <c r="AH1526" s="659" t="s">
        <v>127</v>
      </c>
      <c r="AI1526" s="327" t="s">
        <v>806</v>
      </c>
      <c r="AJ1526" s="391">
        <v>0.05</v>
      </c>
      <c r="AK1526" s="328" t="s">
        <v>128</v>
      </c>
      <c r="AL1526" s="387" t="s">
        <v>179</v>
      </c>
      <c r="AM1526" s="387" t="s">
        <v>134</v>
      </c>
      <c r="AN1526" s="1641" t="s">
        <v>131</v>
      </c>
      <c r="AO1526" s="391">
        <v>170.0</v>
      </c>
      <c r="AP1526" s="391">
        <v>0.025</v>
      </c>
      <c r="AQ1526" s="327" t="s">
        <v>8663</v>
      </c>
      <c r="AR1526" s="572" t="s">
        <v>875</v>
      </c>
      <c r="AS1526" s="391">
        <v>0.743</v>
      </c>
      <c r="AT1526" s="328" t="s">
        <v>165</v>
      </c>
      <c r="AU1526" s="328" t="s">
        <v>179</v>
      </c>
      <c r="AV1526" s="328" t="s">
        <v>134</v>
      </c>
      <c r="AW1526" s="1037" t="s">
        <v>8664</v>
      </c>
      <c r="AX1526" s="408" t="s">
        <v>136</v>
      </c>
      <c r="AY1526" s="223"/>
      <c r="AZ1526" s="322" t="s">
        <v>137</v>
      </c>
    </row>
    <row r="1527">
      <c r="A1527" s="41">
        <v>1527.0</v>
      </c>
      <c r="B1527" s="185" t="s">
        <v>145</v>
      </c>
      <c r="C1527" s="185" t="s">
        <v>108</v>
      </c>
      <c r="D1527" s="185" t="s">
        <v>1451</v>
      </c>
      <c r="E1527" s="186"/>
      <c r="F1527" s="187" t="s">
        <v>8677</v>
      </c>
      <c r="G1527" s="190" t="s">
        <v>8677</v>
      </c>
      <c r="H1527" s="195" t="s">
        <v>1511</v>
      </c>
      <c r="I1527" s="188">
        <v>45668.0</v>
      </c>
      <c r="J1527" s="1736">
        <v>45677.0</v>
      </c>
      <c r="K1527" s="990" t="s">
        <v>8678</v>
      </c>
      <c r="L1527" s="187"/>
      <c r="M1527" s="874" t="s">
        <v>8679</v>
      </c>
      <c r="N1527" s="1737" t="s">
        <v>8680</v>
      </c>
      <c r="O1527" s="755">
        <v>5.0</v>
      </c>
      <c r="P1527" s="974" t="str">
        <f> SUBSTITUTE(lower(N1527), "/", "--") &amp;  ".pdf"</f>
        <v>10.1073--pnas.1519401113.pdf</v>
      </c>
      <c r="Q1527" s="49" t="str">
        <f t="array" ref="Q1527"> if(iserror(MATCH(V1527, 'File Links'!C:C, 0)), "N/A", HYPERLINK(INDEX('File Links'!B:B, MATCH(P1527, 'File Links'!C:C, 0))))</f>
        <v>https://drive.google.com/file/d/105cRk7vC72JK1EA9WyGiYPQkLW7C53Ad/view?usp=drivesdk</v>
      </c>
      <c r="R1527" s="192" t="s">
        <v>8681</v>
      </c>
      <c r="S1527" s="371" t="s">
        <v>8682</v>
      </c>
      <c r="T1527" s="874" t="s">
        <v>8683</v>
      </c>
      <c r="U1527" s="755">
        <v>1.0</v>
      </c>
      <c r="V1527" s="195" t="str">
        <f t="shared" si="113"/>
        <v>10.1038--s41562-024-02062-9.pdf</v>
      </c>
      <c r="W1527" s="195" t="s">
        <v>8684</v>
      </c>
      <c r="X1527" s="51" t="str">
        <f t="array" ref="X1527"> if(iserror(MATCH(V1527, 'File Links'!C:C, 0)), "N/A", HYPERLINK(INDEX('File Links'!B:B, MATCH(V1527, 'File Links'!C:C, 0))))</f>
        <v>https://drive.google.com/file/d/1w8pcOEpgkXG4574TMp8vmQlQVMYXLL8c/view?usp=drivesdk</v>
      </c>
      <c r="Z1527" s="195" t="s">
        <v>219</v>
      </c>
      <c r="AA1527" s="195" t="s">
        <v>8685</v>
      </c>
      <c r="AB1527" s="195" t="s">
        <v>8686</v>
      </c>
      <c r="AC1527" s="195" t="s">
        <v>8687</v>
      </c>
      <c r="AD1527" s="195" t="s">
        <v>8688</v>
      </c>
      <c r="AE1527" s="755">
        <v>3.0</v>
      </c>
      <c r="AF1527" s="755">
        <v>96.0</v>
      </c>
      <c r="AG1527" s="747">
        <v>0.951</v>
      </c>
      <c r="AH1527" s="195" t="s">
        <v>166</v>
      </c>
      <c r="AI1527" s="539"/>
      <c r="AJ1527" s="191" t="s">
        <v>8689</v>
      </c>
      <c r="AK1527" s="55" t="s">
        <v>128</v>
      </c>
      <c r="AL1527" s="55" t="s">
        <v>179</v>
      </c>
      <c r="AM1527" s="187" t="s">
        <v>130</v>
      </c>
      <c r="AN1527" s="371" t="s">
        <v>131</v>
      </c>
      <c r="AO1527" s="755">
        <v>112.0</v>
      </c>
      <c r="AP1527" s="755">
        <v>0.621</v>
      </c>
      <c r="AQ1527" s="195" t="s">
        <v>166</v>
      </c>
      <c r="AR1527" s="195" t="s">
        <v>500</v>
      </c>
      <c r="AS1527" s="755">
        <v>0.001</v>
      </c>
      <c r="AT1527" s="195" t="s">
        <v>165</v>
      </c>
      <c r="AU1527" s="195" t="s">
        <v>129</v>
      </c>
      <c r="AV1527" s="187" t="s">
        <v>130</v>
      </c>
      <c r="AW1527" s="874" t="s">
        <v>8690</v>
      </c>
      <c r="AX1527" s="187" t="s">
        <v>144</v>
      </c>
      <c r="AY1527" s="186"/>
      <c r="AZ1527" s="185" t="s">
        <v>137</v>
      </c>
    </row>
    <row r="1528">
      <c r="A1528" s="41">
        <v>1528.0</v>
      </c>
      <c r="B1528" s="59" t="s">
        <v>107</v>
      </c>
      <c r="C1528" s="59" t="s">
        <v>108</v>
      </c>
      <c r="D1528" s="59" t="s">
        <v>1434</v>
      </c>
      <c r="F1528" s="65" t="s">
        <v>8677</v>
      </c>
      <c r="G1528" s="58" t="s">
        <v>8677</v>
      </c>
      <c r="H1528" s="156" t="s">
        <v>1437</v>
      </c>
      <c r="I1528" s="65"/>
      <c r="J1528" s="1736">
        <v>45677.0</v>
      </c>
      <c r="K1528" s="156" t="s">
        <v>8691</v>
      </c>
      <c r="L1528" s="65"/>
      <c r="M1528" s="432" t="s">
        <v>8692</v>
      </c>
      <c r="N1528" s="1738" t="s">
        <v>8693</v>
      </c>
      <c r="O1528" s="153">
        <v>5.0</v>
      </c>
      <c r="P1528" s="1573" t="str">
        <f>SUBSTITUTE(LOWER(N1528), "/", "--") &amp;  ".pdf"</f>
        <v>10.1073--pnas.1519401113.pdf</v>
      </c>
      <c r="Q1528" s="49" t="str">
        <f t="array" ref="Q1528"> if(iserror(MATCH(V1528, 'File Links'!C:C, 0)), "N/A", HYPERLINK(INDEX('File Links'!B:B, MATCH(P1528, 'File Links'!C:C, 0))))</f>
        <v>https://drive.google.com/file/d/105cRk7vC72JK1EA9WyGiYPQkLW7C53Ad/view?usp=drivesdk</v>
      </c>
      <c r="R1528" s="65" t="s">
        <v>8694</v>
      </c>
      <c r="S1528" s="126" t="s">
        <v>8682</v>
      </c>
      <c r="T1528" s="432" t="s">
        <v>8683</v>
      </c>
      <c r="U1528" s="65"/>
      <c r="V1528" s="195" t="str">
        <f t="shared" si="113"/>
        <v>10.1038--s41562-024-02062-9.pdf</v>
      </c>
      <c r="W1528" s="156" t="s">
        <v>8695</v>
      </c>
      <c r="X1528" s="51" t="str">
        <f t="array" ref="X1528"> if(iserror(MATCH(V1528, 'File Links'!C:C, 0)), "N/A", HYPERLINK(INDEX('File Links'!B:B, MATCH(V1528, 'File Links'!C:C, 0))))</f>
        <v>https://drive.google.com/file/d/1w8pcOEpgkXG4574TMp8vmQlQVMYXLL8c/view?usp=drivesdk</v>
      </c>
      <c r="Z1528" s="156" t="s">
        <v>219</v>
      </c>
      <c r="AA1528" s="156" t="s">
        <v>8696</v>
      </c>
      <c r="AB1528" s="156" t="s">
        <v>8697</v>
      </c>
      <c r="AC1528" s="156" t="s">
        <v>8698</v>
      </c>
      <c r="AD1528" s="156" t="s">
        <v>8699</v>
      </c>
      <c r="AE1528" s="153">
        <v>4.0</v>
      </c>
      <c r="AF1528" s="153">
        <v>96.0</v>
      </c>
      <c r="AG1528" s="65" t="s">
        <v>8700</v>
      </c>
      <c r="AH1528" s="156" t="s">
        <v>127</v>
      </c>
      <c r="AI1528" s="65"/>
      <c r="AJ1528" s="706">
        <v>0.001</v>
      </c>
      <c r="AK1528" s="58" t="s">
        <v>128</v>
      </c>
      <c r="AL1528" s="54" t="s">
        <v>179</v>
      </c>
      <c r="AM1528" s="65" t="s">
        <v>130</v>
      </c>
      <c r="AN1528" s="58"/>
      <c r="AO1528" s="153">
        <v>112.0</v>
      </c>
      <c r="AP1528" s="153">
        <v>0.621</v>
      </c>
      <c r="AQ1528" s="156" t="s">
        <v>166</v>
      </c>
      <c r="AR1528" s="156" t="s">
        <v>500</v>
      </c>
      <c r="AS1528" s="153">
        <v>0.001</v>
      </c>
      <c r="AT1528" s="65" t="s">
        <v>165</v>
      </c>
      <c r="AU1528" s="156" t="s">
        <v>129</v>
      </c>
      <c r="AV1528" s="65" t="s">
        <v>130</v>
      </c>
      <c r="AW1528" s="65"/>
      <c r="AX1528" s="65" t="s">
        <v>136</v>
      </c>
      <c r="AY1528" s="1739" t="s">
        <v>8701</v>
      </c>
      <c r="AZ1528" s="185" t="s">
        <v>137</v>
      </c>
    </row>
    <row r="1529">
      <c r="A1529" s="41">
        <v>1529.0</v>
      </c>
      <c r="B1529" s="185" t="s">
        <v>145</v>
      </c>
      <c r="C1529" s="185" t="s">
        <v>108</v>
      </c>
      <c r="D1529" s="185" t="s">
        <v>1451</v>
      </c>
      <c r="E1529" s="186"/>
      <c r="F1529" s="187" t="s">
        <v>8702</v>
      </c>
      <c r="G1529" s="190" t="s">
        <v>8702</v>
      </c>
      <c r="H1529" s="195" t="s">
        <v>1511</v>
      </c>
      <c r="I1529" s="188">
        <v>45669.0</v>
      </c>
      <c r="J1529" s="1736">
        <v>45677.0</v>
      </c>
      <c r="K1529" s="195" t="s">
        <v>8703</v>
      </c>
      <c r="L1529" s="187"/>
      <c r="M1529" s="874" t="s">
        <v>8704</v>
      </c>
      <c r="N1529" s="1737" t="s">
        <v>8705</v>
      </c>
      <c r="O1529" s="755">
        <v>7.0</v>
      </c>
      <c r="P1529" s="974" t="str">
        <f> SUBSTITUTE(lower(N1529), "/", "--") &amp;  ".pdf"</f>
        <v>10.1073--pnas.1805327115.pdf</v>
      </c>
      <c r="Q1529" s="49" t="str">
        <f t="array" ref="Q1529"> if(iserror(MATCH(V1529, 'File Links'!C:C, 0)), "N/A", HYPERLINK(INDEX('File Links'!B:B, MATCH(P1529, 'File Links'!C:C, 0))))</f>
        <v>https://drive.google.com/file/d/1DQ-5qEEOtHAV_EO0dtcKuZKTfy6PHQQl/view?usp=drivesdk</v>
      </c>
      <c r="R1529" s="192" t="s">
        <v>8706</v>
      </c>
      <c r="S1529" s="371" t="s">
        <v>8682</v>
      </c>
      <c r="T1529" s="874" t="s">
        <v>8683</v>
      </c>
      <c r="U1529" s="755">
        <v>1.0</v>
      </c>
      <c r="V1529" s="195" t="str">
        <f t="shared" si="113"/>
        <v>10.1038--s41562-024-02062-9.pdf</v>
      </c>
      <c r="W1529" s="195" t="s">
        <v>8707</v>
      </c>
      <c r="X1529" s="51" t="str">
        <f t="array" ref="X1529"> if(iserror(MATCH(V1529, 'File Links'!C:C, 0)), "N/A", HYPERLINK(INDEX('File Links'!B:B, MATCH(V1529, 'File Links'!C:C, 0))))</f>
        <v>https://drive.google.com/file/d/1w8pcOEpgkXG4574TMp8vmQlQVMYXLL8c/view?usp=drivesdk</v>
      </c>
      <c r="Z1529" s="195" t="s">
        <v>203</v>
      </c>
      <c r="AA1529" s="195" t="s">
        <v>8708</v>
      </c>
      <c r="AB1529" s="195" t="s">
        <v>8709</v>
      </c>
      <c r="AC1529" s="195" t="s">
        <v>8710</v>
      </c>
      <c r="AD1529" s="195" t="s">
        <v>8711</v>
      </c>
      <c r="AE1529" s="755">
        <v>2.0</v>
      </c>
      <c r="AF1529" s="755">
        <v>207.0</v>
      </c>
      <c r="AG1529" s="755">
        <v>1.45</v>
      </c>
      <c r="AH1529" s="195" t="s">
        <v>166</v>
      </c>
      <c r="AI1529" s="195" t="s">
        <v>2764</v>
      </c>
      <c r="AJ1529" s="872">
        <v>0.001</v>
      </c>
      <c r="AK1529" s="55" t="s">
        <v>128</v>
      </c>
      <c r="AL1529" s="55" t="s">
        <v>179</v>
      </c>
      <c r="AM1529" s="187" t="s">
        <v>130</v>
      </c>
      <c r="AN1529" s="371" t="s">
        <v>131</v>
      </c>
      <c r="AO1529" s="755">
        <v>214.0</v>
      </c>
      <c r="AP1529" s="755">
        <v>1.386</v>
      </c>
      <c r="AQ1529" s="195" t="s">
        <v>166</v>
      </c>
      <c r="AR1529" s="195" t="s">
        <v>2764</v>
      </c>
      <c r="AS1529" s="755">
        <v>1.0E-4</v>
      </c>
      <c r="AT1529" s="195" t="s">
        <v>128</v>
      </c>
      <c r="AU1529" s="195" t="s">
        <v>129</v>
      </c>
      <c r="AV1529" s="187" t="s">
        <v>130</v>
      </c>
      <c r="AW1529" s="874" t="s">
        <v>8712</v>
      </c>
      <c r="AX1529" s="187" t="s">
        <v>136</v>
      </c>
      <c r="AY1529" s="186"/>
      <c r="AZ1529" s="185" t="s">
        <v>137</v>
      </c>
    </row>
    <row r="1530">
      <c r="A1530" s="41">
        <v>1530.0</v>
      </c>
      <c r="B1530" s="59" t="s">
        <v>107</v>
      </c>
      <c r="C1530" s="59" t="s">
        <v>108</v>
      </c>
      <c r="D1530" s="59" t="s">
        <v>1434</v>
      </c>
      <c r="F1530" s="65" t="s">
        <v>8702</v>
      </c>
      <c r="G1530" s="58" t="s">
        <v>8702</v>
      </c>
      <c r="H1530" s="156" t="s">
        <v>1437</v>
      </c>
      <c r="I1530" s="65"/>
      <c r="J1530" s="1736">
        <v>45677.0</v>
      </c>
      <c r="K1530" s="65"/>
      <c r="L1530" s="65"/>
      <c r="M1530" s="432" t="s">
        <v>8713</v>
      </c>
      <c r="N1530" s="1738" t="s">
        <v>8714</v>
      </c>
      <c r="O1530" s="65"/>
      <c r="P1530" s="1573" t="str">
        <f>SUBSTITUTE(LOWER(N1530), "/", "--") &amp;  ".pdf"</f>
        <v>10.1073--pnas.1805327115.pdf</v>
      </c>
      <c r="Q1530" s="49" t="str">
        <f t="array" ref="Q1530"> if(iserror(MATCH(V1530, 'File Links'!C:C, 0)), "N/A", HYPERLINK(INDEX('File Links'!B:B, MATCH(P1530, 'File Links'!C:C, 0))))</f>
        <v>https://drive.google.com/file/d/1DQ-5qEEOtHAV_EO0dtcKuZKTfy6PHQQl/view?usp=drivesdk</v>
      </c>
      <c r="R1530" s="65" t="s">
        <v>8715</v>
      </c>
      <c r="S1530" s="126" t="s">
        <v>8682</v>
      </c>
      <c r="T1530" s="432" t="s">
        <v>8683</v>
      </c>
      <c r="U1530" s="153">
        <v>1.0</v>
      </c>
      <c r="V1530" s="195" t="str">
        <f t="shared" si="113"/>
        <v>10.1038--s41562-024-02062-9.pdf</v>
      </c>
      <c r="W1530" s="156" t="s">
        <v>8695</v>
      </c>
      <c r="X1530" s="51" t="str">
        <f t="array" ref="X1530"> if(iserror(MATCH(V1530, 'File Links'!C:C, 0)), "N/A", HYPERLINK(INDEX('File Links'!B:B, MATCH(V1530, 'File Links'!C:C, 0))))</f>
        <v>https://drive.google.com/file/d/1w8pcOEpgkXG4574TMp8vmQlQVMYXLL8c/view?usp=drivesdk</v>
      </c>
      <c r="Z1530" s="156" t="s">
        <v>203</v>
      </c>
      <c r="AA1530" s="156" t="s">
        <v>8716</v>
      </c>
      <c r="AB1530" s="156" t="s">
        <v>8717</v>
      </c>
      <c r="AC1530" s="156" t="s">
        <v>8718</v>
      </c>
      <c r="AD1530" s="156" t="s">
        <v>8719</v>
      </c>
      <c r="AE1530" s="153">
        <v>2.0</v>
      </c>
      <c r="AF1530" s="153">
        <v>207.0</v>
      </c>
      <c r="AG1530" s="156" t="s">
        <v>8720</v>
      </c>
      <c r="AH1530" s="156" t="s">
        <v>127</v>
      </c>
      <c r="AI1530" s="65"/>
      <c r="AJ1530" s="706">
        <v>0.001</v>
      </c>
      <c r="AK1530" s="54" t="s">
        <v>128</v>
      </c>
      <c r="AL1530" s="54" t="s">
        <v>179</v>
      </c>
      <c r="AM1530" s="1740" t="s">
        <v>130</v>
      </c>
      <c r="AN1530" s="58"/>
      <c r="AO1530" s="153">
        <v>214.0</v>
      </c>
      <c r="AP1530" s="153">
        <v>1.386</v>
      </c>
      <c r="AQ1530" s="156" t="s">
        <v>166</v>
      </c>
      <c r="AR1530" s="156" t="s">
        <v>2764</v>
      </c>
      <c r="AS1530" s="1741">
        <v>6.2E-20</v>
      </c>
      <c r="AT1530" s="156" t="s">
        <v>165</v>
      </c>
      <c r="AU1530" s="156" t="s">
        <v>129</v>
      </c>
      <c r="AV1530" s="1740" t="s">
        <v>130</v>
      </c>
      <c r="AW1530" s="65"/>
      <c r="AX1530" s="1740" t="s">
        <v>136</v>
      </c>
      <c r="AZ1530" s="185" t="s">
        <v>137</v>
      </c>
    </row>
    <row r="1531">
      <c r="A1531" s="41">
        <v>1531.0</v>
      </c>
      <c r="B1531" s="185" t="s">
        <v>145</v>
      </c>
      <c r="C1531" s="185" t="s">
        <v>108</v>
      </c>
      <c r="D1531" s="185" t="s">
        <v>1451</v>
      </c>
      <c r="E1531" s="186"/>
      <c r="F1531" s="187" t="s">
        <v>8721</v>
      </c>
      <c r="G1531" s="190" t="s">
        <v>8721</v>
      </c>
      <c r="H1531" s="195" t="s">
        <v>1511</v>
      </c>
      <c r="I1531" s="188">
        <v>45669.0</v>
      </c>
      <c r="J1531" s="1736">
        <v>45677.0</v>
      </c>
      <c r="K1531" s="990" t="s">
        <v>8722</v>
      </c>
      <c r="L1531" s="187"/>
      <c r="M1531" s="874" t="s">
        <v>8723</v>
      </c>
      <c r="N1531" s="1737" t="s">
        <v>8724</v>
      </c>
      <c r="O1531" s="755">
        <v>2.0</v>
      </c>
      <c r="P1531" s="974" t="str">
        <f> SUBSTITUTE(lower(N1531), "/", "--") &amp;  ".pdf"</f>
        <v>10.1073--pnas.1601280113.pdf</v>
      </c>
      <c r="Q1531" s="49" t="str">
        <f t="array" ref="Q1531"> if(iserror(MATCH(V1531, 'File Links'!C:C, 0)), "N/A", HYPERLINK(INDEX('File Links'!B:B, MATCH(P1531, 'File Links'!C:C, 0))))</f>
        <v>https://drive.google.com/file/d/1BbeoZ9CdBUXQMwPbOQkLBdsayafNFSX2/view?usp=drivesdk</v>
      </c>
      <c r="R1531" s="192" t="s">
        <v>8725</v>
      </c>
      <c r="S1531" s="371" t="s">
        <v>8682</v>
      </c>
      <c r="T1531" s="874" t="s">
        <v>8683</v>
      </c>
      <c r="U1531" s="755">
        <v>1.0</v>
      </c>
      <c r="V1531" s="195" t="str">
        <f t="shared" si="113"/>
        <v>10.1038--s41562-024-02062-9.pdf</v>
      </c>
      <c r="W1531" s="195" t="s">
        <v>8726</v>
      </c>
      <c r="X1531" s="51" t="str">
        <f t="array" ref="X1531"> if(iserror(MATCH(V1531, 'File Links'!C:C, 0)), "N/A", HYPERLINK(INDEX('File Links'!B:B, MATCH(V1531, 'File Links'!C:C, 0))))</f>
        <v>https://drive.google.com/file/d/1w8pcOEpgkXG4574TMp8vmQlQVMYXLL8c/view?usp=drivesdk</v>
      </c>
      <c r="Z1531" s="195" t="s">
        <v>203</v>
      </c>
      <c r="AA1531" s="195" t="s">
        <v>8727</v>
      </c>
      <c r="AB1531" s="195" t="s">
        <v>8728</v>
      </c>
      <c r="AC1531" s="195" t="s">
        <v>8729</v>
      </c>
      <c r="AD1531" s="195" t="s">
        <v>8730</v>
      </c>
      <c r="AE1531" s="755">
        <v>3.0</v>
      </c>
      <c r="AF1531" s="755">
        <v>735.0</v>
      </c>
      <c r="AG1531" s="755">
        <v>-0.486</v>
      </c>
      <c r="AH1531" s="195" t="s">
        <v>980</v>
      </c>
      <c r="AI1531" s="539"/>
      <c r="AJ1531" s="872">
        <v>0.002</v>
      </c>
      <c r="AK1531" s="55" t="s">
        <v>165</v>
      </c>
      <c r="AL1531" s="55" t="s">
        <v>179</v>
      </c>
      <c r="AM1531" s="187" t="s">
        <v>130</v>
      </c>
      <c r="AN1531" s="371" t="s">
        <v>131</v>
      </c>
      <c r="AO1531" s="755">
        <v>1826.0</v>
      </c>
      <c r="AP1531" s="755">
        <v>0.05</v>
      </c>
      <c r="AQ1531" s="195" t="s">
        <v>166</v>
      </c>
      <c r="AR1531" s="195" t="s">
        <v>2764</v>
      </c>
      <c r="AS1531" s="755">
        <v>0.288</v>
      </c>
      <c r="AT1531" s="195" t="s">
        <v>165</v>
      </c>
      <c r="AU1531" s="195" t="s">
        <v>129</v>
      </c>
      <c r="AV1531" s="187" t="s">
        <v>130</v>
      </c>
      <c r="AW1531" s="874" t="s">
        <v>8731</v>
      </c>
      <c r="AX1531" s="187" t="s">
        <v>136</v>
      </c>
      <c r="AY1531" s="186"/>
      <c r="AZ1531" s="185" t="s">
        <v>137</v>
      </c>
    </row>
    <row r="1532">
      <c r="A1532" s="41">
        <v>1532.0</v>
      </c>
      <c r="B1532" s="59" t="s">
        <v>107</v>
      </c>
      <c r="C1532" s="59" t="s">
        <v>108</v>
      </c>
      <c r="D1532" s="59" t="s">
        <v>1434</v>
      </c>
      <c r="F1532" s="65" t="s">
        <v>8721</v>
      </c>
      <c r="G1532" s="58" t="s">
        <v>8721</v>
      </c>
      <c r="H1532" s="156" t="s">
        <v>1437</v>
      </c>
      <c r="I1532" s="65"/>
      <c r="J1532" s="1736">
        <v>45677.0</v>
      </c>
      <c r="K1532" s="156" t="s">
        <v>8732</v>
      </c>
      <c r="L1532" s="65"/>
      <c r="M1532" s="432" t="s">
        <v>8733</v>
      </c>
      <c r="N1532" s="1738" t="s">
        <v>8734</v>
      </c>
      <c r="O1532" s="65"/>
      <c r="P1532" s="1573" t="str">
        <f>SUBSTITUTE(LOWER(N1532), "/", "--") &amp;  ".pdf"</f>
        <v>10.1073--pnas.1601280113.pdf</v>
      </c>
      <c r="Q1532" s="49" t="str">
        <f t="array" ref="Q1532"> if(iserror(MATCH(V1532, 'File Links'!C:C, 0)), "N/A", HYPERLINK(INDEX('File Links'!B:B, MATCH(P1532, 'File Links'!C:C, 0))))</f>
        <v>https://drive.google.com/file/d/1BbeoZ9CdBUXQMwPbOQkLBdsayafNFSX2/view?usp=drivesdk</v>
      </c>
      <c r="R1532" s="65" t="s">
        <v>8735</v>
      </c>
      <c r="S1532" s="126" t="s">
        <v>8682</v>
      </c>
      <c r="T1532" s="432" t="s">
        <v>8683</v>
      </c>
      <c r="U1532" s="153">
        <v>1.0</v>
      </c>
      <c r="V1532" s="195" t="str">
        <f t="shared" si="113"/>
        <v>10.1038--s41562-024-02062-9.pdf</v>
      </c>
      <c r="W1532" s="156" t="s">
        <v>8695</v>
      </c>
      <c r="X1532" s="51" t="str">
        <f t="array" ref="X1532"> if(iserror(MATCH(V1532, 'File Links'!C:C, 0)), "N/A", HYPERLINK(INDEX('File Links'!B:B, MATCH(V1532, 'File Links'!C:C, 0))))</f>
        <v>https://drive.google.com/file/d/1w8pcOEpgkXG4574TMp8vmQlQVMYXLL8c/view?usp=drivesdk</v>
      </c>
      <c r="Z1532" s="156" t="s">
        <v>203</v>
      </c>
      <c r="AA1532" s="156" t="s">
        <v>8736</v>
      </c>
      <c r="AB1532" s="156" t="s">
        <v>8737</v>
      </c>
      <c r="AC1532" s="156" t="s">
        <v>8738</v>
      </c>
      <c r="AD1532" s="156" t="s">
        <v>8739</v>
      </c>
      <c r="AE1532" s="153">
        <v>3.0</v>
      </c>
      <c r="AF1532" s="153">
        <v>735.0</v>
      </c>
      <c r="AG1532" s="153">
        <v>-0.486</v>
      </c>
      <c r="AH1532" s="156" t="s">
        <v>980</v>
      </c>
      <c r="AI1532" s="65"/>
      <c r="AJ1532" s="706">
        <v>0.002</v>
      </c>
      <c r="AK1532" s="54" t="s">
        <v>165</v>
      </c>
      <c r="AL1532" s="54" t="s">
        <v>179</v>
      </c>
      <c r="AM1532" s="1740" t="s">
        <v>134</v>
      </c>
      <c r="AN1532" s="58"/>
      <c r="AO1532" s="153">
        <v>1826.0</v>
      </c>
      <c r="AP1532" s="153">
        <v>0.05</v>
      </c>
      <c r="AQ1532" s="156" t="s">
        <v>166</v>
      </c>
      <c r="AR1532" s="156" t="s">
        <v>2764</v>
      </c>
      <c r="AS1532" s="153">
        <v>0.288</v>
      </c>
      <c r="AT1532" s="156" t="s">
        <v>165</v>
      </c>
      <c r="AU1532" s="156" t="s">
        <v>129</v>
      </c>
      <c r="AV1532" s="1740" t="s">
        <v>134</v>
      </c>
      <c r="AW1532" s="65"/>
      <c r="AX1532" s="1740" t="s">
        <v>136</v>
      </c>
      <c r="AZ1532" s="185" t="s">
        <v>137</v>
      </c>
    </row>
    <row r="1533">
      <c r="A1533" s="41">
        <v>1533.0</v>
      </c>
      <c r="B1533" s="185" t="s">
        <v>145</v>
      </c>
      <c r="C1533" s="185" t="s">
        <v>108</v>
      </c>
      <c r="D1533" s="185" t="s">
        <v>1451</v>
      </c>
      <c r="E1533" s="186"/>
      <c r="F1533" s="187" t="s">
        <v>8740</v>
      </c>
      <c r="G1533" s="190" t="s">
        <v>8740</v>
      </c>
      <c r="H1533" s="195" t="s">
        <v>1511</v>
      </c>
      <c r="I1533" s="188">
        <v>45669.0</v>
      </c>
      <c r="J1533" s="1736">
        <v>45677.0</v>
      </c>
      <c r="K1533" s="195" t="s">
        <v>8741</v>
      </c>
      <c r="L1533" s="187"/>
      <c r="M1533" s="874" t="s">
        <v>8742</v>
      </c>
      <c r="N1533" s="1737" t="s">
        <v>8743</v>
      </c>
      <c r="O1533" s="755">
        <v>7.0</v>
      </c>
      <c r="P1533" s="974" t="str">
        <f> SUBSTITUTE(lower(N1533), "/", "--") &amp;  ".pdf"</f>
        <v>10.1073--pnas.1516868113.pdf</v>
      </c>
      <c r="Q1533" s="49" t="str">
        <f t="array" ref="Q1533"> if(iserror(MATCH(V1533, 'File Links'!C:C, 0)), "N/A", HYPERLINK(INDEX('File Links'!B:B, MATCH(P1533, 'File Links'!C:C, 0))))</f>
        <v>https://drive.google.com/file/d/1yHD_X4W7fLNjPrkn11Gu0-mHGcNqrpws/view?usp=drivesdk</v>
      </c>
      <c r="R1533" s="192" t="s">
        <v>8744</v>
      </c>
      <c r="S1533" s="371" t="s">
        <v>8682</v>
      </c>
      <c r="T1533" s="874" t="s">
        <v>8683</v>
      </c>
      <c r="U1533" s="755">
        <v>1.0</v>
      </c>
      <c r="V1533" s="195" t="str">
        <f t="shared" si="113"/>
        <v>10.1038--s41562-024-02062-9.pdf</v>
      </c>
      <c r="W1533" s="195" t="s">
        <v>8745</v>
      </c>
      <c r="X1533" s="51" t="str">
        <f t="array" ref="X1533"> if(iserror(MATCH(V1533, 'File Links'!C:C, 0)), "N/A", HYPERLINK(INDEX('File Links'!B:B, MATCH(V1533, 'File Links'!C:C, 0))))</f>
        <v>https://drive.google.com/file/d/1w8pcOEpgkXG4574TMp8vmQlQVMYXLL8c/view?usp=drivesdk</v>
      </c>
      <c r="Z1533" s="195" t="s">
        <v>203</v>
      </c>
      <c r="AA1533" s="195" t="s">
        <v>8746</v>
      </c>
      <c r="AB1533" s="195" t="s">
        <v>8747</v>
      </c>
      <c r="AC1533" s="195" t="s">
        <v>8748</v>
      </c>
      <c r="AD1533" s="195" t="s">
        <v>8749</v>
      </c>
      <c r="AE1533" s="755">
        <v>3.0</v>
      </c>
      <c r="AF1533" s="755">
        <v>142.0</v>
      </c>
      <c r="AG1533" s="755">
        <v>0.387</v>
      </c>
      <c r="AH1533" s="195" t="s">
        <v>166</v>
      </c>
      <c r="AI1533" s="187" t="str">
        <f>IF(ISBLANK(AI1526), 
   "=(" &amp; AI1524 &amp; "-" &amp; AI1528 &amp; ")/SQRT((" &amp; AI1525 &amp; "^2+" &amp; AI1529 &amp; "^2)/2)", 
   "=(" &amp; AI1524 &amp; "-" &amp; AI1528 &amp; ")/SQRT(((" &amp; AI1526 &amp; "-1)*" &amp; AI1525 &amp; "^2+(" &amp; AI1530 &amp; "-1)*" &amp; AI1529 &amp; "^2)/(" &amp; AI1526 &amp; "+" &amp; AI1530 &amp; "-2)))"
)
</f>
        <v>=(p.384-)/SQRT(((p. 5-1)*p. 5^2+(-1)*p.2^2)/(p. 5+-2)))</v>
      </c>
      <c r="AJ1533" s="872">
        <v>0.04</v>
      </c>
      <c r="AK1533" s="55" t="s">
        <v>165</v>
      </c>
      <c r="AL1533" s="55" t="s">
        <v>179</v>
      </c>
      <c r="AM1533" s="187" t="s">
        <v>130</v>
      </c>
      <c r="AN1533" s="371" t="s">
        <v>131</v>
      </c>
      <c r="AO1533" s="755">
        <v>1224.0</v>
      </c>
      <c r="AP1533" s="1742">
        <v>0.039</v>
      </c>
      <c r="AQ1533" s="195" t="s">
        <v>166</v>
      </c>
      <c r="AR1533" s="195" t="s">
        <v>2764</v>
      </c>
      <c r="AS1533" s="1742">
        <v>0.492</v>
      </c>
      <c r="AT1533" s="195" t="s">
        <v>165</v>
      </c>
      <c r="AU1533" s="195" t="s">
        <v>129</v>
      </c>
      <c r="AV1533" s="187" t="s">
        <v>130</v>
      </c>
      <c r="AW1533" s="874" t="s">
        <v>8750</v>
      </c>
      <c r="AX1533" s="187" t="s">
        <v>136</v>
      </c>
      <c r="AY1533" s="186"/>
      <c r="AZ1533" s="185" t="s">
        <v>137</v>
      </c>
    </row>
    <row r="1534">
      <c r="A1534" s="41">
        <v>1534.0</v>
      </c>
      <c r="B1534" s="59" t="s">
        <v>107</v>
      </c>
      <c r="C1534" s="59" t="s">
        <v>108</v>
      </c>
      <c r="D1534" s="59" t="s">
        <v>1434</v>
      </c>
      <c r="F1534" s="65" t="s">
        <v>8740</v>
      </c>
      <c r="G1534" s="58" t="s">
        <v>8740</v>
      </c>
      <c r="H1534" s="156" t="s">
        <v>1437</v>
      </c>
      <c r="I1534" s="65"/>
      <c r="J1534" s="1736">
        <v>45677.0</v>
      </c>
      <c r="K1534" s="65"/>
      <c r="L1534" s="65"/>
      <c r="M1534" s="432" t="s">
        <v>8751</v>
      </c>
      <c r="N1534" s="1738" t="s">
        <v>8752</v>
      </c>
      <c r="O1534" s="65"/>
      <c r="P1534" s="1573" t="str">
        <f>SUBSTITUTE(LOWER(N1534), "/", "--") &amp;  ".pdf"</f>
        <v>10.1073--pnas.1516868113.pdf</v>
      </c>
      <c r="Q1534" s="49" t="str">
        <f t="array" ref="Q1534"> if(iserror(MATCH(V1534, 'File Links'!C:C, 0)), "N/A", HYPERLINK(INDEX('File Links'!B:B, MATCH(P1534, 'File Links'!C:C, 0))))</f>
        <v>https://drive.google.com/file/d/1yHD_X4W7fLNjPrkn11Gu0-mHGcNqrpws/view?usp=drivesdk</v>
      </c>
      <c r="R1534" s="65" t="s">
        <v>8753</v>
      </c>
      <c r="S1534" s="126" t="s">
        <v>8682</v>
      </c>
      <c r="T1534" s="432" t="s">
        <v>8683</v>
      </c>
      <c r="U1534" s="156" t="s">
        <v>3573</v>
      </c>
      <c r="V1534" s="195" t="str">
        <f t="shared" si="113"/>
        <v>10.1038--s41562-024-02062-9.pdf</v>
      </c>
      <c r="W1534" s="156" t="s">
        <v>8695</v>
      </c>
      <c r="X1534" s="51" t="str">
        <f t="array" ref="X1534"> if(iserror(MATCH(V1534, 'File Links'!C:C, 0)), "N/A", HYPERLINK(INDEX('File Links'!B:B, MATCH(V1534, 'File Links'!C:C, 0))))</f>
        <v>https://drive.google.com/file/d/1w8pcOEpgkXG4574TMp8vmQlQVMYXLL8c/view?usp=drivesdk</v>
      </c>
      <c r="Z1534" s="156" t="s">
        <v>203</v>
      </c>
      <c r="AA1534" s="156" t="s">
        <v>8754</v>
      </c>
      <c r="AB1534" s="156" t="s">
        <v>8755</v>
      </c>
      <c r="AC1534" s="156" t="s">
        <v>8756</v>
      </c>
      <c r="AD1534" s="156" t="s">
        <v>8757</v>
      </c>
      <c r="AE1534" s="153">
        <v>3.0</v>
      </c>
      <c r="AF1534" s="153">
        <v>142.0</v>
      </c>
      <c r="AG1534" s="156" t="s">
        <v>8758</v>
      </c>
      <c r="AH1534" s="156" t="s">
        <v>127</v>
      </c>
      <c r="AI1534" s="65"/>
      <c r="AJ1534" s="706">
        <v>0.04</v>
      </c>
      <c r="AK1534" s="54" t="s">
        <v>165</v>
      </c>
      <c r="AL1534" s="54" t="s">
        <v>179</v>
      </c>
      <c r="AM1534" s="1740" t="s">
        <v>130</v>
      </c>
      <c r="AN1534" s="58"/>
      <c r="AO1534" s="153">
        <v>1224.0</v>
      </c>
      <c r="AP1534" s="153">
        <v>0.039</v>
      </c>
      <c r="AQ1534" s="156" t="s">
        <v>166</v>
      </c>
      <c r="AR1534" s="156" t="s">
        <v>2764</v>
      </c>
      <c r="AS1534" s="153">
        <v>0.492</v>
      </c>
      <c r="AT1534" s="156" t="s">
        <v>165</v>
      </c>
      <c r="AU1534" s="156" t="s">
        <v>129</v>
      </c>
      <c r="AV1534" s="1740" t="s">
        <v>130</v>
      </c>
      <c r="AW1534" s="65"/>
      <c r="AX1534" s="1740" t="s">
        <v>136</v>
      </c>
      <c r="AZ1534" s="185" t="s">
        <v>137</v>
      </c>
    </row>
    <row r="1535">
      <c r="A1535" s="41">
        <v>1535.0</v>
      </c>
      <c r="B1535" s="185" t="s">
        <v>145</v>
      </c>
      <c r="C1535" s="185" t="s">
        <v>108</v>
      </c>
      <c r="D1535" s="185" t="s">
        <v>1451</v>
      </c>
      <c r="E1535" s="186"/>
      <c r="F1535" s="187" t="s">
        <v>8759</v>
      </c>
      <c r="G1535" s="190" t="s">
        <v>8759</v>
      </c>
      <c r="H1535" s="195" t="s">
        <v>1511</v>
      </c>
      <c r="I1535" s="188">
        <v>45669.0</v>
      </c>
      <c r="J1535" s="1736">
        <v>45677.0</v>
      </c>
      <c r="K1535" s="195" t="s">
        <v>8760</v>
      </c>
      <c r="L1535" s="187"/>
      <c r="M1535" s="874" t="s">
        <v>8761</v>
      </c>
      <c r="N1535" s="1737" t="s">
        <v>8762</v>
      </c>
      <c r="O1535" s="755">
        <v>9.0</v>
      </c>
      <c r="P1535" s="974" t="str">
        <f> SUBSTITUTE(lower(N1535), "/", "--") &amp;  ".pdf"</f>
        <v>10.1073--pnas.1706913114.pdf</v>
      </c>
      <c r="Q1535" s="49" t="str">
        <f t="array" ref="Q1535"> if(iserror(MATCH(V1535, 'File Links'!C:C, 0)), "N/A", HYPERLINK(INDEX('File Links'!B:B, MATCH(P1535, 'File Links'!C:C, 0))))</f>
        <v>https://drive.google.com/file/d/1xfxst9Oa-ge7wewPL4HMH7DqgvOPP20b/view?usp=drivesdk</v>
      </c>
      <c r="R1535" s="192" t="s">
        <v>8763</v>
      </c>
      <c r="S1535" s="371" t="s">
        <v>8682</v>
      </c>
      <c r="T1535" s="874" t="s">
        <v>8683</v>
      </c>
      <c r="U1535" s="755">
        <v>1.0</v>
      </c>
      <c r="V1535" s="195" t="str">
        <f t="shared" si="113"/>
        <v>10.1038--s41562-024-02062-9.pdf</v>
      </c>
      <c r="W1535" s="195" t="s">
        <v>8764</v>
      </c>
      <c r="X1535" s="51" t="str">
        <f t="array" ref="X1535"> if(iserror(MATCH(V1535, 'File Links'!C:C, 0)), "N/A", HYPERLINK(INDEX('File Links'!B:B, MATCH(V1535, 'File Links'!C:C, 0))))</f>
        <v>https://drive.google.com/file/d/1w8pcOEpgkXG4574TMp8vmQlQVMYXLL8c/view?usp=drivesdk</v>
      </c>
      <c r="Z1535" s="195" t="s">
        <v>203</v>
      </c>
      <c r="AA1535" s="195" t="s">
        <v>8765</v>
      </c>
      <c r="AB1535" s="195" t="s">
        <v>8766</v>
      </c>
      <c r="AC1535" s="195" t="s">
        <v>8767</v>
      </c>
      <c r="AD1535" s="195" t="s">
        <v>8768</v>
      </c>
      <c r="AE1535" s="755">
        <v>2.0</v>
      </c>
      <c r="AF1535" s="187"/>
      <c r="AG1535" s="755">
        <v>-0.7</v>
      </c>
      <c r="AH1535" s="195" t="s">
        <v>354</v>
      </c>
      <c r="AI1535" s="195" t="s">
        <v>2764</v>
      </c>
      <c r="AJ1535" s="872">
        <v>0.005</v>
      </c>
      <c r="AK1535" s="55" t="s">
        <v>128</v>
      </c>
      <c r="AL1535" s="55" t="s">
        <v>179</v>
      </c>
      <c r="AM1535" s="187" t="s">
        <v>130</v>
      </c>
      <c r="AN1535" s="371" t="s">
        <v>131</v>
      </c>
      <c r="AO1535" s="755">
        <v>820.0</v>
      </c>
      <c r="AP1535" s="755">
        <v>0.332</v>
      </c>
      <c r="AQ1535" s="195" t="s">
        <v>166</v>
      </c>
      <c r="AR1535" s="195" t="s">
        <v>500</v>
      </c>
      <c r="AS1535" s="1743">
        <v>0.001</v>
      </c>
      <c r="AT1535" s="195" t="s">
        <v>128</v>
      </c>
      <c r="AU1535" s="195" t="s">
        <v>129</v>
      </c>
      <c r="AV1535" s="187" t="s">
        <v>130</v>
      </c>
      <c r="AW1535" s="874" t="s">
        <v>8769</v>
      </c>
      <c r="AX1535" s="187" t="s">
        <v>136</v>
      </c>
      <c r="AY1535" s="186"/>
      <c r="AZ1535" s="185" t="s">
        <v>137</v>
      </c>
    </row>
    <row r="1536">
      <c r="A1536" s="41">
        <v>1536.0</v>
      </c>
      <c r="B1536" s="59" t="s">
        <v>107</v>
      </c>
      <c r="C1536" s="59" t="s">
        <v>108</v>
      </c>
      <c r="D1536" s="59" t="s">
        <v>1434</v>
      </c>
      <c r="F1536" s="65" t="s">
        <v>8759</v>
      </c>
      <c r="G1536" s="58" t="s">
        <v>8759</v>
      </c>
      <c r="H1536" s="156" t="s">
        <v>1437</v>
      </c>
      <c r="I1536" s="65"/>
      <c r="J1536" s="1736">
        <v>45677.0</v>
      </c>
      <c r="K1536" s="65"/>
      <c r="L1536" s="65"/>
      <c r="M1536" s="432" t="s">
        <v>8770</v>
      </c>
      <c r="N1536" s="1738" t="s">
        <v>8771</v>
      </c>
      <c r="O1536" s="65"/>
      <c r="P1536" s="1573" t="str">
        <f>SUBSTITUTE(LOWER(N1536), "/", "--") &amp;  ".pdf"</f>
        <v>10.1073--pnas.1706913114.pdf</v>
      </c>
      <c r="Q1536" s="49" t="str">
        <f t="array" ref="Q1536"> if(iserror(MATCH(V1536, 'File Links'!C:C, 0)), "N/A", HYPERLINK(INDEX('File Links'!B:B, MATCH(P1536, 'File Links'!C:C, 0))))</f>
        <v>https://drive.google.com/file/d/1xfxst9Oa-ge7wewPL4HMH7DqgvOPP20b/view?usp=drivesdk</v>
      </c>
      <c r="R1536" s="65" t="s">
        <v>8772</v>
      </c>
      <c r="S1536" s="126" t="s">
        <v>8682</v>
      </c>
      <c r="T1536" s="432" t="s">
        <v>8683</v>
      </c>
      <c r="U1536" s="153">
        <v>2.0</v>
      </c>
      <c r="V1536" s="195" t="str">
        <f t="shared" si="113"/>
        <v>10.1038--s41562-024-02062-9.pdf</v>
      </c>
      <c r="W1536" s="156" t="s">
        <v>8695</v>
      </c>
      <c r="X1536" s="51" t="str">
        <f t="array" ref="X1536"> if(iserror(MATCH(V1536, 'File Links'!C:C, 0)), "N/A", HYPERLINK(INDEX('File Links'!B:B, MATCH(V1536, 'File Links'!C:C, 0))))</f>
        <v>https://drive.google.com/file/d/1w8pcOEpgkXG4574TMp8vmQlQVMYXLL8c/view?usp=drivesdk</v>
      </c>
      <c r="Z1536" s="156" t="s">
        <v>219</v>
      </c>
      <c r="AA1536" s="156" t="s">
        <v>8773</v>
      </c>
      <c r="AB1536" s="156" t="s">
        <v>8774</v>
      </c>
      <c r="AC1536" s="156" t="s">
        <v>8775</v>
      </c>
      <c r="AD1536" s="156" t="s">
        <v>8776</v>
      </c>
      <c r="AE1536" s="153">
        <v>2.0</v>
      </c>
      <c r="AF1536" s="153">
        <v>323.0</v>
      </c>
      <c r="AG1536" s="153">
        <v>-0.7</v>
      </c>
      <c r="AH1536" s="156" t="s">
        <v>980</v>
      </c>
      <c r="AI1536" s="65"/>
      <c r="AJ1536" s="706">
        <v>0.005</v>
      </c>
      <c r="AK1536" s="54" t="s">
        <v>128</v>
      </c>
      <c r="AL1536" s="54" t="s">
        <v>179</v>
      </c>
      <c r="AM1536" s="1740" t="s">
        <v>130</v>
      </c>
      <c r="AN1536" s="58"/>
      <c r="AO1536" s="153">
        <v>820.0</v>
      </c>
      <c r="AP1536" s="153">
        <v>0.332</v>
      </c>
      <c r="AQ1536" s="156" t="s">
        <v>166</v>
      </c>
      <c r="AR1536" s="156" t="s">
        <v>500</v>
      </c>
      <c r="AS1536" s="1741">
        <v>2.4E-6</v>
      </c>
      <c r="AT1536" s="156" t="s">
        <v>165</v>
      </c>
      <c r="AU1536" s="156" t="s">
        <v>129</v>
      </c>
      <c r="AV1536" s="1740" t="s">
        <v>130</v>
      </c>
      <c r="AW1536" s="65"/>
      <c r="AX1536" s="1740" t="s">
        <v>136</v>
      </c>
      <c r="AZ1536" s="185" t="s">
        <v>137</v>
      </c>
    </row>
    <row r="1537">
      <c r="A1537" s="41">
        <v>1537.0</v>
      </c>
      <c r="B1537" s="185" t="s">
        <v>145</v>
      </c>
      <c r="C1537" s="185" t="s">
        <v>108</v>
      </c>
      <c r="D1537" s="185" t="s">
        <v>1451</v>
      </c>
      <c r="E1537" s="186"/>
      <c r="F1537" s="187" t="s">
        <v>8777</v>
      </c>
      <c r="G1537" s="190" t="s">
        <v>8777</v>
      </c>
      <c r="H1537" s="195" t="s">
        <v>1511</v>
      </c>
      <c r="I1537" s="188">
        <v>45669.0</v>
      </c>
      <c r="J1537" s="1736">
        <v>45677.0</v>
      </c>
      <c r="K1537" s="195" t="s">
        <v>8778</v>
      </c>
      <c r="L1537" s="371" t="s">
        <v>8779</v>
      </c>
      <c r="M1537" s="874" t="s">
        <v>8780</v>
      </c>
      <c r="N1537" s="1737" t="s">
        <v>8781</v>
      </c>
      <c r="O1537" s="755">
        <v>2.0</v>
      </c>
      <c r="P1537" s="974" t="str">
        <f> SUBSTITUTE(lower(N1537), "/", "--") &amp;  ".pdf"</f>
        <v>10.1073--pnas.1516047113.pdf</v>
      </c>
      <c r="Q1537" s="49" t="str">
        <f t="array" ref="Q1537"> if(iserror(MATCH(V1537, 'File Links'!C:C, 0)), "N/A", HYPERLINK(INDEX('File Links'!B:B, MATCH(P1537, 'File Links'!C:C, 0))))</f>
        <v>https://drive.google.com/file/d/1E11EGVsEk8jXG4anLcX1DKLgm7aqhOmU/view?usp=drivesdk</v>
      </c>
      <c r="R1537" s="192" t="s">
        <v>8782</v>
      </c>
      <c r="S1537" s="371" t="s">
        <v>8682</v>
      </c>
      <c r="T1537" s="874" t="s">
        <v>8683</v>
      </c>
      <c r="U1537" s="755">
        <v>1.0</v>
      </c>
      <c r="V1537" s="195" t="str">
        <f t="shared" si="113"/>
        <v>10.1038--s41562-024-02062-9.pdf</v>
      </c>
      <c r="W1537" s="195" t="s">
        <v>8783</v>
      </c>
      <c r="X1537" s="51" t="str">
        <f t="array" ref="X1537"> if(iserror(MATCH(V1537, 'File Links'!C:C, 0)), "N/A", HYPERLINK(INDEX('File Links'!B:B, MATCH(V1537, 'File Links'!C:C, 0))))</f>
        <v>https://drive.google.com/file/d/1w8pcOEpgkXG4574TMp8vmQlQVMYXLL8c/view?usp=drivesdk</v>
      </c>
      <c r="Z1537" s="195" t="s">
        <v>219</v>
      </c>
      <c r="AA1537" s="195" t="s">
        <v>8784</v>
      </c>
      <c r="AB1537" s="195" t="s">
        <v>8785</v>
      </c>
      <c r="AC1537" s="187" t="s">
        <v>8786</v>
      </c>
      <c r="AD1537" s="195" t="s">
        <v>8787</v>
      </c>
      <c r="AE1537" s="195" t="s">
        <v>7982</v>
      </c>
      <c r="AF1537" s="755">
        <v>92.0</v>
      </c>
      <c r="AG1537" s="755">
        <v>0.05</v>
      </c>
      <c r="AH1537" s="195" t="s">
        <v>132</v>
      </c>
      <c r="AI1537" s="195" t="s">
        <v>2764</v>
      </c>
      <c r="AJ1537" s="872">
        <v>0.04</v>
      </c>
      <c r="AK1537" s="55" t="s">
        <v>165</v>
      </c>
      <c r="AL1537" s="55" t="s">
        <v>179</v>
      </c>
      <c r="AM1537" s="1740" t="s">
        <v>134</v>
      </c>
      <c r="AN1537" s="371" t="s">
        <v>131</v>
      </c>
      <c r="AO1537" s="755">
        <v>503.0</v>
      </c>
      <c r="AP1537" s="755">
        <v>0.092</v>
      </c>
      <c r="AQ1537" s="195" t="s">
        <v>166</v>
      </c>
      <c r="AR1537" s="195" t="s">
        <v>2764</v>
      </c>
      <c r="AS1537" s="755">
        <v>0.605</v>
      </c>
      <c r="AT1537" s="195" t="s">
        <v>165</v>
      </c>
      <c r="AU1537" s="195" t="s">
        <v>129</v>
      </c>
      <c r="AV1537" s="368" t="s">
        <v>130</v>
      </c>
      <c r="AW1537" s="874" t="s">
        <v>8788</v>
      </c>
      <c r="AX1537" s="187" t="s">
        <v>136</v>
      </c>
      <c r="AY1537" s="186"/>
      <c r="AZ1537" s="185" t="s">
        <v>137</v>
      </c>
    </row>
    <row r="1538">
      <c r="A1538" s="41">
        <v>1538.0</v>
      </c>
      <c r="B1538" s="59" t="s">
        <v>107</v>
      </c>
      <c r="C1538" s="59" t="s">
        <v>108</v>
      </c>
      <c r="D1538" s="59" t="s">
        <v>1434</v>
      </c>
      <c r="F1538" s="65" t="s">
        <v>8777</v>
      </c>
      <c r="G1538" s="58" t="s">
        <v>8777</v>
      </c>
      <c r="H1538" s="156" t="s">
        <v>1437</v>
      </c>
      <c r="I1538" s="65"/>
      <c r="J1538" s="1736">
        <v>45677.0</v>
      </c>
      <c r="K1538" s="65"/>
      <c r="L1538" s="65"/>
      <c r="M1538" s="432" t="s">
        <v>8789</v>
      </c>
      <c r="N1538" s="1738" t="s">
        <v>8790</v>
      </c>
      <c r="O1538" s="65"/>
      <c r="P1538" s="1573" t="str">
        <f>SUBSTITUTE(LOWER(N1538), "/", "--") &amp;  ".pdf"</f>
        <v>10.1073--pnas.1516047113.pdf</v>
      </c>
      <c r="Q1538" s="49" t="str">
        <f t="array" ref="Q1538"> if(iserror(MATCH(V1538, 'File Links'!C:C, 0)), "N/A", HYPERLINK(INDEX('File Links'!B:B, MATCH(P1538, 'File Links'!C:C, 0))))</f>
        <v>https://drive.google.com/file/d/1E11EGVsEk8jXG4anLcX1DKLgm7aqhOmU/view?usp=drivesdk</v>
      </c>
      <c r="R1538" s="65" t="s">
        <v>8791</v>
      </c>
      <c r="S1538" s="126" t="s">
        <v>8682</v>
      </c>
      <c r="T1538" s="432" t="s">
        <v>8683</v>
      </c>
      <c r="U1538" s="153">
        <v>1.0</v>
      </c>
      <c r="V1538" s="195" t="str">
        <f t="shared" si="113"/>
        <v>10.1038--s41562-024-02062-9.pdf</v>
      </c>
      <c r="W1538" s="156" t="s">
        <v>8695</v>
      </c>
      <c r="X1538" s="51" t="str">
        <f t="array" ref="X1538"> if(iserror(MATCH(V1538, 'File Links'!C:C, 0)), "N/A", HYPERLINK(INDEX('File Links'!B:B, MATCH(V1538, 'File Links'!C:C, 0))))</f>
        <v>https://drive.google.com/file/d/1w8pcOEpgkXG4574TMp8vmQlQVMYXLL8c/view?usp=drivesdk</v>
      </c>
      <c r="Z1538" s="156" t="s">
        <v>219</v>
      </c>
      <c r="AA1538" s="156" t="s">
        <v>8792</v>
      </c>
      <c r="AB1538" s="156" t="s">
        <v>8793</v>
      </c>
      <c r="AC1538" s="156" t="s">
        <v>8794</v>
      </c>
      <c r="AD1538" s="156" t="s">
        <v>8795</v>
      </c>
      <c r="AE1538" s="153">
        <v>2.0</v>
      </c>
      <c r="AF1538" s="153">
        <v>92.0</v>
      </c>
      <c r="AG1538" s="156" t="s">
        <v>8796</v>
      </c>
      <c r="AH1538" s="156" t="s">
        <v>127</v>
      </c>
      <c r="AI1538" s="65"/>
      <c r="AJ1538" s="706">
        <v>0.04</v>
      </c>
      <c r="AK1538" s="54" t="s">
        <v>165</v>
      </c>
      <c r="AL1538" s="54" t="s">
        <v>179</v>
      </c>
      <c r="AM1538" s="1740" t="s">
        <v>130</v>
      </c>
      <c r="AN1538" s="58"/>
      <c r="AO1538" s="153">
        <v>503.0</v>
      </c>
      <c r="AP1538" s="153">
        <v>0.092</v>
      </c>
      <c r="AQ1538" s="156" t="s">
        <v>166</v>
      </c>
      <c r="AR1538" s="156" t="s">
        <v>2764</v>
      </c>
      <c r="AS1538" s="153">
        <v>0.605</v>
      </c>
      <c r="AT1538" s="156" t="s">
        <v>165</v>
      </c>
      <c r="AU1538" s="156" t="s">
        <v>129</v>
      </c>
      <c r="AV1538" s="1740" t="s">
        <v>130</v>
      </c>
      <c r="AW1538" s="65"/>
      <c r="AX1538" s="1740" t="s">
        <v>136</v>
      </c>
      <c r="AZ1538" s="185" t="s">
        <v>137</v>
      </c>
    </row>
    <row r="1539">
      <c r="A1539" s="41">
        <v>1539.0</v>
      </c>
      <c r="B1539" s="185" t="s">
        <v>145</v>
      </c>
      <c r="C1539" s="185" t="s">
        <v>108</v>
      </c>
      <c r="D1539" s="185" t="s">
        <v>1451</v>
      </c>
      <c r="E1539" s="186"/>
      <c r="F1539" s="187" t="s">
        <v>8797</v>
      </c>
      <c r="G1539" s="190" t="s">
        <v>8797</v>
      </c>
      <c r="H1539" s="195" t="s">
        <v>1511</v>
      </c>
      <c r="I1539" s="188">
        <v>45669.0</v>
      </c>
      <c r="J1539" s="1736">
        <v>45677.0</v>
      </c>
      <c r="K1539" s="195" t="s">
        <v>8798</v>
      </c>
      <c r="L1539" s="187"/>
      <c r="M1539" s="874" t="s">
        <v>8799</v>
      </c>
      <c r="N1539" s="1737" t="s">
        <v>8800</v>
      </c>
      <c r="O1539" s="755">
        <v>6.0</v>
      </c>
      <c r="P1539" s="974" t="str">
        <f> SUBSTITUTE(lower(N1539), "/", "--") &amp;  ".pdf"</f>
        <v>10.1073--pnas.1505067112.pdf</v>
      </c>
      <c r="Q1539" s="49" t="str">
        <f t="array" ref="Q1539"> if(iserror(MATCH(V1539, 'File Links'!C:C, 0)), "N/A", HYPERLINK(INDEX('File Links'!B:B, MATCH(P1539, 'File Links'!C:C, 0))))</f>
        <v>https://drive.google.com/file/d/1sCCY3KYGCCE3zAn1qtYymO7af6DAj-0M/view?usp=drivesdk</v>
      </c>
      <c r="R1539" s="192" t="s">
        <v>8801</v>
      </c>
      <c r="S1539" s="371" t="s">
        <v>8682</v>
      </c>
      <c r="T1539" s="874" t="s">
        <v>8683</v>
      </c>
      <c r="U1539" s="755">
        <v>1.0</v>
      </c>
      <c r="V1539" s="195" t="str">
        <f t="shared" si="113"/>
        <v>10.1038--s41562-024-02062-9.pdf</v>
      </c>
      <c r="W1539" s="195" t="s">
        <v>8802</v>
      </c>
      <c r="X1539" s="51" t="str">
        <f t="array" ref="X1539"> if(iserror(MATCH(V1539, 'File Links'!C:C, 0)), "N/A", HYPERLINK(INDEX('File Links'!B:B, MATCH(V1539, 'File Links'!C:C, 0))))</f>
        <v>https://drive.google.com/file/d/1w8pcOEpgkXG4574TMp8vmQlQVMYXLL8c/view?usp=drivesdk</v>
      </c>
      <c r="Z1539" s="195" t="s">
        <v>2038</v>
      </c>
      <c r="AA1539" s="195" t="s">
        <v>8803</v>
      </c>
      <c r="AB1539" s="195" t="s">
        <v>8804</v>
      </c>
      <c r="AC1539" s="195" t="s">
        <v>8805</v>
      </c>
      <c r="AD1539" s="195" t="s">
        <v>8806</v>
      </c>
      <c r="AE1539" s="755">
        <v>4.0</v>
      </c>
      <c r="AF1539" s="755">
        <v>198.0</v>
      </c>
      <c r="AG1539" s="195" t="s">
        <v>8807</v>
      </c>
      <c r="AH1539" s="195" t="s">
        <v>127</v>
      </c>
      <c r="AI1539" s="195" t="s">
        <v>489</v>
      </c>
      <c r="AJ1539" s="872">
        <v>0.001</v>
      </c>
      <c r="AK1539" s="55" t="s">
        <v>128</v>
      </c>
      <c r="AL1539" s="55" t="s">
        <v>179</v>
      </c>
      <c r="AM1539" s="187" t="s">
        <v>130</v>
      </c>
      <c r="AN1539" s="371" t="s">
        <v>131</v>
      </c>
      <c r="AO1539" s="755">
        <v>227.0</v>
      </c>
      <c r="AP1539" s="755">
        <v>0.599</v>
      </c>
      <c r="AQ1539" s="195" t="s">
        <v>166</v>
      </c>
      <c r="AR1539" s="195" t="s">
        <v>2764</v>
      </c>
      <c r="AS1539" s="755">
        <v>1.0E-4</v>
      </c>
      <c r="AT1539" s="195" t="s">
        <v>128</v>
      </c>
      <c r="AU1539" s="195" t="s">
        <v>129</v>
      </c>
      <c r="AV1539" s="187" t="s">
        <v>130</v>
      </c>
      <c r="AW1539" s="874" t="s">
        <v>8808</v>
      </c>
      <c r="AX1539" s="187" t="s">
        <v>136</v>
      </c>
      <c r="AY1539" s="186"/>
      <c r="AZ1539" s="185" t="s">
        <v>137</v>
      </c>
    </row>
    <row r="1540">
      <c r="A1540" s="41">
        <v>1540.0</v>
      </c>
      <c r="B1540" s="59" t="s">
        <v>107</v>
      </c>
      <c r="C1540" s="59" t="s">
        <v>108</v>
      </c>
      <c r="D1540" s="59" t="s">
        <v>1434</v>
      </c>
      <c r="F1540" s="65" t="s">
        <v>8797</v>
      </c>
      <c r="G1540" s="58" t="s">
        <v>8797</v>
      </c>
      <c r="H1540" s="156" t="s">
        <v>1437</v>
      </c>
      <c r="I1540" s="65"/>
      <c r="J1540" s="1736">
        <v>45677.0</v>
      </c>
      <c r="K1540" s="65"/>
      <c r="L1540" s="65"/>
      <c r="M1540" s="432" t="s">
        <v>8809</v>
      </c>
      <c r="N1540" s="1738" t="s">
        <v>8810</v>
      </c>
      <c r="O1540" s="65"/>
      <c r="P1540" s="1573" t="str">
        <f>SUBSTITUTE(LOWER(N1540), "/", "--") &amp;  ".pdf"</f>
        <v>10.1073--pnas.1505067112.pdf</v>
      </c>
      <c r="Q1540" s="49" t="str">
        <f t="array" ref="Q1540"> if(iserror(MATCH(V1540, 'File Links'!C:C, 0)), "N/A", HYPERLINK(INDEX('File Links'!B:B, MATCH(P1540, 'File Links'!C:C, 0))))</f>
        <v>https://drive.google.com/file/d/1sCCY3KYGCCE3zAn1qtYymO7af6DAj-0M/view?usp=drivesdk</v>
      </c>
      <c r="R1540" s="65" t="s">
        <v>8811</v>
      </c>
      <c r="S1540" s="126" t="s">
        <v>8682</v>
      </c>
      <c r="T1540" s="432" t="s">
        <v>8683</v>
      </c>
      <c r="U1540" s="153">
        <v>6.0</v>
      </c>
      <c r="V1540" s="195" t="str">
        <f t="shared" si="113"/>
        <v>10.1038--s41562-024-02062-9.pdf</v>
      </c>
      <c r="W1540" s="156" t="s">
        <v>8695</v>
      </c>
      <c r="X1540" s="51" t="str">
        <f t="array" ref="X1540"> if(iserror(MATCH(V1540, 'File Links'!C:C, 0)), "N/A", HYPERLINK(INDEX('File Links'!B:B, MATCH(V1540, 'File Links'!C:C, 0))))</f>
        <v>https://drive.google.com/file/d/1w8pcOEpgkXG4574TMp8vmQlQVMYXLL8c/view?usp=drivesdk</v>
      </c>
      <c r="Z1540" s="156" t="s">
        <v>219</v>
      </c>
      <c r="AA1540" s="156" t="s">
        <v>8812</v>
      </c>
      <c r="AB1540" s="156" t="s">
        <v>8813</v>
      </c>
      <c r="AC1540" s="156" t="s">
        <v>8814</v>
      </c>
      <c r="AD1540" s="156" t="s">
        <v>8815</v>
      </c>
      <c r="AE1540" s="153">
        <v>4.0</v>
      </c>
      <c r="AF1540" s="153">
        <v>198.0</v>
      </c>
      <c r="AG1540" s="156" t="s">
        <v>8807</v>
      </c>
      <c r="AH1540" s="156" t="s">
        <v>127</v>
      </c>
      <c r="AI1540" s="65"/>
      <c r="AJ1540" s="706">
        <v>0.001</v>
      </c>
      <c r="AK1540" s="54" t="s">
        <v>128</v>
      </c>
      <c r="AL1540" s="54" t="s">
        <v>179</v>
      </c>
      <c r="AM1540" s="1740" t="s">
        <v>130</v>
      </c>
      <c r="AN1540" s="58"/>
      <c r="AO1540" s="153">
        <v>227.0</v>
      </c>
      <c r="AP1540" s="153">
        <v>0.599</v>
      </c>
      <c r="AQ1540" s="156" t="s">
        <v>166</v>
      </c>
      <c r="AR1540" s="156" t="s">
        <v>2764</v>
      </c>
      <c r="AS1540" s="1741">
        <v>1.0E-5</v>
      </c>
      <c r="AT1540" s="156" t="s">
        <v>165</v>
      </c>
      <c r="AU1540" s="156" t="s">
        <v>129</v>
      </c>
      <c r="AV1540" s="1740" t="s">
        <v>130</v>
      </c>
      <c r="AW1540" s="65"/>
      <c r="AX1540" s="1740" t="s">
        <v>136</v>
      </c>
      <c r="AZ1540" s="185" t="s">
        <v>137</v>
      </c>
    </row>
    <row r="1541">
      <c r="A1541" s="41">
        <v>1541.0</v>
      </c>
      <c r="B1541" s="185" t="s">
        <v>145</v>
      </c>
      <c r="C1541" s="185" t="s">
        <v>108</v>
      </c>
      <c r="D1541" s="185" t="s">
        <v>1451</v>
      </c>
      <c r="E1541" s="186"/>
      <c r="F1541" s="187" t="s">
        <v>8816</v>
      </c>
      <c r="G1541" s="190" t="s">
        <v>8816</v>
      </c>
      <c r="H1541" s="195" t="s">
        <v>1511</v>
      </c>
      <c r="I1541" s="188">
        <v>45669.0</v>
      </c>
      <c r="J1541" s="1736">
        <v>45677.0</v>
      </c>
      <c r="K1541" s="195" t="s">
        <v>8817</v>
      </c>
      <c r="L1541" s="187"/>
      <c r="M1541" s="874" t="s">
        <v>8818</v>
      </c>
      <c r="N1541" s="1737" t="s">
        <v>8819</v>
      </c>
      <c r="O1541" s="755">
        <v>1.0</v>
      </c>
      <c r="P1541" s="974" t="str">
        <f> SUBSTITUTE(lower(N1541), "/", "--") &amp;  ".pdf"</f>
        <v>10.1073--pnas.1722664115.pdf</v>
      </c>
      <c r="Q1541" s="49" t="str">
        <f t="array" ref="Q1541"> if(iserror(MATCH(V1541, 'File Links'!C:C, 0)), "N/A", HYPERLINK(INDEX('File Links'!B:B, MATCH(P1541, 'File Links'!C:C, 0))))</f>
        <v>https://drive.google.com/file/d/1eLY3wQhNqme2S7a_tXRX4gHwGifvXW1x/view?usp=drivesdk</v>
      </c>
      <c r="R1541" s="192" t="s">
        <v>8820</v>
      </c>
      <c r="S1541" s="371" t="s">
        <v>8682</v>
      </c>
      <c r="T1541" s="874" t="s">
        <v>8683</v>
      </c>
      <c r="U1541" s="755">
        <v>1.0</v>
      </c>
      <c r="V1541" s="195" t="str">
        <f t="shared" si="113"/>
        <v>10.1038--s41562-024-02062-9.pdf</v>
      </c>
      <c r="W1541" s="195" t="s">
        <v>8821</v>
      </c>
      <c r="X1541" s="51" t="str">
        <f t="array" ref="X1541"> if(iserror(MATCH(V1541, 'File Links'!C:C, 0)), "N/A", HYPERLINK(INDEX('File Links'!B:B, MATCH(V1541, 'File Links'!C:C, 0))))</f>
        <v>https://drive.google.com/file/d/1w8pcOEpgkXG4574TMp8vmQlQVMYXLL8c/view?usp=drivesdk</v>
      </c>
      <c r="Z1541" s="195" t="s">
        <v>579</v>
      </c>
      <c r="AA1541" s="195" t="s">
        <v>8822</v>
      </c>
      <c r="AB1541" s="195" t="s">
        <v>8823</v>
      </c>
      <c r="AC1541" s="195" t="s">
        <v>8824</v>
      </c>
      <c r="AD1541" s="195" t="s">
        <v>8825</v>
      </c>
      <c r="AE1541" s="755">
        <v>3.0</v>
      </c>
      <c r="AF1541" s="1744">
        <v>24.0</v>
      </c>
      <c r="AG1541" s="1128" t="s">
        <v>8826</v>
      </c>
      <c r="AH1541" s="1287" t="s">
        <v>127</v>
      </c>
      <c r="AI1541" s="539"/>
      <c r="AJ1541" s="371" t="s">
        <v>131</v>
      </c>
      <c r="AK1541" s="371" t="s">
        <v>131</v>
      </c>
      <c r="AL1541" s="55" t="s">
        <v>179</v>
      </c>
      <c r="AM1541" s="371" t="s">
        <v>134</v>
      </c>
      <c r="AN1541" s="371" t="s">
        <v>131</v>
      </c>
      <c r="AO1541" s="755">
        <v>56.0</v>
      </c>
      <c r="AP1541" s="755">
        <v>-0.068</v>
      </c>
      <c r="AQ1541" s="195" t="s">
        <v>166</v>
      </c>
      <c r="AR1541" s="195" t="s">
        <v>2764</v>
      </c>
      <c r="AS1541" s="755">
        <v>0.904</v>
      </c>
      <c r="AT1541" s="195" t="s">
        <v>165</v>
      </c>
      <c r="AU1541" s="195" t="s">
        <v>129</v>
      </c>
      <c r="AV1541" s="187" t="s">
        <v>134</v>
      </c>
      <c r="AW1541" s="874" t="s">
        <v>8827</v>
      </c>
      <c r="AX1541" s="371" t="s">
        <v>136</v>
      </c>
      <c r="AY1541" s="186"/>
      <c r="AZ1541" s="185" t="s">
        <v>137</v>
      </c>
    </row>
    <row r="1542">
      <c r="A1542" s="41">
        <v>1542.0</v>
      </c>
      <c r="B1542" s="59" t="s">
        <v>107</v>
      </c>
      <c r="C1542" s="59" t="s">
        <v>108</v>
      </c>
      <c r="D1542" s="59" t="s">
        <v>1434</v>
      </c>
      <c r="F1542" s="65" t="s">
        <v>8816</v>
      </c>
      <c r="G1542" s="58" t="s">
        <v>8816</v>
      </c>
      <c r="H1542" s="156" t="s">
        <v>1437</v>
      </c>
      <c r="I1542" s="65"/>
      <c r="J1542" s="1736">
        <v>45677.0</v>
      </c>
      <c r="K1542" s="156" t="s">
        <v>8828</v>
      </c>
      <c r="L1542" s="65"/>
      <c r="M1542" s="432" t="s">
        <v>8829</v>
      </c>
      <c r="N1542" s="1738" t="s">
        <v>8830</v>
      </c>
      <c r="O1542" s="65"/>
      <c r="P1542" s="1573" t="str">
        <f>SUBSTITUTE(LOWER(N1542), "/", "--") &amp;  ".pdf"</f>
        <v>10.1073--pnas.1722664115.pdf</v>
      </c>
      <c r="Q1542" s="49" t="str">
        <f t="array" ref="Q1542"> if(iserror(MATCH(V1542, 'File Links'!C:C, 0)), "N/A", HYPERLINK(INDEX('File Links'!B:B, MATCH(P1542, 'File Links'!C:C, 0))))</f>
        <v>https://drive.google.com/file/d/1eLY3wQhNqme2S7a_tXRX4gHwGifvXW1x/view?usp=drivesdk</v>
      </c>
      <c r="R1542" s="65" t="s">
        <v>8831</v>
      </c>
      <c r="S1542" s="126" t="s">
        <v>8682</v>
      </c>
      <c r="T1542" s="432" t="s">
        <v>8683</v>
      </c>
      <c r="U1542" s="65"/>
      <c r="V1542" s="195" t="str">
        <f t="shared" si="113"/>
        <v>10.1038--s41562-024-02062-9.pdf</v>
      </c>
      <c r="W1542" s="156" t="s">
        <v>8695</v>
      </c>
      <c r="X1542" s="51" t="str">
        <f t="array" ref="X1542"> if(iserror(MATCH(V1542, 'File Links'!C:C, 0)), "N/A", HYPERLINK(INDEX('File Links'!B:B, MATCH(V1542, 'File Links'!C:C, 0))))</f>
        <v>https://drive.google.com/file/d/1w8pcOEpgkXG4574TMp8vmQlQVMYXLL8c/view?usp=drivesdk</v>
      </c>
      <c r="Z1542" s="156" t="s">
        <v>579</v>
      </c>
      <c r="AA1542" s="156" t="s">
        <v>8832</v>
      </c>
      <c r="AB1542" s="156" t="s">
        <v>8833</v>
      </c>
      <c r="AC1542" s="156" t="s">
        <v>8834</v>
      </c>
      <c r="AD1542" s="156" t="s">
        <v>8835</v>
      </c>
      <c r="AE1542" s="153">
        <v>3.0</v>
      </c>
      <c r="AF1542" s="153">
        <v>24.0</v>
      </c>
      <c r="AG1542" s="156" t="s">
        <v>8836</v>
      </c>
      <c r="AH1542" s="156" t="s">
        <v>127</v>
      </c>
      <c r="AI1542" s="65"/>
      <c r="AJ1542" s="706">
        <v>0.0013</v>
      </c>
      <c r="AK1542" s="54" t="s">
        <v>165</v>
      </c>
      <c r="AL1542" s="54" t="s">
        <v>179</v>
      </c>
      <c r="AM1542" s="1740" t="s">
        <v>134</v>
      </c>
      <c r="AN1542" s="58"/>
      <c r="AO1542" s="153">
        <v>56.0</v>
      </c>
      <c r="AP1542" s="153">
        <v>-0.068</v>
      </c>
      <c r="AQ1542" s="156" t="s">
        <v>166</v>
      </c>
      <c r="AR1542" s="156" t="s">
        <v>2764</v>
      </c>
      <c r="AS1542" s="153">
        <v>0.799</v>
      </c>
      <c r="AT1542" s="156" t="s">
        <v>165</v>
      </c>
      <c r="AU1542" s="156" t="s">
        <v>129</v>
      </c>
      <c r="AV1542" s="1740" t="s">
        <v>134</v>
      </c>
      <c r="AW1542" s="65"/>
      <c r="AX1542" s="1740" t="s">
        <v>136</v>
      </c>
      <c r="AZ1542" s="185" t="s">
        <v>137</v>
      </c>
    </row>
    <row r="1543">
      <c r="A1543" s="41">
        <v>1543.0</v>
      </c>
      <c r="B1543" s="185" t="s">
        <v>145</v>
      </c>
      <c r="C1543" s="185" t="s">
        <v>108</v>
      </c>
      <c r="D1543" s="185" t="s">
        <v>1451</v>
      </c>
      <c r="E1543" s="186"/>
      <c r="F1543" s="187" t="s">
        <v>8837</v>
      </c>
      <c r="G1543" s="190" t="s">
        <v>8837</v>
      </c>
      <c r="H1543" s="195" t="s">
        <v>1511</v>
      </c>
      <c r="I1543" s="188">
        <v>45669.0</v>
      </c>
      <c r="J1543" s="1736">
        <v>45677.0</v>
      </c>
      <c r="K1543" s="195" t="s">
        <v>8838</v>
      </c>
      <c r="L1543" s="187"/>
      <c r="M1543" s="874" t="s">
        <v>8839</v>
      </c>
      <c r="N1543" s="1737" t="s">
        <v>8840</v>
      </c>
      <c r="O1543" s="755">
        <v>6.0</v>
      </c>
      <c r="P1543" s="974" t="str">
        <f> SUBSTITUTE(lower(N1543), "/", "--") &amp;  ".pdf"</f>
        <v>10.1073--pnas.1620542114.pdf</v>
      </c>
      <c r="Q1543" s="49" t="str">
        <f t="array" ref="Q1543"> if(iserror(MATCH(V1543, 'File Links'!C:C, 0)), "N/A", HYPERLINK(INDEX('File Links'!B:B, MATCH(P1543, 'File Links'!C:C, 0))))</f>
        <v>https://drive.google.com/file/d/1n72rgjSW6FtAclFquHlO8O2BBvlTnJas/view?usp=drivesdk</v>
      </c>
      <c r="R1543" s="192" t="s">
        <v>8841</v>
      </c>
      <c r="S1543" s="371" t="s">
        <v>8682</v>
      </c>
      <c r="T1543" s="874" t="s">
        <v>8683</v>
      </c>
      <c r="U1543" s="755">
        <v>1.0</v>
      </c>
      <c r="V1543" s="195" t="str">
        <f t="shared" si="113"/>
        <v>10.1038--s41562-024-02062-9.pdf</v>
      </c>
      <c r="W1543" s="195" t="s">
        <v>8842</v>
      </c>
      <c r="X1543" s="51" t="str">
        <f t="array" ref="X1543"> if(iserror(MATCH(V1543, 'File Links'!C:C, 0)), "N/A", HYPERLINK(INDEX('File Links'!B:B, MATCH(V1543, 'File Links'!C:C, 0))))</f>
        <v>https://drive.google.com/file/d/1w8pcOEpgkXG4574TMp8vmQlQVMYXLL8c/view?usp=drivesdk</v>
      </c>
      <c r="Z1543" s="195" t="s">
        <v>219</v>
      </c>
      <c r="AA1543" s="195" t="s">
        <v>8843</v>
      </c>
      <c r="AB1543" s="195" t="s">
        <v>8844</v>
      </c>
      <c r="AC1543" s="195" t="s">
        <v>8845</v>
      </c>
      <c r="AD1543" s="195" t="s">
        <v>8846</v>
      </c>
      <c r="AE1543" s="755">
        <v>3.0</v>
      </c>
      <c r="AF1543" s="755">
        <v>408.0</v>
      </c>
      <c r="AG1543" s="755">
        <v>0.2</v>
      </c>
      <c r="AH1543" s="195" t="s">
        <v>166</v>
      </c>
      <c r="AI1543" s="539"/>
      <c r="AJ1543" s="872">
        <v>0.032</v>
      </c>
      <c r="AK1543" s="55" t="s">
        <v>165</v>
      </c>
      <c r="AL1543" s="55" t="s">
        <v>179</v>
      </c>
      <c r="AM1543" s="187" t="s">
        <v>134</v>
      </c>
      <c r="AN1543" s="372" t="s">
        <v>8847</v>
      </c>
      <c r="AO1543" s="755">
        <v>2213.0</v>
      </c>
      <c r="AP1543" s="755">
        <v>0.145</v>
      </c>
      <c r="AQ1543" s="195" t="s">
        <v>166</v>
      </c>
      <c r="AR1543" s="195" t="s">
        <v>2764</v>
      </c>
      <c r="AS1543" s="755">
        <v>0.001</v>
      </c>
      <c r="AT1543" s="195" t="s">
        <v>128</v>
      </c>
      <c r="AU1543" s="195" t="s">
        <v>129</v>
      </c>
      <c r="AV1543" s="187" t="s">
        <v>134</v>
      </c>
      <c r="AW1543" s="874" t="s">
        <v>8848</v>
      </c>
      <c r="AX1543" s="187" t="s">
        <v>136</v>
      </c>
      <c r="AY1543" s="186"/>
      <c r="AZ1543" s="185" t="s">
        <v>137</v>
      </c>
    </row>
    <row r="1544">
      <c r="A1544" s="41">
        <v>1544.0</v>
      </c>
      <c r="B1544" s="59" t="s">
        <v>107</v>
      </c>
      <c r="C1544" s="59" t="s">
        <v>108</v>
      </c>
      <c r="D1544" s="59" t="s">
        <v>1434</v>
      </c>
      <c r="F1544" s="65" t="s">
        <v>8837</v>
      </c>
      <c r="G1544" s="58" t="s">
        <v>8837</v>
      </c>
      <c r="H1544" s="156" t="s">
        <v>1437</v>
      </c>
      <c r="I1544" s="65"/>
      <c r="J1544" s="1736">
        <v>45677.0</v>
      </c>
      <c r="K1544" s="156" t="s">
        <v>8849</v>
      </c>
      <c r="L1544" s="65"/>
      <c r="M1544" s="432" t="s">
        <v>8850</v>
      </c>
      <c r="N1544" s="1738" t="s">
        <v>8851</v>
      </c>
      <c r="O1544" s="65"/>
      <c r="P1544" s="1573" t="str">
        <f>SUBSTITUTE(LOWER(N1544), "/", "--") &amp;  ".pdf"</f>
        <v>10.1073--pnas.1620542114.pdf</v>
      </c>
      <c r="Q1544" s="49" t="str">
        <f t="array" ref="Q1544"> if(iserror(MATCH(V1544, 'File Links'!C:C, 0)), "N/A", HYPERLINK(INDEX('File Links'!B:B, MATCH(P1544, 'File Links'!C:C, 0))))</f>
        <v>https://drive.google.com/file/d/1n72rgjSW6FtAclFquHlO8O2BBvlTnJas/view?usp=drivesdk</v>
      </c>
      <c r="R1544" s="65" t="s">
        <v>8852</v>
      </c>
      <c r="S1544" s="126" t="s">
        <v>8682</v>
      </c>
      <c r="T1544" s="432" t="s">
        <v>8683</v>
      </c>
      <c r="U1544" s="153">
        <v>4.0</v>
      </c>
      <c r="V1544" s="195" t="str">
        <f t="shared" si="113"/>
        <v>10.1038--s41562-024-02062-9.pdf</v>
      </c>
      <c r="W1544" s="156" t="s">
        <v>8695</v>
      </c>
      <c r="X1544" s="51" t="str">
        <f t="array" ref="X1544"> if(iserror(MATCH(V1544, 'File Links'!C:C, 0)), "N/A", HYPERLINK(INDEX('File Links'!B:B, MATCH(V1544, 'File Links'!C:C, 0))))</f>
        <v>https://drive.google.com/file/d/1w8pcOEpgkXG4574TMp8vmQlQVMYXLL8c/view?usp=drivesdk</v>
      </c>
      <c r="Z1544" s="156" t="s">
        <v>219</v>
      </c>
      <c r="AA1544" s="156" t="s">
        <v>8853</v>
      </c>
      <c r="AB1544" s="156" t="s">
        <v>8854</v>
      </c>
      <c r="AC1544" s="156" t="s">
        <v>8855</v>
      </c>
      <c r="AD1544" s="156" t="s">
        <v>8856</v>
      </c>
      <c r="AE1544" s="156" t="s">
        <v>8857</v>
      </c>
      <c r="AF1544" s="153">
        <v>408.0</v>
      </c>
      <c r="AG1544" s="156" t="s">
        <v>8858</v>
      </c>
      <c r="AH1544" s="156" t="s">
        <v>127</v>
      </c>
      <c r="AI1544" s="65"/>
      <c r="AJ1544" s="706">
        <v>0.032</v>
      </c>
      <c r="AK1544" s="54" t="s">
        <v>165</v>
      </c>
      <c r="AL1544" s="54" t="s">
        <v>179</v>
      </c>
      <c r="AM1544" s="1740" t="s">
        <v>134</v>
      </c>
      <c r="AN1544" s="58"/>
      <c r="AO1544" s="153">
        <v>2213.0</v>
      </c>
      <c r="AP1544" s="153">
        <v>0.145</v>
      </c>
      <c r="AQ1544" s="156" t="s">
        <v>166</v>
      </c>
      <c r="AR1544" s="156" t="s">
        <v>2764</v>
      </c>
      <c r="AS1544" s="1741">
        <v>8.9E-12</v>
      </c>
      <c r="AT1544" s="156" t="s">
        <v>165</v>
      </c>
      <c r="AU1544" s="156" t="s">
        <v>129</v>
      </c>
      <c r="AV1544" s="1740" t="s">
        <v>134</v>
      </c>
      <c r="AW1544" s="65"/>
      <c r="AX1544" s="1740" t="s">
        <v>136</v>
      </c>
      <c r="AZ1544" s="185" t="s">
        <v>137</v>
      </c>
    </row>
    <row r="1545">
      <c r="A1545" s="41">
        <v>1545.0</v>
      </c>
      <c r="B1545" s="185" t="s">
        <v>145</v>
      </c>
      <c r="C1545" s="185" t="s">
        <v>108</v>
      </c>
      <c r="D1545" s="185" t="s">
        <v>1451</v>
      </c>
      <c r="E1545" s="186"/>
      <c r="F1545" s="187" t="s">
        <v>8859</v>
      </c>
      <c r="G1545" s="190" t="s">
        <v>8859</v>
      </c>
      <c r="H1545" s="195" t="s">
        <v>1511</v>
      </c>
      <c r="I1545" s="188">
        <v>45669.0</v>
      </c>
      <c r="J1545" s="1736">
        <v>45677.0</v>
      </c>
      <c r="K1545" s="195" t="s">
        <v>8860</v>
      </c>
      <c r="L1545" s="187"/>
      <c r="M1545" s="874" t="s">
        <v>8861</v>
      </c>
      <c r="N1545" s="1737" t="s">
        <v>8862</v>
      </c>
      <c r="O1545" s="755">
        <v>6.0</v>
      </c>
      <c r="P1545" s="974" t="str">
        <f> SUBSTITUTE(lower(N1545), "/", "--") &amp;  ".pdf"</f>
        <v>10.1073--pnas.1701916114.pdf</v>
      </c>
      <c r="Q1545" s="49" t="str">
        <f t="array" ref="Q1545"> if(iserror(MATCH(V1545, 'File Links'!C:C, 0)), "N/A", HYPERLINK(INDEX('File Links'!B:B, MATCH(P1545, 'File Links'!C:C, 0))))</f>
        <v>https://drive.google.com/file/d/1AHAkX3IHAtNC1ywt3EKJgEjl7TvUilkM/view?usp=drivesdk</v>
      </c>
      <c r="R1545" s="192" t="s">
        <v>8863</v>
      </c>
      <c r="S1545" s="371" t="s">
        <v>8682</v>
      </c>
      <c r="T1545" s="874" t="s">
        <v>8683</v>
      </c>
      <c r="U1545" s="755">
        <v>1.0</v>
      </c>
      <c r="V1545" s="195" t="str">
        <f t="shared" si="113"/>
        <v>10.1038--s41562-024-02062-9.pdf</v>
      </c>
      <c r="W1545" s="195" t="s">
        <v>8864</v>
      </c>
      <c r="X1545" s="51" t="str">
        <f t="array" ref="X1545"> if(iserror(MATCH(V1545, 'File Links'!C:C, 0)), "N/A", HYPERLINK(INDEX('File Links'!B:B, MATCH(V1545, 'File Links'!C:C, 0))))</f>
        <v>https://drive.google.com/file/d/1w8pcOEpgkXG4574TMp8vmQlQVMYXLL8c/view?usp=drivesdk</v>
      </c>
      <c r="Z1545" s="195" t="s">
        <v>219</v>
      </c>
      <c r="AA1545" s="195" t="s">
        <v>8865</v>
      </c>
      <c r="AB1545" s="195" t="s">
        <v>8866</v>
      </c>
      <c r="AC1545" s="195" t="s">
        <v>8867</v>
      </c>
      <c r="AD1545" s="195" t="s">
        <v>8868</v>
      </c>
      <c r="AE1545" s="755">
        <v>3.0</v>
      </c>
      <c r="AF1545" s="755">
        <v>504.0</v>
      </c>
      <c r="AG1545" s="755">
        <v>0.19</v>
      </c>
      <c r="AH1545" s="195" t="s">
        <v>166</v>
      </c>
      <c r="AI1545" s="195" t="s">
        <v>500</v>
      </c>
      <c r="AJ1545" s="872">
        <v>0.036</v>
      </c>
      <c r="AK1545" s="55" t="s">
        <v>165</v>
      </c>
      <c r="AL1545" s="55" t="s">
        <v>179</v>
      </c>
      <c r="AM1545" s="187" t="s">
        <v>130</v>
      </c>
      <c r="AN1545" s="372" t="s">
        <v>8869</v>
      </c>
      <c r="AO1545" s="755">
        <v>2822.0</v>
      </c>
      <c r="AP1545" s="755">
        <v>0.138</v>
      </c>
      <c r="AQ1545" s="195" t="s">
        <v>166</v>
      </c>
      <c r="AR1545" s="195" t="s">
        <v>500</v>
      </c>
      <c r="AS1545" s="755">
        <v>0.001</v>
      </c>
      <c r="AT1545" s="195" t="s">
        <v>128</v>
      </c>
      <c r="AU1545" s="195" t="s">
        <v>129</v>
      </c>
      <c r="AV1545" s="187" t="s">
        <v>130</v>
      </c>
      <c r="AW1545" s="874" t="s">
        <v>8870</v>
      </c>
      <c r="AX1545" s="187" t="s">
        <v>136</v>
      </c>
      <c r="AY1545" s="186"/>
      <c r="AZ1545" s="185" t="s">
        <v>137</v>
      </c>
    </row>
    <row r="1546">
      <c r="A1546" s="41">
        <v>1546.0</v>
      </c>
      <c r="B1546" s="59" t="s">
        <v>107</v>
      </c>
      <c r="C1546" s="59" t="s">
        <v>108</v>
      </c>
      <c r="D1546" s="59" t="s">
        <v>1434</v>
      </c>
      <c r="F1546" s="65" t="s">
        <v>8859</v>
      </c>
      <c r="G1546" s="58" t="s">
        <v>8859</v>
      </c>
      <c r="H1546" s="156" t="s">
        <v>1437</v>
      </c>
      <c r="I1546" s="65"/>
      <c r="J1546" s="1736">
        <v>45677.0</v>
      </c>
      <c r="K1546" s="65"/>
      <c r="L1546" s="65"/>
      <c r="M1546" s="432" t="s">
        <v>8871</v>
      </c>
      <c r="N1546" s="1738" t="s">
        <v>8872</v>
      </c>
      <c r="O1546" s="65"/>
      <c r="P1546" s="1573" t="str">
        <f>SUBSTITUTE(LOWER(N1546), "/", "--") &amp;  ".pdf"</f>
        <v>10.1073--pnas.1701916114.pdf</v>
      </c>
      <c r="Q1546" s="49" t="str">
        <f t="array" ref="Q1546"> if(iserror(MATCH(V1546, 'File Links'!C:C, 0)), "N/A", HYPERLINK(INDEX('File Links'!B:B, MATCH(P1546, 'File Links'!C:C, 0))))</f>
        <v>https://drive.google.com/file/d/1AHAkX3IHAtNC1ywt3EKJgEjl7TvUilkM/view?usp=drivesdk</v>
      </c>
      <c r="R1546" s="65" t="s">
        <v>8873</v>
      </c>
      <c r="S1546" s="126" t="s">
        <v>8682</v>
      </c>
      <c r="T1546" s="432" t="s">
        <v>8683</v>
      </c>
      <c r="U1546" s="156" t="s">
        <v>8874</v>
      </c>
      <c r="V1546" s="195" t="str">
        <f t="shared" si="113"/>
        <v>10.1038--s41562-024-02062-9.pdf</v>
      </c>
      <c r="W1546" s="156" t="s">
        <v>8695</v>
      </c>
      <c r="X1546" s="51" t="str">
        <f t="array" ref="X1546"> if(iserror(MATCH(V1546, 'File Links'!C:C, 0)), "N/A", HYPERLINK(INDEX('File Links'!B:B, MATCH(V1546, 'File Links'!C:C, 0))))</f>
        <v>https://drive.google.com/file/d/1w8pcOEpgkXG4574TMp8vmQlQVMYXLL8c/view?usp=drivesdk</v>
      </c>
      <c r="Z1546" s="156" t="s">
        <v>219</v>
      </c>
      <c r="AA1546" s="156" t="s">
        <v>8875</v>
      </c>
      <c r="AB1546" s="156" t="s">
        <v>8876</v>
      </c>
      <c r="AC1546" s="156" t="s">
        <v>8877</v>
      </c>
      <c r="AD1546" s="156" t="s">
        <v>8878</v>
      </c>
      <c r="AE1546" s="153">
        <v>3.0</v>
      </c>
      <c r="AF1546" s="153">
        <v>504.0</v>
      </c>
      <c r="AG1546" s="156" t="s">
        <v>8879</v>
      </c>
      <c r="AH1546" s="156" t="s">
        <v>127</v>
      </c>
      <c r="AI1546" s="65"/>
      <c r="AJ1546" s="706">
        <v>0.036</v>
      </c>
      <c r="AK1546" s="54" t="s">
        <v>165</v>
      </c>
      <c r="AL1546" s="54" t="s">
        <v>179</v>
      </c>
      <c r="AM1546" s="1740" t="s">
        <v>134</v>
      </c>
      <c r="AN1546" s="58"/>
      <c r="AO1546" s="153">
        <v>2822.0</v>
      </c>
      <c r="AP1546" s="153">
        <v>0.138</v>
      </c>
      <c r="AQ1546" s="156" t="s">
        <v>166</v>
      </c>
      <c r="AR1546" s="156" t="s">
        <v>500</v>
      </c>
      <c r="AS1546" s="1741">
        <v>2.6E-4</v>
      </c>
      <c r="AT1546" s="156" t="s">
        <v>165</v>
      </c>
      <c r="AU1546" s="156" t="s">
        <v>129</v>
      </c>
      <c r="AV1546" s="1740" t="s">
        <v>134</v>
      </c>
      <c r="AW1546" s="65"/>
      <c r="AX1546" s="1740" t="s">
        <v>136</v>
      </c>
      <c r="AZ1546" s="185" t="s">
        <v>137</v>
      </c>
    </row>
    <row r="1547">
      <c r="A1547" s="41">
        <v>1547.0</v>
      </c>
      <c r="B1547" s="185" t="s">
        <v>145</v>
      </c>
      <c r="C1547" s="185" t="s">
        <v>108</v>
      </c>
      <c r="D1547" s="185" t="s">
        <v>1451</v>
      </c>
      <c r="E1547" s="186"/>
      <c r="F1547" s="187" t="s">
        <v>8880</v>
      </c>
      <c r="G1547" s="190" t="s">
        <v>8880</v>
      </c>
      <c r="H1547" s="195" t="s">
        <v>1511</v>
      </c>
      <c r="I1547" s="188">
        <v>45669.0</v>
      </c>
      <c r="J1547" s="1736">
        <v>45677.0</v>
      </c>
      <c r="K1547" s="195" t="s">
        <v>8881</v>
      </c>
      <c r="L1547" s="187"/>
      <c r="M1547" s="874" t="s">
        <v>8882</v>
      </c>
      <c r="N1547" s="1737" t="s">
        <v>8883</v>
      </c>
      <c r="O1547" s="755">
        <v>2.0</v>
      </c>
      <c r="P1547" s="974" t="str">
        <f> SUBSTITUTE(lower(N1547), "/", "--") &amp;  ".pdf"</f>
        <v>10.1073--pnas.1511536112.pdf</v>
      </c>
      <c r="Q1547" s="49" t="str">
        <f t="array" ref="Q1547"> if(iserror(MATCH(V1547, 'File Links'!C:C, 0)), "N/A", HYPERLINK(INDEX('File Links'!B:B, MATCH(P1547, 'File Links'!C:C, 0))))</f>
        <v>https://drive.google.com/file/d/1wOKjiL59sTbYJAZUPb-UPMjoPu-4HWDV/view?usp=drivesdk</v>
      </c>
      <c r="R1547" s="192" t="s">
        <v>8884</v>
      </c>
      <c r="S1547" s="371" t="s">
        <v>8682</v>
      </c>
      <c r="T1547" s="791" t="s">
        <v>8683</v>
      </c>
      <c r="U1547" s="755">
        <v>1.0</v>
      </c>
      <c r="V1547" s="195" t="str">
        <f t="shared" si="113"/>
        <v>10.1038--s41562-024-02062-9.pdf</v>
      </c>
      <c r="W1547" s="195" t="s">
        <v>8885</v>
      </c>
      <c r="X1547" s="51" t="str">
        <f t="array" ref="X1547"> if(iserror(MATCH(V1547, 'File Links'!C:C, 0)), "N/A", HYPERLINK(INDEX('File Links'!B:B, MATCH(V1547, 'File Links'!C:C, 0))))</f>
        <v>https://drive.google.com/file/d/1w8pcOEpgkXG4574TMp8vmQlQVMYXLL8c/view?usp=drivesdk</v>
      </c>
      <c r="Z1547" s="195" t="s">
        <v>1802</v>
      </c>
      <c r="AA1547" s="195" t="s">
        <v>8886</v>
      </c>
      <c r="AB1547" s="195" t="s">
        <v>8887</v>
      </c>
      <c r="AC1547" s="195" t="s">
        <v>8888</v>
      </c>
      <c r="AD1547" s="195" t="s">
        <v>8889</v>
      </c>
      <c r="AE1547" s="755">
        <v>3.0</v>
      </c>
      <c r="AF1547" s="755">
        <v>704.0</v>
      </c>
      <c r="AG1547" s="195" t="s">
        <v>8890</v>
      </c>
      <c r="AH1547" s="195" t="s">
        <v>127</v>
      </c>
      <c r="AI1547" s="195" t="s">
        <v>500</v>
      </c>
      <c r="AJ1547" s="872">
        <v>0.05</v>
      </c>
      <c r="AK1547" s="55" t="s">
        <v>128</v>
      </c>
      <c r="AL1547" s="55" t="s">
        <v>179</v>
      </c>
      <c r="AM1547" s="368" t="s">
        <v>130</v>
      </c>
      <c r="AN1547" s="371" t="s">
        <v>131</v>
      </c>
      <c r="AO1547" s="755">
        <v>3653.0</v>
      </c>
      <c r="AP1547" s="755">
        <v>-0.013</v>
      </c>
      <c r="AQ1547" s="195" t="s">
        <v>166</v>
      </c>
      <c r="AR1547" s="195" t="s">
        <v>500</v>
      </c>
      <c r="AS1547" s="755">
        <v>0.841</v>
      </c>
      <c r="AT1547" s="195" t="s">
        <v>165</v>
      </c>
      <c r="AU1547" s="195" t="s">
        <v>129</v>
      </c>
      <c r="AV1547" s="368" t="s">
        <v>130</v>
      </c>
      <c r="AW1547" s="874" t="s">
        <v>8891</v>
      </c>
      <c r="AX1547" s="187" t="s">
        <v>136</v>
      </c>
      <c r="AY1547" s="186"/>
      <c r="AZ1547" s="185" t="s">
        <v>137</v>
      </c>
    </row>
    <row r="1548">
      <c r="A1548" s="41">
        <v>1548.0</v>
      </c>
      <c r="B1548" s="59" t="s">
        <v>107</v>
      </c>
      <c r="C1548" s="59" t="s">
        <v>108</v>
      </c>
      <c r="D1548" s="59" t="s">
        <v>1434</v>
      </c>
      <c r="F1548" s="65" t="s">
        <v>8880</v>
      </c>
      <c r="G1548" s="58" t="s">
        <v>8880</v>
      </c>
      <c r="H1548" s="156" t="s">
        <v>1437</v>
      </c>
      <c r="I1548" s="65"/>
      <c r="J1548" s="1736">
        <v>45677.0</v>
      </c>
      <c r="K1548" s="156" t="s">
        <v>8892</v>
      </c>
      <c r="L1548" s="65"/>
      <c r="M1548" s="432" t="s">
        <v>8893</v>
      </c>
      <c r="N1548" s="1738" t="s">
        <v>8894</v>
      </c>
      <c r="O1548" s="65"/>
      <c r="P1548" s="1573" t="str">
        <f>SUBSTITUTE(LOWER(N1548), "/", "--") &amp;  ".pdf"</f>
        <v>10.1073--pnas.1511536112.pdf</v>
      </c>
      <c r="Q1548" s="49" t="str">
        <f t="array" ref="Q1548"> if(iserror(MATCH(V1548, 'File Links'!C:C, 0)), "N/A", HYPERLINK(INDEX('File Links'!B:B, MATCH(P1548, 'File Links'!C:C, 0))))</f>
        <v>https://drive.google.com/file/d/1wOKjiL59sTbYJAZUPb-UPMjoPu-4HWDV/view?usp=drivesdk</v>
      </c>
      <c r="R1548" s="65" t="s">
        <v>8895</v>
      </c>
      <c r="S1548" s="126" t="s">
        <v>8682</v>
      </c>
      <c r="T1548" s="432" t="s">
        <v>8683</v>
      </c>
      <c r="U1548" s="65"/>
      <c r="V1548" s="195" t="str">
        <f t="shared" si="113"/>
        <v>10.1038--s41562-024-02062-9.pdf</v>
      </c>
      <c r="W1548" s="156" t="s">
        <v>8695</v>
      </c>
      <c r="X1548" s="51" t="str">
        <f t="array" ref="X1548"> if(iserror(MATCH(V1548, 'File Links'!C:C, 0)), "N/A", HYPERLINK(INDEX('File Links'!B:B, MATCH(V1548, 'File Links'!C:C, 0))))</f>
        <v>https://drive.google.com/file/d/1w8pcOEpgkXG4574TMp8vmQlQVMYXLL8c/view?usp=drivesdk</v>
      </c>
      <c r="Z1548" s="156" t="s">
        <v>219</v>
      </c>
      <c r="AA1548" s="156" t="s">
        <v>8896</v>
      </c>
      <c r="AB1548" s="156" t="s">
        <v>8897</v>
      </c>
      <c r="AC1548" s="156" t="s">
        <v>8898</v>
      </c>
      <c r="AD1548" s="156" t="s">
        <v>8899</v>
      </c>
      <c r="AE1548" s="153">
        <v>3.0</v>
      </c>
      <c r="AF1548" s="153">
        <v>704.0</v>
      </c>
      <c r="AG1548" s="156" t="s">
        <v>8900</v>
      </c>
      <c r="AH1548" s="156" t="s">
        <v>127</v>
      </c>
      <c r="AI1548" s="65"/>
      <c r="AJ1548" s="706">
        <v>0.05</v>
      </c>
      <c r="AK1548" s="54" t="s">
        <v>128</v>
      </c>
      <c r="AL1548" s="54" t="s">
        <v>179</v>
      </c>
      <c r="AM1548" s="1740" t="s">
        <v>130</v>
      </c>
      <c r="AN1548" s="58"/>
      <c r="AO1548" s="153">
        <v>3653.0</v>
      </c>
      <c r="AP1548" s="153">
        <v>-0.013</v>
      </c>
      <c r="AQ1548" s="156" t="s">
        <v>166</v>
      </c>
      <c r="AR1548" s="156" t="s">
        <v>500</v>
      </c>
      <c r="AS1548" s="153">
        <v>0.841</v>
      </c>
      <c r="AT1548" s="156" t="s">
        <v>165</v>
      </c>
      <c r="AU1548" s="156" t="s">
        <v>129</v>
      </c>
      <c r="AV1548" s="1740" t="s">
        <v>130</v>
      </c>
      <c r="AW1548" s="65"/>
      <c r="AX1548" s="1740" t="s">
        <v>136</v>
      </c>
      <c r="AZ1548" s="185" t="s">
        <v>137</v>
      </c>
    </row>
    <row r="1549">
      <c r="A1549" s="41">
        <v>1549.0</v>
      </c>
      <c r="B1549" s="185" t="s">
        <v>145</v>
      </c>
      <c r="C1549" s="185" t="s">
        <v>108</v>
      </c>
      <c r="D1549" s="185" t="s">
        <v>1451</v>
      </c>
      <c r="E1549" s="186"/>
      <c r="F1549" s="187" t="s">
        <v>8901</v>
      </c>
      <c r="G1549" s="190" t="s">
        <v>8901</v>
      </c>
      <c r="H1549" s="195" t="s">
        <v>1511</v>
      </c>
      <c r="I1549" s="188">
        <v>45669.0</v>
      </c>
      <c r="J1549" s="1736">
        <v>45677.0</v>
      </c>
      <c r="K1549" s="990" t="s">
        <v>8902</v>
      </c>
      <c r="L1549" s="187"/>
      <c r="M1549" s="874" t="s">
        <v>8903</v>
      </c>
      <c r="N1549" s="1737" t="s">
        <v>8904</v>
      </c>
      <c r="O1549" s="755">
        <v>3.0</v>
      </c>
      <c r="P1549" s="974" t="str">
        <f> SUBSTITUTE(lower(N1549), "/", "--") &amp;  ".pdf"</f>
        <v>10.1073--pnas.1508932113.pdf</v>
      </c>
      <c r="Q1549" s="49" t="str">
        <f t="array" ref="Q1549"> if(iserror(MATCH(V1549, 'File Links'!C:C, 0)), "N/A", HYPERLINK(INDEX('File Links'!B:B, MATCH(P1549, 'File Links'!C:C, 0))))</f>
        <v>https://drive.google.com/file/d/1GUMHnYj_hycM2gMFNTbvEGwdonZHVaEU/view?usp=drivesdk</v>
      </c>
      <c r="R1549" s="192" t="s">
        <v>8905</v>
      </c>
      <c r="S1549" s="371" t="s">
        <v>8682</v>
      </c>
      <c r="T1549" s="874" t="s">
        <v>8683</v>
      </c>
      <c r="U1549" s="755">
        <v>1.0</v>
      </c>
      <c r="V1549" s="195" t="str">
        <f t="shared" si="113"/>
        <v>10.1038--s41562-024-02062-9.pdf</v>
      </c>
      <c r="W1549" s="195" t="s">
        <v>8906</v>
      </c>
      <c r="X1549" s="51" t="str">
        <f t="array" ref="X1549"> if(iserror(MATCH(V1549, 'File Links'!C:C, 0)), "N/A", HYPERLINK(INDEX('File Links'!B:B, MATCH(V1549, 'File Links'!C:C, 0))))</f>
        <v>https://drive.google.com/file/d/1w8pcOEpgkXG4574TMp8vmQlQVMYXLL8c/view?usp=drivesdk</v>
      </c>
      <c r="Z1549" s="195" t="s">
        <v>219</v>
      </c>
      <c r="AA1549" s="195" t="s">
        <v>8907</v>
      </c>
      <c r="AB1549" s="195" t="s">
        <v>8908</v>
      </c>
      <c r="AC1549" s="195" t="s">
        <v>8909</v>
      </c>
      <c r="AD1549" s="195" t="s">
        <v>8910</v>
      </c>
      <c r="AE1549" s="1745">
        <v>45748.0</v>
      </c>
      <c r="AF1549" s="755">
        <v>426.0</v>
      </c>
      <c r="AG1549" s="755">
        <v>1.751</v>
      </c>
      <c r="AH1549" s="195" t="s">
        <v>166</v>
      </c>
      <c r="AI1549" s="539"/>
      <c r="AJ1549" s="872">
        <v>1.0E-4</v>
      </c>
      <c r="AK1549" s="55" t="s">
        <v>128</v>
      </c>
      <c r="AL1549" s="55" t="s">
        <v>179</v>
      </c>
      <c r="AM1549" s="187" t="s">
        <v>130</v>
      </c>
      <c r="AN1549" s="371" t="s">
        <v>131</v>
      </c>
      <c r="AO1549" s="755">
        <v>450.0</v>
      </c>
      <c r="AP1549" s="755">
        <v>0.974</v>
      </c>
      <c r="AQ1549" s="195" t="s">
        <v>166</v>
      </c>
      <c r="AR1549" s="195" t="s">
        <v>2764</v>
      </c>
      <c r="AS1549" s="1746">
        <v>0.001</v>
      </c>
      <c r="AT1549" s="195" t="s">
        <v>128</v>
      </c>
      <c r="AU1549" s="195" t="s">
        <v>129</v>
      </c>
      <c r="AV1549" s="187" t="s">
        <v>130</v>
      </c>
      <c r="AW1549" s="874" t="s">
        <v>8911</v>
      </c>
      <c r="AX1549" s="187" t="s">
        <v>136</v>
      </c>
      <c r="AY1549" s="186"/>
      <c r="AZ1549" s="185" t="s">
        <v>137</v>
      </c>
    </row>
    <row r="1550">
      <c r="A1550" s="41">
        <v>1550.0</v>
      </c>
      <c r="B1550" s="59" t="s">
        <v>107</v>
      </c>
      <c r="C1550" s="59" t="s">
        <v>108</v>
      </c>
      <c r="D1550" s="59" t="s">
        <v>1434</v>
      </c>
      <c r="F1550" s="65" t="s">
        <v>8901</v>
      </c>
      <c r="G1550" s="58" t="s">
        <v>8901</v>
      </c>
      <c r="H1550" s="156" t="s">
        <v>1437</v>
      </c>
      <c r="I1550" s="65"/>
      <c r="J1550" s="1736">
        <v>45677.0</v>
      </c>
      <c r="K1550" s="65"/>
      <c r="L1550" s="65"/>
      <c r="M1550" s="432" t="s">
        <v>8912</v>
      </c>
      <c r="N1550" s="1738" t="s">
        <v>8913</v>
      </c>
      <c r="O1550" s="65"/>
      <c r="P1550" s="1573" t="str">
        <f>SUBSTITUTE(LOWER(N1550), "/", "--") &amp;  ".pdf"</f>
        <v>10.1073--pnas.1508932113.pdf</v>
      </c>
      <c r="Q1550" s="49" t="str">
        <f t="array" ref="Q1550"> if(iserror(MATCH(V1550, 'File Links'!C:C, 0)), "N/A", HYPERLINK(INDEX('File Links'!B:B, MATCH(P1550, 'File Links'!C:C, 0))))</f>
        <v>https://drive.google.com/file/d/1GUMHnYj_hycM2gMFNTbvEGwdonZHVaEU/view?usp=drivesdk</v>
      </c>
      <c r="R1550" s="65" t="s">
        <v>8914</v>
      </c>
      <c r="S1550" s="126" t="s">
        <v>8682</v>
      </c>
      <c r="T1550" s="432" t="s">
        <v>8683</v>
      </c>
      <c r="U1550" s="156" t="s">
        <v>3579</v>
      </c>
      <c r="V1550" s="195" t="str">
        <f t="shared" si="113"/>
        <v>10.1038--s41562-024-02062-9.pdf</v>
      </c>
      <c r="W1550" s="156" t="s">
        <v>8695</v>
      </c>
      <c r="X1550" s="51" t="str">
        <f t="array" ref="X1550"> if(iserror(MATCH(V1550, 'File Links'!C:C, 0)), "N/A", HYPERLINK(INDEX('File Links'!B:B, MATCH(V1550, 'File Links'!C:C, 0))))</f>
        <v>https://drive.google.com/file/d/1w8pcOEpgkXG4574TMp8vmQlQVMYXLL8c/view?usp=drivesdk</v>
      </c>
      <c r="Z1550" s="156" t="s">
        <v>219</v>
      </c>
      <c r="AA1550" s="156" t="s">
        <v>8915</v>
      </c>
      <c r="AB1550" s="156" t="s">
        <v>8916</v>
      </c>
      <c r="AC1550" s="156" t="s">
        <v>8917</v>
      </c>
      <c r="AD1550" s="156" t="s">
        <v>8918</v>
      </c>
      <c r="AE1550" s="153">
        <v>4.0</v>
      </c>
      <c r="AF1550" s="153">
        <v>426.0</v>
      </c>
      <c r="AG1550" s="65" t="s">
        <v>8919</v>
      </c>
      <c r="AH1550" s="156" t="s">
        <v>127</v>
      </c>
      <c r="AI1550" s="65"/>
      <c r="AJ1550" s="706">
        <v>1.0E-4</v>
      </c>
      <c r="AK1550" s="58" t="s">
        <v>128</v>
      </c>
      <c r="AL1550" s="54" t="s">
        <v>179</v>
      </c>
      <c r="AM1550" s="65" t="s">
        <v>134</v>
      </c>
      <c r="AN1550" s="58"/>
      <c r="AO1550" s="153">
        <v>450.0</v>
      </c>
      <c r="AP1550" s="153">
        <v>0.974</v>
      </c>
      <c r="AQ1550" s="156" t="s">
        <v>166</v>
      </c>
      <c r="AR1550" s="156" t="s">
        <v>2764</v>
      </c>
      <c r="AS1550" s="333">
        <v>1.4E-22</v>
      </c>
      <c r="AT1550" s="65" t="s">
        <v>128</v>
      </c>
      <c r="AU1550" s="156" t="s">
        <v>129</v>
      </c>
      <c r="AV1550" s="65" t="s">
        <v>134</v>
      </c>
      <c r="AW1550" s="65"/>
      <c r="AX1550" s="65" t="s">
        <v>136</v>
      </c>
      <c r="AZ1550" s="185" t="s">
        <v>137</v>
      </c>
    </row>
    <row r="1551">
      <c r="A1551" s="41">
        <v>1551.0</v>
      </c>
      <c r="B1551" s="185" t="s">
        <v>145</v>
      </c>
      <c r="C1551" s="185" t="s">
        <v>108</v>
      </c>
      <c r="D1551" s="185" t="s">
        <v>1451</v>
      </c>
      <c r="E1551" s="186"/>
      <c r="F1551" s="187" t="s">
        <v>8920</v>
      </c>
      <c r="G1551" s="190" t="s">
        <v>8920</v>
      </c>
      <c r="H1551" s="195" t="s">
        <v>1511</v>
      </c>
      <c r="I1551" s="188">
        <v>45670.0</v>
      </c>
      <c r="J1551" s="1736">
        <v>45677.0</v>
      </c>
      <c r="K1551" s="990" t="s">
        <v>8921</v>
      </c>
      <c r="L1551" s="187"/>
      <c r="M1551" s="874" t="s">
        <v>8922</v>
      </c>
      <c r="N1551" s="1747" t="s">
        <v>8923</v>
      </c>
      <c r="O1551" s="755">
        <v>6.0</v>
      </c>
      <c r="P1551" s="974" t="str">
        <f> SUBSTITUTE(lower(N1551), "/", "--") &amp;  ".pdf"</f>
        <v>10.1073--pnas.1606574113.pdf</v>
      </c>
      <c r="Q1551" s="49" t="str">
        <f t="array" ref="Q1551"> if(iserror(MATCH(V1551, 'File Links'!C:C, 0)), "N/A", HYPERLINK(INDEX('File Links'!B:B, MATCH(P1551, 'File Links'!C:C, 0))))</f>
        <v>https://drive.google.com/file/d/1OmM2z06gBM63n800JtLoY_5328h0Kj-q/view?usp=drivesdk</v>
      </c>
      <c r="R1551" s="192" t="s">
        <v>8924</v>
      </c>
      <c r="S1551" s="371" t="s">
        <v>8682</v>
      </c>
      <c r="T1551" s="874" t="s">
        <v>8683</v>
      </c>
      <c r="U1551" s="755">
        <v>1.0</v>
      </c>
      <c r="V1551" s="195" t="str">
        <f t="shared" si="113"/>
        <v>10.1038--s41562-024-02062-9.pdf</v>
      </c>
      <c r="W1551" s="195" t="s">
        <v>8925</v>
      </c>
      <c r="X1551" s="51" t="str">
        <f t="array" ref="X1551"> if(iserror(MATCH(V1551, 'File Links'!C:C, 0)), "N/A", HYPERLINK(INDEX('File Links'!B:B, MATCH(V1551, 'File Links'!C:C, 0))))</f>
        <v>https://drive.google.com/file/d/1w8pcOEpgkXG4574TMp8vmQlQVMYXLL8c/view?usp=drivesdk</v>
      </c>
      <c r="Z1551" s="195" t="s">
        <v>219</v>
      </c>
      <c r="AA1551" s="195" t="s">
        <v>8926</v>
      </c>
      <c r="AB1551" s="195" t="s">
        <v>8927</v>
      </c>
      <c r="AC1551" s="195" t="s">
        <v>8928</v>
      </c>
      <c r="AD1551" s="195" t="s">
        <v>8929</v>
      </c>
      <c r="AE1551" s="755">
        <v>3.0</v>
      </c>
      <c r="AF1551" s="755">
        <v>120.0</v>
      </c>
      <c r="AG1551" s="755">
        <v>0.32</v>
      </c>
      <c r="AH1551" s="195" t="s">
        <v>132</v>
      </c>
      <c r="AI1551" s="195" t="s">
        <v>8930</v>
      </c>
      <c r="AJ1551" s="872">
        <v>0.001</v>
      </c>
      <c r="AK1551" s="55" t="s">
        <v>128</v>
      </c>
      <c r="AL1551" s="55" t="s">
        <v>179</v>
      </c>
      <c r="AM1551" s="187" t="s">
        <v>134</v>
      </c>
      <c r="AN1551" s="371" t="s">
        <v>131</v>
      </c>
      <c r="AO1551" s="755">
        <v>132.0</v>
      </c>
      <c r="AP1551" s="755">
        <v>0.244</v>
      </c>
      <c r="AQ1551" s="195" t="s">
        <v>166</v>
      </c>
      <c r="AR1551" s="195" t="s">
        <v>500</v>
      </c>
      <c r="AS1551" s="755">
        <v>0.006</v>
      </c>
      <c r="AT1551" s="195" t="s">
        <v>165</v>
      </c>
      <c r="AU1551" s="195" t="s">
        <v>129</v>
      </c>
      <c r="AV1551" s="187" t="s">
        <v>134</v>
      </c>
      <c r="AW1551" s="874" t="s">
        <v>8931</v>
      </c>
      <c r="AX1551" s="187" t="s">
        <v>136</v>
      </c>
      <c r="AY1551" s="186"/>
      <c r="AZ1551" s="185" t="s">
        <v>137</v>
      </c>
    </row>
    <row r="1552">
      <c r="A1552" s="41">
        <v>1552.0</v>
      </c>
      <c r="B1552" s="59" t="s">
        <v>107</v>
      </c>
      <c r="C1552" s="59" t="s">
        <v>108</v>
      </c>
      <c r="D1552" s="59" t="s">
        <v>1434</v>
      </c>
      <c r="F1552" s="65" t="s">
        <v>8920</v>
      </c>
      <c r="G1552" s="58" t="s">
        <v>8920</v>
      </c>
      <c r="H1552" s="156" t="s">
        <v>1437</v>
      </c>
      <c r="I1552" s="65"/>
      <c r="J1552" s="1736">
        <v>45677.0</v>
      </c>
      <c r="K1552" s="156" t="s">
        <v>8932</v>
      </c>
      <c r="L1552" s="65"/>
      <c r="M1552" s="432" t="s">
        <v>8933</v>
      </c>
      <c r="N1552" s="1748" t="s">
        <v>8934</v>
      </c>
      <c r="O1552" s="65"/>
      <c r="P1552" s="1573" t="str">
        <f>SUBSTITUTE(LOWER(N1552), "/", "--") &amp;  ".pdf"</f>
        <v>10.1073--pnas.1606574113.pdf</v>
      </c>
      <c r="Q1552" s="49" t="str">
        <f t="array" ref="Q1552"> if(iserror(MATCH(V1552, 'File Links'!C:C, 0)), "N/A", HYPERLINK(INDEX('File Links'!B:B, MATCH(P1552, 'File Links'!C:C, 0))))</f>
        <v>https://drive.google.com/file/d/1OmM2z06gBM63n800JtLoY_5328h0Kj-q/view?usp=drivesdk</v>
      </c>
      <c r="R1552" s="65" t="s">
        <v>8935</v>
      </c>
      <c r="S1552" s="126" t="s">
        <v>8682</v>
      </c>
      <c r="T1552" s="432" t="s">
        <v>8683</v>
      </c>
      <c r="U1552" s="153">
        <v>5.0</v>
      </c>
      <c r="V1552" s="195" t="str">
        <f t="shared" si="113"/>
        <v>10.1038--s41562-024-02062-9.pdf</v>
      </c>
      <c r="W1552" s="156" t="s">
        <v>8695</v>
      </c>
      <c r="X1552" s="51" t="str">
        <f t="array" ref="X1552"> if(iserror(MATCH(V1552, 'File Links'!C:C, 0)), "N/A", HYPERLINK(INDEX('File Links'!B:B, MATCH(V1552, 'File Links'!C:C, 0))))</f>
        <v>https://drive.google.com/file/d/1w8pcOEpgkXG4574TMp8vmQlQVMYXLL8c/view?usp=drivesdk</v>
      </c>
      <c r="Z1552" s="156" t="s">
        <v>203</v>
      </c>
      <c r="AA1552" s="156" t="s">
        <v>8936</v>
      </c>
      <c r="AB1552" s="156" t="s">
        <v>8937</v>
      </c>
      <c r="AC1552" s="156" t="s">
        <v>8938</v>
      </c>
      <c r="AD1552" s="156" t="s">
        <v>8939</v>
      </c>
      <c r="AE1552" s="156" t="s">
        <v>8939</v>
      </c>
      <c r="AF1552" s="153">
        <v>120.0</v>
      </c>
      <c r="AG1552" s="156" t="s">
        <v>8940</v>
      </c>
      <c r="AH1552" s="156" t="s">
        <v>127</v>
      </c>
      <c r="AI1552" s="65"/>
      <c r="AJ1552" s="706">
        <v>0.001</v>
      </c>
      <c r="AK1552" s="54" t="s">
        <v>128</v>
      </c>
      <c r="AL1552" s="54" t="s">
        <v>179</v>
      </c>
      <c r="AM1552" s="1740" t="s">
        <v>130</v>
      </c>
      <c r="AN1552" s="58"/>
      <c r="AO1552" s="153">
        <v>132.0</v>
      </c>
      <c r="AP1552" s="153">
        <v>0.244</v>
      </c>
      <c r="AQ1552" s="156" t="s">
        <v>166</v>
      </c>
      <c r="AR1552" s="156" t="s">
        <v>500</v>
      </c>
      <c r="AS1552" s="153">
        <v>0.006</v>
      </c>
      <c r="AT1552" s="156" t="s">
        <v>165</v>
      </c>
      <c r="AU1552" s="156" t="s">
        <v>129</v>
      </c>
      <c r="AV1552" s="1740" t="s">
        <v>130</v>
      </c>
      <c r="AW1552" s="65"/>
      <c r="AX1552" s="1740" t="s">
        <v>136</v>
      </c>
      <c r="AZ1552" s="185" t="s">
        <v>137</v>
      </c>
    </row>
    <row r="1553">
      <c r="A1553" s="41">
        <v>1553.0</v>
      </c>
      <c r="B1553" s="185" t="s">
        <v>145</v>
      </c>
      <c r="C1553" s="185" t="s">
        <v>108</v>
      </c>
      <c r="D1553" s="185" t="s">
        <v>1451</v>
      </c>
      <c r="E1553" s="186"/>
      <c r="F1553" s="187" t="s">
        <v>8941</v>
      </c>
      <c r="G1553" s="190" t="s">
        <v>8941</v>
      </c>
      <c r="H1553" s="195" t="s">
        <v>1511</v>
      </c>
      <c r="I1553" s="188">
        <v>45670.0</v>
      </c>
      <c r="J1553" s="1736">
        <v>45677.0</v>
      </c>
      <c r="K1553" s="195" t="s">
        <v>8942</v>
      </c>
      <c r="L1553" s="187"/>
      <c r="M1553" s="874" t="s">
        <v>8943</v>
      </c>
      <c r="N1553" s="1737" t="s">
        <v>8944</v>
      </c>
      <c r="O1553" s="755">
        <v>3.0</v>
      </c>
      <c r="P1553" s="974" t="str">
        <f> SUBSTITUTE(lower(N1553), "/", "--") &amp;  ".pdf"</f>
        <v>10.1073--pnas.1607330114.pdf</v>
      </c>
      <c r="Q1553" s="49" t="str">
        <f t="array" ref="Q1553"> if(iserror(MATCH(V1553, 'File Links'!C:C, 0)), "N/A", HYPERLINK(INDEX('File Links'!B:B, MATCH(P1553, 'File Links'!C:C, 0))))</f>
        <v>https://drive.google.com/file/d/1c91FKEwUnH0eT_Uzixr-mWli2LJ6mmul/view?usp=drivesdk</v>
      </c>
      <c r="R1553" s="192" t="s">
        <v>8945</v>
      </c>
      <c r="S1553" s="371" t="s">
        <v>8682</v>
      </c>
      <c r="T1553" s="874" t="s">
        <v>8683</v>
      </c>
      <c r="U1553" s="755">
        <v>1.0</v>
      </c>
      <c r="V1553" s="195" t="str">
        <f t="shared" si="113"/>
        <v>10.1038--s41562-024-02062-9.pdf</v>
      </c>
      <c r="W1553" s="195" t="s">
        <v>8946</v>
      </c>
      <c r="X1553" s="51" t="str">
        <f t="array" ref="X1553"> if(iserror(MATCH(V1553, 'File Links'!C:C, 0)), "N/A", HYPERLINK(INDEX('File Links'!B:B, MATCH(V1553, 'File Links'!C:C, 0))))</f>
        <v>https://drive.google.com/file/d/1w8pcOEpgkXG4574TMp8vmQlQVMYXLL8c/view?usp=drivesdk</v>
      </c>
      <c r="Z1553" s="195" t="s">
        <v>219</v>
      </c>
      <c r="AA1553" s="195" t="s">
        <v>8947</v>
      </c>
      <c r="AB1553" s="195" t="s">
        <v>8948</v>
      </c>
      <c r="AC1553" s="195" t="s">
        <v>8949</v>
      </c>
      <c r="AD1553" s="195" t="s">
        <v>8950</v>
      </c>
      <c r="AE1553" s="755">
        <v>3.0</v>
      </c>
      <c r="AF1553" s="755">
        <v>167.0</v>
      </c>
      <c r="AG1553" s="755">
        <v>0.331</v>
      </c>
      <c r="AH1553" s="195" t="s">
        <v>166</v>
      </c>
      <c r="AI1553" s="187" t="str">
        <f>IF(ISBLANK(AI1546), 
   "=(" &amp; AI1544 &amp; "-" &amp; AI1548 &amp; ")/SQRT((" &amp; AI1545 &amp; "^2+" &amp; AI1549 &amp; "^2)/2)", 
   "=(" &amp; AI1544 &amp; "-" &amp; AI1548 &amp; ")/SQRT(((" &amp; AI1546 &amp; "-1)*" &amp; AI1545 &amp; "^2+(" &amp; AI1550 &amp; "-1)*" &amp; AI1549 &amp; "^2)/(" &amp; AI1546 &amp; "+" &amp; AI1550 &amp; "-2)))"
)
</f>
        <v>=(-)/SQRT((p.3^2+^2)/2)</v>
      </c>
      <c r="AJ1553" s="192"/>
      <c r="AK1553" s="371" t="s">
        <v>131</v>
      </c>
      <c r="AL1553" s="55" t="s">
        <v>179</v>
      </c>
      <c r="AM1553" s="187" t="s">
        <v>130</v>
      </c>
      <c r="AN1553" s="371" t="s">
        <v>131</v>
      </c>
      <c r="AO1553" s="755">
        <v>925.0</v>
      </c>
      <c r="AP1553" s="755">
        <v>-0.054</v>
      </c>
      <c r="AQ1553" s="195" t="s">
        <v>166</v>
      </c>
      <c r="AR1553" s="195" t="s">
        <v>500</v>
      </c>
      <c r="AS1553" s="755">
        <v>0.408</v>
      </c>
      <c r="AT1553" s="195" t="s">
        <v>165</v>
      </c>
      <c r="AU1553" s="195" t="s">
        <v>129</v>
      </c>
      <c r="AV1553" s="187" t="s">
        <v>130</v>
      </c>
      <c r="AW1553" s="874" t="s">
        <v>8951</v>
      </c>
      <c r="AX1553" s="187" t="s">
        <v>136</v>
      </c>
      <c r="AY1553" s="186"/>
      <c r="AZ1553" s="185" t="s">
        <v>137</v>
      </c>
    </row>
    <row r="1554">
      <c r="A1554" s="41">
        <v>1554.0</v>
      </c>
      <c r="B1554" s="59" t="s">
        <v>107</v>
      </c>
      <c r="C1554" s="59" t="s">
        <v>108</v>
      </c>
      <c r="D1554" s="59" t="s">
        <v>1434</v>
      </c>
      <c r="F1554" s="65" t="s">
        <v>8941</v>
      </c>
      <c r="G1554" s="58" t="s">
        <v>8941</v>
      </c>
      <c r="H1554" s="156" t="s">
        <v>1437</v>
      </c>
      <c r="I1554" s="65"/>
      <c r="J1554" s="1736">
        <v>45677.0</v>
      </c>
      <c r="K1554" s="156" t="s">
        <v>8952</v>
      </c>
      <c r="L1554" s="65"/>
      <c r="M1554" s="432" t="s">
        <v>8953</v>
      </c>
      <c r="N1554" s="1738" t="s">
        <v>8954</v>
      </c>
      <c r="O1554" s="65"/>
      <c r="P1554" s="1573" t="str">
        <f>SUBSTITUTE(LOWER(N1554), "/", "--") &amp;  ".pdf"</f>
        <v>10.1073--pnas.1607330114.pdf</v>
      </c>
      <c r="Q1554" s="49" t="str">
        <f t="array" ref="Q1554"> if(iserror(MATCH(V1554, 'File Links'!C:C, 0)), "N/A", HYPERLINK(INDEX('File Links'!B:B, MATCH(P1554, 'File Links'!C:C, 0))))</f>
        <v>https://drive.google.com/file/d/1c91FKEwUnH0eT_Uzixr-mWli2LJ6mmul/view?usp=drivesdk</v>
      </c>
      <c r="R1554" s="65" t="s">
        <v>8955</v>
      </c>
      <c r="S1554" s="126" t="s">
        <v>8682</v>
      </c>
      <c r="T1554" s="432" t="s">
        <v>8683</v>
      </c>
      <c r="U1554" s="153">
        <v>3.0</v>
      </c>
      <c r="V1554" s="195" t="str">
        <f t="shared" si="113"/>
        <v>10.1038--s41562-024-02062-9.pdf</v>
      </c>
      <c r="W1554" s="156" t="s">
        <v>8695</v>
      </c>
      <c r="X1554" s="51" t="str">
        <f t="array" ref="X1554"> if(iserror(MATCH(V1554, 'File Links'!C:C, 0)), "N/A", HYPERLINK(INDEX('File Links'!B:B, MATCH(V1554, 'File Links'!C:C, 0))))</f>
        <v>https://drive.google.com/file/d/1w8pcOEpgkXG4574TMp8vmQlQVMYXLL8c/view?usp=drivesdk</v>
      </c>
      <c r="Z1554" s="156" t="s">
        <v>219</v>
      </c>
      <c r="AA1554" s="156" t="s">
        <v>8956</v>
      </c>
      <c r="AB1554" s="156" t="s">
        <v>8957</v>
      </c>
      <c r="AC1554" s="156" t="s">
        <v>8958</v>
      </c>
      <c r="AD1554" s="156" t="s">
        <v>8959</v>
      </c>
      <c r="AE1554" s="153">
        <v>3.0</v>
      </c>
      <c r="AF1554" s="153">
        <v>167.0</v>
      </c>
      <c r="AG1554" s="156" t="s">
        <v>8960</v>
      </c>
      <c r="AH1554" s="156" t="s">
        <v>127</v>
      </c>
      <c r="AI1554" s="65"/>
      <c r="AJ1554" s="706">
        <v>0.04</v>
      </c>
      <c r="AK1554" s="54" t="s">
        <v>165</v>
      </c>
      <c r="AL1554" s="54" t="s">
        <v>179</v>
      </c>
      <c r="AM1554" s="1740" t="s">
        <v>130</v>
      </c>
      <c r="AN1554" s="58"/>
      <c r="AO1554" s="153">
        <v>925.0</v>
      </c>
      <c r="AP1554" s="153">
        <v>-0.054</v>
      </c>
      <c r="AQ1554" s="156" t="s">
        <v>166</v>
      </c>
      <c r="AR1554" s="156" t="s">
        <v>500</v>
      </c>
      <c r="AS1554" s="153">
        <v>0.408</v>
      </c>
      <c r="AT1554" s="156" t="s">
        <v>165</v>
      </c>
      <c r="AU1554" s="156" t="s">
        <v>129</v>
      </c>
      <c r="AV1554" s="1740" t="s">
        <v>130</v>
      </c>
      <c r="AW1554" s="65"/>
      <c r="AX1554" s="1740" t="s">
        <v>136</v>
      </c>
      <c r="AZ1554" s="185" t="s">
        <v>137</v>
      </c>
    </row>
    <row r="1555">
      <c r="A1555" s="41">
        <v>1555.0</v>
      </c>
      <c r="B1555" s="185" t="s">
        <v>145</v>
      </c>
      <c r="C1555" s="185" t="s">
        <v>108</v>
      </c>
      <c r="D1555" s="185" t="s">
        <v>1451</v>
      </c>
      <c r="E1555" s="186"/>
      <c r="F1555" s="187" t="s">
        <v>8961</v>
      </c>
      <c r="G1555" s="190" t="s">
        <v>8961</v>
      </c>
      <c r="H1555" s="195" t="s">
        <v>1511</v>
      </c>
      <c r="I1555" s="188">
        <v>45670.0</v>
      </c>
      <c r="J1555" s="1736">
        <v>45677.0</v>
      </c>
      <c r="K1555" s="195" t="s">
        <v>8962</v>
      </c>
      <c r="L1555" s="187"/>
      <c r="M1555" s="874" t="s">
        <v>8963</v>
      </c>
      <c r="N1555" s="1737" t="s">
        <v>8964</v>
      </c>
      <c r="O1555" s="755">
        <v>2.0</v>
      </c>
      <c r="P1555" s="974" t="str">
        <f> SUBSTITUTE(lower(N1555), "/", "--") &amp;  ".pdf"</f>
        <v>10.1073--pnas.1616921114.pdf</v>
      </c>
      <c r="Q1555" s="49" t="str">
        <f t="array" ref="Q1555"> if(iserror(MATCH(V1555, 'File Links'!C:C, 0)), "N/A", HYPERLINK(INDEX('File Links'!B:B, MATCH(P1555, 'File Links'!C:C, 0))))</f>
        <v>https://drive.google.com/file/d/1n0koQ1yLwfPYdmBREVehxKIdhjOoUZSg/view?usp=drivesdk</v>
      </c>
      <c r="R1555" s="192" t="s">
        <v>8965</v>
      </c>
      <c r="S1555" s="371" t="s">
        <v>8682</v>
      </c>
      <c r="T1555" s="874" t="s">
        <v>8683</v>
      </c>
      <c r="U1555" s="755">
        <v>1.0</v>
      </c>
      <c r="V1555" s="195" t="str">
        <f t="shared" si="113"/>
        <v>10.1038--s41562-024-02062-9.pdf</v>
      </c>
      <c r="W1555" s="195" t="s">
        <v>8966</v>
      </c>
      <c r="X1555" s="51" t="str">
        <f t="array" ref="X1555"> if(iserror(MATCH(V1555, 'File Links'!C:C, 0)), "N/A", HYPERLINK(INDEX('File Links'!B:B, MATCH(V1555, 'File Links'!C:C, 0))))</f>
        <v>https://drive.google.com/file/d/1w8pcOEpgkXG4574TMp8vmQlQVMYXLL8c/view?usp=drivesdk</v>
      </c>
      <c r="Z1555" s="195" t="s">
        <v>1802</v>
      </c>
      <c r="AA1555" s="195" t="s">
        <v>8967</v>
      </c>
      <c r="AB1555" s="195" t="s">
        <v>8968</v>
      </c>
      <c r="AC1555" s="195" t="s">
        <v>8969</v>
      </c>
      <c r="AD1555" s="195" t="s">
        <v>8970</v>
      </c>
      <c r="AE1555" s="755">
        <v>5.0</v>
      </c>
      <c r="AF1555" s="1744">
        <v>519.0</v>
      </c>
      <c r="AG1555" s="1744">
        <v>0.204</v>
      </c>
      <c r="AH1555" s="1287" t="s">
        <v>166</v>
      </c>
      <c r="AI1555" s="539"/>
      <c r="AJ1555" s="872">
        <v>0.021</v>
      </c>
      <c r="AK1555" s="55" t="s">
        <v>165</v>
      </c>
      <c r="AL1555" s="55" t="s">
        <v>179</v>
      </c>
      <c r="AM1555" s="187" t="s">
        <v>130</v>
      </c>
      <c r="AN1555" s="371" t="s">
        <v>131</v>
      </c>
      <c r="AO1555" s="755">
        <v>2441.0</v>
      </c>
      <c r="AP1555" s="755">
        <v>0.104</v>
      </c>
      <c r="AQ1555" s="195" t="s">
        <v>166</v>
      </c>
      <c r="AR1555" s="195" t="s">
        <v>2764</v>
      </c>
      <c r="AS1555" s="755">
        <v>0.01</v>
      </c>
      <c r="AT1555" s="195" t="s">
        <v>165</v>
      </c>
      <c r="AU1555" s="195" t="s">
        <v>129</v>
      </c>
      <c r="AV1555" s="187" t="s">
        <v>130</v>
      </c>
      <c r="AW1555" s="874" t="s">
        <v>8971</v>
      </c>
      <c r="AX1555" s="187" t="s">
        <v>136</v>
      </c>
      <c r="AY1555" s="186"/>
      <c r="AZ1555" s="185" t="s">
        <v>137</v>
      </c>
    </row>
    <row r="1556">
      <c r="A1556" s="41">
        <v>1556.0</v>
      </c>
      <c r="B1556" s="59" t="s">
        <v>107</v>
      </c>
      <c r="C1556" s="59" t="s">
        <v>108</v>
      </c>
      <c r="D1556" s="59" t="s">
        <v>1434</v>
      </c>
      <c r="F1556" s="65" t="s">
        <v>8961</v>
      </c>
      <c r="G1556" s="58" t="s">
        <v>8961</v>
      </c>
      <c r="H1556" s="156" t="s">
        <v>1437</v>
      </c>
      <c r="I1556" s="65"/>
      <c r="J1556" s="1736">
        <v>45677.0</v>
      </c>
      <c r="K1556" s="156" t="s">
        <v>8972</v>
      </c>
      <c r="L1556" s="65"/>
      <c r="M1556" s="432" t="s">
        <v>8973</v>
      </c>
      <c r="N1556" s="1738" t="s">
        <v>8974</v>
      </c>
      <c r="O1556" s="65"/>
      <c r="P1556" s="1573" t="str">
        <f>SUBSTITUTE(LOWER(N1556), "/", "--") &amp;  ".pdf"</f>
        <v>10.1073--pnas.1616921114.pdf</v>
      </c>
      <c r="Q1556" s="49" t="str">
        <f t="array" ref="Q1556"> if(iserror(MATCH(V1556, 'File Links'!C:C, 0)), "N/A", HYPERLINK(INDEX('File Links'!B:B, MATCH(P1556, 'File Links'!C:C, 0))))</f>
        <v>https://drive.google.com/file/d/1n0koQ1yLwfPYdmBREVehxKIdhjOoUZSg/view?usp=drivesdk</v>
      </c>
      <c r="R1556" s="65" t="s">
        <v>8975</v>
      </c>
      <c r="S1556" s="371" t="s">
        <v>8682</v>
      </c>
      <c r="T1556" s="432" t="s">
        <v>8683</v>
      </c>
      <c r="U1556" s="65"/>
      <c r="V1556" s="195" t="str">
        <f t="shared" si="113"/>
        <v>10.1038--s41562-024-02062-9.pdf</v>
      </c>
      <c r="W1556" s="156" t="s">
        <v>8695</v>
      </c>
      <c r="X1556" s="51" t="str">
        <f t="array" ref="X1556"> if(iserror(MATCH(V1556, 'File Links'!C:C, 0)), "N/A", HYPERLINK(INDEX('File Links'!B:B, MATCH(V1556, 'File Links'!C:C, 0))))</f>
        <v>https://drive.google.com/file/d/1w8pcOEpgkXG4574TMp8vmQlQVMYXLL8c/view?usp=drivesdk</v>
      </c>
      <c r="Z1556" s="156" t="s">
        <v>203</v>
      </c>
      <c r="AA1556" s="156" t="s">
        <v>8976</v>
      </c>
      <c r="AB1556" s="156" t="s">
        <v>8977</v>
      </c>
      <c r="AC1556" s="156" t="s">
        <v>8978</v>
      </c>
      <c r="AD1556" s="156" t="s">
        <v>8979</v>
      </c>
      <c r="AE1556" s="153">
        <v>5.0</v>
      </c>
      <c r="AF1556" s="153">
        <v>519.0</v>
      </c>
      <c r="AG1556" s="153">
        <v>0.204</v>
      </c>
      <c r="AH1556" s="156" t="s">
        <v>166</v>
      </c>
      <c r="AI1556" s="65"/>
      <c r="AJ1556" s="706">
        <v>0.02</v>
      </c>
      <c r="AK1556" s="54" t="s">
        <v>165</v>
      </c>
      <c r="AL1556" s="54" t="s">
        <v>129</v>
      </c>
      <c r="AM1556" s="1740" t="s">
        <v>130</v>
      </c>
      <c r="AN1556" s="58"/>
      <c r="AO1556" s="153">
        <v>2441.0</v>
      </c>
      <c r="AP1556" s="153">
        <v>0.104</v>
      </c>
      <c r="AQ1556" s="156" t="s">
        <v>166</v>
      </c>
      <c r="AR1556" s="156" t="s">
        <v>2764</v>
      </c>
      <c r="AS1556" s="153">
        <v>0.01</v>
      </c>
      <c r="AT1556" s="156" t="s">
        <v>165</v>
      </c>
      <c r="AU1556" s="156" t="s">
        <v>129</v>
      </c>
      <c r="AV1556" s="1740" t="s">
        <v>130</v>
      </c>
      <c r="AW1556" s="65"/>
      <c r="AX1556" s="1740" t="s">
        <v>136</v>
      </c>
      <c r="AZ1556" s="185" t="s">
        <v>137</v>
      </c>
    </row>
    <row r="1557">
      <c r="A1557" s="41">
        <v>1557.0</v>
      </c>
      <c r="B1557" s="185" t="s">
        <v>145</v>
      </c>
      <c r="C1557" s="185" t="s">
        <v>108</v>
      </c>
      <c r="D1557" s="185" t="s">
        <v>1451</v>
      </c>
      <c r="E1557" s="186"/>
      <c r="F1557" s="187" t="s">
        <v>8980</v>
      </c>
      <c r="G1557" s="190" t="s">
        <v>8980</v>
      </c>
      <c r="H1557" s="195" t="s">
        <v>1511</v>
      </c>
      <c r="I1557" s="188">
        <v>45670.0</v>
      </c>
      <c r="J1557" s="1736">
        <v>45677.0</v>
      </c>
      <c r="K1557" s="990" t="s">
        <v>8981</v>
      </c>
      <c r="L1557" s="187"/>
      <c r="M1557" s="874" t="s">
        <v>8982</v>
      </c>
      <c r="N1557" s="1737" t="s">
        <v>8983</v>
      </c>
      <c r="O1557" s="755">
        <v>6.0</v>
      </c>
      <c r="P1557" s="974" t="str">
        <f> SUBSTITUTE(lower(N1557), "/", "--") &amp;  ".pdf"</f>
        <v>10.1073--pnas.1717092115.pdf</v>
      </c>
      <c r="Q1557" s="49" t="str">
        <f t="array" ref="Q1557"> if(iserror(MATCH(V1557, 'File Links'!C:C, 0)), "N/A", HYPERLINK(INDEX('File Links'!B:B, MATCH(P1557, 'File Links'!C:C, 0))))</f>
        <v>https://drive.google.com/file/d/1X_8gLoQL8UM8XESII7U1_3XXVMeR9N2z/view?usp=drivesdk</v>
      </c>
      <c r="R1557" s="192" t="s">
        <v>8984</v>
      </c>
      <c r="S1557" s="371" t="s">
        <v>8682</v>
      </c>
      <c r="T1557" s="874" t="s">
        <v>8683</v>
      </c>
      <c r="U1557" s="755">
        <v>1.0</v>
      </c>
      <c r="V1557" s="195" t="str">
        <f t="shared" si="113"/>
        <v>10.1038--s41562-024-02062-9.pdf</v>
      </c>
      <c r="W1557" s="195" t="s">
        <v>8985</v>
      </c>
      <c r="X1557" s="51" t="str">
        <f t="array" ref="X1557"> if(iserror(MATCH(V1557, 'File Links'!C:C, 0)), "N/A", HYPERLINK(INDEX('File Links'!B:B, MATCH(V1557, 'File Links'!C:C, 0))))</f>
        <v>https://drive.google.com/file/d/1w8pcOEpgkXG4574TMp8vmQlQVMYXLL8c/view?usp=drivesdk</v>
      </c>
      <c r="Z1557" s="195" t="s">
        <v>141</v>
      </c>
      <c r="AA1557" s="195" t="s">
        <v>8986</v>
      </c>
      <c r="AB1557" s="195" t="s">
        <v>8987</v>
      </c>
      <c r="AC1557" s="195" t="s">
        <v>8988</v>
      </c>
      <c r="AD1557" s="195" t="s">
        <v>8989</v>
      </c>
      <c r="AE1557" s="755">
        <v>3.0</v>
      </c>
      <c r="AF1557" s="755">
        <v>370.0</v>
      </c>
      <c r="AG1557" s="195" t="s">
        <v>8990</v>
      </c>
      <c r="AH1557" s="195" t="s">
        <v>127</v>
      </c>
      <c r="AI1557" s="195" t="s">
        <v>8991</v>
      </c>
      <c r="AJ1557" s="872">
        <v>0.001</v>
      </c>
      <c r="AK1557" s="55" t="s">
        <v>128</v>
      </c>
      <c r="AL1557" s="55" t="s">
        <v>179</v>
      </c>
      <c r="AM1557" s="187" t="s">
        <v>130</v>
      </c>
      <c r="AN1557" s="372" t="s">
        <v>8992</v>
      </c>
      <c r="AO1557" s="755">
        <v>291.0</v>
      </c>
      <c r="AP1557" s="755">
        <v>0.829</v>
      </c>
      <c r="AQ1557" s="195" t="s">
        <v>166</v>
      </c>
      <c r="AR1557" s="195" t="s">
        <v>500</v>
      </c>
      <c r="AS1557" s="755">
        <v>0.001</v>
      </c>
      <c r="AT1557" s="195" t="s">
        <v>128</v>
      </c>
      <c r="AU1557" s="195" t="s">
        <v>129</v>
      </c>
      <c r="AV1557" s="187" t="s">
        <v>130</v>
      </c>
      <c r="AW1557" s="874" t="s">
        <v>8993</v>
      </c>
      <c r="AX1557" s="187" t="s">
        <v>136</v>
      </c>
      <c r="AY1557" s="186"/>
      <c r="AZ1557" s="185" t="s">
        <v>137</v>
      </c>
    </row>
    <row r="1558">
      <c r="A1558" s="41">
        <v>1558.0</v>
      </c>
      <c r="B1558" s="59" t="s">
        <v>107</v>
      </c>
      <c r="C1558" s="59" t="s">
        <v>108</v>
      </c>
      <c r="D1558" s="59" t="s">
        <v>1434</v>
      </c>
      <c r="F1558" s="65" t="s">
        <v>8980</v>
      </c>
      <c r="G1558" s="58" t="s">
        <v>8980</v>
      </c>
      <c r="H1558" s="156" t="s">
        <v>1437</v>
      </c>
      <c r="I1558" s="65"/>
      <c r="J1558" s="1736">
        <v>45677.0</v>
      </c>
      <c r="K1558" s="65"/>
      <c r="L1558" s="65"/>
      <c r="M1558" s="432" t="s">
        <v>8994</v>
      </c>
      <c r="N1558" s="1738" t="s">
        <v>8995</v>
      </c>
      <c r="O1558" s="65"/>
      <c r="P1558" s="1573" t="str">
        <f>SUBSTITUTE(LOWER(N1558), "/", "--") &amp;  ".pdf"</f>
        <v>10.1073--pnas.1717092115.pdf</v>
      </c>
      <c r="Q1558" s="49" t="str">
        <f t="array" ref="Q1558"> if(iserror(MATCH(V1558, 'File Links'!C:C, 0)), "N/A", HYPERLINK(INDEX('File Links'!B:B, MATCH(P1558, 'File Links'!C:C, 0))))</f>
        <v>https://drive.google.com/file/d/1X_8gLoQL8UM8XESII7U1_3XXVMeR9N2z/view?usp=drivesdk</v>
      </c>
      <c r="R1558" s="65" t="s">
        <v>8996</v>
      </c>
      <c r="S1558" s="371" t="s">
        <v>8682</v>
      </c>
      <c r="T1558" s="432" t="s">
        <v>8683</v>
      </c>
      <c r="U1558" s="153">
        <v>4.0</v>
      </c>
      <c r="V1558" s="195" t="str">
        <f t="shared" si="113"/>
        <v>10.1038--s41562-024-02062-9.pdf</v>
      </c>
      <c r="W1558" s="156" t="s">
        <v>8695</v>
      </c>
      <c r="X1558" s="51" t="str">
        <f t="array" ref="X1558"> if(iserror(MATCH(V1558, 'File Links'!C:C, 0)), "N/A", HYPERLINK(INDEX('File Links'!B:B, MATCH(V1558, 'File Links'!C:C, 0))))</f>
        <v>https://drive.google.com/file/d/1w8pcOEpgkXG4574TMp8vmQlQVMYXLL8c/view?usp=drivesdk</v>
      </c>
      <c r="Z1558" s="156" t="s">
        <v>141</v>
      </c>
      <c r="AA1558" s="156" t="s">
        <v>8997</v>
      </c>
      <c r="AB1558" s="156" t="s">
        <v>8998</v>
      </c>
      <c r="AC1558" s="156" t="s">
        <v>8999</v>
      </c>
      <c r="AD1558" s="156" t="s">
        <v>9000</v>
      </c>
      <c r="AE1558" s="156" t="s">
        <v>9001</v>
      </c>
      <c r="AF1558" s="153">
        <v>260.0</v>
      </c>
      <c r="AG1558" s="156" t="s">
        <v>9002</v>
      </c>
      <c r="AH1558" s="156" t="s">
        <v>127</v>
      </c>
      <c r="AI1558" s="65"/>
      <c r="AJ1558" s="706">
        <v>0.001</v>
      </c>
      <c r="AK1558" s="54" t="s">
        <v>128</v>
      </c>
      <c r="AL1558" s="54" t="s">
        <v>179</v>
      </c>
      <c r="AM1558" s="1740" t="s">
        <v>134</v>
      </c>
      <c r="AN1558" s="58"/>
      <c r="AO1558" s="153">
        <v>291.0</v>
      </c>
      <c r="AP1558" s="153">
        <v>0.829</v>
      </c>
      <c r="AQ1558" s="156" t="s">
        <v>166</v>
      </c>
      <c r="AR1558" s="156" t="s">
        <v>500</v>
      </c>
      <c r="AS1558" s="1741">
        <v>5.7E-11</v>
      </c>
      <c r="AT1558" s="156" t="s">
        <v>165</v>
      </c>
      <c r="AU1558" s="156" t="s">
        <v>129</v>
      </c>
      <c r="AV1558" s="1740" t="s">
        <v>134</v>
      </c>
      <c r="AW1558" s="65"/>
      <c r="AX1558" s="1740" t="s">
        <v>136</v>
      </c>
      <c r="AZ1558" s="185" t="s">
        <v>137</v>
      </c>
    </row>
    <row r="1559">
      <c r="A1559" s="41">
        <v>1559.0</v>
      </c>
      <c r="B1559" s="185" t="s">
        <v>145</v>
      </c>
      <c r="C1559" s="185" t="s">
        <v>108</v>
      </c>
      <c r="D1559" s="185" t="s">
        <v>1451</v>
      </c>
      <c r="E1559" s="186"/>
      <c r="F1559" s="187" t="s">
        <v>9003</v>
      </c>
      <c r="G1559" s="190" t="s">
        <v>9003</v>
      </c>
      <c r="H1559" s="195" t="s">
        <v>1511</v>
      </c>
      <c r="I1559" s="188">
        <v>45670.0</v>
      </c>
      <c r="J1559" s="1736">
        <v>45677.0</v>
      </c>
      <c r="K1559" s="990" t="s">
        <v>9004</v>
      </c>
      <c r="L1559" s="187"/>
      <c r="M1559" s="874" t="s">
        <v>9005</v>
      </c>
      <c r="N1559" s="1737" t="s">
        <v>9006</v>
      </c>
      <c r="O1559" s="755">
        <v>8.0</v>
      </c>
      <c r="P1559" s="974" t="str">
        <f> SUBSTITUTE(lower(N1559), "/", "--") &amp;  ".pdf"</f>
        <v>10.1073--pnas.1610834113.pdf</v>
      </c>
      <c r="Q1559" s="49" t="str">
        <f t="array" ref="Q1559"> if(iserror(MATCH(V1559, 'File Links'!C:C, 0)), "N/A", HYPERLINK(INDEX('File Links'!B:B, MATCH(P1559, 'File Links'!C:C, 0))))</f>
        <v>https://drive.google.com/file/d/1VFtyqV5el7EJVeHaibxWMy34k9LMhbzJ/view?usp=drivesdk</v>
      </c>
      <c r="R1559" s="192" t="s">
        <v>9007</v>
      </c>
      <c r="S1559" s="371" t="s">
        <v>8682</v>
      </c>
      <c r="T1559" s="874" t="s">
        <v>8683</v>
      </c>
      <c r="U1559" s="755">
        <v>1.0</v>
      </c>
      <c r="V1559" s="195" t="str">
        <f t="shared" si="113"/>
        <v>10.1038--s41562-024-02062-9.pdf</v>
      </c>
      <c r="W1559" s="195" t="s">
        <v>9008</v>
      </c>
      <c r="X1559" s="51" t="str">
        <f t="array" ref="X1559"> if(iserror(MATCH(V1559, 'File Links'!C:C, 0)), "N/A", HYPERLINK(INDEX('File Links'!B:B, MATCH(V1559, 'File Links'!C:C, 0))))</f>
        <v>https://drive.google.com/file/d/1w8pcOEpgkXG4574TMp8vmQlQVMYXLL8c/view?usp=drivesdk</v>
      </c>
      <c r="Z1559" s="195" t="s">
        <v>2038</v>
      </c>
      <c r="AA1559" s="195" t="s">
        <v>9009</v>
      </c>
      <c r="AB1559" s="195" t="s">
        <v>9010</v>
      </c>
      <c r="AC1559" s="195" t="s">
        <v>9011</v>
      </c>
      <c r="AD1559" s="195" t="s">
        <v>9012</v>
      </c>
      <c r="AE1559" s="755">
        <v>3.0</v>
      </c>
      <c r="AF1559" s="755">
        <v>200.0</v>
      </c>
      <c r="AG1559" s="755">
        <v>0.008</v>
      </c>
      <c r="AH1559" s="195" t="s">
        <v>980</v>
      </c>
      <c r="AI1559" s="195" t="s">
        <v>500</v>
      </c>
      <c r="AJ1559" s="872">
        <v>0.03</v>
      </c>
      <c r="AK1559" s="55" t="s">
        <v>165</v>
      </c>
      <c r="AL1559" s="55" t="s">
        <v>179</v>
      </c>
      <c r="AM1559" s="187" t="s">
        <v>130</v>
      </c>
      <c r="AN1559" s="371" t="s">
        <v>131</v>
      </c>
      <c r="AO1559" s="755">
        <v>999.0</v>
      </c>
      <c r="AP1559" s="755">
        <v>0.049</v>
      </c>
      <c r="AQ1559" s="195" t="s">
        <v>166</v>
      </c>
      <c r="AR1559" s="195" t="s">
        <v>500</v>
      </c>
      <c r="AS1559" s="755">
        <v>0.699</v>
      </c>
      <c r="AT1559" s="195" t="s">
        <v>165</v>
      </c>
      <c r="AU1559" s="195" t="s">
        <v>129</v>
      </c>
      <c r="AV1559" s="187" t="s">
        <v>130</v>
      </c>
      <c r="AW1559" s="874" t="s">
        <v>9013</v>
      </c>
      <c r="AX1559" s="187" t="s">
        <v>136</v>
      </c>
      <c r="AY1559" s="186"/>
      <c r="AZ1559" s="185" t="s">
        <v>137</v>
      </c>
    </row>
    <row r="1560">
      <c r="A1560" s="41">
        <v>1560.0</v>
      </c>
      <c r="B1560" s="59" t="s">
        <v>107</v>
      </c>
      <c r="C1560" s="59" t="s">
        <v>108</v>
      </c>
      <c r="D1560" s="59" t="s">
        <v>1434</v>
      </c>
      <c r="F1560" s="65" t="s">
        <v>9003</v>
      </c>
      <c r="G1560" s="58" t="s">
        <v>9003</v>
      </c>
      <c r="H1560" s="156" t="s">
        <v>1437</v>
      </c>
      <c r="I1560" s="65"/>
      <c r="J1560" s="1736">
        <v>45677.0</v>
      </c>
      <c r="K1560" s="65"/>
      <c r="L1560" s="65"/>
      <c r="M1560" s="432" t="s">
        <v>9014</v>
      </c>
      <c r="N1560" s="1738" t="s">
        <v>9015</v>
      </c>
      <c r="O1560" s="65"/>
      <c r="P1560" s="1573" t="str">
        <f>SUBSTITUTE(LOWER(N1560), "/", "--") &amp;  ".pdf"</f>
        <v>10.1073--pnas.1610834113.pdf</v>
      </c>
      <c r="Q1560" s="49" t="str">
        <f t="array" ref="Q1560"> if(iserror(MATCH(V1560, 'File Links'!C:C, 0)), "N/A", HYPERLINK(INDEX('File Links'!B:B, MATCH(P1560, 'File Links'!C:C, 0))))</f>
        <v>https://drive.google.com/file/d/1VFtyqV5el7EJVeHaibxWMy34k9LMhbzJ/view?usp=drivesdk</v>
      </c>
      <c r="R1560" s="65" t="s">
        <v>9016</v>
      </c>
      <c r="S1560" s="371" t="s">
        <v>8682</v>
      </c>
      <c r="T1560" s="432" t="s">
        <v>8683</v>
      </c>
      <c r="U1560" s="153">
        <v>3.0</v>
      </c>
      <c r="V1560" s="195" t="str">
        <f t="shared" si="113"/>
        <v>10.1038--s41562-024-02062-9.pdf</v>
      </c>
      <c r="W1560" s="156" t="s">
        <v>8695</v>
      </c>
      <c r="X1560" s="51" t="str">
        <f t="array" ref="X1560"> if(iserror(MATCH(V1560, 'File Links'!C:C, 0)), "N/A", HYPERLINK(INDEX('File Links'!B:B, MATCH(V1560, 'File Links'!C:C, 0))))</f>
        <v>https://drive.google.com/file/d/1w8pcOEpgkXG4574TMp8vmQlQVMYXLL8c/view?usp=drivesdk</v>
      </c>
      <c r="Z1560" s="156" t="s">
        <v>2038</v>
      </c>
      <c r="AA1560" s="156" t="s">
        <v>9017</v>
      </c>
      <c r="AB1560" s="156" t="s">
        <v>9018</v>
      </c>
      <c r="AC1560" s="156" t="s">
        <v>9019</v>
      </c>
      <c r="AD1560" s="156" t="s">
        <v>9020</v>
      </c>
      <c r="AE1560" s="153">
        <v>3.0</v>
      </c>
      <c r="AF1560" s="153">
        <v>200.0</v>
      </c>
      <c r="AG1560" s="153">
        <v>0.008</v>
      </c>
      <c r="AH1560" s="156" t="s">
        <v>980</v>
      </c>
      <c r="AI1560" s="65"/>
      <c r="AJ1560" s="706">
        <v>0.03</v>
      </c>
      <c r="AK1560" s="54" t="s">
        <v>165</v>
      </c>
      <c r="AL1560" s="54" t="s">
        <v>179</v>
      </c>
      <c r="AM1560" s="1740" t="s">
        <v>134</v>
      </c>
      <c r="AN1560" s="58"/>
      <c r="AO1560" s="153">
        <v>999.0</v>
      </c>
      <c r="AP1560" s="153">
        <v>0.049</v>
      </c>
      <c r="AQ1560" s="156" t="s">
        <v>166</v>
      </c>
      <c r="AR1560" s="156" t="s">
        <v>500</v>
      </c>
      <c r="AS1560" s="153">
        <v>0.699</v>
      </c>
      <c r="AT1560" s="156" t="s">
        <v>165</v>
      </c>
      <c r="AU1560" s="156" t="s">
        <v>129</v>
      </c>
      <c r="AV1560" s="1740" t="s">
        <v>134</v>
      </c>
      <c r="AW1560" s="65"/>
      <c r="AX1560" s="1740" t="s">
        <v>136</v>
      </c>
      <c r="AZ1560" s="185" t="s">
        <v>137</v>
      </c>
    </row>
    <row r="1561">
      <c r="A1561" s="41">
        <v>1561.0</v>
      </c>
      <c r="B1561" s="185" t="s">
        <v>145</v>
      </c>
      <c r="C1561" s="185" t="s">
        <v>108</v>
      </c>
      <c r="D1561" s="185" t="s">
        <v>1451</v>
      </c>
      <c r="E1561" s="186"/>
      <c r="F1561" s="187" t="s">
        <v>9021</v>
      </c>
      <c r="G1561" s="190" t="s">
        <v>9021</v>
      </c>
      <c r="H1561" s="195" t="s">
        <v>1511</v>
      </c>
      <c r="I1561" s="188">
        <v>45670.0</v>
      </c>
      <c r="J1561" s="1736">
        <v>45677.0</v>
      </c>
      <c r="K1561" s="195" t="s">
        <v>9022</v>
      </c>
      <c r="L1561" s="187"/>
      <c r="M1561" s="874" t="s">
        <v>9023</v>
      </c>
      <c r="N1561" s="1737" t="s">
        <v>9024</v>
      </c>
      <c r="O1561" s="755">
        <v>8.0</v>
      </c>
      <c r="P1561" s="974" t="str">
        <f> SUBSTITUTE(lower(N1561), "/", "--") &amp;  ".pdf"</f>
        <v>10.1073--pnas.1805284115.pdf</v>
      </c>
      <c r="Q1561" s="49" t="str">
        <f t="array" ref="Q1561"> if(iserror(MATCH(V1561, 'File Links'!C:C, 0)), "N/A", HYPERLINK(INDEX('File Links'!B:B, MATCH(P1561, 'File Links'!C:C, 0))))</f>
        <v>https://drive.google.com/file/d/1Z4TItg9VScF62xlkgC_PoPtT-7Vv0iWy/view?usp=drivesdk</v>
      </c>
      <c r="R1561" s="192" t="s">
        <v>9025</v>
      </c>
      <c r="S1561" s="371" t="s">
        <v>8682</v>
      </c>
      <c r="T1561" s="874" t="s">
        <v>8683</v>
      </c>
      <c r="U1561" s="755">
        <v>1.0</v>
      </c>
      <c r="V1561" s="195" t="str">
        <f t="shared" si="113"/>
        <v>10.1038--s41562-024-02062-9.pdf</v>
      </c>
      <c r="W1561" s="195" t="s">
        <v>9026</v>
      </c>
      <c r="X1561" s="51" t="str">
        <f t="array" ref="X1561"> if(iserror(MATCH(V1561, 'File Links'!C:C, 0)), "N/A", HYPERLINK(INDEX('File Links'!B:B, MATCH(V1561, 'File Links'!C:C, 0))))</f>
        <v>https://drive.google.com/file/d/1w8pcOEpgkXG4574TMp8vmQlQVMYXLL8c/view?usp=drivesdk</v>
      </c>
      <c r="Z1561" s="195" t="s">
        <v>219</v>
      </c>
      <c r="AA1561" s="195" t="s">
        <v>9027</v>
      </c>
      <c r="AB1561" s="195" t="s">
        <v>9028</v>
      </c>
      <c r="AC1561" s="195" t="s">
        <v>9029</v>
      </c>
      <c r="AD1561" s="195" t="s">
        <v>9030</v>
      </c>
      <c r="AE1561" s="755">
        <v>4.0</v>
      </c>
      <c r="AF1561" s="755">
        <v>554.0</v>
      </c>
      <c r="AG1561" s="195" t="s">
        <v>9031</v>
      </c>
      <c r="AH1561" s="195" t="s">
        <v>127</v>
      </c>
      <c r="AI1561" s="195" t="s">
        <v>489</v>
      </c>
      <c r="AJ1561" s="872">
        <v>0.032</v>
      </c>
      <c r="AK1561" s="55" t="s">
        <v>165</v>
      </c>
      <c r="AL1561" s="55" t="s">
        <v>179</v>
      </c>
      <c r="AM1561" s="187" t="s">
        <v>134</v>
      </c>
      <c r="AN1561" s="372" t="s">
        <v>9032</v>
      </c>
      <c r="AO1561" s="755">
        <v>2849.0</v>
      </c>
      <c r="AP1561" s="755">
        <v>0.009</v>
      </c>
      <c r="AQ1561" s="195" t="s">
        <v>166</v>
      </c>
      <c r="AR1561" s="195" t="s">
        <v>2764</v>
      </c>
      <c r="AS1561" s="755">
        <v>0.639</v>
      </c>
      <c r="AT1561" s="195" t="s">
        <v>165</v>
      </c>
      <c r="AU1561" s="195" t="s">
        <v>129</v>
      </c>
      <c r="AV1561" s="187" t="s">
        <v>134</v>
      </c>
      <c r="AW1561" s="874" t="s">
        <v>9033</v>
      </c>
      <c r="AX1561" s="187" t="s">
        <v>136</v>
      </c>
      <c r="AY1561" s="186"/>
      <c r="AZ1561" s="185" t="s">
        <v>137</v>
      </c>
    </row>
    <row r="1562">
      <c r="A1562" s="41">
        <v>1562.0</v>
      </c>
      <c r="B1562" s="59" t="s">
        <v>107</v>
      </c>
      <c r="C1562" s="59" t="s">
        <v>108</v>
      </c>
      <c r="D1562" s="59" t="s">
        <v>1434</v>
      </c>
      <c r="F1562" s="65" t="s">
        <v>9021</v>
      </c>
      <c r="G1562" s="58" t="s">
        <v>9021</v>
      </c>
      <c r="H1562" s="156" t="s">
        <v>1437</v>
      </c>
      <c r="I1562" s="65"/>
      <c r="J1562" s="1736">
        <v>45677.0</v>
      </c>
      <c r="K1562" s="65"/>
      <c r="L1562" s="65"/>
      <c r="M1562" s="432" t="s">
        <v>9034</v>
      </c>
      <c r="N1562" s="1738" t="s">
        <v>9035</v>
      </c>
      <c r="O1562" s="65"/>
      <c r="P1562" s="1573" t="str">
        <f>SUBSTITUTE(LOWER(N1562), "/", "--") &amp;  ".pdf"</f>
        <v>10.1073--pnas.1805284115.pdf</v>
      </c>
      <c r="Q1562" s="49" t="str">
        <f t="array" ref="Q1562"> if(iserror(MATCH(V1562, 'File Links'!C:C, 0)), "N/A", HYPERLINK(INDEX('File Links'!B:B, MATCH(P1562, 'File Links'!C:C, 0))))</f>
        <v>https://drive.google.com/file/d/1Z4TItg9VScF62xlkgC_PoPtT-7Vv0iWy/view?usp=drivesdk</v>
      </c>
      <c r="R1562" s="65" t="s">
        <v>9036</v>
      </c>
      <c r="S1562" s="371" t="s">
        <v>8682</v>
      </c>
      <c r="T1562" s="432" t="s">
        <v>8683</v>
      </c>
      <c r="U1562" s="153">
        <v>8.0</v>
      </c>
      <c r="V1562" s="195" t="str">
        <f t="shared" si="113"/>
        <v>10.1038--s41562-024-02062-9.pdf</v>
      </c>
      <c r="W1562" s="156" t="s">
        <v>8695</v>
      </c>
      <c r="X1562" s="51" t="str">
        <f t="array" ref="X1562"> if(iserror(MATCH(V1562, 'File Links'!C:C, 0)), "N/A", HYPERLINK(INDEX('File Links'!B:B, MATCH(V1562, 'File Links'!C:C, 0))))</f>
        <v>https://drive.google.com/file/d/1w8pcOEpgkXG4574TMp8vmQlQVMYXLL8c/view?usp=drivesdk</v>
      </c>
      <c r="Z1562" s="156" t="s">
        <v>219</v>
      </c>
      <c r="AA1562" s="156" t="s">
        <v>9037</v>
      </c>
      <c r="AB1562" s="156" t="s">
        <v>9038</v>
      </c>
      <c r="AC1562" s="156" t="s">
        <v>9039</v>
      </c>
      <c r="AD1562" s="156" t="s">
        <v>9040</v>
      </c>
      <c r="AE1562" s="153">
        <v>4.0</v>
      </c>
      <c r="AF1562" s="153">
        <v>554.0</v>
      </c>
      <c r="AG1562" s="156" t="s">
        <v>9031</v>
      </c>
      <c r="AH1562" s="156" t="s">
        <v>127</v>
      </c>
      <c r="AI1562" s="65"/>
      <c r="AJ1562" s="706">
        <v>0.032</v>
      </c>
      <c r="AK1562" s="54" t="s">
        <v>165</v>
      </c>
      <c r="AL1562" s="54" t="s">
        <v>129</v>
      </c>
      <c r="AM1562" s="1740" t="s">
        <v>134</v>
      </c>
      <c r="AN1562" s="58"/>
      <c r="AO1562" s="153">
        <v>2849.0</v>
      </c>
      <c r="AP1562" s="153">
        <v>0.009</v>
      </c>
      <c r="AQ1562" s="156" t="s">
        <v>166</v>
      </c>
      <c r="AR1562" s="156" t="s">
        <v>2764</v>
      </c>
      <c r="AS1562" s="153">
        <v>0.639</v>
      </c>
      <c r="AT1562" s="156" t="s">
        <v>165</v>
      </c>
      <c r="AU1562" s="156" t="s">
        <v>129</v>
      </c>
      <c r="AV1562" s="1740" t="s">
        <v>134</v>
      </c>
      <c r="AW1562" s="65"/>
      <c r="AX1562" s="1740" t="s">
        <v>136</v>
      </c>
      <c r="AZ1562" s="185" t="s">
        <v>137</v>
      </c>
    </row>
    <row r="1563">
      <c r="A1563" s="41">
        <v>1563.0</v>
      </c>
      <c r="B1563" s="185" t="s">
        <v>145</v>
      </c>
      <c r="C1563" s="185" t="s">
        <v>108</v>
      </c>
      <c r="D1563" s="185" t="s">
        <v>1451</v>
      </c>
      <c r="E1563" s="186"/>
      <c r="F1563" s="187" t="s">
        <v>9041</v>
      </c>
      <c r="G1563" s="190" t="s">
        <v>9041</v>
      </c>
      <c r="H1563" s="195" t="s">
        <v>1511</v>
      </c>
      <c r="I1563" s="188">
        <v>45670.0</v>
      </c>
      <c r="J1563" s="1736">
        <v>45677.0</v>
      </c>
      <c r="K1563" s="195" t="s">
        <v>9042</v>
      </c>
      <c r="L1563" s="187"/>
      <c r="M1563" s="874" t="s">
        <v>9043</v>
      </c>
      <c r="N1563" s="1737" t="s">
        <v>9044</v>
      </c>
      <c r="O1563" s="755">
        <v>2.0</v>
      </c>
      <c r="P1563" s="974" t="str">
        <f> SUBSTITUTE(lower(N1563), "/", "--") &amp;  ".pdf"</f>
        <v>10.1073--pnas.1501592112.pdf</v>
      </c>
      <c r="Q1563" s="49" t="str">
        <f t="array" ref="Q1563"> if(iserror(MATCH(V1563, 'File Links'!C:C, 0)), "N/A", HYPERLINK(INDEX('File Links'!B:B, MATCH(P1563, 'File Links'!C:C, 0))))</f>
        <v>https://drive.google.com/file/d/1r8gz_OQgXRQyPABeOEgFy2rbZa10e60I/view?usp=drivesdk</v>
      </c>
      <c r="R1563" s="192" t="s">
        <v>9045</v>
      </c>
      <c r="S1563" s="371" t="s">
        <v>8682</v>
      </c>
      <c r="T1563" s="874" t="s">
        <v>8683</v>
      </c>
      <c r="U1563" s="755">
        <v>1.0</v>
      </c>
      <c r="V1563" s="195" t="str">
        <f t="shared" si="113"/>
        <v>10.1038--s41562-024-02062-9.pdf</v>
      </c>
      <c r="W1563" s="195" t="s">
        <v>9046</v>
      </c>
      <c r="X1563" s="51" t="str">
        <f t="array" ref="X1563"> if(iserror(MATCH(V1563, 'File Links'!C:C, 0)), "N/A", HYPERLINK(INDEX('File Links'!B:B, MATCH(V1563, 'File Links'!C:C, 0))))</f>
        <v>https://drive.google.com/file/d/1w8pcOEpgkXG4574TMp8vmQlQVMYXLL8c/view?usp=drivesdk</v>
      </c>
      <c r="Z1563" s="195" t="s">
        <v>219</v>
      </c>
      <c r="AA1563" s="195" t="s">
        <v>9047</v>
      </c>
      <c r="AB1563" s="195" t="s">
        <v>9048</v>
      </c>
      <c r="AC1563" s="195" t="s">
        <v>9049</v>
      </c>
      <c r="AD1563" s="572" t="s">
        <v>9050</v>
      </c>
      <c r="AE1563" s="755">
        <v>3.0</v>
      </c>
      <c r="AF1563" s="187"/>
      <c r="AG1563" s="572" t="s">
        <v>9051</v>
      </c>
      <c r="AH1563" s="195" t="s">
        <v>127</v>
      </c>
      <c r="AI1563" s="195" t="s">
        <v>500</v>
      </c>
      <c r="AJ1563" s="872">
        <v>0.009</v>
      </c>
      <c r="AK1563" s="55" t="s">
        <v>165</v>
      </c>
      <c r="AL1563" s="55" t="s">
        <v>179</v>
      </c>
      <c r="AM1563" s="187" t="s">
        <v>130</v>
      </c>
      <c r="AN1563" s="371" t="s">
        <v>131</v>
      </c>
      <c r="AO1563" s="755">
        <v>723.0</v>
      </c>
      <c r="AP1563" s="755">
        <v>0.027</v>
      </c>
      <c r="AQ1563" s="195" t="s">
        <v>166</v>
      </c>
      <c r="AR1563" s="195" t="s">
        <v>2764</v>
      </c>
      <c r="AS1563" s="755">
        <v>0.714</v>
      </c>
      <c r="AT1563" s="195" t="s">
        <v>165</v>
      </c>
      <c r="AU1563" s="195" t="s">
        <v>129</v>
      </c>
      <c r="AV1563" s="187" t="s">
        <v>130</v>
      </c>
      <c r="AW1563" s="874" t="s">
        <v>9052</v>
      </c>
      <c r="AX1563" s="187" t="s">
        <v>136</v>
      </c>
      <c r="AY1563" s="186"/>
      <c r="AZ1563" s="185" t="s">
        <v>137</v>
      </c>
    </row>
    <row r="1564">
      <c r="A1564" s="41">
        <v>1564.0</v>
      </c>
      <c r="B1564" s="59" t="s">
        <v>107</v>
      </c>
      <c r="C1564" s="59" t="s">
        <v>108</v>
      </c>
      <c r="D1564" s="59" t="s">
        <v>1434</v>
      </c>
      <c r="F1564" s="65" t="s">
        <v>9041</v>
      </c>
      <c r="G1564" s="58" t="s">
        <v>9041</v>
      </c>
      <c r="H1564" s="156" t="s">
        <v>1437</v>
      </c>
      <c r="I1564" s="65"/>
      <c r="J1564" s="1736">
        <v>45677.0</v>
      </c>
      <c r="K1564" s="65"/>
      <c r="L1564" s="65"/>
      <c r="M1564" s="432" t="s">
        <v>9053</v>
      </c>
      <c r="N1564" s="1738" t="s">
        <v>9054</v>
      </c>
      <c r="O1564" s="65"/>
      <c r="P1564" s="1573" t="str">
        <f>SUBSTITUTE(LOWER(N1564), "/", "--") &amp;  ".pdf"</f>
        <v>10.1073--pnas.1501592112.pdf</v>
      </c>
      <c r="Q1564" s="49" t="str">
        <f t="array" ref="Q1564"> if(iserror(MATCH(V1564, 'File Links'!C:C, 0)), "N/A", HYPERLINK(INDEX('File Links'!B:B, MATCH(P1564, 'File Links'!C:C, 0))))</f>
        <v>https://drive.google.com/file/d/1r8gz_OQgXRQyPABeOEgFy2rbZa10e60I/view?usp=drivesdk</v>
      </c>
      <c r="R1564" s="65" t="s">
        <v>9055</v>
      </c>
      <c r="S1564" s="371" t="s">
        <v>8682</v>
      </c>
      <c r="T1564" s="432" t="s">
        <v>8683</v>
      </c>
      <c r="U1564" s="153">
        <v>1.0</v>
      </c>
      <c r="V1564" s="195" t="str">
        <f t="shared" si="113"/>
        <v>10.1038--s41562-024-02062-9.pdf</v>
      </c>
      <c r="W1564" s="156" t="s">
        <v>8695</v>
      </c>
      <c r="X1564" s="51" t="str">
        <f t="array" ref="X1564"> if(iserror(MATCH(V1564, 'File Links'!C:C, 0)), "N/A", HYPERLINK(INDEX('File Links'!B:B, MATCH(V1564, 'File Links'!C:C, 0))))</f>
        <v>https://drive.google.com/file/d/1w8pcOEpgkXG4574TMp8vmQlQVMYXLL8c/view?usp=drivesdk</v>
      </c>
      <c r="Z1564" s="156" t="s">
        <v>219</v>
      </c>
      <c r="AA1564" s="156" t="s">
        <v>9056</v>
      </c>
      <c r="AB1564" s="156" t="s">
        <v>9057</v>
      </c>
      <c r="AC1564" s="156" t="s">
        <v>9058</v>
      </c>
      <c r="AD1564" s="148" t="s">
        <v>9059</v>
      </c>
      <c r="AE1564" s="153">
        <v>3.0</v>
      </c>
      <c r="AF1564" s="153">
        <v>201.0</v>
      </c>
      <c r="AG1564" s="156" t="s">
        <v>9060</v>
      </c>
      <c r="AH1564" s="156" t="s">
        <v>127</v>
      </c>
      <c r="AI1564" s="65"/>
      <c r="AJ1564" s="706">
        <v>0.009</v>
      </c>
      <c r="AK1564" s="54" t="s">
        <v>165</v>
      </c>
      <c r="AL1564" s="54" t="s">
        <v>179</v>
      </c>
      <c r="AM1564" s="1740" t="s">
        <v>130</v>
      </c>
      <c r="AN1564" s="58"/>
      <c r="AO1564" s="153">
        <v>723.0</v>
      </c>
      <c r="AP1564" s="153">
        <v>0.027</v>
      </c>
      <c r="AQ1564" s="156" t="s">
        <v>166</v>
      </c>
      <c r="AR1564" s="156" t="s">
        <v>2764</v>
      </c>
      <c r="AS1564" s="153">
        <v>0.714</v>
      </c>
      <c r="AT1564" s="156" t="s">
        <v>165</v>
      </c>
      <c r="AU1564" s="156" t="s">
        <v>129</v>
      </c>
      <c r="AV1564" s="1740" t="s">
        <v>130</v>
      </c>
      <c r="AW1564" s="65"/>
      <c r="AX1564" s="1740" t="s">
        <v>136</v>
      </c>
      <c r="AZ1564" s="185" t="s">
        <v>137</v>
      </c>
    </row>
    <row r="1565">
      <c r="A1565" s="41">
        <v>1565.0</v>
      </c>
      <c r="B1565" s="185" t="s">
        <v>145</v>
      </c>
      <c r="C1565" s="185" t="s">
        <v>108</v>
      </c>
      <c r="D1565" s="185" t="s">
        <v>1451</v>
      </c>
      <c r="E1565" s="186"/>
      <c r="F1565" s="187" t="s">
        <v>9061</v>
      </c>
      <c r="G1565" s="190" t="s">
        <v>9061</v>
      </c>
      <c r="H1565" s="195" t="s">
        <v>1511</v>
      </c>
      <c r="I1565" s="188">
        <v>45669.0</v>
      </c>
      <c r="J1565" s="1736">
        <v>45677.0</v>
      </c>
      <c r="K1565" s="195" t="s">
        <v>9062</v>
      </c>
      <c r="L1565" s="187"/>
      <c r="M1565" s="874" t="s">
        <v>9063</v>
      </c>
      <c r="N1565" s="1737" t="s">
        <v>9064</v>
      </c>
      <c r="O1565" s="755">
        <v>7.0</v>
      </c>
      <c r="P1565" s="974" t="str">
        <f> SUBSTITUTE(lower(N1565), "/", "--") &amp;  ".pdf"</f>
        <v>10.1073--pnas.1517662112.pdf</v>
      </c>
      <c r="Q1565" s="49" t="str">
        <f t="array" ref="Q1565"> if(iserror(MATCH(V1565, 'File Links'!C:C, 0)), "N/A", HYPERLINK(INDEX('File Links'!B:B, MATCH(P1565, 'File Links'!C:C, 0))))</f>
        <v>https://drive.google.com/file/d/1p1O3cA89Rortn-b4c3if2MEMXd31m4nv/view?usp=drivesdk</v>
      </c>
      <c r="R1565" s="192" t="s">
        <v>9065</v>
      </c>
      <c r="S1565" s="371" t="s">
        <v>8682</v>
      </c>
      <c r="T1565" s="874" t="s">
        <v>8683</v>
      </c>
      <c r="U1565" s="755">
        <v>1.0</v>
      </c>
      <c r="V1565" s="195" t="str">
        <f t="shared" si="113"/>
        <v>10.1038--s41562-024-02062-9.pdf</v>
      </c>
      <c r="W1565" s="195" t="s">
        <v>9066</v>
      </c>
      <c r="X1565" s="51" t="str">
        <f t="array" ref="X1565"> if(iserror(MATCH(V1565, 'File Links'!C:C, 0)), "N/A", HYPERLINK(INDEX('File Links'!B:B, MATCH(V1565, 'File Links'!C:C, 0))))</f>
        <v>https://drive.google.com/file/d/1w8pcOEpgkXG4574TMp8vmQlQVMYXLL8c/view?usp=drivesdk</v>
      </c>
      <c r="Z1565" s="195" t="s">
        <v>219</v>
      </c>
      <c r="AA1565" s="195" t="s">
        <v>9067</v>
      </c>
      <c r="AB1565" s="195" t="s">
        <v>9068</v>
      </c>
      <c r="AC1565" s="195" t="s">
        <v>9069</v>
      </c>
      <c r="AD1565" s="195" t="s">
        <v>9070</v>
      </c>
      <c r="AE1565" s="755">
        <v>3.0</v>
      </c>
      <c r="AF1565" s="755">
        <v>273.0</v>
      </c>
      <c r="AG1565" s="747">
        <v>0.52</v>
      </c>
      <c r="AH1565" s="195" t="s">
        <v>980</v>
      </c>
      <c r="AI1565" s="195" t="s">
        <v>500</v>
      </c>
      <c r="AJ1565" s="872">
        <v>0.001</v>
      </c>
      <c r="AK1565" s="55" t="s">
        <v>128</v>
      </c>
      <c r="AL1565" s="55" t="s">
        <v>179</v>
      </c>
      <c r="AM1565" s="187" t="s">
        <v>134</v>
      </c>
      <c r="AN1565" s="371" t="s">
        <v>131</v>
      </c>
      <c r="AO1565" s="755">
        <v>503.0</v>
      </c>
      <c r="AP1565" s="1742">
        <v>0.0112</v>
      </c>
      <c r="AQ1565" s="195" t="s">
        <v>166</v>
      </c>
      <c r="AR1565" s="195" t="s">
        <v>500</v>
      </c>
      <c r="AS1565" s="1743">
        <v>0.801</v>
      </c>
      <c r="AT1565" s="195" t="s">
        <v>165</v>
      </c>
      <c r="AU1565" s="195" t="s">
        <v>129</v>
      </c>
      <c r="AV1565" s="187" t="s">
        <v>134</v>
      </c>
      <c r="AW1565" s="874" t="s">
        <v>9071</v>
      </c>
      <c r="AX1565" s="187" t="s">
        <v>136</v>
      </c>
      <c r="AY1565" s="186"/>
      <c r="AZ1565" s="185" t="s">
        <v>137</v>
      </c>
    </row>
    <row r="1566">
      <c r="A1566" s="41">
        <v>1566.0</v>
      </c>
      <c r="B1566" s="59" t="s">
        <v>107</v>
      </c>
      <c r="C1566" s="59" t="s">
        <v>108</v>
      </c>
      <c r="D1566" s="59" t="s">
        <v>1434</v>
      </c>
      <c r="F1566" s="65" t="s">
        <v>9061</v>
      </c>
      <c r="G1566" s="58" t="s">
        <v>9061</v>
      </c>
      <c r="H1566" s="156" t="s">
        <v>1437</v>
      </c>
      <c r="I1566" s="65"/>
      <c r="J1566" s="1736">
        <v>45677.0</v>
      </c>
      <c r="K1566" s="65"/>
      <c r="L1566" s="65"/>
      <c r="M1566" s="432" t="s">
        <v>9072</v>
      </c>
      <c r="N1566" s="1738" t="s">
        <v>9073</v>
      </c>
      <c r="O1566" s="65"/>
      <c r="P1566" s="1573" t="str">
        <f>SUBSTITUTE(LOWER(N1566), "/", "--") &amp;  ".pdf"</f>
        <v>10.1073--pnas.1517662112.pdf</v>
      </c>
      <c r="Q1566" s="49" t="str">
        <f t="array" ref="Q1566"> if(iserror(MATCH(V1566, 'File Links'!C:C, 0)), "N/A", HYPERLINK(INDEX('File Links'!B:B, MATCH(P1566, 'File Links'!C:C, 0))))</f>
        <v>https://drive.google.com/file/d/1p1O3cA89Rortn-b4c3if2MEMXd31m4nv/view?usp=drivesdk</v>
      </c>
      <c r="R1566" s="65" t="s">
        <v>9074</v>
      </c>
      <c r="S1566" s="371" t="s">
        <v>8682</v>
      </c>
      <c r="T1566" s="432" t="s">
        <v>8683</v>
      </c>
      <c r="U1566" s="153">
        <v>7.0</v>
      </c>
      <c r="V1566" s="195" t="str">
        <f t="shared" si="113"/>
        <v>10.1038--s41562-024-02062-9.pdf</v>
      </c>
      <c r="W1566" s="156" t="s">
        <v>8695</v>
      </c>
      <c r="X1566" s="51" t="str">
        <f t="array" ref="X1566"> if(iserror(MATCH(V1566, 'File Links'!C:C, 0)), "N/A", HYPERLINK(INDEX('File Links'!B:B, MATCH(V1566, 'File Links'!C:C, 0))))</f>
        <v>https://drive.google.com/file/d/1w8pcOEpgkXG4574TMp8vmQlQVMYXLL8c/view?usp=drivesdk</v>
      </c>
      <c r="Z1566" s="156" t="s">
        <v>219</v>
      </c>
      <c r="AA1566" s="156" t="s">
        <v>9075</v>
      </c>
      <c r="AB1566" s="156" t="s">
        <v>9076</v>
      </c>
      <c r="AC1566" s="156" t="s">
        <v>9077</v>
      </c>
      <c r="AD1566" s="156" t="s">
        <v>9078</v>
      </c>
      <c r="AE1566" s="153">
        <v>3.0</v>
      </c>
      <c r="AF1566" s="153">
        <v>273.0</v>
      </c>
      <c r="AG1566" s="153">
        <v>0.52</v>
      </c>
      <c r="AH1566" s="65" t="s">
        <v>354</v>
      </c>
      <c r="AI1566" s="65"/>
      <c r="AJ1566" s="706">
        <v>0.001</v>
      </c>
      <c r="AK1566" s="54" t="s">
        <v>128</v>
      </c>
      <c r="AL1566" s="54" t="s">
        <v>179</v>
      </c>
      <c r="AM1566" s="65" t="s">
        <v>130</v>
      </c>
      <c r="AN1566" s="58"/>
      <c r="AO1566" s="153">
        <v>503.0</v>
      </c>
      <c r="AP1566" s="153">
        <v>0.011</v>
      </c>
      <c r="AQ1566" s="156" t="s">
        <v>166</v>
      </c>
      <c r="AR1566" s="156" t="s">
        <v>500</v>
      </c>
      <c r="AS1566" s="153">
        <v>0.801</v>
      </c>
      <c r="AT1566" s="156" t="s">
        <v>165</v>
      </c>
      <c r="AU1566" s="156" t="s">
        <v>129</v>
      </c>
      <c r="AV1566" s="65" t="s">
        <v>130</v>
      </c>
      <c r="AW1566" s="65"/>
      <c r="AX1566" s="65" t="s">
        <v>136</v>
      </c>
      <c r="AZ1566" s="185" t="s">
        <v>137</v>
      </c>
    </row>
    <row r="1567">
      <c r="A1567" s="41">
        <v>1567.0</v>
      </c>
      <c r="B1567" s="185" t="s">
        <v>145</v>
      </c>
      <c r="C1567" s="185" t="s">
        <v>108</v>
      </c>
      <c r="D1567" s="185" t="s">
        <v>1451</v>
      </c>
      <c r="E1567" s="186"/>
      <c r="F1567" s="187" t="s">
        <v>9079</v>
      </c>
      <c r="G1567" s="190" t="s">
        <v>9079</v>
      </c>
      <c r="H1567" s="195" t="s">
        <v>1511</v>
      </c>
      <c r="I1567" s="188">
        <v>45669.0</v>
      </c>
      <c r="J1567" s="1736">
        <v>45677.0</v>
      </c>
      <c r="K1567" s="195" t="s">
        <v>9080</v>
      </c>
      <c r="L1567" s="187"/>
      <c r="M1567" s="874" t="s">
        <v>9081</v>
      </c>
      <c r="N1567" s="1737" t="s">
        <v>9082</v>
      </c>
      <c r="O1567" s="755">
        <v>2.0</v>
      </c>
      <c r="P1567" s="974" t="str">
        <f> SUBSTITUTE(lower(N1567), "/", "--") &amp;  ".pdf"</f>
        <v>10.1073--pnas.1707040114.pdf</v>
      </c>
      <c r="Q1567" s="49" t="str">
        <f t="array" ref="Q1567"> if(iserror(MATCH(V1567, 'File Links'!C:C, 0)), "N/A", HYPERLINK(INDEX('File Links'!B:B, MATCH(P1567, 'File Links'!C:C, 0))))</f>
        <v>https://drive.google.com/file/d/1egXsfHxw3enkl4JvCEY0lfs0BTX1O2u3/view?usp=drivesdk</v>
      </c>
      <c r="R1567" s="192" t="s">
        <v>9083</v>
      </c>
      <c r="S1567" s="371" t="s">
        <v>8682</v>
      </c>
      <c r="T1567" s="874" t="s">
        <v>8683</v>
      </c>
      <c r="U1567" s="755">
        <v>1.0</v>
      </c>
      <c r="V1567" s="195" t="str">
        <f t="shared" si="113"/>
        <v>10.1038--s41562-024-02062-9.pdf</v>
      </c>
      <c r="W1567" s="195" t="s">
        <v>9084</v>
      </c>
      <c r="X1567" s="51" t="str">
        <f t="array" ref="X1567"> if(iserror(MATCH(V1567, 'File Links'!C:C, 0)), "N/A", HYPERLINK(INDEX('File Links'!B:B, MATCH(V1567, 'File Links'!C:C, 0))))</f>
        <v>https://drive.google.com/file/d/1w8pcOEpgkXG4574TMp8vmQlQVMYXLL8c/view?usp=drivesdk</v>
      </c>
      <c r="Z1567" s="195" t="s">
        <v>203</v>
      </c>
      <c r="AA1567" s="195" t="s">
        <v>9085</v>
      </c>
      <c r="AB1567" s="195" t="s">
        <v>9086</v>
      </c>
      <c r="AC1567" s="195" t="s">
        <v>9087</v>
      </c>
      <c r="AD1567" s="195" t="s">
        <v>9088</v>
      </c>
      <c r="AE1567" s="1745">
        <v>45750.0</v>
      </c>
      <c r="AF1567" s="755">
        <v>207.0</v>
      </c>
      <c r="AG1567" s="755">
        <v>-0.23</v>
      </c>
      <c r="AH1567" s="195" t="s">
        <v>354</v>
      </c>
      <c r="AI1567" s="195" t="s">
        <v>489</v>
      </c>
      <c r="AJ1567" s="872">
        <v>0.027</v>
      </c>
      <c r="AK1567" s="55" t="s">
        <v>165</v>
      </c>
      <c r="AL1567" s="55" t="s">
        <v>179</v>
      </c>
      <c r="AM1567" s="187" t="s">
        <v>130</v>
      </c>
      <c r="AN1567" s="371" t="s">
        <v>131</v>
      </c>
      <c r="AO1567" s="755">
        <v>1044.0</v>
      </c>
      <c r="AP1567" s="1742">
        <v>0.067</v>
      </c>
      <c r="AQ1567" s="195" t="s">
        <v>166</v>
      </c>
      <c r="AR1567" s="195" t="s">
        <v>2764</v>
      </c>
      <c r="AS1567" s="1743">
        <v>0.278</v>
      </c>
      <c r="AT1567" s="195" t="s">
        <v>165</v>
      </c>
      <c r="AU1567" s="195" t="s">
        <v>129</v>
      </c>
      <c r="AV1567" s="187" t="s">
        <v>130</v>
      </c>
      <c r="AW1567" s="874" t="s">
        <v>9089</v>
      </c>
      <c r="AX1567" s="187" t="s">
        <v>136</v>
      </c>
      <c r="AY1567" s="186"/>
      <c r="AZ1567" s="185" t="s">
        <v>137</v>
      </c>
    </row>
    <row r="1568">
      <c r="A1568" s="41">
        <v>1568.0</v>
      </c>
      <c r="B1568" s="59" t="s">
        <v>107</v>
      </c>
      <c r="C1568" s="59" t="s">
        <v>108</v>
      </c>
      <c r="D1568" s="59" t="s">
        <v>1434</v>
      </c>
      <c r="F1568" s="65" t="s">
        <v>9079</v>
      </c>
      <c r="G1568" s="58" t="s">
        <v>9079</v>
      </c>
      <c r="H1568" s="156" t="s">
        <v>1437</v>
      </c>
      <c r="I1568" s="65"/>
      <c r="J1568" s="1736">
        <v>45677.0</v>
      </c>
      <c r="K1568" s="65"/>
      <c r="L1568" s="65"/>
      <c r="M1568" s="432" t="s">
        <v>9090</v>
      </c>
      <c r="N1568" s="1738" t="s">
        <v>9091</v>
      </c>
      <c r="O1568" s="65"/>
      <c r="P1568" s="1573" t="str">
        <f>SUBSTITUTE(LOWER(N1568), "/", "--") &amp;  ".pdf"</f>
        <v>10.1073--pnas.1707040114.pdf</v>
      </c>
      <c r="Q1568" s="49" t="str">
        <f t="array" ref="Q1568"> if(iserror(MATCH(V1568, 'File Links'!C:C, 0)), "N/A", HYPERLINK(INDEX('File Links'!B:B, MATCH(P1568, 'File Links'!C:C, 0))))</f>
        <v>https://drive.google.com/file/d/1egXsfHxw3enkl4JvCEY0lfs0BTX1O2u3/view?usp=drivesdk</v>
      </c>
      <c r="R1568" s="65" t="s">
        <v>9092</v>
      </c>
      <c r="S1568" s="371" t="s">
        <v>8682</v>
      </c>
      <c r="T1568" s="432" t="s">
        <v>8683</v>
      </c>
      <c r="U1568" s="153">
        <v>2.0</v>
      </c>
      <c r="V1568" s="195" t="str">
        <f t="shared" si="113"/>
        <v>10.1038--s41562-024-02062-9.pdf</v>
      </c>
      <c r="W1568" s="156" t="s">
        <v>8695</v>
      </c>
      <c r="X1568" s="51" t="str">
        <f t="array" ref="X1568"> if(iserror(MATCH(V1568, 'File Links'!C:C, 0)), "N/A", HYPERLINK(INDEX('File Links'!B:B, MATCH(V1568, 'File Links'!C:C, 0))))</f>
        <v>https://drive.google.com/file/d/1w8pcOEpgkXG4574TMp8vmQlQVMYXLL8c/view?usp=drivesdk</v>
      </c>
      <c r="Z1568" s="156" t="s">
        <v>203</v>
      </c>
      <c r="AA1568" s="156" t="s">
        <v>9093</v>
      </c>
      <c r="AB1568" s="156" t="s">
        <v>9094</v>
      </c>
      <c r="AC1568" s="156" t="s">
        <v>9095</v>
      </c>
      <c r="AD1568" s="156" t="s">
        <v>9096</v>
      </c>
      <c r="AE1568" s="153">
        <v>3.0</v>
      </c>
      <c r="AF1568" s="153">
        <v>207.0</v>
      </c>
      <c r="AG1568" s="153">
        <v>-0.23</v>
      </c>
      <c r="AH1568" s="65" t="s">
        <v>354</v>
      </c>
      <c r="AI1568" s="65"/>
      <c r="AJ1568" s="706">
        <v>0.027</v>
      </c>
      <c r="AK1568" s="54" t="s">
        <v>165</v>
      </c>
      <c r="AL1568" s="54" t="s">
        <v>179</v>
      </c>
      <c r="AM1568" s="65" t="s">
        <v>130</v>
      </c>
      <c r="AN1568" s="58"/>
      <c r="AO1568" s="153">
        <v>1044.0</v>
      </c>
      <c r="AP1568" s="153">
        <v>0.067</v>
      </c>
      <c r="AQ1568" s="156" t="s">
        <v>166</v>
      </c>
      <c r="AR1568" s="156" t="s">
        <v>2764</v>
      </c>
      <c r="AS1568" s="153">
        <v>0.278</v>
      </c>
      <c r="AT1568" s="156" t="s">
        <v>165</v>
      </c>
      <c r="AU1568" s="156" t="s">
        <v>129</v>
      </c>
      <c r="AV1568" s="65" t="s">
        <v>130</v>
      </c>
      <c r="AW1568" s="65"/>
      <c r="AX1568" s="65" t="s">
        <v>136</v>
      </c>
      <c r="AZ1568" s="185" t="s">
        <v>137</v>
      </c>
    </row>
    <row r="1569">
      <c r="A1569" s="41">
        <v>1569.0</v>
      </c>
      <c r="B1569" s="185" t="s">
        <v>145</v>
      </c>
      <c r="C1569" s="185" t="s">
        <v>108</v>
      </c>
      <c r="D1569" s="185" t="s">
        <v>1451</v>
      </c>
      <c r="E1569" s="186"/>
      <c r="F1569" s="187" t="s">
        <v>9097</v>
      </c>
      <c r="G1569" s="190" t="s">
        <v>9097</v>
      </c>
      <c r="H1569" s="195" t="s">
        <v>1511</v>
      </c>
      <c r="I1569" s="188">
        <v>45669.0</v>
      </c>
      <c r="J1569" s="1736">
        <v>45677.0</v>
      </c>
      <c r="K1569" s="195" t="s">
        <v>9098</v>
      </c>
      <c r="L1569" s="187"/>
      <c r="M1569" s="874" t="s">
        <v>9099</v>
      </c>
      <c r="N1569" s="1737" t="s">
        <v>9100</v>
      </c>
      <c r="O1569" s="755">
        <v>5.0</v>
      </c>
      <c r="P1569" s="974" t="str">
        <f> SUBSTITUTE(lower(N1569), "/", "--") &amp;  ".pdf"</f>
        <v>10.1073--pnas.1705238114.pdf</v>
      </c>
      <c r="Q1569" s="49" t="str">
        <f t="array" ref="Q1569"> if(iserror(MATCH(V1569, 'File Links'!C:C, 0)), "N/A", HYPERLINK(INDEX('File Links'!B:B, MATCH(P1569, 'File Links'!C:C, 0))))</f>
        <v>https://drive.google.com/file/d/1n2AFbrWCoSyUJoEu2sdAqSUYEEqLi3-i/view?usp=drivesdk</v>
      </c>
      <c r="R1569" s="192" t="s">
        <v>9101</v>
      </c>
      <c r="S1569" s="371" t="s">
        <v>8682</v>
      </c>
      <c r="T1569" s="874" t="s">
        <v>8683</v>
      </c>
      <c r="U1569" s="755">
        <v>1.0</v>
      </c>
      <c r="V1569" s="195" t="str">
        <f t="shared" si="113"/>
        <v>10.1038--s41562-024-02062-9.pdf</v>
      </c>
      <c r="W1569" s="195" t="s">
        <v>9102</v>
      </c>
      <c r="X1569" s="51" t="str">
        <f t="array" ref="X1569"> if(iserror(MATCH(V1569, 'File Links'!C:C, 0)), "N/A", HYPERLINK(INDEX('File Links'!B:B, MATCH(V1569, 'File Links'!C:C, 0))))</f>
        <v>https://drive.google.com/file/d/1w8pcOEpgkXG4574TMp8vmQlQVMYXLL8c/view?usp=drivesdk</v>
      </c>
      <c r="Z1569" s="195" t="s">
        <v>219</v>
      </c>
      <c r="AA1569" s="195" t="s">
        <v>9103</v>
      </c>
      <c r="AB1569" s="195" t="s">
        <v>9104</v>
      </c>
      <c r="AC1569" s="195" t="s">
        <v>9105</v>
      </c>
      <c r="AD1569" s="195" t="s">
        <v>9106</v>
      </c>
      <c r="AE1569" s="755">
        <v>3.0</v>
      </c>
      <c r="AF1569" s="187"/>
      <c r="AG1569" s="195" t="s">
        <v>9107</v>
      </c>
      <c r="AH1569" s="195" t="s">
        <v>127</v>
      </c>
      <c r="AI1569" s="195" t="s">
        <v>500</v>
      </c>
      <c r="AJ1569" s="872">
        <v>0.025</v>
      </c>
      <c r="AK1569" s="55" t="s">
        <v>165</v>
      </c>
      <c r="AL1569" s="55" t="s">
        <v>179</v>
      </c>
      <c r="AM1569" s="368" t="s">
        <v>130</v>
      </c>
      <c r="AN1569" s="371" t="s">
        <v>131</v>
      </c>
      <c r="AO1569" s="755">
        <v>855.0</v>
      </c>
      <c r="AP1569" s="755">
        <v>0.185</v>
      </c>
      <c r="AQ1569" s="195" t="s">
        <v>166</v>
      </c>
      <c r="AR1569" s="195" t="s">
        <v>500</v>
      </c>
      <c r="AS1569" s="755">
        <v>0.007</v>
      </c>
      <c r="AT1569" s="195" t="s">
        <v>165</v>
      </c>
      <c r="AU1569" s="195" t="s">
        <v>129</v>
      </c>
      <c r="AV1569" s="187" t="s">
        <v>130</v>
      </c>
      <c r="AW1569" s="874" t="s">
        <v>9108</v>
      </c>
      <c r="AX1569" s="187" t="s">
        <v>136</v>
      </c>
      <c r="AY1569" s="186"/>
      <c r="AZ1569" s="185" t="s">
        <v>137</v>
      </c>
    </row>
    <row r="1570">
      <c r="A1570" s="41">
        <v>1570.0</v>
      </c>
      <c r="B1570" s="59" t="s">
        <v>107</v>
      </c>
      <c r="C1570" s="59" t="s">
        <v>108</v>
      </c>
      <c r="D1570" s="59" t="s">
        <v>1434</v>
      </c>
      <c r="F1570" s="65" t="s">
        <v>9097</v>
      </c>
      <c r="G1570" s="58" t="s">
        <v>9097</v>
      </c>
      <c r="H1570" s="156" t="s">
        <v>1437</v>
      </c>
      <c r="I1570" s="65"/>
      <c r="J1570" s="1736">
        <v>45677.0</v>
      </c>
      <c r="K1570" s="65"/>
      <c r="L1570" s="65"/>
      <c r="M1570" s="432" t="s">
        <v>9109</v>
      </c>
      <c r="N1570" s="1738" t="s">
        <v>9110</v>
      </c>
      <c r="O1570" s="65"/>
      <c r="P1570" s="1573" t="str">
        <f>SUBSTITUTE(LOWER(N1570), "/", "--") &amp;  ".pdf"</f>
        <v>10.1073--pnas.1705238114.pdf</v>
      </c>
      <c r="Q1570" s="49" t="str">
        <f t="array" ref="Q1570"> if(iserror(MATCH(V1570, 'File Links'!C:C, 0)), "N/A", HYPERLINK(INDEX('File Links'!B:B, MATCH(P1570, 'File Links'!C:C, 0))))</f>
        <v>https://drive.google.com/file/d/1n2AFbrWCoSyUJoEu2sdAqSUYEEqLi3-i/view?usp=drivesdk</v>
      </c>
      <c r="R1570" s="65" t="s">
        <v>9111</v>
      </c>
      <c r="S1570" s="371" t="s">
        <v>8682</v>
      </c>
      <c r="T1570" s="432" t="s">
        <v>8683</v>
      </c>
      <c r="U1570" s="153">
        <v>3.0</v>
      </c>
      <c r="V1570" s="195" t="str">
        <f t="shared" si="113"/>
        <v>10.1038--s41562-024-02062-9.pdf</v>
      </c>
      <c r="W1570" s="156" t="s">
        <v>8695</v>
      </c>
      <c r="X1570" s="51" t="str">
        <f t="array" ref="X1570"> if(iserror(MATCH(V1570, 'File Links'!C:C, 0)), "N/A", HYPERLINK(INDEX('File Links'!B:B, MATCH(V1570, 'File Links'!C:C, 0))))</f>
        <v>https://drive.google.com/file/d/1w8pcOEpgkXG4574TMp8vmQlQVMYXLL8c/view?usp=drivesdk</v>
      </c>
      <c r="Z1570" s="156" t="s">
        <v>219</v>
      </c>
      <c r="AA1570" s="156" t="s">
        <v>9112</v>
      </c>
      <c r="AB1570" s="156" t="s">
        <v>9113</v>
      </c>
      <c r="AC1570" s="156" t="s">
        <v>9114</v>
      </c>
      <c r="AD1570" s="156" t="s">
        <v>9115</v>
      </c>
      <c r="AE1570" s="153">
        <v>3.0</v>
      </c>
      <c r="AF1570" s="153">
        <v>182.0</v>
      </c>
      <c r="AG1570" s="156" t="s">
        <v>9107</v>
      </c>
      <c r="AH1570" s="156" t="s">
        <v>127</v>
      </c>
      <c r="AI1570" s="65"/>
      <c r="AJ1570" s="706">
        <v>0.025</v>
      </c>
      <c r="AK1570" s="54" t="s">
        <v>165</v>
      </c>
      <c r="AL1570" s="54" t="s">
        <v>179</v>
      </c>
      <c r="AM1570" s="1740" t="s">
        <v>130</v>
      </c>
      <c r="AN1570" s="58"/>
      <c r="AO1570" s="153">
        <v>855.0</v>
      </c>
      <c r="AP1570" s="153">
        <v>0.185</v>
      </c>
      <c r="AQ1570" s="156" t="s">
        <v>166</v>
      </c>
      <c r="AR1570" s="156" t="s">
        <v>500</v>
      </c>
      <c r="AS1570" s="153">
        <v>0.007</v>
      </c>
      <c r="AT1570" s="156" t="s">
        <v>165</v>
      </c>
      <c r="AU1570" s="156" t="s">
        <v>129</v>
      </c>
      <c r="AV1570" s="1740" t="s">
        <v>130</v>
      </c>
      <c r="AW1570" s="65"/>
      <c r="AX1570" s="1740" t="s">
        <v>136</v>
      </c>
      <c r="AZ1570" s="185" t="s">
        <v>137</v>
      </c>
    </row>
    <row r="1571">
      <c r="A1571" s="41">
        <v>1571.0</v>
      </c>
      <c r="B1571" s="185" t="s">
        <v>145</v>
      </c>
      <c r="C1571" s="185" t="s">
        <v>108</v>
      </c>
      <c r="D1571" s="185" t="s">
        <v>1451</v>
      </c>
      <c r="E1571" s="186"/>
      <c r="F1571" s="187" t="s">
        <v>9116</v>
      </c>
      <c r="G1571" s="190" t="s">
        <v>9116</v>
      </c>
      <c r="H1571" s="195" t="s">
        <v>1511</v>
      </c>
      <c r="I1571" s="188">
        <v>45669.0</v>
      </c>
      <c r="J1571" s="1736">
        <v>45677.0</v>
      </c>
      <c r="K1571" s="195" t="s">
        <v>9117</v>
      </c>
      <c r="L1571" s="187"/>
      <c r="M1571" s="874" t="s">
        <v>9118</v>
      </c>
      <c r="N1571" s="1737" t="s">
        <v>9119</v>
      </c>
      <c r="O1571" s="755">
        <v>1.0</v>
      </c>
      <c r="P1571" s="974" t="str">
        <f> SUBSTITUTE(lower(N1571), "/", "--") &amp;  ".pdf"</f>
        <v>10.1073--pnas.1704032114.pdf</v>
      </c>
      <c r="Q1571" s="49" t="str">
        <f t="array" ref="Q1571"> if(iserror(MATCH(V1571, 'File Links'!C:C, 0)), "N/A", HYPERLINK(INDEX('File Links'!B:B, MATCH(P1571, 'File Links'!C:C, 0))))</f>
        <v>https://drive.google.com/file/d/1j22rPSmrajVUMaZJ7ZQ_3oBwSfmIAktN/view?usp=drivesdk</v>
      </c>
      <c r="R1571" s="192" t="s">
        <v>9120</v>
      </c>
      <c r="S1571" s="371" t="s">
        <v>8682</v>
      </c>
      <c r="T1571" s="874" t="s">
        <v>8683</v>
      </c>
      <c r="U1571" s="755">
        <v>1.0</v>
      </c>
      <c r="V1571" s="195" t="str">
        <f t="shared" si="113"/>
        <v>10.1038--s41562-024-02062-9.pdf</v>
      </c>
      <c r="W1571" s="195" t="s">
        <v>9121</v>
      </c>
      <c r="X1571" s="51" t="str">
        <f t="array" ref="X1571"> if(iserror(MATCH(V1571, 'File Links'!C:C, 0)), "N/A", HYPERLINK(INDEX('File Links'!B:B, MATCH(V1571, 'File Links'!C:C, 0))))</f>
        <v>https://drive.google.com/file/d/1w8pcOEpgkXG4574TMp8vmQlQVMYXLL8c/view?usp=drivesdk</v>
      </c>
      <c r="Z1571" s="195" t="s">
        <v>141</v>
      </c>
      <c r="AA1571" s="195" t="s">
        <v>9122</v>
      </c>
      <c r="AB1571" s="195" t="s">
        <v>9123</v>
      </c>
      <c r="AC1571" s="195" t="s">
        <v>9124</v>
      </c>
      <c r="AD1571" s="572" t="s">
        <v>9125</v>
      </c>
      <c r="AE1571" s="755">
        <v>4.0</v>
      </c>
      <c r="AF1571" s="755">
        <v>100.0</v>
      </c>
      <c r="AG1571" s="572" t="s">
        <v>9126</v>
      </c>
      <c r="AH1571" s="195" t="s">
        <v>127</v>
      </c>
      <c r="AI1571" s="195" t="s">
        <v>489</v>
      </c>
      <c r="AJ1571" s="872">
        <v>0.001</v>
      </c>
      <c r="AK1571" s="55" t="s">
        <v>128</v>
      </c>
      <c r="AL1571" s="55" t="s">
        <v>179</v>
      </c>
      <c r="AM1571" s="368" t="s">
        <v>130</v>
      </c>
      <c r="AN1571" s="371" t="s">
        <v>131</v>
      </c>
      <c r="AO1571" s="755">
        <v>128.0</v>
      </c>
      <c r="AP1571" s="755">
        <v>0.414</v>
      </c>
      <c r="AQ1571" s="195" t="s">
        <v>166</v>
      </c>
      <c r="AR1571" s="195" t="s">
        <v>2764</v>
      </c>
      <c r="AS1571" s="755">
        <v>0.019</v>
      </c>
      <c r="AT1571" s="195" t="s">
        <v>165</v>
      </c>
      <c r="AU1571" s="195" t="s">
        <v>129</v>
      </c>
      <c r="AV1571" s="368" t="s">
        <v>130</v>
      </c>
      <c r="AW1571" s="874" t="s">
        <v>9127</v>
      </c>
      <c r="AX1571" s="187" t="s">
        <v>136</v>
      </c>
      <c r="AY1571" s="186"/>
      <c r="AZ1571" s="185" t="s">
        <v>137</v>
      </c>
    </row>
    <row r="1572">
      <c r="A1572" s="41">
        <v>1572.0</v>
      </c>
      <c r="B1572" s="59" t="s">
        <v>107</v>
      </c>
      <c r="C1572" s="59" t="s">
        <v>108</v>
      </c>
      <c r="D1572" s="59" t="s">
        <v>1434</v>
      </c>
      <c r="F1572" s="65" t="s">
        <v>9116</v>
      </c>
      <c r="G1572" s="58" t="s">
        <v>9116</v>
      </c>
      <c r="H1572" s="156" t="s">
        <v>1437</v>
      </c>
      <c r="I1572" s="65"/>
      <c r="J1572" s="1736">
        <v>45677.0</v>
      </c>
      <c r="K1572" s="156" t="s">
        <v>9128</v>
      </c>
      <c r="L1572" s="65"/>
      <c r="M1572" s="432" t="s">
        <v>9129</v>
      </c>
      <c r="N1572" s="1738" t="s">
        <v>9130</v>
      </c>
      <c r="O1572" s="65"/>
      <c r="P1572" s="1573" t="str">
        <f>SUBSTITUTE(LOWER(N1572), "/", "--") &amp;  ".pdf"</f>
        <v>10.1073--pnas.1704032114.pdf</v>
      </c>
      <c r="Q1572" s="49" t="str">
        <f t="array" ref="Q1572"> if(iserror(MATCH(V1572, 'File Links'!C:C, 0)), "N/A", HYPERLINK(INDEX('File Links'!B:B, MATCH(P1572, 'File Links'!C:C, 0))))</f>
        <v>https://drive.google.com/file/d/1j22rPSmrajVUMaZJ7ZQ_3oBwSfmIAktN/view?usp=drivesdk</v>
      </c>
      <c r="R1572" s="65" t="s">
        <v>9131</v>
      </c>
      <c r="S1572" s="371" t="s">
        <v>8682</v>
      </c>
      <c r="T1572" s="432" t="s">
        <v>8683</v>
      </c>
      <c r="U1572" s="65"/>
      <c r="V1572" s="195" t="str">
        <f t="shared" si="113"/>
        <v>10.1038--s41562-024-02062-9.pdf</v>
      </c>
      <c r="W1572" s="156" t="s">
        <v>8695</v>
      </c>
      <c r="X1572" s="51" t="str">
        <f t="array" ref="X1572"> if(iserror(MATCH(V1572, 'File Links'!C:C, 0)), "N/A", HYPERLINK(INDEX('File Links'!B:B, MATCH(V1572, 'File Links'!C:C, 0))))</f>
        <v>https://drive.google.com/file/d/1w8pcOEpgkXG4574TMp8vmQlQVMYXLL8c/view?usp=drivesdk</v>
      </c>
      <c r="Z1572" s="156" t="s">
        <v>219</v>
      </c>
      <c r="AA1572" s="156" t="s">
        <v>9132</v>
      </c>
      <c r="AB1572" s="156" t="s">
        <v>9133</v>
      </c>
      <c r="AC1572" s="156" t="s">
        <v>9134</v>
      </c>
      <c r="AD1572" s="148" t="s">
        <v>9135</v>
      </c>
      <c r="AE1572" s="153">
        <v>4.0</v>
      </c>
      <c r="AF1572" s="153">
        <v>100.0</v>
      </c>
      <c r="AG1572" s="156" t="s">
        <v>9136</v>
      </c>
      <c r="AH1572" s="156" t="s">
        <v>127</v>
      </c>
      <c r="AI1572" s="65"/>
      <c r="AJ1572" s="706">
        <v>0.001</v>
      </c>
      <c r="AK1572" s="54" t="s">
        <v>128</v>
      </c>
      <c r="AL1572" s="54" t="s">
        <v>179</v>
      </c>
      <c r="AM1572" s="1740" t="s">
        <v>134</v>
      </c>
      <c r="AN1572" s="58"/>
      <c r="AO1572" s="153">
        <v>128.0</v>
      </c>
      <c r="AP1572" s="153">
        <v>0.414</v>
      </c>
      <c r="AQ1572" s="156" t="s">
        <v>166</v>
      </c>
      <c r="AR1572" s="156" t="s">
        <v>2764</v>
      </c>
      <c r="AS1572" s="153">
        <v>0.019</v>
      </c>
      <c r="AT1572" s="156" t="s">
        <v>165</v>
      </c>
      <c r="AU1572" s="156" t="s">
        <v>129</v>
      </c>
      <c r="AV1572" s="1740" t="s">
        <v>134</v>
      </c>
      <c r="AW1572" s="65"/>
      <c r="AX1572" s="1740" t="s">
        <v>136</v>
      </c>
      <c r="AZ1572" s="185" t="s">
        <v>137</v>
      </c>
    </row>
    <row r="1573">
      <c r="A1573" s="41">
        <v>1573.0</v>
      </c>
      <c r="B1573" s="185" t="s">
        <v>145</v>
      </c>
      <c r="C1573" s="185" t="s">
        <v>108</v>
      </c>
      <c r="D1573" s="185" t="s">
        <v>1451</v>
      </c>
      <c r="E1573" s="186"/>
      <c r="F1573" s="187" t="s">
        <v>9137</v>
      </c>
      <c r="G1573" s="190" t="s">
        <v>9137</v>
      </c>
      <c r="H1573" s="195" t="s">
        <v>1511</v>
      </c>
      <c r="I1573" s="188">
        <v>45669.0</v>
      </c>
      <c r="J1573" s="1736">
        <v>45677.0</v>
      </c>
      <c r="K1573" s="195" t="s">
        <v>9138</v>
      </c>
      <c r="L1573" s="187"/>
      <c r="M1573" s="874" t="s">
        <v>9139</v>
      </c>
      <c r="N1573" s="1737" t="s">
        <v>9140</v>
      </c>
      <c r="O1573" s="755">
        <v>3.0</v>
      </c>
      <c r="P1573" s="974" t="str">
        <f> SUBSTITUTE(lower(N1573), "/", "--") &amp;  ".pdf"</f>
        <v>10.1073--pnas.1706253114.pdf</v>
      </c>
      <c r="Q1573" s="49" t="str">
        <f t="array" ref="Q1573"> if(iserror(MATCH(V1573, 'File Links'!C:C, 0)), "N/A", HYPERLINK(INDEX('File Links'!B:B, MATCH(P1573, 'File Links'!C:C, 0))))</f>
        <v>https://drive.google.com/file/d/1KgVy8pDNXw_rUPEflxR0eTSRI8bSGPLS/view?usp=drivesdk</v>
      </c>
      <c r="R1573" s="192" t="s">
        <v>9141</v>
      </c>
      <c r="S1573" s="371" t="s">
        <v>8682</v>
      </c>
      <c r="T1573" s="874" t="s">
        <v>8683</v>
      </c>
      <c r="U1573" s="755">
        <v>1.0</v>
      </c>
      <c r="V1573" s="195" t="str">
        <f t="shared" si="113"/>
        <v>10.1038--s41562-024-02062-9.pdf</v>
      </c>
      <c r="W1573" s="1749" t="s">
        <v>9142</v>
      </c>
      <c r="X1573" s="51" t="str">
        <f t="array" ref="X1573"> if(iserror(MATCH(V1573, 'File Links'!C:C, 0)), "N/A", HYPERLINK(INDEX('File Links'!B:B, MATCH(V1573, 'File Links'!C:C, 0))))</f>
        <v>https://drive.google.com/file/d/1w8pcOEpgkXG4574TMp8vmQlQVMYXLL8c/view?usp=drivesdk</v>
      </c>
      <c r="Z1573" s="195" t="s">
        <v>2038</v>
      </c>
      <c r="AA1573" s="195" t="s">
        <v>9143</v>
      </c>
      <c r="AB1573" s="195" t="s">
        <v>9144</v>
      </c>
      <c r="AC1573" s="195" t="s">
        <v>9145</v>
      </c>
      <c r="AD1573" s="195" t="s">
        <v>9146</v>
      </c>
      <c r="AE1573" s="755">
        <v>2.0</v>
      </c>
      <c r="AF1573" s="755">
        <v>480.0</v>
      </c>
      <c r="AG1573" s="755">
        <v>0.353</v>
      </c>
      <c r="AH1573" s="195" t="s">
        <v>354</v>
      </c>
      <c r="AI1573" s="195" t="s">
        <v>2764</v>
      </c>
      <c r="AJ1573" s="872">
        <v>0.001</v>
      </c>
      <c r="AK1573" s="55" t="s">
        <v>128</v>
      </c>
      <c r="AL1573" s="55" t="s">
        <v>179</v>
      </c>
      <c r="AM1573" s="187" t="s">
        <v>130</v>
      </c>
      <c r="AN1573" s="371" t="s">
        <v>131</v>
      </c>
      <c r="AO1573" s="755">
        <v>679.0</v>
      </c>
      <c r="AP1573" s="755">
        <v>0.188</v>
      </c>
      <c r="AQ1573" s="195" t="s">
        <v>166</v>
      </c>
      <c r="AR1573" s="195" t="s">
        <v>2764</v>
      </c>
      <c r="AS1573" s="755">
        <v>0.015</v>
      </c>
      <c r="AT1573" s="195" t="s">
        <v>165</v>
      </c>
      <c r="AU1573" s="195" t="s">
        <v>129</v>
      </c>
      <c r="AV1573" s="187" t="s">
        <v>130</v>
      </c>
      <c r="AW1573" s="874" t="s">
        <v>9147</v>
      </c>
      <c r="AX1573" s="187" t="s">
        <v>136</v>
      </c>
      <c r="AY1573" s="186"/>
      <c r="AZ1573" s="185" t="s">
        <v>137</v>
      </c>
    </row>
    <row r="1574">
      <c r="A1574" s="41">
        <v>1574.0</v>
      </c>
      <c r="B1574" s="59" t="s">
        <v>107</v>
      </c>
      <c r="C1574" s="59" t="s">
        <v>108</v>
      </c>
      <c r="D1574" s="59" t="s">
        <v>1434</v>
      </c>
      <c r="F1574" s="65" t="s">
        <v>9137</v>
      </c>
      <c r="G1574" s="58" t="s">
        <v>9137</v>
      </c>
      <c r="H1574" s="156" t="s">
        <v>1437</v>
      </c>
      <c r="I1574" s="65"/>
      <c r="J1574" s="1736">
        <v>45677.0</v>
      </c>
      <c r="K1574" s="65"/>
      <c r="L1574" s="65"/>
      <c r="M1574" s="432" t="s">
        <v>9148</v>
      </c>
      <c r="N1574" s="1738" t="s">
        <v>9149</v>
      </c>
      <c r="O1574" s="65"/>
      <c r="P1574" s="1573" t="str">
        <f>SUBSTITUTE(LOWER(N1574), "/", "--") &amp;  ".pdf"</f>
        <v>10.1073--pnas.1706253114.pdf</v>
      </c>
      <c r="Q1574" s="49" t="str">
        <f t="array" ref="Q1574"> if(iserror(MATCH(V1574, 'File Links'!C:C, 0)), "N/A", HYPERLINK(INDEX('File Links'!B:B, MATCH(P1574, 'File Links'!C:C, 0))))</f>
        <v>https://drive.google.com/file/d/1KgVy8pDNXw_rUPEflxR0eTSRI8bSGPLS/view?usp=drivesdk</v>
      </c>
      <c r="R1574" s="65" t="s">
        <v>9150</v>
      </c>
      <c r="S1574" s="371" t="s">
        <v>8682</v>
      </c>
      <c r="T1574" s="432" t="s">
        <v>8683</v>
      </c>
      <c r="U1574" s="153">
        <v>1.0</v>
      </c>
      <c r="V1574" s="195" t="str">
        <f t="shared" si="113"/>
        <v>10.1038--s41562-024-02062-9.pdf</v>
      </c>
      <c r="W1574" s="156" t="s">
        <v>8695</v>
      </c>
      <c r="X1574" s="51" t="str">
        <f t="array" ref="X1574"> if(iserror(MATCH(V1574, 'File Links'!C:C, 0)), "N/A", HYPERLINK(INDEX('File Links'!B:B, MATCH(V1574, 'File Links'!C:C, 0))))</f>
        <v>https://drive.google.com/file/d/1w8pcOEpgkXG4574TMp8vmQlQVMYXLL8c/view?usp=drivesdk</v>
      </c>
      <c r="Z1574" s="156" t="s">
        <v>2038</v>
      </c>
      <c r="AA1574" s="156" t="s">
        <v>9151</v>
      </c>
      <c r="AB1574" s="156" t="s">
        <v>9152</v>
      </c>
      <c r="AC1574" s="156" t="s">
        <v>9153</v>
      </c>
      <c r="AD1574" s="156" t="s">
        <v>9154</v>
      </c>
      <c r="AE1574" s="153">
        <v>2.0</v>
      </c>
      <c r="AF1574" s="153">
        <v>480.0</v>
      </c>
      <c r="AG1574" s="153">
        <v>0.353</v>
      </c>
      <c r="AH1574" s="156" t="s">
        <v>354</v>
      </c>
      <c r="AI1574" s="65"/>
      <c r="AJ1574" s="706">
        <v>0.001</v>
      </c>
      <c r="AK1574" s="54" t="s">
        <v>128</v>
      </c>
      <c r="AL1574" s="54" t="s">
        <v>179</v>
      </c>
      <c r="AM1574" s="1740" t="s">
        <v>130</v>
      </c>
      <c r="AN1574" s="58"/>
      <c r="AO1574" s="153">
        <v>679.0</v>
      </c>
      <c r="AP1574" s="153">
        <v>0.188</v>
      </c>
      <c r="AQ1574" s="156" t="s">
        <v>166</v>
      </c>
      <c r="AR1574" s="156" t="s">
        <v>2764</v>
      </c>
      <c r="AS1574" s="153">
        <v>0.015</v>
      </c>
      <c r="AT1574" s="156" t="s">
        <v>165</v>
      </c>
      <c r="AU1574" s="156" t="s">
        <v>129</v>
      </c>
      <c r="AV1574" s="1740" t="s">
        <v>130</v>
      </c>
      <c r="AW1574" s="65"/>
      <c r="AX1574" s="1740" t="s">
        <v>136</v>
      </c>
      <c r="AZ1574" s="185" t="s">
        <v>137</v>
      </c>
    </row>
    <row r="1575">
      <c r="A1575" s="41">
        <v>1575.0</v>
      </c>
      <c r="B1575" s="185" t="s">
        <v>145</v>
      </c>
      <c r="C1575" s="185" t="s">
        <v>108</v>
      </c>
      <c r="D1575" s="185" t="s">
        <v>1451</v>
      </c>
      <c r="E1575" s="186"/>
      <c r="F1575" s="187" t="s">
        <v>9155</v>
      </c>
      <c r="G1575" s="190" t="s">
        <v>9155</v>
      </c>
      <c r="H1575" s="195" t="s">
        <v>1511</v>
      </c>
      <c r="I1575" s="188">
        <v>45669.0</v>
      </c>
      <c r="J1575" s="1736">
        <v>45677.0</v>
      </c>
      <c r="K1575" s="195" t="s">
        <v>9156</v>
      </c>
      <c r="L1575" s="187"/>
      <c r="M1575" s="874" t="s">
        <v>9157</v>
      </c>
      <c r="N1575" s="1737" t="s">
        <v>9158</v>
      </c>
      <c r="O1575" s="755">
        <v>4.0</v>
      </c>
      <c r="P1575" s="974" t="str">
        <f> SUBSTITUTE(lower(N1575), "/", "--") &amp;  ".pdf"</f>
        <v>10.1073--pnas.1707719114.pdf</v>
      </c>
      <c r="Q1575" s="49" t="str">
        <f t="array" ref="Q1575"> if(iserror(MATCH(V1575, 'File Links'!C:C, 0)), "N/A", HYPERLINK(INDEX('File Links'!B:B, MATCH(P1575, 'File Links'!C:C, 0))))</f>
        <v>https://drive.google.com/file/d/1VjQnWh7tIM7zl21GEg_LipSiXaJr91Ht/view?usp=drivesdk</v>
      </c>
      <c r="R1575" s="187" t="s">
        <v>9159</v>
      </c>
      <c r="S1575" s="371" t="s">
        <v>8682</v>
      </c>
      <c r="T1575" s="874" t="s">
        <v>8683</v>
      </c>
      <c r="U1575" s="755">
        <v>1.0</v>
      </c>
      <c r="V1575" s="195" t="str">
        <f t="shared" si="113"/>
        <v>10.1038--s41562-024-02062-9.pdf</v>
      </c>
      <c r="W1575" s="195" t="s">
        <v>9160</v>
      </c>
      <c r="X1575" s="51" t="str">
        <f t="array" ref="X1575"> if(iserror(MATCH(V1575, 'File Links'!C:C, 0)), "N/A", HYPERLINK(INDEX('File Links'!B:B, MATCH(V1575, 'File Links'!C:C, 0))))</f>
        <v>https://drive.google.com/file/d/1w8pcOEpgkXG4574TMp8vmQlQVMYXLL8c/view?usp=drivesdk</v>
      </c>
      <c r="Z1575" s="195" t="s">
        <v>2038</v>
      </c>
      <c r="AA1575" s="195" t="s">
        <v>9161</v>
      </c>
      <c r="AB1575" s="195" t="s">
        <v>9162</v>
      </c>
      <c r="AC1575" s="195" t="s">
        <v>9163</v>
      </c>
      <c r="AD1575" s="195" t="s">
        <v>9164</v>
      </c>
      <c r="AE1575" s="755">
        <v>6.0</v>
      </c>
      <c r="AF1575" s="755">
        <v>202.0</v>
      </c>
      <c r="AG1575" s="195" t="s">
        <v>9165</v>
      </c>
      <c r="AH1575" s="195" t="s">
        <v>127</v>
      </c>
      <c r="AI1575" s="195" t="s">
        <v>1035</v>
      </c>
      <c r="AJ1575" s="872">
        <v>0.001</v>
      </c>
      <c r="AK1575" s="55" t="s">
        <v>128</v>
      </c>
      <c r="AL1575" s="55" t="s">
        <v>179</v>
      </c>
      <c r="AM1575" s="187" t="s">
        <v>134</v>
      </c>
      <c r="AN1575" s="371" t="s">
        <v>131</v>
      </c>
      <c r="AO1575" s="755">
        <v>205.0</v>
      </c>
      <c r="AP1575" s="1750">
        <v>0.259</v>
      </c>
      <c r="AQ1575" s="195" t="s">
        <v>166</v>
      </c>
      <c r="AR1575" s="195" t="s">
        <v>500</v>
      </c>
      <c r="AS1575" s="755">
        <v>0.001</v>
      </c>
      <c r="AT1575" s="195" t="s">
        <v>128</v>
      </c>
      <c r="AU1575" s="195" t="s">
        <v>129</v>
      </c>
      <c r="AV1575" s="187" t="s">
        <v>134</v>
      </c>
      <c r="AW1575" s="874" t="s">
        <v>9166</v>
      </c>
      <c r="AX1575" s="187" t="s">
        <v>136</v>
      </c>
      <c r="AY1575" s="186"/>
      <c r="AZ1575" s="185" t="s">
        <v>137</v>
      </c>
    </row>
    <row r="1576">
      <c r="A1576" s="41">
        <v>1576.0</v>
      </c>
      <c r="B1576" s="59" t="s">
        <v>107</v>
      </c>
      <c r="C1576" s="59" t="s">
        <v>108</v>
      </c>
      <c r="D1576" s="59" t="s">
        <v>1434</v>
      </c>
      <c r="F1576" s="65" t="s">
        <v>9155</v>
      </c>
      <c r="G1576" s="58" t="s">
        <v>9155</v>
      </c>
      <c r="H1576" s="156" t="s">
        <v>1437</v>
      </c>
      <c r="I1576" s="65"/>
      <c r="J1576" s="1736">
        <v>45677.0</v>
      </c>
      <c r="K1576" s="156" t="s">
        <v>9167</v>
      </c>
      <c r="L1576" s="65"/>
      <c r="M1576" s="432" t="s">
        <v>9168</v>
      </c>
      <c r="N1576" s="1738" t="s">
        <v>9169</v>
      </c>
      <c r="O1576" s="65"/>
      <c r="P1576" s="1573" t="str">
        <f>SUBSTITUTE(LOWER(N1576), "/", "--") &amp;  ".pdf"</f>
        <v>10.1073--pnas.1707719114.pdf</v>
      </c>
      <c r="Q1576" s="49" t="str">
        <f t="array" ref="Q1576"> if(iserror(MATCH(V1576, 'File Links'!C:C, 0)), "N/A", HYPERLINK(INDEX('File Links'!B:B, MATCH(P1576, 'File Links'!C:C, 0))))</f>
        <v>https://drive.google.com/file/d/1VjQnWh7tIM7zl21GEg_LipSiXaJr91Ht/view?usp=drivesdk</v>
      </c>
      <c r="R1576" s="65" t="s">
        <v>9170</v>
      </c>
      <c r="S1576" s="371" t="s">
        <v>8682</v>
      </c>
      <c r="T1576" s="432" t="s">
        <v>8683</v>
      </c>
      <c r="U1576" s="153">
        <v>4.0</v>
      </c>
      <c r="V1576" s="195" t="str">
        <f t="shared" si="113"/>
        <v>10.1038--s41562-024-02062-9.pdf</v>
      </c>
      <c r="W1576" s="156" t="s">
        <v>8695</v>
      </c>
      <c r="X1576" s="51" t="str">
        <f t="array" ref="X1576"> if(iserror(MATCH(V1576, 'File Links'!C:C, 0)), "N/A", HYPERLINK(INDEX('File Links'!B:B, MATCH(V1576, 'File Links'!C:C, 0))))</f>
        <v>https://drive.google.com/file/d/1w8pcOEpgkXG4574TMp8vmQlQVMYXLL8c/view?usp=drivesdk</v>
      </c>
      <c r="Z1576" s="156" t="s">
        <v>219</v>
      </c>
      <c r="AA1576" s="156" t="s">
        <v>9171</v>
      </c>
      <c r="AB1576" s="156" t="s">
        <v>9172</v>
      </c>
      <c r="AC1576" s="156" t="s">
        <v>9173</v>
      </c>
      <c r="AD1576" s="156" t="s">
        <v>9174</v>
      </c>
      <c r="AE1576" s="153">
        <v>6.0</v>
      </c>
      <c r="AF1576" s="153">
        <v>202.0</v>
      </c>
      <c r="AG1576" s="156" t="s">
        <v>9175</v>
      </c>
      <c r="AH1576" s="156" t="s">
        <v>127</v>
      </c>
      <c r="AI1576" s="65"/>
      <c r="AJ1576" s="706">
        <v>0.001</v>
      </c>
      <c r="AK1576" s="54" t="s">
        <v>128</v>
      </c>
      <c r="AL1576" s="54" t="s">
        <v>179</v>
      </c>
      <c r="AM1576" s="1740" t="s">
        <v>134</v>
      </c>
      <c r="AN1576" s="58"/>
      <c r="AO1576" s="153">
        <v>205.0</v>
      </c>
      <c r="AP1576" s="153">
        <v>0.259</v>
      </c>
      <c r="AQ1576" s="156" t="s">
        <v>166</v>
      </c>
      <c r="AR1576" s="156" t="s">
        <v>500</v>
      </c>
      <c r="AS1576" s="1741">
        <v>2.7E-4</v>
      </c>
      <c r="AT1576" s="156" t="s">
        <v>165</v>
      </c>
      <c r="AU1576" s="156" t="s">
        <v>129</v>
      </c>
      <c r="AV1576" s="1740" t="s">
        <v>134</v>
      </c>
      <c r="AW1576" s="65"/>
      <c r="AX1576" s="1740" t="s">
        <v>136</v>
      </c>
      <c r="AZ1576" s="185" t="s">
        <v>137</v>
      </c>
    </row>
    <row r="1577">
      <c r="A1577" s="41">
        <v>1577.0</v>
      </c>
      <c r="B1577" s="185" t="s">
        <v>145</v>
      </c>
      <c r="C1577" s="185" t="s">
        <v>108</v>
      </c>
      <c r="D1577" s="185" t="s">
        <v>1451</v>
      </c>
      <c r="E1577" s="186"/>
      <c r="F1577" s="187" t="s">
        <v>9176</v>
      </c>
      <c r="G1577" s="190" t="s">
        <v>9176</v>
      </c>
      <c r="H1577" s="195" t="s">
        <v>1511</v>
      </c>
      <c r="I1577" s="188">
        <v>45669.0</v>
      </c>
      <c r="J1577" s="1736">
        <v>45677.0</v>
      </c>
      <c r="K1577" s="195" t="s">
        <v>9177</v>
      </c>
      <c r="L1577" s="187"/>
      <c r="M1577" s="874" t="s">
        <v>9178</v>
      </c>
      <c r="N1577" s="1737" t="s">
        <v>9179</v>
      </c>
      <c r="O1577" s="755">
        <v>9.0</v>
      </c>
      <c r="P1577" s="974" t="str">
        <f> SUBSTITUTE(lower(N1577), "/", "--") &amp;  ".pdf"</f>
        <v>10.1073--pnas.1523586113.pdf</v>
      </c>
      <c r="Q1577" s="49" t="str">
        <f t="array" ref="Q1577"> if(iserror(MATCH(V1577, 'File Links'!C:C, 0)), "N/A", HYPERLINK(INDEX('File Links'!B:B, MATCH(P1577, 'File Links'!C:C, 0))))</f>
        <v>https://drive.google.com/file/d/17CimGUvhLJDkg1bbuFUCRcNLQJR1151z/view?usp=drivesdk</v>
      </c>
      <c r="R1577" s="187" t="s">
        <v>9180</v>
      </c>
      <c r="S1577" s="371" t="s">
        <v>8682</v>
      </c>
      <c r="T1577" s="874" t="s">
        <v>8683</v>
      </c>
      <c r="U1577" s="755">
        <v>1.0</v>
      </c>
      <c r="V1577" s="195" t="str">
        <f t="shared" si="113"/>
        <v>10.1038--s41562-024-02062-9.pdf</v>
      </c>
      <c r="W1577" s="195" t="s">
        <v>9181</v>
      </c>
      <c r="X1577" s="51" t="str">
        <f t="array" ref="X1577"> if(iserror(MATCH(V1577, 'File Links'!C:C, 0)), "N/A", HYPERLINK(INDEX('File Links'!B:B, MATCH(V1577, 'File Links'!C:C, 0))))</f>
        <v>https://drive.google.com/file/d/1w8pcOEpgkXG4574TMp8vmQlQVMYXLL8c/view?usp=drivesdk</v>
      </c>
      <c r="Z1577" s="195" t="s">
        <v>141</v>
      </c>
      <c r="AA1577" s="195" t="s">
        <v>9182</v>
      </c>
      <c r="AB1577" s="195" t="s">
        <v>9183</v>
      </c>
      <c r="AC1577" s="195" t="s">
        <v>9184</v>
      </c>
      <c r="AD1577" s="572" t="s">
        <v>9185</v>
      </c>
      <c r="AE1577" s="755">
        <v>5.0</v>
      </c>
      <c r="AF1577" s="755">
        <v>258.0</v>
      </c>
      <c r="AG1577" s="572" t="s">
        <v>9186</v>
      </c>
      <c r="AH1577" s="195" t="s">
        <v>127</v>
      </c>
      <c r="AI1577" s="195" t="s">
        <v>875</v>
      </c>
      <c r="AJ1577" s="872">
        <v>0.001</v>
      </c>
      <c r="AK1577" s="55" t="s">
        <v>165</v>
      </c>
      <c r="AL1577" s="55" t="s">
        <v>179</v>
      </c>
      <c r="AM1577" s="187" t="s">
        <v>130</v>
      </c>
      <c r="AN1577" s="371" t="s">
        <v>131</v>
      </c>
      <c r="AO1577" s="755">
        <v>584.0</v>
      </c>
      <c r="AP1577" s="572">
        <v>-0.038</v>
      </c>
      <c r="AQ1577" s="195" t="s">
        <v>166</v>
      </c>
      <c r="AR1577" s="195" t="s">
        <v>500</v>
      </c>
      <c r="AS1577" s="1742">
        <v>0.646</v>
      </c>
      <c r="AT1577" s="195" t="s">
        <v>165</v>
      </c>
      <c r="AU1577" s="195" t="s">
        <v>129</v>
      </c>
      <c r="AV1577" s="187" t="s">
        <v>130</v>
      </c>
      <c r="AW1577" s="874" t="s">
        <v>9187</v>
      </c>
      <c r="AX1577" s="187" t="s">
        <v>136</v>
      </c>
      <c r="AY1577" s="186"/>
      <c r="AZ1577" s="185" t="s">
        <v>137</v>
      </c>
    </row>
    <row r="1578">
      <c r="A1578" s="41">
        <v>1578.0</v>
      </c>
      <c r="B1578" s="59" t="s">
        <v>107</v>
      </c>
      <c r="C1578" s="59" t="s">
        <v>108</v>
      </c>
      <c r="D1578" s="59" t="s">
        <v>1434</v>
      </c>
      <c r="F1578" s="65" t="s">
        <v>9176</v>
      </c>
      <c r="G1578" s="58" t="s">
        <v>9176</v>
      </c>
      <c r="H1578" s="156" t="s">
        <v>1437</v>
      </c>
      <c r="I1578" s="1751">
        <v>45672.0</v>
      </c>
      <c r="J1578" s="1736">
        <v>45677.0</v>
      </c>
      <c r="K1578" s="65"/>
      <c r="L1578" s="65"/>
      <c r="M1578" s="432" t="s">
        <v>9188</v>
      </c>
      <c r="N1578" s="1738" t="s">
        <v>9189</v>
      </c>
      <c r="O1578" s="65"/>
      <c r="P1578" s="1573" t="str">
        <f>SUBSTITUTE(LOWER(N1578), "/", "--") &amp;  ".pdf"</f>
        <v>10.1073--pnas.1523586113.pdf</v>
      </c>
      <c r="Q1578" s="49" t="str">
        <f t="array" ref="Q1578"> if(iserror(MATCH(V1578, 'File Links'!C:C, 0)), "N/A", HYPERLINK(INDEX('File Links'!B:B, MATCH(P1578, 'File Links'!C:C, 0))))</f>
        <v>https://drive.google.com/file/d/17CimGUvhLJDkg1bbuFUCRcNLQJR1151z/view?usp=drivesdk</v>
      </c>
      <c r="R1578" s="65" t="s">
        <v>9190</v>
      </c>
      <c r="S1578" s="371" t="s">
        <v>8682</v>
      </c>
      <c r="T1578" s="432" t="s">
        <v>8683</v>
      </c>
      <c r="U1578" s="156" t="s">
        <v>9191</v>
      </c>
      <c r="V1578" s="195" t="str">
        <f t="shared" si="113"/>
        <v>10.1038--s41562-024-02062-9.pdf</v>
      </c>
      <c r="W1578" s="156" t="s">
        <v>8695</v>
      </c>
      <c r="X1578" s="51" t="str">
        <f t="array" ref="X1578"> if(iserror(MATCH(V1578, 'File Links'!C:C, 0)), "N/A", HYPERLINK(INDEX('File Links'!B:B, MATCH(V1578, 'File Links'!C:C, 0))))</f>
        <v>https://drive.google.com/file/d/1w8pcOEpgkXG4574TMp8vmQlQVMYXLL8c/view?usp=drivesdk</v>
      </c>
      <c r="Z1578" s="156" t="s">
        <v>219</v>
      </c>
      <c r="AA1578" s="156" t="s">
        <v>9192</v>
      </c>
      <c r="AB1578" s="156" t="s">
        <v>9193</v>
      </c>
      <c r="AC1578" s="156" t="s">
        <v>9194</v>
      </c>
      <c r="AD1578" s="148" t="s">
        <v>9195</v>
      </c>
      <c r="AE1578" s="153">
        <v>5.0</v>
      </c>
      <c r="AF1578" s="153">
        <v>258.0</v>
      </c>
      <c r="AG1578" s="148" t="s">
        <v>9196</v>
      </c>
      <c r="AH1578" s="156" t="s">
        <v>127</v>
      </c>
      <c r="AI1578" s="65"/>
      <c r="AJ1578" s="706">
        <v>0.001</v>
      </c>
      <c r="AK1578" s="54" t="s">
        <v>165</v>
      </c>
      <c r="AL1578" s="54" t="s">
        <v>179</v>
      </c>
      <c r="AM1578" s="1740" t="s">
        <v>134</v>
      </c>
      <c r="AN1578" s="58"/>
      <c r="AO1578" s="153">
        <v>584.0</v>
      </c>
      <c r="AP1578" s="153">
        <v>-0.038</v>
      </c>
      <c r="AQ1578" s="156" t="s">
        <v>166</v>
      </c>
      <c r="AR1578" s="156" t="s">
        <v>500</v>
      </c>
      <c r="AS1578" s="153">
        <v>0.646</v>
      </c>
      <c r="AT1578" s="156" t="s">
        <v>165</v>
      </c>
      <c r="AU1578" s="156" t="s">
        <v>129</v>
      </c>
      <c r="AV1578" s="1740" t="s">
        <v>134</v>
      </c>
      <c r="AW1578" s="65"/>
      <c r="AX1578" s="1740" t="s">
        <v>136</v>
      </c>
      <c r="AZ1578" s="185" t="s">
        <v>137</v>
      </c>
    </row>
    <row r="1579">
      <c r="A1579" s="41">
        <v>1579.0</v>
      </c>
      <c r="B1579" s="144" t="s">
        <v>145</v>
      </c>
      <c r="C1579" s="146" t="s">
        <v>108</v>
      </c>
      <c r="D1579" s="146" t="s">
        <v>1451</v>
      </c>
      <c r="E1579" s="69"/>
      <c r="F1579" s="144" t="s">
        <v>9197</v>
      </c>
      <c r="G1579" s="144" t="s">
        <v>9198</v>
      </c>
      <c r="H1579" s="113" t="s">
        <v>9199</v>
      </c>
      <c r="I1579" s="680" t="s">
        <v>112</v>
      </c>
      <c r="J1579" s="308">
        <v>45747.0</v>
      </c>
      <c r="K1579" s="113" t="s">
        <v>131</v>
      </c>
      <c r="L1579" s="144" t="s">
        <v>9200</v>
      </c>
      <c r="M1579" s="144" t="s">
        <v>9201</v>
      </c>
      <c r="N1579" s="144" t="s">
        <v>9202</v>
      </c>
      <c r="O1579" s="1161">
        <v>1.0</v>
      </c>
      <c r="P1579" s="1752" t="s">
        <v>9203</v>
      </c>
      <c r="Q1579" s="49" t="str">
        <f t="array" ref="Q1579"> if(iserror(MATCH(V1579, 'File Links'!C:C, 0)), "N/A", HYPERLINK(INDEX('File Links'!B:B, MATCH(P1579, 'File Links'!C:C, 0))))</f>
        <v>https://drive.google.com/file/d/1RNny0IG7SjWvCfMF8M1draCA9I3tK7lj/view?usp=drivesdk</v>
      </c>
      <c r="R1579" s="1753" t="s">
        <v>9204</v>
      </c>
      <c r="S1579" s="144" t="s">
        <v>9205</v>
      </c>
      <c r="T1579" s="1754" t="s">
        <v>131</v>
      </c>
      <c r="U1579" s="1161">
        <v>1.0</v>
      </c>
      <c r="V1579" s="113" t="s">
        <v>9206</v>
      </c>
      <c r="W1579" s="340" t="s">
        <v>9207</v>
      </c>
      <c r="X1579" s="51" t="str">
        <f t="array" ref="X1579"> if(iserror(MATCH(V1579, 'File Links'!C:C, 0)), "N/A", HYPERLINK(INDEX('File Links'!B:B, MATCH(V1579, 'File Links'!C:C, 0))))</f>
        <v>https://drive.google.com/file/d/1AetBiDxEiDABROgFar_KCyTHXjrAYAyC/view?usp=drivesdk</v>
      </c>
      <c r="Y1579" s="144" t="s">
        <v>131</v>
      </c>
      <c r="Z1579" s="113" t="s">
        <v>219</v>
      </c>
      <c r="AA1579" s="144" t="s">
        <v>9208</v>
      </c>
      <c r="AB1579" s="113" t="s">
        <v>9209</v>
      </c>
      <c r="AC1579" s="113" t="s">
        <v>9210</v>
      </c>
      <c r="AD1579" s="113" t="s">
        <v>9211</v>
      </c>
      <c r="AE1579" s="1680">
        <v>4.0</v>
      </c>
      <c r="AF1579" s="680">
        <v>40.0</v>
      </c>
      <c r="AG1579" s="680">
        <v>0.11</v>
      </c>
      <c r="AH1579" s="113" t="s">
        <v>867</v>
      </c>
      <c r="AI1579" s="1680" t="s">
        <v>489</v>
      </c>
      <c r="AJ1579" s="680">
        <v>0.001</v>
      </c>
      <c r="AK1579" s="113" t="s">
        <v>128</v>
      </c>
      <c r="AL1579" s="113" t="s">
        <v>179</v>
      </c>
      <c r="AM1579" s="144" t="s">
        <v>134</v>
      </c>
      <c r="AN1579" s="144" t="s">
        <v>131</v>
      </c>
      <c r="AO1579" s="680">
        <v>40.0</v>
      </c>
      <c r="AP1579" s="680">
        <v>0.04</v>
      </c>
      <c r="AQ1579" s="113" t="s">
        <v>867</v>
      </c>
      <c r="AR1579" s="113" t="s">
        <v>9212</v>
      </c>
      <c r="AS1579" s="680">
        <v>0.002</v>
      </c>
      <c r="AT1579" s="113" t="s">
        <v>128</v>
      </c>
      <c r="AU1579" s="113" t="s">
        <v>179</v>
      </c>
      <c r="AV1579" s="144" t="s">
        <v>134</v>
      </c>
      <c r="AW1579" s="652" t="s">
        <v>9213</v>
      </c>
      <c r="AX1579" s="144" t="s">
        <v>136</v>
      </c>
      <c r="AY1579" s="69"/>
      <c r="AZ1579" s="146" t="s">
        <v>8392</v>
      </c>
      <c r="BA1579" s="69"/>
      <c r="BB1579" s="69"/>
      <c r="BC1579" s="69"/>
      <c r="BD1579" s="69"/>
      <c r="BE1579" s="69"/>
      <c r="BF1579" s="69"/>
      <c r="BG1579" s="69"/>
      <c r="BH1579" s="69"/>
      <c r="BI1579" s="69"/>
      <c r="BJ1579" s="69"/>
      <c r="BK1579" s="69"/>
      <c r="BL1579" s="69"/>
      <c r="BM1579" s="69"/>
      <c r="BN1579" s="69"/>
      <c r="BO1579" s="69"/>
      <c r="BP1579" s="69"/>
      <c r="BQ1579" s="69"/>
      <c r="BR1579" s="69"/>
      <c r="BS1579" s="69"/>
      <c r="BT1579" s="69"/>
      <c r="BU1579" s="69"/>
      <c r="BV1579" s="69"/>
      <c r="BW1579" s="69"/>
      <c r="BX1579" s="69"/>
      <c r="BY1579" s="69"/>
      <c r="BZ1579" s="69"/>
      <c r="CA1579" s="69"/>
      <c r="CB1579" s="69"/>
      <c r="CC1579" s="69"/>
      <c r="CD1579" s="69"/>
      <c r="CE1579" s="69"/>
      <c r="CF1579" s="69"/>
      <c r="CG1579" s="69"/>
      <c r="CH1579" s="69"/>
      <c r="CI1579" s="69"/>
      <c r="CJ1579" s="69"/>
      <c r="CK1579" s="69"/>
      <c r="CL1579" s="69"/>
      <c r="CM1579" s="69"/>
      <c r="CN1579" s="69"/>
      <c r="CO1579" s="69"/>
      <c r="CP1579" s="69"/>
      <c r="CQ1579" s="69"/>
      <c r="CR1579" s="69"/>
      <c r="CS1579" s="69"/>
      <c r="CT1579" s="69"/>
      <c r="CU1579" s="69"/>
      <c r="CV1579" s="69"/>
      <c r="CW1579" s="69"/>
      <c r="CX1579" s="69"/>
      <c r="CY1579" s="69"/>
      <c r="CZ1579" s="69"/>
      <c r="DA1579" s="69"/>
      <c r="DB1579" s="69"/>
      <c r="DC1579" s="69"/>
      <c r="DD1579" s="69"/>
      <c r="DE1579" s="69"/>
      <c r="DF1579" s="69"/>
      <c r="DG1579" s="69"/>
      <c r="DH1579" s="69"/>
    </row>
    <row r="1580">
      <c r="A1580" s="41">
        <v>1580.0</v>
      </c>
      <c r="B1580" s="144" t="s">
        <v>145</v>
      </c>
      <c r="C1580" s="146" t="s">
        <v>108</v>
      </c>
      <c r="D1580" s="146" t="s">
        <v>1451</v>
      </c>
      <c r="E1580" s="69"/>
      <c r="F1580" s="144" t="s">
        <v>9214</v>
      </c>
      <c r="G1580" s="144" t="s">
        <v>9215</v>
      </c>
      <c r="H1580" s="113" t="s">
        <v>9199</v>
      </c>
      <c r="I1580" s="680" t="s">
        <v>112</v>
      </c>
      <c r="J1580" s="308">
        <v>45747.0</v>
      </c>
      <c r="K1580" s="113" t="s">
        <v>9216</v>
      </c>
      <c r="L1580" s="144" t="s">
        <v>9217</v>
      </c>
      <c r="M1580" s="144" t="s">
        <v>9201</v>
      </c>
      <c r="N1580" s="144" t="s">
        <v>9202</v>
      </c>
      <c r="O1580" s="1161">
        <v>1.0</v>
      </c>
      <c r="P1580" s="1752" t="s">
        <v>9203</v>
      </c>
      <c r="Q1580" s="49" t="str">
        <f t="array" ref="Q1580"> if(iserror(MATCH(V1580, 'File Links'!C:C, 0)), "N/A", HYPERLINK(INDEX('File Links'!B:B, MATCH(P1580, 'File Links'!C:C, 0))))</f>
        <v>https://drive.google.com/file/d/1RNny0IG7SjWvCfMF8M1draCA9I3tK7lj/view?usp=drivesdk</v>
      </c>
      <c r="R1580" s="1753" t="s">
        <v>9204</v>
      </c>
      <c r="S1580" s="144" t="s">
        <v>9205</v>
      </c>
      <c r="T1580" s="1754" t="s">
        <v>131</v>
      </c>
      <c r="U1580" s="1161">
        <v>2.0</v>
      </c>
      <c r="V1580" s="113" t="s">
        <v>9206</v>
      </c>
      <c r="W1580" s="340" t="s">
        <v>2449</v>
      </c>
      <c r="X1580" s="51" t="str">
        <f t="array" ref="X1580"> if(iserror(MATCH(V1580, 'File Links'!C:C, 0)), "N/A", HYPERLINK(INDEX('File Links'!B:B, MATCH(V1580, 'File Links'!C:C, 0))))</f>
        <v>https://drive.google.com/file/d/1AetBiDxEiDABROgFar_KCyTHXjrAYAyC/view?usp=drivesdk</v>
      </c>
      <c r="Y1580" s="144" t="s">
        <v>131</v>
      </c>
      <c r="Z1580" s="113" t="s">
        <v>219</v>
      </c>
      <c r="AA1580" s="144" t="s">
        <v>9208</v>
      </c>
      <c r="AB1580" s="113" t="s">
        <v>9209</v>
      </c>
      <c r="AC1580" s="113" t="s">
        <v>9210</v>
      </c>
      <c r="AD1580" s="113" t="s">
        <v>9211</v>
      </c>
      <c r="AE1580" s="1755">
        <v>45813.0</v>
      </c>
      <c r="AF1580" s="680">
        <v>40.0</v>
      </c>
      <c r="AG1580" s="680">
        <v>0.11</v>
      </c>
      <c r="AH1580" s="113" t="s">
        <v>132</v>
      </c>
      <c r="AI1580" s="1680" t="s">
        <v>489</v>
      </c>
      <c r="AJ1580" s="680">
        <v>0.001</v>
      </c>
      <c r="AK1580" s="113" t="s">
        <v>128</v>
      </c>
      <c r="AL1580" s="113" t="s">
        <v>179</v>
      </c>
      <c r="AM1580" s="144" t="s">
        <v>134</v>
      </c>
      <c r="AN1580" s="144" t="s">
        <v>131</v>
      </c>
      <c r="AO1580" s="375">
        <v>111.0</v>
      </c>
      <c r="AP1580" s="680">
        <v>-0.44</v>
      </c>
      <c r="AQ1580" s="113" t="s">
        <v>166</v>
      </c>
      <c r="AR1580" s="113" t="s">
        <v>8493</v>
      </c>
      <c r="AS1580" s="680">
        <v>0.001</v>
      </c>
      <c r="AT1580" s="113" t="s">
        <v>128</v>
      </c>
      <c r="AU1580" s="113" t="s">
        <v>179</v>
      </c>
      <c r="AV1580" s="144" t="s">
        <v>134</v>
      </c>
      <c r="AW1580" s="652" t="s">
        <v>9218</v>
      </c>
      <c r="AX1580" s="144" t="s">
        <v>144</v>
      </c>
      <c r="AY1580" s="69"/>
      <c r="AZ1580" s="146" t="s">
        <v>8392</v>
      </c>
      <c r="BA1580" s="69"/>
      <c r="BB1580" s="69"/>
      <c r="BC1580" s="69"/>
      <c r="BD1580" s="69"/>
      <c r="BE1580" s="69"/>
      <c r="BF1580" s="69"/>
      <c r="BG1580" s="69"/>
      <c r="BH1580" s="69"/>
      <c r="BI1580" s="69"/>
      <c r="BJ1580" s="69"/>
      <c r="BK1580" s="69"/>
      <c r="BL1580" s="69"/>
      <c r="BM1580" s="69"/>
      <c r="BN1580" s="69"/>
      <c r="BO1580" s="69"/>
      <c r="BP1580" s="69"/>
      <c r="BQ1580" s="69"/>
      <c r="BR1580" s="69"/>
      <c r="BS1580" s="69"/>
      <c r="BT1580" s="69"/>
      <c r="BU1580" s="69"/>
      <c r="BV1580" s="69"/>
      <c r="BW1580" s="69"/>
      <c r="BX1580" s="69"/>
      <c r="BY1580" s="69"/>
      <c r="BZ1580" s="69"/>
      <c r="CA1580" s="69"/>
      <c r="CB1580" s="69"/>
      <c r="CC1580" s="69"/>
      <c r="CD1580" s="69"/>
      <c r="CE1580" s="69"/>
      <c r="CF1580" s="69"/>
      <c r="CG1580" s="69"/>
      <c r="CH1580" s="69"/>
      <c r="CI1580" s="69"/>
      <c r="CJ1580" s="69"/>
      <c r="CK1580" s="69"/>
      <c r="CL1580" s="69"/>
      <c r="CM1580" s="69"/>
      <c r="CN1580" s="69"/>
      <c r="CO1580" s="69"/>
      <c r="CP1580" s="69"/>
      <c r="CQ1580" s="69"/>
      <c r="CR1580" s="69"/>
      <c r="CS1580" s="69"/>
      <c r="CT1580" s="69"/>
      <c r="CU1580" s="69"/>
      <c r="CV1580" s="69"/>
      <c r="CW1580" s="69"/>
      <c r="CX1580" s="69"/>
      <c r="CY1580" s="69"/>
      <c r="CZ1580" s="69"/>
      <c r="DA1580" s="69"/>
      <c r="DB1580" s="69"/>
      <c r="DC1580" s="69"/>
      <c r="DD1580" s="69"/>
      <c r="DE1580" s="69"/>
      <c r="DF1580" s="69"/>
      <c r="DG1580" s="69"/>
      <c r="DH1580" s="69"/>
    </row>
    <row r="1581">
      <c r="A1581" s="41">
        <v>1581.0</v>
      </c>
      <c r="B1581" s="144" t="s">
        <v>145</v>
      </c>
      <c r="C1581" s="146" t="s">
        <v>108</v>
      </c>
      <c r="D1581" s="146" t="s">
        <v>1451</v>
      </c>
      <c r="E1581" s="69"/>
      <c r="F1581" s="144" t="s">
        <v>9219</v>
      </c>
      <c r="G1581" s="144" t="s">
        <v>9220</v>
      </c>
      <c r="H1581" s="113" t="s">
        <v>9199</v>
      </c>
      <c r="I1581" s="680" t="s">
        <v>112</v>
      </c>
      <c r="J1581" s="308">
        <v>45747.0</v>
      </c>
      <c r="K1581" s="113" t="s">
        <v>131</v>
      </c>
      <c r="L1581" s="144" t="s">
        <v>9217</v>
      </c>
      <c r="M1581" s="144" t="s">
        <v>9201</v>
      </c>
      <c r="N1581" s="144" t="s">
        <v>9202</v>
      </c>
      <c r="O1581" s="1161">
        <v>1.0</v>
      </c>
      <c r="P1581" s="1752" t="s">
        <v>9203</v>
      </c>
      <c r="Q1581" s="49" t="str">
        <f t="array" ref="Q1581"> if(iserror(MATCH(V1581, 'File Links'!C:C, 0)), "N/A", HYPERLINK(INDEX('File Links'!B:B, MATCH(P1581, 'File Links'!C:C, 0))))</f>
        <v>https://drive.google.com/file/d/1RNny0IG7SjWvCfMF8M1draCA9I3tK7lj/view?usp=drivesdk</v>
      </c>
      <c r="R1581" s="1753" t="s">
        <v>9204</v>
      </c>
      <c r="S1581" s="144" t="s">
        <v>9205</v>
      </c>
      <c r="T1581" s="1754" t="s">
        <v>131</v>
      </c>
      <c r="U1581" s="1161">
        <v>2.0</v>
      </c>
      <c r="V1581" s="113" t="s">
        <v>9206</v>
      </c>
      <c r="W1581" s="340" t="s">
        <v>2449</v>
      </c>
      <c r="X1581" s="51" t="str">
        <f t="array" ref="X1581"> if(iserror(MATCH(V1581, 'File Links'!C:C, 0)), "N/A", HYPERLINK(INDEX('File Links'!B:B, MATCH(V1581, 'File Links'!C:C, 0))))</f>
        <v>https://drive.google.com/file/d/1AetBiDxEiDABROgFar_KCyTHXjrAYAyC/view?usp=drivesdk</v>
      </c>
      <c r="Y1581" s="144" t="s">
        <v>131</v>
      </c>
      <c r="Z1581" s="113" t="s">
        <v>219</v>
      </c>
      <c r="AA1581" s="144" t="s">
        <v>9208</v>
      </c>
      <c r="AB1581" s="113" t="s">
        <v>9209</v>
      </c>
      <c r="AC1581" s="113" t="s">
        <v>9210</v>
      </c>
      <c r="AD1581" s="113" t="s">
        <v>9211</v>
      </c>
      <c r="AE1581" s="1755">
        <v>45813.0</v>
      </c>
      <c r="AF1581" s="680">
        <v>40.0</v>
      </c>
      <c r="AG1581" s="680">
        <v>0.11</v>
      </c>
      <c r="AH1581" s="113" t="s">
        <v>132</v>
      </c>
      <c r="AI1581" s="1680" t="s">
        <v>489</v>
      </c>
      <c r="AJ1581" s="680">
        <v>0.001</v>
      </c>
      <c r="AK1581" s="113" t="s">
        <v>128</v>
      </c>
      <c r="AL1581" s="113" t="s">
        <v>179</v>
      </c>
      <c r="AM1581" s="144" t="s">
        <v>134</v>
      </c>
      <c r="AN1581" s="144" t="s">
        <v>131</v>
      </c>
      <c r="AO1581" s="375">
        <v>218.0</v>
      </c>
      <c r="AP1581" s="680">
        <v>0.2</v>
      </c>
      <c r="AQ1581" s="113" t="s">
        <v>166</v>
      </c>
      <c r="AR1581" s="113" t="s">
        <v>8493</v>
      </c>
      <c r="AS1581" s="680">
        <v>0.145</v>
      </c>
      <c r="AT1581" s="113" t="s">
        <v>165</v>
      </c>
      <c r="AU1581" s="113" t="s">
        <v>179</v>
      </c>
      <c r="AV1581" s="144" t="s">
        <v>130</v>
      </c>
      <c r="AW1581" s="652" t="s">
        <v>9218</v>
      </c>
      <c r="AX1581" s="144" t="s">
        <v>144</v>
      </c>
      <c r="AY1581" s="69"/>
      <c r="AZ1581" s="146" t="s">
        <v>8392</v>
      </c>
      <c r="BA1581" s="69"/>
      <c r="BB1581" s="69"/>
      <c r="BC1581" s="69"/>
      <c r="BD1581" s="69"/>
      <c r="BE1581" s="69"/>
      <c r="BF1581" s="69"/>
      <c r="BG1581" s="69"/>
      <c r="BH1581" s="69"/>
      <c r="BI1581" s="69"/>
      <c r="BJ1581" s="69"/>
      <c r="BK1581" s="69"/>
      <c r="BL1581" s="69"/>
      <c r="BM1581" s="69"/>
      <c r="BN1581" s="69"/>
      <c r="BO1581" s="69"/>
      <c r="BP1581" s="69"/>
      <c r="BQ1581" s="69"/>
      <c r="BR1581" s="69"/>
      <c r="BS1581" s="69"/>
      <c r="BT1581" s="69"/>
      <c r="BU1581" s="69"/>
      <c r="BV1581" s="69"/>
      <c r="BW1581" s="69"/>
      <c r="BX1581" s="69"/>
      <c r="BY1581" s="69"/>
      <c r="BZ1581" s="69"/>
      <c r="CA1581" s="69"/>
      <c r="CB1581" s="69"/>
      <c r="CC1581" s="69"/>
      <c r="CD1581" s="69"/>
      <c r="CE1581" s="69"/>
      <c r="CF1581" s="69"/>
      <c r="CG1581" s="69"/>
      <c r="CH1581" s="69"/>
      <c r="CI1581" s="69"/>
      <c r="CJ1581" s="69"/>
      <c r="CK1581" s="69"/>
      <c r="CL1581" s="69"/>
      <c r="CM1581" s="69"/>
      <c r="CN1581" s="69"/>
      <c r="CO1581" s="69"/>
      <c r="CP1581" s="69"/>
      <c r="CQ1581" s="69"/>
      <c r="CR1581" s="69"/>
      <c r="CS1581" s="69"/>
      <c r="CT1581" s="69"/>
      <c r="CU1581" s="69"/>
      <c r="CV1581" s="69"/>
      <c r="CW1581" s="69"/>
      <c r="CX1581" s="69"/>
      <c r="CY1581" s="69"/>
      <c r="CZ1581" s="69"/>
      <c r="DA1581" s="69"/>
      <c r="DB1581" s="69"/>
      <c r="DC1581" s="69"/>
      <c r="DD1581" s="69"/>
      <c r="DE1581" s="69"/>
      <c r="DF1581" s="69"/>
      <c r="DG1581" s="69"/>
      <c r="DH1581" s="69"/>
    </row>
    <row r="1582">
      <c r="A1582" s="41">
        <v>1582.0</v>
      </c>
      <c r="B1582" s="338" t="s">
        <v>107</v>
      </c>
      <c r="C1582" s="338" t="s">
        <v>108</v>
      </c>
      <c r="D1582" s="338" t="s">
        <v>169</v>
      </c>
      <c r="E1582" s="339"/>
      <c r="F1582" s="43" t="s">
        <v>9221</v>
      </c>
      <c r="G1582" s="44" t="s">
        <v>9222</v>
      </c>
      <c r="H1582" s="357" t="s">
        <v>169</v>
      </c>
      <c r="I1582" s="1756">
        <v>45651.0</v>
      </c>
      <c r="J1582" s="43"/>
      <c r="K1582" s="357" t="s">
        <v>9223</v>
      </c>
      <c r="L1582" s="53" t="s">
        <v>9224</v>
      </c>
      <c r="M1582" s="357" t="s">
        <v>9225</v>
      </c>
      <c r="N1582" s="357" t="s">
        <v>7239</v>
      </c>
      <c r="O1582" s="354">
        <v>2.0</v>
      </c>
      <c r="P1582" s="514" t="s">
        <v>7240</v>
      </c>
      <c r="Q1582" s="49" t="str">
        <f t="array" ref="Q1582"> if(iserror(MATCH(V1582, 'File Links'!C:C, 0)), "N/A", HYPERLINK(INDEX('File Links'!B:B, MATCH(P1582, 'File Links'!C:C, 0))))</f>
        <v>https://drive.google.com/file/d/1CSCUNAQZCt3s32RgzUwXe6pe5scvK0yY/view?usp=drivesdk</v>
      </c>
      <c r="R1582" s="357" t="s">
        <v>9226</v>
      </c>
      <c r="S1582" s="340" t="s">
        <v>8682</v>
      </c>
      <c r="T1582" s="43"/>
      <c r="U1582" s="354">
        <v>2.0</v>
      </c>
      <c r="V1582" s="357" t="str">
        <f t="shared" ref="V1582:V1738" si="114"> hyperlink(vlookup(lower(S1582),#REF!, 2, FALSE), SUBSTITUTE(lower(S1582), "/", "--") &amp;  ".pdf")</f>
        <v>10.1038--s41562-024-02062-9.pdf</v>
      </c>
      <c r="W1582" s="357" t="s">
        <v>157</v>
      </c>
      <c r="X1582" s="51" t="str">
        <f t="array" ref="X1582"> if(iserror(MATCH(V1582, 'File Links'!C:C, 0)), "N/A", HYPERLINK(INDEX('File Links'!B:B, MATCH(V1582, 'File Links'!C:C, 0))))</f>
        <v>https://drive.google.com/file/d/1w8pcOEpgkXG4574TMp8vmQlQVMYXLL8c/view?usp=drivesdk</v>
      </c>
      <c r="Y1582" s="43"/>
      <c r="Z1582" s="357" t="s">
        <v>219</v>
      </c>
      <c r="AA1582" s="357" t="s">
        <v>8371</v>
      </c>
      <c r="AB1582" s="357" t="s">
        <v>9227</v>
      </c>
      <c r="AC1582" s="357" t="s">
        <v>9228</v>
      </c>
      <c r="AD1582" s="357" t="s">
        <v>9229</v>
      </c>
      <c r="AE1582" s="357" t="s">
        <v>806</v>
      </c>
      <c r="AF1582" s="354">
        <v>440.0</v>
      </c>
      <c r="AG1582" s="357" t="s">
        <v>9230</v>
      </c>
      <c r="AH1582" s="48" t="s">
        <v>166</v>
      </c>
      <c r="AI1582" s="44" t="s">
        <v>875</v>
      </c>
      <c r="AJ1582" s="44" t="s">
        <v>9231</v>
      </c>
      <c r="AK1582" s="357" t="s">
        <v>165</v>
      </c>
      <c r="AL1582" s="44" t="s">
        <v>179</v>
      </c>
      <c r="AM1582" s="43" t="s">
        <v>130</v>
      </c>
      <c r="AN1582" s="43"/>
      <c r="AO1582" s="354">
        <v>199.0</v>
      </c>
      <c r="AP1582" s="357" t="s">
        <v>9232</v>
      </c>
      <c r="AQ1582" s="357" t="s">
        <v>166</v>
      </c>
      <c r="AR1582" s="43"/>
      <c r="AS1582" s="357" t="s">
        <v>9233</v>
      </c>
      <c r="AT1582" s="357" t="s">
        <v>165</v>
      </c>
      <c r="AU1582" s="357" t="s">
        <v>179</v>
      </c>
      <c r="AV1582" s="43" t="s">
        <v>1898</v>
      </c>
      <c r="AW1582" s="56" t="s">
        <v>9234</v>
      </c>
      <c r="AX1582" s="57" t="s">
        <v>136</v>
      </c>
      <c r="AY1582" s="339"/>
      <c r="AZ1582" s="338" t="s">
        <v>685</v>
      </c>
    </row>
    <row r="1583">
      <c r="A1583" s="41">
        <v>1583.0</v>
      </c>
      <c r="B1583" s="338" t="s">
        <v>145</v>
      </c>
      <c r="C1583" s="337" t="s">
        <v>108</v>
      </c>
      <c r="D1583" s="337" t="s">
        <v>146</v>
      </c>
      <c r="E1583" s="351"/>
      <c r="F1583" s="43" t="s">
        <v>9221</v>
      </c>
      <c r="G1583" s="44" t="s">
        <v>9235</v>
      </c>
      <c r="H1583" s="44" t="s">
        <v>146</v>
      </c>
      <c r="I1583" s="505" t="s">
        <v>112</v>
      </c>
      <c r="J1583" s="508">
        <v>45638.0</v>
      </c>
      <c r="K1583" s="1757" t="s">
        <v>9236</v>
      </c>
      <c r="L1583" s="53" t="s">
        <v>9237</v>
      </c>
      <c r="M1583" s="44" t="s">
        <v>9225</v>
      </c>
      <c r="N1583" s="44" t="s">
        <v>7239</v>
      </c>
      <c r="O1583" s="1758">
        <v>2.0</v>
      </c>
      <c r="P1583" s="1714" t="s">
        <v>7240</v>
      </c>
      <c r="Q1583" s="49" t="str">
        <f t="array" ref="Q1583"> if(iserror(MATCH(V1583, 'File Links'!C:C, 0)), "N/A", HYPERLINK(INDEX('File Links'!B:B, MATCH(P1583, 'File Links'!C:C, 0))))</f>
        <v>https://drive.google.com/file/d/1CSCUNAQZCt3s32RgzUwXe6pe5scvK0yY/view?usp=drivesdk</v>
      </c>
      <c r="R1583" s="794" t="s">
        <v>9238</v>
      </c>
      <c r="S1583" s="794" t="s">
        <v>9239</v>
      </c>
      <c r="T1583" s="46"/>
      <c r="U1583" s="1759">
        <v>1.0</v>
      </c>
      <c r="V1583" s="357" t="str">
        <f t="shared" si="114"/>
        <v>10.17605--osf.io--j8a4p.pdf</v>
      </c>
      <c r="W1583" s="501" t="s">
        <v>157</v>
      </c>
      <c r="X1583" s="51" t="str">
        <f t="array" ref="X1583"> if(iserror(MATCH(V1583, 'File Links'!C:C, 0)), "N/A", HYPERLINK(INDEX('File Links'!B:B, MATCH(V1583, 'File Links'!C:C, 0))))</f>
        <v>https://drive.google.com/file/d/1Kwdqeb9S0RNT_hHV1vR81MPGAjymnUQq/view?usp=drivesdk</v>
      </c>
      <c r="Y1583" s="46"/>
      <c r="Z1583" s="44" t="s">
        <v>219</v>
      </c>
      <c r="AA1583" s="44" t="s">
        <v>9240</v>
      </c>
      <c r="AB1583" s="1760" t="s">
        <v>9241</v>
      </c>
      <c r="AC1583" s="1760" t="s">
        <v>9242</v>
      </c>
      <c r="AD1583" s="46" t="s">
        <v>9243</v>
      </c>
      <c r="AE1583" s="47">
        <v>5.0</v>
      </c>
      <c r="AF1583" s="505">
        <v>218.0</v>
      </c>
      <c r="AG1583" s="505">
        <v>-0.29</v>
      </c>
      <c r="AH1583" s="48" t="s">
        <v>166</v>
      </c>
      <c r="AI1583" s="44" t="s">
        <v>1035</v>
      </c>
      <c r="AJ1583" s="505">
        <v>0.04</v>
      </c>
      <c r="AK1583" s="357" t="s">
        <v>165</v>
      </c>
      <c r="AL1583" s="44" t="s">
        <v>179</v>
      </c>
      <c r="AM1583" s="46" t="s">
        <v>130</v>
      </c>
      <c r="AN1583" s="327" t="s">
        <v>131</v>
      </c>
      <c r="AO1583" s="505">
        <v>199.0</v>
      </c>
      <c r="AP1583" s="505">
        <v>0.058</v>
      </c>
      <c r="AQ1583" s="44" t="s">
        <v>166</v>
      </c>
      <c r="AR1583" s="1761" t="s">
        <v>9244</v>
      </c>
      <c r="AS1583" s="344">
        <v>0.667</v>
      </c>
      <c r="AT1583" s="357" t="s">
        <v>165</v>
      </c>
      <c r="AU1583" s="357" t="s">
        <v>129</v>
      </c>
      <c r="AV1583" s="43" t="s">
        <v>130</v>
      </c>
      <c r="AW1583" s="56" t="s">
        <v>9245</v>
      </c>
      <c r="AX1583" s="57" t="s">
        <v>136</v>
      </c>
      <c r="AY1583" s="338" t="s">
        <v>9246</v>
      </c>
      <c r="AZ1583" s="338" t="s">
        <v>685</v>
      </c>
    </row>
    <row r="1584">
      <c r="A1584" s="41">
        <v>1584.0</v>
      </c>
      <c r="B1584" s="338" t="s">
        <v>145</v>
      </c>
      <c r="C1584" s="337" t="s">
        <v>108</v>
      </c>
      <c r="D1584" s="337" t="s">
        <v>146</v>
      </c>
      <c r="E1584" s="351"/>
      <c r="F1584" s="43" t="s">
        <v>9221</v>
      </c>
      <c r="G1584" s="44" t="s">
        <v>9247</v>
      </c>
      <c r="H1584" s="44" t="s">
        <v>146</v>
      </c>
      <c r="I1584" s="505" t="s">
        <v>112</v>
      </c>
      <c r="J1584" s="508">
        <v>45638.0</v>
      </c>
      <c r="K1584" s="1757" t="s">
        <v>9248</v>
      </c>
      <c r="L1584" s="53" t="s">
        <v>9249</v>
      </c>
      <c r="M1584" s="44" t="s">
        <v>9225</v>
      </c>
      <c r="N1584" s="44" t="s">
        <v>7239</v>
      </c>
      <c r="O1584" s="1758">
        <v>2.0</v>
      </c>
      <c r="P1584" s="1714" t="s">
        <v>7240</v>
      </c>
      <c r="Q1584" s="49" t="str">
        <f t="array" ref="Q1584"> if(iserror(MATCH(V1584, 'File Links'!C:C, 0)), "N/A", HYPERLINK(INDEX('File Links'!B:B, MATCH(P1584, 'File Links'!C:C, 0))))</f>
        <v>https://drive.google.com/file/d/1CSCUNAQZCt3s32RgzUwXe6pe5scvK0yY/view?usp=drivesdk</v>
      </c>
      <c r="R1584" s="794" t="s">
        <v>9250</v>
      </c>
      <c r="S1584" s="794" t="s">
        <v>9239</v>
      </c>
      <c r="T1584" s="46"/>
      <c r="U1584" s="1759">
        <v>1.0</v>
      </c>
      <c r="V1584" s="357" t="str">
        <f t="shared" si="114"/>
        <v>10.17605--osf.io--j8a4p.pdf</v>
      </c>
      <c r="W1584" s="501" t="s">
        <v>157</v>
      </c>
      <c r="X1584" s="51" t="str">
        <f t="array" ref="X1584"> if(iserror(MATCH(V1584, 'File Links'!C:C, 0)), "N/A", HYPERLINK(INDEX('File Links'!B:B, MATCH(V1584, 'File Links'!C:C, 0))))</f>
        <v>https://drive.google.com/file/d/1Kwdqeb9S0RNT_hHV1vR81MPGAjymnUQq/view?usp=drivesdk</v>
      </c>
      <c r="Y1584" s="46"/>
      <c r="Z1584" s="44" t="s">
        <v>219</v>
      </c>
      <c r="AA1584" s="44" t="s">
        <v>9240</v>
      </c>
      <c r="AB1584" s="1760" t="s">
        <v>9241</v>
      </c>
      <c r="AC1584" s="46" t="s">
        <v>9251</v>
      </c>
      <c r="AD1584" s="501" t="s">
        <v>9252</v>
      </c>
      <c r="AE1584" s="47">
        <v>5.0</v>
      </c>
      <c r="AF1584" s="505">
        <v>218.0</v>
      </c>
      <c r="AG1584" s="505">
        <v>-0.38</v>
      </c>
      <c r="AH1584" s="48" t="s">
        <v>166</v>
      </c>
      <c r="AI1584" s="44" t="s">
        <v>1035</v>
      </c>
      <c r="AJ1584" s="505">
        <v>0.005</v>
      </c>
      <c r="AK1584" s="357" t="s">
        <v>165</v>
      </c>
      <c r="AL1584" s="44" t="s">
        <v>179</v>
      </c>
      <c r="AM1584" s="46" t="s">
        <v>130</v>
      </c>
      <c r="AN1584" s="327" t="s">
        <v>131</v>
      </c>
      <c r="AO1584" s="505">
        <v>199.0</v>
      </c>
      <c r="AP1584" s="47">
        <v>0.031</v>
      </c>
      <c r="AQ1584" s="44" t="s">
        <v>166</v>
      </c>
      <c r="AR1584" s="53" t="s">
        <v>9244</v>
      </c>
      <c r="AS1584" s="505">
        <v>0.824</v>
      </c>
      <c r="AT1584" s="357" t="s">
        <v>165</v>
      </c>
      <c r="AU1584" s="357" t="s">
        <v>129</v>
      </c>
      <c r="AV1584" s="43" t="s">
        <v>130</v>
      </c>
      <c r="AW1584" s="56" t="s">
        <v>9245</v>
      </c>
      <c r="AX1584" s="57" t="s">
        <v>136</v>
      </c>
      <c r="AY1584" s="338" t="s">
        <v>9246</v>
      </c>
      <c r="AZ1584" s="338" t="s">
        <v>685</v>
      </c>
    </row>
    <row r="1585">
      <c r="A1585" s="41">
        <v>1585.0</v>
      </c>
      <c r="B1585" s="338" t="s">
        <v>145</v>
      </c>
      <c r="C1585" s="337" t="s">
        <v>108</v>
      </c>
      <c r="D1585" s="337" t="s">
        <v>146</v>
      </c>
      <c r="E1585" s="351"/>
      <c r="F1585" s="43" t="s">
        <v>9221</v>
      </c>
      <c r="G1585" s="44" t="s">
        <v>9253</v>
      </c>
      <c r="H1585" s="44" t="s">
        <v>146</v>
      </c>
      <c r="I1585" s="505" t="s">
        <v>112</v>
      </c>
      <c r="J1585" s="508">
        <v>45638.0</v>
      </c>
      <c r="K1585" s="1757" t="s">
        <v>9254</v>
      </c>
      <c r="L1585" s="53" t="s">
        <v>9249</v>
      </c>
      <c r="M1585" s="44" t="s">
        <v>9225</v>
      </c>
      <c r="N1585" s="44" t="s">
        <v>7239</v>
      </c>
      <c r="O1585" s="1758">
        <v>2.0</v>
      </c>
      <c r="P1585" s="1714" t="s">
        <v>7240</v>
      </c>
      <c r="Q1585" s="49" t="str">
        <f t="array" ref="Q1585"> if(iserror(MATCH(V1585, 'File Links'!C:C, 0)), "N/A", HYPERLINK(INDEX('File Links'!B:B, MATCH(P1585, 'File Links'!C:C, 0))))</f>
        <v>https://drive.google.com/file/d/1CSCUNAQZCt3s32RgzUwXe6pe5scvK0yY/view?usp=drivesdk</v>
      </c>
      <c r="R1585" s="794" t="s">
        <v>9255</v>
      </c>
      <c r="S1585" s="794" t="s">
        <v>9239</v>
      </c>
      <c r="T1585" s="46"/>
      <c r="U1585" s="1759">
        <v>1.0</v>
      </c>
      <c r="V1585" s="357" t="str">
        <f t="shared" si="114"/>
        <v>10.17605--osf.io--j8a4p.pdf</v>
      </c>
      <c r="W1585" s="501" t="s">
        <v>157</v>
      </c>
      <c r="X1585" s="51" t="str">
        <f t="array" ref="X1585"> if(iserror(MATCH(V1585, 'File Links'!C:C, 0)), "N/A", HYPERLINK(INDEX('File Links'!B:B, MATCH(V1585, 'File Links'!C:C, 0))))</f>
        <v>https://drive.google.com/file/d/1Kwdqeb9S0RNT_hHV1vR81MPGAjymnUQq/view?usp=drivesdk</v>
      </c>
      <c r="Y1585" s="46"/>
      <c r="Z1585" s="44" t="s">
        <v>219</v>
      </c>
      <c r="AA1585" s="44" t="s">
        <v>9240</v>
      </c>
      <c r="AB1585" s="1760" t="s">
        <v>9241</v>
      </c>
      <c r="AC1585" s="46" t="s">
        <v>9256</v>
      </c>
      <c r="AD1585" s="501" t="s">
        <v>9257</v>
      </c>
      <c r="AE1585" s="47">
        <v>5.0</v>
      </c>
      <c r="AF1585" s="505">
        <v>218.0</v>
      </c>
      <c r="AG1585" s="505">
        <v>-0.16</v>
      </c>
      <c r="AH1585" s="48" t="s">
        <v>166</v>
      </c>
      <c r="AI1585" s="44" t="s">
        <v>1035</v>
      </c>
      <c r="AJ1585" s="505">
        <v>0.23</v>
      </c>
      <c r="AK1585" s="357" t="s">
        <v>165</v>
      </c>
      <c r="AL1585" s="44" t="s">
        <v>179</v>
      </c>
      <c r="AM1585" s="46" t="s">
        <v>130</v>
      </c>
      <c r="AN1585" s="327" t="s">
        <v>131</v>
      </c>
      <c r="AO1585" s="505">
        <v>199.0</v>
      </c>
      <c r="AP1585" s="47">
        <v>0.189</v>
      </c>
      <c r="AQ1585" s="44" t="s">
        <v>166</v>
      </c>
      <c r="AR1585" s="53" t="s">
        <v>9244</v>
      </c>
      <c r="AS1585" s="505">
        <v>0.184</v>
      </c>
      <c r="AT1585" s="357" t="s">
        <v>165</v>
      </c>
      <c r="AU1585" s="357" t="s">
        <v>129</v>
      </c>
      <c r="AV1585" s="43" t="s">
        <v>130</v>
      </c>
      <c r="AW1585" s="56" t="s">
        <v>9245</v>
      </c>
      <c r="AX1585" s="57" t="s">
        <v>136</v>
      </c>
      <c r="AY1585" s="339"/>
      <c r="AZ1585" s="338" t="s">
        <v>685</v>
      </c>
    </row>
    <row r="1586">
      <c r="A1586" s="41">
        <v>1586.0</v>
      </c>
      <c r="B1586" s="338" t="s">
        <v>145</v>
      </c>
      <c r="C1586" s="337" t="s">
        <v>108</v>
      </c>
      <c r="D1586" s="337" t="s">
        <v>146</v>
      </c>
      <c r="E1586" s="351"/>
      <c r="F1586" s="43" t="s">
        <v>9221</v>
      </c>
      <c r="G1586" s="44" t="s">
        <v>9258</v>
      </c>
      <c r="H1586" s="44" t="s">
        <v>146</v>
      </c>
      <c r="I1586" s="505" t="s">
        <v>112</v>
      </c>
      <c r="J1586" s="508">
        <v>45638.0</v>
      </c>
      <c r="K1586" s="1757" t="s">
        <v>9259</v>
      </c>
      <c r="L1586" s="53" t="s">
        <v>9249</v>
      </c>
      <c r="M1586" s="44" t="s">
        <v>9225</v>
      </c>
      <c r="N1586" s="44" t="s">
        <v>7239</v>
      </c>
      <c r="O1586" s="1758">
        <v>2.0</v>
      </c>
      <c r="P1586" s="1714" t="s">
        <v>7240</v>
      </c>
      <c r="Q1586" s="49" t="str">
        <f t="array" ref="Q1586"> if(iserror(MATCH(V1586, 'File Links'!C:C, 0)), "N/A", HYPERLINK(INDEX('File Links'!B:B, MATCH(P1586, 'File Links'!C:C, 0))))</f>
        <v>https://drive.google.com/file/d/1CSCUNAQZCt3s32RgzUwXe6pe5scvK0yY/view?usp=drivesdk</v>
      </c>
      <c r="R1586" s="794" t="s">
        <v>9260</v>
      </c>
      <c r="S1586" s="794" t="s">
        <v>9239</v>
      </c>
      <c r="T1586" s="46"/>
      <c r="U1586" s="1759">
        <v>1.0</v>
      </c>
      <c r="V1586" s="357" t="str">
        <f t="shared" si="114"/>
        <v>10.17605--osf.io--j8a4p.pdf</v>
      </c>
      <c r="W1586" s="501" t="s">
        <v>157</v>
      </c>
      <c r="X1586" s="51" t="str">
        <f t="array" ref="X1586"> if(iserror(MATCH(V1586, 'File Links'!C:C, 0)), "N/A", HYPERLINK(INDEX('File Links'!B:B, MATCH(V1586, 'File Links'!C:C, 0))))</f>
        <v>https://drive.google.com/file/d/1Kwdqeb9S0RNT_hHV1vR81MPGAjymnUQq/view?usp=drivesdk</v>
      </c>
      <c r="Y1586" s="46"/>
      <c r="Z1586" s="44" t="s">
        <v>219</v>
      </c>
      <c r="AA1586" s="44" t="s">
        <v>9240</v>
      </c>
      <c r="AB1586" s="1760" t="s">
        <v>9241</v>
      </c>
      <c r="AC1586" s="46" t="s">
        <v>9261</v>
      </c>
      <c r="AD1586" s="501" t="s">
        <v>9257</v>
      </c>
      <c r="AE1586" s="47">
        <v>5.0</v>
      </c>
      <c r="AF1586" s="505">
        <v>218.0</v>
      </c>
      <c r="AG1586" s="505">
        <v>-0.03</v>
      </c>
      <c r="AH1586" s="48" t="s">
        <v>166</v>
      </c>
      <c r="AI1586" s="44" t="s">
        <v>1035</v>
      </c>
      <c r="AJ1586" s="505">
        <v>0.83</v>
      </c>
      <c r="AK1586" s="357" t="s">
        <v>165</v>
      </c>
      <c r="AL1586" s="44" t="s">
        <v>179</v>
      </c>
      <c r="AM1586" s="46" t="s">
        <v>130</v>
      </c>
      <c r="AN1586" s="327" t="s">
        <v>131</v>
      </c>
      <c r="AO1586" s="505">
        <v>199.0</v>
      </c>
      <c r="AP1586" s="47">
        <v>-0.043</v>
      </c>
      <c r="AQ1586" s="44" t="s">
        <v>166</v>
      </c>
      <c r="AR1586" s="53" t="s">
        <v>9244</v>
      </c>
      <c r="AS1586" s="505">
        <v>0.763</v>
      </c>
      <c r="AT1586" s="357" t="s">
        <v>165</v>
      </c>
      <c r="AU1586" s="357" t="s">
        <v>129</v>
      </c>
      <c r="AV1586" s="43" t="s">
        <v>130</v>
      </c>
      <c r="AW1586" s="56" t="s">
        <v>9245</v>
      </c>
      <c r="AX1586" s="57" t="s">
        <v>136</v>
      </c>
      <c r="AY1586" s="339"/>
      <c r="AZ1586" s="338" t="s">
        <v>685</v>
      </c>
    </row>
    <row r="1587">
      <c r="A1587" s="41">
        <v>1587.0</v>
      </c>
      <c r="B1587" s="338" t="s">
        <v>145</v>
      </c>
      <c r="C1587" s="337" t="s">
        <v>108</v>
      </c>
      <c r="D1587" s="337" t="s">
        <v>146</v>
      </c>
      <c r="E1587" s="351"/>
      <c r="F1587" s="43" t="s">
        <v>9221</v>
      </c>
      <c r="G1587" s="44" t="s">
        <v>9262</v>
      </c>
      <c r="H1587" s="44" t="s">
        <v>146</v>
      </c>
      <c r="I1587" s="505" t="s">
        <v>112</v>
      </c>
      <c r="J1587" s="508">
        <v>45638.0</v>
      </c>
      <c r="K1587" s="1757" t="s">
        <v>9263</v>
      </c>
      <c r="L1587" s="53" t="s">
        <v>9249</v>
      </c>
      <c r="M1587" s="44" t="s">
        <v>9225</v>
      </c>
      <c r="N1587" s="44" t="s">
        <v>7239</v>
      </c>
      <c r="O1587" s="1758">
        <v>2.0</v>
      </c>
      <c r="P1587" s="1714" t="s">
        <v>7240</v>
      </c>
      <c r="Q1587" s="49" t="str">
        <f t="array" ref="Q1587"> if(iserror(MATCH(V1587, 'File Links'!C:C, 0)), "N/A", HYPERLINK(INDEX('File Links'!B:B, MATCH(P1587, 'File Links'!C:C, 0))))</f>
        <v>https://drive.google.com/file/d/1CSCUNAQZCt3s32RgzUwXe6pe5scvK0yY/view?usp=drivesdk</v>
      </c>
      <c r="R1587" s="794" t="s">
        <v>9264</v>
      </c>
      <c r="S1587" s="794" t="s">
        <v>9239</v>
      </c>
      <c r="T1587" s="46"/>
      <c r="U1587" s="1759">
        <v>1.0</v>
      </c>
      <c r="V1587" s="357" t="str">
        <f t="shared" si="114"/>
        <v>10.17605--osf.io--j8a4p.pdf</v>
      </c>
      <c r="W1587" s="501" t="s">
        <v>157</v>
      </c>
      <c r="X1587" s="51" t="str">
        <f t="array" ref="X1587"> if(iserror(MATCH(V1587, 'File Links'!C:C, 0)), "N/A", HYPERLINK(INDEX('File Links'!B:B, MATCH(V1587, 'File Links'!C:C, 0))))</f>
        <v>https://drive.google.com/file/d/1Kwdqeb9S0RNT_hHV1vR81MPGAjymnUQq/view?usp=drivesdk</v>
      </c>
      <c r="Y1587" s="46"/>
      <c r="Z1587" s="44" t="s">
        <v>219</v>
      </c>
      <c r="AA1587" s="44" t="s">
        <v>9240</v>
      </c>
      <c r="AB1587" s="1760" t="s">
        <v>9241</v>
      </c>
      <c r="AC1587" s="46" t="s">
        <v>9265</v>
      </c>
      <c r="AD1587" s="501" t="s">
        <v>9257</v>
      </c>
      <c r="AE1587" s="47">
        <v>5.0</v>
      </c>
      <c r="AF1587" s="505">
        <v>218.0</v>
      </c>
      <c r="AG1587" s="505">
        <v>-0.17</v>
      </c>
      <c r="AH1587" s="48" t="s">
        <v>166</v>
      </c>
      <c r="AI1587" s="44" t="s">
        <v>1035</v>
      </c>
      <c r="AJ1587" s="505">
        <v>0.22</v>
      </c>
      <c r="AK1587" s="357" t="s">
        <v>165</v>
      </c>
      <c r="AL1587" s="44" t="s">
        <v>179</v>
      </c>
      <c r="AM1587" s="46" t="s">
        <v>130</v>
      </c>
      <c r="AN1587" s="327" t="s">
        <v>131</v>
      </c>
      <c r="AO1587" s="505">
        <v>199.0</v>
      </c>
      <c r="AP1587" s="47">
        <v>-0.008</v>
      </c>
      <c r="AQ1587" s="44" t="s">
        <v>166</v>
      </c>
      <c r="AR1587" s="53" t="s">
        <v>9244</v>
      </c>
      <c r="AS1587" s="505">
        <v>0.964</v>
      </c>
      <c r="AT1587" s="357" t="s">
        <v>165</v>
      </c>
      <c r="AU1587" s="357" t="s">
        <v>129</v>
      </c>
      <c r="AV1587" s="43" t="s">
        <v>130</v>
      </c>
      <c r="AW1587" s="56" t="s">
        <v>9245</v>
      </c>
      <c r="AX1587" s="57" t="s">
        <v>136</v>
      </c>
      <c r="AY1587" s="339"/>
      <c r="AZ1587" s="338" t="s">
        <v>685</v>
      </c>
    </row>
    <row r="1588">
      <c r="A1588" s="41">
        <v>1588.0</v>
      </c>
      <c r="B1588" s="338" t="s">
        <v>145</v>
      </c>
      <c r="C1588" s="337" t="s">
        <v>108</v>
      </c>
      <c r="D1588" s="337" t="s">
        <v>146</v>
      </c>
      <c r="E1588" s="351"/>
      <c r="F1588" s="43" t="s">
        <v>9221</v>
      </c>
      <c r="G1588" s="44" t="s">
        <v>9266</v>
      </c>
      <c r="H1588" s="44" t="s">
        <v>146</v>
      </c>
      <c r="I1588" s="505" t="s">
        <v>112</v>
      </c>
      <c r="J1588" s="508">
        <v>45638.0</v>
      </c>
      <c r="K1588" s="1757" t="s">
        <v>9267</v>
      </c>
      <c r="L1588" s="53" t="s">
        <v>9249</v>
      </c>
      <c r="M1588" s="44" t="s">
        <v>9225</v>
      </c>
      <c r="N1588" s="44" t="s">
        <v>7239</v>
      </c>
      <c r="O1588" s="1758">
        <v>2.0</v>
      </c>
      <c r="P1588" s="1714" t="s">
        <v>7240</v>
      </c>
      <c r="Q1588" s="49" t="str">
        <f t="array" ref="Q1588"> if(iserror(MATCH(V1588, 'File Links'!C:C, 0)), "N/A", HYPERLINK(INDEX('File Links'!B:B, MATCH(P1588, 'File Links'!C:C, 0))))</f>
        <v>https://drive.google.com/file/d/1CSCUNAQZCt3s32RgzUwXe6pe5scvK0yY/view?usp=drivesdk</v>
      </c>
      <c r="R1588" s="794" t="s">
        <v>9268</v>
      </c>
      <c r="S1588" s="794" t="s">
        <v>9239</v>
      </c>
      <c r="T1588" s="46"/>
      <c r="U1588" s="1759">
        <v>1.0</v>
      </c>
      <c r="V1588" s="357" t="str">
        <f t="shared" si="114"/>
        <v>10.17605--osf.io--j8a4p.pdf</v>
      </c>
      <c r="W1588" s="501" t="s">
        <v>157</v>
      </c>
      <c r="X1588" s="51" t="str">
        <f t="array" ref="X1588"> if(iserror(MATCH(V1588, 'File Links'!C:C, 0)), "N/A", HYPERLINK(INDEX('File Links'!B:B, MATCH(V1588, 'File Links'!C:C, 0))))</f>
        <v>https://drive.google.com/file/d/1Kwdqeb9S0RNT_hHV1vR81MPGAjymnUQq/view?usp=drivesdk</v>
      </c>
      <c r="Y1588" s="46"/>
      <c r="Z1588" s="44" t="s">
        <v>219</v>
      </c>
      <c r="AA1588" s="44" t="s">
        <v>9240</v>
      </c>
      <c r="AB1588" s="1760" t="s">
        <v>9241</v>
      </c>
      <c r="AC1588" s="46" t="s">
        <v>9269</v>
      </c>
      <c r="AD1588" s="501" t="s">
        <v>9257</v>
      </c>
      <c r="AE1588" s="47">
        <v>5.0</v>
      </c>
      <c r="AF1588" s="505">
        <v>218.0</v>
      </c>
      <c r="AG1588" s="505">
        <v>-0.14</v>
      </c>
      <c r="AH1588" s="48" t="s">
        <v>166</v>
      </c>
      <c r="AI1588" s="44" t="s">
        <v>1035</v>
      </c>
      <c r="AJ1588" s="505">
        <v>0.3</v>
      </c>
      <c r="AK1588" s="357" t="s">
        <v>165</v>
      </c>
      <c r="AL1588" s="44" t="s">
        <v>179</v>
      </c>
      <c r="AM1588" s="46" t="s">
        <v>130</v>
      </c>
      <c r="AN1588" s="327" t="s">
        <v>131</v>
      </c>
      <c r="AO1588" s="505">
        <v>199.0</v>
      </c>
      <c r="AP1588" s="47">
        <v>0.058</v>
      </c>
      <c r="AQ1588" s="44" t="s">
        <v>166</v>
      </c>
      <c r="AR1588" s="53" t="s">
        <v>9244</v>
      </c>
      <c r="AS1588" s="505">
        <v>0.679</v>
      </c>
      <c r="AT1588" s="357" t="s">
        <v>165</v>
      </c>
      <c r="AU1588" s="357" t="s">
        <v>129</v>
      </c>
      <c r="AV1588" s="43" t="s">
        <v>130</v>
      </c>
      <c r="AW1588" s="56" t="s">
        <v>9245</v>
      </c>
      <c r="AX1588" s="57" t="s">
        <v>136</v>
      </c>
      <c r="AY1588" s="339"/>
      <c r="AZ1588" s="338" t="s">
        <v>685</v>
      </c>
    </row>
    <row r="1589">
      <c r="A1589" s="41">
        <v>1589.0</v>
      </c>
      <c r="B1589" s="338" t="s">
        <v>145</v>
      </c>
      <c r="C1589" s="337" t="s">
        <v>108</v>
      </c>
      <c r="D1589" s="337" t="s">
        <v>146</v>
      </c>
      <c r="E1589" s="351"/>
      <c r="F1589" s="43" t="s">
        <v>9221</v>
      </c>
      <c r="G1589" s="44" t="s">
        <v>9270</v>
      </c>
      <c r="H1589" s="44" t="s">
        <v>146</v>
      </c>
      <c r="I1589" s="505" t="s">
        <v>112</v>
      </c>
      <c r="J1589" s="508">
        <v>45638.0</v>
      </c>
      <c r="K1589" s="1757" t="s">
        <v>9271</v>
      </c>
      <c r="L1589" s="53" t="s">
        <v>9249</v>
      </c>
      <c r="M1589" s="44" t="s">
        <v>9225</v>
      </c>
      <c r="N1589" s="44" t="s">
        <v>7239</v>
      </c>
      <c r="O1589" s="1758">
        <v>2.0</v>
      </c>
      <c r="P1589" s="1714" t="s">
        <v>7240</v>
      </c>
      <c r="Q1589" s="49" t="str">
        <f t="array" ref="Q1589"> if(iserror(MATCH(V1589, 'File Links'!C:C, 0)), "N/A", HYPERLINK(INDEX('File Links'!B:B, MATCH(P1589, 'File Links'!C:C, 0))))</f>
        <v>https://drive.google.com/file/d/1CSCUNAQZCt3s32RgzUwXe6pe5scvK0yY/view?usp=drivesdk</v>
      </c>
      <c r="R1589" s="794" t="s">
        <v>9272</v>
      </c>
      <c r="S1589" s="794" t="s">
        <v>9239</v>
      </c>
      <c r="T1589" s="46"/>
      <c r="U1589" s="1759">
        <v>1.0</v>
      </c>
      <c r="V1589" s="357" t="str">
        <f t="shared" si="114"/>
        <v>10.17605--osf.io--j8a4p.pdf</v>
      </c>
      <c r="W1589" s="501" t="s">
        <v>157</v>
      </c>
      <c r="X1589" s="51" t="str">
        <f t="array" ref="X1589"> if(iserror(MATCH(V1589, 'File Links'!C:C, 0)), "N/A", HYPERLINK(INDEX('File Links'!B:B, MATCH(V1589, 'File Links'!C:C, 0))))</f>
        <v>https://drive.google.com/file/d/1Kwdqeb9S0RNT_hHV1vR81MPGAjymnUQq/view?usp=drivesdk</v>
      </c>
      <c r="Y1589" s="46"/>
      <c r="Z1589" s="44" t="s">
        <v>219</v>
      </c>
      <c r="AA1589" s="44" t="s">
        <v>9240</v>
      </c>
      <c r="AB1589" s="1760" t="s">
        <v>9241</v>
      </c>
      <c r="AC1589" s="46" t="s">
        <v>9273</v>
      </c>
      <c r="AD1589" s="501" t="s">
        <v>9257</v>
      </c>
      <c r="AE1589" s="47">
        <v>5.0</v>
      </c>
      <c r="AF1589" s="505">
        <v>218.0</v>
      </c>
      <c r="AG1589" s="505">
        <v>-0.13</v>
      </c>
      <c r="AH1589" s="48" t="s">
        <v>166</v>
      </c>
      <c r="AI1589" s="44" t="s">
        <v>1035</v>
      </c>
      <c r="AJ1589" s="505">
        <v>0.34</v>
      </c>
      <c r="AK1589" s="357" t="s">
        <v>165</v>
      </c>
      <c r="AL1589" s="44" t="s">
        <v>179</v>
      </c>
      <c r="AM1589" s="46" t="s">
        <v>130</v>
      </c>
      <c r="AN1589" s="327" t="s">
        <v>131</v>
      </c>
      <c r="AO1589" s="505">
        <v>199.0</v>
      </c>
      <c r="AP1589" s="47">
        <v>0.014</v>
      </c>
      <c r="AQ1589" s="44" t="s">
        <v>166</v>
      </c>
      <c r="AR1589" s="53" t="s">
        <v>9244</v>
      </c>
      <c r="AS1589" s="505">
        <v>0.918</v>
      </c>
      <c r="AT1589" s="357" t="s">
        <v>165</v>
      </c>
      <c r="AU1589" s="357" t="s">
        <v>129</v>
      </c>
      <c r="AV1589" s="43" t="s">
        <v>130</v>
      </c>
      <c r="AW1589" s="56" t="s">
        <v>9245</v>
      </c>
      <c r="AX1589" s="57" t="s">
        <v>136</v>
      </c>
      <c r="AY1589" s="339"/>
      <c r="AZ1589" s="338" t="s">
        <v>685</v>
      </c>
    </row>
    <row r="1590">
      <c r="A1590" s="41">
        <v>1590.0</v>
      </c>
      <c r="B1590" s="893" t="s">
        <v>516</v>
      </c>
      <c r="C1590" s="836" t="s">
        <v>108</v>
      </c>
      <c r="D1590" s="836" t="s">
        <v>169</v>
      </c>
      <c r="E1590" s="749"/>
      <c r="F1590" s="848" t="s">
        <v>9274</v>
      </c>
      <c r="G1590" s="838" t="s">
        <v>9275</v>
      </c>
      <c r="H1590" s="837" t="s">
        <v>169</v>
      </c>
      <c r="I1590" s="991">
        <v>45658.0</v>
      </c>
      <c r="J1590" s="848"/>
      <c r="K1590" s="837" t="s">
        <v>9276</v>
      </c>
      <c r="L1590" s="848"/>
      <c r="M1590" s="837" t="s">
        <v>9277</v>
      </c>
      <c r="N1590" s="837" t="s">
        <v>9278</v>
      </c>
      <c r="O1590" s="848"/>
      <c r="P1590" s="994" t="s">
        <v>9279</v>
      </c>
      <c r="Q1590" s="49" t="str">
        <f t="array" ref="Q1590"> if(iserror(MATCH(V1590, 'File Links'!C:C, 0)), "N/A", HYPERLINK(INDEX('File Links'!B:B, MATCH(P1590, 'File Links'!C:C, 0))))</f>
        <v>https://drive.google.com/file/d/1EqvEPwgwndawziGmIPqgl3yNKOI51OAS/view?usp=drivesdk</v>
      </c>
      <c r="R1590" s="837" t="s">
        <v>9280</v>
      </c>
      <c r="S1590" s="837" t="s">
        <v>9281</v>
      </c>
      <c r="T1590" s="848"/>
      <c r="U1590" s="848"/>
      <c r="V1590" s="195" t="str">
        <f t="shared" si="114"/>
        <v>10.18718--81781.23.pdf</v>
      </c>
      <c r="W1590" s="837" t="s">
        <v>9282</v>
      </c>
      <c r="X1590" s="51" t="str">
        <f t="array" ref="X1590"> if(iserror(MATCH(V1590, 'File Links'!C:C, 0)), "N/A", HYPERLINK(INDEX('File Links'!B:B, MATCH(V1590, 'File Links'!C:C, 0))))</f>
        <v>https://drive.google.com/file/d/1UFSIBKXNmPXd3__1cxrsTy9PbNax45wB/view?usp=drivesdk</v>
      </c>
      <c r="Y1590" s="848"/>
      <c r="Z1590" s="837" t="s">
        <v>1802</v>
      </c>
      <c r="AA1590" s="837" t="s">
        <v>9283</v>
      </c>
      <c r="AB1590" s="837" t="s">
        <v>9284</v>
      </c>
      <c r="AC1590" s="837" t="s">
        <v>9285</v>
      </c>
      <c r="AD1590" s="837" t="s">
        <v>9286</v>
      </c>
      <c r="AE1590" s="837" t="s">
        <v>9287</v>
      </c>
      <c r="AF1590" s="901">
        <v>300.0</v>
      </c>
      <c r="AG1590" s="848"/>
      <c r="AH1590" s="847"/>
      <c r="AI1590" s="840"/>
      <c r="AJ1590" s="840"/>
      <c r="AK1590" s="848"/>
      <c r="AL1590" s="840"/>
      <c r="AM1590" s="848"/>
      <c r="AN1590" s="327" t="s">
        <v>131</v>
      </c>
      <c r="AO1590" s="901">
        <v>232.0</v>
      </c>
      <c r="AP1590" s="848"/>
      <c r="AQ1590" s="848"/>
      <c r="AR1590" s="848"/>
      <c r="AS1590" s="848"/>
      <c r="AT1590" s="848"/>
      <c r="AU1590" s="848"/>
      <c r="AV1590" s="848"/>
      <c r="AW1590" s="848"/>
      <c r="AX1590" s="848" t="s">
        <v>136</v>
      </c>
      <c r="AY1590" s="749"/>
      <c r="AZ1590" s="749"/>
    </row>
    <row r="1591">
      <c r="A1591" s="41">
        <v>1591.0</v>
      </c>
      <c r="B1591" s="893" t="s">
        <v>516</v>
      </c>
      <c r="C1591" s="836" t="s">
        <v>108</v>
      </c>
      <c r="D1591" s="836" t="s">
        <v>169</v>
      </c>
      <c r="E1591" s="749"/>
      <c r="F1591" s="848" t="s">
        <v>9274</v>
      </c>
      <c r="G1591" s="838" t="s">
        <v>9288</v>
      </c>
      <c r="H1591" s="837" t="s">
        <v>169</v>
      </c>
      <c r="I1591" s="991">
        <v>45658.0</v>
      </c>
      <c r="J1591" s="848"/>
      <c r="K1591" s="837" t="s">
        <v>9289</v>
      </c>
      <c r="L1591" s="848"/>
      <c r="M1591" s="837" t="s">
        <v>9277</v>
      </c>
      <c r="N1591" s="837" t="s">
        <v>9278</v>
      </c>
      <c r="O1591" s="848"/>
      <c r="P1591" s="994" t="s">
        <v>9279</v>
      </c>
      <c r="Q1591" s="49" t="str">
        <f t="array" ref="Q1591"> if(iserror(MATCH(V1591, 'File Links'!C:C, 0)), "N/A", HYPERLINK(INDEX('File Links'!B:B, MATCH(P1591, 'File Links'!C:C, 0))))</f>
        <v>https://drive.google.com/file/d/1EqvEPwgwndawziGmIPqgl3yNKOI51OAS/view?usp=drivesdk</v>
      </c>
      <c r="R1591" s="837" t="s">
        <v>9280</v>
      </c>
      <c r="S1591" s="837" t="s">
        <v>9281</v>
      </c>
      <c r="T1591" s="848"/>
      <c r="U1591" s="848"/>
      <c r="V1591" s="195" t="str">
        <f t="shared" si="114"/>
        <v>10.18718--81781.23.pdf</v>
      </c>
      <c r="W1591" s="837" t="s">
        <v>9290</v>
      </c>
      <c r="X1591" s="51" t="str">
        <f t="array" ref="X1591"> if(iserror(MATCH(V1591, 'File Links'!C:C, 0)), "N/A", HYPERLINK(INDEX('File Links'!B:B, MATCH(V1591, 'File Links'!C:C, 0))))</f>
        <v>https://drive.google.com/file/d/1UFSIBKXNmPXd3__1cxrsTy9PbNax45wB/view?usp=drivesdk</v>
      </c>
      <c r="Y1591" s="848"/>
      <c r="Z1591" s="837" t="s">
        <v>1802</v>
      </c>
      <c r="AA1591" s="837" t="s">
        <v>9283</v>
      </c>
      <c r="AB1591" s="837" t="s">
        <v>9284</v>
      </c>
      <c r="AC1591" s="837" t="s">
        <v>9285</v>
      </c>
      <c r="AD1591" s="837" t="s">
        <v>9286</v>
      </c>
      <c r="AE1591" s="901">
        <v>22.0</v>
      </c>
      <c r="AF1591" s="901">
        <v>300.0</v>
      </c>
      <c r="AG1591" s="848"/>
      <c r="AH1591" s="847"/>
      <c r="AI1591" s="840"/>
      <c r="AJ1591" s="840"/>
      <c r="AK1591" s="848"/>
      <c r="AL1591" s="840"/>
      <c r="AM1591" s="848"/>
      <c r="AN1591" s="327" t="s">
        <v>131</v>
      </c>
      <c r="AO1591" s="901">
        <v>196.0</v>
      </c>
      <c r="AP1591" s="848"/>
      <c r="AQ1591" s="848"/>
      <c r="AR1591" s="848"/>
      <c r="AS1591" s="848"/>
      <c r="AT1591" s="848"/>
      <c r="AU1591" s="848"/>
      <c r="AV1591" s="848"/>
      <c r="AW1591" s="848"/>
      <c r="AX1591" s="848" t="s">
        <v>136</v>
      </c>
      <c r="AY1591" s="749"/>
      <c r="AZ1591" s="749"/>
    </row>
    <row r="1592">
      <c r="A1592" s="41">
        <v>1592.0</v>
      </c>
      <c r="B1592" s="70" t="s">
        <v>516</v>
      </c>
      <c r="C1592" s="70" t="s">
        <v>108</v>
      </c>
      <c r="D1592" s="70" t="s">
        <v>146</v>
      </c>
      <c r="E1592" s="71"/>
      <c r="F1592" s="91" t="s">
        <v>9274</v>
      </c>
      <c r="G1592" s="74" t="s">
        <v>9291</v>
      </c>
      <c r="H1592" s="74" t="s">
        <v>146</v>
      </c>
      <c r="I1592" s="850">
        <v>45478.0</v>
      </c>
      <c r="J1592" s="626">
        <v>45638.0</v>
      </c>
      <c r="K1592" s="73" t="s">
        <v>9292</v>
      </c>
      <c r="L1592" s="80"/>
      <c r="M1592" s="74" t="s">
        <v>9277</v>
      </c>
      <c r="N1592" s="74" t="s">
        <v>9278</v>
      </c>
      <c r="O1592" s="1001">
        <v>1.0</v>
      </c>
      <c r="P1592" s="928" t="s">
        <v>9279</v>
      </c>
      <c r="Q1592" s="49" t="str">
        <f t="array" ref="Q1592"> if(iserror(MATCH(V1592, 'File Links'!C:C, 0)), "N/A", HYPERLINK(INDEX('File Links'!B:B, MATCH(P1592, 'File Links'!C:C, 0))))</f>
        <v>https://drive.google.com/file/d/1EqvEPwgwndawziGmIPqgl3yNKOI51OAS/view?usp=drivesdk</v>
      </c>
      <c r="R1592" s="74" t="s">
        <v>9280</v>
      </c>
      <c r="S1592" s="74" t="s">
        <v>9281</v>
      </c>
      <c r="T1592" s="80"/>
      <c r="U1592" s="1002">
        <v>1.0</v>
      </c>
      <c r="V1592" s="195" t="str">
        <f t="shared" si="114"/>
        <v>10.18718--81781.23.pdf</v>
      </c>
      <c r="W1592" s="73" t="s">
        <v>2009</v>
      </c>
      <c r="X1592" s="51" t="str">
        <f t="array" ref="X1592"> if(iserror(MATCH(V1592, 'File Links'!C:C, 0)), "N/A", HYPERLINK(INDEX('File Links'!B:B, MATCH(V1592, 'File Links'!C:C, 0))))</f>
        <v>https://drive.google.com/file/d/1UFSIBKXNmPXd3__1cxrsTy9PbNax45wB/view?usp=drivesdk</v>
      </c>
      <c r="Y1592" s="80"/>
      <c r="Z1592" s="74" t="s">
        <v>1802</v>
      </c>
      <c r="AA1592" s="80" t="s">
        <v>9293</v>
      </c>
      <c r="AB1592" s="73" t="s">
        <v>9294</v>
      </c>
      <c r="AC1592" s="73" t="s">
        <v>9295</v>
      </c>
      <c r="AD1592" s="80" t="s">
        <v>9296</v>
      </c>
      <c r="AE1592" s="1762">
        <v>22.0</v>
      </c>
      <c r="AF1592" s="632">
        <f t="shared" ref="AF1592:AF1645" si="115">12*27</f>
        <v>324</v>
      </c>
      <c r="AG1592" s="74" t="s">
        <v>9297</v>
      </c>
      <c r="AH1592" s="96" t="s">
        <v>127</v>
      </c>
      <c r="AI1592" s="74" t="s">
        <v>2435</v>
      </c>
      <c r="AJ1592" s="632">
        <v>0.01</v>
      </c>
      <c r="AK1592" s="92" t="s">
        <v>128</v>
      </c>
      <c r="AL1592" s="74" t="s">
        <v>129</v>
      </c>
      <c r="AM1592" s="80" t="s">
        <v>134</v>
      </c>
      <c r="AN1592" s="327" t="s">
        <v>131</v>
      </c>
      <c r="AO1592" s="632">
        <v>196.0</v>
      </c>
      <c r="AP1592" s="74" t="s">
        <v>9298</v>
      </c>
      <c r="AQ1592" s="74" t="s">
        <v>127</v>
      </c>
      <c r="AR1592" s="74" t="s">
        <v>3714</v>
      </c>
      <c r="AS1592" s="632">
        <v>0.01</v>
      </c>
      <c r="AT1592" s="92" t="s">
        <v>128</v>
      </c>
      <c r="AU1592" s="92" t="s">
        <v>129</v>
      </c>
      <c r="AV1592" s="91" t="s">
        <v>134</v>
      </c>
      <c r="AW1592" s="91"/>
      <c r="AX1592" s="91" t="s">
        <v>136</v>
      </c>
      <c r="AY1592" s="89"/>
      <c r="AZ1592" s="89"/>
    </row>
    <row r="1593">
      <c r="A1593" s="41">
        <v>1593.0</v>
      </c>
      <c r="B1593" s="70" t="s">
        <v>516</v>
      </c>
      <c r="C1593" s="70" t="s">
        <v>108</v>
      </c>
      <c r="D1593" s="70" t="s">
        <v>146</v>
      </c>
      <c r="E1593" s="71"/>
      <c r="F1593" s="91" t="s">
        <v>9274</v>
      </c>
      <c r="G1593" s="74" t="s">
        <v>9299</v>
      </c>
      <c r="H1593" s="74" t="s">
        <v>146</v>
      </c>
      <c r="I1593" s="850">
        <v>45478.0</v>
      </c>
      <c r="J1593" s="626">
        <v>45638.0</v>
      </c>
      <c r="K1593" s="73" t="s">
        <v>9292</v>
      </c>
      <c r="L1593" s="80"/>
      <c r="M1593" s="74" t="s">
        <v>9277</v>
      </c>
      <c r="N1593" s="74" t="s">
        <v>9278</v>
      </c>
      <c r="O1593" s="1001">
        <v>1.0</v>
      </c>
      <c r="P1593" s="928" t="s">
        <v>9279</v>
      </c>
      <c r="Q1593" s="49" t="str">
        <f t="array" ref="Q1593"> if(iserror(MATCH(V1593, 'File Links'!C:C, 0)), "N/A", HYPERLINK(INDEX('File Links'!B:B, MATCH(P1593, 'File Links'!C:C, 0))))</f>
        <v>https://drive.google.com/file/d/1EqvEPwgwndawziGmIPqgl3yNKOI51OAS/view?usp=drivesdk</v>
      </c>
      <c r="R1593" s="74" t="s">
        <v>9280</v>
      </c>
      <c r="S1593" s="74" t="s">
        <v>9281</v>
      </c>
      <c r="T1593" s="80"/>
      <c r="U1593" s="1002">
        <v>1.0</v>
      </c>
      <c r="V1593" s="195" t="str">
        <f t="shared" si="114"/>
        <v>10.18718--81781.23.pdf</v>
      </c>
      <c r="W1593" s="73" t="s">
        <v>2009</v>
      </c>
      <c r="X1593" s="51" t="str">
        <f t="array" ref="X1593"> if(iserror(MATCH(V1593, 'File Links'!C:C, 0)), "N/A", HYPERLINK(INDEX('File Links'!B:B, MATCH(V1593, 'File Links'!C:C, 0))))</f>
        <v>https://drive.google.com/file/d/1UFSIBKXNmPXd3__1cxrsTy9PbNax45wB/view?usp=drivesdk</v>
      </c>
      <c r="Y1593" s="80"/>
      <c r="Z1593" s="74" t="s">
        <v>1802</v>
      </c>
      <c r="AA1593" s="80" t="s">
        <v>9293</v>
      </c>
      <c r="AB1593" s="73" t="s">
        <v>9294</v>
      </c>
      <c r="AC1593" s="73" t="s">
        <v>9300</v>
      </c>
      <c r="AD1593" s="80" t="s">
        <v>9296</v>
      </c>
      <c r="AE1593" s="1762">
        <v>22.0</v>
      </c>
      <c r="AF1593" s="632">
        <f t="shared" si="115"/>
        <v>324</v>
      </c>
      <c r="AG1593" s="74" t="s">
        <v>9301</v>
      </c>
      <c r="AH1593" s="96" t="s">
        <v>127</v>
      </c>
      <c r="AI1593" s="74" t="s">
        <v>2434</v>
      </c>
      <c r="AJ1593" s="632">
        <v>0.01</v>
      </c>
      <c r="AK1593" s="92" t="s">
        <v>128</v>
      </c>
      <c r="AL1593" s="74" t="s">
        <v>129</v>
      </c>
      <c r="AM1593" s="80" t="s">
        <v>134</v>
      </c>
      <c r="AN1593" s="327" t="s">
        <v>131</v>
      </c>
      <c r="AO1593" s="632">
        <v>185.0</v>
      </c>
      <c r="AP1593" s="74" t="s">
        <v>9302</v>
      </c>
      <c r="AQ1593" s="74" t="s">
        <v>127</v>
      </c>
      <c r="AR1593" s="74" t="s">
        <v>7715</v>
      </c>
      <c r="AS1593" s="632">
        <v>0.05</v>
      </c>
      <c r="AT1593" s="92" t="s">
        <v>128</v>
      </c>
      <c r="AU1593" s="92" t="s">
        <v>129</v>
      </c>
      <c r="AV1593" s="91" t="s">
        <v>134</v>
      </c>
      <c r="AW1593" s="91"/>
      <c r="AX1593" s="91" t="s">
        <v>136</v>
      </c>
      <c r="AY1593" s="89"/>
      <c r="AZ1593" s="89"/>
    </row>
    <row r="1594">
      <c r="A1594" s="41">
        <v>1594.0</v>
      </c>
      <c r="B1594" s="70" t="s">
        <v>516</v>
      </c>
      <c r="C1594" s="70" t="s">
        <v>108</v>
      </c>
      <c r="D1594" s="70" t="s">
        <v>146</v>
      </c>
      <c r="E1594" s="71"/>
      <c r="F1594" s="91" t="s">
        <v>9274</v>
      </c>
      <c r="G1594" s="74" t="s">
        <v>9303</v>
      </c>
      <c r="H1594" s="74" t="s">
        <v>146</v>
      </c>
      <c r="I1594" s="850">
        <v>45478.0</v>
      </c>
      <c r="J1594" s="626">
        <v>45638.0</v>
      </c>
      <c r="K1594" s="73" t="s">
        <v>9292</v>
      </c>
      <c r="L1594" s="80"/>
      <c r="M1594" s="74" t="s">
        <v>9277</v>
      </c>
      <c r="N1594" s="74" t="s">
        <v>9278</v>
      </c>
      <c r="O1594" s="1001">
        <v>1.0</v>
      </c>
      <c r="P1594" s="928" t="s">
        <v>9279</v>
      </c>
      <c r="Q1594" s="49" t="str">
        <f t="array" ref="Q1594"> if(iserror(MATCH(V1594, 'File Links'!C:C, 0)), "N/A", HYPERLINK(INDEX('File Links'!B:B, MATCH(P1594, 'File Links'!C:C, 0))))</f>
        <v>https://drive.google.com/file/d/1EqvEPwgwndawziGmIPqgl3yNKOI51OAS/view?usp=drivesdk</v>
      </c>
      <c r="R1594" s="74" t="s">
        <v>9280</v>
      </c>
      <c r="S1594" s="74" t="s">
        <v>9281</v>
      </c>
      <c r="T1594" s="80"/>
      <c r="U1594" s="1002">
        <v>1.0</v>
      </c>
      <c r="V1594" s="195" t="str">
        <f t="shared" si="114"/>
        <v>10.18718--81781.23.pdf</v>
      </c>
      <c r="W1594" s="73" t="s">
        <v>2009</v>
      </c>
      <c r="X1594" s="51" t="str">
        <f t="array" ref="X1594"> if(iserror(MATCH(V1594, 'File Links'!C:C, 0)), "N/A", HYPERLINK(INDEX('File Links'!B:B, MATCH(V1594, 'File Links'!C:C, 0))))</f>
        <v>https://drive.google.com/file/d/1UFSIBKXNmPXd3__1cxrsTy9PbNax45wB/view?usp=drivesdk</v>
      </c>
      <c r="Y1594" s="80"/>
      <c r="Z1594" s="74" t="s">
        <v>1802</v>
      </c>
      <c r="AA1594" s="80" t="s">
        <v>9293</v>
      </c>
      <c r="AB1594" s="73" t="s">
        <v>9294</v>
      </c>
      <c r="AC1594" s="73" t="s">
        <v>9295</v>
      </c>
      <c r="AD1594" s="80" t="s">
        <v>9296</v>
      </c>
      <c r="AE1594" s="1762">
        <v>22.0</v>
      </c>
      <c r="AF1594" s="632">
        <f t="shared" si="115"/>
        <v>324</v>
      </c>
      <c r="AG1594" s="74" t="s">
        <v>9304</v>
      </c>
      <c r="AH1594" s="96" t="s">
        <v>127</v>
      </c>
      <c r="AI1594" s="74" t="s">
        <v>2435</v>
      </c>
      <c r="AJ1594" s="632">
        <v>0.01</v>
      </c>
      <c r="AK1594" s="92" t="s">
        <v>128</v>
      </c>
      <c r="AL1594" s="74" t="s">
        <v>129</v>
      </c>
      <c r="AM1594" s="80" t="s">
        <v>134</v>
      </c>
      <c r="AN1594" s="327" t="s">
        <v>131</v>
      </c>
      <c r="AO1594" s="632">
        <v>196.0</v>
      </c>
      <c r="AP1594" s="74" t="s">
        <v>9305</v>
      </c>
      <c r="AQ1594" s="74" t="s">
        <v>127</v>
      </c>
      <c r="AR1594" s="74" t="s">
        <v>2015</v>
      </c>
      <c r="AS1594" s="632">
        <v>0.01</v>
      </c>
      <c r="AT1594" s="92" t="s">
        <v>128</v>
      </c>
      <c r="AU1594" s="92" t="s">
        <v>129</v>
      </c>
      <c r="AV1594" s="91" t="s">
        <v>134</v>
      </c>
      <c r="AW1594" s="91"/>
      <c r="AX1594" s="91" t="s">
        <v>136</v>
      </c>
      <c r="AY1594" s="89"/>
      <c r="AZ1594" s="89"/>
    </row>
    <row r="1595">
      <c r="A1595" s="41">
        <v>1595.0</v>
      </c>
      <c r="B1595" s="70" t="s">
        <v>516</v>
      </c>
      <c r="C1595" s="70" t="s">
        <v>108</v>
      </c>
      <c r="D1595" s="70" t="s">
        <v>146</v>
      </c>
      <c r="E1595" s="71"/>
      <c r="F1595" s="91" t="s">
        <v>9274</v>
      </c>
      <c r="G1595" s="74" t="s">
        <v>9306</v>
      </c>
      <c r="H1595" s="74" t="s">
        <v>146</v>
      </c>
      <c r="I1595" s="850">
        <v>45478.0</v>
      </c>
      <c r="J1595" s="626">
        <v>45638.0</v>
      </c>
      <c r="K1595" s="73" t="s">
        <v>9292</v>
      </c>
      <c r="L1595" s="80"/>
      <c r="M1595" s="74" t="s">
        <v>9277</v>
      </c>
      <c r="N1595" s="74" t="s">
        <v>9278</v>
      </c>
      <c r="O1595" s="1001">
        <v>1.0</v>
      </c>
      <c r="P1595" s="928" t="s">
        <v>9279</v>
      </c>
      <c r="Q1595" s="49" t="str">
        <f t="array" ref="Q1595"> if(iserror(MATCH(V1595, 'File Links'!C:C, 0)), "N/A", HYPERLINK(INDEX('File Links'!B:B, MATCH(P1595, 'File Links'!C:C, 0))))</f>
        <v>https://drive.google.com/file/d/1EqvEPwgwndawziGmIPqgl3yNKOI51OAS/view?usp=drivesdk</v>
      </c>
      <c r="R1595" s="74" t="s">
        <v>9280</v>
      </c>
      <c r="S1595" s="74" t="s">
        <v>9281</v>
      </c>
      <c r="T1595" s="80"/>
      <c r="U1595" s="1002">
        <v>1.0</v>
      </c>
      <c r="V1595" s="195" t="str">
        <f t="shared" si="114"/>
        <v>10.18718--81781.23.pdf</v>
      </c>
      <c r="W1595" s="73" t="s">
        <v>2009</v>
      </c>
      <c r="X1595" s="51" t="str">
        <f t="array" ref="X1595"> if(iserror(MATCH(V1595, 'File Links'!C:C, 0)), "N/A", HYPERLINK(INDEX('File Links'!B:B, MATCH(V1595, 'File Links'!C:C, 0))))</f>
        <v>https://drive.google.com/file/d/1UFSIBKXNmPXd3__1cxrsTy9PbNax45wB/view?usp=drivesdk</v>
      </c>
      <c r="Y1595" s="80"/>
      <c r="Z1595" s="74" t="s">
        <v>1802</v>
      </c>
      <c r="AA1595" s="80" t="s">
        <v>9293</v>
      </c>
      <c r="AB1595" s="73" t="s">
        <v>9294</v>
      </c>
      <c r="AC1595" s="73" t="s">
        <v>9300</v>
      </c>
      <c r="AD1595" s="80" t="s">
        <v>9296</v>
      </c>
      <c r="AE1595" s="1762">
        <v>22.0</v>
      </c>
      <c r="AF1595" s="632">
        <f t="shared" si="115"/>
        <v>324</v>
      </c>
      <c r="AG1595" s="74" t="s">
        <v>9307</v>
      </c>
      <c r="AH1595" s="96" t="s">
        <v>127</v>
      </c>
      <c r="AI1595" s="74" t="s">
        <v>2434</v>
      </c>
      <c r="AJ1595" s="632">
        <v>0.01</v>
      </c>
      <c r="AK1595" s="92" t="s">
        <v>128</v>
      </c>
      <c r="AL1595" s="74" t="s">
        <v>129</v>
      </c>
      <c r="AM1595" s="80" t="s">
        <v>134</v>
      </c>
      <c r="AN1595" s="327" t="s">
        <v>131</v>
      </c>
      <c r="AO1595" s="632">
        <v>185.0</v>
      </c>
      <c r="AP1595" s="74" t="s">
        <v>9308</v>
      </c>
      <c r="AQ1595" s="74" t="s">
        <v>127</v>
      </c>
      <c r="AR1595" s="74" t="s">
        <v>1166</v>
      </c>
      <c r="AS1595" s="632">
        <v>0.01</v>
      </c>
      <c r="AT1595" s="92" t="s">
        <v>128</v>
      </c>
      <c r="AU1595" s="92" t="s">
        <v>129</v>
      </c>
      <c r="AV1595" s="91" t="s">
        <v>134</v>
      </c>
      <c r="AW1595" s="91"/>
      <c r="AX1595" s="91" t="s">
        <v>136</v>
      </c>
      <c r="AY1595" s="89"/>
      <c r="AZ1595" s="89"/>
    </row>
    <row r="1596">
      <c r="A1596" s="41">
        <v>1596.0</v>
      </c>
      <c r="B1596" s="70" t="s">
        <v>516</v>
      </c>
      <c r="C1596" s="70" t="s">
        <v>108</v>
      </c>
      <c r="D1596" s="70" t="s">
        <v>146</v>
      </c>
      <c r="E1596" s="71"/>
      <c r="F1596" s="91" t="s">
        <v>9274</v>
      </c>
      <c r="G1596" s="74" t="s">
        <v>9309</v>
      </c>
      <c r="H1596" s="74" t="s">
        <v>146</v>
      </c>
      <c r="I1596" s="850">
        <v>45478.0</v>
      </c>
      <c r="J1596" s="626">
        <v>45638.0</v>
      </c>
      <c r="K1596" s="73" t="s">
        <v>9292</v>
      </c>
      <c r="L1596" s="80"/>
      <c r="M1596" s="74" t="s">
        <v>9277</v>
      </c>
      <c r="N1596" s="74" t="s">
        <v>9278</v>
      </c>
      <c r="O1596" s="1001">
        <v>1.0</v>
      </c>
      <c r="P1596" s="928" t="s">
        <v>9279</v>
      </c>
      <c r="Q1596" s="49" t="str">
        <f t="array" ref="Q1596"> if(iserror(MATCH(V1596, 'File Links'!C:C, 0)), "N/A", HYPERLINK(INDEX('File Links'!B:B, MATCH(P1596, 'File Links'!C:C, 0))))</f>
        <v>https://drive.google.com/file/d/1EqvEPwgwndawziGmIPqgl3yNKOI51OAS/view?usp=drivesdk</v>
      </c>
      <c r="R1596" s="74" t="s">
        <v>9280</v>
      </c>
      <c r="S1596" s="74" t="s">
        <v>9281</v>
      </c>
      <c r="T1596" s="80"/>
      <c r="U1596" s="1002">
        <v>1.0</v>
      </c>
      <c r="V1596" s="195" t="str">
        <f t="shared" si="114"/>
        <v>10.18718--81781.23.pdf</v>
      </c>
      <c r="W1596" s="73" t="s">
        <v>2009</v>
      </c>
      <c r="X1596" s="51" t="str">
        <f t="array" ref="X1596"> if(iserror(MATCH(V1596, 'File Links'!C:C, 0)), "N/A", HYPERLINK(INDEX('File Links'!B:B, MATCH(V1596, 'File Links'!C:C, 0))))</f>
        <v>https://drive.google.com/file/d/1UFSIBKXNmPXd3__1cxrsTy9PbNax45wB/view?usp=drivesdk</v>
      </c>
      <c r="Y1596" s="80"/>
      <c r="Z1596" s="74" t="s">
        <v>1802</v>
      </c>
      <c r="AA1596" s="80" t="s">
        <v>9293</v>
      </c>
      <c r="AB1596" s="73" t="s">
        <v>9294</v>
      </c>
      <c r="AC1596" s="73" t="s">
        <v>9295</v>
      </c>
      <c r="AD1596" s="80" t="s">
        <v>9296</v>
      </c>
      <c r="AE1596" s="1762">
        <v>22.0</v>
      </c>
      <c r="AF1596" s="632">
        <f t="shared" si="115"/>
        <v>324</v>
      </c>
      <c r="AG1596" s="74" t="s">
        <v>9310</v>
      </c>
      <c r="AH1596" s="96" t="s">
        <v>127</v>
      </c>
      <c r="AI1596" s="74" t="s">
        <v>2435</v>
      </c>
      <c r="AJ1596" s="632">
        <v>0.01</v>
      </c>
      <c r="AK1596" s="92" t="s">
        <v>128</v>
      </c>
      <c r="AL1596" s="74" t="s">
        <v>129</v>
      </c>
      <c r="AM1596" s="80" t="s">
        <v>134</v>
      </c>
      <c r="AN1596" s="327" t="s">
        <v>131</v>
      </c>
      <c r="AO1596" s="632">
        <v>196.0</v>
      </c>
      <c r="AP1596" s="74" t="s">
        <v>9311</v>
      </c>
      <c r="AQ1596" s="74" t="s">
        <v>127</v>
      </c>
      <c r="AR1596" s="74" t="s">
        <v>9212</v>
      </c>
      <c r="AS1596" s="632">
        <v>0.01</v>
      </c>
      <c r="AT1596" s="92" t="s">
        <v>128</v>
      </c>
      <c r="AU1596" s="92" t="s">
        <v>129</v>
      </c>
      <c r="AV1596" s="91" t="s">
        <v>134</v>
      </c>
      <c r="AW1596" s="91"/>
      <c r="AX1596" s="91" t="s">
        <v>136</v>
      </c>
      <c r="AY1596" s="89"/>
      <c r="AZ1596" s="89"/>
    </row>
    <row r="1597">
      <c r="A1597" s="41">
        <v>1597.0</v>
      </c>
      <c r="B1597" s="70" t="s">
        <v>516</v>
      </c>
      <c r="C1597" s="70" t="s">
        <v>108</v>
      </c>
      <c r="D1597" s="70" t="s">
        <v>146</v>
      </c>
      <c r="E1597" s="71"/>
      <c r="F1597" s="91" t="s">
        <v>9274</v>
      </c>
      <c r="G1597" s="74" t="s">
        <v>9312</v>
      </c>
      <c r="H1597" s="74" t="s">
        <v>146</v>
      </c>
      <c r="I1597" s="850">
        <v>45478.0</v>
      </c>
      <c r="J1597" s="626">
        <v>45638.0</v>
      </c>
      <c r="K1597" s="73" t="s">
        <v>9292</v>
      </c>
      <c r="L1597" s="80"/>
      <c r="M1597" s="74" t="s">
        <v>9277</v>
      </c>
      <c r="N1597" s="74" t="s">
        <v>9278</v>
      </c>
      <c r="O1597" s="1001">
        <v>1.0</v>
      </c>
      <c r="P1597" s="928" t="s">
        <v>9279</v>
      </c>
      <c r="Q1597" s="49" t="str">
        <f t="array" ref="Q1597"> if(iserror(MATCH(V1597, 'File Links'!C:C, 0)), "N/A", HYPERLINK(INDEX('File Links'!B:B, MATCH(P1597, 'File Links'!C:C, 0))))</f>
        <v>https://drive.google.com/file/d/1EqvEPwgwndawziGmIPqgl3yNKOI51OAS/view?usp=drivesdk</v>
      </c>
      <c r="R1597" s="74" t="s">
        <v>9280</v>
      </c>
      <c r="S1597" s="74" t="s">
        <v>9281</v>
      </c>
      <c r="T1597" s="80"/>
      <c r="U1597" s="1002">
        <v>1.0</v>
      </c>
      <c r="V1597" s="195" t="str">
        <f t="shared" si="114"/>
        <v>10.18718--81781.23.pdf</v>
      </c>
      <c r="W1597" s="73" t="s">
        <v>2009</v>
      </c>
      <c r="X1597" s="51" t="str">
        <f t="array" ref="X1597"> if(iserror(MATCH(V1597, 'File Links'!C:C, 0)), "N/A", HYPERLINK(INDEX('File Links'!B:B, MATCH(V1597, 'File Links'!C:C, 0))))</f>
        <v>https://drive.google.com/file/d/1UFSIBKXNmPXd3__1cxrsTy9PbNax45wB/view?usp=drivesdk</v>
      </c>
      <c r="Y1597" s="80"/>
      <c r="Z1597" s="74" t="s">
        <v>1802</v>
      </c>
      <c r="AA1597" s="80" t="s">
        <v>9293</v>
      </c>
      <c r="AB1597" s="73" t="s">
        <v>9294</v>
      </c>
      <c r="AC1597" s="73" t="s">
        <v>9300</v>
      </c>
      <c r="AD1597" s="80" t="s">
        <v>9296</v>
      </c>
      <c r="AE1597" s="1762">
        <v>22.0</v>
      </c>
      <c r="AF1597" s="632">
        <f t="shared" si="115"/>
        <v>324</v>
      </c>
      <c r="AG1597" s="74" t="s">
        <v>9313</v>
      </c>
      <c r="AH1597" s="96" t="s">
        <v>127</v>
      </c>
      <c r="AI1597" s="74" t="s">
        <v>2434</v>
      </c>
      <c r="AJ1597" s="632">
        <v>0.01</v>
      </c>
      <c r="AK1597" s="92" t="s">
        <v>128</v>
      </c>
      <c r="AL1597" s="74" t="s">
        <v>129</v>
      </c>
      <c r="AM1597" s="80" t="s">
        <v>134</v>
      </c>
      <c r="AN1597" s="327" t="s">
        <v>131</v>
      </c>
      <c r="AO1597" s="632">
        <v>185.0</v>
      </c>
      <c r="AP1597" s="74" t="s">
        <v>9314</v>
      </c>
      <c r="AQ1597" s="74" t="s">
        <v>127</v>
      </c>
      <c r="AR1597" s="74" t="s">
        <v>1812</v>
      </c>
      <c r="AS1597" s="632">
        <v>0.01</v>
      </c>
      <c r="AT1597" s="92" t="s">
        <v>128</v>
      </c>
      <c r="AU1597" s="92" t="s">
        <v>129</v>
      </c>
      <c r="AV1597" s="91" t="s">
        <v>134</v>
      </c>
      <c r="AW1597" s="91"/>
      <c r="AX1597" s="91" t="s">
        <v>136</v>
      </c>
      <c r="AY1597" s="89"/>
      <c r="AZ1597" s="89"/>
    </row>
    <row r="1598">
      <c r="A1598" s="41">
        <v>1598.0</v>
      </c>
      <c r="B1598" s="70" t="s">
        <v>516</v>
      </c>
      <c r="C1598" s="70" t="s">
        <v>108</v>
      </c>
      <c r="D1598" s="70" t="s">
        <v>146</v>
      </c>
      <c r="E1598" s="71"/>
      <c r="F1598" s="91" t="s">
        <v>9274</v>
      </c>
      <c r="G1598" s="74" t="s">
        <v>9315</v>
      </c>
      <c r="H1598" s="74" t="s">
        <v>146</v>
      </c>
      <c r="I1598" s="850">
        <v>45478.0</v>
      </c>
      <c r="J1598" s="626">
        <v>45638.0</v>
      </c>
      <c r="K1598" s="73" t="s">
        <v>9292</v>
      </c>
      <c r="L1598" s="80"/>
      <c r="M1598" s="74" t="s">
        <v>9277</v>
      </c>
      <c r="N1598" s="74" t="s">
        <v>9278</v>
      </c>
      <c r="O1598" s="1001">
        <v>1.0</v>
      </c>
      <c r="P1598" s="928" t="s">
        <v>9279</v>
      </c>
      <c r="Q1598" s="49" t="str">
        <f t="array" ref="Q1598"> if(iserror(MATCH(V1598, 'File Links'!C:C, 0)), "N/A", HYPERLINK(INDEX('File Links'!B:B, MATCH(P1598, 'File Links'!C:C, 0))))</f>
        <v>https://drive.google.com/file/d/1EqvEPwgwndawziGmIPqgl3yNKOI51OAS/view?usp=drivesdk</v>
      </c>
      <c r="R1598" s="74" t="s">
        <v>9280</v>
      </c>
      <c r="S1598" s="74" t="s">
        <v>9281</v>
      </c>
      <c r="T1598" s="80"/>
      <c r="U1598" s="1002">
        <v>1.0</v>
      </c>
      <c r="V1598" s="195" t="str">
        <f t="shared" si="114"/>
        <v>10.18718--81781.23.pdf</v>
      </c>
      <c r="W1598" s="73" t="s">
        <v>2009</v>
      </c>
      <c r="X1598" s="51" t="str">
        <f t="array" ref="X1598"> if(iserror(MATCH(V1598, 'File Links'!C:C, 0)), "N/A", HYPERLINK(INDEX('File Links'!B:B, MATCH(V1598, 'File Links'!C:C, 0))))</f>
        <v>https://drive.google.com/file/d/1UFSIBKXNmPXd3__1cxrsTy9PbNax45wB/view?usp=drivesdk</v>
      </c>
      <c r="Y1598" s="80"/>
      <c r="Z1598" s="74" t="s">
        <v>1802</v>
      </c>
      <c r="AA1598" s="80" t="s">
        <v>9293</v>
      </c>
      <c r="AB1598" s="73" t="s">
        <v>9294</v>
      </c>
      <c r="AC1598" s="73" t="s">
        <v>9316</v>
      </c>
      <c r="AD1598" s="80" t="s">
        <v>9317</v>
      </c>
      <c r="AE1598" s="1762">
        <v>18.0</v>
      </c>
      <c r="AF1598" s="632">
        <f t="shared" si="115"/>
        <v>324</v>
      </c>
      <c r="AG1598" s="74" t="s">
        <v>9318</v>
      </c>
      <c r="AH1598" s="96" t="s">
        <v>127</v>
      </c>
      <c r="AI1598" s="74" t="s">
        <v>2435</v>
      </c>
      <c r="AJ1598" s="632">
        <v>0.01</v>
      </c>
      <c r="AK1598" s="92" t="s">
        <v>128</v>
      </c>
      <c r="AL1598" s="74" t="s">
        <v>129</v>
      </c>
      <c r="AM1598" s="80" t="s">
        <v>134</v>
      </c>
      <c r="AN1598" s="327" t="s">
        <v>131</v>
      </c>
      <c r="AO1598" s="632">
        <v>196.0</v>
      </c>
      <c r="AP1598" s="74" t="s">
        <v>9319</v>
      </c>
      <c r="AQ1598" s="74" t="s">
        <v>127</v>
      </c>
      <c r="AR1598" s="74" t="s">
        <v>3714</v>
      </c>
      <c r="AS1598" s="632">
        <v>0.05</v>
      </c>
      <c r="AT1598" s="92" t="s">
        <v>328</v>
      </c>
      <c r="AU1598" s="92" t="s">
        <v>129</v>
      </c>
      <c r="AV1598" s="91" t="s">
        <v>134</v>
      </c>
      <c r="AW1598" s="91"/>
      <c r="AX1598" s="91" t="s">
        <v>136</v>
      </c>
      <c r="AY1598" s="89"/>
      <c r="AZ1598" s="89"/>
    </row>
    <row r="1599">
      <c r="A1599" s="41">
        <v>1599.0</v>
      </c>
      <c r="B1599" s="70" t="s">
        <v>516</v>
      </c>
      <c r="C1599" s="70" t="s">
        <v>108</v>
      </c>
      <c r="D1599" s="70" t="s">
        <v>146</v>
      </c>
      <c r="E1599" s="71"/>
      <c r="F1599" s="91" t="s">
        <v>9274</v>
      </c>
      <c r="G1599" s="74" t="s">
        <v>9315</v>
      </c>
      <c r="H1599" s="74" t="s">
        <v>146</v>
      </c>
      <c r="I1599" s="850">
        <v>45478.0</v>
      </c>
      <c r="J1599" s="626">
        <v>45638.0</v>
      </c>
      <c r="K1599" s="73" t="s">
        <v>9292</v>
      </c>
      <c r="L1599" s="80"/>
      <c r="M1599" s="74" t="s">
        <v>9277</v>
      </c>
      <c r="N1599" s="74" t="s">
        <v>9278</v>
      </c>
      <c r="O1599" s="1001">
        <v>1.0</v>
      </c>
      <c r="P1599" s="928" t="s">
        <v>9279</v>
      </c>
      <c r="Q1599" s="49" t="str">
        <f t="array" ref="Q1599"> if(iserror(MATCH(V1599, 'File Links'!C:C, 0)), "N/A", HYPERLINK(INDEX('File Links'!B:B, MATCH(P1599, 'File Links'!C:C, 0))))</f>
        <v>https://drive.google.com/file/d/1EqvEPwgwndawziGmIPqgl3yNKOI51OAS/view?usp=drivesdk</v>
      </c>
      <c r="R1599" s="74" t="s">
        <v>9280</v>
      </c>
      <c r="S1599" s="74" t="s">
        <v>9281</v>
      </c>
      <c r="T1599" s="80"/>
      <c r="U1599" s="1002">
        <v>1.0</v>
      </c>
      <c r="V1599" s="195" t="str">
        <f t="shared" si="114"/>
        <v>10.18718--81781.23.pdf</v>
      </c>
      <c r="W1599" s="73" t="s">
        <v>2009</v>
      </c>
      <c r="X1599" s="51" t="str">
        <f t="array" ref="X1599"> if(iserror(MATCH(V1599, 'File Links'!C:C, 0)), "N/A", HYPERLINK(INDEX('File Links'!B:B, MATCH(V1599, 'File Links'!C:C, 0))))</f>
        <v>https://drive.google.com/file/d/1UFSIBKXNmPXd3__1cxrsTy9PbNax45wB/view?usp=drivesdk</v>
      </c>
      <c r="Y1599" s="80"/>
      <c r="Z1599" s="74" t="s">
        <v>1802</v>
      </c>
      <c r="AA1599" s="80" t="s">
        <v>9293</v>
      </c>
      <c r="AB1599" s="73" t="s">
        <v>9294</v>
      </c>
      <c r="AC1599" s="73" t="s">
        <v>9316</v>
      </c>
      <c r="AD1599" s="80" t="s">
        <v>9317</v>
      </c>
      <c r="AE1599" s="1762">
        <v>18.0</v>
      </c>
      <c r="AF1599" s="632">
        <f t="shared" si="115"/>
        <v>324</v>
      </c>
      <c r="AG1599" s="74" t="s">
        <v>9320</v>
      </c>
      <c r="AH1599" s="96" t="s">
        <v>127</v>
      </c>
      <c r="AI1599" s="74" t="s">
        <v>6328</v>
      </c>
      <c r="AJ1599" s="632">
        <v>0.05</v>
      </c>
      <c r="AK1599" s="92" t="s">
        <v>328</v>
      </c>
      <c r="AL1599" s="74" t="s">
        <v>129</v>
      </c>
      <c r="AM1599" s="80" t="s">
        <v>134</v>
      </c>
      <c r="AN1599" s="327" t="s">
        <v>131</v>
      </c>
      <c r="AO1599" s="632">
        <v>185.0</v>
      </c>
      <c r="AP1599" s="74" t="s">
        <v>9321</v>
      </c>
      <c r="AQ1599" s="74" t="s">
        <v>127</v>
      </c>
      <c r="AR1599" s="74" t="s">
        <v>7715</v>
      </c>
      <c r="AS1599" s="632">
        <v>0.05</v>
      </c>
      <c r="AT1599" s="92" t="s">
        <v>328</v>
      </c>
      <c r="AU1599" s="92" t="s">
        <v>129</v>
      </c>
      <c r="AV1599" s="91" t="s">
        <v>134</v>
      </c>
      <c r="AW1599" s="91"/>
      <c r="AX1599" s="91" t="s">
        <v>136</v>
      </c>
      <c r="AY1599" s="89"/>
      <c r="AZ1599" s="89"/>
    </row>
    <row r="1600">
      <c r="A1600" s="41">
        <v>1600.0</v>
      </c>
      <c r="B1600" s="70" t="s">
        <v>516</v>
      </c>
      <c r="C1600" s="70" t="s">
        <v>108</v>
      </c>
      <c r="D1600" s="70" t="s">
        <v>146</v>
      </c>
      <c r="E1600" s="71"/>
      <c r="F1600" s="91" t="s">
        <v>9274</v>
      </c>
      <c r="G1600" s="74" t="s">
        <v>9322</v>
      </c>
      <c r="H1600" s="74" t="s">
        <v>146</v>
      </c>
      <c r="I1600" s="850">
        <v>45478.0</v>
      </c>
      <c r="J1600" s="626">
        <v>45638.0</v>
      </c>
      <c r="K1600" s="73" t="s">
        <v>9292</v>
      </c>
      <c r="L1600" s="80"/>
      <c r="M1600" s="74" t="s">
        <v>9277</v>
      </c>
      <c r="N1600" s="74" t="s">
        <v>9278</v>
      </c>
      <c r="O1600" s="1001">
        <v>1.0</v>
      </c>
      <c r="P1600" s="928" t="s">
        <v>9279</v>
      </c>
      <c r="Q1600" s="49" t="str">
        <f t="array" ref="Q1600"> if(iserror(MATCH(V1600, 'File Links'!C:C, 0)), "N/A", HYPERLINK(INDEX('File Links'!B:B, MATCH(P1600, 'File Links'!C:C, 0))))</f>
        <v>https://drive.google.com/file/d/1EqvEPwgwndawziGmIPqgl3yNKOI51OAS/view?usp=drivesdk</v>
      </c>
      <c r="R1600" s="74" t="s">
        <v>9280</v>
      </c>
      <c r="S1600" s="74" t="s">
        <v>9281</v>
      </c>
      <c r="T1600" s="80"/>
      <c r="U1600" s="1002">
        <v>1.0</v>
      </c>
      <c r="V1600" s="195" t="str">
        <f t="shared" si="114"/>
        <v>10.18718--81781.23.pdf</v>
      </c>
      <c r="W1600" s="73" t="s">
        <v>2009</v>
      </c>
      <c r="X1600" s="51" t="str">
        <f t="array" ref="X1600"> if(iserror(MATCH(V1600, 'File Links'!C:C, 0)), "N/A", HYPERLINK(INDEX('File Links'!B:B, MATCH(V1600, 'File Links'!C:C, 0))))</f>
        <v>https://drive.google.com/file/d/1UFSIBKXNmPXd3__1cxrsTy9PbNax45wB/view?usp=drivesdk</v>
      </c>
      <c r="Y1600" s="80"/>
      <c r="Z1600" s="74" t="s">
        <v>1802</v>
      </c>
      <c r="AA1600" s="80" t="s">
        <v>9293</v>
      </c>
      <c r="AB1600" s="73" t="s">
        <v>9294</v>
      </c>
      <c r="AC1600" s="73" t="s">
        <v>9316</v>
      </c>
      <c r="AD1600" s="80" t="s">
        <v>9317</v>
      </c>
      <c r="AE1600" s="1762">
        <v>18.0</v>
      </c>
      <c r="AF1600" s="632">
        <f t="shared" si="115"/>
        <v>324</v>
      </c>
      <c r="AG1600" s="74" t="s">
        <v>9323</v>
      </c>
      <c r="AH1600" s="96" t="s">
        <v>127</v>
      </c>
      <c r="AI1600" s="74" t="s">
        <v>2435</v>
      </c>
      <c r="AJ1600" s="632">
        <v>0.1</v>
      </c>
      <c r="AK1600" s="92" t="s">
        <v>128</v>
      </c>
      <c r="AL1600" s="74" t="s">
        <v>129</v>
      </c>
      <c r="AM1600" s="80" t="s">
        <v>134</v>
      </c>
      <c r="AN1600" s="327" t="s">
        <v>131</v>
      </c>
      <c r="AO1600" s="632">
        <v>196.0</v>
      </c>
      <c r="AP1600" s="74" t="s">
        <v>9324</v>
      </c>
      <c r="AQ1600" s="74" t="s">
        <v>127</v>
      </c>
      <c r="AR1600" s="74" t="s">
        <v>2015</v>
      </c>
      <c r="AS1600" s="632">
        <v>0.05</v>
      </c>
      <c r="AT1600" s="92" t="s">
        <v>328</v>
      </c>
      <c r="AU1600" s="92" t="s">
        <v>129</v>
      </c>
      <c r="AV1600" s="91" t="s">
        <v>134</v>
      </c>
      <c r="AW1600" s="91"/>
      <c r="AX1600" s="91" t="s">
        <v>136</v>
      </c>
      <c r="AY1600" s="89"/>
      <c r="AZ1600" s="89"/>
    </row>
    <row r="1601">
      <c r="A1601" s="41">
        <v>1601.0</v>
      </c>
      <c r="B1601" s="70" t="s">
        <v>516</v>
      </c>
      <c r="C1601" s="70" t="s">
        <v>108</v>
      </c>
      <c r="D1601" s="70" t="s">
        <v>146</v>
      </c>
      <c r="E1601" s="71"/>
      <c r="F1601" s="91" t="s">
        <v>9274</v>
      </c>
      <c r="G1601" s="74" t="s">
        <v>9322</v>
      </c>
      <c r="H1601" s="74" t="s">
        <v>146</v>
      </c>
      <c r="I1601" s="850">
        <v>45478.0</v>
      </c>
      <c r="J1601" s="626">
        <v>45638.0</v>
      </c>
      <c r="K1601" s="73" t="s">
        <v>9292</v>
      </c>
      <c r="L1601" s="80"/>
      <c r="M1601" s="74" t="s">
        <v>9277</v>
      </c>
      <c r="N1601" s="74" t="s">
        <v>9278</v>
      </c>
      <c r="O1601" s="1001">
        <v>1.0</v>
      </c>
      <c r="P1601" s="928" t="s">
        <v>9279</v>
      </c>
      <c r="Q1601" s="49" t="str">
        <f t="array" ref="Q1601"> if(iserror(MATCH(V1601, 'File Links'!C:C, 0)), "N/A", HYPERLINK(INDEX('File Links'!B:B, MATCH(P1601, 'File Links'!C:C, 0))))</f>
        <v>https://drive.google.com/file/d/1EqvEPwgwndawziGmIPqgl3yNKOI51OAS/view?usp=drivesdk</v>
      </c>
      <c r="R1601" s="74" t="s">
        <v>9280</v>
      </c>
      <c r="S1601" s="74" t="s">
        <v>9281</v>
      </c>
      <c r="T1601" s="80"/>
      <c r="U1601" s="1002">
        <v>1.0</v>
      </c>
      <c r="V1601" s="195" t="str">
        <f t="shared" si="114"/>
        <v>10.18718--81781.23.pdf</v>
      </c>
      <c r="W1601" s="73" t="s">
        <v>2009</v>
      </c>
      <c r="X1601" s="51" t="str">
        <f t="array" ref="X1601"> if(iserror(MATCH(V1601, 'File Links'!C:C, 0)), "N/A", HYPERLINK(INDEX('File Links'!B:B, MATCH(V1601, 'File Links'!C:C, 0))))</f>
        <v>https://drive.google.com/file/d/1UFSIBKXNmPXd3__1cxrsTy9PbNax45wB/view?usp=drivesdk</v>
      </c>
      <c r="Y1601" s="80"/>
      <c r="Z1601" s="74" t="s">
        <v>1802</v>
      </c>
      <c r="AA1601" s="80" t="s">
        <v>9293</v>
      </c>
      <c r="AB1601" s="73" t="s">
        <v>9294</v>
      </c>
      <c r="AC1601" s="73" t="s">
        <v>9316</v>
      </c>
      <c r="AD1601" s="80" t="s">
        <v>9317</v>
      </c>
      <c r="AE1601" s="1762">
        <v>18.0</v>
      </c>
      <c r="AF1601" s="632">
        <f t="shared" si="115"/>
        <v>324</v>
      </c>
      <c r="AG1601" s="74" t="s">
        <v>9325</v>
      </c>
      <c r="AH1601" s="96" t="s">
        <v>127</v>
      </c>
      <c r="AI1601" s="74" t="s">
        <v>6328</v>
      </c>
      <c r="AJ1601" s="632">
        <v>0.1</v>
      </c>
      <c r="AK1601" s="92" t="s">
        <v>128</v>
      </c>
      <c r="AL1601" s="74" t="s">
        <v>129</v>
      </c>
      <c r="AM1601" s="80" t="s">
        <v>134</v>
      </c>
      <c r="AN1601" s="327" t="s">
        <v>131</v>
      </c>
      <c r="AO1601" s="632">
        <v>185.0</v>
      </c>
      <c r="AP1601" s="74" t="s">
        <v>9326</v>
      </c>
      <c r="AQ1601" s="74" t="s">
        <v>127</v>
      </c>
      <c r="AR1601" s="74" t="s">
        <v>1166</v>
      </c>
      <c r="AS1601" s="632">
        <v>0.05</v>
      </c>
      <c r="AT1601" s="92" t="s">
        <v>328</v>
      </c>
      <c r="AU1601" s="92" t="s">
        <v>129</v>
      </c>
      <c r="AV1601" s="91" t="s">
        <v>134</v>
      </c>
      <c r="AW1601" s="91"/>
      <c r="AX1601" s="91" t="s">
        <v>136</v>
      </c>
      <c r="AY1601" s="89"/>
      <c r="AZ1601" s="89"/>
    </row>
    <row r="1602">
      <c r="A1602" s="41">
        <v>1602.0</v>
      </c>
      <c r="B1602" s="70" t="s">
        <v>516</v>
      </c>
      <c r="C1602" s="70" t="s">
        <v>108</v>
      </c>
      <c r="D1602" s="70" t="s">
        <v>146</v>
      </c>
      <c r="E1602" s="71"/>
      <c r="F1602" s="91" t="s">
        <v>9274</v>
      </c>
      <c r="G1602" s="74" t="s">
        <v>9327</v>
      </c>
      <c r="H1602" s="74" t="s">
        <v>146</v>
      </c>
      <c r="I1602" s="850">
        <v>45478.0</v>
      </c>
      <c r="J1602" s="626">
        <v>45638.0</v>
      </c>
      <c r="K1602" s="73" t="s">
        <v>9292</v>
      </c>
      <c r="L1602" s="80"/>
      <c r="M1602" s="74" t="s">
        <v>9277</v>
      </c>
      <c r="N1602" s="74" t="s">
        <v>9278</v>
      </c>
      <c r="O1602" s="1001">
        <v>1.0</v>
      </c>
      <c r="P1602" s="928" t="s">
        <v>9279</v>
      </c>
      <c r="Q1602" s="49" t="str">
        <f t="array" ref="Q1602"> if(iserror(MATCH(V1602, 'File Links'!C:C, 0)), "N/A", HYPERLINK(INDEX('File Links'!B:B, MATCH(P1602, 'File Links'!C:C, 0))))</f>
        <v>https://drive.google.com/file/d/1EqvEPwgwndawziGmIPqgl3yNKOI51OAS/view?usp=drivesdk</v>
      </c>
      <c r="R1602" s="74" t="s">
        <v>9280</v>
      </c>
      <c r="S1602" s="74" t="s">
        <v>9281</v>
      </c>
      <c r="T1602" s="80"/>
      <c r="U1602" s="1002">
        <v>1.0</v>
      </c>
      <c r="V1602" s="195" t="str">
        <f t="shared" si="114"/>
        <v>10.18718--81781.23.pdf</v>
      </c>
      <c r="W1602" s="73" t="s">
        <v>2009</v>
      </c>
      <c r="X1602" s="51" t="str">
        <f t="array" ref="X1602"> if(iserror(MATCH(V1602, 'File Links'!C:C, 0)), "N/A", HYPERLINK(INDEX('File Links'!B:B, MATCH(V1602, 'File Links'!C:C, 0))))</f>
        <v>https://drive.google.com/file/d/1UFSIBKXNmPXd3__1cxrsTy9PbNax45wB/view?usp=drivesdk</v>
      </c>
      <c r="Y1602" s="80"/>
      <c r="Z1602" s="74" t="s">
        <v>1802</v>
      </c>
      <c r="AA1602" s="80" t="s">
        <v>9293</v>
      </c>
      <c r="AB1602" s="73" t="s">
        <v>9294</v>
      </c>
      <c r="AC1602" s="73" t="s">
        <v>9316</v>
      </c>
      <c r="AD1602" s="80" t="s">
        <v>9317</v>
      </c>
      <c r="AE1602" s="1762">
        <v>18.0</v>
      </c>
      <c r="AF1602" s="632">
        <f t="shared" si="115"/>
        <v>324</v>
      </c>
      <c r="AG1602" s="74" t="s">
        <v>9328</v>
      </c>
      <c r="AH1602" s="96" t="s">
        <v>127</v>
      </c>
      <c r="AI1602" s="74" t="s">
        <v>2435</v>
      </c>
      <c r="AJ1602" s="632">
        <v>0.1</v>
      </c>
      <c r="AK1602" s="92" t="s">
        <v>128</v>
      </c>
      <c r="AL1602" s="74" t="s">
        <v>129</v>
      </c>
      <c r="AM1602" s="80" t="s">
        <v>134</v>
      </c>
      <c r="AN1602" s="327" t="s">
        <v>131</v>
      </c>
      <c r="AO1602" s="632">
        <v>196.0</v>
      </c>
      <c r="AP1602" s="74" t="s">
        <v>9329</v>
      </c>
      <c r="AQ1602" s="74" t="s">
        <v>127</v>
      </c>
      <c r="AR1602" s="74" t="s">
        <v>9212</v>
      </c>
      <c r="AS1602" s="632">
        <v>0.05</v>
      </c>
      <c r="AT1602" s="92" t="s">
        <v>328</v>
      </c>
      <c r="AU1602" s="92" t="s">
        <v>129</v>
      </c>
      <c r="AV1602" s="91" t="s">
        <v>134</v>
      </c>
      <c r="AW1602" s="91"/>
      <c r="AX1602" s="91" t="s">
        <v>136</v>
      </c>
      <c r="AY1602" s="89"/>
      <c r="AZ1602" s="89"/>
    </row>
    <row r="1603">
      <c r="A1603" s="41">
        <v>1603.0</v>
      </c>
      <c r="B1603" s="70" t="s">
        <v>516</v>
      </c>
      <c r="C1603" s="70" t="s">
        <v>108</v>
      </c>
      <c r="D1603" s="70" t="s">
        <v>146</v>
      </c>
      <c r="E1603" s="71"/>
      <c r="F1603" s="91" t="s">
        <v>9274</v>
      </c>
      <c r="G1603" s="74" t="s">
        <v>9327</v>
      </c>
      <c r="H1603" s="74" t="s">
        <v>146</v>
      </c>
      <c r="I1603" s="850">
        <v>45478.0</v>
      </c>
      <c r="J1603" s="626">
        <v>45638.0</v>
      </c>
      <c r="K1603" s="73" t="s">
        <v>9292</v>
      </c>
      <c r="L1603" s="80"/>
      <c r="M1603" s="74" t="s">
        <v>9277</v>
      </c>
      <c r="N1603" s="74" t="s">
        <v>9278</v>
      </c>
      <c r="O1603" s="1001">
        <v>1.0</v>
      </c>
      <c r="P1603" s="928" t="s">
        <v>9279</v>
      </c>
      <c r="Q1603" s="49" t="str">
        <f t="array" ref="Q1603"> if(iserror(MATCH(V1603, 'File Links'!C:C, 0)), "N/A", HYPERLINK(INDEX('File Links'!B:B, MATCH(P1603, 'File Links'!C:C, 0))))</f>
        <v>https://drive.google.com/file/d/1EqvEPwgwndawziGmIPqgl3yNKOI51OAS/view?usp=drivesdk</v>
      </c>
      <c r="R1603" s="74" t="s">
        <v>9280</v>
      </c>
      <c r="S1603" s="74" t="s">
        <v>9281</v>
      </c>
      <c r="T1603" s="80"/>
      <c r="U1603" s="1002">
        <v>1.0</v>
      </c>
      <c r="V1603" s="195" t="str">
        <f t="shared" si="114"/>
        <v>10.18718--81781.23.pdf</v>
      </c>
      <c r="W1603" s="73" t="s">
        <v>2009</v>
      </c>
      <c r="X1603" s="51" t="str">
        <f t="array" ref="X1603"> if(iserror(MATCH(V1603, 'File Links'!C:C, 0)), "N/A", HYPERLINK(INDEX('File Links'!B:B, MATCH(V1603, 'File Links'!C:C, 0))))</f>
        <v>https://drive.google.com/file/d/1UFSIBKXNmPXd3__1cxrsTy9PbNax45wB/view?usp=drivesdk</v>
      </c>
      <c r="Y1603" s="80"/>
      <c r="Z1603" s="74" t="s">
        <v>1802</v>
      </c>
      <c r="AA1603" s="80" t="s">
        <v>9293</v>
      </c>
      <c r="AB1603" s="73" t="s">
        <v>9294</v>
      </c>
      <c r="AC1603" s="73" t="s">
        <v>9316</v>
      </c>
      <c r="AD1603" s="80" t="s">
        <v>9317</v>
      </c>
      <c r="AE1603" s="1762">
        <v>18.0</v>
      </c>
      <c r="AF1603" s="632">
        <f t="shared" si="115"/>
        <v>324</v>
      </c>
      <c r="AG1603" s="80" t="s">
        <v>9330</v>
      </c>
      <c r="AH1603" s="96" t="s">
        <v>127</v>
      </c>
      <c r="AI1603" s="74" t="s">
        <v>6328</v>
      </c>
      <c r="AJ1603" s="632">
        <v>0.1</v>
      </c>
      <c r="AK1603" s="92" t="s">
        <v>128</v>
      </c>
      <c r="AL1603" s="74" t="s">
        <v>129</v>
      </c>
      <c r="AM1603" s="80" t="s">
        <v>134</v>
      </c>
      <c r="AN1603" s="327" t="s">
        <v>131</v>
      </c>
      <c r="AO1603" s="632">
        <v>185.0</v>
      </c>
      <c r="AP1603" s="74" t="s">
        <v>9331</v>
      </c>
      <c r="AQ1603" s="74" t="s">
        <v>127</v>
      </c>
      <c r="AR1603" s="74" t="s">
        <v>1812</v>
      </c>
      <c r="AS1603" s="632">
        <v>0.05</v>
      </c>
      <c r="AT1603" s="92" t="s">
        <v>328</v>
      </c>
      <c r="AU1603" s="92" t="s">
        <v>129</v>
      </c>
      <c r="AV1603" s="91" t="s">
        <v>134</v>
      </c>
      <c r="AW1603" s="91"/>
      <c r="AX1603" s="91" t="s">
        <v>136</v>
      </c>
      <c r="AY1603" s="89"/>
      <c r="AZ1603" s="89"/>
    </row>
    <row r="1604">
      <c r="A1604" s="41">
        <v>1604.0</v>
      </c>
      <c r="B1604" s="70" t="s">
        <v>516</v>
      </c>
      <c r="C1604" s="70" t="s">
        <v>108</v>
      </c>
      <c r="D1604" s="70" t="s">
        <v>146</v>
      </c>
      <c r="E1604" s="71"/>
      <c r="F1604" s="91" t="s">
        <v>9274</v>
      </c>
      <c r="G1604" s="74" t="s">
        <v>9332</v>
      </c>
      <c r="H1604" s="74" t="s">
        <v>146</v>
      </c>
      <c r="I1604" s="850">
        <v>45478.0</v>
      </c>
      <c r="J1604" s="626">
        <v>45638.0</v>
      </c>
      <c r="K1604" s="73" t="s">
        <v>9292</v>
      </c>
      <c r="L1604" s="80"/>
      <c r="M1604" s="74" t="s">
        <v>9277</v>
      </c>
      <c r="N1604" s="74" t="s">
        <v>9278</v>
      </c>
      <c r="O1604" s="1001">
        <v>1.0</v>
      </c>
      <c r="P1604" s="928" t="s">
        <v>9279</v>
      </c>
      <c r="Q1604" s="49" t="str">
        <f t="array" ref="Q1604"> if(iserror(MATCH(V1604, 'File Links'!C:C, 0)), "N/A", HYPERLINK(INDEX('File Links'!B:B, MATCH(P1604, 'File Links'!C:C, 0))))</f>
        <v>https://drive.google.com/file/d/1EqvEPwgwndawziGmIPqgl3yNKOI51OAS/view?usp=drivesdk</v>
      </c>
      <c r="R1604" s="74" t="s">
        <v>9280</v>
      </c>
      <c r="S1604" s="74" t="s">
        <v>9281</v>
      </c>
      <c r="T1604" s="80"/>
      <c r="U1604" s="1002">
        <v>1.0</v>
      </c>
      <c r="V1604" s="195" t="str">
        <f t="shared" si="114"/>
        <v>10.18718--81781.23.pdf</v>
      </c>
      <c r="W1604" s="73" t="s">
        <v>2009</v>
      </c>
      <c r="X1604" s="51" t="str">
        <f t="array" ref="X1604"> if(iserror(MATCH(V1604, 'File Links'!C:C, 0)), "N/A", HYPERLINK(INDEX('File Links'!B:B, MATCH(V1604, 'File Links'!C:C, 0))))</f>
        <v>https://drive.google.com/file/d/1UFSIBKXNmPXd3__1cxrsTy9PbNax45wB/view?usp=drivesdk</v>
      </c>
      <c r="Y1604" s="80"/>
      <c r="Z1604" s="74" t="s">
        <v>1802</v>
      </c>
      <c r="AA1604" s="80" t="s">
        <v>9293</v>
      </c>
      <c r="AB1604" s="73" t="s">
        <v>9294</v>
      </c>
      <c r="AC1604" s="74" t="s">
        <v>9333</v>
      </c>
      <c r="AD1604" s="80" t="s">
        <v>9334</v>
      </c>
      <c r="AE1604" s="1762">
        <v>26.0</v>
      </c>
      <c r="AF1604" s="632">
        <f t="shared" si="115"/>
        <v>324</v>
      </c>
      <c r="AG1604" s="74" t="s">
        <v>9335</v>
      </c>
      <c r="AH1604" s="96" t="s">
        <v>127</v>
      </c>
      <c r="AI1604" s="74" t="s">
        <v>2435</v>
      </c>
      <c r="AJ1604" s="632">
        <v>0.05</v>
      </c>
      <c r="AK1604" s="92" t="s">
        <v>328</v>
      </c>
      <c r="AL1604" s="74" t="s">
        <v>129</v>
      </c>
      <c r="AM1604" s="80" t="s">
        <v>134</v>
      </c>
      <c r="AN1604" s="327" t="s">
        <v>131</v>
      </c>
      <c r="AO1604" s="632">
        <v>196.0</v>
      </c>
      <c r="AP1604" s="74" t="s">
        <v>9336</v>
      </c>
      <c r="AQ1604" s="74" t="s">
        <v>127</v>
      </c>
      <c r="AR1604" s="74" t="s">
        <v>3714</v>
      </c>
      <c r="AS1604" s="632">
        <v>0.05</v>
      </c>
      <c r="AT1604" s="92" t="s">
        <v>328</v>
      </c>
      <c r="AU1604" s="92" t="s">
        <v>129</v>
      </c>
      <c r="AV1604" s="91" t="s">
        <v>134</v>
      </c>
      <c r="AW1604" s="91"/>
      <c r="AX1604" s="91" t="s">
        <v>136</v>
      </c>
      <c r="AY1604" s="89"/>
      <c r="AZ1604" s="89"/>
    </row>
    <row r="1605">
      <c r="A1605" s="41">
        <v>1605.0</v>
      </c>
      <c r="B1605" s="70" t="s">
        <v>516</v>
      </c>
      <c r="C1605" s="70" t="s">
        <v>108</v>
      </c>
      <c r="D1605" s="70" t="s">
        <v>146</v>
      </c>
      <c r="E1605" s="71"/>
      <c r="F1605" s="91" t="s">
        <v>9274</v>
      </c>
      <c r="G1605" s="74" t="s">
        <v>9337</v>
      </c>
      <c r="H1605" s="74" t="s">
        <v>146</v>
      </c>
      <c r="I1605" s="850">
        <v>45478.0</v>
      </c>
      <c r="J1605" s="626">
        <v>45638.0</v>
      </c>
      <c r="K1605" s="73" t="s">
        <v>9292</v>
      </c>
      <c r="L1605" s="80"/>
      <c r="M1605" s="74" t="s">
        <v>9277</v>
      </c>
      <c r="N1605" s="74" t="s">
        <v>9278</v>
      </c>
      <c r="O1605" s="1001">
        <v>1.0</v>
      </c>
      <c r="P1605" s="928" t="s">
        <v>9279</v>
      </c>
      <c r="Q1605" s="49" t="str">
        <f t="array" ref="Q1605"> if(iserror(MATCH(V1605, 'File Links'!C:C, 0)), "N/A", HYPERLINK(INDEX('File Links'!B:B, MATCH(P1605, 'File Links'!C:C, 0))))</f>
        <v>https://drive.google.com/file/d/1EqvEPwgwndawziGmIPqgl3yNKOI51OAS/view?usp=drivesdk</v>
      </c>
      <c r="R1605" s="74" t="s">
        <v>9280</v>
      </c>
      <c r="S1605" s="74" t="s">
        <v>9281</v>
      </c>
      <c r="T1605" s="80"/>
      <c r="U1605" s="1002">
        <v>1.0</v>
      </c>
      <c r="V1605" s="195" t="str">
        <f t="shared" si="114"/>
        <v>10.18718--81781.23.pdf</v>
      </c>
      <c r="W1605" s="73" t="s">
        <v>2009</v>
      </c>
      <c r="X1605" s="51" t="str">
        <f t="array" ref="X1605"> if(iserror(MATCH(V1605, 'File Links'!C:C, 0)), "N/A", HYPERLINK(INDEX('File Links'!B:B, MATCH(V1605, 'File Links'!C:C, 0))))</f>
        <v>https://drive.google.com/file/d/1UFSIBKXNmPXd3__1cxrsTy9PbNax45wB/view?usp=drivesdk</v>
      </c>
      <c r="Y1605" s="80"/>
      <c r="Z1605" s="74" t="s">
        <v>1802</v>
      </c>
      <c r="AA1605" s="80" t="s">
        <v>9293</v>
      </c>
      <c r="AB1605" s="73" t="s">
        <v>9294</v>
      </c>
      <c r="AC1605" s="73" t="s">
        <v>9333</v>
      </c>
      <c r="AD1605" s="80" t="s">
        <v>9334</v>
      </c>
      <c r="AE1605" s="1762">
        <v>26.0</v>
      </c>
      <c r="AF1605" s="632">
        <f t="shared" si="115"/>
        <v>324</v>
      </c>
      <c r="AG1605" s="74" t="s">
        <v>9338</v>
      </c>
      <c r="AH1605" s="96" t="s">
        <v>127</v>
      </c>
      <c r="AI1605" s="74" t="s">
        <v>2434</v>
      </c>
      <c r="AJ1605" s="632">
        <v>0.05</v>
      </c>
      <c r="AK1605" s="92" t="s">
        <v>328</v>
      </c>
      <c r="AL1605" s="74" t="s">
        <v>129</v>
      </c>
      <c r="AM1605" s="80" t="s">
        <v>134</v>
      </c>
      <c r="AN1605" s="327" t="s">
        <v>131</v>
      </c>
      <c r="AO1605" s="632">
        <v>185.0</v>
      </c>
      <c r="AP1605" s="74" t="s">
        <v>9339</v>
      </c>
      <c r="AQ1605" s="74" t="s">
        <v>127</v>
      </c>
      <c r="AR1605" s="74" t="s">
        <v>7715</v>
      </c>
      <c r="AS1605" s="632">
        <v>0.05</v>
      </c>
      <c r="AT1605" s="92" t="s">
        <v>328</v>
      </c>
      <c r="AU1605" s="92" t="s">
        <v>129</v>
      </c>
      <c r="AV1605" s="91" t="s">
        <v>134</v>
      </c>
      <c r="AW1605" s="91"/>
      <c r="AX1605" s="91" t="s">
        <v>136</v>
      </c>
      <c r="AY1605" s="89"/>
      <c r="AZ1605" s="89"/>
    </row>
    <row r="1606">
      <c r="A1606" s="41">
        <v>1606.0</v>
      </c>
      <c r="B1606" s="70" t="s">
        <v>516</v>
      </c>
      <c r="C1606" s="70" t="s">
        <v>108</v>
      </c>
      <c r="D1606" s="70" t="s">
        <v>146</v>
      </c>
      <c r="E1606" s="71"/>
      <c r="F1606" s="91" t="s">
        <v>9274</v>
      </c>
      <c r="G1606" s="74" t="s">
        <v>9340</v>
      </c>
      <c r="H1606" s="74" t="s">
        <v>146</v>
      </c>
      <c r="I1606" s="850">
        <v>45478.0</v>
      </c>
      <c r="J1606" s="626">
        <v>45638.0</v>
      </c>
      <c r="K1606" s="73" t="s">
        <v>9292</v>
      </c>
      <c r="L1606" s="80"/>
      <c r="M1606" s="74" t="s">
        <v>9277</v>
      </c>
      <c r="N1606" s="74" t="s">
        <v>9278</v>
      </c>
      <c r="O1606" s="1001">
        <v>1.0</v>
      </c>
      <c r="P1606" s="928" t="s">
        <v>9279</v>
      </c>
      <c r="Q1606" s="49" t="str">
        <f t="array" ref="Q1606"> if(iserror(MATCH(V1606, 'File Links'!C:C, 0)), "N/A", HYPERLINK(INDEX('File Links'!B:B, MATCH(P1606, 'File Links'!C:C, 0))))</f>
        <v>https://drive.google.com/file/d/1EqvEPwgwndawziGmIPqgl3yNKOI51OAS/view?usp=drivesdk</v>
      </c>
      <c r="R1606" s="74" t="s">
        <v>9280</v>
      </c>
      <c r="S1606" s="74" t="s">
        <v>9281</v>
      </c>
      <c r="T1606" s="80"/>
      <c r="U1606" s="1002">
        <v>1.0</v>
      </c>
      <c r="V1606" s="195" t="str">
        <f t="shared" si="114"/>
        <v>10.18718--81781.23.pdf</v>
      </c>
      <c r="W1606" s="73" t="s">
        <v>2009</v>
      </c>
      <c r="X1606" s="51" t="str">
        <f t="array" ref="X1606"> if(iserror(MATCH(V1606, 'File Links'!C:C, 0)), "N/A", HYPERLINK(INDEX('File Links'!B:B, MATCH(V1606, 'File Links'!C:C, 0))))</f>
        <v>https://drive.google.com/file/d/1UFSIBKXNmPXd3__1cxrsTy9PbNax45wB/view?usp=drivesdk</v>
      </c>
      <c r="Y1606" s="80"/>
      <c r="Z1606" s="74" t="s">
        <v>1802</v>
      </c>
      <c r="AA1606" s="80" t="s">
        <v>9293</v>
      </c>
      <c r="AB1606" s="73" t="s">
        <v>9294</v>
      </c>
      <c r="AC1606" s="73" t="s">
        <v>9333</v>
      </c>
      <c r="AD1606" s="80" t="s">
        <v>9334</v>
      </c>
      <c r="AE1606" s="1762">
        <v>26.0</v>
      </c>
      <c r="AF1606" s="632">
        <f t="shared" si="115"/>
        <v>324</v>
      </c>
      <c r="AG1606" s="74" t="s">
        <v>9341</v>
      </c>
      <c r="AH1606" s="96" t="s">
        <v>127</v>
      </c>
      <c r="AI1606" s="74" t="s">
        <v>2435</v>
      </c>
      <c r="AJ1606" s="632">
        <v>0.05</v>
      </c>
      <c r="AK1606" s="92" t="s">
        <v>328</v>
      </c>
      <c r="AL1606" s="74" t="s">
        <v>129</v>
      </c>
      <c r="AM1606" s="80" t="s">
        <v>134</v>
      </c>
      <c r="AN1606" s="327" t="s">
        <v>131</v>
      </c>
      <c r="AO1606" s="632">
        <v>196.0</v>
      </c>
      <c r="AP1606" s="74" t="s">
        <v>9342</v>
      </c>
      <c r="AQ1606" s="74" t="s">
        <v>127</v>
      </c>
      <c r="AR1606" s="74" t="s">
        <v>2015</v>
      </c>
      <c r="AS1606" s="632">
        <v>0.05</v>
      </c>
      <c r="AT1606" s="92" t="s">
        <v>328</v>
      </c>
      <c r="AU1606" s="92" t="s">
        <v>129</v>
      </c>
      <c r="AV1606" s="91" t="s">
        <v>134</v>
      </c>
      <c r="AW1606" s="91"/>
      <c r="AX1606" s="91" t="s">
        <v>136</v>
      </c>
      <c r="AY1606" s="89"/>
      <c r="AZ1606" s="89"/>
    </row>
    <row r="1607">
      <c r="A1607" s="41">
        <v>1607.0</v>
      </c>
      <c r="B1607" s="70" t="s">
        <v>516</v>
      </c>
      <c r="C1607" s="70" t="s">
        <v>108</v>
      </c>
      <c r="D1607" s="70" t="s">
        <v>146</v>
      </c>
      <c r="E1607" s="71"/>
      <c r="F1607" s="91" t="s">
        <v>9274</v>
      </c>
      <c r="G1607" s="74" t="s">
        <v>9343</v>
      </c>
      <c r="H1607" s="74" t="s">
        <v>146</v>
      </c>
      <c r="I1607" s="850">
        <v>45478.0</v>
      </c>
      <c r="J1607" s="626">
        <v>45638.0</v>
      </c>
      <c r="K1607" s="73" t="s">
        <v>9292</v>
      </c>
      <c r="L1607" s="80"/>
      <c r="M1607" s="74" t="s">
        <v>9277</v>
      </c>
      <c r="N1607" s="74" t="s">
        <v>9278</v>
      </c>
      <c r="O1607" s="1001">
        <v>1.0</v>
      </c>
      <c r="P1607" s="928" t="s">
        <v>9279</v>
      </c>
      <c r="Q1607" s="49" t="str">
        <f t="array" ref="Q1607"> if(iserror(MATCH(V1607, 'File Links'!C:C, 0)), "N/A", HYPERLINK(INDEX('File Links'!B:B, MATCH(P1607, 'File Links'!C:C, 0))))</f>
        <v>https://drive.google.com/file/d/1EqvEPwgwndawziGmIPqgl3yNKOI51OAS/view?usp=drivesdk</v>
      </c>
      <c r="R1607" s="74" t="s">
        <v>9280</v>
      </c>
      <c r="S1607" s="74" t="s">
        <v>9281</v>
      </c>
      <c r="T1607" s="80"/>
      <c r="U1607" s="1002">
        <v>1.0</v>
      </c>
      <c r="V1607" s="195" t="str">
        <f t="shared" si="114"/>
        <v>10.18718--81781.23.pdf</v>
      </c>
      <c r="W1607" s="73" t="s">
        <v>2009</v>
      </c>
      <c r="X1607" s="51" t="str">
        <f t="array" ref="X1607"> if(iserror(MATCH(V1607, 'File Links'!C:C, 0)), "N/A", HYPERLINK(INDEX('File Links'!B:B, MATCH(V1607, 'File Links'!C:C, 0))))</f>
        <v>https://drive.google.com/file/d/1UFSIBKXNmPXd3__1cxrsTy9PbNax45wB/view?usp=drivesdk</v>
      </c>
      <c r="Y1607" s="80"/>
      <c r="Z1607" s="74" t="s">
        <v>1802</v>
      </c>
      <c r="AA1607" s="80" t="s">
        <v>9293</v>
      </c>
      <c r="AB1607" s="73" t="s">
        <v>9294</v>
      </c>
      <c r="AC1607" s="73" t="s">
        <v>9333</v>
      </c>
      <c r="AD1607" s="80" t="s">
        <v>9334</v>
      </c>
      <c r="AE1607" s="1762">
        <v>26.0</v>
      </c>
      <c r="AF1607" s="632">
        <f t="shared" si="115"/>
        <v>324</v>
      </c>
      <c r="AG1607" s="74" t="s">
        <v>9344</v>
      </c>
      <c r="AH1607" s="96" t="s">
        <v>127</v>
      </c>
      <c r="AI1607" s="74" t="s">
        <v>2434</v>
      </c>
      <c r="AJ1607" s="632">
        <v>0.05</v>
      </c>
      <c r="AK1607" s="92" t="s">
        <v>328</v>
      </c>
      <c r="AL1607" s="74" t="s">
        <v>129</v>
      </c>
      <c r="AM1607" s="80" t="s">
        <v>134</v>
      </c>
      <c r="AN1607" s="327" t="s">
        <v>131</v>
      </c>
      <c r="AO1607" s="632">
        <v>185.0</v>
      </c>
      <c r="AP1607" s="74" t="s">
        <v>9345</v>
      </c>
      <c r="AQ1607" s="74" t="s">
        <v>127</v>
      </c>
      <c r="AR1607" s="74" t="s">
        <v>1166</v>
      </c>
      <c r="AS1607" s="632">
        <v>0.05</v>
      </c>
      <c r="AT1607" s="92" t="s">
        <v>328</v>
      </c>
      <c r="AU1607" s="92" t="s">
        <v>129</v>
      </c>
      <c r="AV1607" s="91" t="s">
        <v>134</v>
      </c>
      <c r="AW1607" s="91"/>
      <c r="AX1607" s="91" t="s">
        <v>136</v>
      </c>
      <c r="AY1607" s="89"/>
      <c r="AZ1607" s="89"/>
    </row>
    <row r="1608">
      <c r="A1608" s="41">
        <v>1608.0</v>
      </c>
      <c r="B1608" s="70" t="s">
        <v>516</v>
      </c>
      <c r="C1608" s="70" t="s">
        <v>108</v>
      </c>
      <c r="D1608" s="70" t="s">
        <v>146</v>
      </c>
      <c r="E1608" s="71"/>
      <c r="F1608" s="91" t="s">
        <v>9274</v>
      </c>
      <c r="G1608" s="74" t="s">
        <v>9346</v>
      </c>
      <c r="H1608" s="74" t="s">
        <v>146</v>
      </c>
      <c r="I1608" s="850">
        <v>45478.0</v>
      </c>
      <c r="J1608" s="626">
        <v>45638.0</v>
      </c>
      <c r="K1608" s="73" t="s">
        <v>9292</v>
      </c>
      <c r="L1608" s="80"/>
      <c r="M1608" s="74" t="s">
        <v>9277</v>
      </c>
      <c r="N1608" s="74" t="s">
        <v>9278</v>
      </c>
      <c r="O1608" s="1001">
        <v>1.0</v>
      </c>
      <c r="P1608" s="928" t="s">
        <v>9279</v>
      </c>
      <c r="Q1608" s="49" t="str">
        <f t="array" ref="Q1608"> if(iserror(MATCH(V1608, 'File Links'!C:C, 0)), "N/A", HYPERLINK(INDEX('File Links'!B:B, MATCH(P1608, 'File Links'!C:C, 0))))</f>
        <v>https://drive.google.com/file/d/1EqvEPwgwndawziGmIPqgl3yNKOI51OAS/view?usp=drivesdk</v>
      </c>
      <c r="R1608" s="74" t="s">
        <v>9280</v>
      </c>
      <c r="S1608" s="74" t="s">
        <v>9281</v>
      </c>
      <c r="T1608" s="80"/>
      <c r="U1608" s="1002">
        <v>1.0</v>
      </c>
      <c r="V1608" s="195" t="str">
        <f t="shared" si="114"/>
        <v>10.18718--81781.23.pdf</v>
      </c>
      <c r="W1608" s="73" t="s">
        <v>2009</v>
      </c>
      <c r="X1608" s="51" t="str">
        <f t="array" ref="X1608"> if(iserror(MATCH(V1608, 'File Links'!C:C, 0)), "N/A", HYPERLINK(INDEX('File Links'!B:B, MATCH(V1608, 'File Links'!C:C, 0))))</f>
        <v>https://drive.google.com/file/d/1UFSIBKXNmPXd3__1cxrsTy9PbNax45wB/view?usp=drivesdk</v>
      </c>
      <c r="Y1608" s="80"/>
      <c r="Z1608" s="74" t="s">
        <v>1802</v>
      </c>
      <c r="AA1608" s="80" t="s">
        <v>9293</v>
      </c>
      <c r="AB1608" s="73" t="s">
        <v>9294</v>
      </c>
      <c r="AC1608" s="73" t="s">
        <v>9347</v>
      </c>
      <c r="AD1608" s="80" t="s">
        <v>9348</v>
      </c>
      <c r="AE1608" s="1762">
        <v>26.0</v>
      </c>
      <c r="AF1608" s="632">
        <f t="shared" si="115"/>
        <v>324</v>
      </c>
      <c r="AG1608" s="80" t="s">
        <v>9349</v>
      </c>
      <c r="AH1608" s="96" t="s">
        <v>127</v>
      </c>
      <c r="AI1608" s="74" t="s">
        <v>2435</v>
      </c>
      <c r="AJ1608" s="632">
        <v>0.05</v>
      </c>
      <c r="AK1608" s="92" t="s">
        <v>328</v>
      </c>
      <c r="AL1608" s="74" t="s">
        <v>129</v>
      </c>
      <c r="AM1608" s="80" t="s">
        <v>134</v>
      </c>
      <c r="AN1608" s="327" t="s">
        <v>131</v>
      </c>
      <c r="AO1608" s="632">
        <v>196.0</v>
      </c>
      <c r="AP1608" s="74" t="s">
        <v>9350</v>
      </c>
      <c r="AQ1608" s="74" t="s">
        <v>127</v>
      </c>
      <c r="AR1608" s="74" t="s">
        <v>9212</v>
      </c>
      <c r="AS1608" s="632">
        <v>0.05</v>
      </c>
      <c r="AT1608" s="92" t="s">
        <v>328</v>
      </c>
      <c r="AU1608" s="92" t="s">
        <v>129</v>
      </c>
      <c r="AV1608" s="91" t="s">
        <v>134</v>
      </c>
      <c r="AW1608" s="91"/>
      <c r="AX1608" s="91" t="s">
        <v>136</v>
      </c>
      <c r="AY1608" s="89"/>
      <c r="AZ1608" s="89"/>
    </row>
    <row r="1609">
      <c r="A1609" s="41">
        <v>1609.0</v>
      </c>
      <c r="B1609" s="70" t="s">
        <v>516</v>
      </c>
      <c r="C1609" s="70" t="s">
        <v>108</v>
      </c>
      <c r="D1609" s="70" t="s">
        <v>146</v>
      </c>
      <c r="E1609" s="71"/>
      <c r="F1609" s="91" t="s">
        <v>9274</v>
      </c>
      <c r="G1609" s="74" t="s">
        <v>9351</v>
      </c>
      <c r="H1609" s="74" t="s">
        <v>146</v>
      </c>
      <c r="I1609" s="850">
        <v>45478.0</v>
      </c>
      <c r="J1609" s="626">
        <v>45638.0</v>
      </c>
      <c r="K1609" s="73" t="s">
        <v>9292</v>
      </c>
      <c r="L1609" s="80"/>
      <c r="M1609" s="74" t="s">
        <v>9277</v>
      </c>
      <c r="N1609" s="74" t="s">
        <v>9278</v>
      </c>
      <c r="O1609" s="1001">
        <v>1.0</v>
      </c>
      <c r="P1609" s="928" t="s">
        <v>9279</v>
      </c>
      <c r="Q1609" s="49" t="str">
        <f t="array" ref="Q1609"> if(iserror(MATCH(V1609, 'File Links'!C:C, 0)), "N/A", HYPERLINK(INDEX('File Links'!B:B, MATCH(P1609, 'File Links'!C:C, 0))))</f>
        <v>https://drive.google.com/file/d/1EqvEPwgwndawziGmIPqgl3yNKOI51OAS/view?usp=drivesdk</v>
      </c>
      <c r="R1609" s="74" t="s">
        <v>9280</v>
      </c>
      <c r="S1609" s="74" t="s">
        <v>9281</v>
      </c>
      <c r="T1609" s="80"/>
      <c r="U1609" s="1002">
        <v>1.0</v>
      </c>
      <c r="V1609" s="195" t="str">
        <f t="shared" si="114"/>
        <v>10.18718--81781.23.pdf</v>
      </c>
      <c r="W1609" s="73" t="s">
        <v>2009</v>
      </c>
      <c r="X1609" s="51" t="str">
        <f t="array" ref="X1609"> if(iserror(MATCH(V1609, 'File Links'!C:C, 0)), "N/A", HYPERLINK(INDEX('File Links'!B:B, MATCH(V1609, 'File Links'!C:C, 0))))</f>
        <v>https://drive.google.com/file/d/1UFSIBKXNmPXd3__1cxrsTy9PbNax45wB/view?usp=drivesdk</v>
      </c>
      <c r="Y1609" s="80"/>
      <c r="Z1609" s="74" t="s">
        <v>1802</v>
      </c>
      <c r="AA1609" s="80" t="s">
        <v>9293</v>
      </c>
      <c r="AB1609" s="73" t="s">
        <v>9294</v>
      </c>
      <c r="AC1609" s="73" t="s">
        <v>9347</v>
      </c>
      <c r="AD1609" s="80" t="s">
        <v>9348</v>
      </c>
      <c r="AE1609" s="1762">
        <v>26.0</v>
      </c>
      <c r="AF1609" s="632">
        <f t="shared" si="115"/>
        <v>324</v>
      </c>
      <c r="AG1609" s="74" t="s">
        <v>9352</v>
      </c>
      <c r="AH1609" s="96" t="s">
        <v>127</v>
      </c>
      <c r="AI1609" s="74" t="s">
        <v>2434</v>
      </c>
      <c r="AJ1609" s="632">
        <v>0.05</v>
      </c>
      <c r="AK1609" s="92" t="s">
        <v>328</v>
      </c>
      <c r="AL1609" s="74" t="s">
        <v>129</v>
      </c>
      <c r="AM1609" s="80" t="s">
        <v>134</v>
      </c>
      <c r="AN1609" s="327" t="s">
        <v>131</v>
      </c>
      <c r="AO1609" s="632">
        <v>185.0</v>
      </c>
      <c r="AP1609" s="74" t="s">
        <v>9353</v>
      </c>
      <c r="AQ1609" s="74" t="s">
        <v>127</v>
      </c>
      <c r="AR1609" s="74" t="s">
        <v>1812</v>
      </c>
      <c r="AS1609" s="632">
        <v>0.05</v>
      </c>
      <c r="AT1609" s="92" t="s">
        <v>328</v>
      </c>
      <c r="AU1609" s="92" t="s">
        <v>129</v>
      </c>
      <c r="AV1609" s="91" t="s">
        <v>134</v>
      </c>
      <c r="AW1609" s="91"/>
      <c r="AX1609" s="91" t="s">
        <v>136</v>
      </c>
      <c r="AY1609" s="89"/>
      <c r="AZ1609" s="89"/>
    </row>
    <row r="1610">
      <c r="A1610" s="41">
        <v>1610.0</v>
      </c>
      <c r="B1610" s="70" t="s">
        <v>516</v>
      </c>
      <c r="C1610" s="70" t="s">
        <v>108</v>
      </c>
      <c r="D1610" s="70" t="s">
        <v>146</v>
      </c>
      <c r="E1610" s="71"/>
      <c r="F1610" s="91" t="s">
        <v>9274</v>
      </c>
      <c r="G1610" s="74" t="s">
        <v>9354</v>
      </c>
      <c r="H1610" s="74" t="s">
        <v>146</v>
      </c>
      <c r="I1610" s="850">
        <v>45478.0</v>
      </c>
      <c r="J1610" s="626">
        <v>45638.0</v>
      </c>
      <c r="K1610" s="73" t="s">
        <v>9292</v>
      </c>
      <c r="L1610" s="80"/>
      <c r="M1610" s="74" t="s">
        <v>9277</v>
      </c>
      <c r="N1610" s="74" t="s">
        <v>9278</v>
      </c>
      <c r="O1610" s="1001">
        <v>1.0</v>
      </c>
      <c r="P1610" s="928" t="s">
        <v>9279</v>
      </c>
      <c r="Q1610" s="49" t="str">
        <f t="array" ref="Q1610"> if(iserror(MATCH(V1610, 'File Links'!C:C, 0)), "N/A", HYPERLINK(INDEX('File Links'!B:B, MATCH(P1610, 'File Links'!C:C, 0))))</f>
        <v>https://drive.google.com/file/d/1EqvEPwgwndawziGmIPqgl3yNKOI51OAS/view?usp=drivesdk</v>
      </c>
      <c r="R1610" s="74" t="s">
        <v>9280</v>
      </c>
      <c r="S1610" s="74" t="s">
        <v>9281</v>
      </c>
      <c r="T1610" s="80"/>
      <c r="U1610" s="1002">
        <v>1.0</v>
      </c>
      <c r="V1610" s="195" t="str">
        <f t="shared" si="114"/>
        <v>10.18718--81781.23.pdf</v>
      </c>
      <c r="W1610" s="73" t="s">
        <v>2009</v>
      </c>
      <c r="X1610" s="51" t="str">
        <f t="array" ref="X1610"> if(iserror(MATCH(V1610, 'File Links'!C:C, 0)), "N/A", HYPERLINK(INDEX('File Links'!B:B, MATCH(V1610, 'File Links'!C:C, 0))))</f>
        <v>https://drive.google.com/file/d/1UFSIBKXNmPXd3__1cxrsTy9PbNax45wB/view?usp=drivesdk</v>
      </c>
      <c r="Y1610" s="80"/>
      <c r="Z1610" s="74" t="s">
        <v>1802</v>
      </c>
      <c r="AA1610" s="80" t="s">
        <v>9293</v>
      </c>
      <c r="AB1610" s="73" t="s">
        <v>9294</v>
      </c>
      <c r="AC1610" s="74" t="s">
        <v>9355</v>
      </c>
      <c r="AD1610" s="80" t="s">
        <v>9334</v>
      </c>
      <c r="AE1610" s="1762">
        <v>26.0</v>
      </c>
      <c r="AF1610" s="632">
        <f t="shared" si="115"/>
        <v>324</v>
      </c>
      <c r="AG1610" s="74" t="s">
        <v>9356</v>
      </c>
      <c r="AH1610" s="96" t="s">
        <v>127</v>
      </c>
      <c r="AI1610" s="74" t="s">
        <v>2435</v>
      </c>
      <c r="AJ1610" s="632">
        <v>0.05</v>
      </c>
      <c r="AK1610" s="92" t="s">
        <v>128</v>
      </c>
      <c r="AL1610" s="74" t="s">
        <v>129</v>
      </c>
      <c r="AM1610" s="80" t="s">
        <v>134</v>
      </c>
      <c r="AN1610" s="327" t="s">
        <v>131</v>
      </c>
      <c r="AO1610" s="632">
        <v>196.0</v>
      </c>
      <c r="AP1610" s="74" t="s">
        <v>9357</v>
      </c>
      <c r="AQ1610" s="74" t="s">
        <v>127</v>
      </c>
      <c r="AR1610" s="74" t="s">
        <v>3714</v>
      </c>
      <c r="AS1610" s="632">
        <v>0.05</v>
      </c>
      <c r="AT1610" s="92" t="s">
        <v>328</v>
      </c>
      <c r="AU1610" s="92" t="s">
        <v>129</v>
      </c>
      <c r="AV1610" s="91" t="s">
        <v>134</v>
      </c>
      <c r="AW1610" s="91"/>
      <c r="AX1610" s="91" t="s">
        <v>136</v>
      </c>
      <c r="AY1610" s="89"/>
      <c r="AZ1610" s="89"/>
    </row>
    <row r="1611">
      <c r="A1611" s="41">
        <v>1611.0</v>
      </c>
      <c r="B1611" s="70" t="s">
        <v>516</v>
      </c>
      <c r="C1611" s="70" t="s">
        <v>108</v>
      </c>
      <c r="D1611" s="70" t="s">
        <v>146</v>
      </c>
      <c r="E1611" s="71"/>
      <c r="F1611" s="91" t="s">
        <v>9274</v>
      </c>
      <c r="G1611" s="74" t="s">
        <v>9358</v>
      </c>
      <c r="H1611" s="74" t="s">
        <v>146</v>
      </c>
      <c r="I1611" s="850">
        <v>45478.0</v>
      </c>
      <c r="J1611" s="626">
        <v>45638.0</v>
      </c>
      <c r="K1611" s="73" t="s">
        <v>9292</v>
      </c>
      <c r="L1611" s="80"/>
      <c r="M1611" s="74" t="s">
        <v>9277</v>
      </c>
      <c r="N1611" s="74" t="s">
        <v>9278</v>
      </c>
      <c r="O1611" s="1001">
        <v>1.0</v>
      </c>
      <c r="P1611" s="928" t="s">
        <v>9279</v>
      </c>
      <c r="Q1611" s="49" t="str">
        <f t="array" ref="Q1611"> if(iserror(MATCH(V1611, 'File Links'!C:C, 0)), "N/A", HYPERLINK(INDEX('File Links'!B:B, MATCH(P1611, 'File Links'!C:C, 0))))</f>
        <v>https://drive.google.com/file/d/1EqvEPwgwndawziGmIPqgl3yNKOI51OAS/view?usp=drivesdk</v>
      </c>
      <c r="R1611" s="74" t="s">
        <v>9280</v>
      </c>
      <c r="S1611" s="74" t="s">
        <v>9281</v>
      </c>
      <c r="T1611" s="80"/>
      <c r="U1611" s="1002">
        <v>1.0</v>
      </c>
      <c r="V1611" s="195" t="str">
        <f t="shared" si="114"/>
        <v>10.18718--81781.23.pdf</v>
      </c>
      <c r="W1611" s="73" t="s">
        <v>2009</v>
      </c>
      <c r="X1611" s="51" t="str">
        <f t="array" ref="X1611"> if(iserror(MATCH(V1611, 'File Links'!C:C, 0)), "N/A", HYPERLINK(INDEX('File Links'!B:B, MATCH(V1611, 'File Links'!C:C, 0))))</f>
        <v>https://drive.google.com/file/d/1UFSIBKXNmPXd3__1cxrsTy9PbNax45wB/view?usp=drivesdk</v>
      </c>
      <c r="Y1611" s="80"/>
      <c r="Z1611" s="74" t="s">
        <v>1802</v>
      </c>
      <c r="AA1611" s="80" t="s">
        <v>9293</v>
      </c>
      <c r="AB1611" s="73" t="s">
        <v>9294</v>
      </c>
      <c r="AC1611" s="73" t="s">
        <v>9355</v>
      </c>
      <c r="AD1611" s="80" t="s">
        <v>9334</v>
      </c>
      <c r="AE1611" s="1762">
        <v>26.0</v>
      </c>
      <c r="AF1611" s="632">
        <f t="shared" si="115"/>
        <v>324</v>
      </c>
      <c r="AG1611" s="74" t="s">
        <v>9359</v>
      </c>
      <c r="AH1611" s="96" t="s">
        <v>127</v>
      </c>
      <c r="AI1611" s="74" t="s">
        <v>2434</v>
      </c>
      <c r="AJ1611" s="632">
        <v>0.05</v>
      </c>
      <c r="AK1611" s="92" t="s">
        <v>328</v>
      </c>
      <c r="AL1611" s="74" t="s">
        <v>129</v>
      </c>
      <c r="AM1611" s="80" t="s">
        <v>134</v>
      </c>
      <c r="AN1611" s="327" t="s">
        <v>131</v>
      </c>
      <c r="AO1611" s="632">
        <v>185.0</v>
      </c>
      <c r="AP1611" s="74" t="s">
        <v>9360</v>
      </c>
      <c r="AQ1611" s="74" t="s">
        <v>127</v>
      </c>
      <c r="AR1611" s="74" t="s">
        <v>7715</v>
      </c>
      <c r="AS1611" s="632">
        <v>0.05</v>
      </c>
      <c r="AT1611" s="92" t="s">
        <v>328</v>
      </c>
      <c r="AU1611" s="92" t="s">
        <v>129</v>
      </c>
      <c r="AV1611" s="91" t="s">
        <v>134</v>
      </c>
      <c r="AW1611" s="91"/>
      <c r="AX1611" s="91" t="s">
        <v>136</v>
      </c>
      <c r="AY1611" s="89"/>
      <c r="AZ1611" s="89"/>
    </row>
    <row r="1612">
      <c r="A1612" s="41">
        <v>1612.0</v>
      </c>
      <c r="B1612" s="70" t="s">
        <v>516</v>
      </c>
      <c r="C1612" s="70" t="s">
        <v>108</v>
      </c>
      <c r="D1612" s="70" t="s">
        <v>146</v>
      </c>
      <c r="E1612" s="71"/>
      <c r="F1612" s="91" t="s">
        <v>9274</v>
      </c>
      <c r="G1612" s="74" t="s">
        <v>9361</v>
      </c>
      <c r="H1612" s="74" t="s">
        <v>146</v>
      </c>
      <c r="I1612" s="850">
        <v>45478.0</v>
      </c>
      <c r="J1612" s="626">
        <v>45638.0</v>
      </c>
      <c r="K1612" s="73" t="s">
        <v>9292</v>
      </c>
      <c r="L1612" s="80"/>
      <c r="M1612" s="74" t="s">
        <v>9277</v>
      </c>
      <c r="N1612" s="74" t="s">
        <v>9278</v>
      </c>
      <c r="O1612" s="1001">
        <v>1.0</v>
      </c>
      <c r="P1612" s="928" t="s">
        <v>9279</v>
      </c>
      <c r="Q1612" s="49" t="str">
        <f t="array" ref="Q1612"> if(iserror(MATCH(V1612, 'File Links'!C:C, 0)), "N/A", HYPERLINK(INDEX('File Links'!B:B, MATCH(P1612, 'File Links'!C:C, 0))))</f>
        <v>https://drive.google.com/file/d/1EqvEPwgwndawziGmIPqgl3yNKOI51OAS/view?usp=drivesdk</v>
      </c>
      <c r="R1612" s="74" t="s">
        <v>9280</v>
      </c>
      <c r="S1612" s="74" t="s">
        <v>9281</v>
      </c>
      <c r="T1612" s="80"/>
      <c r="U1612" s="1002">
        <v>1.0</v>
      </c>
      <c r="V1612" s="195" t="str">
        <f t="shared" si="114"/>
        <v>10.18718--81781.23.pdf</v>
      </c>
      <c r="W1612" s="73" t="s">
        <v>2009</v>
      </c>
      <c r="X1612" s="51" t="str">
        <f t="array" ref="X1612"> if(iserror(MATCH(V1612, 'File Links'!C:C, 0)), "N/A", HYPERLINK(INDEX('File Links'!B:B, MATCH(V1612, 'File Links'!C:C, 0))))</f>
        <v>https://drive.google.com/file/d/1UFSIBKXNmPXd3__1cxrsTy9PbNax45wB/view?usp=drivesdk</v>
      </c>
      <c r="Y1612" s="80"/>
      <c r="Z1612" s="74" t="s">
        <v>1802</v>
      </c>
      <c r="AA1612" s="80" t="s">
        <v>9293</v>
      </c>
      <c r="AB1612" s="73" t="s">
        <v>9294</v>
      </c>
      <c r="AC1612" s="73" t="s">
        <v>9355</v>
      </c>
      <c r="AD1612" s="80" t="s">
        <v>9334</v>
      </c>
      <c r="AE1612" s="1762">
        <v>26.0</v>
      </c>
      <c r="AF1612" s="632">
        <f t="shared" si="115"/>
        <v>324</v>
      </c>
      <c r="AG1612" s="74" t="s">
        <v>9362</v>
      </c>
      <c r="AH1612" s="96" t="s">
        <v>127</v>
      </c>
      <c r="AI1612" s="74" t="s">
        <v>2435</v>
      </c>
      <c r="AJ1612" s="632">
        <v>0.01</v>
      </c>
      <c r="AK1612" s="92" t="s">
        <v>128</v>
      </c>
      <c r="AL1612" s="74" t="s">
        <v>129</v>
      </c>
      <c r="AM1612" s="80" t="s">
        <v>134</v>
      </c>
      <c r="AN1612" s="327" t="s">
        <v>131</v>
      </c>
      <c r="AO1612" s="632">
        <v>196.0</v>
      </c>
      <c r="AP1612" s="74" t="s">
        <v>9363</v>
      </c>
      <c r="AQ1612" s="74" t="s">
        <v>127</v>
      </c>
      <c r="AR1612" s="74" t="s">
        <v>2015</v>
      </c>
      <c r="AS1612" s="632">
        <v>0.05</v>
      </c>
      <c r="AT1612" s="92" t="s">
        <v>328</v>
      </c>
      <c r="AU1612" s="92" t="s">
        <v>129</v>
      </c>
      <c r="AV1612" s="91" t="s">
        <v>134</v>
      </c>
      <c r="AW1612" s="91"/>
      <c r="AX1612" s="91" t="s">
        <v>136</v>
      </c>
      <c r="AY1612" s="89"/>
      <c r="AZ1612" s="89"/>
    </row>
    <row r="1613">
      <c r="A1613" s="41">
        <v>1613.0</v>
      </c>
      <c r="B1613" s="70" t="s">
        <v>516</v>
      </c>
      <c r="C1613" s="70" t="s">
        <v>108</v>
      </c>
      <c r="D1613" s="70" t="s">
        <v>146</v>
      </c>
      <c r="E1613" s="71"/>
      <c r="F1613" s="91" t="s">
        <v>9274</v>
      </c>
      <c r="G1613" s="74" t="s">
        <v>9364</v>
      </c>
      <c r="H1613" s="74" t="s">
        <v>146</v>
      </c>
      <c r="I1613" s="850">
        <v>45478.0</v>
      </c>
      <c r="J1613" s="626">
        <v>45638.0</v>
      </c>
      <c r="K1613" s="73" t="s">
        <v>9292</v>
      </c>
      <c r="L1613" s="80"/>
      <c r="M1613" s="74" t="s">
        <v>9277</v>
      </c>
      <c r="N1613" s="74" t="s">
        <v>9278</v>
      </c>
      <c r="O1613" s="1001">
        <v>1.0</v>
      </c>
      <c r="P1613" s="928" t="s">
        <v>9279</v>
      </c>
      <c r="Q1613" s="49" t="str">
        <f t="array" ref="Q1613"> if(iserror(MATCH(V1613, 'File Links'!C:C, 0)), "N/A", HYPERLINK(INDEX('File Links'!B:B, MATCH(P1613, 'File Links'!C:C, 0))))</f>
        <v>https://drive.google.com/file/d/1EqvEPwgwndawziGmIPqgl3yNKOI51OAS/view?usp=drivesdk</v>
      </c>
      <c r="R1613" s="74" t="s">
        <v>9280</v>
      </c>
      <c r="S1613" s="74" t="s">
        <v>9281</v>
      </c>
      <c r="T1613" s="80"/>
      <c r="U1613" s="1002">
        <v>1.0</v>
      </c>
      <c r="V1613" s="195" t="str">
        <f t="shared" si="114"/>
        <v>10.18718--81781.23.pdf</v>
      </c>
      <c r="W1613" s="73" t="s">
        <v>2009</v>
      </c>
      <c r="X1613" s="51" t="str">
        <f t="array" ref="X1613"> if(iserror(MATCH(V1613, 'File Links'!C:C, 0)), "N/A", HYPERLINK(INDEX('File Links'!B:B, MATCH(V1613, 'File Links'!C:C, 0))))</f>
        <v>https://drive.google.com/file/d/1UFSIBKXNmPXd3__1cxrsTy9PbNax45wB/view?usp=drivesdk</v>
      </c>
      <c r="Y1613" s="80"/>
      <c r="Z1613" s="74" t="s">
        <v>1802</v>
      </c>
      <c r="AA1613" s="80" t="s">
        <v>9293</v>
      </c>
      <c r="AB1613" s="73" t="s">
        <v>9294</v>
      </c>
      <c r="AC1613" s="73" t="s">
        <v>9355</v>
      </c>
      <c r="AD1613" s="80" t="s">
        <v>9334</v>
      </c>
      <c r="AE1613" s="1762">
        <v>26.0</v>
      </c>
      <c r="AF1613" s="632">
        <f t="shared" si="115"/>
        <v>324</v>
      </c>
      <c r="AG1613" s="74" t="s">
        <v>9365</v>
      </c>
      <c r="AH1613" s="96" t="s">
        <v>127</v>
      </c>
      <c r="AI1613" s="74" t="s">
        <v>2434</v>
      </c>
      <c r="AJ1613" s="632">
        <v>0.05</v>
      </c>
      <c r="AK1613" s="92" t="s">
        <v>328</v>
      </c>
      <c r="AL1613" s="74" t="s">
        <v>129</v>
      </c>
      <c r="AM1613" s="80" t="s">
        <v>134</v>
      </c>
      <c r="AN1613" s="327" t="s">
        <v>131</v>
      </c>
      <c r="AO1613" s="632">
        <v>185.0</v>
      </c>
      <c r="AP1613" s="74" t="s">
        <v>9366</v>
      </c>
      <c r="AQ1613" s="74" t="s">
        <v>127</v>
      </c>
      <c r="AR1613" s="74" t="s">
        <v>1166</v>
      </c>
      <c r="AS1613" s="632">
        <v>0.05</v>
      </c>
      <c r="AT1613" s="92" t="s">
        <v>328</v>
      </c>
      <c r="AU1613" s="92" t="s">
        <v>129</v>
      </c>
      <c r="AV1613" s="91" t="s">
        <v>134</v>
      </c>
      <c r="AW1613" s="91"/>
      <c r="AX1613" s="91" t="s">
        <v>136</v>
      </c>
      <c r="AY1613" s="89"/>
      <c r="AZ1613" s="89"/>
    </row>
    <row r="1614">
      <c r="A1614" s="41">
        <v>1614.0</v>
      </c>
      <c r="B1614" s="70" t="s">
        <v>516</v>
      </c>
      <c r="C1614" s="70" t="s">
        <v>108</v>
      </c>
      <c r="D1614" s="70" t="s">
        <v>146</v>
      </c>
      <c r="E1614" s="71"/>
      <c r="F1614" s="91" t="s">
        <v>9274</v>
      </c>
      <c r="G1614" s="74" t="s">
        <v>9367</v>
      </c>
      <c r="H1614" s="74" t="s">
        <v>146</v>
      </c>
      <c r="I1614" s="850">
        <v>45478.0</v>
      </c>
      <c r="J1614" s="626">
        <v>45638.0</v>
      </c>
      <c r="K1614" s="73" t="s">
        <v>9292</v>
      </c>
      <c r="L1614" s="80"/>
      <c r="M1614" s="74" t="s">
        <v>9277</v>
      </c>
      <c r="N1614" s="74" t="s">
        <v>9278</v>
      </c>
      <c r="O1614" s="1001">
        <v>1.0</v>
      </c>
      <c r="P1614" s="928" t="s">
        <v>9279</v>
      </c>
      <c r="Q1614" s="49" t="str">
        <f t="array" ref="Q1614"> if(iserror(MATCH(V1614, 'File Links'!C:C, 0)), "N/A", HYPERLINK(INDEX('File Links'!B:B, MATCH(P1614, 'File Links'!C:C, 0))))</f>
        <v>https://drive.google.com/file/d/1EqvEPwgwndawziGmIPqgl3yNKOI51OAS/view?usp=drivesdk</v>
      </c>
      <c r="R1614" s="74" t="s">
        <v>9280</v>
      </c>
      <c r="S1614" s="74" t="s">
        <v>9281</v>
      </c>
      <c r="T1614" s="80"/>
      <c r="U1614" s="1002">
        <v>1.0</v>
      </c>
      <c r="V1614" s="195" t="str">
        <f t="shared" si="114"/>
        <v>10.18718--81781.23.pdf</v>
      </c>
      <c r="W1614" s="73" t="s">
        <v>2009</v>
      </c>
      <c r="X1614" s="51" t="str">
        <f t="array" ref="X1614"> if(iserror(MATCH(V1614, 'File Links'!C:C, 0)), "N/A", HYPERLINK(INDEX('File Links'!B:B, MATCH(V1614, 'File Links'!C:C, 0))))</f>
        <v>https://drive.google.com/file/d/1UFSIBKXNmPXd3__1cxrsTy9PbNax45wB/view?usp=drivesdk</v>
      </c>
      <c r="Y1614" s="80"/>
      <c r="Z1614" s="74" t="s">
        <v>1802</v>
      </c>
      <c r="AA1614" s="80" t="s">
        <v>9293</v>
      </c>
      <c r="AB1614" s="73" t="s">
        <v>9294</v>
      </c>
      <c r="AC1614" s="73" t="s">
        <v>9368</v>
      </c>
      <c r="AD1614" s="80" t="s">
        <v>9348</v>
      </c>
      <c r="AE1614" s="1762">
        <v>26.0</v>
      </c>
      <c r="AF1614" s="632">
        <f t="shared" si="115"/>
        <v>324</v>
      </c>
      <c r="AG1614" s="80" t="s">
        <v>9369</v>
      </c>
      <c r="AH1614" s="96" t="s">
        <v>127</v>
      </c>
      <c r="AI1614" s="74" t="s">
        <v>2435</v>
      </c>
      <c r="AJ1614" s="632">
        <v>0.05</v>
      </c>
      <c r="AK1614" s="92" t="s">
        <v>328</v>
      </c>
      <c r="AL1614" s="74" t="s">
        <v>129</v>
      </c>
      <c r="AM1614" s="80" t="s">
        <v>134</v>
      </c>
      <c r="AN1614" s="327" t="s">
        <v>131</v>
      </c>
      <c r="AO1614" s="632">
        <v>196.0</v>
      </c>
      <c r="AP1614" s="74" t="s">
        <v>9370</v>
      </c>
      <c r="AQ1614" s="74" t="s">
        <v>127</v>
      </c>
      <c r="AR1614" s="74" t="s">
        <v>9212</v>
      </c>
      <c r="AS1614" s="632">
        <v>0.05</v>
      </c>
      <c r="AT1614" s="92" t="s">
        <v>328</v>
      </c>
      <c r="AU1614" s="92" t="s">
        <v>129</v>
      </c>
      <c r="AV1614" s="91" t="s">
        <v>134</v>
      </c>
      <c r="AW1614" s="91"/>
      <c r="AX1614" s="91" t="s">
        <v>136</v>
      </c>
      <c r="AY1614" s="89"/>
      <c r="AZ1614" s="89"/>
    </row>
    <row r="1615">
      <c r="A1615" s="41">
        <v>1615.0</v>
      </c>
      <c r="B1615" s="70" t="s">
        <v>516</v>
      </c>
      <c r="C1615" s="70" t="s">
        <v>108</v>
      </c>
      <c r="D1615" s="70" t="s">
        <v>146</v>
      </c>
      <c r="E1615" s="71"/>
      <c r="F1615" s="91" t="s">
        <v>9274</v>
      </c>
      <c r="G1615" s="74" t="s">
        <v>9371</v>
      </c>
      <c r="H1615" s="74" t="s">
        <v>146</v>
      </c>
      <c r="I1615" s="850">
        <v>45478.0</v>
      </c>
      <c r="J1615" s="626">
        <v>45638.0</v>
      </c>
      <c r="K1615" s="73" t="s">
        <v>9292</v>
      </c>
      <c r="L1615" s="80"/>
      <c r="M1615" s="74" t="s">
        <v>9277</v>
      </c>
      <c r="N1615" s="74" t="s">
        <v>9278</v>
      </c>
      <c r="O1615" s="1001">
        <v>1.0</v>
      </c>
      <c r="P1615" s="928" t="s">
        <v>9279</v>
      </c>
      <c r="Q1615" s="49" t="str">
        <f t="array" ref="Q1615"> if(iserror(MATCH(V1615, 'File Links'!C:C, 0)), "N/A", HYPERLINK(INDEX('File Links'!B:B, MATCH(P1615, 'File Links'!C:C, 0))))</f>
        <v>https://drive.google.com/file/d/1EqvEPwgwndawziGmIPqgl3yNKOI51OAS/view?usp=drivesdk</v>
      </c>
      <c r="R1615" s="74" t="s">
        <v>9280</v>
      </c>
      <c r="S1615" s="74" t="s">
        <v>9281</v>
      </c>
      <c r="T1615" s="80"/>
      <c r="U1615" s="1002">
        <v>1.0</v>
      </c>
      <c r="V1615" s="195" t="str">
        <f t="shared" si="114"/>
        <v>10.18718--81781.23.pdf</v>
      </c>
      <c r="W1615" s="73" t="s">
        <v>2009</v>
      </c>
      <c r="X1615" s="51" t="str">
        <f t="array" ref="X1615"> if(iserror(MATCH(V1615, 'File Links'!C:C, 0)), "N/A", HYPERLINK(INDEX('File Links'!B:B, MATCH(V1615, 'File Links'!C:C, 0))))</f>
        <v>https://drive.google.com/file/d/1UFSIBKXNmPXd3__1cxrsTy9PbNax45wB/view?usp=drivesdk</v>
      </c>
      <c r="Y1615" s="80"/>
      <c r="Z1615" s="74" t="s">
        <v>1802</v>
      </c>
      <c r="AA1615" s="80" t="s">
        <v>9293</v>
      </c>
      <c r="AB1615" s="73" t="s">
        <v>9294</v>
      </c>
      <c r="AC1615" s="73" t="s">
        <v>9368</v>
      </c>
      <c r="AD1615" s="80" t="s">
        <v>9348</v>
      </c>
      <c r="AE1615" s="1762">
        <v>26.0</v>
      </c>
      <c r="AF1615" s="632">
        <f t="shared" si="115"/>
        <v>324</v>
      </c>
      <c r="AG1615" s="74" t="s">
        <v>9372</v>
      </c>
      <c r="AH1615" s="96" t="s">
        <v>127</v>
      </c>
      <c r="AI1615" s="74" t="s">
        <v>2434</v>
      </c>
      <c r="AJ1615" s="632">
        <v>0.05</v>
      </c>
      <c r="AK1615" s="92" t="s">
        <v>328</v>
      </c>
      <c r="AL1615" s="74" t="s">
        <v>129</v>
      </c>
      <c r="AM1615" s="80" t="s">
        <v>134</v>
      </c>
      <c r="AN1615" s="327" t="s">
        <v>131</v>
      </c>
      <c r="AO1615" s="632">
        <v>185.0</v>
      </c>
      <c r="AP1615" s="74" t="s">
        <v>9373</v>
      </c>
      <c r="AQ1615" s="74" t="s">
        <v>127</v>
      </c>
      <c r="AR1615" s="74" t="s">
        <v>1812</v>
      </c>
      <c r="AS1615" s="632">
        <v>0.05</v>
      </c>
      <c r="AT1615" s="92" t="s">
        <v>328</v>
      </c>
      <c r="AU1615" s="92" t="s">
        <v>129</v>
      </c>
      <c r="AV1615" s="91" t="s">
        <v>134</v>
      </c>
      <c r="AW1615" s="91"/>
      <c r="AX1615" s="91" t="s">
        <v>136</v>
      </c>
      <c r="AY1615" s="89"/>
      <c r="AZ1615" s="89"/>
    </row>
    <row r="1616">
      <c r="A1616" s="41">
        <v>1616.0</v>
      </c>
      <c r="B1616" s="70" t="s">
        <v>516</v>
      </c>
      <c r="C1616" s="70" t="s">
        <v>108</v>
      </c>
      <c r="D1616" s="70" t="s">
        <v>146</v>
      </c>
      <c r="E1616" s="71"/>
      <c r="F1616" s="91" t="s">
        <v>9274</v>
      </c>
      <c r="G1616" s="74" t="s">
        <v>9374</v>
      </c>
      <c r="H1616" s="74" t="s">
        <v>146</v>
      </c>
      <c r="I1616" s="850">
        <v>45478.0</v>
      </c>
      <c r="J1616" s="626">
        <v>45638.0</v>
      </c>
      <c r="K1616" s="73" t="s">
        <v>9292</v>
      </c>
      <c r="L1616" s="80"/>
      <c r="M1616" s="74" t="s">
        <v>9277</v>
      </c>
      <c r="N1616" s="74" t="s">
        <v>9278</v>
      </c>
      <c r="O1616" s="1001">
        <v>1.0</v>
      </c>
      <c r="P1616" s="928" t="s">
        <v>9279</v>
      </c>
      <c r="Q1616" s="49" t="str">
        <f t="array" ref="Q1616"> if(iserror(MATCH(V1616, 'File Links'!C:C, 0)), "N/A", HYPERLINK(INDEX('File Links'!B:B, MATCH(P1616, 'File Links'!C:C, 0))))</f>
        <v>https://drive.google.com/file/d/1EqvEPwgwndawziGmIPqgl3yNKOI51OAS/view?usp=drivesdk</v>
      </c>
      <c r="R1616" s="74" t="s">
        <v>9280</v>
      </c>
      <c r="S1616" s="74" t="s">
        <v>9281</v>
      </c>
      <c r="T1616" s="80"/>
      <c r="U1616" s="1002">
        <v>1.0</v>
      </c>
      <c r="V1616" s="195" t="str">
        <f t="shared" si="114"/>
        <v>10.18718--81781.23.pdf</v>
      </c>
      <c r="W1616" s="73" t="s">
        <v>2009</v>
      </c>
      <c r="X1616" s="51" t="str">
        <f t="array" ref="X1616"> if(iserror(MATCH(V1616, 'File Links'!C:C, 0)), "N/A", HYPERLINK(INDEX('File Links'!B:B, MATCH(V1616, 'File Links'!C:C, 0))))</f>
        <v>https://drive.google.com/file/d/1UFSIBKXNmPXd3__1cxrsTy9PbNax45wB/view?usp=drivesdk</v>
      </c>
      <c r="Y1616" s="80"/>
      <c r="Z1616" s="74" t="s">
        <v>1802</v>
      </c>
      <c r="AA1616" s="80" t="s">
        <v>9293</v>
      </c>
      <c r="AB1616" s="73" t="s">
        <v>9294</v>
      </c>
      <c r="AC1616" s="73" t="s">
        <v>9375</v>
      </c>
      <c r="AD1616" s="80" t="s">
        <v>9376</v>
      </c>
      <c r="AE1616" s="1762" t="s">
        <v>9377</v>
      </c>
      <c r="AF1616" s="632">
        <f t="shared" si="115"/>
        <v>324</v>
      </c>
      <c r="AG1616" s="98" t="s">
        <v>9378</v>
      </c>
      <c r="AH1616" s="96" t="s">
        <v>127</v>
      </c>
      <c r="AI1616" s="74" t="s">
        <v>2434</v>
      </c>
      <c r="AJ1616" s="632">
        <v>0.426</v>
      </c>
      <c r="AK1616" s="92" t="s">
        <v>165</v>
      </c>
      <c r="AL1616" s="74" t="s">
        <v>211</v>
      </c>
      <c r="AM1616" s="80" t="s">
        <v>130</v>
      </c>
      <c r="AN1616" s="327" t="s">
        <v>131</v>
      </c>
      <c r="AO1616" s="632">
        <v>196.0</v>
      </c>
      <c r="AP1616" s="98" t="s">
        <v>9379</v>
      </c>
      <c r="AQ1616" s="74" t="s">
        <v>127</v>
      </c>
      <c r="AR1616" s="74" t="s">
        <v>3714</v>
      </c>
      <c r="AS1616" s="632">
        <v>0.9</v>
      </c>
      <c r="AT1616" s="92" t="s">
        <v>165</v>
      </c>
      <c r="AU1616" s="92" t="s">
        <v>211</v>
      </c>
      <c r="AV1616" s="91" t="s">
        <v>130</v>
      </c>
      <c r="AW1616" s="91"/>
      <c r="AX1616" s="91" t="s">
        <v>136</v>
      </c>
      <c r="AY1616" s="89"/>
      <c r="AZ1616" s="89"/>
    </row>
    <row r="1617">
      <c r="A1617" s="41">
        <v>1617.0</v>
      </c>
      <c r="B1617" s="70" t="s">
        <v>516</v>
      </c>
      <c r="C1617" s="70" t="s">
        <v>108</v>
      </c>
      <c r="D1617" s="70" t="s">
        <v>146</v>
      </c>
      <c r="E1617" s="71"/>
      <c r="F1617" s="91" t="s">
        <v>9274</v>
      </c>
      <c r="G1617" s="74" t="s">
        <v>9380</v>
      </c>
      <c r="H1617" s="74" t="s">
        <v>146</v>
      </c>
      <c r="I1617" s="850">
        <v>45478.0</v>
      </c>
      <c r="J1617" s="626">
        <v>45638.0</v>
      </c>
      <c r="K1617" s="73" t="s">
        <v>9292</v>
      </c>
      <c r="L1617" s="80"/>
      <c r="M1617" s="74" t="s">
        <v>9277</v>
      </c>
      <c r="N1617" s="74" t="s">
        <v>9278</v>
      </c>
      <c r="O1617" s="1001">
        <v>1.0</v>
      </c>
      <c r="P1617" s="928" t="s">
        <v>9279</v>
      </c>
      <c r="Q1617" s="49" t="str">
        <f t="array" ref="Q1617"> if(iserror(MATCH(V1617, 'File Links'!C:C, 0)), "N/A", HYPERLINK(INDEX('File Links'!B:B, MATCH(P1617, 'File Links'!C:C, 0))))</f>
        <v>https://drive.google.com/file/d/1EqvEPwgwndawziGmIPqgl3yNKOI51OAS/view?usp=drivesdk</v>
      </c>
      <c r="R1617" s="74" t="s">
        <v>9280</v>
      </c>
      <c r="S1617" s="74" t="s">
        <v>9281</v>
      </c>
      <c r="T1617" s="80"/>
      <c r="U1617" s="1002">
        <v>1.0</v>
      </c>
      <c r="V1617" s="195" t="str">
        <f t="shared" si="114"/>
        <v>10.18718--81781.23.pdf</v>
      </c>
      <c r="W1617" s="73" t="s">
        <v>2009</v>
      </c>
      <c r="X1617" s="51" t="str">
        <f t="array" ref="X1617"> if(iserror(MATCH(V1617, 'File Links'!C:C, 0)), "N/A", HYPERLINK(INDEX('File Links'!B:B, MATCH(V1617, 'File Links'!C:C, 0))))</f>
        <v>https://drive.google.com/file/d/1UFSIBKXNmPXd3__1cxrsTy9PbNax45wB/view?usp=drivesdk</v>
      </c>
      <c r="Y1617" s="80"/>
      <c r="Z1617" s="74" t="s">
        <v>1802</v>
      </c>
      <c r="AA1617" s="80" t="s">
        <v>9293</v>
      </c>
      <c r="AB1617" s="73" t="s">
        <v>9294</v>
      </c>
      <c r="AC1617" s="73" t="s">
        <v>9375</v>
      </c>
      <c r="AD1617" s="80" t="s">
        <v>9376</v>
      </c>
      <c r="AE1617" s="1762" t="s">
        <v>9377</v>
      </c>
      <c r="AF1617" s="632">
        <f t="shared" si="115"/>
        <v>324</v>
      </c>
      <c r="AG1617" s="98" t="s">
        <v>9381</v>
      </c>
      <c r="AH1617" s="96" t="s">
        <v>127</v>
      </c>
      <c r="AI1617" s="74" t="s">
        <v>6328</v>
      </c>
      <c r="AJ1617" s="632">
        <v>0.418</v>
      </c>
      <c r="AK1617" s="92" t="s">
        <v>165</v>
      </c>
      <c r="AL1617" s="74" t="s">
        <v>211</v>
      </c>
      <c r="AM1617" s="80" t="s">
        <v>130</v>
      </c>
      <c r="AN1617" s="327" t="s">
        <v>131</v>
      </c>
      <c r="AO1617" s="632">
        <v>185.0</v>
      </c>
      <c r="AP1617" s="98" t="s">
        <v>9382</v>
      </c>
      <c r="AQ1617" s="74" t="s">
        <v>127</v>
      </c>
      <c r="AR1617" s="74" t="s">
        <v>7715</v>
      </c>
      <c r="AS1617" s="632">
        <v>0.988</v>
      </c>
      <c r="AT1617" s="92" t="s">
        <v>165</v>
      </c>
      <c r="AU1617" s="92" t="s">
        <v>211</v>
      </c>
      <c r="AV1617" s="91" t="s">
        <v>130</v>
      </c>
      <c r="AW1617" s="91"/>
      <c r="AX1617" s="91" t="s">
        <v>136</v>
      </c>
      <c r="AY1617" s="89"/>
      <c r="AZ1617" s="89"/>
    </row>
    <row r="1618">
      <c r="A1618" s="41">
        <v>1618.0</v>
      </c>
      <c r="B1618" s="70" t="s">
        <v>516</v>
      </c>
      <c r="C1618" s="70" t="s">
        <v>108</v>
      </c>
      <c r="D1618" s="70" t="s">
        <v>146</v>
      </c>
      <c r="E1618" s="71"/>
      <c r="F1618" s="91" t="s">
        <v>9274</v>
      </c>
      <c r="G1618" s="74" t="s">
        <v>9383</v>
      </c>
      <c r="H1618" s="74" t="s">
        <v>146</v>
      </c>
      <c r="I1618" s="850">
        <v>45478.0</v>
      </c>
      <c r="J1618" s="626">
        <v>45638.0</v>
      </c>
      <c r="K1618" s="73" t="s">
        <v>9292</v>
      </c>
      <c r="L1618" s="80"/>
      <c r="M1618" s="74" t="s">
        <v>9277</v>
      </c>
      <c r="N1618" s="74" t="s">
        <v>9278</v>
      </c>
      <c r="O1618" s="1001">
        <v>1.0</v>
      </c>
      <c r="P1618" s="928" t="s">
        <v>9279</v>
      </c>
      <c r="Q1618" s="49" t="str">
        <f t="array" ref="Q1618"> if(iserror(MATCH(V1618, 'File Links'!C:C, 0)), "N/A", HYPERLINK(INDEX('File Links'!B:B, MATCH(P1618, 'File Links'!C:C, 0))))</f>
        <v>https://drive.google.com/file/d/1EqvEPwgwndawziGmIPqgl3yNKOI51OAS/view?usp=drivesdk</v>
      </c>
      <c r="R1618" s="74" t="s">
        <v>9280</v>
      </c>
      <c r="S1618" s="74" t="s">
        <v>9281</v>
      </c>
      <c r="T1618" s="80"/>
      <c r="U1618" s="1002">
        <v>1.0</v>
      </c>
      <c r="V1618" s="195" t="str">
        <f t="shared" si="114"/>
        <v>10.18718--81781.23.pdf</v>
      </c>
      <c r="W1618" s="73" t="s">
        <v>2009</v>
      </c>
      <c r="X1618" s="51" t="str">
        <f t="array" ref="X1618"> if(iserror(MATCH(V1618, 'File Links'!C:C, 0)), "N/A", HYPERLINK(INDEX('File Links'!B:B, MATCH(V1618, 'File Links'!C:C, 0))))</f>
        <v>https://drive.google.com/file/d/1UFSIBKXNmPXd3__1cxrsTy9PbNax45wB/view?usp=drivesdk</v>
      </c>
      <c r="Y1618" s="80"/>
      <c r="Z1618" s="74" t="s">
        <v>1802</v>
      </c>
      <c r="AA1618" s="80" t="s">
        <v>9293</v>
      </c>
      <c r="AB1618" s="73" t="s">
        <v>9294</v>
      </c>
      <c r="AC1618" s="73" t="s">
        <v>9375</v>
      </c>
      <c r="AD1618" s="80" t="s">
        <v>9376</v>
      </c>
      <c r="AE1618" s="1762" t="s">
        <v>9377</v>
      </c>
      <c r="AF1618" s="632">
        <f t="shared" si="115"/>
        <v>324</v>
      </c>
      <c r="AG1618" s="98" t="s">
        <v>9384</v>
      </c>
      <c r="AH1618" s="96" t="s">
        <v>127</v>
      </c>
      <c r="AI1618" s="74" t="s">
        <v>2434</v>
      </c>
      <c r="AJ1618" s="1762">
        <v>0.575</v>
      </c>
      <c r="AK1618" s="92" t="s">
        <v>165</v>
      </c>
      <c r="AL1618" s="74" t="s">
        <v>211</v>
      </c>
      <c r="AM1618" s="80" t="s">
        <v>130</v>
      </c>
      <c r="AN1618" s="327" t="s">
        <v>131</v>
      </c>
      <c r="AO1618" s="632">
        <v>196.0</v>
      </c>
      <c r="AP1618" s="98" t="s">
        <v>9385</v>
      </c>
      <c r="AQ1618" s="74" t="s">
        <v>127</v>
      </c>
      <c r="AR1618" s="74" t="s">
        <v>2015</v>
      </c>
      <c r="AS1618" s="1762">
        <v>0.99</v>
      </c>
      <c r="AT1618" s="92" t="s">
        <v>165</v>
      </c>
      <c r="AU1618" s="92" t="s">
        <v>211</v>
      </c>
      <c r="AV1618" s="91" t="s">
        <v>130</v>
      </c>
      <c r="AW1618" s="91"/>
      <c r="AX1618" s="91" t="s">
        <v>136</v>
      </c>
      <c r="AY1618" s="89"/>
      <c r="AZ1618" s="89"/>
    </row>
    <row r="1619">
      <c r="A1619" s="41">
        <v>1619.0</v>
      </c>
      <c r="B1619" s="70" t="s">
        <v>516</v>
      </c>
      <c r="C1619" s="70" t="s">
        <v>108</v>
      </c>
      <c r="D1619" s="70" t="s">
        <v>146</v>
      </c>
      <c r="E1619" s="71"/>
      <c r="F1619" s="91" t="s">
        <v>9274</v>
      </c>
      <c r="G1619" s="74" t="s">
        <v>9386</v>
      </c>
      <c r="H1619" s="74" t="s">
        <v>146</v>
      </c>
      <c r="I1619" s="850">
        <v>45478.0</v>
      </c>
      <c r="J1619" s="626">
        <v>45638.0</v>
      </c>
      <c r="K1619" s="73" t="s">
        <v>9292</v>
      </c>
      <c r="L1619" s="80"/>
      <c r="M1619" s="74" t="s">
        <v>9277</v>
      </c>
      <c r="N1619" s="74" t="s">
        <v>9278</v>
      </c>
      <c r="O1619" s="1001">
        <v>1.0</v>
      </c>
      <c r="P1619" s="928" t="s">
        <v>9279</v>
      </c>
      <c r="Q1619" s="49" t="str">
        <f t="array" ref="Q1619"> if(iserror(MATCH(V1619, 'File Links'!C:C, 0)), "N/A", HYPERLINK(INDEX('File Links'!B:B, MATCH(P1619, 'File Links'!C:C, 0))))</f>
        <v>https://drive.google.com/file/d/1EqvEPwgwndawziGmIPqgl3yNKOI51OAS/view?usp=drivesdk</v>
      </c>
      <c r="R1619" s="74" t="s">
        <v>9280</v>
      </c>
      <c r="S1619" s="74" t="s">
        <v>9281</v>
      </c>
      <c r="T1619" s="80"/>
      <c r="U1619" s="1002">
        <v>1.0</v>
      </c>
      <c r="V1619" s="195" t="str">
        <f t="shared" si="114"/>
        <v>10.18718--81781.23.pdf</v>
      </c>
      <c r="W1619" s="73" t="s">
        <v>2009</v>
      </c>
      <c r="X1619" s="51" t="str">
        <f t="array" ref="X1619"> if(iserror(MATCH(V1619, 'File Links'!C:C, 0)), "N/A", HYPERLINK(INDEX('File Links'!B:B, MATCH(V1619, 'File Links'!C:C, 0))))</f>
        <v>https://drive.google.com/file/d/1UFSIBKXNmPXd3__1cxrsTy9PbNax45wB/view?usp=drivesdk</v>
      </c>
      <c r="Y1619" s="80"/>
      <c r="Z1619" s="74" t="s">
        <v>1802</v>
      </c>
      <c r="AA1619" s="80" t="s">
        <v>9293</v>
      </c>
      <c r="AB1619" s="73" t="s">
        <v>9294</v>
      </c>
      <c r="AC1619" s="73" t="s">
        <v>9375</v>
      </c>
      <c r="AD1619" s="80" t="s">
        <v>9376</v>
      </c>
      <c r="AE1619" s="1762" t="s">
        <v>9377</v>
      </c>
      <c r="AF1619" s="632">
        <f t="shared" si="115"/>
        <v>324</v>
      </c>
      <c r="AG1619" s="98" t="s">
        <v>9387</v>
      </c>
      <c r="AH1619" s="96" t="s">
        <v>127</v>
      </c>
      <c r="AI1619" s="74" t="s">
        <v>6328</v>
      </c>
      <c r="AJ1619" s="632">
        <v>0.581</v>
      </c>
      <c r="AK1619" s="92" t="s">
        <v>165</v>
      </c>
      <c r="AL1619" s="74" t="s">
        <v>211</v>
      </c>
      <c r="AM1619" s="80" t="s">
        <v>130</v>
      </c>
      <c r="AN1619" s="327" t="s">
        <v>131</v>
      </c>
      <c r="AO1619" s="632">
        <v>185.0</v>
      </c>
      <c r="AP1619" s="98" t="s">
        <v>9388</v>
      </c>
      <c r="AQ1619" s="74" t="s">
        <v>127</v>
      </c>
      <c r="AR1619" s="74" t="s">
        <v>1166</v>
      </c>
      <c r="AS1619" s="632">
        <v>0.997</v>
      </c>
      <c r="AT1619" s="92" t="s">
        <v>165</v>
      </c>
      <c r="AU1619" s="92" t="s">
        <v>211</v>
      </c>
      <c r="AV1619" s="91" t="s">
        <v>130</v>
      </c>
      <c r="AW1619" s="91"/>
      <c r="AX1619" s="91" t="s">
        <v>136</v>
      </c>
      <c r="AY1619" s="89"/>
      <c r="AZ1619" s="89"/>
    </row>
    <row r="1620">
      <c r="A1620" s="41">
        <v>1620.0</v>
      </c>
      <c r="B1620" s="70" t="s">
        <v>516</v>
      </c>
      <c r="C1620" s="70" t="s">
        <v>108</v>
      </c>
      <c r="D1620" s="70" t="s">
        <v>146</v>
      </c>
      <c r="E1620" s="71"/>
      <c r="F1620" s="91" t="s">
        <v>9274</v>
      </c>
      <c r="G1620" s="74" t="s">
        <v>9389</v>
      </c>
      <c r="H1620" s="74" t="s">
        <v>146</v>
      </c>
      <c r="I1620" s="850">
        <v>45478.0</v>
      </c>
      <c r="J1620" s="626">
        <v>45638.0</v>
      </c>
      <c r="K1620" s="73" t="s">
        <v>9292</v>
      </c>
      <c r="L1620" s="80"/>
      <c r="M1620" s="74" t="s">
        <v>9277</v>
      </c>
      <c r="N1620" s="74" t="s">
        <v>9278</v>
      </c>
      <c r="O1620" s="1001">
        <v>1.0</v>
      </c>
      <c r="P1620" s="928" t="s">
        <v>9279</v>
      </c>
      <c r="Q1620" s="49" t="str">
        <f t="array" ref="Q1620"> if(iserror(MATCH(V1620, 'File Links'!C:C, 0)), "N/A", HYPERLINK(INDEX('File Links'!B:B, MATCH(P1620, 'File Links'!C:C, 0))))</f>
        <v>https://drive.google.com/file/d/1EqvEPwgwndawziGmIPqgl3yNKOI51OAS/view?usp=drivesdk</v>
      </c>
      <c r="R1620" s="74" t="s">
        <v>9280</v>
      </c>
      <c r="S1620" s="74" t="s">
        <v>9281</v>
      </c>
      <c r="T1620" s="80"/>
      <c r="U1620" s="1002">
        <v>1.0</v>
      </c>
      <c r="V1620" s="195" t="str">
        <f t="shared" si="114"/>
        <v>10.18718--81781.23.pdf</v>
      </c>
      <c r="W1620" s="73" t="s">
        <v>2009</v>
      </c>
      <c r="X1620" s="51" t="str">
        <f t="array" ref="X1620"> if(iserror(MATCH(V1620, 'File Links'!C:C, 0)), "N/A", HYPERLINK(INDEX('File Links'!B:B, MATCH(V1620, 'File Links'!C:C, 0))))</f>
        <v>https://drive.google.com/file/d/1UFSIBKXNmPXd3__1cxrsTy9PbNax45wB/view?usp=drivesdk</v>
      </c>
      <c r="Y1620" s="80"/>
      <c r="Z1620" s="74" t="s">
        <v>1802</v>
      </c>
      <c r="AA1620" s="80" t="s">
        <v>9293</v>
      </c>
      <c r="AB1620" s="73" t="s">
        <v>9294</v>
      </c>
      <c r="AC1620" s="73" t="s">
        <v>9375</v>
      </c>
      <c r="AD1620" s="80" t="s">
        <v>9376</v>
      </c>
      <c r="AE1620" s="1762" t="s">
        <v>9377</v>
      </c>
      <c r="AF1620" s="632">
        <f t="shared" si="115"/>
        <v>324</v>
      </c>
      <c r="AG1620" s="98" t="s">
        <v>9390</v>
      </c>
      <c r="AH1620" s="96" t="s">
        <v>127</v>
      </c>
      <c r="AI1620" s="74" t="s">
        <v>2434</v>
      </c>
      <c r="AJ1620" s="632">
        <v>0.548</v>
      </c>
      <c r="AK1620" s="92" t="s">
        <v>165</v>
      </c>
      <c r="AL1620" s="74" t="s">
        <v>211</v>
      </c>
      <c r="AM1620" s="80" t="s">
        <v>130</v>
      </c>
      <c r="AN1620" s="327" t="s">
        <v>131</v>
      </c>
      <c r="AO1620" s="632">
        <v>196.0</v>
      </c>
      <c r="AP1620" s="98" t="s">
        <v>9391</v>
      </c>
      <c r="AQ1620" s="74" t="s">
        <v>127</v>
      </c>
      <c r="AR1620" s="74" t="s">
        <v>9212</v>
      </c>
      <c r="AS1620" s="632">
        <v>0.991</v>
      </c>
      <c r="AT1620" s="92" t="s">
        <v>165</v>
      </c>
      <c r="AU1620" s="92" t="s">
        <v>211</v>
      </c>
      <c r="AV1620" s="91" t="s">
        <v>130</v>
      </c>
      <c r="AW1620" s="91"/>
      <c r="AX1620" s="91" t="s">
        <v>136</v>
      </c>
      <c r="AY1620" s="89"/>
      <c r="AZ1620" s="89"/>
    </row>
    <row r="1621">
      <c r="A1621" s="41">
        <v>1621.0</v>
      </c>
      <c r="B1621" s="70" t="s">
        <v>516</v>
      </c>
      <c r="C1621" s="70" t="s">
        <v>108</v>
      </c>
      <c r="D1621" s="70" t="s">
        <v>146</v>
      </c>
      <c r="E1621" s="71"/>
      <c r="F1621" s="91" t="s">
        <v>9274</v>
      </c>
      <c r="G1621" s="74" t="s">
        <v>9392</v>
      </c>
      <c r="H1621" s="74" t="s">
        <v>146</v>
      </c>
      <c r="I1621" s="850">
        <v>45478.0</v>
      </c>
      <c r="J1621" s="626">
        <v>45638.0</v>
      </c>
      <c r="K1621" s="73" t="s">
        <v>9292</v>
      </c>
      <c r="L1621" s="80"/>
      <c r="M1621" s="74" t="s">
        <v>9277</v>
      </c>
      <c r="N1621" s="74" t="s">
        <v>9278</v>
      </c>
      <c r="O1621" s="1001">
        <v>1.0</v>
      </c>
      <c r="P1621" s="928" t="s">
        <v>9279</v>
      </c>
      <c r="Q1621" s="49" t="str">
        <f t="array" ref="Q1621"> if(iserror(MATCH(V1621, 'File Links'!C:C, 0)), "N/A", HYPERLINK(INDEX('File Links'!B:B, MATCH(P1621, 'File Links'!C:C, 0))))</f>
        <v>https://drive.google.com/file/d/1EqvEPwgwndawziGmIPqgl3yNKOI51OAS/view?usp=drivesdk</v>
      </c>
      <c r="R1621" s="74" t="s">
        <v>9280</v>
      </c>
      <c r="S1621" s="74" t="s">
        <v>9281</v>
      </c>
      <c r="T1621" s="80"/>
      <c r="U1621" s="1002">
        <v>1.0</v>
      </c>
      <c r="V1621" s="195" t="str">
        <f t="shared" si="114"/>
        <v>10.18718--81781.23.pdf</v>
      </c>
      <c r="W1621" s="73" t="s">
        <v>2009</v>
      </c>
      <c r="X1621" s="51" t="str">
        <f t="array" ref="X1621"> if(iserror(MATCH(V1621, 'File Links'!C:C, 0)), "N/A", HYPERLINK(INDEX('File Links'!B:B, MATCH(V1621, 'File Links'!C:C, 0))))</f>
        <v>https://drive.google.com/file/d/1UFSIBKXNmPXd3__1cxrsTy9PbNax45wB/view?usp=drivesdk</v>
      </c>
      <c r="Y1621" s="80"/>
      <c r="Z1621" s="74" t="s">
        <v>1802</v>
      </c>
      <c r="AA1621" s="80" t="s">
        <v>9293</v>
      </c>
      <c r="AB1621" s="73" t="s">
        <v>9294</v>
      </c>
      <c r="AC1621" s="73" t="s">
        <v>9375</v>
      </c>
      <c r="AD1621" s="80" t="s">
        <v>9376</v>
      </c>
      <c r="AE1621" s="1762" t="s">
        <v>9377</v>
      </c>
      <c r="AF1621" s="632">
        <f t="shared" si="115"/>
        <v>324</v>
      </c>
      <c r="AG1621" s="98" t="s">
        <v>9393</v>
      </c>
      <c r="AH1621" s="96" t="s">
        <v>127</v>
      </c>
      <c r="AI1621" s="74" t="s">
        <v>6328</v>
      </c>
      <c r="AJ1621" s="632">
        <v>0.553</v>
      </c>
      <c r="AK1621" s="92" t="s">
        <v>165</v>
      </c>
      <c r="AL1621" s="74" t="s">
        <v>211</v>
      </c>
      <c r="AM1621" s="80" t="s">
        <v>130</v>
      </c>
      <c r="AN1621" s="327" t="s">
        <v>131</v>
      </c>
      <c r="AO1621" s="632">
        <v>185.0</v>
      </c>
      <c r="AP1621" s="98" t="s">
        <v>9394</v>
      </c>
      <c r="AQ1621" s="74" t="s">
        <v>127</v>
      </c>
      <c r="AR1621" s="74" t="s">
        <v>1812</v>
      </c>
      <c r="AS1621" s="632">
        <v>1.0</v>
      </c>
      <c r="AT1621" s="92" t="s">
        <v>165</v>
      </c>
      <c r="AU1621" s="92" t="s">
        <v>211</v>
      </c>
      <c r="AV1621" s="91" t="s">
        <v>130</v>
      </c>
      <c r="AW1621" s="91"/>
      <c r="AX1621" s="91" t="s">
        <v>136</v>
      </c>
      <c r="AY1621" s="89"/>
      <c r="AZ1621" s="89"/>
    </row>
    <row r="1622">
      <c r="A1622" s="41">
        <v>1622.0</v>
      </c>
      <c r="B1622" s="70" t="s">
        <v>516</v>
      </c>
      <c r="C1622" s="70" t="s">
        <v>108</v>
      </c>
      <c r="D1622" s="70" t="s">
        <v>146</v>
      </c>
      <c r="E1622" s="71"/>
      <c r="F1622" s="91" t="s">
        <v>9274</v>
      </c>
      <c r="G1622" s="74" t="s">
        <v>9395</v>
      </c>
      <c r="H1622" s="74" t="s">
        <v>146</v>
      </c>
      <c r="I1622" s="850">
        <v>45478.0</v>
      </c>
      <c r="J1622" s="626">
        <v>45638.0</v>
      </c>
      <c r="K1622" s="73" t="s">
        <v>9292</v>
      </c>
      <c r="L1622" s="80"/>
      <c r="M1622" s="74" t="s">
        <v>9277</v>
      </c>
      <c r="N1622" s="74" t="s">
        <v>9278</v>
      </c>
      <c r="O1622" s="1001">
        <v>1.0</v>
      </c>
      <c r="P1622" s="928" t="s">
        <v>9279</v>
      </c>
      <c r="Q1622" s="49" t="str">
        <f t="array" ref="Q1622"> if(iserror(MATCH(V1622, 'File Links'!C:C, 0)), "N/A", HYPERLINK(INDEX('File Links'!B:B, MATCH(P1622, 'File Links'!C:C, 0))))</f>
        <v>https://drive.google.com/file/d/1EqvEPwgwndawziGmIPqgl3yNKOI51OAS/view?usp=drivesdk</v>
      </c>
      <c r="R1622" s="74" t="s">
        <v>9280</v>
      </c>
      <c r="S1622" s="74" t="s">
        <v>9281</v>
      </c>
      <c r="T1622" s="80"/>
      <c r="U1622" s="1002">
        <v>1.0</v>
      </c>
      <c r="V1622" s="195" t="str">
        <f t="shared" si="114"/>
        <v>10.18718--81781.23.pdf</v>
      </c>
      <c r="W1622" s="73" t="s">
        <v>2009</v>
      </c>
      <c r="X1622" s="51" t="str">
        <f t="array" ref="X1622"> if(iserror(MATCH(V1622, 'File Links'!C:C, 0)), "N/A", HYPERLINK(INDEX('File Links'!B:B, MATCH(V1622, 'File Links'!C:C, 0))))</f>
        <v>https://drive.google.com/file/d/1UFSIBKXNmPXd3__1cxrsTy9PbNax45wB/view?usp=drivesdk</v>
      </c>
      <c r="Y1622" s="80"/>
      <c r="Z1622" s="74" t="s">
        <v>1802</v>
      </c>
      <c r="AA1622" s="80" t="s">
        <v>9293</v>
      </c>
      <c r="AB1622" s="73" t="s">
        <v>9294</v>
      </c>
      <c r="AC1622" s="74" t="s">
        <v>9396</v>
      </c>
      <c r="AD1622" s="80" t="s">
        <v>9317</v>
      </c>
      <c r="AE1622" s="1762">
        <v>18.0</v>
      </c>
      <c r="AF1622" s="632">
        <f t="shared" si="115"/>
        <v>324</v>
      </c>
      <c r="AG1622" s="74" t="s">
        <v>9397</v>
      </c>
      <c r="AH1622" s="96" t="s">
        <v>127</v>
      </c>
      <c r="AI1622" s="74" t="s">
        <v>2435</v>
      </c>
      <c r="AJ1622" s="632">
        <v>0.01</v>
      </c>
      <c r="AK1622" s="92" t="s">
        <v>128</v>
      </c>
      <c r="AL1622" s="74" t="s">
        <v>129</v>
      </c>
      <c r="AM1622" s="80" t="s">
        <v>134</v>
      </c>
      <c r="AN1622" s="327" t="s">
        <v>131</v>
      </c>
      <c r="AO1622" s="632">
        <v>196.0</v>
      </c>
      <c r="AP1622" s="74" t="s">
        <v>9398</v>
      </c>
      <c r="AQ1622" s="74" t="s">
        <v>127</v>
      </c>
      <c r="AR1622" s="74" t="s">
        <v>3714</v>
      </c>
      <c r="AS1622" s="632">
        <v>0.01</v>
      </c>
      <c r="AT1622" s="92" t="s">
        <v>128</v>
      </c>
      <c r="AU1622" s="92" t="s">
        <v>129</v>
      </c>
      <c r="AV1622" s="91" t="s">
        <v>134</v>
      </c>
      <c r="AW1622" s="91"/>
      <c r="AX1622" s="91" t="s">
        <v>136</v>
      </c>
      <c r="AY1622" s="89"/>
      <c r="AZ1622" s="89"/>
    </row>
    <row r="1623">
      <c r="A1623" s="41">
        <v>1623.0</v>
      </c>
      <c r="B1623" s="70" t="s">
        <v>516</v>
      </c>
      <c r="C1623" s="70" t="s">
        <v>108</v>
      </c>
      <c r="D1623" s="70" t="s">
        <v>146</v>
      </c>
      <c r="E1623" s="71"/>
      <c r="F1623" s="91" t="s">
        <v>9274</v>
      </c>
      <c r="G1623" s="74" t="s">
        <v>9399</v>
      </c>
      <c r="H1623" s="74" t="s">
        <v>146</v>
      </c>
      <c r="I1623" s="850">
        <v>45478.0</v>
      </c>
      <c r="J1623" s="626">
        <v>45638.0</v>
      </c>
      <c r="K1623" s="73" t="s">
        <v>9292</v>
      </c>
      <c r="L1623" s="80"/>
      <c r="M1623" s="74" t="s">
        <v>9277</v>
      </c>
      <c r="N1623" s="74" t="s">
        <v>9278</v>
      </c>
      <c r="O1623" s="1001">
        <v>1.0</v>
      </c>
      <c r="P1623" s="928" t="s">
        <v>9279</v>
      </c>
      <c r="Q1623" s="49" t="str">
        <f t="array" ref="Q1623"> if(iserror(MATCH(V1623, 'File Links'!C:C, 0)), "N/A", HYPERLINK(INDEX('File Links'!B:B, MATCH(P1623, 'File Links'!C:C, 0))))</f>
        <v>https://drive.google.com/file/d/1EqvEPwgwndawziGmIPqgl3yNKOI51OAS/view?usp=drivesdk</v>
      </c>
      <c r="R1623" s="74" t="s">
        <v>9280</v>
      </c>
      <c r="S1623" s="74" t="s">
        <v>9281</v>
      </c>
      <c r="T1623" s="80"/>
      <c r="U1623" s="1002">
        <v>1.0</v>
      </c>
      <c r="V1623" s="195" t="str">
        <f t="shared" si="114"/>
        <v>10.18718--81781.23.pdf</v>
      </c>
      <c r="W1623" s="73" t="s">
        <v>2009</v>
      </c>
      <c r="X1623" s="51" t="str">
        <f t="array" ref="X1623"> if(iserror(MATCH(V1623, 'File Links'!C:C, 0)), "N/A", HYPERLINK(INDEX('File Links'!B:B, MATCH(V1623, 'File Links'!C:C, 0))))</f>
        <v>https://drive.google.com/file/d/1UFSIBKXNmPXd3__1cxrsTy9PbNax45wB/view?usp=drivesdk</v>
      </c>
      <c r="Y1623" s="80"/>
      <c r="Z1623" s="74" t="s">
        <v>1802</v>
      </c>
      <c r="AA1623" s="80" t="s">
        <v>9293</v>
      </c>
      <c r="AB1623" s="73" t="s">
        <v>9294</v>
      </c>
      <c r="AC1623" s="73" t="s">
        <v>9396</v>
      </c>
      <c r="AD1623" s="80" t="s">
        <v>9317</v>
      </c>
      <c r="AE1623" s="1762">
        <v>18.0</v>
      </c>
      <c r="AF1623" s="632">
        <f t="shared" si="115"/>
        <v>324</v>
      </c>
      <c r="AG1623" s="74" t="s">
        <v>9400</v>
      </c>
      <c r="AH1623" s="96" t="s">
        <v>127</v>
      </c>
      <c r="AI1623" s="74" t="s">
        <v>2434</v>
      </c>
      <c r="AJ1623" s="632">
        <v>0.01</v>
      </c>
      <c r="AK1623" s="92" t="s">
        <v>128</v>
      </c>
      <c r="AL1623" s="74" t="s">
        <v>129</v>
      </c>
      <c r="AM1623" s="80" t="s">
        <v>134</v>
      </c>
      <c r="AN1623" s="327" t="s">
        <v>131</v>
      </c>
      <c r="AO1623" s="632">
        <v>185.0</v>
      </c>
      <c r="AP1623" s="74" t="s">
        <v>9401</v>
      </c>
      <c r="AQ1623" s="74" t="s">
        <v>127</v>
      </c>
      <c r="AR1623" s="74" t="s">
        <v>7715</v>
      </c>
      <c r="AS1623" s="632">
        <v>0.05</v>
      </c>
      <c r="AT1623" s="92" t="s">
        <v>128</v>
      </c>
      <c r="AU1623" s="92" t="s">
        <v>129</v>
      </c>
      <c r="AV1623" s="91" t="s">
        <v>134</v>
      </c>
      <c r="AW1623" s="91"/>
      <c r="AX1623" s="91" t="s">
        <v>136</v>
      </c>
      <c r="AY1623" s="89"/>
      <c r="AZ1623" s="89"/>
    </row>
    <row r="1624">
      <c r="A1624" s="41">
        <v>1624.0</v>
      </c>
      <c r="B1624" s="70" t="s">
        <v>516</v>
      </c>
      <c r="C1624" s="70" t="s">
        <v>108</v>
      </c>
      <c r="D1624" s="70" t="s">
        <v>146</v>
      </c>
      <c r="E1624" s="71"/>
      <c r="F1624" s="91" t="s">
        <v>9274</v>
      </c>
      <c r="G1624" s="74" t="s">
        <v>9402</v>
      </c>
      <c r="H1624" s="74" t="s">
        <v>146</v>
      </c>
      <c r="I1624" s="850">
        <v>45478.0</v>
      </c>
      <c r="J1624" s="626">
        <v>45638.0</v>
      </c>
      <c r="K1624" s="73" t="s">
        <v>9292</v>
      </c>
      <c r="L1624" s="80"/>
      <c r="M1624" s="74" t="s">
        <v>9277</v>
      </c>
      <c r="N1624" s="74" t="s">
        <v>9278</v>
      </c>
      <c r="O1624" s="1001">
        <v>1.0</v>
      </c>
      <c r="P1624" s="928" t="s">
        <v>9279</v>
      </c>
      <c r="Q1624" s="49" t="str">
        <f t="array" ref="Q1624"> if(iserror(MATCH(V1624, 'File Links'!C:C, 0)), "N/A", HYPERLINK(INDEX('File Links'!B:B, MATCH(P1624, 'File Links'!C:C, 0))))</f>
        <v>https://drive.google.com/file/d/1EqvEPwgwndawziGmIPqgl3yNKOI51OAS/view?usp=drivesdk</v>
      </c>
      <c r="R1624" s="74" t="s">
        <v>9280</v>
      </c>
      <c r="S1624" s="74" t="s">
        <v>9281</v>
      </c>
      <c r="T1624" s="80"/>
      <c r="U1624" s="1002">
        <v>1.0</v>
      </c>
      <c r="V1624" s="195" t="str">
        <f t="shared" si="114"/>
        <v>10.18718--81781.23.pdf</v>
      </c>
      <c r="W1624" s="73" t="s">
        <v>2009</v>
      </c>
      <c r="X1624" s="51" t="str">
        <f t="array" ref="X1624"> if(iserror(MATCH(V1624, 'File Links'!C:C, 0)), "N/A", HYPERLINK(INDEX('File Links'!B:B, MATCH(V1624, 'File Links'!C:C, 0))))</f>
        <v>https://drive.google.com/file/d/1UFSIBKXNmPXd3__1cxrsTy9PbNax45wB/view?usp=drivesdk</v>
      </c>
      <c r="Y1624" s="80"/>
      <c r="Z1624" s="74" t="s">
        <v>1802</v>
      </c>
      <c r="AA1624" s="80" t="s">
        <v>9293</v>
      </c>
      <c r="AB1624" s="73" t="s">
        <v>9294</v>
      </c>
      <c r="AC1624" s="73" t="s">
        <v>9403</v>
      </c>
      <c r="AD1624" s="80" t="s">
        <v>9404</v>
      </c>
      <c r="AE1624" s="1762">
        <v>26.0</v>
      </c>
      <c r="AF1624" s="632">
        <f t="shared" si="115"/>
        <v>324</v>
      </c>
      <c r="AG1624" s="80" t="s">
        <v>9405</v>
      </c>
      <c r="AH1624" s="96" t="s">
        <v>127</v>
      </c>
      <c r="AI1624" s="74" t="s">
        <v>2435</v>
      </c>
      <c r="AJ1624" s="632">
        <v>0.01</v>
      </c>
      <c r="AK1624" s="92" t="s">
        <v>128</v>
      </c>
      <c r="AL1624" s="74" t="s">
        <v>129</v>
      </c>
      <c r="AM1624" s="80" t="s">
        <v>134</v>
      </c>
      <c r="AN1624" s="327" t="s">
        <v>131</v>
      </c>
      <c r="AO1624" s="632">
        <v>196.0</v>
      </c>
      <c r="AP1624" s="74" t="s">
        <v>9406</v>
      </c>
      <c r="AQ1624" s="74" t="s">
        <v>127</v>
      </c>
      <c r="AR1624" s="74" t="s">
        <v>2015</v>
      </c>
      <c r="AS1624" s="632">
        <v>0.01</v>
      </c>
      <c r="AT1624" s="92" t="s">
        <v>128</v>
      </c>
      <c r="AU1624" s="92" t="s">
        <v>129</v>
      </c>
      <c r="AV1624" s="91" t="s">
        <v>134</v>
      </c>
      <c r="AW1624" s="91"/>
      <c r="AX1624" s="91" t="s">
        <v>136</v>
      </c>
      <c r="AY1624" s="89"/>
      <c r="AZ1624" s="89"/>
    </row>
    <row r="1625">
      <c r="A1625" s="41">
        <v>1625.0</v>
      </c>
      <c r="B1625" s="70" t="s">
        <v>516</v>
      </c>
      <c r="C1625" s="70" t="s">
        <v>108</v>
      </c>
      <c r="D1625" s="70" t="s">
        <v>146</v>
      </c>
      <c r="E1625" s="71"/>
      <c r="F1625" s="91" t="s">
        <v>9274</v>
      </c>
      <c r="G1625" s="74" t="s">
        <v>9407</v>
      </c>
      <c r="H1625" s="74" t="s">
        <v>146</v>
      </c>
      <c r="I1625" s="850">
        <v>45478.0</v>
      </c>
      <c r="J1625" s="626">
        <v>45638.0</v>
      </c>
      <c r="K1625" s="73" t="s">
        <v>9292</v>
      </c>
      <c r="L1625" s="80"/>
      <c r="M1625" s="74" t="s">
        <v>9277</v>
      </c>
      <c r="N1625" s="74" t="s">
        <v>9278</v>
      </c>
      <c r="O1625" s="1001">
        <v>1.0</v>
      </c>
      <c r="P1625" s="928" t="s">
        <v>9279</v>
      </c>
      <c r="Q1625" s="49" t="str">
        <f t="array" ref="Q1625"> if(iserror(MATCH(V1625, 'File Links'!C:C, 0)), "N/A", HYPERLINK(INDEX('File Links'!B:B, MATCH(P1625, 'File Links'!C:C, 0))))</f>
        <v>https://drive.google.com/file/d/1EqvEPwgwndawziGmIPqgl3yNKOI51OAS/view?usp=drivesdk</v>
      </c>
      <c r="R1625" s="74" t="s">
        <v>9280</v>
      </c>
      <c r="S1625" s="74" t="s">
        <v>9281</v>
      </c>
      <c r="T1625" s="80"/>
      <c r="U1625" s="1002">
        <v>1.0</v>
      </c>
      <c r="V1625" s="195" t="str">
        <f t="shared" si="114"/>
        <v>10.18718--81781.23.pdf</v>
      </c>
      <c r="W1625" s="73" t="s">
        <v>2009</v>
      </c>
      <c r="X1625" s="51" t="str">
        <f t="array" ref="X1625"> if(iserror(MATCH(V1625, 'File Links'!C:C, 0)), "N/A", HYPERLINK(INDEX('File Links'!B:B, MATCH(V1625, 'File Links'!C:C, 0))))</f>
        <v>https://drive.google.com/file/d/1UFSIBKXNmPXd3__1cxrsTy9PbNax45wB/view?usp=drivesdk</v>
      </c>
      <c r="Y1625" s="80"/>
      <c r="Z1625" s="74" t="s">
        <v>1802</v>
      </c>
      <c r="AA1625" s="80" t="s">
        <v>9293</v>
      </c>
      <c r="AB1625" s="73" t="s">
        <v>9294</v>
      </c>
      <c r="AC1625" s="73" t="s">
        <v>9403</v>
      </c>
      <c r="AD1625" s="80" t="s">
        <v>9404</v>
      </c>
      <c r="AE1625" s="1762">
        <v>26.0</v>
      </c>
      <c r="AF1625" s="632">
        <f t="shared" si="115"/>
        <v>324</v>
      </c>
      <c r="AG1625" s="80" t="s">
        <v>9408</v>
      </c>
      <c r="AH1625" s="96" t="s">
        <v>127</v>
      </c>
      <c r="AI1625" s="74" t="s">
        <v>2434</v>
      </c>
      <c r="AJ1625" s="632">
        <v>0.01</v>
      </c>
      <c r="AK1625" s="92" t="s">
        <v>128</v>
      </c>
      <c r="AL1625" s="74" t="s">
        <v>129</v>
      </c>
      <c r="AM1625" s="80" t="s">
        <v>134</v>
      </c>
      <c r="AN1625" s="327" t="s">
        <v>131</v>
      </c>
      <c r="AO1625" s="632">
        <v>185.0</v>
      </c>
      <c r="AP1625" s="74" t="s">
        <v>9409</v>
      </c>
      <c r="AQ1625" s="74" t="s">
        <v>127</v>
      </c>
      <c r="AR1625" s="74" t="s">
        <v>1166</v>
      </c>
      <c r="AS1625" s="632">
        <v>0.01</v>
      </c>
      <c r="AT1625" s="92" t="s">
        <v>128</v>
      </c>
      <c r="AU1625" s="92" t="s">
        <v>129</v>
      </c>
      <c r="AV1625" s="91" t="s">
        <v>134</v>
      </c>
      <c r="AW1625" s="91"/>
      <c r="AX1625" s="91" t="s">
        <v>136</v>
      </c>
      <c r="AY1625" s="89"/>
      <c r="AZ1625" s="89"/>
    </row>
    <row r="1626">
      <c r="A1626" s="41">
        <v>1626.0</v>
      </c>
      <c r="B1626" s="70" t="s">
        <v>516</v>
      </c>
      <c r="C1626" s="70" t="s">
        <v>108</v>
      </c>
      <c r="D1626" s="70" t="s">
        <v>146</v>
      </c>
      <c r="E1626" s="71"/>
      <c r="F1626" s="91" t="s">
        <v>9274</v>
      </c>
      <c r="G1626" s="74" t="s">
        <v>9410</v>
      </c>
      <c r="H1626" s="74" t="s">
        <v>146</v>
      </c>
      <c r="I1626" s="850">
        <v>45478.0</v>
      </c>
      <c r="J1626" s="626">
        <v>45638.0</v>
      </c>
      <c r="K1626" s="73" t="s">
        <v>9292</v>
      </c>
      <c r="L1626" s="80"/>
      <c r="M1626" s="74" t="s">
        <v>9277</v>
      </c>
      <c r="N1626" s="74" t="s">
        <v>9278</v>
      </c>
      <c r="O1626" s="1001">
        <v>1.0</v>
      </c>
      <c r="P1626" s="928" t="s">
        <v>9279</v>
      </c>
      <c r="Q1626" s="49" t="str">
        <f t="array" ref="Q1626"> if(iserror(MATCH(V1626, 'File Links'!C:C, 0)), "N/A", HYPERLINK(INDEX('File Links'!B:B, MATCH(P1626, 'File Links'!C:C, 0))))</f>
        <v>https://drive.google.com/file/d/1EqvEPwgwndawziGmIPqgl3yNKOI51OAS/view?usp=drivesdk</v>
      </c>
      <c r="R1626" s="74" t="s">
        <v>9280</v>
      </c>
      <c r="S1626" s="74" t="s">
        <v>9281</v>
      </c>
      <c r="T1626" s="80"/>
      <c r="U1626" s="1002">
        <v>1.0</v>
      </c>
      <c r="V1626" s="195" t="str">
        <f t="shared" si="114"/>
        <v>10.18718--81781.23.pdf</v>
      </c>
      <c r="W1626" s="73" t="s">
        <v>2009</v>
      </c>
      <c r="X1626" s="51" t="str">
        <f t="array" ref="X1626"> if(iserror(MATCH(V1626, 'File Links'!C:C, 0)), "N/A", HYPERLINK(INDEX('File Links'!B:B, MATCH(V1626, 'File Links'!C:C, 0))))</f>
        <v>https://drive.google.com/file/d/1UFSIBKXNmPXd3__1cxrsTy9PbNax45wB/view?usp=drivesdk</v>
      </c>
      <c r="Y1626" s="80"/>
      <c r="Z1626" s="74" t="s">
        <v>1802</v>
      </c>
      <c r="AA1626" s="80" t="s">
        <v>9293</v>
      </c>
      <c r="AB1626" s="73" t="s">
        <v>9294</v>
      </c>
      <c r="AC1626" s="73" t="s">
        <v>9396</v>
      </c>
      <c r="AD1626" s="80" t="s">
        <v>9317</v>
      </c>
      <c r="AE1626" s="1762">
        <v>18.0</v>
      </c>
      <c r="AF1626" s="632">
        <f t="shared" si="115"/>
        <v>324</v>
      </c>
      <c r="AG1626" s="74" t="s">
        <v>9411</v>
      </c>
      <c r="AH1626" s="96" t="s">
        <v>127</v>
      </c>
      <c r="AI1626" s="74" t="s">
        <v>2435</v>
      </c>
      <c r="AJ1626" s="632">
        <v>0.01</v>
      </c>
      <c r="AK1626" s="92" t="s">
        <v>128</v>
      </c>
      <c r="AL1626" s="74" t="s">
        <v>129</v>
      </c>
      <c r="AM1626" s="80" t="s">
        <v>134</v>
      </c>
      <c r="AN1626" s="327" t="s">
        <v>131</v>
      </c>
      <c r="AO1626" s="632">
        <v>196.0</v>
      </c>
      <c r="AP1626" s="74" t="s">
        <v>9412</v>
      </c>
      <c r="AQ1626" s="74" t="s">
        <v>127</v>
      </c>
      <c r="AR1626" s="74" t="s">
        <v>9212</v>
      </c>
      <c r="AS1626" s="632">
        <v>0.05</v>
      </c>
      <c r="AT1626" s="92" t="s">
        <v>128</v>
      </c>
      <c r="AU1626" s="92" t="s">
        <v>129</v>
      </c>
      <c r="AV1626" s="91" t="s">
        <v>134</v>
      </c>
      <c r="AW1626" s="91"/>
      <c r="AX1626" s="91" t="s">
        <v>136</v>
      </c>
      <c r="AY1626" s="89"/>
      <c r="AZ1626" s="89"/>
    </row>
    <row r="1627">
      <c r="A1627" s="41">
        <v>1627.0</v>
      </c>
      <c r="B1627" s="70" t="s">
        <v>516</v>
      </c>
      <c r="C1627" s="70" t="s">
        <v>108</v>
      </c>
      <c r="D1627" s="70" t="s">
        <v>146</v>
      </c>
      <c r="E1627" s="71"/>
      <c r="F1627" s="91" t="s">
        <v>9274</v>
      </c>
      <c r="G1627" s="74" t="s">
        <v>9413</v>
      </c>
      <c r="H1627" s="74" t="s">
        <v>146</v>
      </c>
      <c r="I1627" s="850">
        <v>45478.0</v>
      </c>
      <c r="J1627" s="626">
        <v>45638.0</v>
      </c>
      <c r="K1627" s="73" t="s">
        <v>9292</v>
      </c>
      <c r="L1627" s="80"/>
      <c r="M1627" s="74" t="s">
        <v>9277</v>
      </c>
      <c r="N1627" s="74" t="s">
        <v>9278</v>
      </c>
      <c r="O1627" s="1001">
        <v>1.0</v>
      </c>
      <c r="P1627" s="928" t="s">
        <v>9279</v>
      </c>
      <c r="Q1627" s="49" t="str">
        <f t="array" ref="Q1627"> if(iserror(MATCH(V1627, 'File Links'!C:C, 0)), "N/A", HYPERLINK(INDEX('File Links'!B:B, MATCH(P1627, 'File Links'!C:C, 0))))</f>
        <v>https://drive.google.com/file/d/1EqvEPwgwndawziGmIPqgl3yNKOI51OAS/view?usp=drivesdk</v>
      </c>
      <c r="R1627" s="74" t="s">
        <v>9280</v>
      </c>
      <c r="S1627" s="74" t="s">
        <v>9281</v>
      </c>
      <c r="T1627" s="80"/>
      <c r="U1627" s="1002">
        <v>1.0</v>
      </c>
      <c r="V1627" s="195" t="str">
        <f t="shared" si="114"/>
        <v>10.18718--81781.23.pdf</v>
      </c>
      <c r="W1627" s="73" t="s">
        <v>2009</v>
      </c>
      <c r="X1627" s="51" t="str">
        <f t="array" ref="X1627"> if(iserror(MATCH(V1627, 'File Links'!C:C, 0)), "N/A", HYPERLINK(INDEX('File Links'!B:B, MATCH(V1627, 'File Links'!C:C, 0))))</f>
        <v>https://drive.google.com/file/d/1UFSIBKXNmPXd3__1cxrsTy9PbNax45wB/view?usp=drivesdk</v>
      </c>
      <c r="Y1627" s="80"/>
      <c r="Z1627" s="74" t="s">
        <v>1802</v>
      </c>
      <c r="AA1627" s="80" t="s">
        <v>9293</v>
      </c>
      <c r="AB1627" s="73" t="s">
        <v>9294</v>
      </c>
      <c r="AC1627" s="73" t="s">
        <v>9396</v>
      </c>
      <c r="AD1627" s="80" t="s">
        <v>9317</v>
      </c>
      <c r="AE1627" s="1762">
        <v>18.0</v>
      </c>
      <c r="AF1627" s="632">
        <f t="shared" si="115"/>
        <v>324</v>
      </c>
      <c r="AG1627" s="74" t="s">
        <v>9414</v>
      </c>
      <c r="AH1627" s="96" t="s">
        <v>127</v>
      </c>
      <c r="AI1627" s="74" t="s">
        <v>2434</v>
      </c>
      <c r="AJ1627" s="632">
        <v>0.01</v>
      </c>
      <c r="AK1627" s="92" t="s">
        <v>128</v>
      </c>
      <c r="AL1627" s="74" t="s">
        <v>129</v>
      </c>
      <c r="AM1627" s="80" t="s">
        <v>134</v>
      </c>
      <c r="AN1627" s="327" t="s">
        <v>131</v>
      </c>
      <c r="AO1627" s="632">
        <v>185.0</v>
      </c>
      <c r="AP1627" s="74" t="s">
        <v>9415</v>
      </c>
      <c r="AQ1627" s="74" t="s">
        <v>127</v>
      </c>
      <c r="AR1627" s="74" t="s">
        <v>1812</v>
      </c>
      <c r="AS1627" s="632">
        <v>0.01</v>
      </c>
      <c r="AT1627" s="92" t="s">
        <v>128</v>
      </c>
      <c r="AU1627" s="92" t="s">
        <v>129</v>
      </c>
      <c r="AV1627" s="91" t="s">
        <v>134</v>
      </c>
      <c r="AW1627" s="91"/>
      <c r="AX1627" s="91" t="s">
        <v>136</v>
      </c>
      <c r="AY1627" s="89"/>
      <c r="AZ1627" s="89"/>
    </row>
    <row r="1628">
      <c r="A1628" s="41">
        <v>1628.0</v>
      </c>
      <c r="B1628" s="70" t="s">
        <v>516</v>
      </c>
      <c r="C1628" s="70" t="s">
        <v>108</v>
      </c>
      <c r="D1628" s="70" t="s">
        <v>146</v>
      </c>
      <c r="E1628" s="71"/>
      <c r="F1628" s="91" t="s">
        <v>9274</v>
      </c>
      <c r="G1628" s="74" t="s">
        <v>9416</v>
      </c>
      <c r="H1628" s="74" t="s">
        <v>146</v>
      </c>
      <c r="I1628" s="850">
        <v>45478.0</v>
      </c>
      <c r="J1628" s="626">
        <v>45638.0</v>
      </c>
      <c r="K1628" s="73" t="s">
        <v>9292</v>
      </c>
      <c r="L1628" s="80"/>
      <c r="M1628" s="74" t="s">
        <v>9277</v>
      </c>
      <c r="N1628" s="74" t="s">
        <v>9278</v>
      </c>
      <c r="O1628" s="1001">
        <v>1.0</v>
      </c>
      <c r="P1628" s="928" t="s">
        <v>9279</v>
      </c>
      <c r="Q1628" s="49" t="str">
        <f t="array" ref="Q1628"> if(iserror(MATCH(V1628, 'File Links'!C:C, 0)), "N/A", HYPERLINK(INDEX('File Links'!B:B, MATCH(P1628, 'File Links'!C:C, 0))))</f>
        <v>https://drive.google.com/file/d/1EqvEPwgwndawziGmIPqgl3yNKOI51OAS/view?usp=drivesdk</v>
      </c>
      <c r="R1628" s="74" t="s">
        <v>9280</v>
      </c>
      <c r="S1628" s="74" t="s">
        <v>9281</v>
      </c>
      <c r="T1628" s="80"/>
      <c r="U1628" s="1002">
        <v>1.0</v>
      </c>
      <c r="V1628" s="195" t="str">
        <f t="shared" si="114"/>
        <v>10.18718--81781.23.pdf</v>
      </c>
      <c r="W1628" s="73" t="s">
        <v>2009</v>
      </c>
      <c r="X1628" s="51" t="str">
        <f t="array" ref="X1628"> if(iserror(MATCH(V1628, 'File Links'!C:C, 0)), "N/A", HYPERLINK(INDEX('File Links'!B:B, MATCH(V1628, 'File Links'!C:C, 0))))</f>
        <v>https://drive.google.com/file/d/1UFSIBKXNmPXd3__1cxrsTy9PbNax45wB/view?usp=drivesdk</v>
      </c>
      <c r="Y1628" s="80"/>
      <c r="Z1628" s="74" t="s">
        <v>1802</v>
      </c>
      <c r="AA1628" s="80" t="s">
        <v>9293</v>
      </c>
      <c r="AB1628" s="73" t="s">
        <v>9294</v>
      </c>
      <c r="AC1628" s="74" t="s">
        <v>9417</v>
      </c>
      <c r="AD1628" s="80" t="s">
        <v>9317</v>
      </c>
      <c r="AE1628" s="1762">
        <v>18.0</v>
      </c>
      <c r="AF1628" s="632">
        <f t="shared" si="115"/>
        <v>324</v>
      </c>
      <c r="AG1628" s="74" t="s">
        <v>9418</v>
      </c>
      <c r="AH1628" s="96" t="s">
        <v>127</v>
      </c>
      <c r="AI1628" s="74" t="s">
        <v>2435</v>
      </c>
      <c r="AJ1628" s="632">
        <v>0.01</v>
      </c>
      <c r="AK1628" s="92" t="s">
        <v>128</v>
      </c>
      <c r="AL1628" s="74" t="s">
        <v>129</v>
      </c>
      <c r="AM1628" s="80" t="s">
        <v>134</v>
      </c>
      <c r="AN1628" s="327" t="s">
        <v>131</v>
      </c>
      <c r="AO1628" s="632">
        <v>196.0</v>
      </c>
      <c r="AP1628" s="74" t="s">
        <v>9419</v>
      </c>
      <c r="AQ1628" s="74" t="s">
        <v>127</v>
      </c>
      <c r="AR1628" s="74" t="s">
        <v>3714</v>
      </c>
      <c r="AS1628" s="632">
        <v>0.01</v>
      </c>
      <c r="AT1628" s="92" t="s">
        <v>128</v>
      </c>
      <c r="AU1628" s="92" t="s">
        <v>129</v>
      </c>
      <c r="AV1628" s="91" t="s">
        <v>134</v>
      </c>
      <c r="AW1628" s="91"/>
      <c r="AX1628" s="91" t="s">
        <v>136</v>
      </c>
      <c r="AY1628" s="89"/>
      <c r="AZ1628" s="89"/>
    </row>
    <row r="1629">
      <c r="A1629" s="41">
        <v>1629.0</v>
      </c>
      <c r="B1629" s="70" t="s">
        <v>516</v>
      </c>
      <c r="C1629" s="70" t="s">
        <v>108</v>
      </c>
      <c r="D1629" s="70" t="s">
        <v>146</v>
      </c>
      <c r="E1629" s="71"/>
      <c r="F1629" s="91" t="s">
        <v>9274</v>
      </c>
      <c r="G1629" s="74" t="s">
        <v>9420</v>
      </c>
      <c r="H1629" s="74" t="s">
        <v>146</v>
      </c>
      <c r="I1629" s="850">
        <v>45478.0</v>
      </c>
      <c r="J1629" s="626">
        <v>45638.0</v>
      </c>
      <c r="K1629" s="73" t="s">
        <v>9292</v>
      </c>
      <c r="L1629" s="80"/>
      <c r="M1629" s="74" t="s">
        <v>9277</v>
      </c>
      <c r="N1629" s="74" t="s">
        <v>9278</v>
      </c>
      <c r="O1629" s="1001">
        <v>1.0</v>
      </c>
      <c r="P1629" s="928" t="s">
        <v>9279</v>
      </c>
      <c r="Q1629" s="49" t="str">
        <f t="array" ref="Q1629"> if(iserror(MATCH(V1629, 'File Links'!C:C, 0)), "N/A", HYPERLINK(INDEX('File Links'!B:B, MATCH(P1629, 'File Links'!C:C, 0))))</f>
        <v>https://drive.google.com/file/d/1EqvEPwgwndawziGmIPqgl3yNKOI51OAS/view?usp=drivesdk</v>
      </c>
      <c r="R1629" s="74" t="s">
        <v>9280</v>
      </c>
      <c r="S1629" s="74" t="s">
        <v>9281</v>
      </c>
      <c r="T1629" s="80"/>
      <c r="U1629" s="1002">
        <v>1.0</v>
      </c>
      <c r="V1629" s="195" t="str">
        <f t="shared" si="114"/>
        <v>10.18718--81781.23.pdf</v>
      </c>
      <c r="W1629" s="73" t="s">
        <v>2009</v>
      </c>
      <c r="X1629" s="51" t="str">
        <f t="array" ref="X1629"> if(iserror(MATCH(V1629, 'File Links'!C:C, 0)), "N/A", HYPERLINK(INDEX('File Links'!B:B, MATCH(V1629, 'File Links'!C:C, 0))))</f>
        <v>https://drive.google.com/file/d/1UFSIBKXNmPXd3__1cxrsTy9PbNax45wB/view?usp=drivesdk</v>
      </c>
      <c r="Y1629" s="80"/>
      <c r="Z1629" s="74" t="s">
        <v>1802</v>
      </c>
      <c r="AA1629" s="80" t="s">
        <v>9293</v>
      </c>
      <c r="AB1629" s="73" t="s">
        <v>9294</v>
      </c>
      <c r="AC1629" s="73" t="s">
        <v>9417</v>
      </c>
      <c r="AD1629" s="80" t="s">
        <v>9317</v>
      </c>
      <c r="AE1629" s="1762">
        <v>18.0</v>
      </c>
      <c r="AF1629" s="632">
        <f t="shared" si="115"/>
        <v>324</v>
      </c>
      <c r="AG1629" s="74" t="s">
        <v>9421</v>
      </c>
      <c r="AH1629" s="96" t="s">
        <v>127</v>
      </c>
      <c r="AI1629" s="74" t="s">
        <v>2434</v>
      </c>
      <c r="AJ1629" s="632">
        <v>0.1</v>
      </c>
      <c r="AK1629" s="92" t="s">
        <v>128</v>
      </c>
      <c r="AL1629" s="74" t="s">
        <v>129</v>
      </c>
      <c r="AM1629" s="80" t="s">
        <v>134</v>
      </c>
      <c r="AN1629" s="327" t="s">
        <v>131</v>
      </c>
      <c r="AO1629" s="632">
        <v>185.0</v>
      </c>
      <c r="AP1629" s="74" t="s">
        <v>9422</v>
      </c>
      <c r="AQ1629" s="74" t="s">
        <v>127</v>
      </c>
      <c r="AR1629" s="74" t="s">
        <v>7715</v>
      </c>
      <c r="AS1629" s="632">
        <v>0.01</v>
      </c>
      <c r="AT1629" s="92" t="s">
        <v>128</v>
      </c>
      <c r="AU1629" s="92" t="s">
        <v>129</v>
      </c>
      <c r="AV1629" s="91" t="s">
        <v>134</v>
      </c>
      <c r="AW1629" s="91"/>
      <c r="AX1629" s="91" t="s">
        <v>136</v>
      </c>
      <c r="AY1629" s="89"/>
      <c r="AZ1629" s="89"/>
    </row>
    <row r="1630">
      <c r="A1630" s="41">
        <v>1630.0</v>
      </c>
      <c r="B1630" s="70" t="s">
        <v>516</v>
      </c>
      <c r="C1630" s="70" t="s">
        <v>108</v>
      </c>
      <c r="D1630" s="70" t="s">
        <v>146</v>
      </c>
      <c r="E1630" s="71"/>
      <c r="F1630" s="91" t="s">
        <v>9274</v>
      </c>
      <c r="G1630" s="74" t="s">
        <v>9423</v>
      </c>
      <c r="H1630" s="74" t="s">
        <v>146</v>
      </c>
      <c r="I1630" s="850">
        <v>45478.0</v>
      </c>
      <c r="J1630" s="626">
        <v>45638.0</v>
      </c>
      <c r="K1630" s="73" t="s">
        <v>9292</v>
      </c>
      <c r="L1630" s="80"/>
      <c r="M1630" s="74" t="s">
        <v>9277</v>
      </c>
      <c r="N1630" s="74" t="s">
        <v>9278</v>
      </c>
      <c r="O1630" s="1001">
        <v>1.0</v>
      </c>
      <c r="P1630" s="928" t="s">
        <v>9279</v>
      </c>
      <c r="Q1630" s="49" t="str">
        <f t="array" ref="Q1630"> if(iserror(MATCH(V1630, 'File Links'!C:C, 0)), "N/A", HYPERLINK(INDEX('File Links'!B:B, MATCH(P1630, 'File Links'!C:C, 0))))</f>
        <v>https://drive.google.com/file/d/1EqvEPwgwndawziGmIPqgl3yNKOI51OAS/view?usp=drivesdk</v>
      </c>
      <c r="R1630" s="74" t="s">
        <v>9280</v>
      </c>
      <c r="S1630" s="74" t="s">
        <v>9281</v>
      </c>
      <c r="T1630" s="80"/>
      <c r="U1630" s="1002">
        <v>1.0</v>
      </c>
      <c r="V1630" s="195" t="str">
        <f t="shared" si="114"/>
        <v>10.18718--81781.23.pdf</v>
      </c>
      <c r="W1630" s="73" t="s">
        <v>2009</v>
      </c>
      <c r="X1630" s="51" t="str">
        <f t="array" ref="X1630"> if(iserror(MATCH(V1630, 'File Links'!C:C, 0)), "N/A", HYPERLINK(INDEX('File Links'!B:B, MATCH(V1630, 'File Links'!C:C, 0))))</f>
        <v>https://drive.google.com/file/d/1UFSIBKXNmPXd3__1cxrsTy9PbNax45wB/view?usp=drivesdk</v>
      </c>
      <c r="Y1630" s="80"/>
      <c r="Z1630" s="74" t="s">
        <v>1802</v>
      </c>
      <c r="AA1630" s="80" t="s">
        <v>9293</v>
      </c>
      <c r="AB1630" s="73" t="s">
        <v>9294</v>
      </c>
      <c r="AC1630" s="73" t="s">
        <v>9424</v>
      </c>
      <c r="AD1630" s="80" t="s">
        <v>9404</v>
      </c>
      <c r="AE1630" s="1762">
        <v>26.0</v>
      </c>
      <c r="AF1630" s="632">
        <f t="shared" si="115"/>
        <v>324</v>
      </c>
      <c r="AG1630" s="80" t="s">
        <v>9425</v>
      </c>
      <c r="AH1630" s="96" t="s">
        <v>127</v>
      </c>
      <c r="AI1630" s="74" t="s">
        <v>2435</v>
      </c>
      <c r="AJ1630" s="632">
        <v>0.05</v>
      </c>
      <c r="AK1630" s="92" t="s">
        <v>328</v>
      </c>
      <c r="AL1630" s="74" t="s">
        <v>129</v>
      </c>
      <c r="AM1630" s="80" t="s">
        <v>134</v>
      </c>
      <c r="AN1630" s="327" t="s">
        <v>131</v>
      </c>
      <c r="AO1630" s="632">
        <v>196.0</v>
      </c>
      <c r="AP1630" s="74" t="s">
        <v>9426</v>
      </c>
      <c r="AQ1630" s="74" t="s">
        <v>127</v>
      </c>
      <c r="AR1630" s="74" t="s">
        <v>2015</v>
      </c>
      <c r="AS1630" s="632">
        <v>0.01</v>
      </c>
      <c r="AT1630" s="92" t="s">
        <v>128</v>
      </c>
      <c r="AU1630" s="92" t="s">
        <v>129</v>
      </c>
      <c r="AV1630" s="91" t="s">
        <v>134</v>
      </c>
      <c r="AW1630" s="91"/>
      <c r="AX1630" s="91" t="s">
        <v>136</v>
      </c>
      <c r="AY1630" s="89"/>
      <c r="AZ1630" s="89"/>
    </row>
    <row r="1631">
      <c r="A1631" s="41">
        <v>1631.0</v>
      </c>
      <c r="B1631" s="70" t="s">
        <v>516</v>
      </c>
      <c r="C1631" s="70" t="s">
        <v>108</v>
      </c>
      <c r="D1631" s="70" t="s">
        <v>146</v>
      </c>
      <c r="E1631" s="71"/>
      <c r="F1631" s="91" t="s">
        <v>9274</v>
      </c>
      <c r="G1631" s="74" t="s">
        <v>9427</v>
      </c>
      <c r="H1631" s="74" t="s">
        <v>146</v>
      </c>
      <c r="I1631" s="850">
        <v>45478.0</v>
      </c>
      <c r="J1631" s="626">
        <v>45638.0</v>
      </c>
      <c r="K1631" s="73" t="s">
        <v>9292</v>
      </c>
      <c r="L1631" s="80"/>
      <c r="M1631" s="74" t="s">
        <v>9277</v>
      </c>
      <c r="N1631" s="74" t="s">
        <v>9278</v>
      </c>
      <c r="O1631" s="1001">
        <v>1.0</v>
      </c>
      <c r="P1631" s="928" t="s">
        <v>9279</v>
      </c>
      <c r="Q1631" s="49" t="str">
        <f t="array" ref="Q1631"> if(iserror(MATCH(V1631, 'File Links'!C:C, 0)), "N/A", HYPERLINK(INDEX('File Links'!B:B, MATCH(P1631, 'File Links'!C:C, 0))))</f>
        <v>https://drive.google.com/file/d/1EqvEPwgwndawziGmIPqgl3yNKOI51OAS/view?usp=drivesdk</v>
      </c>
      <c r="R1631" s="74" t="s">
        <v>9280</v>
      </c>
      <c r="S1631" s="74" t="s">
        <v>9281</v>
      </c>
      <c r="T1631" s="80"/>
      <c r="U1631" s="1002">
        <v>1.0</v>
      </c>
      <c r="V1631" s="195" t="str">
        <f t="shared" si="114"/>
        <v>10.18718--81781.23.pdf</v>
      </c>
      <c r="W1631" s="73" t="s">
        <v>2009</v>
      </c>
      <c r="X1631" s="51" t="str">
        <f t="array" ref="X1631"> if(iserror(MATCH(V1631, 'File Links'!C:C, 0)), "N/A", HYPERLINK(INDEX('File Links'!B:B, MATCH(V1631, 'File Links'!C:C, 0))))</f>
        <v>https://drive.google.com/file/d/1UFSIBKXNmPXd3__1cxrsTy9PbNax45wB/view?usp=drivesdk</v>
      </c>
      <c r="Y1631" s="80"/>
      <c r="Z1631" s="74" t="s">
        <v>1802</v>
      </c>
      <c r="AA1631" s="80" t="s">
        <v>9293</v>
      </c>
      <c r="AB1631" s="73" t="s">
        <v>9294</v>
      </c>
      <c r="AC1631" s="73" t="s">
        <v>9424</v>
      </c>
      <c r="AD1631" s="80" t="s">
        <v>9404</v>
      </c>
      <c r="AE1631" s="1762">
        <v>26.0</v>
      </c>
      <c r="AF1631" s="632">
        <f t="shared" si="115"/>
        <v>324</v>
      </c>
      <c r="AG1631" s="80" t="s">
        <v>9428</v>
      </c>
      <c r="AH1631" s="96" t="s">
        <v>127</v>
      </c>
      <c r="AI1631" s="74" t="s">
        <v>2434</v>
      </c>
      <c r="AJ1631" s="632">
        <v>0.1</v>
      </c>
      <c r="AK1631" s="92" t="s">
        <v>128</v>
      </c>
      <c r="AL1631" s="74" t="s">
        <v>129</v>
      </c>
      <c r="AM1631" s="80" t="s">
        <v>134</v>
      </c>
      <c r="AN1631" s="327" t="s">
        <v>131</v>
      </c>
      <c r="AO1631" s="632">
        <v>185.0</v>
      </c>
      <c r="AP1631" s="74" t="s">
        <v>9429</v>
      </c>
      <c r="AQ1631" s="74" t="s">
        <v>127</v>
      </c>
      <c r="AR1631" s="74" t="s">
        <v>1166</v>
      </c>
      <c r="AS1631" s="632">
        <v>0.01</v>
      </c>
      <c r="AT1631" s="92" t="s">
        <v>128</v>
      </c>
      <c r="AU1631" s="92" t="s">
        <v>129</v>
      </c>
      <c r="AV1631" s="91" t="s">
        <v>134</v>
      </c>
      <c r="AW1631" s="91"/>
      <c r="AX1631" s="91" t="s">
        <v>136</v>
      </c>
      <c r="AY1631" s="89"/>
      <c r="AZ1631" s="89"/>
    </row>
    <row r="1632">
      <c r="A1632" s="41">
        <v>1632.0</v>
      </c>
      <c r="B1632" s="70" t="s">
        <v>516</v>
      </c>
      <c r="C1632" s="70" t="s">
        <v>108</v>
      </c>
      <c r="D1632" s="70" t="s">
        <v>146</v>
      </c>
      <c r="E1632" s="71"/>
      <c r="F1632" s="91" t="s">
        <v>9274</v>
      </c>
      <c r="G1632" s="74" t="s">
        <v>9430</v>
      </c>
      <c r="H1632" s="74" t="s">
        <v>146</v>
      </c>
      <c r="I1632" s="850">
        <v>45478.0</v>
      </c>
      <c r="J1632" s="626">
        <v>45638.0</v>
      </c>
      <c r="K1632" s="73" t="s">
        <v>9292</v>
      </c>
      <c r="L1632" s="80"/>
      <c r="M1632" s="74" t="s">
        <v>9277</v>
      </c>
      <c r="N1632" s="74" t="s">
        <v>9278</v>
      </c>
      <c r="O1632" s="1001">
        <v>1.0</v>
      </c>
      <c r="P1632" s="928" t="s">
        <v>9279</v>
      </c>
      <c r="Q1632" s="49" t="str">
        <f t="array" ref="Q1632"> if(iserror(MATCH(V1632, 'File Links'!C:C, 0)), "N/A", HYPERLINK(INDEX('File Links'!B:B, MATCH(P1632, 'File Links'!C:C, 0))))</f>
        <v>https://drive.google.com/file/d/1EqvEPwgwndawziGmIPqgl3yNKOI51OAS/view?usp=drivesdk</v>
      </c>
      <c r="R1632" s="74" t="s">
        <v>9280</v>
      </c>
      <c r="S1632" s="74" t="s">
        <v>9281</v>
      </c>
      <c r="T1632" s="80"/>
      <c r="U1632" s="1002">
        <v>1.0</v>
      </c>
      <c r="V1632" s="195" t="str">
        <f t="shared" si="114"/>
        <v>10.18718--81781.23.pdf</v>
      </c>
      <c r="W1632" s="73" t="s">
        <v>2009</v>
      </c>
      <c r="X1632" s="51" t="str">
        <f t="array" ref="X1632"> if(iserror(MATCH(V1632, 'File Links'!C:C, 0)), "N/A", HYPERLINK(INDEX('File Links'!B:B, MATCH(V1632, 'File Links'!C:C, 0))))</f>
        <v>https://drive.google.com/file/d/1UFSIBKXNmPXd3__1cxrsTy9PbNax45wB/view?usp=drivesdk</v>
      </c>
      <c r="Y1632" s="80"/>
      <c r="Z1632" s="74" t="s">
        <v>1802</v>
      </c>
      <c r="AA1632" s="80" t="s">
        <v>9293</v>
      </c>
      <c r="AB1632" s="73" t="s">
        <v>9294</v>
      </c>
      <c r="AC1632" s="73" t="s">
        <v>9417</v>
      </c>
      <c r="AD1632" s="80" t="s">
        <v>9317</v>
      </c>
      <c r="AE1632" s="1762">
        <v>18.0</v>
      </c>
      <c r="AF1632" s="632">
        <f t="shared" si="115"/>
        <v>324</v>
      </c>
      <c r="AG1632" s="74" t="s">
        <v>9431</v>
      </c>
      <c r="AH1632" s="96" t="s">
        <v>127</v>
      </c>
      <c r="AI1632" s="74" t="s">
        <v>2435</v>
      </c>
      <c r="AJ1632" s="632">
        <v>0.01</v>
      </c>
      <c r="AK1632" s="92" t="s">
        <v>128</v>
      </c>
      <c r="AL1632" s="74" t="s">
        <v>129</v>
      </c>
      <c r="AM1632" s="80" t="s">
        <v>134</v>
      </c>
      <c r="AN1632" s="327" t="s">
        <v>131</v>
      </c>
      <c r="AO1632" s="632">
        <v>196.0</v>
      </c>
      <c r="AP1632" s="74" t="s">
        <v>9432</v>
      </c>
      <c r="AQ1632" s="74" t="s">
        <v>127</v>
      </c>
      <c r="AR1632" s="74" t="s">
        <v>9212</v>
      </c>
      <c r="AS1632" s="632">
        <v>0.1</v>
      </c>
      <c r="AT1632" s="92" t="s">
        <v>128</v>
      </c>
      <c r="AU1632" s="92" t="s">
        <v>129</v>
      </c>
      <c r="AV1632" s="91" t="s">
        <v>134</v>
      </c>
      <c r="AW1632" s="91"/>
      <c r="AX1632" s="91" t="s">
        <v>136</v>
      </c>
      <c r="AY1632" s="89"/>
      <c r="AZ1632" s="89"/>
    </row>
    <row r="1633">
      <c r="A1633" s="41">
        <v>1633.0</v>
      </c>
      <c r="B1633" s="70" t="s">
        <v>516</v>
      </c>
      <c r="C1633" s="70" t="s">
        <v>108</v>
      </c>
      <c r="D1633" s="70" t="s">
        <v>146</v>
      </c>
      <c r="E1633" s="71"/>
      <c r="F1633" s="91" t="s">
        <v>9274</v>
      </c>
      <c r="G1633" s="74" t="s">
        <v>9433</v>
      </c>
      <c r="H1633" s="74" t="s">
        <v>146</v>
      </c>
      <c r="I1633" s="850">
        <v>45478.0</v>
      </c>
      <c r="J1633" s="626">
        <v>45638.0</v>
      </c>
      <c r="K1633" s="73" t="s">
        <v>9292</v>
      </c>
      <c r="L1633" s="80"/>
      <c r="M1633" s="74" t="s">
        <v>9277</v>
      </c>
      <c r="N1633" s="74" t="s">
        <v>9278</v>
      </c>
      <c r="O1633" s="1001">
        <v>1.0</v>
      </c>
      <c r="P1633" s="928" t="s">
        <v>9279</v>
      </c>
      <c r="Q1633" s="49" t="str">
        <f t="array" ref="Q1633"> if(iserror(MATCH(V1633, 'File Links'!C:C, 0)), "N/A", HYPERLINK(INDEX('File Links'!B:B, MATCH(P1633, 'File Links'!C:C, 0))))</f>
        <v>https://drive.google.com/file/d/1EqvEPwgwndawziGmIPqgl3yNKOI51OAS/view?usp=drivesdk</v>
      </c>
      <c r="R1633" s="74" t="s">
        <v>9280</v>
      </c>
      <c r="S1633" s="74" t="s">
        <v>9281</v>
      </c>
      <c r="T1633" s="80"/>
      <c r="U1633" s="1002">
        <v>1.0</v>
      </c>
      <c r="V1633" s="195" t="str">
        <f t="shared" si="114"/>
        <v>10.18718--81781.23.pdf</v>
      </c>
      <c r="W1633" s="73" t="s">
        <v>2009</v>
      </c>
      <c r="X1633" s="51" t="str">
        <f t="array" ref="X1633"> if(iserror(MATCH(V1633, 'File Links'!C:C, 0)), "N/A", HYPERLINK(INDEX('File Links'!B:B, MATCH(V1633, 'File Links'!C:C, 0))))</f>
        <v>https://drive.google.com/file/d/1UFSIBKXNmPXd3__1cxrsTy9PbNax45wB/view?usp=drivesdk</v>
      </c>
      <c r="Y1633" s="80"/>
      <c r="Z1633" s="74" t="s">
        <v>1802</v>
      </c>
      <c r="AA1633" s="80" t="s">
        <v>9293</v>
      </c>
      <c r="AB1633" s="73" t="s">
        <v>9294</v>
      </c>
      <c r="AC1633" s="73" t="s">
        <v>9417</v>
      </c>
      <c r="AD1633" s="80" t="s">
        <v>9317</v>
      </c>
      <c r="AE1633" s="1762">
        <v>18.0</v>
      </c>
      <c r="AF1633" s="632">
        <f t="shared" si="115"/>
        <v>324</v>
      </c>
      <c r="AG1633" s="74" t="s">
        <v>9434</v>
      </c>
      <c r="AH1633" s="96" t="s">
        <v>127</v>
      </c>
      <c r="AI1633" s="74" t="s">
        <v>2434</v>
      </c>
      <c r="AJ1633" s="632">
        <v>0.01</v>
      </c>
      <c r="AK1633" s="92" t="s">
        <v>128</v>
      </c>
      <c r="AL1633" s="74" t="s">
        <v>129</v>
      </c>
      <c r="AM1633" s="80" t="s">
        <v>134</v>
      </c>
      <c r="AN1633" s="327" t="s">
        <v>131</v>
      </c>
      <c r="AO1633" s="632">
        <v>185.0</v>
      </c>
      <c r="AP1633" s="74" t="s">
        <v>9435</v>
      </c>
      <c r="AQ1633" s="74" t="s">
        <v>127</v>
      </c>
      <c r="AR1633" s="74" t="s">
        <v>1812</v>
      </c>
      <c r="AS1633" s="632">
        <v>0.05</v>
      </c>
      <c r="AT1633" s="92" t="s">
        <v>128</v>
      </c>
      <c r="AU1633" s="92" t="s">
        <v>129</v>
      </c>
      <c r="AV1633" s="91" t="s">
        <v>134</v>
      </c>
      <c r="AW1633" s="91"/>
      <c r="AX1633" s="91" t="s">
        <v>136</v>
      </c>
      <c r="AY1633" s="89"/>
      <c r="AZ1633" s="89"/>
    </row>
    <row r="1634">
      <c r="A1634" s="41">
        <v>1634.0</v>
      </c>
      <c r="B1634" s="70" t="s">
        <v>516</v>
      </c>
      <c r="C1634" s="70" t="s">
        <v>108</v>
      </c>
      <c r="D1634" s="70" t="s">
        <v>146</v>
      </c>
      <c r="E1634" s="71"/>
      <c r="F1634" s="91" t="s">
        <v>9274</v>
      </c>
      <c r="G1634" s="74" t="s">
        <v>9436</v>
      </c>
      <c r="H1634" s="74" t="s">
        <v>146</v>
      </c>
      <c r="I1634" s="850">
        <v>45478.0</v>
      </c>
      <c r="J1634" s="626">
        <v>45638.0</v>
      </c>
      <c r="K1634" s="73" t="s">
        <v>9292</v>
      </c>
      <c r="L1634" s="80"/>
      <c r="M1634" s="74" t="s">
        <v>9277</v>
      </c>
      <c r="N1634" s="74" t="s">
        <v>9278</v>
      </c>
      <c r="O1634" s="1001">
        <v>1.0</v>
      </c>
      <c r="P1634" s="928" t="s">
        <v>9279</v>
      </c>
      <c r="Q1634" s="49" t="str">
        <f t="array" ref="Q1634"> if(iserror(MATCH(V1634, 'File Links'!C:C, 0)), "N/A", HYPERLINK(INDEX('File Links'!B:B, MATCH(P1634, 'File Links'!C:C, 0))))</f>
        <v>https://drive.google.com/file/d/1EqvEPwgwndawziGmIPqgl3yNKOI51OAS/view?usp=drivesdk</v>
      </c>
      <c r="R1634" s="74" t="s">
        <v>9280</v>
      </c>
      <c r="S1634" s="74" t="s">
        <v>9281</v>
      </c>
      <c r="T1634" s="80"/>
      <c r="U1634" s="1002">
        <v>1.0</v>
      </c>
      <c r="V1634" s="195" t="str">
        <f t="shared" si="114"/>
        <v>10.18718--81781.23.pdf</v>
      </c>
      <c r="W1634" s="73" t="s">
        <v>2009</v>
      </c>
      <c r="X1634" s="51" t="str">
        <f t="array" ref="X1634"> if(iserror(MATCH(V1634, 'File Links'!C:C, 0)), "N/A", HYPERLINK(INDEX('File Links'!B:B, MATCH(V1634, 'File Links'!C:C, 0))))</f>
        <v>https://drive.google.com/file/d/1UFSIBKXNmPXd3__1cxrsTy9PbNax45wB/view?usp=drivesdk</v>
      </c>
      <c r="Y1634" s="80"/>
      <c r="Z1634" s="74" t="s">
        <v>1802</v>
      </c>
      <c r="AA1634" s="80" t="s">
        <v>9293</v>
      </c>
      <c r="AB1634" s="73" t="s">
        <v>9294</v>
      </c>
      <c r="AC1634" s="73" t="s">
        <v>9437</v>
      </c>
      <c r="AD1634" s="80" t="s">
        <v>9438</v>
      </c>
      <c r="AE1634" s="1762">
        <v>26.0</v>
      </c>
      <c r="AF1634" s="632">
        <f t="shared" si="115"/>
        <v>324</v>
      </c>
      <c r="AG1634" s="74" t="s">
        <v>9439</v>
      </c>
      <c r="AH1634" s="96" t="s">
        <v>127</v>
      </c>
      <c r="AI1634" s="74" t="s">
        <v>2435</v>
      </c>
      <c r="AJ1634" s="632">
        <v>0.05</v>
      </c>
      <c r="AK1634" s="92" t="s">
        <v>328</v>
      </c>
      <c r="AL1634" s="74" t="s">
        <v>129</v>
      </c>
      <c r="AM1634" s="80" t="s">
        <v>134</v>
      </c>
      <c r="AN1634" s="327" t="s">
        <v>131</v>
      </c>
      <c r="AO1634" s="632">
        <v>196.0</v>
      </c>
      <c r="AP1634" s="74" t="s">
        <v>9440</v>
      </c>
      <c r="AQ1634" s="74" t="s">
        <v>127</v>
      </c>
      <c r="AR1634" s="74" t="s">
        <v>3714</v>
      </c>
      <c r="AS1634" s="632">
        <v>0.05</v>
      </c>
      <c r="AT1634" s="92" t="s">
        <v>328</v>
      </c>
      <c r="AU1634" s="92" t="s">
        <v>129</v>
      </c>
      <c r="AV1634" s="91" t="s">
        <v>134</v>
      </c>
      <c r="AW1634" s="91"/>
      <c r="AX1634" s="91" t="s">
        <v>136</v>
      </c>
      <c r="AY1634" s="89"/>
      <c r="AZ1634" s="89"/>
    </row>
    <row r="1635">
      <c r="A1635" s="41">
        <v>1635.0</v>
      </c>
      <c r="B1635" s="70" t="s">
        <v>516</v>
      </c>
      <c r="C1635" s="70" t="s">
        <v>108</v>
      </c>
      <c r="D1635" s="70" t="s">
        <v>146</v>
      </c>
      <c r="E1635" s="71"/>
      <c r="F1635" s="91" t="s">
        <v>9274</v>
      </c>
      <c r="G1635" s="74" t="s">
        <v>9436</v>
      </c>
      <c r="H1635" s="74" t="s">
        <v>146</v>
      </c>
      <c r="I1635" s="850">
        <v>45478.0</v>
      </c>
      <c r="J1635" s="626">
        <v>45638.0</v>
      </c>
      <c r="K1635" s="73" t="s">
        <v>9292</v>
      </c>
      <c r="L1635" s="80"/>
      <c r="M1635" s="74" t="s">
        <v>9277</v>
      </c>
      <c r="N1635" s="74" t="s">
        <v>9278</v>
      </c>
      <c r="O1635" s="1001">
        <v>1.0</v>
      </c>
      <c r="P1635" s="928" t="s">
        <v>9279</v>
      </c>
      <c r="Q1635" s="49" t="str">
        <f t="array" ref="Q1635"> if(iserror(MATCH(V1635, 'File Links'!C:C, 0)), "N/A", HYPERLINK(INDEX('File Links'!B:B, MATCH(P1635, 'File Links'!C:C, 0))))</f>
        <v>https://drive.google.com/file/d/1EqvEPwgwndawziGmIPqgl3yNKOI51OAS/view?usp=drivesdk</v>
      </c>
      <c r="R1635" s="74" t="s">
        <v>9280</v>
      </c>
      <c r="S1635" s="74" t="s">
        <v>9281</v>
      </c>
      <c r="T1635" s="80"/>
      <c r="U1635" s="1002">
        <v>1.0</v>
      </c>
      <c r="V1635" s="195" t="str">
        <f t="shared" si="114"/>
        <v>10.18718--81781.23.pdf</v>
      </c>
      <c r="W1635" s="73" t="s">
        <v>2009</v>
      </c>
      <c r="X1635" s="51" t="str">
        <f t="array" ref="X1635"> if(iserror(MATCH(V1635, 'File Links'!C:C, 0)), "N/A", HYPERLINK(INDEX('File Links'!B:B, MATCH(V1635, 'File Links'!C:C, 0))))</f>
        <v>https://drive.google.com/file/d/1UFSIBKXNmPXd3__1cxrsTy9PbNax45wB/view?usp=drivesdk</v>
      </c>
      <c r="Y1635" s="80"/>
      <c r="Z1635" s="74" t="s">
        <v>1802</v>
      </c>
      <c r="AA1635" s="80" t="s">
        <v>9293</v>
      </c>
      <c r="AB1635" s="73" t="s">
        <v>9294</v>
      </c>
      <c r="AC1635" s="73" t="s">
        <v>9441</v>
      </c>
      <c r="AD1635" s="80" t="s">
        <v>9438</v>
      </c>
      <c r="AE1635" s="1762">
        <v>26.0</v>
      </c>
      <c r="AF1635" s="632">
        <f t="shared" si="115"/>
        <v>324</v>
      </c>
      <c r="AG1635" s="74" t="s">
        <v>9442</v>
      </c>
      <c r="AH1635" s="96" t="s">
        <v>127</v>
      </c>
      <c r="AI1635" s="74" t="s">
        <v>6328</v>
      </c>
      <c r="AJ1635" s="632">
        <v>0.05</v>
      </c>
      <c r="AK1635" s="92" t="s">
        <v>328</v>
      </c>
      <c r="AL1635" s="74" t="s">
        <v>129</v>
      </c>
      <c r="AM1635" s="80" t="s">
        <v>134</v>
      </c>
      <c r="AN1635" s="327" t="s">
        <v>131</v>
      </c>
      <c r="AO1635" s="632">
        <v>185.0</v>
      </c>
      <c r="AP1635" s="74" t="s">
        <v>9443</v>
      </c>
      <c r="AQ1635" s="74" t="s">
        <v>127</v>
      </c>
      <c r="AR1635" s="74" t="s">
        <v>7715</v>
      </c>
      <c r="AS1635" s="632">
        <v>0.05</v>
      </c>
      <c r="AT1635" s="92" t="s">
        <v>128</v>
      </c>
      <c r="AU1635" s="92" t="s">
        <v>129</v>
      </c>
      <c r="AV1635" s="91" t="s">
        <v>134</v>
      </c>
      <c r="AW1635" s="91"/>
      <c r="AX1635" s="91" t="s">
        <v>136</v>
      </c>
      <c r="AY1635" s="89"/>
      <c r="AZ1635" s="89"/>
    </row>
    <row r="1636">
      <c r="A1636" s="41">
        <v>1636.0</v>
      </c>
      <c r="B1636" s="70" t="s">
        <v>516</v>
      </c>
      <c r="C1636" s="70" t="s">
        <v>108</v>
      </c>
      <c r="D1636" s="70" t="s">
        <v>146</v>
      </c>
      <c r="E1636" s="71"/>
      <c r="F1636" s="91" t="s">
        <v>9274</v>
      </c>
      <c r="G1636" s="74" t="s">
        <v>9444</v>
      </c>
      <c r="H1636" s="74" t="s">
        <v>146</v>
      </c>
      <c r="I1636" s="850">
        <v>45478.0</v>
      </c>
      <c r="J1636" s="626">
        <v>45638.0</v>
      </c>
      <c r="K1636" s="73" t="s">
        <v>9292</v>
      </c>
      <c r="L1636" s="80"/>
      <c r="M1636" s="74" t="s">
        <v>9277</v>
      </c>
      <c r="N1636" s="74" t="s">
        <v>9278</v>
      </c>
      <c r="O1636" s="1001">
        <v>1.0</v>
      </c>
      <c r="P1636" s="928" t="s">
        <v>9279</v>
      </c>
      <c r="Q1636" s="49" t="str">
        <f t="array" ref="Q1636"> if(iserror(MATCH(V1636, 'File Links'!C:C, 0)), "N/A", HYPERLINK(INDEX('File Links'!B:B, MATCH(P1636, 'File Links'!C:C, 0))))</f>
        <v>https://drive.google.com/file/d/1EqvEPwgwndawziGmIPqgl3yNKOI51OAS/view?usp=drivesdk</v>
      </c>
      <c r="R1636" s="74" t="s">
        <v>9280</v>
      </c>
      <c r="S1636" s="74" t="s">
        <v>9281</v>
      </c>
      <c r="T1636" s="80"/>
      <c r="U1636" s="1002">
        <v>1.0</v>
      </c>
      <c r="V1636" s="195" t="str">
        <f t="shared" si="114"/>
        <v>10.18718--81781.23.pdf</v>
      </c>
      <c r="W1636" s="73" t="s">
        <v>2009</v>
      </c>
      <c r="X1636" s="51" t="str">
        <f t="array" ref="X1636"> if(iserror(MATCH(V1636, 'File Links'!C:C, 0)), "N/A", HYPERLINK(INDEX('File Links'!B:B, MATCH(V1636, 'File Links'!C:C, 0))))</f>
        <v>https://drive.google.com/file/d/1UFSIBKXNmPXd3__1cxrsTy9PbNax45wB/view?usp=drivesdk</v>
      </c>
      <c r="Y1636" s="80"/>
      <c r="Z1636" s="74" t="s">
        <v>1802</v>
      </c>
      <c r="AA1636" s="80" t="s">
        <v>9293</v>
      </c>
      <c r="AB1636" s="73" t="s">
        <v>9294</v>
      </c>
      <c r="AC1636" s="73" t="s">
        <v>9441</v>
      </c>
      <c r="AD1636" s="80" t="s">
        <v>9438</v>
      </c>
      <c r="AE1636" s="1762">
        <v>26.0</v>
      </c>
      <c r="AF1636" s="632">
        <f t="shared" si="115"/>
        <v>324</v>
      </c>
      <c r="AG1636" s="74" t="s">
        <v>9445</v>
      </c>
      <c r="AH1636" s="96" t="s">
        <v>127</v>
      </c>
      <c r="AI1636" s="74" t="s">
        <v>2435</v>
      </c>
      <c r="AJ1636" s="632">
        <v>0.05</v>
      </c>
      <c r="AK1636" s="92" t="s">
        <v>328</v>
      </c>
      <c r="AL1636" s="74" t="s">
        <v>129</v>
      </c>
      <c r="AM1636" s="80" t="s">
        <v>134</v>
      </c>
      <c r="AN1636" s="327" t="s">
        <v>131</v>
      </c>
      <c r="AO1636" s="632">
        <v>196.0</v>
      </c>
      <c r="AP1636" s="74" t="s">
        <v>9446</v>
      </c>
      <c r="AQ1636" s="74" t="s">
        <v>127</v>
      </c>
      <c r="AR1636" s="74" t="s">
        <v>2015</v>
      </c>
      <c r="AS1636" s="632">
        <v>0.05</v>
      </c>
      <c r="AT1636" s="92" t="s">
        <v>328</v>
      </c>
      <c r="AU1636" s="92" t="s">
        <v>129</v>
      </c>
      <c r="AV1636" s="91" t="s">
        <v>134</v>
      </c>
      <c r="AW1636" s="91"/>
      <c r="AX1636" s="91" t="s">
        <v>136</v>
      </c>
      <c r="AY1636" s="89"/>
      <c r="AZ1636" s="89"/>
    </row>
    <row r="1637">
      <c r="A1637" s="41">
        <v>1637.0</v>
      </c>
      <c r="B1637" s="70" t="s">
        <v>516</v>
      </c>
      <c r="C1637" s="70" t="s">
        <v>108</v>
      </c>
      <c r="D1637" s="70" t="s">
        <v>146</v>
      </c>
      <c r="E1637" s="71"/>
      <c r="F1637" s="91" t="s">
        <v>9274</v>
      </c>
      <c r="G1637" s="74" t="s">
        <v>9444</v>
      </c>
      <c r="H1637" s="74" t="s">
        <v>146</v>
      </c>
      <c r="I1637" s="850">
        <v>45478.0</v>
      </c>
      <c r="J1637" s="626">
        <v>45638.0</v>
      </c>
      <c r="K1637" s="73" t="s">
        <v>9292</v>
      </c>
      <c r="L1637" s="80"/>
      <c r="M1637" s="74" t="s">
        <v>9277</v>
      </c>
      <c r="N1637" s="74" t="s">
        <v>9278</v>
      </c>
      <c r="O1637" s="1001">
        <v>1.0</v>
      </c>
      <c r="P1637" s="928" t="s">
        <v>9279</v>
      </c>
      <c r="Q1637" s="49" t="str">
        <f t="array" ref="Q1637"> if(iserror(MATCH(V1637, 'File Links'!C:C, 0)), "N/A", HYPERLINK(INDEX('File Links'!B:B, MATCH(P1637, 'File Links'!C:C, 0))))</f>
        <v>https://drive.google.com/file/d/1EqvEPwgwndawziGmIPqgl3yNKOI51OAS/view?usp=drivesdk</v>
      </c>
      <c r="R1637" s="74" t="s">
        <v>9280</v>
      </c>
      <c r="S1637" s="74" t="s">
        <v>9281</v>
      </c>
      <c r="T1637" s="80"/>
      <c r="U1637" s="1002">
        <v>1.0</v>
      </c>
      <c r="V1637" s="195" t="str">
        <f t="shared" si="114"/>
        <v>10.18718--81781.23.pdf</v>
      </c>
      <c r="W1637" s="73" t="s">
        <v>2009</v>
      </c>
      <c r="X1637" s="51" t="str">
        <f t="array" ref="X1637"> if(iserror(MATCH(V1637, 'File Links'!C:C, 0)), "N/A", HYPERLINK(INDEX('File Links'!B:B, MATCH(V1637, 'File Links'!C:C, 0))))</f>
        <v>https://drive.google.com/file/d/1UFSIBKXNmPXd3__1cxrsTy9PbNax45wB/view?usp=drivesdk</v>
      </c>
      <c r="Y1637" s="80"/>
      <c r="Z1637" s="74" t="s">
        <v>1802</v>
      </c>
      <c r="AA1637" s="80" t="s">
        <v>9293</v>
      </c>
      <c r="AB1637" s="73" t="s">
        <v>9294</v>
      </c>
      <c r="AC1637" s="73" t="s">
        <v>9441</v>
      </c>
      <c r="AD1637" s="80" t="s">
        <v>9438</v>
      </c>
      <c r="AE1637" s="1762">
        <v>26.0</v>
      </c>
      <c r="AF1637" s="632">
        <f t="shared" si="115"/>
        <v>324</v>
      </c>
      <c r="AG1637" s="74" t="s">
        <v>9447</v>
      </c>
      <c r="AH1637" s="96" t="s">
        <v>127</v>
      </c>
      <c r="AI1637" s="74" t="s">
        <v>6328</v>
      </c>
      <c r="AJ1637" s="632">
        <v>0.05</v>
      </c>
      <c r="AK1637" s="92" t="s">
        <v>328</v>
      </c>
      <c r="AL1637" s="74" t="s">
        <v>129</v>
      </c>
      <c r="AM1637" s="80" t="s">
        <v>134</v>
      </c>
      <c r="AN1637" s="327" t="s">
        <v>131</v>
      </c>
      <c r="AO1637" s="632">
        <v>185.0</v>
      </c>
      <c r="AP1637" s="74" t="s">
        <v>9448</v>
      </c>
      <c r="AQ1637" s="74" t="s">
        <v>127</v>
      </c>
      <c r="AR1637" s="74" t="s">
        <v>1166</v>
      </c>
      <c r="AS1637" s="632">
        <v>0.1</v>
      </c>
      <c r="AT1637" s="92" t="s">
        <v>128</v>
      </c>
      <c r="AU1637" s="92" t="s">
        <v>129</v>
      </c>
      <c r="AV1637" s="91" t="s">
        <v>134</v>
      </c>
      <c r="AW1637" s="91"/>
      <c r="AX1637" s="91" t="s">
        <v>136</v>
      </c>
      <c r="AY1637" s="89"/>
      <c r="AZ1637" s="89"/>
    </row>
    <row r="1638">
      <c r="A1638" s="41">
        <v>1638.0</v>
      </c>
      <c r="B1638" s="70" t="s">
        <v>516</v>
      </c>
      <c r="C1638" s="70" t="s">
        <v>108</v>
      </c>
      <c r="D1638" s="70" t="s">
        <v>146</v>
      </c>
      <c r="E1638" s="71"/>
      <c r="F1638" s="91" t="s">
        <v>9274</v>
      </c>
      <c r="G1638" s="74" t="s">
        <v>9449</v>
      </c>
      <c r="H1638" s="74" t="s">
        <v>146</v>
      </c>
      <c r="I1638" s="850">
        <v>45478.0</v>
      </c>
      <c r="J1638" s="626">
        <v>45638.0</v>
      </c>
      <c r="K1638" s="73" t="s">
        <v>9292</v>
      </c>
      <c r="L1638" s="80"/>
      <c r="M1638" s="74" t="s">
        <v>9277</v>
      </c>
      <c r="N1638" s="74" t="s">
        <v>9278</v>
      </c>
      <c r="O1638" s="1001">
        <v>1.0</v>
      </c>
      <c r="P1638" s="928" t="s">
        <v>9279</v>
      </c>
      <c r="Q1638" s="49" t="str">
        <f t="array" ref="Q1638"> if(iserror(MATCH(V1638, 'File Links'!C:C, 0)), "N/A", HYPERLINK(INDEX('File Links'!B:B, MATCH(P1638, 'File Links'!C:C, 0))))</f>
        <v>https://drive.google.com/file/d/1EqvEPwgwndawziGmIPqgl3yNKOI51OAS/view?usp=drivesdk</v>
      </c>
      <c r="R1638" s="74" t="s">
        <v>9280</v>
      </c>
      <c r="S1638" s="74" t="s">
        <v>9281</v>
      </c>
      <c r="T1638" s="80"/>
      <c r="U1638" s="1002">
        <v>1.0</v>
      </c>
      <c r="V1638" s="195" t="str">
        <f t="shared" si="114"/>
        <v>10.18718--81781.23.pdf</v>
      </c>
      <c r="W1638" s="73" t="s">
        <v>2009</v>
      </c>
      <c r="X1638" s="51" t="str">
        <f t="array" ref="X1638"> if(iserror(MATCH(V1638, 'File Links'!C:C, 0)), "N/A", HYPERLINK(INDEX('File Links'!B:B, MATCH(V1638, 'File Links'!C:C, 0))))</f>
        <v>https://drive.google.com/file/d/1UFSIBKXNmPXd3__1cxrsTy9PbNax45wB/view?usp=drivesdk</v>
      </c>
      <c r="Y1638" s="80"/>
      <c r="Z1638" s="74" t="s">
        <v>1802</v>
      </c>
      <c r="AA1638" s="80" t="s">
        <v>9293</v>
      </c>
      <c r="AB1638" s="73" t="s">
        <v>9294</v>
      </c>
      <c r="AC1638" s="73" t="s">
        <v>9441</v>
      </c>
      <c r="AD1638" s="80" t="s">
        <v>9438</v>
      </c>
      <c r="AE1638" s="1762">
        <v>26.0</v>
      </c>
      <c r="AF1638" s="632">
        <f t="shared" si="115"/>
        <v>324</v>
      </c>
      <c r="AG1638" s="74" t="s">
        <v>9450</v>
      </c>
      <c r="AH1638" s="96" t="s">
        <v>127</v>
      </c>
      <c r="AI1638" s="74" t="s">
        <v>2435</v>
      </c>
      <c r="AJ1638" s="632">
        <v>0.1</v>
      </c>
      <c r="AK1638" s="92" t="s">
        <v>128</v>
      </c>
      <c r="AL1638" s="74" t="s">
        <v>129</v>
      </c>
      <c r="AM1638" s="80" t="s">
        <v>134</v>
      </c>
      <c r="AN1638" s="327" t="s">
        <v>131</v>
      </c>
      <c r="AO1638" s="632">
        <v>196.0</v>
      </c>
      <c r="AP1638" s="74" t="s">
        <v>9451</v>
      </c>
      <c r="AQ1638" s="74" t="s">
        <v>127</v>
      </c>
      <c r="AR1638" s="74" t="s">
        <v>9212</v>
      </c>
      <c r="AS1638" s="632">
        <v>0.05</v>
      </c>
      <c r="AT1638" s="92" t="s">
        <v>328</v>
      </c>
      <c r="AU1638" s="92" t="s">
        <v>129</v>
      </c>
      <c r="AV1638" s="91" t="s">
        <v>134</v>
      </c>
      <c r="AW1638" s="91"/>
      <c r="AX1638" s="91" t="s">
        <v>136</v>
      </c>
      <c r="AY1638" s="89"/>
      <c r="AZ1638" s="89"/>
    </row>
    <row r="1639">
      <c r="A1639" s="41">
        <v>1639.0</v>
      </c>
      <c r="B1639" s="70" t="s">
        <v>516</v>
      </c>
      <c r="C1639" s="70" t="s">
        <v>108</v>
      </c>
      <c r="D1639" s="70" t="s">
        <v>146</v>
      </c>
      <c r="E1639" s="71"/>
      <c r="F1639" s="91" t="s">
        <v>9274</v>
      </c>
      <c r="G1639" s="74" t="s">
        <v>9449</v>
      </c>
      <c r="H1639" s="74" t="s">
        <v>146</v>
      </c>
      <c r="I1639" s="850">
        <v>45478.0</v>
      </c>
      <c r="J1639" s="626">
        <v>45638.0</v>
      </c>
      <c r="K1639" s="73" t="s">
        <v>9292</v>
      </c>
      <c r="L1639" s="80"/>
      <c r="M1639" s="74" t="s">
        <v>9277</v>
      </c>
      <c r="N1639" s="74" t="s">
        <v>9278</v>
      </c>
      <c r="O1639" s="1001">
        <v>1.0</v>
      </c>
      <c r="P1639" s="928" t="s">
        <v>9279</v>
      </c>
      <c r="Q1639" s="49" t="str">
        <f t="array" ref="Q1639"> if(iserror(MATCH(V1639, 'File Links'!C:C, 0)), "N/A", HYPERLINK(INDEX('File Links'!B:B, MATCH(P1639, 'File Links'!C:C, 0))))</f>
        <v>https://drive.google.com/file/d/1EqvEPwgwndawziGmIPqgl3yNKOI51OAS/view?usp=drivesdk</v>
      </c>
      <c r="R1639" s="74" t="s">
        <v>9280</v>
      </c>
      <c r="S1639" s="74" t="s">
        <v>9281</v>
      </c>
      <c r="T1639" s="80"/>
      <c r="U1639" s="1002">
        <v>1.0</v>
      </c>
      <c r="V1639" s="195" t="str">
        <f t="shared" si="114"/>
        <v>10.18718--81781.23.pdf</v>
      </c>
      <c r="W1639" s="73" t="s">
        <v>2009</v>
      </c>
      <c r="X1639" s="51" t="str">
        <f t="array" ref="X1639"> if(iserror(MATCH(V1639, 'File Links'!C:C, 0)), "N/A", HYPERLINK(INDEX('File Links'!B:B, MATCH(V1639, 'File Links'!C:C, 0))))</f>
        <v>https://drive.google.com/file/d/1UFSIBKXNmPXd3__1cxrsTy9PbNax45wB/view?usp=drivesdk</v>
      </c>
      <c r="Y1639" s="80"/>
      <c r="Z1639" s="74" t="s">
        <v>1802</v>
      </c>
      <c r="AA1639" s="80" t="s">
        <v>9293</v>
      </c>
      <c r="AB1639" s="73" t="s">
        <v>9294</v>
      </c>
      <c r="AC1639" s="73" t="s">
        <v>9441</v>
      </c>
      <c r="AD1639" s="80" t="s">
        <v>9438</v>
      </c>
      <c r="AE1639" s="1762">
        <v>26.0</v>
      </c>
      <c r="AF1639" s="632">
        <f t="shared" si="115"/>
        <v>324</v>
      </c>
      <c r="AG1639" s="74" t="s">
        <v>9452</v>
      </c>
      <c r="AH1639" s="96" t="s">
        <v>127</v>
      </c>
      <c r="AI1639" s="74" t="s">
        <v>6328</v>
      </c>
      <c r="AJ1639" s="632">
        <v>0.05</v>
      </c>
      <c r="AK1639" s="92" t="s">
        <v>328</v>
      </c>
      <c r="AL1639" s="74" t="s">
        <v>129</v>
      </c>
      <c r="AM1639" s="80" t="s">
        <v>134</v>
      </c>
      <c r="AN1639" s="327" t="s">
        <v>131</v>
      </c>
      <c r="AO1639" s="632">
        <v>185.0</v>
      </c>
      <c r="AP1639" s="74" t="s">
        <v>9448</v>
      </c>
      <c r="AQ1639" s="74" t="s">
        <v>127</v>
      </c>
      <c r="AR1639" s="74" t="s">
        <v>1812</v>
      </c>
      <c r="AS1639" s="632">
        <v>0.1</v>
      </c>
      <c r="AT1639" s="92" t="s">
        <v>128</v>
      </c>
      <c r="AU1639" s="92" t="s">
        <v>129</v>
      </c>
      <c r="AV1639" s="91" t="s">
        <v>134</v>
      </c>
      <c r="AW1639" s="91"/>
      <c r="AX1639" s="91" t="s">
        <v>136</v>
      </c>
      <c r="AY1639" s="89"/>
      <c r="AZ1639" s="89"/>
    </row>
    <row r="1640">
      <c r="A1640" s="41">
        <v>1640.0</v>
      </c>
      <c r="B1640" s="70" t="s">
        <v>516</v>
      </c>
      <c r="C1640" s="70" t="s">
        <v>108</v>
      </c>
      <c r="D1640" s="70" t="s">
        <v>146</v>
      </c>
      <c r="E1640" s="71"/>
      <c r="F1640" s="91" t="s">
        <v>9274</v>
      </c>
      <c r="G1640" s="74" t="s">
        <v>9453</v>
      </c>
      <c r="H1640" s="74" t="s">
        <v>146</v>
      </c>
      <c r="I1640" s="850">
        <v>45478.0</v>
      </c>
      <c r="J1640" s="626">
        <v>45638.0</v>
      </c>
      <c r="K1640" s="73" t="s">
        <v>9292</v>
      </c>
      <c r="L1640" s="80"/>
      <c r="M1640" s="74" t="s">
        <v>9277</v>
      </c>
      <c r="N1640" s="74" t="s">
        <v>9278</v>
      </c>
      <c r="O1640" s="1001">
        <v>1.0</v>
      </c>
      <c r="P1640" s="928" t="s">
        <v>9279</v>
      </c>
      <c r="Q1640" s="49" t="str">
        <f t="array" ref="Q1640"> if(iserror(MATCH(V1640, 'File Links'!C:C, 0)), "N/A", HYPERLINK(INDEX('File Links'!B:B, MATCH(P1640, 'File Links'!C:C, 0))))</f>
        <v>https://drive.google.com/file/d/1EqvEPwgwndawziGmIPqgl3yNKOI51OAS/view?usp=drivesdk</v>
      </c>
      <c r="R1640" s="74" t="s">
        <v>9280</v>
      </c>
      <c r="S1640" s="74" t="s">
        <v>9281</v>
      </c>
      <c r="T1640" s="80"/>
      <c r="U1640" s="1002">
        <v>1.0</v>
      </c>
      <c r="V1640" s="195" t="str">
        <f t="shared" si="114"/>
        <v>10.18718--81781.23.pdf</v>
      </c>
      <c r="W1640" s="73" t="s">
        <v>2009</v>
      </c>
      <c r="X1640" s="51" t="str">
        <f t="array" ref="X1640"> if(iserror(MATCH(V1640, 'File Links'!C:C, 0)), "N/A", HYPERLINK(INDEX('File Links'!B:B, MATCH(V1640, 'File Links'!C:C, 0))))</f>
        <v>https://drive.google.com/file/d/1UFSIBKXNmPXd3__1cxrsTy9PbNax45wB/view?usp=drivesdk</v>
      </c>
      <c r="Y1640" s="80"/>
      <c r="Z1640" s="74" t="s">
        <v>1802</v>
      </c>
      <c r="AA1640" s="80" t="s">
        <v>9293</v>
      </c>
      <c r="AB1640" s="73" t="s">
        <v>9294</v>
      </c>
      <c r="AC1640" s="84" t="s">
        <v>9454</v>
      </c>
      <c r="AD1640" s="80" t="s">
        <v>9455</v>
      </c>
      <c r="AE1640" s="1762">
        <v>26.0</v>
      </c>
      <c r="AF1640" s="632">
        <f t="shared" si="115"/>
        <v>324</v>
      </c>
      <c r="AG1640" s="80" t="s">
        <v>9456</v>
      </c>
      <c r="AH1640" s="96" t="s">
        <v>127</v>
      </c>
      <c r="AI1640" s="74" t="s">
        <v>2434</v>
      </c>
      <c r="AJ1640" s="632">
        <v>0.05</v>
      </c>
      <c r="AK1640" s="92" t="s">
        <v>128</v>
      </c>
      <c r="AL1640" s="74" t="s">
        <v>129</v>
      </c>
      <c r="AM1640" s="80" t="s">
        <v>134</v>
      </c>
      <c r="AN1640" s="327" t="s">
        <v>131</v>
      </c>
      <c r="AO1640" s="632">
        <v>185.0</v>
      </c>
      <c r="AP1640" s="74" t="s">
        <v>9457</v>
      </c>
      <c r="AQ1640" s="74" t="s">
        <v>127</v>
      </c>
      <c r="AR1640" s="74" t="s">
        <v>7715</v>
      </c>
      <c r="AS1640" s="632">
        <v>0.05</v>
      </c>
      <c r="AT1640" s="92" t="s">
        <v>128</v>
      </c>
      <c r="AU1640" s="92" t="s">
        <v>129</v>
      </c>
      <c r="AV1640" s="91" t="s">
        <v>134</v>
      </c>
      <c r="AW1640" s="91"/>
      <c r="AX1640" s="91" t="s">
        <v>136</v>
      </c>
      <c r="AY1640" s="89"/>
      <c r="AZ1640" s="89"/>
    </row>
    <row r="1641">
      <c r="A1641" s="41">
        <v>1641.0</v>
      </c>
      <c r="B1641" s="70" t="s">
        <v>516</v>
      </c>
      <c r="C1641" s="70" t="s">
        <v>108</v>
      </c>
      <c r="D1641" s="70" t="s">
        <v>146</v>
      </c>
      <c r="E1641" s="71"/>
      <c r="F1641" s="91" t="s">
        <v>9274</v>
      </c>
      <c r="G1641" s="74" t="s">
        <v>9458</v>
      </c>
      <c r="H1641" s="74" t="s">
        <v>146</v>
      </c>
      <c r="I1641" s="850">
        <v>45478.0</v>
      </c>
      <c r="J1641" s="626">
        <v>45638.0</v>
      </c>
      <c r="K1641" s="73" t="s">
        <v>9292</v>
      </c>
      <c r="L1641" s="80"/>
      <c r="M1641" s="74" t="s">
        <v>9277</v>
      </c>
      <c r="N1641" s="74" t="s">
        <v>9278</v>
      </c>
      <c r="O1641" s="1001">
        <v>1.0</v>
      </c>
      <c r="P1641" s="928" t="s">
        <v>9279</v>
      </c>
      <c r="Q1641" s="49" t="str">
        <f t="array" ref="Q1641"> if(iserror(MATCH(V1641, 'File Links'!C:C, 0)), "N/A", HYPERLINK(INDEX('File Links'!B:B, MATCH(P1641, 'File Links'!C:C, 0))))</f>
        <v>https://drive.google.com/file/d/1EqvEPwgwndawziGmIPqgl3yNKOI51OAS/view?usp=drivesdk</v>
      </c>
      <c r="R1641" s="74" t="s">
        <v>9280</v>
      </c>
      <c r="S1641" s="74" t="s">
        <v>9281</v>
      </c>
      <c r="T1641" s="80"/>
      <c r="U1641" s="1002">
        <v>1.0</v>
      </c>
      <c r="V1641" s="195" t="str">
        <f t="shared" si="114"/>
        <v>10.18718--81781.23.pdf</v>
      </c>
      <c r="W1641" s="73" t="s">
        <v>2009</v>
      </c>
      <c r="X1641" s="51" t="str">
        <f t="array" ref="X1641"> if(iserror(MATCH(V1641, 'File Links'!C:C, 0)), "N/A", HYPERLINK(INDEX('File Links'!B:B, MATCH(V1641, 'File Links'!C:C, 0))))</f>
        <v>https://drive.google.com/file/d/1UFSIBKXNmPXd3__1cxrsTy9PbNax45wB/view?usp=drivesdk</v>
      </c>
      <c r="Y1641" s="80"/>
      <c r="Z1641" s="74" t="s">
        <v>1802</v>
      </c>
      <c r="AA1641" s="80" t="s">
        <v>9293</v>
      </c>
      <c r="AB1641" s="73" t="s">
        <v>9294</v>
      </c>
      <c r="AC1641" s="84" t="s">
        <v>9454</v>
      </c>
      <c r="AD1641" s="80" t="s">
        <v>9455</v>
      </c>
      <c r="AE1641" s="1762">
        <v>26.0</v>
      </c>
      <c r="AF1641" s="632">
        <f t="shared" si="115"/>
        <v>324</v>
      </c>
      <c r="AG1641" s="80" t="s">
        <v>9459</v>
      </c>
      <c r="AH1641" s="96" t="s">
        <v>127</v>
      </c>
      <c r="AI1641" s="74" t="s">
        <v>2434</v>
      </c>
      <c r="AJ1641" s="632">
        <v>0.05</v>
      </c>
      <c r="AK1641" s="92" t="s">
        <v>328</v>
      </c>
      <c r="AL1641" s="74" t="s">
        <v>129</v>
      </c>
      <c r="AM1641" s="80" t="s">
        <v>134</v>
      </c>
      <c r="AN1641" s="327" t="s">
        <v>131</v>
      </c>
      <c r="AO1641" s="632">
        <v>185.0</v>
      </c>
      <c r="AP1641" s="74" t="s">
        <v>9460</v>
      </c>
      <c r="AQ1641" s="74" t="s">
        <v>127</v>
      </c>
      <c r="AR1641" s="74" t="s">
        <v>1166</v>
      </c>
      <c r="AS1641" s="632">
        <v>0.05</v>
      </c>
      <c r="AT1641" s="92" t="s">
        <v>128</v>
      </c>
      <c r="AU1641" s="92" t="s">
        <v>129</v>
      </c>
      <c r="AV1641" s="91" t="s">
        <v>134</v>
      </c>
      <c r="AW1641" s="91"/>
      <c r="AX1641" s="91" t="s">
        <v>136</v>
      </c>
      <c r="AY1641" s="89"/>
      <c r="AZ1641" s="89"/>
    </row>
    <row r="1642">
      <c r="A1642" s="41">
        <v>1642.0</v>
      </c>
      <c r="B1642" s="70" t="s">
        <v>516</v>
      </c>
      <c r="C1642" s="70" t="s">
        <v>108</v>
      </c>
      <c r="D1642" s="70" t="s">
        <v>146</v>
      </c>
      <c r="E1642" s="71"/>
      <c r="F1642" s="91" t="s">
        <v>9274</v>
      </c>
      <c r="G1642" s="74" t="s">
        <v>9461</v>
      </c>
      <c r="H1642" s="74" t="s">
        <v>146</v>
      </c>
      <c r="I1642" s="850">
        <v>45478.0</v>
      </c>
      <c r="J1642" s="626">
        <v>45638.0</v>
      </c>
      <c r="K1642" s="73" t="s">
        <v>9292</v>
      </c>
      <c r="L1642" s="80"/>
      <c r="M1642" s="74" t="s">
        <v>9277</v>
      </c>
      <c r="N1642" s="74" t="s">
        <v>9278</v>
      </c>
      <c r="O1642" s="1001">
        <v>1.0</v>
      </c>
      <c r="P1642" s="928" t="s">
        <v>9279</v>
      </c>
      <c r="Q1642" s="49" t="str">
        <f t="array" ref="Q1642"> if(iserror(MATCH(V1642, 'File Links'!C:C, 0)), "N/A", HYPERLINK(INDEX('File Links'!B:B, MATCH(P1642, 'File Links'!C:C, 0))))</f>
        <v>https://drive.google.com/file/d/1EqvEPwgwndawziGmIPqgl3yNKOI51OAS/view?usp=drivesdk</v>
      </c>
      <c r="R1642" s="74" t="s">
        <v>9280</v>
      </c>
      <c r="S1642" s="74" t="s">
        <v>9281</v>
      </c>
      <c r="T1642" s="80"/>
      <c r="U1642" s="1002">
        <v>1.0</v>
      </c>
      <c r="V1642" s="195" t="str">
        <f t="shared" si="114"/>
        <v>10.18718--81781.23.pdf</v>
      </c>
      <c r="W1642" s="73" t="s">
        <v>2009</v>
      </c>
      <c r="X1642" s="51" t="str">
        <f t="array" ref="X1642"> if(iserror(MATCH(V1642, 'File Links'!C:C, 0)), "N/A", HYPERLINK(INDEX('File Links'!B:B, MATCH(V1642, 'File Links'!C:C, 0))))</f>
        <v>https://drive.google.com/file/d/1UFSIBKXNmPXd3__1cxrsTy9PbNax45wB/view?usp=drivesdk</v>
      </c>
      <c r="Y1642" s="80"/>
      <c r="Z1642" s="74" t="s">
        <v>1802</v>
      </c>
      <c r="AA1642" s="80" t="s">
        <v>9293</v>
      </c>
      <c r="AB1642" s="73" t="s">
        <v>9294</v>
      </c>
      <c r="AC1642" s="84" t="s">
        <v>9454</v>
      </c>
      <c r="AD1642" s="80" t="s">
        <v>9455</v>
      </c>
      <c r="AE1642" s="1762">
        <v>26.0</v>
      </c>
      <c r="AF1642" s="632">
        <f t="shared" si="115"/>
        <v>324</v>
      </c>
      <c r="AG1642" s="74" t="s">
        <v>9462</v>
      </c>
      <c r="AH1642" s="96" t="s">
        <v>127</v>
      </c>
      <c r="AI1642" s="74" t="s">
        <v>2434</v>
      </c>
      <c r="AJ1642" s="632">
        <v>0.05</v>
      </c>
      <c r="AK1642" s="92" t="s">
        <v>328</v>
      </c>
      <c r="AL1642" s="74" t="s">
        <v>129</v>
      </c>
      <c r="AM1642" s="80" t="s">
        <v>134</v>
      </c>
      <c r="AN1642" s="327" t="s">
        <v>131</v>
      </c>
      <c r="AO1642" s="632">
        <v>185.0</v>
      </c>
      <c r="AP1642" s="74" t="s">
        <v>9463</v>
      </c>
      <c r="AQ1642" s="74" t="s">
        <v>127</v>
      </c>
      <c r="AR1642" s="74" t="s">
        <v>1812</v>
      </c>
      <c r="AS1642" s="632">
        <v>0.01</v>
      </c>
      <c r="AT1642" s="92" t="s">
        <v>128</v>
      </c>
      <c r="AU1642" s="92" t="s">
        <v>129</v>
      </c>
      <c r="AV1642" s="91" t="s">
        <v>134</v>
      </c>
      <c r="AW1642" s="91"/>
      <c r="AX1642" s="91" t="s">
        <v>136</v>
      </c>
      <c r="AY1642" s="89"/>
      <c r="AZ1642" s="89"/>
    </row>
    <row r="1643">
      <c r="A1643" s="41">
        <v>1643.0</v>
      </c>
      <c r="B1643" s="70" t="s">
        <v>516</v>
      </c>
      <c r="C1643" s="70" t="s">
        <v>108</v>
      </c>
      <c r="D1643" s="70" t="s">
        <v>146</v>
      </c>
      <c r="E1643" s="71"/>
      <c r="F1643" s="91" t="s">
        <v>9274</v>
      </c>
      <c r="G1643" s="74" t="s">
        <v>9464</v>
      </c>
      <c r="H1643" s="74" t="s">
        <v>146</v>
      </c>
      <c r="I1643" s="850">
        <v>45478.0</v>
      </c>
      <c r="J1643" s="626">
        <v>45638.0</v>
      </c>
      <c r="K1643" s="73" t="s">
        <v>9292</v>
      </c>
      <c r="L1643" s="80"/>
      <c r="M1643" s="74" t="s">
        <v>9277</v>
      </c>
      <c r="N1643" s="74" t="s">
        <v>9278</v>
      </c>
      <c r="O1643" s="1001">
        <v>1.0</v>
      </c>
      <c r="P1643" s="928" t="s">
        <v>9279</v>
      </c>
      <c r="Q1643" s="49" t="str">
        <f t="array" ref="Q1643"> if(iserror(MATCH(V1643, 'File Links'!C:C, 0)), "N/A", HYPERLINK(INDEX('File Links'!B:B, MATCH(P1643, 'File Links'!C:C, 0))))</f>
        <v>https://drive.google.com/file/d/1EqvEPwgwndawziGmIPqgl3yNKOI51OAS/view?usp=drivesdk</v>
      </c>
      <c r="R1643" s="74" t="s">
        <v>9280</v>
      </c>
      <c r="S1643" s="74" t="s">
        <v>9281</v>
      </c>
      <c r="T1643" s="80"/>
      <c r="U1643" s="1002">
        <v>1.0</v>
      </c>
      <c r="V1643" s="195" t="str">
        <f t="shared" si="114"/>
        <v>10.18718--81781.23.pdf</v>
      </c>
      <c r="W1643" s="73" t="s">
        <v>2009</v>
      </c>
      <c r="X1643" s="51" t="str">
        <f t="array" ref="X1643"> if(iserror(MATCH(V1643, 'File Links'!C:C, 0)), "N/A", HYPERLINK(INDEX('File Links'!B:B, MATCH(V1643, 'File Links'!C:C, 0))))</f>
        <v>https://drive.google.com/file/d/1UFSIBKXNmPXd3__1cxrsTy9PbNax45wB/view?usp=drivesdk</v>
      </c>
      <c r="Y1643" s="80"/>
      <c r="Z1643" s="74" t="s">
        <v>1802</v>
      </c>
      <c r="AA1643" s="80" t="s">
        <v>9293</v>
      </c>
      <c r="AB1643" s="73" t="s">
        <v>9294</v>
      </c>
      <c r="AC1643" s="84" t="s">
        <v>9465</v>
      </c>
      <c r="AD1643" s="80" t="s">
        <v>9455</v>
      </c>
      <c r="AE1643" s="1762">
        <v>26.0</v>
      </c>
      <c r="AF1643" s="632">
        <f t="shared" si="115"/>
        <v>324</v>
      </c>
      <c r="AG1643" s="80" t="s">
        <v>9466</v>
      </c>
      <c r="AH1643" s="96" t="s">
        <v>127</v>
      </c>
      <c r="AI1643" s="74" t="s">
        <v>6328</v>
      </c>
      <c r="AJ1643" s="632">
        <v>0.05</v>
      </c>
      <c r="AK1643" s="92" t="s">
        <v>328</v>
      </c>
      <c r="AL1643" s="74" t="s">
        <v>129</v>
      </c>
      <c r="AM1643" s="80" t="s">
        <v>134</v>
      </c>
      <c r="AN1643" s="327" t="s">
        <v>131</v>
      </c>
      <c r="AO1643" s="632">
        <v>185.0</v>
      </c>
      <c r="AP1643" s="74" t="s">
        <v>9467</v>
      </c>
      <c r="AQ1643" s="74" t="s">
        <v>127</v>
      </c>
      <c r="AR1643" s="74" t="s">
        <v>7715</v>
      </c>
      <c r="AS1643" s="632">
        <v>0.05</v>
      </c>
      <c r="AT1643" s="92" t="s">
        <v>328</v>
      </c>
      <c r="AU1643" s="92" t="s">
        <v>129</v>
      </c>
      <c r="AV1643" s="91" t="s">
        <v>134</v>
      </c>
      <c r="AW1643" s="91"/>
      <c r="AX1643" s="91" t="s">
        <v>136</v>
      </c>
      <c r="AY1643" s="89"/>
      <c r="AZ1643" s="89"/>
    </row>
    <row r="1644">
      <c r="A1644" s="41">
        <v>1644.0</v>
      </c>
      <c r="B1644" s="70" t="s">
        <v>516</v>
      </c>
      <c r="C1644" s="70" t="s">
        <v>108</v>
      </c>
      <c r="D1644" s="70" t="s">
        <v>146</v>
      </c>
      <c r="E1644" s="71"/>
      <c r="F1644" s="91" t="s">
        <v>9274</v>
      </c>
      <c r="G1644" s="74" t="s">
        <v>9468</v>
      </c>
      <c r="H1644" s="74" t="s">
        <v>146</v>
      </c>
      <c r="I1644" s="850">
        <v>45478.0</v>
      </c>
      <c r="J1644" s="626">
        <v>45638.0</v>
      </c>
      <c r="K1644" s="73" t="s">
        <v>9292</v>
      </c>
      <c r="L1644" s="80"/>
      <c r="M1644" s="74" t="s">
        <v>9277</v>
      </c>
      <c r="N1644" s="74" t="s">
        <v>9278</v>
      </c>
      <c r="O1644" s="1001">
        <v>1.0</v>
      </c>
      <c r="P1644" s="928" t="s">
        <v>9279</v>
      </c>
      <c r="Q1644" s="49" t="str">
        <f t="array" ref="Q1644"> if(iserror(MATCH(V1644, 'File Links'!C:C, 0)), "N/A", HYPERLINK(INDEX('File Links'!B:B, MATCH(P1644, 'File Links'!C:C, 0))))</f>
        <v>https://drive.google.com/file/d/1EqvEPwgwndawziGmIPqgl3yNKOI51OAS/view?usp=drivesdk</v>
      </c>
      <c r="R1644" s="74" t="s">
        <v>9280</v>
      </c>
      <c r="S1644" s="74" t="s">
        <v>9281</v>
      </c>
      <c r="T1644" s="80"/>
      <c r="U1644" s="1002">
        <v>1.0</v>
      </c>
      <c r="V1644" s="195" t="str">
        <f t="shared" si="114"/>
        <v>10.18718--81781.23.pdf</v>
      </c>
      <c r="W1644" s="73" t="s">
        <v>2009</v>
      </c>
      <c r="X1644" s="51" t="str">
        <f t="array" ref="X1644"> if(iserror(MATCH(V1644, 'File Links'!C:C, 0)), "N/A", HYPERLINK(INDEX('File Links'!B:B, MATCH(V1644, 'File Links'!C:C, 0))))</f>
        <v>https://drive.google.com/file/d/1UFSIBKXNmPXd3__1cxrsTy9PbNax45wB/view?usp=drivesdk</v>
      </c>
      <c r="Y1644" s="80"/>
      <c r="Z1644" s="74" t="s">
        <v>1802</v>
      </c>
      <c r="AA1644" s="80" t="s">
        <v>9293</v>
      </c>
      <c r="AB1644" s="73" t="s">
        <v>9294</v>
      </c>
      <c r="AC1644" s="84" t="s">
        <v>9465</v>
      </c>
      <c r="AD1644" s="80" t="s">
        <v>9455</v>
      </c>
      <c r="AE1644" s="1762">
        <v>26.0</v>
      </c>
      <c r="AF1644" s="632">
        <f t="shared" si="115"/>
        <v>324</v>
      </c>
      <c r="AG1644" s="80" t="s">
        <v>9469</v>
      </c>
      <c r="AH1644" s="96" t="s">
        <v>127</v>
      </c>
      <c r="AI1644" s="74" t="s">
        <v>6328</v>
      </c>
      <c r="AJ1644" s="632">
        <v>0.1</v>
      </c>
      <c r="AK1644" s="92" t="s">
        <v>128</v>
      </c>
      <c r="AL1644" s="74" t="s">
        <v>129</v>
      </c>
      <c r="AM1644" s="80" t="s">
        <v>134</v>
      </c>
      <c r="AN1644" s="327" t="s">
        <v>131</v>
      </c>
      <c r="AO1644" s="632">
        <v>185.0</v>
      </c>
      <c r="AP1644" s="74" t="s">
        <v>9470</v>
      </c>
      <c r="AQ1644" s="74" t="s">
        <v>127</v>
      </c>
      <c r="AR1644" s="74" t="s">
        <v>1166</v>
      </c>
      <c r="AS1644" s="632">
        <v>0.05</v>
      </c>
      <c r="AT1644" s="92" t="s">
        <v>328</v>
      </c>
      <c r="AU1644" s="92" t="s">
        <v>129</v>
      </c>
      <c r="AV1644" s="91" t="s">
        <v>134</v>
      </c>
      <c r="AW1644" s="91"/>
      <c r="AX1644" s="91" t="s">
        <v>136</v>
      </c>
      <c r="AY1644" s="89"/>
      <c r="AZ1644" s="89"/>
    </row>
    <row r="1645">
      <c r="A1645" s="41">
        <v>1645.0</v>
      </c>
      <c r="B1645" s="70" t="s">
        <v>516</v>
      </c>
      <c r="C1645" s="70" t="s">
        <v>108</v>
      </c>
      <c r="D1645" s="70" t="s">
        <v>146</v>
      </c>
      <c r="E1645" s="71"/>
      <c r="F1645" s="91" t="s">
        <v>9274</v>
      </c>
      <c r="G1645" s="74" t="s">
        <v>9471</v>
      </c>
      <c r="H1645" s="74" t="s">
        <v>146</v>
      </c>
      <c r="I1645" s="850">
        <v>45478.0</v>
      </c>
      <c r="J1645" s="626">
        <v>45638.0</v>
      </c>
      <c r="K1645" s="73" t="s">
        <v>9292</v>
      </c>
      <c r="L1645" s="80"/>
      <c r="M1645" s="74" t="s">
        <v>9277</v>
      </c>
      <c r="N1645" s="74" t="s">
        <v>9278</v>
      </c>
      <c r="O1645" s="1001">
        <v>1.0</v>
      </c>
      <c r="P1645" s="928" t="s">
        <v>9279</v>
      </c>
      <c r="Q1645" s="49" t="str">
        <f t="array" ref="Q1645"> if(iserror(MATCH(V1645, 'File Links'!C:C, 0)), "N/A", HYPERLINK(INDEX('File Links'!B:B, MATCH(P1645, 'File Links'!C:C, 0))))</f>
        <v>https://drive.google.com/file/d/1EqvEPwgwndawziGmIPqgl3yNKOI51OAS/view?usp=drivesdk</v>
      </c>
      <c r="R1645" s="74" t="s">
        <v>9280</v>
      </c>
      <c r="S1645" s="74" t="s">
        <v>9281</v>
      </c>
      <c r="T1645" s="80"/>
      <c r="U1645" s="1002">
        <v>1.0</v>
      </c>
      <c r="V1645" s="195" t="str">
        <f t="shared" si="114"/>
        <v>10.18718--81781.23.pdf</v>
      </c>
      <c r="W1645" s="73" t="s">
        <v>2009</v>
      </c>
      <c r="X1645" s="51" t="str">
        <f t="array" ref="X1645"> if(iserror(MATCH(V1645, 'File Links'!C:C, 0)), "N/A", HYPERLINK(INDEX('File Links'!B:B, MATCH(V1645, 'File Links'!C:C, 0))))</f>
        <v>https://drive.google.com/file/d/1UFSIBKXNmPXd3__1cxrsTy9PbNax45wB/view?usp=drivesdk</v>
      </c>
      <c r="Y1645" s="80"/>
      <c r="Z1645" s="74" t="s">
        <v>1802</v>
      </c>
      <c r="AA1645" s="80" t="s">
        <v>9293</v>
      </c>
      <c r="AB1645" s="73" t="s">
        <v>9294</v>
      </c>
      <c r="AC1645" s="84" t="s">
        <v>9465</v>
      </c>
      <c r="AD1645" s="80" t="s">
        <v>9455</v>
      </c>
      <c r="AE1645" s="1762">
        <v>26.0</v>
      </c>
      <c r="AF1645" s="632">
        <f t="shared" si="115"/>
        <v>324</v>
      </c>
      <c r="AG1645" s="74" t="s">
        <v>9472</v>
      </c>
      <c r="AH1645" s="96" t="s">
        <v>127</v>
      </c>
      <c r="AI1645" s="74" t="s">
        <v>6328</v>
      </c>
      <c r="AJ1645" s="632">
        <v>0.05</v>
      </c>
      <c r="AK1645" s="92" t="s">
        <v>328</v>
      </c>
      <c r="AL1645" s="74" t="s">
        <v>129</v>
      </c>
      <c r="AM1645" s="80" t="s">
        <v>134</v>
      </c>
      <c r="AN1645" s="327" t="s">
        <v>131</v>
      </c>
      <c r="AO1645" s="632">
        <v>185.0</v>
      </c>
      <c r="AP1645" s="74" t="s">
        <v>9473</v>
      </c>
      <c r="AQ1645" s="74" t="s">
        <v>127</v>
      </c>
      <c r="AR1645" s="74" t="s">
        <v>1812</v>
      </c>
      <c r="AS1645" s="632">
        <v>0.05</v>
      </c>
      <c r="AT1645" s="92" t="s">
        <v>328</v>
      </c>
      <c r="AU1645" s="92" t="s">
        <v>129</v>
      </c>
      <c r="AV1645" s="91" t="s">
        <v>134</v>
      </c>
      <c r="AW1645" s="91"/>
      <c r="AX1645" s="91" t="s">
        <v>136</v>
      </c>
      <c r="AY1645" s="89"/>
      <c r="AZ1645" s="89"/>
    </row>
    <row r="1646">
      <c r="A1646" s="41">
        <v>1646.0</v>
      </c>
      <c r="B1646" s="59" t="s">
        <v>278</v>
      </c>
      <c r="C1646" s="59" t="s">
        <v>108</v>
      </c>
      <c r="D1646" s="59" t="s">
        <v>2049</v>
      </c>
      <c r="F1646" s="65" t="s">
        <v>9474</v>
      </c>
      <c r="G1646" s="54" t="s">
        <v>9475</v>
      </c>
      <c r="H1646" s="156" t="s">
        <v>2052</v>
      </c>
      <c r="I1646" s="149">
        <v>45478.0</v>
      </c>
      <c r="J1646" s="149">
        <v>45633.0</v>
      </c>
      <c r="K1646" s="156" t="s">
        <v>9476</v>
      </c>
      <c r="L1646" s="65"/>
      <c r="M1646" s="156" t="s">
        <v>9477</v>
      </c>
      <c r="N1646" s="148" t="s">
        <v>9478</v>
      </c>
      <c r="O1646" s="156" t="s">
        <v>2863</v>
      </c>
      <c r="P1646" s="603" t="str">
        <f t="shared" ref="P1646:P1647" si="116">SUBSTITUTE(LOWER(N1646), "/", "--") &amp;  ".pdf"</f>
        <v>10.1257--mac.20130176.pdf</v>
      </c>
      <c r="Q1646" s="49" t="str">
        <f t="array" ref="Q1646"> if(iserror(MATCH(V1646, 'File Links'!C:C, 0)), "N/A", HYPERLINK(INDEX('File Links'!B:B, MATCH(P1646, 'File Links'!C:C, 0))))</f>
        <v>https://drive.google.com/file/d/1UuuzoS4yQn13IfYEyBMumYOQfdcrosni/view?usp=drivesdk</v>
      </c>
      <c r="R1646" s="156" t="s">
        <v>9479</v>
      </c>
      <c r="S1646" s="156" t="s">
        <v>9480</v>
      </c>
      <c r="T1646" s="65"/>
      <c r="U1646" s="98" t="s">
        <v>131</v>
      </c>
      <c r="V1646" s="195" t="str">
        <f t="shared" si="114"/>
        <v>10.18718--81781.24.pdf</v>
      </c>
      <c r="W1646" s="156" t="s">
        <v>9481</v>
      </c>
      <c r="X1646" s="51" t="str">
        <f t="array" ref="X1646"> if(iserror(MATCH(V1646, 'File Links'!C:C, 0)), "N/A", HYPERLINK(INDEX('File Links'!B:B, MATCH(V1646, 'File Links'!C:C, 0))))</f>
        <v>https://drive.google.com/file/d/12vw9kcWfNgIH1QJC1wzCOEbjp_P3Df3W/view?usp=drivesdk</v>
      </c>
      <c r="Y1646" s="65"/>
      <c r="Z1646" s="156" t="s">
        <v>1802</v>
      </c>
      <c r="AA1646" s="156" t="s">
        <v>9482</v>
      </c>
      <c r="AB1646" s="65"/>
      <c r="AC1646" s="156" t="s">
        <v>9483</v>
      </c>
      <c r="AD1646" s="65"/>
      <c r="AE1646" s="65"/>
      <c r="AF1646" s="65"/>
      <c r="AG1646" s="65"/>
      <c r="AH1646" s="335"/>
      <c r="AI1646" s="58"/>
      <c r="AJ1646" s="58"/>
      <c r="AK1646" s="65"/>
      <c r="AL1646" s="58"/>
      <c r="AM1646" s="65"/>
      <c r="AN1646" s="327" t="s">
        <v>131</v>
      </c>
      <c r="AO1646" s="65"/>
      <c r="AP1646" s="65"/>
      <c r="AQ1646" s="65"/>
      <c r="AR1646" s="65"/>
      <c r="AS1646" s="65"/>
      <c r="AT1646" s="65"/>
      <c r="AU1646" s="65"/>
      <c r="AV1646" s="65"/>
      <c r="AW1646" s="65"/>
      <c r="AX1646" s="65" t="s">
        <v>136</v>
      </c>
    </row>
    <row r="1647">
      <c r="A1647" s="41">
        <v>1647.0</v>
      </c>
      <c r="B1647" s="126" t="s">
        <v>516</v>
      </c>
      <c r="C1647" s="59" t="s">
        <v>108</v>
      </c>
      <c r="D1647" s="59" t="s">
        <v>1263</v>
      </c>
      <c r="F1647" s="65" t="s">
        <v>9474</v>
      </c>
      <c r="G1647" s="156" t="s">
        <v>9475</v>
      </c>
      <c r="H1647" s="156" t="s">
        <v>2060</v>
      </c>
      <c r="I1647" s="149">
        <v>45478.0</v>
      </c>
      <c r="J1647" s="149">
        <v>45681.0</v>
      </c>
      <c r="K1647" s="65"/>
      <c r="L1647" s="65"/>
      <c r="M1647" s="156" t="s">
        <v>9477</v>
      </c>
      <c r="N1647" s="148" t="s">
        <v>9478</v>
      </c>
      <c r="O1647" s="65"/>
      <c r="P1647" s="603" t="str">
        <f t="shared" si="116"/>
        <v>10.1257--mac.20130176.pdf</v>
      </c>
      <c r="Q1647" s="49" t="str">
        <f t="array" ref="Q1647"> if(iserror(MATCH(V1647, 'File Links'!C:C, 0)), "N/A", HYPERLINK(INDEX('File Links'!B:B, MATCH(P1647, 'File Links'!C:C, 0))))</f>
        <v>https://drive.google.com/file/d/1UuuzoS4yQn13IfYEyBMumYOQfdcrosni/view?usp=drivesdk</v>
      </c>
      <c r="R1647" s="65" t="s">
        <v>9479</v>
      </c>
      <c r="S1647" s="156" t="s">
        <v>9480</v>
      </c>
      <c r="T1647" s="65"/>
      <c r="U1647" s="859"/>
      <c r="V1647" s="195" t="str">
        <f t="shared" si="114"/>
        <v>10.18718--81781.24.pdf</v>
      </c>
      <c r="W1647" s="65"/>
      <c r="X1647" s="51" t="str">
        <f t="array" ref="X1647"> if(iserror(MATCH(V1647, 'File Links'!C:C, 0)), "N/A", HYPERLINK(INDEX('File Links'!B:B, MATCH(V1647, 'File Links'!C:C, 0))))</f>
        <v>https://drive.google.com/file/d/12vw9kcWfNgIH1QJC1wzCOEbjp_P3Df3W/view?usp=drivesdk</v>
      </c>
      <c r="Y1647" s="307" t="s">
        <v>9484</v>
      </c>
      <c r="Z1647" s="156" t="s">
        <v>1802</v>
      </c>
      <c r="AA1647" s="65"/>
      <c r="AB1647" s="570"/>
      <c r="AC1647" s="1763"/>
      <c r="AD1647" s="65"/>
      <c r="AE1647" s="65"/>
      <c r="AF1647" s="65"/>
      <c r="AG1647" s="65"/>
      <c r="AH1647" s="570"/>
      <c r="AI1647" s="1763"/>
      <c r="AJ1647" s="65"/>
      <c r="AK1647" s="65"/>
      <c r="AL1647" s="65"/>
      <c r="AM1647" s="65"/>
      <c r="AN1647" s="327" t="s">
        <v>131</v>
      </c>
      <c r="AO1647" s="65"/>
      <c r="AP1647" s="65"/>
      <c r="AQ1647" s="65"/>
      <c r="AR1647" s="65"/>
      <c r="AS1647" s="65"/>
      <c r="AT1647" s="65"/>
      <c r="AU1647" s="65"/>
      <c r="AV1647" s="65"/>
      <c r="AW1647" s="65"/>
      <c r="AX1647" s="65"/>
    </row>
    <row r="1648">
      <c r="A1648" s="41">
        <v>1648.0</v>
      </c>
      <c r="B1648" s="90" t="s">
        <v>278</v>
      </c>
      <c r="C1648" s="90" t="s">
        <v>108</v>
      </c>
      <c r="D1648" s="90" t="s">
        <v>2049</v>
      </c>
      <c r="E1648" s="89"/>
      <c r="F1648" s="91" t="s">
        <v>9485</v>
      </c>
      <c r="G1648" s="74" t="s">
        <v>9486</v>
      </c>
      <c r="H1648" s="92" t="s">
        <v>2052</v>
      </c>
      <c r="I1648" s="850">
        <v>45478.0</v>
      </c>
      <c r="J1648" s="850">
        <v>45633.0</v>
      </c>
      <c r="K1648" s="92" t="s">
        <v>7633</v>
      </c>
      <c r="L1648" s="91"/>
      <c r="M1648" s="92" t="s">
        <v>9487</v>
      </c>
      <c r="N1648" s="92" t="s">
        <v>9488</v>
      </c>
      <c r="O1648" s="92" t="s">
        <v>2863</v>
      </c>
      <c r="P1648" s="934" t="s">
        <v>9489</v>
      </c>
      <c r="Q1648" s="49" t="str">
        <f t="array" ref="Q1648"> if(iserror(MATCH(V1648, 'File Links'!C:C, 0)), "N/A", HYPERLINK(INDEX('File Links'!B:B, MATCH(P1648, 'File Links'!C:C, 0))))</f>
        <v>https://drive.google.com/file/d/1MSm1yoidPn8M-5atsMIFyyg354c4jcsA/view?usp=drivesdk</v>
      </c>
      <c r="R1648" s="92" t="s">
        <v>9490</v>
      </c>
      <c r="S1648" s="92" t="s">
        <v>9491</v>
      </c>
      <c r="T1648" s="91"/>
      <c r="U1648" s="98" t="s">
        <v>131</v>
      </c>
      <c r="V1648" s="195" t="str">
        <f t="shared" si="114"/>
        <v>10.18718--81781.27.pdf</v>
      </c>
      <c r="W1648" s="92" t="s">
        <v>9492</v>
      </c>
      <c r="X1648" s="51" t="str">
        <f t="array" ref="X1648"> if(iserror(MATCH(V1648, 'File Links'!C:C, 0)), "N/A", HYPERLINK(INDEX('File Links'!B:B, MATCH(V1648, 'File Links'!C:C, 0))))</f>
        <v>https://drive.google.com/file/d/1B0bpIVPknZVh5AfVAO6FnFkgh37GF9dx/view?usp=drivesdk</v>
      </c>
      <c r="Y1648" s="91"/>
      <c r="Z1648" s="92" t="s">
        <v>219</v>
      </c>
      <c r="AA1648" s="92" t="s">
        <v>7633</v>
      </c>
      <c r="AB1648" s="91"/>
      <c r="AC1648" s="92" t="s">
        <v>9493</v>
      </c>
      <c r="AD1648" s="92" t="s">
        <v>9494</v>
      </c>
      <c r="AE1648" s="92" t="s">
        <v>9495</v>
      </c>
      <c r="AF1648" s="95">
        <v>70.0</v>
      </c>
      <c r="AG1648" s="95">
        <v>-0.004</v>
      </c>
      <c r="AH1648" s="191" t="s">
        <v>353</v>
      </c>
      <c r="AI1648" s="74" t="s">
        <v>9496</v>
      </c>
      <c r="AJ1648" s="632">
        <v>0.583</v>
      </c>
      <c r="AK1648" s="92" t="s">
        <v>165</v>
      </c>
      <c r="AL1648" s="74" t="s">
        <v>179</v>
      </c>
      <c r="AM1648" s="91" t="s">
        <v>130</v>
      </c>
      <c r="AN1648" s="327" t="s">
        <v>131</v>
      </c>
      <c r="AO1648" s="95">
        <v>137.0</v>
      </c>
      <c r="AP1648" s="95">
        <v>0.319</v>
      </c>
      <c r="AQ1648" s="156" t="s">
        <v>353</v>
      </c>
      <c r="AR1648" s="92" t="s">
        <v>806</v>
      </c>
      <c r="AS1648" s="1764">
        <v>0.924</v>
      </c>
      <c r="AT1648" s="92" t="s">
        <v>165</v>
      </c>
      <c r="AU1648" s="92" t="s">
        <v>179</v>
      </c>
      <c r="AV1648" s="91" t="s">
        <v>130</v>
      </c>
      <c r="AW1648" s="91" t="s">
        <v>2863</v>
      </c>
      <c r="AX1648" s="91" t="s">
        <v>136</v>
      </c>
      <c r="AY1648" s="89"/>
      <c r="AZ1648" s="89"/>
    </row>
    <row r="1649">
      <c r="A1649" s="41">
        <v>1649.0</v>
      </c>
      <c r="B1649" s="90" t="s">
        <v>278</v>
      </c>
      <c r="C1649" s="90" t="s">
        <v>108</v>
      </c>
      <c r="D1649" s="90" t="s">
        <v>2049</v>
      </c>
      <c r="E1649" s="89"/>
      <c r="F1649" s="91" t="s">
        <v>9485</v>
      </c>
      <c r="G1649" s="74" t="s">
        <v>9486</v>
      </c>
      <c r="H1649" s="92" t="s">
        <v>2904</v>
      </c>
      <c r="I1649" s="850">
        <v>45633.0</v>
      </c>
      <c r="J1649" s="1765"/>
      <c r="K1649" s="92" t="s">
        <v>9497</v>
      </c>
      <c r="L1649" s="91"/>
      <c r="M1649" s="92" t="s">
        <v>9487</v>
      </c>
      <c r="N1649" s="92" t="s">
        <v>9488</v>
      </c>
      <c r="O1649" s="92" t="s">
        <v>2863</v>
      </c>
      <c r="P1649" s="934" t="s">
        <v>9489</v>
      </c>
      <c r="Q1649" s="49" t="str">
        <f t="array" ref="Q1649"> if(iserror(MATCH(V1649, 'File Links'!C:C, 0)), "N/A", HYPERLINK(INDEX('File Links'!B:B, MATCH(P1649, 'File Links'!C:C, 0))))</f>
        <v>https://drive.google.com/file/d/1MSm1yoidPn8M-5atsMIFyyg354c4jcsA/view?usp=drivesdk</v>
      </c>
      <c r="R1649" s="92" t="s">
        <v>9490</v>
      </c>
      <c r="S1649" s="92" t="s">
        <v>9491</v>
      </c>
      <c r="T1649" s="91"/>
      <c r="U1649" s="98" t="s">
        <v>131</v>
      </c>
      <c r="V1649" s="195" t="str">
        <f t="shared" si="114"/>
        <v>10.18718--81781.27.pdf</v>
      </c>
      <c r="W1649" s="92" t="s">
        <v>9492</v>
      </c>
      <c r="X1649" s="51" t="str">
        <f t="array" ref="X1649"> if(iserror(MATCH(V1649, 'File Links'!C:C, 0)), "N/A", HYPERLINK(INDEX('File Links'!B:B, MATCH(V1649, 'File Links'!C:C, 0))))</f>
        <v>https://drive.google.com/file/d/1B0bpIVPknZVh5AfVAO6FnFkgh37GF9dx/view?usp=drivesdk</v>
      </c>
      <c r="Y1649" s="91"/>
      <c r="Z1649" s="92" t="s">
        <v>219</v>
      </c>
      <c r="AA1649" s="92" t="s">
        <v>2863</v>
      </c>
      <c r="AB1649" s="91"/>
      <c r="AC1649" s="92" t="s">
        <v>9498</v>
      </c>
      <c r="AD1649" s="92" t="s">
        <v>9499</v>
      </c>
      <c r="AE1649" s="92" t="s">
        <v>9495</v>
      </c>
      <c r="AF1649" s="95">
        <v>70.0</v>
      </c>
      <c r="AG1649" s="91"/>
      <c r="AH1649" s="592"/>
      <c r="AI1649" s="80"/>
      <c r="AJ1649" s="1766">
        <v>0.594</v>
      </c>
      <c r="AK1649" s="92" t="s">
        <v>165</v>
      </c>
      <c r="AL1649" s="74" t="s">
        <v>179</v>
      </c>
      <c r="AM1649" s="91" t="s">
        <v>130</v>
      </c>
      <c r="AN1649" s="327" t="s">
        <v>131</v>
      </c>
      <c r="AO1649" s="95">
        <v>69.0</v>
      </c>
      <c r="AP1649" s="91"/>
      <c r="AQ1649" s="91"/>
      <c r="AR1649" s="91"/>
      <c r="AS1649" s="1764">
        <v>0.699</v>
      </c>
      <c r="AT1649" s="92" t="s">
        <v>165</v>
      </c>
      <c r="AU1649" s="92" t="s">
        <v>179</v>
      </c>
      <c r="AV1649" s="91" t="s">
        <v>130</v>
      </c>
      <c r="AW1649" s="91" t="s">
        <v>2863</v>
      </c>
      <c r="AX1649" s="91" t="s">
        <v>136</v>
      </c>
      <c r="AY1649" s="89"/>
      <c r="AZ1649" s="89"/>
    </row>
    <row r="1650">
      <c r="A1650" s="41">
        <v>1650.0</v>
      </c>
      <c r="B1650" s="90" t="s">
        <v>278</v>
      </c>
      <c r="C1650" s="90" t="s">
        <v>108</v>
      </c>
      <c r="D1650" s="90" t="s">
        <v>2049</v>
      </c>
      <c r="E1650" s="89"/>
      <c r="F1650" s="91" t="s">
        <v>9485</v>
      </c>
      <c r="G1650" s="74" t="s">
        <v>9486</v>
      </c>
      <c r="H1650" s="92" t="s">
        <v>2904</v>
      </c>
      <c r="I1650" s="850">
        <v>45633.0</v>
      </c>
      <c r="J1650" s="1765"/>
      <c r="K1650" s="92" t="s">
        <v>9500</v>
      </c>
      <c r="L1650" s="91"/>
      <c r="M1650" s="92" t="s">
        <v>9487</v>
      </c>
      <c r="N1650" s="92" t="s">
        <v>9488</v>
      </c>
      <c r="O1650" s="92" t="s">
        <v>2863</v>
      </c>
      <c r="P1650" s="934" t="s">
        <v>9489</v>
      </c>
      <c r="Q1650" s="49" t="str">
        <f t="array" ref="Q1650"> if(iserror(MATCH(V1650, 'File Links'!C:C, 0)), "N/A", HYPERLINK(INDEX('File Links'!B:B, MATCH(P1650, 'File Links'!C:C, 0))))</f>
        <v>https://drive.google.com/file/d/1MSm1yoidPn8M-5atsMIFyyg354c4jcsA/view?usp=drivesdk</v>
      </c>
      <c r="R1650" s="92" t="s">
        <v>9490</v>
      </c>
      <c r="S1650" s="92" t="s">
        <v>9491</v>
      </c>
      <c r="T1650" s="91"/>
      <c r="U1650" s="98" t="s">
        <v>131</v>
      </c>
      <c r="V1650" s="195" t="str">
        <f t="shared" si="114"/>
        <v>10.18718--81781.27.pdf</v>
      </c>
      <c r="W1650" s="92" t="s">
        <v>9492</v>
      </c>
      <c r="X1650" s="51" t="str">
        <f t="array" ref="X1650"> if(iserror(MATCH(V1650, 'File Links'!C:C, 0)), "N/A", HYPERLINK(INDEX('File Links'!B:B, MATCH(V1650, 'File Links'!C:C, 0))))</f>
        <v>https://drive.google.com/file/d/1B0bpIVPknZVh5AfVAO6FnFkgh37GF9dx/view?usp=drivesdk</v>
      </c>
      <c r="Y1650" s="91"/>
      <c r="Z1650" s="92" t="s">
        <v>219</v>
      </c>
      <c r="AA1650" s="92" t="s">
        <v>2863</v>
      </c>
      <c r="AB1650" s="91"/>
      <c r="AC1650" s="92" t="s">
        <v>9498</v>
      </c>
      <c r="AD1650" s="92" t="s">
        <v>9501</v>
      </c>
      <c r="AE1650" s="92" t="s">
        <v>9495</v>
      </c>
      <c r="AF1650" s="95">
        <v>70.0</v>
      </c>
      <c r="AG1650" s="95">
        <v>1.097</v>
      </c>
      <c r="AH1650" s="191" t="s">
        <v>353</v>
      </c>
      <c r="AI1650" s="74" t="s">
        <v>9496</v>
      </c>
      <c r="AJ1650" s="1766">
        <v>1.0E-4</v>
      </c>
      <c r="AK1650" s="92" t="s">
        <v>165</v>
      </c>
      <c r="AL1650" s="74" t="s">
        <v>179</v>
      </c>
      <c r="AM1650" s="91" t="s">
        <v>130</v>
      </c>
      <c r="AN1650" s="327" t="s">
        <v>131</v>
      </c>
      <c r="AO1650" s="95">
        <v>68.0</v>
      </c>
      <c r="AP1650" s="95">
        <v>0.259</v>
      </c>
      <c r="AQ1650" s="156" t="s">
        <v>353</v>
      </c>
      <c r="AR1650" s="92" t="s">
        <v>806</v>
      </c>
      <c r="AS1650" s="1764">
        <v>0.665</v>
      </c>
      <c r="AT1650" s="92" t="s">
        <v>165</v>
      </c>
      <c r="AU1650" s="92" t="s">
        <v>179</v>
      </c>
      <c r="AV1650" s="91" t="s">
        <v>130</v>
      </c>
      <c r="AW1650" s="91" t="s">
        <v>2863</v>
      </c>
      <c r="AX1650" s="91" t="s">
        <v>136</v>
      </c>
      <c r="AY1650" s="89"/>
      <c r="AZ1650" s="89"/>
    </row>
    <row r="1651">
      <c r="A1651" s="41">
        <v>1651.0</v>
      </c>
      <c r="B1651" s="126" t="s">
        <v>516</v>
      </c>
      <c r="C1651" s="59" t="s">
        <v>108</v>
      </c>
      <c r="D1651" s="59" t="s">
        <v>1263</v>
      </c>
      <c r="F1651" s="65" t="s">
        <v>9485</v>
      </c>
      <c r="G1651" s="156" t="s">
        <v>9486</v>
      </c>
      <c r="H1651" s="156" t="s">
        <v>2060</v>
      </c>
      <c r="I1651" s="149">
        <v>45478.0</v>
      </c>
      <c r="J1651" s="149">
        <v>45681.0</v>
      </c>
      <c r="K1651" s="156" t="s">
        <v>9502</v>
      </c>
      <c r="L1651" s="65"/>
      <c r="M1651" s="156" t="s">
        <v>9487</v>
      </c>
      <c r="N1651" s="156" t="s">
        <v>9488</v>
      </c>
      <c r="O1651" s="65"/>
      <c r="P1651" s="603" t="str">
        <f t="shared" ref="P1651:P1653" si="117">SUBSTITUTE(LOWER(N1651), "/", "--") &amp;  ".pdf"</f>
        <v>10.1002--soej.12223.pdf</v>
      </c>
      <c r="Q1651" s="49" t="str">
        <f t="array" ref="Q1651"> if(iserror(MATCH(V1651, 'File Links'!C:C, 0)), "N/A", HYPERLINK(INDEX('File Links'!B:B, MATCH(P1651, 'File Links'!C:C, 0))))</f>
        <v>https://drive.google.com/file/d/1MSm1yoidPn8M-5atsMIFyyg354c4jcsA/view?usp=drivesdk</v>
      </c>
      <c r="R1651" s="156" t="s">
        <v>9490</v>
      </c>
      <c r="S1651" s="156" t="s">
        <v>9491</v>
      </c>
      <c r="T1651" s="65"/>
      <c r="U1651" s="65"/>
      <c r="V1651" s="195" t="str">
        <f t="shared" si="114"/>
        <v>10.18718--81781.27.pdf</v>
      </c>
      <c r="W1651" s="156" t="s">
        <v>6603</v>
      </c>
      <c r="X1651" s="51" t="str">
        <f t="array" ref="X1651"> if(iserror(MATCH(V1651, 'File Links'!C:C, 0)), "N/A", HYPERLINK(INDEX('File Links'!B:B, MATCH(V1651, 'File Links'!C:C, 0))))</f>
        <v>https://drive.google.com/file/d/1B0bpIVPknZVh5AfVAO6FnFkgh37GF9dx/view?usp=drivesdk</v>
      </c>
      <c r="Y1651" s="65"/>
      <c r="Z1651" s="156" t="s">
        <v>1802</v>
      </c>
      <c r="AA1651" s="65"/>
      <c r="AB1651" s="156" t="s">
        <v>9503</v>
      </c>
      <c r="AC1651" s="65"/>
      <c r="AD1651" s="156" t="s">
        <v>9504</v>
      </c>
      <c r="AE1651" s="156" t="s">
        <v>9505</v>
      </c>
      <c r="AF1651" s="153">
        <v>140.0</v>
      </c>
      <c r="AG1651" s="153">
        <v>0.031</v>
      </c>
      <c r="AH1651" s="156" t="s">
        <v>166</v>
      </c>
      <c r="AI1651" s="156" t="s">
        <v>843</v>
      </c>
      <c r="AJ1651" s="153">
        <v>0.583</v>
      </c>
      <c r="AK1651" s="156" t="s">
        <v>165</v>
      </c>
      <c r="AL1651" s="156" t="s">
        <v>179</v>
      </c>
      <c r="AM1651" s="65" t="s">
        <v>130</v>
      </c>
      <c r="AN1651" s="327" t="s">
        <v>131</v>
      </c>
      <c r="AO1651" s="153">
        <v>137.0</v>
      </c>
      <c r="AP1651" s="153">
        <v>0.14</v>
      </c>
      <c r="AQ1651" s="156" t="s">
        <v>166</v>
      </c>
      <c r="AR1651" s="156" t="s">
        <v>843</v>
      </c>
      <c r="AS1651" s="153">
        <v>0.924</v>
      </c>
      <c r="AT1651" s="156" t="s">
        <v>165</v>
      </c>
      <c r="AU1651" s="156" t="s">
        <v>179</v>
      </c>
      <c r="AV1651" s="65" t="s">
        <v>130</v>
      </c>
      <c r="AW1651" s="65"/>
      <c r="AX1651" s="65" t="s">
        <v>136</v>
      </c>
    </row>
    <row r="1652">
      <c r="A1652" s="41">
        <v>1652.0</v>
      </c>
      <c r="B1652" s="90" t="s">
        <v>278</v>
      </c>
      <c r="C1652" s="90" t="s">
        <v>108</v>
      </c>
      <c r="D1652" s="90" t="s">
        <v>2049</v>
      </c>
      <c r="E1652" s="89"/>
      <c r="F1652" s="91" t="s">
        <v>9506</v>
      </c>
      <c r="G1652" s="74" t="s">
        <v>9507</v>
      </c>
      <c r="H1652" s="92" t="s">
        <v>2052</v>
      </c>
      <c r="I1652" s="850">
        <v>45478.0</v>
      </c>
      <c r="J1652" s="850">
        <v>45634.0</v>
      </c>
      <c r="K1652" s="92" t="s">
        <v>9476</v>
      </c>
      <c r="L1652" s="91"/>
      <c r="M1652" s="92" t="s">
        <v>9508</v>
      </c>
      <c r="N1652" s="98" t="s">
        <v>9509</v>
      </c>
      <c r="O1652" s="92" t="s">
        <v>2863</v>
      </c>
      <c r="P1652" s="603" t="str">
        <f t="shared" si="117"/>
        <v>10.1257--mac.1.1.146.pdf</v>
      </c>
      <c r="Q1652" s="49" t="str">
        <f t="array" ref="Q1652"> if(iserror(MATCH(V1652, 'File Links'!C:C, 0)), "N/A", HYPERLINK(INDEX('File Links'!B:B, MATCH(P1652, 'File Links'!C:C, 0))))</f>
        <v>https://drive.google.com/file/d/18u8UZGmq2oMFWhXRxe2eL3wAp7RT1WdE/view?usp=drivesdk</v>
      </c>
      <c r="R1652" s="92" t="s">
        <v>9510</v>
      </c>
      <c r="S1652" s="92" t="s">
        <v>9511</v>
      </c>
      <c r="T1652" s="91"/>
      <c r="U1652" s="98" t="s">
        <v>131</v>
      </c>
      <c r="V1652" s="195" t="str">
        <f t="shared" si="114"/>
        <v>10.18718--81781.28.pdf</v>
      </c>
      <c r="W1652" s="92" t="s">
        <v>9512</v>
      </c>
      <c r="X1652" s="51" t="str">
        <f t="array" ref="X1652"> if(iserror(MATCH(V1652, 'File Links'!C:C, 0)), "N/A", HYPERLINK(INDEX('File Links'!B:B, MATCH(V1652, 'File Links'!C:C, 0))))</f>
        <v>https://drive.google.com/file/d/10OfxM8Xr_vLp1xZdWVqasjH0oVNLXD6c/view?usp=drivesdk</v>
      </c>
      <c r="Y1652" s="91"/>
      <c r="Z1652" s="92" t="s">
        <v>1802</v>
      </c>
      <c r="AA1652" s="91"/>
      <c r="AB1652" s="91"/>
      <c r="AC1652" s="92" t="s">
        <v>9513</v>
      </c>
      <c r="AD1652" s="91"/>
      <c r="AE1652" s="91"/>
      <c r="AF1652" s="91"/>
      <c r="AG1652" s="91"/>
      <c r="AH1652" s="592"/>
      <c r="AI1652" s="80"/>
      <c r="AJ1652" s="80"/>
      <c r="AK1652" s="91"/>
      <c r="AL1652" s="80"/>
      <c r="AM1652" s="91"/>
      <c r="AN1652" s="327" t="s">
        <v>131</v>
      </c>
      <c r="AO1652" s="91"/>
      <c r="AP1652" s="91"/>
      <c r="AQ1652" s="91"/>
      <c r="AR1652" s="91"/>
      <c r="AS1652" s="91"/>
      <c r="AT1652" s="91"/>
      <c r="AU1652" s="91"/>
      <c r="AV1652" s="91"/>
      <c r="AW1652" s="91"/>
      <c r="AX1652" s="91"/>
      <c r="AY1652" s="89"/>
      <c r="AZ1652" s="89"/>
    </row>
    <row r="1653">
      <c r="A1653" s="41">
        <v>1653.0</v>
      </c>
      <c r="B1653" s="126" t="s">
        <v>516</v>
      </c>
      <c r="C1653" s="59" t="s">
        <v>108</v>
      </c>
      <c r="D1653" s="59" t="s">
        <v>1263</v>
      </c>
      <c r="F1653" s="65" t="s">
        <v>9506</v>
      </c>
      <c r="G1653" s="156" t="s">
        <v>9507</v>
      </c>
      <c r="H1653" s="156" t="s">
        <v>2060</v>
      </c>
      <c r="I1653" s="149">
        <v>45478.0</v>
      </c>
      <c r="J1653" s="149">
        <v>45681.0</v>
      </c>
      <c r="K1653" s="65"/>
      <c r="L1653" s="65"/>
      <c r="M1653" s="156" t="s">
        <v>9508</v>
      </c>
      <c r="N1653" s="148" t="s">
        <v>9509</v>
      </c>
      <c r="O1653" s="65"/>
      <c r="P1653" s="603" t="str">
        <f t="shared" si="117"/>
        <v>10.1257--mac.1.1.146.pdf</v>
      </c>
      <c r="Q1653" s="49" t="str">
        <f t="array" ref="Q1653"> if(iserror(MATCH(V1653, 'File Links'!C:C, 0)), "N/A", HYPERLINK(INDEX('File Links'!B:B, MATCH(P1653, 'File Links'!C:C, 0))))</f>
        <v>https://drive.google.com/file/d/18u8UZGmq2oMFWhXRxe2eL3wAp7RT1WdE/view?usp=drivesdk</v>
      </c>
      <c r="R1653" s="156" t="s">
        <v>9510</v>
      </c>
      <c r="S1653" s="156" t="s">
        <v>9511</v>
      </c>
      <c r="T1653" s="65"/>
      <c r="U1653" s="65"/>
      <c r="V1653" s="195" t="str">
        <f t="shared" si="114"/>
        <v>10.18718--81781.28.pdf</v>
      </c>
      <c r="W1653" s="65"/>
      <c r="X1653" s="51" t="str">
        <f t="array" ref="X1653"> if(iserror(MATCH(V1653, 'File Links'!C:C, 0)), "N/A", HYPERLINK(INDEX('File Links'!B:B, MATCH(V1653, 'File Links'!C:C, 0))))</f>
        <v>https://drive.google.com/file/d/10OfxM8Xr_vLp1xZdWVqasjH0oVNLXD6c/view?usp=drivesdk</v>
      </c>
      <c r="Y1653" s="156" t="s">
        <v>9514</v>
      </c>
      <c r="Z1653" s="65"/>
      <c r="AA1653" s="65"/>
      <c r="AB1653" s="65"/>
      <c r="AC1653" s="65"/>
      <c r="AD1653" s="65"/>
      <c r="AE1653" s="65"/>
      <c r="AF1653" s="65"/>
      <c r="AG1653" s="65"/>
      <c r="AH1653" s="65"/>
      <c r="AI1653" s="65"/>
      <c r="AJ1653" s="65"/>
      <c r="AK1653" s="65"/>
      <c r="AL1653" s="65"/>
      <c r="AM1653" s="65"/>
      <c r="AN1653" s="327" t="s">
        <v>131</v>
      </c>
      <c r="AO1653" s="65"/>
      <c r="AP1653" s="65"/>
      <c r="AQ1653" s="65"/>
      <c r="AR1653" s="65"/>
      <c r="AS1653" s="65"/>
      <c r="AT1653" s="65"/>
      <c r="AU1653" s="65"/>
      <c r="AV1653" s="65"/>
      <c r="AW1653" s="65"/>
      <c r="AX1653" s="65"/>
    </row>
    <row r="1654">
      <c r="A1654" s="41">
        <v>1654.0</v>
      </c>
      <c r="B1654" s="90" t="s">
        <v>516</v>
      </c>
      <c r="C1654" s="90" t="s">
        <v>108</v>
      </c>
      <c r="D1654" s="90" t="s">
        <v>2049</v>
      </c>
      <c r="E1654" s="89"/>
      <c r="F1654" s="91" t="s">
        <v>9515</v>
      </c>
      <c r="G1654" s="74" t="s">
        <v>9516</v>
      </c>
      <c r="H1654" s="92" t="s">
        <v>2052</v>
      </c>
      <c r="I1654" s="850">
        <v>45478.0</v>
      </c>
      <c r="J1654" s="850">
        <v>45634.0</v>
      </c>
      <c r="K1654" s="92" t="s">
        <v>9476</v>
      </c>
      <c r="L1654" s="91"/>
      <c r="M1654" s="92" t="s">
        <v>9517</v>
      </c>
      <c r="N1654" s="92" t="s">
        <v>9518</v>
      </c>
      <c r="O1654" s="92" t="s">
        <v>2863</v>
      </c>
      <c r="P1654" s="934" t="s">
        <v>9519</v>
      </c>
      <c r="Q1654" s="49" t="str">
        <f t="array" ref="Q1654"> if(iserror(MATCH(V1654, 'File Links'!C:C, 0)), "N/A", HYPERLINK(INDEX('File Links'!B:B, MATCH(P1654, 'File Links'!C:C, 0))))</f>
        <v>https://drive.google.com/file/d/11AH2LlIZsd9ZFfFjWFxFf5MBHzmbtt8i/view?usp=drivesdk</v>
      </c>
      <c r="R1654" s="92" t="s">
        <v>9520</v>
      </c>
      <c r="S1654" s="92" t="s">
        <v>9521</v>
      </c>
      <c r="T1654" s="91"/>
      <c r="U1654" s="98" t="s">
        <v>131</v>
      </c>
      <c r="V1654" s="195" t="str">
        <f t="shared" si="114"/>
        <v>10.18718--81781.29.pdf</v>
      </c>
      <c r="W1654" s="92" t="s">
        <v>9522</v>
      </c>
      <c r="X1654" s="51" t="str">
        <f t="array" ref="X1654"> if(iserror(MATCH(V1654, 'File Links'!C:C, 0)), "N/A", HYPERLINK(INDEX('File Links'!B:B, MATCH(V1654, 'File Links'!C:C, 0))))</f>
        <v>https://drive.google.com/file/d/1al8eDyU6ngpVrQ3pelC_b0wECY353CCu/view?usp=drivesdk</v>
      </c>
      <c r="Y1654" s="91"/>
      <c r="Z1654" s="92" t="s">
        <v>1802</v>
      </c>
      <c r="AA1654" s="91"/>
      <c r="AB1654" s="91"/>
      <c r="AC1654" s="92" t="s">
        <v>9523</v>
      </c>
      <c r="AD1654" s="91"/>
      <c r="AE1654" s="91"/>
      <c r="AF1654" s="91"/>
      <c r="AG1654" s="91"/>
      <c r="AH1654" s="592"/>
      <c r="AI1654" s="80"/>
      <c r="AJ1654" s="80"/>
      <c r="AK1654" s="91"/>
      <c r="AL1654" s="80"/>
      <c r="AM1654" s="91"/>
      <c r="AN1654" s="327" t="s">
        <v>131</v>
      </c>
      <c r="AO1654" s="91"/>
      <c r="AP1654" s="91"/>
      <c r="AQ1654" s="91"/>
      <c r="AR1654" s="91"/>
      <c r="AS1654" s="91"/>
      <c r="AT1654" s="91"/>
      <c r="AU1654" s="91"/>
      <c r="AV1654" s="91"/>
      <c r="AW1654" s="91"/>
      <c r="AX1654" s="91"/>
      <c r="AY1654" s="89"/>
      <c r="AZ1654" s="89"/>
    </row>
    <row r="1655">
      <c r="A1655" s="41">
        <v>1655.0</v>
      </c>
      <c r="B1655" s="126" t="s">
        <v>516</v>
      </c>
      <c r="C1655" s="59" t="s">
        <v>108</v>
      </c>
      <c r="D1655" s="59" t="s">
        <v>1263</v>
      </c>
      <c r="F1655" s="65" t="s">
        <v>9515</v>
      </c>
      <c r="G1655" s="156" t="s">
        <v>9516</v>
      </c>
      <c r="H1655" s="156" t="s">
        <v>2060</v>
      </c>
      <c r="I1655" s="149">
        <v>45478.0</v>
      </c>
      <c r="J1655" s="149">
        <v>45681.0</v>
      </c>
      <c r="K1655" s="156" t="s">
        <v>9524</v>
      </c>
      <c r="L1655" s="65"/>
      <c r="M1655" s="156" t="s">
        <v>9517</v>
      </c>
      <c r="N1655" s="156" t="s">
        <v>9518</v>
      </c>
      <c r="O1655" s="65"/>
      <c r="P1655" s="603" t="str">
        <f t="shared" ref="P1655:P1736" si="118">SUBSTITUTE(LOWER(N1655), "/", "--") &amp;  ".pdf"</f>
        <v>10.1162--rest_a_00258.pdf</v>
      </c>
      <c r="Q1655" s="49" t="str">
        <f t="array" ref="Q1655"> if(iserror(MATCH(V1655, 'File Links'!C:C, 0)), "N/A", HYPERLINK(INDEX('File Links'!B:B, MATCH(P1655, 'File Links'!C:C, 0))))</f>
        <v>https://drive.google.com/file/d/11AH2LlIZsd9ZFfFjWFxFf5MBHzmbtt8i/view?usp=drivesdk</v>
      </c>
      <c r="R1655" s="156" t="s">
        <v>9520</v>
      </c>
      <c r="S1655" s="156" t="s">
        <v>9521</v>
      </c>
      <c r="T1655" s="65"/>
      <c r="U1655" s="65"/>
      <c r="V1655" s="195" t="str">
        <f t="shared" si="114"/>
        <v>10.18718--81781.29.pdf</v>
      </c>
      <c r="W1655" s="156" t="s">
        <v>202</v>
      </c>
      <c r="X1655" s="51" t="str">
        <f t="array" ref="X1655"> if(iserror(MATCH(V1655, 'File Links'!C:C, 0)), "N/A", HYPERLINK(INDEX('File Links'!B:B, MATCH(V1655, 'File Links'!C:C, 0))))</f>
        <v>https://drive.google.com/file/d/1al8eDyU6ngpVrQ3pelC_b0wECY353CCu/view?usp=drivesdk</v>
      </c>
      <c r="Y1655" s="65"/>
      <c r="Z1655" s="156" t="s">
        <v>1802</v>
      </c>
      <c r="AA1655" s="65"/>
      <c r="AB1655" s="156" t="s">
        <v>9525</v>
      </c>
      <c r="AC1655" s="65"/>
      <c r="AD1655" s="156" t="s">
        <v>9526</v>
      </c>
      <c r="AE1655" s="65"/>
      <c r="AF1655" s="153">
        <v>96560.0</v>
      </c>
      <c r="AG1655" s="156" t="s">
        <v>9527</v>
      </c>
      <c r="AH1655" s="156" t="s">
        <v>127</v>
      </c>
      <c r="AI1655" s="156" t="s">
        <v>125</v>
      </c>
      <c r="AJ1655" s="153">
        <v>0.001</v>
      </c>
      <c r="AK1655" s="156" t="s">
        <v>128</v>
      </c>
      <c r="AL1655" s="156" t="s">
        <v>179</v>
      </c>
      <c r="AM1655" s="65" t="s">
        <v>1898</v>
      </c>
      <c r="AN1655" s="327" t="s">
        <v>131</v>
      </c>
      <c r="AO1655" s="153">
        <v>1212558.0</v>
      </c>
      <c r="AP1655" s="156" t="s">
        <v>131</v>
      </c>
      <c r="AQ1655" s="65"/>
      <c r="AR1655" s="65"/>
      <c r="AS1655" s="153">
        <v>0.001</v>
      </c>
      <c r="AT1655" s="156" t="s">
        <v>128</v>
      </c>
      <c r="AU1655" s="156" t="s">
        <v>179</v>
      </c>
      <c r="AV1655" s="65" t="s">
        <v>1898</v>
      </c>
      <c r="AW1655" s="65"/>
      <c r="AX1655" s="65" t="s">
        <v>136</v>
      </c>
    </row>
    <row r="1656">
      <c r="A1656" s="41">
        <v>1656.0</v>
      </c>
      <c r="B1656" s="90" t="s">
        <v>516</v>
      </c>
      <c r="C1656" s="90" t="s">
        <v>108</v>
      </c>
      <c r="D1656" s="90" t="s">
        <v>2049</v>
      </c>
      <c r="E1656" s="89"/>
      <c r="F1656" s="91" t="s">
        <v>9528</v>
      </c>
      <c r="G1656" s="74" t="s">
        <v>9529</v>
      </c>
      <c r="H1656" s="92" t="s">
        <v>2052</v>
      </c>
      <c r="I1656" s="850">
        <v>45478.0</v>
      </c>
      <c r="J1656" s="850">
        <v>45634.0</v>
      </c>
      <c r="K1656" s="92" t="s">
        <v>9530</v>
      </c>
      <c r="L1656" s="91"/>
      <c r="M1656" s="92" t="s">
        <v>9531</v>
      </c>
      <c r="N1656" s="98" t="s">
        <v>1799</v>
      </c>
      <c r="O1656" s="92" t="s">
        <v>2863</v>
      </c>
      <c r="P1656" s="603" t="str">
        <f t="shared" si="118"/>
        <v>10.1162--rest.90.2.300.pdf</v>
      </c>
      <c r="Q1656" s="49" t="str">
        <f t="array" ref="Q1656"> if(iserror(MATCH(V1656, 'File Links'!C:C, 0)), "N/A", HYPERLINK(INDEX('File Links'!B:B, MATCH(P1656, 'File Links'!C:C, 0))))</f>
        <v>https://drive.google.com/file/d/150VkxMJ6Qzq8PM52a6Vi7Y9e4ojtHPne/view?usp=drivesdk</v>
      </c>
      <c r="R1656" s="92" t="s">
        <v>9532</v>
      </c>
      <c r="S1656" s="92" t="s">
        <v>1801</v>
      </c>
      <c r="T1656" s="91"/>
      <c r="U1656" s="98" t="s">
        <v>131</v>
      </c>
      <c r="V1656" s="195" t="str">
        <f t="shared" si="114"/>
        <v>10.18718--81781.34.pdf</v>
      </c>
      <c r="W1656" s="92" t="s">
        <v>9533</v>
      </c>
      <c r="X1656" s="51" t="str">
        <f t="array" ref="X1656"> if(iserror(MATCH(V1656, 'File Links'!C:C, 0)), "N/A", HYPERLINK(INDEX('File Links'!B:B, MATCH(V1656, 'File Links'!C:C, 0))))</f>
        <v>https://drive.google.com/file/d/1Y24HtovNy5BwKos6_FsV4A_pE93bEfUv/view?usp=drivesdk</v>
      </c>
      <c r="Y1656" s="91"/>
      <c r="Z1656" s="92" t="s">
        <v>1802</v>
      </c>
      <c r="AA1656" s="91"/>
      <c r="AB1656" s="92" t="s">
        <v>9534</v>
      </c>
      <c r="AC1656" s="92" t="s">
        <v>9535</v>
      </c>
      <c r="AD1656" s="92" t="s">
        <v>9536</v>
      </c>
      <c r="AE1656" s="92" t="s">
        <v>9537</v>
      </c>
      <c r="AF1656" s="95">
        <v>1342.0</v>
      </c>
      <c r="AG1656" s="95">
        <v>0.078</v>
      </c>
      <c r="AH1656" s="191" t="s">
        <v>353</v>
      </c>
      <c r="AI1656" s="74" t="s">
        <v>9537</v>
      </c>
      <c r="AJ1656" s="632">
        <v>0.05</v>
      </c>
      <c r="AK1656" s="92" t="s">
        <v>128</v>
      </c>
      <c r="AL1656" s="74" t="s">
        <v>179</v>
      </c>
      <c r="AM1656" s="91" t="s">
        <v>134</v>
      </c>
      <c r="AN1656" s="327" t="s">
        <v>131</v>
      </c>
      <c r="AO1656" s="95">
        <v>882.0</v>
      </c>
      <c r="AP1656" s="95">
        <v>-0.04</v>
      </c>
      <c r="AQ1656" s="156" t="s">
        <v>353</v>
      </c>
      <c r="AR1656" s="92" t="s">
        <v>2259</v>
      </c>
      <c r="AS1656" s="92" t="s">
        <v>2375</v>
      </c>
      <c r="AT1656" s="91"/>
      <c r="AU1656" s="91"/>
      <c r="AV1656" s="91"/>
      <c r="AW1656" s="91" t="s">
        <v>2863</v>
      </c>
      <c r="AX1656" s="91" t="s">
        <v>136</v>
      </c>
      <c r="AY1656" s="89"/>
      <c r="AZ1656" s="89"/>
    </row>
    <row r="1657">
      <c r="A1657" s="41">
        <v>1657.0</v>
      </c>
      <c r="B1657" s="126" t="s">
        <v>516</v>
      </c>
      <c r="C1657" s="59" t="s">
        <v>108</v>
      </c>
      <c r="D1657" s="59" t="s">
        <v>1263</v>
      </c>
      <c r="F1657" s="65" t="s">
        <v>9528</v>
      </c>
      <c r="G1657" s="156" t="s">
        <v>9529</v>
      </c>
      <c r="H1657" s="156" t="s">
        <v>2060</v>
      </c>
      <c r="I1657" s="149">
        <v>45478.0</v>
      </c>
      <c r="J1657" s="149">
        <v>45681.0</v>
      </c>
      <c r="K1657" s="65"/>
      <c r="L1657" s="65"/>
      <c r="M1657" s="148" t="s">
        <v>9538</v>
      </c>
      <c r="N1657" s="148" t="s">
        <v>1799</v>
      </c>
      <c r="O1657" s="65"/>
      <c r="P1657" s="603" t="str">
        <f t="shared" si="118"/>
        <v>10.1162--rest.90.2.300.pdf</v>
      </c>
      <c r="Q1657" s="49" t="str">
        <f t="array" ref="Q1657"> if(iserror(MATCH(V1657, 'File Links'!C:C, 0)), "N/A", HYPERLINK(INDEX('File Links'!B:B, MATCH(P1657, 'File Links'!C:C, 0))))</f>
        <v>https://drive.google.com/file/d/150VkxMJ6Qzq8PM52a6Vi7Y9e4ojtHPne/view?usp=drivesdk</v>
      </c>
      <c r="R1657" s="156" t="s">
        <v>9532</v>
      </c>
      <c r="S1657" s="156" t="s">
        <v>1801</v>
      </c>
      <c r="T1657" s="65"/>
      <c r="U1657" s="65"/>
      <c r="V1657" s="195" t="str">
        <f t="shared" si="114"/>
        <v>10.18718--81781.34.pdf</v>
      </c>
      <c r="W1657" s="65"/>
      <c r="X1657" s="51" t="str">
        <f t="array" ref="X1657"> if(iserror(MATCH(V1657, 'File Links'!C:C, 0)), "N/A", HYPERLINK(INDEX('File Links'!B:B, MATCH(V1657, 'File Links'!C:C, 0))))</f>
        <v>https://drive.google.com/file/d/1Y24HtovNy5BwKos6_FsV4A_pE93bEfUv/view?usp=drivesdk</v>
      </c>
      <c r="Y1657" s="156" t="s">
        <v>9539</v>
      </c>
      <c r="Z1657" s="65"/>
      <c r="AA1657" s="65"/>
      <c r="AB1657" s="65"/>
      <c r="AC1657" s="65"/>
      <c r="AD1657" s="65"/>
      <c r="AE1657" s="65"/>
      <c r="AF1657" s="65"/>
      <c r="AG1657" s="65"/>
      <c r="AH1657" s="65"/>
      <c r="AI1657" s="65"/>
      <c r="AJ1657" s="65"/>
      <c r="AK1657" s="65"/>
      <c r="AL1657" s="65"/>
      <c r="AM1657" s="65"/>
      <c r="AN1657" s="327" t="s">
        <v>131</v>
      </c>
      <c r="AO1657" s="65"/>
      <c r="AP1657" s="65"/>
      <c r="AQ1657" s="65"/>
      <c r="AR1657" s="65"/>
      <c r="AS1657" s="65"/>
      <c r="AT1657" s="65"/>
      <c r="AU1657" s="65"/>
      <c r="AV1657" s="65"/>
      <c r="AW1657" s="65"/>
      <c r="AX1657" s="65"/>
    </row>
    <row r="1658">
      <c r="A1658" s="41">
        <v>1658.0</v>
      </c>
      <c r="B1658" s="126" t="s">
        <v>145</v>
      </c>
      <c r="C1658" s="59" t="s">
        <v>108</v>
      </c>
      <c r="D1658" s="59" t="s">
        <v>225</v>
      </c>
      <c r="F1658" s="151" t="s">
        <v>9540</v>
      </c>
      <c r="G1658" s="65" t="s">
        <v>9541</v>
      </c>
      <c r="H1658" s="156" t="s">
        <v>6906</v>
      </c>
      <c r="I1658" s="149">
        <v>45687.0</v>
      </c>
      <c r="J1658" s="149">
        <v>45693.0</v>
      </c>
      <c r="K1658" s="148" t="s">
        <v>9542</v>
      </c>
      <c r="L1658" s="156"/>
      <c r="M1658" s="156" t="s">
        <v>9543</v>
      </c>
      <c r="N1658" s="156" t="s">
        <v>9544</v>
      </c>
      <c r="O1658" s="153">
        <v>1.0</v>
      </c>
      <c r="P1658" s="603" t="str">
        <f t="shared" si="118"/>
        <v>10.1037--a0015960.pdf</v>
      </c>
      <c r="Q1658" s="49" t="str">
        <f t="array" ref="Q1658"> if(iserror(MATCH(V1658, 'File Links'!C:C, 0)), "N/A", HYPERLINK(INDEX('File Links'!B:B, MATCH(P1658, 'File Links'!C:C, 0))))</f>
        <v>https://drive.google.com/file/d/1hz1780nNZDOTtNpiczqkkXabV668BcRE/view?usp=drivesdk</v>
      </c>
      <c r="R1658" s="156" t="s">
        <v>9545</v>
      </c>
      <c r="S1658" s="156" t="s">
        <v>9546</v>
      </c>
      <c r="T1658" s="65"/>
      <c r="U1658" s="153">
        <v>1.0</v>
      </c>
      <c r="V1658" s="195" t="str">
        <f t="shared" si="114"/>
        <v>10.1177--2515245918810225.pdf</v>
      </c>
      <c r="W1658" s="65" t="s">
        <v>202</v>
      </c>
      <c r="X1658" s="51" t="str">
        <f t="array" ref="X1658"> if(iserror(MATCH(V1658, 'File Links'!C:C, 0)), "N/A", HYPERLINK(INDEX('File Links'!B:B, MATCH(V1658, 'File Links'!C:C, 0))))</f>
        <v>https://drive.google.com/file/d/1rGqHLpg3OEGQnWLvlAEJr7JSMWJ2p-Ar/view?usp=drivesdk</v>
      </c>
      <c r="Y1658" s="65"/>
      <c r="Z1658" s="1112" t="s">
        <v>219</v>
      </c>
      <c r="AA1658" s="371" t="s">
        <v>131</v>
      </c>
      <c r="AB1658" s="1112" t="s">
        <v>9547</v>
      </c>
      <c r="AC1658" s="1112" t="s">
        <v>9548</v>
      </c>
      <c r="AD1658" s="148" t="s">
        <v>9549</v>
      </c>
      <c r="AE1658" s="156" t="s">
        <v>9550</v>
      </c>
      <c r="AF1658" s="153">
        <v>44.0</v>
      </c>
      <c r="AG1658" s="158">
        <v>0.7</v>
      </c>
      <c r="AH1658" s="126" t="s">
        <v>9551</v>
      </c>
      <c r="AI1658" s="148" t="s">
        <v>9552</v>
      </c>
      <c r="AJ1658" s="153">
        <v>0.003</v>
      </c>
      <c r="AK1658" s="156" t="s">
        <v>165</v>
      </c>
      <c r="AL1658" s="156" t="s">
        <v>179</v>
      </c>
      <c r="AM1658" s="65" t="s">
        <v>130</v>
      </c>
      <c r="AN1658" s="327" t="s">
        <v>131</v>
      </c>
      <c r="AO1658" s="153">
        <v>7117.0</v>
      </c>
      <c r="AP1658" s="153">
        <v>0.05</v>
      </c>
      <c r="AQ1658" s="156" t="s">
        <v>9551</v>
      </c>
      <c r="AR1658" s="156" t="s">
        <v>9553</v>
      </c>
      <c r="AS1658" s="153">
        <v>0.02</v>
      </c>
      <c r="AT1658" s="156" t="s">
        <v>165</v>
      </c>
      <c r="AU1658" s="156" t="s">
        <v>179</v>
      </c>
      <c r="AV1658" s="65" t="s">
        <v>130</v>
      </c>
      <c r="AW1658" s="432" t="s">
        <v>9554</v>
      </c>
      <c r="AX1658" s="65" t="s">
        <v>431</v>
      </c>
      <c r="AY1658" s="65"/>
      <c r="AZ1658" s="126" t="s">
        <v>6951</v>
      </c>
    </row>
    <row r="1659">
      <c r="A1659" s="41">
        <v>1659.0</v>
      </c>
      <c r="B1659" s="216" t="s">
        <v>516</v>
      </c>
      <c r="C1659" s="59" t="s">
        <v>108</v>
      </c>
      <c r="D1659" s="59" t="s">
        <v>138</v>
      </c>
      <c r="F1659" s="151" t="s">
        <v>9540</v>
      </c>
      <c r="G1659" s="156" t="s">
        <v>9541</v>
      </c>
      <c r="H1659" s="151" t="s">
        <v>5559</v>
      </c>
      <c r="I1659" s="149">
        <v>45667.0</v>
      </c>
      <c r="J1659" s="149">
        <v>45693.0</v>
      </c>
      <c r="K1659" s="65"/>
      <c r="L1659" s="65"/>
      <c r="M1659" s="1767" t="s">
        <v>9555</v>
      </c>
      <c r="N1659" s="151" t="s">
        <v>9544</v>
      </c>
      <c r="O1659" s="153">
        <v>1.0</v>
      </c>
      <c r="P1659" s="603" t="str">
        <f t="shared" si="118"/>
        <v>10.1037--a0015960.pdf</v>
      </c>
      <c r="Q1659" s="49" t="str">
        <f t="array" ref="Q1659"> if(iserror(MATCH(V1659, 'File Links'!C:C, 0)), "N/A", HYPERLINK(INDEX('File Links'!B:B, MATCH(P1659, 'File Links'!C:C, 0))))</f>
        <v>https://drive.google.com/file/d/1hz1780nNZDOTtNpiczqkkXabV668BcRE/view?usp=drivesdk</v>
      </c>
      <c r="R1659" s="1112" t="s">
        <v>9545</v>
      </c>
      <c r="S1659" s="1112" t="s">
        <v>9546</v>
      </c>
      <c r="T1659" s="65"/>
      <c r="U1659" s="65"/>
      <c r="V1659" s="195" t="str">
        <f t="shared" si="114"/>
        <v>10.1177--2515245918810225.pdf</v>
      </c>
      <c r="W1659" s="156" t="s">
        <v>2118</v>
      </c>
      <c r="X1659" s="51" t="str">
        <f t="array" ref="X1659"> if(iserror(MATCH(V1659, 'File Links'!C:C, 0)), "N/A", HYPERLINK(INDEX('File Links'!B:B, MATCH(V1659, 'File Links'!C:C, 0))))</f>
        <v>https://drive.google.com/file/d/1rGqHLpg3OEGQnWLvlAEJr7JSMWJ2p-Ar/view?usp=drivesdk</v>
      </c>
      <c r="Y1659" s="65"/>
      <c r="Z1659" s="156" t="s">
        <v>219</v>
      </c>
      <c r="AA1659" s="65"/>
      <c r="AB1659" s="156" t="s">
        <v>9547</v>
      </c>
      <c r="AC1659" s="156" t="s">
        <v>9556</v>
      </c>
      <c r="AD1659" s="156" t="s">
        <v>9557</v>
      </c>
      <c r="AE1659" s="1537">
        <v>45718.0</v>
      </c>
      <c r="AF1659" s="153">
        <v>44.0</v>
      </c>
      <c r="AG1659" s="156" t="s">
        <v>9558</v>
      </c>
      <c r="AH1659" s="156" t="s">
        <v>127</v>
      </c>
      <c r="AI1659" s="156" t="s">
        <v>868</v>
      </c>
      <c r="AJ1659" s="153">
        <v>0.01</v>
      </c>
      <c r="AK1659" s="156" t="s">
        <v>128</v>
      </c>
      <c r="AL1659" s="156" t="s">
        <v>179</v>
      </c>
      <c r="AM1659" s="65" t="s">
        <v>130</v>
      </c>
      <c r="AN1659" s="327" t="s">
        <v>131</v>
      </c>
      <c r="AO1659" s="153">
        <v>7117.0</v>
      </c>
      <c r="AP1659" s="153">
        <v>-0.02</v>
      </c>
      <c r="AQ1659" s="156" t="s">
        <v>166</v>
      </c>
      <c r="AR1659" s="156" t="s">
        <v>620</v>
      </c>
      <c r="AS1659" s="153">
        <v>0.457</v>
      </c>
      <c r="AT1659" s="156" t="s">
        <v>165</v>
      </c>
      <c r="AU1659" s="156" t="s">
        <v>179</v>
      </c>
      <c r="AV1659" s="65" t="s">
        <v>130</v>
      </c>
      <c r="AW1659" s="1116" t="s">
        <v>9554</v>
      </c>
      <c r="AX1659" s="65" t="s">
        <v>136</v>
      </c>
      <c r="AY1659" s="65"/>
      <c r="AZ1659" s="65" t="s">
        <v>5061</v>
      </c>
    </row>
    <row r="1660">
      <c r="A1660" s="41">
        <v>1660.0</v>
      </c>
      <c r="B1660" s="65" t="s">
        <v>107</v>
      </c>
      <c r="C1660" s="59" t="s">
        <v>108</v>
      </c>
      <c r="D1660" s="59" t="s">
        <v>138</v>
      </c>
      <c r="F1660" s="151" t="s">
        <v>9540</v>
      </c>
      <c r="G1660" s="156" t="s">
        <v>9559</v>
      </c>
      <c r="H1660" s="675" t="s">
        <v>5559</v>
      </c>
      <c r="I1660" s="149">
        <v>45667.0</v>
      </c>
      <c r="J1660" s="149">
        <v>45693.0</v>
      </c>
      <c r="K1660" s="65"/>
      <c r="L1660" s="65"/>
      <c r="M1660" s="1768" t="s">
        <v>9560</v>
      </c>
      <c r="N1660" s="151" t="s">
        <v>9544</v>
      </c>
      <c r="O1660" s="153">
        <v>1.0</v>
      </c>
      <c r="P1660" s="603" t="str">
        <f t="shared" si="118"/>
        <v>10.1037--a0015960.pdf</v>
      </c>
      <c r="Q1660" s="49" t="str">
        <f t="array" ref="Q1660"> if(iserror(MATCH(V1660, 'File Links'!C:C, 0)), "N/A", HYPERLINK(INDEX('File Links'!B:B, MATCH(P1660, 'File Links'!C:C, 0))))</f>
        <v>https://drive.google.com/file/d/1hz1780nNZDOTtNpiczqkkXabV668BcRE/view?usp=drivesdk</v>
      </c>
      <c r="R1660" s="1112" t="s">
        <v>9545</v>
      </c>
      <c r="S1660" s="1112" t="s">
        <v>9546</v>
      </c>
      <c r="T1660" s="65"/>
      <c r="U1660" s="65"/>
      <c r="V1660" s="195" t="str">
        <f t="shared" si="114"/>
        <v>10.1177--2515245918810225.pdf</v>
      </c>
      <c r="W1660" s="156" t="s">
        <v>2118</v>
      </c>
      <c r="X1660" s="51" t="str">
        <f t="array" ref="X1660"> if(iserror(MATCH(V1660, 'File Links'!C:C, 0)), "N/A", HYPERLINK(INDEX('File Links'!B:B, MATCH(V1660, 'File Links'!C:C, 0))))</f>
        <v>https://drive.google.com/file/d/1rGqHLpg3OEGQnWLvlAEJr7JSMWJ2p-Ar/view?usp=drivesdk</v>
      </c>
      <c r="Y1660" s="65"/>
      <c r="Z1660" s="156" t="s">
        <v>219</v>
      </c>
      <c r="AA1660" s="65"/>
      <c r="AB1660" s="156" t="s">
        <v>9547</v>
      </c>
      <c r="AC1660" s="156" t="s">
        <v>9548</v>
      </c>
      <c r="AD1660" s="156" t="s">
        <v>9561</v>
      </c>
      <c r="AE1660" s="153">
        <v>3.0</v>
      </c>
      <c r="AF1660" s="153">
        <v>44.0</v>
      </c>
      <c r="AG1660" s="156" t="s">
        <v>9562</v>
      </c>
      <c r="AH1660" s="156" t="s">
        <v>127</v>
      </c>
      <c r="AI1660" s="156" t="s">
        <v>210</v>
      </c>
      <c r="AJ1660" s="153">
        <v>0.001</v>
      </c>
      <c r="AK1660" s="156" t="s">
        <v>128</v>
      </c>
      <c r="AL1660" s="156" t="s">
        <v>179</v>
      </c>
      <c r="AM1660" s="65" t="s">
        <v>130</v>
      </c>
      <c r="AN1660" s="327" t="s">
        <v>131</v>
      </c>
      <c r="AO1660" s="153">
        <v>7117.0</v>
      </c>
      <c r="AP1660" s="153">
        <v>0.12</v>
      </c>
      <c r="AQ1660" s="156" t="s">
        <v>208</v>
      </c>
      <c r="AR1660" s="156" t="s">
        <v>620</v>
      </c>
      <c r="AS1660" s="1058">
        <v>1.2E-13</v>
      </c>
      <c r="AT1660" s="156" t="s">
        <v>165</v>
      </c>
      <c r="AU1660" s="156" t="s">
        <v>179</v>
      </c>
      <c r="AV1660" s="65" t="s">
        <v>130</v>
      </c>
      <c r="AW1660" s="1116" t="s">
        <v>9554</v>
      </c>
      <c r="AX1660" s="65" t="s">
        <v>136</v>
      </c>
      <c r="AY1660" s="65"/>
      <c r="AZ1660" s="65" t="s">
        <v>5061</v>
      </c>
    </row>
    <row r="1661">
      <c r="A1661" s="41">
        <v>1661.0</v>
      </c>
      <c r="B1661" s="65" t="s">
        <v>107</v>
      </c>
      <c r="C1661" s="59" t="s">
        <v>108</v>
      </c>
      <c r="D1661" s="59" t="s">
        <v>138</v>
      </c>
      <c r="F1661" s="151" t="s">
        <v>9540</v>
      </c>
      <c r="G1661" s="156" t="s">
        <v>9563</v>
      </c>
      <c r="H1661" s="675" t="s">
        <v>5559</v>
      </c>
      <c r="I1661" s="149">
        <v>45667.0</v>
      </c>
      <c r="J1661" s="149">
        <v>45693.0</v>
      </c>
      <c r="K1661" s="65"/>
      <c r="L1661" s="65"/>
      <c r="M1661" s="1767" t="s">
        <v>9564</v>
      </c>
      <c r="N1661" s="151" t="s">
        <v>9544</v>
      </c>
      <c r="O1661" s="153">
        <v>1.0</v>
      </c>
      <c r="P1661" s="603" t="str">
        <f t="shared" si="118"/>
        <v>10.1037--a0015960.pdf</v>
      </c>
      <c r="Q1661" s="49" t="str">
        <f t="array" ref="Q1661"> if(iserror(MATCH(V1661, 'File Links'!C:C, 0)), "N/A", HYPERLINK(INDEX('File Links'!B:B, MATCH(P1661, 'File Links'!C:C, 0))))</f>
        <v>https://drive.google.com/file/d/1hz1780nNZDOTtNpiczqkkXabV668BcRE/view?usp=drivesdk</v>
      </c>
      <c r="R1661" s="1112" t="s">
        <v>9545</v>
      </c>
      <c r="S1661" s="1112" t="s">
        <v>9546</v>
      </c>
      <c r="T1661" s="65"/>
      <c r="U1661" s="65"/>
      <c r="V1661" s="195" t="str">
        <f t="shared" si="114"/>
        <v>10.1177--2515245918810225.pdf</v>
      </c>
      <c r="W1661" s="156" t="s">
        <v>2118</v>
      </c>
      <c r="X1661" s="51" t="str">
        <f t="array" ref="X1661"> if(iserror(MATCH(V1661, 'File Links'!C:C, 0)), "N/A", HYPERLINK(INDEX('File Links'!B:B, MATCH(V1661, 'File Links'!C:C, 0))))</f>
        <v>https://drive.google.com/file/d/1rGqHLpg3OEGQnWLvlAEJr7JSMWJ2p-Ar/view?usp=drivesdk</v>
      </c>
      <c r="Y1661" s="65"/>
      <c r="Z1661" s="156" t="s">
        <v>219</v>
      </c>
      <c r="AA1661" s="65"/>
      <c r="AB1661" s="156" t="s">
        <v>9547</v>
      </c>
      <c r="AC1661" s="156" t="s">
        <v>9565</v>
      </c>
      <c r="AD1661" s="156" t="s">
        <v>9566</v>
      </c>
      <c r="AE1661" s="153">
        <v>3.0</v>
      </c>
      <c r="AF1661" s="153">
        <v>44.0</v>
      </c>
      <c r="AG1661" s="156" t="s">
        <v>9567</v>
      </c>
      <c r="AH1661" s="156" t="s">
        <v>127</v>
      </c>
      <c r="AI1661" s="156" t="s">
        <v>210</v>
      </c>
      <c r="AJ1661" s="156" t="s">
        <v>2375</v>
      </c>
      <c r="AK1661" s="65"/>
      <c r="AL1661" s="156" t="s">
        <v>179</v>
      </c>
      <c r="AM1661" s="65" t="s">
        <v>130</v>
      </c>
      <c r="AN1661" s="327" t="s">
        <v>131</v>
      </c>
      <c r="AO1661" s="153">
        <v>7117.0</v>
      </c>
      <c r="AP1661" s="153">
        <v>0.07</v>
      </c>
      <c r="AQ1661" s="156" t="s">
        <v>208</v>
      </c>
      <c r="AR1661" s="156" t="s">
        <v>620</v>
      </c>
      <c r="AS1661" s="1058">
        <v>2.48E-5</v>
      </c>
      <c r="AT1661" s="156" t="s">
        <v>165</v>
      </c>
      <c r="AU1661" s="156" t="s">
        <v>179</v>
      </c>
      <c r="AV1661" s="65" t="s">
        <v>130</v>
      </c>
      <c r="AW1661" s="1116" t="s">
        <v>9554</v>
      </c>
      <c r="AX1661" s="65" t="s">
        <v>136</v>
      </c>
      <c r="AY1661" s="65"/>
      <c r="AZ1661" s="65" t="s">
        <v>5061</v>
      </c>
    </row>
    <row r="1662">
      <c r="A1662" s="41">
        <v>1662.0</v>
      </c>
      <c r="B1662" s="126" t="s">
        <v>145</v>
      </c>
      <c r="C1662" s="59" t="s">
        <v>108</v>
      </c>
      <c r="D1662" s="59" t="s">
        <v>225</v>
      </c>
      <c r="F1662" s="65" t="s">
        <v>9568</v>
      </c>
      <c r="G1662" s="156" t="s">
        <v>9569</v>
      </c>
      <c r="H1662" s="156" t="s">
        <v>6906</v>
      </c>
      <c r="I1662" s="149">
        <v>45687.0</v>
      </c>
      <c r="J1662" s="149">
        <v>45693.0</v>
      </c>
      <c r="K1662" s="156" t="s">
        <v>9570</v>
      </c>
      <c r="L1662" s="156" t="s">
        <v>9571</v>
      </c>
      <c r="M1662" s="156" t="s">
        <v>9572</v>
      </c>
      <c r="N1662" s="156" t="s">
        <v>9573</v>
      </c>
      <c r="O1662" s="153">
        <v>1.0</v>
      </c>
      <c r="P1662" s="603" t="str">
        <f t="shared" si="118"/>
        <v>10.1086--269239.pdf</v>
      </c>
      <c r="Q1662" s="49" t="str">
        <f t="array" ref="Q1662"> if(iserror(MATCH(V1662, 'File Links'!C:C, 0)), "N/A", HYPERLINK(INDEX('File Links'!B:B, MATCH(P1662, 'File Links'!C:C, 0))))</f>
        <v>https://drive.google.com/file/d/1Wa36K9XT0urN9xsiAgUftQdgL9C9HECn/view?usp=drivesdk</v>
      </c>
      <c r="R1662" s="156" t="s">
        <v>9545</v>
      </c>
      <c r="S1662" s="156" t="s">
        <v>9546</v>
      </c>
      <c r="T1662" s="65"/>
      <c r="U1662" s="153">
        <v>2.0</v>
      </c>
      <c r="V1662" s="195" t="str">
        <f t="shared" si="114"/>
        <v>10.1177--2515245918810225.pdf</v>
      </c>
      <c r="W1662" s="65" t="s">
        <v>202</v>
      </c>
      <c r="X1662" s="51" t="str">
        <f t="array" ref="X1662"> if(iserror(MATCH(V1662, 'File Links'!C:C, 0)), "N/A", HYPERLINK(INDEX('File Links'!B:B, MATCH(V1662, 'File Links'!C:C, 0))))</f>
        <v>https://drive.google.com/file/d/1rGqHLpg3OEGQnWLvlAEJr7JSMWJ2p-Ar/view?usp=drivesdk</v>
      </c>
      <c r="Y1662" s="65"/>
      <c r="Z1662" s="1112" t="s">
        <v>219</v>
      </c>
      <c r="AA1662" s="156" t="s">
        <v>9574</v>
      </c>
      <c r="AB1662" s="1112" t="s">
        <v>9575</v>
      </c>
      <c r="AC1662" s="156" t="s">
        <v>9576</v>
      </c>
      <c r="AD1662" s="148" t="s">
        <v>9577</v>
      </c>
      <c r="AE1662" s="156" t="s">
        <v>300</v>
      </c>
      <c r="AF1662" s="153">
        <v>100.0</v>
      </c>
      <c r="AG1662" s="158" t="s">
        <v>9578</v>
      </c>
      <c r="AH1662" s="156" t="s">
        <v>3304</v>
      </c>
      <c r="AI1662" s="156" t="s">
        <v>9579</v>
      </c>
      <c r="AJ1662" s="153">
        <v>0.01</v>
      </c>
      <c r="AK1662" s="156" t="s">
        <v>128</v>
      </c>
      <c r="AL1662" s="156" t="s">
        <v>179</v>
      </c>
      <c r="AM1662" s="65" t="s">
        <v>130</v>
      </c>
      <c r="AN1662" s="327" t="s">
        <v>131</v>
      </c>
      <c r="AO1662" s="153">
        <v>7460.0</v>
      </c>
      <c r="AP1662" s="153">
        <v>-0.07</v>
      </c>
      <c r="AQ1662" s="156" t="s">
        <v>9551</v>
      </c>
      <c r="AR1662" s="156" t="s">
        <v>9580</v>
      </c>
      <c r="AS1662" s="153">
        <v>0.002</v>
      </c>
      <c r="AT1662" s="156" t="s">
        <v>165</v>
      </c>
      <c r="AU1662" s="156" t="s">
        <v>179</v>
      </c>
      <c r="AV1662" s="65" t="s">
        <v>130</v>
      </c>
      <c r="AW1662" s="432" t="s">
        <v>9554</v>
      </c>
      <c r="AX1662" s="65" t="s">
        <v>136</v>
      </c>
      <c r="AY1662" s="65"/>
      <c r="AZ1662" s="126" t="s">
        <v>6951</v>
      </c>
    </row>
    <row r="1663">
      <c r="A1663" s="41">
        <v>1663.0</v>
      </c>
      <c r="B1663" s="144" t="s">
        <v>516</v>
      </c>
      <c r="C1663" s="59" t="s">
        <v>108</v>
      </c>
      <c r="D1663" s="59" t="s">
        <v>138</v>
      </c>
      <c r="F1663" s="65" t="s">
        <v>9568</v>
      </c>
      <c r="G1663" s="156" t="s">
        <v>9569</v>
      </c>
      <c r="H1663" s="675" t="s">
        <v>5559</v>
      </c>
      <c r="I1663" s="149">
        <v>45667.0</v>
      </c>
      <c r="J1663" s="149">
        <v>45693.0</v>
      </c>
      <c r="K1663" s="65"/>
      <c r="L1663" s="156" t="s">
        <v>9581</v>
      </c>
      <c r="M1663" s="65" t="s">
        <v>9572</v>
      </c>
      <c r="N1663" s="65" t="s">
        <v>9573</v>
      </c>
      <c r="O1663" s="153">
        <v>1.0</v>
      </c>
      <c r="P1663" s="603" t="str">
        <f t="shared" si="118"/>
        <v>10.1086--269239.pdf</v>
      </c>
      <c r="Q1663" s="49" t="str">
        <f t="array" ref="Q1663"> if(iserror(MATCH(V1663, 'File Links'!C:C, 0)), "N/A", HYPERLINK(INDEX('File Links'!B:B, MATCH(P1663, 'File Links'!C:C, 0))))</f>
        <v>https://drive.google.com/file/d/1Wa36K9XT0urN9xsiAgUftQdgL9C9HECn/view?usp=drivesdk</v>
      </c>
      <c r="R1663" s="1112" t="s">
        <v>9545</v>
      </c>
      <c r="S1663" s="1112" t="s">
        <v>9546</v>
      </c>
      <c r="T1663" s="65"/>
      <c r="U1663" s="65"/>
      <c r="V1663" s="195" t="str">
        <f t="shared" si="114"/>
        <v>10.1177--2515245918810225.pdf</v>
      </c>
      <c r="W1663" s="156" t="s">
        <v>9582</v>
      </c>
      <c r="X1663" s="51" t="str">
        <f t="array" ref="X1663"> if(iserror(MATCH(V1663, 'File Links'!C:C, 0)), "N/A", HYPERLINK(INDEX('File Links'!B:B, MATCH(V1663, 'File Links'!C:C, 0))))</f>
        <v>https://drive.google.com/file/d/1rGqHLpg3OEGQnWLvlAEJr7JSMWJ2p-Ar/view?usp=drivesdk</v>
      </c>
      <c r="Y1663" s="65"/>
      <c r="Z1663" s="156" t="s">
        <v>219</v>
      </c>
      <c r="AA1663" s="156" t="s">
        <v>9583</v>
      </c>
      <c r="AB1663" s="156" t="s">
        <v>9575</v>
      </c>
      <c r="AC1663" s="65" t="s">
        <v>9584</v>
      </c>
      <c r="AD1663" s="156" t="s">
        <v>9585</v>
      </c>
      <c r="AE1663" s="153">
        <v>9.0</v>
      </c>
      <c r="AF1663" s="153">
        <v>56.0</v>
      </c>
      <c r="AG1663" s="153">
        <v>0.67</v>
      </c>
      <c r="AH1663" s="156" t="s">
        <v>208</v>
      </c>
      <c r="AI1663" s="156" t="s">
        <v>621</v>
      </c>
      <c r="AJ1663" s="153">
        <v>0.05</v>
      </c>
      <c r="AK1663" s="156" t="s">
        <v>128</v>
      </c>
      <c r="AL1663" s="156" t="s">
        <v>179</v>
      </c>
      <c r="AM1663" s="65" t="s">
        <v>130</v>
      </c>
      <c r="AN1663" s="327" t="s">
        <v>131</v>
      </c>
      <c r="AO1663" s="153">
        <v>7460.0</v>
      </c>
      <c r="AP1663" s="153">
        <v>0.38</v>
      </c>
      <c r="AQ1663" s="156" t="s">
        <v>208</v>
      </c>
      <c r="AR1663" s="156" t="s">
        <v>323</v>
      </c>
      <c r="AS1663" s="65"/>
      <c r="AT1663" s="65"/>
      <c r="AU1663" s="156" t="s">
        <v>179</v>
      </c>
      <c r="AV1663" s="65" t="s">
        <v>130</v>
      </c>
      <c r="AW1663" s="1116" t="s">
        <v>9554</v>
      </c>
      <c r="AX1663" s="65" t="s">
        <v>136</v>
      </c>
      <c r="AY1663" s="65"/>
      <c r="AZ1663" s="65" t="s">
        <v>5061</v>
      </c>
    </row>
    <row r="1664">
      <c r="A1664" s="41">
        <v>1664.0</v>
      </c>
      <c r="B1664" s="144" t="s">
        <v>516</v>
      </c>
      <c r="C1664" s="59" t="s">
        <v>108</v>
      </c>
      <c r="D1664" s="59" t="s">
        <v>138</v>
      </c>
      <c r="F1664" s="65" t="s">
        <v>9568</v>
      </c>
      <c r="G1664" s="156" t="s">
        <v>9586</v>
      </c>
      <c r="H1664" s="675" t="s">
        <v>5559</v>
      </c>
      <c r="I1664" s="149">
        <v>45667.0</v>
      </c>
      <c r="J1664" s="149">
        <v>45693.0</v>
      </c>
      <c r="K1664" s="65"/>
      <c r="L1664" s="156" t="s">
        <v>9581</v>
      </c>
      <c r="M1664" s="65" t="s">
        <v>9572</v>
      </c>
      <c r="N1664" s="65" t="s">
        <v>9573</v>
      </c>
      <c r="O1664" s="153">
        <v>1.0</v>
      </c>
      <c r="P1664" s="603" t="str">
        <f t="shared" si="118"/>
        <v>10.1086--269239.pdf</v>
      </c>
      <c r="Q1664" s="49" t="str">
        <f t="array" ref="Q1664"> if(iserror(MATCH(V1664, 'File Links'!C:C, 0)), "N/A", HYPERLINK(INDEX('File Links'!B:B, MATCH(P1664, 'File Links'!C:C, 0))))</f>
        <v>https://drive.google.com/file/d/1Wa36K9XT0urN9xsiAgUftQdgL9C9HECn/view?usp=drivesdk</v>
      </c>
      <c r="R1664" s="1112" t="s">
        <v>9545</v>
      </c>
      <c r="S1664" s="1112" t="s">
        <v>9546</v>
      </c>
      <c r="T1664" s="65"/>
      <c r="U1664" s="65"/>
      <c r="V1664" s="195" t="str">
        <f t="shared" si="114"/>
        <v>10.1177--2515245918810225.pdf</v>
      </c>
      <c r="W1664" s="156" t="s">
        <v>9582</v>
      </c>
      <c r="X1664" s="51" t="str">
        <f t="array" ref="X1664"> if(iserror(MATCH(V1664, 'File Links'!C:C, 0)), "N/A", HYPERLINK(INDEX('File Links'!B:B, MATCH(V1664, 'File Links'!C:C, 0))))</f>
        <v>https://drive.google.com/file/d/1rGqHLpg3OEGQnWLvlAEJr7JSMWJ2p-Ar/view?usp=drivesdk</v>
      </c>
      <c r="Y1664" s="65"/>
      <c r="Z1664" s="156" t="s">
        <v>219</v>
      </c>
      <c r="AA1664" s="156" t="s">
        <v>9583</v>
      </c>
      <c r="AB1664" s="156" t="s">
        <v>9575</v>
      </c>
      <c r="AC1664" s="65" t="s">
        <v>9587</v>
      </c>
      <c r="AD1664" s="156" t="s">
        <v>9588</v>
      </c>
      <c r="AE1664" s="153">
        <v>9.0</v>
      </c>
      <c r="AF1664" s="153">
        <v>50.0</v>
      </c>
      <c r="AG1664" s="153">
        <v>0.32</v>
      </c>
      <c r="AH1664" s="156" t="s">
        <v>208</v>
      </c>
      <c r="AI1664" s="156" t="s">
        <v>621</v>
      </c>
      <c r="AJ1664" s="153">
        <v>0.05</v>
      </c>
      <c r="AK1664" s="156" t="s">
        <v>128</v>
      </c>
      <c r="AL1664" s="156" t="s">
        <v>179</v>
      </c>
      <c r="AM1664" s="65" t="s">
        <v>130</v>
      </c>
      <c r="AN1664" s="327" t="s">
        <v>131</v>
      </c>
      <c r="AO1664" s="153">
        <v>7460.0</v>
      </c>
      <c r="AP1664" s="153">
        <v>0.44</v>
      </c>
      <c r="AQ1664" s="156" t="s">
        <v>208</v>
      </c>
      <c r="AR1664" s="156" t="s">
        <v>323</v>
      </c>
      <c r="AS1664" s="65"/>
      <c r="AT1664" s="65"/>
      <c r="AU1664" s="156" t="s">
        <v>179</v>
      </c>
      <c r="AV1664" s="65" t="s">
        <v>130</v>
      </c>
      <c r="AW1664" s="1116" t="s">
        <v>9554</v>
      </c>
      <c r="AX1664" s="65" t="s">
        <v>136</v>
      </c>
      <c r="AY1664" s="65"/>
      <c r="AZ1664" s="65" t="s">
        <v>5061</v>
      </c>
    </row>
    <row r="1665">
      <c r="A1665" s="41">
        <v>1665.0</v>
      </c>
      <c r="B1665" s="65" t="s">
        <v>107</v>
      </c>
      <c r="C1665" s="59" t="s">
        <v>108</v>
      </c>
      <c r="D1665" s="59" t="s">
        <v>138</v>
      </c>
      <c r="F1665" s="65" t="s">
        <v>9568</v>
      </c>
      <c r="G1665" s="156" t="s">
        <v>9589</v>
      </c>
      <c r="H1665" s="675" t="s">
        <v>5559</v>
      </c>
      <c r="I1665" s="149">
        <v>45667.0</v>
      </c>
      <c r="J1665" s="149">
        <v>45693.0</v>
      </c>
      <c r="K1665" s="65"/>
      <c r="L1665" s="156" t="s">
        <v>9590</v>
      </c>
      <c r="M1665" s="65" t="s">
        <v>9572</v>
      </c>
      <c r="N1665" s="65" t="s">
        <v>9573</v>
      </c>
      <c r="O1665" s="153">
        <v>1.0</v>
      </c>
      <c r="P1665" s="603" t="str">
        <f t="shared" si="118"/>
        <v>10.1086--269239.pdf</v>
      </c>
      <c r="Q1665" s="49" t="str">
        <f t="array" ref="Q1665"> if(iserror(MATCH(V1665, 'File Links'!C:C, 0)), "N/A", HYPERLINK(INDEX('File Links'!B:B, MATCH(P1665, 'File Links'!C:C, 0))))</f>
        <v>https://drive.google.com/file/d/1Wa36K9XT0urN9xsiAgUftQdgL9C9HECn/view?usp=drivesdk</v>
      </c>
      <c r="R1665" s="1112" t="s">
        <v>9545</v>
      </c>
      <c r="S1665" s="1112" t="s">
        <v>9546</v>
      </c>
      <c r="T1665" s="65"/>
      <c r="U1665" s="65"/>
      <c r="V1665" s="195" t="str">
        <f t="shared" si="114"/>
        <v>10.1177--2515245918810225.pdf</v>
      </c>
      <c r="W1665" s="156" t="s">
        <v>9582</v>
      </c>
      <c r="X1665" s="51" t="str">
        <f t="array" ref="X1665"> if(iserror(MATCH(V1665, 'File Links'!C:C, 0)), "N/A", HYPERLINK(INDEX('File Links'!B:B, MATCH(V1665, 'File Links'!C:C, 0))))</f>
        <v>https://drive.google.com/file/d/1rGqHLpg3OEGQnWLvlAEJr7JSMWJ2p-Ar/view?usp=drivesdk</v>
      </c>
      <c r="Y1665" s="65"/>
      <c r="Z1665" s="156" t="s">
        <v>219</v>
      </c>
      <c r="AA1665" s="156" t="s">
        <v>9583</v>
      </c>
      <c r="AB1665" s="156" t="s">
        <v>9575</v>
      </c>
      <c r="AC1665" s="65" t="s">
        <v>9591</v>
      </c>
      <c r="AD1665" s="156" t="s">
        <v>9592</v>
      </c>
      <c r="AE1665" s="153">
        <v>9.0</v>
      </c>
      <c r="AF1665" s="153">
        <v>50.0</v>
      </c>
      <c r="AG1665" s="153">
        <v>2.32</v>
      </c>
      <c r="AH1665" s="156" t="s">
        <v>3304</v>
      </c>
      <c r="AI1665" s="156" t="s">
        <v>621</v>
      </c>
      <c r="AJ1665" s="153">
        <v>0.01</v>
      </c>
      <c r="AK1665" s="156" t="s">
        <v>128</v>
      </c>
      <c r="AL1665" s="156" t="s">
        <v>179</v>
      </c>
      <c r="AM1665" s="65" t="s">
        <v>130</v>
      </c>
      <c r="AN1665" s="327" t="s">
        <v>131</v>
      </c>
      <c r="AO1665" s="153">
        <v>7460.0</v>
      </c>
      <c r="AP1665" s="153">
        <v>-3.03</v>
      </c>
      <c r="AQ1665" s="156" t="s">
        <v>127</v>
      </c>
      <c r="AR1665" s="156" t="s">
        <v>323</v>
      </c>
      <c r="AS1665" s="153">
        <v>0.002</v>
      </c>
      <c r="AT1665" s="156" t="s">
        <v>165</v>
      </c>
      <c r="AU1665" s="156" t="s">
        <v>179</v>
      </c>
      <c r="AV1665" s="65" t="s">
        <v>130</v>
      </c>
      <c r="AW1665" s="1116" t="s">
        <v>9554</v>
      </c>
      <c r="AX1665" s="65" t="s">
        <v>136</v>
      </c>
      <c r="AY1665" s="65"/>
      <c r="AZ1665" s="65" t="s">
        <v>5061</v>
      </c>
    </row>
    <row r="1666">
      <c r="A1666" s="41">
        <v>1666.0</v>
      </c>
      <c r="B1666" s="126" t="s">
        <v>145</v>
      </c>
      <c r="C1666" s="59" t="s">
        <v>108</v>
      </c>
      <c r="D1666" s="59" t="s">
        <v>225</v>
      </c>
      <c r="F1666" s="65" t="s">
        <v>9593</v>
      </c>
      <c r="G1666" s="65" t="s">
        <v>9594</v>
      </c>
      <c r="H1666" s="156" t="s">
        <v>6906</v>
      </c>
      <c r="I1666" s="149">
        <v>45687.0</v>
      </c>
      <c r="J1666" s="149">
        <v>45693.0</v>
      </c>
      <c r="K1666" s="148" t="s">
        <v>9595</v>
      </c>
      <c r="L1666" s="148"/>
      <c r="M1666" s="156" t="s">
        <v>9596</v>
      </c>
      <c r="N1666" s="156" t="s">
        <v>9597</v>
      </c>
      <c r="O1666" s="153">
        <v>1.0</v>
      </c>
      <c r="P1666" s="603" t="str">
        <f t="shared" si="118"/>
        <v>10.1037--0022-3514.83.5.1239.pdf</v>
      </c>
      <c r="Q1666" s="49" t="str">
        <f t="array" ref="Q1666"> if(iserror(MATCH(V1666, 'File Links'!C:C, 0)), "N/A", HYPERLINK(INDEX('File Links'!B:B, MATCH(P1666, 'File Links'!C:C, 0))))</f>
        <v>https://drive.google.com/file/d/1bUFd8EhwJ36bo-2xBlOdIPnQvw_apZ06/view?usp=drivesdk</v>
      </c>
      <c r="R1666" s="156" t="s">
        <v>9545</v>
      </c>
      <c r="S1666" s="156" t="s">
        <v>9546</v>
      </c>
      <c r="T1666" s="65"/>
      <c r="U1666" s="153">
        <v>3.0</v>
      </c>
      <c r="V1666" s="195" t="str">
        <f t="shared" si="114"/>
        <v>10.1177--2515245918810225.pdf</v>
      </c>
      <c r="W1666" s="65" t="s">
        <v>202</v>
      </c>
      <c r="X1666" s="51" t="str">
        <f t="array" ref="X1666"> if(iserror(MATCH(V1666, 'File Links'!C:C, 0)), "N/A", HYPERLINK(INDEX('File Links'!B:B, MATCH(V1666, 'File Links'!C:C, 0))))</f>
        <v>https://drive.google.com/file/d/1rGqHLpg3OEGQnWLvlAEJr7JSMWJ2p-Ar/view?usp=drivesdk</v>
      </c>
      <c r="Y1666" s="65"/>
      <c r="Z1666" s="156" t="s">
        <v>940</v>
      </c>
      <c r="AA1666" s="156" t="s">
        <v>9598</v>
      </c>
      <c r="AB1666" s="156" t="s">
        <v>9599</v>
      </c>
      <c r="AC1666" s="156" t="s">
        <v>9600</v>
      </c>
      <c r="AD1666" s="148" t="s">
        <v>9601</v>
      </c>
      <c r="AE1666" s="148" t="s">
        <v>9602</v>
      </c>
      <c r="AF1666" s="153">
        <v>58.0</v>
      </c>
      <c r="AG1666" s="153">
        <v>2.446</v>
      </c>
      <c r="AH1666" s="156" t="s">
        <v>166</v>
      </c>
      <c r="AI1666" s="148" t="s">
        <v>9603</v>
      </c>
      <c r="AJ1666" s="153">
        <v>0.001</v>
      </c>
      <c r="AK1666" s="156" t="s">
        <v>128</v>
      </c>
      <c r="AL1666" s="156" t="s">
        <v>179</v>
      </c>
      <c r="AM1666" s="65" t="s">
        <v>130</v>
      </c>
      <c r="AN1666" s="327" t="s">
        <v>131</v>
      </c>
      <c r="AO1666" s="153">
        <v>7197.0</v>
      </c>
      <c r="AP1666" s="153">
        <v>1.82</v>
      </c>
      <c r="AQ1666" s="156" t="s">
        <v>166</v>
      </c>
      <c r="AR1666" s="156" t="s">
        <v>9553</v>
      </c>
      <c r="AS1666" s="153">
        <v>0.001</v>
      </c>
      <c r="AT1666" s="156" t="s">
        <v>128</v>
      </c>
      <c r="AU1666" s="156" t="s">
        <v>179</v>
      </c>
      <c r="AV1666" s="65" t="s">
        <v>130</v>
      </c>
      <c r="AW1666" s="432" t="s">
        <v>9554</v>
      </c>
      <c r="AX1666" s="65" t="s">
        <v>136</v>
      </c>
      <c r="AY1666" s="65"/>
      <c r="AZ1666" s="126" t="s">
        <v>6951</v>
      </c>
    </row>
    <row r="1667">
      <c r="A1667" s="41">
        <v>1667.0</v>
      </c>
      <c r="B1667" s="126" t="s">
        <v>107</v>
      </c>
      <c r="C1667" s="59" t="s">
        <v>108</v>
      </c>
      <c r="D1667" s="59" t="s">
        <v>225</v>
      </c>
      <c r="F1667" s="65" t="s">
        <v>9593</v>
      </c>
      <c r="G1667" s="156" t="s">
        <v>9604</v>
      </c>
      <c r="H1667" s="156" t="s">
        <v>6906</v>
      </c>
      <c r="I1667" s="149">
        <v>45687.0</v>
      </c>
      <c r="J1667" s="149">
        <v>45693.0</v>
      </c>
      <c r="K1667" s="148" t="s">
        <v>9605</v>
      </c>
      <c r="L1667" s="478"/>
      <c r="M1667" s="156" t="s">
        <v>9596</v>
      </c>
      <c r="N1667" s="156" t="s">
        <v>9597</v>
      </c>
      <c r="O1667" s="153">
        <v>1.0</v>
      </c>
      <c r="P1667" s="603" t="str">
        <f t="shared" si="118"/>
        <v>10.1037--0022-3514.83.5.1239.pdf</v>
      </c>
      <c r="Q1667" s="49" t="str">
        <f t="array" ref="Q1667"> if(iserror(MATCH(V1667, 'File Links'!C:C, 0)), "N/A", HYPERLINK(INDEX('File Links'!B:B, MATCH(P1667, 'File Links'!C:C, 0))))</f>
        <v>https://drive.google.com/file/d/1bUFd8EhwJ36bo-2xBlOdIPnQvw_apZ06/view?usp=drivesdk</v>
      </c>
      <c r="R1667" s="156" t="s">
        <v>9545</v>
      </c>
      <c r="S1667" s="156" t="s">
        <v>9546</v>
      </c>
      <c r="T1667" s="65"/>
      <c r="U1667" s="153">
        <v>4.0</v>
      </c>
      <c r="V1667" s="195" t="str">
        <f t="shared" si="114"/>
        <v>10.1177--2515245918810225.pdf</v>
      </c>
      <c r="W1667" s="65" t="s">
        <v>202</v>
      </c>
      <c r="X1667" s="51" t="str">
        <f t="array" ref="X1667"> if(iserror(MATCH(V1667, 'File Links'!C:C, 0)), "N/A", HYPERLINK(INDEX('File Links'!B:B, MATCH(V1667, 'File Links'!C:C, 0))))</f>
        <v>https://drive.google.com/file/d/1rGqHLpg3OEGQnWLvlAEJr7JSMWJ2p-Ar/view?usp=drivesdk</v>
      </c>
      <c r="Y1667" s="65"/>
      <c r="Z1667" s="156" t="s">
        <v>940</v>
      </c>
      <c r="AA1667" s="156" t="s">
        <v>9598</v>
      </c>
      <c r="AB1667" s="156" t="s">
        <v>9599</v>
      </c>
      <c r="AC1667" s="156" t="s">
        <v>9606</v>
      </c>
      <c r="AD1667" s="65"/>
      <c r="AE1667" s="65"/>
      <c r="AF1667" s="153">
        <v>49.0</v>
      </c>
      <c r="AG1667" s="153">
        <v>0.757</v>
      </c>
      <c r="AH1667" s="156" t="s">
        <v>166</v>
      </c>
      <c r="AI1667" s="156" t="s">
        <v>9607</v>
      </c>
      <c r="AJ1667" s="153">
        <v>0.05</v>
      </c>
      <c r="AK1667" s="156" t="s">
        <v>328</v>
      </c>
      <c r="AL1667" s="156" t="s">
        <v>179</v>
      </c>
      <c r="AM1667" s="65" t="s">
        <v>130</v>
      </c>
      <c r="AN1667" s="327" t="s">
        <v>131</v>
      </c>
      <c r="AO1667" s="156" t="s">
        <v>131</v>
      </c>
      <c r="AP1667" s="153">
        <v>1.84</v>
      </c>
      <c r="AQ1667" s="156" t="s">
        <v>166</v>
      </c>
      <c r="AR1667" s="65"/>
      <c r="AS1667" s="65"/>
      <c r="AT1667" s="65"/>
      <c r="AU1667" s="65"/>
      <c r="AV1667" s="65"/>
      <c r="AW1667" s="432" t="s">
        <v>9554</v>
      </c>
      <c r="AX1667" s="65"/>
      <c r="AY1667" s="65"/>
      <c r="AZ1667" s="65" t="s">
        <v>5061</v>
      </c>
    </row>
    <row r="1668">
      <c r="A1668" s="41">
        <v>1668.0</v>
      </c>
      <c r="B1668" s="65" t="s">
        <v>107</v>
      </c>
      <c r="C1668" s="59" t="s">
        <v>108</v>
      </c>
      <c r="D1668" s="59" t="s">
        <v>138</v>
      </c>
      <c r="F1668" s="65" t="s">
        <v>9593</v>
      </c>
      <c r="G1668" s="156" t="s">
        <v>9594</v>
      </c>
      <c r="H1668" s="675" t="s">
        <v>5559</v>
      </c>
      <c r="I1668" s="149">
        <v>45669.0</v>
      </c>
      <c r="J1668" s="149">
        <v>45693.0</v>
      </c>
      <c r="K1668" s="156" t="s">
        <v>9608</v>
      </c>
      <c r="L1668" s="65"/>
      <c r="M1668" s="65" t="s">
        <v>9596</v>
      </c>
      <c r="N1668" s="65" t="s">
        <v>9597</v>
      </c>
      <c r="O1668" s="153">
        <v>1.0</v>
      </c>
      <c r="P1668" s="603" t="str">
        <f t="shared" si="118"/>
        <v>10.1037--0022-3514.83.5.1239.pdf</v>
      </c>
      <c r="Q1668" s="49" t="str">
        <f t="array" ref="Q1668"> if(iserror(MATCH(V1668, 'File Links'!C:C, 0)), "N/A", HYPERLINK(INDEX('File Links'!B:B, MATCH(P1668, 'File Links'!C:C, 0))))</f>
        <v>https://drive.google.com/file/d/1bUFd8EhwJ36bo-2xBlOdIPnQvw_apZ06/view?usp=drivesdk</v>
      </c>
      <c r="R1668" s="1112" t="s">
        <v>9545</v>
      </c>
      <c r="S1668" s="1112" t="s">
        <v>9546</v>
      </c>
      <c r="T1668" s="65"/>
      <c r="U1668" s="65"/>
      <c r="V1668" s="195" t="str">
        <f t="shared" si="114"/>
        <v>10.1177--2515245918810225.pdf</v>
      </c>
      <c r="W1668" s="156" t="s">
        <v>9582</v>
      </c>
      <c r="X1668" s="51" t="str">
        <f t="array" ref="X1668"> if(iserror(MATCH(V1668, 'File Links'!C:C, 0)), "N/A", HYPERLINK(INDEX('File Links'!B:B, MATCH(V1668, 'File Links'!C:C, 0))))</f>
        <v>https://drive.google.com/file/d/1rGqHLpg3OEGQnWLvlAEJr7JSMWJ2p-Ar/view?usp=drivesdk</v>
      </c>
      <c r="Y1668" s="65"/>
      <c r="Z1668" s="156" t="s">
        <v>219</v>
      </c>
      <c r="AA1668" s="65"/>
      <c r="AB1668" s="156" t="s">
        <v>9609</v>
      </c>
      <c r="AC1668" s="156" t="s">
        <v>9610</v>
      </c>
      <c r="AD1668" s="65"/>
      <c r="AE1668" s="65"/>
      <c r="AF1668" s="153">
        <v>107.0</v>
      </c>
      <c r="AG1668" s="65"/>
      <c r="AH1668" s="65"/>
      <c r="AI1668" s="65"/>
      <c r="AJ1668" s="65"/>
      <c r="AK1668" s="65"/>
      <c r="AL1668" s="65"/>
      <c r="AM1668" s="65"/>
      <c r="AN1668" s="327" t="s">
        <v>131</v>
      </c>
      <c r="AO1668" s="153">
        <v>7197.0</v>
      </c>
      <c r="AP1668" s="65"/>
      <c r="AQ1668" s="65"/>
      <c r="AR1668" s="65"/>
      <c r="AS1668" s="65"/>
      <c r="AT1668" s="65"/>
      <c r="AU1668" s="65"/>
      <c r="AV1668" s="65"/>
      <c r="AW1668" s="1116" t="s">
        <v>9554</v>
      </c>
      <c r="AX1668" s="65"/>
      <c r="AY1668" s="65"/>
      <c r="AZ1668" s="65" t="s">
        <v>5061</v>
      </c>
    </row>
    <row r="1669">
      <c r="A1669" s="41">
        <v>1669.0</v>
      </c>
      <c r="B1669" s="65" t="s">
        <v>107</v>
      </c>
      <c r="C1669" s="59" t="s">
        <v>108</v>
      </c>
      <c r="D1669" s="59" t="s">
        <v>138</v>
      </c>
      <c r="F1669" s="65" t="s">
        <v>9593</v>
      </c>
      <c r="G1669" s="156" t="s">
        <v>9604</v>
      </c>
      <c r="H1669" s="675" t="s">
        <v>5559</v>
      </c>
      <c r="I1669" s="149">
        <v>45669.0</v>
      </c>
      <c r="J1669" s="149">
        <v>45693.0</v>
      </c>
      <c r="K1669" s="156" t="s">
        <v>9611</v>
      </c>
      <c r="L1669" s="65"/>
      <c r="M1669" s="65" t="s">
        <v>9596</v>
      </c>
      <c r="N1669" s="65" t="s">
        <v>9597</v>
      </c>
      <c r="O1669" s="153">
        <v>1.0</v>
      </c>
      <c r="P1669" s="603" t="str">
        <f t="shared" si="118"/>
        <v>10.1037--0022-3514.83.5.1239.pdf</v>
      </c>
      <c r="Q1669" s="49" t="str">
        <f t="array" ref="Q1669"> if(iserror(MATCH(V1669, 'File Links'!C:C, 0)), "N/A", HYPERLINK(INDEX('File Links'!B:B, MATCH(P1669, 'File Links'!C:C, 0))))</f>
        <v>https://drive.google.com/file/d/1bUFd8EhwJ36bo-2xBlOdIPnQvw_apZ06/view?usp=drivesdk</v>
      </c>
      <c r="R1669" s="1112" t="s">
        <v>9545</v>
      </c>
      <c r="S1669" s="1112" t="s">
        <v>9546</v>
      </c>
      <c r="T1669" s="65"/>
      <c r="U1669" s="65"/>
      <c r="V1669" s="195" t="str">
        <f t="shared" si="114"/>
        <v>10.1177--2515245918810225.pdf</v>
      </c>
      <c r="W1669" s="156" t="s">
        <v>9582</v>
      </c>
      <c r="X1669" s="51" t="str">
        <f t="array" ref="X1669"> if(iserror(MATCH(V1669, 'File Links'!C:C, 0)), "N/A", HYPERLINK(INDEX('File Links'!B:B, MATCH(V1669, 'File Links'!C:C, 0))))</f>
        <v>https://drive.google.com/file/d/1rGqHLpg3OEGQnWLvlAEJr7JSMWJ2p-Ar/view?usp=drivesdk</v>
      </c>
      <c r="Y1669" s="65"/>
      <c r="Z1669" s="156" t="s">
        <v>219</v>
      </c>
      <c r="AA1669" s="65"/>
      <c r="AB1669" s="156" t="s">
        <v>9609</v>
      </c>
      <c r="AC1669" s="156" t="s">
        <v>9612</v>
      </c>
      <c r="AD1669" s="65"/>
      <c r="AE1669" s="65"/>
      <c r="AF1669" s="153">
        <v>107.0</v>
      </c>
      <c r="AG1669" s="65"/>
      <c r="AH1669" s="65"/>
      <c r="AI1669" s="65"/>
      <c r="AJ1669" s="65"/>
      <c r="AK1669" s="65"/>
      <c r="AL1669" s="65"/>
      <c r="AM1669" s="65"/>
      <c r="AN1669" s="327" t="s">
        <v>131</v>
      </c>
      <c r="AO1669" s="153">
        <v>7197.0</v>
      </c>
      <c r="AP1669" s="65"/>
      <c r="AQ1669" s="65"/>
      <c r="AR1669" s="65"/>
      <c r="AS1669" s="65"/>
      <c r="AT1669" s="65"/>
      <c r="AU1669" s="65"/>
      <c r="AV1669" s="65"/>
      <c r="AW1669" s="1116" t="s">
        <v>9554</v>
      </c>
      <c r="AX1669" s="65"/>
      <c r="AY1669" s="65"/>
      <c r="AZ1669" s="65" t="s">
        <v>5061</v>
      </c>
    </row>
    <row r="1670">
      <c r="A1670" s="41">
        <v>1670.0</v>
      </c>
      <c r="B1670" s="126" t="s">
        <v>145</v>
      </c>
      <c r="C1670" s="59" t="s">
        <v>108</v>
      </c>
      <c r="D1670" s="59" t="s">
        <v>225</v>
      </c>
      <c r="F1670" s="65" t="s">
        <v>9613</v>
      </c>
      <c r="G1670" s="65" t="s">
        <v>9614</v>
      </c>
      <c r="H1670" s="156" t="s">
        <v>6906</v>
      </c>
      <c r="I1670" s="149">
        <v>45687.0</v>
      </c>
      <c r="J1670" s="149">
        <v>45693.0</v>
      </c>
      <c r="K1670" s="156"/>
      <c r="L1670" s="156"/>
      <c r="M1670" s="156" t="s">
        <v>9615</v>
      </c>
      <c r="N1670" s="153">
        <v>3329308.0</v>
      </c>
      <c r="O1670" s="153">
        <v>1.0</v>
      </c>
      <c r="P1670" s="603" t="str">
        <f t="shared" si="118"/>
        <v>3329308.pdf</v>
      </c>
      <c r="Q1670" s="49" t="str">
        <f t="array" ref="Q1670"> if(iserror(MATCH(V1670, 'File Links'!C:C, 0)), "N/A", HYPERLINK(INDEX('File Links'!B:B, MATCH(P1670, 'File Links'!C:C, 0))))</f>
        <v>https://drive.google.com/file/d/1tin9nciEOGqNUz2Yx-ZnwQtqTwJGFR6v/view?usp=drivesdk</v>
      </c>
      <c r="R1670" s="156" t="s">
        <v>9545</v>
      </c>
      <c r="S1670" s="156" t="s">
        <v>9546</v>
      </c>
      <c r="T1670" s="65"/>
      <c r="U1670" s="153">
        <v>5.0</v>
      </c>
      <c r="V1670" s="195" t="str">
        <f t="shared" si="114"/>
        <v>10.1177--2515245918810225.pdf</v>
      </c>
      <c r="W1670" s="65" t="s">
        <v>202</v>
      </c>
      <c r="X1670" s="51" t="str">
        <f t="array" ref="X1670"> if(iserror(MATCH(V1670, 'File Links'!C:C, 0)), "N/A", HYPERLINK(INDEX('File Links'!B:B, MATCH(V1670, 'File Links'!C:C, 0))))</f>
        <v>https://drive.google.com/file/d/1rGqHLpg3OEGQnWLvlAEJr7JSMWJ2p-Ar/view?usp=drivesdk</v>
      </c>
      <c r="Y1670" s="65"/>
      <c r="Z1670" s="156" t="s">
        <v>940</v>
      </c>
      <c r="AA1670" s="156" t="s">
        <v>9616</v>
      </c>
      <c r="AB1670" s="1112" t="s">
        <v>9617</v>
      </c>
      <c r="AC1670" s="148" t="s">
        <v>9618</v>
      </c>
      <c r="AD1670" s="156" t="s">
        <v>9619</v>
      </c>
      <c r="AE1670" s="156" t="s">
        <v>9620</v>
      </c>
      <c r="AF1670" s="153">
        <v>78.0</v>
      </c>
      <c r="AG1670" s="1117">
        <f>(0.82/(1-0.82))/(0.23/(1-0.23))</f>
        <v>15.25120773</v>
      </c>
      <c r="AH1670" s="156" t="s">
        <v>715</v>
      </c>
      <c r="AI1670" s="148" t="s">
        <v>9621</v>
      </c>
      <c r="AJ1670" s="153">
        <v>0.001</v>
      </c>
      <c r="AK1670" s="156" t="s">
        <v>128</v>
      </c>
      <c r="AL1670" s="156" t="s">
        <v>179</v>
      </c>
      <c r="AM1670" s="65" t="s">
        <v>130</v>
      </c>
      <c r="AN1670" s="327" t="s">
        <v>131</v>
      </c>
      <c r="AO1670" s="153">
        <v>7982.0</v>
      </c>
      <c r="AP1670" s="153">
        <v>1.75</v>
      </c>
      <c r="AQ1670" s="156" t="s">
        <v>166</v>
      </c>
      <c r="AR1670" s="156" t="s">
        <v>4338</v>
      </c>
      <c r="AS1670" s="153">
        <v>0.001</v>
      </c>
      <c r="AT1670" s="156" t="s">
        <v>128</v>
      </c>
      <c r="AU1670" s="156" t="s">
        <v>179</v>
      </c>
      <c r="AV1670" s="65" t="s">
        <v>130</v>
      </c>
      <c r="AW1670" s="432" t="s">
        <v>9554</v>
      </c>
      <c r="AX1670" s="65" t="s">
        <v>136</v>
      </c>
      <c r="AY1670" s="65"/>
      <c r="AZ1670" s="126" t="s">
        <v>6951</v>
      </c>
    </row>
    <row r="1671">
      <c r="A1671" s="41">
        <v>1671.0</v>
      </c>
      <c r="B1671" s="65" t="s">
        <v>107</v>
      </c>
      <c r="C1671" s="59" t="s">
        <v>108</v>
      </c>
      <c r="D1671" s="59" t="s">
        <v>138</v>
      </c>
      <c r="F1671" s="65" t="s">
        <v>9613</v>
      </c>
      <c r="G1671" s="65" t="s">
        <v>9614</v>
      </c>
      <c r="H1671" s="675" t="s">
        <v>5559</v>
      </c>
      <c r="I1671" s="149">
        <v>45669.0</v>
      </c>
      <c r="J1671" s="149">
        <v>45693.0</v>
      </c>
      <c r="K1671" s="156" t="s">
        <v>9622</v>
      </c>
      <c r="L1671" s="65"/>
      <c r="M1671" s="65" t="s">
        <v>9623</v>
      </c>
      <c r="N1671" s="65" t="s">
        <v>9624</v>
      </c>
      <c r="O1671" s="153">
        <v>1.0</v>
      </c>
      <c r="P1671" s="603" t="str">
        <f t="shared" si="118"/>
        <v>10.1007--s11098-004-4510-0.pdf</v>
      </c>
      <c r="Q1671" s="49" t="str">
        <f t="array" ref="Q1671"> if(iserror(MATCH(V1671, 'File Links'!C:C, 0)), "N/A", HYPERLINK(INDEX('File Links'!B:B, MATCH(P1671, 'File Links'!C:C, 0))))</f>
        <v>https://drive.google.com/file/d/1O4qy3ZvKUUKMZck64Co6Vh7IIH6aPDik/view?usp=drivesdk</v>
      </c>
      <c r="R1671" s="1112" t="s">
        <v>9545</v>
      </c>
      <c r="S1671" s="1112" t="s">
        <v>9546</v>
      </c>
      <c r="T1671" s="65"/>
      <c r="U1671" s="65"/>
      <c r="V1671" s="195" t="str">
        <f t="shared" si="114"/>
        <v>10.1177--2515245918810225.pdf</v>
      </c>
      <c r="W1671" s="1296" t="s">
        <v>202</v>
      </c>
      <c r="X1671" s="51" t="str">
        <f t="array" ref="X1671"> if(iserror(MATCH(V1671, 'File Links'!C:C, 0)), "N/A", HYPERLINK(INDEX('File Links'!B:B, MATCH(V1671, 'File Links'!C:C, 0))))</f>
        <v>https://drive.google.com/file/d/1rGqHLpg3OEGQnWLvlAEJr7JSMWJ2p-Ar/view?usp=drivesdk</v>
      </c>
      <c r="Y1671" s="65"/>
      <c r="Z1671" s="156" t="s">
        <v>219</v>
      </c>
      <c r="AA1671" s="156" t="s">
        <v>9583</v>
      </c>
      <c r="AB1671" s="156" t="s">
        <v>9617</v>
      </c>
      <c r="AC1671" s="65"/>
      <c r="AD1671" s="65"/>
      <c r="AE1671" s="65"/>
      <c r="AF1671" s="65"/>
      <c r="AG1671" s="65"/>
      <c r="AH1671" s="65"/>
      <c r="AI1671" s="65"/>
      <c r="AJ1671" s="65"/>
      <c r="AK1671" s="65"/>
      <c r="AL1671" s="65"/>
      <c r="AM1671" s="65"/>
      <c r="AN1671" s="327" t="s">
        <v>131</v>
      </c>
      <c r="AO1671" s="65"/>
      <c r="AP1671" s="65"/>
      <c r="AQ1671" s="65"/>
      <c r="AR1671" s="65"/>
      <c r="AS1671" s="65"/>
      <c r="AT1671" s="65"/>
      <c r="AU1671" s="65"/>
      <c r="AV1671" s="65"/>
      <c r="AW1671" s="1116" t="s">
        <v>9554</v>
      </c>
      <c r="AX1671" s="65"/>
      <c r="AY1671" s="65"/>
      <c r="AZ1671" s="65" t="s">
        <v>5061</v>
      </c>
    </row>
    <row r="1672">
      <c r="A1672" s="41">
        <v>1672.0</v>
      </c>
      <c r="B1672" s="126" t="s">
        <v>145</v>
      </c>
      <c r="C1672" s="59" t="s">
        <v>108</v>
      </c>
      <c r="D1672" s="59" t="s">
        <v>225</v>
      </c>
      <c r="F1672" s="65" t="s">
        <v>9625</v>
      </c>
      <c r="G1672" s="65" t="s">
        <v>9626</v>
      </c>
      <c r="H1672" s="156" t="s">
        <v>6906</v>
      </c>
      <c r="I1672" s="149">
        <v>45687.0</v>
      </c>
      <c r="J1672" s="149">
        <v>45693.0</v>
      </c>
      <c r="K1672" s="156" t="s">
        <v>9627</v>
      </c>
      <c r="L1672" s="156" t="s">
        <v>9628</v>
      </c>
      <c r="M1672" s="156" t="s">
        <v>9629</v>
      </c>
      <c r="N1672" s="156" t="s">
        <v>9630</v>
      </c>
      <c r="O1672" s="1113" t="s">
        <v>9631</v>
      </c>
      <c r="P1672" s="603" t="str">
        <f t="shared" si="118"/>
        <v>10.1111-- j.1468-0017.2006.00297.x.pdf</v>
      </c>
      <c r="Q1672" s="49" t="str">
        <f t="array" ref="Q1672"> if(iserror(MATCH(V1672, 'File Links'!C:C, 0)), "N/A", HYPERLINK(INDEX('File Links'!B:B, MATCH(P1672, 'File Links'!C:C, 0))))</f>
        <v>https://drive.google.com/file/d/1H2OS8Rk6wh8PVpv13iom_WUpLu0fEeBU/view?usp=drivesdk</v>
      </c>
      <c r="R1672" s="156" t="s">
        <v>9545</v>
      </c>
      <c r="S1672" s="156" t="s">
        <v>9546</v>
      </c>
      <c r="T1672" s="65"/>
      <c r="U1672" s="153">
        <v>6.0</v>
      </c>
      <c r="V1672" s="195" t="str">
        <f t="shared" si="114"/>
        <v>10.1177--2515245918810225.pdf</v>
      </c>
      <c r="W1672" s="65" t="s">
        <v>202</v>
      </c>
      <c r="X1672" s="51" t="str">
        <f t="array" ref="X1672"> if(iserror(MATCH(V1672, 'File Links'!C:C, 0)), "N/A", HYPERLINK(INDEX('File Links'!B:B, MATCH(V1672, 'File Links'!C:C, 0))))</f>
        <v>https://drive.google.com/file/d/1rGqHLpg3OEGQnWLvlAEJr7JSMWJ2p-Ar/view?usp=drivesdk</v>
      </c>
      <c r="Y1672" s="65"/>
      <c r="Z1672" s="1112" t="s">
        <v>219</v>
      </c>
      <c r="AA1672" s="156" t="s">
        <v>9632</v>
      </c>
      <c r="AB1672" s="156" t="s">
        <v>9633</v>
      </c>
      <c r="AC1672" s="148" t="s">
        <v>9634</v>
      </c>
      <c r="AD1672" s="148" t="s">
        <v>9635</v>
      </c>
      <c r="AE1672" s="65" t="s">
        <v>125</v>
      </c>
      <c r="AF1672" s="153">
        <v>2646.0</v>
      </c>
      <c r="AG1672" s="153">
        <f>(0.89/(1-0.89))/(0.11/(1-0.11))</f>
        <v>65.46280992</v>
      </c>
      <c r="AH1672" s="148" t="s">
        <v>715</v>
      </c>
      <c r="AI1672" s="148" t="s">
        <v>9636</v>
      </c>
      <c r="AJ1672" s="153">
        <v>0.001</v>
      </c>
      <c r="AK1672" s="156" t="s">
        <v>128</v>
      </c>
      <c r="AL1672" s="1113" t="s">
        <v>179</v>
      </c>
      <c r="AM1672" s="65" t="s">
        <v>130</v>
      </c>
      <c r="AN1672" s="327" t="s">
        <v>131</v>
      </c>
      <c r="AO1672" s="153">
        <v>6842.0</v>
      </c>
      <c r="AP1672" s="153">
        <v>1.35</v>
      </c>
      <c r="AQ1672" s="156" t="s">
        <v>166</v>
      </c>
      <c r="AR1672" s="156" t="s">
        <v>9637</v>
      </c>
      <c r="AS1672" s="1090">
        <f>2.2*10^-16</f>
        <v>0</v>
      </c>
      <c r="AT1672" s="156" t="s">
        <v>165</v>
      </c>
      <c r="AU1672" s="156" t="s">
        <v>179</v>
      </c>
      <c r="AV1672" s="65" t="s">
        <v>130</v>
      </c>
      <c r="AW1672" s="432" t="s">
        <v>9554</v>
      </c>
      <c r="AX1672" s="65" t="s">
        <v>136</v>
      </c>
      <c r="AY1672" s="65"/>
      <c r="AZ1672" s="126" t="s">
        <v>6951</v>
      </c>
    </row>
    <row r="1673">
      <c r="A1673" s="41">
        <v>1673.0</v>
      </c>
      <c r="B1673" s="65" t="s">
        <v>107</v>
      </c>
      <c r="C1673" s="59" t="s">
        <v>108</v>
      </c>
      <c r="D1673" s="59" t="s">
        <v>138</v>
      </c>
      <c r="F1673" s="65" t="s">
        <v>9625</v>
      </c>
      <c r="G1673" s="65" t="s">
        <v>9626</v>
      </c>
      <c r="H1673" s="675" t="s">
        <v>5559</v>
      </c>
      <c r="I1673" s="149">
        <v>45667.0</v>
      </c>
      <c r="J1673" s="149">
        <v>45693.0</v>
      </c>
      <c r="K1673" s="65"/>
      <c r="L1673" s="65"/>
      <c r="M1673" s="65" t="s">
        <v>9629</v>
      </c>
      <c r="N1673" s="65" t="s">
        <v>9630</v>
      </c>
      <c r="O1673" s="156" t="s">
        <v>9638</v>
      </c>
      <c r="P1673" s="603" t="str">
        <f t="shared" si="118"/>
        <v>10.1111-- j.1468-0017.2006.00297.x.pdf</v>
      </c>
      <c r="Q1673" s="49" t="str">
        <f t="array" ref="Q1673"> if(iserror(MATCH(V1673, 'File Links'!C:C, 0)), "N/A", HYPERLINK(INDEX('File Links'!B:B, MATCH(P1673, 'File Links'!C:C, 0))))</f>
        <v>https://drive.google.com/file/d/1H2OS8Rk6wh8PVpv13iom_WUpLu0fEeBU/view?usp=drivesdk</v>
      </c>
      <c r="R1673" s="1112" t="s">
        <v>9545</v>
      </c>
      <c r="S1673" s="1112" t="s">
        <v>9546</v>
      </c>
      <c r="T1673" s="65"/>
      <c r="U1673" s="65"/>
      <c r="V1673" s="195" t="str">
        <f t="shared" si="114"/>
        <v>10.1177--2515245918810225.pdf</v>
      </c>
      <c r="W1673" s="1296" t="s">
        <v>202</v>
      </c>
      <c r="X1673" s="51" t="str">
        <f t="array" ref="X1673"> if(iserror(MATCH(V1673, 'File Links'!C:C, 0)), "N/A", HYPERLINK(INDEX('File Links'!B:B, MATCH(V1673, 'File Links'!C:C, 0))))</f>
        <v>https://drive.google.com/file/d/1rGqHLpg3OEGQnWLvlAEJr7JSMWJ2p-Ar/view?usp=drivesdk</v>
      </c>
      <c r="Y1673" s="65"/>
      <c r="Z1673" s="156" t="s">
        <v>219</v>
      </c>
      <c r="AA1673" s="65"/>
      <c r="AB1673" s="156" t="s">
        <v>9633</v>
      </c>
      <c r="AC1673" s="156" t="s">
        <v>9639</v>
      </c>
      <c r="AD1673" s="156" t="s">
        <v>9640</v>
      </c>
      <c r="AE1673" s="153">
        <v>7.0</v>
      </c>
      <c r="AF1673" s="153">
        <v>2646.0</v>
      </c>
      <c r="AG1673" s="153">
        <v>0.78</v>
      </c>
      <c r="AH1673" s="148" t="s">
        <v>264</v>
      </c>
      <c r="AI1673" s="156" t="s">
        <v>125</v>
      </c>
      <c r="AJ1673" s="153">
        <v>0.001</v>
      </c>
      <c r="AK1673" s="156" t="s">
        <v>128</v>
      </c>
      <c r="AL1673" s="156" t="s">
        <v>211</v>
      </c>
      <c r="AM1673" s="65" t="s">
        <v>1898</v>
      </c>
      <c r="AN1673" s="327" t="s">
        <v>131</v>
      </c>
      <c r="AO1673" s="153">
        <v>6842.0</v>
      </c>
      <c r="AP1673" s="153">
        <v>11.54</v>
      </c>
      <c r="AQ1673" s="156" t="s">
        <v>715</v>
      </c>
      <c r="AR1673" s="1057" t="s">
        <v>298</v>
      </c>
      <c r="AS1673" s="1058">
        <v>2.2E-16</v>
      </c>
      <c r="AT1673" s="156" t="s">
        <v>165</v>
      </c>
      <c r="AU1673" s="1057" t="s">
        <v>179</v>
      </c>
      <c r="AV1673" s="65" t="s">
        <v>130</v>
      </c>
      <c r="AW1673" s="1116" t="s">
        <v>9554</v>
      </c>
      <c r="AX1673" s="65" t="s">
        <v>136</v>
      </c>
      <c r="AY1673" s="65"/>
      <c r="AZ1673" s="65" t="s">
        <v>5061</v>
      </c>
    </row>
    <row r="1674">
      <c r="A1674" s="41">
        <v>1674.0</v>
      </c>
      <c r="B1674" s="126" t="s">
        <v>145</v>
      </c>
      <c r="C1674" s="59" t="s">
        <v>108</v>
      </c>
      <c r="D1674" s="59" t="s">
        <v>225</v>
      </c>
      <c r="F1674" s="65" t="s">
        <v>9641</v>
      </c>
      <c r="G1674" s="156" t="s">
        <v>9642</v>
      </c>
      <c r="H1674" s="156" t="s">
        <v>6906</v>
      </c>
      <c r="I1674" s="149">
        <v>45687.0</v>
      </c>
      <c r="J1674" s="149">
        <v>45693.0</v>
      </c>
      <c r="K1674" s="156" t="s">
        <v>9643</v>
      </c>
      <c r="L1674" s="156"/>
      <c r="M1674" s="156" t="s">
        <v>9644</v>
      </c>
      <c r="N1674" s="156" t="s">
        <v>9645</v>
      </c>
      <c r="O1674" s="158" t="s">
        <v>4085</v>
      </c>
      <c r="P1674" s="603" t="str">
        <f t="shared" si="118"/>
        <v>10.1016--0022-1031(77)90049-x.pdf</v>
      </c>
      <c r="Q1674" s="49" t="str">
        <f t="array" ref="Q1674"> if(iserror(MATCH(V1674, 'File Links'!C:C, 0)), "N/A", HYPERLINK(INDEX('File Links'!B:B, MATCH(P1674, 'File Links'!C:C, 0))))</f>
        <v>https://drive.google.com/file/d/16b2RhNig_5iqWitXUKqz28-xsE4N6txd/view?usp=drivesdk</v>
      </c>
      <c r="R1674" s="156" t="s">
        <v>9545</v>
      </c>
      <c r="S1674" s="156" t="s">
        <v>9546</v>
      </c>
      <c r="T1674" s="65"/>
      <c r="U1674" s="153">
        <v>7.0</v>
      </c>
      <c r="V1674" s="195" t="str">
        <f t="shared" si="114"/>
        <v>10.1177--2515245918810225.pdf</v>
      </c>
      <c r="W1674" s="65" t="s">
        <v>202</v>
      </c>
      <c r="X1674" s="51" t="str">
        <f t="array" ref="X1674"> if(iserror(MATCH(V1674, 'File Links'!C:C, 0)), "N/A", HYPERLINK(INDEX('File Links'!B:B, MATCH(V1674, 'File Links'!C:C, 0))))</f>
        <v>https://drive.google.com/file/d/1rGqHLpg3OEGQnWLvlAEJr7JSMWJ2p-Ar/view?usp=drivesdk</v>
      </c>
      <c r="Y1674" s="65"/>
      <c r="Z1674" s="1112" t="s">
        <v>219</v>
      </c>
      <c r="AA1674" s="156" t="s">
        <v>9646</v>
      </c>
      <c r="AB1674" s="1112" t="s">
        <v>9647</v>
      </c>
      <c r="AC1674" s="156" t="s">
        <v>9648</v>
      </c>
      <c r="AD1674" s="148" t="s">
        <v>9649</v>
      </c>
      <c r="AE1674" s="156" t="s">
        <v>9620</v>
      </c>
      <c r="AF1674" s="153">
        <v>80.0</v>
      </c>
      <c r="AG1674" s="148" t="s">
        <v>9650</v>
      </c>
      <c r="AH1674" s="156" t="s">
        <v>127</v>
      </c>
      <c r="AI1674" s="156" t="s">
        <v>9651</v>
      </c>
      <c r="AJ1674" s="153">
        <v>0.001</v>
      </c>
      <c r="AK1674" s="156" t="s">
        <v>128</v>
      </c>
      <c r="AL1674" s="156" t="s">
        <v>179</v>
      </c>
      <c r="AM1674" s="65" t="s">
        <v>130</v>
      </c>
      <c r="AN1674" s="327" t="s">
        <v>131</v>
      </c>
      <c r="AO1674" s="153">
        <v>7205.0</v>
      </c>
      <c r="AP1674" s="153">
        <v>1.18</v>
      </c>
      <c r="AQ1674" s="156" t="s">
        <v>166</v>
      </c>
      <c r="AR1674" s="156" t="s">
        <v>9652</v>
      </c>
      <c r="AS1674" s="1090">
        <f t="shared" ref="AS1674:AS1675" si="119">2.2*10^-16</f>
        <v>0</v>
      </c>
      <c r="AT1674" s="1112" t="s">
        <v>165</v>
      </c>
      <c r="AU1674" s="156" t="s">
        <v>179</v>
      </c>
      <c r="AV1674" s="65" t="s">
        <v>130</v>
      </c>
      <c r="AW1674" s="432" t="s">
        <v>9554</v>
      </c>
      <c r="AX1674" s="65" t="s">
        <v>136</v>
      </c>
      <c r="AY1674" s="65"/>
      <c r="AZ1674" s="126" t="s">
        <v>6951</v>
      </c>
    </row>
    <row r="1675">
      <c r="A1675" s="41">
        <v>1675.0</v>
      </c>
      <c r="B1675" s="126" t="s">
        <v>145</v>
      </c>
      <c r="C1675" s="59" t="s">
        <v>108</v>
      </c>
      <c r="D1675" s="59" t="s">
        <v>225</v>
      </c>
      <c r="F1675" s="65" t="s">
        <v>9641</v>
      </c>
      <c r="G1675" s="156" t="s">
        <v>9653</v>
      </c>
      <c r="H1675" s="156" t="s">
        <v>6906</v>
      </c>
      <c r="I1675" s="149">
        <v>45687.0</v>
      </c>
      <c r="J1675" s="149">
        <v>45693.0</v>
      </c>
      <c r="K1675" s="65"/>
      <c r="L1675" s="65"/>
      <c r="M1675" s="156" t="s">
        <v>9654</v>
      </c>
      <c r="N1675" s="156" t="s">
        <v>9645</v>
      </c>
      <c r="O1675" s="158" t="s">
        <v>5504</v>
      </c>
      <c r="P1675" s="603" t="str">
        <f t="shared" si="118"/>
        <v>10.1016--0022-1031(77)90049-x.pdf</v>
      </c>
      <c r="Q1675" s="49" t="str">
        <f t="array" ref="Q1675"> if(iserror(MATCH(V1675, 'File Links'!C:C, 0)), "N/A", HYPERLINK(INDEX('File Links'!B:B, MATCH(P1675, 'File Links'!C:C, 0))))</f>
        <v>https://drive.google.com/file/d/16b2RhNig_5iqWitXUKqz28-xsE4N6txd/view?usp=drivesdk</v>
      </c>
      <c r="R1675" s="156" t="s">
        <v>9545</v>
      </c>
      <c r="S1675" s="156" t="s">
        <v>9546</v>
      </c>
      <c r="T1675" s="65"/>
      <c r="U1675" s="153">
        <v>9.0</v>
      </c>
      <c r="V1675" s="195" t="str">
        <f t="shared" si="114"/>
        <v>10.1177--2515245918810225.pdf</v>
      </c>
      <c r="W1675" s="65" t="s">
        <v>202</v>
      </c>
      <c r="X1675" s="51" t="str">
        <f t="array" ref="X1675"> if(iserror(MATCH(V1675, 'File Links'!C:C, 0)), "N/A", HYPERLINK(INDEX('File Links'!B:B, MATCH(V1675, 'File Links'!C:C, 0))))</f>
        <v>https://drive.google.com/file/d/1rGqHLpg3OEGQnWLvlAEJr7JSMWJ2p-Ar/view?usp=drivesdk</v>
      </c>
      <c r="Y1675" s="65"/>
      <c r="Z1675" s="1112" t="s">
        <v>219</v>
      </c>
      <c r="AA1675" s="156" t="s">
        <v>9646</v>
      </c>
      <c r="AB1675" s="1112" t="s">
        <v>9647</v>
      </c>
      <c r="AC1675" s="156" t="s">
        <v>9655</v>
      </c>
      <c r="AD1675" s="148" t="s">
        <v>9656</v>
      </c>
      <c r="AE1675" s="156" t="s">
        <v>9620</v>
      </c>
      <c r="AF1675" s="153">
        <v>80.0</v>
      </c>
      <c r="AG1675" s="148" t="s">
        <v>9657</v>
      </c>
      <c r="AH1675" s="156" t="s">
        <v>127</v>
      </c>
      <c r="AI1675" s="156" t="s">
        <v>9651</v>
      </c>
      <c r="AJ1675" s="153">
        <v>0.001</v>
      </c>
      <c r="AK1675" s="156" t="s">
        <v>128</v>
      </c>
      <c r="AL1675" s="156" t="s">
        <v>179</v>
      </c>
      <c r="AM1675" s="65" t="s">
        <v>130</v>
      </c>
      <c r="AN1675" s="327" t="s">
        <v>131</v>
      </c>
      <c r="AO1675" s="153">
        <v>7827.0</v>
      </c>
      <c r="AP1675" s="153">
        <v>0.95</v>
      </c>
      <c r="AQ1675" s="156" t="s">
        <v>166</v>
      </c>
      <c r="AR1675" s="156" t="s">
        <v>9652</v>
      </c>
      <c r="AS1675" s="1090">
        <f t="shared" si="119"/>
        <v>0</v>
      </c>
      <c r="AT1675" s="1112" t="s">
        <v>165</v>
      </c>
      <c r="AU1675" s="156" t="s">
        <v>179</v>
      </c>
      <c r="AV1675" s="65" t="s">
        <v>130</v>
      </c>
      <c r="AW1675" s="432" t="s">
        <v>9554</v>
      </c>
      <c r="AX1675" s="65" t="s">
        <v>136</v>
      </c>
      <c r="AY1675" s="65"/>
      <c r="AZ1675" s="126" t="s">
        <v>6951</v>
      </c>
    </row>
    <row r="1676">
      <c r="A1676" s="41">
        <v>1676.0</v>
      </c>
      <c r="B1676" s="65" t="s">
        <v>107</v>
      </c>
      <c r="C1676" s="59" t="s">
        <v>108</v>
      </c>
      <c r="D1676" s="59" t="s">
        <v>138</v>
      </c>
      <c r="F1676" s="65" t="s">
        <v>9641</v>
      </c>
      <c r="G1676" s="156" t="s">
        <v>9642</v>
      </c>
      <c r="H1676" s="675" t="s">
        <v>5559</v>
      </c>
      <c r="I1676" s="149">
        <v>45673.0</v>
      </c>
      <c r="J1676" s="149">
        <v>45693.0</v>
      </c>
      <c r="K1676" s="65"/>
      <c r="L1676" s="65"/>
      <c r="M1676" s="65" t="s">
        <v>9658</v>
      </c>
      <c r="N1676" s="65" t="s">
        <v>9645</v>
      </c>
      <c r="O1676" s="153">
        <v>1.0</v>
      </c>
      <c r="P1676" s="603" t="str">
        <f t="shared" si="118"/>
        <v>10.1016--0022-1031(77)90049-x.pdf</v>
      </c>
      <c r="Q1676" s="49" t="str">
        <f t="array" ref="Q1676"> if(iserror(MATCH(V1676, 'File Links'!C:C, 0)), "N/A", HYPERLINK(INDEX('File Links'!B:B, MATCH(P1676, 'File Links'!C:C, 0))))</f>
        <v>https://drive.google.com/file/d/16b2RhNig_5iqWitXUKqz28-xsE4N6txd/view?usp=drivesdk</v>
      </c>
      <c r="R1676" s="1112" t="s">
        <v>9545</v>
      </c>
      <c r="S1676" s="1112" t="s">
        <v>9546</v>
      </c>
      <c r="T1676" s="65"/>
      <c r="U1676" s="65"/>
      <c r="V1676" s="195" t="str">
        <f t="shared" si="114"/>
        <v>10.1177--2515245918810225.pdf</v>
      </c>
      <c r="W1676" s="1296" t="s">
        <v>202</v>
      </c>
      <c r="X1676" s="51" t="str">
        <f t="array" ref="X1676"> if(iserror(MATCH(V1676, 'File Links'!C:C, 0)), "N/A", HYPERLINK(INDEX('File Links'!B:B, MATCH(V1676, 'File Links'!C:C, 0))))</f>
        <v>https://drive.google.com/file/d/1rGqHLpg3OEGQnWLvlAEJr7JSMWJ2p-Ar/view?usp=drivesdk</v>
      </c>
      <c r="Y1676" s="65"/>
      <c r="Z1676" s="156" t="s">
        <v>219</v>
      </c>
      <c r="AA1676" s="156" t="s">
        <v>9659</v>
      </c>
      <c r="AB1676" s="156" t="s">
        <v>9647</v>
      </c>
      <c r="AC1676" s="156" t="s">
        <v>9660</v>
      </c>
      <c r="AD1676" s="156" t="s">
        <v>9661</v>
      </c>
      <c r="AE1676" s="153">
        <v>7.0</v>
      </c>
      <c r="AF1676" s="153">
        <v>80.0</v>
      </c>
      <c r="AG1676" s="1057" t="s">
        <v>9662</v>
      </c>
      <c r="AH1676" s="156" t="s">
        <v>127</v>
      </c>
      <c r="AI1676" s="156" t="s">
        <v>806</v>
      </c>
      <c r="AJ1676" s="153">
        <v>0.001</v>
      </c>
      <c r="AK1676" s="156" t="s">
        <v>128</v>
      </c>
      <c r="AL1676" s="156" t="s">
        <v>179</v>
      </c>
      <c r="AM1676" s="65" t="s">
        <v>130</v>
      </c>
      <c r="AN1676" s="327" t="s">
        <v>131</v>
      </c>
      <c r="AO1676" s="1056">
        <v>7827.0</v>
      </c>
      <c r="AP1676" s="153">
        <v>1.18</v>
      </c>
      <c r="AQ1676" s="156" t="s">
        <v>166</v>
      </c>
      <c r="AR1676" s="156" t="s">
        <v>2805</v>
      </c>
      <c r="AS1676" s="1058">
        <v>2.2E-16</v>
      </c>
      <c r="AT1676" s="156" t="s">
        <v>165</v>
      </c>
      <c r="AU1676" s="156" t="s">
        <v>179</v>
      </c>
      <c r="AV1676" s="65" t="s">
        <v>130</v>
      </c>
      <c r="AW1676" s="1116" t="s">
        <v>9554</v>
      </c>
      <c r="AX1676" s="65" t="s">
        <v>136</v>
      </c>
      <c r="AY1676" s="65"/>
      <c r="AZ1676" s="65" t="s">
        <v>5061</v>
      </c>
    </row>
    <row r="1677">
      <c r="A1677" s="41">
        <v>1677.0</v>
      </c>
      <c r="B1677" s="65" t="s">
        <v>107</v>
      </c>
      <c r="C1677" s="59" t="s">
        <v>108</v>
      </c>
      <c r="D1677" s="59" t="s">
        <v>138</v>
      </c>
      <c r="F1677" s="65" t="s">
        <v>9641</v>
      </c>
      <c r="G1677" s="156" t="s">
        <v>9653</v>
      </c>
      <c r="H1677" s="675" t="s">
        <v>5559</v>
      </c>
      <c r="I1677" s="149">
        <v>45673.0</v>
      </c>
      <c r="J1677" s="149">
        <v>45693.0</v>
      </c>
      <c r="K1677" s="65"/>
      <c r="L1677" s="65"/>
      <c r="M1677" s="65" t="s">
        <v>9658</v>
      </c>
      <c r="N1677" s="65" t="s">
        <v>9645</v>
      </c>
      <c r="O1677" s="153">
        <v>1.0</v>
      </c>
      <c r="P1677" s="603" t="str">
        <f t="shared" si="118"/>
        <v>10.1016--0022-1031(77)90049-x.pdf</v>
      </c>
      <c r="Q1677" s="49" t="str">
        <f t="array" ref="Q1677"> if(iserror(MATCH(V1677, 'File Links'!C:C, 0)), "N/A", HYPERLINK(INDEX('File Links'!B:B, MATCH(P1677, 'File Links'!C:C, 0))))</f>
        <v>https://drive.google.com/file/d/16b2RhNig_5iqWitXUKqz28-xsE4N6txd/view?usp=drivesdk</v>
      </c>
      <c r="R1677" s="1112" t="s">
        <v>9545</v>
      </c>
      <c r="S1677" s="1112" t="s">
        <v>9546</v>
      </c>
      <c r="T1677" s="65"/>
      <c r="U1677" s="65"/>
      <c r="V1677" s="195" t="str">
        <f t="shared" si="114"/>
        <v>10.1177--2515245918810225.pdf</v>
      </c>
      <c r="W1677" s="1296" t="s">
        <v>202</v>
      </c>
      <c r="X1677" s="51" t="str">
        <f t="array" ref="X1677"> if(iserror(MATCH(V1677, 'File Links'!C:C, 0)), "N/A", HYPERLINK(INDEX('File Links'!B:B, MATCH(V1677, 'File Links'!C:C, 0))))</f>
        <v>https://drive.google.com/file/d/1rGqHLpg3OEGQnWLvlAEJr7JSMWJ2p-Ar/view?usp=drivesdk</v>
      </c>
      <c r="Y1677" s="65"/>
      <c r="Z1677" s="156" t="s">
        <v>219</v>
      </c>
      <c r="AA1677" s="156" t="s">
        <v>9659</v>
      </c>
      <c r="AB1677" s="156" t="s">
        <v>9647</v>
      </c>
      <c r="AC1677" s="156" t="s">
        <v>9663</v>
      </c>
      <c r="AD1677" s="156" t="s">
        <v>9664</v>
      </c>
      <c r="AE1677" s="153">
        <v>7.0</v>
      </c>
      <c r="AF1677" s="153">
        <v>80.0</v>
      </c>
      <c r="AG1677" s="156" t="s">
        <v>9657</v>
      </c>
      <c r="AH1677" s="156" t="s">
        <v>127</v>
      </c>
      <c r="AI1677" s="156" t="s">
        <v>806</v>
      </c>
      <c r="AJ1677" s="153">
        <v>0.1</v>
      </c>
      <c r="AK1677" s="156" t="s">
        <v>128</v>
      </c>
      <c r="AL1677" s="156" t="s">
        <v>179</v>
      </c>
      <c r="AM1677" s="65" t="s">
        <v>130</v>
      </c>
      <c r="AN1677" s="327" t="s">
        <v>131</v>
      </c>
      <c r="AO1677" s="153">
        <v>7827.0</v>
      </c>
      <c r="AP1677" s="153">
        <v>0.95</v>
      </c>
      <c r="AQ1677" s="156" t="s">
        <v>166</v>
      </c>
      <c r="AR1677" s="156" t="s">
        <v>2805</v>
      </c>
      <c r="AS1677" s="1058">
        <v>2.2E-16</v>
      </c>
      <c r="AT1677" s="156" t="s">
        <v>165</v>
      </c>
      <c r="AU1677" s="156" t="s">
        <v>179</v>
      </c>
      <c r="AV1677" s="65" t="s">
        <v>130</v>
      </c>
      <c r="AW1677" s="1116" t="s">
        <v>9554</v>
      </c>
      <c r="AX1677" s="65" t="s">
        <v>136</v>
      </c>
      <c r="AY1677" s="65"/>
      <c r="AZ1677" s="65" t="s">
        <v>5061</v>
      </c>
    </row>
    <row r="1678">
      <c r="A1678" s="41">
        <v>1678.0</v>
      </c>
      <c r="B1678" s="126" t="s">
        <v>145</v>
      </c>
      <c r="C1678" s="59" t="s">
        <v>108</v>
      </c>
      <c r="D1678" s="59" t="s">
        <v>225</v>
      </c>
      <c r="F1678" s="65" t="s">
        <v>9665</v>
      </c>
      <c r="G1678" s="65" t="s">
        <v>9666</v>
      </c>
      <c r="H1678" s="156" t="s">
        <v>6906</v>
      </c>
      <c r="I1678" s="149">
        <v>45687.0</v>
      </c>
      <c r="J1678" s="149">
        <v>45693.0</v>
      </c>
      <c r="K1678" s="65"/>
      <c r="L1678" s="156" t="s">
        <v>9667</v>
      </c>
      <c r="M1678" s="156" t="s">
        <v>9668</v>
      </c>
      <c r="N1678" s="156" t="s">
        <v>9669</v>
      </c>
      <c r="O1678" s="156" t="s">
        <v>4085</v>
      </c>
      <c r="P1678" s="603" t="str">
        <f t="shared" si="118"/>
        <v>10.1037--a0013748.pdf</v>
      </c>
      <c r="Q1678" s="49" t="str">
        <f t="array" ref="Q1678"> if(iserror(MATCH(V1678, 'File Links'!C:C, 0)), "N/A", HYPERLINK(INDEX('File Links'!B:B, MATCH(P1678, 'File Links'!C:C, 0))))</f>
        <v>https://drive.google.com/file/d/13LERMC05_TVKu6xv7g91wRtXxu0ET1Tj/view?usp=drivesdk</v>
      </c>
      <c r="R1678" s="156" t="s">
        <v>9545</v>
      </c>
      <c r="S1678" s="156" t="s">
        <v>9546</v>
      </c>
      <c r="T1678" s="65"/>
      <c r="U1678" s="153">
        <v>8.0</v>
      </c>
      <c r="V1678" s="195" t="str">
        <f t="shared" si="114"/>
        <v>10.1177--2515245918810225.pdf</v>
      </c>
      <c r="W1678" s="65" t="s">
        <v>202</v>
      </c>
      <c r="X1678" s="51" t="str">
        <f t="array" ref="X1678"> if(iserror(MATCH(V1678, 'File Links'!C:C, 0)), "N/A", HYPERLINK(INDEX('File Links'!B:B, MATCH(V1678, 'File Links'!C:C, 0))))</f>
        <v>https://drive.google.com/file/d/1rGqHLpg3OEGQnWLvlAEJr7JSMWJ2p-Ar/view?usp=drivesdk</v>
      </c>
      <c r="Y1678" s="65"/>
      <c r="Z1678" s="1112" t="s">
        <v>141</v>
      </c>
      <c r="AA1678" s="156" t="s">
        <v>9670</v>
      </c>
      <c r="AB1678" s="1112" t="s">
        <v>9671</v>
      </c>
      <c r="AC1678" s="156" t="s">
        <v>9670</v>
      </c>
      <c r="AD1678" s="148" t="s">
        <v>9672</v>
      </c>
      <c r="AE1678" s="156" t="s">
        <v>9673</v>
      </c>
      <c r="AF1678" s="153">
        <v>69.0</v>
      </c>
      <c r="AG1678" s="156" t="s">
        <v>9674</v>
      </c>
      <c r="AH1678" s="156" t="s">
        <v>127</v>
      </c>
      <c r="AI1678" s="156" t="s">
        <v>9673</v>
      </c>
      <c r="AJ1678" s="153">
        <v>0.01</v>
      </c>
      <c r="AK1678" s="156" t="s">
        <v>128</v>
      </c>
      <c r="AL1678" s="156" t="s">
        <v>179</v>
      </c>
      <c r="AM1678" s="65" t="s">
        <v>130</v>
      </c>
      <c r="AN1678" s="327" t="s">
        <v>131</v>
      </c>
      <c r="AO1678" s="153">
        <v>8002.0</v>
      </c>
      <c r="AP1678" s="153">
        <v>0.95</v>
      </c>
      <c r="AQ1678" s="156" t="s">
        <v>166</v>
      </c>
      <c r="AR1678" s="156" t="s">
        <v>9675</v>
      </c>
      <c r="AS1678" s="1090">
        <f>3.32*10^-285</f>
        <v>0</v>
      </c>
      <c r="AT1678" s="156" t="s">
        <v>128</v>
      </c>
      <c r="AU1678" s="156" t="s">
        <v>179</v>
      </c>
      <c r="AV1678" s="65" t="s">
        <v>130</v>
      </c>
      <c r="AW1678" s="432" t="s">
        <v>9554</v>
      </c>
      <c r="AX1678" s="65" t="s">
        <v>136</v>
      </c>
      <c r="AY1678" s="65"/>
      <c r="AZ1678" s="126" t="s">
        <v>6951</v>
      </c>
    </row>
    <row r="1679">
      <c r="A1679" s="41">
        <v>1679.0</v>
      </c>
      <c r="B1679" s="65" t="s">
        <v>107</v>
      </c>
      <c r="C1679" s="59" t="s">
        <v>108</v>
      </c>
      <c r="D1679" s="59" t="s">
        <v>138</v>
      </c>
      <c r="F1679" s="65" t="s">
        <v>9665</v>
      </c>
      <c r="G1679" s="65" t="s">
        <v>9666</v>
      </c>
      <c r="H1679" s="675" t="s">
        <v>5559</v>
      </c>
      <c r="I1679" s="149">
        <v>45667.0</v>
      </c>
      <c r="J1679" s="149">
        <v>45693.0</v>
      </c>
      <c r="K1679" s="65"/>
      <c r="L1679" s="156" t="s">
        <v>9676</v>
      </c>
      <c r="M1679" s="65" t="s">
        <v>9668</v>
      </c>
      <c r="N1679" s="65" t="s">
        <v>9669</v>
      </c>
      <c r="O1679" s="156" t="s">
        <v>4085</v>
      </c>
      <c r="P1679" s="603" t="str">
        <f t="shared" si="118"/>
        <v>10.1037--a0013748.pdf</v>
      </c>
      <c r="Q1679" s="49" t="str">
        <f t="array" ref="Q1679"> if(iserror(MATCH(V1679, 'File Links'!C:C, 0)), "N/A", HYPERLINK(INDEX('File Links'!B:B, MATCH(P1679, 'File Links'!C:C, 0))))</f>
        <v>https://drive.google.com/file/d/13LERMC05_TVKu6xv7g91wRtXxu0ET1Tj/view?usp=drivesdk</v>
      </c>
      <c r="R1679" s="1112" t="s">
        <v>9545</v>
      </c>
      <c r="S1679" s="1112" t="s">
        <v>9546</v>
      </c>
      <c r="T1679" s="65"/>
      <c r="U1679" s="1090">
        <v>8.0</v>
      </c>
      <c r="V1679" s="195" t="str">
        <f t="shared" si="114"/>
        <v>10.1177--2515245918810225.pdf</v>
      </c>
      <c r="W1679" s="156" t="s">
        <v>9582</v>
      </c>
      <c r="X1679" s="51" t="str">
        <f t="array" ref="X1679"> if(iserror(MATCH(V1679, 'File Links'!C:C, 0)), "N/A", HYPERLINK(INDEX('File Links'!B:B, MATCH(V1679, 'File Links'!C:C, 0))))</f>
        <v>https://drive.google.com/file/d/1rGqHLpg3OEGQnWLvlAEJr7JSMWJ2p-Ar/view?usp=drivesdk</v>
      </c>
      <c r="Y1679" s="65"/>
      <c r="Z1679" s="156" t="s">
        <v>141</v>
      </c>
      <c r="AA1679" s="65"/>
      <c r="AB1679" s="156" t="s">
        <v>9671</v>
      </c>
      <c r="AC1679" s="156" t="s">
        <v>9677</v>
      </c>
      <c r="AD1679" s="156" t="s">
        <v>9678</v>
      </c>
      <c r="AE1679" s="1112" t="s">
        <v>9673</v>
      </c>
      <c r="AF1679" s="153">
        <v>69.0</v>
      </c>
      <c r="AG1679" s="156" t="s">
        <v>9679</v>
      </c>
      <c r="AH1679" s="156" t="s">
        <v>127</v>
      </c>
      <c r="AI1679" s="1112" t="s">
        <v>9673</v>
      </c>
      <c r="AJ1679" s="153">
        <v>0.01</v>
      </c>
      <c r="AK1679" s="156" t="s">
        <v>128</v>
      </c>
      <c r="AL1679" s="156" t="s">
        <v>179</v>
      </c>
      <c r="AM1679" s="65" t="s">
        <v>130</v>
      </c>
      <c r="AN1679" s="327" t="s">
        <v>131</v>
      </c>
      <c r="AO1679" s="153">
        <v>8002.0</v>
      </c>
      <c r="AP1679" s="153">
        <v>0.95</v>
      </c>
      <c r="AQ1679" s="156" t="s">
        <v>166</v>
      </c>
      <c r="AR1679" s="1112" t="s">
        <v>9675</v>
      </c>
      <c r="AS1679" s="1058">
        <v>3.32E-285</v>
      </c>
      <c r="AT1679" s="156" t="s">
        <v>128</v>
      </c>
      <c r="AU1679" s="156" t="s">
        <v>179</v>
      </c>
      <c r="AV1679" s="65" t="s">
        <v>130</v>
      </c>
      <c r="AW1679" s="1116" t="s">
        <v>9554</v>
      </c>
      <c r="AX1679" s="65" t="s">
        <v>136</v>
      </c>
      <c r="AY1679" s="65"/>
      <c r="AZ1679" s="65" t="s">
        <v>5061</v>
      </c>
    </row>
    <row r="1680">
      <c r="A1680" s="41">
        <v>1680.0</v>
      </c>
      <c r="B1680" s="144" t="s">
        <v>516</v>
      </c>
      <c r="C1680" s="59" t="s">
        <v>108</v>
      </c>
      <c r="D1680" s="59" t="s">
        <v>138</v>
      </c>
      <c r="F1680" s="65" t="s">
        <v>9665</v>
      </c>
      <c r="G1680" s="156" t="s">
        <v>9680</v>
      </c>
      <c r="H1680" s="675" t="s">
        <v>5559</v>
      </c>
      <c r="I1680" s="149">
        <v>45667.0</v>
      </c>
      <c r="J1680" s="149">
        <v>45693.0</v>
      </c>
      <c r="K1680" s="65"/>
      <c r="L1680" s="156" t="s">
        <v>9681</v>
      </c>
      <c r="M1680" s="65" t="s">
        <v>9668</v>
      </c>
      <c r="N1680" s="65" t="s">
        <v>9669</v>
      </c>
      <c r="O1680" s="156" t="s">
        <v>4085</v>
      </c>
      <c r="P1680" s="603" t="str">
        <f t="shared" si="118"/>
        <v>10.1037--a0013748.pdf</v>
      </c>
      <c r="Q1680" s="49" t="str">
        <f t="array" ref="Q1680"> if(iserror(MATCH(V1680, 'File Links'!C:C, 0)), "N/A", HYPERLINK(INDEX('File Links'!B:B, MATCH(P1680, 'File Links'!C:C, 0))))</f>
        <v>https://drive.google.com/file/d/13LERMC05_TVKu6xv7g91wRtXxu0ET1Tj/view?usp=drivesdk</v>
      </c>
      <c r="R1680" s="1112" t="s">
        <v>9545</v>
      </c>
      <c r="S1680" s="1112" t="s">
        <v>9546</v>
      </c>
      <c r="T1680" s="65"/>
      <c r="U1680" s="1090">
        <v>8.0</v>
      </c>
      <c r="V1680" s="195" t="str">
        <f t="shared" si="114"/>
        <v>10.1177--2515245918810225.pdf</v>
      </c>
      <c r="W1680" s="156" t="s">
        <v>9582</v>
      </c>
      <c r="X1680" s="51" t="str">
        <f t="array" ref="X1680"> if(iserror(MATCH(V1680, 'File Links'!C:C, 0)), "N/A", HYPERLINK(INDEX('File Links'!B:B, MATCH(V1680, 'File Links'!C:C, 0))))</f>
        <v>https://drive.google.com/file/d/1rGqHLpg3OEGQnWLvlAEJr7JSMWJ2p-Ar/view?usp=drivesdk</v>
      </c>
      <c r="Y1680" s="65"/>
      <c r="Z1680" s="156" t="s">
        <v>141</v>
      </c>
      <c r="AA1680" s="65"/>
      <c r="AB1680" s="156" t="s">
        <v>9671</v>
      </c>
      <c r="AC1680" s="156" t="s">
        <v>9682</v>
      </c>
      <c r="AD1680" s="156" t="s">
        <v>9683</v>
      </c>
      <c r="AE1680" s="1112" t="s">
        <v>9673</v>
      </c>
      <c r="AF1680" s="153">
        <v>69.0</v>
      </c>
      <c r="AG1680" s="156" t="s">
        <v>9684</v>
      </c>
      <c r="AH1680" s="156" t="s">
        <v>127</v>
      </c>
      <c r="AI1680" s="1112" t="s">
        <v>9673</v>
      </c>
      <c r="AJ1680" s="153">
        <v>0.05</v>
      </c>
      <c r="AK1680" s="156" t="s">
        <v>128</v>
      </c>
      <c r="AL1680" s="156" t="s">
        <v>179</v>
      </c>
      <c r="AM1680" s="65" t="s">
        <v>130</v>
      </c>
      <c r="AN1680" s="327" t="s">
        <v>131</v>
      </c>
      <c r="AO1680" s="153">
        <v>8002.0</v>
      </c>
      <c r="AP1680" s="153">
        <v>0.5</v>
      </c>
      <c r="AQ1680" s="156" t="s">
        <v>166</v>
      </c>
      <c r="AR1680" s="1112" t="s">
        <v>9675</v>
      </c>
      <c r="AS1680" s="1090">
        <f>8.3*10^-109</f>
        <v>0</v>
      </c>
      <c r="AT1680" s="156" t="s">
        <v>165</v>
      </c>
      <c r="AU1680" s="156" t="s">
        <v>179</v>
      </c>
      <c r="AV1680" s="65" t="s">
        <v>130</v>
      </c>
      <c r="AW1680" s="1116" t="s">
        <v>9554</v>
      </c>
      <c r="AX1680" s="65" t="s">
        <v>136</v>
      </c>
      <c r="AY1680" s="1769"/>
      <c r="AZ1680" s="65" t="s">
        <v>5061</v>
      </c>
    </row>
    <row r="1681">
      <c r="A1681" s="41">
        <v>1681.0</v>
      </c>
      <c r="B1681" s="144" t="s">
        <v>516</v>
      </c>
      <c r="C1681" s="59" t="s">
        <v>108</v>
      </c>
      <c r="D1681" s="59" t="s">
        <v>138</v>
      </c>
      <c r="F1681" s="65" t="s">
        <v>9665</v>
      </c>
      <c r="G1681" s="156" t="s">
        <v>9685</v>
      </c>
      <c r="H1681" s="675" t="s">
        <v>5559</v>
      </c>
      <c r="I1681" s="149">
        <v>45667.0</v>
      </c>
      <c r="J1681" s="149">
        <v>45693.0</v>
      </c>
      <c r="K1681" s="65"/>
      <c r="L1681" s="156" t="s">
        <v>9681</v>
      </c>
      <c r="M1681" s="65" t="s">
        <v>9668</v>
      </c>
      <c r="N1681" s="65" t="s">
        <v>9669</v>
      </c>
      <c r="O1681" s="156" t="s">
        <v>4085</v>
      </c>
      <c r="P1681" s="603" t="str">
        <f t="shared" si="118"/>
        <v>10.1037--a0013748.pdf</v>
      </c>
      <c r="Q1681" s="49" t="str">
        <f t="array" ref="Q1681"> if(iserror(MATCH(V1681, 'File Links'!C:C, 0)), "N/A", HYPERLINK(INDEX('File Links'!B:B, MATCH(P1681, 'File Links'!C:C, 0))))</f>
        <v>https://drive.google.com/file/d/13LERMC05_TVKu6xv7g91wRtXxu0ET1Tj/view?usp=drivesdk</v>
      </c>
      <c r="R1681" s="1112" t="s">
        <v>9545</v>
      </c>
      <c r="S1681" s="1112" t="s">
        <v>9546</v>
      </c>
      <c r="T1681" s="65"/>
      <c r="U1681" s="1090">
        <v>8.0</v>
      </c>
      <c r="V1681" s="195" t="str">
        <f t="shared" si="114"/>
        <v>10.1177--2515245918810225.pdf</v>
      </c>
      <c r="W1681" s="156" t="s">
        <v>9582</v>
      </c>
      <c r="X1681" s="51" t="str">
        <f t="array" ref="X1681"> if(iserror(MATCH(V1681, 'File Links'!C:C, 0)), "N/A", HYPERLINK(INDEX('File Links'!B:B, MATCH(V1681, 'File Links'!C:C, 0))))</f>
        <v>https://drive.google.com/file/d/1rGqHLpg3OEGQnWLvlAEJr7JSMWJ2p-Ar/view?usp=drivesdk</v>
      </c>
      <c r="Y1681" s="65"/>
      <c r="Z1681" s="156" t="s">
        <v>141</v>
      </c>
      <c r="AA1681" s="65"/>
      <c r="AB1681" s="156" t="s">
        <v>9671</v>
      </c>
      <c r="AC1681" s="156" t="s">
        <v>9686</v>
      </c>
      <c r="AD1681" s="156" t="s">
        <v>9687</v>
      </c>
      <c r="AE1681" s="1112" t="s">
        <v>9673</v>
      </c>
      <c r="AF1681" s="153">
        <v>69.0</v>
      </c>
      <c r="AG1681" s="156" t="s">
        <v>9688</v>
      </c>
      <c r="AH1681" s="156" t="s">
        <v>127</v>
      </c>
      <c r="AI1681" s="1112" t="s">
        <v>9673</v>
      </c>
      <c r="AJ1681" s="153">
        <v>0.01</v>
      </c>
      <c r="AK1681" s="156" t="s">
        <v>128</v>
      </c>
      <c r="AL1681" s="156" t="s">
        <v>179</v>
      </c>
      <c r="AM1681" s="65" t="s">
        <v>130</v>
      </c>
      <c r="AN1681" s="327" t="s">
        <v>131</v>
      </c>
      <c r="AO1681" s="153">
        <v>8002.0</v>
      </c>
      <c r="AP1681" s="153">
        <v>0.62</v>
      </c>
      <c r="AQ1681" s="156" t="s">
        <v>166</v>
      </c>
      <c r="AR1681" s="1112" t="s">
        <v>9675</v>
      </c>
      <c r="AS1681" s="1090">
        <f>1.5*10^-159</f>
        <v>0</v>
      </c>
      <c r="AT1681" s="156" t="s">
        <v>165</v>
      </c>
      <c r="AU1681" s="156" t="s">
        <v>179</v>
      </c>
      <c r="AV1681" s="65" t="s">
        <v>130</v>
      </c>
      <c r="AW1681" s="1116" t="s">
        <v>9554</v>
      </c>
      <c r="AX1681" s="65" t="s">
        <v>136</v>
      </c>
      <c r="AY1681" s="65"/>
      <c r="AZ1681" s="65" t="s">
        <v>5061</v>
      </c>
    </row>
    <row r="1682">
      <c r="A1682" s="41">
        <v>1682.0</v>
      </c>
      <c r="B1682" s="65" t="s">
        <v>4516</v>
      </c>
      <c r="C1682" s="59" t="s">
        <v>108</v>
      </c>
      <c r="D1682" s="59" t="s">
        <v>225</v>
      </c>
      <c r="F1682" s="65" t="s">
        <v>9689</v>
      </c>
      <c r="G1682" s="65" t="s">
        <v>9690</v>
      </c>
      <c r="H1682" s="156" t="s">
        <v>6906</v>
      </c>
      <c r="I1682" s="149">
        <v>45687.0</v>
      </c>
      <c r="J1682" s="149">
        <v>45693.0</v>
      </c>
      <c r="K1682" s="65" t="s">
        <v>9691</v>
      </c>
      <c r="L1682" s="478" t="s">
        <v>9692</v>
      </c>
      <c r="M1682" s="156" t="s">
        <v>9693</v>
      </c>
      <c r="N1682" s="156" t="s">
        <v>9694</v>
      </c>
      <c r="O1682" s="156" t="s">
        <v>4085</v>
      </c>
      <c r="P1682" s="603" t="str">
        <f t="shared" si="118"/>
        <v>10.1002--ejsp.2013.pdf</v>
      </c>
      <c r="Q1682" s="49" t="str">
        <f t="array" ref="Q1682"> if(iserror(MATCH(V1682, 'File Links'!C:C, 0)), "N/A", HYPERLINK(INDEX('File Links'!B:B, MATCH(P1682, 'File Links'!C:C, 0))))</f>
        <v>https://drive.google.com/file/d/1KmyHkB13ZFEziyeMZJmfqm6YYEH53iJL/view?usp=drivesdk</v>
      </c>
      <c r="R1682" s="156" t="s">
        <v>9545</v>
      </c>
      <c r="S1682" s="156" t="s">
        <v>9546</v>
      </c>
      <c r="T1682" s="65"/>
      <c r="U1682" s="153">
        <v>13.0</v>
      </c>
      <c r="V1682" s="195" t="str">
        <f t="shared" si="114"/>
        <v>10.1177--2515245918810225.pdf</v>
      </c>
      <c r="W1682" s="65" t="s">
        <v>202</v>
      </c>
      <c r="X1682" s="51" t="str">
        <f t="array" ref="X1682"> if(iserror(MATCH(V1682, 'File Links'!C:C, 0)), "N/A", HYPERLINK(INDEX('File Links'!B:B, MATCH(V1682, 'File Links'!C:C, 0))))</f>
        <v>https://drive.google.com/file/d/1rGqHLpg3OEGQnWLvlAEJr7JSMWJ2p-Ar/view?usp=drivesdk</v>
      </c>
      <c r="Y1682" s="65"/>
      <c r="Z1682" s="1112" t="s">
        <v>219</v>
      </c>
      <c r="AA1682" s="65"/>
      <c r="AB1682" s="1112" t="s">
        <v>9695</v>
      </c>
      <c r="AC1682" s="156" t="s">
        <v>9696</v>
      </c>
      <c r="AD1682" s="156" t="s">
        <v>9697</v>
      </c>
      <c r="AE1682" s="156" t="s">
        <v>9698</v>
      </c>
      <c r="AF1682" s="153">
        <v>180.0</v>
      </c>
      <c r="AG1682" s="153">
        <v>0.1</v>
      </c>
      <c r="AH1682" s="156" t="s">
        <v>867</v>
      </c>
      <c r="AI1682" s="156" t="s">
        <v>9698</v>
      </c>
      <c r="AJ1682" s="153">
        <v>0.001</v>
      </c>
      <c r="AK1682" s="156" t="s">
        <v>128</v>
      </c>
      <c r="AL1682" s="156" t="s">
        <v>179</v>
      </c>
      <c r="AM1682" s="65" t="s">
        <v>130</v>
      </c>
      <c r="AN1682" s="327" t="s">
        <v>131</v>
      </c>
      <c r="AO1682" s="153">
        <v>6591.0</v>
      </c>
      <c r="AP1682" s="153">
        <v>0.4</v>
      </c>
      <c r="AQ1682" s="156" t="s">
        <v>166</v>
      </c>
      <c r="AR1682" s="156" t="s">
        <v>9699</v>
      </c>
      <c r="AS1682" s="1770">
        <f>2.15*10^-57</f>
        <v>0</v>
      </c>
      <c r="AT1682" s="156" t="s">
        <v>165</v>
      </c>
      <c r="AU1682" s="156" t="s">
        <v>179</v>
      </c>
      <c r="AV1682" s="65" t="s">
        <v>130</v>
      </c>
      <c r="AW1682" s="432" t="s">
        <v>9554</v>
      </c>
      <c r="AX1682" s="65" t="s">
        <v>136</v>
      </c>
      <c r="AY1682" s="65"/>
      <c r="AZ1682" s="65" t="s">
        <v>5061</v>
      </c>
    </row>
    <row r="1683">
      <c r="A1683" s="41">
        <v>1683.0</v>
      </c>
      <c r="B1683" s="65" t="s">
        <v>4516</v>
      </c>
      <c r="C1683" s="59" t="s">
        <v>108</v>
      </c>
      <c r="D1683" s="59" t="s">
        <v>225</v>
      </c>
      <c r="F1683" s="65" t="s">
        <v>9689</v>
      </c>
      <c r="G1683" s="65" t="s">
        <v>9700</v>
      </c>
      <c r="H1683" s="156" t="s">
        <v>6906</v>
      </c>
      <c r="I1683" s="149">
        <v>45687.0</v>
      </c>
      <c r="J1683" s="149">
        <v>45693.0</v>
      </c>
      <c r="K1683" s="156" t="s">
        <v>9701</v>
      </c>
      <c r="L1683" s="478" t="s">
        <v>9692</v>
      </c>
      <c r="M1683" s="156" t="s">
        <v>9693</v>
      </c>
      <c r="N1683" s="156" t="s">
        <v>9694</v>
      </c>
      <c r="O1683" s="156" t="s">
        <v>4085</v>
      </c>
      <c r="P1683" s="603" t="str">
        <f t="shared" si="118"/>
        <v>10.1002--ejsp.2013.pdf</v>
      </c>
      <c r="Q1683" s="49" t="str">
        <f t="array" ref="Q1683"> if(iserror(MATCH(V1683, 'File Links'!C:C, 0)), "N/A", HYPERLINK(INDEX('File Links'!B:B, MATCH(P1683, 'File Links'!C:C, 0))))</f>
        <v>https://drive.google.com/file/d/1KmyHkB13ZFEziyeMZJmfqm6YYEH53iJL/view?usp=drivesdk</v>
      </c>
      <c r="R1683" s="156" t="s">
        <v>9545</v>
      </c>
      <c r="S1683" s="156" t="s">
        <v>9546</v>
      </c>
      <c r="T1683" s="65"/>
      <c r="U1683" s="153">
        <v>13.0</v>
      </c>
      <c r="V1683" s="195" t="str">
        <f t="shared" si="114"/>
        <v>10.1177--2515245918810225.pdf</v>
      </c>
      <c r="W1683" s="65" t="s">
        <v>202</v>
      </c>
      <c r="X1683" s="51" t="str">
        <f t="array" ref="X1683"> if(iserror(MATCH(V1683, 'File Links'!C:C, 0)), "N/A", HYPERLINK(INDEX('File Links'!B:B, MATCH(V1683, 'File Links'!C:C, 0))))</f>
        <v>https://drive.google.com/file/d/1rGqHLpg3OEGQnWLvlAEJr7JSMWJ2p-Ar/view?usp=drivesdk</v>
      </c>
      <c r="Y1683" s="65"/>
      <c r="Z1683" s="1112" t="s">
        <v>219</v>
      </c>
      <c r="AA1683" s="65"/>
      <c r="AB1683" s="1112" t="s">
        <v>9695</v>
      </c>
      <c r="AC1683" s="156" t="s">
        <v>9702</v>
      </c>
      <c r="AD1683" s="156" t="s">
        <v>9703</v>
      </c>
      <c r="AE1683" s="156" t="s">
        <v>9698</v>
      </c>
      <c r="AF1683" s="153">
        <v>80.0</v>
      </c>
      <c r="AG1683" s="153">
        <v>0.53</v>
      </c>
      <c r="AH1683" s="156" t="s">
        <v>166</v>
      </c>
      <c r="AI1683" s="156" t="s">
        <v>9698</v>
      </c>
      <c r="AJ1683" s="153">
        <v>0.01</v>
      </c>
      <c r="AK1683" s="156" t="s">
        <v>128</v>
      </c>
      <c r="AL1683" s="156" t="s">
        <v>179</v>
      </c>
      <c r="AM1683" s="65" t="s">
        <v>130</v>
      </c>
      <c r="AN1683" s="327" t="s">
        <v>131</v>
      </c>
      <c r="AO1683" s="153">
        <v>2200.0</v>
      </c>
      <c r="AP1683" s="153">
        <v>1.03</v>
      </c>
      <c r="AQ1683" s="156" t="s">
        <v>166</v>
      </c>
      <c r="AR1683" s="156" t="s">
        <v>9699</v>
      </c>
      <c r="AS1683" s="1770">
        <f>6.53*10^-115</f>
        <v>0</v>
      </c>
      <c r="AT1683" s="156" t="s">
        <v>165</v>
      </c>
      <c r="AU1683" s="156" t="s">
        <v>179</v>
      </c>
      <c r="AV1683" s="65" t="s">
        <v>130</v>
      </c>
      <c r="AW1683" s="432" t="s">
        <v>9554</v>
      </c>
      <c r="AX1683" s="65" t="s">
        <v>136</v>
      </c>
      <c r="AY1683" s="65"/>
      <c r="AZ1683" s="65" t="s">
        <v>5061</v>
      </c>
    </row>
    <row r="1684">
      <c r="A1684" s="41">
        <v>1684.0</v>
      </c>
      <c r="B1684" s="65" t="s">
        <v>4516</v>
      </c>
      <c r="C1684" s="59" t="s">
        <v>108</v>
      </c>
      <c r="D1684" s="59" t="s">
        <v>225</v>
      </c>
      <c r="F1684" s="65" t="s">
        <v>9689</v>
      </c>
      <c r="G1684" s="156" t="s">
        <v>9704</v>
      </c>
      <c r="H1684" s="156" t="s">
        <v>6906</v>
      </c>
      <c r="I1684" s="149">
        <v>45687.0</v>
      </c>
      <c r="J1684" s="149">
        <v>45693.0</v>
      </c>
      <c r="K1684" s="156" t="s">
        <v>9705</v>
      </c>
      <c r="L1684" s="478" t="s">
        <v>9692</v>
      </c>
      <c r="M1684" s="156" t="s">
        <v>9693</v>
      </c>
      <c r="N1684" s="156" t="s">
        <v>9694</v>
      </c>
      <c r="O1684" s="156" t="s">
        <v>4085</v>
      </c>
      <c r="P1684" s="603" t="str">
        <f t="shared" si="118"/>
        <v>10.1002--ejsp.2013.pdf</v>
      </c>
      <c r="Q1684" s="49" t="str">
        <f t="array" ref="Q1684"> if(iserror(MATCH(V1684, 'File Links'!C:C, 0)), "N/A", HYPERLINK(INDEX('File Links'!B:B, MATCH(P1684, 'File Links'!C:C, 0))))</f>
        <v>https://drive.google.com/file/d/1KmyHkB13ZFEziyeMZJmfqm6YYEH53iJL/view?usp=drivesdk</v>
      </c>
      <c r="R1684" s="156" t="s">
        <v>9545</v>
      </c>
      <c r="S1684" s="156" t="s">
        <v>9546</v>
      </c>
      <c r="T1684" s="65"/>
      <c r="U1684" s="153">
        <v>14.0</v>
      </c>
      <c r="V1684" s="195" t="str">
        <f t="shared" si="114"/>
        <v>10.1177--2515245918810225.pdf</v>
      </c>
      <c r="W1684" s="65" t="s">
        <v>202</v>
      </c>
      <c r="X1684" s="51" t="str">
        <f t="array" ref="X1684"> if(iserror(MATCH(V1684, 'File Links'!C:C, 0)), "N/A", HYPERLINK(INDEX('File Links'!B:B, MATCH(V1684, 'File Links'!C:C, 0))))</f>
        <v>https://drive.google.com/file/d/1rGqHLpg3OEGQnWLvlAEJr7JSMWJ2p-Ar/view?usp=drivesdk</v>
      </c>
      <c r="Y1684" s="65"/>
      <c r="Z1684" s="1112" t="s">
        <v>219</v>
      </c>
      <c r="AA1684" s="65"/>
      <c r="AB1684" s="1112" t="s">
        <v>9695</v>
      </c>
      <c r="AC1684" s="156" t="s">
        <v>9706</v>
      </c>
      <c r="AD1684" s="156" t="s">
        <v>9707</v>
      </c>
      <c r="AE1684" s="156" t="s">
        <v>9698</v>
      </c>
      <c r="AF1684" s="153">
        <v>100.0</v>
      </c>
      <c r="AG1684" s="153">
        <v>0.37</v>
      </c>
      <c r="AH1684" s="156" t="s">
        <v>166</v>
      </c>
      <c r="AI1684" s="156" t="s">
        <v>9698</v>
      </c>
      <c r="AJ1684" s="153">
        <v>0.01</v>
      </c>
      <c r="AK1684" s="156" t="s">
        <v>165</v>
      </c>
      <c r="AL1684" s="156" t="s">
        <v>179</v>
      </c>
      <c r="AM1684" s="65" t="s">
        <v>130</v>
      </c>
      <c r="AN1684" s="327" t="s">
        <v>131</v>
      </c>
      <c r="AO1684" s="153">
        <v>142.0</v>
      </c>
      <c r="AP1684" s="153">
        <v>-0.55</v>
      </c>
      <c r="AQ1684" s="156" t="s">
        <v>166</v>
      </c>
      <c r="AR1684" s="156" t="s">
        <v>9699</v>
      </c>
      <c r="AS1684" s="153">
        <v>0.001</v>
      </c>
      <c r="AT1684" s="156" t="s">
        <v>165</v>
      </c>
      <c r="AU1684" s="156" t="s">
        <v>179</v>
      </c>
      <c r="AV1684" s="65" t="s">
        <v>130</v>
      </c>
      <c r="AW1684" s="432" t="s">
        <v>9554</v>
      </c>
      <c r="AX1684" s="65" t="s">
        <v>136</v>
      </c>
      <c r="AY1684" s="65"/>
      <c r="AZ1684" s="65" t="s">
        <v>5061</v>
      </c>
    </row>
    <row r="1685">
      <c r="A1685" s="41">
        <v>1685.0</v>
      </c>
      <c r="B1685" s="65" t="s">
        <v>107</v>
      </c>
      <c r="C1685" s="59" t="s">
        <v>108</v>
      </c>
      <c r="D1685" s="59" t="s">
        <v>138</v>
      </c>
      <c r="F1685" s="65" t="s">
        <v>9689</v>
      </c>
      <c r="G1685" s="65" t="s">
        <v>9690</v>
      </c>
      <c r="H1685" s="675" t="s">
        <v>5559</v>
      </c>
      <c r="I1685" s="149">
        <v>45673.0</v>
      </c>
      <c r="J1685" s="149">
        <v>45693.0</v>
      </c>
      <c r="K1685" s="156" t="s">
        <v>9708</v>
      </c>
      <c r="L1685" s="65"/>
      <c r="M1685" s="65" t="s">
        <v>9693</v>
      </c>
      <c r="N1685" s="65" t="s">
        <v>9694</v>
      </c>
      <c r="O1685" s="156" t="s">
        <v>4085</v>
      </c>
      <c r="P1685" s="603" t="str">
        <f t="shared" si="118"/>
        <v>10.1002--ejsp.2013.pdf</v>
      </c>
      <c r="Q1685" s="49" t="str">
        <f t="array" ref="Q1685"> if(iserror(MATCH(V1685, 'File Links'!C:C, 0)), "N/A", HYPERLINK(INDEX('File Links'!B:B, MATCH(P1685, 'File Links'!C:C, 0))))</f>
        <v>https://drive.google.com/file/d/1KmyHkB13ZFEziyeMZJmfqm6YYEH53iJL/view?usp=drivesdk</v>
      </c>
      <c r="R1685" s="1112" t="s">
        <v>9545</v>
      </c>
      <c r="S1685" s="1112" t="s">
        <v>9546</v>
      </c>
      <c r="T1685" s="65"/>
      <c r="U1685" s="65"/>
      <c r="V1685" s="195" t="str">
        <f t="shared" si="114"/>
        <v>10.1177--2515245918810225.pdf</v>
      </c>
      <c r="W1685" s="1296" t="s">
        <v>202</v>
      </c>
      <c r="X1685" s="51" t="str">
        <f t="array" ref="X1685"> if(iserror(MATCH(V1685, 'File Links'!C:C, 0)), "N/A", HYPERLINK(INDEX('File Links'!B:B, MATCH(V1685, 'File Links'!C:C, 0))))</f>
        <v>https://drive.google.com/file/d/1rGqHLpg3OEGQnWLvlAEJr7JSMWJ2p-Ar/view?usp=drivesdk</v>
      </c>
      <c r="Y1685" s="65"/>
      <c r="Z1685" s="156" t="s">
        <v>219</v>
      </c>
      <c r="AA1685" s="65"/>
      <c r="AB1685" s="156" t="s">
        <v>9695</v>
      </c>
      <c r="AC1685" s="156" t="s">
        <v>9709</v>
      </c>
      <c r="AD1685" s="156" t="s">
        <v>9710</v>
      </c>
      <c r="AE1685" s="1537">
        <v>45750.0</v>
      </c>
      <c r="AF1685" s="153">
        <v>180.0</v>
      </c>
      <c r="AG1685" s="153">
        <v>0.1</v>
      </c>
      <c r="AH1685" s="1057" t="s">
        <v>132</v>
      </c>
      <c r="AI1685" s="156" t="s">
        <v>210</v>
      </c>
      <c r="AJ1685" s="153">
        <v>0.001</v>
      </c>
      <c r="AK1685" s="156" t="s">
        <v>128</v>
      </c>
      <c r="AL1685" s="1057" t="s">
        <v>129</v>
      </c>
      <c r="AM1685" s="65" t="s">
        <v>130</v>
      </c>
      <c r="AN1685" s="327" t="s">
        <v>131</v>
      </c>
      <c r="AO1685" s="153">
        <v>6591.0</v>
      </c>
      <c r="AP1685" s="153">
        <v>0.4</v>
      </c>
      <c r="AQ1685" s="156" t="s">
        <v>166</v>
      </c>
      <c r="AR1685" s="156" t="s">
        <v>605</v>
      </c>
      <c r="AS1685" s="1058">
        <v>2.15E-57</v>
      </c>
      <c r="AT1685" s="156" t="s">
        <v>165</v>
      </c>
      <c r="AU1685" s="156" t="s">
        <v>179</v>
      </c>
      <c r="AV1685" s="65" t="s">
        <v>130</v>
      </c>
      <c r="AW1685" s="1116" t="s">
        <v>9554</v>
      </c>
      <c r="AX1685" s="65" t="s">
        <v>136</v>
      </c>
      <c r="AY1685" s="65"/>
      <c r="AZ1685" s="65" t="s">
        <v>5061</v>
      </c>
    </row>
    <row r="1686">
      <c r="A1686" s="41">
        <v>1686.0</v>
      </c>
      <c r="B1686" s="65" t="s">
        <v>107</v>
      </c>
      <c r="C1686" s="59" t="s">
        <v>108</v>
      </c>
      <c r="D1686" s="59" t="s">
        <v>138</v>
      </c>
      <c r="F1686" s="65" t="s">
        <v>9689</v>
      </c>
      <c r="G1686" s="65" t="s">
        <v>9700</v>
      </c>
      <c r="H1686" s="675" t="s">
        <v>5559</v>
      </c>
      <c r="I1686" s="149">
        <v>45673.0</v>
      </c>
      <c r="J1686" s="149">
        <v>45693.0</v>
      </c>
      <c r="K1686" s="156" t="s">
        <v>9708</v>
      </c>
      <c r="L1686" s="65"/>
      <c r="M1686" s="65" t="s">
        <v>9693</v>
      </c>
      <c r="N1686" s="65" t="s">
        <v>9694</v>
      </c>
      <c r="O1686" s="156" t="s">
        <v>4085</v>
      </c>
      <c r="P1686" s="603" t="str">
        <f t="shared" si="118"/>
        <v>10.1002--ejsp.2013.pdf</v>
      </c>
      <c r="Q1686" s="49" t="str">
        <f t="array" ref="Q1686"> if(iserror(MATCH(V1686, 'File Links'!C:C, 0)), "N/A", HYPERLINK(INDEX('File Links'!B:B, MATCH(P1686, 'File Links'!C:C, 0))))</f>
        <v>https://drive.google.com/file/d/1KmyHkB13ZFEziyeMZJmfqm6YYEH53iJL/view?usp=drivesdk</v>
      </c>
      <c r="R1686" s="1112" t="s">
        <v>9545</v>
      </c>
      <c r="S1686" s="1112" t="s">
        <v>9546</v>
      </c>
      <c r="T1686" s="65"/>
      <c r="U1686" s="65"/>
      <c r="V1686" s="195" t="str">
        <f t="shared" si="114"/>
        <v>10.1177--2515245918810225.pdf</v>
      </c>
      <c r="W1686" s="1296" t="s">
        <v>202</v>
      </c>
      <c r="X1686" s="51" t="str">
        <f t="array" ref="X1686"> if(iserror(MATCH(V1686, 'File Links'!C:C, 0)), "N/A", HYPERLINK(INDEX('File Links'!B:B, MATCH(V1686, 'File Links'!C:C, 0))))</f>
        <v>https://drive.google.com/file/d/1rGqHLpg3OEGQnWLvlAEJr7JSMWJ2p-Ar/view?usp=drivesdk</v>
      </c>
      <c r="Y1686" s="65"/>
      <c r="Z1686" s="156" t="s">
        <v>219</v>
      </c>
      <c r="AA1686" s="65"/>
      <c r="AB1686" s="156" t="s">
        <v>9695</v>
      </c>
      <c r="AC1686" s="156" t="s">
        <v>9711</v>
      </c>
      <c r="AD1686" s="156" t="s">
        <v>9712</v>
      </c>
      <c r="AE1686" s="1537">
        <v>45750.0</v>
      </c>
      <c r="AF1686" s="1056">
        <v>180.0</v>
      </c>
      <c r="AG1686" s="153">
        <v>0.53</v>
      </c>
      <c r="AH1686" s="156" t="s">
        <v>166</v>
      </c>
      <c r="AI1686" s="156" t="s">
        <v>210</v>
      </c>
      <c r="AJ1686" s="153">
        <v>0.01</v>
      </c>
      <c r="AK1686" s="156" t="s">
        <v>128</v>
      </c>
      <c r="AL1686" s="1057" t="s">
        <v>129</v>
      </c>
      <c r="AM1686" s="65" t="s">
        <v>130</v>
      </c>
      <c r="AN1686" s="327" t="s">
        <v>131</v>
      </c>
      <c r="AO1686" s="1056">
        <v>6591.0</v>
      </c>
      <c r="AP1686" s="153">
        <v>1.03</v>
      </c>
      <c r="AQ1686" s="156" t="s">
        <v>166</v>
      </c>
      <c r="AR1686" s="156" t="s">
        <v>605</v>
      </c>
      <c r="AS1686" s="1058">
        <v>6.53E-115</v>
      </c>
      <c r="AT1686" s="156" t="s">
        <v>165</v>
      </c>
      <c r="AU1686" s="156" t="s">
        <v>179</v>
      </c>
      <c r="AV1686" s="65" t="s">
        <v>130</v>
      </c>
      <c r="AW1686" s="1116" t="s">
        <v>9554</v>
      </c>
      <c r="AX1686" s="65" t="s">
        <v>136</v>
      </c>
      <c r="AY1686" s="65"/>
      <c r="AZ1686" s="65" t="s">
        <v>5061</v>
      </c>
    </row>
    <row r="1687">
      <c r="A1687" s="41">
        <v>1687.0</v>
      </c>
      <c r="B1687" s="65" t="s">
        <v>107</v>
      </c>
      <c r="C1687" s="59" t="s">
        <v>108</v>
      </c>
      <c r="D1687" s="59" t="s">
        <v>138</v>
      </c>
      <c r="F1687" s="65" t="s">
        <v>9689</v>
      </c>
      <c r="G1687" s="156" t="s">
        <v>9704</v>
      </c>
      <c r="H1687" s="675" t="s">
        <v>5559</v>
      </c>
      <c r="I1687" s="149">
        <v>45673.0</v>
      </c>
      <c r="J1687" s="149">
        <v>45693.0</v>
      </c>
      <c r="K1687" s="156" t="s">
        <v>9708</v>
      </c>
      <c r="L1687" s="65"/>
      <c r="M1687" s="65" t="s">
        <v>9693</v>
      </c>
      <c r="N1687" s="65" t="s">
        <v>9694</v>
      </c>
      <c r="O1687" s="156" t="s">
        <v>4085</v>
      </c>
      <c r="P1687" s="603" t="str">
        <f t="shared" si="118"/>
        <v>10.1002--ejsp.2013.pdf</v>
      </c>
      <c r="Q1687" s="49" t="str">
        <f t="array" ref="Q1687"> if(iserror(MATCH(V1687, 'File Links'!C:C, 0)), "N/A", HYPERLINK(INDEX('File Links'!B:B, MATCH(P1687, 'File Links'!C:C, 0))))</f>
        <v>https://drive.google.com/file/d/1KmyHkB13ZFEziyeMZJmfqm6YYEH53iJL/view?usp=drivesdk</v>
      </c>
      <c r="R1687" s="1112" t="s">
        <v>9545</v>
      </c>
      <c r="S1687" s="1112" t="s">
        <v>9546</v>
      </c>
      <c r="T1687" s="65"/>
      <c r="U1687" s="65"/>
      <c r="V1687" s="195" t="str">
        <f t="shared" si="114"/>
        <v>10.1177--2515245918810225.pdf</v>
      </c>
      <c r="W1687" s="1296" t="s">
        <v>202</v>
      </c>
      <c r="X1687" s="51" t="str">
        <f t="array" ref="X1687"> if(iserror(MATCH(V1687, 'File Links'!C:C, 0)), "N/A", HYPERLINK(INDEX('File Links'!B:B, MATCH(V1687, 'File Links'!C:C, 0))))</f>
        <v>https://drive.google.com/file/d/1rGqHLpg3OEGQnWLvlAEJr7JSMWJ2p-Ar/view?usp=drivesdk</v>
      </c>
      <c r="Y1687" s="65"/>
      <c r="Z1687" s="156" t="s">
        <v>219</v>
      </c>
      <c r="AA1687" s="65"/>
      <c r="AB1687" s="156" t="s">
        <v>9695</v>
      </c>
      <c r="AC1687" s="156" t="s">
        <v>9713</v>
      </c>
      <c r="AD1687" s="156" t="s">
        <v>9714</v>
      </c>
      <c r="AE1687" s="1537">
        <v>45750.0</v>
      </c>
      <c r="AF1687" s="1056">
        <v>180.0</v>
      </c>
      <c r="AG1687" s="153">
        <v>0.37</v>
      </c>
      <c r="AH1687" s="156" t="s">
        <v>166</v>
      </c>
      <c r="AI1687" s="156" t="s">
        <v>210</v>
      </c>
      <c r="AJ1687" s="153">
        <v>0.01</v>
      </c>
      <c r="AK1687" s="156" t="s">
        <v>165</v>
      </c>
      <c r="AL1687" s="1057" t="s">
        <v>129</v>
      </c>
      <c r="AM1687" s="65" t="s">
        <v>130</v>
      </c>
      <c r="AN1687" s="327" t="s">
        <v>131</v>
      </c>
      <c r="AO1687" s="1056">
        <v>6591.0</v>
      </c>
      <c r="AP1687" s="153">
        <v>-0.55</v>
      </c>
      <c r="AQ1687" s="156" t="s">
        <v>166</v>
      </c>
      <c r="AR1687" s="156" t="s">
        <v>605</v>
      </c>
      <c r="AS1687" s="153">
        <v>0.001</v>
      </c>
      <c r="AT1687" s="156" t="s">
        <v>165</v>
      </c>
      <c r="AU1687" s="156" t="s">
        <v>179</v>
      </c>
      <c r="AV1687" s="65" t="s">
        <v>130</v>
      </c>
      <c r="AW1687" s="1116" t="s">
        <v>9554</v>
      </c>
      <c r="AX1687" s="65" t="s">
        <v>136</v>
      </c>
      <c r="AY1687" s="65"/>
      <c r="AZ1687" s="65" t="s">
        <v>5061</v>
      </c>
    </row>
    <row r="1688">
      <c r="A1688" s="41">
        <v>1688.0</v>
      </c>
      <c r="B1688" s="65" t="s">
        <v>583</v>
      </c>
      <c r="C1688" s="59" t="s">
        <v>108</v>
      </c>
      <c r="D1688" s="59" t="s">
        <v>225</v>
      </c>
      <c r="F1688" s="65" t="s">
        <v>9715</v>
      </c>
      <c r="G1688" s="65" t="s">
        <v>9716</v>
      </c>
      <c r="H1688" s="156" t="s">
        <v>6906</v>
      </c>
      <c r="I1688" s="149">
        <v>45687.0</v>
      </c>
      <c r="J1688" s="149">
        <v>45693.0</v>
      </c>
      <c r="K1688" s="65" t="s">
        <v>9717</v>
      </c>
      <c r="L1688" s="478" t="s">
        <v>9718</v>
      </c>
      <c r="M1688" s="156" t="s">
        <v>9719</v>
      </c>
      <c r="N1688" s="156" t="s">
        <v>7622</v>
      </c>
      <c r="O1688" s="153">
        <v>10.0</v>
      </c>
      <c r="P1688" s="603" t="str">
        <f t="shared" si="118"/>
        <v>10.1126--science.7455683.pdf</v>
      </c>
      <c r="Q1688" s="49" t="str">
        <f t="array" ref="Q1688"> if(iserror(MATCH(V1688, 'File Links'!C:C, 0)), "N/A", HYPERLINK(INDEX('File Links'!B:B, MATCH(P1688, 'File Links'!C:C, 0))))</f>
        <v>https://drive.google.com/file/d/1KdKryH9Qx-Olx2xYcWf9zZPlU9JsWLmq/view?usp=drivesdk</v>
      </c>
      <c r="R1688" s="156" t="s">
        <v>9545</v>
      </c>
      <c r="S1688" s="156" t="s">
        <v>9546</v>
      </c>
      <c r="T1688" s="65"/>
      <c r="U1688" s="153">
        <v>15.0</v>
      </c>
      <c r="V1688" s="195" t="str">
        <f t="shared" si="114"/>
        <v>10.1177--2515245918810225.pdf</v>
      </c>
      <c r="W1688" s="65" t="s">
        <v>202</v>
      </c>
      <c r="X1688" s="51" t="str">
        <f t="array" ref="X1688"> if(iserror(MATCH(V1688, 'File Links'!C:C, 0)), "N/A", HYPERLINK(INDEX('File Links'!B:B, MATCH(V1688, 'File Links'!C:C, 0))))</f>
        <v>https://drive.google.com/file/d/1rGqHLpg3OEGQnWLvlAEJr7JSMWJ2p-Ar/view?usp=drivesdk</v>
      </c>
      <c r="Y1688" s="65"/>
      <c r="Z1688" s="1112" t="s">
        <v>203</v>
      </c>
      <c r="AA1688" s="156" t="s">
        <v>9720</v>
      </c>
      <c r="AB1688" s="156" t="s">
        <v>9721</v>
      </c>
      <c r="AC1688" s="156" t="s">
        <v>9722</v>
      </c>
      <c r="AD1688" s="156" t="s">
        <v>9723</v>
      </c>
      <c r="AE1688" s="156" t="s">
        <v>9553</v>
      </c>
      <c r="AF1688" s="153">
        <v>181.0</v>
      </c>
      <c r="AG1688" s="1117">
        <v>5.2025862068965525</v>
      </c>
      <c r="AH1688" s="156" t="s">
        <v>715</v>
      </c>
      <c r="AI1688" s="156" t="s">
        <v>9724</v>
      </c>
      <c r="AJ1688" s="156" t="s">
        <v>131</v>
      </c>
      <c r="AK1688" s="65"/>
      <c r="AL1688" s="156" t="s">
        <v>179</v>
      </c>
      <c r="AM1688" s="65" t="s">
        <v>130</v>
      </c>
      <c r="AN1688" s="327" t="s">
        <v>131</v>
      </c>
      <c r="AO1688" s="153">
        <v>7228.0</v>
      </c>
      <c r="AP1688" s="153">
        <v>0.4</v>
      </c>
      <c r="AQ1688" s="156" t="s">
        <v>166</v>
      </c>
      <c r="AR1688" s="156" t="s">
        <v>9652</v>
      </c>
      <c r="AS1688" s="1090">
        <f> 1.01*10^-50</f>
        <v>0</v>
      </c>
      <c r="AT1688" s="1112" t="s">
        <v>165</v>
      </c>
      <c r="AU1688" s="156" t="s">
        <v>129</v>
      </c>
      <c r="AV1688" s="65" t="s">
        <v>130</v>
      </c>
      <c r="AW1688" s="432" t="s">
        <v>9554</v>
      </c>
      <c r="AX1688" s="65" t="s">
        <v>136</v>
      </c>
      <c r="AY1688" s="65"/>
      <c r="AZ1688" s="65" t="s">
        <v>5061</v>
      </c>
    </row>
    <row r="1689">
      <c r="A1689" s="41">
        <v>1689.0</v>
      </c>
      <c r="B1689" s="65" t="s">
        <v>107</v>
      </c>
      <c r="C1689" s="59" t="s">
        <v>108</v>
      </c>
      <c r="D1689" s="59" t="s">
        <v>138</v>
      </c>
      <c r="F1689" s="65" t="s">
        <v>9715</v>
      </c>
      <c r="G1689" s="156" t="s">
        <v>9716</v>
      </c>
      <c r="H1689" s="675" t="s">
        <v>5559</v>
      </c>
      <c r="I1689" s="149">
        <v>45673.0</v>
      </c>
      <c r="J1689" s="149">
        <v>45693.0</v>
      </c>
      <c r="K1689" s="156" t="s">
        <v>9725</v>
      </c>
      <c r="L1689" s="65"/>
      <c r="M1689" s="65" t="s">
        <v>9719</v>
      </c>
      <c r="N1689" s="65" t="s">
        <v>7622</v>
      </c>
      <c r="O1689" s="153">
        <v>10.0</v>
      </c>
      <c r="P1689" s="603" t="str">
        <f t="shared" si="118"/>
        <v>10.1126--science.7455683.pdf</v>
      </c>
      <c r="Q1689" s="49" t="str">
        <f t="array" ref="Q1689"> if(iserror(MATCH(V1689, 'File Links'!C:C, 0)), "N/A", HYPERLINK(INDEX('File Links'!B:B, MATCH(P1689, 'File Links'!C:C, 0))))</f>
        <v>https://drive.google.com/file/d/1KdKryH9Qx-Olx2xYcWf9zZPlU9JsWLmq/view?usp=drivesdk</v>
      </c>
      <c r="R1689" s="1112" t="s">
        <v>9545</v>
      </c>
      <c r="S1689" s="1112" t="s">
        <v>9546</v>
      </c>
      <c r="T1689" s="65"/>
      <c r="U1689" s="65"/>
      <c r="V1689" s="195" t="str">
        <f t="shared" si="114"/>
        <v>10.1177--2515245918810225.pdf</v>
      </c>
      <c r="W1689" s="1296" t="s">
        <v>202</v>
      </c>
      <c r="X1689" s="51" t="str">
        <f t="array" ref="X1689"> if(iserror(MATCH(V1689, 'File Links'!C:C, 0)), "N/A", HYPERLINK(INDEX('File Links'!B:B, MATCH(V1689, 'File Links'!C:C, 0))))</f>
        <v>https://drive.google.com/file/d/1rGqHLpg3OEGQnWLvlAEJr7JSMWJ2p-Ar/view?usp=drivesdk</v>
      </c>
      <c r="Y1689" s="65"/>
      <c r="Z1689" s="156" t="s">
        <v>203</v>
      </c>
      <c r="AA1689" s="65"/>
      <c r="AB1689" s="156" t="s">
        <v>9721</v>
      </c>
      <c r="AC1689" s="156" t="s">
        <v>9722</v>
      </c>
      <c r="AD1689" s="156" t="s">
        <v>9726</v>
      </c>
      <c r="AE1689" s="153">
        <v>5.0</v>
      </c>
      <c r="AF1689" s="153">
        <v>181.0</v>
      </c>
      <c r="AG1689" s="153">
        <v>4.96</v>
      </c>
      <c r="AH1689" s="156" t="s">
        <v>715</v>
      </c>
      <c r="AI1689" s="156" t="s">
        <v>2805</v>
      </c>
      <c r="AJ1689" s="1058">
        <v>7.4E-7</v>
      </c>
      <c r="AK1689" s="156" t="s">
        <v>165</v>
      </c>
      <c r="AL1689" s="156" t="s">
        <v>179</v>
      </c>
      <c r="AM1689" s="65" t="s">
        <v>130</v>
      </c>
      <c r="AN1689" s="327" t="s">
        <v>131</v>
      </c>
      <c r="AO1689" s="153">
        <v>7228.0</v>
      </c>
      <c r="AP1689" s="153">
        <v>0.4</v>
      </c>
      <c r="AQ1689" s="156" t="s">
        <v>166</v>
      </c>
      <c r="AR1689" s="156" t="s">
        <v>2805</v>
      </c>
      <c r="AS1689" s="1058">
        <v>1.01E-50</v>
      </c>
      <c r="AT1689" s="156" t="s">
        <v>165</v>
      </c>
      <c r="AU1689" s="1057" t="s">
        <v>179</v>
      </c>
      <c r="AV1689" s="65" t="s">
        <v>130</v>
      </c>
      <c r="AW1689" s="1116" t="s">
        <v>9554</v>
      </c>
      <c r="AX1689" s="65" t="s">
        <v>136</v>
      </c>
      <c r="AY1689" s="65"/>
      <c r="AZ1689" s="65" t="s">
        <v>5061</v>
      </c>
    </row>
    <row r="1690">
      <c r="A1690" s="41">
        <v>1690.0</v>
      </c>
      <c r="B1690" s="65" t="s">
        <v>583</v>
      </c>
      <c r="C1690" s="59" t="s">
        <v>108</v>
      </c>
      <c r="D1690" s="59" t="s">
        <v>225</v>
      </c>
      <c r="F1690" s="65" t="s">
        <v>9727</v>
      </c>
      <c r="G1690" s="156" t="s">
        <v>9728</v>
      </c>
      <c r="H1690" s="156" t="s">
        <v>6906</v>
      </c>
      <c r="I1690" s="149">
        <v>45687.0</v>
      </c>
      <c r="J1690" s="149">
        <v>45693.0</v>
      </c>
      <c r="K1690" s="65"/>
      <c r="L1690" s="478" t="s">
        <v>9729</v>
      </c>
      <c r="M1690" s="156" t="s">
        <v>9730</v>
      </c>
      <c r="N1690" s="156" t="s">
        <v>9731</v>
      </c>
      <c r="O1690" s="153">
        <v>1.0</v>
      </c>
      <c r="P1690" s="603" t="str">
        <f t="shared" si="118"/>
        <v>10.1037--a0015141.pdf</v>
      </c>
      <c r="Q1690" s="49" t="str">
        <f t="array" ref="Q1690"> if(iserror(MATCH(V1690, 'File Links'!C:C, 0)), "N/A", HYPERLINK(INDEX('File Links'!B:B, MATCH(P1690, 'File Links'!C:C, 0))))</f>
        <v>https://drive.google.com/file/d/1hVohJjrePDnbP3YuG-OoIFpV1SI20xvZ/view?usp=drivesdk</v>
      </c>
      <c r="R1690" s="156" t="s">
        <v>9545</v>
      </c>
      <c r="S1690" s="156" t="s">
        <v>9546</v>
      </c>
      <c r="T1690" s="65"/>
      <c r="U1690" s="153">
        <v>16.0</v>
      </c>
      <c r="V1690" s="195" t="str">
        <f t="shared" si="114"/>
        <v>10.1177--2515245918810225.pdf</v>
      </c>
      <c r="W1690" s="65" t="s">
        <v>202</v>
      </c>
      <c r="X1690" s="51" t="str">
        <f t="array" ref="X1690"> if(iserror(MATCH(V1690, 'File Links'!C:C, 0)), "N/A", HYPERLINK(INDEX('File Links'!B:B, MATCH(V1690, 'File Links'!C:C, 0))))</f>
        <v>https://drive.google.com/file/d/1rGqHLpg3OEGQnWLvlAEJr7JSMWJ2p-Ar/view?usp=drivesdk</v>
      </c>
      <c r="Y1690" s="65"/>
      <c r="Z1690" s="156" t="s">
        <v>203</v>
      </c>
      <c r="AA1690" s="156" t="s">
        <v>9732</v>
      </c>
      <c r="AB1690" s="1112" t="s">
        <v>9733</v>
      </c>
      <c r="AC1690" s="156" t="s">
        <v>9734</v>
      </c>
      <c r="AD1690" s="156" t="s">
        <v>9735</v>
      </c>
      <c r="AE1690" s="478" t="s">
        <v>9736</v>
      </c>
      <c r="AF1690" s="493">
        <v>1548.0</v>
      </c>
      <c r="AG1690" s="493">
        <v>0.25</v>
      </c>
      <c r="AH1690" s="478" t="s">
        <v>354</v>
      </c>
      <c r="AI1690" s="478" t="s">
        <v>9737</v>
      </c>
      <c r="AJ1690" s="153">
        <v>0.001</v>
      </c>
      <c r="AK1690" s="156" t="s">
        <v>128</v>
      </c>
      <c r="AL1690" s="156" t="s">
        <v>179</v>
      </c>
      <c r="AM1690" s="65" t="s">
        <v>130</v>
      </c>
      <c r="AN1690" s="327" t="s">
        <v>131</v>
      </c>
      <c r="AO1690" s="153">
        <v>6966.0</v>
      </c>
      <c r="AP1690" s="153">
        <v>0.29</v>
      </c>
      <c r="AQ1690" s="156" t="s">
        <v>166</v>
      </c>
      <c r="AR1690" s="156" t="s">
        <v>9738</v>
      </c>
      <c r="AS1690" s="1090">
        <f> 6.5*10^-34</f>
        <v>0</v>
      </c>
      <c r="AT1690" s="156" t="s">
        <v>128</v>
      </c>
      <c r="AU1690" s="156" t="s">
        <v>179</v>
      </c>
      <c r="AV1690" s="65" t="s">
        <v>130</v>
      </c>
      <c r="AW1690" s="432" t="s">
        <v>9554</v>
      </c>
      <c r="AX1690" s="65" t="s">
        <v>431</v>
      </c>
      <c r="AY1690" s="65"/>
      <c r="AZ1690" s="65" t="s">
        <v>5061</v>
      </c>
    </row>
    <row r="1691">
      <c r="A1691" s="41">
        <v>1691.0</v>
      </c>
      <c r="B1691" s="65" t="s">
        <v>583</v>
      </c>
      <c r="C1691" s="59" t="s">
        <v>108</v>
      </c>
      <c r="D1691" s="59" t="s">
        <v>138</v>
      </c>
      <c r="F1691" s="65" t="s">
        <v>9727</v>
      </c>
      <c r="G1691" s="156" t="s">
        <v>9728</v>
      </c>
      <c r="H1691" s="675" t="s">
        <v>5559</v>
      </c>
      <c r="I1691" s="149">
        <v>45673.0</v>
      </c>
      <c r="J1691" s="149">
        <v>45693.0</v>
      </c>
      <c r="K1691" s="156" t="s">
        <v>9739</v>
      </c>
      <c r="L1691" s="478" t="s">
        <v>9740</v>
      </c>
      <c r="M1691" s="65" t="s">
        <v>9741</v>
      </c>
      <c r="N1691" s="65" t="s">
        <v>9731</v>
      </c>
      <c r="O1691" s="153">
        <v>1.0</v>
      </c>
      <c r="P1691" s="603" t="str">
        <f t="shared" si="118"/>
        <v>10.1037--a0015141.pdf</v>
      </c>
      <c r="Q1691" s="49" t="str">
        <f t="array" ref="Q1691"> if(iserror(MATCH(V1691, 'File Links'!C:C, 0)), "N/A", HYPERLINK(INDEX('File Links'!B:B, MATCH(P1691, 'File Links'!C:C, 0))))</f>
        <v>https://drive.google.com/file/d/1hVohJjrePDnbP3YuG-OoIFpV1SI20xvZ/view?usp=drivesdk</v>
      </c>
      <c r="R1691" s="1112" t="s">
        <v>9545</v>
      </c>
      <c r="S1691" s="1112" t="s">
        <v>9546</v>
      </c>
      <c r="T1691" s="65"/>
      <c r="U1691" s="1090">
        <v>16.0</v>
      </c>
      <c r="V1691" s="195" t="str">
        <f t="shared" si="114"/>
        <v>10.1177--2515245918810225.pdf</v>
      </c>
      <c r="W1691" s="1296" t="s">
        <v>202</v>
      </c>
      <c r="X1691" s="51" t="str">
        <f t="array" ref="X1691"> if(iserror(MATCH(V1691, 'File Links'!C:C, 0)), "N/A", HYPERLINK(INDEX('File Links'!B:B, MATCH(V1691, 'File Links'!C:C, 0))))</f>
        <v>https://drive.google.com/file/d/1rGqHLpg3OEGQnWLvlAEJr7JSMWJ2p-Ar/view?usp=drivesdk</v>
      </c>
      <c r="Y1691" s="65"/>
      <c r="Z1691" s="1112" t="s">
        <v>203</v>
      </c>
      <c r="AA1691" s="1112" t="s">
        <v>9732</v>
      </c>
      <c r="AB1691" s="156" t="s">
        <v>9733</v>
      </c>
      <c r="AC1691" s="156" t="s">
        <v>9742</v>
      </c>
      <c r="AD1691" s="156" t="s">
        <v>9743</v>
      </c>
      <c r="AE1691" s="1771" t="s">
        <v>9736</v>
      </c>
      <c r="AF1691" s="493">
        <v>1209.0</v>
      </c>
      <c r="AG1691" s="493">
        <v>0.61</v>
      </c>
      <c r="AH1691" s="478" t="s">
        <v>132</v>
      </c>
      <c r="AI1691" s="1771" t="s">
        <v>9737</v>
      </c>
      <c r="AJ1691" s="153">
        <v>0.001</v>
      </c>
      <c r="AK1691" s="156" t="s">
        <v>128</v>
      </c>
      <c r="AL1691" s="156" t="s">
        <v>179</v>
      </c>
      <c r="AM1691" s="65" t="s">
        <v>130</v>
      </c>
      <c r="AN1691" s="327" t="s">
        <v>131</v>
      </c>
      <c r="AO1691" s="153">
        <v>6970.0</v>
      </c>
      <c r="AP1691" s="153">
        <v>-0.27</v>
      </c>
      <c r="AQ1691" s="156" t="s">
        <v>166</v>
      </c>
      <c r="AR1691" s="156" t="s">
        <v>9744</v>
      </c>
      <c r="AS1691" s="1058">
        <v>2.54E-29</v>
      </c>
      <c r="AT1691" s="156" t="s">
        <v>165</v>
      </c>
      <c r="AU1691" s="156" t="s">
        <v>179</v>
      </c>
      <c r="AV1691" s="65" t="s">
        <v>130</v>
      </c>
      <c r="AW1691" s="1116" t="s">
        <v>9554</v>
      </c>
      <c r="AX1691" s="1296" t="s">
        <v>431</v>
      </c>
      <c r="AY1691" s="65"/>
      <c r="AZ1691" s="65" t="s">
        <v>5061</v>
      </c>
    </row>
    <row r="1692">
      <c r="A1692" s="41">
        <v>1692.0</v>
      </c>
      <c r="B1692" s="65" t="s">
        <v>107</v>
      </c>
      <c r="C1692" s="59" t="s">
        <v>108</v>
      </c>
      <c r="D1692" s="59" t="s">
        <v>138</v>
      </c>
      <c r="F1692" s="65" t="s">
        <v>9727</v>
      </c>
      <c r="G1692" s="156" t="s">
        <v>9745</v>
      </c>
      <c r="H1692" s="675" t="s">
        <v>5559</v>
      </c>
      <c r="I1692" s="149">
        <v>45673.0</v>
      </c>
      <c r="J1692" s="149">
        <v>45693.0</v>
      </c>
      <c r="K1692" s="156" t="s">
        <v>9746</v>
      </c>
      <c r="L1692" s="65"/>
      <c r="M1692" s="65" t="s">
        <v>9741</v>
      </c>
      <c r="N1692" s="65" t="s">
        <v>9731</v>
      </c>
      <c r="O1692" s="153">
        <v>1.0</v>
      </c>
      <c r="P1692" s="603" t="str">
        <f t="shared" si="118"/>
        <v>10.1037--a0015141.pdf</v>
      </c>
      <c r="Q1692" s="49" t="str">
        <f t="array" ref="Q1692"> if(iserror(MATCH(V1692, 'File Links'!C:C, 0)), "N/A", HYPERLINK(INDEX('File Links'!B:B, MATCH(P1692, 'File Links'!C:C, 0))))</f>
        <v>https://drive.google.com/file/d/1hVohJjrePDnbP3YuG-OoIFpV1SI20xvZ/view?usp=drivesdk</v>
      </c>
      <c r="R1692" s="1112" t="s">
        <v>9545</v>
      </c>
      <c r="S1692" s="1112" t="s">
        <v>9546</v>
      </c>
      <c r="T1692" s="65"/>
      <c r="U1692" s="65"/>
      <c r="V1692" s="195" t="str">
        <f t="shared" si="114"/>
        <v>10.1177--2515245918810225.pdf</v>
      </c>
      <c r="W1692" s="1296" t="s">
        <v>202</v>
      </c>
      <c r="X1692" s="51" t="str">
        <f t="array" ref="X1692"> if(iserror(MATCH(V1692, 'File Links'!C:C, 0)), "N/A", HYPERLINK(INDEX('File Links'!B:B, MATCH(V1692, 'File Links'!C:C, 0))))</f>
        <v>https://drive.google.com/file/d/1rGqHLpg3OEGQnWLvlAEJr7JSMWJ2p-Ar/view?usp=drivesdk</v>
      </c>
      <c r="Y1692" s="65"/>
      <c r="Z1692" s="156" t="s">
        <v>219</v>
      </c>
      <c r="AA1692" s="65"/>
      <c r="AB1692" s="156" t="s">
        <v>9733</v>
      </c>
      <c r="AC1692" s="156" t="s">
        <v>9747</v>
      </c>
      <c r="AD1692" s="156" t="s">
        <v>9748</v>
      </c>
      <c r="AE1692" s="1537">
        <v>45781.0</v>
      </c>
      <c r="AF1692" s="153">
        <v>1209.0</v>
      </c>
      <c r="AG1692" s="153">
        <v>0.16</v>
      </c>
      <c r="AH1692" s="156" t="s">
        <v>132</v>
      </c>
      <c r="AI1692" s="156" t="s">
        <v>843</v>
      </c>
      <c r="AJ1692" s="153">
        <v>0.001</v>
      </c>
      <c r="AK1692" s="156" t="s">
        <v>128</v>
      </c>
      <c r="AL1692" s="156" t="s">
        <v>179</v>
      </c>
      <c r="AM1692" s="65" t="s">
        <v>130</v>
      </c>
      <c r="AN1692" s="327" t="s">
        <v>131</v>
      </c>
      <c r="AO1692" s="153">
        <v>6966.0</v>
      </c>
      <c r="AP1692" s="153">
        <v>0.29</v>
      </c>
      <c r="AQ1692" s="156" t="s">
        <v>166</v>
      </c>
      <c r="AR1692" s="156" t="s">
        <v>9749</v>
      </c>
      <c r="AS1692" s="1058">
        <v>6.05E-34</v>
      </c>
      <c r="AT1692" s="156" t="s">
        <v>165</v>
      </c>
      <c r="AU1692" s="156" t="s">
        <v>179</v>
      </c>
      <c r="AV1692" s="65" t="s">
        <v>130</v>
      </c>
      <c r="AW1692" s="1116" t="s">
        <v>9554</v>
      </c>
      <c r="AX1692" s="1384" t="s">
        <v>136</v>
      </c>
      <c r="AY1692" s="65"/>
      <c r="AZ1692" s="65" t="s">
        <v>5061</v>
      </c>
    </row>
    <row r="1693">
      <c r="A1693" s="41">
        <v>1693.0</v>
      </c>
      <c r="B1693" s="126" t="s">
        <v>145</v>
      </c>
      <c r="C1693" s="59" t="s">
        <v>108</v>
      </c>
      <c r="D1693" s="59" t="s">
        <v>225</v>
      </c>
      <c r="F1693" s="156" t="s">
        <v>9750</v>
      </c>
      <c r="G1693" s="156" t="s">
        <v>9751</v>
      </c>
      <c r="H1693" s="156" t="s">
        <v>6906</v>
      </c>
      <c r="I1693" s="149">
        <v>45687.0</v>
      </c>
      <c r="J1693" s="149">
        <v>45693.0</v>
      </c>
      <c r="K1693" s="156"/>
      <c r="L1693" s="148" t="s">
        <v>9752</v>
      </c>
      <c r="M1693" s="156" t="s">
        <v>9753</v>
      </c>
      <c r="N1693" s="156" t="s">
        <v>9630</v>
      </c>
      <c r="O1693" s="156" t="s">
        <v>9754</v>
      </c>
      <c r="P1693" s="603" t="str">
        <f t="shared" si="118"/>
        <v>10.1111-- j.1468-0017.2006.00297.x.pdf</v>
      </c>
      <c r="Q1693" s="49" t="str">
        <f t="array" ref="Q1693"> if(iserror(MATCH(V1693, 'File Links'!C:C, 0)), "N/A", HYPERLINK(INDEX('File Links'!B:B, MATCH(P1693, 'File Links'!C:C, 0))))</f>
        <v>https://drive.google.com/file/d/1H2OS8Rk6wh8PVpv13iom_WUpLu0fEeBU/view?usp=drivesdk</v>
      </c>
      <c r="R1693" s="156" t="s">
        <v>9545</v>
      </c>
      <c r="S1693" s="156" t="s">
        <v>9546</v>
      </c>
      <c r="T1693" s="65"/>
      <c r="U1693" s="153">
        <v>17.0</v>
      </c>
      <c r="V1693" s="195" t="str">
        <f t="shared" si="114"/>
        <v>10.1177--2515245918810225.pdf</v>
      </c>
      <c r="W1693" s="65" t="s">
        <v>202</v>
      </c>
      <c r="X1693" s="51" t="str">
        <f t="array" ref="X1693"> if(iserror(MATCH(V1693, 'File Links'!C:C, 0)), "N/A", HYPERLINK(INDEX('File Links'!B:B, MATCH(V1693, 'File Links'!C:C, 0))))</f>
        <v>https://drive.google.com/file/d/1rGqHLpg3OEGQnWLvlAEJr7JSMWJ2p-Ar/view?usp=drivesdk</v>
      </c>
      <c r="Y1693" s="65"/>
      <c r="Z1693" s="1112" t="s">
        <v>219</v>
      </c>
      <c r="AA1693" s="148" t="s">
        <v>9755</v>
      </c>
      <c r="AB1693" s="1112" t="s">
        <v>9633</v>
      </c>
      <c r="AC1693" s="148" t="s">
        <v>9634</v>
      </c>
      <c r="AD1693" s="148" t="s">
        <v>9756</v>
      </c>
      <c r="AE1693" s="156" t="s">
        <v>606</v>
      </c>
      <c r="AF1693" s="153">
        <v>2612.0</v>
      </c>
      <c r="AG1693" s="158">
        <v>2.02</v>
      </c>
      <c r="AH1693" s="148" t="s">
        <v>715</v>
      </c>
      <c r="AI1693" s="148" t="s">
        <v>9757</v>
      </c>
      <c r="AJ1693" s="153">
        <v>0.001</v>
      </c>
      <c r="AK1693" s="156" t="s">
        <v>128</v>
      </c>
      <c r="AL1693" s="156" t="s">
        <v>179</v>
      </c>
      <c r="AM1693" s="65" t="s">
        <v>130</v>
      </c>
      <c r="AN1693" s="327" t="s">
        <v>131</v>
      </c>
      <c r="AO1693" s="153">
        <v>7923.0</v>
      </c>
      <c r="AP1693" s="153">
        <v>0.25</v>
      </c>
      <c r="AQ1693" s="156" t="s">
        <v>166</v>
      </c>
      <c r="AR1693" s="156" t="s">
        <v>9758</v>
      </c>
      <c r="AS1693" s="1090">
        <f> 4.66*10^-23</f>
        <v>0</v>
      </c>
      <c r="AT1693" s="1112" t="s">
        <v>165</v>
      </c>
      <c r="AU1693" s="156" t="s">
        <v>129</v>
      </c>
      <c r="AV1693" s="65" t="s">
        <v>130</v>
      </c>
      <c r="AW1693" s="432" t="s">
        <v>9554</v>
      </c>
      <c r="AX1693" s="65" t="s">
        <v>136</v>
      </c>
      <c r="AY1693" s="65"/>
      <c r="AZ1693" s="126" t="s">
        <v>6951</v>
      </c>
    </row>
    <row r="1694">
      <c r="A1694" s="41">
        <v>1694.0</v>
      </c>
      <c r="B1694" s="65" t="s">
        <v>107</v>
      </c>
      <c r="C1694" s="59" t="s">
        <v>108</v>
      </c>
      <c r="D1694" s="59" t="s">
        <v>138</v>
      </c>
      <c r="F1694" s="156" t="s">
        <v>9750</v>
      </c>
      <c r="G1694" s="156" t="s">
        <v>9751</v>
      </c>
      <c r="H1694" s="675" t="s">
        <v>5559</v>
      </c>
      <c r="I1694" s="149">
        <v>45667.0</v>
      </c>
      <c r="J1694" s="149">
        <v>45693.0</v>
      </c>
      <c r="K1694" s="65"/>
      <c r="L1694" s="65"/>
      <c r="M1694" s="65" t="s">
        <v>9753</v>
      </c>
      <c r="N1694" s="65" t="s">
        <v>9630</v>
      </c>
      <c r="O1694" s="156" t="s">
        <v>9759</v>
      </c>
      <c r="P1694" s="603" t="str">
        <f t="shared" si="118"/>
        <v>10.1111-- j.1468-0017.2006.00297.x.pdf</v>
      </c>
      <c r="Q1694" s="49" t="str">
        <f t="array" ref="Q1694"> if(iserror(MATCH(V1694, 'File Links'!C:C, 0)), "N/A", HYPERLINK(INDEX('File Links'!B:B, MATCH(P1694, 'File Links'!C:C, 0))))</f>
        <v>https://drive.google.com/file/d/1H2OS8Rk6wh8PVpv13iom_WUpLu0fEeBU/view?usp=drivesdk</v>
      </c>
      <c r="R1694" s="1112" t="s">
        <v>9545</v>
      </c>
      <c r="S1694" s="1112" t="s">
        <v>9546</v>
      </c>
      <c r="T1694" s="65"/>
      <c r="U1694" s="65"/>
      <c r="V1694" s="195" t="str">
        <f t="shared" si="114"/>
        <v>10.1177--2515245918810225.pdf</v>
      </c>
      <c r="W1694" s="1296" t="s">
        <v>202</v>
      </c>
      <c r="X1694" s="51" t="str">
        <f t="array" ref="X1694"> if(iserror(MATCH(V1694, 'File Links'!C:C, 0)), "N/A", HYPERLINK(INDEX('File Links'!B:B, MATCH(V1694, 'File Links'!C:C, 0))))</f>
        <v>https://drive.google.com/file/d/1rGqHLpg3OEGQnWLvlAEJr7JSMWJ2p-Ar/view?usp=drivesdk</v>
      </c>
      <c r="Y1694" s="65"/>
      <c r="Z1694" s="156" t="s">
        <v>219</v>
      </c>
      <c r="AA1694" s="65"/>
      <c r="AB1694" s="156" t="s">
        <v>9633</v>
      </c>
      <c r="AC1694" s="156" t="s">
        <v>9639</v>
      </c>
      <c r="AD1694" s="156" t="s">
        <v>9760</v>
      </c>
      <c r="AE1694" s="153">
        <v>8.0</v>
      </c>
      <c r="AF1694" s="153">
        <v>2612.0</v>
      </c>
      <c r="AG1694" s="153">
        <v>0.17</v>
      </c>
      <c r="AH1694" s="148" t="s">
        <v>264</v>
      </c>
      <c r="AI1694" s="156" t="s">
        <v>606</v>
      </c>
      <c r="AJ1694" s="153">
        <v>0.001</v>
      </c>
      <c r="AK1694" s="156" t="s">
        <v>128</v>
      </c>
      <c r="AL1694" s="156" t="s">
        <v>211</v>
      </c>
      <c r="AM1694" s="65" t="s">
        <v>1898</v>
      </c>
      <c r="AN1694" s="327" t="s">
        <v>131</v>
      </c>
      <c r="AO1694" s="153">
        <v>7923.0</v>
      </c>
      <c r="AP1694" s="153">
        <v>1.58</v>
      </c>
      <c r="AQ1694" s="156" t="s">
        <v>715</v>
      </c>
      <c r="AR1694" s="156" t="s">
        <v>3248</v>
      </c>
      <c r="AS1694" s="1058">
        <v>4.66E-23</v>
      </c>
      <c r="AT1694" s="156" t="s">
        <v>165</v>
      </c>
      <c r="AU1694" s="1057" t="s">
        <v>179</v>
      </c>
      <c r="AV1694" s="65" t="s">
        <v>130</v>
      </c>
      <c r="AW1694" s="1116" t="s">
        <v>9554</v>
      </c>
      <c r="AX1694" s="65" t="s">
        <v>136</v>
      </c>
      <c r="AY1694" s="65"/>
      <c r="AZ1694" s="65" t="s">
        <v>5061</v>
      </c>
    </row>
    <row r="1695">
      <c r="A1695" s="41">
        <v>1695.0</v>
      </c>
      <c r="B1695" s="126" t="s">
        <v>145</v>
      </c>
      <c r="C1695" s="59" t="s">
        <v>108</v>
      </c>
      <c r="D1695" s="59" t="s">
        <v>225</v>
      </c>
      <c r="F1695" s="65" t="s">
        <v>9761</v>
      </c>
      <c r="G1695" s="156" t="s">
        <v>9762</v>
      </c>
      <c r="H1695" s="156" t="s">
        <v>6906</v>
      </c>
      <c r="I1695" s="149">
        <v>45687.0</v>
      </c>
      <c r="J1695" s="149">
        <v>45693.0</v>
      </c>
      <c r="K1695" s="156"/>
      <c r="L1695" s="148"/>
      <c r="M1695" s="156" t="s">
        <v>9763</v>
      </c>
      <c r="N1695" s="156" t="s">
        <v>4304</v>
      </c>
      <c r="O1695" s="153">
        <v>2.0</v>
      </c>
      <c r="P1695" s="603" t="str">
        <f t="shared" si="118"/>
        <v>10.1037--0022-3514.95.2.293.pdf</v>
      </c>
      <c r="Q1695" s="49" t="str">
        <f t="array" ref="Q1695"> if(iserror(MATCH(V1695, 'File Links'!C:C, 0)), "N/A", HYPERLINK(INDEX('File Links'!B:B, MATCH(P1695, 'File Links'!C:C, 0))))</f>
        <v>https://drive.google.com/file/d/1Gkz07e_5xnoHy7zdKAHfWY6layqbA2lX/view?usp=drivesdk</v>
      </c>
      <c r="R1695" s="156" t="s">
        <v>9545</v>
      </c>
      <c r="S1695" s="156" t="s">
        <v>9546</v>
      </c>
      <c r="T1695" s="65"/>
      <c r="U1695" s="153">
        <v>18.0</v>
      </c>
      <c r="V1695" s="195" t="str">
        <f t="shared" si="114"/>
        <v>10.1177--2515245918810225.pdf</v>
      </c>
      <c r="W1695" s="65" t="s">
        <v>202</v>
      </c>
      <c r="X1695" s="51" t="str">
        <f t="array" ref="X1695"> if(iserror(MATCH(V1695, 'File Links'!C:C, 0)), "N/A", HYPERLINK(INDEX('File Links'!B:B, MATCH(V1695, 'File Links'!C:C, 0))))</f>
        <v>https://drive.google.com/file/d/1rGqHLpg3OEGQnWLvlAEJr7JSMWJ2p-Ar/view?usp=drivesdk</v>
      </c>
      <c r="Y1695" s="65"/>
      <c r="Z1695" s="156" t="s">
        <v>940</v>
      </c>
      <c r="AA1695" s="371" t="s">
        <v>131</v>
      </c>
      <c r="AB1695" s="1112" t="s">
        <v>9764</v>
      </c>
      <c r="AC1695" s="156" t="s">
        <v>9765</v>
      </c>
      <c r="AD1695" s="148" t="s">
        <v>9766</v>
      </c>
      <c r="AE1695" s="156" t="s">
        <v>9767</v>
      </c>
      <c r="AF1695" s="153">
        <v>120.0</v>
      </c>
      <c r="AG1695" s="153">
        <v>0.39</v>
      </c>
      <c r="AH1695" s="156" t="s">
        <v>166</v>
      </c>
      <c r="AI1695" s="156" t="s">
        <v>9767</v>
      </c>
      <c r="AJ1695" s="153">
        <v>0.05</v>
      </c>
      <c r="AK1695" s="156" t="s">
        <v>128</v>
      </c>
      <c r="AL1695" s="156" t="s">
        <v>179</v>
      </c>
      <c r="AM1695" s="65" t="s">
        <v>130</v>
      </c>
      <c r="AN1695" s="327" t="s">
        <v>131</v>
      </c>
      <c r="AO1695" s="153">
        <v>8000.0</v>
      </c>
      <c r="AP1695" s="153">
        <v>0.18</v>
      </c>
      <c r="AQ1695" s="156" t="s">
        <v>166</v>
      </c>
      <c r="AR1695" s="156" t="s">
        <v>9758</v>
      </c>
      <c r="AS1695" s="1090">
        <f>7.7*10^-16</f>
        <v>0</v>
      </c>
      <c r="AT1695" s="1112" t="s">
        <v>165</v>
      </c>
      <c r="AU1695" s="156" t="s">
        <v>179</v>
      </c>
      <c r="AV1695" s="65" t="s">
        <v>130</v>
      </c>
      <c r="AW1695" s="432" t="s">
        <v>9554</v>
      </c>
      <c r="AX1695" s="65" t="s">
        <v>136</v>
      </c>
      <c r="AY1695" s="65"/>
      <c r="AZ1695" s="126" t="s">
        <v>6951</v>
      </c>
    </row>
    <row r="1696">
      <c r="A1696" s="41">
        <v>1696.0</v>
      </c>
      <c r="B1696" s="65" t="s">
        <v>107</v>
      </c>
      <c r="C1696" s="59" t="s">
        <v>108</v>
      </c>
      <c r="D1696" s="59" t="s">
        <v>138</v>
      </c>
      <c r="F1696" s="65" t="s">
        <v>9761</v>
      </c>
      <c r="G1696" s="156" t="s">
        <v>9762</v>
      </c>
      <c r="H1696" s="675" t="s">
        <v>5559</v>
      </c>
      <c r="I1696" s="149">
        <v>45672.0</v>
      </c>
      <c r="J1696" s="149">
        <v>45693.0</v>
      </c>
      <c r="K1696" s="156" t="s">
        <v>9768</v>
      </c>
      <c r="L1696" s="65"/>
      <c r="M1696" s="65" t="s">
        <v>9763</v>
      </c>
      <c r="N1696" s="65" t="s">
        <v>4304</v>
      </c>
      <c r="O1696" s="153">
        <v>2.0</v>
      </c>
      <c r="P1696" s="603" t="str">
        <f t="shared" si="118"/>
        <v>10.1037--0022-3514.95.2.293.pdf</v>
      </c>
      <c r="Q1696" s="49" t="str">
        <f t="array" ref="Q1696"> if(iserror(MATCH(V1696, 'File Links'!C:C, 0)), "N/A", HYPERLINK(INDEX('File Links'!B:B, MATCH(P1696, 'File Links'!C:C, 0))))</f>
        <v>https://drive.google.com/file/d/1Gkz07e_5xnoHy7zdKAHfWY6layqbA2lX/view?usp=drivesdk</v>
      </c>
      <c r="R1696" s="1112" t="s">
        <v>9545</v>
      </c>
      <c r="S1696" s="1112" t="s">
        <v>9546</v>
      </c>
      <c r="T1696" s="65"/>
      <c r="U1696" s="65"/>
      <c r="V1696" s="195" t="str">
        <f t="shared" si="114"/>
        <v>10.1177--2515245918810225.pdf</v>
      </c>
      <c r="W1696" s="1296" t="s">
        <v>202</v>
      </c>
      <c r="X1696" s="51" t="str">
        <f t="array" ref="X1696"> if(iserror(MATCH(V1696, 'File Links'!C:C, 0)), "N/A", HYPERLINK(INDEX('File Links'!B:B, MATCH(V1696, 'File Links'!C:C, 0))))</f>
        <v>https://drive.google.com/file/d/1rGqHLpg3OEGQnWLvlAEJr7JSMWJ2p-Ar/view?usp=drivesdk</v>
      </c>
      <c r="Y1696" s="65"/>
      <c r="Z1696" s="156" t="s">
        <v>219</v>
      </c>
      <c r="AA1696" s="65"/>
      <c r="AB1696" s="156" t="s">
        <v>9764</v>
      </c>
      <c r="AC1696" s="156" t="s">
        <v>9769</v>
      </c>
      <c r="AD1696" s="156" t="s">
        <v>9770</v>
      </c>
      <c r="AE1696" s="153">
        <v>3.0</v>
      </c>
      <c r="AF1696" s="153">
        <v>120.0</v>
      </c>
      <c r="AG1696" s="153">
        <v>0.39</v>
      </c>
      <c r="AH1696" s="156" t="s">
        <v>166</v>
      </c>
      <c r="AI1696" s="156" t="s">
        <v>210</v>
      </c>
      <c r="AJ1696" s="153">
        <v>0.05</v>
      </c>
      <c r="AK1696" s="156" t="s">
        <v>128</v>
      </c>
      <c r="AL1696" s="156" t="s">
        <v>179</v>
      </c>
      <c r="AM1696" s="65" t="s">
        <v>130</v>
      </c>
      <c r="AN1696" s="327" t="s">
        <v>131</v>
      </c>
      <c r="AO1696" s="153">
        <v>8000.0</v>
      </c>
      <c r="AP1696" s="153">
        <v>0.18</v>
      </c>
      <c r="AQ1696" s="156" t="s">
        <v>166</v>
      </c>
      <c r="AR1696" s="156" t="s">
        <v>3248</v>
      </c>
      <c r="AS1696" s="1058">
        <v>7.7E-16</v>
      </c>
      <c r="AT1696" s="156" t="s">
        <v>165</v>
      </c>
      <c r="AU1696" s="156" t="s">
        <v>179</v>
      </c>
      <c r="AV1696" s="65" t="s">
        <v>130</v>
      </c>
      <c r="AW1696" s="1116" t="s">
        <v>9554</v>
      </c>
      <c r="AX1696" s="65" t="s">
        <v>136</v>
      </c>
      <c r="AY1696" s="65"/>
      <c r="AZ1696" s="65" t="s">
        <v>5061</v>
      </c>
    </row>
    <row r="1697">
      <c r="A1697" s="41">
        <v>1697.0</v>
      </c>
      <c r="B1697" s="126" t="s">
        <v>145</v>
      </c>
      <c r="C1697" s="59" t="s">
        <v>108</v>
      </c>
      <c r="D1697" s="59" t="s">
        <v>225</v>
      </c>
      <c r="F1697" s="65" t="s">
        <v>9771</v>
      </c>
      <c r="G1697" s="156" t="s">
        <v>9772</v>
      </c>
      <c r="H1697" s="156" t="s">
        <v>6906</v>
      </c>
      <c r="I1697" s="149">
        <v>45687.0</v>
      </c>
      <c r="J1697" s="149">
        <v>45693.0</v>
      </c>
      <c r="K1697" s="148" t="s">
        <v>9773</v>
      </c>
      <c r="L1697" s="156"/>
      <c r="M1697" s="156" t="s">
        <v>9774</v>
      </c>
      <c r="N1697" s="156" t="s">
        <v>9775</v>
      </c>
      <c r="O1697" s="153">
        <v>4.0</v>
      </c>
      <c r="P1697" s="603" t="str">
        <f t="shared" si="118"/>
        <v>10.1177--0956797611429579.pdf</v>
      </c>
      <c r="Q1697" s="49" t="str">
        <f t="array" ref="Q1697"> if(iserror(MATCH(V1697, 'File Links'!C:C, 0)), "N/A", HYPERLINK(INDEX('File Links'!B:B, MATCH(P1697, 'File Links'!C:C, 0))))</f>
        <v>https://drive.google.com/file/d/1qh6jn8CXzXmvxEifk6kq4pZRCYHNO1mu/view?usp=drivesdk</v>
      </c>
      <c r="R1697" s="156" t="s">
        <v>9545</v>
      </c>
      <c r="S1697" s="156" t="s">
        <v>9546</v>
      </c>
      <c r="T1697" s="65"/>
      <c r="U1697" s="153">
        <v>19.0</v>
      </c>
      <c r="V1697" s="195" t="str">
        <f t="shared" si="114"/>
        <v>10.1177--2515245918810225.pdf</v>
      </c>
      <c r="W1697" s="65" t="s">
        <v>202</v>
      </c>
      <c r="X1697" s="51" t="str">
        <f t="array" ref="X1697"> if(iserror(MATCH(V1697, 'File Links'!C:C, 0)), "N/A", HYPERLINK(INDEX('File Links'!B:B, MATCH(V1697, 'File Links'!C:C, 0))))</f>
        <v>https://drive.google.com/file/d/1rGqHLpg3OEGQnWLvlAEJr7JSMWJ2p-Ar/view?usp=drivesdk</v>
      </c>
      <c r="Y1697" s="65"/>
      <c r="Z1697" s="1112" t="s">
        <v>219</v>
      </c>
      <c r="AA1697" s="371" t="s">
        <v>131</v>
      </c>
      <c r="AB1697" s="1112" t="s">
        <v>9776</v>
      </c>
      <c r="AC1697" s="156" t="s">
        <v>9777</v>
      </c>
      <c r="AD1697" s="156" t="s">
        <v>9778</v>
      </c>
      <c r="AE1697" s="156" t="s">
        <v>9779</v>
      </c>
      <c r="AF1697" s="153">
        <v>77.0</v>
      </c>
      <c r="AG1697" s="153">
        <v>0.87</v>
      </c>
      <c r="AH1697" s="156" t="s">
        <v>166</v>
      </c>
      <c r="AI1697" s="148" t="s">
        <v>9780</v>
      </c>
      <c r="AJ1697" s="153">
        <v>0.001</v>
      </c>
      <c r="AK1697" s="156" t="s">
        <v>165</v>
      </c>
      <c r="AL1697" s="156" t="s">
        <v>179</v>
      </c>
      <c r="AM1697" s="65" t="s">
        <v>130</v>
      </c>
      <c r="AN1697" s="327" t="s">
        <v>131</v>
      </c>
      <c r="AO1697" s="153">
        <v>6608.0</v>
      </c>
      <c r="AP1697" s="153">
        <v>0.12</v>
      </c>
      <c r="AQ1697" s="156" t="s">
        <v>166</v>
      </c>
      <c r="AR1697" s="156" t="s">
        <v>9781</v>
      </c>
      <c r="AS1697" s="153">
        <f>8.62*10^-7</f>
        <v>0.000000862</v>
      </c>
      <c r="AT1697" s="156" t="s">
        <v>165</v>
      </c>
      <c r="AU1697" s="156" t="s">
        <v>179</v>
      </c>
      <c r="AV1697" s="65" t="s">
        <v>130</v>
      </c>
      <c r="AW1697" s="432" t="s">
        <v>9554</v>
      </c>
      <c r="AX1697" s="65" t="s">
        <v>136</v>
      </c>
      <c r="AY1697" s="65"/>
      <c r="AZ1697" s="126" t="s">
        <v>6951</v>
      </c>
    </row>
    <row r="1698">
      <c r="A1698" s="41">
        <v>1698.0</v>
      </c>
      <c r="B1698" s="216" t="s">
        <v>516</v>
      </c>
      <c r="C1698" s="59" t="s">
        <v>108</v>
      </c>
      <c r="D1698" s="59" t="s">
        <v>138</v>
      </c>
      <c r="F1698" s="65" t="s">
        <v>9771</v>
      </c>
      <c r="G1698" s="156" t="s">
        <v>9772</v>
      </c>
      <c r="H1698" s="675" t="s">
        <v>5559</v>
      </c>
      <c r="I1698" s="149">
        <v>45673.0</v>
      </c>
      <c r="J1698" s="149">
        <v>45693.0</v>
      </c>
      <c r="K1698" s="65"/>
      <c r="L1698" s="156" t="s">
        <v>9782</v>
      </c>
      <c r="M1698" s="65" t="s">
        <v>9774</v>
      </c>
      <c r="N1698" s="65" t="s">
        <v>9775</v>
      </c>
      <c r="O1698" s="153">
        <v>4.0</v>
      </c>
      <c r="P1698" s="603" t="str">
        <f t="shared" si="118"/>
        <v>10.1177--0956797611429579.pdf</v>
      </c>
      <c r="Q1698" s="49" t="str">
        <f t="array" ref="Q1698"> if(iserror(MATCH(V1698, 'File Links'!C:C, 0)), "N/A", HYPERLINK(INDEX('File Links'!B:B, MATCH(P1698, 'File Links'!C:C, 0))))</f>
        <v>https://drive.google.com/file/d/1qh6jn8CXzXmvxEifk6kq4pZRCYHNO1mu/view?usp=drivesdk</v>
      </c>
      <c r="R1698" s="1112" t="s">
        <v>9545</v>
      </c>
      <c r="S1698" s="1112" t="s">
        <v>9546</v>
      </c>
      <c r="T1698" s="65"/>
      <c r="U1698" s="65"/>
      <c r="V1698" s="195" t="str">
        <f t="shared" si="114"/>
        <v>10.1177--2515245918810225.pdf</v>
      </c>
      <c r="W1698" s="1296" t="s">
        <v>202</v>
      </c>
      <c r="X1698" s="51" t="str">
        <f t="array" ref="X1698"> if(iserror(MATCH(V1698, 'File Links'!C:C, 0)), "N/A", HYPERLINK(INDEX('File Links'!B:B, MATCH(V1698, 'File Links'!C:C, 0))))</f>
        <v>https://drive.google.com/file/d/1rGqHLpg3OEGQnWLvlAEJr7JSMWJ2p-Ar/view?usp=drivesdk</v>
      </c>
      <c r="Y1698" s="65"/>
      <c r="Z1698" s="156" t="s">
        <v>219</v>
      </c>
      <c r="AA1698" s="65"/>
      <c r="AB1698" s="156" t="s">
        <v>9776</v>
      </c>
      <c r="AC1698" s="156" t="s">
        <v>9783</v>
      </c>
      <c r="AD1698" s="156" t="s">
        <v>9784</v>
      </c>
      <c r="AE1698" s="153">
        <v>7.0</v>
      </c>
      <c r="AF1698" s="153">
        <v>77.0</v>
      </c>
      <c r="AG1698" s="153">
        <v>0.47</v>
      </c>
      <c r="AH1698" s="156" t="s">
        <v>166</v>
      </c>
      <c r="AI1698" s="156" t="s">
        <v>843</v>
      </c>
      <c r="AJ1698" s="153">
        <v>0.04</v>
      </c>
      <c r="AK1698" s="156" t="s">
        <v>165</v>
      </c>
      <c r="AL1698" s="156" t="s">
        <v>179</v>
      </c>
      <c r="AM1698" s="65" t="s">
        <v>130</v>
      </c>
      <c r="AN1698" s="327" t="s">
        <v>131</v>
      </c>
      <c r="AO1698" s="153">
        <v>6608.0</v>
      </c>
      <c r="AP1698" s="153">
        <v>0.1</v>
      </c>
      <c r="AQ1698" s="156" t="s">
        <v>166</v>
      </c>
      <c r="AR1698" s="156" t="s">
        <v>9781</v>
      </c>
      <c r="AS1698" s="153">
        <v>0.05</v>
      </c>
      <c r="AT1698" s="156" t="s">
        <v>128</v>
      </c>
      <c r="AU1698" s="156" t="s">
        <v>179</v>
      </c>
      <c r="AV1698" s="65" t="s">
        <v>130</v>
      </c>
      <c r="AW1698" s="1116" t="s">
        <v>9554</v>
      </c>
      <c r="AX1698" s="65" t="s">
        <v>136</v>
      </c>
      <c r="AY1698" s="65"/>
      <c r="AZ1698" s="65" t="s">
        <v>5061</v>
      </c>
    </row>
    <row r="1699">
      <c r="A1699" s="41">
        <v>1699.0</v>
      </c>
      <c r="B1699" s="216" t="s">
        <v>516</v>
      </c>
      <c r="C1699" s="59" t="s">
        <v>108</v>
      </c>
      <c r="D1699" s="59" t="s">
        <v>138</v>
      </c>
      <c r="F1699" s="65" t="s">
        <v>9771</v>
      </c>
      <c r="G1699" s="156" t="s">
        <v>9785</v>
      </c>
      <c r="H1699" s="675" t="s">
        <v>5559</v>
      </c>
      <c r="I1699" s="149">
        <v>45673.0</v>
      </c>
      <c r="J1699" s="149">
        <v>45693.0</v>
      </c>
      <c r="K1699" s="65"/>
      <c r="L1699" s="156" t="s">
        <v>9782</v>
      </c>
      <c r="M1699" s="65" t="s">
        <v>9774</v>
      </c>
      <c r="N1699" s="65" t="s">
        <v>9775</v>
      </c>
      <c r="O1699" s="153">
        <v>4.0</v>
      </c>
      <c r="P1699" s="603" t="str">
        <f t="shared" si="118"/>
        <v>10.1177--0956797611429579.pdf</v>
      </c>
      <c r="Q1699" s="49" t="str">
        <f t="array" ref="Q1699"> if(iserror(MATCH(V1699, 'File Links'!C:C, 0)), "N/A", HYPERLINK(INDEX('File Links'!B:B, MATCH(P1699, 'File Links'!C:C, 0))))</f>
        <v>https://drive.google.com/file/d/1qh6jn8CXzXmvxEifk6kq4pZRCYHNO1mu/view?usp=drivesdk</v>
      </c>
      <c r="R1699" s="1112" t="s">
        <v>9545</v>
      </c>
      <c r="S1699" s="1112" t="s">
        <v>9546</v>
      </c>
      <c r="T1699" s="65"/>
      <c r="U1699" s="65"/>
      <c r="V1699" s="195" t="str">
        <f t="shared" si="114"/>
        <v>10.1177--2515245918810225.pdf</v>
      </c>
      <c r="W1699" s="1296" t="s">
        <v>202</v>
      </c>
      <c r="X1699" s="51" t="str">
        <f t="array" ref="X1699"> if(iserror(MATCH(V1699, 'File Links'!C:C, 0)), "N/A", HYPERLINK(INDEX('File Links'!B:B, MATCH(V1699, 'File Links'!C:C, 0))))</f>
        <v>https://drive.google.com/file/d/1rGqHLpg3OEGQnWLvlAEJr7JSMWJ2p-Ar/view?usp=drivesdk</v>
      </c>
      <c r="Y1699" s="65"/>
      <c r="Z1699" s="156" t="s">
        <v>219</v>
      </c>
      <c r="AA1699" s="65"/>
      <c r="AB1699" s="156" t="s">
        <v>9776</v>
      </c>
      <c r="AC1699" s="156" t="s">
        <v>9786</v>
      </c>
      <c r="AD1699" s="156" t="s">
        <v>9787</v>
      </c>
      <c r="AE1699" s="153">
        <v>7.0</v>
      </c>
      <c r="AF1699" s="153">
        <v>77.0</v>
      </c>
      <c r="AG1699" s="153">
        <v>0.29</v>
      </c>
      <c r="AH1699" s="156" t="s">
        <v>166</v>
      </c>
      <c r="AI1699" s="156" t="s">
        <v>843</v>
      </c>
      <c r="AJ1699" s="153">
        <v>0.2</v>
      </c>
      <c r="AK1699" s="156" t="s">
        <v>165</v>
      </c>
      <c r="AL1699" s="156" t="s">
        <v>179</v>
      </c>
      <c r="AM1699" s="65" t="s">
        <v>130</v>
      </c>
      <c r="AN1699" s="327" t="s">
        <v>131</v>
      </c>
      <c r="AO1699" s="153">
        <v>6608.0</v>
      </c>
      <c r="AP1699" s="153">
        <v>0.08</v>
      </c>
      <c r="AQ1699" s="156" t="s">
        <v>166</v>
      </c>
      <c r="AR1699" s="156" t="s">
        <v>9781</v>
      </c>
      <c r="AS1699" s="153">
        <v>0.05</v>
      </c>
      <c r="AT1699" s="156" t="s">
        <v>128</v>
      </c>
      <c r="AU1699" s="156" t="s">
        <v>179</v>
      </c>
      <c r="AV1699" s="65" t="s">
        <v>130</v>
      </c>
      <c r="AW1699" s="1116" t="s">
        <v>9554</v>
      </c>
      <c r="AX1699" s="65" t="s">
        <v>136</v>
      </c>
      <c r="AY1699" s="65"/>
      <c r="AZ1699" s="65" t="s">
        <v>5061</v>
      </c>
    </row>
    <row r="1700">
      <c r="A1700" s="41">
        <v>1700.0</v>
      </c>
      <c r="B1700" s="65" t="s">
        <v>107</v>
      </c>
      <c r="C1700" s="59" t="s">
        <v>108</v>
      </c>
      <c r="D1700" s="59" t="s">
        <v>138</v>
      </c>
      <c r="F1700" s="65" t="s">
        <v>9771</v>
      </c>
      <c r="G1700" s="156" t="s">
        <v>9788</v>
      </c>
      <c r="H1700" s="675" t="s">
        <v>5559</v>
      </c>
      <c r="I1700" s="149">
        <v>45673.0</v>
      </c>
      <c r="J1700" s="149">
        <v>45693.0</v>
      </c>
      <c r="K1700" s="65"/>
      <c r="L1700" s="156" t="s">
        <v>9789</v>
      </c>
      <c r="M1700" s="65" t="s">
        <v>9774</v>
      </c>
      <c r="N1700" s="65" t="s">
        <v>9775</v>
      </c>
      <c r="O1700" s="153">
        <v>4.0</v>
      </c>
      <c r="P1700" s="603" t="str">
        <f t="shared" si="118"/>
        <v>10.1177--0956797611429579.pdf</v>
      </c>
      <c r="Q1700" s="49" t="str">
        <f t="array" ref="Q1700"> if(iserror(MATCH(V1700, 'File Links'!C:C, 0)), "N/A", HYPERLINK(INDEX('File Links'!B:B, MATCH(P1700, 'File Links'!C:C, 0))))</f>
        <v>https://drive.google.com/file/d/1qh6jn8CXzXmvxEifk6kq4pZRCYHNO1mu/view?usp=drivesdk</v>
      </c>
      <c r="R1700" s="1112" t="s">
        <v>9545</v>
      </c>
      <c r="S1700" s="1112" t="s">
        <v>9546</v>
      </c>
      <c r="T1700" s="65"/>
      <c r="U1700" s="65"/>
      <c r="V1700" s="195" t="str">
        <f t="shared" si="114"/>
        <v>10.1177--2515245918810225.pdf</v>
      </c>
      <c r="W1700" s="1296" t="s">
        <v>202</v>
      </c>
      <c r="X1700" s="51" t="str">
        <f t="array" ref="X1700"> if(iserror(MATCH(V1700, 'File Links'!C:C, 0)), "N/A", HYPERLINK(INDEX('File Links'!B:B, MATCH(V1700, 'File Links'!C:C, 0))))</f>
        <v>https://drive.google.com/file/d/1rGqHLpg3OEGQnWLvlAEJr7JSMWJ2p-Ar/view?usp=drivesdk</v>
      </c>
      <c r="Y1700" s="65"/>
      <c r="Z1700" s="156" t="s">
        <v>219</v>
      </c>
      <c r="AA1700" s="65"/>
      <c r="AB1700" s="156" t="s">
        <v>9776</v>
      </c>
      <c r="AC1700" s="156" t="s">
        <v>9790</v>
      </c>
      <c r="AD1700" s="156" t="s">
        <v>9791</v>
      </c>
      <c r="AE1700" s="153">
        <v>7.0</v>
      </c>
      <c r="AF1700" s="153">
        <v>77.0</v>
      </c>
      <c r="AG1700" s="153">
        <v>0.8</v>
      </c>
      <c r="AH1700" s="156" t="s">
        <v>166</v>
      </c>
      <c r="AI1700" s="156" t="s">
        <v>843</v>
      </c>
      <c r="AJ1700" s="153">
        <v>0.001</v>
      </c>
      <c r="AK1700" s="156" t="s">
        <v>165</v>
      </c>
      <c r="AL1700" s="156" t="s">
        <v>179</v>
      </c>
      <c r="AM1700" s="65" t="s">
        <v>130</v>
      </c>
      <c r="AN1700" s="327" t="s">
        <v>131</v>
      </c>
      <c r="AO1700" s="153">
        <v>6608.0</v>
      </c>
      <c r="AP1700" s="153">
        <v>0.12</v>
      </c>
      <c r="AQ1700" s="156" t="s">
        <v>166</v>
      </c>
      <c r="AR1700" s="156" t="s">
        <v>2222</v>
      </c>
      <c r="AS1700" s="1058">
        <v>8.62E-7</v>
      </c>
      <c r="AT1700" s="156" t="s">
        <v>165</v>
      </c>
      <c r="AU1700" s="156" t="s">
        <v>179</v>
      </c>
      <c r="AV1700" s="65" t="s">
        <v>130</v>
      </c>
      <c r="AW1700" s="1116" t="s">
        <v>9554</v>
      </c>
      <c r="AX1700" s="65" t="s">
        <v>136</v>
      </c>
      <c r="AY1700" s="65"/>
      <c r="AZ1700" s="65" t="s">
        <v>5061</v>
      </c>
    </row>
    <row r="1701">
      <c r="A1701" s="41">
        <v>1701.0</v>
      </c>
      <c r="B1701" s="216" t="s">
        <v>516</v>
      </c>
      <c r="C1701" s="59" t="s">
        <v>108</v>
      </c>
      <c r="D1701" s="59" t="s">
        <v>138</v>
      </c>
      <c r="F1701" s="65" t="s">
        <v>9771</v>
      </c>
      <c r="G1701" s="156" t="s">
        <v>9792</v>
      </c>
      <c r="H1701" s="675" t="s">
        <v>5559</v>
      </c>
      <c r="I1701" s="149">
        <v>45673.0</v>
      </c>
      <c r="J1701" s="149">
        <v>45693.0</v>
      </c>
      <c r="K1701" s="65"/>
      <c r="L1701" s="156" t="s">
        <v>9782</v>
      </c>
      <c r="M1701" s="65" t="s">
        <v>9774</v>
      </c>
      <c r="N1701" s="65" t="s">
        <v>9775</v>
      </c>
      <c r="O1701" s="153">
        <v>4.0</v>
      </c>
      <c r="P1701" s="603" t="str">
        <f t="shared" si="118"/>
        <v>10.1177--0956797611429579.pdf</v>
      </c>
      <c r="Q1701" s="49" t="str">
        <f t="array" ref="Q1701"> if(iserror(MATCH(V1701, 'File Links'!C:C, 0)), "N/A", HYPERLINK(INDEX('File Links'!B:B, MATCH(P1701, 'File Links'!C:C, 0))))</f>
        <v>https://drive.google.com/file/d/1qh6jn8CXzXmvxEifk6kq4pZRCYHNO1mu/view?usp=drivesdk</v>
      </c>
      <c r="R1701" s="1112" t="s">
        <v>9545</v>
      </c>
      <c r="S1701" s="1112" t="s">
        <v>9546</v>
      </c>
      <c r="T1701" s="65"/>
      <c r="U1701" s="65"/>
      <c r="V1701" s="195" t="str">
        <f t="shared" si="114"/>
        <v>10.1177--2515245918810225.pdf</v>
      </c>
      <c r="W1701" s="1296" t="s">
        <v>202</v>
      </c>
      <c r="X1701" s="51" t="str">
        <f t="array" ref="X1701"> if(iserror(MATCH(V1701, 'File Links'!C:C, 0)), "N/A", HYPERLINK(INDEX('File Links'!B:B, MATCH(V1701, 'File Links'!C:C, 0))))</f>
        <v>https://drive.google.com/file/d/1rGqHLpg3OEGQnWLvlAEJr7JSMWJ2p-Ar/view?usp=drivesdk</v>
      </c>
      <c r="Y1701" s="65"/>
      <c r="Z1701" s="156" t="s">
        <v>219</v>
      </c>
      <c r="AA1701" s="65"/>
      <c r="AB1701" s="156" t="s">
        <v>9776</v>
      </c>
      <c r="AC1701" s="156" t="s">
        <v>9793</v>
      </c>
      <c r="AD1701" s="156" t="s">
        <v>9794</v>
      </c>
      <c r="AE1701" s="153">
        <v>7.0</v>
      </c>
      <c r="AF1701" s="153">
        <v>77.0</v>
      </c>
      <c r="AG1701" s="153">
        <v>0.53</v>
      </c>
      <c r="AH1701" s="156" t="s">
        <v>166</v>
      </c>
      <c r="AI1701" s="156" t="s">
        <v>843</v>
      </c>
      <c r="AJ1701" s="153">
        <v>0.02</v>
      </c>
      <c r="AK1701" s="156" t="s">
        <v>165</v>
      </c>
      <c r="AL1701" s="156" t="s">
        <v>179</v>
      </c>
      <c r="AM1701" s="65" t="s">
        <v>130</v>
      </c>
      <c r="AN1701" s="327" t="s">
        <v>131</v>
      </c>
      <c r="AO1701" s="153">
        <v>6608.0</v>
      </c>
      <c r="AP1701" s="153">
        <v>0.12</v>
      </c>
      <c r="AQ1701" s="156" t="s">
        <v>166</v>
      </c>
      <c r="AR1701" s="156" t="s">
        <v>9781</v>
      </c>
      <c r="AS1701" s="153">
        <v>0.05</v>
      </c>
      <c r="AT1701" s="156" t="s">
        <v>128</v>
      </c>
      <c r="AU1701" s="156" t="s">
        <v>179</v>
      </c>
      <c r="AV1701" s="65" t="s">
        <v>130</v>
      </c>
      <c r="AW1701" s="1116" t="s">
        <v>9554</v>
      </c>
      <c r="AX1701" s="65" t="s">
        <v>136</v>
      </c>
      <c r="AY1701" s="65"/>
      <c r="AZ1701" s="65" t="s">
        <v>5061</v>
      </c>
    </row>
    <row r="1702">
      <c r="A1702" s="41">
        <v>1702.0</v>
      </c>
      <c r="B1702" s="216" t="s">
        <v>516</v>
      </c>
      <c r="C1702" s="59" t="s">
        <v>108</v>
      </c>
      <c r="D1702" s="59" t="s">
        <v>138</v>
      </c>
      <c r="F1702" s="65" t="s">
        <v>9771</v>
      </c>
      <c r="G1702" s="156" t="s">
        <v>9795</v>
      </c>
      <c r="H1702" s="675" t="s">
        <v>5559</v>
      </c>
      <c r="I1702" s="149">
        <v>45673.0</v>
      </c>
      <c r="J1702" s="149">
        <v>45693.0</v>
      </c>
      <c r="K1702" s="65"/>
      <c r="L1702" s="156" t="s">
        <v>9782</v>
      </c>
      <c r="M1702" s="65" t="s">
        <v>9774</v>
      </c>
      <c r="N1702" s="65" t="s">
        <v>9775</v>
      </c>
      <c r="O1702" s="153">
        <v>4.0</v>
      </c>
      <c r="P1702" s="603" t="str">
        <f t="shared" si="118"/>
        <v>10.1177--0956797611429579.pdf</v>
      </c>
      <c r="Q1702" s="49" t="str">
        <f t="array" ref="Q1702"> if(iserror(MATCH(V1702, 'File Links'!C:C, 0)), "N/A", HYPERLINK(INDEX('File Links'!B:B, MATCH(P1702, 'File Links'!C:C, 0))))</f>
        <v>https://drive.google.com/file/d/1qh6jn8CXzXmvxEifk6kq4pZRCYHNO1mu/view?usp=drivesdk</v>
      </c>
      <c r="R1702" s="1112" t="s">
        <v>9545</v>
      </c>
      <c r="S1702" s="1112" t="s">
        <v>9546</v>
      </c>
      <c r="T1702" s="65"/>
      <c r="U1702" s="65"/>
      <c r="V1702" s="195" t="str">
        <f t="shared" si="114"/>
        <v>10.1177--2515245918810225.pdf</v>
      </c>
      <c r="W1702" s="1296" t="s">
        <v>202</v>
      </c>
      <c r="X1702" s="51" t="str">
        <f t="array" ref="X1702"> if(iserror(MATCH(V1702, 'File Links'!C:C, 0)), "N/A", HYPERLINK(INDEX('File Links'!B:B, MATCH(V1702, 'File Links'!C:C, 0))))</f>
        <v>https://drive.google.com/file/d/1rGqHLpg3OEGQnWLvlAEJr7JSMWJ2p-Ar/view?usp=drivesdk</v>
      </c>
      <c r="Y1702" s="65"/>
      <c r="Z1702" s="156" t="s">
        <v>219</v>
      </c>
      <c r="AA1702" s="65"/>
      <c r="AB1702" s="156" t="s">
        <v>9776</v>
      </c>
      <c r="AC1702" s="156" t="s">
        <v>9796</v>
      </c>
      <c r="AD1702" s="156" t="s">
        <v>9797</v>
      </c>
      <c r="AE1702" s="153">
        <v>7.0</v>
      </c>
      <c r="AF1702" s="153">
        <v>77.0</v>
      </c>
      <c r="AG1702" s="153">
        <v>0.25</v>
      </c>
      <c r="AH1702" s="156" t="s">
        <v>166</v>
      </c>
      <c r="AI1702" s="156" t="s">
        <v>843</v>
      </c>
      <c r="AJ1702" s="153">
        <v>0.26</v>
      </c>
      <c r="AK1702" s="156" t="s">
        <v>165</v>
      </c>
      <c r="AL1702" s="156" t="s">
        <v>179</v>
      </c>
      <c r="AM1702" s="65" t="s">
        <v>130</v>
      </c>
      <c r="AN1702" s="327" t="s">
        <v>131</v>
      </c>
      <c r="AO1702" s="153">
        <v>6608.0</v>
      </c>
      <c r="AP1702" s="153">
        <v>0.01</v>
      </c>
      <c r="AQ1702" s="156" t="s">
        <v>166</v>
      </c>
      <c r="AR1702" s="156" t="s">
        <v>9781</v>
      </c>
      <c r="AS1702" s="153">
        <v>0.05</v>
      </c>
      <c r="AT1702" s="156" t="s">
        <v>128</v>
      </c>
      <c r="AU1702" s="156" t="s">
        <v>179</v>
      </c>
      <c r="AV1702" s="65" t="s">
        <v>130</v>
      </c>
      <c r="AW1702" s="1116" t="s">
        <v>9554</v>
      </c>
      <c r="AX1702" s="65" t="s">
        <v>136</v>
      </c>
      <c r="AY1702" s="65"/>
      <c r="AZ1702" s="65" t="s">
        <v>5061</v>
      </c>
    </row>
    <row r="1703">
      <c r="A1703" s="41">
        <v>1703.0</v>
      </c>
      <c r="B1703" s="126" t="s">
        <v>145</v>
      </c>
      <c r="C1703" s="59" t="s">
        <v>108</v>
      </c>
      <c r="D1703" s="59" t="s">
        <v>225</v>
      </c>
      <c r="F1703" s="65" t="s">
        <v>9798</v>
      </c>
      <c r="G1703" s="156" t="s">
        <v>9799</v>
      </c>
      <c r="H1703" s="156" t="s">
        <v>6906</v>
      </c>
      <c r="I1703" s="149">
        <v>45687.0</v>
      </c>
      <c r="J1703" s="149">
        <v>45693.0</v>
      </c>
      <c r="K1703" s="65"/>
      <c r="L1703" s="65"/>
      <c r="M1703" s="156" t="s">
        <v>9800</v>
      </c>
      <c r="N1703" s="156" t="s">
        <v>9801</v>
      </c>
      <c r="O1703" s="153">
        <v>2.0</v>
      </c>
      <c r="P1703" s="603" t="str">
        <f t="shared" si="118"/>
        <v>10.1002--bdm.586.pdf</v>
      </c>
      <c r="Q1703" s="49" t="str">
        <f t="array" ref="Q1703"> if(iserror(MATCH(V1703, 'File Links'!C:C, 0)), "N/A", HYPERLINK(INDEX('File Links'!B:B, MATCH(P1703, 'File Links'!C:C, 0))))</f>
        <v>https://drive.google.com/file/d/1j0mn959ZZSMHPHeyS9bW6vv9NzM9UaK_/view?usp=drivesdk</v>
      </c>
      <c r="R1703" s="156" t="s">
        <v>9545</v>
      </c>
      <c r="S1703" s="156" t="s">
        <v>9546</v>
      </c>
      <c r="T1703" s="65"/>
      <c r="U1703" s="153">
        <v>20.0</v>
      </c>
      <c r="V1703" s="195" t="str">
        <f t="shared" si="114"/>
        <v>10.1177--2515245918810225.pdf</v>
      </c>
      <c r="W1703" s="65" t="s">
        <v>202</v>
      </c>
      <c r="X1703" s="51" t="str">
        <f t="array" ref="X1703"> if(iserror(MATCH(V1703, 'File Links'!C:C, 0)), "N/A", HYPERLINK(INDEX('File Links'!B:B, MATCH(V1703, 'File Links'!C:C, 0))))</f>
        <v>https://drive.google.com/file/d/1rGqHLpg3OEGQnWLvlAEJr7JSMWJ2p-Ar/view?usp=drivesdk</v>
      </c>
      <c r="Y1703" s="65"/>
      <c r="Z1703" s="1112" t="s">
        <v>203</v>
      </c>
      <c r="AA1703" s="156" t="s">
        <v>4469</v>
      </c>
      <c r="AB1703" s="1112" t="s">
        <v>9802</v>
      </c>
      <c r="AC1703" s="156" t="s">
        <v>9803</v>
      </c>
      <c r="AD1703" s="156" t="s">
        <v>9804</v>
      </c>
      <c r="AE1703" s="156" t="s">
        <v>9805</v>
      </c>
      <c r="AF1703" s="153">
        <v>207.0</v>
      </c>
      <c r="AG1703" s="153">
        <v>0.3</v>
      </c>
      <c r="AH1703" s="156" t="s">
        <v>166</v>
      </c>
      <c r="AI1703" s="156" t="s">
        <v>9805</v>
      </c>
      <c r="AJ1703" s="153">
        <v>0.03</v>
      </c>
      <c r="AK1703" s="156" t="s">
        <v>165</v>
      </c>
      <c r="AL1703" s="156" t="s">
        <v>179</v>
      </c>
      <c r="AM1703" s="65" t="s">
        <v>130</v>
      </c>
      <c r="AN1703" s="327" t="s">
        <v>131</v>
      </c>
      <c r="AO1703" s="153">
        <v>6826.0</v>
      </c>
      <c r="AP1703" s="153">
        <v>0.04</v>
      </c>
      <c r="AQ1703" s="156" t="s">
        <v>166</v>
      </c>
      <c r="AR1703" s="156" t="s">
        <v>9806</v>
      </c>
      <c r="AS1703" s="153">
        <v>0.09</v>
      </c>
      <c r="AT1703" s="156" t="s">
        <v>165</v>
      </c>
      <c r="AU1703" s="156" t="s">
        <v>179</v>
      </c>
      <c r="AV1703" s="65" t="s">
        <v>130</v>
      </c>
      <c r="AW1703" s="432" t="s">
        <v>9554</v>
      </c>
      <c r="AX1703" s="65" t="s">
        <v>136</v>
      </c>
      <c r="AY1703" s="65"/>
      <c r="AZ1703" s="126" t="s">
        <v>6951</v>
      </c>
    </row>
    <row r="1704">
      <c r="A1704" s="41">
        <v>1704.0</v>
      </c>
      <c r="B1704" s="65" t="s">
        <v>107</v>
      </c>
      <c r="C1704" s="59" t="s">
        <v>108</v>
      </c>
      <c r="D1704" s="59" t="s">
        <v>138</v>
      </c>
      <c r="F1704" s="65" t="s">
        <v>9798</v>
      </c>
      <c r="G1704" s="156" t="s">
        <v>9799</v>
      </c>
      <c r="H1704" s="675" t="s">
        <v>5559</v>
      </c>
      <c r="I1704" s="149">
        <v>45673.0</v>
      </c>
      <c r="J1704" s="149">
        <v>45693.0</v>
      </c>
      <c r="K1704" s="65"/>
      <c r="L1704" s="65"/>
      <c r="M1704" s="65" t="s">
        <v>9800</v>
      </c>
      <c r="N1704" s="65" t="s">
        <v>9801</v>
      </c>
      <c r="O1704" s="153">
        <v>2.0</v>
      </c>
      <c r="P1704" s="603" t="str">
        <f t="shared" si="118"/>
        <v>10.1002--bdm.586.pdf</v>
      </c>
      <c r="Q1704" s="49" t="str">
        <f t="array" ref="Q1704"> if(iserror(MATCH(V1704, 'File Links'!C:C, 0)), "N/A", HYPERLINK(INDEX('File Links'!B:B, MATCH(P1704, 'File Links'!C:C, 0))))</f>
        <v>https://drive.google.com/file/d/1j0mn959ZZSMHPHeyS9bW6vv9NzM9UaK_/view?usp=drivesdk</v>
      </c>
      <c r="R1704" s="1112" t="s">
        <v>9545</v>
      </c>
      <c r="S1704" s="1112" t="s">
        <v>9546</v>
      </c>
      <c r="T1704" s="65"/>
      <c r="U1704" s="65"/>
      <c r="V1704" s="195" t="str">
        <f t="shared" si="114"/>
        <v>10.1177--2515245918810225.pdf</v>
      </c>
      <c r="W1704" s="1296" t="s">
        <v>202</v>
      </c>
      <c r="X1704" s="51" t="str">
        <f t="array" ref="X1704"> if(iserror(MATCH(V1704, 'File Links'!C:C, 0)), "N/A", HYPERLINK(INDEX('File Links'!B:B, MATCH(V1704, 'File Links'!C:C, 0))))</f>
        <v>https://drive.google.com/file/d/1rGqHLpg3OEGQnWLvlAEJr7JSMWJ2p-Ar/view?usp=drivesdk</v>
      </c>
      <c r="Y1704" s="65"/>
      <c r="Z1704" s="156" t="s">
        <v>203</v>
      </c>
      <c r="AA1704" s="65"/>
      <c r="AB1704" s="156" t="s">
        <v>9802</v>
      </c>
      <c r="AC1704" s="156" t="s">
        <v>9803</v>
      </c>
      <c r="AD1704" s="156" t="s">
        <v>9807</v>
      </c>
      <c r="AE1704" s="1537">
        <v>45813.0</v>
      </c>
      <c r="AF1704" s="153">
        <v>207.0</v>
      </c>
      <c r="AG1704" s="153">
        <v>0.3</v>
      </c>
      <c r="AH1704" s="156" t="s">
        <v>166</v>
      </c>
      <c r="AI1704" s="156" t="s">
        <v>133</v>
      </c>
      <c r="AJ1704" s="153">
        <v>0.03</v>
      </c>
      <c r="AK1704" s="156" t="s">
        <v>165</v>
      </c>
      <c r="AL1704" s="156" t="s">
        <v>179</v>
      </c>
      <c r="AM1704" s="65" t="s">
        <v>130</v>
      </c>
      <c r="AN1704" s="327" t="s">
        <v>131</v>
      </c>
      <c r="AO1704" s="153">
        <v>6826.0</v>
      </c>
      <c r="AP1704" s="153">
        <v>0.04</v>
      </c>
      <c r="AQ1704" s="156" t="s">
        <v>166</v>
      </c>
      <c r="AR1704" s="156" t="s">
        <v>175</v>
      </c>
      <c r="AS1704" s="153">
        <v>0.09</v>
      </c>
      <c r="AT1704" s="156" t="s">
        <v>165</v>
      </c>
      <c r="AU1704" s="156" t="s">
        <v>179</v>
      </c>
      <c r="AV1704" s="65" t="s">
        <v>130</v>
      </c>
      <c r="AW1704" s="1116" t="s">
        <v>9554</v>
      </c>
      <c r="AX1704" s="65" t="s">
        <v>136</v>
      </c>
      <c r="AY1704" s="65"/>
      <c r="AZ1704" s="65" t="s">
        <v>5061</v>
      </c>
    </row>
    <row r="1705">
      <c r="A1705" s="41">
        <v>1705.0</v>
      </c>
      <c r="B1705" s="65" t="s">
        <v>107</v>
      </c>
      <c r="C1705" s="59" t="s">
        <v>108</v>
      </c>
      <c r="D1705" s="59" t="s">
        <v>225</v>
      </c>
      <c r="F1705" s="65" t="s">
        <v>9808</v>
      </c>
      <c r="G1705" s="156" t="s">
        <v>9809</v>
      </c>
      <c r="H1705" s="156" t="s">
        <v>6906</v>
      </c>
      <c r="I1705" s="149">
        <v>45687.0</v>
      </c>
      <c r="J1705" s="149">
        <v>45693.0</v>
      </c>
      <c r="K1705" s="65"/>
      <c r="L1705" s="65"/>
      <c r="M1705" s="156" t="s">
        <v>9810</v>
      </c>
      <c r="N1705" s="156" t="s">
        <v>9811</v>
      </c>
      <c r="O1705" s="156" t="s">
        <v>4085</v>
      </c>
      <c r="P1705" s="603" t="str">
        <f t="shared" si="118"/>
        <v>10.1016--j .obhdp.2006.10.001.pdf</v>
      </c>
      <c r="Q1705" s="49" t="str">
        <f t="array" ref="Q1705"> if(iserror(MATCH(V1705, 'File Links'!C:C, 0)), "N/A", HYPERLINK(INDEX('File Links'!B:B, MATCH(P1705, 'File Links'!C:C, 0))))</f>
        <v>https://drive.google.com/file/d/1APm26rD_UpSxwv_f7ANPXDv5utKWJ7q3/view?usp=drivesdk</v>
      </c>
      <c r="R1705" s="156" t="s">
        <v>9545</v>
      </c>
      <c r="S1705" s="156" t="s">
        <v>9546</v>
      </c>
      <c r="T1705" s="65"/>
      <c r="U1705" s="153">
        <v>21.0</v>
      </c>
      <c r="V1705" s="195" t="str">
        <f t="shared" si="114"/>
        <v>10.1177--2515245918810225.pdf</v>
      </c>
      <c r="W1705" s="65" t="s">
        <v>202</v>
      </c>
      <c r="X1705" s="51" t="str">
        <f t="array" ref="X1705"> if(iserror(MATCH(V1705, 'File Links'!C:C, 0)), "N/A", HYPERLINK(INDEX('File Links'!B:B, MATCH(V1705, 'File Links'!C:C, 0))))</f>
        <v>https://drive.google.com/file/d/1rGqHLpg3OEGQnWLvlAEJr7JSMWJ2p-Ar/view?usp=drivesdk</v>
      </c>
      <c r="Y1705" s="65"/>
      <c r="Z1705" s="156" t="s">
        <v>940</v>
      </c>
      <c r="AA1705" s="65"/>
      <c r="AB1705" s="156" t="s">
        <v>9599</v>
      </c>
      <c r="AC1705" s="156" t="s">
        <v>9812</v>
      </c>
      <c r="AD1705" s="156" t="s">
        <v>9813</v>
      </c>
      <c r="AE1705" s="156" t="s">
        <v>7364</v>
      </c>
      <c r="AF1705" s="153">
        <v>64.0</v>
      </c>
      <c r="AG1705" s="153">
        <v>0.07</v>
      </c>
      <c r="AH1705" s="156" t="s">
        <v>132</v>
      </c>
      <c r="AI1705" s="156" t="s">
        <v>7364</v>
      </c>
      <c r="AJ1705" s="153">
        <v>0.03</v>
      </c>
      <c r="AK1705" s="156" t="s">
        <v>165</v>
      </c>
      <c r="AL1705" s="156" t="s">
        <v>179</v>
      </c>
      <c r="AM1705" s="65" t="s">
        <v>130</v>
      </c>
      <c r="AN1705" s="327" t="s">
        <v>131</v>
      </c>
      <c r="AO1705" s="153">
        <v>7890.0</v>
      </c>
      <c r="AP1705" s="153">
        <v>0.03</v>
      </c>
      <c r="AQ1705" s="156" t="s">
        <v>166</v>
      </c>
      <c r="AR1705" s="156" t="s">
        <v>9814</v>
      </c>
      <c r="AS1705" s="153">
        <v>0.16</v>
      </c>
      <c r="AT1705" s="156" t="s">
        <v>165</v>
      </c>
      <c r="AU1705" s="156" t="s">
        <v>179</v>
      </c>
      <c r="AV1705" s="65" t="s">
        <v>130</v>
      </c>
      <c r="AW1705" s="432" t="s">
        <v>9554</v>
      </c>
      <c r="AX1705" s="65" t="s">
        <v>431</v>
      </c>
      <c r="AY1705" s="65"/>
      <c r="AZ1705" s="65" t="s">
        <v>5061</v>
      </c>
    </row>
    <row r="1706">
      <c r="A1706" s="41">
        <v>1706.0</v>
      </c>
      <c r="B1706" s="126" t="s">
        <v>145</v>
      </c>
      <c r="C1706" s="59" t="s">
        <v>108</v>
      </c>
      <c r="D1706" s="59" t="s">
        <v>138</v>
      </c>
      <c r="F1706" s="65" t="s">
        <v>9808</v>
      </c>
      <c r="G1706" s="156" t="s">
        <v>9809</v>
      </c>
      <c r="H1706" s="675" t="s">
        <v>5559</v>
      </c>
      <c r="I1706" s="149">
        <v>45673.0</v>
      </c>
      <c r="J1706" s="149">
        <v>45693.0</v>
      </c>
      <c r="K1706" s="65"/>
      <c r="L1706" s="148" t="s">
        <v>9815</v>
      </c>
      <c r="M1706" s="65" t="s">
        <v>9810</v>
      </c>
      <c r="N1706" s="65" t="s">
        <v>9811</v>
      </c>
      <c r="O1706" s="156" t="s">
        <v>9816</v>
      </c>
      <c r="P1706" s="603" t="str">
        <f t="shared" si="118"/>
        <v>10.1016--j .obhdp.2006.10.001.pdf</v>
      </c>
      <c r="Q1706" s="49" t="str">
        <f t="array" ref="Q1706"> if(iserror(MATCH(V1706, 'File Links'!C:C, 0)), "N/A", HYPERLINK(INDEX('File Links'!B:B, MATCH(P1706, 'File Links'!C:C, 0))))</f>
        <v>https://drive.google.com/file/d/1APm26rD_UpSxwv_f7ANPXDv5utKWJ7q3/view?usp=drivesdk</v>
      </c>
      <c r="R1706" s="1112" t="s">
        <v>9545</v>
      </c>
      <c r="S1706" s="1112" t="s">
        <v>9546</v>
      </c>
      <c r="T1706" s="65"/>
      <c r="U1706" s="1090">
        <v>21.0</v>
      </c>
      <c r="V1706" s="195" t="str">
        <f t="shared" si="114"/>
        <v>10.1177--2515245918810225.pdf</v>
      </c>
      <c r="W1706" s="1296" t="s">
        <v>202</v>
      </c>
      <c r="X1706" s="51" t="str">
        <f t="array" ref="X1706"> if(iserror(MATCH(V1706, 'File Links'!C:C, 0)), "N/A", HYPERLINK(INDEX('File Links'!B:B, MATCH(V1706, 'File Links'!C:C, 0))))</f>
        <v>https://drive.google.com/file/d/1rGqHLpg3OEGQnWLvlAEJr7JSMWJ2p-Ar/view?usp=drivesdk</v>
      </c>
      <c r="Y1706" s="65"/>
      <c r="Z1706" s="156" t="s">
        <v>203</v>
      </c>
      <c r="AA1706" s="371" t="s">
        <v>131</v>
      </c>
      <c r="AB1706" s="156" t="s">
        <v>9817</v>
      </c>
      <c r="AC1706" s="156" t="s">
        <v>9818</v>
      </c>
      <c r="AD1706" s="156" t="s">
        <v>9819</v>
      </c>
      <c r="AE1706" s="1112" t="s">
        <v>7364</v>
      </c>
      <c r="AF1706" s="153">
        <v>64.0</v>
      </c>
      <c r="AG1706" s="158">
        <v>0.547</v>
      </c>
      <c r="AH1706" s="156" t="s">
        <v>132</v>
      </c>
      <c r="AI1706" s="1113" t="s">
        <v>9820</v>
      </c>
      <c r="AJ1706" s="153">
        <v>0.03</v>
      </c>
      <c r="AK1706" s="156" t="s">
        <v>165</v>
      </c>
      <c r="AL1706" s="156" t="s">
        <v>179</v>
      </c>
      <c r="AM1706" s="1296" t="s">
        <v>130</v>
      </c>
      <c r="AN1706" s="327" t="s">
        <v>131</v>
      </c>
      <c r="AO1706" s="153">
        <v>7890.0</v>
      </c>
      <c r="AP1706" s="153">
        <v>0.03</v>
      </c>
      <c r="AQ1706" s="156" t="s">
        <v>166</v>
      </c>
      <c r="AR1706" s="1112" t="s">
        <v>9814</v>
      </c>
      <c r="AS1706" s="153">
        <v>0.16</v>
      </c>
      <c r="AT1706" s="156" t="s">
        <v>165</v>
      </c>
      <c r="AU1706" s="156" t="s">
        <v>179</v>
      </c>
      <c r="AV1706" s="1296" t="s">
        <v>130</v>
      </c>
      <c r="AW1706" s="1116" t="s">
        <v>9554</v>
      </c>
      <c r="AX1706" s="1296" t="s">
        <v>431</v>
      </c>
      <c r="AY1706" s="65"/>
      <c r="AZ1706" s="126" t="s">
        <v>6951</v>
      </c>
    </row>
    <row r="1707">
      <c r="A1707" s="41">
        <v>1707.0</v>
      </c>
      <c r="B1707" s="65" t="s">
        <v>583</v>
      </c>
      <c r="C1707" s="59" t="s">
        <v>108</v>
      </c>
      <c r="D1707" s="59" t="s">
        <v>225</v>
      </c>
      <c r="F1707" s="65" t="s">
        <v>9821</v>
      </c>
      <c r="G1707" s="156" t="s">
        <v>9822</v>
      </c>
      <c r="H1707" s="156" t="s">
        <v>6906</v>
      </c>
      <c r="I1707" s="149">
        <v>45687.0</v>
      </c>
      <c r="J1707" s="149">
        <v>45693.0</v>
      </c>
      <c r="K1707" s="156" t="s">
        <v>9823</v>
      </c>
      <c r="L1707" s="156" t="s">
        <v>9824</v>
      </c>
      <c r="M1707" s="156" t="s">
        <v>9825</v>
      </c>
      <c r="N1707" s="59">
        <v>9.781032633275E12</v>
      </c>
      <c r="O1707" s="153">
        <v>2.0</v>
      </c>
      <c r="P1707" s="603" t="str">
        <f t="shared" si="118"/>
        <v>9781032633275.pdf</v>
      </c>
      <c r="Q1707" s="49" t="str">
        <f t="array" ref="Q1707"> if(iserror(MATCH(V1707, 'File Links'!C:C, 0)), "N/A", HYPERLINK(INDEX('File Links'!B:B, MATCH(P1707, 'File Links'!C:C, 0))))</f>
        <v>https://drive.google.com/file/d/1BpLhL82hbuMif1ihzgQr3rblWCHhGl8w/view?usp=drivesdk</v>
      </c>
      <c r="R1707" s="156" t="s">
        <v>9545</v>
      </c>
      <c r="S1707" s="156" t="s">
        <v>9546</v>
      </c>
      <c r="T1707" s="65"/>
      <c r="U1707" s="153">
        <v>22.0</v>
      </c>
      <c r="V1707" s="195" t="str">
        <f t="shared" si="114"/>
        <v>10.1177--2515245918810225.pdf</v>
      </c>
      <c r="W1707" s="65" t="s">
        <v>202</v>
      </c>
      <c r="X1707" s="51" t="str">
        <f t="array" ref="X1707"> if(iserror(MATCH(V1707, 'File Links'!C:C, 0)), "N/A", HYPERLINK(INDEX('File Links'!B:B, MATCH(V1707, 'File Links'!C:C, 0))))</f>
        <v>https://drive.google.com/file/d/1rGqHLpg3OEGQnWLvlAEJr7JSMWJ2p-Ar/view?usp=drivesdk</v>
      </c>
      <c r="Y1707" s="65"/>
      <c r="Z1707" s="156" t="s">
        <v>940</v>
      </c>
      <c r="AA1707" s="65"/>
      <c r="AB1707" s="156" t="s">
        <v>9599</v>
      </c>
      <c r="AC1707" s="156" t="s">
        <v>9826</v>
      </c>
      <c r="AD1707" s="156" t="s">
        <v>9827</v>
      </c>
      <c r="AE1707" s="156" t="s">
        <v>6566</v>
      </c>
      <c r="AF1707" s="153">
        <v>154.0</v>
      </c>
      <c r="AG1707" s="156" t="s">
        <v>9828</v>
      </c>
      <c r="AH1707" s="156" t="s">
        <v>127</v>
      </c>
      <c r="AI1707" s="156" t="s">
        <v>6566</v>
      </c>
      <c r="AJ1707" s="153">
        <v>0.01</v>
      </c>
      <c r="AK1707" s="156" t="s">
        <v>128</v>
      </c>
      <c r="AL1707" s="156" t="s">
        <v>179</v>
      </c>
      <c r="AM1707" s="65" t="s">
        <v>130</v>
      </c>
      <c r="AN1707" s="327" t="s">
        <v>131</v>
      </c>
      <c r="AO1707" s="153">
        <v>3549.0</v>
      </c>
      <c r="AP1707" s="153">
        <v>0.01</v>
      </c>
      <c r="AQ1707" s="156" t="s">
        <v>166</v>
      </c>
      <c r="AR1707" s="156" t="s">
        <v>9829</v>
      </c>
      <c r="AS1707" s="153">
        <v>0.55</v>
      </c>
      <c r="AT1707" s="156" t="s">
        <v>165</v>
      </c>
      <c r="AU1707" s="156" t="s">
        <v>179</v>
      </c>
      <c r="AV1707" s="65" t="s">
        <v>130</v>
      </c>
      <c r="AW1707" s="432" t="s">
        <v>9554</v>
      </c>
      <c r="AX1707" s="65" t="s">
        <v>136</v>
      </c>
      <c r="AY1707" s="65"/>
      <c r="AZ1707" s="65" t="s">
        <v>5061</v>
      </c>
    </row>
    <row r="1708">
      <c r="A1708" s="41">
        <v>1708.0</v>
      </c>
      <c r="B1708" s="65" t="s">
        <v>583</v>
      </c>
      <c r="C1708" s="59" t="s">
        <v>108</v>
      </c>
      <c r="D1708" s="59" t="s">
        <v>225</v>
      </c>
      <c r="F1708" s="65" t="s">
        <v>9821</v>
      </c>
      <c r="G1708" s="156" t="s">
        <v>9830</v>
      </c>
      <c r="H1708" s="156" t="s">
        <v>6906</v>
      </c>
      <c r="I1708" s="149">
        <v>45687.0</v>
      </c>
      <c r="J1708" s="149">
        <v>45693.0</v>
      </c>
      <c r="K1708" s="65"/>
      <c r="L1708" s="65"/>
      <c r="M1708" s="156" t="s">
        <v>9825</v>
      </c>
      <c r="N1708" s="59">
        <v>9.781032633275E12</v>
      </c>
      <c r="O1708" s="153">
        <v>2.0</v>
      </c>
      <c r="P1708" s="603" t="str">
        <f t="shared" si="118"/>
        <v>9781032633275.pdf</v>
      </c>
      <c r="Q1708" s="49" t="str">
        <f t="array" ref="Q1708"> if(iserror(MATCH(V1708, 'File Links'!C:C, 0)), "N/A", HYPERLINK(INDEX('File Links'!B:B, MATCH(P1708, 'File Links'!C:C, 0))))</f>
        <v>https://drive.google.com/file/d/1BpLhL82hbuMif1ihzgQr3rblWCHhGl8w/view?usp=drivesdk</v>
      </c>
      <c r="R1708" s="1112" t="s">
        <v>9545</v>
      </c>
      <c r="S1708" s="1112" t="s">
        <v>9546</v>
      </c>
      <c r="T1708" s="65"/>
      <c r="U1708" s="153">
        <v>22.0</v>
      </c>
      <c r="V1708" s="195" t="str">
        <f t="shared" si="114"/>
        <v>10.1177--2515245918810225.pdf</v>
      </c>
      <c r="W1708" s="65" t="s">
        <v>202</v>
      </c>
      <c r="X1708" s="51" t="str">
        <f t="array" ref="X1708"> if(iserror(MATCH(V1708, 'File Links'!C:C, 0)), "N/A", HYPERLINK(INDEX('File Links'!B:B, MATCH(V1708, 'File Links'!C:C, 0))))</f>
        <v>https://drive.google.com/file/d/1rGqHLpg3OEGQnWLvlAEJr7JSMWJ2p-Ar/view?usp=drivesdk</v>
      </c>
      <c r="Y1708" s="65"/>
      <c r="Z1708" s="156" t="s">
        <v>940</v>
      </c>
      <c r="AA1708" s="65"/>
      <c r="AB1708" s="156" t="s">
        <v>9599</v>
      </c>
      <c r="AC1708" s="156" t="s">
        <v>9826</v>
      </c>
      <c r="AD1708" s="156" t="s">
        <v>9831</v>
      </c>
      <c r="AE1708" s="156" t="s">
        <v>6566</v>
      </c>
      <c r="AF1708" s="153">
        <v>46.0</v>
      </c>
      <c r="AG1708" s="156" t="s">
        <v>9832</v>
      </c>
      <c r="AH1708" s="156" t="s">
        <v>127</v>
      </c>
      <c r="AI1708" s="156" t="s">
        <v>6566</v>
      </c>
      <c r="AJ1708" s="153">
        <v>0.05</v>
      </c>
      <c r="AK1708" s="156" t="s">
        <v>128</v>
      </c>
      <c r="AL1708" s="156" t="s">
        <v>179</v>
      </c>
      <c r="AM1708" s="65" t="s">
        <v>130</v>
      </c>
      <c r="AN1708" s="327" t="s">
        <v>131</v>
      </c>
      <c r="AO1708" s="153">
        <v>3582.0</v>
      </c>
      <c r="AP1708" s="153">
        <v>0.03</v>
      </c>
      <c r="AQ1708" s="156" t="s">
        <v>166</v>
      </c>
      <c r="AR1708" s="156" t="s">
        <v>9829</v>
      </c>
      <c r="AS1708" s="153">
        <v>0.09</v>
      </c>
      <c r="AT1708" s="156" t="s">
        <v>165</v>
      </c>
      <c r="AU1708" s="156" t="s">
        <v>179</v>
      </c>
      <c r="AV1708" s="65" t="s">
        <v>130</v>
      </c>
      <c r="AW1708" s="432" t="s">
        <v>9554</v>
      </c>
      <c r="AX1708" s="65" t="s">
        <v>136</v>
      </c>
      <c r="AY1708" s="65"/>
      <c r="AZ1708" s="65" t="s">
        <v>5061</v>
      </c>
    </row>
    <row r="1709">
      <c r="A1709" s="41">
        <v>1709.0</v>
      </c>
      <c r="B1709" s="65" t="s">
        <v>107</v>
      </c>
      <c r="C1709" s="59" t="s">
        <v>108</v>
      </c>
      <c r="D1709" s="59" t="s">
        <v>138</v>
      </c>
      <c r="F1709" s="65" t="s">
        <v>9821</v>
      </c>
      <c r="G1709" s="156" t="s">
        <v>9822</v>
      </c>
      <c r="H1709" s="675" t="s">
        <v>5559</v>
      </c>
      <c r="I1709" s="149">
        <v>45673.0</v>
      </c>
      <c r="J1709" s="149">
        <v>45693.0</v>
      </c>
      <c r="K1709" s="156" t="s">
        <v>9833</v>
      </c>
      <c r="L1709" s="65"/>
      <c r="M1709" s="65" t="s">
        <v>9825</v>
      </c>
      <c r="N1709" s="59">
        <v>9.781032633275E12</v>
      </c>
      <c r="O1709" s="153">
        <v>2.0</v>
      </c>
      <c r="P1709" s="603" t="str">
        <f t="shared" si="118"/>
        <v>9781032633275.pdf</v>
      </c>
      <c r="Q1709" s="49" t="str">
        <f t="array" ref="Q1709"> if(iserror(MATCH(V1709, 'File Links'!C:C, 0)), "N/A", HYPERLINK(INDEX('File Links'!B:B, MATCH(P1709, 'File Links'!C:C, 0))))</f>
        <v>https://drive.google.com/file/d/1BpLhL82hbuMif1ihzgQr3rblWCHhGl8w/view?usp=drivesdk</v>
      </c>
      <c r="R1709" s="1112" t="s">
        <v>9545</v>
      </c>
      <c r="S1709" s="1112" t="s">
        <v>9546</v>
      </c>
      <c r="T1709" s="65"/>
      <c r="U1709" s="65"/>
      <c r="V1709" s="195" t="str">
        <f t="shared" si="114"/>
        <v>10.1177--2515245918810225.pdf</v>
      </c>
      <c r="W1709" s="1296" t="s">
        <v>202</v>
      </c>
      <c r="X1709" s="51" t="str">
        <f t="array" ref="X1709"> if(iserror(MATCH(V1709, 'File Links'!C:C, 0)), "N/A", HYPERLINK(INDEX('File Links'!B:B, MATCH(V1709, 'File Links'!C:C, 0))))</f>
        <v>https://drive.google.com/file/d/1rGqHLpg3OEGQnWLvlAEJr7JSMWJ2p-Ar/view?usp=drivesdk</v>
      </c>
      <c r="Y1709" s="65"/>
      <c r="Z1709" s="65"/>
      <c r="AA1709" s="65"/>
      <c r="AB1709" s="65"/>
      <c r="AC1709" s="65"/>
      <c r="AD1709" s="65"/>
      <c r="AE1709" s="65"/>
      <c r="AF1709" s="153">
        <v>144.0</v>
      </c>
      <c r="AG1709" s="65"/>
      <c r="AH1709" s="65"/>
      <c r="AI1709" s="65"/>
      <c r="AJ1709" s="65"/>
      <c r="AK1709" s="65"/>
      <c r="AL1709" s="65"/>
      <c r="AM1709" s="65"/>
      <c r="AN1709" s="327" t="s">
        <v>131</v>
      </c>
      <c r="AO1709" s="153">
        <v>3549.0</v>
      </c>
      <c r="AP1709" s="65"/>
      <c r="AQ1709" s="65"/>
      <c r="AR1709" s="65"/>
      <c r="AS1709" s="65"/>
      <c r="AT1709" s="65"/>
      <c r="AU1709" s="65"/>
      <c r="AV1709" s="65"/>
      <c r="AW1709" s="1116" t="s">
        <v>9554</v>
      </c>
      <c r="AX1709" s="65"/>
      <c r="AY1709" s="65"/>
      <c r="AZ1709" s="65" t="s">
        <v>5061</v>
      </c>
    </row>
    <row r="1710">
      <c r="A1710" s="41">
        <v>1710.0</v>
      </c>
      <c r="B1710" s="65" t="s">
        <v>107</v>
      </c>
      <c r="C1710" s="59" t="s">
        <v>108</v>
      </c>
      <c r="D1710" s="59" t="s">
        <v>225</v>
      </c>
      <c r="F1710" s="156" t="s">
        <v>9834</v>
      </c>
      <c r="G1710" s="65" t="s">
        <v>9835</v>
      </c>
      <c r="H1710" s="156" t="s">
        <v>6906</v>
      </c>
      <c r="I1710" s="149">
        <v>45687.0</v>
      </c>
      <c r="J1710" s="149">
        <v>45693.0</v>
      </c>
      <c r="K1710" s="65"/>
      <c r="L1710" s="65"/>
      <c r="M1710" s="156" t="s">
        <v>9836</v>
      </c>
      <c r="N1710" s="156" t="s">
        <v>7732</v>
      </c>
      <c r="O1710" s="153">
        <v>2.0</v>
      </c>
      <c r="P1710" s="603" t="str">
        <f t="shared" si="118"/>
        <v>10.1126--science.1130726.pdf</v>
      </c>
      <c r="Q1710" s="49" t="str">
        <f t="array" ref="Q1710"> if(iserror(MATCH(V1710, 'File Links'!C:C, 0)), "N/A", HYPERLINK(INDEX('File Links'!B:B, MATCH(P1710, 'File Links'!C:C, 0))))</f>
        <v>https://drive.google.com/file/d/1w2KBBoT3U7JrwQsTrJduC-AS9fihTDq0/view?usp=drivesdk</v>
      </c>
      <c r="R1710" s="156" t="s">
        <v>9545</v>
      </c>
      <c r="S1710" s="156" t="s">
        <v>9546</v>
      </c>
      <c r="T1710" s="65"/>
      <c r="U1710" s="153">
        <v>23.0</v>
      </c>
      <c r="V1710" s="195" t="str">
        <f t="shared" si="114"/>
        <v>10.1177--2515245918810225.pdf</v>
      </c>
      <c r="W1710" s="65" t="s">
        <v>202</v>
      </c>
      <c r="X1710" s="51" t="str">
        <f t="array" ref="X1710"> if(iserror(MATCH(V1710, 'File Links'!C:C, 0)), "N/A", HYPERLINK(INDEX('File Links'!B:B, MATCH(V1710, 'File Links'!C:C, 0))))</f>
        <v>https://drive.google.com/file/d/1rGqHLpg3OEGQnWLvlAEJr7JSMWJ2p-Ar/view?usp=drivesdk</v>
      </c>
      <c r="Y1710" s="65"/>
      <c r="Z1710" s="156" t="s">
        <v>940</v>
      </c>
      <c r="AA1710" s="65"/>
      <c r="AB1710" s="156" t="s">
        <v>9599</v>
      </c>
      <c r="AC1710" s="156" t="s">
        <v>9837</v>
      </c>
      <c r="AD1710" s="156" t="s">
        <v>9838</v>
      </c>
      <c r="AE1710" s="156" t="s">
        <v>9839</v>
      </c>
      <c r="AF1710" s="153">
        <v>27.0</v>
      </c>
      <c r="AG1710" s="156" t="s">
        <v>7801</v>
      </c>
      <c r="AH1710" s="156" t="s">
        <v>127</v>
      </c>
      <c r="AI1710" s="156" t="s">
        <v>9840</v>
      </c>
      <c r="AJ1710" s="153">
        <v>0.01</v>
      </c>
      <c r="AK1710" s="156" t="s">
        <v>165</v>
      </c>
      <c r="AL1710" s="156" t="s">
        <v>179</v>
      </c>
      <c r="AM1710" s="65" t="s">
        <v>130</v>
      </c>
      <c r="AN1710" s="327" t="s">
        <v>131</v>
      </c>
      <c r="AO1710" s="153">
        <v>7001.0</v>
      </c>
      <c r="AP1710" s="153">
        <v>0.0</v>
      </c>
      <c r="AQ1710" s="156" t="s">
        <v>166</v>
      </c>
      <c r="AR1710" s="156" t="s">
        <v>9675</v>
      </c>
      <c r="AS1710" s="153">
        <v>0.91</v>
      </c>
      <c r="AT1710" s="156" t="s">
        <v>165</v>
      </c>
      <c r="AU1710" s="156" t="s">
        <v>179</v>
      </c>
      <c r="AV1710" s="65" t="s">
        <v>130</v>
      </c>
      <c r="AW1710" s="432" t="s">
        <v>9554</v>
      </c>
      <c r="AX1710" s="65" t="s">
        <v>136</v>
      </c>
      <c r="AY1710" s="65"/>
      <c r="AZ1710" s="65" t="s">
        <v>5061</v>
      </c>
    </row>
    <row r="1711">
      <c r="A1711" s="41">
        <v>1711.0</v>
      </c>
      <c r="B1711" s="126" t="s">
        <v>145</v>
      </c>
      <c r="C1711" s="59" t="s">
        <v>108</v>
      </c>
      <c r="D1711" s="59" t="s">
        <v>138</v>
      </c>
      <c r="F1711" s="156" t="s">
        <v>9834</v>
      </c>
      <c r="G1711" s="65" t="s">
        <v>9835</v>
      </c>
      <c r="H1711" s="675" t="s">
        <v>5559</v>
      </c>
      <c r="I1711" s="149">
        <v>45672.0</v>
      </c>
      <c r="J1711" s="149">
        <v>45693.0</v>
      </c>
      <c r="K1711" s="65"/>
      <c r="L1711" s="65"/>
      <c r="M1711" s="65" t="s">
        <v>9836</v>
      </c>
      <c r="N1711" s="65" t="s">
        <v>7732</v>
      </c>
      <c r="O1711" s="153">
        <v>2.0</v>
      </c>
      <c r="P1711" s="603" t="str">
        <f t="shared" si="118"/>
        <v>10.1126--science.1130726.pdf</v>
      </c>
      <c r="Q1711" s="49" t="str">
        <f t="array" ref="Q1711"> if(iserror(MATCH(V1711, 'File Links'!C:C, 0)), "N/A", HYPERLINK(INDEX('File Links'!B:B, MATCH(P1711, 'File Links'!C:C, 0))))</f>
        <v>https://drive.google.com/file/d/1w2KBBoT3U7JrwQsTrJduC-AS9fihTDq0/view?usp=drivesdk</v>
      </c>
      <c r="R1711" s="1112" t="s">
        <v>9545</v>
      </c>
      <c r="S1711" s="1112" t="s">
        <v>9546</v>
      </c>
      <c r="T1711" s="65"/>
      <c r="U1711" s="1090">
        <v>23.0</v>
      </c>
      <c r="V1711" s="195" t="str">
        <f t="shared" si="114"/>
        <v>10.1177--2515245918810225.pdf</v>
      </c>
      <c r="W1711" s="1296" t="s">
        <v>202</v>
      </c>
      <c r="X1711" s="51" t="str">
        <f t="array" ref="X1711"> if(iserror(MATCH(V1711, 'File Links'!C:C, 0)), "N/A", HYPERLINK(INDEX('File Links'!B:B, MATCH(V1711, 'File Links'!C:C, 0))))</f>
        <v>https://drive.google.com/file/d/1rGqHLpg3OEGQnWLvlAEJr7JSMWJ2p-Ar/view?usp=drivesdk</v>
      </c>
      <c r="Y1711" s="65"/>
      <c r="Z1711" s="156" t="s">
        <v>219</v>
      </c>
      <c r="AA1711" s="156" t="s">
        <v>7737</v>
      </c>
      <c r="AB1711" s="156" t="s">
        <v>9841</v>
      </c>
      <c r="AC1711" s="1113" t="s">
        <v>9842</v>
      </c>
      <c r="AD1711" s="1112" t="s">
        <v>9838</v>
      </c>
      <c r="AE1711" s="1112" t="s">
        <v>9839</v>
      </c>
      <c r="AF1711" s="153">
        <v>27.0</v>
      </c>
      <c r="AG1711" s="148" t="s">
        <v>9843</v>
      </c>
      <c r="AH1711" s="156" t="s">
        <v>127</v>
      </c>
      <c r="AI1711" s="1112" t="s">
        <v>9840</v>
      </c>
      <c r="AJ1711" s="153">
        <v>0.01</v>
      </c>
      <c r="AK1711" s="156" t="s">
        <v>165</v>
      </c>
      <c r="AL1711" s="156" t="s">
        <v>179</v>
      </c>
      <c r="AM1711" s="65" t="s">
        <v>130</v>
      </c>
      <c r="AN1711" s="327" t="s">
        <v>131</v>
      </c>
      <c r="AO1711" s="153">
        <v>7001.0</v>
      </c>
      <c r="AP1711" s="153">
        <v>0.0</v>
      </c>
      <c r="AQ1711" s="156" t="s">
        <v>166</v>
      </c>
      <c r="AR1711" s="1112" t="s">
        <v>9675</v>
      </c>
      <c r="AS1711" s="153">
        <v>0.91</v>
      </c>
      <c r="AT1711" s="156" t="s">
        <v>165</v>
      </c>
      <c r="AU1711" s="156" t="s">
        <v>179</v>
      </c>
      <c r="AV1711" s="65" t="s">
        <v>130</v>
      </c>
      <c r="AW1711" s="1116" t="s">
        <v>9554</v>
      </c>
      <c r="AX1711" s="65" t="s">
        <v>136</v>
      </c>
      <c r="AY1711" s="65"/>
      <c r="AZ1711" s="126" t="s">
        <v>6951</v>
      </c>
    </row>
    <row r="1712">
      <c r="A1712" s="41">
        <v>1712.0</v>
      </c>
      <c r="B1712" s="65" t="s">
        <v>107</v>
      </c>
      <c r="C1712" s="59" t="s">
        <v>108</v>
      </c>
      <c r="D1712" s="59" t="s">
        <v>225</v>
      </c>
      <c r="F1712" s="65" t="s">
        <v>9844</v>
      </c>
      <c r="G1712" s="156" t="s">
        <v>9845</v>
      </c>
      <c r="H1712" s="156" t="s">
        <v>6906</v>
      </c>
      <c r="I1712" s="149">
        <v>45687.0</v>
      </c>
      <c r="J1712" s="149">
        <v>45693.0</v>
      </c>
      <c r="K1712" s="65"/>
      <c r="L1712" s="65"/>
      <c r="M1712" s="156" t="s">
        <v>9846</v>
      </c>
      <c r="N1712" s="156" t="s">
        <v>9847</v>
      </c>
      <c r="O1712" s="153">
        <v>2.0</v>
      </c>
      <c r="P1712" s="603" t="str">
        <f t="shared" si="118"/>
        <v>10.1037--a0034462.pdf</v>
      </c>
      <c r="Q1712" s="49" t="str">
        <f t="array" ref="Q1712"> if(iserror(MATCH(V1712, 'File Links'!C:C, 0)), "N/A", HYPERLINK(INDEX('File Links'!B:B, MATCH(P1712, 'File Links'!C:C, 0))))</f>
        <v>https://drive.google.com/file/d/1VIF6kuqnOCJkukqkxuMzonIlfG0vD2p3/view?usp=drivesdk</v>
      </c>
      <c r="R1712" s="156" t="s">
        <v>9545</v>
      </c>
      <c r="S1712" s="156" t="s">
        <v>9546</v>
      </c>
      <c r="T1712" s="65"/>
      <c r="U1712" s="153">
        <v>24.0</v>
      </c>
      <c r="V1712" s="195" t="str">
        <f t="shared" si="114"/>
        <v>10.1177--2515245918810225.pdf</v>
      </c>
      <c r="W1712" s="65" t="s">
        <v>202</v>
      </c>
      <c r="X1712" s="51" t="str">
        <f t="array" ref="X1712"> if(iserror(MATCH(V1712, 'File Links'!C:C, 0)), "N/A", HYPERLINK(INDEX('File Links'!B:B, MATCH(V1712, 'File Links'!C:C, 0))))</f>
        <v>https://drive.google.com/file/d/1rGqHLpg3OEGQnWLvlAEJr7JSMWJ2p-Ar/view?usp=drivesdk</v>
      </c>
      <c r="Y1712" s="65"/>
      <c r="Z1712" s="156" t="s">
        <v>940</v>
      </c>
      <c r="AA1712" s="65"/>
      <c r="AB1712" s="156" t="s">
        <v>9599</v>
      </c>
      <c r="AC1712" s="156" t="s">
        <v>9848</v>
      </c>
      <c r="AD1712" s="156" t="s">
        <v>9849</v>
      </c>
      <c r="AE1712" s="156" t="s">
        <v>9850</v>
      </c>
      <c r="AF1712" s="153">
        <v>67.0</v>
      </c>
      <c r="AG1712" s="153">
        <v>0.5</v>
      </c>
      <c r="AH1712" s="156" t="s">
        <v>166</v>
      </c>
      <c r="AI1712" s="156" t="s">
        <v>9850</v>
      </c>
      <c r="AJ1712" s="153">
        <v>0.05</v>
      </c>
      <c r="AK1712" s="156" t="s">
        <v>165</v>
      </c>
      <c r="AL1712" s="156" t="s">
        <v>179</v>
      </c>
      <c r="AM1712" s="65" t="s">
        <v>130</v>
      </c>
      <c r="AN1712" s="327" t="s">
        <v>131</v>
      </c>
      <c r="AO1712" s="153">
        <v>6506.0</v>
      </c>
      <c r="AP1712" s="153">
        <v>-0.02</v>
      </c>
      <c r="AQ1712" s="156" t="s">
        <v>166</v>
      </c>
      <c r="AR1712" s="156" t="s">
        <v>9699</v>
      </c>
      <c r="AS1712" s="153">
        <v>0.35</v>
      </c>
      <c r="AT1712" s="156" t="s">
        <v>165</v>
      </c>
      <c r="AU1712" s="156" t="s">
        <v>179</v>
      </c>
      <c r="AV1712" s="65" t="s">
        <v>130</v>
      </c>
      <c r="AW1712" s="432" t="s">
        <v>9554</v>
      </c>
      <c r="AX1712" s="65" t="s">
        <v>136</v>
      </c>
      <c r="AY1712" s="65"/>
      <c r="AZ1712" s="65" t="s">
        <v>5061</v>
      </c>
    </row>
    <row r="1713">
      <c r="A1713" s="41">
        <v>1713.0</v>
      </c>
      <c r="B1713" s="126" t="s">
        <v>145</v>
      </c>
      <c r="C1713" s="59" t="s">
        <v>108</v>
      </c>
      <c r="D1713" s="59" t="s">
        <v>138</v>
      </c>
      <c r="F1713" s="65" t="s">
        <v>9844</v>
      </c>
      <c r="G1713" s="156" t="s">
        <v>9845</v>
      </c>
      <c r="H1713" s="675" t="s">
        <v>5559</v>
      </c>
      <c r="I1713" s="149">
        <v>45672.0</v>
      </c>
      <c r="J1713" s="149">
        <v>45693.0</v>
      </c>
      <c r="K1713" s="65"/>
      <c r="L1713" s="65"/>
      <c r="M1713" s="65" t="s">
        <v>9846</v>
      </c>
      <c r="N1713" s="65" t="s">
        <v>9847</v>
      </c>
      <c r="O1713" s="153">
        <v>2.0</v>
      </c>
      <c r="P1713" s="603" t="str">
        <f t="shared" si="118"/>
        <v>10.1037--a0034462.pdf</v>
      </c>
      <c r="Q1713" s="49" t="str">
        <f t="array" ref="Q1713"> if(iserror(MATCH(V1713, 'File Links'!C:C, 0)), "N/A", HYPERLINK(INDEX('File Links'!B:B, MATCH(P1713, 'File Links'!C:C, 0))))</f>
        <v>https://drive.google.com/file/d/1VIF6kuqnOCJkukqkxuMzonIlfG0vD2p3/view?usp=drivesdk</v>
      </c>
      <c r="R1713" s="1112" t="s">
        <v>9545</v>
      </c>
      <c r="S1713" s="1112" t="s">
        <v>9546</v>
      </c>
      <c r="T1713" s="65"/>
      <c r="U1713" s="1090">
        <v>24.0</v>
      </c>
      <c r="V1713" s="195" t="str">
        <f t="shared" si="114"/>
        <v>10.1177--2515245918810225.pdf</v>
      </c>
      <c r="W1713" s="1296" t="s">
        <v>202</v>
      </c>
      <c r="X1713" s="51" t="str">
        <f t="array" ref="X1713"> if(iserror(MATCH(V1713, 'File Links'!C:C, 0)), "N/A", HYPERLINK(INDEX('File Links'!B:B, MATCH(V1713, 'File Links'!C:C, 0))))</f>
        <v>https://drive.google.com/file/d/1rGqHLpg3OEGQnWLvlAEJr7JSMWJ2p-Ar/view?usp=drivesdk</v>
      </c>
      <c r="Y1713" s="65"/>
      <c r="Z1713" s="156" t="s">
        <v>158</v>
      </c>
      <c r="AA1713" s="371" t="s">
        <v>131</v>
      </c>
      <c r="AB1713" s="156" t="s">
        <v>9851</v>
      </c>
      <c r="AC1713" s="156" t="s">
        <v>9848</v>
      </c>
      <c r="AD1713" s="156" t="s">
        <v>9852</v>
      </c>
      <c r="AE1713" s="1113" t="s">
        <v>9853</v>
      </c>
      <c r="AF1713" s="153">
        <v>67.0</v>
      </c>
      <c r="AG1713" s="153">
        <v>0.5</v>
      </c>
      <c r="AH1713" s="156" t="s">
        <v>166</v>
      </c>
      <c r="AI1713" s="1112" t="s">
        <v>9850</v>
      </c>
      <c r="AJ1713" s="153">
        <v>0.05</v>
      </c>
      <c r="AK1713" s="156" t="s">
        <v>165</v>
      </c>
      <c r="AL1713" s="156" t="s">
        <v>179</v>
      </c>
      <c r="AM1713" s="65" t="s">
        <v>130</v>
      </c>
      <c r="AN1713" s="327" t="s">
        <v>131</v>
      </c>
      <c r="AO1713" s="153">
        <v>6506.0</v>
      </c>
      <c r="AP1713" s="153">
        <v>-0.02</v>
      </c>
      <c r="AQ1713" s="156" t="s">
        <v>166</v>
      </c>
      <c r="AR1713" s="1112" t="s">
        <v>9699</v>
      </c>
      <c r="AS1713" s="153">
        <v>0.35</v>
      </c>
      <c r="AT1713" s="156" t="s">
        <v>165</v>
      </c>
      <c r="AU1713" s="156" t="s">
        <v>179</v>
      </c>
      <c r="AV1713" s="65" t="s">
        <v>130</v>
      </c>
      <c r="AW1713" s="1116" t="s">
        <v>9554</v>
      </c>
      <c r="AX1713" s="65" t="s">
        <v>136</v>
      </c>
      <c r="AY1713" s="65"/>
      <c r="AZ1713" s="126" t="s">
        <v>6951</v>
      </c>
    </row>
    <row r="1714">
      <c r="A1714" s="41">
        <v>1714.0</v>
      </c>
      <c r="B1714" s="126" t="s">
        <v>145</v>
      </c>
      <c r="C1714" s="59" t="s">
        <v>108</v>
      </c>
      <c r="D1714" s="59" t="s">
        <v>225</v>
      </c>
      <c r="F1714" s="65" t="s">
        <v>9854</v>
      </c>
      <c r="G1714" s="156" t="s">
        <v>9855</v>
      </c>
      <c r="H1714" s="156" t="s">
        <v>6906</v>
      </c>
      <c r="I1714" s="149">
        <v>45687.0</v>
      </c>
      <c r="J1714" s="149">
        <v>45693.0</v>
      </c>
      <c r="K1714" s="65"/>
      <c r="L1714" s="156" t="s">
        <v>9856</v>
      </c>
      <c r="M1714" s="156" t="s">
        <v>9857</v>
      </c>
      <c r="N1714" s="156" t="s">
        <v>9858</v>
      </c>
      <c r="O1714" s="153">
        <v>3.0</v>
      </c>
      <c r="P1714" s="603" t="str">
        <f t="shared" si="118"/>
        <v>10.1037--0022-3514.73.4.733.pdf</v>
      </c>
      <c r="Q1714" s="49" t="str">
        <f t="array" ref="Q1714"> if(iserror(MATCH(V1714, 'File Links'!C:C, 0)), "N/A", HYPERLINK(INDEX('File Links'!B:B, MATCH(P1714, 'File Links'!C:C, 0))))</f>
        <v>https://drive.google.com/file/d/1FklynAHzflh7rbxQIU4qTxOz3VBhye8B/view?usp=drivesdk</v>
      </c>
      <c r="R1714" s="156" t="s">
        <v>9545</v>
      </c>
      <c r="S1714" s="156" t="s">
        <v>9546</v>
      </c>
      <c r="T1714" s="65"/>
      <c r="U1714" s="153">
        <v>25.0</v>
      </c>
      <c r="V1714" s="195" t="str">
        <f t="shared" si="114"/>
        <v>10.1177--2515245918810225.pdf</v>
      </c>
      <c r="W1714" s="65" t="s">
        <v>202</v>
      </c>
      <c r="X1714" s="51" t="str">
        <f t="array" ref="X1714"> if(iserror(MATCH(V1714, 'File Links'!C:C, 0)), "N/A", HYPERLINK(INDEX('File Links'!B:B, MATCH(V1714, 'File Links'!C:C, 0))))</f>
        <v>https://drive.google.com/file/d/1rGqHLpg3OEGQnWLvlAEJr7JSMWJ2p-Ar/view?usp=drivesdk</v>
      </c>
      <c r="Y1714" s="65"/>
      <c r="Z1714" s="1112" t="s">
        <v>219</v>
      </c>
      <c r="AA1714" s="371" t="s">
        <v>131</v>
      </c>
      <c r="AB1714" s="1112" t="s">
        <v>9859</v>
      </c>
      <c r="AC1714" s="148" t="s">
        <v>9860</v>
      </c>
      <c r="AD1714" s="148" t="s">
        <v>9861</v>
      </c>
      <c r="AE1714" s="156" t="s">
        <v>9862</v>
      </c>
      <c r="AF1714" s="153">
        <v>631.0</v>
      </c>
      <c r="AG1714" s="148" t="s">
        <v>9863</v>
      </c>
      <c r="AH1714" s="156" t="s">
        <v>127</v>
      </c>
      <c r="AI1714" s="156" t="s">
        <v>9864</v>
      </c>
      <c r="AJ1714" s="153">
        <v>0.005</v>
      </c>
      <c r="AK1714" s="156" t="s">
        <v>128</v>
      </c>
      <c r="AL1714" s="156" t="s">
        <v>179</v>
      </c>
      <c r="AM1714" s="65" t="s">
        <v>130</v>
      </c>
      <c r="AN1714" s="327" t="s">
        <v>131</v>
      </c>
      <c r="AO1714" s="153">
        <v>6234.0</v>
      </c>
      <c r="AP1714" s="153">
        <v>-0.02</v>
      </c>
      <c r="AQ1714" s="156" t="s">
        <v>208</v>
      </c>
      <c r="AR1714" s="156" t="s">
        <v>9806</v>
      </c>
      <c r="AS1714" s="153">
        <v>0.18</v>
      </c>
      <c r="AT1714" s="156" t="s">
        <v>165</v>
      </c>
      <c r="AU1714" s="156" t="s">
        <v>179</v>
      </c>
      <c r="AV1714" s="65" t="s">
        <v>130</v>
      </c>
      <c r="AW1714" s="432" t="s">
        <v>9554</v>
      </c>
      <c r="AX1714" s="65" t="s">
        <v>431</v>
      </c>
      <c r="AY1714" s="65"/>
      <c r="AZ1714" s="126" t="s">
        <v>6951</v>
      </c>
    </row>
    <row r="1715">
      <c r="A1715" s="41">
        <v>1715.0</v>
      </c>
      <c r="B1715" s="65" t="s">
        <v>107</v>
      </c>
      <c r="C1715" s="59" t="s">
        <v>108</v>
      </c>
      <c r="D1715" s="59" t="s">
        <v>138</v>
      </c>
      <c r="F1715" s="65" t="s">
        <v>9854</v>
      </c>
      <c r="G1715" s="156" t="s">
        <v>9855</v>
      </c>
      <c r="H1715" s="675" t="s">
        <v>5559</v>
      </c>
      <c r="I1715" s="149">
        <v>45673.0</v>
      </c>
      <c r="J1715" s="149">
        <v>45693.0</v>
      </c>
      <c r="K1715" s="65"/>
      <c r="L1715" s="65"/>
      <c r="M1715" s="65" t="s">
        <v>9857</v>
      </c>
      <c r="N1715" s="65" t="s">
        <v>9858</v>
      </c>
      <c r="O1715" s="153">
        <v>3.0</v>
      </c>
      <c r="P1715" s="603" t="str">
        <f t="shared" si="118"/>
        <v>10.1037--0022-3514.73.4.733.pdf</v>
      </c>
      <c r="Q1715" s="49" t="str">
        <f t="array" ref="Q1715"> if(iserror(MATCH(V1715, 'File Links'!C:C, 0)), "N/A", HYPERLINK(INDEX('File Links'!B:B, MATCH(P1715, 'File Links'!C:C, 0))))</f>
        <v>https://drive.google.com/file/d/1FklynAHzflh7rbxQIU4qTxOz3VBhye8B/view?usp=drivesdk</v>
      </c>
      <c r="R1715" s="1112" t="s">
        <v>9545</v>
      </c>
      <c r="S1715" s="1112" t="s">
        <v>9546</v>
      </c>
      <c r="T1715" s="65"/>
      <c r="U1715" s="65"/>
      <c r="V1715" s="195" t="str">
        <f t="shared" si="114"/>
        <v>10.1177--2515245918810225.pdf</v>
      </c>
      <c r="W1715" s="1296" t="s">
        <v>202</v>
      </c>
      <c r="X1715" s="51" t="str">
        <f t="array" ref="X1715"> if(iserror(MATCH(V1715, 'File Links'!C:C, 0)), "N/A", HYPERLINK(INDEX('File Links'!B:B, MATCH(V1715, 'File Links'!C:C, 0))))</f>
        <v>https://drive.google.com/file/d/1rGqHLpg3OEGQnWLvlAEJr7JSMWJ2p-Ar/view?usp=drivesdk</v>
      </c>
      <c r="Y1715" s="65"/>
      <c r="Z1715" s="156" t="s">
        <v>219</v>
      </c>
      <c r="AA1715" s="65"/>
      <c r="AB1715" s="156" t="s">
        <v>9859</v>
      </c>
      <c r="AC1715" s="156" t="s">
        <v>9865</v>
      </c>
      <c r="AD1715" s="156" t="s">
        <v>9866</v>
      </c>
      <c r="AE1715" s="153">
        <v>7.0</v>
      </c>
      <c r="AF1715" s="153">
        <v>631.0</v>
      </c>
      <c r="AG1715" s="156" t="s">
        <v>9867</v>
      </c>
      <c r="AH1715" s="156" t="s">
        <v>127</v>
      </c>
      <c r="AI1715" s="156" t="s">
        <v>125</v>
      </c>
      <c r="AJ1715" s="153">
        <v>0.01</v>
      </c>
      <c r="AK1715" s="156" t="s">
        <v>128</v>
      </c>
      <c r="AL1715" s="156" t="s">
        <v>179</v>
      </c>
      <c r="AM1715" s="65"/>
      <c r="AN1715" s="327" t="s">
        <v>131</v>
      </c>
      <c r="AO1715" s="153">
        <v>6234.0</v>
      </c>
      <c r="AP1715" s="153">
        <v>-0.02</v>
      </c>
      <c r="AQ1715" s="156" t="s">
        <v>208</v>
      </c>
      <c r="AR1715" s="156" t="s">
        <v>175</v>
      </c>
      <c r="AS1715" s="153">
        <v>0.18</v>
      </c>
      <c r="AT1715" s="156" t="s">
        <v>165</v>
      </c>
      <c r="AU1715" s="156" t="s">
        <v>179</v>
      </c>
      <c r="AV1715" s="65" t="s">
        <v>130</v>
      </c>
      <c r="AW1715" s="1116" t="s">
        <v>9554</v>
      </c>
      <c r="AX1715" s="65" t="s">
        <v>136</v>
      </c>
      <c r="AY1715" s="65"/>
      <c r="AZ1715" s="65" t="s">
        <v>5061</v>
      </c>
    </row>
    <row r="1716">
      <c r="A1716" s="41">
        <v>1716.0</v>
      </c>
      <c r="B1716" s="126" t="s">
        <v>145</v>
      </c>
      <c r="C1716" s="59" t="s">
        <v>108</v>
      </c>
      <c r="D1716" s="59" t="s">
        <v>225</v>
      </c>
      <c r="F1716" s="65" t="s">
        <v>9868</v>
      </c>
      <c r="G1716" s="156" t="s">
        <v>9869</v>
      </c>
      <c r="H1716" s="156" t="s">
        <v>6906</v>
      </c>
      <c r="I1716" s="149">
        <v>45687.0</v>
      </c>
      <c r="J1716" s="149">
        <v>45693.0</v>
      </c>
      <c r="K1716" s="65"/>
      <c r="L1716" s="148" t="s">
        <v>9870</v>
      </c>
      <c r="M1716" s="156" t="s">
        <v>9871</v>
      </c>
      <c r="N1716" s="156" t="s">
        <v>9872</v>
      </c>
      <c r="O1716" s="156" t="s">
        <v>5533</v>
      </c>
      <c r="P1716" s="603" t="str">
        <f t="shared" si="118"/>
        <v>10.1038--nclimate2093.pdf</v>
      </c>
      <c r="Q1716" s="49" t="str">
        <f t="array" ref="Q1716"> if(iserror(MATCH(V1716, 'File Links'!C:C, 0)), "N/A", HYPERLINK(INDEX('File Links'!B:B, MATCH(P1716, 'File Links'!C:C, 0))))</f>
        <v>https://drive.google.com/file/d/17HYZXEqbs5qMTOba8cEHhBhSIrnkFKeu/view?usp=drivesdk</v>
      </c>
      <c r="R1716" s="156" t="s">
        <v>9545</v>
      </c>
      <c r="S1716" s="156" t="s">
        <v>9546</v>
      </c>
      <c r="T1716" s="65"/>
      <c r="U1716" s="153">
        <v>26.0</v>
      </c>
      <c r="V1716" s="195" t="str">
        <f t="shared" si="114"/>
        <v>10.1177--2515245918810225.pdf</v>
      </c>
      <c r="W1716" s="65" t="s">
        <v>202</v>
      </c>
      <c r="X1716" s="51" t="str">
        <f t="array" ref="X1716"> if(iserror(MATCH(V1716, 'File Links'!C:C, 0)), "N/A", HYPERLINK(INDEX('File Links'!B:B, MATCH(V1716, 'File Links'!C:C, 0))))</f>
        <v>https://drive.google.com/file/d/1rGqHLpg3OEGQnWLvlAEJr7JSMWJ2p-Ar/view?usp=drivesdk</v>
      </c>
      <c r="Y1716" s="65"/>
      <c r="Z1716" s="1112" t="s">
        <v>219</v>
      </c>
      <c r="AA1716" s="156" t="s">
        <v>9873</v>
      </c>
      <c r="AB1716" s="1112" t="s">
        <v>9874</v>
      </c>
      <c r="AC1716" s="156" t="s">
        <v>9875</v>
      </c>
      <c r="AD1716" s="156" t="s">
        <v>9876</v>
      </c>
      <c r="AE1716" s="156" t="s">
        <v>9877</v>
      </c>
      <c r="AF1716" s="153">
        <v>300.0</v>
      </c>
      <c r="AG1716" s="126">
        <v>0.31</v>
      </c>
      <c r="AH1716" s="148" t="s">
        <v>166</v>
      </c>
      <c r="AI1716" s="148" t="s">
        <v>9878</v>
      </c>
      <c r="AJ1716" s="158">
        <v>0.03</v>
      </c>
      <c r="AK1716" s="156" t="s">
        <v>165</v>
      </c>
      <c r="AL1716" s="156" t="s">
        <v>179</v>
      </c>
      <c r="AM1716" s="65" t="s">
        <v>130</v>
      </c>
      <c r="AN1716" s="327" t="s">
        <v>131</v>
      </c>
      <c r="AO1716" s="153">
        <v>4204.0</v>
      </c>
      <c r="AP1716" s="153">
        <v>-0.03</v>
      </c>
      <c r="AQ1716" s="156" t="s">
        <v>166</v>
      </c>
      <c r="AR1716" s="156" t="s">
        <v>4338</v>
      </c>
      <c r="AS1716" s="153">
        <v>0.27</v>
      </c>
      <c r="AT1716" s="156" t="s">
        <v>165</v>
      </c>
      <c r="AU1716" s="156" t="s">
        <v>179</v>
      </c>
      <c r="AV1716" s="65" t="s">
        <v>130</v>
      </c>
      <c r="AW1716" s="432" t="s">
        <v>9554</v>
      </c>
      <c r="AX1716" s="65" t="s">
        <v>136</v>
      </c>
      <c r="AY1716" s="65"/>
      <c r="AZ1716" s="126" t="s">
        <v>6951</v>
      </c>
    </row>
    <row r="1717">
      <c r="A1717" s="41">
        <v>1717.0</v>
      </c>
      <c r="B1717" s="65" t="s">
        <v>107</v>
      </c>
      <c r="C1717" s="59" t="s">
        <v>108</v>
      </c>
      <c r="D1717" s="59" t="s">
        <v>138</v>
      </c>
      <c r="F1717" s="65" t="s">
        <v>9868</v>
      </c>
      <c r="G1717" s="156" t="s">
        <v>9869</v>
      </c>
      <c r="H1717" s="675" t="s">
        <v>5559</v>
      </c>
      <c r="I1717" s="149">
        <v>45673.0</v>
      </c>
      <c r="J1717" s="149">
        <v>45693.0</v>
      </c>
      <c r="K1717" s="156" t="s">
        <v>9879</v>
      </c>
      <c r="L1717" s="65"/>
      <c r="M1717" s="65" t="s">
        <v>9871</v>
      </c>
      <c r="N1717" s="65" t="s">
        <v>9872</v>
      </c>
      <c r="O1717" s="156" t="s">
        <v>5533</v>
      </c>
      <c r="P1717" s="603" t="str">
        <f t="shared" si="118"/>
        <v>10.1038--nclimate2093.pdf</v>
      </c>
      <c r="Q1717" s="49" t="str">
        <f t="array" ref="Q1717"> if(iserror(MATCH(V1717, 'File Links'!C:C, 0)), "N/A", HYPERLINK(INDEX('File Links'!B:B, MATCH(P1717, 'File Links'!C:C, 0))))</f>
        <v>https://drive.google.com/file/d/17HYZXEqbs5qMTOba8cEHhBhSIrnkFKeu/view?usp=drivesdk</v>
      </c>
      <c r="R1717" s="1112" t="s">
        <v>9545</v>
      </c>
      <c r="S1717" s="1112" t="s">
        <v>9546</v>
      </c>
      <c r="T1717" s="65"/>
      <c r="U1717" s="65"/>
      <c r="V1717" s="195" t="str">
        <f t="shared" si="114"/>
        <v>10.1177--2515245918810225.pdf</v>
      </c>
      <c r="W1717" s="156" t="s">
        <v>2118</v>
      </c>
      <c r="X1717" s="51" t="str">
        <f t="array" ref="X1717"> if(iserror(MATCH(V1717, 'File Links'!C:C, 0)), "N/A", HYPERLINK(INDEX('File Links'!B:B, MATCH(V1717, 'File Links'!C:C, 0))))</f>
        <v>https://drive.google.com/file/d/1rGqHLpg3OEGQnWLvlAEJr7JSMWJ2p-Ar/view?usp=drivesdk</v>
      </c>
      <c r="Y1717" s="65"/>
      <c r="Z1717" s="156" t="s">
        <v>219</v>
      </c>
      <c r="AA1717" s="156" t="s">
        <v>9873</v>
      </c>
      <c r="AB1717" s="156" t="s">
        <v>9874</v>
      </c>
      <c r="AC1717" s="156" t="s">
        <v>9880</v>
      </c>
      <c r="AD1717" s="156" t="s">
        <v>9881</v>
      </c>
      <c r="AE1717" s="153">
        <v>3.0</v>
      </c>
      <c r="AF1717" s="153">
        <v>300.0</v>
      </c>
      <c r="AG1717" s="156" t="s">
        <v>9882</v>
      </c>
      <c r="AH1717" s="156" t="s">
        <v>127</v>
      </c>
      <c r="AI1717" s="156" t="s">
        <v>210</v>
      </c>
      <c r="AJ1717" s="153">
        <v>0.01</v>
      </c>
      <c r="AK1717" s="156" t="s">
        <v>165</v>
      </c>
      <c r="AL1717" s="156" t="s">
        <v>179</v>
      </c>
      <c r="AM1717" s="65" t="s">
        <v>130</v>
      </c>
      <c r="AN1717" s="327" t="s">
        <v>131</v>
      </c>
      <c r="AO1717" s="153">
        <v>4204.0</v>
      </c>
      <c r="AP1717" s="153">
        <v>-0.03</v>
      </c>
      <c r="AQ1717" s="156" t="s">
        <v>166</v>
      </c>
      <c r="AR1717" s="65"/>
      <c r="AS1717" s="153">
        <v>0.27</v>
      </c>
      <c r="AT1717" s="156" t="s">
        <v>165</v>
      </c>
      <c r="AU1717" s="156" t="s">
        <v>179</v>
      </c>
      <c r="AV1717" s="65" t="s">
        <v>130</v>
      </c>
      <c r="AW1717" s="1116" t="s">
        <v>9554</v>
      </c>
      <c r="AX1717" s="65" t="s">
        <v>136</v>
      </c>
      <c r="AY1717" s="65"/>
      <c r="AZ1717" s="65" t="s">
        <v>5061</v>
      </c>
    </row>
    <row r="1718">
      <c r="A1718" s="41">
        <v>1718.0</v>
      </c>
      <c r="B1718" s="126" t="s">
        <v>516</v>
      </c>
      <c r="C1718" s="59" t="s">
        <v>108</v>
      </c>
      <c r="D1718" s="59" t="s">
        <v>138</v>
      </c>
      <c r="F1718" s="65" t="s">
        <v>9868</v>
      </c>
      <c r="G1718" s="156" t="s">
        <v>9883</v>
      </c>
      <c r="H1718" s="675" t="s">
        <v>5559</v>
      </c>
      <c r="I1718" s="149">
        <v>45673.0</v>
      </c>
      <c r="J1718" s="149">
        <v>45693.0</v>
      </c>
      <c r="K1718" s="156" t="s">
        <v>9879</v>
      </c>
      <c r="L1718" s="478" t="s">
        <v>9884</v>
      </c>
      <c r="M1718" s="65" t="s">
        <v>9871</v>
      </c>
      <c r="N1718" s="65" t="s">
        <v>9872</v>
      </c>
      <c r="O1718" s="156" t="s">
        <v>5533</v>
      </c>
      <c r="P1718" s="603" t="str">
        <f t="shared" si="118"/>
        <v>10.1038--nclimate2093.pdf</v>
      </c>
      <c r="Q1718" s="49" t="str">
        <f t="array" ref="Q1718"> if(iserror(MATCH(V1718, 'File Links'!C:C, 0)), "N/A", HYPERLINK(INDEX('File Links'!B:B, MATCH(P1718, 'File Links'!C:C, 0))))</f>
        <v>https://drive.google.com/file/d/17HYZXEqbs5qMTOba8cEHhBhSIrnkFKeu/view?usp=drivesdk</v>
      </c>
      <c r="R1718" s="1112" t="s">
        <v>9545</v>
      </c>
      <c r="S1718" s="1112" t="s">
        <v>9546</v>
      </c>
      <c r="T1718" s="65"/>
      <c r="U1718" s="1090">
        <v>26.0</v>
      </c>
      <c r="V1718" s="195" t="str">
        <f t="shared" si="114"/>
        <v>10.1177--2515245918810225.pdf</v>
      </c>
      <c r="W1718" s="1296" t="s">
        <v>202</v>
      </c>
      <c r="X1718" s="51" t="str">
        <f t="array" ref="X1718"> if(iserror(MATCH(V1718, 'File Links'!C:C, 0)), "N/A", HYPERLINK(INDEX('File Links'!B:B, MATCH(V1718, 'File Links'!C:C, 0))))</f>
        <v>https://drive.google.com/file/d/1rGqHLpg3OEGQnWLvlAEJr7JSMWJ2p-Ar/view?usp=drivesdk</v>
      </c>
      <c r="Y1718" s="65"/>
      <c r="Z1718" s="156" t="s">
        <v>219</v>
      </c>
      <c r="AA1718" s="156" t="s">
        <v>9873</v>
      </c>
      <c r="AB1718" s="156" t="s">
        <v>9874</v>
      </c>
      <c r="AC1718" s="1112" t="s">
        <v>9875</v>
      </c>
      <c r="AD1718" s="156" t="s">
        <v>9885</v>
      </c>
      <c r="AE1718" s="1112" t="s">
        <v>9877</v>
      </c>
      <c r="AF1718" s="153">
        <v>300.0</v>
      </c>
      <c r="AG1718" s="156" t="s">
        <v>9886</v>
      </c>
      <c r="AH1718" s="156" t="s">
        <v>127</v>
      </c>
      <c r="AI1718" s="1112" t="s">
        <v>9877</v>
      </c>
      <c r="AJ1718" s="153">
        <v>0.02</v>
      </c>
      <c r="AK1718" s="156" t="s">
        <v>165</v>
      </c>
      <c r="AL1718" s="156" t="s">
        <v>179</v>
      </c>
      <c r="AM1718" s="65" t="s">
        <v>130</v>
      </c>
      <c r="AN1718" s="327" t="s">
        <v>131</v>
      </c>
      <c r="AO1718" s="493">
        <v>4212.0</v>
      </c>
      <c r="AP1718" s="153">
        <v>0.0</v>
      </c>
      <c r="AQ1718" s="156" t="s">
        <v>166</v>
      </c>
      <c r="AR1718" s="1112" t="s">
        <v>4338</v>
      </c>
      <c r="AS1718" s="153">
        <v>0.62</v>
      </c>
      <c r="AT1718" s="156" t="s">
        <v>165</v>
      </c>
      <c r="AU1718" s="156" t="s">
        <v>179</v>
      </c>
      <c r="AV1718" s="65" t="s">
        <v>130</v>
      </c>
      <c r="AW1718" s="1116" t="s">
        <v>9554</v>
      </c>
      <c r="AX1718" s="65" t="s">
        <v>136</v>
      </c>
      <c r="AY1718" s="65"/>
      <c r="AZ1718" s="65" t="s">
        <v>5061</v>
      </c>
    </row>
    <row r="1719">
      <c r="A1719" s="41">
        <v>1719.0</v>
      </c>
      <c r="B1719" s="126" t="s">
        <v>145</v>
      </c>
      <c r="C1719" s="59" t="s">
        <v>108</v>
      </c>
      <c r="D1719" s="59" t="s">
        <v>225</v>
      </c>
      <c r="F1719" s="65" t="s">
        <v>9887</v>
      </c>
      <c r="G1719" s="156" t="s">
        <v>9888</v>
      </c>
      <c r="H1719" s="156" t="s">
        <v>6906</v>
      </c>
      <c r="I1719" s="149">
        <v>45687.0</v>
      </c>
      <c r="J1719" s="149">
        <v>45693.0</v>
      </c>
      <c r="K1719" s="126" t="s">
        <v>9889</v>
      </c>
      <c r="L1719" s="156"/>
      <c r="M1719" s="156" t="s">
        <v>9890</v>
      </c>
      <c r="N1719" s="156" t="s">
        <v>9891</v>
      </c>
      <c r="O1719" s="153">
        <v>4.0</v>
      </c>
      <c r="P1719" s="603" t="str">
        <f t="shared" si="118"/>
        <v>10.1037--0096- 3445.136.4.569.pdf</v>
      </c>
      <c r="Q1719" s="49" t="str">
        <f t="array" ref="Q1719"> if(iserror(MATCH(V1719, 'File Links'!C:C, 0)), "N/A", HYPERLINK(INDEX('File Links'!B:B, MATCH(P1719, 'File Links'!C:C, 0))))</f>
        <v>https://drive.google.com/file/d/1HAhZicYSIRv7N-8s64Lp9_8_UnTnmDSR/view?usp=drivesdk</v>
      </c>
      <c r="R1719" s="156" t="s">
        <v>9545</v>
      </c>
      <c r="S1719" s="156" t="s">
        <v>9546</v>
      </c>
      <c r="T1719" s="65"/>
      <c r="U1719" s="153">
        <v>27.0</v>
      </c>
      <c r="V1719" s="195" t="str">
        <f t="shared" si="114"/>
        <v>10.1177--2515245918810225.pdf</v>
      </c>
      <c r="W1719" s="65" t="s">
        <v>202</v>
      </c>
      <c r="X1719" s="51" t="str">
        <f t="array" ref="X1719"> if(iserror(MATCH(V1719, 'File Links'!C:C, 0)), "N/A", HYPERLINK(INDEX('File Links'!B:B, MATCH(V1719, 'File Links'!C:C, 0))))</f>
        <v>https://drive.google.com/file/d/1rGqHLpg3OEGQnWLvlAEJr7JSMWJ2p-Ar/view?usp=drivesdk</v>
      </c>
      <c r="Y1719" s="65"/>
      <c r="Z1719" s="1112" t="s">
        <v>141</v>
      </c>
      <c r="AA1719" s="148" t="s">
        <v>9892</v>
      </c>
      <c r="AB1719" s="1112" t="s">
        <v>9893</v>
      </c>
      <c r="AC1719" s="1112" t="s">
        <v>9894</v>
      </c>
      <c r="AD1719" s="156" t="s">
        <v>9895</v>
      </c>
      <c r="AE1719" s="156" t="s">
        <v>9896</v>
      </c>
      <c r="AF1719" s="153">
        <v>41.0</v>
      </c>
      <c r="AG1719" s="158">
        <v>0.71</v>
      </c>
      <c r="AH1719" s="148" t="s">
        <v>166</v>
      </c>
      <c r="AI1719" s="148" t="s">
        <v>9897</v>
      </c>
      <c r="AJ1719" s="153">
        <v>0.05</v>
      </c>
      <c r="AK1719" s="156" t="s">
        <v>128</v>
      </c>
      <c r="AL1719" s="156" t="s">
        <v>179</v>
      </c>
      <c r="AM1719" s="65" t="s">
        <v>130</v>
      </c>
      <c r="AN1719" s="327" t="s">
        <v>131</v>
      </c>
      <c r="AO1719" s="153">
        <v>2580.0</v>
      </c>
      <c r="AP1719" s="153">
        <v>-0.03</v>
      </c>
      <c r="AQ1719" s="156" t="s">
        <v>166</v>
      </c>
      <c r="AR1719" s="156" t="s">
        <v>9738</v>
      </c>
      <c r="AS1719" s="153">
        <v>0.43</v>
      </c>
      <c r="AT1719" s="156" t="s">
        <v>165</v>
      </c>
      <c r="AU1719" s="156" t="s">
        <v>179</v>
      </c>
      <c r="AV1719" s="65" t="s">
        <v>130</v>
      </c>
      <c r="AW1719" s="432" t="s">
        <v>9554</v>
      </c>
      <c r="AX1719" s="65" t="s">
        <v>136</v>
      </c>
      <c r="AY1719" s="126" t="s">
        <v>9898</v>
      </c>
      <c r="AZ1719" s="126" t="s">
        <v>6951</v>
      </c>
    </row>
    <row r="1720">
      <c r="A1720" s="41">
        <v>1720.0</v>
      </c>
      <c r="B1720" s="126" t="s">
        <v>516</v>
      </c>
      <c r="C1720" s="59" t="s">
        <v>108</v>
      </c>
      <c r="D1720" s="59" t="s">
        <v>138</v>
      </c>
      <c r="F1720" s="65" t="s">
        <v>9887</v>
      </c>
      <c r="G1720" s="156" t="s">
        <v>9888</v>
      </c>
      <c r="H1720" s="675" t="s">
        <v>5559</v>
      </c>
      <c r="I1720" s="149">
        <v>45673.0</v>
      </c>
      <c r="J1720" s="149">
        <v>45693.0</v>
      </c>
      <c r="K1720" s="65"/>
      <c r="L1720" s="156" t="s">
        <v>9899</v>
      </c>
      <c r="M1720" s="65" t="s">
        <v>9890</v>
      </c>
      <c r="N1720" s="65" t="s">
        <v>9891</v>
      </c>
      <c r="O1720" s="153">
        <v>4.0</v>
      </c>
      <c r="P1720" s="603" t="str">
        <f t="shared" si="118"/>
        <v>10.1037--0096- 3445.136.4.569.pdf</v>
      </c>
      <c r="Q1720" s="49" t="str">
        <f t="array" ref="Q1720"> if(iserror(MATCH(V1720, 'File Links'!C:C, 0)), "N/A", HYPERLINK(INDEX('File Links'!B:B, MATCH(P1720, 'File Links'!C:C, 0))))</f>
        <v>https://drive.google.com/file/d/1HAhZicYSIRv7N-8s64Lp9_8_UnTnmDSR/view?usp=drivesdk</v>
      </c>
      <c r="R1720" s="1112" t="s">
        <v>9545</v>
      </c>
      <c r="S1720" s="1112" t="s">
        <v>9546</v>
      </c>
      <c r="T1720" s="65"/>
      <c r="U1720" s="65"/>
      <c r="V1720" s="195" t="str">
        <f t="shared" si="114"/>
        <v>10.1177--2515245918810225.pdf</v>
      </c>
      <c r="W1720" s="156" t="s">
        <v>2118</v>
      </c>
      <c r="X1720" s="51" t="str">
        <f t="array" ref="X1720"> if(iserror(MATCH(V1720, 'File Links'!C:C, 0)), "N/A", HYPERLINK(INDEX('File Links'!B:B, MATCH(V1720, 'File Links'!C:C, 0))))</f>
        <v>https://drive.google.com/file/d/1rGqHLpg3OEGQnWLvlAEJr7JSMWJ2p-Ar/view?usp=drivesdk</v>
      </c>
      <c r="Y1720" s="65"/>
      <c r="Z1720" s="156" t="s">
        <v>141</v>
      </c>
      <c r="AA1720" s="65"/>
      <c r="AB1720" s="156" t="s">
        <v>9893</v>
      </c>
      <c r="AC1720" s="156" t="s">
        <v>9894</v>
      </c>
      <c r="AD1720" s="156" t="s">
        <v>9900</v>
      </c>
      <c r="AE1720" s="1537">
        <v>45844.0</v>
      </c>
      <c r="AF1720" s="153">
        <v>41.0</v>
      </c>
      <c r="AG1720" s="1057" t="s">
        <v>9901</v>
      </c>
      <c r="AH1720" s="1057" t="s">
        <v>127</v>
      </c>
      <c r="AI1720" s="156" t="s">
        <v>125</v>
      </c>
      <c r="AJ1720" s="153">
        <v>0.05</v>
      </c>
      <c r="AK1720" s="156" t="s">
        <v>128</v>
      </c>
      <c r="AL1720" s="156" t="s">
        <v>179</v>
      </c>
      <c r="AM1720" s="65" t="s">
        <v>130</v>
      </c>
      <c r="AN1720" s="327" t="s">
        <v>131</v>
      </c>
      <c r="AO1720" s="1056">
        <v>6935.0</v>
      </c>
      <c r="AP1720" s="1056">
        <v>-0.03</v>
      </c>
      <c r="AQ1720" s="1057" t="s">
        <v>166</v>
      </c>
      <c r="AR1720" s="1057" t="s">
        <v>429</v>
      </c>
      <c r="AS1720" s="1056">
        <v>0.17</v>
      </c>
      <c r="AT1720" s="156" t="s">
        <v>165</v>
      </c>
      <c r="AU1720" s="156" t="s">
        <v>179</v>
      </c>
      <c r="AV1720" s="65" t="s">
        <v>130</v>
      </c>
      <c r="AW1720" s="1116" t="s">
        <v>9554</v>
      </c>
      <c r="AX1720" s="65" t="s">
        <v>136</v>
      </c>
      <c r="AY1720" s="65"/>
      <c r="AZ1720" s="65" t="s">
        <v>5061</v>
      </c>
    </row>
    <row r="1721">
      <c r="A1721" s="41">
        <v>1721.0</v>
      </c>
      <c r="B1721" s="65" t="s">
        <v>107</v>
      </c>
      <c r="C1721" s="59" t="s">
        <v>108</v>
      </c>
      <c r="D1721" s="59" t="s">
        <v>225</v>
      </c>
      <c r="F1721" s="65" t="s">
        <v>9902</v>
      </c>
      <c r="G1721" s="156" t="s">
        <v>9903</v>
      </c>
      <c r="H1721" s="156" t="s">
        <v>6906</v>
      </c>
      <c r="I1721" s="149">
        <v>45687.0</v>
      </c>
      <c r="J1721" s="149">
        <v>45693.0</v>
      </c>
      <c r="K1721" s="65"/>
      <c r="L1721" s="156"/>
      <c r="M1721" s="156" t="s">
        <v>9904</v>
      </c>
      <c r="N1721" s="156" t="s">
        <v>9905</v>
      </c>
      <c r="O1721" s="153">
        <v>3.0</v>
      </c>
      <c r="P1721" s="603" t="str">
        <f t="shared" si="118"/>
        <v>10.1177--0956797611434537.pdf</v>
      </c>
      <c r="Q1721" s="49" t="str">
        <f t="array" ref="Q1721"> if(iserror(MATCH(V1721, 'File Links'!C:C, 0)), "N/A", HYPERLINK(INDEX('File Links'!B:B, MATCH(P1721, 'File Links'!C:C, 0))))</f>
        <v>https://drive.google.com/file/d/15LBKsey4dgrPQTiibNv2Qi9TOTbc3lk1/view?usp=drivesdk</v>
      </c>
      <c r="R1721" s="156" t="s">
        <v>9545</v>
      </c>
      <c r="S1721" s="156" t="s">
        <v>9546</v>
      </c>
      <c r="T1721" s="65"/>
      <c r="U1721" s="153">
        <v>28.0</v>
      </c>
      <c r="V1721" s="195" t="str">
        <f t="shared" si="114"/>
        <v>10.1177--2515245918810225.pdf</v>
      </c>
      <c r="W1721" s="65" t="s">
        <v>202</v>
      </c>
      <c r="X1721" s="51" t="str">
        <f t="array" ref="X1721"> if(iserror(MATCH(V1721, 'File Links'!C:C, 0)), "N/A", HYPERLINK(INDEX('File Links'!B:B, MATCH(V1721, 'File Links'!C:C, 0))))</f>
        <v>https://drive.google.com/file/d/1rGqHLpg3OEGQnWLvlAEJr7JSMWJ2p-Ar/view?usp=drivesdk</v>
      </c>
      <c r="Y1721" s="65"/>
      <c r="Z1721" s="156" t="s">
        <v>940</v>
      </c>
      <c r="AA1721" s="65"/>
      <c r="AB1721" s="156" t="s">
        <v>9599</v>
      </c>
      <c r="AC1721" s="156" t="s">
        <v>9906</v>
      </c>
      <c r="AD1721" s="156" t="s">
        <v>9907</v>
      </c>
      <c r="AE1721" s="156" t="s">
        <v>9908</v>
      </c>
      <c r="AF1721" s="153">
        <v>228.0</v>
      </c>
      <c r="AG1721" s="65" t="s">
        <v>9909</v>
      </c>
      <c r="AH1721" s="156" t="s">
        <v>127</v>
      </c>
      <c r="AI1721" s="156" t="s">
        <v>9908</v>
      </c>
      <c r="AJ1721" s="153">
        <v>0.03</v>
      </c>
      <c r="AK1721" s="156" t="s">
        <v>165</v>
      </c>
      <c r="AL1721" s="156" t="s">
        <v>179</v>
      </c>
      <c r="AM1721" s="65" t="s">
        <v>130</v>
      </c>
      <c r="AN1721" s="327" t="s">
        <v>131</v>
      </c>
      <c r="AO1721" s="153">
        <v>6905.0</v>
      </c>
      <c r="AP1721" s="153">
        <v>-0.04</v>
      </c>
      <c r="AQ1721" s="156" t="s">
        <v>166</v>
      </c>
      <c r="AR1721" s="156" t="s">
        <v>9637</v>
      </c>
      <c r="AS1721" s="153">
        <v>0.08</v>
      </c>
      <c r="AT1721" s="156" t="s">
        <v>165</v>
      </c>
      <c r="AU1721" s="156" t="s">
        <v>179</v>
      </c>
      <c r="AV1721" s="65" t="s">
        <v>130</v>
      </c>
      <c r="AW1721" s="432" t="s">
        <v>9554</v>
      </c>
      <c r="AX1721" s="65" t="s">
        <v>136</v>
      </c>
      <c r="AY1721" s="65"/>
      <c r="AZ1721" s="65" t="s">
        <v>5061</v>
      </c>
    </row>
    <row r="1722">
      <c r="A1722" s="41">
        <v>1722.0</v>
      </c>
      <c r="B1722" s="126" t="s">
        <v>145</v>
      </c>
      <c r="C1722" s="59" t="s">
        <v>108</v>
      </c>
      <c r="D1722" s="59" t="s">
        <v>138</v>
      </c>
      <c r="F1722" s="65" t="s">
        <v>9902</v>
      </c>
      <c r="G1722" s="156" t="s">
        <v>9903</v>
      </c>
      <c r="H1722" s="675" t="s">
        <v>5559</v>
      </c>
      <c r="I1722" s="149">
        <v>45673.0</v>
      </c>
      <c r="J1722" s="149">
        <v>45693.0</v>
      </c>
      <c r="K1722" s="65"/>
      <c r="L1722" s="156"/>
      <c r="M1722" s="65" t="s">
        <v>9904</v>
      </c>
      <c r="N1722" s="65" t="s">
        <v>9905</v>
      </c>
      <c r="O1722" s="153">
        <v>3.0</v>
      </c>
      <c r="P1722" s="603" t="str">
        <f t="shared" si="118"/>
        <v>10.1177--0956797611434537.pdf</v>
      </c>
      <c r="Q1722" s="49" t="str">
        <f t="array" ref="Q1722"> if(iserror(MATCH(V1722, 'File Links'!C:C, 0)), "N/A", HYPERLINK(INDEX('File Links'!B:B, MATCH(P1722, 'File Links'!C:C, 0))))</f>
        <v>https://drive.google.com/file/d/15LBKsey4dgrPQTiibNv2Qi9TOTbc3lk1/view?usp=drivesdk</v>
      </c>
      <c r="R1722" s="1112" t="s">
        <v>9545</v>
      </c>
      <c r="S1722" s="1112" t="s">
        <v>9546</v>
      </c>
      <c r="T1722" s="65"/>
      <c r="U1722" s="1090">
        <v>28.0</v>
      </c>
      <c r="V1722" s="195" t="str">
        <f t="shared" si="114"/>
        <v>10.1177--2515245918810225.pdf</v>
      </c>
      <c r="W1722" s="1296" t="s">
        <v>202</v>
      </c>
      <c r="X1722" s="51" t="str">
        <f t="array" ref="X1722"> if(iserror(MATCH(V1722, 'File Links'!C:C, 0)), "N/A", HYPERLINK(INDEX('File Links'!B:B, MATCH(V1722, 'File Links'!C:C, 0))))</f>
        <v>https://drive.google.com/file/d/1rGqHLpg3OEGQnWLvlAEJr7JSMWJ2p-Ar/view?usp=drivesdk</v>
      </c>
      <c r="Y1722" s="65"/>
      <c r="Z1722" s="156" t="s">
        <v>219</v>
      </c>
      <c r="AA1722" s="156" t="s">
        <v>9910</v>
      </c>
      <c r="AB1722" s="156" t="s">
        <v>9911</v>
      </c>
      <c r="AC1722" s="156" t="s">
        <v>9912</v>
      </c>
      <c r="AD1722" s="156" t="s">
        <v>9913</v>
      </c>
      <c r="AE1722" s="1112" t="s">
        <v>9908</v>
      </c>
      <c r="AF1722" s="153">
        <v>228.0</v>
      </c>
      <c r="AG1722" s="156" t="s">
        <v>9914</v>
      </c>
      <c r="AH1722" s="156" t="s">
        <v>127</v>
      </c>
      <c r="AI1722" s="1112" t="s">
        <v>9908</v>
      </c>
      <c r="AJ1722" s="153">
        <v>0.003</v>
      </c>
      <c r="AK1722" s="156" t="s">
        <v>165</v>
      </c>
      <c r="AL1722" s="156" t="s">
        <v>179</v>
      </c>
      <c r="AM1722" s="65" t="s">
        <v>130</v>
      </c>
      <c r="AN1722" s="327" t="s">
        <v>131</v>
      </c>
      <c r="AO1722" s="153">
        <v>6905.0</v>
      </c>
      <c r="AP1722" s="153">
        <v>-0.04</v>
      </c>
      <c r="AQ1722" s="156" t="s">
        <v>166</v>
      </c>
      <c r="AR1722" s="1112" t="s">
        <v>9637</v>
      </c>
      <c r="AS1722" s="153">
        <v>0.08</v>
      </c>
      <c r="AT1722" s="156" t="s">
        <v>165</v>
      </c>
      <c r="AU1722" s="156" t="s">
        <v>179</v>
      </c>
      <c r="AV1722" s="65" t="s">
        <v>130</v>
      </c>
      <c r="AW1722" s="1116" t="s">
        <v>9554</v>
      </c>
      <c r="AX1722" s="65" t="s">
        <v>136</v>
      </c>
      <c r="AY1722" s="65"/>
      <c r="AZ1722" s="126" t="s">
        <v>6951</v>
      </c>
    </row>
    <row r="1723">
      <c r="A1723" s="41">
        <v>1723.0</v>
      </c>
      <c r="B1723" s="65" t="s">
        <v>107</v>
      </c>
      <c r="C1723" s="59" t="s">
        <v>108</v>
      </c>
      <c r="D1723" s="59" t="s">
        <v>225</v>
      </c>
      <c r="F1723" s="65" t="s">
        <v>9915</v>
      </c>
      <c r="G1723" s="156" t="s">
        <v>9916</v>
      </c>
      <c r="H1723" s="156" t="s">
        <v>6906</v>
      </c>
      <c r="I1723" s="149">
        <v>45687.0</v>
      </c>
      <c r="J1723" s="149">
        <v>45693.0</v>
      </c>
      <c r="K1723" s="156" t="s">
        <v>9917</v>
      </c>
      <c r="L1723" s="156" t="s">
        <v>9918</v>
      </c>
      <c r="M1723" s="156" t="s">
        <v>9919</v>
      </c>
      <c r="N1723" s="156" t="s">
        <v>9920</v>
      </c>
      <c r="O1723" s="153">
        <v>1.0</v>
      </c>
      <c r="P1723" s="603" t="str">
        <f t="shared" si="118"/>
        <v>10.1111--1467- 9280.00334.pdf</v>
      </c>
      <c r="Q1723" s="49" t="str">
        <f t="array" ref="Q1723"> if(iserror(MATCH(V1723, 'File Links'!C:C, 0)), "N/A", HYPERLINK(INDEX('File Links'!B:B, MATCH(P1723, 'File Links'!C:C, 0))))</f>
        <v>https://drive.google.com/file/d/124BmUuJPp02lcLBvH8AsEmEsbphUT5fW/view?usp=drivesdk</v>
      </c>
      <c r="R1723" s="156" t="s">
        <v>9545</v>
      </c>
      <c r="S1723" s="156" t="s">
        <v>9546</v>
      </c>
      <c r="T1723" s="65"/>
      <c r="U1723" s="153">
        <v>29.0</v>
      </c>
      <c r="V1723" s="195" t="str">
        <f t="shared" si="114"/>
        <v>10.1177--2515245918810225.pdf</v>
      </c>
      <c r="W1723" s="65" t="s">
        <v>202</v>
      </c>
      <c r="X1723" s="51" t="str">
        <f t="array" ref="X1723"> if(iserror(MATCH(V1723, 'File Links'!C:C, 0)), "N/A", HYPERLINK(INDEX('File Links'!B:B, MATCH(V1723, 'File Links'!C:C, 0))))</f>
        <v>https://drive.google.com/file/d/1rGqHLpg3OEGQnWLvlAEJr7JSMWJ2p-Ar/view?usp=drivesdk</v>
      </c>
      <c r="Y1723" s="65"/>
      <c r="Z1723" s="156" t="s">
        <v>940</v>
      </c>
      <c r="AA1723" s="65"/>
      <c r="AB1723" s="156" t="s">
        <v>9599</v>
      </c>
      <c r="AC1723" s="156" t="s">
        <v>9921</v>
      </c>
      <c r="AD1723" s="156" t="s">
        <v>9922</v>
      </c>
      <c r="AE1723" s="156" t="s">
        <v>9923</v>
      </c>
      <c r="AF1723" s="153">
        <v>40.0</v>
      </c>
      <c r="AG1723" s="1379">
        <v>1.2564102564102562</v>
      </c>
      <c r="AH1723" s="1057" t="s">
        <v>715</v>
      </c>
      <c r="AI1723" s="1057" t="s">
        <v>9924</v>
      </c>
      <c r="AJ1723" s="153">
        <v>0.05</v>
      </c>
      <c r="AK1723" s="156" t="s">
        <v>128</v>
      </c>
      <c r="AL1723" s="156" t="s">
        <v>179</v>
      </c>
      <c r="AM1723" s="65" t="s">
        <v>130</v>
      </c>
      <c r="AN1723" s="327" t="s">
        <v>131</v>
      </c>
      <c r="AO1723" s="153">
        <v>7218.0</v>
      </c>
      <c r="AP1723" s="153">
        <v>-0.08</v>
      </c>
      <c r="AQ1723" s="156" t="s">
        <v>166</v>
      </c>
      <c r="AR1723" s="156" t="s">
        <v>9781</v>
      </c>
      <c r="AS1723" s="153">
        <v>0.002</v>
      </c>
      <c r="AT1723" s="156" t="s">
        <v>165</v>
      </c>
      <c r="AU1723" s="1057" t="s">
        <v>129</v>
      </c>
      <c r="AV1723" s="65" t="s">
        <v>130</v>
      </c>
      <c r="AW1723" s="432" t="s">
        <v>9554</v>
      </c>
      <c r="AX1723" s="65" t="s">
        <v>136</v>
      </c>
      <c r="AY1723" s="65"/>
      <c r="AZ1723" s="65" t="s">
        <v>5061</v>
      </c>
    </row>
    <row r="1724">
      <c r="A1724" s="41">
        <v>1724.0</v>
      </c>
      <c r="B1724" s="126" t="s">
        <v>145</v>
      </c>
      <c r="C1724" s="59" t="s">
        <v>108</v>
      </c>
      <c r="D1724" s="59" t="s">
        <v>138</v>
      </c>
      <c r="F1724" s="65" t="s">
        <v>9915</v>
      </c>
      <c r="G1724" s="156" t="s">
        <v>9916</v>
      </c>
      <c r="H1724" s="675" t="s">
        <v>5559</v>
      </c>
      <c r="I1724" s="149">
        <v>45673.0</v>
      </c>
      <c r="J1724" s="149">
        <v>45693.0</v>
      </c>
      <c r="K1724" s="156" t="s">
        <v>9917</v>
      </c>
      <c r="L1724" s="126" t="s">
        <v>9925</v>
      </c>
      <c r="M1724" s="65" t="s">
        <v>9919</v>
      </c>
      <c r="N1724" s="65" t="s">
        <v>9920</v>
      </c>
      <c r="O1724" s="153">
        <v>1.0</v>
      </c>
      <c r="P1724" s="603" t="str">
        <f t="shared" si="118"/>
        <v>10.1111--1467- 9280.00334.pdf</v>
      </c>
      <c r="Q1724" s="49" t="str">
        <f t="array" ref="Q1724"> if(iserror(MATCH(V1724, 'File Links'!C:C, 0)), "N/A", HYPERLINK(INDEX('File Links'!B:B, MATCH(P1724, 'File Links'!C:C, 0))))</f>
        <v>https://drive.google.com/file/d/124BmUuJPp02lcLBvH8AsEmEsbphUT5fW/view?usp=drivesdk</v>
      </c>
      <c r="R1724" s="1112" t="s">
        <v>9545</v>
      </c>
      <c r="S1724" s="1112" t="s">
        <v>9546</v>
      </c>
      <c r="T1724" s="65"/>
      <c r="U1724" s="1090">
        <v>29.0</v>
      </c>
      <c r="V1724" s="195" t="str">
        <f t="shared" si="114"/>
        <v>10.1177--2515245918810225.pdf</v>
      </c>
      <c r="W1724" s="1296" t="s">
        <v>202</v>
      </c>
      <c r="X1724" s="51" t="str">
        <f t="array" ref="X1724"> if(iserror(MATCH(V1724, 'File Links'!C:C, 0)), "N/A", HYPERLINK(INDEX('File Links'!B:B, MATCH(V1724, 'File Links'!C:C, 0))))</f>
        <v>https://drive.google.com/file/d/1rGqHLpg3OEGQnWLvlAEJr7JSMWJ2p-Ar/view?usp=drivesdk</v>
      </c>
      <c r="Y1724" s="65"/>
      <c r="Z1724" s="156" t="s">
        <v>219</v>
      </c>
      <c r="AA1724" s="371" t="s">
        <v>131</v>
      </c>
      <c r="AB1724" s="156" t="s">
        <v>9926</v>
      </c>
      <c r="AC1724" s="148" t="s">
        <v>9927</v>
      </c>
      <c r="AD1724" s="156" t="s">
        <v>9928</v>
      </c>
      <c r="AE1724" s="1112" t="s">
        <v>9923</v>
      </c>
      <c r="AF1724" s="153">
        <v>40.0</v>
      </c>
      <c r="AG1724" s="156">
        <f>(0.7/(1-0.7))/(0.35/(1-0.35))</f>
        <v>4.333333333</v>
      </c>
      <c r="AH1724" s="148" t="s">
        <v>715</v>
      </c>
      <c r="AI1724" s="1113" t="s">
        <v>9929</v>
      </c>
      <c r="AJ1724" s="153">
        <v>0.05</v>
      </c>
      <c r="AK1724" s="156" t="s">
        <v>128</v>
      </c>
      <c r="AL1724" s="156" t="s">
        <v>179</v>
      </c>
      <c r="AM1724" s="65" t="s">
        <v>130</v>
      </c>
      <c r="AN1724" s="327" t="s">
        <v>131</v>
      </c>
      <c r="AO1724" s="153">
        <v>7218.0</v>
      </c>
      <c r="AP1724" s="153">
        <v>-0.08</v>
      </c>
      <c r="AQ1724" s="156" t="s">
        <v>166</v>
      </c>
      <c r="AR1724" s="1112" t="s">
        <v>9781</v>
      </c>
      <c r="AS1724" s="153">
        <v>0.002</v>
      </c>
      <c r="AT1724" s="156" t="s">
        <v>165</v>
      </c>
      <c r="AU1724" s="156" t="s">
        <v>179</v>
      </c>
      <c r="AV1724" s="65" t="s">
        <v>130</v>
      </c>
      <c r="AW1724" s="1116" t="s">
        <v>9554</v>
      </c>
      <c r="AX1724" s="65" t="s">
        <v>136</v>
      </c>
      <c r="AY1724" s="65"/>
      <c r="AZ1724" s="126" t="s">
        <v>6951</v>
      </c>
    </row>
    <row r="1725">
      <c r="A1725" s="41">
        <v>1725.0</v>
      </c>
      <c r="B1725" s="126" t="s">
        <v>145</v>
      </c>
      <c r="C1725" s="59" t="s">
        <v>108</v>
      </c>
      <c r="D1725" s="59" t="s">
        <v>225</v>
      </c>
      <c r="F1725" s="65" t="s">
        <v>9930</v>
      </c>
      <c r="G1725" s="156" t="s">
        <v>9931</v>
      </c>
      <c r="H1725" s="156" t="s">
        <v>6906</v>
      </c>
      <c r="I1725" s="149">
        <v>45687.0</v>
      </c>
      <c r="J1725" s="149">
        <v>45693.0</v>
      </c>
      <c r="K1725" s="156" t="s">
        <v>9917</v>
      </c>
      <c r="L1725" s="156" t="s">
        <v>9932</v>
      </c>
      <c r="M1725" s="156" t="s">
        <v>9933</v>
      </c>
      <c r="N1725" s="156" t="s">
        <v>9934</v>
      </c>
      <c r="O1725" s="153">
        <v>1.0</v>
      </c>
      <c r="P1725" s="603" t="str">
        <f t="shared" si="118"/>
        <v>10.3758--bf03197186.pdf</v>
      </c>
      <c r="Q1725" s="49" t="str">
        <f t="array" ref="Q1725"> if(iserror(MATCH(V1725, 'File Links'!C:C, 0)), "N/A", HYPERLINK(INDEX('File Links'!B:B, MATCH(P1725, 'File Links'!C:C, 0))))</f>
        <v>https://drive.google.com/file/d/1mbPAy1TbNwV2XOfDjz6F7ail2VgA51o4/view?usp=drivesdk</v>
      </c>
      <c r="R1725" s="156" t="s">
        <v>9545</v>
      </c>
      <c r="S1725" s="156" t="s">
        <v>9546</v>
      </c>
      <c r="T1725" s="65"/>
      <c r="U1725" s="153">
        <v>30.0</v>
      </c>
      <c r="V1725" s="195" t="str">
        <f t="shared" si="114"/>
        <v>10.1177--2515245918810225.pdf</v>
      </c>
      <c r="W1725" s="65" t="s">
        <v>202</v>
      </c>
      <c r="X1725" s="51" t="str">
        <f t="array" ref="X1725"> if(iserror(MATCH(V1725, 'File Links'!C:C, 0)), "N/A", HYPERLINK(INDEX('File Links'!B:B, MATCH(V1725, 'File Links'!C:C, 0))))</f>
        <v>https://drive.google.com/file/d/1rGqHLpg3OEGQnWLvlAEJr7JSMWJ2p-Ar/view?usp=drivesdk</v>
      </c>
      <c r="Y1725" s="65"/>
      <c r="Z1725" s="1112" t="s">
        <v>203</v>
      </c>
      <c r="AA1725" s="371" t="s">
        <v>131</v>
      </c>
      <c r="AB1725" s="1112" t="s">
        <v>9935</v>
      </c>
      <c r="AC1725" s="156" t="s">
        <v>9936</v>
      </c>
      <c r="AD1725" s="148" t="s">
        <v>9937</v>
      </c>
      <c r="AE1725" s="156" t="s">
        <v>9938</v>
      </c>
      <c r="AF1725" s="153">
        <v>170.0</v>
      </c>
      <c r="AG1725" s="148" t="s">
        <v>9939</v>
      </c>
      <c r="AH1725" s="156" t="s">
        <v>127</v>
      </c>
      <c r="AI1725" s="156" t="s">
        <v>9938</v>
      </c>
      <c r="AJ1725" s="153">
        <v>0.02</v>
      </c>
      <c r="AK1725" s="156" t="s">
        <v>128</v>
      </c>
      <c r="AL1725" s="156" t="s">
        <v>179</v>
      </c>
      <c r="AM1725" s="65" t="s">
        <v>130</v>
      </c>
      <c r="AN1725" s="327" t="s">
        <v>131</v>
      </c>
      <c r="AO1725" s="153">
        <v>7901.0</v>
      </c>
      <c r="AP1725" s="153">
        <v>-0.13</v>
      </c>
      <c r="AQ1725" s="156" t="s">
        <v>166</v>
      </c>
      <c r="AR1725" s="156" t="s">
        <v>9580</v>
      </c>
      <c r="AS1725" s="153">
        <f>1.1*10^-9</f>
        <v>0.0000000011</v>
      </c>
      <c r="AT1725" s="156" t="s">
        <v>165</v>
      </c>
      <c r="AU1725" s="1112" t="s">
        <v>179</v>
      </c>
      <c r="AV1725" s="65" t="s">
        <v>130</v>
      </c>
      <c r="AW1725" s="432" t="s">
        <v>9554</v>
      </c>
      <c r="AX1725" s="65" t="s">
        <v>136</v>
      </c>
      <c r="AY1725" s="126" t="s">
        <v>9940</v>
      </c>
      <c r="AZ1725" s="126" t="s">
        <v>6951</v>
      </c>
    </row>
    <row r="1726">
      <c r="A1726" s="41">
        <v>1726.0</v>
      </c>
      <c r="B1726" s="65" t="s">
        <v>107</v>
      </c>
      <c r="C1726" s="59" t="s">
        <v>108</v>
      </c>
      <c r="D1726" s="59" t="s">
        <v>138</v>
      </c>
      <c r="F1726" s="65" t="s">
        <v>9930</v>
      </c>
      <c r="G1726" s="156" t="s">
        <v>9931</v>
      </c>
      <c r="H1726" s="675" t="s">
        <v>5559</v>
      </c>
      <c r="I1726" s="149">
        <v>45673.0</v>
      </c>
      <c r="J1726" s="149">
        <v>45693.0</v>
      </c>
      <c r="K1726" s="65"/>
      <c r="L1726" s="65"/>
      <c r="M1726" s="65" t="s">
        <v>9933</v>
      </c>
      <c r="N1726" s="65" t="s">
        <v>9934</v>
      </c>
      <c r="O1726" s="153">
        <v>1.0</v>
      </c>
      <c r="P1726" s="603" t="str">
        <f t="shared" si="118"/>
        <v>10.3758--bf03197186.pdf</v>
      </c>
      <c r="Q1726" s="49" t="str">
        <f t="array" ref="Q1726"> if(iserror(MATCH(V1726, 'File Links'!C:C, 0)), "N/A", HYPERLINK(INDEX('File Links'!B:B, MATCH(P1726, 'File Links'!C:C, 0))))</f>
        <v>https://drive.google.com/file/d/1mbPAy1TbNwV2XOfDjz6F7ail2VgA51o4/view?usp=drivesdk</v>
      </c>
      <c r="R1726" s="1112" t="s">
        <v>9545</v>
      </c>
      <c r="S1726" s="1112" t="s">
        <v>9546</v>
      </c>
      <c r="T1726" s="65"/>
      <c r="U1726" s="65"/>
      <c r="V1726" s="195" t="str">
        <f t="shared" si="114"/>
        <v>10.1177--2515245918810225.pdf</v>
      </c>
      <c r="W1726" s="1296" t="s">
        <v>202</v>
      </c>
      <c r="X1726" s="51" t="str">
        <f t="array" ref="X1726"> if(iserror(MATCH(V1726, 'File Links'!C:C, 0)), "N/A", HYPERLINK(INDEX('File Links'!B:B, MATCH(V1726, 'File Links'!C:C, 0))))</f>
        <v>https://drive.google.com/file/d/1rGqHLpg3OEGQnWLvlAEJr7JSMWJ2p-Ar/view?usp=drivesdk</v>
      </c>
      <c r="Y1726" s="65"/>
      <c r="Z1726" s="156" t="s">
        <v>203</v>
      </c>
      <c r="AA1726" s="65"/>
      <c r="AB1726" s="156" t="s">
        <v>9935</v>
      </c>
      <c r="AC1726" s="156" t="s">
        <v>9941</v>
      </c>
      <c r="AD1726" s="156" t="s">
        <v>9942</v>
      </c>
      <c r="AE1726" s="153">
        <v>4.0</v>
      </c>
      <c r="AF1726" s="153">
        <v>170.0</v>
      </c>
      <c r="AG1726" s="156" t="s">
        <v>9943</v>
      </c>
      <c r="AH1726" s="156" t="s">
        <v>127</v>
      </c>
      <c r="AI1726" s="156" t="s">
        <v>843</v>
      </c>
      <c r="AJ1726" s="153">
        <v>0.02</v>
      </c>
      <c r="AK1726" s="156" t="s">
        <v>128</v>
      </c>
      <c r="AL1726" s="156" t="s">
        <v>179</v>
      </c>
      <c r="AM1726" s="65" t="s">
        <v>130</v>
      </c>
      <c r="AN1726" s="327" t="s">
        <v>131</v>
      </c>
      <c r="AO1726" s="153">
        <v>7901.0</v>
      </c>
      <c r="AP1726" s="153">
        <v>-0.13</v>
      </c>
      <c r="AQ1726" s="156" t="s">
        <v>166</v>
      </c>
      <c r="AR1726" s="156" t="s">
        <v>323</v>
      </c>
      <c r="AS1726" s="1058">
        <v>1.1E-9</v>
      </c>
      <c r="AT1726" s="156" t="s">
        <v>165</v>
      </c>
      <c r="AU1726" s="156" t="s">
        <v>179</v>
      </c>
      <c r="AV1726" s="65" t="s">
        <v>130</v>
      </c>
      <c r="AW1726" s="1116" t="s">
        <v>9554</v>
      </c>
      <c r="AX1726" s="65" t="s">
        <v>136</v>
      </c>
      <c r="AY1726" s="65"/>
      <c r="AZ1726" s="65" t="s">
        <v>5061</v>
      </c>
    </row>
    <row r="1727">
      <c r="A1727" s="41">
        <v>1727.0</v>
      </c>
      <c r="B1727" s="65" t="s">
        <v>583</v>
      </c>
      <c r="C1727" s="59" t="s">
        <v>108</v>
      </c>
      <c r="D1727" s="59" t="s">
        <v>225</v>
      </c>
      <c r="F1727" s="65" t="s">
        <v>9944</v>
      </c>
      <c r="G1727" s="156" t="s">
        <v>9945</v>
      </c>
      <c r="H1727" s="156" t="s">
        <v>6906</v>
      </c>
      <c r="I1727" s="149">
        <v>45687.0</v>
      </c>
      <c r="J1727" s="149">
        <v>45693.0</v>
      </c>
      <c r="K1727" s="65"/>
      <c r="L1727" s="478" t="s">
        <v>9946</v>
      </c>
      <c r="M1727" s="156" t="s">
        <v>9947</v>
      </c>
      <c r="N1727" s="156" t="s">
        <v>4442</v>
      </c>
      <c r="O1727" s="153">
        <v>5.0</v>
      </c>
      <c r="P1727" s="603" t="str">
        <f t="shared" si="118"/>
        <v>10.1177--0956797609359908.pdf</v>
      </c>
      <c r="Q1727" s="49" t="str">
        <f t="array" ref="Q1727"> if(iserror(MATCH(V1727, 'File Links'!C:C, 0)), "N/A", HYPERLINK(INDEX('File Links'!B:B, MATCH(P1727, 'File Links'!C:C, 0))))</f>
        <v>https://drive.google.com/file/d/1CX-X4yZPIliMfb05V-exrVifx5i5gyZu/view?usp=drivesdk</v>
      </c>
      <c r="R1727" s="156" t="s">
        <v>9545</v>
      </c>
      <c r="S1727" s="156" t="s">
        <v>9546</v>
      </c>
      <c r="T1727" s="65"/>
      <c r="U1727" s="153">
        <v>31.0</v>
      </c>
      <c r="V1727" s="195" t="str">
        <f t="shared" si="114"/>
        <v>10.1177--2515245918810225.pdf</v>
      </c>
      <c r="W1727" s="65" t="s">
        <v>202</v>
      </c>
      <c r="X1727" s="51" t="str">
        <f t="array" ref="X1727"> if(iserror(MATCH(V1727, 'File Links'!C:C, 0)), "N/A", HYPERLINK(INDEX('File Links'!B:B, MATCH(V1727, 'File Links'!C:C, 0))))</f>
        <v>https://drive.google.com/file/d/1rGqHLpg3OEGQnWLvlAEJr7JSMWJ2p-Ar/view?usp=drivesdk</v>
      </c>
      <c r="Y1727" s="65"/>
      <c r="Z1727" s="1112" t="s">
        <v>219</v>
      </c>
      <c r="AA1727" s="65"/>
      <c r="AB1727" s="1112" t="s">
        <v>9948</v>
      </c>
      <c r="AC1727" s="156" t="s">
        <v>9949</v>
      </c>
      <c r="AD1727" s="65" t="s">
        <v>9950</v>
      </c>
      <c r="AE1727" s="156" t="s">
        <v>9951</v>
      </c>
      <c r="AF1727" s="153">
        <v>90.0</v>
      </c>
      <c r="AG1727" s="65"/>
      <c r="AH1727" s="65"/>
      <c r="AI1727" s="156" t="s">
        <v>9951</v>
      </c>
      <c r="AJ1727" s="156" t="s">
        <v>9951</v>
      </c>
      <c r="AK1727" s="156" t="s">
        <v>128</v>
      </c>
      <c r="AL1727" s="156" t="s">
        <v>179</v>
      </c>
      <c r="AM1727" s="65" t="s">
        <v>134</v>
      </c>
      <c r="AN1727" s="327" t="s">
        <v>131</v>
      </c>
      <c r="AO1727" s="153">
        <v>3506.0</v>
      </c>
      <c r="AP1727" s="153">
        <v>-0.24</v>
      </c>
      <c r="AQ1727" s="156" t="s">
        <v>166</v>
      </c>
      <c r="AR1727" s="156" t="s">
        <v>9952</v>
      </c>
      <c r="AS1727" s="1090">
        <f>2*10^-16</f>
        <v>0</v>
      </c>
      <c r="AT1727" s="156" t="s">
        <v>128</v>
      </c>
      <c r="AU1727" s="156" t="s">
        <v>179</v>
      </c>
      <c r="AV1727" s="65" t="s">
        <v>134</v>
      </c>
      <c r="AW1727" s="432" t="s">
        <v>9554</v>
      </c>
      <c r="AX1727" s="65" t="s">
        <v>136</v>
      </c>
      <c r="AY1727" s="65"/>
      <c r="AZ1727" s="65" t="s">
        <v>5061</v>
      </c>
    </row>
    <row r="1728">
      <c r="A1728" s="41">
        <v>1728.0</v>
      </c>
      <c r="B1728" s="65" t="s">
        <v>107</v>
      </c>
      <c r="C1728" s="59" t="s">
        <v>108</v>
      </c>
      <c r="D1728" s="59" t="s">
        <v>138</v>
      </c>
      <c r="F1728" s="65" t="s">
        <v>9944</v>
      </c>
      <c r="G1728" s="156" t="s">
        <v>9945</v>
      </c>
      <c r="H1728" s="675" t="s">
        <v>5559</v>
      </c>
      <c r="I1728" s="149">
        <v>45669.0</v>
      </c>
      <c r="J1728" s="149">
        <v>45693.0</v>
      </c>
      <c r="K1728" s="156" t="s">
        <v>9953</v>
      </c>
      <c r="L1728" s="65"/>
      <c r="M1728" s="65" t="s">
        <v>9947</v>
      </c>
      <c r="N1728" s="65" t="s">
        <v>4442</v>
      </c>
      <c r="O1728" s="153">
        <v>5.0</v>
      </c>
      <c r="P1728" s="603" t="str">
        <f t="shared" si="118"/>
        <v>10.1177--0956797609359908.pdf</v>
      </c>
      <c r="Q1728" s="49" t="str">
        <f t="array" ref="Q1728"> if(iserror(MATCH(V1728, 'File Links'!C:C, 0)), "N/A", HYPERLINK(INDEX('File Links'!B:B, MATCH(P1728, 'File Links'!C:C, 0))))</f>
        <v>https://drive.google.com/file/d/1CX-X4yZPIliMfb05V-exrVifx5i5gyZu/view?usp=drivesdk</v>
      </c>
      <c r="R1728" s="1112" t="s">
        <v>9545</v>
      </c>
      <c r="S1728" s="1112" t="s">
        <v>9546</v>
      </c>
      <c r="T1728" s="65"/>
      <c r="U1728" s="65"/>
      <c r="V1728" s="195" t="str">
        <f t="shared" si="114"/>
        <v>10.1177--2515245918810225.pdf</v>
      </c>
      <c r="W1728" s="1296" t="s">
        <v>202</v>
      </c>
      <c r="X1728" s="51" t="str">
        <f t="array" ref="X1728"> if(iserror(MATCH(V1728, 'File Links'!C:C, 0)), "N/A", HYPERLINK(INDEX('File Links'!B:B, MATCH(V1728, 'File Links'!C:C, 0))))</f>
        <v>https://drive.google.com/file/d/1rGqHLpg3OEGQnWLvlAEJr7JSMWJ2p-Ar/view?usp=drivesdk</v>
      </c>
      <c r="Y1728" s="65"/>
      <c r="Z1728" s="156" t="s">
        <v>219</v>
      </c>
      <c r="AA1728" s="65"/>
      <c r="AB1728" s="156" t="s">
        <v>9948</v>
      </c>
      <c r="AC1728" s="156" t="s">
        <v>9954</v>
      </c>
      <c r="AD1728" s="156" t="s">
        <v>9955</v>
      </c>
      <c r="AE1728" s="153">
        <v>6.0</v>
      </c>
      <c r="AF1728" s="153">
        <v>218.0</v>
      </c>
      <c r="AG1728" s="156" t="s">
        <v>9956</v>
      </c>
      <c r="AH1728" s="156" t="s">
        <v>127</v>
      </c>
      <c r="AI1728" s="156" t="s">
        <v>133</v>
      </c>
      <c r="AJ1728" s="153">
        <v>0.001</v>
      </c>
      <c r="AK1728" s="156" t="s">
        <v>128</v>
      </c>
      <c r="AL1728" s="156" t="s">
        <v>179</v>
      </c>
      <c r="AM1728" s="65" t="s">
        <v>134</v>
      </c>
      <c r="AN1728" s="327" t="s">
        <v>131</v>
      </c>
      <c r="AO1728" s="1056">
        <v>5882.0</v>
      </c>
      <c r="AP1728" s="153">
        <v>-0.24</v>
      </c>
      <c r="AQ1728" s="156" t="s">
        <v>166</v>
      </c>
      <c r="AR1728" s="156" t="s">
        <v>1250</v>
      </c>
      <c r="AS1728" s="65"/>
      <c r="AT1728" s="65"/>
      <c r="AU1728" s="156" t="s">
        <v>179</v>
      </c>
      <c r="AV1728" s="65" t="s">
        <v>134</v>
      </c>
      <c r="AW1728" s="1116" t="s">
        <v>9554</v>
      </c>
      <c r="AX1728" s="65" t="s">
        <v>136</v>
      </c>
      <c r="AY1728" s="65"/>
      <c r="AZ1728" s="65" t="s">
        <v>5061</v>
      </c>
    </row>
    <row r="1729">
      <c r="A1729" s="41">
        <v>1729.0</v>
      </c>
      <c r="B1729" s="65" t="s">
        <v>583</v>
      </c>
      <c r="C1729" s="59" t="s">
        <v>108</v>
      </c>
      <c r="D1729" s="59" t="s">
        <v>138</v>
      </c>
      <c r="F1729" s="65" t="s">
        <v>9944</v>
      </c>
      <c r="G1729" s="156" t="s">
        <v>9957</v>
      </c>
      <c r="H1729" s="675" t="s">
        <v>5559</v>
      </c>
      <c r="I1729" s="149">
        <v>45669.0</v>
      </c>
      <c r="J1729" s="149">
        <v>45693.0</v>
      </c>
      <c r="K1729" s="156" t="s">
        <v>9958</v>
      </c>
      <c r="L1729" s="478" t="s">
        <v>9959</v>
      </c>
      <c r="M1729" s="65" t="s">
        <v>9947</v>
      </c>
      <c r="N1729" s="65" t="s">
        <v>4442</v>
      </c>
      <c r="O1729" s="153">
        <v>5.0</v>
      </c>
      <c r="P1729" s="603" t="str">
        <f t="shared" si="118"/>
        <v>10.1177--0956797609359908.pdf</v>
      </c>
      <c r="Q1729" s="49" t="str">
        <f t="array" ref="Q1729"> if(iserror(MATCH(V1729, 'File Links'!C:C, 0)), "N/A", HYPERLINK(INDEX('File Links'!B:B, MATCH(P1729, 'File Links'!C:C, 0))))</f>
        <v>https://drive.google.com/file/d/1CX-X4yZPIliMfb05V-exrVifx5i5gyZu/view?usp=drivesdk</v>
      </c>
      <c r="R1729" s="1112" t="s">
        <v>9545</v>
      </c>
      <c r="S1729" s="1112" t="s">
        <v>9546</v>
      </c>
      <c r="T1729" s="65"/>
      <c r="U1729" s="65"/>
      <c r="V1729" s="195" t="str">
        <f t="shared" si="114"/>
        <v>10.1177--2515245918810225.pdf</v>
      </c>
      <c r="W1729" s="1296" t="s">
        <v>202</v>
      </c>
      <c r="X1729" s="51" t="str">
        <f t="array" ref="X1729"> if(iserror(MATCH(V1729, 'File Links'!C:C, 0)), "N/A", HYPERLINK(INDEX('File Links'!B:B, MATCH(V1729, 'File Links'!C:C, 0))))</f>
        <v>https://drive.google.com/file/d/1rGqHLpg3OEGQnWLvlAEJr7JSMWJ2p-Ar/view?usp=drivesdk</v>
      </c>
      <c r="Y1729" s="65"/>
      <c r="Z1729" s="156" t="s">
        <v>219</v>
      </c>
      <c r="AA1729" s="65"/>
      <c r="AB1729" s="156" t="s">
        <v>9948</v>
      </c>
      <c r="AC1729" s="156" t="s">
        <v>9960</v>
      </c>
      <c r="AD1729" s="156" t="s">
        <v>9961</v>
      </c>
      <c r="AE1729" s="153">
        <v>6.0</v>
      </c>
      <c r="AF1729" s="153">
        <v>218.0</v>
      </c>
      <c r="AG1729" s="156" t="s">
        <v>9962</v>
      </c>
      <c r="AH1729" s="156" t="s">
        <v>127</v>
      </c>
      <c r="AI1729" s="156" t="s">
        <v>133</v>
      </c>
      <c r="AJ1729" s="153">
        <v>0.48</v>
      </c>
      <c r="AK1729" s="156" t="s">
        <v>165</v>
      </c>
      <c r="AL1729" s="156" t="s">
        <v>179</v>
      </c>
      <c r="AM1729" s="65" t="s">
        <v>134</v>
      </c>
      <c r="AN1729" s="327" t="s">
        <v>131</v>
      </c>
      <c r="AO1729" s="1056">
        <v>5882.0</v>
      </c>
      <c r="AP1729" s="153">
        <v>-0.24</v>
      </c>
      <c r="AQ1729" s="156" t="s">
        <v>166</v>
      </c>
      <c r="AR1729" s="156" t="s">
        <v>1250</v>
      </c>
      <c r="AS1729" s="1058">
        <v>2.0E-16</v>
      </c>
      <c r="AT1729" s="156" t="s">
        <v>128</v>
      </c>
      <c r="AU1729" s="156" t="s">
        <v>179</v>
      </c>
      <c r="AV1729" s="65" t="s">
        <v>134</v>
      </c>
      <c r="AW1729" s="1116" t="s">
        <v>9554</v>
      </c>
      <c r="AX1729" s="65" t="s">
        <v>136</v>
      </c>
      <c r="AY1729" s="65"/>
      <c r="AZ1729" s="65" t="s">
        <v>5061</v>
      </c>
    </row>
    <row r="1730">
      <c r="A1730" s="41">
        <v>1730.0</v>
      </c>
      <c r="B1730" s="65" t="s">
        <v>583</v>
      </c>
      <c r="C1730" s="59" t="s">
        <v>108</v>
      </c>
      <c r="D1730" s="59" t="s">
        <v>138</v>
      </c>
      <c r="F1730" s="65" t="s">
        <v>9944</v>
      </c>
      <c r="G1730" s="156" t="s">
        <v>9963</v>
      </c>
      <c r="H1730" s="675" t="s">
        <v>5559</v>
      </c>
      <c r="I1730" s="149">
        <v>45669.0</v>
      </c>
      <c r="J1730" s="149">
        <v>45693.0</v>
      </c>
      <c r="K1730" s="156" t="s">
        <v>9958</v>
      </c>
      <c r="L1730" s="478" t="s">
        <v>9959</v>
      </c>
      <c r="M1730" s="65" t="s">
        <v>9947</v>
      </c>
      <c r="N1730" s="65" t="s">
        <v>4442</v>
      </c>
      <c r="O1730" s="153">
        <v>5.0</v>
      </c>
      <c r="P1730" s="603" t="str">
        <f t="shared" si="118"/>
        <v>10.1177--0956797609359908.pdf</v>
      </c>
      <c r="Q1730" s="49" t="str">
        <f t="array" ref="Q1730"> if(iserror(MATCH(V1730, 'File Links'!C:C, 0)), "N/A", HYPERLINK(INDEX('File Links'!B:B, MATCH(P1730, 'File Links'!C:C, 0))))</f>
        <v>https://drive.google.com/file/d/1CX-X4yZPIliMfb05V-exrVifx5i5gyZu/view?usp=drivesdk</v>
      </c>
      <c r="R1730" s="1112" t="s">
        <v>9545</v>
      </c>
      <c r="S1730" s="1112" t="s">
        <v>9546</v>
      </c>
      <c r="T1730" s="65"/>
      <c r="U1730" s="65"/>
      <c r="V1730" s="195" t="str">
        <f t="shared" si="114"/>
        <v>10.1177--2515245918810225.pdf</v>
      </c>
      <c r="W1730" s="1296" t="s">
        <v>202</v>
      </c>
      <c r="X1730" s="51" t="str">
        <f t="array" ref="X1730"> if(iserror(MATCH(V1730, 'File Links'!C:C, 0)), "N/A", HYPERLINK(INDEX('File Links'!B:B, MATCH(V1730, 'File Links'!C:C, 0))))</f>
        <v>https://drive.google.com/file/d/1rGqHLpg3OEGQnWLvlAEJr7JSMWJ2p-Ar/view?usp=drivesdk</v>
      </c>
      <c r="Y1730" s="65"/>
      <c r="Z1730" s="156" t="s">
        <v>219</v>
      </c>
      <c r="AA1730" s="65"/>
      <c r="AB1730" s="156" t="s">
        <v>9948</v>
      </c>
      <c r="AC1730" s="156" t="s">
        <v>9964</v>
      </c>
      <c r="AD1730" s="156" t="s">
        <v>9965</v>
      </c>
      <c r="AE1730" s="153">
        <v>6.0</v>
      </c>
      <c r="AF1730" s="153">
        <v>218.0</v>
      </c>
      <c r="AG1730" s="156" t="s">
        <v>9966</v>
      </c>
      <c r="AH1730" s="156" t="s">
        <v>127</v>
      </c>
      <c r="AI1730" s="156" t="s">
        <v>133</v>
      </c>
      <c r="AJ1730" s="153">
        <v>0.05</v>
      </c>
      <c r="AK1730" s="156" t="s">
        <v>128</v>
      </c>
      <c r="AL1730" s="156" t="s">
        <v>179</v>
      </c>
      <c r="AM1730" s="65" t="s">
        <v>134</v>
      </c>
      <c r="AN1730" s="327" t="s">
        <v>131</v>
      </c>
      <c r="AO1730" s="1056">
        <v>5882.0</v>
      </c>
      <c r="AP1730" s="153">
        <v>-0.08</v>
      </c>
      <c r="AQ1730" s="156" t="s">
        <v>354</v>
      </c>
      <c r="AR1730" s="156" t="s">
        <v>1250</v>
      </c>
      <c r="AS1730" s="1058">
        <v>2.37E-5</v>
      </c>
      <c r="AT1730" s="156" t="s">
        <v>165</v>
      </c>
      <c r="AU1730" s="156" t="s">
        <v>179</v>
      </c>
      <c r="AV1730" s="65" t="s">
        <v>134</v>
      </c>
      <c r="AW1730" s="1116" t="s">
        <v>9554</v>
      </c>
      <c r="AX1730" s="65" t="s">
        <v>136</v>
      </c>
      <c r="AY1730" s="65"/>
      <c r="AZ1730" s="65" t="s">
        <v>5061</v>
      </c>
    </row>
    <row r="1731">
      <c r="A1731" s="41">
        <v>1731.0</v>
      </c>
      <c r="B1731" s="65" t="s">
        <v>583</v>
      </c>
      <c r="C1731" s="59" t="s">
        <v>108</v>
      </c>
      <c r="D1731" s="59" t="s">
        <v>225</v>
      </c>
      <c r="F1731" s="65" t="s">
        <v>9967</v>
      </c>
      <c r="G1731" s="156" t="s">
        <v>9968</v>
      </c>
      <c r="H1731" s="156" t="s">
        <v>6906</v>
      </c>
      <c r="I1731" s="149">
        <v>45687.0</v>
      </c>
      <c r="J1731" s="149">
        <v>45693.0</v>
      </c>
      <c r="K1731" s="65"/>
      <c r="L1731" s="478" t="s">
        <v>9969</v>
      </c>
      <c r="M1731" s="156" t="s">
        <v>9947</v>
      </c>
      <c r="N1731" s="65" t="s">
        <v>4442</v>
      </c>
      <c r="O1731" s="153">
        <v>5.0</v>
      </c>
      <c r="P1731" s="603" t="str">
        <f t="shared" si="118"/>
        <v>10.1177--0956797609359908.pdf</v>
      </c>
      <c r="Q1731" s="49" t="str">
        <f t="array" ref="Q1731"> if(iserror(MATCH(V1731, 'File Links'!C:C, 0)), "N/A", HYPERLINK(INDEX('File Links'!B:B, MATCH(P1731, 'File Links'!C:C, 0))))</f>
        <v>https://drive.google.com/file/d/1CX-X4yZPIliMfb05V-exrVifx5i5gyZu/view?usp=drivesdk</v>
      </c>
      <c r="R1731" s="156" t="s">
        <v>9545</v>
      </c>
      <c r="S1731" s="156" t="s">
        <v>9546</v>
      </c>
      <c r="T1731" s="65"/>
      <c r="U1731" s="153">
        <v>32.0</v>
      </c>
      <c r="V1731" s="195" t="str">
        <f t="shared" si="114"/>
        <v>10.1177--2515245918810225.pdf</v>
      </c>
      <c r="W1731" s="65" t="s">
        <v>202</v>
      </c>
      <c r="X1731" s="51" t="str">
        <f t="array" ref="X1731"> if(iserror(MATCH(V1731, 'File Links'!C:C, 0)), "N/A", HYPERLINK(INDEX('File Links'!B:B, MATCH(V1731, 'File Links'!C:C, 0))))</f>
        <v>https://drive.google.com/file/d/1rGqHLpg3OEGQnWLvlAEJr7JSMWJ2p-Ar/view?usp=drivesdk</v>
      </c>
      <c r="Y1731" s="65"/>
      <c r="Z1731" s="1112" t="s">
        <v>219</v>
      </c>
      <c r="AA1731" s="65"/>
      <c r="AB1731" s="1112" t="s">
        <v>9948</v>
      </c>
      <c r="AC1731" s="156" t="s">
        <v>9970</v>
      </c>
      <c r="AD1731" s="156" t="s">
        <v>9971</v>
      </c>
      <c r="AE1731" s="65" t="s">
        <v>9951</v>
      </c>
      <c r="AF1731" s="153">
        <v>128.0</v>
      </c>
      <c r="AG1731" s="153">
        <v>0.34</v>
      </c>
      <c r="AH1731" s="156" t="s">
        <v>715</v>
      </c>
      <c r="AI1731" s="156" t="s">
        <v>9951</v>
      </c>
      <c r="AJ1731" s="153">
        <v>0.001</v>
      </c>
      <c r="AK1731" s="156" t="s">
        <v>128</v>
      </c>
      <c r="AL1731" s="156" t="s">
        <v>179</v>
      </c>
      <c r="AM1731" s="65" t="s">
        <v>134</v>
      </c>
      <c r="AN1731" s="327" t="s">
        <v>131</v>
      </c>
      <c r="AO1731" s="153">
        <v>122.0</v>
      </c>
      <c r="AP1731" s="153">
        <v>-0.03</v>
      </c>
      <c r="AQ1731" s="156" t="s">
        <v>166</v>
      </c>
      <c r="AR1731" s="156" t="s">
        <v>9952</v>
      </c>
      <c r="AS1731" s="153">
        <v>0.001</v>
      </c>
      <c r="AT1731" s="156" t="s">
        <v>128</v>
      </c>
      <c r="AU1731" s="156" t="s">
        <v>179</v>
      </c>
      <c r="AV1731" s="65" t="s">
        <v>130</v>
      </c>
      <c r="AW1731" s="432" t="s">
        <v>9554</v>
      </c>
      <c r="AX1731" s="65" t="s">
        <v>136</v>
      </c>
      <c r="AY1731" s="65"/>
      <c r="AZ1731" s="65" t="s">
        <v>5061</v>
      </c>
    </row>
    <row r="1732">
      <c r="A1732" s="41">
        <v>1732.0</v>
      </c>
      <c r="B1732" s="65" t="s">
        <v>107</v>
      </c>
      <c r="C1732" s="59" t="s">
        <v>108</v>
      </c>
      <c r="D1732" s="59" t="s">
        <v>138</v>
      </c>
      <c r="F1732" s="65" t="s">
        <v>9967</v>
      </c>
      <c r="G1732" s="156" t="s">
        <v>9968</v>
      </c>
      <c r="H1732" s="675" t="s">
        <v>5559</v>
      </c>
      <c r="I1732" s="149">
        <v>45669.0</v>
      </c>
      <c r="J1732" s="149">
        <v>45693.0</v>
      </c>
      <c r="K1732" s="156" t="s">
        <v>9972</v>
      </c>
      <c r="L1732" s="156" t="s">
        <v>9973</v>
      </c>
      <c r="M1732" s="65" t="s">
        <v>9947</v>
      </c>
      <c r="N1732" s="65" t="s">
        <v>4442</v>
      </c>
      <c r="O1732" s="153">
        <v>5.0</v>
      </c>
      <c r="P1732" s="603" t="str">
        <f t="shared" si="118"/>
        <v>10.1177--0956797609359908.pdf</v>
      </c>
      <c r="Q1732" s="49" t="str">
        <f t="array" ref="Q1732"> if(iserror(MATCH(V1732, 'File Links'!C:C, 0)), "N/A", HYPERLINK(INDEX('File Links'!B:B, MATCH(P1732, 'File Links'!C:C, 0))))</f>
        <v>https://drive.google.com/file/d/1CX-X4yZPIliMfb05V-exrVifx5i5gyZu/view?usp=drivesdk</v>
      </c>
      <c r="R1732" s="1372" t="s">
        <v>6601</v>
      </c>
      <c r="S1732" s="86" t="s">
        <v>6602</v>
      </c>
      <c r="T1732" s="65"/>
      <c r="U1732" s="65"/>
      <c r="V1732" s="195" t="str">
        <f t="shared" si="114"/>
        <v>10.1126--science.aaf0918.pdf</v>
      </c>
      <c r="W1732" s="1296" t="s">
        <v>202</v>
      </c>
      <c r="X1732" s="51" t="str">
        <f t="array" ref="X1732"> if(iserror(MATCH(V1732, 'File Links'!C:C, 0)), "N/A", HYPERLINK(INDEX('File Links'!B:B, MATCH(V1732, 'File Links'!C:C, 0))))</f>
        <v>https://drive.google.com/file/d/1g2LUlGntoVWUQi433rats2xlfqkwajdf/view?usp=drivesdk</v>
      </c>
      <c r="Y1732" s="65"/>
      <c r="Z1732" s="156" t="s">
        <v>219</v>
      </c>
      <c r="AA1732" s="65"/>
      <c r="AB1732" s="156" t="s">
        <v>9948</v>
      </c>
      <c r="AC1732" s="65"/>
      <c r="AD1732" s="65"/>
      <c r="AE1732" s="65"/>
      <c r="AF1732" s="153">
        <v>218.0</v>
      </c>
      <c r="AG1732" s="65"/>
      <c r="AH1732" s="65"/>
      <c r="AI1732" s="65"/>
      <c r="AJ1732" s="65"/>
      <c r="AK1732" s="65"/>
      <c r="AL1732" s="65"/>
      <c r="AM1732" s="65"/>
      <c r="AN1732" s="327" t="s">
        <v>131</v>
      </c>
      <c r="AO1732" s="153">
        <v>5882.0</v>
      </c>
      <c r="AP1732" s="65"/>
      <c r="AQ1732" s="65"/>
      <c r="AR1732" s="65"/>
      <c r="AS1732" s="65"/>
      <c r="AT1732" s="65"/>
      <c r="AU1732" s="65"/>
      <c r="AV1732" s="65"/>
      <c r="AW1732" s="1116" t="s">
        <v>9554</v>
      </c>
      <c r="AX1732" s="65"/>
      <c r="AY1732" s="65"/>
      <c r="AZ1732" s="65" t="s">
        <v>5061</v>
      </c>
    </row>
    <row r="1733">
      <c r="A1733" s="41">
        <v>1733.0</v>
      </c>
      <c r="B1733" s="65" t="s">
        <v>583</v>
      </c>
      <c r="C1733" s="59" t="s">
        <v>108</v>
      </c>
      <c r="D1733" s="59" t="s">
        <v>225</v>
      </c>
      <c r="F1733" s="65" t="s">
        <v>9974</v>
      </c>
      <c r="G1733" s="65" t="s">
        <v>9975</v>
      </c>
      <c r="H1733" s="156" t="s">
        <v>6906</v>
      </c>
      <c r="I1733" s="149">
        <v>45687.0</v>
      </c>
      <c r="J1733" s="149">
        <v>45693.0</v>
      </c>
      <c r="K1733" s="65"/>
      <c r="L1733" s="478" t="s">
        <v>9976</v>
      </c>
      <c r="M1733" s="156" t="s">
        <v>9977</v>
      </c>
      <c r="N1733" s="156" t="s">
        <v>9978</v>
      </c>
      <c r="O1733" s="153">
        <v>2.0</v>
      </c>
      <c r="P1733" s="603" t="str">
        <f t="shared" si="118"/>
        <v>10.1207-- s15516709cog2605_4.pdf</v>
      </c>
      <c r="Q1733" s="49" t="str">
        <f t="array" ref="Q1733"> if(iserror(MATCH(V1733, 'File Links'!C:C, 0)), "N/A", HYPERLINK(INDEX('File Links'!B:B, MATCH(P1733, 'File Links'!C:C, 0))))</f>
        <v>https://drive.google.com/file/d/1EqB8fMj26KyIHeW4JSKwYFh3F2LTTq5t/view?usp=drivesdk</v>
      </c>
      <c r="R1733" s="156" t="s">
        <v>9545</v>
      </c>
      <c r="S1733" s="156" t="s">
        <v>9546</v>
      </c>
      <c r="T1733" s="65"/>
      <c r="U1733" s="153">
        <v>10.0</v>
      </c>
      <c r="V1733" s="195" t="str">
        <f t="shared" si="114"/>
        <v>10.1177--2515245918810225.pdf</v>
      </c>
      <c r="W1733" s="65" t="s">
        <v>202</v>
      </c>
      <c r="X1733" s="51" t="str">
        <f t="array" ref="X1733"> if(iserror(MATCH(V1733, 'File Links'!C:C, 0)), "N/A", HYPERLINK(INDEX('File Links'!B:B, MATCH(V1733, 'File Links'!C:C, 0))))</f>
        <v>https://drive.google.com/file/d/1rGqHLpg3OEGQnWLvlAEJr7JSMWJ2p-Ar/view?usp=drivesdk</v>
      </c>
      <c r="Y1733" s="65"/>
      <c r="Z1733" s="1112" t="s">
        <v>141</v>
      </c>
      <c r="AA1733" s="65"/>
      <c r="AB1733" s="1112" t="s">
        <v>9979</v>
      </c>
      <c r="AC1733" s="156" t="s">
        <v>9980</v>
      </c>
      <c r="AD1733" s="156" t="s">
        <v>9981</v>
      </c>
      <c r="AE1733" s="156" t="s">
        <v>9982</v>
      </c>
      <c r="AF1733" s="153">
        <v>52.0</v>
      </c>
      <c r="AG1733" s="156" t="s">
        <v>9983</v>
      </c>
      <c r="AH1733" s="156" t="s">
        <v>127</v>
      </c>
      <c r="AI1733" s="156" t="s">
        <v>9982</v>
      </c>
      <c r="AJ1733" s="153">
        <v>0.005</v>
      </c>
      <c r="AK1733" s="156" t="s">
        <v>128</v>
      </c>
      <c r="AL1733" s="156" t="s">
        <v>179</v>
      </c>
      <c r="AM1733" s="65" t="s">
        <v>130</v>
      </c>
      <c r="AN1733" s="327" t="s">
        <v>131</v>
      </c>
      <c r="AO1733" s="153">
        <v>7396.0</v>
      </c>
      <c r="AP1733" s="153">
        <v>0.86</v>
      </c>
      <c r="AQ1733" s="156" t="s">
        <v>166</v>
      </c>
      <c r="AR1733" s="156" t="s">
        <v>9984</v>
      </c>
      <c r="AS1733" s="1090">
        <f t="shared" ref="AS1733:AS1734" si="120">3.04*10^-275</f>
        <v>0</v>
      </c>
      <c r="AT1733" s="156" t="s">
        <v>165</v>
      </c>
      <c r="AU1733" s="156" t="s">
        <v>179</v>
      </c>
      <c r="AV1733" s="65" t="s">
        <v>130</v>
      </c>
      <c r="AW1733" s="432" t="s">
        <v>9554</v>
      </c>
      <c r="AX1733" s="65" t="s">
        <v>136</v>
      </c>
      <c r="AY1733" s="65"/>
      <c r="AZ1733" s="65" t="s">
        <v>5061</v>
      </c>
    </row>
    <row r="1734">
      <c r="A1734" s="41">
        <v>1734.0</v>
      </c>
      <c r="B1734" s="65" t="s">
        <v>583</v>
      </c>
      <c r="C1734" s="59" t="s">
        <v>108</v>
      </c>
      <c r="D1734" s="59" t="s">
        <v>225</v>
      </c>
      <c r="F1734" s="65" t="s">
        <v>9974</v>
      </c>
      <c r="G1734" s="65" t="s">
        <v>9985</v>
      </c>
      <c r="H1734" s="156" t="s">
        <v>6906</v>
      </c>
      <c r="I1734" s="149">
        <v>45687.0</v>
      </c>
      <c r="J1734" s="149">
        <v>45693.0</v>
      </c>
      <c r="K1734" s="156" t="s">
        <v>9976</v>
      </c>
      <c r="L1734" s="478" t="s">
        <v>9986</v>
      </c>
      <c r="M1734" s="156" t="s">
        <v>9987</v>
      </c>
      <c r="N1734" s="156" t="s">
        <v>9978</v>
      </c>
      <c r="O1734" s="153">
        <v>3.0</v>
      </c>
      <c r="P1734" s="603" t="str">
        <f t="shared" si="118"/>
        <v>10.1207-- s15516709cog2605_4.pdf</v>
      </c>
      <c r="Q1734" s="49" t="str">
        <f t="array" ref="Q1734"> if(iserror(MATCH(V1734, 'File Links'!C:C, 0)), "N/A", HYPERLINK(INDEX('File Links'!B:B, MATCH(P1734, 'File Links'!C:C, 0))))</f>
        <v>https://drive.google.com/file/d/1EqB8fMj26KyIHeW4JSKwYFh3F2LTTq5t/view?usp=drivesdk</v>
      </c>
      <c r="R1734" s="156" t="s">
        <v>9545</v>
      </c>
      <c r="S1734" s="156" t="s">
        <v>9546</v>
      </c>
      <c r="T1734" s="65"/>
      <c r="U1734" s="153">
        <v>11.0</v>
      </c>
      <c r="V1734" s="195" t="str">
        <f t="shared" si="114"/>
        <v>10.1177--2515245918810225.pdf</v>
      </c>
      <c r="W1734" s="65" t="s">
        <v>202</v>
      </c>
      <c r="X1734" s="51" t="str">
        <f t="array" ref="X1734"> if(iserror(MATCH(V1734, 'File Links'!C:C, 0)), "N/A", HYPERLINK(INDEX('File Links'!B:B, MATCH(V1734, 'File Links'!C:C, 0))))</f>
        <v>https://drive.google.com/file/d/1rGqHLpg3OEGQnWLvlAEJr7JSMWJ2p-Ar/view?usp=drivesdk</v>
      </c>
      <c r="Y1734" s="65"/>
      <c r="Z1734" s="1112" t="s">
        <v>141</v>
      </c>
      <c r="AA1734" s="65"/>
      <c r="AB1734" s="1112" t="s">
        <v>9979</v>
      </c>
      <c r="AC1734" s="156" t="s">
        <v>9988</v>
      </c>
      <c r="AD1734" s="156" t="s">
        <v>9989</v>
      </c>
      <c r="AE1734" s="156" t="s">
        <v>9990</v>
      </c>
      <c r="AF1734" s="153">
        <v>53.0</v>
      </c>
      <c r="AG1734" s="156" t="s">
        <v>9991</v>
      </c>
      <c r="AH1734" s="156" t="s">
        <v>127</v>
      </c>
      <c r="AI1734" s="156" t="s">
        <v>9990</v>
      </c>
      <c r="AJ1734" s="153">
        <v>0.05</v>
      </c>
      <c r="AK1734" s="156" t="s">
        <v>165</v>
      </c>
      <c r="AL1734" s="156" t="s">
        <v>179</v>
      </c>
      <c r="AM1734" s="65" t="s">
        <v>130</v>
      </c>
      <c r="AN1734" s="327" t="s">
        <v>131</v>
      </c>
      <c r="AO1734" s="153">
        <v>7396.0</v>
      </c>
      <c r="AP1734" s="153">
        <v>0.86</v>
      </c>
      <c r="AQ1734" s="156" t="s">
        <v>166</v>
      </c>
      <c r="AR1734" s="156" t="s">
        <v>9984</v>
      </c>
      <c r="AS1734" s="1090">
        <f t="shared" si="120"/>
        <v>0</v>
      </c>
      <c r="AT1734" s="156" t="s">
        <v>165</v>
      </c>
      <c r="AU1734" s="156" t="s">
        <v>179</v>
      </c>
      <c r="AV1734" s="65" t="s">
        <v>130</v>
      </c>
      <c r="AW1734" s="432" t="s">
        <v>9554</v>
      </c>
      <c r="AX1734" s="65" t="s">
        <v>136</v>
      </c>
      <c r="AY1734" s="65"/>
      <c r="AZ1734" s="65" t="s">
        <v>5061</v>
      </c>
    </row>
    <row r="1735">
      <c r="A1735" s="41">
        <v>1735.0</v>
      </c>
      <c r="B1735" s="65" t="s">
        <v>583</v>
      </c>
      <c r="C1735" s="59" t="s">
        <v>108</v>
      </c>
      <c r="D1735" s="59" t="s">
        <v>138</v>
      </c>
      <c r="F1735" s="65" t="s">
        <v>9974</v>
      </c>
      <c r="G1735" s="156" t="s">
        <v>9975</v>
      </c>
      <c r="H1735" s="675" t="s">
        <v>5559</v>
      </c>
      <c r="I1735" s="149">
        <v>45673.0</v>
      </c>
      <c r="J1735" s="149">
        <v>45693.0</v>
      </c>
      <c r="K1735" s="156" t="s">
        <v>9992</v>
      </c>
      <c r="L1735" s="65"/>
      <c r="M1735" s="65" t="s">
        <v>9977</v>
      </c>
      <c r="N1735" s="65" t="s">
        <v>9978</v>
      </c>
      <c r="O1735" s="153">
        <v>2.0</v>
      </c>
      <c r="P1735" s="603" t="str">
        <f t="shared" si="118"/>
        <v>10.1207-- s15516709cog2605_4.pdf</v>
      </c>
      <c r="Q1735" s="49" t="str">
        <f t="array" ref="Q1735"> if(iserror(MATCH(V1735, 'File Links'!C:C, 0)), "N/A", HYPERLINK(INDEX('File Links'!B:B, MATCH(P1735, 'File Links'!C:C, 0))))</f>
        <v>https://drive.google.com/file/d/1EqB8fMj26KyIHeW4JSKwYFh3F2LTTq5t/view?usp=drivesdk</v>
      </c>
      <c r="R1735" s="1112" t="s">
        <v>9545</v>
      </c>
      <c r="S1735" s="1112" t="s">
        <v>9546</v>
      </c>
      <c r="T1735" s="65"/>
      <c r="U1735" s="1090">
        <v>10.0</v>
      </c>
      <c r="V1735" s="195" t="str">
        <f t="shared" si="114"/>
        <v>10.1177--2515245918810225.pdf</v>
      </c>
      <c r="W1735" s="1296" t="s">
        <v>202</v>
      </c>
      <c r="X1735" s="51" t="str">
        <f t="array" ref="X1735"> if(iserror(MATCH(V1735, 'File Links'!C:C, 0)), "N/A", HYPERLINK(INDEX('File Links'!B:B, MATCH(V1735, 'File Links'!C:C, 0))))</f>
        <v>https://drive.google.com/file/d/1rGqHLpg3OEGQnWLvlAEJr7JSMWJ2p-Ar/view?usp=drivesdk</v>
      </c>
      <c r="Y1735" s="65"/>
      <c r="Z1735" s="156" t="s">
        <v>141</v>
      </c>
      <c r="AA1735" s="65"/>
      <c r="AB1735" s="156" t="s">
        <v>9979</v>
      </c>
      <c r="AC1735" s="156" t="s">
        <v>9993</v>
      </c>
      <c r="AD1735" s="156" t="s">
        <v>9994</v>
      </c>
      <c r="AE1735" s="153">
        <v>16.0</v>
      </c>
      <c r="AF1735" s="153">
        <v>157.0</v>
      </c>
      <c r="AG1735" s="156" t="s">
        <v>9995</v>
      </c>
      <c r="AH1735" s="156" t="s">
        <v>127</v>
      </c>
      <c r="AI1735" s="156" t="s">
        <v>175</v>
      </c>
      <c r="AJ1735" s="153">
        <v>0.05</v>
      </c>
      <c r="AK1735" s="156" t="s">
        <v>128</v>
      </c>
      <c r="AL1735" s="156" t="s">
        <v>179</v>
      </c>
      <c r="AM1735" s="65" t="s">
        <v>130</v>
      </c>
      <c r="AN1735" s="327" t="s">
        <v>131</v>
      </c>
      <c r="AO1735" s="153">
        <v>7396.0</v>
      </c>
      <c r="AP1735" s="153">
        <v>0.86</v>
      </c>
      <c r="AQ1735" s="156" t="s">
        <v>166</v>
      </c>
      <c r="AR1735" s="156" t="s">
        <v>2406</v>
      </c>
      <c r="AS1735" s="1772">
        <v>3.04E-275</v>
      </c>
      <c r="AT1735" s="156" t="s">
        <v>165</v>
      </c>
      <c r="AU1735" s="156" t="s">
        <v>179</v>
      </c>
      <c r="AV1735" s="65" t="s">
        <v>130</v>
      </c>
      <c r="AW1735" s="1116" t="s">
        <v>9554</v>
      </c>
      <c r="AX1735" s="65" t="s">
        <v>136</v>
      </c>
      <c r="AY1735" s="65"/>
      <c r="AZ1735" s="65" t="s">
        <v>5061</v>
      </c>
    </row>
    <row r="1736">
      <c r="A1736" s="41">
        <v>1736.0</v>
      </c>
      <c r="B1736" s="65" t="s">
        <v>107</v>
      </c>
      <c r="C1736" s="59" t="s">
        <v>108</v>
      </c>
      <c r="D1736" s="59" t="s">
        <v>138</v>
      </c>
      <c r="F1736" s="65" t="s">
        <v>9974</v>
      </c>
      <c r="G1736" s="156" t="s">
        <v>9985</v>
      </c>
      <c r="H1736" s="675" t="s">
        <v>5559</v>
      </c>
      <c r="I1736" s="149">
        <v>45673.0</v>
      </c>
      <c r="J1736" s="149">
        <v>45693.0</v>
      </c>
      <c r="K1736" s="156" t="s">
        <v>9996</v>
      </c>
      <c r="L1736" s="65"/>
      <c r="M1736" s="65" t="s">
        <v>9987</v>
      </c>
      <c r="N1736" s="65" t="s">
        <v>9978</v>
      </c>
      <c r="O1736" s="153">
        <v>3.0</v>
      </c>
      <c r="P1736" s="603" t="str">
        <f t="shared" si="118"/>
        <v>10.1207-- s15516709cog2605_4.pdf</v>
      </c>
      <c r="Q1736" s="49" t="str">
        <f t="array" ref="Q1736"> if(iserror(MATCH(V1736, 'File Links'!C:C, 0)), "N/A", HYPERLINK(INDEX('File Links'!B:B, MATCH(P1736, 'File Links'!C:C, 0))))</f>
        <v>https://drive.google.com/file/d/1EqB8fMj26KyIHeW4JSKwYFh3F2LTTq5t/view?usp=drivesdk</v>
      </c>
      <c r="R1736" s="1112" t="s">
        <v>9545</v>
      </c>
      <c r="S1736" s="1112" t="s">
        <v>9546</v>
      </c>
      <c r="T1736" s="65"/>
      <c r="U1736" s="1090">
        <v>11.0</v>
      </c>
      <c r="V1736" s="195" t="str">
        <f t="shared" si="114"/>
        <v>10.1177--2515245918810225.pdf</v>
      </c>
      <c r="W1736" s="1296" t="s">
        <v>202</v>
      </c>
      <c r="X1736" s="51" t="str">
        <f t="array" ref="X1736"> if(iserror(MATCH(V1736, 'File Links'!C:C, 0)), "N/A", HYPERLINK(INDEX('File Links'!B:B, MATCH(V1736, 'File Links'!C:C, 0))))</f>
        <v>https://drive.google.com/file/d/1rGqHLpg3OEGQnWLvlAEJr7JSMWJ2p-Ar/view?usp=drivesdk</v>
      </c>
      <c r="Y1736" s="65"/>
      <c r="Z1736" s="156" t="s">
        <v>141</v>
      </c>
      <c r="AA1736" s="65"/>
      <c r="AB1736" s="156" t="s">
        <v>9979</v>
      </c>
      <c r="AC1736" s="65"/>
      <c r="AD1736" s="65"/>
      <c r="AE1736" s="65"/>
      <c r="AF1736" s="65"/>
      <c r="AG1736" s="65"/>
      <c r="AH1736" s="65"/>
      <c r="AI1736" s="65"/>
      <c r="AJ1736" s="65"/>
      <c r="AK1736" s="65"/>
      <c r="AL1736" s="65"/>
      <c r="AM1736" s="65"/>
      <c r="AN1736" s="327" t="s">
        <v>131</v>
      </c>
      <c r="AO1736" s="65"/>
      <c r="AP1736" s="65"/>
      <c r="AQ1736" s="65"/>
      <c r="AR1736" s="65"/>
      <c r="AS1736" s="65"/>
      <c r="AT1736" s="65"/>
      <c r="AU1736" s="65"/>
      <c r="AV1736" s="65"/>
      <c r="AW1736" s="1116" t="s">
        <v>9554</v>
      </c>
      <c r="AX1736" s="65"/>
      <c r="AY1736" s="65"/>
      <c r="AZ1736" s="65" t="s">
        <v>5061</v>
      </c>
    </row>
    <row r="1737">
      <c r="A1737" s="41">
        <v>1737.0</v>
      </c>
      <c r="B1737" s="126" t="s">
        <v>145</v>
      </c>
      <c r="C1737" s="59" t="s">
        <v>108</v>
      </c>
      <c r="D1737" s="59" t="s">
        <v>225</v>
      </c>
      <c r="F1737" s="65" t="s">
        <v>9997</v>
      </c>
      <c r="G1737" s="65" t="s">
        <v>9998</v>
      </c>
      <c r="H1737" s="156" t="s">
        <v>6906</v>
      </c>
      <c r="I1737" s="149">
        <v>45687.0</v>
      </c>
      <c r="J1737" s="149">
        <v>45693.0</v>
      </c>
      <c r="K1737" s="65"/>
      <c r="L1737" s="156" t="s">
        <v>9999</v>
      </c>
      <c r="M1737" s="156" t="s">
        <v>10000</v>
      </c>
      <c r="N1737" s="156" t="s">
        <v>10001</v>
      </c>
      <c r="O1737" s="153">
        <v>1.0</v>
      </c>
      <c r="P1737" s="603" t="str">
        <f>lower("10.1002--(SICI)1099-0771(199806)11_2_3C107_AID-BDM292_3E3.0.CO_2-Y.pdf")</f>
        <v>10.1002--(sici)1099-0771(199806)11_2_3c107_aid-bdm292_3e3.0.co_2-y.pdf</v>
      </c>
      <c r="Q1737" s="105" t="str">
        <f t="array" ref="Q1737"> if(iserror(MATCH(V1737, 'File Links'!C:C, 0)), "N/A", HYPERLINK(INDEX('File Links'!B:B, MATCH(P1737, 'File Links'!C:C, 0))))</f>
        <v>#N/A</v>
      </c>
      <c r="R1737" s="156" t="s">
        <v>9545</v>
      </c>
      <c r="S1737" s="156" t="s">
        <v>9546</v>
      </c>
      <c r="T1737" s="65"/>
      <c r="U1737" s="153">
        <v>12.0</v>
      </c>
      <c r="V1737" s="195" t="str">
        <f t="shared" si="114"/>
        <v>10.1177--2515245918810225.pdf</v>
      </c>
      <c r="W1737" s="65" t="s">
        <v>202</v>
      </c>
      <c r="X1737" s="51" t="str">
        <f t="array" ref="X1737"> if(iserror(MATCH(V1737, 'File Links'!C:C, 0)), "N/A", HYPERLINK(INDEX('File Links'!B:B, MATCH(V1737, 'File Links'!C:C, 0))))</f>
        <v>https://drive.google.com/file/d/1rGqHLpg3OEGQnWLvlAEJr7JSMWJ2p-Ar/view?usp=drivesdk</v>
      </c>
      <c r="Y1737" s="65"/>
      <c r="Z1737" s="1112" t="s">
        <v>203</v>
      </c>
      <c r="AA1737" s="156" t="s">
        <v>10002</v>
      </c>
      <c r="AB1737" s="1112" t="s">
        <v>10003</v>
      </c>
      <c r="AC1737" s="1113" t="s">
        <v>10004</v>
      </c>
      <c r="AD1737" s="148" t="s">
        <v>10005</v>
      </c>
      <c r="AE1737" s="156" t="s">
        <v>10006</v>
      </c>
      <c r="AF1737" s="153">
        <v>83.0</v>
      </c>
      <c r="AG1737" s="156" t="s">
        <v>10007</v>
      </c>
      <c r="AH1737" s="156" t="s">
        <v>127</v>
      </c>
      <c r="AI1737" s="156" t="s">
        <v>10006</v>
      </c>
      <c r="AJ1737" s="153">
        <v>0.01</v>
      </c>
      <c r="AK1737" s="156" t="s">
        <v>128</v>
      </c>
      <c r="AL1737" s="156" t="s">
        <v>179</v>
      </c>
      <c r="AM1737" s="65" t="s">
        <v>130</v>
      </c>
      <c r="AN1737" s="327" t="s">
        <v>131</v>
      </c>
      <c r="AO1737" s="153">
        <v>7646.0</v>
      </c>
      <c r="AP1737" s="153">
        <v>0.78</v>
      </c>
      <c r="AQ1737" s="156" t="s">
        <v>166</v>
      </c>
      <c r="AR1737" s="156" t="s">
        <v>9675</v>
      </c>
      <c r="AS1737" s="1090">
        <f>5.5*10^-236</f>
        <v>0</v>
      </c>
      <c r="AT1737" s="1112" t="s">
        <v>165</v>
      </c>
      <c r="AU1737" s="156" t="s">
        <v>179</v>
      </c>
      <c r="AV1737" s="65" t="s">
        <v>130</v>
      </c>
      <c r="AW1737" s="432" t="s">
        <v>9554</v>
      </c>
      <c r="AX1737" s="65" t="s">
        <v>136</v>
      </c>
      <c r="AY1737" s="65"/>
      <c r="AZ1737" s="126" t="s">
        <v>6951</v>
      </c>
    </row>
    <row r="1738">
      <c r="A1738" s="41">
        <v>1738.0</v>
      </c>
      <c r="B1738" s="65" t="s">
        <v>107</v>
      </c>
      <c r="C1738" s="59" t="s">
        <v>108</v>
      </c>
      <c r="D1738" s="59" t="s">
        <v>138</v>
      </c>
      <c r="F1738" s="65" t="s">
        <v>9997</v>
      </c>
      <c r="G1738" s="156" t="s">
        <v>9998</v>
      </c>
      <c r="H1738" s="675" t="s">
        <v>5559</v>
      </c>
      <c r="I1738" s="149">
        <v>45672.0</v>
      </c>
      <c r="J1738" s="149">
        <v>45693.0</v>
      </c>
      <c r="K1738" s="65"/>
      <c r="L1738" s="65"/>
      <c r="M1738" s="65" t="s">
        <v>10000</v>
      </c>
      <c r="N1738" s="65" t="s">
        <v>10001</v>
      </c>
      <c r="O1738" s="153">
        <v>1.0</v>
      </c>
      <c r="P1738" s="603" t="str">
        <f>SUBSTITUTE(LOWER(N1738), "/", "--") &amp;  ".pdf"</f>
        <v>10.1002--(sici)1099-0771(199806)11:2%3c107::aid-bdm292%3e3.0.co;2-y.pdf</v>
      </c>
      <c r="Q1738" s="105" t="str">
        <f t="array" ref="Q1738"> if(iserror(MATCH(V1738, 'File Links'!C:C, 0)), "N/A", HYPERLINK(INDEX('File Links'!B:B, MATCH(P1738, 'File Links'!C:C, 0))))</f>
        <v>#N/A</v>
      </c>
      <c r="R1738" s="1112" t="s">
        <v>9545</v>
      </c>
      <c r="S1738" s="1112" t="s">
        <v>9546</v>
      </c>
      <c r="T1738" s="65"/>
      <c r="U1738" s="65"/>
      <c r="V1738" s="195" t="str">
        <f t="shared" si="114"/>
        <v>10.1177--2515245918810225.pdf</v>
      </c>
      <c r="W1738" s="1296" t="s">
        <v>202</v>
      </c>
      <c r="X1738" s="51" t="str">
        <f t="array" ref="X1738"> if(iserror(MATCH(V1738, 'File Links'!C:C, 0)), "N/A", HYPERLINK(INDEX('File Links'!B:B, MATCH(V1738, 'File Links'!C:C, 0))))</f>
        <v>https://drive.google.com/file/d/1rGqHLpg3OEGQnWLvlAEJr7JSMWJ2p-Ar/view?usp=drivesdk</v>
      </c>
      <c r="Y1738" s="65"/>
      <c r="Z1738" s="156" t="s">
        <v>203</v>
      </c>
      <c r="AA1738" s="156" t="s">
        <v>10002</v>
      </c>
      <c r="AB1738" s="156" t="s">
        <v>10003</v>
      </c>
      <c r="AC1738" s="156" t="s">
        <v>10008</v>
      </c>
      <c r="AD1738" s="156" t="s">
        <v>10009</v>
      </c>
      <c r="AE1738" s="153">
        <v>3.0</v>
      </c>
      <c r="AF1738" s="153">
        <v>83.0</v>
      </c>
      <c r="AG1738" s="156" t="s">
        <v>10010</v>
      </c>
      <c r="AH1738" s="156" t="s">
        <v>127</v>
      </c>
      <c r="AI1738" s="156" t="s">
        <v>210</v>
      </c>
      <c r="AJ1738" s="153">
        <v>0.01</v>
      </c>
      <c r="AK1738" s="156" t="s">
        <v>128</v>
      </c>
      <c r="AL1738" s="156" t="s">
        <v>179</v>
      </c>
      <c r="AM1738" s="65" t="s">
        <v>130</v>
      </c>
      <c r="AN1738" s="327" t="s">
        <v>131</v>
      </c>
      <c r="AO1738" s="153">
        <v>7646.0</v>
      </c>
      <c r="AP1738" s="153">
        <v>0.78</v>
      </c>
      <c r="AQ1738" s="156" t="s">
        <v>166</v>
      </c>
      <c r="AR1738" s="156" t="s">
        <v>9287</v>
      </c>
      <c r="AS1738" s="1058">
        <v>4.5E-236</v>
      </c>
      <c r="AT1738" s="156" t="s">
        <v>165</v>
      </c>
      <c r="AU1738" s="156" t="s">
        <v>179</v>
      </c>
      <c r="AV1738" s="65" t="s">
        <v>130</v>
      </c>
      <c r="AW1738" s="1116" t="s">
        <v>9554</v>
      </c>
      <c r="AX1738" s="65" t="s">
        <v>136</v>
      </c>
      <c r="AY1738" s="65"/>
      <c r="AZ1738" s="65" t="s">
        <v>5061</v>
      </c>
    </row>
    <row r="1739">
      <c r="A1739" s="41">
        <v>1739.0</v>
      </c>
      <c r="B1739" s="1773" t="s">
        <v>107</v>
      </c>
      <c r="C1739" s="1774" t="s">
        <v>108</v>
      </c>
      <c r="D1739" s="1774" t="s">
        <v>241</v>
      </c>
      <c r="E1739" s="1775"/>
      <c r="F1739" s="1773" t="s">
        <v>10011</v>
      </c>
      <c r="G1739" s="1773" t="s">
        <v>10012</v>
      </c>
      <c r="H1739" s="1776" t="s">
        <v>242</v>
      </c>
      <c r="I1739" s="1777">
        <v>45754.0</v>
      </c>
      <c r="J1739" s="1778">
        <v>45765.0</v>
      </c>
      <c r="K1739" s="1776" t="s">
        <v>10013</v>
      </c>
      <c r="L1739" s="1773" t="s">
        <v>10014</v>
      </c>
      <c r="M1739" s="1773" t="s">
        <v>10015</v>
      </c>
      <c r="N1739" s="1773" t="s">
        <v>10016</v>
      </c>
      <c r="O1739" s="1779">
        <v>1.0</v>
      </c>
      <c r="P1739" s="1780" t="s">
        <v>10017</v>
      </c>
      <c r="Q1739" s="105" t="str">
        <f t="array" ref="Q1739"> if(iserror(MATCH(V1739, 'File Links'!C:C, 0)), "N/A", HYPERLINK(INDEX('File Links'!B:B, MATCH(P1739, 'File Links'!C:C, 0))))</f>
        <v>N/A</v>
      </c>
      <c r="R1739" s="1781" t="s">
        <v>10018</v>
      </c>
      <c r="S1739" s="1773" t="s">
        <v>10019</v>
      </c>
      <c r="T1739" s="1782"/>
      <c r="U1739" s="1783"/>
      <c r="V1739" s="1776" t="s">
        <v>10020</v>
      </c>
      <c r="W1739" s="1784"/>
      <c r="X1739" s="46" t="str">
        <f t="array" ref="X1739"> if(iserror(MATCH(V1739, 'File Links'!C:C, 0)), "N/A", HYPERLINK(INDEX('File Links'!B:B, MATCH(V1739, 'File Links'!C:C, 0))))</f>
        <v>N/A</v>
      </c>
      <c r="Y1739" s="1785"/>
      <c r="Z1739" s="1776" t="s">
        <v>2072</v>
      </c>
      <c r="AA1739" s="368" t="s">
        <v>10021</v>
      </c>
      <c r="AB1739" s="1776" t="s">
        <v>10022</v>
      </c>
      <c r="AC1739" s="1776" t="s">
        <v>10023</v>
      </c>
      <c r="AD1739" s="377" t="s">
        <v>10024</v>
      </c>
      <c r="AE1739" s="1776" t="s">
        <v>10025</v>
      </c>
      <c r="AF1739" s="1786">
        <v>171.0</v>
      </c>
      <c r="AG1739" s="1786">
        <v>0.623</v>
      </c>
      <c r="AH1739" s="1776" t="s">
        <v>208</v>
      </c>
      <c r="AI1739" s="1776" t="s">
        <v>10026</v>
      </c>
      <c r="AJ1739" s="1786">
        <v>0.001</v>
      </c>
      <c r="AK1739" s="1776" t="s">
        <v>128</v>
      </c>
      <c r="AL1739" s="1776" t="s">
        <v>179</v>
      </c>
      <c r="AM1739" s="1773" t="s">
        <v>130</v>
      </c>
      <c r="AN1739" s="1773" t="s">
        <v>131</v>
      </c>
      <c r="AO1739" s="1786">
        <v>823.0</v>
      </c>
      <c r="AP1739" s="1787">
        <v>0.244</v>
      </c>
      <c r="AQ1739" s="1776" t="s">
        <v>208</v>
      </c>
      <c r="AR1739" s="1776" t="s">
        <v>10027</v>
      </c>
      <c r="AS1739" s="1786">
        <v>0.001</v>
      </c>
      <c r="AT1739" s="1776" t="s">
        <v>128</v>
      </c>
      <c r="AU1739" s="1776" t="s">
        <v>179</v>
      </c>
      <c r="AV1739" s="1773" t="s">
        <v>130</v>
      </c>
      <c r="AW1739" s="1788" t="s">
        <v>10028</v>
      </c>
      <c r="AX1739" s="1773" t="s">
        <v>136</v>
      </c>
      <c r="AY1739" s="1775"/>
      <c r="AZ1739" s="1774" t="s">
        <v>7909</v>
      </c>
    </row>
    <row r="1740">
      <c r="A1740" s="41">
        <v>1740.0</v>
      </c>
      <c r="B1740" s="126" t="s">
        <v>107</v>
      </c>
      <c r="C1740" s="59" t="s">
        <v>108</v>
      </c>
      <c r="D1740" s="59" t="s">
        <v>241</v>
      </c>
      <c r="F1740" s="126" t="s">
        <v>10011</v>
      </c>
      <c r="G1740" s="126" t="s">
        <v>10029</v>
      </c>
      <c r="H1740" s="148" t="s">
        <v>242</v>
      </c>
      <c r="I1740" s="150">
        <v>45754.0</v>
      </c>
      <c r="J1740" s="1778">
        <v>45765.0</v>
      </c>
      <c r="K1740" s="148" t="s">
        <v>10030</v>
      </c>
      <c r="L1740" s="1773" t="s">
        <v>10014</v>
      </c>
      <c r="M1740" s="126" t="s">
        <v>10015</v>
      </c>
      <c r="N1740" s="126" t="s">
        <v>10016</v>
      </c>
      <c r="O1740" s="498">
        <v>1.0</v>
      </c>
      <c r="P1740" s="525" t="s">
        <v>10017</v>
      </c>
      <c r="Q1740" s="105" t="str">
        <f t="array" ref="Q1740"> if(iserror(MATCH(V1740, 'File Links'!C:C, 0)), "N/A", HYPERLINK(INDEX('File Links'!B:B, MATCH(P1740, 'File Links'!C:C, 0))))</f>
        <v>N/A</v>
      </c>
      <c r="R1740" s="1689" t="s">
        <v>10018</v>
      </c>
      <c r="S1740" s="126" t="s">
        <v>10019</v>
      </c>
      <c r="T1740" s="1371"/>
      <c r="U1740" s="333"/>
      <c r="V1740" s="148" t="s">
        <v>10020</v>
      </c>
      <c r="W1740" s="156"/>
      <c r="X1740" s="46" t="str">
        <f t="array" ref="X1740"> if(iserror(MATCH(V1740, 'File Links'!C:C, 0)), "N/A", HYPERLINK(INDEX('File Links'!B:B, MATCH(V1740, 'File Links'!C:C, 0))))</f>
        <v>N/A</v>
      </c>
      <c r="Y1740" s="65"/>
      <c r="Z1740" s="148" t="s">
        <v>2072</v>
      </c>
      <c r="AA1740" s="368" t="s">
        <v>10021</v>
      </c>
      <c r="AB1740" s="148" t="s">
        <v>10022</v>
      </c>
      <c r="AC1740" s="148" t="s">
        <v>10031</v>
      </c>
      <c r="AD1740" s="377" t="s">
        <v>10032</v>
      </c>
      <c r="AE1740" s="1776" t="s">
        <v>10025</v>
      </c>
      <c r="AF1740" s="1786">
        <v>171.0</v>
      </c>
      <c r="AG1740" s="158">
        <v>0.638</v>
      </c>
      <c r="AH1740" s="148" t="s">
        <v>208</v>
      </c>
      <c r="AI1740" s="148" t="s">
        <v>10026</v>
      </c>
      <c r="AJ1740" s="158">
        <v>0.001</v>
      </c>
      <c r="AK1740" s="148" t="s">
        <v>128</v>
      </c>
      <c r="AL1740" s="148" t="s">
        <v>179</v>
      </c>
      <c r="AM1740" s="126" t="s">
        <v>130</v>
      </c>
      <c r="AN1740" s="126" t="s">
        <v>131</v>
      </c>
      <c r="AO1740" s="158">
        <v>823.0</v>
      </c>
      <c r="AP1740" s="1787">
        <v>0.298</v>
      </c>
      <c r="AQ1740" s="148" t="s">
        <v>208</v>
      </c>
      <c r="AR1740" s="148" t="s">
        <v>10033</v>
      </c>
      <c r="AS1740" s="158">
        <v>0.001</v>
      </c>
      <c r="AT1740" s="148" t="s">
        <v>128</v>
      </c>
      <c r="AU1740" s="148" t="s">
        <v>179</v>
      </c>
      <c r="AV1740" s="126" t="s">
        <v>130</v>
      </c>
      <c r="AW1740" s="1788" t="s">
        <v>10028</v>
      </c>
      <c r="AX1740" s="126" t="s">
        <v>136</v>
      </c>
      <c r="AZ1740" s="1774" t="s">
        <v>7909</v>
      </c>
    </row>
    <row r="1741">
      <c r="A1741" s="41">
        <v>1741.0</v>
      </c>
      <c r="B1741" s="126" t="s">
        <v>107</v>
      </c>
      <c r="C1741" s="59" t="s">
        <v>108</v>
      </c>
      <c r="D1741" s="59" t="s">
        <v>241</v>
      </c>
      <c r="F1741" s="126" t="s">
        <v>10011</v>
      </c>
      <c r="G1741" s="126" t="s">
        <v>10034</v>
      </c>
      <c r="H1741" s="148" t="s">
        <v>242</v>
      </c>
      <c r="I1741" s="150">
        <v>45754.0</v>
      </c>
      <c r="J1741" s="1778">
        <v>45765.0</v>
      </c>
      <c r="K1741" s="148" t="s">
        <v>10035</v>
      </c>
      <c r="L1741" s="1773" t="s">
        <v>10014</v>
      </c>
      <c r="M1741" s="126" t="s">
        <v>10015</v>
      </c>
      <c r="N1741" s="126" t="s">
        <v>10016</v>
      </c>
      <c r="O1741" s="498">
        <v>1.0</v>
      </c>
      <c r="P1741" s="525" t="s">
        <v>10017</v>
      </c>
      <c r="Q1741" s="105" t="str">
        <f t="array" ref="Q1741"> if(iserror(MATCH(V1741, 'File Links'!C:C, 0)), "N/A", HYPERLINK(INDEX('File Links'!B:B, MATCH(P1741, 'File Links'!C:C, 0))))</f>
        <v>N/A</v>
      </c>
      <c r="R1741" s="1689" t="s">
        <v>10018</v>
      </c>
      <c r="S1741" s="126" t="s">
        <v>10019</v>
      </c>
      <c r="T1741" s="1371"/>
      <c r="U1741" s="333"/>
      <c r="V1741" s="148" t="s">
        <v>10020</v>
      </c>
      <c r="W1741" s="156"/>
      <c r="X1741" s="46" t="str">
        <f t="array" ref="X1741"> if(iserror(MATCH(V1741, 'File Links'!C:C, 0)), "N/A", HYPERLINK(INDEX('File Links'!B:B, MATCH(V1741, 'File Links'!C:C, 0))))</f>
        <v>N/A</v>
      </c>
      <c r="Y1741" s="65"/>
      <c r="Z1741" s="148" t="s">
        <v>2072</v>
      </c>
      <c r="AA1741" s="368" t="s">
        <v>10021</v>
      </c>
      <c r="AB1741" s="148" t="s">
        <v>10022</v>
      </c>
      <c r="AC1741" s="148" t="s">
        <v>10036</v>
      </c>
      <c r="AD1741" s="377" t="s">
        <v>10037</v>
      </c>
      <c r="AE1741" s="1776" t="s">
        <v>10025</v>
      </c>
      <c r="AF1741" s="1786">
        <v>171.0</v>
      </c>
      <c r="AG1741" s="158">
        <v>0.283</v>
      </c>
      <c r="AH1741" s="148" t="s">
        <v>208</v>
      </c>
      <c r="AI1741" s="148" t="s">
        <v>10026</v>
      </c>
      <c r="AJ1741" s="158">
        <v>0.001</v>
      </c>
      <c r="AK1741" s="148" t="s">
        <v>128</v>
      </c>
      <c r="AL1741" s="148" t="s">
        <v>179</v>
      </c>
      <c r="AM1741" s="126" t="s">
        <v>130</v>
      </c>
      <c r="AN1741" s="126" t="s">
        <v>131</v>
      </c>
      <c r="AO1741" s="158">
        <v>823.0</v>
      </c>
      <c r="AP1741" s="1787">
        <v>0.196</v>
      </c>
      <c r="AQ1741" s="148" t="s">
        <v>208</v>
      </c>
      <c r="AR1741" s="148" t="s">
        <v>10038</v>
      </c>
      <c r="AS1741" s="158">
        <v>0.001</v>
      </c>
      <c r="AT1741" s="148" t="s">
        <v>128</v>
      </c>
      <c r="AU1741" s="148" t="s">
        <v>179</v>
      </c>
      <c r="AV1741" s="126" t="s">
        <v>130</v>
      </c>
      <c r="AW1741" s="1788" t="s">
        <v>10028</v>
      </c>
      <c r="AX1741" s="126" t="s">
        <v>136</v>
      </c>
      <c r="AZ1741" s="1774" t="s">
        <v>7909</v>
      </c>
    </row>
    <row r="1742">
      <c r="A1742" s="41">
        <v>1742.0</v>
      </c>
      <c r="B1742" s="126" t="s">
        <v>107</v>
      </c>
      <c r="C1742" s="59" t="s">
        <v>108</v>
      </c>
      <c r="D1742" s="59" t="s">
        <v>241</v>
      </c>
      <c r="F1742" s="126" t="s">
        <v>10011</v>
      </c>
      <c r="G1742" s="126" t="s">
        <v>10039</v>
      </c>
      <c r="H1742" s="148" t="s">
        <v>242</v>
      </c>
      <c r="I1742" s="150">
        <v>45754.0</v>
      </c>
      <c r="J1742" s="1778">
        <v>45765.0</v>
      </c>
      <c r="K1742" s="148" t="s">
        <v>10040</v>
      </c>
      <c r="L1742" s="1773" t="s">
        <v>10014</v>
      </c>
      <c r="M1742" s="126" t="s">
        <v>10015</v>
      </c>
      <c r="N1742" s="126" t="s">
        <v>10016</v>
      </c>
      <c r="O1742" s="498">
        <v>1.0</v>
      </c>
      <c r="P1742" s="525" t="s">
        <v>10017</v>
      </c>
      <c r="Q1742" s="105" t="str">
        <f t="array" ref="Q1742"> if(iserror(MATCH(V1742, 'File Links'!C:C, 0)), "N/A", HYPERLINK(INDEX('File Links'!B:B, MATCH(P1742, 'File Links'!C:C, 0))))</f>
        <v>N/A</v>
      </c>
      <c r="R1742" s="1689" t="s">
        <v>10018</v>
      </c>
      <c r="S1742" s="126" t="s">
        <v>10019</v>
      </c>
      <c r="T1742" s="1371"/>
      <c r="U1742" s="333"/>
      <c r="V1742" s="148" t="s">
        <v>10020</v>
      </c>
      <c r="W1742" s="156"/>
      <c r="X1742" s="46" t="str">
        <f t="array" ref="X1742"> if(iserror(MATCH(V1742, 'File Links'!C:C, 0)), "N/A", HYPERLINK(INDEX('File Links'!B:B, MATCH(V1742, 'File Links'!C:C, 0))))</f>
        <v>N/A</v>
      </c>
      <c r="Y1742" s="65"/>
      <c r="Z1742" s="148" t="s">
        <v>2072</v>
      </c>
      <c r="AA1742" s="368" t="s">
        <v>10021</v>
      </c>
      <c r="AB1742" s="148" t="s">
        <v>10022</v>
      </c>
      <c r="AC1742" s="148" t="s">
        <v>10041</v>
      </c>
      <c r="AD1742" s="377" t="s">
        <v>10042</v>
      </c>
      <c r="AE1742" s="1776" t="s">
        <v>10025</v>
      </c>
      <c r="AF1742" s="1786">
        <v>171.0</v>
      </c>
      <c r="AG1742" s="158">
        <v>0.819</v>
      </c>
      <c r="AH1742" s="148" t="s">
        <v>208</v>
      </c>
      <c r="AI1742" s="148" t="s">
        <v>10026</v>
      </c>
      <c r="AJ1742" s="158">
        <v>0.001</v>
      </c>
      <c r="AK1742" s="148" t="s">
        <v>128</v>
      </c>
      <c r="AL1742" s="148" t="s">
        <v>179</v>
      </c>
      <c r="AM1742" s="126" t="s">
        <v>130</v>
      </c>
      <c r="AN1742" s="126" t="s">
        <v>131</v>
      </c>
      <c r="AO1742" s="158">
        <v>823.0</v>
      </c>
      <c r="AP1742" s="1787">
        <v>0.222</v>
      </c>
      <c r="AQ1742" s="148" t="s">
        <v>208</v>
      </c>
      <c r="AR1742" s="148" t="s">
        <v>10043</v>
      </c>
      <c r="AS1742" s="158">
        <v>0.001</v>
      </c>
      <c r="AT1742" s="148" t="s">
        <v>128</v>
      </c>
      <c r="AU1742" s="148" t="s">
        <v>179</v>
      </c>
      <c r="AV1742" s="126" t="s">
        <v>130</v>
      </c>
      <c r="AW1742" s="1788" t="s">
        <v>10028</v>
      </c>
      <c r="AX1742" s="126" t="s">
        <v>136</v>
      </c>
      <c r="AZ1742" s="1774" t="s">
        <v>7909</v>
      </c>
    </row>
    <row r="1743">
      <c r="A1743" s="41">
        <v>1743.0</v>
      </c>
      <c r="B1743" s="126" t="s">
        <v>107</v>
      </c>
      <c r="C1743" s="59" t="s">
        <v>108</v>
      </c>
      <c r="D1743" s="59" t="s">
        <v>241</v>
      </c>
      <c r="F1743" s="126" t="s">
        <v>10011</v>
      </c>
      <c r="G1743" s="126" t="s">
        <v>10044</v>
      </c>
      <c r="H1743" s="148" t="s">
        <v>242</v>
      </c>
      <c r="I1743" s="150">
        <v>45754.0</v>
      </c>
      <c r="J1743" s="1778">
        <v>45765.0</v>
      </c>
      <c r="K1743" s="148" t="s">
        <v>10045</v>
      </c>
      <c r="L1743" s="1773" t="s">
        <v>10014</v>
      </c>
      <c r="M1743" s="126" t="s">
        <v>10015</v>
      </c>
      <c r="N1743" s="126" t="s">
        <v>10016</v>
      </c>
      <c r="O1743" s="498">
        <v>1.0</v>
      </c>
      <c r="P1743" s="525" t="s">
        <v>10017</v>
      </c>
      <c r="Q1743" s="105" t="str">
        <f t="array" ref="Q1743"> if(iserror(MATCH(V1743, 'File Links'!C:C, 0)), "N/A", HYPERLINK(INDEX('File Links'!B:B, MATCH(P1743, 'File Links'!C:C, 0))))</f>
        <v>N/A</v>
      </c>
      <c r="R1743" s="1689" t="s">
        <v>10018</v>
      </c>
      <c r="S1743" s="126" t="s">
        <v>10019</v>
      </c>
      <c r="T1743" s="1371"/>
      <c r="U1743" s="333"/>
      <c r="V1743" s="148" t="s">
        <v>10020</v>
      </c>
      <c r="W1743" s="156"/>
      <c r="X1743" s="46" t="str">
        <f t="array" ref="X1743"> if(iserror(MATCH(V1743, 'File Links'!C:C, 0)), "N/A", HYPERLINK(INDEX('File Links'!B:B, MATCH(V1743, 'File Links'!C:C, 0))))</f>
        <v>N/A</v>
      </c>
      <c r="Y1743" s="65"/>
      <c r="Z1743" s="148" t="s">
        <v>2072</v>
      </c>
      <c r="AA1743" s="368" t="s">
        <v>10021</v>
      </c>
      <c r="AB1743" s="148" t="s">
        <v>10022</v>
      </c>
      <c r="AC1743" s="148" t="s">
        <v>10046</v>
      </c>
      <c r="AD1743" s="377" t="s">
        <v>10047</v>
      </c>
      <c r="AE1743" s="1776" t="s">
        <v>10025</v>
      </c>
      <c r="AF1743" s="1786">
        <v>171.0</v>
      </c>
      <c r="AG1743" s="158">
        <v>0.215</v>
      </c>
      <c r="AH1743" s="148" t="s">
        <v>208</v>
      </c>
      <c r="AI1743" s="148" t="s">
        <v>10026</v>
      </c>
      <c r="AJ1743" s="158">
        <v>0.001</v>
      </c>
      <c r="AK1743" s="148" t="s">
        <v>128</v>
      </c>
      <c r="AL1743" s="148" t="s">
        <v>179</v>
      </c>
      <c r="AM1743" s="126" t="s">
        <v>130</v>
      </c>
      <c r="AN1743" s="126" t="s">
        <v>131</v>
      </c>
      <c r="AO1743" s="158">
        <v>823.0</v>
      </c>
      <c r="AP1743" s="1787">
        <v>0.303</v>
      </c>
      <c r="AQ1743" s="148" t="s">
        <v>208</v>
      </c>
      <c r="AR1743" s="148" t="s">
        <v>10048</v>
      </c>
      <c r="AS1743" s="158">
        <v>0.001</v>
      </c>
      <c r="AT1743" s="148" t="s">
        <v>128</v>
      </c>
      <c r="AU1743" s="148" t="s">
        <v>179</v>
      </c>
      <c r="AV1743" s="126" t="s">
        <v>130</v>
      </c>
      <c r="AW1743" s="1788" t="s">
        <v>10028</v>
      </c>
      <c r="AX1743" s="126" t="s">
        <v>136</v>
      </c>
      <c r="AZ1743" s="1774" t="s">
        <v>7909</v>
      </c>
    </row>
    <row r="1744">
      <c r="A1744" s="41">
        <v>1744.0</v>
      </c>
      <c r="B1744" s="126" t="s">
        <v>107</v>
      </c>
      <c r="C1744" s="59" t="s">
        <v>108</v>
      </c>
      <c r="D1744" s="59" t="s">
        <v>241</v>
      </c>
      <c r="F1744" s="126" t="s">
        <v>10011</v>
      </c>
      <c r="G1744" s="126" t="s">
        <v>10049</v>
      </c>
      <c r="H1744" s="148" t="s">
        <v>242</v>
      </c>
      <c r="I1744" s="150">
        <v>45754.0</v>
      </c>
      <c r="J1744" s="1778">
        <v>45765.0</v>
      </c>
      <c r="K1744" s="148" t="s">
        <v>10050</v>
      </c>
      <c r="L1744" s="1773" t="s">
        <v>10014</v>
      </c>
      <c r="M1744" s="126" t="s">
        <v>10015</v>
      </c>
      <c r="N1744" s="126" t="s">
        <v>10016</v>
      </c>
      <c r="O1744" s="498">
        <v>1.0</v>
      </c>
      <c r="P1744" s="525" t="s">
        <v>10017</v>
      </c>
      <c r="Q1744" s="105" t="str">
        <f t="array" ref="Q1744"> if(iserror(MATCH(V1744, 'File Links'!C:C, 0)), "N/A", HYPERLINK(INDEX('File Links'!B:B, MATCH(P1744, 'File Links'!C:C, 0))))</f>
        <v>N/A</v>
      </c>
      <c r="R1744" s="1689" t="s">
        <v>10018</v>
      </c>
      <c r="S1744" s="126" t="s">
        <v>10019</v>
      </c>
      <c r="T1744" s="1371"/>
      <c r="U1744" s="333"/>
      <c r="V1744" s="148" t="s">
        <v>10020</v>
      </c>
      <c r="W1744" s="156"/>
      <c r="X1744" s="46" t="str">
        <f t="array" ref="X1744"> if(iserror(MATCH(V1744, 'File Links'!C:C, 0)), "N/A", HYPERLINK(INDEX('File Links'!B:B, MATCH(V1744, 'File Links'!C:C, 0))))</f>
        <v>N/A</v>
      </c>
      <c r="Y1744" s="65"/>
      <c r="Z1744" s="148" t="s">
        <v>2072</v>
      </c>
      <c r="AA1744" s="368" t="s">
        <v>10021</v>
      </c>
      <c r="AB1744" s="148" t="s">
        <v>10022</v>
      </c>
      <c r="AC1744" s="148" t="s">
        <v>10051</v>
      </c>
      <c r="AD1744" s="377" t="s">
        <v>10052</v>
      </c>
      <c r="AE1744" s="1776" t="s">
        <v>10025</v>
      </c>
      <c r="AF1744" s="1786">
        <v>171.0</v>
      </c>
      <c r="AG1744" s="158">
        <v>0.411</v>
      </c>
      <c r="AH1744" s="148" t="s">
        <v>208</v>
      </c>
      <c r="AI1744" s="148" t="s">
        <v>10026</v>
      </c>
      <c r="AJ1744" s="158">
        <v>0.001</v>
      </c>
      <c r="AK1744" s="148" t="s">
        <v>128</v>
      </c>
      <c r="AL1744" s="148" t="s">
        <v>179</v>
      </c>
      <c r="AM1744" s="126" t="s">
        <v>130</v>
      </c>
      <c r="AN1744" s="126" t="s">
        <v>131</v>
      </c>
      <c r="AO1744" s="158">
        <v>823.0</v>
      </c>
      <c r="AP1744" s="1787">
        <v>0.31</v>
      </c>
      <c r="AQ1744" s="148" t="s">
        <v>208</v>
      </c>
      <c r="AR1744" s="148" t="s">
        <v>10053</v>
      </c>
      <c r="AS1744" s="158">
        <v>0.001</v>
      </c>
      <c r="AT1744" s="148" t="s">
        <v>128</v>
      </c>
      <c r="AU1744" s="148" t="s">
        <v>179</v>
      </c>
      <c r="AV1744" s="126" t="s">
        <v>130</v>
      </c>
      <c r="AW1744" s="1788" t="s">
        <v>10028</v>
      </c>
      <c r="AX1744" s="126" t="s">
        <v>136</v>
      </c>
      <c r="AZ1744" s="1774" t="s">
        <v>7909</v>
      </c>
    </row>
    <row r="1745">
      <c r="A1745" s="41">
        <v>1745.0</v>
      </c>
      <c r="B1745" s="126" t="s">
        <v>107</v>
      </c>
      <c r="C1745" s="59" t="s">
        <v>108</v>
      </c>
      <c r="D1745" s="59" t="s">
        <v>241</v>
      </c>
      <c r="F1745" s="126" t="s">
        <v>10011</v>
      </c>
      <c r="G1745" s="126" t="s">
        <v>10054</v>
      </c>
      <c r="H1745" s="148" t="s">
        <v>242</v>
      </c>
      <c r="I1745" s="150">
        <v>45754.0</v>
      </c>
      <c r="J1745" s="1778">
        <v>45765.0</v>
      </c>
      <c r="K1745" s="148" t="s">
        <v>10055</v>
      </c>
      <c r="L1745" s="1773" t="s">
        <v>10014</v>
      </c>
      <c r="M1745" s="126" t="s">
        <v>10015</v>
      </c>
      <c r="N1745" s="126" t="s">
        <v>10016</v>
      </c>
      <c r="O1745" s="498">
        <v>1.0</v>
      </c>
      <c r="P1745" s="525" t="s">
        <v>10017</v>
      </c>
      <c r="Q1745" s="105" t="str">
        <f t="array" ref="Q1745"> if(iserror(MATCH(V1745, 'File Links'!C:C, 0)), "N/A", HYPERLINK(INDEX('File Links'!B:B, MATCH(P1745, 'File Links'!C:C, 0))))</f>
        <v>N/A</v>
      </c>
      <c r="R1745" s="1689" t="s">
        <v>10018</v>
      </c>
      <c r="S1745" s="126" t="s">
        <v>10019</v>
      </c>
      <c r="T1745" s="1371"/>
      <c r="U1745" s="333"/>
      <c r="V1745" s="148" t="s">
        <v>10020</v>
      </c>
      <c r="W1745" s="156"/>
      <c r="X1745" s="46" t="str">
        <f t="array" ref="X1745"> if(iserror(MATCH(V1745, 'File Links'!C:C, 0)), "N/A", HYPERLINK(INDEX('File Links'!B:B, MATCH(V1745, 'File Links'!C:C, 0))))</f>
        <v>N/A</v>
      </c>
      <c r="Y1745" s="65"/>
      <c r="Z1745" s="148" t="s">
        <v>2072</v>
      </c>
      <c r="AA1745" s="368" t="s">
        <v>10021</v>
      </c>
      <c r="AB1745" s="148" t="s">
        <v>10022</v>
      </c>
      <c r="AC1745" s="148" t="s">
        <v>10056</v>
      </c>
      <c r="AD1745" s="377" t="s">
        <v>10057</v>
      </c>
      <c r="AE1745" s="1776" t="s">
        <v>10025</v>
      </c>
      <c r="AF1745" s="1786">
        <v>171.0</v>
      </c>
      <c r="AG1745" s="158">
        <v>0.615</v>
      </c>
      <c r="AH1745" s="148" t="s">
        <v>208</v>
      </c>
      <c r="AI1745" s="148" t="s">
        <v>10026</v>
      </c>
      <c r="AJ1745" s="158">
        <v>0.001</v>
      </c>
      <c r="AK1745" s="148" t="s">
        <v>128</v>
      </c>
      <c r="AL1745" s="148" t="s">
        <v>179</v>
      </c>
      <c r="AM1745" s="126" t="s">
        <v>130</v>
      </c>
      <c r="AN1745" s="126" t="s">
        <v>131</v>
      </c>
      <c r="AO1745" s="158">
        <v>823.0</v>
      </c>
      <c r="AP1745" s="1787">
        <v>0.166</v>
      </c>
      <c r="AQ1745" s="148" t="s">
        <v>208</v>
      </c>
      <c r="AR1745" s="148" t="s">
        <v>10058</v>
      </c>
      <c r="AS1745" s="158">
        <v>0.001</v>
      </c>
      <c r="AT1745" s="148" t="s">
        <v>128</v>
      </c>
      <c r="AU1745" s="148" t="s">
        <v>179</v>
      </c>
      <c r="AV1745" s="126" t="s">
        <v>130</v>
      </c>
      <c r="AW1745" s="1788" t="s">
        <v>10028</v>
      </c>
      <c r="AX1745" s="126" t="s">
        <v>136</v>
      </c>
      <c r="AZ1745" s="1774" t="s">
        <v>7909</v>
      </c>
    </row>
    <row r="1746">
      <c r="A1746" s="41">
        <v>1746.0</v>
      </c>
      <c r="B1746" s="126" t="s">
        <v>107</v>
      </c>
      <c r="C1746" s="59" t="s">
        <v>108</v>
      </c>
      <c r="D1746" s="59" t="s">
        <v>241</v>
      </c>
      <c r="F1746" s="126" t="s">
        <v>10011</v>
      </c>
      <c r="G1746" s="126" t="s">
        <v>10059</v>
      </c>
      <c r="H1746" s="148" t="s">
        <v>242</v>
      </c>
      <c r="I1746" s="150">
        <v>45754.0</v>
      </c>
      <c r="J1746" s="1778">
        <v>45765.0</v>
      </c>
      <c r="K1746" s="148" t="s">
        <v>10060</v>
      </c>
      <c r="L1746" s="1773" t="s">
        <v>10014</v>
      </c>
      <c r="M1746" s="126" t="s">
        <v>10015</v>
      </c>
      <c r="N1746" s="126" t="s">
        <v>10016</v>
      </c>
      <c r="O1746" s="498">
        <v>1.0</v>
      </c>
      <c r="P1746" s="525" t="s">
        <v>10017</v>
      </c>
      <c r="Q1746" s="105" t="str">
        <f t="array" ref="Q1746"> if(iserror(MATCH(V1746, 'File Links'!C:C, 0)), "N/A", HYPERLINK(INDEX('File Links'!B:B, MATCH(P1746, 'File Links'!C:C, 0))))</f>
        <v>N/A</v>
      </c>
      <c r="R1746" s="1689" t="s">
        <v>10018</v>
      </c>
      <c r="S1746" s="126" t="s">
        <v>10019</v>
      </c>
      <c r="T1746" s="1371"/>
      <c r="U1746" s="333"/>
      <c r="V1746" s="148" t="s">
        <v>10020</v>
      </c>
      <c r="W1746" s="156"/>
      <c r="X1746" s="46" t="str">
        <f t="array" ref="X1746"> if(iserror(MATCH(V1746, 'File Links'!C:C, 0)), "N/A", HYPERLINK(INDEX('File Links'!B:B, MATCH(V1746, 'File Links'!C:C, 0))))</f>
        <v>N/A</v>
      </c>
      <c r="Y1746" s="65"/>
      <c r="Z1746" s="148" t="s">
        <v>2072</v>
      </c>
      <c r="AA1746" s="368" t="s">
        <v>10021</v>
      </c>
      <c r="AB1746" s="148" t="s">
        <v>10022</v>
      </c>
      <c r="AC1746" s="148" t="s">
        <v>10061</v>
      </c>
      <c r="AD1746" s="377" t="s">
        <v>10062</v>
      </c>
      <c r="AE1746" s="1776" t="s">
        <v>10025</v>
      </c>
      <c r="AF1746" s="1786">
        <v>171.0</v>
      </c>
      <c r="AG1746" s="158">
        <v>0.23</v>
      </c>
      <c r="AH1746" s="148" t="s">
        <v>208</v>
      </c>
      <c r="AI1746" s="148" t="s">
        <v>10026</v>
      </c>
      <c r="AJ1746" s="158">
        <v>0.001</v>
      </c>
      <c r="AK1746" s="148" t="s">
        <v>128</v>
      </c>
      <c r="AL1746" s="148" t="s">
        <v>179</v>
      </c>
      <c r="AM1746" s="126" t="s">
        <v>130</v>
      </c>
      <c r="AN1746" s="126" t="s">
        <v>131</v>
      </c>
      <c r="AO1746" s="158">
        <v>823.0</v>
      </c>
      <c r="AP1746" s="1787">
        <v>0.108</v>
      </c>
      <c r="AQ1746" s="148" t="s">
        <v>208</v>
      </c>
      <c r="AR1746" s="148" t="s">
        <v>10063</v>
      </c>
      <c r="AS1746" s="158">
        <v>0.002</v>
      </c>
      <c r="AT1746" s="148" t="s">
        <v>165</v>
      </c>
      <c r="AU1746" s="148" t="s">
        <v>179</v>
      </c>
      <c r="AV1746" s="126" t="s">
        <v>130</v>
      </c>
      <c r="AW1746" s="1788" t="s">
        <v>10028</v>
      </c>
      <c r="AX1746" s="126" t="s">
        <v>136</v>
      </c>
      <c r="AZ1746" s="1774" t="s">
        <v>7909</v>
      </c>
    </row>
    <row r="1747">
      <c r="A1747" s="41">
        <v>1747.0</v>
      </c>
      <c r="B1747" s="126" t="s">
        <v>107</v>
      </c>
      <c r="C1747" s="59" t="s">
        <v>108</v>
      </c>
      <c r="D1747" s="59" t="s">
        <v>241</v>
      </c>
      <c r="F1747" s="126" t="s">
        <v>10011</v>
      </c>
      <c r="G1747" s="126" t="s">
        <v>10064</v>
      </c>
      <c r="H1747" s="148" t="s">
        <v>242</v>
      </c>
      <c r="I1747" s="150">
        <v>45754.0</v>
      </c>
      <c r="J1747" s="1778">
        <v>45765.0</v>
      </c>
      <c r="K1747" s="148" t="s">
        <v>10065</v>
      </c>
      <c r="L1747" s="1773" t="s">
        <v>10014</v>
      </c>
      <c r="M1747" s="126" t="s">
        <v>10015</v>
      </c>
      <c r="N1747" s="126" t="s">
        <v>10016</v>
      </c>
      <c r="O1747" s="498">
        <v>1.0</v>
      </c>
      <c r="P1747" s="525" t="s">
        <v>10017</v>
      </c>
      <c r="Q1747" s="105" t="str">
        <f t="array" ref="Q1747"> if(iserror(MATCH(V1747, 'File Links'!C:C, 0)), "N/A", HYPERLINK(INDEX('File Links'!B:B, MATCH(P1747, 'File Links'!C:C, 0))))</f>
        <v>N/A</v>
      </c>
      <c r="R1747" s="1689" t="s">
        <v>10018</v>
      </c>
      <c r="S1747" s="126" t="s">
        <v>10019</v>
      </c>
      <c r="T1747" s="1371"/>
      <c r="U1747" s="333"/>
      <c r="V1747" s="148" t="s">
        <v>10020</v>
      </c>
      <c r="W1747" s="156"/>
      <c r="X1747" s="46" t="str">
        <f t="array" ref="X1747"> if(iserror(MATCH(V1747, 'File Links'!C:C, 0)), "N/A", HYPERLINK(INDEX('File Links'!B:B, MATCH(V1747, 'File Links'!C:C, 0))))</f>
        <v>N/A</v>
      </c>
      <c r="Y1747" s="65"/>
      <c r="Z1747" s="148" t="s">
        <v>2072</v>
      </c>
      <c r="AA1747" s="368" t="s">
        <v>10021</v>
      </c>
      <c r="AB1747" s="148" t="s">
        <v>10022</v>
      </c>
      <c r="AC1747" s="148" t="s">
        <v>10066</v>
      </c>
      <c r="AD1747" s="377" t="s">
        <v>10067</v>
      </c>
      <c r="AE1747" s="1776" t="s">
        <v>10025</v>
      </c>
      <c r="AF1747" s="1786">
        <v>171.0</v>
      </c>
      <c r="AG1747" s="158">
        <v>0.57</v>
      </c>
      <c r="AH1747" s="148" t="s">
        <v>208</v>
      </c>
      <c r="AI1747" s="148" t="s">
        <v>10026</v>
      </c>
      <c r="AJ1747" s="158">
        <v>0.001</v>
      </c>
      <c r="AK1747" s="148" t="s">
        <v>128</v>
      </c>
      <c r="AL1747" s="148" t="s">
        <v>179</v>
      </c>
      <c r="AM1747" s="126" t="s">
        <v>130</v>
      </c>
      <c r="AN1747" s="126" t="s">
        <v>131</v>
      </c>
      <c r="AO1747" s="158">
        <v>823.0</v>
      </c>
      <c r="AP1747" s="1787">
        <v>-0.327</v>
      </c>
      <c r="AQ1747" s="148" t="s">
        <v>208</v>
      </c>
      <c r="AR1747" s="148" t="s">
        <v>10068</v>
      </c>
      <c r="AS1747" s="158">
        <v>0.005</v>
      </c>
      <c r="AT1747" s="148" t="s">
        <v>165</v>
      </c>
      <c r="AU1747" s="148" t="s">
        <v>179</v>
      </c>
      <c r="AV1747" s="126" t="s">
        <v>130</v>
      </c>
      <c r="AW1747" s="1788" t="s">
        <v>10028</v>
      </c>
      <c r="AX1747" s="126" t="s">
        <v>136</v>
      </c>
      <c r="AZ1747" s="1774" t="s">
        <v>7909</v>
      </c>
    </row>
    <row r="1748">
      <c r="A1748" s="41">
        <v>1748.0</v>
      </c>
      <c r="B1748" s="126" t="s">
        <v>107</v>
      </c>
      <c r="C1748" s="59" t="s">
        <v>108</v>
      </c>
      <c r="D1748" s="59" t="s">
        <v>241</v>
      </c>
      <c r="F1748" s="126" t="s">
        <v>10011</v>
      </c>
      <c r="G1748" s="126" t="s">
        <v>10069</v>
      </c>
      <c r="H1748" s="148" t="s">
        <v>242</v>
      </c>
      <c r="I1748" s="150">
        <v>45754.0</v>
      </c>
      <c r="J1748" s="1778">
        <v>45765.0</v>
      </c>
      <c r="K1748" s="148" t="s">
        <v>10070</v>
      </c>
      <c r="L1748" s="1773" t="s">
        <v>10014</v>
      </c>
      <c r="M1748" s="126" t="s">
        <v>10015</v>
      </c>
      <c r="N1748" s="126" t="s">
        <v>10016</v>
      </c>
      <c r="O1748" s="498">
        <v>1.0</v>
      </c>
      <c r="P1748" s="525" t="s">
        <v>10017</v>
      </c>
      <c r="Q1748" s="105" t="str">
        <f t="array" ref="Q1748"> if(iserror(MATCH(V1748, 'File Links'!C:C, 0)), "N/A", HYPERLINK(INDEX('File Links'!B:B, MATCH(P1748, 'File Links'!C:C, 0))))</f>
        <v>N/A</v>
      </c>
      <c r="R1748" s="1689" t="s">
        <v>10018</v>
      </c>
      <c r="S1748" s="126" t="s">
        <v>10019</v>
      </c>
      <c r="T1748" s="1371"/>
      <c r="U1748" s="333"/>
      <c r="V1748" s="148" t="s">
        <v>10020</v>
      </c>
      <c r="W1748" s="156"/>
      <c r="X1748" s="46" t="str">
        <f t="array" ref="X1748"> if(iserror(MATCH(V1748, 'File Links'!C:C, 0)), "N/A", HYPERLINK(INDEX('File Links'!B:B, MATCH(V1748, 'File Links'!C:C, 0))))</f>
        <v>N/A</v>
      </c>
      <c r="Y1748" s="65"/>
      <c r="Z1748" s="148" t="s">
        <v>2072</v>
      </c>
      <c r="AA1748" s="368" t="s">
        <v>10021</v>
      </c>
      <c r="AB1748" s="148" t="s">
        <v>10022</v>
      </c>
      <c r="AC1748" s="148" t="s">
        <v>10071</v>
      </c>
      <c r="AD1748" s="377" t="s">
        <v>10072</v>
      </c>
      <c r="AE1748" s="1776" t="s">
        <v>10025</v>
      </c>
      <c r="AF1748" s="1786">
        <v>171.0</v>
      </c>
      <c r="AG1748" s="158">
        <v>0.245</v>
      </c>
      <c r="AH1748" s="148" t="s">
        <v>208</v>
      </c>
      <c r="AI1748" s="148" t="s">
        <v>10026</v>
      </c>
      <c r="AJ1748" s="158">
        <v>0.001</v>
      </c>
      <c r="AK1748" s="148" t="s">
        <v>128</v>
      </c>
      <c r="AL1748" s="148" t="s">
        <v>179</v>
      </c>
      <c r="AM1748" s="126" t="s">
        <v>130</v>
      </c>
      <c r="AN1748" s="126" t="s">
        <v>131</v>
      </c>
      <c r="AO1748" s="158">
        <v>823.0</v>
      </c>
      <c r="AP1748" s="1787">
        <v>0.252</v>
      </c>
      <c r="AQ1748" s="148" t="s">
        <v>208</v>
      </c>
      <c r="AR1748" s="148" t="s">
        <v>10073</v>
      </c>
      <c r="AS1748" s="158">
        <v>0.001</v>
      </c>
      <c r="AT1748" s="148" t="s">
        <v>128</v>
      </c>
      <c r="AU1748" s="148" t="s">
        <v>179</v>
      </c>
      <c r="AV1748" s="126" t="s">
        <v>130</v>
      </c>
      <c r="AW1748" s="1788" t="s">
        <v>10028</v>
      </c>
      <c r="AX1748" s="126" t="s">
        <v>136</v>
      </c>
      <c r="AZ1748" s="1774" t="s">
        <v>7909</v>
      </c>
    </row>
    <row r="1749">
      <c r="A1749" s="41">
        <v>1749.0</v>
      </c>
      <c r="B1749" s="126" t="s">
        <v>107</v>
      </c>
      <c r="C1749" s="59" t="s">
        <v>108</v>
      </c>
      <c r="D1749" s="59" t="s">
        <v>241</v>
      </c>
      <c r="F1749" s="126" t="s">
        <v>10011</v>
      </c>
      <c r="G1749" s="126" t="s">
        <v>10074</v>
      </c>
      <c r="H1749" s="148" t="s">
        <v>242</v>
      </c>
      <c r="I1749" s="150">
        <v>45754.0</v>
      </c>
      <c r="J1749" s="1778">
        <v>45765.0</v>
      </c>
      <c r="K1749" s="148" t="s">
        <v>10075</v>
      </c>
      <c r="L1749" s="1773" t="s">
        <v>10014</v>
      </c>
      <c r="M1749" s="126" t="s">
        <v>10015</v>
      </c>
      <c r="N1749" s="126" t="s">
        <v>10016</v>
      </c>
      <c r="O1749" s="498">
        <v>1.0</v>
      </c>
      <c r="P1749" s="525" t="s">
        <v>10017</v>
      </c>
      <c r="Q1749" s="105" t="str">
        <f t="array" ref="Q1749"> if(iserror(MATCH(V1749, 'File Links'!C:C, 0)), "N/A", HYPERLINK(INDEX('File Links'!B:B, MATCH(P1749, 'File Links'!C:C, 0))))</f>
        <v>N/A</v>
      </c>
      <c r="R1749" s="1689" t="s">
        <v>10018</v>
      </c>
      <c r="S1749" s="126" t="s">
        <v>10019</v>
      </c>
      <c r="T1749" s="1371"/>
      <c r="U1749" s="333"/>
      <c r="V1749" s="148" t="s">
        <v>10020</v>
      </c>
      <c r="W1749" s="156"/>
      <c r="X1749" s="46" t="str">
        <f t="array" ref="X1749"> if(iserror(MATCH(V1749, 'File Links'!C:C, 0)), "N/A", HYPERLINK(INDEX('File Links'!B:B, MATCH(V1749, 'File Links'!C:C, 0))))</f>
        <v>N/A</v>
      </c>
      <c r="Y1749" s="65"/>
      <c r="Z1749" s="148" t="s">
        <v>2072</v>
      </c>
      <c r="AA1749" s="368" t="s">
        <v>10021</v>
      </c>
      <c r="AB1749" s="148" t="s">
        <v>10022</v>
      </c>
      <c r="AC1749" s="148" t="s">
        <v>10076</v>
      </c>
      <c r="AD1749" s="377" t="s">
        <v>10077</v>
      </c>
      <c r="AE1749" s="1776" t="s">
        <v>10025</v>
      </c>
      <c r="AF1749" s="1786">
        <v>171.0</v>
      </c>
      <c r="AG1749" s="158">
        <v>0.23</v>
      </c>
      <c r="AH1749" s="148" t="s">
        <v>208</v>
      </c>
      <c r="AI1749" s="148" t="s">
        <v>10026</v>
      </c>
      <c r="AJ1749" s="158">
        <v>0.001</v>
      </c>
      <c r="AK1749" s="148" t="s">
        <v>128</v>
      </c>
      <c r="AL1749" s="148" t="s">
        <v>179</v>
      </c>
      <c r="AM1749" s="126" t="s">
        <v>130</v>
      </c>
      <c r="AN1749" s="126" t="s">
        <v>131</v>
      </c>
      <c r="AO1749" s="158">
        <v>823.0</v>
      </c>
      <c r="AP1749" s="1787">
        <v>-0.327</v>
      </c>
      <c r="AQ1749" s="148" t="s">
        <v>208</v>
      </c>
      <c r="AR1749" s="148" t="s">
        <v>10078</v>
      </c>
      <c r="AS1749" s="158">
        <v>0.001</v>
      </c>
      <c r="AT1749" s="148" t="s">
        <v>128</v>
      </c>
      <c r="AU1749" s="148" t="s">
        <v>179</v>
      </c>
      <c r="AV1749" s="126" t="s">
        <v>130</v>
      </c>
      <c r="AW1749" s="1788" t="s">
        <v>10028</v>
      </c>
      <c r="AX1749" s="126" t="s">
        <v>136</v>
      </c>
      <c r="AZ1749" s="1774" t="s">
        <v>7909</v>
      </c>
    </row>
    <row r="1750">
      <c r="A1750" s="41">
        <v>1750.0</v>
      </c>
      <c r="B1750" s="126" t="s">
        <v>107</v>
      </c>
      <c r="C1750" s="59" t="s">
        <v>108</v>
      </c>
      <c r="D1750" s="59" t="s">
        <v>241</v>
      </c>
      <c r="F1750" s="126" t="s">
        <v>10011</v>
      </c>
      <c r="G1750" s="126" t="s">
        <v>10079</v>
      </c>
      <c r="H1750" s="148" t="s">
        <v>242</v>
      </c>
      <c r="I1750" s="150">
        <v>45754.0</v>
      </c>
      <c r="J1750" s="1778">
        <v>45765.0</v>
      </c>
      <c r="K1750" s="148" t="s">
        <v>10080</v>
      </c>
      <c r="L1750" s="1773" t="s">
        <v>10014</v>
      </c>
      <c r="M1750" s="126" t="s">
        <v>10015</v>
      </c>
      <c r="N1750" s="126" t="s">
        <v>10016</v>
      </c>
      <c r="O1750" s="498">
        <v>1.0</v>
      </c>
      <c r="P1750" s="525" t="s">
        <v>10017</v>
      </c>
      <c r="Q1750" s="105" t="str">
        <f t="array" ref="Q1750"> if(iserror(MATCH(V1750, 'File Links'!C:C, 0)), "N/A", HYPERLINK(INDEX('File Links'!B:B, MATCH(P1750, 'File Links'!C:C, 0))))</f>
        <v>N/A</v>
      </c>
      <c r="R1750" s="1689" t="s">
        <v>10018</v>
      </c>
      <c r="S1750" s="126" t="s">
        <v>10019</v>
      </c>
      <c r="T1750" s="1371"/>
      <c r="U1750" s="333"/>
      <c r="V1750" s="148" t="s">
        <v>10020</v>
      </c>
      <c r="W1750" s="156"/>
      <c r="X1750" s="46" t="str">
        <f t="array" ref="X1750"> if(iserror(MATCH(V1750, 'File Links'!C:C, 0)), "N/A", HYPERLINK(INDEX('File Links'!B:B, MATCH(V1750, 'File Links'!C:C, 0))))</f>
        <v>N/A</v>
      </c>
      <c r="Y1750" s="65"/>
      <c r="Z1750" s="148" t="s">
        <v>2072</v>
      </c>
      <c r="AA1750" s="368" t="s">
        <v>10021</v>
      </c>
      <c r="AB1750" s="148" t="s">
        <v>10022</v>
      </c>
      <c r="AC1750" s="148" t="s">
        <v>10081</v>
      </c>
      <c r="AD1750" s="377" t="s">
        <v>10082</v>
      </c>
      <c r="AE1750" s="1776" t="s">
        <v>10025</v>
      </c>
      <c r="AF1750" s="1786">
        <v>171.0</v>
      </c>
      <c r="AG1750" s="158">
        <v>0.796</v>
      </c>
      <c r="AH1750" s="148" t="s">
        <v>208</v>
      </c>
      <c r="AI1750" s="148" t="s">
        <v>10026</v>
      </c>
      <c r="AJ1750" s="158">
        <v>0.001</v>
      </c>
      <c r="AK1750" s="148" t="s">
        <v>128</v>
      </c>
      <c r="AL1750" s="148" t="s">
        <v>179</v>
      </c>
      <c r="AM1750" s="126" t="s">
        <v>130</v>
      </c>
      <c r="AN1750" s="126" t="s">
        <v>131</v>
      </c>
      <c r="AO1750" s="158">
        <v>823.0</v>
      </c>
      <c r="AP1750" s="1787">
        <v>0.434</v>
      </c>
      <c r="AQ1750" s="148" t="s">
        <v>208</v>
      </c>
      <c r="AR1750" s="148" t="s">
        <v>10083</v>
      </c>
      <c r="AS1750" s="158">
        <v>0.001</v>
      </c>
      <c r="AT1750" s="148" t="s">
        <v>128</v>
      </c>
      <c r="AU1750" s="148" t="s">
        <v>179</v>
      </c>
      <c r="AV1750" s="126" t="s">
        <v>130</v>
      </c>
      <c r="AW1750" s="1788" t="s">
        <v>10028</v>
      </c>
      <c r="AX1750" s="126" t="s">
        <v>136</v>
      </c>
      <c r="AZ1750" s="1774" t="s">
        <v>7909</v>
      </c>
    </row>
    <row r="1751">
      <c r="A1751" s="41">
        <v>1751.0</v>
      </c>
      <c r="B1751" s="126" t="s">
        <v>107</v>
      </c>
      <c r="C1751" s="59" t="s">
        <v>108</v>
      </c>
      <c r="D1751" s="59" t="s">
        <v>241</v>
      </c>
      <c r="F1751" s="126" t="s">
        <v>10011</v>
      </c>
      <c r="G1751" s="126" t="s">
        <v>10084</v>
      </c>
      <c r="H1751" s="148" t="s">
        <v>242</v>
      </c>
      <c r="I1751" s="150">
        <v>45754.0</v>
      </c>
      <c r="J1751" s="1778">
        <v>45765.0</v>
      </c>
      <c r="K1751" s="148" t="s">
        <v>10085</v>
      </c>
      <c r="L1751" s="1773" t="s">
        <v>10014</v>
      </c>
      <c r="M1751" s="126" t="s">
        <v>10015</v>
      </c>
      <c r="N1751" s="126" t="s">
        <v>10016</v>
      </c>
      <c r="O1751" s="498">
        <v>1.0</v>
      </c>
      <c r="P1751" s="525" t="s">
        <v>10017</v>
      </c>
      <c r="Q1751" s="105" t="str">
        <f t="array" ref="Q1751"> if(iserror(MATCH(V1751, 'File Links'!C:C, 0)), "N/A", HYPERLINK(INDEX('File Links'!B:B, MATCH(P1751, 'File Links'!C:C, 0))))</f>
        <v>N/A</v>
      </c>
      <c r="R1751" s="1689" t="s">
        <v>10018</v>
      </c>
      <c r="S1751" s="126" t="s">
        <v>10019</v>
      </c>
      <c r="T1751" s="1371"/>
      <c r="U1751" s="333"/>
      <c r="V1751" s="148" t="s">
        <v>10020</v>
      </c>
      <c r="W1751" s="156"/>
      <c r="X1751" s="46" t="str">
        <f t="array" ref="X1751"> if(iserror(MATCH(V1751, 'File Links'!C:C, 0)), "N/A", HYPERLINK(INDEX('File Links'!B:B, MATCH(V1751, 'File Links'!C:C, 0))))</f>
        <v>N/A</v>
      </c>
      <c r="Y1751" s="65"/>
      <c r="Z1751" s="148" t="s">
        <v>2072</v>
      </c>
      <c r="AA1751" s="368" t="s">
        <v>10021</v>
      </c>
      <c r="AB1751" s="148" t="s">
        <v>10022</v>
      </c>
      <c r="AC1751" s="148" t="s">
        <v>10086</v>
      </c>
      <c r="AD1751" s="377" t="s">
        <v>10087</v>
      </c>
      <c r="AE1751" s="1776" t="s">
        <v>10025</v>
      </c>
      <c r="AF1751" s="1786">
        <v>171.0</v>
      </c>
      <c r="AG1751" s="158">
        <v>0.336</v>
      </c>
      <c r="AH1751" s="148" t="s">
        <v>208</v>
      </c>
      <c r="AI1751" s="148" t="s">
        <v>10026</v>
      </c>
      <c r="AJ1751" s="158">
        <v>0.001</v>
      </c>
      <c r="AK1751" s="148" t="s">
        <v>128</v>
      </c>
      <c r="AL1751" s="148" t="s">
        <v>179</v>
      </c>
      <c r="AM1751" s="126" t="s">
        <v>130</v>
      </c>
      <c r="AN1751" s="126" t="s">
        <v>131</v>
      </c>
      <c r="AO1751" s="158">
        <v>823.0</v>
      </c>
      <c r="AP1751" s="1787">
        <v>0.12</v>
      </c>
      <c r="AQ1751" s="148" t="s">
        <v>208</v>
      </c>
      <c r="AR1751" s="148" t="s">
        <v>10088</v>
      </c>
      <c r="AS1751" s="158">
        <v>0.001</v>
      </c>
      <c r="AT1751" s="148" t="s">
        <v>128</v>
      </c>
      <c r="AU1751" s="148" t="s">
        <v>179</v>
      </c>
      <c r="AV1751" s="126" t="s">
        <v>130</v>
      </c>
      <c r="AW1751" s="1788" t="s">
        <v>10028</v>
      </c>
      <c r="AX1751" s="126" t="s">
        <v>136</v>
      </c>
      <c r="AZ1751" s="1774" t="s">
        <v>7909</v>
      </c>
    </row>
    <row r="1752">
      <c r="A1752" s="41">
        <v>1752.0</v>
      </c>
      <c r="B1752" s="1773" t="s">
        <v>145</v>
      </c>
      <c r="C1752" s="1774" t="s">
        <v>108</v>
      </c>
      <c r="D1752" s="1774" t="s">
        <v>138</v>
      </c>
      <c r="E1752" s="1775"/>
      <c r="F1752" s="1773" t="s">
        <v>10011</v>
      </c>
      <c r="G1752" s="1773" t="s">
        <v>10012</v>
      </c>
      <c r="H1752" s="1776" t="s">
        <v>10089</v>
      </c>
      <c r="I1752" s="1777">
        <v>45758.0</v>
      </c>
      <c r="J1752" s="1778">
        <v>45765.0</v>
      </c>
      <c r="K1752" s="1776" t="s">
        <v>10090</v>
      </c>
      <c r="L1752" s="1773" t="s">
        <v>10091</v>
      </c>
      <c r="M1752" s="1773" t="s">
        <v>10015</v>
      </c>
      <c r="N1752" s="1773" t="s">
        <v>10016</v>
      </c>
      <c r="O1752" s="1779">
        <v>1.0</v>
      </c>
      <c r="P1752" s="1780" t="s">
        <v>10017</v>
      </c>
      <c r="Q1752" s="105" t="str">
        <f t="array" ref="Q1752"> if(iserror(MATCH(V1752, 'File Links'!C:C, 0)), "N/A", HYPERLINK(INDEX('File Links'!B:B, MATCH(P1752, 'File Links'!C:C, 0))))</f>
        <v>N/A</v>
      </c>
      <c r="R1752" s="1781" t="s">
        <v>10018</v>
      </c>
      <c r="S1752" s="1773" t="s">
        <v>10019</v>
      </c>
      <c r="T1752" s="1782"/>
      <c r="U1752" s="1783"/>
      <c r="V1752" s="1776" t="s">
        <v>10020</v>
      </c>
      <c r="W1752" s="1784"/>
      <c r="X1752" s="46" t="str">
        <f t="array" ref="X1752"> if(iserror(MATCH(V1752, 'File Links'!C:C, 0)), "N/A", HYPERLINK(INDEX('File Links'!B:B, MATCH(V1752, 'File Links'!C:C, 0))))</f>
        <v>N/A</v>
      </c>
      <c r="Y1752" s="1785"/>
      <c r="Z1752" s="1776" t="s">
        <v>2072</v>
      </c>
      <c r="AA1752" s="368" t="s">
        <v>10021</v>
      </c>
      <c r="AB1752" s="1776" t="s">
        <v>10092</v>
      </c>
      <c r="AC1752" s="1776" t="s">
        <v>10023</v>
      </c>
      <c r="AD1752" s="377" t="s">
        <v>10024</v>
      </c>
      <c r="AE1752" s="1776" t="s">
        <v>10093</v>
      </c>
      <c r="AF1752" s="1786">
        <v>171.0</v>
      </c>
      <c r="AG1752" s="1786">
        <v>0.623</v>
      </c>
      <c r="AH1752" s="1776" t="s">
        <v>208</v>
      </c>
      <c r="AI1752" s="1776" t="s">
        <v>10094</v>
      </c>
      <c r="AJ1752" s="1786">
        <v>0.001</v>
      </c>
      <c r="AK1752" s="1776" t="s">
        <v>128</v>
      </c>
      <c r="AL1752" s="1776" t="s">
        <v>179</v>
      </c>
      <c r="AM1752" s="1773" t="s">
        <v>130</v>
      </c>
      <c r="AN1752" s="1773" t="s">
        <v>1528</v>
      </c>
      <c r="AO1752" s="1786">
        <v>823.0</v>
      </c>
      <c r="AP1752" s="1787">
        <v>0.244</v>
      </c>
      <c r="AQ1752" s="1776" t="s">
        <v>208</v>
      </c>
      <c r="AR1752" s="377" t="s">
        <v>10095</v>
      </c>
      <c r="AS1752" s="1786">
        <v>0.001</v>
      </c>
      <c r="AT1752" s="1776" t="s">
        <v>128</v>
      </c>
      <c r="AU1752" s="1776" t="s">
        <v>179</v>
      </c>
      <c r="AV1752" s="1773" t="s">
        <v>130</v>
      </c>
      <c r="AW1752" s="1789" t="s">
        <v>10028</v>
      </c>
      <c r="AX1752" s="1773" t="s">
        <v>136</v>
      </c>
      <c r="AY1752" s="1775"/>
      <c r="AZ1752" s="1774" t="s">
        <v>7909</v>
      </c>
    </row>
    <row r="1753">
      <c r="A1753" s="41">
        <v>1753.0</v>
      </c>
      <c r="B1753" s="126" t="s">
        <v>145</v>
      </c>
      <c r="C1753" s="59" t="s">
        <v>108</v>
      </c>
      <c r="D1753" s="59" t="s">
        <v>138</v>
      </c>
      <c r="F1753" s="126" t="s">
        <v>10096</v>
      </c>
      <c r="G1753" s="126" t="s">
        <v>10069</v>
      </c>
      <c r="H1753" s="148" t="s">
        <v>10089</v>
      </c>
      <c r="I1753" s="150">
        <v>45758.0</v>
      </c>
      <c r="J1753" s="1778">
        <v>45765.0</v>
      </c>
      <c r="K1753" s="156"/>
      <c r="L1753" s="1773" t="s">
        <v>10091</v>
      </c>
      <c r="M1753" s="126" t="s">
        <v>10015</v>
      </c>
      <c r="N1753" s="126" t="s">
        <v>10016</v>
      </c>
      <c r="O1753" s="498">
        <v>1.0</v>
      </c>
      <c r="P1753" s="525" t="s">
        <v>10017</v>
      </c>
      <c r="Q1753" s="105" t="str">
        <f t="array" ref="Q1753"> if(iserror(MATCH(V1753, 'File Links'!C:C, 0)), "N/A", HYPERLINK(INDEX('File Links'!B:B, MATCH(P1753, 'File Links'!C:C, 0))))</f>
        <v>N/A</v>
      </c>
      <c r="R1753" s="1689" t="s">
        <v>10018</v>
      </c>
      <c r="S1753" s="126" t="s">
        <v>10019</v>
      </c>
      <c r="T1753" s="1371"/>
      <c r="U1753" s="333"/>
      <c r="V1753" s="148" t="s">
        <v>10020</v>
      </c>
      <c r="W1753" s="156"/>
      <c r="X1753" s="46" t="str">
        <f t="array" ref="X1753"> if(iserror(MATCH(V1753, 'File Links'!C:C, 0)), "N/A", HYPERLINK(INDEX('File Links'!B:B, MATCH(V1753, 'File Links'!C:C, 0))))</f>
        <v>N/A</v>
      </c>
      <c r="Y1753" s="65"/>
      <c r="Z1753" s="148" t="s">
        <v>2072</v>
      </c>
      <c r="AA1753" s="368" t="s">
        <v>10021</v>
      </c>
      <c r="AB1753" s="148" t="s">
        <v>10092</v>
      </c>
      <c r="AC1753" s="148" t="s">
        <v>10071</v>
      </c>
      <c r="AD1753" s="377" t="s">
        <v>10072</v>
      </c>
      <c r="AE1753" s="148" t="s">
        <v>10093</v>
      </c>
      <c r="AF1753" s="1786">
        <v>171.0</v>
      </c>
      <c r="AG1753" s="158">
        <v>0.245</v>
      </c>
      <c r="AH1753" s="148" t="s">
        <v>208</v>
      </c>
      <c r="AI1753" s="148" t="s">
        <v>10094</v>
      </c>
      <c r="AJ1753" s="158">
        <v>0.001</v>
      </c>
      <c r="AK1753" s="148" t="s">
        <v>128</v>
      </c>
      <c r="AL1753" s="148" t="s">
        <v>179</v>
      </c>
      <c r="AM1753" s="126" t="s">
        <v>130</v>
      </c>
      <c r="AN1753" s="126" t="s">
        <v>1528</v>
      </c>
      <c r="AO1753" s="158">
        <v>823.0</v>
      </c>
      <c r="AP1753" s="1787">
        <v>0.252</v>
      </c>
      <c r="AQ1753" s="148" t="s">
        <v>208</v>
      </c>
      <c r="AR1753" s="377" t="s">
        <v>10095</v>
      </c>
      <c r="AS1753" s="158">
        <v>0.001</v>
      </c>
      <c r="AT1753" s="148" t="s">
        <v>128</v>
      </c>
      <c r="AU1753" s="148" t="s">
        <v>179</v>
      </c>
      <c r="AV1753" s="126" t="s">
        <v>130</v>
      </c>
      <c r="AW1753" s="1790" t="s">
        <v>10028</v>
      </c>
      <c r="AX1753" s="126" t="s">
        <v>136</v>
      </c>
      <c r="AZ1753" s="1774" t="s">
        <v>7909</v>
      </c>
    </row>
    <row r="1754">
      <c r="A1754" s="41">
        <v>1754.0</v>
      </c>
      <c r="B1754" s="126" t="s">
        <v>145</v>
      </c>
      <c r="C1754" s="59" t="s">
        <v>108</v>
      </c>
      <c r="D1754" s="59" t="s">
        <v>138</v>
      </c>
      <c r="F1754" s="126" t="s">
        <v>10097</v>
      </c>
      <c r="G1754" s="126" t="s">
        <v>10074</v>
      </c>
      <c r="H1754" s="148" t="s">
        <v>10089</v>
      </c>
      <c r="I1754" s="150">
        <v>45758.0</v>
      </c>
      <c r="J1754" s="1778">
        <v>45765.0</v>
      </c>
      <c r="K1754" s="156"/>
      <c r="L1754" s="1773" t="s">
        <v>10091</v>
      </c>
      <c r="M1754" s="126" t="s">
        <v>10015</v>
      </c>
      <c r="N1754" s="126" t="s">
        <v>10016</v>
      </c>
      <c r="O1754" s="498">
        <v>1.0</v>
      </c>
      <c r="P1754" s="525" t="s">
        <v>10017</v>
      </c>
      <c r="Q1754" s="105" t="str">
        <f t="array" ref="Q1754"> if(iserror(MATCH(V1754, 'File Links'!C:C, 0)), "N/A", HYPERLINK(INDEX('File Links'!B:B, MATCH(P1754, 'File Links'!C:C, 0))))</f>
        <v>N/A</v>
      </c>
      <c r="R1754" s="1689" t="s">
        <v>10018</v>
      </c>
      <c r="S1754" s="126" t="s">
        <v>10019</v>
      </c>
      <c r="T1754" s="1371"/>
      <c r="U1754" s="333"/>
      <c r="V1754" s="148" t="s">
        <v>10020</v>
      </c>
      <c r="W1754" s="156"/>
      <c r="X1754" s="46" t="str">
        <f t="array" ref="X1754"> if(iserror(MATCH(V1754, 'File Links'!C:C, 0)), "N/A", HYPERLINK(INDEX('File Links'!B:B, MATCH(V1754, 'File Links'!C:C, 0))))</f>
        <v>N/A</v>
      </c>
      <c r="Y1754" s="65"/>
      <c r="Z1754" s="148" t="s">
        <v>2072</v>
      </c>
      <c r="AA1754" s="368" t="s">
        <v>10021</v>
      </c>
      <c r="AB1754" s="148" t="s">
        <v>10092</v>
      </c>
      <c r="AC1754" s="148" t="s">
        <v>10076</v>
      </c>
      <c r="AD1754" s="377" t="s">
        <v>10077</v>
      </c>
      <c r="AE1754" s="148" t="s">
        <v>10093</v>
      </c>
      <c r="AF1754" s="1786">
        <v>171.0</v>
      </c>
      <c r="AG1754" s="158">
        <v>0.23</v>
      </c>
      <c r="AH1754" s="148" t="s">
        <v>208</v>
      </c>
      <c r="AI1754" s="148" t="s">
        <v>10094</v>
      </c>
      <c r="AJ1754" s="158">
        <v>0.001</v>
      </c>
      <c r="AK1754" s="148" t="s">
        <v>128</v>
      </c>
      <c r="AL1754" s="148" t="s">
        <v>179</v>
      </c>
      <c r="AM1754" s="126" t="s">
        <v>130</v>
      </c>
      <c r="AN1754" s="126" t="s">
        <v>1528</v>
      </c>
      <c r="AO1754" s="158">
        <v>823.0</v>
      </c>
      <c r="AP1754" s="1787">
        <v>-0.327</v>
      </c>
      <c r="AQ1754" s="148" t="s">
        <v>208</v>
      </c>
      <c r="AR1754" s="377" t="s">
        <v>10095</v>
      </c>
      <c r="AS1754" s="158">
        <v>0.001</v>
      </c>
      <c r="AT1754" s="148" t="s">
        <v>128</v>
      </c>
      <c r="AU1754" s="148" t="s">
        <v>179</v>
      </c>
      <c r="AV1754" s="126" t="s">
        <v>130</v>
      </c>
      <c r="AW1754" s="1790" t="s">
        <v>10028</v>
      </c>
      <c r="AX1754" s="126" t="s">
        <v>136</v>
      </c>
      <c r="AZ1754" s="1774" t="s">
        <v>7909</v>
      </c>
    </row>
    <row r="1755">
      <c r="A1755" s="41">
        <v>1755.0</v>
      </c>
      <c r="B1755" s="126" t="s">
        <v>145</v>
      </c>
      <c r="C1755" s="59" t="s">
        <v>108</v>
      </c>
      <c r="D1755" s="59" t="s">
        <v>138</v>
      </c>
      <c r="F1755" s="126" t="s">
        <v>10098</v>
      </c>
      <c r="G1755" s="126" t="s">
        <v>10079</v>
      </c>
      <c r="H1755" s="148" t="s">
        <v>10089</v>
      </c>
      <c r="I1755" s="150">
        <v>45758.0</v>
      </c>
      <c r="J1755" s="1778">
        <v>45765.0</v>
      </c>
      <c r="K1755" s="156"/>
      <c r="L1755" s="1773" t="s">
        <v>10091</v>
      </c>
      <c r="M1755" s="126" t="s">
        <v>10015</v>
      </c>
      <c r="N1755" s="126" t="s">
        <v>10016</v>
      </c>
      <c r="O1755" s="498">
        <v>1.0</v>
      </c>
      <c r="P1755" s="525" t="s">
        <v>10017</v>
      </c>
      <c r="Q1755" s="105" t="str">
        <f t="array" ref="Q1755"> if(iserror(MATCH(V1755, 'File Links'!C:C, 0)), "N/A", HYPERLINK(INDEX('File Links'!B:B, MATCH(P1755, 'File Links'!C:C, 0))))</f>
        <v>N/A</v>
      </c>
      <c r="R1755" s="1689" t="s">
        <v>10018</v>
      </c>
      <c r="S1755" s="126" t="s">
        <v>10019</v>
      </c>
      <c r="T1755" s="1371"/>
      <c r="U1755" s="333"/>
      <c r="V1755" s="148" t="s">
        <v>10020</v>
      </c>
      <c r="W1755" s="156"/>
      <c r="X1755" s="46" t="str">
        <f t="array" ref="X1755"> if(iserror(MATCH(V1755, 'File Links'!C:C, 0)), "N/A", HYPERLINK(INDEX('File Links'!B:B, MATCH(V1755, 'File Links'!C:C, 0))))</f>
        <v>N/A</v>
      </c>
      <c r="Y1755" s="65"/>
      <c r="Z1755" s="148" t="s">
        <v>2072</v>
      </c>
      <c r="AA1755" s="368" t="s">
        <v>10021</v>
      </c>
      <c r="AB1755" s="148" t="s">
        <v>10092</v>
      </c>
      <c r="AC1755" s="148" t="s">
        <v>10081</v>
      </c>
      <c r="AD1755" s="377" t="s">
        <v>10082</v>
      </c>
      <c r="AE1755" s="148" t="s">
        <v>10093</v>
      </c>
      <c r="AF1755" s="1786">
        <v>171.0</v>
      </c>
      <c r="AG1755" s="158">
        <v>0.796</v>
      </c>
      <c r="AH1755" s="148" t="s">
        <v>208</v>
      </c>
      <c r="AI1755" s="148" t="s">
        <v>10094</v>
      </c>
      <c r="AJ1755" s="158">
        <v>0.001</v>
      </c>
      <c r="AK1755" s="148" t="s">
        <v>128</v>
      </c>
      <c r="AL1755" s="148" t="s">
        <v>179</v>
      </c>
      <c r="AM1755" s="126" t="s">
        <v>130</v>
      </c>
      <c r="AN1755" s="126" t="s">
        <v>1528</v>
      </c>
      <c r="AO1755" s="158">
        <v>823.0</v>
      </c>
      <c r="AP1755" s="1787">
        <v>0.434</v>
      </c>
      <c r="AQ1755" s="148" t="s">
        <v>208</v>
      </c>
      <c r="AR1755" s="377" t="s">
        <v>10095</v>
      </c>
      <c r="AS1755" s="158">
        <v>0.001</v>
      </c>
      <c r="AT1755" s="148" t="s">
        <v>128</v>
      </c>
      <c r="AU1755" s="148" t="s">
        <v>179</v>
      </c>
      <c r="AV1755" s="126" t="s">
        <v>130</v>
      </c>
      <c r="AW1755" s="1790" t="s">
        <v>10028</v>
      </c>
      <c r="AX1755" s="126" t="s">
        <v>136</v>
      </c>
      <c r="AZ1755" s="1774" t="s">
        <v>7909</v>
      </c>
    </row>
    <row r="1756">
      <c r="A1756" s="41">
        <v>1756.0</v>
      </c>
      <c r="B1756" s="126" t="s">
        <v>145</v>
      </c>
      <c r="C1756" s="59" t="s">
        <v>108</v>
      </c>
      <c r="D1756" s="59" t="s">
        <v>138</v>
      </c>
      <c r="F1756" s="126" t="s">
        <v>10099</v>
      </c>
      <c r="G1756" s="126" t="s">
        <v>10084</v>
      </c>
      <c r="H1756" s="148" t="s">
        <v>10089</v>
      </c>
      <c r="I1756" s="150">
        <v>45758.0</v>
      </c>
      <c r="J1756" s="1778">
        <v>45765.0</v>
      </c>
      <c r="K1756" s="156"/>
      <c r="L1756" s="1773" t="s">
        <v>10091</v>
      </c>
      <c r="M1756" s="126" t="s">
        <v>10015</v>
      </c>
      <c r="N1756" s="126" t="s">
        <v>10016</v>
      </c>
      <c r="O1756" s="498">
        <v>1.0</v>
      </c>
      <c r="P1756" s="525" t="s">
        <v>10017</v>
      </c>
      <c r="Q1756" s="105" t="str">
        <f t="array" ref="Q1756"> if(iserror(MATCH(V1756, 'File Links'!C:C, 0)), "N/A", HYPERLINK(INDEX('File Links'!B:B, MATCH(P1756, 'File Links'!C:C, 0))))</f>
        <v>N/A</v>
      </c>
      <c r="R1756" s="1689" t="s">
        <v>10018</v>
      </c>
      <c r="S1756" s="126" t="s">
        <v>10019</v>
      </c>
      <c r="T1756" s="1371"/>
      <c r="U1756" s="333"/>
      <c r="V1756" s="148" t="s">
        <v>10020</v>
      </c>
      <c r="W1756" s="156"/>
      <c r="X1756" s="46" t="str">
        <f t="array" ref="X1756"> if(iserror(MATCH(V1756, 'File Links'!C:C, 0)), "N/A", HYPERLINK(INDEX('File Links'!B:B, MATCH(V1756, 'File Links'!C:C, 0))))</f>
        <v>N/A</v>
      </c>
      <c r="Y1756" s="65"/>
      <c r="Z1756" s="148" t="s">
        <v>2072</v>
      </c>
      <c r="AA1756" s="368" t="s">
        <v>10021</v>
      </c>
      <c r="AB1756" s="148" t="s">
        <v>10092</v>
      </c>
      <c r="AC1756" s="148" t="s">
        <v>10086</v>
      </c>
      <c r="AD1756" s="377" t="s">
        <v>10087</v>
      </c>
      <c r="AE1756" s="148" t="s">
        <v>10093</v>
      </c>
      <c r="AF1756" s="1786">
        <v>171.0</v>
      </c>
      <c r="AG1756" s="158">
        <v>0.336</v>
      </c>
      <c r="AH1756" s="148" t="s">
        <v>208</v>
      </c>
      <c r="AI1756" s="148" t="s">
        <v>10094</v>
      </c>
      <c r="AJ1756" s="158">
        <v>0.001</v>
      </c>
      <c r="AK1756" s="148" t="s">
        <v>128</v>
      </c>
      <c r="AL1756" s="148" t="s">
        <v>179</v>
      </c>
      <c r="AM1756" s="126" t="s">
        <v>130</v>
      </c>
      <c r="AN1756" s="126" t="s">
        <v>1528</v>
      </c>
      <c r="AO1756" s="158">
        <v>823.0</v>
      </c>
      <c r="AP1756" s="1787">
        <v>0.12</v>
      </c>
      <c r="AQ1756" s="148" t="s">
        <v>208</v>
      </c>
      <c r="AR1756" s="377" t="s">
        <v>10095</v>
      </c>
      <c r="AS1756" s="158">
        <v>0.001</v>
      </c>
      <c r="AT1756" s="148" t="s">
        <v>128</v>
      </c>
      <c r="AU1756" s="148" t="s">
        <v>179</v>
      </c>
      <c r="AV1756" s="126" t="s">
        <v>130</v>
      </c>
      <c r="AW1756" s="1790" t="s">
        <v>10028</v>
      </c>
      <c r="AX1756" s="126" t="s">
        <v>136</v>
      </c>
      <c r="AZ1756" s="1774" t="s">
        <v>7909</v>
      </c>
    </row>
    <row r="1757" ht="15.75" customHeight="1">
      <c r="A1757" s="41">
        <v>1757.0</v>
      </c>
      <c r="B1757" s="126" t="s">
        <v>145</v>
      </c>
      <c r="C1757" s="59" t="s">
        <v>108</v>
      </c>
      <c r="D1757" s="59" t="s">
        <v>138</v>
      </c>
      <c r="F1757" s="126" t="s">
        <v>10100</v>
      </c>
      <c r="G1757" s="126" t="s">
        <v>10029</v>
      </c>
      <c r="H1757" s="148" t="s">
        <v>10089</v>
      </c>
      <c r="I1757" s="150">
        <v>45758.0</v>
      </c>
      <c r="J1757" s="1778">
        <v>45765.0</v>
      </c>
      <c r="K1757" s="156"/>
      <c r="L1757" s="1773" t="s">
        <v>10091</v>
      </c>
      <c r="M1757" s="126" t="s">
        <v>10015</v>
      </c>
      <c r="N1757" s="126" t="s">
        <v>10016</v>
      </c>
      <c r="O1757" s="498">
        <v>1.0</v>
      </c>
      <c r="P1757" s="525" t="s">
        <v>10017</v>
      </c>
      <c r="Q1757" s="105" t="str">
        <f t="array" ref="Q1757"> if(iserror(MATCH(V1757, 'File Links'!C:C, 0)), "N/A", HYPERLINK(INDEX('File Links'!B:B, MATCH(P1757, 'File Links'!C:C, 0))))</f>
        <v>N/A</v>
      </c>
      <c r="R1757" s="1689" t="s">
        <v>10018</v>
      </c>
      <c r="S1757" s="126" t="s">
        <v>10019</v>
      </c>
      <c r="T1757" s="1371"/>
      <c r="U1757" s="333"/>
      <c r="V1757" s="148" t="s">
        <v>10020</v>
      </c>
      <c r="W1757" s="156"/>
      <c r="X1757" s="46" t="str">
        <f t="array" ref="X1757"> if(iserror(MATCH(V1757, 'File Links'!C:C, 0)), "N/A", HYPERLINK(INDEX('File Links'!B:B, MATCH(V1757, 'File Links'!C:C, 0))))</f>
        <v>N/A</v>
      </c>
      <c r="Y1757" s="65"/>
      <c r="Z1757" s="148" t="s">
        <v>2072</v>
      </c>
      <c r="AA1757" s="368" t="s">
        <v>10021</v>
      </c>
      <c r="AB1757" s="148" t="s">
        <v>10092</v>
      </c>
      <c r="AC1757" s="148" t="s">
        <v>10031</v>
      </c>
      <c r="AD1757" s="377" t="s">
        <v>10032</v>
      </c>
      <c r="AE1757" s="148" t="s">
        <v>10093</v>
      </c>
      <c r="AF1757" s="1786">
        <v>171.0</v>
      </c>
      <c r="AG1757" s="158">
        <v>0.638</v>
      </c>
      <c r="AH1757" s="148" t="s">
        <v>208</v>
      </c>
      <c r="AI1757" s="148" t="s">
        <v>10094</v>
      </c>
      <c r="AJ1757" s="158">
        <v>0.001</v>
      </c>
      <c r="AK1757" s="148" t="s">
        <v>128</v>
      </c>
      <c r="AL1757" s="148" t="s">
        <v>179</v>
      </c>
      <c r="AM1757" s="126" t="s">
        <v>130</v>
      </c>
      <c r="AN1757" s="126" t="s">
        <v>1528</v>
      </c>
      <c r="AO1757" s="158">
        <v>823.0</v>
      </c>
      <c r="AP1757" s="1787">
        <v>0.298</v>
      </c>
      <c r="AQ1757" s="148" t="s">
        <v>208</v>
      </c>
      <c r="AR1757" s="377" t="s">
        <v>10095</v>
      </c>
      <c r="AS1757" s="158">
        <v>0.001</v>
      </c>
      <c r="AT1757" s="148" t="s">
        <v>128</v>
      </c>
      <c r="AU1757" s="148" t="s">
        <v>179</v>
      </c>
      <c r="AV1757" s="126" t="s">
        <v>130</v>
      </c>
      <c r="AW1757" s="1790" t="s">
        <v>10028</v>
      </c>
      <c r="AX1757" s="126" t="s">
        <v>136</v>
      </c>
      <c r="AZ1757" s="1774" t="s">
        <v>7909</v>
      </c>
    </row>
    <row r="1758" ht="15.75" customHeight="1">
      <c r="A1758" s="41">
        <v>1758.0</v>
      </c>
      <c r="B1758" s="126" t="s">
        <v>145</v>
      </c>
      <c r="C1758" s="59" t="s">
        <v>108</v>
      </c>
      <c r="D1758" s="59" t="s">
        <v>138</v>
      </c>
      <c r="F1758" s="126" t="s">
        <v>10101</v>
      </c>
      <c r="G1758" s="126" t="s">
        <v>10034</v>
      </c>
      <c r="H1758" s="148" t="s">
        <v>10089</v>
      </c>
      <c r="I1758" s="150">
        <v>45758.0</v>
      </c>
      <c r="J1758" s="1778">
        <v>45765.0</v>
      </c>
      <c r="K1758" s="156"/>
      <c r="L1758" s="1773" t="s">
        <v>10091</v>
      </c>
      <c r="M1758" s="126" t="s">
        <v>10015</v>
      </c>
      <c r="N1758" s="126" t="s">
        <v>10016</v>
      </c>
      <c r="O1758" s="498">
        <v>1.0</v>
      </c>
      <c r="P1758" s="525" t="s">
        <v>10017</v>
      </c>
      <c r="Q1758" s="105" t="str">
        <f t="array" ref="Q1758"> if(iserror(MATCH(V1758, 'File Links'!C:C, 0)), "N/A", HYPERLINK(INDEX('File Links'!B:B, MATCH(P1758, 'File Links'!C:C, 0))))</f>
        <v>N/A</v>
      </c>
      <c r="R1758" s="1689" t="s">
        <v>10018</v>
      </c>
      <c r="S1758" s="126" t="s">
        <v>10019</v>
      </c>
      <c r="T1758" s="1371"/>
      <c r="U1758" s="333"/>
      <c r="V1758" s="148" t="s">
        <v>10020</v>
      </c>
      <c r="W1758" s="156"/>
      <c r="X1758" s="46" t="str">
        <f t="array" ref="X1758"> if(iserror(MATCH(V1758, 'File Links'!C:C, 0)), "N/A", HYPERLINK(INDEX('File Links'!B:B, MATCH(V1758, 'File Links'!C:C, 0))))</f>
        <v>N/A</v>
      </c>
      <c r="Y1758" s="65"/>
      <c r="Z1758" s="148" t="s">
        <v>2072</v>
      </c>
      <c r="AA1758" s="368" t="s">
        <v>10021</v>
      </c>
      <c r="AB1758" s="148" t="s">
        <v>10092</v>
      </c>
      <c r="AC1758" s="148" t="s">
        <v>10102</v>
      </c>
      <c r="AD1758" s="377" t="s">
        <v>10037</v>
      </c>
      <c r="AE1758" s="148" t="s">
        <v>10093</v>
      </c>
      <c r="AF1758" s="1786">
        <v>171.0</v>
      </c>
      <c r="AG1758" s="158">
        <v>0.283</v>
      </c>
      <c r="AH1758" s="148" t="s">
        <v>208</v>
      </c>
      <c r="AI1758" s="148" t="s">
        <v>10094</v>
      </c>
      <c r="AJ1758" s="158">
        <v>0.001</v>
      </c>
      <c r="AK1758" s="148" t="s">
        <v>128</v>
      </c>
      <c r="AL1758" s="148" t="s">
        <v>179</v>
      </c>
      <c r="AM1758" s="126" t="s">
        <v>130</v>
      </c>
      <c r="AN1758" s="126" t="s">
        <v>1528</v>
      </c>
      <c r="AO1758" s="158">
        <v>823.0</v>
      </c>
      <c r="AP1758" s="1787">
        <v>0.196</v>
      </c>
      <c r="AQ1758" s="148" t="s">
        <v>208</v>
      </c>
      <c r="AR1758" s="377" t="s">
        <v>10095</v>
      </c>
      <c r="AS1758" s="158">
        <v>0.001</v>
      </c>
      <c r="AT1758" s="148" t="s">
        <v>128</v>
      </c>
      <c r="AU1758" s="148" t="s">
        <v>179</v>
      </c>
      <c r="AV1758" s="126" t="s">
        <v>130</v>
      </c>
      <c r="AW1758" s="1790" t="s">
        <v>10028</v>
      </c>
      <c r="AX1758" s="126" t="s">
        <v>136</v>
      </c>
      <c r="AZ1758" s="1774" t="s">
        <v>7909</v>
      </c>
    </row>
    <row r="1759" ht="15.75" customHeight="1">
      <c r="A1759" s="41">
        <v>1759.0</v>
      </c>
      <c r="B1759" s="126" t="s">
        <v>145</v>
      </c>
      <c r="C1759" s="59" t="s">
        <v>108</v>
      </c>
      <c r="D1759" s="59" t="s">
        <v>138</v>
      </c>
      <c r="F1759" s="126" t="s">
        <v>10103</v>
      </c>
      <c r="G1759" s="126" t="s">
        <v>10039</v>
      </c>
      <c r="H1759" s="148" t="s">
        <v>10089</v>
      </c>
      <c r="I1759" s="150">
        <v>45758.0</v>
      </c>
      <c r="J1759" s="1778">
        <v>45765.0</v>
      </c>
      <c r="K1759" s="156"/>
      <c r="L1759" s="1773" t="s">
        <v>10091</v>
      </c>
      <c r="M1759" s="126" t="s">
        <v>10015</v>
      </c>
      <c r="N1759" s="126" t="s">
        <v>10016</v>
      </c>
      <c r="O1759" s="498">
        <v>1.0</v>
      </c>
      <c r="P1759" s="525" t="s">
        <v>10017</v>
      </c>
      <c r="Q1759" s="105" t="str">
        <f t="array" ref="Q1759"> if(iserror(MATCH(V1759, 'File Links'!C:C, 0)), "N/A", HYPERLINK(INDEX('File Links'!B:B, MATCH(P1759, 'File Links'!C:C, 0))))</f>
        <v>N/A</v>
      </c>
      <c r="R1759" s="1689" t="s">
        <v>10018</v>
      </c>
      <c r="S1759" s="126" t="s">
        <v>10019</v>
      </c>
      <c r="T1759" s="1371"/>
      <c r="U1759" s="333"/>
      <c r="V1759" s="148" t="s">
        <v>10020</v>
      </c>
      <c r="W1759" s="156"/>
      <c r="X1759" s="46" t="str">
        <f t="array" ref="X1759"> if(iserror(MATCH(V1759, 'File Links'!C:C, 0)), "N/A", HYPERLINK(INDEX('File Links'!B:B, MATCH(V1759, 'File Links'!C:C, 0))))</f>
        <v>N/A</v>
      </c>
      <c r="Y1759" s="65"/>
      <c r="Z1759" s="148" t="s">
        <v>2072</v>
      </c>
      <c r="AA1759" s="368" t="s">
        <v>10021</v>
      </c>
      <c r="AB1759" s="148" t="s">
        <v>10092</v>
      </c>
      <c r="AC1759" s="148" t="s">
        <v>10041</v>
      </c>
      <c r="AD1759" s="377" t="s">
        <v>10042</v>
      </c>
      <c r="AE1759" s="148" t="s">
        <v>10093</v>
      </c>
      <c r="AF1759" s="1786">
        <v>171.0</v>
      </c>
      <c r="AG1759" s="158">
        <v>0.819</v>
      </c>
      <c r="AH1759" s="148" t="s">
        <v>208</v>
      </c>
      <c r="AI1759" s="148" t="s">
        <v>10094</v>
      </c>
      <c r="AJ1759" s="158">
        <v>0.001</v>
      </c>
      <c r="AK1759" s="148" t="s">
        <v>128</v>
      </c>
      <c r="AL1759" s="148" t="s">
        <v>179</v>
      </c>
      <c r="AM1759" s="126" t="s">
        <v>130</v>
      </c>
      <c r="AN1759" s="126" t="s">
        <v>1528</v>
      </c>
      <c r="AO1759" s="158">
        <v>823.0</v>
      </c>
      <c r="AP1759" s="1787">
        <v>0.222</v>
      </c>
      <c r="AQ1759" s="148" t="s">
        <v>208</v>
      </c>
      <c r="AR1759" s="377" t="s">
        <v>10095</v>
      </c>
      <c r="AS1759" s="158">
        <v>0.001</v>
      </c>
      <c r="AT1759" s="148" t="s">
        <v>128</v>
      </c>
      <c r="AU1759" s="148" t="s">
        <v>179</v>
      </c>
      <c r="AV1759" s="126" t="s">
        <v>130</v>
      </c>
      <c r="AW1759" s="1790" t="s">
        <v>10028</v>
      </c>
      <c r="AX1759" s="126" t="s">
        <v>136</v>
      </c>
      <c r="AZ1759" s="1774" t="s">
        <v>7909</v>
      </c>
    </row>
    <row r="1760" ht="15.75" customHeight="1">
      <c r="A1760" s="41">
        <v>1760.0</v>
      </c>
      <c r="B1760" s="126" t="s">
        <v>145</v>
      </c>
      <c r="C1760" s="59" t="s">
        <v>108</v>
      </c>
      <c r="D1760" s="59" t="s">
        <v>138</v>
      </c>
      <c r="F1760" s="126" t="s">
        <v>10104</v>
      </c>
      <c r="G1760" s="126" t="s">
        <v>10044</v>
      </c>
      <c r="H1760" s="148" t="s">
        <v>10089</v>
      </c>
      <c r="I1760" s="150">
        <v>45758.0</v>
      </c>
      <c r="J1760" s="1778">
        <v>45765.0</v>
      </c>
      <c r="K1760" s="156"/>
      <c r="L1760" s="1773" t="s">
        <v>10091</v>
      </c>
      <c r="M1760" s="126" t="s">
        <v>10015</v>
      </c>
      <c r="N1760" s="126" t="s">
        <v>10016</v>
      </c>
      <c r="O1760" s="498">
        <v>1.0</v>
      </c>
      <c r="P1760" s="525" t="s">
        <v>10017</v>
      </c>
      <c r="Q1760" s="105" t="str">
        <f t="array" ref="Q1760"> if(iserror(MATCH(V1760, 'File Links'!C:C, 0)), "N/A", HYPERLINK(INDEX('File Links'!B:B, MATCH(P1760, 'File Links'!C:C, 0))))</f>
        <v>N/A</v>
      </c>
      <c r="R1760" s="1689" t="s">
        <v>10018</v>
      </c>
      <c r="S1760" s="126" t="s">
        <v>10019</v>
      </c>
      <c r="T1760" s="1371"/>
      <c r="U1760" s="333"/>
      <c r="V1760" s="148" t="s">
        <v>10020</v>
      </c>
      <c r="W1760" s="156"/>
      <c r="X1760" s="46" t="str">
        <f t="array" ref="X1760"> if(iserror(MATCH(V1760, 'File Links'!C:C, 0)), "N/A", HYPERLINK(INDEX('File Links'!B:B, MATCH(V1760, 'File Links'!C:C, 0))))</f>
        <v>N/A</v>
      </c>
      <c r="Y1760" s="65"/>
      <c r="Z1760" s="148" t="s">
        <v>2072</v>
      </c>
      <c r="AA1760" s="368" t="s">
        <v>10021</v>
      </c>
      <c r="AB1760" s="148" t="s">
        <v>10092</v>
      </c>
      <c r="AC1760" s="148" t="s">
        <v>10046</v>
      </c>
      <c r="AD1760" s="377" t="s">
        <v>10047</v>
      </c>
      <c r="AE1760" s="148" t="s">
        <v>10093</v>
      </c>
      <c r="AF1760" s="1786">
        <v>171.0</v>
      </c>
      <c r="AG1760" s="158">
        <v>0.215</v>
      </c>
      <c r="AH1760" s="148" t="s">
        <v>208</v>
      </c>
      <c r="AI1760" s="148" t="s">
        <v>10094</v>
      </c>
      <c r="AJ1760" s="158">
        <v>0.001</v>
      </c>
      <c r="AK1760" s="148" t="s">
        <v>128</v>
      </c>
      <c r="AL1760" s="148" t="s">
        <v>179</v>
      </c>
      <c r="AM1760" s="126" t="s">
        <v>130</v>
      </c>
      <c r="AN1760" s="126" t="s">
        <v>1528</v>
      </c>
      <c r="AO1760" s="158">
        <v>823.0</v>
      </c>
      <c r="AP1760" s="1787">
        <v>0.303</v>
      </c>
      <c r="AQ1760" s="148" t="s">
        <v>208</v>
      </c>
      <c r="AR1760" s="377" t="s">
        <v>10095</v>
      </c>
      <c r="AS1760" s="158">
        <v>0.001</v>
      </c>
      <c r="AT1760" s="148" t="s">
        <v>128</v>
      </c>
      <c r="AU1760" s="148" t="s">
        <v>179</v>
      </c>
      <c r="AV1760" s="126" t="s">
        <v>130</v>
      </c>
      <c r="AW1760" s="1790" t="s">
        <v>10028</v>
      </c>
      <c r="AX1760" s="126" t="s">
        <v>136</v>
      </c>
      <c r="AZ1760" s="1774" t="s">
        <v>7909</v>
      </c>
    </row>
    <row r="1761" ht="15.75" customHeight="1">
      <c r="A1761" s="41">
        <v>1761.0</v>
      </c>
      <c r="B1761" s="126" t="s">
        <v>145</v>
      </c>
      <c r="C1761" s="59" t="s">
        <v>108</v>
      </c>
      <c r="D1761" s="59" t="s">
        <v>138</v>
      </c>
      <c r="F1761" s="126" t="s">
        <v>10105</v>
      </c>
      <c r="G1761" s="126" t="s">
        <v>10049</v>
      </c>
      <c r="H1761" s="148" t="s">
        <v>10089</v>
      </c>
      <c r="I1761" s="150">
        <v>45758.0</v>
      </c>
      <c r="J1761" s="1778">
        <v>45765.0</v>
      </c>
      <c r="K1761" s="156"/>
      <c r="L1761" s="1773" t="s">
        <v>10091</v>
      </c>
      <c r="M1761" s="126" t="s">
        <v>10015</v>
      </c>
      <c r="N1761" s="126" t="s">
        <v>10016</v>
      </c>
      <c r="O1761" s="498">
        <v>1.0</v>
      </c>
      <c r="P1761" s="525" t="s">
        <v>10017</v>
      </c>
      <c r="Q1761" s="105" t="str">
        <f t="array" ref="Q1761"> if(iserror(MATCH(V1761, 'File Links'!C:C, 0)), "N/A", HYPERLINK(INDEX('File Links'!B:B, MATCH(P1761, 'File Links'!C:C, 0))))</f>
        <v>N/A</v>
      </c>
      <c r="R1761" s="1689" t="s">
        <v>10018</v>
      </c>
      <c r="S1761" s="126" t="s">
        <v>10019</v>
      </c>
      <c r="T1761" s="1371"/>
      <c r="U1761" s="333"/>
      <c r="V1761" s="148" t="s">
        <v>10020</v>
      </c>
      <c r="W1761" s="156"/>
      <c r="X1761" s="46" t="str">
        <f t="array" ref="X1761"> if(iserror(MATCH(V1761, 'File Links'!C:C, 0)), "N/A", HYPERLINK(INDEX('File Links'!B:B, MATCH(V1761, 'File Links'!C:C, 0))))</f>
        <v>N/A</v>
      </c>
      <c r="Y1761" s="65"/>
      <c r="Z1761" s="148" t="s">
        <v>2072</v>
      </c>
      <c r="AA1761" s="368" t="s">
        <v>10021</v>
      </c>
      <c r="AB1761" s="148" t="s">
        <v>10092</v>
      </c>
      <c r="AC1761" s="148" t="s">
        <v>10051</v>
      </c>
      <c r="AD1761" s="377" t="s">
        <v>10052</v>
      </c>
      <c r="AE1761" s="148" t="s">
        <v>10093</v>
      </c>
      <c r="AF1761" s="1786">
        <v>171.0</v>
      </c>
      <c r="AG1761" s="158">
        <v>0.411</v>
      </c>
      <c r="AH1761" s="148" t="s">
        <v>208</v>
      </c>
      <c r="AI1761" s="148" t="s">
        <v>10094</v>
      </c>
      <c r="AJ1761" s="158">
        <v>0.001</v>
      </c>
      <c r="AK1761" s="148" t="s">
        <v>128</v>
      </c>
      <c r="AL1761" s="148" t="s">
        <v>179</v>
      </c>
      <c r="AM1761" s="126" t="s">
        <v>130</v>
      </c>
      <c r="AN1761" s="126" t="s">
        <v>1528</v>
      </c>
      <c r="AO1761" s="158">
        <v>823.0</v>
      </c>
      <c r="AP1761" s="1787">
        <v>0.31</v>
      </c>
      <c r="AQ1761" s="148" t="s">
        <v>208</v>
      </c>
      <c r="AR1761" s="377" t="s">
        <v>10095</v>
      </c>
      <c r="AS1761" s="158">
        <v>0.001</v>
      </c>
      <c r="AT1761" s="148" t="s">
        <v>128</v>
      </c>
      <c r="AU1761" s="148" t="s">
        <v>179</v>
      </c>
      <c r="AV1761" s="126" t="s">
        <v>130</v>
      </c>
      <c r="AW1761" s="1790" t="s">
        <v>10028</v>
      </c>
      <c r="AX1761" s="126" t="s">
        <v>136</v>
      </c>
      <c r="AZ1761" s="1774" t="s">
        <v>7909</v>
      </c>
    </row>
    <row r="1762" ht="15.75" customHeight="1">
      <c r="A1762" s="41">
        <v>1762.0</v>
      </c>
      <c r="B1762" s="126" t="s">
        <v>145</v>
      </c>
      <c r="C1762" s="59" t="s">
        <v>108</v>
      </c>
      <c r="D1762" s="59" t="s">
        <v>138</v>
      </c>
      <c r="F1762" s="126" t="s">
        <v>10106</v>
      </c>
      <c r="G1762" s="126" t="s">
        <v>10054</v>
      </c>
      <c r="H1762" s="148" t="s">
        <v>10089</v>
      </c>
      <c r="I1762" s="150">
        <v>45758.0</v>
      </c>
      <c r="J1762" s="1778">
        <v>45765.0</v>
      </c>
      <c r="K1762" s="156"/>
      <c r="L1762" s="1773" t="s">
        <v>10091</v>
      </c>
      <c r="M1762" s="126" t="s">
        <v>10015</v>
      </c>
      <c r="N1762" s="126" t="s">
        <v>10016</v>
      </c>
      <c r="O1762" s="498">
        <v>1.0</v>
      </c>
      <c r="P1762" s="525" t="s">
        <v>10017</v>
      </c>
      <c r="Q1762" s="105" t="str">
        <f t="array" ref="Q1762"> if(iserror(MATCH(V1762, 'File Links'!C:C, 0)), "N/A", HYPERLINK(INDEX('File Links'!B:B, MATCH(P1762, 'File Links'!C:C, 0))))</f>
        <v>N/A</v>
      </c>
      <c r="R1762" s="1689" t="s">
        <v>10018</v>
      </c>
      <c r="S1762" s="126" t="s">
        <v>10019</v>
      </c>
      <c r="T1762" s="1371"/>
      <c r="U1762" s="333"/>
      <c r="V1762" s="148" t="s">
        <v>10020</v>
      </c>
      <c r="W1762" s="156"/>
      <c r="X1762" s="46" t="str">
        <f t="array" ref="X1762"> if(iserror(MATCH(V1762, 'File Links'!C:C, 0)), "N/A", HYPERLINK(INDEX('File Links'!B:B, MATCH(V1762, 'File Links'!C:C, 0))))</f>
        <v>N/A</v>
      </c>
      <c r="Y1762" s="65"/>
      <c r="Z1762" s="148" t="s">
        <v>2072</v>
      </c>
      <c r="AA1762" s="368" t="s">
        <v>10021</v>
      </c>
      <c r="AB1762" s="148" t="s">
        <v>10092</v>
      </c>
      <c r="AC1762" s="148" t="s">
        <v>10056</v>
      </c>
      <c r="AD1762" s="377" t="s">
        <v>10057</v>
      </c>
      <c r="AE1762" s="148" t="s">
        <v>10093</v>
      </c>
      <c r="AF1762" s="1786">
        <v>171.0</v>
      </c>
      <c r="AG1762" s="158">
        <v>0.615</v>
      </c>
      <c r="AH1762" s="148" t="s">
        <v>208</v>
      </c>
      <c r="AI1762" s="148" t="s">
        <v>10094</v>
      </c>
      <c r="AJ1762" s="158">
        <v>0.001</v>
      </c>
      <c r="AK1762" s="148" t="s">
        <v>128</v>
      </c>
      <c r="AL1762" s="148" t="s">
        <v>179</v>
      </c>
      <c r="AM1762" s="126" t="s">
        <v>130</v>
      </c>
      <c r="AN1762" s="126" t="s">
        <v>1528</v>
      </c>
      <c r="AO1762" s="158">
        <v>823.0</v>
      </c>
      <c r="AP1762" s="1787">
        <v>0.166</v>
      </c>
      <c r="AQ1762" s="148" t="s">
        <v>208</v>
      </c>
      <c r="AR1762" s="377" t="s">
        <v>10095</v>
      </c>
      <c r="AS1762" s="158">
        <v>0.001</v>
      </c>
      <c r="AT1762" s="148" t="s">
        <v>128</v>
      </c>
      <c r="AU1762" s="148" t="s">
        <v>179</v>
      </c>
      <c r="AV1762" s="126" t="s">
        <v>130</v>
      </c>
      <c r="AW1762" s="1790" t="s">
        <v>10028</v>
      </c>
      <c r="AX1762" s="126" t="s">
        <v>136</v>
      </c>
      <c r="AZ1762" s="1774" t="s">
        <v>7909</v>
      </c>
    </row>
    <row r="1763" ht="15.75" customHeight="1">
      <c r="A1763" s="41">
        <v>1763.0</v>
      </c>
      <c r="B1763" s="126" t="s">
        <v>145</v>
      </c>
      <c r="C1763" s="59" t="s">
        <v>108</v>
      </c>
      <c r="D1763" s="59" t="s">
        <v>138</v>
      </c>
      <c r="F1763" s="126" t="s">
        <v>10107</v>
      </c>
      <c r="G1763" s="126" t="s">
        <v>10059</v>
      </c>
      <c r="H1763" s="148" t="s">
        <v>10089</v>
      </c>
      <c r="I1763" s="150">
        <v>45758.0</v>
      </c>
      <c r="J1763" s="1778">
        <v>45765.0</v>
      </c>
      <c r="K1763" s="156"/>
      <c r="L1763" s="1773" t="s">
        <v>10091</v>
      </c>
      <c r="M1763" s="126" t="s">
        <v>10015</v>
      </c>
      <c r="N1763" s="126" t="s">
        <v>10016</v>
      </c>
      <c r="O1763" s="498">
        <v>1.0</v>
      </c>
      <c r="P1763" s="525" t="s">
        <v>10017</v>
      </c>
      <c r="Q1763" s="105" t="str">
        <f t="array" ref="Q1763"> if(iserror(MATCH(V1763, 'File Links'!C:C, 0)), "N/A", HYPERLINK(INDEX('File Links'!B:B, MATCH(P1763, 'File Links'!C:C, 0))))</f>
        <v>N/A</v>
      </c>
      <c r="R1763" s="1689" t="s">
        <v>10018</v>
      </c>
      <c r="S1763" s="126" t="s">
        <v>10019</v>
      </c>
      <c r="T1763" s="1371"/>
      <c r="U1763" s="333"/>
      <c r="V1763" s="148" t="s">
        <v>10020</v>
      </c>
      <c r="W1763" s="156"/>
      <c r="X1763" s="46" t="str">
        <f t="array" ref="X1763"> if(iserror(MATCH(V1763, 'File Links'!C:C, 0)), "N/A", HYPERLINK(INDEX('File Links'!B:B, MATCH(V1763, 'File Links'!C:C, 0))))</f>
        <v>N/A</v>
      </c>
      <c r="Y1763" s="65"/>
      <c r="Z1763" s="148" t="s">
        <v>2072</v>
      </c>
      <c r="AA1763" s="368" t="s">
        <v>10021</v>
      </c>
      <c r="AB1763" s="148" t="s">
        <v>10092</v>
      </c>
      <c r="AC1763" s="148" t="s">
        <v>10061</v>
      </c>
      <c r="AD1763" s="377" t="s">
        <v>10062</v>
      </c>
      <c r="AE1763" s="148" t="s">
        <v>10093</v>
      </c>
      <c r="AF1763" s="1786">
        <v>171.0</v>
      </c>
      <c r="AG1763" s="158">
        <v>0.23</v>
      </c>
      <c r="AH1763" s="148" t="s">
        <v>208</v>
      </c>
      <c r="AI1763" s="148" t="s">
        <v>10094</v>
      </c>
      <c r="AJ1763" s="158">
        <v>0.001</v>
      </c>
      <c r="AK1763" s="148" t="s">
        <v>128</v>
      </c>
      <c r="AL1763" s="148" t="s">
        <v>179</v>
      </c>
      <c r="AM1763" s="126" t="s">
        <v>130</v>
      </c>
      <c r="AN1763" s="126" t="s">
        <v>1528</v>
      </c>
      <c r="AO1763" s="158">
        <v>823.0</v>
      </c>
      <c r="AP1763" s="1787">
        <v>0.108</v>
      </c>
      <c r="AQ1763" s="148" t="s">
        <v>208</v>
      </c>
      <c r="AR1763" s="377" t="s">
        <v>10095</v>
      </c>
      <c r="AS1763" s="158">
        <v>0.002</v>
      </c>
      <c r="AT1763" s="148" t="s">
        <v>165</v>
      </c>
      <c r="AU1763" s="148" t="s">
        <v>179</v>
      </c>
      <c r="AV1763" s="126" t="s">
        <v>130</v>
      </c>
      <c r="AW1763" s="1790" t="s">
        <v>10028</v>
      </c>
      <c r="AX1763" s="126" t="s">
        <v>136</v>
      </c>
      <c r="AZ1763" s="1774" t="s">
        <v>7909</v>
      </c>
    </row>
    <row r="1764" ht="15.75" customHeight="1">
      <c r="A1764" s="41">
        <v>1764.0</v>
      </c>
      <c r="B1764" s="126" t="s">
        <v>145</v>
      </c>
      <c r="C1764" s="59" t="s">
        <v>108</v>
      </c>
      <c r="D1764" s="59" t="s">
        <v>138</v>
      </c>
      <c r="F1764" s="126" t="s">
        <v>10108</v>
      </c>
      <c r="G1764" s="126" t="s">
        <v>10064</v>
      </c>
      <c r="H1764" s="148" t="s">
        <v>10089</v>
      </c>
      <c r="I1764" s="150">
        <v>45758.0</v>
      </c>
      <c r="J1764" s="1778">
        <v>45765.0</v>
      </c>
      <c r="K1764" s="156"/>
      <c r="L1764" s="1773" t="s">
        <v>10091</v>
      </c>
      <c r="M1764" s="126" t="s">
        <v>10015</v>
      </c>
      <c r="N1764" s="126" t="s">
        <v>10016</v>
      </c>
      <c r="O1764" s="498">
        <v>1.0</v>
      </c>
      <c r="P1764" s="525" t="s">
        <v>10017</v>
      </c>
      <c r="Q1764" s="105" t="str">
        <f t="array" ref="Q1764"> if(iserror(MATCH(V1764, 'File Links'!C:C, 0)), "N/A", HYPERLINK(INDEX('File Links'!B:B, MATCH(P1764, 'File Links'!C:C, 0))))</f>
        <v>N/A</v>
      </c>
      <c r="R1764" s="1689" t="s">
        <v>10018</v>
      </c>
      <c r="S1764" s="126" t="s">
        <v>10019</v>
      </c>
      <c r="T1764" s="1371"/>
      <c r="U1764" s="333"/>
      <c r="V1764" s="148" t="s">
        <v>10020</v>
      </c>
      <c r="W1764" s="156"/>
      <c r="X1764" s="46" t="str">
        <f t="array" ref="X1764"> if(iserror(MATCH(V1764, 'File Links'!C:C, 0)), "N/A", HYPERLINK(INDEX('File Links'!B:B, MATCH(V1764, 'File Links'!C:C, 0))))</f>
        <v>N/A</v>
      </c>
      <c r="Y1764" s="65"/>
      <c r="Z1764" s="148" t="s">
        <v>2072</v>
      </c>
      <c r="AA1764" s="368" t="s">
        <v>10021</v>
      </c>
      <c r="AB1764" s="148" t="s">
        <v>10092</v>
      </c>
      <c r="AC1764" s="148" t="s">
        <v>10066</v>
      </c>
      <c r="AD1764" s="1535" t="s">
        <v>10109</v>
      </c>
      <c r="AE1764" s="148" t="s">
        <v>10093</v>
      </c>
      <c r="AF1764" s="1786">
        <v>171.0</v>
      </c>
      <c r="AG1764" s="158">
        <v>0.57</v>
      </c>
      <c r="AH1764" s="148" t="s">
        <v>208</v>
      </c>
      <c r="AI1764" s="148" t="s">
        <v>10094</v>
      </c>
      <c r="AJ1764" s="158">
        <v>0.001</v>
      </c>
      <c r="AK1764" s="148" t="s">
        <v>128</v>
      </c>
      <c r="AL1764" s="148" t="s">
        <v>179</v>
      </c>
      <c r="AM1764" s="126" t="s">
        <v>130</v>
      </c>
      <c r="AN1764" s="126" t="s">
        <v>1528</v>
      </c>
      <c r="AO1764" s="158">
        <v>823.0</v>
      </c>
      <c r="AP1764" s="1787">
        <v>-0.327</v>
      </c>
      <c r="AQ1764" s="148" t="s">
        <v>208</v>
      </c>
      <c r="AR1764" s="377" t="s">
        <v>10095</v>
      </c>
      <c r="AS1764" s="158">
        <v>0.005</v>
      </c>
      <c r="AT1764" s="148" t="s">
        <v>165</v>
      </c>
      <c r="AU1764" s="148" t="s">
        <v>179</v>
      </c>
      <c r="AV1764" s="126" t="s">
        <v>130</v>
      </c>
      <c r="AW1764" s="1790" t="s">
        <v>10028</v>
      </c>
      <c r="AX1764" s="126" t="s">
        <v>136</v>
      </c>
      <c r="AZ1764" s="1774" t="s">
        <v>7909</v>
      </c>
    </row>
    <row r="1765" ht="15.75" customHeight="1">
      <c r="A1765" s="41">
        <v>1765.0</v>
      </c>
      <c r="B1765" s="126" t="s">
        <v>107</v>
      </c>
      <c r="C1765" s="59" t="s">
        <v>108</v>
      </c>
      <c r="D1765" s="59" t="s">
        <v>241</v>
      </c>
      <c r="F1765" s="126" t="s">
        <v>10110</v>
      </c>
      <c r="G1765" s="126" t="s">
        <v>10110</v>
      </c>
      <c r="H1765" s="148" t="s">
        <v>242</v>
      </c>
      <c r="I1765" s="150">
        <v>45756.0</v>
      </c>
      <c r="J1765" s="1579">
        <v>45772.0</v>
      </c>
      <c r="K1765" s="148" t="s">
        <v>10111</v>
      </c>
      <c r="L1765" s="126" t="s">
        <v>10112</v>
      </c>
      <c r="M1765" s="126" t="s">
        <v>10113</v>
      </c>
      <c r="N1765" s="126" t="s">
        <v>10114</v>
      </c>
      <c r="O1765" s="498" t="s">
        <v>4085</v>
      </c>
      <c r="P1765" s="525" t="s">
        <v>10115</v>
      </c>
      <c r="Q1765" s="105" t="str">
        <f t="array" ref="Q1765"> if(iserror(MATCH(V1765, 'File Links'!C:C, 0)), "N/A", HYPERLINK(INDEX('File Links'!B:B, MATCH(P1765, 'File Links'!C:C, 0))))</f>
        <v>N/A</v>
      </c>
      <c r="R1765" s="1689" t="s">
        <v>10018</v>
      </c>
      <c r="S1765" s="126" t="s">
        <v>10019</v>
      </c>
      <c r="T1765" s="1371"/>
      <c r="U1765" s="333"/>
      <c r="V1765" s="148" t="s">
        <v>10020</v>
      </c>
      <c r="W1765" s="156"/>
      <c r="X1765" s="46" t="str">
        <f t="array" ref="X1765"> if(iserror(MATCH(V1765, 'File Links'!C:C, 0)), "N/A", HYPERLINK(INDEX('File Links'!B:B, MATCH(V1765, 'File Links'!C:C, 0))))</f>
        <v>N/A</v>
      </c>
      <c r="Y1765" s="65"/>
      <c r="Z1765" s="148" t="s">
        <v>2072</v>
      </c>
      <c r="AA1765" s="368" t="s">
        <v>10021</v>
      </c>
      <c r="AB1765" s="148" t="s">
        <v>10116</v>
      </c>
      <c r="AC1765" s="148" t="s">
        <v>10117</v>
      </c>
      <c r="AD1765" s="148" t="s">
        <v>10118</v>
      </c>
      <c r="AE1765" s="148" t="s">
        <v>500</v>
      </c>
      <c r="AF1765" s="158">
        <v>37.0</v>
      </c>
      <c r="AG1765" s="158" t="s">
        <v>10119</v>
      </c>
      <c r="AH1765" s="148" t="s">
        <v>127</v>
      </c>
      <c r="AI1765" s="148" t="s">
        <v>10120</v>
      </c>
      <c r="AJ1765" s="158">
        <v>0.05</v>
      </c>
      <c r="AK1765" s="148" t="s">
        <v>128</v>
      </c>
      <c r="AL1765" s="148" t="s">
        <v>179</v>
      </c>
      <c r="AM1765" s="126" t="s">
        <v>130</v>
      </c>
      <c r="AN1765" s="126" t="s">
        <v>131</v>
      </c>
      <c r="AO1765" s="158">
        <v>823.0</v>
      </c>
      <c r="AP1765" s="158">
        <v>0.001</v>
      </c>
      <c r="AQ1765" s="148" t="s">
        <v>867</v>
      </c>
      <c r="AR1765" s="148" t="s">
        <v>10121</v>
      </c>
      <c r="AS1765" s="158">
        <v>0.452</v>
      </c>
      <c r="AT1765" s="148" t="s">
        <v>165</v>
      </c>
      <c r="AU1765" s="148" t="s">
        <v>179</v>
      </c>
      <c r="AV1765" s="126" t="s">
        <v>130</v>
      </c>
      <c r="AW1765" s="1691" t="s">
        <v>10028</v>
      </c>
      <c r="AX1765" s="126" t="s">
        <v>136</v>
      </c>
      <c r="AZ1765" s="1623" t="s">
        <v>7909</v>
      </c>
    </row>
    <row r="1766" ht="15.75" customHeight="1">
      <c r="A1766" s="41">
        <v>1766.0</v>
      </c>
      <c r="B1766" s="126" t="s">
        <v>107</v>
      </c>
      <c r="C1766" s="59" t="s">
        <v>108</v>
      </c>
      <c r="D1766" s="59" t="s">
        <v>241</v>
      </c>
      <c r="F1766" s="126" t="s">
        <v>10110</v>
      </c>
      <c r="G1766" s="126" t="s">
        <v>10122</v>
      </c>
      <c r="H1766" s="148" t="s">
        <v>242</v>
      </c>
      <c r="I1766" s="150">
        <v>45756.0</v>
      </c>
      <c r="J1766" s="1579">
        <v>45772.0</v>
      </c>
      <c r="K1766" s="148" t="s">
        <v>10123</v>
      </c>
      <c r="L1766" s="126" t="s">
        <v>10112</v>
      </c>
      <c r="M1766" s="126" t="s">
        <v>10113</v>
      </c>
      <c r="N1766" s="126" t="s">
        <v>10114</v>
      </c>
      <c r="O1766" s="498" t="s">
        <v>4085</v>
      </c>
      <c r="P1766" s="525" t="s">
        <v>10115</v>
      </c>
      <c r="Q1766" s="105" t="str">
        <f t="array" ref="Q1766"> if(iserror(MATCH(V1766, 'File Links'!C:C, 0)), "N/A", HYPERLINK(INDEX('File Links'!B:B, MATCH(P1766, 'File Links'!C:C, 0))))</f>
        <v>N/A</v>
      </c>
      <c r="R1766" s="1689" t="s">
        <v>10018</v>
      </c>
      <c r="S1766" s="126" t="s">
        <v>10019</v>
      </c>
      <c r="T1766" s="1371"/>
      <c r="U1766" s="333"/>
      <c r="V1766" s="148" t="s">
        <v>10020</v>
      </c>
      <c r="W1766" s="156"/>
      <c r="X1766" s="46" t="str">
        <f t="array" ref="X1766"> if(iserror(MATCH(V1766, 'File Links'!C:C, 0)), "N/A", HYPERLINK(INDEX('File Links'!B:B, MATCH(V1766, 'File Links'!C:C, 0))))</f>
        <v>N/A</v>
      </c>
      <c r="Y1766" s="65"/>
      <c r="Z1766" s="148" t="s">
        <v>2072</v>
      </c>
      <c r="AA1766" s="368" t="s">
        <v>10021</v>
      </c>
      <c r="AB1766" s="148" t="s">
        <v>10116</v>
      </c>
      <c r="AC1766" s="148" t="s">
        <v>10124</v>
      </c>
      <c r="AD1766" s="148" t="s">
        <v>10125</v>
      </c>
      <c r="AE1766" s="148" t="s">
        <v>500</v>
      </c>
      <c r="AF1766" s="158">
        <v>37.0</v>
      </c>
      <c r="AG1766" s="158" t="s">
        <v>10126</v>
      </c>
      <c r="AH1766" s="148" t="s">
        <v>127</v>
      </c>
      <c r="AI1766" s="148" t="s">
        <v>10127</v>
      </c>
      <c r="AJ1766" s="158">
        <v>0.05</v>
      </c>
      <c r="AK1766" s="148" t="s">
        <v>128</v>
      </c>
      <c r="AL1766" s="148" t="s">
        <v>179</v>
      </c>
      <c r="AM1766" s="126" t="s">
        <v>130</v>
      </c>
      <c r="AN1766" s="126" t="s">
        <v>131</v>
      </c>
      <c r="AO1766" s="158">
        <v>823.0</v>
      </c>
      <c r="AP1766" s="158">
        <v>0.003</v>
      </c>
      <c r="AQ1766" s="148" t="s">
        <v>867</v>
      </c>
      <c r="AR1766" s="148" t="s">
        <v>10128</v>
      </c>
      <c r="AS1766" s="158">
        <v>0.123</v>
      </c>
      <c r="AT1766" s="148" t="s">
        <v>165</v>
      </c>
      <c r="AU1766" s="148" t="s">
        <v>179</v>
      </c>
      <c r="AV1766" s="126" t="s">
        <v>130</v>
      </c>
      <c r="AW1766" s="1691" t="s">
        <v>10028</v>
      </c>
      <c r="AX1766" s="126" t="s">
        <v>136</v>
      </c>
      <c r="AZ1766" s="1623" t="s">
        <v>7909</v>
      </c>
    </row>
    <row r="1767" ht="15.75" customHeight="1">
      <c r="A1767" s="41">
        <v>1767.0</v>
      </c>
      <c r="B1767" s="53" t="s">
        <v>107</v>
      </c>
      <c r="C1767" s="338" t="s">
        <v>108</v>
      </c>
      <c r="D1767" s="338" t="s">
        <v>241</v>
      </c>
      <c r="E1767" s="339"/>
      <c r="F1767" s="53" t="s">
        <v>10110</v>
      </c>
      <c r="G1767" s="53" t="s">
        <v>10129</v>
      </c>
      <c r="H1767" s="340" t="s">
        <v>242</v>
      </c>
      <c r="I1767" s="342">
        <v>45756.0</v>
      </c>
      <c r="J1767" s="1579">
        <v>45772.0</v>
      </c>
      <c r="K1767" s="340" t="s">
        <v>10130</v>
      </c>
      <c r="L1767" s="53" t="s">
        <v>10131</v>
      </c>
      <c r="M1767" s="53" t="s">
        <v>10113</v>
      </c>
      <c r="N1767" s="53" t="s">
        <v>10114</v>
      </c>
      <c r="O1767" s="52" t="s">
        <v>4085</v>
      </c>
      <c r="P1767" s="1688" t="s">
        <v>10115</v>
      </c>
      <c r="Q1767" s="105" t="str">
        <f t="array" ref="Q1767"> if(iserror(MATCH(V1767, 'File Links'!C:C, 0)), "N/A", HYPERLINK(INDEX('File Links'!B:B, MATCH(P1767, 'File Links'!C:C, 0))))</f>
        <v>N/A</v>
      </c>
      <c r="R1767" s="1689" t="s">
        <v>10018</v>
      </c>
      <c r="S1767" s="53" t="s">
        <v>10019</v>
      </c>
      <c r="T1767" s="1791"/>
      <c r="U1767" s="382"/>
      <c r="V1767" s="340" t="s">
        <v>10020</v>
      </c>
      <c r="W1767" s="357"/>
      <c r="X1767" s="46" t="str">
        <f t="array" ref="X1767"> if(iserror(MATCH(V1767, 'File Links'!C:C, 0)), "N/A", HYPERLINK(INDEX('File Links'!B:B, MATCH(V1767, 'File Links'!C:C, 0))))</f>
        <v>N/A</v>
      </c>
      <c r="Y1767" s="43"/>
      <c r="Z1767" s="340" t="s">
        <v>2072</v>
      </c>
      <c r="AA1767" s="53" t="s">
        <v>10021</v>
      </c>
      <c r="AB1767" s="340" t="s">
        <v>10116</v>
      </c>
      <c r="AC1767" s="340" t="s">
        <v>10117</v>
      </c>
      <c r="AD1767" s="340" t="s">
        <v>10118</v>
      </c>
      <c r="AE1767" s="340" t="s">
        <v>500</v>
      </c>
      <c r="AF1767" s="344">
        <v>37.0</v>
      </c>
      <c r="AG1767" s="344" t="s">
        <v>10119</v>
      </c>
      <c r="AH1767" s="340" t="s">
        <v>127</v>
      </c>
      <c r="AI1767" s="340" t="s">
        <v>10120</v>
      </c>
      <c r="AJ1767" s="344">
        <v>0.05</v>
      </c>
      <c r="AK1767" s="340" t="s">
        <v>128</v>
      </c>
      <c r="AL1767" s="340" t="s">
        <v>179</v>
      </c>
      <c r="AM1767" s="53" t="s">
        <v>130</v>
      </c>
      <c r="AN1767" s="53" t="s">
        <v>131</v>
      </c>
      <c r="AO1767" s="344">
        <v>823.0</v>
      </c>
      <c r="AP1767" s="344">
        <v>0.61</v>
      </c>
      <c r="AQ1767" s="340" t="s">
        <v>208</v>
      </c>
      <c r="AR1767" s="340" t="s">
        <v>10132</v>
      </c>
      <c r="AS1767" s="344">
        <v>0.081</v>
      </c>
      <c r="AT1767" s="340" t="s">
        <v>165</v>
      </c>
      <c r="AU1767" s="340" t="s">
        <v>179</v>
      </c>
      <c r="AV1767" s="53" t="s">
        <v>130</v>
      </c>
      <c r="AW1767" s="1691" t="s">
        <v>131</v>
      </c>
      <c r="AX1767" s="53" t="s">
        <v>136</v>
      </c>
      <c r="AY1767" s="339"/>
      <c r="AZ1767" s="338" t="s">
        <v>7909</v>
      </c>
    </row>
    <row r="1768" ht="15.75" customHeight="1">
      <c r="A1768" s="41">
        <v>1768.0</v>
      </c>
      <c r="B1768" s="126" t="s">
        <v>145</v>
      </c>
      <c r="C1768" s="59" t="s">
        <v>108</v>
      </c>
      <c r="D1768" s="59" t="s">
        <v>138</v>
      </c>
      <c r="F1768" s="126" t="s">
        <v>10110</v>
      </c>
      <c r="G1768" s="126" t="s">
        <v>10133</v>
      </c>
      <c r="H1768" s="148" t="s">
        <v>10089</v>
      </c>
      <c r="I1768" s="150">
        <v>45761.0</v>
      </c>
      <c r="J1768" s="1579">
        <v>45772.0</v>
      </c>
      <c r="K1768" s="156"/>
      <c r="L1768" s="53" t="s">
        <v>10134</v>
      </c>
      <c r="M1768" s="126" t="s">
        <v>10113</v>
      </c>
      <c r="N1768" s="126" t="s">
        <v>10114</v>
      </c>
      <c r="O1768" s="498" t="s">
        <v>4085</v>
      </c>
      <c r="P1768" s="525" t="s">
        <v>10115</v>
      </c>
      <c r="Q1768" s="105" t="str">
        <f t="array" ref="Q1768"> if(iserror(MATCH(V1768, 'File Links'!C:C, 0)), "N/A", HYPERLINK(INDEX('File Links'!B:B, MATCH(P1768, 'File Links'!C:C, 0))))</f>
        <v>N/A</v>
      </c>
      <c r="R1768" s="1689" t="s">
        <v>10018</v>
      </c>
      <c r="S1768" s="126" t="s">
        <v>10019</v>
      </c>
      <c r="T1768" s="1371"/>
      <c r="U1768" s="333"/>
      <c r="V1768" s="148" t="s">
        <v>10020</v>
      </c>
      <c r="W1768" s="156"/>
      <c r="X1768" s="46" t="str">
        <f t="array" ref="X1768"> if(iserror(MATCH(V1768, 'File Links'!C:C, 0)), "N/A", HYPERLINK(INDEX('File Links'!B:B, MATCH(V1768, 'File Links'!C:C, 0))))</f>
        <v>N/A</v>
      </c>
      <c r="Y1768" s="65"/>
      <c r="Z1768" s="148" t="s">
        <v>2072</v>
      </c>
      <c r="AA1768" s="53" t="s">
        <v>10021</v>
      </c>
      <c r="AB1768" s="148" t="s">
        <v>10135</v>
      </c>
      <c r="AC1768" s="148" t="s">
        <v>10117</v>
      </c>
      <c r="AD1768" s="148" t="s">
        <v>10136</v>
      </c>
      <c r="AE1768" s="148">
        <v>3.0</v>
      </c>
      <c r="AF1768" s="158">
        <v>37.0</v>
      </c>
      <c r="AG1768" s="158" t="s">
        <v>10119</v>
      </c>
      <c r="AH1768" s="148" t="s">
        <v>127</v>
      </c>
      <c r="AI1768" s="148" t="s">
        <v>210</v>
      </c>
      <c r="AJ1768" s="158">
        <v>0.05</v>
      </c>
      <c r="AK1768" s="148" t="s">
        <v>128</v>
      </c>
      <c r="AL1768" s="148" t="s">
        <v>179</v>
      </c>
      <c r="AM1768" s="126" t="s">
        <v>130</v>
      </c>
      <c r="AN1768" s="126" t="s">
        <v>1528</v>
      </c>
      <c r="AO1768" s="158">
        <v>823.0</v>
      </c>
      <c r="AP1768" s="158">
        <v>0.026</v>
      </c>
      <c r="AQ1768" s="148" t="s">
        <v>208</v>
      </c>
      <c r="AR1768" s="148" t="s">
        <v>10137</v>
      </c>
      <c r="AS1768" s="158">
        <v>0.452</v>
      </c>
      <c r="AT1768" s="148" t="s">
        <v>165</v>
      </c>
      <c r="AU1768" s="148" t="s">
        <v>179</v>
      </c>
      <c r="AV1768" s="126" t="s">
        <v>130</v>
      </c>
      <c r="AW1768" s="1790" t="s">
        <v>10028</v>
      </c>
      <c r="AX1768" s="126" t="s">
        <v>136</v>
      </c>
      <c r="AZ1768" s="338" t="s">
        <v>7909</v>
      </c>
    </row>
    <row r="1769" ht="15.75" customHeight="1">
      <c r="A1769" s="41">
        <v>1769.0</v>
      </c>
      <c r="B1769" s="53" t="s">
        <v>145</v>
      </c>
      <c r="C1769" s="338" t="s">
        <v>108</v>
      </c>
      <c r="D1769" s="338" t="s">
        <v>138</v>
      </c>
      <c r="E1769" s="339"/>
      <c r="F1769" s="53" t="s">
        <v>10138</v>
      </c>
      <c r="G1769" s="53" t="s">
        <v>10122</v>
      </c>
      <c r="H1769" s="340" t="s">
        <v>10089</v>
      </c>
      <c r="I1769" s="342">
        <v>45761.0</v>
      </c>
      <c r="J1769" s="1579">
        <v>45772.0</v>
      </c>
      <c r="K1769" s="357"/>
      <c r="L1769" s="53" t="s">
        <v>10134</v>
      </c>
      <c r="M1769" s="53" t="s">
        <v>10113</v>
      </c>
      <c r="N1769" s="53" t="s">
        <v>10114</v>
      </c>
      <c r="O1769" s="52" t="s">
        <v>4085</v>
      </c>
      <c r="P1769" s="1688" t="s">
        <v>10115</v>
      </c>
      <c r="Q1769" s="105" t="str">
        <f t="array" ref="Q1769"> if(iserror(MATCH(V1769, 'File Links'!C:C, 0)), "N/A", HYPERLINK(INDEX('File Links'!B:B, MATCH(P1769, 'File Links'!C:C, 0))))</f>
        <v>N/A</v>
      </c>
      <c r="R1769" s="1689" t="s">
        <v>10018</v>
      </c>
      <c r="S1769" s="53" t="s">
        <v>10019</v>
      </c>
      <c r="T1769" s="1791"/>
      <c r="U1769" s="382"/>
      <c r="V1769" s="340" t="s">
        <v>10020</v>
      </c>
      <c r="W1769" s="357"/>
      <c r="X1769" s="46" t="str">
        <f t="array" ref="X1769"> if(iserror(MATCH(V1769, 'File Links'!C:C, 0)), "N/A", HYPERLINK(INDEX('File Links'!B:B, MATCH(V1769, 'File Links'!C:C, 0))))</f>
        <v>N/A</v>
      </c>
      <c r="Y1769" s="43"/>
      <c r="Z1769" s="340" t="s">
        <v>2072</v>
      </c>
      <c r="AA1769" s="53" t="s">
        <v>10021</v>
      </c>
      <c r="AB1769" s="340" t="s">
        <v>10135</v>
      </c>
      <c r="AC1769" s="340" t="s">
        <v>10124</v>
      </c>
      <c r="AD1769" s="340" t="s">
        <v>10139</v>
      </c>
      <c r="AE1769" s="340">
        <v>3.0</v>
      </c>
      <c r="AF1769" s="344">
        <v>37.0</v>
      </c>
      <c r="AG1769" s="344" t="s">
        <v>10140</v>
      </c>
      <c r="AH1769" s="340" t="s">
        <v>127</v>
      </c>
      <c r="AI1769" s="340" t="s">
        <v>210</v>
      </c>
      <c r="AJ1769" s="344">
        <v>0.05</v>
      </c>
      <c r="AK1769" s="340" t="s">
        <v>128</v>
      </c>
      <c r="AL1769" s="340" t="s">
        <v>179</v>
      </c>
      <c r="AM1769" s="53" t="s">
        <v>130</v>
      </c>
      <c r="AN1769" s="53" t="s">
        <v>1528</v>
      </c>
      <c r="AO1769" s="344">
        <v>823.0</v>
      </c>
      <c r="AP1769" s="344">
        <v>0.054</v>
      </c>
      <c r="AQ1769" s="340" t="s">
        <v>208</v>
      </c>
      <c r="AR1769" s="340" t="s">
        <v>10137</v>
      </c>
      <c r="AS1769" s="344">
        <v>0.123</v>
      </c>
      <c r="AT1769" s="340" t="s">
        <v>165</v>
      </c>
      <c r="AU1769" s="340" t="s">
        <v>179</v>
      </c>
      <c r="AV1769" s="53" t="s">
        <v>130</v>
      </c>
      <c r="AW1769" s="1691" t="s">
        <v>10028</v>
      </c>
      <c r="AX1769" s="53" t="s">
        <v>136</v>
      </c>
      <c r="AY1769" s="339"/>
      <c r="AZ1769" s="338" t="s">
        <v>7909</v>
      </c>
    </row>
    <row r="1770" ht="15.75" customHeight="1">
      <c r="A1770" s="41">
        <v>1770.0</v>
      </c>
      <c r="B1770" s="53" t="s">
        <v>107</v>
      </c>
      <c r="C1770" s="338" t="s">
        <v>108</v>
      </c>
      <c r="D1770" s="338" t="s">
        <v>241</v>
      </c>
      <c r="E1770" s="339"/>
      <c r="F1770" s="53" t="s">
        <v>10141</v>
      </c>
      <c r="G1770" s="53" t="s">
        <v>10142</v>
      </c>
      <c r="H1770" s="340" t="s">
        <v>242</v>
      </c>
      <c r="I1770" s="342">
        <v>45756.0</v>
      </c>
      <c r="J1770" s="1579">
        <v>45793.0</v>
      </c>
      <c r="K1770" s="357"/>
      <c r="L1770" s="53" t="s">
        <v>10143</v>
      </c>
      <c r="M1770" s="53" t="s">
        <v>10144</v>
      </c>
      <c r="N1770" s="53" t="s">
        <v>10145</v>
      </c>
      <c r="O1770" s="52">
        <v>4.0</v>
      </c>
      <c r="P1770" s="1688" t="s">
        <v>10146</v>
      </c>
      <c r="Q1770" s="49" t="str">
        <f t="array" ref="Q1770"> if(iserror(MATCH(V1770, 'File Links'!C:C, 0)), "N/A", HYPERLINK(INDEX('File Links'!B:B, MATCH(P1770, 'File Links'!C:C, 0))))</f>
        <v>https://drive.google.com/file/d/1dD_RkFuxQxk3hkxXbqultnhFhN1opB9Y/view?usp=drivesdk</v>
      </c>
      <c r="R1770" s="1689" t="s">
        <v>10147</v>
      </c>
      <c r="S1770" s="53" t="s">
        <v>10148</v>
      </c>
      <c r="T1770" s="1791"/>
      <c r="U1770" s="52">
        <v>11.0</v>
      </c>
      <c r="V1770" s="340" t="s">
        <v>10149</v>
      </c>
      <c r="W1770" s="340" t="s">
        <v>202</v>
      </c>
      <c r="X1770" s="51" t="str">
        <f t="array" ref="X1770"> if(iserror(MATCH(V1770, 'File Links'!C:C, 0)), "N/A", HYPERLINK(INDEX('File Links'!B:B, MATCH(V1770, 'File Links'!C:C, 0))))</f>
        <v>https://drive.google.com/file/d/1Irbmig3rfLDvz-G09jDAVwJvv1drYEqO/view?usp=drivesdk</v>
      </c>
      <c r="Y1770" s="43"/>
      <c r="Z1770" s="340" t="s">
        <v>2072</v>
      </c>
      <c r="AA1770" s="53" t="s">
        <v>10150</v>
      </c>
      <c r="AB1770" s="340" t="s">
        <v>10151</v>
      </c>
      <c r="AC1770" s="340" t="s">
        <v>10152</v>
      </c>
      <c r="AD1770" s="340" t="s">
        <v>10153</v>
      </c>
      <c r="AE1770" s="340" t="s">
        <v>1812</v>
      </c>
      <c r="AF1770" s="344">
        <v>251.0</v>
      </c>
      <c r="AG1770" s="344">
        <v>0.29</v>
      </c>
      <c r="AH1770" s="340" t="s">
        <v>132</v>
      </c>
      <c r="AI1770" s="340" t="s">
        <v>10154</v>
      </c>
      <c r="AJ1770" s="344">
        <v>0.05</v>
      </c>
      <c r="AK1770" s="340" t="s">
        <v>128</v>
      </c>
      <c r="AL1770" s="340" t="s">
        <v>179</v>
      </c>
      <c r="AM1770" s="53" t="s">
        <v>130</v>
      </c>
      <c r="AN1770" s="53" t="s">
        <v>131</v>
      </c>
      <c r="AO1770" s="344">
        <v>604.0</v>
      </c>
      <c r="AP1770" s="344">
        <v>0.014</v>
      </c>
      <c r="AQ1770" s="340" t="s">
        <v>132</v>
      </c>
      <c r="AR1770" s="340" t="s">
        <v>10155</v>
      </c>
      <c r="AS1770" s="344">
        <v>0.014</v>
      </c>
      <c r="AT1770" s="340" t="s">
        <v>165</v>
      </c>
      <c r="AU1770" s="340" t="s">
        <v>179</v>
      </c>
      <c r="AV1770" s="53" t="s">
        <v>130</v>
      </c>
      <c r="AW1770" s="1691" t="s">
        <v>10156</v>
      </c>
      <c r="AX1770" s="53" t="s">
        <v>136</v>
      </c>
      <c r="AY1770" s="339"/>
      <c r="AZ1770" s="338" t="s">
        <v>7909</v>
      </c>
      <c r="BA1770" s="339"/>
      <c r="BB1770" s="339"/>
      <c r="BC1770" s="339"/>
      <c r="BD1770" s="339"/>
      <c r="BE1770" s="339"/>
      <c r="BF1770" s="339"/>
      <c r="BG1770" s="339"/>
      <c r="BH1770" s="339"/>
      <c r="BI1770" s="339"/>
      <c r="BJ1770" s="339"/>
      <c r="BK1770" s="339"/>
      <c r="BL1770" s="339"/>
      <c r="BM1770" s="339"/>
      <c r="BN1770" s="339"/>
      <c r="BO1770" s="339"/>
      <c r="BP1770" s="339"/>
      <c r="BQ1770" s="339"/>
      <c r="BR1770" s="339"/>
      <c r="BS1770" s="339"/>
      <c r="BT1770" s="339"/>
      <c r="BU1770" s="339"/>
      <c r="BV1770" s="339"/>
      <c r="BW1770" s="339"/>
      <c r="BX1770" s="339"/>
      <c r="BY1770" s="339"/>
      <c r="BZ1770" s="339"/>
      <c r="CA1770" s="339"/>
      <c r="CB1770" s="339"/>
      <c r="CC1770" s="339"/>
      <c r="CD1770" s="339"/>
      <c r="CE1770" s="339"/>
      <c r="CF1770" s="339"/>
      <c r="CG1770" s="339"/>
      <c r="CH1770" s="339"/>
      <c r="CI1770" s="339"/>
      <c r="CJ1770" s="339"/>
      <c r="CK1770" s="339"/>
      <c r="CL1770" s="339"/>
      <c r="CM1770" s="339"/>
      <c r="CN1770" s="339"/>
      <c r="CO1770" s="339"/>
      <c r="CP1770" s="339"/>
      <c r="CQ1770" s="339"/>
      <c r="CR1770" s="339"/>
      <c r="CS1770" s="339"/>
      <c r="CT1770" s="339"/>
      <c r="CU1770" s="339"/>
      <c r="CV1770" s="339"/>
      <c r="CW1770" s="339"/>
      <c r="CX1770" s="339"/>
      <c r="CY1770" s="339"/>
      <c r="CZ1770" s="339"/>
      <c r="DA1770" s="339"/>
      <c r="DB1770" s="339"/>
      <c r="DC1770" s="339"/>
      <c r="DD1770" s="339"/>
      <c r="DE1770" s="339"/>
      <c r="DF1770" s="339"/>
      <c r="DG1770" s="339"/>
      <c r="DH1770" s="339"/>
    </row>
    <row r="1771" ht="15.75" customHeight="1">
      <c r="A1771" s="41">
        <v>1771.0</v>
      </c>
      <c r="B1771" s="126" t="s">
        <v>107</v>
      </c>
      <c r="C1771" s="59" t="s">
        <v>108</v>
      </c>
      <c r="D1771" s="59" t="s">
        <v>241</v>
      </c>
      <c r="F1771" s="126" t="s">
        <v>10141</v>
      </c>
      <c r="G1771" s="126" t="s">
        <v>10157</v>
      </c>
      <c r="H1771" s="148" t="s">
        <v>242</v>
      </c>
      <c r="I1771" s="150">
        <v>45756.0</v>
      </c>
      <c r="J1771" s="290">
        <v>45793.0</v>
      </c>
      <c r="K1771" s="156"/>
      <c r="L1771" s="292" t="s">
        <v>10143</v>
      </c>
      <c r="M1771" s="126" t="s">
        <v>10144</v>
      </c>
      <c r="N1771" s="126" t="s">
        <v>10145</v>
      </c>
      <c r="O1771" s="498">
        <v>4.0</v>
      </c>
      <c r="P1771" s="525" t="s">
        <v>10146</v>
      </c>
      <c r="Q1771" s="49" t="str">
        <f t="array" ref="Q1771"> if(iserror(MATCH(V1771, 'File Links'!C:C, 0)), "N/A", HYPERLINK(INDEX('File Links'!B:B, MATCH(P1771, 'File Links'!C:C, 0))))</f>
        <v>https://drive.google.com/file/d/1dD_RkFuxQxk3hkxXbqultnhFhN1opB9Y/view?usp=drivesdk</v>
      </c>
      <c r="R1771" s="1689" t="s">
        <v>10147</v>
      </c>
      <c r="S1771" s="126" t="s">
        <v>10148</v>
      </c>
      <c r="T1771" s="1371"/>
      <c r="U1771" s="1792">
        <v>11.0</v>
      </c>
      <c r="V1771" s="148" t="s">
        <v>10149</v>
      </c>
      <c r="W1771" s="300" t="s">
        <v>202</v>
      </c>
      <c r="X1771" s="51" t="str">
        <f t="array" ref="X1771"> if(iserror(MATCH(V1771, 'File Links'!C:C, 0)), "N/A", HYPERLINK(INDEX('File Links'!B:B, MATCH(V1771, 'File Links'!C:C, 0))))</f>
        <v>https://drive.google.com/file/d/1Irbmig3rfLDvz-G09jDAVwJvv1drYEqO/view?usp=drivesdk</v>
      </c>
      <c r="Y1771" s="65"/>
      <c r="Z1771" s="148" t="s">
        <v>2072</v>
      </c>
      <c r="AA1771" s="292" t="s">
        <v>10150</v>
      </c>
      <c r="AB1771" s="148" t="s">
        <v>10151</v>
      </c>
      <c r="AC1771" s="148" t="s">
        <v>10152</v>
      </c>
      <c r="AD1771" s="148" t="s">
        <v>10158</v>
      </c>
      <c r="AE1771" s="148" t="s">
        <v>1812</v>
      </c>
      <c r="AF1771" s="158">
        <v>251.0</v>
      </c>
      <c r="AG1771" s="158">
        <v>0.31</v>
      </c>
      <c r="AH1771" s="148" t="s">
        <v>132</v>
      </c>
      <c r="AI1771" s="148" t="s">
        <v>10159</v>
      </c>
      <c r="AJ1771" s="158">
        <v>0.05</v>
      </c>
      <c r="AK1771" s="148" t="s">
        <v>128</v>
      </c>
      <c r="AL1771" s="148" t="s">
        <v>179</v>
      </c>
      <c r="AM1771" s="126" t="s">
        <v>130</v>
      </c>
      <c r="AN1771" s="126" t="s">
        <v>131</v>
      </c>
      <c r="AO1771" s="375">
        <v>604.0</v>
      </c>
      <c r="AP1771" s="158">
        <v>0.003</v>
      </c>
      <c r="AQ1771" s="148" t="s">
        <v>132</v>
      </c>
      <c r="AR1771" s="148" t="s">
        <v>10160</v>
      </c>
      <c r="AS1771" s="158">
        <v>0.351</v>
      </c>
      <c r="AT1771" s="148" t="s">
        <v>165</v>
      </c>
      <c r="AU1771" s="148" t="s">
        <v>179</v>
      </c>
      <c r="AV1771" s="126" t="s">
        <v>130</v>
      </c>
      <c r="AW1771" s="1790" t="s">
        <v>10156</v>
      </c>
      <c r="AX1771" s="126" t="s">
        <v>136</v>
      </c>
      <c r="AZ1771" s="338" t="s">
        <v>7909</v>
      </c>
    </row>
    <row r="1772" ht="15.75" customHeight="1">
      <c r="A1772" s="41">
        <v>1772.0</v>
      </c>
      <c r="B1772" s="126" t="s">
        <v>107</v>
      </c>
      <c r="C1772" s="59" t="s">
        <v>108</v>
      </c>
      <c r="D1772" s="59" t="s">
        <v>241</v>
      </c>
      <c r="F1772" s="126" t="s">
        <v>10141</v>
      </c>
      <c r="G1772" s="126" t="s">
        <v>10161</v>
      </c>
      <c r="H1772" s="148" t="s">
        <v>242</v>
      </c>
      <c r="I1772" s="150">
        <v>45756.0</v>
      </c>
      <c r="J1772" s="290">
        <v>45793.0</v>
      </c>
      <c r="K1772" s="156"/>
      <c r="L1772" s="292" t="s">
        <v>10162</v>
      </c>
      <c r="M1772" s="126" t="s">
        <v>10144</v>
      </c>
      <c r="N1772" s="126" t="s">
        <v>10145</v>
      </c>
      <c r="O1772" s="498">
        <v>4.0</v>
      </c>
      <c r="P1772" s="525" t="s">
        <v>10146</v>
      </c>
      <c r="Q1772" s="49" t="str">
        <f t="array" ref="Q1772"> if(iserror(MATCH(V1772, 'File Links'!C:C, 0)), "N/A", HYPERLINK(INDEX('File Links'!B:B, MATCH(P1772, 'File Links'!C:C, 0))))</f>
        <v>https://drive.google.com/file/d/1dD_RkFuxQxk3hkxXbqultnhFhN1opB9Y/view?usp=drivesdk</v>
      </c>
      <c r="R1772" s="1689" t="s">
        <v>10147</v>
      </c>
      <c r="S1772" s="126" t="s">
        <v>10148</v>
      </c>
      <c r="T1772" s="1371"/>
      <c r="U1772" s="1792">
        <v>11.0</v>
      </c>
      <c r="V1772" s="148" t="s">
        <v>10149</v>
      </c>
      <c r="W1772" s="300" t="s">
        <v>202</v>
      </c>
      <c r="X1772" s="51" t="str">
        <f t="array" ref="X1772"> if(iserror(MATCH(V1772, 'File Links'!C:C, 0)), "N/A", HYPERLINK(INDEX('File Links'!B:B, MATCH(V1772, 'File Links'!C:C, 0))))</f>
        <v>https://drive.google.com/file/d/1Irbmig3rfLDvz-G09jDAVwJvv1drYEqO/view?usp=drivesdk</v>
      </c>
      <c r="Y1772" s="65"/>
      <c r="Z1772" s="148" t="s">
        <v>2072</v>
      </c>
      <c r="AA1772" s="292" t="s">
        <v>10150</v>
      </c>
      <c r="AB1772" s="148" t="s">
        <v>10151</v>
      </c>
      <c r="AC1772" s="148" t="s">
        <v>10152</v>
      </c>
      <c r="AD1772" s="377" t="s">
        <v>10163</v>
      </c>
      <c r="AE1772" s="148" t="s">
        <v>1812</v>
      </c>
      <c r="AF1772" s="158">
        <v>251.0</v>
      </c>
      <c r="AG1772" s="158">
        <v>0.006</v>
      </c>
      <c r="AH1772" s="148" t="s">
        <v>132</v>
      </c>
      <c r="AI1772" s="148" t="s">
        <v>10164</v>
      </c>
      <c r="AJ1772" s="158">
        <v>0.15</v>
      </c>
      <c r="AK1772" s="148" t="s">
        <v>328</v>
      </c>
      <c r="AL1772" s="148" t="s">
        <v>179</v>
      </c>
      <c r="AM1772" s="126" t="s">
        <v>130</v>
      </c>
      <c r="AN1772" s="126" t="s">
        <v>131</v>
      </c>
      <c r="AO1772" s="375">
        <v>604.0</v>
      </c>
      <c r="AP1772" s="158">
        <v>0.002</v>
      </c>
      <c r="AQ1772" s="156"/>
      <c r="AR1772" s="148" t="s">
        <v>10165</v>
      </c>
      <c r="AS1772" s="158">
        <v>0.315</v>
      </c>
      <c r="AT1772" s="148" t="s">
        <v>165</v>
      </c>
      <c r="AU1772" s="148" t="s">
        <v>179</v>
      </c>
      <c r="AV1772" s="126" t="s">
        <v>130</v>
      </c>
      <c r="AW1772" s="1790" t="s">
        <v>10156</v>
      </c>
      <c r="AX1772" s="126" t="s">
        <v>136</v>
      </c>
      <c r="AZ1772" s="338" t="s">
        <v>7909</v>
      </c>
    </row>
    <row r="1773" ht="15.75" customHeight="1">
      <c r="A1773" s="41">
        <v>1773.0</v>
      </c>
      <c r="B1773" s="126" t="s">
        <v>107</v>
      </c>
      <c r="C1773" s="59" t="s">
        <v>108</v>
      </c>
      <c r="D1773" s="59" t="s">
        <v>241</v>
      </c>
      <c r="F1773" s="126" t="s">
        <v>10141</v>
      </c>
      <c r="G1773" s="126" t="s">
        <v>10166</v>
      </c>
      <c r="H1773" s="148" t="s">
        <v>242</v>
      </c>
      <c r="I1773" s="150">
        <v>45756.0</v>
      </c>
      <c r="J1773" s="290">
        <v>45793.0</v>
      </c>
      <c r="K1773" s="156"/>
      <c r="L1773" s="126" t="s">
        <v>10167</v>
      </c>
      <c r="M1773" s="126" t="s">
        <v>10144</v>
      </c>
      <c r="N1773" s="126" t="s">
        <v>10145</v>
      </c>
      <c r="O1773" s="498">
        <v>4.0</v>
      </c>
      <c r="P1773" s="525" t="s">
        <v>10146</v>
      </c>
      <c r="Q1773" s="49" t="str">
        <f t="array" ref="Q1773"> if(iserror(MATCH(V1773, 'File Links'!C:C, 0)), "N/A", HYPERLINK(INDEX('File Links'!B:B, MATCH(P1773, 'File Links'!C:C, 0))))</f>
        <v>https://drive.google.com/file/d/1dD_RkFuxQxk3hkxXbqultnhFhN1opB9Y/view?usp=drivesdk</v>
      </c>
      <c r="R1773" s="1689" t="s">
        <v>10147</v>
      </c>
      <c r="S1773" s="126" t="s">
        <v>10148</v>
      </c>
      <c r="T1773" s="1371"/>
      <c r="U1773" s="1792">
        <v>11.0</v>
      </c>
      <c r="V1773" s="148" t="s">
        <v>10149</v>
      </c>
      <c r="W1773" s="300" t="s">
        <v>202</v>
      </c>
      <c r="X1773" s="51" t="str">
        <f t="array" ref="X1773"> if(iserror(MATCH(V1773, 'File Links'!C:C, 0)), "N/A", HYPERLINK(INDEX('File Links'!B:B, MATCH(V1773, 'File Links'!C:C, 0))))</f>
        <v>https://drive.google.com/file/d/1Irbmig3rfLDvz-G09jDAVwJvv1drYEqO/view?usp=drivesdk</v>
      </c>
      <c r="Y1773" s="65"/>
      <c r="Z1773" s="148" t="s">
        <v>2072</v>
      </c>
      <c r="AA1773" s="292" t="s">
        <v>10150</v>
      </c>
      <c r="AB1773" s="148" t="s">
        <v>10151</v>
      </c>
      <c r="AC1773" s="148" t="s">
        <v>10152</v>
      </c>
      <c r="AD1773" s="377" t="s">
        <v>10168</v>
      </c>
      <c r="AE1773" s="148" t="s">
        <v>1812</v>
      </c>
      <c r="AF1773" s="158">
        <v>251.0</v>
      </c>
      <c r="AG1773" s="158">
        <v>-0.51</v>
      </c>
      <c r="AH1773" s="148" t="s">
        <v>166</v>
      </c>
      <c r="AI1773" s="148" t="s">
        <v>10169</v>
      </c>
      <c r="AJ1773" s="158">
        <v>0.05</v>
      </c>
      <c r="AK1773" s="148" t="s">
        <v>165</v>
      </c>
      <c r="AL1773" s="148" t="s">
        <v>179</v>
      </c>
      <c r="AM1773" s="126" t="s">
        <v>130</v>
      </c>
      <c r="AN1773" s="126" t="s">
        <v>131</v>
      </c>
      <c r="AO1773" s="158">
        <v>282.0</v>
      </c>
      <c r="AP1773" s="158" t="s">
        <v>10170</v>
      </c>
      <c r="AQ1773" s="148" t="s">
        <v>127</v>
      </c>
      <c r="AR1773" s="148" t="s">
        <v>10171</v>
      </c>
      <c r="AS1773" s="158">
        <v>0.029</v>
      </c>
      <c r="AT1773" s="148" t="s">
        <v>165</v>
      </c>
      <c r="AU1773" s="148" t="s">
        <v>179</v>
      </c>
      <c r="AV1773" s="126" t="s">
        <v>130</v>
      </c>
      <c r="AW1773" s="1790" t="s">
        <v>10156</v>
      </c>
      <c r="AX1773" s="126" t="s">
        <v>136</v>
      </c>
      <c r="AZ1773" s="338" t="s">
        <v>7909</v>
      </c>
    </row>
    <row r="1774" ht="15.75" customHeight="1">
      <c r="A1774" s="41">
        <v>1774.0</v>
      </c>
      <c r="B1774" s="126" t="s">
        <v>107</v>
      </c>
      <c r="C1774" s="59" t="s">
        <v>108</v>
      </c>
      <c r="D1774" s="59" t="s">
        <v>241</v>
      </c>
      <c r="F1774" s="126" t="s">
        <v>10141</v>
      </c>
      <c r="G1774" s="126" t="s">
        <v>10172</v>
      </c>
      <c r="H1774" s="148" t="s">
        <v>242</v>
      </c>
      <c r="I1774" s="150">
        <v>45756.0</v>
      </c>
      <c r="J1774" s="290">
        <v>45793.0</v>
      </c>
      <c r="K1774" s="156"/>
      <c r="L1774" s="126" t="s">
        <v>10173</v>
      </c>
      <c r="M1774" s="126" t="s">
        <v>10144</v>
      </c>
      <c r="N1774" s="126" t="s">
        <v>10145</v>
      </c>
      <c r="O1774" s="498">
        <v>4.0</v>
      </c>
      <c r="P1774" s="525" t="s">
        <v>10146</v>
      </c>
      <c r="Q1774" s="49" t="str">
        <f t="array" ref="Q1774"> if(iserror(MATCH(V1774, 'File Links'!C:C, 0)), "N/A", HYPERLINK(INDEX('File Links'!B:B, MATCH(P1774, 'File Links'!C:C, 0))))</f>
        <v>https://drive.google.com/file/d/1dD_RkFuxQxk3hkxXbqultnhFhN1opB9Y/view?usp=drivesdk</v>
      </c>
      <c r="R1774" s="1689" t="s">
        <v>10147</v>
      </c>
      <c r="S1774" s="126" t="s">
        <v>10148</v>
      </c>
      <c r="T1774" s="1371"/>
      <c r="U1774" s="1792">
        <v>11.0</v>
      </c>
      <c r="V1774" s="148" t="s">
        <v>10149</v>
      </c>
      <c r="W1774" s="300" t="s">
        <v>202</v>
      </c>
      <c r="X1774" s="51" t="str">
        <f t="array" ref="X1774"> if(iserror(MATCH(V1774, 'File Links'!C:C, 0)), "N/A", HYPERLINK(INDEX('File Links'!B:B, MATCH(V1774, 'File Links'!C:C, 0))))</f>
        <v>https://drive.google.com/file/d/1Irbmig3rfLDvz-G09jDAVwJvv1drYEqO/view?usp=drivesdk</v>
      </c>
      <c r="Y1774" s="65"/>
      <c r="Z1774" s="148" t="s">
        <v>2072</v>
      </c>
      <c r="AA1774" s="292" t="s">
        <v>10150</v>
      </c>
      <c r="AB1774" s="148" t="s">
        <v>10151</v>
      </c>
      <c r="AC1774" s="148" t="s">
        <v>10152</v>
      </c>
      <c r="AD1774" s="148" t="s">
        <v>10174</v>
      </c>
      <c r="AE1774" s="148" t="s">
        <v>1812</v>
      </c>
      <c r="AF1774" s="158">
        <v>251.0</v>
      </c>
      <c r="AG1774" s="158">
        <v>0.16</v>
      </c>
      <c r="AH1774" s="148" t="s">
        <v>166</v>
      </c>
      <c r="AI1774" s="148" t="s">
        <v>10175</v>
      </c>
      <c r="AJ1774" s="375">
        <v>0.44</v>
      </c>
      <c r="AK1774" s="377" t="s">
        <v>328</v>
      </c>
      <c r="AL1774" s="148" t="s">
        <v>179</v>
      </c>
      <c r="AM1774" s="126" t="s">
        <v>130</v>
      </c>
      <c r="AN1774" s="126" t="s">
        <v>131</v>
      </c>
      <c r="AO1774" s="158">
        <v>318.0</v>
      </c>
      <c r="AP1774" s="158" t="s">
        <v>10176</v>
      </c>
      <c r="AQ1774" s="148" t="s">
        <v>127</v>
      </c>
      <c r="AR1774" s="148" t="s">
        <v>10177</v>
      </c>
      <c r="AS1774" s="158">
        <v>0.387</v>
      </c>
      <c r="AT1774" s="148" t="s">
        <v>165</v>
      </c>
      <c r="AU1774" s="148" t="s">
        <v>179</v>
      </c>
      <c r="AV1774" s="126" t="s">
        <v>130</v>
      </c>
      <c r="AW1774" s="1790" t="s">
        <v>10156</v>
      </c>
      <c r="AX1774" s="126" t="s">
        <v>136</v>
      </c>
      <c r="AZ1774" s="338" t="s">
        <v>7909</v>
      </c>
    </row>
    <row r="1775" ht="15.75" customHeight="1">
      <c r="A1775" s="41">
        <v>1775.0</v>
      </c>
      <c r="B1775" s="126" t="s">
        <v>107</v>
      </c>
      <c r="C1775" s="59" t="s">
        <v>108</v>
      </c>
      <c r="D1775" s="59" t="s">
        <v>241</v>
      </c>
      <c r="F1775" s="126" t="s">
        <v>10141</v>
      </c>
      <c r="G1775" s="126" t="s">
        <v>10178</v>
      </c>
      <c r="H1775" s="148" t="s">
        <v>242</v>
      </c>
      <c r="I1775" s="150">
        <v>45756.0</v>
      </c>
      <c r="J1775" s="290">
        <v>45793.0</v>
      </c>
      <c r="K1775" s="156"/>
      <c r="L1775" s="292" t="s">
        <v>10179</v>
      </c>
      <c r="M1775" s="126" t="s">
        <v>10144</v>
      </c>
      <c r="N1775" s="126" t="s">
        <v>10145</v>
      </c>
      <c r="O1775" s="498">
        <v>4.0</v>
      </c>
      <c r="P1775" s="525" t="s">
        <v>10146</v>
      </c>
      <c r="Q1775" s="49" t="str">
        <f t="array" ref="Q1775"> if(iserror(MATCH(V1775, 'File Links'!C:C, 0)), "N/A", HYPERLINK(INDEX('File Links'!B:B, MATCH(P1775, 'File Links'!C:C, 0))))</f>
        <v>https://drive.google.com/file/d/1dD_RkFuxQxk3hkxXbqultnhFhN1opB9Y/view?usp=drivesdk</v>
      </c>
      <c r="R1775" s="1689" t="s">
        <v>10147</v>
      </c>
      <c r="S1775" s="126" t="s">
        <v>10148</v>
      </c>
      <c r="T1775" s="1371"/>
      <c r="U1775" s="1792">
        <v>11.0</v>
      </c>
      <c r="V1775" s="148" t="s">
        <v>10149</v>
      </c>
      <c r="W1775" s="300" t="s">
        <v>202</v>
      </c>
      <c r="X1775" s="51" t="str">
        <f t="array" ref="X1775"> if(iserror(MATCH(V1775, 'File Links'!C:C, 0)), "N/A", HYPERLINK(INDEX('File Links'!B:B, MATCH(V1775, 'File Links'!C:C, 0))))</f>
        <v>https://drive.google.com/file/d/1Irbmig3rfLDvz-G09jDAVwJvv1drYEqO/view?usp=drivesdk</v>
      </c>
      <c r="Y1775" s="65"/>
      <c r="Z1775" s="148" t="s">
        <v>2072</v>
      </c>
      <c r="AA1775" s="292" t="s">
        <v>10150</v>
      </c>
      <c r="AB1775" s="148" t="s">
        <v>10151</v>
      </c>
      <c r="AC1775" s="148" t="s">
        <v>10152</v>
      </c>
      <c r="AD1775" s="148" t="s">
        <v>10180</v>
      </c>
      <c r="AE1775" s="148" t="s">
        <v>1812</v>
      </c>
      <c r="AF1775" s="158">
        <v>251.0</v>
      </c>
      <c r="AG1775" s="158">
        <v>0.86</v>
      </c>
      <c r="AH1775" s="148" t="s">
        <v>132</v>
      </c>
      <c r="AI1775" s="148" t="s">
        <v>10181</v>
      </c>
      <c r="AJ1775" s="158">
        <v>1.0E-4</v>
      </c>
      <c r="AK1775" s="148" t="s">
        <v>128</v>
      </c>
      <c r="AL1775" s="148" t="s">
        <v>179</v>
      </c>
      <c r="AM1775" s="126" t="s">
        <v>130</v>
      </c>
      <c r="AN1775" s="126" t="s">
        <v>131</v>
      </c>
      <c r="AO1775" s="375">
        <v>604.0</v>
      </c>
      <c r="AP1775" s="158" t="s">
        <v>10182</v>
      </c>
      <c r="AQ1775" s="148" t="s">
        <v>127</v>
      </c>
      <c r="AR1775" s="148" t="s">
        <v>10183</v>
      </c>
      <c r="AS1775" s="158">
        <v>0.001</v>
      </c>
      <c r="AT1775" s="148" t="s">
        <v>128</v>
      </c>
      <c r="AU1775" s="148" t="s">
        <v>179</v>
      </c>
      <c r="AV1775" s="126" t="s">
        <v>130</v>
      </c>
      <c r="AW1775" s="1790" t="s">
        <v>10156</v>
      </c>
      <c r="AX1775" s="126" t="s">
        <v>136</v>
      </c>
      <c r="AZ1775" s="338" t="s">
        <v>7909</v>
      </c>
    </row>
    <row r="1776" ht="15.75" customHeight="1">
      <c r="A1776" s="41">
        <v>1776.0</v>
      </c>
      <c r="B1776" s="126" t="s">
        <v>107</v>
      </c>
      <c r="C1776" s="59" t="s">
        <v>108</v>
      </c>
      <c r="D1776" s="59" t="s">
        <v>241</v>
      </c>
      <c r="F1776" s="126" t="s">
        <v>10141</v>
      </c>
      <c r="G1776" s="126" t="s">
        <v>10184</v>
      </c>
      <c r="H1776" s="148" t="s">
        <v>242</v>
      </c>
      <c r="I1776" s="150">
        <v>45756.0</v>
      </c>
      <c r="J1776" s="290">
        <v>45793.0</v>
      </c>
      <c r="K1776" s="156"/>
      <c r="L1776" s="126" t="s">
        <v>10179</v>
      </c>
      <c r="M1776" s="126" t="s">
        <v>10144</v>
      </c>
      <c r="N1776" s="126" t="s">
        <v>10145</v>
      </c>
      <c r="O1776" s="498">
        <v>4.0</v>
      </c>
      <c r="P1776" s="525" t="s">
        <v>10146</v>
      </c>
      <c r="Q1776" s="49" t="str">
        <f t="array" ref="Q1776"> if(iserror(MATCH(V1776, 'File Links'!C:C, 0)), "N/A", HYPERLINK(INDEX('File Links'!B:B, MATCH(P1776, 'File Links'!C:C, 0))))</f>
        <v>https://drive.google.com/file/d/1dD_RkFuxQxk3hkxXbqultnhFhN1opB9Y/view?usp=drivesdk</v>
      </c>
      <c r="R1776" s="1689" t="s">
        <v>10147</v>
      </c>
      <c r="S1776" s="126" t="s">
        <v>10148</v>
      </c>
      <c r="T1776" s="1371"/>
      <c r="U1776" s="1792">
        <v>11.0</v>
      </c>
      <c r="V1776" s="148" t="s">
        <v>10149</v>
      </c>
      <c r="W1776" s="300" t="s">
        <v>202</v>
      </c>
      <c r="X1776" s="51" t="str">
        <f t="array" ref="X1776"> if(iserror(MATCH(V1776, 'File Links'!C:C, 0)), "N/A", HYPERLINK(INDEX('File Links'!B:B, MATCH(V1776, 'File Links'!C:C, 0))))</f>
        <v>https://drive.google.com/file/d/1Irbmig3rfLDvz-G09jDAVwJvv1drYEqO/view?usp=drivesdk</v>
      </c>
      <c r="Y1776" s="65"/>
      <c r="Z1776" s="148" t="s">
        <v>2072</v>
      </c>
      <c r="AA1776" s="292" t="s">
        <v>10150</v>
      </c>
      <c r="AB1776" s="148" t="s">
        <v>10151</v>
      </c>
      <c r="AC1776" s="148" t="s">
        <v>10152</v>
      </c>
      <c r="AD1776" s="148" t="s">
        <v>10185</v>
      </c>
      <c r="AE1776" s="148" t="s">
        <v>1812</v>
      </c>
      <c r="AF1776" s="158">
        <v>251.0</v>
      </c>
      <c r="AG1776" s="158">
        <v>0.09</v>
      </c>
      <c r="AH1776" s="148" t="s">
        <v>127</v>
      </c>
      <c r="AI1776" s="148" t="s">
        <v>10186</v>
      </c>
      <c r="AJ1776" s="158" t="s">
        <v>131</v>
      </c>
      <c r="AK1776" s="156"/>
      <c r="AL1776" s="148" t="s">
        <v>179</v>
      </c>
      <c r="AM1776" s="126" t="s">
        <v>130</v>
      </c>
      <c r="AN1776" s="126" t="s">
        <v>131</v>
      </c>
      <c r="AO1776" s="375">
        <v>604.0</v>
      </c>
      <c r="AP1776" s="158">
        <v>0.07</v>
      </c>
      <c r="AQ1776" s="148" t="s">
        <v>127</v>
      </c>
      <c r="AR1776" s="148" t="s">
        <v>10187</v>
      </c>
      <c r="AS1776" s="158" t="s">
        <v>131</v>
      </c>
      <c r="AT1776" s="156"/>
      <c r="AU1776" s="148" t="s">
        <v>179</v>
      </c>
      <c r="AV1776" s="126" t="s">
        <v>130</v>
      </c>
      <c r="AW1776" s="1790" t="s">
        <v>10156</v>
      </c>
      <c r="AX1776" s="126" t="s">
        <v>136</v>
      </c>
      <c r="AZ1776" s="338" t="s">
        <v>7909</v>
      </c>
    </row>
    <row r="1777" ht="15.75" customHeight="1">
      <c r="A1777" s="41">
        <v>1777.0</v>
      </c>
      <c r="B1777" s="126" t="s">
        <v>107</v>
      </c>
      <c r="C1777" s="59" t="s">
        <v>108</v>
      </c>
      <c r="D1777" s="59" t="s">
        <v>241</v>
      </c>
      <c r="F1777" s="126" t="s">
        <v>10141</v>
      </c>
      <c r="G1777" s="126" t="s">
        <v>10188</v>
      </c>
      <c r="H1777" s="148" t="s">
        <v>242</v>
      </c>
      <c r="I1777" s="150">
        <v>45756.0</v>
      </c>
      <c r="J1777" s="290">
        <v>45793.0</v>
      </c>
      <c r="K1777" s="156"/>
      <c r="L1777" s="126" t="s">
        <v>10189</v>
      </c>
      <c r="M1777" s="126" t="s">
        <v>10144</v>
      </c>
      <c r="N1777" s="126" t="s">
        <v>10145</v>
      </c>
      <c r="O1777" s="498">
        <v>4.0</v>
      </c>
      <c r="P1777" s="525" t="s">
        <v>10146</v>
      </c>
      <c r="Q1777" s="49" t="str">
        <f t="array" ref="Q1777"> if(iserror(MATCH(V1777, 'File Links'!C:C, 0)), "N/A", HYPERLINK(INDEX('File Links'!B:B, MATCH(P1777, 'File Links'!C:C, 0))))</f>
        <v>https://drive.google.com/file/d/1dD_RkFuxQxk3hkxXbqultnhFhN1opB9Y/view?usp=drivesdk</v>
      </c>
      <c r="R1777" s="1689" t="s">
        <v>10147</v>
      </c>
      <c r="S1777" s="126" t="s">
        <v>10148</v>
      </c>
      <c r="T1777" s="1371"/>
      <c r="U1777" s="1792">
        <v>11.0</v>
      </c>
      <c r="V1777" s="148" t="s">
        <v>10149</v>
      </c>
      <c r="W1777" s="300" t="s">
        <v>202</v>
      </c>
      <c r="X1777" s="51" t="str">
        <f t="array" ref="X1777"> if(iserror(MATCH(V1777, 'File Links'!C:C, 0)), "N/A", HYPERLINK(INDEX('File Links'!B:B, MATCH(V1777, 'File Links'!C:C, 0))))</f>
        <v>https://drive.google.com/file/d/1Irbmig3rfLDvz-G09jDAVwJvv1drYEqO/view?usp=drivesdk</v>
      </c>
      <c r="Y1777" s="65"/>
      <c r="Z1777" s="148" t="s">
        <v>2072</v>
      </c>
      <c r="AA1777" s="292" t="s">
        <v>10150</v>
      </c>
      <c r="AB1777" s="148" t="s">
        <v>10151</v>
      </c>
      <c r="AC1777" s="148" t="s">
        <v>10152</v>
      </c>
      <c r="AD1777" s="148" t="s">
        <v>10190</v>
      </c>
      <c r="AE1777" s="148" t="s">
        <v>1812</v>
      </c>
      <c r="AF1777" s="158">
        <v>251.0</v>
      </c>
      <c r="AG1777" s="158">
        <v>0.02</v>
      </c>
      <c r="AH1777" s="148" t="s">
        <v>127</v>
      </c>
      <c r="AI1777" s="148" t="s">
        <v>10191</v>
      </c>
      <c r="AJ1777" s="158" t="s">
        <v>131</v>
      </c>
      <c r="AK1777" s="156"/>
      <c r="AL1777" s="148" t="s">
        <v>179</v>
      </c>
      <c r="AM1777" s="126" t="s">
        <v>130</v>
      </c>
      <c r="AN1777" s="126" t="s">
        <v>131</v>
      </c>
      <c r="AO1777" s="375">
        <v>604.0</v>
      </c>
      <c r="AP1777" s="158">
        <v>0.04</v>
      </c>
      <c r="AQ1777" s="148" t="s">
        <v>127</v>
      </c>
      <c r="AR1777" s="148" t="s">
        <v>10192</v>
      </c>
      <c r="AS1777" s="158" t="s">
        <v>131</v>
      </c>
      <c r="AT1777" s="156"/>
      <c r="AU1777" s="148" t="s">
        <v>179</v>
      </c>
      <c r="AV1777" s="126" t="s">
        <v>130</v>
      </c>
      <c r="AW1777" s="1790" t="s">
        <v>10156</v>
      </c>
      <c r="AX1777" s="126" t="s">
        <v>136</v>
      </c>
      <c r="AZ1777" s="338" t="s">
        <v>7909</v>
      </c>
    </row>
    <row r="1778" ht="15.75" customHeight="1">
      <c r="A1778" s="41">
        <v>1778.0</v>
      </c>
      <c r="B1778" s="1793" t="s">
        <v>107</v>
      </c>
      <c r="C1778" s="1623" t="s">
        <v>108</v>
      </c>
      <c r="D1778" s="1623" t="s">
        <v>241</v>
      </c>
      <c r="E1778" s="1120"/>
      <c r="F1778" s="1793" t="s">
        <v>10141</v>
      </c>
      <c r="G1778" s="1793" t="s">
        <v>10193</v>
      </c>
      <c r="H1778" s="488" t="s">
        <v>242</v>
      </c>
      <c r="I1778" s="1794">
        <v>45756.0</v>
      </c>
      <c r="J1778" s="1795">
        <v>45793.0</v>
      </c>
      <c r="K1778" s="1626"/>
      <c r="L1778" s="1793" t="s">
        <v>10179</v>
      </c>
      <c r="M1778" s="1793" t="s">
        <v>10144</v>
      </c>
      <c r="N1778" s="1793" t="s">
        <v>10145</v>
      </c>
      <c r="O1778" s="1796">
        <v>4.0</v>
      </c>
      <c r="P1778" s="1797" t="s">
        <v>10146</v>
      </c>
      <c r="Q1778" s="49" t="str">
        <f t="array" ref="Q1778"> if(iserror(MATCH(V1778, 'File Links'!C:C, 0)), "N/A", HYPERLINK(INDEX('File Links'!B:B, MATCH(P1778, 'File Links'!C:C, 0))))</f>
        <v>https://drive.google.com/file/d/1dD_RkFuxQxk3hkxXbqultnhFhN1opB9Y/view?usp=drivesdk</v>
      </c>
      <c r="R1778" s="1798" t="s">
        <v>10147</v>
      </c>
      <c r="S1778" s="1793" t="s">
        <v>10148</v>
      </c>
      <c r="T1778" s="1799"/>
      <c r="U1778" s="1796">
        <v>11.0</v>
      </c>
      <c r="V1778" s="488" t="s">
        <v>10149</v>
      </c>
      <c r="W1778" s="488" t="s">
        <v>202</v>
      </c>
      <c r="X1778" s="51" t="str">
        <f t="array" ref="X1778"> if(iserror(MATCH(V1778, 'File Links'!C:C, 0)), "N/A", HYPERLINK(INDEX('File Links'!B:B, MATCH(V1778, 'File Links'!C:C, 0))))</f>
        <v>https://drive.google.com/file/d/1Irbmig3rfLDvz-G09jDAVwJvv1drYEqO/view?usp=drivesdk</v>
      </c>
      <c r="Y1778" s="1624"/>
      <c r="Z1778" s="488" t="s">
        <v>2072</v>
      </c>
      <c r="AA1778" s="1793" t="s">
        <v>10150</v>
      </c>
      <c r="AB1778" s="488" t="s">
        <v>10151</v>
      </c>
      <c r="AC1778" s="488" t="s">
        <v>10152</v>
      </c>
      <c r="AD1778" s="488" t="s">
        <v>10194</v>
      </c>
      <c r="AE1778" s="488" t="s">
        <v>1812</v>
      </c>
      <c r="AF1778" s="1800">
        <v>251.0</v>
      </c>
      <c r="AG1778" s="1800">
        <v>0.11</v>
      </c>
      <c r="AH1778" s="488" t="s">
        <v>127</v>
      </c>
      <c r="AI1778" s="488" t="s">
        <v>10195</v>
      </c>
      <c r="AJ1778" s="1800" t="s">
        <v>131</v>
      </c>
      <c r="AK1778" s="1626"/>
      <c r="AL1778" s="488" t="s">
        <v>179</v>
      </c>
      <c r="AM1778" s="1793" t="s">
        <v>130</v>
      </c>
      <c r="AN1778" s="1793" t="s">
        <v>131</v>
      </c>
      <c r="AO1778" s="1800">
        <v>604.0</v>
      </c>
      <c r="AP1778" s="1800">
        <v>0.02</v>
      </c>
      <c r="AQ1778" s="488" t="s">
        <v>127</v>
      </c>
      <c r="AR1778" s="488" t="s">
        <v>10196</v>
      </c>
      <c r="AS1778" s="1800" t="s">
        <v>131</v>
      </c>
      <c r="AT1778" s="1626"/>
      <c r="AU1778" s="488" t="s">
        <v>179</v>
      </c>
      <c r="AV1778" s="1793" t="s">
        <v>130</v>
      </c>
      <c r="AW1778" s="1801" t="s">
        <v>10156</v>
      </c>
      <c r="AX1778" s="1793" t="s">
        <v>136</v>
      </c>
      <c r="AY1778" s="1120"/>
      <c r="AZ1778" s="1623" t="s">
        <v>7909</v>
      </c>
      <c r="BA1778" s="1120"/>
      <c r="BB1778" s="1120"/>
      <c r="BC1778" s="1120"/>
      <c r="BD1778" s="1120"/>
      <c r="BE1778" s="1120"/>
      <c r="BF1778" s="1120"/>
      <c r="BG1778" s="1120"/>
      <c r="BH1778" s="1120"/>
      <c r="BI1778" s="1120"/>
      <c r="BJ1778" s="1120"/>
      <c r="BK1778" s="1120"/>
      <c r="BL1778" s="1120"/>
      <c r="BM1778" s="1120"/>
      <c r="BN1778" s="1120"/>
      <c r="BO1778" s="1120"/>
      <c r="BP1778" s="1120"/>
      <c r="BQ1778" s="1120"/>
      <c r="BR1778" s="1120"/>
      <c r="BS1778" s="1120"/>
      <c r="BT1778" s="1120"/>
      <c r="BU1778" s="1120"/>
      <c r="BV1778" s="1120"/>
      <c r="BW1778" s="1120"/>
      <c r="BX1778" s="1120"/>
      <c r="BY1778" s="1120"/>
      <c r="BZ1778" s="1120"/>
      <c r="CA1778" s="1120"/>
      <c r="CB1778" s="1120"/>
      <c r="CC1778" s="1120"/>
      <c r="CD1778" s="1120"/>
      <c r="CE1778" s="1120"/>
      <c r="CF1778" s="1120"/>
      <c r="CG1778" s="1120"/>
      <c r="CH1778" s="1120"/>
      <c r="CI1778" s="1120"/>
      <c r="CJ1778" s="1120"/>
      <c r="CK1778" s="1120"/>
      <c r="CL1778" s="1120"/>
      <c r="CM1778" s="1120"/>
      <c r="CN1778" s="1120"/>
      <c r="CO1778" s="1120"/>
      <c r="CP1778" s="1120"/>
      <c r="CQ1778" s="1120"/>
      <c r="CR1778" s="1120"/>
      <c r="CS1778" s="1120"/>
      <c r="CT1778" s="1120"/>
      <c r="CU1778" s="1120"/>
      <c r="CV1778" s="1120"/>
      <c r="CW1778" s="1120"/>
      <c r="CX1778" s="1120"/>
      <c r="CY1778" s="1120"/>
      <c r="CZ1778" s="1120"/>
      <c r="DA1778" s="1120"/>
      <c r="DB1778" s="1120"/>
      <c r="DC1778" s="1120"/>
      <c r="DD1778" s="1120"/>
      <c r="DE1778" s="1120"/>
      <c r="DF1778" s="1120"/>
      <c r="DG1778" s="1120"/>
      <c r="DH1778" s="1120"/>
    </row>
    <row r="1779" ht="15.75" customHeight="1">
      <c r="A1779" s="41">
        <v>1779.0</v>
      </c>
      <c r="B1779" s="1793" t="s">
        <v>145</v>
      </c>
      <c r="C1779" s="1623" t="s">
        <v>108</v>
      </c>
      <c r="D1779" s="1623" t="s">
        <v>241</v>
      </c>
      <c r="E1779" s="1120"/>
      <c r="F1779" s="1793" t="s">
        <v>10197</v>
      </c>
      <c r="G1779" s="1793" t="s">
        <v>10198</v>
      </c>
      <c r="H1779" s="488" t="s">
        <v>242</v>
      </c>
      <c r="I1779" s="1794">
        <v>45757.0</v>
      </c>
      <c r="J1779" s="1795">
        <v>45793.0</v>
      </c>
      <c r="K1779" s="488" t="s">
        <v>10199</v>
      </c>
      <c r="L1779" s="1793" t="s">
        <v>10200</v>
      </c>
      <c r="M1779" s="1793" t="s">
        <v>10201</v>
      </c>
      <c r="N1779" s="1793" t="s">
        <v>10202</v>
      </c>
      <c r="O1779" s="1796">
        <v>5.0</v>
      </c>
      <c r="P1779" s="1797" t="s">
        <v>10203</v>
      </c>
      <c r="Q1779" s="49" t="str">
        <f t="array" ref="Q1779"> if(iserror(MATCH(V1779, 'File Links'!C:C, 0)), "N/A", HYPERLINK(INDEX('File Links'!B:B, MATCH(P1779, 'File Links'!C:C, 0))))</f>
        <v>https://drive.google.com/file/d/1hs6XpHWMiyMPANJzK7B4OuBvEZ7slY88/view?usp=drivesdk</v>
      </c>
      <c r="R1779" s="1798" t="s">
        <v>10147</v>
      </c>
      <c r="S1779" s="1793" t="s">
        <v>10148</v>
      </c>
      <c r="T1779" s="1799"/>
      <c r="U1779" s="1796">
        <v>19.0</v>
      </c>
      <c r="V1779" s="488" t="s">
        <v>10149</v>
      </c>
      <c r="W1779" s="488" t="s">
        <v>202</v>
      </c>
      <c r="X1779" s="51" t="str">
        <f t="array" ref="X1779"> if(iserror(MATCH(V1779, 'File Links'!C:C, 0)), "N/A", HYPERLINK(INDEX('File Links'!B:B, MATCH(V1779, 'File Links'!C:C, 0))))</f>
        <v>https://drive.google.com/file/d/1Irbmig3rfLDvz-G09jDAVwJvv1drYEqO/view?usp=drivesdk</v>
      </c>
      <c r="Y1779" s="1624"/>
      <c r="Z1779" s="488" t="s">
        <v>2072</v>
      </c>
      <c r="AA1779" s="488" t="s">
        <v>10204</v>
      </c>
      <c r="AB1779" s="488" t="s">
        <v>10205</v>
      </c>
      <c r="AC1779" s="488" t="s">
        <v>10206</v>
      </c>
      <c r="AD1779" s="488" t="s">
        <v>10207</v>
      </c>
      <c r="AE1779" s="488" t="s">
        <v>1167</v>
      </c>
      <c r="AF1779" s="1800">
        <v>377.0</v>
      </c>
      <c r="AG1779" s="1800" t="s">
        <v>10208</v>
      </c>
      <c r="AH1779" s="488" t="s">
        <v>127</v>
      </c>
      <c r="AI1779" s="488" t="s">
        <v>10209</v>
      </c>
      <c r="AJ1779" s="1800">
        <v>0.001</v>
      </c>
      <c r="AK1779" s="488" t="s">
        <v>128</v>
      </c>
      <c r="AL1779" s="488" t="s">
        <v>179</v>
      </c>
      <c r="AM1779" s="1793" t="s">
        <v>130</v>
      </c>
      <c r="AN1779" s="1793" t="s">
        <v>131</v>
      </c>
      <c r="AO1779" s="1800">
        <v>688.0</v>
      </c>
      <c r="AP1779" s="1800" t="s">
        <v>10210</v>
      </c>
      <c r="AQ1779" s="488" t="s">
        <v>127</v>
      </c>
      <c r="AR1779" s="488" t="s">
        <v>10211</v>
      </c>
      <c r="AS1779" s="1800">
        <v>0.001</v>
      </c>
      <c r="AT1779" s="488" t="s">
        <v>128</v>
      </c>
      <c r="AU1779" s="488" t="s">
        <v>179</v>
      </c>
      <c r="AV1779" s="1793" t="s">
        <v>130</v>
      </c>
      <c r="AW1779" s="1801" t="s">
        <v>10212</v>
      </c>
      <c r="AX1779" s="1793" t="s">
        <v>136</v>
      </c>
      <c r="AY1779" s="1120"/>
      <c r="AZ1779" s="1623" t="s">
        <v>7909</v>
      </c>
      <c r="BA1779" s="1120"/>
      <c r="BB1779" s="1120"/>
      <c r="BC1779" s="1120"/>
      <c r="BD1779" s="1120"/>
      <c r="BE1779" s="1120"/>
      <c r="BF1779" s="1120"/>
      <c r="BG1779" s="1120"/>
      <c r="BH1779" s="1120"/>
      <c r="BI1779" s="1120"/>
      <c r="BJ1779" s="1120"/>
      <c r="BK1779" s="1120"/>
      <c r="BL1779" s="1120"/>
      <c r="BM1779" s="1120"/>
      <c r="BN1779" s="1120"/>
      <c r="BO1779" s="1120"/>
      <c r="BP1779" s="1120"/>
      <c r="BQ1779" s="1120"/>
      <c r="BR1779" s="1120"/>
      <c r="BS1779" s="1120"/>
      <c r="BT1779" s="1120"/>
      <c r="BU1779" s="1120"/>
      <c r="BV1779" s="1120"/>
      <c r="BW1779" s="1120"/>
      <c r="BX1779" s="1120"/>
      <c r="BY1779" s="1120"/>
      <c r="BZ1779" s="1120"/>
      <c r="CA1779" s="1120"/>
      <c r="CB1779" s="1120"/>
      <c r="CC1779" s="1120"/>
      <c r="CD1779" s="1120"/>
      <c r="CE1779" s="1120"/>
      <c r="CF1779" s="1120"/>
      <c r="CG1779" s="1120"/>
      <c r="CH1779" s="1120"/>
      <c r="CI1779" s="1120"/>
      <c r="CJ1779" s="1120"/>
      <c r="CK1779" s="1120"/>
      <c r="CL1779" s="1120"/>
      <c r="CM1779" s="1120"/>
      <c r="CN1779" s="1120"/>
      <c r="CO1779" s="1120"/>
      <c r="CP1779" s="1120"/>
      <c r="CQ1779" s="1120"/>
      <c r="CR1779" s="1120"/>
      <c r="CS1779" s="1120"/>
      <c r="CT1779" s="1120"/>
      <c r="CU1779" s="1120"/>
      <c r="CV1779" s="1120"/>
      <c r="CW1779" s="1120"/>
      <c r="CX1779" s="1120"/>
      <c r="CY1779" s="1120"/>
      <c r="CZ1779" s="1120"/>
      <c r="DA1779" s="1120"/>
      <c r="DB1779" s="1120"/>
      <c r="DC1779" s="1120"/>
      <c r="DD1779" s="1120"/>
      <c r="DE1779" s="1120"/>
      <c r="DF1779" s="1120"/>
      <c r="DG1779" s="1120"/>
      <c r="DH1779" s="1120"/>
    </row>
    <row r="1780" ht="15.75" customHeight="1">
      <c r="A1780" s="41">
        <v>1780.0</v>
      </c>
      <c r="B1780" s="126" t="s">
        <v>145</v>
      </c>
      <c r="C1780" s="59" t="s">
        <v>108</v>
      </c>
      <c r="D1780" s="59" t="s">
        <v>241</v>
      </c>
      <c r="F1780" s="126" t="s">
        <v>10197</v>
      </c>
      <c r="G1780" s="126" t="s">
        <v>10213</v>
      </c>
      <c r="H1780" s="148" t="s">
        <v>242</v>
      </c>
      <c r="I1780" s="150">
        <v>45757.0</v>
      </c>
      <c r="J1780" s="290">
        <v>45793.0</v>
      </c>
      <c r="K1780" s="148" t="s">
        <v>10199</v>
      </c>
      <c r="L1780" s="292" t="s">
        <v>10200</v>
      </c>
      <c r="M1780" s="126" t="s">
        <v>10201</v>
      </c>
      <c r="N1780" s="126" t="s">
        <v>10202</v>
      </c>
      <c r="O1780" s="498">
        <v>5.0</v>
      </c>
      <c r="P1780" s="525" t="s">
        <v>10203</v>
      </c>
      <c r="Q1780" s="49" t="str">
        <f t="array" ref="Q1780"> if(iserror(MATCH(V1780, 'File Links'!C:C, 0)), "N/A", HYPERLINK(INDEX('File Links'!B:B, MATCH(P1780, 'File Links'!C:C, 0))))</f>
        <v>https://drive.google.com/file/d/1hs6XpHWMiyMPANJzK7B4OuBvEZ7slY88/view?usp=drivesdk</v>
      </c>
      <c r="R1780" s="1689" t="s">
        <v>10147</v>
      </c>
      <c r="S1780" s="126" t="s">
        <v>10148</v>
      </c>
      <c r="T1780" s="1371"/>
      <c r="U1780" s="498">
        <v>19.0</v>
      </c>
      <c r="V1780" s="148" t="s">
        <v>10149</v>
      </c>
      <c r="W1780" s="300" t="s">
        <v>202</v>
      </c>
      <c r="X1780" s="51" t="str">
        <f t="array" ref="X1780"> if(iserror(MATCH(V1780, 'File Links'!C:C, 0)), "N/A", HYPERLINK(INDEX('File Links'!B:B, MATCH(V1780, 'File Links'!C:C, 0))))</f>
        <v>https://drive.google.com/file/d/1Irbmig3rfLDvz-G09jDAVwJvv1drYEqO/view?usp=drivesdk</v>
      </c>
      <c r="Y1780" s="65"/>
      <c r="Z1780" s="148" t="s">
        <v>2072</v>
      </c>
      <c r="AA1780" s="300" t="s">
        <v>10204</v>
      </c>
      <c r="AB1780" s="148" t="s">
        <v>10205</v>
      </c>
      <c r="AC1780" s="148" t="s">
        <v>10206</v>
      </c>
      <c r="AD1780" s="148" t="s">
        <v>10214</v>
      </c>
      <c r="AE1780" s="148" t="s">
        <v>1167</v>
      </c>
      <c r="AF1780" s="158">
        <v>377.0</v>
      </c>
      <c r="AG1780" s="158" t="s">
        <v>10215</v>
      </c>
      <c r="AH1780" s="148" t="s">
        <v>127</v>
      </c>
      <c r="AI1780" s="148" t="s">
        <v>10216</v>
      </c>
      <c r="AJ1780" s="158">
        <v>0.011</v>
      </c>
      <c r="AK1780" s="148" t="s">
        <v>165</v>
      </c>
      <c r="AL1780" s="148" t="s">
        <v>179</v>
      </c>
      <c r="AM1780" s="126" t="s">
        <v>130</v>
      </c>
      <c r="AN1780" s="126" t="s">
        <v>131</v>
      </c>
      <c r="AO1780" s="158">
        <v>688.0</v>
      </c>
      <c r="AP1780" s="158" t="s">
        <v>10217</v>
      </c>
      <c r="AQ1780" s="148" t="s">
        <v>127</v>
      </c>
      <c r="AR1780" s="148" t="s">
        <v>10218</v>
      </c>
      <c r="AS1780" s="158">
        <v>0.001</v>
      </c>
      <c r="AT1780" s="148" t="s">
        <v>128</v>
      </c>
      <c r="AU1780" s="148" t="s">
        <v>179</v>
      </c>
      <c r="AV1780" s="126" t="s">
        <v>130</v>
      </c>
      <c r="AW1780" s="1790" t="s">
        <v>10212</v>
      </c>
      <c r="AX1780" s="126" t="s">
        <v>136</v>
      </c>
      <c r="AZ1780" s="1623" t="s">
        <v>7909</v>
      </c>
    </row>
    <row r="1781" ht="15.75" customHeight="1">
      <c r="A1781" s="41">
        <v>1781.0</v>
      </c>
      <c r="B1781" s="126" t="s">
        <v>145</v>
      </c>
      <c r="C1781" s="59" t="s">
        <v>108</v>
      </c>
      <c r="D1781" s="59" t="s">
        <v>241</v>
      </c>
      <c r="F1781" s="126" t="s">
        <v>10197</v>
      </c>
      <c r="G1781" s="126" t="s">
        <v>10219</v>
      </c>
      <c r="H1781" s="148" t="s">
        <v>242</v>
      </c>
      <c r="I1781" s="150">
        <v>45757.0</v>
      </c>
      <c r="J1781" s="290">
        <v>45793.0</v>
      </c>
      <c r="K1781" s="148" t="s">
        <v>10199</v>
      </c>
      <c r="L1781" s="292" t="s">
        <v>10200</v>
      </c>
      <c r="M1781" s="126" t="s">
        <v>10201</v>
      </c>
      <c r="N1781" s="126" t="s">
        <v>10202</v>
      </c>
      <c r="O1781" s="498">
        <v>5.0</v>
      </c>
      <c r="P1781" s="525" t="s">
        <v>10203</v>
      </c>
      <c r="Q1781" s="49" t="str">
        <f t="array" ref="Q1781"> if(iserror(MATCH(V1781, 'File Links'!C:C, 0)), "N/A", HYPERLINK(INDEX('File Links'!B:B, MATCH(P1781, 'File Links'!C:C, 0))))</f>
        <v>https://drive.google.com/file/d/1hs6XpHWMiyMPANJzK7B4OuBvEZ7slY88/view?usp=drivesdk</v>
      </c>
      <c r="R1781" s="1689" t="s">
        <v>10147</v>
      </c>
      <c r="S1781" s="126" t="s">
        <v>10148</v>
      </c>
      <c r="T1781" s="1371"/>
      <c r="U1781" s="498">
        <v>19.0</v>
      </c>
      <c r="V1781" s="148" t="s">
        <v>10149</v>
      </c>
      <c r="W1781" s="300" t="s">
        <v>202</v>
      </c>
      <c r="X1781" s="51" t="str">
        <f t="array" ref="X1781"> if(iserror(MATCH(V1781, 'File Links'!C:C, 0)), "N/A", HYPERLINK(INDEX('File Links'!B:B, MATCH(V1781, 'File Links'!C:C, 0))))</f>
        <v>https://drive.google.com/file/d/1Irbmig3rfLDvz-G09jDAVwJvv1drYEqO/view?usp=drivesdk</v>
      </c>
      <c r="Y1781" s="65"/>
      <c r="Z1781" s="148" t="s">
        <v>2072</v>
      </c>
      <c r="AA1781" s="300" t="s">
        <v>10204</v>
      </c>
      <c r="AB1781" s="148" t="s">
        <v>10205</v>
      </c>
      <c r="AC1781" s="148" t="s">
        <v>10206</v>
      </c>
      <c r="AD1781" s="148" t="s">
        <v>10220</v>
      </c>
      <c r="AE1781" s="148" t="s">
        <v>1167</v>
      </c>
      <c r="AF1781" s="158">
        <v>377.0</v>
      </c>
      <c r="AG1781" s="158" t="s">
        <v>10221</v>
      </c>
      <c r="AH1781" s="148" t="s">
        <v>127</v>
      </c>
      <c r="AI1781" s="148" t="s">
        <v>10222</v>
      </c>
      <c r="AJ1781" s="158">
        <v>0.002</v>
      </c>
      <c r="AK1781" s="148" t="s">
        <v>165</v>
      </c>
      <c r="AL1781" s="148" t="s">
        <v>179</v>
      </c>
      <c r="AM1781" s="126" t="s">
        <v>134</v>
      </c>
      <c r="AN1781" s="126" t="s">
        <v>131</v>
      </c>
      <c r="AO1781" s="158">
        <v>688.0</v>
      </c>
      <c r="AP1781" s="158">
        <v>0.018</v>
      </c>
      <c r="AQ1781" s="148" t="s">
        <v>867</v>
      </c>
      <c r="AR1781" s="148" t="s">
        <v>10223</v>
      </c>
      <c r="AS1781" s="158">
        <v>0.004</v>
      </c>
      <c r="AT1781" s="148" t="s">
        <v>165</v>
      </c>
      <c r="AU1781" s="148" t="s">
        <v>179</v>
      </c>
      <c r="AV1781" s="126" t="s">
        <v>134</v>
      </c>
      <c r="AW1781" s="1790" t="s">
        <v>10212</v>
      </c>
      <c r="AX1781" s="126" t="s">
        <v>136</v>
      </c>
      <c r="AZ1781" s="1623" t="s">
        <v>7909</v>
      </c>
    </row>
    <row r="1782" ht="15.75" customHeight="1">
      <c r="A1782" s="41">
        <v>1782.0</v>
      </c>
      <c r="B1782" s="126" t="s">
        <v>145</v>
      </c>
      <c r="C1782" s="59" t="s">
        <v>108</v>
      </c>
      <c r="D1782" s="59" t="s">
        <v>241</v>
      </c>
      <c r="F1782" s="126" t="s">
        <v>10197</v>
      </c>
      <c r="G1782" s="126" t="s">
        <v>10224</v>
      </c>
      <c r="H1782" s="148" t="s">
        <v>242</v>
      </c>
      <c r="I1782" s="150">
        <v>45757.0</v>
      </c>
      <c r="J1782" s="290">
        <v>45793.0</v>
      </c>
      <c r="K1782" s="148" t="s">
        <v>10199</v>
      </c>
      <c r="L1782" s="292" t="s">
        <v>10200</v>
      </c>
      <c r="M1782" s="126" t="s">
        <v>10201</v>
      </c>
      <c r="N1782" s="126" t="s">
        <v>10202</v>
      </c>
      <c r="O1782" s="498">
        <v>5.0</v>
      </c>
      <c r="P1782" s="525" t="s">
        <v>10203</v>
      </c>
      <c r="Q1782" s="49" t="str">
        <f t="array" ref="Q1782"> if(iserror(MATCH(V1782, 'File Links'!C:C, 0)), "N/A", HYPERLINK(INDEX('File Links'!B:B, MATCH(P1782, 'File Links'!C:C, 0))))</f>
        <v>https://drive.google.com/file/d/1hs6XpHWMiyMPANJzK7B4OuBvEZ7slY88/view?usp=drivesdk</v>
      </c>
      <c r="R1782" s="1689" t="s">
        <v>10147</v>
      </c>
      <c r="S1782" s="126" t="s">
        <v>10148</v>
      </c>
      <c r="T1782" s="1371"/>
      <c r="U1782" s="498">
        <v>19.0</v>
      </c>
      <c r="V1782" s="148" t="s">
        <v>10149</v>
      </c>
      <c r="W1782" s="300" t="s">
        <v>202</v>
      </c>
      <c r="X1782" s="51" t="str">
        <f t="array" ref="X1782"> if(iserror(MATCH(V1782, 'File Links'!C:C, 0)), "N/A", HYPERLINK(INDEX('File Links'!B:B, MATCH(V1782, 'File Links'!C:C, 0))))</f>
        <v>https://drive.google.com/file/d/1Irbmig3rfLDvz-G09jDAVwJvv1drYEqO/view?usp=drivesdk</v>
      </c>
      <c r="Y1782" s="65"/>
      <c r="Z1782" s="148" t="s">
        <v>2072</v>
      </c>
      <c r="AA1782" s="300" t="s">
        <v>10204</v>
      </c>
      <c r="AB1782" s="148" t="s">
        <v>10205</v>
      </c>
      <c r="AC1782" s="148" t="s">
        <v>10206</v>
      </c>
      <c r="AD1782" s="148" t="s">
        <v>10225</v>
      </c>
      <c r="AE1782" s="148" t="s">
        <v>1167</v>
      </c>
      <c r="AF1782" s="158">
        <v>377.0</v>
      </c>
      <c r="AG1782" s="158" t="s">
        <v>10226</v>
      </c>
      <c r="AH1782" s="148" t="s">
        <v>127</v>
      </c>
      <c r="AI1782" s="148" t="s">
        <v>1167</v>
      </c>
      <c r="AJ1782" s="158">
        <v>0.05</v>
      </c>
      <c r="AK1782" s="148" t="s">
        <v>328</v>
      </c>
      <c r="AL1782" s="148" t="s">
        <v>179</v>
      </c>
      <c r="AM1782" s="126" t="s">
        <v>134</v>
      </c>
      <c r="AN1782" s="126" t="s">
        <v>131</v>
      </c>
      <c r="AO1782" s="158">
        <v>688.0</v>
      </c>
      <c r="AP1782" s="158">
        <v>0.008</v>
      </c>
      <c r="AQ1782" s="148" t="s">
        <v>867</v>
      </c>
      <c r="AR1782" s="148" t="s">
        <v>10227</v>
      </c>
      <c r="AS1782" s="158">
        <v>0.001</v>
      </c>
      <c r="AT1782" s="148" t="s">
        <v>128</v>
      </c>
      <c r="AU1782" s="148" t="s">
        <v>179</v>
      </c>
      <c r="AV1782" s="126" t="s">
        <v>134</v>
      </c>
      <c r="AW1782" s="1790" t="s">
        <v>10212</v>
      </c>
      <c r="AX1782" s="126" t="s">
        <v>136</v>
      </c>
      <c r="AZ1782" s="1623" t="s">
        <v>7909</v>
      </c>
    </row>
    <row r="1783" ht="15.75" customHeight="1">
      <c r="A1783" s="41">
        <v>1783.0</v>
      </c>
      <c r="B1783" s="126" t="s">
        <v>107</v>
      </c>
      <c r="C1783" s="59" t="s">
        <v>108</v>
      </c>
      <c r="D1783" s="59" t="s">
        <v>241</v>
      </c>
      <c r="F1783" s="126" t="s">
        <v>10197</v>
      </c>
      <c r="G1783" s="126" t="s">
        <v>10228</v>
      </c>
      <c r="H1783" s="148" t="s">
        <v>242</v>
      </c>
      <c r="I1783" s="150">
        <v>45757.0</v>
      </c>
      <c r="J1783" s="290">
        <v>45793.0</v>
      </c>
      <c r="K1783" s="148" t="s">
        <v>10229</v>
      </c>
      <c r="L1783" s="126" t="s">
        <v>10230</v>
      </c>
      <c r="M1783" s="126" t="s">
        <v>10201</v>
      </c>
      <c r="N1783" s="126" t="s">
        <v>10202</v>
      </c>
      <c r="O1783" s="498">
        <v>5.0</v>
      </c>
      <c r="P1783" s="525" t="s">
        <v>10203</v>
      </c>
      <c r="Q1783" s="49" t="str">
        <f t="array" ref="Q1783"> if(iserror(MATCH(V1783, 'File Links'!C:C, 0)), "N/A", HYPERLINK(INDEX('File Links'!B:B, MATCH(P1783, 'File Links'!C:C, 0))))</f>
        <v>https://drive.google.com/file/d/1hs6XpHWMiyMPANJzK7B4OuBvEZ7slY88/view?usp=drivesdk</v>
      </c>
      <c r="R1783" s="1689" t="s">
        <v>10147</v>
      </c>
      <c r="S1783" s="126" t="s">
        <v>10148</v>
      </c>
      <c r="T1783" s="1371"/>
      <c r="U1783" s="498">
        <v>19.0</v>
      </c>
      <c r="V1783" s="148" t="s">
        <v>10149</v>
      </c>
      <c r="W1783" s="300" t="s">
        <v>202</v>
      </c>
      <c r="X1783" s="51" t="str">
        <f t="array" ref="X1783"> if(iserror(MATCH(V1783, 'File Links'!C:C, 0)), "N/A", HYPERLINK(INDEX('File Links'!B:B, MATCH(V1783, 'File Links'!C:C, 0))))</f>
        <v>https://drive.google.com/file/d/1Irbmig3rfLDvz-G09jDAVwJvv1drYEqO/view?usp=drivesdk</v>
      </c>
      <c r="Y1783" s="65"/>
      <c r="Z1783" s="148" t="s">
        <v>2072</v>
      </c>
      <c r="AA1783" s="300" t="s">
        <v>10204</v>
      </c>
      <c r="AB1783" s="148" t="s">
        <v>10205</v>
      </c>
      <c r="AC1783" s="148" t="s">
        <v>10206</v>
      </c>
      <c r="AD1783" s="148" t="s">
        <v>10207</v>
      </c>
      <c r="AE1783" s="148" t="s">
        <v>1167</v>
      </c>
      <c r="AF1783" s="158">
        <v>377.0</v>
      </c>
      <c r="AG1783" s="158" t="s">
        <v>10208</v>
      </c>
      <c r="AH1783" s="148" t="s">
        <v>127</v>
      </c>
      <c r="AI1783" s="148" t="s">
        <v>10209</v>
      </c>
      <c r="AJ1783" s="158">
        <v>0.001</v>
      </c>
      <c r="AK1783" s="148" t="s">
        <v>128</v>
      </c>
      <c r="AL1783" s="148" t="s">
        <v>179</v>
      </c>
      <c r="AM1783" s="126" t="s">
        <v>130</v>
      </c>
      <c r="AN1783" s="126" t="s">
        <v>131</v>
      </c>
      <c r="AO1783" s="158">
        <v>712.0</v>
      </c>
      <c r="AP1783" s="158" t="s">
        <v>10231</v>
      </c>
      <c r="AQ1783" s="148" t="s">
        <v>127</v>
      </c>
      <c r="AR1783" s="148" t="s">
        <v>10232</v>
      </c>
      <c r="AS1783" s="158">
        <v>0.001</v>
      </c>
      <c r="AT1783" s="148" t="s">
        <v>128</v>
      </c>
      <c r="AU1783" s="148" t="s">
        <v>179</v>
      </c>
      <c r="AV1783" s="126" t="s">
        <v>130</v>
      </c>
      <c r="AW1783" s="1790" t="s">
        <v>10212</v>
      </c>
      <c r="AX1783" s="126" t="s">
        <v>136</v>
      </c>
      <c r="AZ1783" s="1623" t="s">
        <v>7909</v>
      </c>
    </row>
    <row r="1784" ht="15.75" customHeight="1">
      <c r="A1784" s="41">
        <v>1784.0</v>
      </c>
      <c r="B1784" s="126" t="s">
        <v>107</v>
      </c>
      <c r="C1784" s="59" t="s">
        <v>108</v>
      </c>
      <c r="D1784" s="59" t="s">
        <v>241</v>
      </c>
      <c r="F1784" s="126" t="s">
        <v>10197</v>
      </c>
      <c r="G1784" s="126" t="s">
        <v>10233</v>
      </c>
      <c r="H1784" s="148" t="s">
        <v>242</v>
      </c>
      <c r="I1784" s="150">
        <v>45757.0</v>
      </c>
      <c r="J1784" s="290">
        <v>45793.0</v>
      </c>
      <c r="K1784" s="148" t="s">
        <v>10229</v>
      </c>
      <c r="L1784" s="126" t="s">
        <v>10230</v>
      </c>
      <c r="M1784" s="126" t="s">
        <v>10201</v>
      </c>
      <c r="N1784" s="126" t="s">
        <v>10202</v>
      </c>
      <c r="O1784" s="498">
        <v>5.0</v>
      </c>
      <c r="P1784" s="525" t="s">
        <v>10203</v>
      </c>
      <c r="Q1784" s="49" t="str">
        <f t="array" ref="Q1784"> if(iserror(MATCH(V1784, 'File Links'!C:C, 0)), "N/A", HYPERLINK(INDEX('File Links'!B:B, MATCH(P1784, 'File Links'!C:C, 0))))</f>
        <v>https://drive.google.com/file/d/1hs6XpHWMiyMPANJzK7B4OuBvEZ7slY88/view?usp=drivesdk</v>
      </c>
      <c r="R1784" s="1689" t="s">
        <v>10147</v>
      </c>
      <c r="S1784" s="126" t="s">
        <v>10148</v>
      </c>
      <c r="T1784" s="1371"/>
      <c r="U1784" s="498">
        <v>19.0</v>
      </c>
      <c r="V1784" s="148" t="s">
        <v>10149</v>
      </c>
      <c r="W1784" s="300" t="s">
        <v>202</v>
      </c>
      <c r="X1784" s="51" t="str">
        <f t="array" ref="X1784"> if(iserror(MATCH(V1784, 'File Links'!C:C, 0)), "N/A", HYPERLINK(INDEX('File Links'!B:B, MATCH(V1784, 'File Links'!C:C, 0))))</f>
        <v>https://drive.google.com/file/d/1Irbmig3rfLDvz-G09jDAVwJvv1drYEqO/view?usp=drivesdk</v>
      </c>
      <c r="Y1784" s="65"/>
      <c r="Z1784" s="148" t="s">
        <v>2072</v>
      </c>
      <c r="AA1784" s="300" t="s">
        <v>10204</v>
      </c>
      <c r="AB1784" s="148" t="s">
        <v>10205</v>
      </c>
      <c r="AC1784" s="148" t="s">
        <v>10206</v>
      </c>
      <c r="AD1784" s="148" t="s">
        <v>10214</v>
      </c>
      <c r="AE1784" s="148" t="s">
        <v>1167</v>
      </c>
      <c r="AF1784" s="158">
        <v>377.0</v>
      </c>
      <c r="AG1784" s="158" t="s">
        <v>10215</v>
      </c>
      <c r="AH1784" s="148" t="s">
        <v>127</v>
      </c>
      <c r="AI1784" s="148" t="s">
        <v>10216</v>
      </c>
      <c r="AJ1784" s="158">
        <v>0.011</v>
      </c>
      <c r="AK1784" s="148" t="s">
        <v>165</v>
      </c>
      <c r="AL1784" s="148" t="s">
        <v>179</v>
      </c>
      <c r="AM1784" s="126" t="s">
        <v>130</v>
      </c>
      <c r="AN1784" s="126" t="s">
        <v>131</v>
      </c>
      <c r="AO1784" s="158">
        <v>712.0</v>
      </c>
      <c r="AP1784" s="158" t="s">
        <v>10234</v>
      </c>
      <c r="AQ1784" s="148" t="s">
        <v>127</v>
      </c>
      <c r="AR1784" s="148" t="s">
        <v>10235</v>
      </c>
      <c r="AS1784" s="158">
        <v>0.001</v>
      </c>
      <c r="AT1784" s="148" t="s">
        <v>128</v>
      </c>
      <c r="AU1784" s="148" t="s">
        <v>179</v>
      </c>
      <c r="AV1784" s="126" t="s">
        <v>130</v>
      </c>
      <c r="AW1784" s="1790" t="s">
        <v>10212</v>
      </c>
      <c r="AX1784" s="126" t="s">
        <v>136</v>
      </c>
      <c r="AZ1784" s="1623" t="s">
        <v>7909</v>
      </c>
    </row>
    <row r="1785" ht="15.75" customHeight="1">
      <c r="A1785" s="41">
        <v>1785.0</v>
      </c>
      <c r="B1785" s="126" t="s">
        <v>107</v>
      </c>
      <c r="C1785" s="59" t="s">
        <v>108</v>
      </c>
      <c r="D1785" s="59" t="s">
        <v>241</v>
      </c>
      <c r="F1785" s="126" t="s">
        <v>10197</v>
      </c>
      <c r="G1785" s="126" t="s">
        <v>10236</v>
      </c>
      <c r="H1785" s="148" t="s">
        <v>242</v>
      </c>
      <c r="I1785" s="150">
        <v>45757.0</v>
      </c>
      <c r="J1785" s="290">
        <v>45793.0</v>
      </c>
      <c r="K1785" s="148" t="s">
        <v>10229</v>
      </c>
      <c r="L1785" s="126" t="s">
        <v>10230</v>
      </c>
      <c r="M1785" s="126" t="s">
        <v>10201</v>
      </c>
      <c r="N1785" s="126" t="s">
        <v>10202</v>
      </c>
      <c r="O1785" s="498">
        <v>5.0</v>
      </c>
      <c r="P1785" s="525" t="s">
        <v>10203</v>
      </c>
      <c r="Q1785" s="49" t="str">
        <f t="array" ref="Q1785"> if(iserror(MATCH(V1785, 'File Links'!C:C, 0)), "N/A", HYPERLINK(INDEX('File Links'!B:B, MATCH(P1785, 'File Links'!C:C, 0))))</f>
        <v>https://drive.google.com/file/d/1hs6XpHWMiyMPANJzK7B4OuBvEZ7slY88/view?usp=drivesdk</v>
      </c>
      <c r="R1785" s="1689" t="s">
        <v>10147</v>
      </c>
      <c r="S1785" s="126" t="s">
        <v>10148</v>
      </c>
      <c r="T1785" s="1371"/>
      <c r="U1785" s="498">
        <v>19.0</v>
      </c>
      <c r="V1785" s="148" t="s">
        <v>10149</v>
      </c>
      <c r="W1785" s="300" t="s">
        <v>202</v>
      </c>
      <c r="X1785" s="51" t="str">
        <f t="array" ref="X1785"> if(iserror(MATCH(V1785, 'File Links'!C:C, 0)), "N/A", HYPERLINK(INDEX('File Links'!B:B, MATCH(V1785, 'File Links'!C:C, 0))))</f>
        <v>https://drive.google.com/file/d/1Irbmig3rfLDvz-G09jDAVwJvv1drYEqO/view?usp=drivesdk</v>
      </c>
      <c r="Y1785" s="65"/>
      <c r="Z1785" s="148" t="s">
        <v>2072</v>
      </c>
      <c r="AA1785" s="300" t="s">
        <v>10204</v>
      </c>
      <c r="AB1785" s="148" t="s">
        <v>10205</v>
      </c>
      <c r="AC1785" s="148" t="s">
        <v>10206</v>
      </c>
      <c r="AD1785" s="148" t="s">
        <v>10220</v>
      </c>
      <c r="AE1785" s="148" t="s">
        <v>1167</v>
      </c>
      <c r="AF1785" s="158">
        <v>377.0</v>
      </c>
      <c r="AG1785" s="158" t="s">
        <v>10237</v>
      </c>
      <c r="AH1785" s="148" t="s">
        <v>127</v>
      </c>
      <c r="AI1785" s="148" t="s">
        <v>10222</v>
      </c>
      <c r="AJ1785" s="158">
        <v>0.002</v>
      </c>
      <c r="AK1785" s="148" t="s">
        <v>165</v>
      </c>
      <c r="AL1785" s="148" t="s">
        <v>179</v>
      </c>
      <c r="AM1785" s="126" t="s">
        <v>134</v>
      </c>
      <c r="AN1785" s="126" t="s">
        <v>131</v>
      </c>
      <c r="AO1785" s="158">
        <v>712.0</v>
      </c>
      <c r="AP1785" s="158" t="s">
        <v>10238</v>
      </c>
      <c r="AQ1785" s="148" t="s">
        <v>867</v>
      </c>
      <c r="AR1785" s="148" t="s">
        <v>10239</v>
      </c>
      <c r="AS1785" s="158">
        <v>0.034</v>
      </c>
      <c r="AT1785" s="148" t="s">
        <v>165</v>
      </c>
      <c r="AU1785" s="148" t="s">
        <v>179</v>
      </c>
      <c r="AV1785" s="126" t="s">
        <v>134</v>
      </c>
      <c r="AW1785" s="1790" t="s">
        <v>10212</v>
      </c>
      <c r="AX1785" s="126" t="s">
        <v>136</v>
      </c>
      <c r="AZ1785" s="1623" t="s">
        <v>7909</v>
      </c>
    </row>
    <row r="1786" ht="15.75" customHeight="1">
      <c r="A1786" s="41">
        <v>1786.0</v>
      </c>
      <c r="B1786" s="1793" t="s">
        <v>107</v>
      </c>
      <c r="C1786" s="1623" t="s">
        <v>108</v>
      </c>
      <c r="D1786" s="1623" t="s">
        <v>241</v>
      </c>
      <c r="E1786" s="1120"/>
      <c r="F1786" s="1793" t="s">
        <v>10197</v>
      </c>
      <c r="G1786" s="1793" t="s">
        <v>10240</v>
      </c>
      <c r="H1786" s="488" t="s">
        <v>242</v>
      </c>
      <c r="I1786" s="1794">
        <v>45757.0</v>
      </c>
      <c r="J1786" s="1795">
        <v>45793.0</v>
      </c>
      <c r="K1786" s="488" t="s">
        <v>10229</v>
      </c>
      <c r="L1786" s="1793" t="s">
        <v>10230</v>
      </c>
      <c r="M1786" s="1793" t="s">
        <v>10201</v>
      </c>
      <c r="N1786" s="1793" t="s">
        <v>10202</v>
      </c>
      <c r="O1786" s="1796">
        <v>5.0</v>
      </c>
      <c r="P1786" s="1797" t="s">
        <v>10203</v>
      </c>
      <c r="Q1786" s="49" t="str">
        <f t="array" ref="Q1786"> if(iserror(MATCH(V1786, 'File Links'!C:C, 0)), "N/A", HYPERLINK(INDEX('File Links'!B:B, MATCH(P1786, 'File Links'!C:C, 0))))</f>
        <v>https://drive.google.com/file/d/1hs6XpHWMiyMPANJzK7B4OuBvEZ7slY88/view?usp=drivesdk</v>
      </c>
      <c r="R1786" s="1798" t="s">
        <v>10147</v>
      </c>
      <c r="S1786" s="1793" t="s">
        <v>10148</v>
      </c>
      <c r="T1786" s="1799"/>
      <c r="U1786" s="1796">
        <v>19.0</v>
      </c>
      <c r="V1786" s="488" t="s">
        <v>10149</v>
      </c>
      <c r="W1786" s="488" t="s">
        <v>202</v>
      </c>
      <c r="X1786" s="51" t="str">
        <f t="array" ref="X1786"> if(iserror(MATCH(V1786, 'File Links'!C:C, 0)), "N/A", HYPERLINK(INDEX('File Links'!B:B, MATCH(V1786, 'File Links'!C:C, 0))))</f>
        <v>https://drive.google.com/file/d/1Irbmig3rfLDvz-G09jDAVwJvv1drYEqO/view?usp=drivesdk</v>
      </c>
      <c r="Y1786" s="1624"/>
      <c r="Z1786" s="488" t="s">
        <v>2072</v>
      </c>
      <c r="AA1786" s="488" t="s">
        <v>10204</v>
      </c>
      <c r="AB1786" s="488" t="s">
        <v>10205</v>
      </c>
      <c r="AC1786" s="488" t="s">
        <v>10206</v>
      </c>
      <c r="AD1786" s="488" t="s">
        <v>10225</v>
      </c>
      <c r="AE1786" s="488" t="s">
        <v>1167</v>
      </c>
      <c r="AF1786" s="1800">
        <v>377.0</v>
      </c>
      <c r="AG1786" s="1800" t="s">
        <v>10241</v>
      </c>
      <c r="AH1786" s="488" t="s">
        <v>127</v>
      </c>
      <c r="AI1786" s="488" t="s">
        <v>1167</v>
      </c>
      <c r="AJ1786" s="1800">
        <v>0.05</v>
      </c>
      <c r="AK1786" s="488" t="s">
        <v>328</v>
      </c>
      <c r="AL1786" s="488" t="s">
        <v>179</v>
      </c>
      <c r="AM1786" s="1793" t="s">
        <v>134</v>
      </c>
      <c r="AN1786" s="1793" t="s">
        <v>131</v>
      </c>
      <c r="AO1786" s="1800">
        <v>712.0</v>
      </c>
      <c r="AP1786" s="1800">
        <v>0.008</v>
      </c>
      <c r="AQ1786" s="488" t="s">
        <v>867</v>
      </c>
      <c r="AR1786" s="488" t="s">
        <v>10242</v>
      </c>
      <c r="AS1786" s="1800">
        <v>0.001</v>
      </c>
      <c r="AT1786" s="488" t="s">
        <v>128</v>
      </c>
      <c r="AU1786" s="488" t="s">
        <v>179</v>
      </c>
      <c r="AV1786" s="1793" t="s">
        <v>134</v>
      </c>
      <c r="AW1786" s="1801" t="s">
        <v>10212</v>
      </c>
      <c r="AX1786" s="1793" t="s">
        <v>136</v>
      </c>
      <c r="AY1786" s="1120"/>
      <c r="AZ1786" s="1623" t="s">
        <v>7909</v>
      </c>
      <c r="BA1786" s="1120"/>
      <c r="BB1786" s="1120"/>
      <c r="BC1786" s="1120"/>
      <c r="BD1786" s="1120"/>
      <c r="BE1786" s="1120"/>
      <c r="BF1786" s="1120"/>
      <c r="BG1786" s="1120"/>
      <c r="BH1786" s="1120"/>
      <c r="BI1786" s="1120"/>
      <c r="BJ1786" s="1120"/>
      <c r="BK1786" s="1120"/>
      <c r="BL1786" s="1120"/>
      <c r="BM1786" s="1120"/>
      <c r="BN1786" s="1120"/>
      <c r="BO1786" s="1120"/>
      <c r="BP1786" s="1120"/>
      <c r="BQ1786" s="1120"/>
      <c r="BR1786" s="1120"/>
      <c r="BS1786" s="1120"/>
      <c r="BT1786" s="1120"/>
      <c r="BU1786" s="1120"/>
      <c r="BV1786" s="1120"/>
      <c r="BW1786" s="1120"/>
      <c r="BX1786" s="1120"/>
      <c r="BY1786" s="1120"/>
      <c r="BZ1786" s="1120"/>
      <c r="CA1786" s="1120"/>
      <c r="CB1786" s="1120"/>
      <c r="CC1786" s="1120"/>
      <c r="CD1786" s="1120"/>
      <c r="CE1786" s="1120"/>
      <c r="CF1786" s="1120"/>
      <c r="CG1786" s="1120"/>
      <c r="CH1786" s="1120"/>
      <c r="CI1786" s="1120"/>
      <c r="CJ1786" s="1120"/>
      <c r="CK1786" s="1120"/>
      <c r="CL1786" s="1120"/>
      <c r="CM1786" s="1120"/>
      <c r="CN1786" s="1120"/>
      <c r="CO1786" s="1120"/>
      <c r="CP1786" s="1120"/>
      <c r="CQ1786" s="1120"/>
      <c r="CR1786" s="1120"/>
      <c r="CS1786" s="1120"/>
      <c r="CT1786" s="1120"/>
      <c r="CU1786" s="1120"/>
      <c r="CV1786" s="1120"/>
      <c r="CW1786" s="1120"/>
      <c r="CX1786" s="1120"/>
      <c r="CY1786" s="1120"/>
      <c r="CZ1786" s="1120"/>
      <c r="DA1786" s="1120"/>
      <c r="DB1786" s="1120"/>
      <c r="DC1786" s="1120"/>
      <c r="DD1786" s="1120"/>
      <c r="DE1786" s="1120"/>
      <c r="DF1786" s="1120"/>
      <c r="DG1786" s="1120"/>
      <c r="DH1786" s="1120"/>
    </row>
    <row r="1787" ht="15.75" customHeight="1">
      <c r="A1787" s="41">
        <v>1787.0</v>
      </c>
      <c r="B1787" s="126" t="s">
        <v>107</v>
      </c>
      <c r="C1787" s="59" t="s">
        <v>108</v>
      </c>
      <c r="D1787" s="59" t="s">
        <v>241</v>
      </c>
      <c r="F1787" s="126" t="s">
        <v>10243</v>
      </c>
      <c r="G1787" s="126" t="s">
        <v>10244</v>
      </c>
      <c r="H1787" s="148" t="s">
        <v>242</v>
      </c>
      <c r="I1787" s="150">
        <v>45757.0</v>
      </c>
      <c r="J1787" s="290">
        <v>45793.0</v>
      </c>
      <c r="K1787" s="156"/>
      <c r="L1787" s="126" t="s">
        <v>10245</v>
      </c>
      <c r="M1787" s="126" t="s">
        <v>10246</v>
      </c>
      <c r="N1787" s="126" t="s">
        <v>10247</v>
      </c>
      <c r="O1787" s="498">
        <v>4.0</v>
      </c>
      <c r="P1787" s="525" t="s">
        <v>10248</v>
      </c>
      <c r="Q1787" s="49" t="str">
        <f t="array" ref="Q1787"> if(iserror(MATCH(V1787, 'File Links'!C:C, 0)), "N/A", HYPERLINK(INDEX('File Links'!B:B, MATCH(P1787, 'File Links'!C:C, 0))))</f>
        <v>https://drive.google.com/file/d/1KTndRLnspP4bSM08LU5xlAb5egjHN1hx/view?usp=drivesdk</v>
      </c>
      <c r="R1787" s="1689" t="s">
        <v>10147</v>
      </c>
      <c r="S1787" s="126" t="s">
        <v>10148</v>
      </c>
      <c r="T1787" s="1371"/>
      <c r="U1787" s="498">
        <v>13.0</v>
      </c>
      <c r="V1787" s="148" t="s">
        <v>10149</v>
      </c>
      <c r="W1787" s="1773" t="s">
        <v>202</v>
      </c>
      <c r="X1787" s="51" t="str">
        <f t="array" ref="X1787"> if(iserror(MATCH(V1787, 'File Links'!C:C, 0)), "N/A", HYPERLINK(INDEX('File Links'!B:B, MATCH(V1787, 'File Links'!C:C, 0))))</f>
        <v>https://drive.google.com/file/d/1Irbmig3rfLDvz-G09jDAVwJvv1drYEqO/view?usp=drivesdk</v>
      </c>
      <c r="Y1787" s="65"/>
      <c r="Z1787" s="148" t="s">
        <v>2072</v>
      </c>
      <c r="AA1787" s="1776" t="s">
        <v>10249</v>
      </c>
      <c r="AB1787" s="148" t="s">
        <v>10250</v>
      </c>
      <c r="AC1787" s="148" t="s">
        <v>10251</v>
      </c>
      <c r="AD1787" s="148" t="s">
        <v>10252</v>
      </c>
      <c r="AE1787" s="148" t="s">
        <v>623</v>
      </c>
      <c r="AF1787" s="158">
        <v>179.0</v>
      </c>
      <c r="AG1787" s="158">
        <v>1.08</v>
      </c>
      <c r="AH1787" s="148" t="s">
        <v>166</v>
      </c>
      <c r="AI1787" s="148" t="s">
        <v>10253</v>
      </c>
      <c r="AJ1787" s="158">
        <v>0.01</v>
      </c>
      <c r="AK1787" s="148" t="s">
        <v>128</v>
      </c>
      <c r="AL1787" s="148" t="s">
        <v>179</v>
      </c>
      <c r="AM1787" s="126" t="s">
        <v>130</v>
      </c>
      <c r="AN1787" s="126" t="s">
        <v>131</v>
      </c>
      <c r="AO1787" s="158">
        <v>467.0</v>
      </c>
      <c r="AP1787" s="158">
        <v>0.179</v>
      </c>
      <c r="AQ1787" s="148" t="s">
        <v>166</v>
      </c>
      <c r="AR1787" s="148" t="s">
        <v>10254</v>
      </c>
      <c r="AS1787" s="158">
        <v>0.01</v>
      </c>
      <c r="AT1787" s="148" t="s">
        <v>128</v>
      </c>
      <c r="AU1787" s="148" t="s">
        <v>179</v>
      </c>
      <c r="AV1787" s="126" t="s">
        <v>130</v>
      </c>
      <c r="AW1787" s="1790" t="s">
        <v>10255</v>
      </c>
      <c r="AX1787" s="126" t="s">
        <v>136</v>
      </c>
      <c r="AZ1787" s="59" t="s">
        <v>1263</v>
      </c>
    </row>
    <row r="1788" ht="15.75" customHeight="1">
      <c r="A1788" s="41">
        <v>1788.0</v>
      </c>
      <c r="B1788" s="126" t="s">
        <v>107</v>
      </c>
      <c r="C1788" s="59" t="s">
        <v>108</v>
      </c>
      <c r="D1788" s="59" t="s">
        <v>241</v>
      </c>
      <c r="F1788" s="126" t="s">
        <v>10243</v>
      </c>
      <c r="G1788" s="126" t="s">
        <v>10256</v>
      </c>
      <c r="H1788" s="148" t="s">
        <v>242</v>
      </c>
      <c r="I1788" s="150">
        <v>45757.0</v>
      </c>
      <c r="J1788" s="290">
        <v>45793.0</v>
      </c>
      <c r="K1788" s="156"/>
      <c r="L1788" s="126" t="s">
        <v>10257</v>
      </c>
      <c r="M1788" s="126" t="s">
        <v>10246</v>
      </c>
      <c r="N1788" s="126" t="s">
        <v>10247</v>
      </c>
      <c r="O1788" s="498">
        <v>4.0</v>
      </c>
      <c r="P1788" s="525" t="s">
        <v>10248</v>
      </c>
      <c r="Q1788" s="49" t="str">
        <f t="array" ref="Q1788"> if(iserror(MATCH(V1788, 'File Links'!C:C, 0)), "N/A", HYPERLINK(INDEX('File Links'!B:B, MATCH(P1788, 'File Links'!C:C, 0))))</f>
        <v>https://drive.google.com/file/d/1KTndRLnspP4bSM08LU5xlAb5egjHN1hx/view?usp=drivesdk</v>
      </c>
      <c r="R1788" s="1689" t="s">
        <v>10147</v>
      </c>
      <c r="S1788" s="126" t="s">
        <v>10148</v>
      </c>
      <c r="T1788" s="1371"/>
      <c r="U1788" s="498">
        <v>13.0</v>
      </c>
      <c r="V1788" s="148" t="s">
        <v>10149</v>
      </c>
      <c r="W1788" s="1773" t="s">
        <v>202</v>
      </c>
      <c r="X1788" s="51" t="str">
        <f t="array" ref="X1788"> if(iserror(MATCH(V1788, 'File Links'!C:C, 0)), "N/A", HYPERLINK(INDEX('File Links'!B:B, MATCH(V1788, 'File Links'!C:C, 0))))</f>
        <v>https://drive.google.com/file/d/1Irbmig3rfLDvz-G09jDAVwJvv1drYEqO/view?usp=drivesdk</v>
      </c>
      <c r="Y1788" s="65"/>
      <c r="Z1788" s="148" t="s">
        <v>2072</v>
      </c>
      <c r="AA1788" s="1776" t="s">
        <v>10249</v>
      </c>
      <c r="AB1788" s="148" t="s">
        <v>10250</v>
      </c>
      <c r="AC1788" s="148" t="s">
        <v>10251</v>
      </c>
      <c r="AD1788" s="148" t="s">
        <v>10258</v>
      </c>
      <c r="AE1788" s="148" t="s">
        <v>623</v>
      </c>
      <c r="AF1788" s="158">
        <v>179.0</v>
      </c>
      <c r="AG1788" s="158">
        <v>0.34</v>
      </c>
      <c r="AH1788" s="148" t="s">
        <v>166</v>
      </c>
      <c r="AI1788" s="148" t="s">
        <v>10259</v>
      </c>
      <c r="AJ1788" s="158">
        <v>0.01</v>
      </c>
      <c r="AK1788" s="148" t="s">
        <v>128</v>
      </c>
      <c r="AL1788" s="148" t="s">
        <v>179</v>
      </c>
      <c r="AM1788" s="126" t="s">
        <v>130</v>
      </c>
      <c r="AN1788" s="126" t="s">
        <v>131</v>
      </c>
      <c r="AO1788" s="158">
        <v>467.0</v>
      </c>
      <c r="AP1788" s="158">
        <v>0.028</v>
      </c>
      <c r="AQ1788" s="148" t="s">
        <v>166</v>
      </c>
      <c r="AR1788" s="148" t="s">
        <v>10260</v>
      </c>
      <c r="AS1788" s="158">
        <v>0.6</v>
      </c>
      <c r="AT1788" s="148" t="s">
        <v>165</v>
      </c>
      <c r="AU1788" s="148" t="s">
        <v>179</v>
      </c>
      <c r="AV1788" s="126" t="s">
        <v>130</v>
      </c>
      <c r="AW1788" s="1790" t="s">
        <v>10255</v>
      </c>
      <c r="AX1788" s="126" t="s">
        <v>136</v>
      </c>
      <c r="AZ1788" s="59" t="s">
        <v>1263</v>
      </c>
    </row>
    <row r="1789" ht="15.75" customHeight="1">
      <c r="A1789" s="41">
        <v>1789.0</v>
      </c>
      <c r="B1789" s="126" t="s">
        <v>107</v>
      </c>
      <c r="C1789" s="59" t="s">
        <v>108</v>
      </c>
      <c r="D1789" s="59" t="s">
        <v>241</v>
      </c>
      <c r="F1789" s="126" t="s">
        <v>10243</v>
      </c>
      <c r="G1789" s="126" t="s">
        <v>10261</v>
      </c>
      <c r="H1789" s="148" t="s">
        <v>242</v>
      </c>
      <c r="I1789" s="150">
        <v>45757.0</v>
      </c>
      <c r="J1789" s="290">
        <v>45793.0</v>
      </c>
      <c r="K1789" s="156"/>
      <c r="L1789" s="126" t="s">
        <v>10245</v>
      </c>
      <c r="M1789" s="126" t="s">
        <v>10246</v>
      </c>
      <c r="N1789" s="126" t="s">
        <v>10247</v>
      </c>
      <c r="O1789" s="498">
        <v>4.0</v>
      </c>
      <c r="P1789" s="525" t="s">
        <v>10248</v>
      </c>
      <c r="Q1789" s="49" t="str">
        <f t="array" ref="Q1789"> if(iserror(MATCH(V1789, 'File Links'!C:C, 0)), "N/A", HYPERLINK(INDEX('File Links'!B:B, MATCH(P1789, 'File Links'!C:C, 0))))</f>
        <v>https://drive.google.com/file/d/1KTndRLnspP4bSM08LU5xlAb5egjHN1hx/view?usp=drivesdk</v>
      </c>
      <c r="R1789" s="1689" t="s">
        <v>10147</v>
      </c>
      <c r="S1789" s="126" t="s">
        <v>10148</v>
      </c>
      <c r="T1789" s="1371"/>
      <c r="U1789" s="498">
        <v>13.0</v>
      </c>
      <c r="V1789" s="148" t="s">
        <v>10149</v>
      </c>
      <c r="W1789" s="1773" t="s">
        <v>202</v>
      </c>
      <c r="X1789" s="51" t="str">
        <f t="array" ref="X1789"> if(iserror(MATCH(V1789, 'File Links'!C:C, 0)), "N/A", HYPERLINK(INDEX('File Links'!B:B, MATCH(V1789, 'File Links'!C:C, 0))))</f>
        <v>https://drive.google.com/file/d/1Irbmig3rfLDvz-G09jDAVwJvv1drYEqO/view?usp=drivesdk</v>
      </c>
      <c r="Y1789" s="65"/>
      <c r="Z1789" s="148" t="s">
        <v>2072</v>
      </c>
      <c r="AA1789" s="1776" t="s">
        <v>10249</v>
      </c>
      <c r="AB1789" s="148" t="s">
        <v>10250</v>
      </c>
      <c r="AC1789" s="148" t="s">
        <v>10251</v>
      </c>
      <c r="AD1789" s="148" t="s">
        <v>10262</v>
      </c>
      <c r="AE1789" s="148" t="s">
        <v>623</v>
      </c>
      <c r="AF1789" s="158">
        <v>179.0</v>
      </c>
      <c r="AG1789" s="158" t="s">
        <v>10263</v>
      </c>
      <c r="AH1789" s="148" t="s">
        <v>127</v>
      </c>
      <c r="AI1789" s="148" t="s">
        <v>10264</v>
      </c>
      <c r="AJ1789" s="158">
        <v>0.01</v>
      </c>
      <c r="AK1789" s="148" t="s">
        <v>128</v>
      </c>
      <c r="AL1789" s="148" t="s">
        <v>179</v>
      </c>
      <c r="AM1789" s="126" t="s">
        <v>130</v>
      </c>
      <c r="AN1789" s="126" t="s">
        <v>131</v>
      </c>
      <c r="AO1789" s="158">
        <v>467.0</v>
      </c>
      <c r="AP1789" s="158" t="s">
        <v>10265</v>
      </c>
      <c r="AQ1789" s="148" t="s">
        <v>127</v>
      </c>
      <c r="AR1789" s="148" t="s">
        <v>10266</v>
      </c>
      <c r="AS1789" s="158">
        <v>0.71</v>
      </c>
      <c r="AT1789" s="148" t="s">
        <v>165</v>
      </c>
      <c r="AU1789" s="148" t="s">
        <v>179</v>
      </c>
      <c r="AV1789" s="126" t="s">
        <v>130</v>
      </c>
      <c r="AW1789" s="1790" t="s">
        <v>10255</v>
      </c>
      <c r="AX1789" s="126" t="s">
        <v>136</v>
      </c>
      <c r="AZ1789" s="59" t="s">
        <v>1263</v>
      </c>
    </row>
    <row r="1790" ht="15.75" customHeight="1">
      <c r="A1790" s="41">
        <v>1790.0</v>
      </c>
      <c r="B1790" s="292" t="s">
        <v>145</v>
      </c>
      <c r="C1790" s="284" t="s">
        <v>108</v>
      </c>
      <c r="D1790" s="284" t="s">
        <v>241</v>
      </c>
      <c r="E1790" s="305"/>
      <c r="F1790" s="292" t="s">
        <v>10267</v>
      </c>
      <c r="G1790" s="292" t="s">
        <v>10268</v>
      </c>
      <c r="H1790" s="300" t="s">
        <v>242</v>
      </c>
      <c r="I1790" s="1802">
        <v>45757.0</v>
      </c>
      <c r="J1790" s="290">
        <v>45793.0</v>
      </c>
      <c r="K1790" s="300" t="s">
        <v>10199</v>
      </c>
      <c r="L1790" s="126" t="s">
        <v>10245</v>
      </c>
      <c r="M1790" s="292" t="s">
        <v>10269</v>
      </c>
      <c r="N1790" s="292" t="s">
        <v>10270</v>
      </c>
      <c r="O1790" s="1792">
        <v>4.0</v>
      </c>
      <c r="P1790" s="1803" t="s">
        <v>10271</v>
      </c>
      <c r="Q1790" s="49" t="str">
        <f t="array" ref="Q1790"> if(iserror(MATCH(V1790, 'File Links'!C:C, 0)), "N/A", HYPERLINK(INDEX('File Links'!B:B, MATCH(P1790, 'File Links'!C:C, 0))))</f>
        <v>https://drive.google.com/file/d/1MEpc9c6ksJJFPoeqztJd7l8g_1S5mA-8/view?usp=drivesdk</v>
      </c>
      <c r="R1790" s="1804" t="s">
        <v>10147</v>
      </c>
      <c r="S1790" s="292" t="s">
        <v>10148</v>
      </c>
      <c r="T1790" s="1805"/>
      <c r="U1790" s="1792">
        <v>15.0</v>
      </c>
      <c r="V1790" s="300" t="s">
        <v>10149</v>
      </c>
      <c r="W1790" s="300" t="s">
        <v>202</v>
      </c>
      <c r="X1790" s="51" t="str">
        <f t="array" ref="X1790"> if(iserror(MATCH(V1790, 'File Links'!C:C, 0)), "N/A", HYPERLINK(INDEX('File Links'!B:B, MATCH(V1790, 'File Links'!C:C, 0))))</f>
        <v>https://drive.google.com/file/d/1Irbmig3rfLDvz-G09jDAVwJvv1drYEqO/view?usp=drivesdk</v>
      </c>
      <c r="Y1790" s="302"/>
      <c r="Z1790" s="300" t="s">
        <v>2072</v>
      </c>
      <c r="AA1790" s="292" t="s">
        <v>10272</v>
      </c>
      <c r="AB1790" s="300" t="s">
        <v>10273</v>
      </c>
      <c r="AC1790" s="300" t="s">
        <v>10274</v>
      </c>
      <c r="AD1790" s="300" t="s">
        <v>10275</v>
      </c>
      <c r="AE1790" s="300" t="s">
        <v>616</v>
      </c>
      <c r="AF1790" s="1806">
        <v>157.0</v>
      </c>
      <c r="AG1790" s="1806">
        <v>0.03</v>
      </c>
      <c r="AH1790" s="300" t="s">
        <v>867</v>
      </c>
      <c r="AI1790" s="300" t="s">
        <v>10276</v>
      </c>
      <c r="AJ1790" s="1806">
        <v>0.04</v>
      </c>
      <c r="AK1790" s="300" t="s">
        <v>165</v>
      </c>
      <c r="AL1790" s="300" t="s">
        <v>179</v>
      </c>
      <c r="AM1790" s="292" t="s">
        <v>130</v>
      </c>
      <c r="AN1790" s="292" t="s">
        <v>131</v>
      </c>
      <c r="AO1790" s="1806">
        <v>414.0</v>
      </c>
      <c r="AP1790" s="1806">
        <v>0.001</v>
      </c>
      <c r="AQ1790" s="300" t="s">
        <v>132</v>
      </c>
      <c r="AR1790" s="300" t="s">
        <v>10277</v>
      </c>
      <c r="AS1790" s="1806">
        <v>0.56</v>
      </c>
      <c r="AT1790" s="300" t="s">
        <v>165</v>
      </c>
      <c r="AU1790" s="300" t="s">
        <v>179</v>
      </c>
      <c r="AV1790" s="292" t="s">
        <v>130</v>
      </c>
      <c r="AW1790" s="1807" t="s">
        <v>10278</v>
      </c>
      <c r="AX1790" s="292" t="s">
        <v>136</v>
      </c>
      <c r="AY1790" s="305"/>
      <c r="AZ1790" s="284" t="s">
        <v>1263</v>
      </c>
      <c r="BA1790" s="305"/>
      <c r="BB1790" s="305"/>
      <c r="BC1790" s="305"/>
      <c r="BD1790" s="305"/>
      <c r="BE1790" s="305"/>
      <c r="BF1790" s="305"/>
      <c r="BG1790" s="305"/>
      <c r="BH1790" s="305"/>
      <c r="BI1790" s="305"/>
      <c r="BJ1790" s="305"/>
      <c r="BK1790" s="305"/>
      <c r="BL1790" s="305"/>
      <c r="BM1790" s="305"/>
      <c r="BN1790" s="305"/>
      <c r="BO1790" s="305"/>
      <c r="BP1790" s="305"/>
      <c r="BQ1790" s="305"/>
      <c r="BR1790" s="305"/>
      <c r="BS1790" s="305"/>
      <c r="BT1790" s="305"/>
      <c r="BU1790" s="305"/>
      <c r="BV1790" s="305"/>
      <c r="BW1790" s="305"/>
      <c r="BX1790" s="305"/>
      <c r="BY1790" s="305"/>
      <c r="BZ1790" s="305"/>
      <c r="CA1790" s="305"/>
      <c r="CB1790" s="305"/>
      <c r="CC1790" s="305"/>
      <c r="CD1790" s="305"/>
      <c r="CE1790" s="305"/>
      <c r="CF1790" s="305"/>
      <c r="CG1790" s="305"/>
      <c r="CH1790" s="305"/>
      <c r="CI1790" s="305"/>
      <c r="CJ1790" s="305"/>
      <c r="CK1790" s="305"/>
      <c r="CL1790" s="305"/>
      <c r="CM1790" s="305"/>
      <c r="CN1790" s="305"/>
      <c r="CO1790" s="305"/>
      <c r="CP1790" s="305"/>
      <c r="CQ1790" s="305"/>
      <c r="CR1790" s="305"/>
      <c r="CS1790" s="305"/>
      <c r="CT1790" s="305"/>
      <c r="CU1790" s="305"/>
      <c r="CV1790" s="305"/>
      <c r="CW1790" s="305"/>
      <c r="CX1790" s="305"/>
      <c r="CY1790" s="305"/>
      <c r="CZ1790" s="305"/>
      <c r="DA1790" s="305"/>
      <c r="DB1790" s="305"/>
      <c r="DC1790" s="305"/>
      <c r="DD1790" s="305"/>
      <c r="DE1790" s="305"/>
      <c r="DF1790" s="305"/>
      <c r="DG1790" s="305"/>
      <c r="DH1790" s="305"/>
    </row>
    <row r="1791" ht="15.75" customHeight="1">
      <c r="A1791" s="41">
        <v>1791.0</v>
      </c>
      <c r="B1791" s="126" t="s">
        <v>145</v>
      </c>
      <c r="C1791" s="59" t="s">
        <v>108</v>
      </c>
      <c r="D1791" s="59" t="s">
        <v>241</v>
      </c>
      <c r="F1791" s="126" t="s">
        <v>10267</v>
      </c>
      <c r="G1791" s="126" t="s">
        <v>10279</v>
      </c>
      <c r="H1791" s="148" t="s">
        <v>242</v>
      </c>
      <c r="I1791" s="150">
        <v>45757.0</v>
      </c>
      <c r="J1791" s="290">
        <v>45793.0</v>
      </c>
      <c r="K1791" s="148" t="s">
        <v>10199</v>
      </c>
      <c r="L1791" s="126" t="s">
        <v>10245</v>
      </c>
      <c r="M1791" s="126" t="s">
        <v>10269</v>
      </c>
      <c r="N1791" s="126" t="s">
        <v>10270</v>
      </c>
      <c r="O1791" s="498">
        <v>4.0</v>
      </c>
      <c r="P1791" s="525" t="s">
        <v>10271</v>
      </c>
      <c r="Q1791" s="49" t="str">
        <f t="array" ref="Q1791"> if(iserror(MATCH(V1791, 'File Links'!C:C, 0)), "N/A", HYPERLINK(INDEX('File Links'!B:B, MATCH(P1791, 'File Links'!C:C, 0))))</f>
        <v>https://drive.google.com/file/d/1MEpc9c6ksJJFPoeqztJd7l8g_1S5mA-8/view?usp=drivesdk</v>
      </c>
      <c r="R1791" s="1689" t="s">
        <v>10147</v>
      </c>
      <c r="S1791" s="126" t="s">
        <v>10148</v>
      </c>
      <c r="T1791" s="1371"/>
      <c r="U1791" s="498">
        <v>15.0</v>
      </c>
      <c r="V1791" s="148" t="s">
        <v>10149</v>
      </c>
      <c r="W1791" s="300" t="s">
        <v>202</v>
      </c>
      <c r="X1791" s="51" t="str">
        <f t="array" ref="X1791"> if(iserror(MATCH(V1791, 'File Links'!C:C, 0)), "N/A", HYPERLINK(INDEX('File Links'!B:B, MATCH(V1791, 'File Links'!C:C, 0))))</f>
        <v>https://drive.google.com/file/d/1Irbmig3rfLDvz-G09jDAVwJvv1drYEqO/view?usp=drivesdk</v>
      </c>
      <c r="Y1791" s="65"/>
      <c r="Z1791" s="148" t="s">
        <v>2072</v>
      </c>
      <c r="AA1791" s="292" t="s">
        <v>10272</v>
      </c>
      <c r="AB1791" s="148" t="s">
        <v>10273</v>
      </c>
      <c r="AC1791" s="148" t="s">
        <v>10274</v>
      </c>
      <c r="AD1791" s="148" t="s">
        <v>10280</v>
      </c>
      <c r="AE1791" s="148" t="s">
        <v>3477</v>
      </c>
      <c r="AF1791" s="158">
        <v>157.0</v>
      </c>
      <c r="AG1791" s="158">
        <v>0.01</v>
      </c>
      <c r="AH1791" s="148" t="s">
        <v>354</v>
      </c>
      <c r="AI1791" s="148" t="s">
        <v>10281</v>
      </c>
      <c r="AJ1791" s="158">
        <v>0.04</v>
      </c>
      <c r="AK1791" s="148" t="s">
        <v>165</v>
      </c>
      <c r="AL1791" s="148" t="s">
        <v>179</v>
      </c>
      <c r="AM1791" s="126" t="s">
        <v>130</v>
      </c>
      <c r="AN1791" s="126" t="s">
        <v>131</v>
      </c>
      <c r="AO1791" s="158">
        <v>414.0</v>
      </c>
      <c r="AP1791" s="158">
        <v>0.0</v>
      </c>
      <c r="AQ1791" s="148" t="s">
        <v>867</v>
      </c>
      <c r="AR1791" s="148" t="s">
        <v>10282</v>
      </c>
      <c r="AS1791" s="158">
        <v>0.88</v>
      </c>
      <c r="AT1791" s="148" t="s">
        <v>165</v>
      </c>
      <c r="AU1791" s="148" t="s">
        <v>179</v>
      </c>
      <c r="AV1791" s="126" t="s">
        <v>130</v>
      </c>
      <c r="AW1791" s="1790" t="s">
        <v>10278</v>
      </c>
      <c r="AX1791" s="126" t="s">
        <v>136</v>
      </c>
      <c r="AZ1791" s="284" t="s">
        <v>1263</v>
      </c>
    </row>
    <row r="1792" ht="15.75" customHeight="1">
      <c r="A1792" s="41">
        <v>1792.0</v>
      </c>
      <c r="B1792" s="126" t="s">
        <v>145</v>
      </c>
      <c r="C1792" s="59" t="s">
        <v>108</v>
      </c>
      <c r="D1792" s="59" t="s">
        <v>241</v>
      </c>
      <c r="F1792" s="126" t="s">
        <v>10267</v>
      </c>
      <c r="G1792" s="126" t="s">
        <v>10283</v>
      </c>
      <c r="H1792" s="148" t="s">
        <v>242</v>
      </c>
      <c r="I1792" s="150">
        <v>45757.0</v>
      </c>
      <c r="J1792" s="290">
        <v>45793.0</v>
      </c>
      <c r="K1792" s="148" t="s">
        <v>10199</v>
      </c>
      <c r="L1792" s="126" t="s">
        <v>10245</v>
      </c>
      <c r="M1792" s="126" t="s">
        <v>10269</v>
      </c>
      <c r="N1792" s="126" t="s">
        <v>10270</v>
      </c>
      <c r="O1792" s="498">
        <v>4.0</v>
      </c>
      <c r="P1792" s="525" t="s">
        <v>10271</v>
      </c>
      <c r="Q1792" s="49" t="str">
        <f t="array" ref="Q1792"> if(iserror(MATCH(V1792, 'File Links'!C:C, 0)), "N/A", HYPERLINK(INDEX('File Links'!B:B, MATCH(P1792, 'File Links'!C:C, 0))))</f>
        <v>https://drive.google.com/file/d/1MEpc9c6ksJJFPoeqztJd7l8g_1S5mA-8/view?usp=drivesdk</v>
      </c>
      <c r="R1792" s="1689" t="s">
        <v>10147</v>
      </c>
      <c r="S1792" s="126" t="s">
        <v>10148</v>
      </c>
      <c r="T1792" s="1371"/>
      <c r="U1792" s="498">
        <v>15.0</v>
      </c>
      <c r="V1792" s="148" t="s">
        <v>10149</v>
      </c>
      <c r="W1792" s="300" t="s">
        <v>202</v>
      </c>
      <c r="X1792" s="51" t="str">
        <f t="array" ref="X1792"> if(iserror(MATCH(V1792, 'File Links'!C:C, 0)), "N/A", HYPERLINK(INDEX('File Links'!B:B, MATCH(V1792, 'File Links'!C:C, 0))))</f>
        <v>https://drive.google.com/file/d/1Irbmig3rfLDvz-G09jDAVwJvv1drYEqO/view?usp=drivesdk</v>
      </c>
      <c r="Y1792" s="65"/>
      <c r="Z1792" s="148" t="s">
        <v>2072</v>
      </c>
      <c r="AA1792" s="292" t="s">
        <v>10272</v>
      </c>
      <c r="AB1792" s="148" t="s">
        <v>10273</v>
      </c>
      <c r="AC1792" s="148" t="s">
        <v>10274</v>
      </c>
      <c r="AD1792" s="148" t="s">
        <v>10284</v>
      </c>
      <c r="AE1792" s="148" t="s">
        <v>10285</v>
      </c>
      <c r="AF1792" s="158">
        <v>157.0</v>
      </c>
      <c r="AG1792" s="158">
        <v>0.38</v>
      </c>
      <c r="AH1792" s="148" t="s">
        <v>354</v>
      </c>
      <c r="AI1792" s="148" t="s">
        <v>10286</v>
      </c>
      <c r="AJ1792" s="158">
        <v>0.005</v>
      </c>
      <c r="AK1792" s="148" t="s">
        <v>165</v>
      </c>
      <c r="AL1792" s="148" t="s">
        <v>179</v>
      </c>
      <c r="AM1792" s="126" t="s">
        <v>130</v>
      </c>
      <c r="AN1792" s="126" t="s">
        <v>131</v>
      </c>
      <c r="AO1792" s="158">
        <v>414.0</v>
      </c>
      <c r="AP1792" s="158">
        <v>0.0</v>
      </c>
      <c r="AQ1792" s="148" t="s">
        <v>867</v>
      </c>
      <c r="AR1792" s="148" t="s">
        <v>10287</v>
      </c>
      <c r="AS1792" s="158">
        <v>0.9</v>
      </c>
      <c r="AT1792" s="148" t="s">
        <v>165</v>
      </c>
      <c r="AU1792" s="148" t="s">
        <v>179</v>
      </c>
      <c r="AV1792" s="126" t="s">
        <v>130</v>
      </c>
      <c r="AW1792" s="1790" t="s">
        <v>10278</v>
      </c>
      <c r="AX1792" s="126" t="s">
        <v>136</v>
      </c>
      <c r="AZ1792" s="284" t="s">
        <v>1263</v>
      </c>
    </row>
    <row r="1793" ht="15.75" customHeight="1">
      <c r="A1793" s="41">
        <v>1793.0</v>
      </c>
      <c r="B1793" s="126" t="s">
        <v>145</v>
      </c>
      <c r="C1793" s="59" t="s">
        <v>108</v>
      </c>
      <c r="D1793" s="59" t="s">
        <v>241</v>
      </c>
      <c r="F1793" s="126" t="s">
        <v>10267</v>
      </c>
      <c r="G1793" s="126" t="s">
        <v>10288</v>
      </c>
      <c r="H1793" s="148" t="s">
        <v>242</v>
      </c>
      <c r="I1793" s="150">
        <v>45757.0</v>
      </c>
      <c r="J1793" s="290">
        <v>45793.0</v>
      </c>
      <c r="K1793" s="148" t="s">
        <v>10199</v>
      </c>
      <c r="L1793" s="126" t="s">
        <v>10245</v>
      </c>
      <c r="M1793" s="126" t="s">
        <v>10269</v>
      </c>
      <c r="N1793" s="126" t="s">
        <v>10270</v>
      </c>
      <c r="O1793" s="498">
        <v>4.0</v>
      </c>
      <c r="P1793" s="525" t="s">
        <v>10271</v>
      </c>
      <c r="Q1793" s="49" t="str">
        <f t="array" ref="Q1793"> if(iserror(MATCH(V1793, 'File Links'!C:C, 0)), "N/A", HYPERLINK(INDEX('File Links'!B:B, MATCH(P1793, 'File Links'!C:C, 0))))</f>
        <v>https://drive.google.com/file/d/1MEpc9c6ksJJFPoeqztJd7l8g_1S5mA-8/view?usp=drivesdk</v>
      </c>
      <c r="R1793" s="1689" t="s">
        <v>10147</v>
      </c>
      <c r="S1793" s="126" t="s">
        <v>10148</v>
      </c>
      <c r="T1793" s="1371"/>
      <c r="U1793" s="498">
        <v>15.0</v>
      </c>
      <c r="V1793" s="148" t="s">
        <v>10149</v>
      </c>
      <c r="W1793" s="300" t="s">
        <v>202</v>
      </c>
      <c r="X1793" s="51" t="str">
        <f t="array" ref="X1793"> if(iserror(MATCH(V1793, 'File Links'!C:C, 0)), "N/A", HYPERLINK(INDEX('File Links'!B:B, MATCH(V1793, 'File Links'!C:C, 0))))</f>
        <v>https://drive.google.com/file/d/1Irbmig3rfLDvz-G09jDAVwJvv1drYEqO/view?usp=drivesdk</v>
      </c>
      <c r="Y1793" s="65"/>
      <c r="Z1793" s="148" t="s">
        <v>2072</v>
      </c>
      <c r="AA1793" s="292" t="s">
        <v>10272</v>
      </c>
      <c r="AB1793" s="148" t="s">
        <v>10273</v>
      </c>
      <c r="AC1793" s="148" t="s">
        <v>10274</v>
      </c>
      <c r="AD1793" s="148" t="s">
        <v>10289</v>
      </c>
      <c r="AE1793" s="148" t="s">
        <v>1881</v>
      </c>
      <c r="AF1793" s="158">
        <v>157.0</v>
      </c>
      <c r="AG1793" s="158">
        <v>0.02</v>
      </c>
      <c r="AH1793" s="148" t="s">
        <v>354</v>
      </c>
      <c r="AI1793" s="148" t="s">
        <v>10290</v>
      </c>
      <c r="AJ1793" s="158">
        <v>0.001</v>
      </c>
      <c r="AK1793" s="148" t="s">
        <v>165</v>
      </c>
      <c r="AL1793" s="148" t="s">
        <v>179</v>
      </c>
      <c r="AM1793" s="126" t="s">
        <v>130</v>
      </c>
      <c r="AN1793" s="126" t="s">
        <v>131</v>
      </c>
      <c r="AO1793" s="158">
        <v>414.0</v>
      </c>
      <c r="AP1793" s="158">
        <v>0.19</v>
      </c>
      <c r="AQ1793" s="148" t="s">
        <v>867</v>
      </c>
      <c r="AR1793" s="148" t="s">
        <v>10291</v>
      </c>
      <c r="AS1793" s="158">
        <v>0.001</v>
      </c>
      <c r="AT1793" s="148" t="s">
        <v>128</v>
      </c>
      <c r="AU1793" s="148" t="s">
        <v>179</v>
      </c>
      <c r="AV1793" s="126" t="s">
        <v>130</v>
      </c>
      <c r="AW1793" s="1790" t="s">
        <v>10278</v>
      </c>
      <c r="AX1793" s="126" t="s">
        <v>136</v>
      </c>
      <c r="AZ1793" s="284" t="s">
        <v>1263</v>
      </c>
    </row>
    <row r="1794" ht="15.75" customHeight="1">
      <c r="A1794" s="41">
        <v>1794.0</v>
      </c>
      <c r="B1794" s="126" t="s">
        <v>107</v>
      </c>
      <c r="C1794" s="59" t="s">
        <v>108</v>
      </c>
      <c r="D1794" s="59" t="s">
        <v>241</v>
      </c>
      <c r="F1794" s="126" t="s">
        <v>10267</v>
      </c>
      <c r="G1794" s="126" t="s">
        <v>10292</v>
      </c>
      <c r="H1794" s="148" t="s">
        <v>242</v>
      </c>
      <c r="I1794" s="150">
        <v>45757.0</v>
      </c>
      <c r="J1794" s="290">
        <v>45793.0</v>
      </c>
      <c r="K1794" s="148" t="s">
        <v>10293</v>
      </c>
      <c r="L1794" s="1793" t="s">
        <v>10230</v>
      </c>
      <c r="M1794" s="126" t="s">
        <v>10269</v>
      </c>
      <c r="N1794" s="126" t="s">
        <v>10270</v>
      </c>
      <c r="O1794" s="498">
        <v>4.0</v>
      </c>
      <c r="P1794" s="525" t="s">
        <v>10271</v>
      </c>
      <c r="Q1794" s="49" t="str">
        <f t="array" ref="Q1794"> if(iserror(MATCH(V1794, 'File Links'!C:C, 0)), "N/A", HYPERLINK(INDEX('File Links'!B:B, MATCH(P1794, 'File Links'!C:C, 0))))</f>
        <v>https://drive.google.com/file/d/1MEpc9c6ksJJFPoeqztJd7l8g_1S5mA-8/view?usp=drivesdk</v>
      </c>
      <c r="R1794" s="1689" t="s">
        <v>10147</v>
      </c>
      <c r="S1794" s="126" t="s">
        <v>10148</v>
      </c>
      <c r="T1794" s="1371"/>
      <c r="U1794" s="498">
        <v>15.0</v>
      </c>
      <c r="V1794" s="148" t="s">
        <v>10149</v>
      </c>
      <c r="W1794" s="300" t="s">
        <v>202</v>
      </c>
      <c r="X1794" s="51" t="str">
        <f t="array" ref="X1794"> if(iserror(MATCH(V1794, 'File Links'!C:C, 0)), "N/A", HYPERLINK(INDEX('File Links'!B:B, MATCH(V1794, 'File Links'!C:C, 0))))</f>
        <v>https://drive.google.com/file/d/1Irbmig3rfLDvz-G09jDAVwJvv1drYEqO/view?usp=drivesdk</v>
      </c>
      <c r="Y1794" s="65"/>
      <c r="Z1794" s="148" t="s">
        <v>2072</v>
      </c>
      <c r="AA1794" s="292" t="s">
        <v>10272</v>
      </c>
      <c r="AB1794" s="148" t="s">
        <v>10273</v>
      </c>
      <c r="AC1794" s="148" t="s">
        <v>10274</v>
      </c>
      <c r="AD1794" s="148" t="s">
        <v>10275</v>
      </c>
      <c r="AE1794" s="148" t="s">
        <v>616</v>
      </c>
      <c r="AF1794" s="158">
        <v>157.0</v>
      </c>
      <c r="AG1794" s="158">
        <v>0.03</v>
      </c>
      <c r="AH1794" s="148" t="s">
        <v>867</v>
      </c>
      <c r="AI1794" s="148" t="s">
        <v>10276</v>
      </c>
      <c r="AJ1794" s="158">
        <v>0.04</v>
      </c>
      <c r="AK1794" s="148" t="s">
        <v>165</v>
      </c>
      <c r="AL1794" s="148" t="s">
        <v>179</v>
      </c>
      <c r="AM1794" s="126" t="s">
        <v>130</v>
      </c>
      <c r="AN1794" s="126" t="s">
        <v>131</v>
      </c>
      <c r="AO1794" s="158">
        <v>422.0</v>
      </c>
      <c r="AP1794" s="158">
        <v>0.0</v>
      </c>
      <c r="AQ1794" s="148" t="s">
        <v>867</v>
      </c>
      <c r="AR1794" s="148" t="s">
        <v>10294</v>
      </c>
      <c r="AS1794" s="158">
        <v>0.34</v>
      </c>
      <c r="AT1794" s="148" t="s">
        <v>165</v>
      </c>
      <c r="AU1794" s="148" t="s">
        <v>179</v>
      </c>
      <c r="AV1794" s="126" t="s">
        <v>130</v>
      </c>
      <c r="AW1794" s="1790" t="s">
        <v>10278</v>
      </c>
      <c r="AX1794" s="126" t="s">
        <v>136</v>
      </c>
      <c r="AZ1794" s="284" t="s">
        <v>1263</v>
      </c>
    </row>
    <row r="1795" ht="15.75" customHeight="1">
      <c r="A1795" s="41">
        <v>1795.0</v>
      </c>
      <c r="B1795" s="126" t="s">
        <v>107</v>
      </c>
      <c r="C1795" s="59" t="s">
        <v>108</v>
      </c>
      <c r="D1795" s="59" t="s">
        <v>241</v>
      </c>
      <c r="F1795" s="126" t="s">
        <v>10267</v>
      </c>
      <c r="G1795" s="126" t="s">
        <v>10295</v>
      </c>
      <c r="H1795" s="148" t="s">
        <v>242</v>
      </c>
      <c r="I1795" s="150">
        <v>45757.0</v>
      </c>
      <c r="J1795" s="290">
        <v>45793.0</v>
      </c>
      <c r="K1795" s="148" t="s">
        <v>10293</v>
      </c>
      <c r="L1795" s="1793" t="s">
        <v>10230</v>
      </c>
      <c r="M1795" s="126" t="s">
        <v>10269</v>
      </c>
      <c r="N1795" s="126" t="s">
        <v>10270</v>
      </c>
      <c r="O1795" s="498">
        <v>4.0</v>
      </c>
      <c r="P1795" s="525" t="s">
        <v>10271</v>
      </c>
      <c r="Q1795" s="49" t="str">
        <f t="array" ref="Q1795"> if(iserror(MATCH(V1795, 'File Links'!C:C, 0)), "N/A", HYPERLINK(INDEX('File Links'!B:B, MATCH(P1795, 'File Links'!C:C, 0))))</f>
        <v>https://drive.google.com/file/d/1MEpc9c6ksJJFPoeqztJd7l8g_1S5mA-8/view?usp=drivesdk</v>
      </c>
      <c r="R1795" s="1689" t="s">
        <v>10147</v>
      </c>
      <c r="S1795" s="126" t="s">
        <v>10148</v>
      </c>
      <c r="T1795" s="1371"/>
      <c r="U1795" s="498">
        <v>15.0</v>
      </c>
      <c r="V1795" s="148" t="s">
        <v>10149</v>
      </c>
      <c r="W1795" s="300" t="s">
        <v>202</v>
      </c>
      <c r="X1795" s="51" t="str">
        <f t="array" ref="X1795"> if(iserror(MATCH(V1795, 'File Links'!C:C, 0)), "N/A", HYPERLINK(INDEX('File Links'!B:B, MATCH(V1795, 'File Links'!C:C, 0))))</f>
        <v>https://drive.google.com/file/d/1Irbmig3rfLDvz-G09jDAVwJvv1drYEqO/view?usp=drivesdk</v>
      </c>
      <c r="Y1795" s="65"/>
      <c r="Z1795" s="148" t="s">
        <v>2072</v>
      </c>
      <c r="AA1795" s="292" t="s">
        <v>10272</v>
      </c>
      <c r="AB1795" s="148" t="s">
        <v>10273</v>
      </c>
      <c r="AC1795" s="148" t="s">
        <v>10274</v>
      </c>
      <c r="AD1795" s="148" t="s">
        <v>10280</v>
      </c>
      <c r="AE1795" s="148" t="s">
        <v>3477</v>
      </c>
      <c r="AF1795" s="158">
        <v>157.0</v>
      </c>
      <c r="AG1795" s="158">
        <v>0.01</v>
      </c>
      <c r="AH1795" s="148" t="s">
        <v>354</v>
      </c>
      <c r="AI1795" s="148" t="s">
        <v>10281</v>
      </c>
      <c r="AJ1795" s="158">
        <v>0.04</v>
      </c>
      <c r="AK1795" s="148" t="s">
        <v>165</v>
      </c>
      <c r="AL1795" s="148" t="s">
        <v>179</v>
      </c>
      <c r="AM1795" s="126" t="s">
        <v>130</v>
      </c>
      <c r="AN1795" s="126" t="s">
        <v>131</v>
      </c>
      <c r="AO1795" s="158">
        <v>422.0</v>
      </c>
      <c r="AP1795" s="158">
        <v>0.0</v>
      </c>
      <c r="AQ1795" s="148" t="s">
        <v>867</v>
      </c>
      <c r="AR1795" s="148" t="s">
        <v>10296</v>
      </c>
      <c r="AS1795" s="158">
        <v>0.62</v>
      </c>
      <c r="AT1795" s="148" t="s">
        <v>165</v>
      </c>
      <c r="AU1795" s="148" t="s">
        <v>179</v>
      </c>
      <c r="AV1795" s="126" t="s">
        <v>130</v>
      </c>
      <c r="AW1795" s="1790" t="s">
        <v>10278</v>
      </c>
      <c r="AX1795" s="126" t="s">
        <v>136</v>
      </c>
      <c r="AZ1795" s="284" t="s">
        <v>1263</v>
      </c>
    </row>
    <row r="1796" ht="15.75" customHeight="1">
      <c r="A1796" s="41">
        <v>1796.0</v>
      </c>
      <c r="B1796" s="126" t="s">
        <v>107</v>
      </c>
      <c r="C1796" s="59" t="s">
        <v>108</v>
      </c>
      <c r="D1796" s="59" t="s">
        <v>241</v>
      </c>
      <c r="F1796" s="126" t="s">
        <v>10267</v>
      </c>
      <c r="G1796" s="126" t="s">
        <v>10297</v>
      </c>
      <c r="H1796" s="148" t="s">
        <v>242</v>
      </c>
      <c r="I1796" s="150">
        <v>45757.0</v>
      </c>
      <c r="J1796" s="290">
        <v>45793.0</v>
      </c>
      <c r="K1796" s="148" t="s">
        <v>10293</v>
      </c>
      <c r="L1796" s="1793" t="s">
        <v>10230</v>
      </c>
      <c r="M1796" s="126" t="s">
        <v>10269</v>
      </c>
      <c r="N1796" s="126" t="s">
        <v>10270</v>
      </c>
      <c r="O1796" s="498">
        <v>4.0</v>
      </c>
      <c r="P1796" s="525" t="s">
        <v>10271</v>
      </c>
      <c r="Q1796" s="49" t="str">
        <f t="array" ref="Q1796"> if(iserror(MATCH(V1796, 'File Links'!C:C, 0)), "N/A", HYPERLINK(INDEX('File Links'!B:B, MATCH(P1796, 'File Links'!C:C, 0))))</f>
        <v>https://drive.google.com/file/d/1MEpc9c6ksJJFPoeqztJd7l8g_1S5mA-8/view?usp=drivesdk</v>
      </c>
      <c r="R1796" s="1689" t="s">
        <v>10147</v>
      </c>
      <c r="S1796" s="126" t="s">
        <v>10148</v>
      </c>
      <c r="T1796" s="1371"/>
      <c r="U1796" s="498">
        <v>15.0</v>
      </c>
      <c r="V1796" s="148" t="s">
        <v>10149</v>
      </c>
      <c r="W1796" s="300" t="s">
        <v>202</v>
      </c>
      <c r="X1796" s="51" t="str">
        <f t="array" ref="X1796"> if(iserror(MATCH(V1796, 'File Links'!C:C, 0)), "N/A", HYPERLINK(INDEX('File Links'!B:B, MATCH(V1796, 'File Links'!C:C, 0))))</f>
        <v>https://drive.google.com/file/d/1Irbmig3rfLDvz-G09jDAVwJvv1drYEqO/view?usp=drivesdk</v>
      </c>
      <c r="Y1796" s="65"/>
      <c r="Z1796" s="148" t="s">
        <v>2072</v>
      </c>
      <c r="AA1796" s="292" t="s">
        <v>10272</v>
      </c>
      <c r="AB1796" s="148" t="s">
        <v>10273</v>
      </c>
      <c r="AC1796" s="148" t="s">
        <v>10274</v>
      </c>
      <c r="AD1796" s="148" t="s">
        <v>10284</v>
      </c>
      <c r="AE1796" s="148" t="s">
        <v>10285</v>
      </c>
      <c r="AF1796" s="158">
        <v>157.0</v>
      </c>
      <c r="AG1796" s="158">
        <v>0.38</v>
      </c>
      <c r="AH1796" s="148" t="s">
        <v>354</v>
      </c>
      <c r="AI1796" s="148" t="s">
        <v>10286</v>
      </c>
      <c r="AJ1796" s="158">
        <v>0.005</v>
      </c>
      <c r="AK1796" s="148" t="s">
        <v>165</v>
      </c>
      <c r="AL1796" s="148" t="s">
        <v>179</v>
      </c>
      <c r="AM1796" s="126" t="s">
        <v>130</v>
      </c>
      <c r="AN1796" s="126" t="s">
        <v>131</v>
      </c>
      <c r="AO1796" s="158">
        <v>422.0</v>
      </c>
      <c r="AP1796" s="158">
        <v>0.0</v>
      </c>
      <c r="AQ1796" s="148" t="s">
        <v>867</v>
      </c>
      <c r="AR1796" s="148" t="s">
        <v>10298</v>
      </c>
      <c r="AS1796" s="158">
        <v>0.76</v>
      </c>
      <c r="AT1796" s="148" t="s">
        <v>165</v>
      </c>
      <c r="AU1796" s="148" t="s">
        <v>179</v>
      </c>
      <c r="AV1796" s="126" t="s">
        <v>130</v>
      </c>
      <c r="AW1796" s="1790" t="s">
        <v>10278</v>
      </c>
      <c r="AX1796" s="126" t="s">
        <v>136</v>
      </c>
      <c r="AZ1796" s="284" t="s">
        <v>1263</v>
      </c>
    </row>
    <row r="1797" ht="15.75" customHeight="1">
      <c r="A1797" s="41">
        <v>1797.0</v>
      </c>
      <c r="B1797" s="292" t="s">
        <v>107</v>
      </c>
      <c r="C1797" s="284" t="s">
        <v>108</v>
      </c>
      <c r="D1797" s="284" t="s">
        <v>241</v>
      </c>
      <c r="E1797" s="305"/>
      <c r="F1797" s="292" t="s">
        <v>10267</v>
      </c>
      <c r="G1797" s="292" t="s">
        <v>10299</v>
      </c>
      <c r="H1797" s="300" t="s">
        <v>242</v>
      </c>
      <c r="I1797" s="1802">
        <v>45757.0</v>
      </c>
      <c r="J1797" s="290">
        <v>45793.0</v>
      </c>
      <c r="K1797" s="300" t="s">
        <v>10293</v>
      </c>
      <c r="L1797" s="1793" t="s">
        <v>10230</v>
      </c>
      <c r="M1797" s="292" t="s">
        <v>10269</v>
      </c>
      <c r="N1797" s="292" t="s">
        <v>10270</v>
      </c>
      <c r="O1797" s="1792">
        <v>4.0</v>
      </c>
      <c r="P1797" s="1803" t="s">
        <v>10271</v>
      </c>
      <c r="Q1797" s="49" t="str">
        <f t="array" ref="Q1797"> if(iserror(MATCH(V1797, 'File Links'!C:C, 0)), "N/A", HYPERLINK(INDEX('File Links'!B:B, MATCH(P1797, 'File Links'!C:C, 0))))</f>
        <v>https://drive.google.com/file/d/1MEpc9c6ksJJFPoeqztJd7l8g_1S5mA-8/view?usp=drivesdk</v>
      </c>
      <c r="R1797" s="1804" t="s">
        <v>10147</v>
      </c>
      <c r="S1797" s="292" t="s">
        <v>10148</v>
      </c>
      <c r="T1797" s="1805"/>
      <c r="U1797" s="1792">
        <v>15.0</v>
      </c>
      <c r="V1797" s="300" t="s">
        <v>10149</v>
      </c>
      <c r="W1797" s="300" t="s">
        <v>202</v>
      </c>
      <c r="X1797" s="51" t="str">
        <f t="array" ref="X1797"> if(iserror(MATCH(V1797, 'File Links'!C:C, 0)), "N/A", HYPERLINK(INDEX('File Links'!B:B, MATCH(V1797, 'File Links'!C:C, 0))))</f>
        <v>https://drive.google.com/file/d/1Irbmig3rfLDvz-G09jDAVwJvv1drYEqO/view?usp=drivesdk</v>
      </c>
      <c r="Y1797" s="302"/>
      <c r="Z1797" s="300" t="s">
        <v>2072</v>
      </c>
      <c r="AA1797" s="292" t="s">
        <v>10272</v>
      </c>
      <c r="AB1797" s="300" t="s">
        <v>10273</v>
      </c>
      <c r="AC1797" s="300" t="s">
        <v>10274</v>
      </c>
      <c r="AD1797" s="300" t="s">
        <v>10289</v>
      </c>
      <c r="AE1797" s="300" t="s">
        <v>1881</v>
      </c>
      <c r="AF1797" s="1806">
        <v>157.0</v>
      </c>
      <c r="AG1797" s="1806">
        <v>0.02</v>
      </c>
      <c r="AH1797" s="300" t="s">
        <v>354</v>
      </c>
      <c r="AI1797" s="300" t="s">
        <v>10290</v>
      </c>
      <c r="AJ1797" s="1806">
        <v>0.001</v>
      </c>
      <c r="AK1797" s="300" t="s">
        <v>165</v>
      </c>
      <c r="AL1797" s="300" t="s">
        <v>179</v>
      </c>
      <c r="AM1797" s="292" t="s">
        <v>130</v>
      </c>
      <c r="AN1797" s="292" t="s">
        <v>131</v>
      </c>
      <c r="AO1797" s="1806">
        <v>422.0</v>
      </c>
      <c r="AP1797" s="1806">
        <v>0.16</v>
      </c>
      <c r="AQ1797" s="300" t="s">
        <v>867</v>
      </c>
      <c r="AR1797" s="300" t="s">
        <v>10300</v>
      </c>
      <c r="AS1797" s="1806">
        <v>0.001</v>
      </c>
      <c r="AT1797" s="300" t="s">
        <v>128</v>
      </c>
      <c r="AU1797" s="300" t="s">
        <v>179</v>
      </c>
      <c r="AV1797" s="292" t="s">
        <v>130</v>
      </c>
      <c r="AW1797" s="1807" t="s">
        <v>10278</v>
      </c>
      <c r="AX1797" s="292" t="s">
        <v>136</v>
      </c>
      <c r="AY1797" s="305"/>
      <c r="AZ1797" s="284" t="s">
        <v>1263</v>
      </c>
      <c r="BA1797" s="305"/>
      <c r="BB1797" s="305"/>
      <c r="BC1797" s="305"/>
      <c r="BD1797" s="305"/>
      <c r="BE1797" s="305"/>
      <c r="BF1797" s="305"/>
      <c r="BG1797" s="305"/>
      <c r="BH1797" s="305"/>
      <c r="BI1797" s="305"/>
      <c r="BJ1797" s="305"/>
      <c r="BK1797" s="305"/>
      <c r="BL1797" s="305"/>
      <c r="BM1797" s="305"/>
      <c r="BN1797" s="305"/>
      <c r="BO1797" s="305"/>
      <c r="BP1797" s="305"/>
      <c r="BQ1797" s="305"/>
      <c r="BR1797" s="305"/>
      <c r="BS1797" s="305"/>
      <c r="BT1797" s="305"/>
      <c r="BU1797" s="305"/>
      <c r="BV1797" s="305"/>
      <c r="BW1797" s="305"/>
      <c r="BX1797" s="305"/>
      <c r="BY1797" s="305"/>
      <c r="BZ1797" s="305"/>
      <c r="CA1797" s="305"/>
      <c r="CB1797" s="305"/>
      <c r="CC1797" s="305"/>
      <c r="CD1797" s="305"/>
      <c r="CE1797" s="305"/>
      <c r="CF1797" s="305"/>
      <c r="CG1797" s="305"/>
      <c r="CH1797" s="305"/>
      <c r="CI1797" s="305"/>
      <c r="CJ1797" s="305"/>
      <c r="CK1797" s="305"/>
      <c r="CL1797" s="305"/>
      <c r="CM1797" s="305"/>
      <c r="CN1797" s="305"/>
      <c r="CO1797" s="305"/>
      <c r="CP1797" s="305"/>
      <c r="CQ1797" s="305"/>
      <c r="CR1797" s="305"/>
      <c r="CS1797" s="305"/>
      <c r="CT1797" s="305"/>
      <c r="CU1797" s="305"/>
      <c r="CV1797" s="305"/>
      <c r="CW1797" s="305"/>
      <c r="CX1797" s="305"/>
      <c r="CY1797" s="305"/>
      <c r="CZ1797" s="305"/>
      <c r="DA1797" s="305"/>
      <c r="DB1797" s="305"/>
      <c r="DC1797" s="305"/>
      <c r="DD1797" s="305"/>
      <c r="DE1797" s="305"/>
      <c r="DF1797" s="305"/>
      <c r="DG1797" s="305"/>
      <c r="DH1797" s="305"/>
    </row>
    <row r="1798" ht="15.75" customHeight="1">
      <c r="A1798" s="41">
        <v>1798.0</v>
      </c>
      <c r="B1798" s="126" t="s">
        <v>107</v>
      </c>
      <c r="C1798" s="59" t="s">
        <v>108</v>
      </c>
      <c r="D1798" s="59" t="s">
        <v>241</v>
      </c>
      <c r="F1798" s="126" t="s">
        <v>10301</v>
      </c>
      <c r="G1798" s="126" t="s">
        <v>10302</v>
      </c>
      <c r="H1798" s="148" t="s">
        <v>242</v>
      </c>
      <c r="I1798" s="150">
        <v>45758.0</v>
      </c>
      <c r="J1798" s="537">
        <v>45800.0</v>
      </c>
      <c r="K1798" s="148" t="s">
        <v>10303</v>
      </c>
      <c r="L1798" s="126" t="s">
        <v>10304</v>
      </c>
      <c r="M1798" s="126" t="s">
        <v>10305</v>
      </c>
      <c r="N1798" s="126" t="s">
        <v>10306</v>
      </c>
      <c r="O1798" s="498">
        <v>2.0</v>
      </c>
      <c r="P1798" s="525" t="s">
        <v>10307</v>
      </c>
      <c r="Q1798" s="49" t="str">
        <f t="array" ref="Q1798"> if(iserror(MATCH(V1798, 'File Links'!C:C, 0)), "N/A", HYPERLINK(INDEX('File Links'!B:B, MATCH(P1798, 'File Links'!C:C, 0))))</f>
        <v>https://drive.google.com/file/d/1k1zAeWl01m62ZgoBtOmSJCCoqfFGxddZ/view?usp=drivesdk</v>
      </c>
      <c r="R1798" s="1689" t="s">
        <v>10147</v>
      </c>
      <c r="S1798" s="126" t="s">
        <v>10148</v>
      </c>
      <c r="T1798" s="1371"/>
      <c r="U1798" s="498">
        <v>13.0</v>
      </c>
      <c r="V1798" s="148" t="s">
        <v>10149</v>
      </c>
      <c r="W1798" s="148" t="s">
        <v>202</v>
      </c>
      <c r="X1798" s="51" t="str">
        <f t="array" ref="X1798"> if(iserror(MATCH(V1798, 'File Links'!C:C, 0)), "N/A", HYPERLINK(INDEX('File Links'!B:B, MATCH(V1798, 'File Links'!C:C, 0))))</f>
        <v>https://drive.google.com/file/d/1Irbmig3rfLDvz-G09jDAVwJvv1drYEqO/view?usp=drivesdk</v>
      </c>
      <c r="Y1798" s="65"/>
      <c r="Z1798" s="148" t="s">
        <v>2072</v>
      </c>
      <c r="AA1798" s="126" t="s">
        <v>10308</v>
      </c>
      <c r="AB1798" s="148" t="s">
        <v>10309</v>
      </c>
      <c r="AC1798" s="148" t="s">
        <v>10310</v>
      </c>
      <c r="AD1798" s="148" t="s">
        <v>10311</v>
      </c>
      <c r="AE1798" s="148" t="s">
        <v>1035</v>
      </c>
      <c r="AF1798" s="158">
        <v>133.0</v>
      </c>
      <c r="AG1798" s="158">
        <v>0.59</v>
      </c>
      <c r="AH1798" s="148" t="s">
        <v>166</v>
      </c>
      <c r="AI1798" s="148" t="s">
        <v>10312</v>
      </c>
      <c r="AJ1798" s="158">
        <v>0.005</v>
      </c>
      <c r="AK1798" s="148" t="s">
        <v>165</v>
      </c>
      <c r="AL1798" s="148" t="s">
        <v>179</v>
      </c>
      <c r="AM1798" s="126" t="s">
        <v>130</v>
      </c>
      <c r="AN1798" s="126" t="s">
        <v>131</v>
      </c>
      <c r="AO1798" s="158">
        <v>319.0</v>
      </c>
      <c r="AP1798" s="158" t="s">
        <v>10313</v>
      </c>
      <c r="AQ1798" s="148" t="s">
        <v>127</v>
      </c>
      <c r="AR1798" s="148" t="s">
        <v>10314</v>
      </c>
      <c r="AS1798" s="158">
        <v>0.329</v>
      </c>
      <c r="AT1798" s="148" t="s">
        <v>165</v>
      </c>
      <c r="AU1798" s="148" t="s">
        <v>179</v>
      </c>
      <c r="AV1798" s="126" t="s">
        <v>130</v>
      </c>
      <c r="AW1798" s="120" t="s">
        <v>10315</v>
      </c>
      <c r="AX1798" s="126" t="s">
        <v>136</v>
      </c>
      <c r="AZ1798" s="284" t="s">
        <v>1263</v>
      </c>
    </row>
    <row r="1799">
      <c r="A1799" s="41">
        <v>1799.0</v>
      </c>
      <c r="B1799" s="126" t="s">
        <v>107</v>
      </c>
      <c r="C1799" s="59" t="s">
        <v>108</v>
      </c>
      <c r="D1799" s="59" t="s">
        <v>241</v>
      </c>
      <c r="F1799" s="126" t="s">
        <v>10301</v>
      </c>
      <c r="G1799" s="126" t="s">
        <v>10316</v>
      </c>
      <c r="H1799" s="148" t="s">
        <v>242</v>
      </c>
      <c r="I1799" s="150">
        <v>45758.0</v>
      </c>
      <c r="J1799" s="537">
        <v>45800.0</v>
      </c>
      <c r="K1799" s="148" t="s">
        <v>10303</v>
      </c>
      <c r="L1799" s="126" t="s">
        <v>10317</v>
      </c>
      <c r="M1799" s="126" t="s">
        <v>10305</v>
      </c>
      <c r="N1799" s="126" t="s">
        <v>10306</v>
      </c>
      <c r="O1799" s="498">
        <v>2.0</v>
      </c>
      <c r="P1799" s="525" t="s">
        <v>10307</v>
      </c>
      <c r="Q1799" s="49" t="str">
        <f t="array" ref="Q1799"> if(iserror(MATCH(V1799, 'File Links'!C:C, 0)), "N/A", HYPERLINK(INDEX('File Links'!B:B, MATCH(P1799, 'File Links'!C:C, 0))))</f>
        <v>https://drive.google.com/file/d/1k1zAeWl01m62ZgoBtOmSJCCoqfFGxddZ/view?usp=drivesdk</v>
      </c>
      <c r="R1799" s="1689" t="s">
        <v>10147</v>
      </c>
      <c r="S1799" s="126" t="s">
        <v>10148</v>
      </c>
      <c r="T1799" s="1371"/>
      <c r="U1799" s="498">
        <v>13.0</v>
      </c>
      <c r="V1799" s="148" t="s">
        <v>10149</v>
      </c>
      <c r="W1799" s="148" t="s">
        <v>202</v>
      </c>
      <c r="X1799" s="51" t="str">
        <f t="array" ref="X1799"> if(iserror(MATCH(V1799, 'File Links'!C:C, 0)), "N/A", HYPERLINK(INDEX('File Links'!B:B, MATCH(V1799, 'File Links'!C:C, 0))))</f>
        <v>https://drive.google.com/file/d/1Irbmig3rfLDvz-G09jDAVwJvv1drYEqO/view?usp=drivesdk</v>
      </c>
      <c r="Y1799" s="65"/>
      <c r="Z1799" s="148" t="s">
        <v>2072</v>
      </c>
      <c r="AA1799" s="126" t="s">
        <v>10308</v>
      </c>
      <c r="AB1799" s="148" t="s">
        <v>10309</v>
      </c>
      <c r="AC1799" s="148" t="s">
        <v>10310</v>
      </c>
      <c r="AD1799" s="148" t="s">
        <v>10318</v>
      </c>
      <c r="AE1799" s="148" t="s">
        <v>1035</v>
      </c>
      <c r="AF1799" s="158">
        <v>133.0</v>
      </c>
      <c r="AG1799" s="158" t="s">
        <v>10319</v>
      </c>
      <c r="AH1799" s="148" t="s">
        <v>127</v>
      </c>
      <c r="AI1799" s="148" t="s">
        <v>10320</v>
      </c>
      <c r="AJ1799" s="158">
        <v>0.005</v>
      </c>
      <c r="AK1799" s="148" t="s">
        <v>165</v>
      </c>
      <c r="AL1799" s="148" t="s">
        <v>179</v>
      </c>
      <c r="AM1799" s="126" t="s">
        <v>130</v>
      </c>
      <c r="AN1799" s="126" t="s">
        <v>131</v>
      </c>
      <c r="AO1799" s="158">
        <v>319.0</v>
      </c>
      <c r="AP1799" s="158" t="s">
        <v>10321</v>
      </c>
      <c r="AQ1799" s="148" t="s">
        <v>127</v>
      </c>
      <c r="AR1799" s="148" t="s">
        <v>10322</v>
      </c>
      <c r="AS1799" s="158">
        <v>0.802</v>
      </c>
      <c r="AT1799" s="148" t="s">
        <v>165</v>
      </c>
      <c r="AU1799" s="148" t="s">
        <v>179</v>
      </c>
      <c r="AV1799" s="126" t="s">
        <v>130</v>
      </c>
      <c r="AW1799" s="1790" t="s">
        <v>10315</v>
      </c>
      <c r="AX1799" s="126" t="s">
        <v>136</v>
      </c>
      <c r="AZ1799" s="284" t="s">
        <v>1263</v>
      </c>
    </row>
    <row r="1800">
      <c r="A1800" s="41">
        <v>1800.0</v>
      </c>
      <c r="B1800" s="126" t="s">
        <v>107</v>
      </c>
      <c r="C1800" s="59" t="s">
        <v>108</v>
      </c>
      <c r="D1800" s="59" t="s">
        <v>241</v>
      </c>
      <c r="F1800" s="126" t="s">
        <v>10301</v>
      </c>
      <c r="G1800" s="126" t="s">
        <v>10323</v>
      </c>
      <c r="H1800" s="148" t="s">
        <v>242</v>
      </c>
      <c r="I1800" s="150">
        <v>45758.0</v>
      </c>
      <c r="J1800" s="537">
        <v>45800.0</v>
      </c>
      <c r="K1800" s="148" t="s">
        <v>10303</v>
      </c>
      <c r="L1800" s="126" t="s">
        <v>10317</v>
      </c>
      <c r="M1800" s="126" t="s">
        <v>10305</v>
      </c>
      <c r="N1800" s="126" t="s">
        <v>10306</v>
      </c>
      <c r="O1800" s="498">
        <v>2.0</v>
      </c>
      <c r="P1800" s="525" t="s">
        <v>10307</v>
      </c>
      <c r="Q1800" s="49" t="str">
        <f t="array" ref="Q1800"> if(iserror(MATCH(V1800, 'File Links'!C:C, 0)), "N/A", HYPERLINK(INDEX('File Links'!B:B, MATCH(P1800, 'File Links'!C:C, 0))))</f>
        <v>https://drive.google.com/file/d/1k1zAeWl01m62ZgoBtOmSJCCoqfFGxddZ/view?usp=drivesdk</v>
      </c>
      <c r="R1800" s="1689" t="s">
        <v>10147</v>
      </c>
      <c r="S1800" s="126" t="s">
        <v>10148</v>
      </c>
      <c r="T1800" s="1371"/>
      <c r="U1800" s="498">
        <v>13.0</v>
      </c>
      <c r="V1800" s="148" t="s">
        <v>10149</v>
      </c>
      <c r="W1800" s="148" t="s">
        <v>202</v>
      </c>
      <c r="X1800" s="51" t="str">
        <f t="array" ref="X1800"> if(iserror(MATCH(V1800, 'File Links'!C:C, 0)), "N/A", HYPERLINK(INDEX('File Links'!B:B, MATCH(V1800, 'File Links'!C:C, 0))))</f>
        <v>https://drive.google.com/file/d/1Irbmig3rfLDvz-G09jDAVwJvv1drYEqO/view?usp=drivesdk</v>
      </c>
      <c r="Y1800" s="65"/>
      <c r="Z1800" s="148" t="s">
        <v>2072</v>
      </c>
      <c r="AA1800" s="126" t="s">
        <v>10308</v>
      </c>
      <c r="AB1800" s="148" t="s">
        <v>10309</v>
      </c>
      <c r="AC1800" s="148" t="s">
        <v>10310</v>
      </c>
      <c r="AD1800" s="148" t="s">
        <v>10324</v>
      </c>
      <c r="AE1800" s="148" t="s">
        <v>1035</v>
      </c>
      <c r="AF1800" s="158">
        <v>133.0</v>
      </c>
      <c r="AG1800" s="158" t="s">
        <v>10325</v>
      </c>
      <c r="AH1800" s="148" t="s">
        <v>127</v>
      </c>
      <c r="AI1800" s="148" t="s">
        <v>10326</v>
      </c>
      <c r="AJ1800" s="158">
        <v>0.017</v>
      </c>
      <c r="AK1800" s="148" t="s">
        <v>165</v>
      </c>
      <c r="AL1800" s="148" t="s">
        <v>179</v>
      </c>
      <c r="AM1800" s="126" t="s">
        <v>130</v>
      </c>
      <c r="AN1800" s="126" t="s">
        <v>131</v>
      </c>
      <c r="AO1800" s="158">
        <v>319.0</v>
      </c>
      <c r="AP1800" s="158" t="s">
        <v>10327</v>
      </c>
      <c r="AQ1800" s="148" t="s">
        <v>127</v>
      </c>
      <c r="AR1800" s="148" t="s">
        <v>10328</v>
      </c>
      <c r="AS1800" s="158">
        <v>0.174</v>
      </c>
      <c r="AT1800" s="148" t="s">
        <v>165</v>
      </c>
      <c r="AU1800" s="148" t="s">
        <v>179</v>
      </c>
      <c r="AV1800" s="126" t="s">
        <v>130</v>
      </c>
      <c r="AW1800" s="1790" t="s">
        <v>10315</v>
      </c>
      <c r="AX1800" s="126" t="s">
        <v>136</v>
      </c>
      <c r="AZ1800" s="284" t="s">
        <v>1263</v>
      </c>
    </row>
    <row r="1801">
      <c r="A1801" s="41">
        <v>1801.0</v>
      </c>
      <c r="B1801" s="126" t="s">
        <v>107</v>
      </c>
      <c r="C1801" s="59" t="s">
        <v>108</v>
      </c>
      <c r="D1801" s="59" t="s">
        <v>241</v>
      </c>
      <c r="F1801" s="126" t="s">
        <v>10301</v>
      </c>
      <c r="G1801" s="126" t="s">
        <v>10329</v>
      </c>
      <c r="H1801" s="148" t="s">
        <v>242</v>
      </c>
      <c r="I1801" s="150">
        <v>45758.0</v>
      </c>
      <c r="J1801" s="537">
        <v>45800.0</v>
      </c>
      <c r="K1801" s="148" t="s">
        <v>10303</v>
      </c>
      <c r="L1801" s="126" t="s">
        <v>10317</v>
      </c>
      <c r="M1801" s="126" t="s">
        <v>10305</v>
      </c>
      <c r="N1801" s="126" t="s">
        <v>10306</v>
      </c>
      <c r="O1801" s="498">
        <v>2.0</v>
      </c>
      <c r="P1801" s="525" t="s">
        <v>10307</v>
      </c>
      <c r="Q1801" s="49" t="str">
        <f t="array" ref="Q1801"> if(iserror(MATCH(V1801, 'File Links'!C:C, 0)), "N/A", HYPERLINK(INDEX('File Links'!B:B, MATCH(P1801, 'File Links'!C:C, 0))))</f>
        <v>https://drive.google.com/file/d/1k1zAeWl01m62ZgoBtOmSJCCoqfFGxddZ/view?usp=drivesdk</v>
      </c>
      <c r="R1801" s="1689" t="s">
        <v>10147</v>
      </c>
      <c r="S1801" s="126" t="s">
        <v>10148</v>
      </c>
      <c r="T1801" s="1371"/>
      <c r="U1801" s="498">
        <v>13.0</v>
      </c>
      <c r="V1801" s="148" t="s">
        <v>10149</v>
      </c>
      <c r="W1801" s="148" t="s">
        <v>202</v>
      </c>
      <c r="X1801" s="51" t="str">
        <f t="array" ref="X1801"> if(iserror(MATCH(V1801, 'File Links'!C:C, 0)), "N/A", HYPERLINK(INDEX('File Links'!B:B, MATCH(V1801, 'File Links'!C:C, 0))))</f>
        <v>https://drive.google.com/file/d/1Irbmig3rfLDvz-G09jDAVwJvv1drYEqO/view?usp=drivesdk</v>
      </c>
      <c r="Y1801" s="65"/>
      <c r="Z1801" s="148" t="s">
        <v>2072</v>
      </c>
      <c r="AA1801" s="126" t="s">
        <v>10308</v>
      </c>
      <c r="AB1801" s="148" t="s">
        <v>10309</v>
      </c>
      <c r="AC1801" s="148" t="s">
        <v>10310</v>
      </c>
      <c r="AD1801" s="148" t="s">
        <v>10330</v>
      </c>
      <c r="AE1801" s="148" t="s">
        <v>1035</v>
      </c>
      <c r="AF1801" s="158">
        <v>133.0</v>
      </c>
      <c r="AG1801" s="158" t="s">
        <v>10331</v>
      </c>
      <c r="AH1801" s="148" t="s">
        <v>127</v>
      </c>
      <c r="AI1801" s="148" t="s">
        <v>10332</v>
      </c>
      <c r="AJ1801" s="158">
        <v>0.05</v>
      </c>
      <c r="AK1801" s="148" t="s">
        <v>328</v>
      </c>
      <c r="AL1801" s="148" t="s">
        <v>179</v>
      </c>
      <c r="AM1801" s="126" t="s">
        <v>130</v>
      </c>
      <c r="AN1801" s="126" t="s">
        <v>131</v>
      </c>
      <c r="AO1801" s="158">
        <v>319.0</v>
      </c>
      <c r="AP1801" s="158" t="s">
        <v>10333</v>
      </c>
      <c r="AQ1801" s="148" t="s">
        <v>127</v>
      </c>
      <c r="AR1801" s="148" t="s">
        <v>10334</v>
      </c>
      <c r="AS1801" s="158">
        <v>0.278</v>
      </c>
      <c r="AT1801" s="148" t="s">
        <v>165</v>
      </c>
      <c r="AU1801" s="148" t="s">
        <v>179</v>
      </c>
      <c r="AV1801" s="126" t="s">
        <v>130</v>
      </c>
      <c r="AW1801" s="1790" t="s">
        <v>10315</v>
      </c>
      <c r="AX1801" s="126" t="s">
        <v>136</v>
      </c>
      <c r="AZ1801" s="284" t="s">
        <v>1263</v>
      </c>
    </row>
    <row r="1802">
      <c r="A1802" s="41">
        <v>1802.0</v>
      </c>
      <c r="B1802" s="126" t="s">
        <v>107</v>
      </c>
      <c r="C1802" s="59" t="s">
        <v>108</v>
      </c>
      <c r="D1802" s="59" t="s">
        <v>241</v>
      </c>
      <c r="F1802" s="126" t="s">
        <v>10301</v>
      </c>
      <c r="G1802" s="126" t="s">
        <v>10335</v>
      </c>
      <c r="H1802" s="148" t="s">
        <v>242</v>
      </c>
      <c r="I1802" s="150">
        <v>45758.0</v>
      </c>
      <c r="J1802" s="537">
        <v>45800.0</v>
      </c>
      <c r="K1802" s="148" t="s">
        <v>10336</v>
      </c>
      <c r="L1802" s="126" t="s">
        <v>10337</v>
      </c>
      <c r="M1802" s="126" t="s">
        <v>10305</v>
      </c>
      <c r="N1802" s="126" t="s">
        <v>10306</v>
      </c>
      <c r="O1802" s="498">
        <v>2.0</v>
      </c>
      <c r="P1802" s="525" t="s">
        <v>10307</v>
      </c>
      <c r="Q1802" s="49" t="str">
        <f t="array" ref="Q1802"> if(iserror(MATCH(V1802, 'File Links'!C:C, 0)), "N/A", HYPERLINK(INDEX('File Links'!B:B, MATCH(P1802, 'File Links'!C:C, 0))))</f>
        <v>https://drive.google.com/file/d/1k1zAeWl01m62ZgoBtOmSJCCoqfFGxddZ/view?usp=drivesdk</v>
      </c>
      <c r="R1802" s="1689" t="s">
        <v>10147</v>
      </c>
      <c r="S1802" s="126" t="s">
        <v>10148</v>
      </c>
      <c r="T1802" s="1371"/>
      <c r="U1802" s="333"/>
      <c r="V1802" s="148" t="s">
        <v>10149</v>
      </c>
      <c r="W1802" s="156"/>
      <c r="X1802" s="51" t="str">
        <f t="array" ref="X1802"> if(iserror(MATCH(V1802, 'File Links'!C:C, 0)), "N/A", HYPERLINK(INDEX('File Links'!B:B, MATCH(V1802, 'File Links'!C:C, 0))))</f>
        <v>https://drive.google.com/file/d/1Irbmig3rfLDvz-G09jDAVwJvv1drYEqO/view?usp=drivesdk</v>
      </c>
      <c r="Y1802" s="65"/>
      <c r="Z1802" s="148" t="s">
        <v>2072</v>
      </c>
      <c r="AA1802" s="65"/>
      <c r="AB1802" s="148" t="s">
        <v>10309</v>
      </c>
      <c r="AC1802" s="148" t="s">
        <v>10310</v>
      </c>
      <c r="AD1802" s="148" t="s">
        <v>10311</v>
      </c>
      <c r="AE1802" s="148" t="s">
        <v>1035</v>
      </c>
      <c r="AF1802" s="158">
        <v>133.0</v>
      </c>
      <c r="AG1802" s="153"/>
      <c r="AH1802" s="148" t="s">
        <v>166</v>
      </c>
      <c r="AI1802" s="148" t="s">
        <v>10312</v>
      </c>
      <c r="AJ1802" s="158">
        <v>0.005</v>
      </c>
      <c r="AK1802" s="148" t="s">
        <v>165</v>
      </c>
      <c r="AL1802" s="148" t="s">
        <v>179</v>
      </c>
      <c r="AM1802" s="126" t="s">
        <v>130</v>
      </c>
      <c r="AN1802" s="126" t="s">
        <v>131</v>
      </c>
      <c r="AO1802" s="158">
        <v>327.0</v>
      </c>
      <c r="AP1802" s="158" t="s">
        <v>10338</v>
      </c>
      <c r="AQ1802" s="148" t="s">
        <v>127</v>
      </c>
      <c r="AR1802" s="148" t="s">
        <v>10339</v>
      </c>
      <c r="AS1802" s="158">
        <v>0.254</v>
      </c>
      <c r="AT1802" s="148" t="s">
        <v>165</v>
      </c>
      <c r="AU1802" s="148" t="s">
        <v>179</v>
      </c>
      <c r="AV1802" s="126" t="s">
        <v>130</v>
      </c>
      <c r="AW1802" s="1790" t="s">
        <v>10315</v>
      </c>
      <c r="AX1802" s="126" t="s">
        <v>136</v>
      </c>
      <c r="AZ1802" s="284" t="s">
        <v>1263</v>
      </c>
    </row>
    <row r="1803">
      <c r="A1803" s="41">
        <v>1803.0</v>
      </c>
      <c r="B1803" s="126" t="s">
        <v>107</v>
      </c>
      <c r="C1803" s="59" t="s">
        <v>108</v>
      </c>
      <c r="D1803" s="59" t="s">
        <v>241</v>
      </c>
      <c r="F1803" s="126" t="s">
        <v>10301</v>
      </c>
      <c r="G1803" s="126" t="s">
        <v>10340</v>
      </c>
      <c r="H1803" s="148" t="s">
        <v>242</v>
      </c>
      <c r="I1803" s="150">
        <v>45758.0</v>
      </c>
      <c r="J1803" s="537">
        <v>45800.0</v>
      </c>
      <c r="K1803" s="148" t="s">
        <v>10336</v>
      </c>
      <c r="L1803" s="126" t="s">
        <v>10337</v>
      </c>
      <c r="M1803" s="126" t="s">
        <v>10305</v>
      </c>
      <c r="N1803" s="126" t="s">
        <v>10306</v>
      </c>
      <c r="O1803" s="498">
        <v>2.0</v>
      </c>
      <c r="P1803" s="525" t="s">
        <v>10307</v>
      </c>
      <c r="Q1803" s="49" t="str">
        <f t="array" ref="Q1803"> if(iserror(MATCH(V1803, 'File Links'!C:C, 0)), "N/A", HYPERLINK(INDEX('File Links'!B:B, MATCH(P1803, 'File Links'!C:C, 0))))</f>
        <v>https://drive.google.com/file/d/1k1zAeWl01m62ZgoBtOmSJCCoqfFGxddZ/view?usp=drivesdk</v>
      </c>
      <c r="R1803" s="1689" t="s">
        <v>10147</v>
      </c>
      <c r="S1803" s="126" t="s">
        <v>10148</v>
      </c>
      <c r="T1803" s="1371"/>
      <c r="U1803" s="333"/>
      <c r="V1803" s="148" t="s">
        <v>10149</v>
      </c>
      <c r="W1803" s="156"/>
      <c r="X1803" s="51" t="str">
        <f t="array" ref="X1803"> if(iserror(MATCH(V1803, 'File Links'!C:C, 0)), "N/A", HYPERLINK(INDEX('File Links'!B:B, MATCH(V1803, 'File Links'!C:C, 0))))</f>
        <v>https://drive.google.com/file/d/1Irbmig3rfLDvz-G09jDAVwJvv1drYEqO/view?usp=drivesdk</v>
      </c>
      <c r="Y1803" s="65"/>
      <c r="Z1803" s="148" t="s">
        <v>2072</v>
      </c>
      <c r="AA1803" s="65"/>
      <c r="AB1803" s="148" t="s">
        <v>10309</v>
      </c>
      <c r="AC1803" s="148" t="s">
        <v>10310</v>
      </c>
      <c r="AD1803" s="148" t="s">
        <v>10318</v>
      </c>
      <c r="AE1803" s="148" t="s">
        <v>1035</v>
      </c>
      <c r="AF1803" s="158">
        <v>133.0</v>
      </c>
      <c r="AG1803" s="158" t="s">
        <v>10319</v>
      </c>
      <c r="AH1803" s="148" t="s">
        <v>127</v>
      </c>
      <c r="AI1803" s="148" t="s">
        <v>10320</v>
      </c>
      <c r="AJ1803" s="158">
        <v>0.005</v>
      </c>
      <c r="AK1803" s="148" t="s">
        <v>165</v>
      </c>
      <c r="AL1803" s="148" t="s">
        <v>179</v>
      </c>
      <c r="AM1803" s="126" t="s">
        <v>130</v>
      </c>
      <c r="AN1803" s="126" t="s">
        <v>131</v>
      </c>
      <c r="AO1803" s="158">
        <v>327.0</v>
      </c>
      <c r="AP1803" s="158" t="s">
        <v>10341</v>
      </c>
      <c r="AQ1803" s="148" t="s">
        <v>127</v>
      </c>
      <c r="AR1803" s="148" t="s">
        <v>10342</v>
      </c>
      <c r="AS1803" s="158">
        <v>0.685</v>
      </c>
      <c r="AT1803" s="148" t="s">
        <v>165</v>
      </c>
      <c r="AU1803" s="148" t="s">
        <v>179</v>
      </c>
      <c r="AV1803" s="126" t="s">
        <v>130</v>
      </c>
      <c r="AW1803" s="1790" t="s">
        <v>10315</v>
      </c>
      <c r="AX1803" s="126" t="s">
        <v>136</v>
      </c>
      <c r="AZ1803" s="284" t="s">
        <v>1263</v>
      </c>
      <c r="BB1803" s="1808" t="s">
        <v>10343</v>
      </c>
    </row>
    <row r="1804">
      <c r="A1804" s="41">
        <v>1804.0</v>
      </c>
      <c r="B1804" s="126" t="s">
        <v>107</v>
      </c>
      <c r="C1804" s="59" t="s">
        <v>108</v>
      </c>
      <c r="D1804" s="59" t="s">
        <v>241</v>
      </c>
      <c r="F1804" s="126" t="s">
        <v>10301</v>
      </c>
      <c r="G1804" s="126" t="s">
        <v>10344</v>
      </c>
      <c r="H1804" s="148" t="s">
        <v>242</v>
      </c>
      <c r="I1804" s="150">
        <v>45758.0</v>
      </c>
      <c r="J1804" s="537">
        <v>45800.0</v>
      </c>
      <c r="K1804" s="148" t="s">
        <v>10336</v>
      </c>
      <c r="L1804" s="126" t="s">
        <v>10337</v>
      </c>
      <c r="M1804" s="126" t="s">
        <v>10305</v>
      </c>
      <c r="N1804" s="126" t="s">
        <v>10306</v>
      </c>
      <c r="O1804" s="498">
        <v>2.0</v>
      </c>
      <c r="P1804" s="525" t="s">
        <v>10307</v>
      </c>
      <c r="Q1804" s="49" t="str">
        <f t="array" ref="Q1804"> if(iserror(MATCH(V1804, 'File Links'!C:C, 0)), "N/A", HYPERLINK(INDEX('File Links'!B:B, MATCH(P1804, 'File Links'!C:C, 0))))</f>
        <v>https://drive.google.com/file/d/1k1zAeWl01m62ZgoBtOmSJCCoqfFGxddZ/view?usp=drivesdk</v>
      </c>
      <c r="R1804" s="1689" t="s">
        <v>10147</v>
      </c>
      <c r="S1804" s="126" t="s">
        <v>10148</v>
      </c>
      <c r="T1804" s="1371"/>
      <c r="U1804" s="333"/>
      <c r="V1804" s="148" t="s">
        <v>10149</v>
      </c>
      <c r="W1804" s="156"/>
      <c r="X1804" s="51" t="str">
        <f t="array" ref="X1804"> if(iserror(MATCH(V1804, 'File Links'!C:C, 0)), "N/A", HYPERLINK(INDEX('File Links'!B:B, MATCH(V1804, 'File Links'!C:C, 0))))</f>
        <v>https://drive.google.com/file/d/1Irbmig3rfLDvz-G09jDAVwJvv1drYEqO/view?usp=drivesdk</v>
      </c>
      <c r="Y1804" s="65"/>
      <c r="Z1804" s="148" t="s">
        <v>2072</v>
      </c>
      <c r="AA1804" s="65"/>
      <c r="AB1804" s="148" t="s">
        <v>10309</v>
      </c>
      <c r="AC1804" s="148" t="s">
        <v>10310</v>
      </c>
      <c r="AD1804" s="148" t="s">
        <v>10324</v>
      </c>
      <c r="AE1804" s="148" t="s">
        <v>1035</v>
      </c>
      <c r="AF1804" s="158">
        <v>133.0</v>
      </c>
      <c r="AG1804" s="158" t="s">
        <v>10325</v>
      </c>
      <c r="AH1804" s="148" t="s">
        <v>127</v>
      </c>
      <c r="AI1804" s="148" t="s">
        <v>10326</v>
      </c>
      <c r="AJ1804" s="158">
        <v>0.017</v>
      </c>
      <c r="AK1804" s="148" t="s">
        <v>165</v>
      </c>
      <c r="AL1804" s="148" t="s">
        <v>179</v>
      </c>
      <c r="AM1804" s="126" t="s">
        <v>130</v>
      </c>
      <c r="AN1804" s="126" t="s">
        <v>131</v>
      </c>
      <c r="AO1804" s="158">
        <v>327.0</v>
      </c>
      <c r="AP1804" s="158" t="s">
        <v>10345</v>
      </c>
      <c r="AQ1804" s="148" t="s">
        <v>127</v>
      </c>
      <c r="AR1804" s="148" t="s">
        <v>10346</v>
      </c>
      <c r="AS1804" s="158">
        <v>0.12</v>
      </c>
      <c r="AT1804" s="148" t="s">
        <v>165</v>
      </c>
      <c r="AU1804" s="148" t="s">
        <v>179</v>
      </c>
      <c r="AV1804" s="126" t="s">
        <v>130</v>
      </c>
      <c r="AW1804" s="1790" t="s">
        <v>10315</v>
      </c>
      <c r="AX1804" s="126" t="s">
        <v>136</v>
      </c>
      <c r="AZ1804" s="284" t="s">
        <v>1263</v>
      </c>
    </row>
    <row r="1805">
      <c r="A1805" s="41">
        <v>1805.0</v>
      </c>
      <c r="B1805" s="126" t="s">
        <v>107</v>
      </c>
      <c r="C1805" s="59" t="s">
        <v>108</v>
      </c>
      <c r="D1805" s="59" t="s">
        <v>241</v>
      </c>
      <c r="F1805" s="126" t="s">
        <v>10301</v>
      </c>
      <c r="G1805" s="126" t="s">
        <v>10347</v>
      </c>
      <c r="H1805" s="148" t="s">
        <v>242</v>
      </c>
      <c r="I1805" s="150">
        <v>45758.0</v>
      </c>
      <c r="J1805" s="537">
        <v>45800.0</v>
      </c>
      <c r="K1805" s="148" t="s">
        <v>10336</v>
      </c>
      <c r="L1805" s="126" t="s">
        <v>10337</v>
      </c>
      <c r="M1805" s="126" t="s">
        <v>10305</v>
      </c>
      <c r="N1805" s="126" t="s">
        <v>10306</v>
      </c>
      <c r="O1805" s="498">
        <v>2.0</v>
      </c>
      <c r="P1805" s="525" t="s">
        <v>10307</v>
      </c>
      <c r="Q1805" s="49" t="str">
        <f t="array" ref="Q1805"> if(iserror(MATCH(V1805, 'File Links'!C:C, 0)), "N/A", HYPERLINK(INDEX('File Links'!B:B, MATCH(P1805, 'File Links'!C:C, 0))))</f>
        <v>https://drive.google.com/file/d/1k1zAeWl01m62ZgoBtOmSJCCoqfFGxddZ/view?usp=drivesdk</v>
      </c>
      <c r="R1805" s="1689" t="s">
        <v>10147</v>
      </c>
      <c r="S1805" s="126" t="s">
        <v>10148</v>
      </c>
      <c r="T1805" s="1371"/>
      <c r="U1805" s="333"/>
      <c r="V1805" s="148" t="s">
        <v>10149</v>
      </c>
      <c r="W1805" s="156"/>
      <c r="X1805" s="51" t="str">
        <f t="array" ref="X1805"> if(iserror(MATCH(V1805, 'File Links'!C:C, 0)), "N/A", HYPERLINK(INDEX('File Links'!B:B, MATCH(V1805, 'File Links'!C:C, 0))))</f>
        <v>https://drive.google.com/file/d/1Irbmig3rfLDvz-G09jDAVwJvv1drYEqO/view?usp=drivesdk</v>
      </c>
      <c r="Y1805" s="65"/>
      <c r="Z1805" s="148" t="s">
        <v>2072</v>
      </c>
      <c r="AA1805" s="65"/>
      <c r="AB1805" s="148" t="s">
        <v>10309</v>
      </c>
      <c r="AC1805" s="148" t="s">
        <v>10310</v>
      </c>
      <c r="AD1805" s="148" t="s">
        <v>10330</v>
      </c>
      <c r="AE1805" s="148" t="s">
        <v>1035</v>
      </c>
      <c r="AF1805" s="158">
        <v>133.0</v>
      </c>
      <c r="AG1805" s="158" t="s">
        <v>10331</v>
      </c>
      <c r="AH1805" s="148" t="s">
        <v>127</v>
      </c>
      <c r="AI1805" s="148" t="s">
        <v>10332</v>
      </c>
      <c r="AJ1805" s="158">
        <v>0.05</v>
      </c>
      <c r="AK1805" s="148" t="s">
        <v>328</v>
      </c>
      <c r="AL1805" s="148" t="s">
        <v>179</v>
      </c>
      <c r="AM1805" s="126" t="s">
        <v>130</v>
      </c>
      <c r="AN1805" s="126" t="s">
        <v>131</v>
      </c>
      <c r="AO1805" s="158">
        <v>327.0</v>
      </c>
      <c r="AP1805" s="158" t="s">
        <v>10348</v>
      </c>
      <c r="AQ1805" s="148" t="s">
        <v>127</v>
      </c>
      <c r="AR1805" s="148" t="s">
        <v>10349</v>
      </c>
      <c r="AS1805" s="158">
        <v>0.26</v>
      </c>
      <c r="AT1805" s="148" t="s">
        <v>165</v>
      </c>
      <c r="AU1805" s="148" t="s">
        <v>179</v>
      </c>
      <c r="AV1805" s="126" t="s">
        <v>130</v>
      </c>
      <c r="AW1805" s="1790" t="s">
        <v>10315</v>
      </c>
      <c r="AX1805" s="126" t="s">
        <v>136</v>
      </c>
      <c r="AZ1805" s="284" t="s">
        <v>1263</v>
      </c>
    </row>
    <row r="1806">
      <c r="A1806" s="41">
        <v>1806.0</v>
      </c>
      <c r="B1806" s="292" t="s">
        <v>145</v>
      </c>
      <c r="C1806" s="284" t="s">
        <v>108</v>
      </c>
      <c r="D1806" s="284" t="s">
        <v>241</v>
      </c>
      <c r="E1806" s="305"/>
      <c r="F1806" s="292" t="s">
        <v>10350</v>
      </c>
      <c r="G1806" s="292" t="s">
        <v>10351</v>
      </c>
      <c r="H1806" s="300" t="s">
        <v>242</v>
      </c>
      <c r="I1806" s="1802">
        <v>45758.0</v>
      </c>
      <c r="J1806" s="290">
        <v>45800.0</v>
      </c>
      <c r="K1806" s="287"/>
      <c r="L1806" s="292" t="s">
        <v>10352</v>
      </c>
      <c r="M1806" s="292" t="s">
        <v>10353</v>
      </c>
      <c r="N1806" s="292" t="s">
        <v>10354</v>
      </c>
      <c r="O1806" s="1792">
        <v>5.0</v>
      </c>
      <c r="P1806" s="1803" t="s">
        <v>10355</v>
      </c>
      <c r="Q1806" s="1809" t="str">
        <f t="array" ref="Q1806"> if(iserror(MATCH(V1806, 'File Links'!C:C, 0)), "N/A", HYPERLINK(INDEX('File Links'!B:B, MATCH(P1806, 'File Links'!C:C, 0))))</f>
        <v>https://drive.google.com/file/d/1SAkzHUXu2em_LOpzZzUsNAbEmhFQYt6z/view?usp=drivesdk</v>
      </c>
      <c r="R1806" s="1804" t="s">
        <v>10147</v>
      </c>
      <c r="S1806" s="292" t="s">
        <v>10148</v>
      </c>
      <c r="T1806" s="1805"/>
      <c r="U1806" s="1792">
        <v>9.0</v>
      </c>
      <c r="V1806" s="300" t="s">
        <v>10149</v>
      </c>
      <c r="W1806" s="300" t="s">
        <v>202</v>
      </c>
      <c r="X1806" s="1810" t="str">
        <f t="array" ref="X1806"> if(iserror(MATCH(V1806, 'File Links'!C:C, 0)), "N/A", HYPERLINK(INDEX('File Links'!B:B, MATCH(V1806, 'File Links'!C:C, 0))))</f>
        <v>https://drive.google.com/file/d/1Irbmig3rfLDvz-G09jDAVwJvv1drYEqO/view?usp=drivesdk</v>
      </c>
      <c r="Y1806" s="302"/>
      <c r="Z1806" s="300" t="s">
        <v>2072</v>
      </c>
      <c r="AA1806" s="292" t="s">
        <v>10356</v>
      </c>
      <c r="AB1806" s="300" t="s">
        <v>10357</v>
      </c>
      <c r="AC1806" s="300" t="s">
        <v>10358</v>
      </c>
      <c r="AD1806" s="300" t="s">
        <v>10359</v>
      </c>
      <c r="AE1806" s="300" t="s">
        <v>10360</v>
      </c>
      <c r="AF1806" s="1806">
        <v>160.0</v>
      </c>
      <c r="AG1806" s="1806" t="s">
        <v>10361</v>
      </c>
      <c r="AH1806" s="300" t="s">
        <v>127</v>
      </c>
      <c r="AI1806" s="300" t="s">
        <v>10362</v>
      </c>
      <c r="AJ1806" s="1806">
        <v>0.001</v>
      </c>
      <c r="AK1806" s="300" t="s">
        <v>128</v>
      </c>
      <c r="AL1806" s="300" t="s">
        <v>179</v>
      </c>
      <c r="AM1806" s="292" t="s">
        <v>130</v>
      </c>
      <c r="AN1806" s="292" t="s">
        <v>131</v>
      </c>
      <c r="AO1806" s="1806">
        <v>389.0</v>
      </c>
      <c r="AP1806" s="1806">
        <v>0.392</v>
      </c>
      <c r="AQ1806" s="300" t="s">
        <v>867</v>
      </c>
      <c r="AR1806" s="300" t="s">
        <v>10363</v>
      </c>
      <c r="AS1806" s="1806">
        <v>0.001</v>
      </c>
      <c r="AT1806" s="300" t="s">
        <v>128</v>
      </c>
      <c r="AU1806" s="300" t="s">
        <v>179</v>
      </c>
      <c r="AV1806" s="292" t="s">
        <v>130</v>
      </c>
      <c r="AW1806" s="1811" t="s">
        <v>10364</v>
      </c>
      <c r="AX1806" s="292" t="s">
        <v>136</v>
      </c>
      <c r="AY1806" s="305"/>
      <c r="AZ1806" s="284" t="s">
        <v>1263</v>
      </c>
      <c r="BA1806" s="305"/>
      <c r="BB1806" s="305"/>
      <c r="BC1806" s="305"/>
      <c r="BD1806" s="305"/>
      <c r="BE1806" s="305"/>
      <c r="BF1806" s="305"/>
      <c r="BG1806" s="305"/>
      <c r="BH1806" s="305"/>
      <c r="BI1806" s="305"/>
      <c r="BJ1806" s="305"/>
      <c r="BK1806" s="305"/>
      <c r="BL1806" s="305"/>
      <c r="BM1806" s="305"/>
      <c r="BN1806" s="305"/>
      <c r="BO1806" s="305"/>
      <c r="BP1806" s="305"/>
      <c r="BQ1806" s="305"/>
      <c r="BR1806" s="305"/>
      <c r="BS1806" s="305"/>
      <c r="BT1806" s="305"/>
      <c r="BU1806" s="305"/>
      <c r="BV1806" s="305"/>
      <c r="BW1806" s="305"/>
      <c r="BX1806" s="305"/>
      <c r="BY1806" s="305"/>
      <c r="BZ1806" s="305"/>
      <c r="CA1806" s="305"/>
      <c r="CB1806" s="305"/>
      <c r="CC1806" s="305"/>
      <c r="CD1806" s="305"/>
      <c r="CE1806" s="305"/>
      <c r="CF1806" s="305"/>
      <c r="CG1806" s="305"/>
      <c r="CH1806" s="305"/>
      <c r="CI1806" s="305"/>
      <c r="CJ1806" s="305"/>
      <c r="CK1806" s="305"/>
      <c r="CL1806" s="305"/>
      <c r="CM1806" s="305"/>
      <c r="CN1806" s="305"/>
      <c r="CO1806" s="305"/>
      <c r="CP1806" s="305"/>
      <c r="CQ1806" s="305"/>
      <c r="CR1806" s="305"/>
      <c r="CS1806" s="305"/>
      <c r="CT1806" s="305"/>
      <c r="CU1806" s="305"/>
      <c r="CV1806" s="305"/>
      <c r="CW1806" s="305"/>
      <c r="CX1806" s="305"/>
      <c r="CY1806" s="305"/>
      <c r="CZ1806" s="305"/>
      <c r="DA1806" s="305"/>
      <c r="DB1806" s="305"/>
      <c r="DC1806" s="305"/>
      <c r="DD1806" s="305"/>
      <c r="DE1806" s="305"/>
      <c r="DF1806" s="305"/>
      <c r="DG1806" s="305"/>
      <c r="DH1806" s="305"/>
    </row>
    <row r="1807">
      <c r="A1807" s="41">
        <v>1807.0</v>
      </c>
      <c r="B1807" s="126" t="s">
        <v>145</v>
      </c>
      <c r="C1807" s="59" t="s">
        <v>108</v>
      </c>
      <c r="D1807" s="59" t="s">
        <v>241</v>
      </c>
      <c r="F1807" s="126" t="s">
        <v>10350</v>
      </c>
      <c r="G1807" s="126" t="s">
        <v>10365</v>
      </c>
      <c r="H1807" s="148" t="s">
        <v>242</v>
      </c>
      <c r="I1807" s="150">
        <v>45758.0</v>
      </c>
      <c r="J1807" s="537">
        <v>45800.0</v>
      </c>
      <c r="K1807" s="156"/>
      <c r="L1807" s="126" t="s">
        <v>10352</v>
      </c>
      <c r="M1807" s="126" t="s">
        <v>10353</v>
      </c>
      <c r="N1807" s="126" t="s">
        <v>10354</v>
      </c>
      <c r="O1807" s="498">
        <v>5.0</v>
      </c>
      <c r="P1807" s="525" t="s">
        <v>10355</v>
      </c>
      <c r="Q1807" s="49" t="str">
        <f t="array" ref="Q1807"> if(iserror(MATCH(V1807, 'File Links'!C:C, 0)), "N/A", HYPERLINK(INDEX('File Links'!B:B, MATCH(P1807, 'File Links'!C:C, 0))))</f>
        <v>https://drive.google.com/file/d/1SAkzHUXu2em_LOpzZzUsNAbEmhFQYt6z/view?usp=drivesdk</v>
      </c>
      <c r="R1807" s="1689" t="s">
        <v>10147</v>
      </c>
      <c r="S1807" s="126" t="s">
        <v>10148</v>
      </c>
      <c r="T1807" s="1371"/>
      <c r="U1807" s="498">
        <v>9.0</v>
      </c>
      <c r="V1807" s="148" t="s">
        <v>10149</v>
      </c>
      <c r="W1807" s="300" t="s">
        <v>202</v>
      </c>
      <c r="X1807" s="51" t="str">
        <f t="array" ref="X1807"> if(iserror(MATCH(V1807, 'File Links'!C:C, 0)), "N/A", HYPERLINK(INDEX('File Links'!B:B, MATCH(V1807, 'File Links'!C:C, 0))))</f>
        <v>https://drive.google.com/file/d/1Irbmig3rfLDvz-G09jDAVwJvv1drYEqO/view?usp=drivesdk</v>
      </c>
      <c r="Y1807" s="65"/>
      <c r="Z1807" s="148" t="s">
        <v>2072</v>
      </c>
      <c r="AA1807" s="292" t="s">
        <v>10356</v>
      </c>
      <c r="AB1807" s="148" t="s">
        <v>10357</v>
      </c>
      <c r="AC1807" s="148" t="s">
        <v>10358</v>
      </c>
      <c r="AD1807" s="148" t="s">
        <v>10366</v>
      </c>
      <c r="AE1807" s="148" t="s">
        <v>10360</v>
      </c>
      <c r="AF1807" s="158">
        <v>160.0</v>
      </c>
      <c r="AG1807" s="158" t="s">
        <v>131</v>
      </c>
      <c r="AH1807" s="164" t="s">
        <v>131</v>
      </c>
      <c r="AI1807" s="148" t="s">
        <v>10367</v>
      </c>
      <c r="AJ1807" s="158">
        <v>0.75</v>
      </c>
      <c r="AK1807" s="148" t="s">
        <v>328</v>
      </c>
      <c r="AL1807" s="148" t="s">
        <v>179</v>
      </c>
      <c r="AM1807" s="126" t="s">
        <v>130</v>
      </c>
      <c r="AN1807" s="126" t="s">
        <v>131</v>
      </c>
      <c r="AO1807" s="158">
        <v>389.0</v>
      </c>
      <c r="AP1807" s="158">
        <v>0.004</v>
      </c>
      <c r="AQ1807" s="148" t="s">
        <v>867</v>
      </c>
      <c r="AR1807" s="148" t="s">
        <v>10368</v>
      </c>
      <c r="AS1807" s="158">
        <v>0.12</v>
      </c>
      <c r="AT1807" s="148" t="s">
        <v>165</v>
      </c>
      <c r="AU1807" s="148" t="s">
        <v>179</v>
      </c>
      <c r="AV1807" s="126" t="s">
        <v>130</v>
      </c>
      <c r="AW1807" s="1790" t="s">
        <v>10364</v>
      </c>
      <c r="AX1807" s="126" t="s">
        <v>136</v>
      </c>
      <c r="AZ1807" s="284" t="s">
        <v>1263</v>
      </c>
    </row>
    <row r="1808">
      <c r="A1808" s="41">
        <v>1808.0</v>
      </c>
      <c r="B1808" s="126" t="s">
        <v>145</v>
      </c>
      <c r="C1808" s="59" t="s">
        <v>108</v>
      </c>
      <c r="D1808" s="59" t="s">
        <v>241</v>
      </c>
      <c r="F1808" s="126" t="s">
        <v>10350</v>
      </c>
      <c r="G1808" s="126" t="s">
        <v>10369</v>
      </c>
      <c r="H1808" s="148" t="s">
        <v>242</v>
      </c>
      <c r="I1808" s="150">
        <v>45758.0</v>
      </c>
      <c r="J1808" s="537">
        <v>45800.0</v>
      </c>
      <c r="K1808" s="156"/>
      <c r="L1808" s="126" t="s">
        <v>10352</v>
      </c>
      <c r="M1808" s="126" t="s">
        <v>10353</v>
      </c>
      <c r="N1808" s="126" t="s">
        <v>10354</v>
      </c>
      <c r="O1808" s="498">
        <v>5.0</v>
      </c>
      <c r="P1808" s="525" t="s">
        <v>10355</v>
      </c>
      <c r="Q1808" s="49" t="str">
        <f t="array" ref="Q1808"> if(iserror(MATCH(V1808, 'File Links'!C:C, 0)), "N/A", HYPERLINK(INDEX('File Links'!B:B, MATCH(P1808, 'File Links'!C:C, 0))))</f>
        <v>https://drive.google.com/file/d/1SAkzHUXu2em_LOpzZzUsNAbEmhFQYt6z/view?usp=drivesdk</v>
      </c>
      <c r="R1808" s="1689" t="s">
        <v>10147</v>
      </c>
      <c r="S1808" s="126" t="s">
        <v>10148</v>
      </c>
      <c r="T1808" s="1371"/>
      <c r="U1808" s="498">
        <v>9.0</v>
      </c>
      <c r="V1808" s="148" t="s">
        <v>10149</v>
      </c>
      <c r="W1808" s="300" t="s">
        <v>202</v>
      </c>
      <c r="X1808" s="51" t="str">
        <f t="array" ref="X1808"> if(iserror(MATCH(V1808, 'File Links'!C:C, 0)), "N/A", HYPERLINK(INDEX('File Links'!B:B, MATCH(V1808, 'File Links'!C:C, 0))))</f>
        <v>https://drive.google.com/file/d/1Irbmig3rfLDvz-G09jDAVwJvv1drYEqO/view?usp=drivesdk</v>
      </c>
      <c r="Y1808" s="65"/>
      <c r="Z1808" s="148" t="s">
        <v>2072</v>
      </c>
      <c r="AA1808" s="292" t="s">
        <v>10356</v>
      </c>
      <c r="AB1808" s="148" t="s">
        <v>10357</v>
      </c>
      <c r="AC1808" s="148" t="s">
        <v>10358</v>
      </c>
      <c r="AD1808" s="148" t="s">
        <v>10370</v>
      </c>
      <c r="AE1808" s="148" t="s">
        <v>10360</v>
      </c>
      <c r="AF1808" s="158">
        <v>160.0</v>
      </c>
      <c r="AG1808" s="158" t="s">
        <v>131</v>
      </c>
      <c r="AH1808" s="164" t="s">
        <v>131</v>
      </c>
      <c r="AI1808" s="148" t="s">
        <v>10371</v>
      </c>
      <c r="AJ1808" s="158">
        <v>0.13</v>
      </c>
      <c r="AK1808" s="148" t="s">
        <v>328</v>
      </c>
      <c r="AL1808" s="148" t="s">
        <v>179</v>
      </c>
      <c r="AM1808" s="126" t="s">
        <v>130</v>
      </c>
      <c r="AN1808" s="126" t="s">
        <v>131</v>
      </c>
      <c r="AO1808" s="158">
        <v>389.0</v>
      </c>
      <c r="AP1808" s="158">
        <v>0.003</v>
      </c>
      <c r="AQ1808" s="148" t="s">
        <v>867</v>
      </c>
      <c r="AR1808" s="148" t="s">
        <v>10372</v>
      </c>
      <c r="AS1808" s="158">
        <v>0.253</v>
      </c>
      <c r="AT1808" s="148" t="s">
        <v>165</v>
      </c>
      <c r="AU1808" s="148" t="s">
        <v>179</v>
      </c>
      <c r="AV1808" s="126" t="s">
        <v>130</v>
      </c>
      <c r="AW1808" s="1790" t="s">
        <v>10364</v>
      </c>
      <c r="AX1808" s="126" t="s">
        <v>136</v>
      </c>
      <c r="AZ1808" s="284" t="s">
        <v>1263</v>
      </c>
    </row>
    <row r="1809">
      <c r="A1809" s="41">
        <v>1809.0</v>
      </c>
      <c r="B1809" s="126" t="s">
        <v>145</v>
      </c>
      <c r="C1809" s="59" t="s">
        <v>108</v>
      </c>
      <c r="D1809" s="59" t="s">
        <v>241</v>
      </c>
      <c r="F1809" s="126" t="s">
        <v>10350</v>
      </c>
      <c r="G1809" s="126" t="s">
        <v>10373</v>
      </c>
      <c r="H1809" s="148" t="s">
        <v>242</v>
      </c>
      <c r="I1809" s="150">
        <v>45758.0</v>
      </c>
      <c r="J1809" s="537">
        <v>45800.0</v>
      </c>
      <c r="K1809" s="156"/>
      <c r="L1809" s="126" t="s">
        <v>10374</v>
      </c>
      <c r="M1809" s="126" t="s">
        <v>10353</v>
      </c>
      <c r="N1809" s="126" t="s">
        <v>10354</v>
      </c>
      <c r="O1809" s="498">
        <v>5.0</v>
      </c>
      <c r="P1809" s="525" t="s">
        <v>10355</v>
      </c>
      <c r="Q1809" s="49" t="str">
        <f t="array" ref="Q1809"> if(iserror(MATCH(V1809, 'File Links'!C:C, 0)), "N/A", HYPERLINK(INDEX('File Links'!B:B, MATCH(P1809, 'File Links'!C:C, 0))))</f>
        <v>https://drive.google.com/file/d/1SAkzHUXu2em_LOpzZzUsNAbEmhFQYt6z/view?usp=drivesdk</v>
      </c>
      <c r="R1809" s="1689" t="s">
        <v>10147</v>
      </c>
      <c r="S1809" s="126" t="s">
        <v>10148</v>
      </c>
      <c r="T1809" s="1371"/>
      <c r="U1809" s="498">
        <v>9.0</v>
      </c>
      <c r="V1809" s="148" t="s">
        <v>10149</v>
      </c>
      <c r="W1809" s="300" t="s">
        <v>202</v>
      </c>
      <c r="X1809" s="51" t="str">
        <f t="array" ref="X1809"> if(iserror(MATCH(V1809, 'File Links'!C:C, 0)), "N/A", HYPERLINK(INDEX('File Links'!B:B, MATCH(V1809, 'File Links'!C:C, 0))))</f>
        <v>https://drive.google.com/file/d/1Irbmig3rfLDvz-G09jDAVwJvv1drYEqO/view?usp=drivesdk</v>
      </c>
      <c r="Y1809" s="65"/>
      <c r="Z1809" s="148" t="s">
        <v>2072</v>
      </c>
      <c r="AA1809" s="292" t="s">
        <v>10356</v>
      </c>
      <c r="AB1809" s="148" t="s">
        <v>10357</v>
      </c>
      <c r="AC1809" s="148" t="s">
        <v>10358</v>
      </c>
      <c r="AD1809" s="148" t="s">
        <v>10375</v>
      </c>
      <c r="AE1809" s="148" t="s">
        <v>10376</v>
      </c>
      <c r="AF1809" s="158">
        <v>160.0</v>
      </c>
      <c r="AG1809" s="158" t="s">
        <v>10377</v>
      </c>
      <c r="AH1809" s="148" t="s">
        <v>127</v>
      </c>
      <c r="AI1809" s="148" t="s">
        <v>10378</v>
      </c>
      <c r="AJ1809" s="158">
        <v>0.044</v>
      </c>
      <c r="AK1809" s="148" t="s">
        <v>165</v>
      </c>
      <c r="AL1809" s="148" t="s">
        <v>179</v>
      </c>
      <c r="AM1809" s="126" t="s">
        <v>130</v>
      </c>
      <c r="AN1809" s="126" t="s">
        <v>131</v>
      </c>
      <c r="AO1809" s="158">
        <v>389.0</v>
      </c>
      <c r="AP1809" s="375">
        <v>0.007</v>
      </c>
      <c r="AQ1809" s="148" t="s">
        <v>867</v>
      </c>
      <c r="AR1809" s="148" t="s">
        <v>10379</v>
      </c>
      <c r="AS1809" s="158">
        <v>0.105</v>
      </c>
      <c r="AT1809" s="148" t="s">
        <v>165</v>
      </c>
      <c r="AU1809" s="148" t="s">
        <v>179</v>
      </c>
      <c r="AV1809" s="126" t="s">
        <v>130</v>
      </c>
      <c r="AW1809" s="1790" t="s">
        <v>10364</v>
      </c>
      <c r="AX1809" s="126" t="s">
        <v>136</v>
      </c>
      <c r="AZ1809" s="284" t="s">
        <v>1263</v>
      </c>
    </row>
    <row r="1810">
      <c r="A1810" s="41">
        <v>1810.0</v>
      </c>
      <c r="B1810" s="126" t="s">
        <v>145</v>
      </c>
      <c r="C1810" s="59" t="s">
        <v>108</v>
      </c>
      <c r="D1810" s="59" t="s">
        <v>241</v>
      </c>
      <c r="F1810" s="126" t="s">
        <v>10350</v>
      </c>
      <c r="G1810" s="126" t="s">
        <v>10380</v>
      </c>
      <c r="H1810" s="148" t="s">
        <v>242</v>
      </c>
      <c r="I1810" s="150">
        <v>45758.0</v>
      </c>
      <c r="J1810" s="537">
        <v>45800.0</v>
      </c>
      <c r="K1810" s="156"/>
      <c r="L1810" s="126" t="s">
        <v>10352</v>
      </c>
      <c r="M1810" s="126" t="s">
        <v>10353</v>
      </c>
      <c r="N1810" s="126" t="s">
        <v>10354</v>
      </c>
      <c r="O1810" s="498">
        <v>5.0</v>
      </c>
      <c r="P1810" s="525" t="s">
        <v>10355</v>
      </c>
      <c r="Q1810" s="49" t="str">
        <f t="array" ref="Q1810"> if(iserror(MATCH(V1810, 'File Links'!C:C, 0)), "N/A", HYPERLINK(INDEX('File Links'!B:B, MATCH(P1810, 'File Links'!C:C, 0))))</f>
        <v>https://drive.google.com/file/d/1SAkzHUXu2em_LOpzZzUsNAbEmhFQYt6z/view?usp=drivesdk</v>
      </c>
      <c r="R1810" s="1689" t="s">
        <v>10147</v>
      </c>
      <c r="S1810" s="126" t="s">
        <v>10148</v>
      </c>
      <c r="T1810" s="1371"/>
      <c r="U1810" s="498">
        <v>9.0</v>
      </c>
      <c r="V1810" s="148" t="s">
        <v>10149</v>
      </c>
      <c r="W1810" s="300" t="s">
        <v>202</v>
      </c>
      <c r="X1810" s="51" t="str">
        <f t="array" ref="X1810"> if(iserror(MATCH(V1810, 'File Links'!C:C, 0)), "N/A", HYPERLINK(INDEX('File Links'!B:B, MATCH(V1810, 'File Links'!C:C, 0))))</f>
        <v>https://drive.google.com/file/d/1Irbmig3rfLDvz-G09jDAVwJvv1drYEqO/view?usp=drivesdk</v>
      </c>
      <c r="Y1810" s="65"/>
      <c r="Z1810" s="148" t="s">
        <v>2072</v>
      </c>
      <c r="AA1810" s="292" t="s">
        <v>10356</v>
      </c>
      <c r="AB1810" s="148" t="s">
        <v>10357</v>
      </c>
      <c r="AC1810" s="148" t="s">
        <v>10358</v>
      </c>
      <c r="AD1810" s="148" t="s">
        <v>10381</v>
      </c>
      <c r="AE1810" s="148" t="s">
        <v>10382</v>
      </c>
      <c r="AF1810" s="158">
        <v>160.0</v>
      </c>
      <c r="AG1810" s="158" t="s">
        <v>131</v>
      </c>
      <c r="AH1810" s="164" t="s">
        <v>131</v>
      </c>
      <c r="AI1810" s="148" t="s">
        <v>10383</v>
      </c>
      <c r="AJ1810" s="158">
        <v>0.2</v>
      </c>
      <c r="AK1810" s="148" t="s">
        <v>328</v>
      </c>
      <c r="AL1810" s="148" t="s">
        <v>179</v>
      </c>
      <c r="AM1810" s="126" t="s">
        <v>130</v>
      </c>
      <c r="AN1810" s="126" t="s">
        <v>131</v>
      </c>
      <c r="AO1810" s="158">
        <v>389.0</v>
      </c>
      <c r="AP1810" s="158">
        <v>0.0</v>
      </c>
      <c r="AQ1810" s="148" t="s">
        <v>867</v>
      </c>
      <c r="AR1810" s="148" t="s">
        <v>10384</v>
      </c>
      <c r="AS1810" s="158">
        <v>0.843</v>
      </c>
      <c r="AT1810" s="148" t="s">
        <v>165</v>
      </c>
      <c r="AU1810" s="148" t="s">
        <v>179</v>
      </c>
      <c r="AV1810" s="126" t="s">
        <v>130</v>
      </c>
      <c r="AW1810" s="1790" t="s">
        <v>10364</v>
      </c>
      <c r="AX1810" s="126" t="s">
        <v>136</v>
      </c>
      <c r="AZ1810" s="284" t="s">
        <v>1263</v>
      </c>
    </row>
    <row r="1811">
      <c r="A1811" s="41">
        <v>1811.0</v>
      </c>
      <c r="B1811" s="126" t="s">
        <v>145</v>
      </c>
      <c r="C1811" s="59" t="s">
        <v>108</v>
      </c>
      <c r="D1811" s="59" t="s">
        <v>241</v>
      </c>
      <c r="F1811" s="126" t="s">
        <v>10350</v>
      </c>
      <c r="G1811" s="126" t="s">
        <v>10385</v>
      </c>
      <c r="H1811" s="148" t="s">
        <v>242</v>
      </c>
      <c r="I1811" s="150">
        <v>45758.0</v>
      </c>
      <c r="J1811" s="537">
        <v>45800.0</v>
      </c>
      <c r="K1811" s="156"/>
      <c r="L1811" s="126" t="s">
        <v>10352</v>
      </c>
      <c r="M1811" s="126" t="s">
        <v>10353</v>
      </c>
      <c r="N1811" s="126" t="s">
        <v>10354</v>
      </c>
      <c r="O1811" s="498">
        <v>5.0</v>
      </c>
      <c r="P1811" s="525" t="s">
        <v>10355</v>
      </c>
      <c r="Q1811" s="49" t="str">
        <f t="array" ref="Q1811"> if(iserror(MATCH(V1811, 'File Links'!C:C, 0)), "N/A", HYPERLINK(INDEX('File Links'!B:B, MATCH(P1811, 'File Links'!C:C, 0))))</f>
        <v>https://drive.google.com/file/d/1SAkzHUXu2em_LOpzZzUsNAbEmhFQYt6z/view?usp=drivesdk</v>
      </c>
      <c r="R1811" s="1689" t="s">
        <v>10147</v>
      </c>
      <c r="S1811" s="126" t="s">
        <v>10148</v>
      </c>
      <c r="T1811" s="1371"/>
      <c r="U1811" s="498">
        <v>9.0</v>
      </c>
      <c r="V1811" s="148" t="s">
        <v>10149</v>
      </c>
      <c r="W1811" s="300" t="s">
        <v>202</v>
      </c>
      <c r="X1811" s="51" t="str">
        <f t="array" ref="X1811"> if(iserror(MATCH(V1811, 'File Links'!C:C, 0)), "N/A", HYPERLINK(INDEX('File Links'!B:B, MATCH(V1811, 'File Links'!C:C, 0))))</f>
        <v>https://drive.google.com/file/d/1Irbmig3rfLDvz-G09jDAVwJvv1drYEqO/view?usp=drivesdk</v>
      </c>
      <c r="Y1811" s="65"/>
      <c r="Z1811" s="148" t="s">
        <v>2072</v>
      </c>
      <c r="AA1811" s="292" t="s">
        <v>10356</v>
      </c>
      <c r="AB1811" s="148" t="s">
        <v>10357</v>
      </c>
      <c r="AC1811" s="148" t="s">
        <v>10358</v>
      </c>
      <c r="AD1811" s="148" t="s">
        <v>10386</v>
      </c>
      <c r="AE1811" s="148" t="s">
        <v>10382</v>
      </c>
      <c r="AF1811" s="158">
        <v>160.0</v>
      </c>
      <c r="AG1811" s="158" t="s">
        <v>10387</v>
      </c>
      <c r="AH1811" s="148" t="s">
        <v>127</v>
      </c>
      <c r="AI1811" s="148" t="s">
        <v>10388</v>
      </c>
      <c r="AJ1811" s="158">
        <v>0.048</v>
      </c>
      <c r="AK1811" s="148" t="s">
        <v>165</v>
      </c>
      <c r="AL1811" s="148" t="s">
        <v>179</v>
      </c>
      <c r="AM1811" s="126" t="s">
        <v>130</v>
      </c>
      <c r="AN1811" s="126" t="s">
        <v>131</v>
      </c>
      <c r="AO1811" s="158">
        <v>389.0</v>
      </c>
      <c r="AP1811" s="158">
        <v>0.0</v>
      </c>
      <c r="AQ1811" s="148" t="s">
        <v>867</v>
      </c>
      <c r="AR1811" s="148" t="s">
        <v>10389</v>
      </c>
      <c r="AS1811" s="158">
        <v>0.945</v>
      </c>
      <c r="AT1811" s="148" t="s">
        <v>165</v>
      </c>
      <c r="AU1811" s="148" t="s">
        <v>179</v>
      </c>
      <c r="AV1811" s="126" t="s">
        <v>130</v>
      </c>
      <c r="AW1811" s="1790" t="s">
        <v>10364</v>
      </c>
      <c r="AX1811" s="126" t="s">
        <v>136</v>
      </c>
      <c r="AZ1811" s="284" t="s">
        <v>1263</v>
      </c>
      <c r="BB1811" s="1808" t="s">
        <v>10390</v>
      </c>
    </row>
    <row r="1812" ht="21.0" customHeight="1">
      <c r="A1812" s="41">
        <v>1812.0</v>
      </c>
      <c r="B1812" s="368" t="s">
        <v>107</v>
      </c>
      <c r="C1812" s="528" t="s">
        <v>108</v>
      </c>
      <c r="D1812" s="528" t="s">
        <v>241</v>
      </c>
      <c r="E1812" s="529"/>
      <c r="F1812" s="368" t="s">
        <v>10350</v>
      </c>
      <c r="G1812" s="368" t="s">
        <v>10391</v>
      </c>
      <c r="H1812" s="377" t="s">
        <v>242</v>
      </c>
      <c r="I1812" s="1812">
        <v>45758.0</v>
      </c>
      <c r="J1812" s="1813">
        <v>45800.0</v>
      </c>
      <c r="K1812" s="478"/>
      <c r="L1812" s="368" t="s">
        <v>10392</v>
      </c>
      <c r="M1812" s="368" t="s">
        <v>10353</v>
      </c>
      <c r="N1812" s="368" t="s">
        <v>10354</v>
      </c>
      <c r="O1812" s="562">
        <v>5.0</v>
      </c>
      <c r="P1812" s="551" t="s">
        <v>10355</v>
      </c>
      <c r="Q1812" s="1814" t="str">
        <f t="array" ref="Q1812"> if(iserror(MATCH(V1812, 'File Links'!C:C, 0)), "N/A", HYPERLINK(INDEX('File Links'!B:B, MATCH(P1812, 'File Links'!C:C, 0))))</f>
        <v>https://drive.google.com/file/d/1SAkzHUXu2em_LOpzZzUsNAbEmhFQYt6z/view?usp=drivesdk</v>
      </c>
      <c r="R1812" s="1815" t="s">
        <v>10147</v>
      </c>
      <c r="S1812" s="368" t="s">
        <v>10148</v>
      </c>
      <c r="T1812" s="1816"/>
      <c r="U1812" s="562">
        <v>9.0</v>
      </c>
      <c r="V1812" s="377" t="s">
        <v>10149</v>
      </c>
      <c r="W1812" s="377" t="s">
        <v>202</v>
      </c>
      <c r="X1812" s="1817" t="str">
        <f t="array" ref="X1812"> if(iserror(MATCH(V1812, 'File Links'!C:C, 0)), "N/A", HYPERLINK(INDEX('File Links'!B:B, MATCH(V1812, 'File Links'!C:C, 0))))</f>
        <v>https://drive.google.com/file/d/1Irbmig3rfLDvz-G09jDAVwJvv1drYEqO/view?usp=drivesdk</v>
      </c>
      <c r="Y1812" s="539"/>
      <c r="Z1812" s="377" t="s">
        <v>2072</v>
      </c>
      <c r="AA1812" s="368" t="s">
        <v>10356</v>
      </c>
      <c r="AB1812" s="377" t="s">
        <v>10357</v>
      </c>
      <c r="AC1812" s="377" t="s">
        <v>10358</v>
      </c>
      <c r="AD1812" s="377" t="s">
        <v>10393</v>
      </c>
      <c r="AE1812" s="377" t="s">
        <v>2359</v>
      </c>
      <c r="AF1812" s="375">
        <v>160.0</v>
      </c>
      <c r="AG1812" s="375" t="s">
        <v>10394</v>
      </c>
      <c r="AH1812" s="148" t="s">
        <v>127</v>
      </c>
      <c r="AI1812" s="377" t="s">
        <v>2359</v>
      </c>
      <c r="AJ1812" s="375">
        <v>0.032</v>
      </c>
      <c r="AK1812" s="148" t="s">
        <v>165</v>
      </c>
      <c r="AL1812" s="148" t="s">
        <v>179</v>
      </c>
      <c r="AM1812" s="126" t="s">
        <v>130</v>
      </c>
      <c r="AN1812" s="126" t="s">
        <v>131</v>
      </c>
      <c r="AO1812" s="375">
        <v>389.0</v>
      </c>
      <c r="AP1812" s="375">
        <v>0.03</v>
      </c>
      <c r="AQ1812" s="377" t="s">
        <v>166</v>
      </c>
      <c r="AR1812" s="377" t="s">
        <v>2365</v>
      </c>
      <c r="AS1812" s="375">
        <v>0.862</v>
      </c>
      <c r="AT1812" s="148" t="s">
        <v>165</v>
      </c>
      <c r="AU1812" s="148" t="s">
        <v>179</v>
      </c>
      <c r="AV1812" s="126" t="s">
        <v>130</v>
      </c>
      <c r="AW1812" s="1790" t="s">
        <v>10364</v>
      </c>
      <c r="AX1812" s="126" t="s">
        <v>136</v>
      </c>
      <c r="AY1812" s="529"/>
      <c r="AZ1812" s="284" t="s">
        <v>1263</v>
      </c>
      <c r="BA1812" s="529"/>
      <c r="BB1812" s="529"/>
      <c r="BC1812" s="529"/>
      <c r="BD1812" s="529"/>
      <c r="BE1812" s="529"/>
      <c r="BF1812" s="529"/>
      <c r="BG1812" s="529"/>
      <c r="BH1812" s="529"/>
      <c r="BI1812" s="529"/>
      <c r="BJ1812" s="529"/>
      <c r="BK1812" s="529"/>
      <c r="BL1812" s="529"/>
      <c r="BM1812" s="529"/>
      <c r="BN1812" s="529"/>
      <c r="BO1812" s="529"/>
      <c r="BP1812" s="529"/>
      <c r="BQ1812" s="529"/>
      <c r="BR1812" s="529"/>
      <c r="BS1812" s="529"/>
      <c r="BT1812" s="529"/>
      <c r="BU1812" s="529"/>
      <c r="BV1812" s="529"/>
      <c r="BW1812" s="529"/>
      <c r="BX1812" s="529"/>
      <c r="BY1812" s="529"/>
      <c r="BZ1812" s="529"/>
      <c r="CA1812" s="529"/>
      <c r="CB1812" s="529"/>
      <c r="CC1812" s="529"/>
      <c r="CD1812" s="529"/>
      <c r="CE1812" s="529"/>
      <c r="CF1812" s="529"/>
      <c r="CG1812" s="529"/>
      <c r="CH1812" s="529"/>
      <c r="CI1812" s="529"/>
      <c r="CJ1812" s="529"/>
      <c r="CK1812" s="529"/>
      <c r="CL1812" s="529"/>
      <c r="CM1812" s="529"/>
      <c r="CN1812" s="529"/>
      <c r="CO1812" s="529"/>
      <c r="CP1812" s="529"/>
      <c r="CQ1812" s="529"/>
      <c r="CR1812" s="529"/>
      <c r="CS1812" s="529"/>
      <c r="CT1812" s="529"/>
      <c r="CU1812" s="529"/>
      <c r="CV1812" s="529"/>
      <c r="CW1812" s="529"/>
      <c r="CX1812" s="529"/>
      <c r="CY1812" s="529"/>
      <c r="CZ1812" s="529"/>
      <c r="DA1812" s="529"/>
      <c r="DB1812" s="529"/>
      <c r="DC1812" s="529"/>
      <c r="DD1812" s="529"/>
      <c r="DE1812" s="529"/>
      <c r="DF1812" s="529"/>
      <c r="DG1812" s="529"/>
      <c r="DH1812" s="529"/>
    </row>
    <row r="1813">
      <c r="A1813" s="41">
        <v>1813.0</v>
      </c>
      <c r="B1813" s="126" t="s">
        <v>107</v>
      </c>
      <c r="C1813" s="59" t="s">
        <v>108</v>
      </c>
      <c r="D1813" s="59" t="s">
        <v>241</v>
      </c>
      <c r="F1813" s="126" t="s">
        <v>10395</v>
      </c>
      <c r="G1813" s="126" t="s">
        <v>10395</v>
      </c>
      <c r="H1813" s="148" t="s">
        <v>242</v>
      </c>
      <c r="I1813" s="150">
        <v>45755.0</v>
      </c>
      <c r="J1813" s="1778">
        <v>45765.0</v>
      </c>
      <c r="K1813" s="148" t="s">
        <v>10396</v>
      </c>
      <c r="L1813" s="126" t="s">
        <v>10397</v>
      </c>
      <c r="M1813" s="126" t="s">
        <v>10398</v>
      </c>
      <c r="N1813" s="126" t="s">
        <v>10399</v>
      </c>
      <c r="O1813" s="498" t="s">
        <v>4085</v>
      </c>
      <c r="P1813" s="525" t="s">
        <v>10400</v>
      </c>
      <c r="Q1813" s="105" t="str">
        <f t="array" ref="Q1813"> if(iserror(MATCH(V1813, 'File Links'!C:C, 0)), "N/A", HYPERLINK(INDEX('File Links'!B:B, MATCH(P1813, 'File Links'!C:C, 0))))</f>
        <v>N/A</v>
      </c>
      <c r="R1813" s="1689" t="s">
        <v>10018</v>
      </c>
      <c r="S1813" s="126" t="s">
        <v>10019</v>
      </c>
      <c r="T1813" s="1371"/>
      <c r="U1813" s="333"/>
      <c r="V1813" s="148" t="s">
        <v>10020</v>
      </c>
      <c r="W1813" s="156"/>
      <c r="X1813" s="46" t="str">
        <f t="array" ref="X1813"> if(iserror(MATCH(V1813, 'File Links'!C:C, 0)), "N/A", HYPERLINK(INDEX('File Links'!B:B, MATCH(V1813, 'File Links'!C:C, 0))))</f>
        <v>N/A</v>
      </c>
      <c r="Y1813" s="65"/>
      <c r="Z1813" s="148" t="s">
        <v>2072</v>
      </c>
      <c r="AA1813" s="368" t="s">
        <v>10021</v>
      </c>
      <c r="AB1813" s="148" t="s">
        <v>10401</v>
      </c>
      <c r="AC1813" s="148" t="s">
        <v>10402</v>
      </c>
      <c r="AD1813" s="148" t="s">
        <v>10403</v>
      </c>
      <c r="AE1813" s="148" t="s">
        <v>500</v>
      </c>
      <c r="AF1813" s="158">
        <v>368.0</v>
      </c>
      <c r="AG1813" s="158" t="s">
        <v>10404</v>
      </c>
      <c r="AH1813" s="148" t="s">
        <v>127</v>
      </c>
      <c r="AI1813" s="148" t="s">
        <v>10405</v>
      </c>
      <c r="AJ1813" s="158">
        <v>0.001</v>
      </c>
      <c r="AK1813" s="148" t="s">
        <v>128</v>
      </c>
      <c r="AL1813" s="1776" t="s">
        <v>179</v>
      </c>
      <c r="AM1813" s="126" t="s">
        <v>130</v>
      </c>
      <c r="AN1813" s="126" t="s">
        <v>131</v>
      </c>
      <c r="AO1813" s="158">
        <v>823.0</v>
      </c>
      <c r="AP1813" s="158">
        <v>0.063</v>
      </c>
      <c r="AQ1813" s="148" t="s">
        <v>867</v>
      </c>
      <c r="AR1813" s="148" t="s">
        <v>10406</v>
      </c>
      <c r="AS1813" s="158">
        <v>0.001</v>
      </c>
      <c r="AT1813" s="148" t="s">
        <v>128</v>
      </c>
      <c r="AU1813" s="148" t="s">
        <v>179</v>
      </c>
      <c r="AV1813" s="126" t="s">
        <v>130</v>
      </c>
      <c r="AW1813" s="1788" t="s">
        <v>10028</v>
      </c>
      <c r="AX1813" s="126" t="s">
        <v>136</v>
      </c>
      <c r="AZ1813" s="1774" t="s">
        <v>7909</v>
      </c>
    </row>
    <row r="1814">
      <c r="A1814" s="41">
        <v>1814.0</v>
      </c>
      <c r="B1814" s="126" t="s">
        <v>145</v>
      </c>
      <c r="C1814" s="59" t="s">
        <v>108</v>
      </c>
      <c r="D1814" s="59" t="s">
        <v>138</v>
      </c>
      <c r="F1814" s="126" t="s">
        <v>10395</v>
      </c>
      <c r="G1814" s="126" t="s">
        <v>10407</v>
      </c>
      <c r="H1814" s="148" t="s">
        <v>10089</v>
      </c>
      <c r="I1814" s="150">
        <v>45758.0</v>
      </c>
      <c r="J1814" s="1778">
        <v>45765.0</v>
      </c>
      <c r="K1814" s="148" t="s">
        <v>10408</v>
      </c>
      <c r="L1814" s="126" t="s">
        <v>10409</v>
      </c>
      <c r="M1814" s="126" t="s">
        <v>10398</v>
      </c>
      <c r="N1814" s="126" t="s">
        <v>10399</v>
      </c>
      <c r="O1814" s="498" t="s">
        <v>10410</v>
      </c>
      <c r="P1814" s="525" t="s">
        <v>10400</v>
      </c>
      <c r="Q1814" s="105" t="str">
        <f t="array" ref="Q1814"> if(iserror(MATCH(V1814, 'File Links'!C:C, 0)), "N/A", HYPERLINK(INDEX('File Links'!B:B, MATCH(P1814, 'File Links'!C:C, 0))))</f>
        <v>N/A</v>
      </c>
      <c r="R1814" s="1689" t="s">
        <v>10018</v>
      </c>
      <c r="S1814" s="126" t="s">
        <v>10019</v>
      </c>
      <c r="T1814" s="1371"/>
      <c r="U1814" s="333"/>
      <c r="V1814" s="148" t="s">
        <v>10020</v>
      </c>
      <c r="W1814" s="156"/>
      <c r="X1814" s="46" t="str">
        <f t="array" ref="X1814"> if(iserror(MATCH(V1814, 'File Links'!C:C, 0)), "N/A", HYPERLINK(INDEX('File Links'!B:B, MATCH(V1814, 'File Links'!C:C, 0))))</f>
        <v>N/A</v>
      </c>
      <c r="Y1814" s="65"/>
      <c r="Z1814" s="148" t="s">
        <v>2072</v>
      </c>
      <c r="AA1814" s="368" t="s">
        <v>10021</v>
      </c>
      <c r="AB1814" s="148" t="s">
        <v>10411</v>
      </c>
      <c r="AC1814" s="148" t="s">
        <v>10412</v>
      </c>
      <c r="AD1814" s="148" t="s">
        <v>10413</v>
      </c>
      <c r="AE1814" s="148">
        <v>3.0</v>
      </c>
      <c r="AF1814" s="158">
        <v>368.0</v>
      </c>
      <c r="AG1814" s="1787" t="s">
        <v>10404</v>
      </c>
      <c r="AH1814" s="148" t="s">
        <v>127</v>
      </c>
      <c r="AI1814" s="148" t="s">
        <v>210</v>
      </c>
      <c r="AJ1814" s="158">
        <v>0.001</v>
      </c>
      <c r="AK1814" s="148" t="s">
        <v>128</v>
      </c>
      <c r="AL1814" s="148" t="s">
        <v>179</v>
      </c>
      <c r="AM1814" s="126" t="s">
        <v>130</v>
      </c>
      <c r="AN1814" s="126" t="s">
        <v>1528</v>
      </c>
      <c r="AO1814" s="158">
        <v>823.0</v>
      </c>
      <c r="AP1814" s="1787">
        <v>0.251</v>
      </c>
      <c r="AQ1814" s="148" t="s">
        <v>208</v>
      </c>
      <c r="AR1814" s="148" t="s">
        <v>10414</v>
      </c>
      <c r="AS1814" s="1787">
        <v>0.001</v>
      </c>
      <c r="AT1814" s="148" t="s">
        <v>128</v>
      </c>
      <c r="AU1814" s="148" t="s">
        <v>179</v>
      </c>
      <c r="AV1814" s="126" t="s">
        <v>130</v>
      </c>
      <c r="AW1814" s="1790" t="s">
        <v>10028</v>
      </c>
      <c r="AX1814" s="126" t="s">
        <v>136</v>
      </c>
      <c r="AZ1814" s="1774" t="s">
        <v>7909</v>
      </c>
    </row>
    <row r="1815">
      <c r="A1815" s="41">
        <v>1815.0</v>
      </c>
      <c r="B1815" s="126" t="s">
        <v>107</v>
      </c>
      <c r="C1815" s="59" t="s">
        <v>108</v>
      </c>
      <c r="D1815" s="59" t="s">
        <v>241</v>
      </c>
      <c r="F1815" s="126" t="s">
        <v>10415</v>
      </c>
      <c r="G1815" s="126" t="s">
        <v>10415</v>
      </c>
      <c r="H1815" s="148" t="s">
        <v>242</v>
      </c>
      <c r="I1815" s="150">
        <v>45755.0</v>
      </c>
      <c r="J1815" s="1778">
        <v>45765.0</v>
      </c>
      <c r="K1815" s="148" t="s">
        <v>10416</v>
      </c>
      <c r="L1815" s="126" t="s">
        <v>10417</v>
      </c>
      <c r="M1815" s="126" t="s">
        <v>10418</v>
      </c>
      <c r="N1815" s="126" t="s">
        <v>10399</v>
      </c>
      <c r="O1815" s="498" t="s">
        <v>5504</v>
      </c>
      <c r="P1815" s="525" t="s">
        <v>10400</v>
      </c>
      <c r="Q1815" s="105" t="str">
        <f t="array" ref="Q1815"> if(iserror(MATCH(V1815, 'File Links'!C:C, 0)), "N/A", HYPERLINK(INDEX('File Links'!B:B, MATCH(P1815, 'File Links'!C:C, 0))))</f>
        <v>N/A</v>
      </c>
      <c r="R1815" s="1689" t="s">
        <v>10018</v>
      </c>
      <c r="S1815" s="126" t="s">
        <v>10019</v>
      </c>
      <c r="T1815" s="1371"/>
      <c r="U1815" s="333"/>
      <c r="V1815" s="148" t="s">
        <v>10020</v>
      </c>
      <c r="W1815" s="156"/>
      <c r="X1815" s="46" t="str">
        <f t="array" ref="X1815"> if(iserror(MATCH(V1815, 'File Links'!C:C, 0)), "N/A", HYPERLINK(INDEX('File Links'!B:B, MATCH(V1815, 'File Links'!C:C, 0))))</f>
        <v>N/A</v>
      </c>
      <c r="Y1815" s="65"/>
      <c r="Z1815" s="148" t="s">
        <v>2072</v>
      </c>
      <c r="AA1815" s="368" t="s">
        <v>10021</v>
      </c>
      <c r="AB1815" s="148" t="s">
        <v>10401</v>
      </c>
      <c r="AC1815" s="148" t="s">
        <v>10419</v>
      </c>
      <c r="AD1815" s="148" t="s">
        <v>10420</v>
      </c>
      <c r="AE1815" s="148" t="s">
        <v>500</v>
      </c>
      <c r="AF1815" s="158">
        <v>189.0</v>
      </c>
      <c r="AG1815" s="158" t="s">
        <v>10421</v>
      </c>
      <c r="AH1815" s="148" t="s">
        <v>127</v>
      </c>
      <c r="AI1815" s="148" t="s">
        <v>10422</v>
      </c>
      <c r="AJ1815" s="158">
        <v>0.001</v>
      </c>
      <c r="AK1815" s="148" t="s">
        <v>128</v>
      </c>
      <c r="AL1815" s="148" t="s">
        <v>211</v>
      </c>
      <c r="AM1815" s="126" t="s">
        <v>130</v>
      </c>
      <c r="AN1815" s="126" t="s">
        <v>131</v>
      </c>
      <c r="AO1815" s="158">
        <v>823.0</v>
      </c>
      <c r="AP1815" s="158">
        <v>0.011</v>
      </c>
      <c r="AQ1815" s="148" t="s">
        <v>867</v>
      </c>
      <c r="AR1815" s="148" t="s">
        <v>10423</v>
      </c>
      <c r="AS1815" s="158">
        <v>0.03</v>
      </c>
      <c r="AT1815" s="148" t="s">
        <v>165</v>
      </c>
      <c r="AU1815" s="148" t="s">
        <v>179</v>
      </c>
      <c r="AV1815" s="126" t="s">
        <v>130</v>
      </c>
      <c r="AW1815" s="1788" t="s">
        <v>10028</v>
      </c>
      <c r="AX1815" s="126" t="s">
        <v>136</v>
      </c>
      <c r="AZ1815" s="1774" t="s">
        <v>7909</v>
      </c>
    </row>
    <row r="1816">
      <c r="A1816" s="41">
        <v>1816.0</v>
      </c>
      <c r="B1816" s="126" t="s">
        <v>145</v>
      </c>
      <c r="C1816" s="59" t="s">
        <v>108</v>
      </c>
      <c r="D1816" s="59" t="s">
        <v>138</v>
      </c>
      <c r="F1816" s="126" t="s">
        <v>10415</v>
      </c>
      <c r="G1816" s="126" t="s">
        <v>10424</v>
      </c>
      <c r="H1816" s="148" t="s">
        <v>10089</v>
      </c>
      <c r="I1816" s="150">
        <v>45758.0</v>
      </c>
      <c r="J1816" s="1778">
        <v>45765.0</v>
      </c>
      <c r="K1816" s="156"/>
      <c r="L1816" s="126" t="s">
        <v>10409</v>
      </c>
      <c r="M1816" s="126" t="s">
        <v>10418</v>
      </c>
      <c r="N1816" s="126" t="s">
        <v>10399</v>
      </c>
      <c r="O1816" s="498" t="s">
        <v>10410</v>
      </c>
      <c r="P1816" s="525" t="s">
        <v>10400</v>
      </c>
      <c r="Q1816" s="105" t="str">
        <f t="array" ref="Q1816"> if(iserror(MATCH(V1816, 'File Links'!C:C, 0)), "N/A", HYPERLINK(INDEX('File Links'!B:B, MATCH(P1816, 'File Links'!C:C, 0))))</f>
        <v>N/A</v>
      </c>
      <c r="R1816" s="1689" t="s">
        <v>10018</v>
      </c>
      <c r="S1816" s="126" t="s">
        <v>10019</v>
      </c>
      <c r="T1816" s="1371"/>
      <c r="U1816" s="333"/>
      <c r="V1816" s="148" t="s">
        <v>10020</v>
      </c>
      <c r="W1816" s="156"/>
      <c r="X1816" s="46" t="str">
        <f t="array" ref="X1816"> if(iserror(MATCH(V1816, 'File Links'!C:C, 0)), "N/A", HYPERLINK(INDEX('File Links'!B:B, MATCH(V1816, 'File Links'!C:C, 0))))</f>
        <v>N/A</v>
      </c>
      <c r="Y1816" s="65"/>
      <c r="Z1816" s="148" t="s">
        <v>2072</v>
      </c>
      <c r="AA1816" s="368" t="s">
        <v>10021</v>
      </c>
      <c r="AB1816" s="148" t="s">
        <v>10411</v>
      </c>
      <c r="AC1816" s="148" t="s">
        <v>10425</v>
      </c>
      <c r="AD1816" s="148" t="s">
        <v>10426</v>
      </c>
      <c r="AE1816" s="148">
        <v>3.0</v>
      </c>
      <c r="AF1816" s="158">
        <v>189.0</v>
      </c>
      <c r="AG1816" s="1787" t="s">
        <v>10421</v>
      </c>
      <c r="AH1816" s="148" t="s">
        <v>127</v>
      </c>
      <c r="AI1816" s="148" t="s">
        <v>210</v>
      </c>
      <c r="AJ1816" s="158">
        <v>0.001</v>
      </c>
      <c r="AK1816" s="148" t="s">
        <v>128</v>
      </c>
      <c r="AL1816" s="148" t="s">
        <v>211</v>
      </c>
      <c r="AM1816" s="126" t="s">
        <v>130</v>
      </c>
      <c r="AN1816" s="126" t="s">
        <v>1528</v>
      </c>
      <c r="AO1816" s="158">
        <v>823.0</v>
      </c>
      <c r="AP1816" s="1787">
        <v>0.106</v>
      </c>
      <c r="AQ1816" s="148" t="s">
        <v>208</v>
      </c>
      <c r="AR1816" s="148" t="s">
        <v>10414</v>
      </c>
      <c r="AS1816" s="1787">
        <v>0.03</v>
      </c>
      <c r="AT1816" s="148" t="s">
        <v>165</v>
      </c>
      <c r="AU1816" s="148" t="s">
        <v>179</v>
      </c>
      <c r="AV1816" s="126" t="s">
        <v>130</v>
      </c>
      <c r="AW1816" s="1790" t="s">
        <v>10028</v>
      </c>
      <c r="AX1816" s="126" t="s">
        <v>136</v>
      </c>
      <c r="AZ1816" s="1774" t="s">
        <v>7909</v>
      </c>
    </row>
    <row r="1817">
      <c r="A1817" s="41">
        <v>1817.0</v>
      </c>
      <c r="B1817" s="126" t="s">
        <v>107</v>
      </c>
      <c r="C1817" s="59" t="s">
        <v>108</v>
      </c>
      <c r="D1817" s="59" t="s">
        <v>241</v>
      </c>
      <c r="F1817" s="126" t="s">
        <v>10427</v>
      </c>
      <c r="G1817" s="126" t="s">
        <v>10427</v>
      </c>
      <c r="H1817" s="148" t="s">
        <v>242</v>
      </c>
      <c r="I1817" s="150">
        <v>45755.0</v>
      </c>
      <c r="J1817" s="1778">
        <v>45765.0</v>
      </c>
      <c r="K1817" s="148" t="s">
        <v>10428</v>
      </c>
      <c r="L1817" s="126" t="s">
        <v>10417</v>
      </c>
      <c r="M1817" s="126" t="s">
        <v>10418</v>
      </c>
      <c r="N1817" s="126" t="s">
        <v>10399</v>
      </c>
      <c r="O1817" s="498" t="s">
        <v>1547</v>
      </c>
      <c r="P1817" s="525" t="s">
        <v>10400</v>
      </c>
      <c r="Q1817" s="105" t="str">
        <f t="array" ref="Q1817"> if(iserror(MATCH(V1817, 'File Links'!C:C, 0)), "N/A", HYPERLINK(INDEX('File Links'!B:B, MATCH(P1817, 'File Links'!C:C, 0))))</f>
        <v>N/A</v>
      </c>
      <c r="R1817" s="1689" t="s">
        <v>10018</v>
      </c>
      <c r="S1817" s="126" t="s">
        <v>10019</v>
      </c>
      <c r="T1817" s="1371"/>
      <c r="U1817" s="333"/>
      <c r="V1817" s="148" t="s">
        <v>10020</v>
      </c>
      <c r="W1817" s="156"/>
      <c r="X1817" s="46" t="str">
        <f t="array" ref="X1817"> if(iserror(MATCH(V1817, 'File Links'!C:C, 0)), "N/A", HYPERLINK(INDEX('File Links'!B:B, MATCH(V1817, 'File Links'!C:C, 0))))</f>
        <v>N/A</v>
      </c>
      <c r="Y1817" s="65"/>
      <c r="Z1817" s="148" t="s">
        <v>2072</v>
      </c>
      <c r="AA1817" s="368" t="s">
        <v>10021</v>
      </c>
      <c r="AB1817" s="148" t="s">
        <v>10401</v>
      </c>
      <c r="AC1817" s="148" t="s">
        <v>10429</v>
      </c>
      <c r="AD1817" s="148" t="s">
        <v>10430</v>
      </c>
      <c r="AE1817" s="148" t="s">
        <v>500</v>
      </c>
      <c r="AF1817" s="158">
        <v>186.0</v>
      </c>
      <c r="AG1817" s="158" t="s">
        <v>10431</v>
      </c>
      <c r="AH1817" s="148" t="s">
        <v>127</v>
      </c>
      <c r="AI1817" s="148" t="s">
        <v>10432</v>
      </c>
      <c r="AJ1817" s="158">
        <v>0.001</v>
      </c>
      <c r="AK1817" s="148" t="s">
        <v>128</v>
      </c>
      <c r="AL1817" s="148" t="s">
        <v>211</v>
      </c>
      <c r="AM1817" s="126" t="s">
        <v>130</v>
      </c>
      <c r="AN1817" s="126" t="s">
        <v>131</v>
      </c>
      <c r="AO1817" s="158">
        <v>823.0</v>
      </c>
      <c r="AP1817" s="158">
        <v>0.149</v>
      </c>
      <c r="AQ1817" s="148" t="s">
        <v>867</v>
      </c>
      <c r="AR1817" s="148" t="s">
        <v>10433</v>
      </c>
      <c r="AS1817" s="158">
        <v>0.001</v>
      </c>
      <c r="AT1817" s="148" t="s">
        <v>128</v>
      </c>
      <c r="AU1817" s="148" t="s">
        <v>179</v>
      </c>
      <c r="AV1817" s="126" t="s">
        <v>130</v>
      </c>
      <c r="AW1817" s="1788" t="s">
        <v>10028</v>
      </c>
      <c r="AX1817" s="126" t="s">
        <v>136</v>
      </c>
      <c r="AZ1817" s="1774" t="s">
        <v>7909</v>
      </c>
    </row>
    <row r="1818">
      <c r="A1818" s="41">
        <v>1818.0</v>
      </c>
      <c r="B1818" s="126" t="s">
        <v>145</v>
      </c>
      <c r="C1818" s="59" t="s">
        <v>108</v>
      </c>
      <c r="D1818" s="59" t="s">
        <v>138</v>
      </c>
      <c r="F1818" s="126" t="s">
        <v>10427</v>
      </c>
      <c r="G1818" s="126" t="s">
        <v>10434</v>
      </c>
      <c r="H1818" s="148" t="s">
        <v>10089</v>
      </c>
      <c r="I1818" s="150">
        <v>45758.0</v>
      </c>
      <c r="J1818" s="1778">
        <v>45765.0</v>
      </c>
      <c r="K1818" s="156"/>
      <c r="L1818" s="126" t="s">
        <v>10409</v>
      </c>
      <c r="M1818" s="126" t="s">
        <v>10418</v>
      </c>
      <c r="N1818" s="126" t="s">
        <v>10399</v>
      </c>
      <c r="O1818" s="498" t="s">
        <v>10410</v>
      </c>
      <c r="P1818" s="525" t="s">
        <v>10400</v>
      </c>
      <c r="Q1818" s="105" t="str">
        <f t="array" ref="Q1818"> if(iserror(MATCH(V1818, 'File Links'!C:C, 0)), "N/A", HYPERLINK(INDEX('File Links'!B:B, MATCH(P1818, 'File Links'!C:C, 0))))</f>
        <v>N/A</v>
      </c>
      <c r="R1818" s="1689" t="s">
        <v>10018</v>
      </c>
      <c r="S1818" s="126" t="s">
        <v>10019</v>
      </c>
      <c r="T1818" s="1371"/>
      <c r="U1818" s="333"/>
      <c r="V1818" s="148" t="s">
        <v>10020</v>
      </c>
      <c r="W1818" s="156"/>
      <c r="X1818" s="46" t="str">
        <f t="array" ref="X1818"> if(iserror(MATCH(V1818, 'File Links'!C:C, 0)), "N/A", HYPERLINK(INDEX('File Links'!B:B, MATCH(V1818, 'File Links'!C:C, 0))))</f>
        <v>N/A</v>
      </c>
      <c r="Y1818" s="65"/>
      <c r="Z1818" s="148" t="s">
        <v>2072</v>
      </c>
      <c r="AA1818" s="368" t="s">
        <v>10021</v>
      </c>
      <c r="AB1818" s="148" t="s">
        <v>10411</v>
      </c>
      <c r="AC1818" s="148" t="s">
        <v>10435</v>
      </c>
      <c r="AD1818" s="148" t="s">
        <v>10436</v>
      </c>
      <c r="AE1818" s="148">
        <v>3.0</v>
      </c>
      <c r="AF1818" s="158">
        <v>186.0</v>
      </c>
      <c r="AG1818" s="1787" t="s">
        <v>10431</v>
      </c>
      <c r="AH1818" s="148" t="s">
        <v>127</v>
      </c>
      <c r="AI1818" s="148" t="s">
        <v>210</v>
      </c>
      <c r="AJ1818" s="158">
        <v>0.001</v>
      </c>
      <c r="AK1818" s="148" t="s">
        <v>128</v>
      </c>
      <c r="AL1818" s="148" t="s">
        <v>211</v>
      </c>
      <c r="AM1818" s="126" t="s">
        <v>130</v>
      </c>
      <c r="AN1818" s="126" t="s">
        <v>1528</v>
      </c>
      <c r="AO1818" s="158">
        <v>823.0</v>
      </c>
      <c r="AP1818" s="1787">
        <v>0.387</v>
      </c>
      <c r="AQ1818" s="148" t="s">
        <v>208</v>
      </c>
      <c r="AR1818" s="148" t="s">
        <v>10414</v>
      </c>
      <c r="AS1818" s="1787">
        <v>0.001</v>
      </c>
      <c r="AT1818" s="148" t="s">
        <v>128</v>
      </c>
      <c r="AU1818" s="148" t="s">
        <v>179</v>
      </c>
      <c r="AV1818" s="126" t="s">
        <v>130</v>
      </c>
      <c r="AW1818" s="1790" t="s">
        <v>10028</v>
      </c>
      <c r="AX1818" s="126" t="s">
        <v>136</v>
      </c>
      <c r="AZ1818" s="1774" t="s">
        <v>7909</v>
      </c>
    </row>
    <row r="1819">
      <c r="A1819" s="41">
        <v>1819.0</v>
      </c>
      <c r="B1819" s="1793" t="s">
        <v>107</v>
      </c>
      <c r="C1819" s="1623" t="s">
        <v>108</v>
      </c>
      <c r="D1819" s="1623" t="s">
        <v>241</v>
      </c>
      <c r="E1819" s="1120"/>
      <c r="F1819" s="1793" t="s">
        <v>10437</v>
      </c>
      <c r="G1819" s="1793" t="s">
        <v>10437</v>
      </c>
      <c r="H1819" s="488" t="s">
        <v>242</v>
      </c>
      <c r="I1819" s="1794">
        <v>45755.0</v>
      </c>
      <c r="J1819" s="1795">
        <v>45772.0</v>
      </c>
      <c r="K1819" s="488" t="s">
        <v>10438</v>
      </c>
      <c r="L1819" s="1793" t="s">
        <v>10439</v>
      </c>
      <c r="M1819" s="1793" t="s">
        <v>10440</v>
      </c>
      <c r="N1819" s="1793" t="s">
        <v>10441</v>
      </c>
      <c r="O1819" s="1796">
        <v>3.0</v>
      </c>
      <c r="P1819" s="1797" t="s">
        <v>10442</v>
      </c>
      <c r="Q1819" s="105" t="str">
        <f t="array" ref="Q1819"> if(iserror(MATCH(V1819, 'File Links'!C:C, 0)), "N/A", HYPERLINK(INDEX('File Links'!B:B, MATCH(P1819, 'File Links'!C:C, 0))))</f>
        <v>N/A</v>
      </c>
      <c r="R1819" s="1798" t="s">
        <v>10018</v>
      </c>
      <c r="S1819" s="1793" t="s">
        <v>10019</v>
      </c>
      <c r="T1819" s="1799"/>
      <c r="U1819" s="1818"/>
      <c r="V1819" s="488" t="s">
        <v>10020</v>
      </c>
      <c r="W1819" s="1626"/>
      <c r="X1819" s="46" t="str">
        <f t="array" ref="X1819"> if(iserror(MATCH(V1819, 'File Links'!C:C, 0)), "N/A", HYPERLINK(INDEX('File Links'!B:B, MATCH(V1819, 'File Links'!C:C, 0))))</f>
        <v>N/A</v>
      </c>
      <c r="Y1819" s="1624"/>
      <c r="Z1819" s="488" t="s">
        <v>2072</v>
      </c>
      <c r="AA1819" s="1793" t="s">
        <v>10021</v>
      </c>
      <c r="AB1819" s="488" t="s">
        <v>10443</v>
      </c>
      <c r="AC1819" s="488" t="s">
        <v>10444</v>
      </c>
      <c r="AD1819" s="488" t="s">
        <v>10445</v>
      </c>
      <c r="AE1819" s="488" t="s">
        <v>620</v>
      </c>
      <c r="AF1819" s="1800">
        <v>77.0</v>
      </c>
      <c r="AG1819" s="1800">
        <v>0.09</v>
      </c>
      <c r="AH1819" s="488" t="s">
        <v>867</v>
      </c>
      <c r="AI1819" s="488" t="s">
        <v>10446</v>
      </c>
      <c r="AJ1819" s="1800">
        <v>0.01</v>
      </c>
      <c r="AK1819" s="488" t="s">
        <v>128</v>
      </c>
      <c r="AL1819" s="488" t="s">
        <v>179</v>
      </c>
      <c r="AM1819" s="1793" t="s">
        <v>130</v>
      </c>
      <c r="AN1819" s="1793" t="s">
        <v>131</v>
      </c>
      <c r="AO1819" s="1800">
        <v>823.0</v>
      </c>
      <c r="AP1819" s="1800">
        <v>0.0</v>
      </c>
      <c r="AQ1819" s="488" t="s">
        <v>867</v>
      </c>
      <c r="AR1819" s="488" t="s">
        <v>10447</v>
      </c>
      <c r="AS1819" s="1800">
        <v>0.758</v>
      </c>
      <c r="AT1819" s="488" t="s">
        <v>165</v>
      </c>
      <c r="AU1819" s="488" t="s">
        <v>179</v>
      </c>
      <c r="AV1819" s="1793" t="s">
        <v>130</v>
      </c>
      <c r="AW1819" s="1801" t="s">
        <v>10028</v>
      </c>
      <c r="AX1819" s="1793" t="s">
        <v>136</v>
      </c>
      <c r="AY1819" s="1120"/>
      <c r="AZ1819" s="1623" t="s">
        <v>7909</v>
      </c>
    </row>
    <row r="1820">
      <c r="A1820" s="41">
        <v>1820.0</v>
      </c>
      <c r="B1820" s="1793" t="s">
        <v>107</v>
      </c>
      <c r="C1820" s="1623" t="s">
        <v>108</v>
      </c>
      <c r="D1820" s="1623" t="s">
        <v>241</v>
      </c>
      <c r="E1820" s="1120"/>
      <c r="F1820" s="1793" t="s">
        <v>10437</v>
      </c>
      <c r="G1820" s="1793" t="s">
        <v>10448</v>
      </c>
      <c r="H1820" s="488" t="s">
        <v>242</v>
      </c>
      <c r="I1820" s="1794">
        <v>45755.0</v>
      </c>
      <c r="J1820" s="1795">
        <v>45772.0</v>
      </c>
      <c r="K1820" s="488" t="s">
        <v>10449</v>
      </c>
      <c r="L1820" s="1793" t="s">
        <v>10439</v>
      </c>
      <c r="M1820" s="1793" t="s">
        <v>10440</v>
      </c>
      <c r="N1820" s="1793" t="s">
        <v>10441</v>
      </c>
      <c r="O1820" s="1796">
        <v>3.0</v>
      </c>
      <c r="P1820" s="1797" t="s">
        <v>10442</v>
      </c>
      <c r="Q1820" s="105" t="str">
        <f t="array" ref="Q1820"> if(iserror(MATCH(V1820, 'File Links'!C:C, 0)), "N/A", HYPERLINK(INDEX('File Links'!B:B, MATCH(P1820, 'File Links'!C:C, 0))))</f>
        <v>N/A</v>
      </c>
      <c r="R1820" s="1798" t="s">
        <v>10018</v>
      </c>
      <c r="S1820" s="1793" t="s">
        <v>10019</v>
      </c>
      <c r="T1820" s="1799"/>
      <c r="U1820" s="1818"/>
      <c r="V1820" s="488" t="s">
        <v>10020</v>
      </c>
      <c r="W1820" s="1626"/>
      <c r="X1820" s="46" t="str">
        <f t="array" ref="X1820"> if(iserror(MATCH(V1820, 'File Links'!C:C, 0)), "N/A", HYPERLINK(INDEX('File Links'!B:B, MATCH(V1820, 'File Links'!C:C, 0))))</f>
        <v>N/A</v>
      </c>
      <c r="Y1820" s="1624"/>
      <c r="Z1820" s="488" t="s">
        <v>2072</v>
      </c>
      <c r="AA1820" s="1793" t="s">
        <v>10021</v>
      </c>
      <c r="AB1820" s="488" t="s">
        <v>10443</v>
      </c>
      <c r="AC1820" s="488" t="s">
        <v>10450</v>
      </c>
      <c r="AD1820" s="488" t="s">
        <v>10451</v>
      </c>
      <c r="AE1820" s="488" t="s">
        <v>620</v>
      </c>
      <c r="AF1820" s="1800">
        <v>77.0</v>
      </c>
      <c r="AG1820" s="1800">
        <v>0.06</v>
      </c>
      <c r="AH1820" s="488" t="s">
        <v>867</v>
      </c>
      <c r="AI1820" s="488" t="s">
        <v>10452</v>
      </c>
      <c r="AJ1820" s="1800">
        <v>0.05</v>
      </c>
      <c r="AK1820" s="488" t="s">
        <v>128</v>
      </c>
      <c r="AL1820" s="488" t="s">
        <v>179</v>
      </c>
      <c r="AM1820" s="1793" t="s">
        <v>130</v>
      </c>
      <c r="AN1820" s="1793" t="s">
        <v>131</v>
      </c>
      <c r="AO1820" s="1800">
        <v>823.0</v>
      </c>
      <c r="AP1820" s="1800">
        <v>0.057</v>
      </c>
      <c r="AQ1820" s="488" t="s">
        <v>867</v>
      </c>
      <c r="AR1820" s="488" t="s">
        <v>10453</v>
      </c>
      <c r="AS1820" s="1800">
        <v>0.001</v>
      </c>
      <c r="AT1820" s="488" t="s">
        <v>128</v>
      </c>
      <c r="AU1820" s="488" t="s">
        <v>179</v>
      </c>
      <c r="AV1820" s="1793" t="s">
        <v>130</v>
      </c>
      <c r="AW1820" s="1801" t="s">
        <v>10028</v>
      </c>
      <c r="AX1820" s="1793" t="s">
        <v>136</v>
      </c>
      <c r="AY1820" s="1120"/>
      <c r="AZ1820" s="1623" t="s">
        <v>7909</v>
      </c>
    </row>
    <row r="1821">
      <c r="A1821" s="41">
        <v>1821.0</v>
      </c>
      <c r="B1821" s="1793" t="s">
        <v>107</v>
      </c>
      <c r="C1821" s="1623" t="s">
        <v>108</v>
      </c>
      <c r="D1821" s="1623" t="s">
        <v>241</v>
      </c>
      <c r="E1821" s="1120"/>
      <c r="F1821" s="1793" t="s">
        <v>10437</v>
      </c>
      <c r="G1821" s="1793" t="s">
        <v>10454</v>
      </c>
      <c r="H1821" s="488" t="s">
        <v>242</v>
      </c>
      <c r="I1821" s="1794">
        <v>45755.0</v>
      </c>
      <c r="J1821" s="1795">
        <v>45772.0</v>
      </c>
      <c r="K1821" s="488" t="s">
        <v>10455</v>
      </c>
      <c r="L1821" s="1793" t="s">
        <v>10439</v>
      </c>
      <c r="M1821" s="1793" t="s">
        <v>10440</v>
      </c>
      <c r="N1821" s="1793" t="s">
        <v>10441</v>
      </c>
      <c r="O1821" s="1796">
        <v>3.0</v>
      </c>
      <c r="P1821" s="1797" t="s">
        <v>10442</v>
      </c>
      <c r="Q1821" s="105" t="str">
        <f t="array" ref="Q1821"> if(iserror(MATCH(V1821, 'File Links'!C:C, 0)), "N/A", HYPERLINK(INDEX('File Links'!B:B, MATCH(P1821, 'File Links'!C:C, 0))))</f>
        <v>N/A</v>
      </c>
      <c r="R1821" s="1798" t="s">
        <v>10018</v>
      </c>
      <c r="S1821" s="1793" t="s">
        <v>10019</v>
      </c>
      <c r="T1821" s="1799"/>
      <c r="U1821" s="1818"/>
      <c r="V1821" s="488" t="s">
        <v>10020</v>
      </c>
      <c r="W1821" s="1626"/>
      <c r="X1821" s="46" t="str">
        <f t="array" ref="X1821"> if(iserror(MATCH(V1821, 'File Links'!C:C, 0)), "N/A", HYPERLINK(INDEX('File Links'!B:B, MATCH(V1821, 'File Links'!C:C, 0))))</f>
        <v>N/A</v>
      </c>
      <c r="Y1821" s="1624"/>
      <c r="Z1821" s="488" t="s">
        <v>2072</v>
      </c>
      <c r="AA1821" s="1793" t="s">
        <v>10021</v>
      </c>
      <c r="AB1821" s="488" t="s">
        <v>10443</v>
      </c>
      <c r="AC1821" s="488" t="s">
        <v>10456</v>
      </c>
      <c r="AD1821" s="488" t="s">
        <v>10457</v>
      </c>
      <c r="AE1821" s="488" t="s">
        <v>175</v>
      </c>
      <c r="AF1821" s="1800">
        <v>77.0</v>
      </c>
      <c r="AG1821" s="1800">
        <v>0.09</v>
      </c>
      <c r="AH1821" s="488" t="s">
        <v>867</v>
      </c>
      <c r="AI1821" s="488" t="s">
        <v>10458</v>
      </c>
      <c r="AJ1821" s="1800">
        <v>0.01</v>
      </c>
      <c r="AK1821" s="488" t="s">
        <v>128</v>
      </c>
      <c r="AL1821" s="488" t="s">
        <v>179</v>
      </c>
      <c r="AM1821" s="1793" t="s">
        <v>130</v>
      </c>
      <c r="AN1821" s="1793" t="s">
        <v>131</v>
      </c>
      <c r="AO1821" s="1800">
        <v>823.0</v>
      </c>
      <c r="AP1821" s="1800">
        <v>0.033</v>
      </c>
      <c r="AQ1821" s="488" t="s">
        <v>867</v>
      </c>
      <c r="AR1821" s="488" t="s">
        <v>10459</v>
      </c>
      <c r="AS1821" s="1800">
        <v>0.001</v>
      </c>
      <c r="AT1821" s="488" t="s">
        <v>128</v>
      </c>
      <c r="AU1821" s="488" t="s">
        <v>179</v>
      </c>
      <c r="AV1821" s="1793" t="s">
        <v>130</v>
      </c>
      <c r="AW1821" s="1801" t="s">
        <v>10028</v>
      </c>
      <c r="AX1821" s="1793" t="s">
        <v>136</v>
      </c>
      <c r="AY1821" s="1120"/>
      <c r="AZ1821" s="1623" t="s">
        <v>7909</v>
      </c>
    </row>
    <row r="1822">
      <c r="A1822" s="41">
        <v>1822.0</v>
      </c>
      <c r="B1822" s="53" t="s">
        <v>145</v>
      </c>
      <c r="C1822" s="338" t="s">
        <v>108</v>
      </c>
      <c r="D1822" s="338" t="s">
        <v>138</v>
      </c>
      <c r="E1822" s="339"/>
      <c r="F1822" s="53" t="s">
        <v>10437</v>
      </c>
      <c r="G1822" s="53" t="s">
        <v>10460</v>
      </c>
      <c r="H1822" s="340" t="s">
        <v>10089</v>
      </c>
      <c r="I1822" s="342">
        <v>45758.0</v>
      </c>
      <c r="J1822" s="1579">
        <v>45772.0</v>
      </c>
      <c r="K1822" s="357"/>
      <c r="L1822" s="53" t="s">
        <v>10461</v>
      </c>
      <c r="M1822" s="53" t="s">
        <v>10440</v>
      </c>
      <c r="N1822" s="53" t="s">
        <v>10441</v>
      </c>
      <c r="O1822" s="52">
        <v>3.0</v>
      </c>
      <c r="P1822" s="1688" t="s">
        <v>10442</v>
      </c>
      <c r="Q1822" s="105" t="str">
        <f t="array" ref="Q1822"> if(iserror(MATCH(V1822, 'File Links'!C:C, 0)), "N/A", HYPERLINK(INDEX('File Links'!B:B, MATCH(P1822, 'File Links'!C:C, 0))))</f>
        <v>N/A</v>
      </c>
      <c r="R1822" s="1689" t="s">
        <v>10018</v>
      </c>
      <c r="S1822" s="53" t="s">
        <v>10019</v>
      </c>
      <c r="T1822" s="1791"/>
      <c r="U1822" s="382"/>
      <c r="V1822" s="340" t="s">
        <v>10020</v>
      </c>
      <c r="W1822" s="357"/>
      <c r="X1822" s="46" t="str">
        <f t="array" ref="X1822"> if(iserror(MATCH(V1822, 'File Links'!C:C, 0)), "N/A", HYPERLINK(INDEX('File Links'!B:B, MATCH(V1822, 'File Links'!C:C, 0))))</f>
        <v>N/A</v>
      </c>
      <c r="Y1822" s="43"/>
      <c r="Z1822" s="340" t="s">
        <v>2072</v>
      </c>
      <c r="AA1822" s="368" t="s">
        <v>10021</v>
      </c>
      <c r="AB1822" s="340" t="s">
        <v>10462</v>
      </c>
      <c r="AC1822" s="340" t="s">
        <v>10463</v>
      </c>
      <c r="AD1822" s="340" t="s">
        <v>10464</v>
      </c>
      <c r="AE1822" s="340" t="s">
        <v>10465</v>
      </c>
      <c r="AF1822" s="344">
        <v>77.0</v>
      </c>
      <c r="AG1822" s="344" t="s">
        <v>10466</v>
      </c>
      <c r="AH1822" s="340" t="s">
        <v>127</v>
      </c>
      <c r="AI1822" s="340" t="s">
        <v>620</v>
      </c>
      <c r="AJ1822" s="344">
        <v>0.01</v>
      </c>
      <c r="AK1822" s="340" t="s">
        <v>128</v>
      </c>
      <c r="AL1822" s="340" t="s">
        <v>179</v>
      </c>
      <c r="AM1822" s="53" t="s">
        <v>130</v>
      </c>
      <c r="AN1822" s="53" t="s">
        <v>1528</v>
      </c>
      <c r="AO1822" s="344">
        <v>823.0</v>
      </c>
      <c r="AP1822" s="344">
        <v>0.011</v>
      </c>
      <c r="AQ1822" s="340" t="s">
        <v>208</v>
      </c>
      <c r="AR1822" s="340" t="s">
        <v>10414</v>
      </c>
      <c r="AS1822" s="344">
        <v>0.758</v>
      </c>
      <c r="AT1822" s="340" t="s">
        <v>165</v>
      </c>
      <c r="AU1822" s="340" t="s">
        <v>179</v>
      </c>
      <c r="AV1822" s="53" t="s">
        <v>130</v>
      </c>
      <c r="AW1822" s="1691" t="s">
        <v>10028</v>
      </c>
      <c r="AX1822" s="53" t="s">
        <v>136</v>
      </c>
      <c r="AY1822" s="339"/>
      <c r="AZ1822" s="1774" t="s">
        <v>7909</v>
      </c>
    </row>
    <row r="1823">
      <c r="A1823" s="41">
        <v>1823.0</v>
      </c>
      <c r="B1823" s="126" t="s">
        <v>145</v>
      </c>
      <c r="C1823" s="59" t="s">
        <v>108</v>
      </c>
      <c r="D1823" s="59" t="s">
        <v>138</v>
      </c>
      <c r="F1823" s="126" t="s">
        <v>10467</v>
      </c>
      <c r="G1823" s="126" t="s">
        <v>10448</v>
      </c>
      <c r="H1823" s="148" t="s">
        <v>10089</v>
      </c>
      <c r="I1823" s="150">
        <v>45758.0</v>
      </c>
      <c r="J1823" s="1778">
        <v>45772.0</v>
      </c>
      <c r="K1823" s="156"/>
      <c r="L1823" s="126" t="s">
        <v>10468</v>
      </c>
      <c r="M1823" s="126" t="s">
        <v>10440</v>
      </c>
      <c r="N1823" s="126" t="s">
        <v>10441</v>
      </c>
      <c r="O1823" s="498">
        <v>3.0</v>
      </c>
      <c r="P1823" s="525" t="s">
        <v>10442</v>
      </c>
      <c r="Q1823" s="105" t="str">
        <f t="array" ref="Q1823"> if(iserror(MATCH(V1823, 'File Links'!C:C, 0)), "N/A", HYPERLINK(INDEX('File Links'!B:B, MATCH(P1823, 'File Links'!C:C, 0))))</f>
        <v>N/A</v>
      </c>
      <c r="R1823" s="1689" t="s">
        <v>10018</v>
      </c>
      <c r="S1823" s="126" t="s">
        <v>10019</v>
      </c>
      <c r="T1823" s="1371"/>
      <c r="U1823" s="333"/>
      <c r="V1823" s="148" t="s">
        <v>10020</v>
      </c>
      <c r="W1823" s="156"/>
      <c r="X1823" s="46" t="str">
        <f t="array" ref="X1823"> if(iserror(MATCH(V1823, 'File Links'!C:C, 0)), "N/A", HYPERLINK(INDEX('File Links'!B:B, MATCH(V1823, 'File Links'!C:C, 0))))</f>
        <v>N/A</v>
      </c>
      <c r="Y1823" s="65"/>
      <c r="Z1823" s="148" t="s">
        <v>2072</v>
      </c>
      <c r="AA1823" s="368" t="s">
        <v>10021</v>
      </c>
      <c r="AB1823" s="148" t="s">
        <v>10462</v>
      </c>
      <c r="AC1823" s="148" t="s">
        <v>10469</v>
      </c>
      <c r="AD1823" s="148" t="s">
        <v>10470</v>
      </c>
      <c r="AE1823" s="148" t="s">
        <v>10471</v>
      </c>
      <c r="AF1823" s="158">
        <v>77.0</v>
      </c>
      <c r="AG1823" s="158" t="s">
        <v>10472</v>
      </c>
      <c r="AH1823" s="148" t="s">
        <v>127</v>
      </c>
      <c r="AI1823" s="148" t="s">
        <v>620</v>
      </c>
      <c r="AJ1823" s="158">
        <v>0.05</v>
      </c>
      <c r="AK1823" s="148" t="s">
        <v>128</v>
      </c>
      <c r="AL1823" s="148" t="s">
        <v>179</v>
      </c>
      <c r="AM1823" s="126" t="s">
        <v>130</v>
      </c>
      <c r="AN1823" s="126" t="s">
        <v>1528</v>
      </c>
      <c r="AO1823" s="158">
        <v>823.0</v>
      </c>
      <c r="AP1823" s="158">
        <v>0.238</v>
      </c>
      <c r="AQ1823" s="148" t="s">
        <v>208</v>
      </c>
      <c r="AR1823" s="148" t="s">
        <v>10414</v>
      </c>
      <c r="AS1823" s="158">
        <v>0.001</v>
      </c>
      <c r="AT1823" s="148" t="s">
        <v>128</v>
      </c>
      <c r="AU1823" s="148" t="s">
        <v>179</v>
      </c>
      <c r="AV1823" s="126" t="s">
        <v>130</v>
      </c>
      <c r="AW1823" s="1790" t="s">
        <v>10028</v>
      </c>
      <c r="AX1823" s="126" t="s">
        <v>136</v>
      </c>
      <c r="AZ1823" s="1774" t="s">
        <v>7909</v>
      </c>
    </row>
    <row r="1824">
      <c r="A1824" s="41">
        <v>1824.0</v>
      </c>
      <c r="B1824" s="126" t="s">
        <v>145</v>
      </c>
      <c r="C1824" s="59" t="s">
        <v>108</v>
      </c>
      <c r="D1824" s="59" t="s">
        <v>138</v>
      </c>
      <c r="F1824" s="126" t="s">
        <v>10473</v>
      </c>
      <c r="G1824" s="126" t="s">
        <v>10454</v>
      </c>
      <c r="H1824" s="148" t="s">
        <v>10089</v>
      </c>
      <c r="I1824" s="150">
        <v>45758.0</v>
      </c>
      <c r="J1824" s="1778">
        <v>45772.0</v>
      </c>
      <c r="K1824" s="156"/>
      <c r="L1824" s="126" t="s">
        <v>10461</v>
      </c>
      <c r="M1824" s="126" t="s">
        <v>10440</v>
      </c>
      <c r="N1824" s="126" t="s">
        <v>10441</v>
      </c>
      <c r="O1824" s="498">
        <v>3.0</v>
      </c>
      <c r="P1824" s="525" t="s">
        <v>10442</v>
      </c>
      <c r="Q1824" s="105" t="str">
        <f t="array" ref="Q1824"> if(iserror(MATCH(V1824, 'File Links'!C:C, 0)), "N/A", HYPERLINK(INDEX('File Links'!B:B, MATCH(P1824, 'File Links'!C:C, 0))))</f>
        <v>N/A</v>
      </c>
      <c r="R1824" s="1689" t="s">
        <v>10018</v>
      </c>
      <c r="S1824" s="126" t="s">
        <v>10019</v>
      </c>
      <c r="T1824" s="1371"/>
      <c r="U1824" s="333"/>
      <c r="V1824" s="148" t="s">
        <v>10020</v>
      </c>
      <c r="W1824" s="156"/>
      <c r="X1824" s="46" t="str">
        <f t="array" ref="X1824"> if(iserror(MATCH(V1824, 'File Links'!C:C, 0)), "N/A", HYPERLINK(INDEX('File Links'!B:B, MATCH(V1824, 'File Links'!C:C, 0))))</f>
        <v>N/A</v>
      </c>
      <c r="Y1824" s="65"/>
      <c r="Z1824" s="148" t="s">
        <v>2072</v>
      </c>
      <c r="AA1824" s="368" t="s">
        <v>10021</v>
      </c>
      <c r="AB1824" s="148" t="s">
        <v>10462</v>
      </c>
      <c r="AC1824" s="148" t="s">
        <v>10463</v>
      </c>
      <c r="AD1824" s="148" t="s">
        <v>10474</v>
      </c>
      <c r="AE1824" s="148" t="s">
        <v>10475</v>
      </c>
      <c r="AF1824" s="158">
        <v>77.0</v>
      </c>
      <c r="AG1824" s="158" t="s">
        <v>10476</v>
      </c>
      <c r="AH1824" s="148" t="s">
        <v>127</v>
      </c>
      <c r="AI1824" s="148" t="s">
        <v>175</v>
      </c>
      <c r="AJ1824" s="158">
        <v>0.01</v>
      </c>
      <c r="AK1824" s="148" t="s">
        <v>128</v>
      </c>
      <c r="AL1824" s="148" t="s">
        <v>179</v>
      </c>
      <c r="AM1824" s="126" t="s">
        <v>130</v>
      </c>
      <c r="AN1824" s="126" t="s">
        <v>1528</v>
      </c>
      <c r="AO1824" s="158">
        <v>823.0</v>
      </c>
      <c r="AP1824" s="158">
        <v>0.18</v>
      </c>
      <c r="AQ1824" s="148" t="s">
        <v>208</v>
      </c>
      <c r="AR1824" s="148" t="s">
        <v>10414</v>
      </c>
      <c r="AS1824" s="158">
        <v>0.001</v>
      </c>
      <c r="AT1824" s="148" t="s">
        <v>128</v>
      </c>
      <c r="AU1824" s="148" t="s">
        <v>179</v>
      </c>
      <c r="AV1824" s="126" t="s">
        <v>130</v>
      </c>
      <c r="AW1824" s="1790" t="s">
        <v>10028</v>
      </c>
      <c r="AX1824" s="126" t="s">
        <v>136</v>
      </c>
      <c r="AZ1824" s="1774" t="s">
        <v>7909</v>
      </c>
    </row>
    <row r="1825">
      <c r="A1825" s="41">
        <v>1825.0</v>
      </c>
      <c r="B1825" s="1793" t="s">
        <v>107</v>
      </c>
      <c r="C1825" s="1623" t="s">
        <v>108</v>
      </c>
      <c r="D1825" s="1623" t="s">
        <v>241</v>
      </c>
      <c r="E1825" s="1120"/>
      <c r="F1825" s="1793" t="s">
        <v>10477</v>
      </c>
      <c r="G1825" s="1793" t="s">
        <v>10478</v>
      </c>
      <c r="H1825" s="488" t="s">
        <v>242</v>
      </c>
      <c r="I1825" s="1794">
        <v>45755.0</v>
      </c>
      <c r="J1825" s="1795">
        <v>45772.0</v>
      </c>
      <c r="K1825" s="488" t="s">
        <v>10479</v>
      </c>
      <c r="L1825" s="1793" t="s">
        <v>10480</v>
      </c>
      <c r="M1825" s="1793" t="s">
        <v>10481</v>
      </c>
      <c r="N1825" s="1793" t="s">
        <v>10482</v>
      </c>
      <c r="O1825" s="1796" t="s">
        <v>5504</v>
      </c>
      <c r="P1825" s="1797" t="s">
        <v>10483</v>
      </c>
      <c r="Q1825" s="105" t="str">
        <f t="array" ref="Q1825"> if(iserror(MATCH(V1825, 'File Links'!C:C, 0)), "N/A", HYPERLINK(INDEX('File Links'!B:B, MATCH(P1825, 'File Links'!C:C, 0))))</f>
        <v>N/A</v>
      </c>
      <c r="R1825" s="1798" t="s">
        <v>10018</v>
      </c>
      <c r="S1825" s="1793" t="s">
        <v>10019</v>
      </c>
      <c r="T1825" s="1799"/>
      <c r="U1825" s="1818"/>
      <c r="V1825" s="488" t="s">
        <v>10020</v>
      </c>
      <c r="W1825" s="1626"/>
      <c r="X1825" s="46" t="str">
        <f t="array" ref="X1825"> if(iserror(MATCH(V1825, 'File Links'!C:C, 0)), "N/A", HYPERLINK(INDEX('File Links'!B:B, MATCH(V1825, 'File Links'!C:C, 0))))</f>
        <v>N/A</v>
      </c>
      <c r="Y1825" s="1624"/>
      <c r="Z1825" s="488" t="s">
        <v>2072</v>
      </c>
      <c r="AA1825" s="1793" t="s">
        <v>10021</v>
      </c>
      <c r="AB1825" s="488" t="s">
        <v>10443</v>
      </c>
      <c r="AC1825" s="488" t="s">
        <v>10484</v>
      </c>
      <c r="AD1825" s="488" t="s">
        <v>10485</v>
      </c>
      <c r="AE1825" s="488" t="s">
        <v>597</v>
      </c>
      <c r="AF1825" s="1800">
        <v>93.0</v>
      </c>
      <c r="AG1825" s="1800" t="s">
        <v>10486</v>
      </c>
      <c r="AH1825" s="488" t="s">
        <v>127</v>
      </c>
      <c r="AI1825" s="488" t="s">
        <v>10487</v>
      </c>
      <c r="AJ1825" s="1800">
        <v>0.05</v>
      </c>
      <c r="AK1825" s="488" t="s">
        <v>128</v>
      </c>
      <c r="AL1825" s="488" t="s">
        <v>179</v>
      </c>
      <c r="AM1825" s="1793" t="s">
        <v>130</v>
      </c>
      <c r="AN1825" s="1793" t="s">
        <v>131</v>
      </c>
      <c r="AO1825" s="1800">
        <v>823.0</v>
      </c>
      <c r="AP1825" s="1800" t="s">
        <v>10488</v>
      </c>
      <c r="AQ1825" s="488" t="s">
        <v>127</v>
      </c>
      <c r="AR1825" s="488" t="s">
        <v>10489</v>
      </c>
      <c r="AS1825" s="1800">
        <v>0.763</v>
      </c>
      <c r="AT1825" s="488" t="s">
        <v>165</v>
      </c>
      <c r="AU1825" s="488" t="s">
        <v>179</v>
      </c>
      <c r="AV1825" s="1793" t="s">
        <v>130</v>
      </c>
      <c r="AW1825" s="1801" t="s">
        <v>10028</v>
      </c>
      <c r="AX1825" s="1793" t="s">
        <v>136</v>
      </c>
      <c r="AY1825" s="1120"/>
      <c r="AZ1825" s="1623" t="s">
        <v>7909</v>
      </c>
    </row>
    <row r="1826">
      <c r="A1826" s="41">
        <v>1826.0</v>
      </c>
      <c r="B1826" s="53" t="s">
        <v>145</v>
      </c>
      <c r="C1826" s="338" t="s">
        <v>108</v>
      </c>
      <c r="D1826" s="338" t="s">
        <v>138</v>
      </c>
      <c r="E1826" s="339"/>
      <c r="F1826" s="53" t="s">
        <v>10477</v>
      </c>
      <c r="G1826" s="53" t="s">
        <v>10478</v>
      </c>
      <c r="H1826" s="340" t="s">
        <v>10089</v>
      </c>
      <c r="I1826" s="342">
        <v>45758.0</v>
      </c>
      <c r="J1826" s="1579">
        <v>45772.0</v>
      </c>
      <c r="K1826" s="357"/>
      <c r="L1826" s="53" t="s">
        <v>10134</v>
      </c>
      <c r="M1826" s="53" t="s">
        <v>10481</v>
      </c>
      <c r="N1826" s="53" t="s">
        <v>10482</v>
      </c>
      <c r="O1826" s="52" t="s">
        <v>5504</v>
      </c>
      <c r="P1826" s="1688" t="s">
        <v>10483</v>
      </c>
      <c r="Q1826" s="105" t="str">
        <f t="array" ref="Q1826"> if(iserror(MATCH(V1826, 'File Links'!C:C, 0)), "N/A", HYPERLINK(INDEX('File Links'!B:B, MATCH(P1826, 'File Links'!C:C, 0))))</f>
        <v>N/A</v>
      </c>
      <c r="R1826" s="1689" t="s">
        <v>10018</v>
      </c>
      <c r="S1826" s="53" t="s">
        <v>10019</v>
      </c>
      <c r="T1826" s="1791"/>
      <c r="U1826" s="382"/>
      <c r="V1826" s="340" t="s">
        <v>10020</v>
      </c>
      <c r="W1826" s="357"/>
      <c r="X1826" s="46" t="str">
        <f t="array" ref="X1826"> if(iserror(MATCH(V1826, 'File Links'!C:C, 0)), "N/A", HYPERLINK(INDEX('File Links'!B:B, MATCH(V1826, 'File Links'!C:C, 0))))</f>
        <v>N/A</v>
      </c>
      <c r="Y1826" s="43"/>
      <c r="Z1826" s="340" t="s">
        <v>2072</v>
      </c>
      <c r="AA1826" s="368" t="s">
        <v>10021</v>
      </c>
      <c r="AB1826" s="340" t="s">
        <v>10490</v>
      </c>
      <c r="AC1826" s="340" t="s">
        <v>10484</v>
      </c>
      <c r="AD1826" s="340" t="s">
        <v>10491</v>
      </c>
      <c r="AE1826" s="340">
        <v>8.0</v>
      </c>
      <c r="AF1826" s="344">
        <v>93.0</v>
      </c>
      <c r="AG1826" s="344" t="s">
        <v>10492</v>
      </c>
      <c r="AH1826" s="340" t="s">
        <v>127</v>
      </c>
      <c r="AI1826" s="340" t="s">
        <v>606</v>
      </c>
      <c r="AJ1826" s="344">
        <v>0.05</v>
      </c>
      <c r="AK1826" s="340" t="s">
        <v>128</v>
      </c>
      <c r="AL1826" s="340" t="s">
        <v>179</v>
      </c>
      <c r="AM1826" s="53" t="s">
        <v>130</v>
      </c>
      <c r="AN1826" s="53" t="s">
        <v>1528</v>
      </c>
      <c r="AO1826" s="344">
        <v>823.0</v>
      </c>
      <c r="AP1826" s="344">
        <v>-0.011</v>
      </c>
      <c r="AQ1826" s="340" t="s">
        <v>208</v>
      </c>
      <c r="AR1826" s="340" t="s">
        <v>10414</v>
      </c>
      <c r="AS1826" s="344">
        <v>0.763</v>
      </c>
      <c r="AT1826" s="340" t="s">
        <v>165</v>
      </c>
      <c r="AU1826" s="340" t="s">
        <v>179</v>
      </c>
      <c r="AV1826" s="53" t="s">
        <v>130</v>
      </c>
      <c r="AW1826" s="1691" t="s">
        <v>10028</v>
      </c>
      <c r="AX1826" s="53" t="s">
        <v>136</v>
      </c>
      <c r="AY1826" s="339"/>
      <c r="AZ1826" s="338" t="s">
        <v>7909</v>
      </c>
    </row>
    <row r="1827">
      <c r="A1827" s="41">
        <v>1827.0</v>
      </c>
      <c r="B1827" s="53" t="s">
        <v>107</v>
      </c>
      <c r="C1827" s="338" t="s">
        <v>108</v>
      </c>
      <c r="D1827" s="338" t="s">
        <v>241</v>
      </c>
      <c r="E1827" s="339"/>
      <c r="F1827" s="53" t="s">
        <v>10493</v>
      </c>
      <c r="G1827" s="53" t="s">
        <v>10493</v>
      </c>
      <c r="H1827" s="340" t="s">
        <v>242</v>
      </c>
      <c r="I1827" s="342">
        <v>45755.0</v>
      </c>
      <c r="J1827" s="1579">
        <v>45772.0</v>
      </c>
      <c r="K1827" s="340" t="s">
        <v>10494</v>
      </c>
      <c r="L1827" s="53" t="s">
        <v>10495</v>
      </c>
      <c r="M1827" s="53" t="s">
        <v>10496</v>
      </c>
      <c r="N1827" s="53" t="s">
        <v>10497</v>
      </c>
      <c r="O1827" s="52">
        <v>1.0</v>
      </c>
      <c r="P1827" s="1688" t="s">
        <v>10498</v>
      </c>
      <c r="Q1827" s="105" t="str">
        <f t="array" ref="Q1827"> if(iserror(MATCH(V1827, 'File Links'!C:C, 0)), "N/A", HYPERLINK(INDEX('File Links'!B:B, MATCH(P1827, 'File Links'!C:C, 0))))</f>
        <v>N/A</v>
      </c>
      <c r="R1827" s="1689" t="s">
        <v>10018</v>
      </c>
      <c r="S1827" s="53" t="s">
        <v>10019</v>
      </c>
      <c r="T1827" s="1791"/>
      <c r="U1827" s="382"/>
      <c r="V1827" s="340" t="s">
        <v>10020</v>
      </c>
      <c r="W1827" s="357"/>
      <c r="X1827" s="46" t="str">
        <f t="array" ref="X1827"> if(iserror(MATCH(V1827, 'File Links'!C:C, 0)), "N/A", HYPERLINK(INDEX('File Links'!B:B, MATCH(V1827, 'File Links'!C:C, 0))))</f>
        <v>N/A</v>
      </c>
      <c r="Y1827" s="43"/>
      <c r="Z1827" s="340" t="s">
        <v>2072</v>
      </c>
      <c r="AA1827" s="53" t="s">
        <v>10021</v>
      </c>
      <c r="AB1827" s="340" t="s">
        <v>10499</v>
      </c>
      <c r="AC1827" s="340" t="s">
        <v>10500</v>
      </c>
      <c r="AD1827" s="340" t="s">
        <v>10501</v>
      </c>
      <c r="AE1827" s="340" t="s">
        <v>5675</v>
      </c>
      <c r="AF1827" s="344">
        <v>126.0</v>
      </c>
      <c r="AG1827" s="344" t="s">
        <v>10502</v>
      </c>
      <c r="AH1827" s="340" t="s">
        <v>127</v>
      </c>
      <c r="AI1827" s="340" t="s">
        <v>489</v>
      </c>
      <c r="AJ1827" s="344">
        <v>0.05</v>
      </c>
      <c r="AK1827" s="340" t="s">
        <v>128</v>
      </c>
      <c r="AL1827" s="340" t="s">
        <v>179</v>
      </c>
      <c r="AM1827" s="53" t="s">
        <v>130</v>
      </c>
      <c r="AN1827" s="53" t="s">
        <v>131</v>
      </c>
      <c r="AO1827" s="344">
        <v>823.0</v>
      </c>
      <c r="AP1827" s="344">
        <v>0.009</v>
      </c>
      <c r="AQ1827" s="340" t="s">
        <v>867</v>
      </c>
      <c r="AR1827" s="340" t="s">
        <v>10503</v>
      </c>
      <c r="AS1827" s="344">
        <v>0.006</v>
      </c>
      <c r="AT1827" s="340" t="s">
        <v>165</v>
      </c>
      <c r="AU1827" s="340" t="s">
        <v>179</v>
      </c>
      <c r="AV1827" s="53" t="s">
        <v>130</v>
      </c>
      <c r="AW1827" s="1691" t="s">
        <v>10028</v>
      </c>
      <c r="AX1827" s="53" t="s">
        <v>136</v>
      </c>
      <c r="AY1827" s="339"/>
      <c r="AZ1827" s="338" t="s">
        <v>7909</v>
      </c>
    </row>
    <row r="1828">
      <c r="A1828" s="41">
        <v>1828.0</v>
      </c>
      <c r="B1828" s="126" t="s">
        <v>107</v>
      </c>
      <c r="C1828" s="59" t="s">
        <v>108</v>
      </c>
      <c r="D1828" s="59" t="s">
        <v>241</v>
      </c>
      <c r="F1828" s="126" t="s">
        <v>10493</v>
      </c>
      <c r="G1828" s="126" t="s">
        <v>10504</v>
      </c>
      <c r="H1828" s="148" t="s">
        <v>242</v>
      </c>
      <c r="I1828" s="150">
        <v>45755.0</v>
      </c>
      <c r="J1828" s="1795">
        <v>45772.0</v>
      </c>
      <c r="K1828" s="148" t="s">
        <v>10505</v>
      </c>
      <c r="L1828" s="53" t="s">
        <v>10495</v>
      </c>
      <c r="M1828" s="126" t="s">
        <v>10496</v>
      </c>
      <c r="N1828" s="126" t="s">
        <v>10497</v>
      </c>
      <c r="O1828" s="498">
        <v>1.0</v>
      </c>
      <c r="P1828" s="525" t="s">
        <v>10498</v>
      </c>
      <c r="Q1828" s="105" t="str">
        <f t="array" ref="Q1828"> if(iserror(MATCH(V1828, 'File Links'!C:C, 0)), "N/A", HYPERLINK(INDEX('File Links'!B:B, MATCH(P1828, 'File Links'!C:C, 0))))</f>
        <v>N/A</v>
      </c>
      <c r="R1828" s="1689" t="s">
        <v>10018</v>
      </c>
      <c r="S1828" s="126" t="s">
        <v>10019</v>
      </c>
      <c r="T1828" s="1371"/>
      <c r="U1828" s="333"/>
      <c r="V1828" s="148" t="s">
        <v>10020</v>
      </c>
      <c r="W1828" s="156"/>
      <c r="X1828" s="46" t="str">
        <f t="array" ref="X1828"> if(iserror(MATCH(V1828, 'File Links'!C:C, 0)), "N/A", HYPERLINK(INDEX('File Links'!B:B, MATCH(V1828, 'File Links'!C:C, 0))))</f>
        <v>N/A</v>
      </c>
      <c r="Y1828" s="65"/>
      <c r="Z1828" s="148" t="s">
        <v>2072</v>
      </c>
      <c r="AA1828" s="368" t="s">
        <v>10021</v>
      </c>
      <c r="AB1828" s="148" t="s">
        <v>10499</v>
      </c>
      <c r="AC1828" s="148" t="s">
        <v>10506</v>
      </c>
      <c r="AD1828" s="148" t="s">
        <v>10507</v>
      </c>
      <c r="AE1828" s="148" t="s">
        <v>5675</v>
      </c>
      <c r="AF1828" s="158">
        <v>126.0</v>
      </c>
      <c r="AG1828" s="158" t="s">
        <v>10508</v>
      </c>
      <c r="AH1828" s="148" t="s">
        <v>127</v>
      </c>
      <c r="AI1828" s="148" t="s">
        <v>489</v>
      </c>
      <c r="AJ1828" s="158">
        <v>0.05</v>
      </c>
      <c r="AK1828" s="148" t="s">
        <v>128</v>
      </c>
      <c r="AL1828" s="148" t="s">
        <v>179</v>
      </c>
      <c r="AM1828" s="126" t="s">
        <v>130</v>
      </c>
      <c r="AN1828" s="126" t="s">
        <v>131</v>
      </c>
      <c r="AO1828" s="158">
        <v>823.0</v>
      </c>
      <c r="AP1828" s="158">
        <v>0.0</v>
      </c>
      <c r="AQ1828" s="148" t="s">
        <v>867</v>
      </c>
      <c r="AR1828" s="148" t="s">
        <v>10509</v>
      </c>
      <c r="AS1828" s="158">
        <v>0.731</v>
      </c>
      <c r="AT1828" s="148" t="s">
        <v>165</v>
      </c>
      <c r="AU1828" s="148" t="s">
        <v>179</v>
      </c>
      <c r="AV1828" s="126" t="s">
        <v>130</v>
      </c>
      <c r="AW1828" s="1801" t="s">
        <v>10028</v>
      </c>
      <c r="AX1828" s="126" t="s">
        <v>136</v>
      </c>
      <c r="AZ1828" s="1623" t="s">
        <v>7909</v>
      </c>
    </row>
    <row r="1829">
      <c r="A1829" s="41">
        <v>1829.0</v>
      </c>
      <c r="B1829" s="126" t="s">
        <v>107</v>
      </c>
      <c r="C1829" s="59" t="s">
        <v>108</v>
      </c>
      <c r="D1829" s="59" t="s">
        <v>241</v>
      </c>
      <c r="F1829" s="126" t="s">
        <v>10493</v>
      </c>
      <c r="G1829" s="126" t="s">
        <v>10510</v>
      </c>
      <c r="H1829" s="148" t="s">
        <v>242</v>
      </c>
      <c r="I1829" s="150">
        <v>45755.0</v>
      </c>
      <c r="J1829" s="1795">
        <v>45772.0</v>
      </c>
      <c r="K1829" s="148" t="s">
        <v>10511</v>
      </c>
      <c r="L1829" s="53" t="s">
        <v>10495</v>
      </c>
      <c r="M1829" s="126" t="s">
        <v>10496</v>
      </c>
      <c r="N1829" s="126" t="s">
        <v>10497</v>
      </c>
      <c r="O1829" s="498">
        <v>1.0</v>
      </c>
      <c r="P1829" s="525" t="s">
        <v>10498</v>
      </c>
      <c r="Q1829" s="105" t="str">
        <f t="array" ref="Q1829"> if(iserror(MATCH(V1829, 'File Links'!C:C, 0)), "N/A", HYPERLINK(INDEX('File Links'!B:B, MATCH(P1829, 'File Links'!C:C, 0))))</f>
        <v>N/A</v>
      </c>
      <c r="R1829" s="1689" t="s">
        <v>10018</v>
      </c>
      <c r="S1829" s="126" t="s">
        <v>10019</v>
      </c>
      <c r="T1829" s="1371"/>
      <c r="U1829" s="333"/>
      <c r="V1829" s="148" t="s">
        <v>10020</v>
      </c>
      <c r="W1829" s="156"/>
      <c r="X1829" s="46" t="str">
        <f t="array" ref="X1829"> if(iserror(MATCH(V1829, 'File Links'!C:C, 0)), "N/A", HYPERLINK(INDEX('File Links'!B:B, MATCH(V1829, 'File Links'!C:C, 0))))</f>
        <v>N/A</v>
      </c>
      <c r="Y1829" s="65"/>
      <c r="Z1829" s="148" t="s">
        <v>2072</v>
      </c>
      <c r="AA1829" s="368" t="s">
        <v>10021</v>
      </c>
      <c r="AB1829" s="148" t="s">
        <v>10499</v>
      </c>
      <c r="AC1829" s="148" t="s">
        <v>10512</v>
      </c>
      <c r="AD1829" s="148" t="s">
        <v>10513</v>
      </c>
      <c r="AE1829" s="148" t="s">
        <v>5675</v>
      </c>
      <c r="AF1829" s="158">
        <v>126.0</v>
      </c>
      <c r="AG1829" s="158" t="s">
        <v>10514</v>
      </c>
      <c r="AH1829" s="148" t="s">
        <v>127</v>
      </c>
      <c r="AI1829" s="148" t="s">
        <v>489</v>
      </c>
      <c r="AJ1829" s="158">
        <v>0.01</v>
      </c>
      <c r="AK1829" s="148" t="s">
        <v>128</v>
      </c>
      <c r="AL1829" s="148" t="s">
        <v>179</v>
      </c>
      <c r="AM1829" s="126" t="s">
        <v>130</v>
      </c>
      <c r="AN1829" s="126" t="s">
        <v>131</v>
      </c>
      <c r="AO1829" s="158">
        <v>823.0</v>
      </c>
      <c r="AP1829" s="158">
        <v>0.001</v>
      </c>
      <c r="AQ1829" s="148" t="s">
        <v>867</v>
      </c>
      <c r="AR1829" s="148" t="s">
        <v>10515</v>
      </c>
      <c r="AS1829" s="158">
        <v>0.305</v>
      </c>
      <c r="AT1829" s="148" t="s">
        <v>165</v>
      </c>
      <c r="AU1829" s="148" t="s">
        <v>179</v>
      </c>
      <c r="AV1829" s="126" t="s">
        <v>130</v>
      </c>
      <c r="AW1829" s="1801" t="s">
        <v>10028</v>
      </c>
      <c r="AX1829" s="126" t="s">
        <v>136</v>
      </c>
      <c r="AZ1829" s="1623" t="s">
        <v>7909</v>
      </c>
    </row>
    <row r="1830">
      <c r="A1830" s="41">
        <v>1830.0</v>
      </c>
      <c r="B1830" s="126" t="s">
        <v>107</v>
      </c>
      <c r="C1830" s="59" t="s">
        <v>108</v>
      </c>
      <c r="D1830" s="59" t="s">
        <v>241</v>
      </c>
      <c r="F1830" s="126" t="s">
        <v>10493</v>
      </c>
      <c r="G1830" s="126" t="s">
        <v>10516</v>
      </c>
      <c r="H1830" s="148" t="s">
        <v>242</v>
      </c>
      <c r="I1830" s="150">
        <v>45755.0</v>
      </c>
      <c r="J1830" s="1795">
        <v>45772.0</v>
      </c>
      <c r="K1830" s="148" t="s">
        <v>10517</v>
      </c>
      <c r="L1830" s="53" t="s">
        <v>10495</v>
      </c>
      <c r="M1830" s="126" t="s">
        <v>10496</v>
      </c>
      <c r="N1830" s="126" t="s">
        <v>10497</v>
      </c>
      <c r="O1830" s="498">
        <v>1.0</v>
      </c>
      <c r="P1830" s="525" t="s">
        <v>10498</v>
      </c>
      <c r="Q1830" s="105" t="str">
        <f t="array" ref="Q1830"> if(iserror(MATCH(V1830, 'File Links'!C:C, 0)), "N/A", HYPERLINK(INDEX('File Links'!B:B, MATCH(P1830, 'File Links'!C:C, 0))))</f>
        <v>N/A</v>
      </c>
      <c r="R1830" s="1689" t="s">
        <v>10018</v>
      </c>
      <c r="S1830" s="126" t="s">
        <v>10019</v>
      </c>
      <c r="T1830" s="1371"/>
      <c r="U1830" s="333"/>
      <c r="V1830" s="148" t="s">
        <v>10020</v>
      </c>
      <c r="W1830" s="156"/>
      <c r="X1830" s="46" t="str">
        <f t="array" ref="X1830"> if(iserror(MATCH(V1830, 'File Links'!C:C, 0)), "N/A", HYPERLINK(INDEX('File Links'!B:B, MATCH(V1830, 'File Links'!C:C, 0))))</f>
        <v>N/A</v>
      </c>
      <c r="Y1830" s="65"/>
      <c r="Z1830" s="148" t="s">
        <v>2072</v>
      </c>
      <c r="AA1830" s="368" t="s">
        <v>10021</v>
      </c>
      <c r="AB1830" s="148" t="s">
        <v>10499</v>
      </c>
      <c r="AC1830" s="148" t="s">
        <v>10518</v>
      </c>
      <c r="AD1830" s="148" t="s">
        <v>10519</v>
      </c>
      <c r="AE1830" s="148">
        <v>5.0</v>
      </c>
      <c r="AF1830" s="158">
        <v>126.0</v>
      </c>
      <c r="AG1830" s="158" t="s">
        <v>10520</v>
      </c>
      <c r="AH1830" s="148" t="s">
        <v>127</v>
      </c>
      <c r="AI1830" s="148" t="s">
        <v>875</v>
      </c>
      <c r="AJ1830" s="158">
        <v>0.01</v>
      </c>
      <c r="AK1830" s="148" t="s">
        <v>128</v>
      </c>
      <c r="AL1830" s="148" t="s">
        <v>179</v>
      </c>
      <c r="AM1830" s="126" t="s">
        <v>130</v>
      </c>
      <c r="AN1830" s="126" t="s">
        <v>131</v>
      </c>
      <c r="AO1830" s="158">
        <v>823.0</v>
      </c>
      <c r="AP1830" s="158">
        <v>0.0</v>
      </c>
      <c r="AQ1830" s="148" t="s">
        <v>867</v>
      </c>
      <c r="AR1830" s="148" t="s">
        <v>10521</v>
      </c>
      <c r="AS1830" s="158">
        <v>0.736</v>
      </c>
      <c r="AT1830" s="148" t="s">
        <v>165</v>
      </c>
      <c r="AU1830" s="148" t="s">
        <v>179</v>
      </c>
      <c r="AV1830" s="126" t="s">
        <v>130</v>
      </c>
      <c r="AW1830" s="1801" t="s">
        <v>10028</v>
      </c>
      <c r="AX1830" s="126" t="s">
        <v>136</v>
      </c>
      <c r="AZ1830" s="1623" t="s">
        <v>7909</v>
      </c>
    </row>
    <row r="1831">
      <c r="A1831" s="41">
        <v>1831.0</v>
      </c>
      <c r="B1831" s="126" t="s">
        <v>107</v>
      </c>
      <c r="C1831" s="59" t="s">
        <v>108</v>
      </c>
      <c r="D1831" s="59" t="s">
        <v>241</v>
      </c>
      <c r="F1831" s="126" t="s">
        <v>10493</v>
      </c>
      <c r="G1831" s="126" t="s">
        <v>10522</v>
      </c>
      <c r="H1831" s="148" t="s">
        <v>242</v>
      </c>
      <c r="I1831" s="150">
        <v>45755.0</v>
      </c>
      <c r="J1831" s="1795">
        <v>45772.0</v>
      </c>
      <c r="K1831" s="148" t="s">
        <v>10523</v>
      </c>
      <c r="L1831" s="53" t="s">
        <v>10495</v>
      </c>
      <c r="M1831" s="126" t="s">
        <v>10496</v>
      </c>
      <c r="N1831" s="126" t="s">
        <v>10497</v>
      </c>
      <c r="O1831" s="498">
        <v>1.0</v>
      </c>
      <c r="P1831" s="525" t="s">
        <v>10498</v>
      </c>
      <c r="Q1831" s="105" t="str">
        <f t="array" ref="Q1831"> if(iserror(MATCH(V1831, 'File Links'!C:C, 0)), "N/A", HYPERLINK(INDEX('File Links'!B:B, MATCH(P1831, 'File Links'!C:C, 0))))</f>
        <v>N/A</v>
      </c>
      <c r="R1831" s="1689" t="s">
        <v>10018</v>
      </c>
      <c r="S1831" s="126" t="s">
        <v>10019</v>
      </c>
      <c r="T1831" s="1371"/>
      <c r="U1831" s="333"/>
      <c r="V1831" s="148" t="s">
        <v>10020</v>
      </c>
      <c r="W1831" s="156"/>
      <c r="X1831" s="46" t="str">
        <f t="array" ref="X1831"> if(iserror(MATCH(V1831, 'File Links'!C:C, 0)), "N/A", HYPERLINK(INDEX('File Links'!B:B, MATCH(V1831, 'File Links'!C:C, 0))))</f>
        <v>N/A</v>
      </c>
      <c r="Y1831" s="65"/>
      <c r="Z1831" s="148" t="s">
        <v>2072</v>
      </c>
      <c r="AA1831" s="368" t="s">
        <v>10021</v>
      </c>
      <c r="AB1831" s="148" t="s">
        <v>10499</v>
      </c>
      <c r="AC1831" s="148" t="s">
        <v>10524</v>
      </c>
      <c r="AD1831" s="148" t="s">
        <v>10525</v>
      </c>
      <c r="AE1831" s="148">
        <v>5.0</v>
      </c>
      <c r="AF1831" s="158">
        <v>126.0</v>
      </c>
      <c r="AG1831" s="158" t="s">
        <v>10526</v>
      </c>
      <c r="AH1831" s="148" t="s">
        <v>127</v>
      </c>
      <c r="AI1831" s="148" t="s">
        <v>875</v>
      </c>
      <c r="AJ1831" s="158">
        <v>0.01</v>
      </c>
      <c r="AK1831" s="148" t="s">
        <v>128</v>
      </c>
      <c r="AL1831" s="148" t="s">
        <v>179</v>
      </c>
      <c r="AM1831" s="126" t="s">
        <v>130</v>
      </c>
      <c r="AN1831" s="126" t="s">
        <v>131</v>
      </c>
      <c r="AO1831" s="158">
        <v>823.0</v>
      </c>
      <c r="AP1831" s="158">
        <v>0.001</v>
      </c>
      <c r="AQ1831" s="148" t="s">
        <v>867</v>
      </c>
      <c r="AR1831" s="148" t="s">
        <v>10527</v>
      </c>
      <c r="AS1831" s="158">
        <v>0.279</v>
      </c>
      <c r="AT1831" s="148" t="s">
        <v>165</v>
      </c>
      <c r="AU1831" s="148" t="s">
        <v>179</v>
      </c>
      <c r="AV1831" s="126" t="s">
        <v>130</v>
      </c>
      <c r="AW1831" s="1801" t="s">
        <v>10028</v>
      </c>
      <c r="AX1831" s="126" t="s">
        <v>136</v>
      </c>
      <c r="AZ1831" s="1623" t="s">
        <v>7909</v>
      </c>
    </row>
    <row r="1832">
      <c r="A1832" s="41">
        <v>1832.0</v>
      </c>
      <c r="B1832" s="53" t="s">
        <v>107</v>
      </c>
      <c r="C1832" s="338" t="s">
        <v>108</v>
      </c>
      <c r="D1832" s="338" t="s">
        <v>241</v>
      </c>
      <c r="E1832" s="339"/>
      <c r="F1832" s="53" t="s">
        <v>10493</v>
      </c>
      <c r="G1832" s="53" t="s">
        <v>10528</v>
      </c>
      <c r="H1832" s="340" t="s">
        <v>242</v>
      </c>
      <c r="I1832" s="342">
        <v>45755.0</v>
      </c>
      <c r="J1832" s="1579">
        <v>45772.0</v>
      </c>
      <c r="K1832" s="340" t="s">
        <v>10529</v>
      </c>
      <c r="L1832" s="53" t="s">
        <v>10495</v>
      </c>
      <c r="M1832" s="53" t="s">
        <v>10496</v>
      </c>
      <c r="N1832" s="53" t="s">
        <v>10497</v>
      </c>
      <c r="O1832" s="52">
        <v>1.0</v>
      </c>
      <c r="P1832" s="1688" t="s">
        <v>10498</v>
      </c>
      <c r="Q1832" s="105" t="str">
        <f t="array" ref="Q1832"> if(iserror(MATCH(V1832, 'File Links'!C:C, 0)), "N/A", HYPERLINK(INDEX('File Links'!B:B, MATCH(P1832, 'File Links'!C:C, 0))))</f>
        <v>N/A</v>
      </c>
      <c r="R1832" s="1689" t="s">
        <v>10018</v>
      </c>
      <c r="S1832" s="53" t="s">
        <v>10019</v>
      </c>
      <c r="T1832" s="1791"/>
      <c r="U1832" s="382"/>
      <c r="V1832" s="340" t="s">
        <v>10020</v>
      </c>
      <c r="W1832" s="357"/>
      <c r="X1832" s="46" t="str">
        <f t="array" ref="X1832"> if(iserror(MATCH(V1832, 'File Links'!C:C, 0)), "N/A", HYPERLINK(INDEX('File Links'!B:B, MATCH(V1832, 'File Links'!C:C, 0))))</f>
        <v>N/A</v>
      </c>
      <c r="Y1832" s="43"/>
      <c r="Z1832" s="340" t="s">
        <v>2072</v>
      </c>
      <c r="AA1832" s="53" t="s">
        <v>10021</v>
      </c>
      <c r="AB1832" s="340" t="s">
        <v>10499</v>
      </c>
      <c r="AC1832" s="340" t="s">
        <v>10530</v>
      </c>
      <c r="AD1832" s="340" t="s">
        <v>10531</v>
      </c>
      <c r="AE1832" s="340">
        <v>5.0</v>
      </c>
      <c r="AF1832" s="344">
        <v>126.0</v>
      </c>
      <c r="AG1832" s="344" t="s">
        <v>10532</v>
      </c>
      <c r="AH1832" s="340" t="s">
        <v>127</v>
      </c>
      <c r="AI1832" s="340" t="s">
        <v>875</v>
      </c>
      <c r="AJ1832" s="344">
        <v>0.05</v>
      </c>
      <c r="AK1832" s="340" t="s">
        <v>128</v>
      </c>
      <c r="AL1832" s="340" t="s">
        <v>179</v>
      </c>
      <c r="AM1832" s="53" t="s">
        <v>130</v>
      </c>
      <c r="AN1832" s="53" t="s">
        <v>131</v>
      </c>
      <c r="AO1832" s="344">
        <v>823.0</v>
      </c>
      <c r="AP1832" s="344">
        <v>0.002</v>
      </c>
      <c r="AQ1832" s="340" t="s">
        <v>867</v>
      </c>
      <c r="AR1832" s="340" t="s">
        <v>10533</v>
      </c>
      <c r="AS1832" s="344">
        <v>0.237</v>
      </c>
      <c r="AT1832" s="340" t="s">
        <v>165</v>
      </c>
      <c r="AU1832" s="340" t="s">
        <v>179</v>
      </c>
      <c r="AV1832" s="53" t="s">
        <v>130</v>
      </c>
      <c r="AW1832" s="1691" t="s">
        <v>10028</v>
      </c>
      <c r="AX1832" s="53" t="s">
        <v>136</v>
      </c>
      <c r="AY1832" s="339"/>
      <c r="AZ1832" s="338" t="s">
        <v>7909</v>
      </c>
    </row>
    <row r="1833">
      <c r="A1833" s="41">
        <v>1833.0</v>
      </c>
      <c r="B1833" s="53" t="s">
        <v>145</v>
      </c>
      <c r="C1833" s="338" t="s">
        <v>108</v>
      </c>
      <c r="D1833" s="338" t="s">
        <v>138</v>
      </c>
      <c r="E1833" s="339"/>
      <c r="F1833" s="53" t="s">
        <v>10493</v>
      </c>
      <c r="G1833" s="53" t="s">
        <v>10534</v>
      </c>
      <c r="H1833" s="340" t="s">
        <v>10089</v>
      </c>
      <c r="I1833" s="342">
        <v>45758.0</v>
      </c>
      <c r="J1833" s="1579">
        <v>45772.0</v>
      </c>
      <c r="K1833" s="357"/>
      <c r="L1833" s="53" t="s">
        <v>10134</v>
      </c>
      <c r="M1833" s="53" t="s">
        <v>10496</v>
      </c>
      <c r="N1833" s="53" t="s">
        <v>10497</v>
      </c>
      <c r="O1833" s="52">
        <v>1.0</v>
      </c>
      <c r="P1833" s="1688" t="s">
        <v>10498</v>
      </c>
      <c r="Q1833" s="105" t="str">
        <f t="array" ref="Q1833"> if(iserror(MATCH(V1833, 'File Links'!C:C, 0)), "N/A", HYPERLINK(INDEX('File Links'!B:B, MATCH(P1833, 'File Links'!C:C, 0))))</f>
        <v>N/A</v>
      </c>
      <c r="R1833" s="1689" t="s">
        <v>10018</v>
      </c>
      <c r="S1833" s="53" t="s">
        <v>10019</v>
      </c>
      <c r="T1833" s="1791"/>
      <c r="U1833" s="382"/>
      <c r="V1833" s="340" t="s">
        <v>10020</v>
      </c>
      <c r="W1833" s="357"/>
      <c r="X1833" s="46" t="str">
        <f t="array" ref="X1833"> if(iserror(MATCH(V1833, 'File Links'!C:C, 0)), "N/A", HYPERLINK(INDEX('File Links'!B:B, MATCH(V1833, 'File Links'!C:C, 0))))</f>
        <v>N/A</v>
      </c>
      <c r="Y1833" s="43"/>
      <c r="Z1833" s="340" t="s">
        <v>2072</v>
      </c>
      <c r="AA1833" s="368" t="s">
        <v>10021</v>
      </c>
      <c r="AB1833" s="340" t="s">
        <v>10535</v>
      </c>
      <c r="AC1833" s="340" t="s">
        <v>10500</v>
      </c>
      <c r="AD1833" s="340" t="s">
        <v>10501</v>
      </c>
      <c r="AE1833" s="340" t="s">
        <v>5675</v>
      </c>
      <c r="AF1833" s="344">
        <v>126.0</v>
      </c>
      <c r="AG1833" s="344" t="s">
        <v>10536</v>
      </c>
      <c r="AH1833" s="340" t="s">
        <v>127</v>
      </c>
      <c r="AI1833" s="340" t="s">
        <v>843</v>
      </c>
      <c r="AJ1833" s="344">
        <v>0.01</v>
      </c>
      <c r="AK1833" s="340" t="s">
        <v>128</v>
      </c>
      <c r="AL1833" s="340" t="s">
        <v>179</v>
      </c>
      <c r="AM1833" s="53" t="s">
        <v>130</v>
      </c>
      <c r="AN1833" s="53" t="s">
        <v>1528</v>
      </c>
      <c r="AO1833" s="344">
        <v>823.0</v>
      </c>
      <c r="AP1833" s="344">
        <v>0.095</v>
      </c>
      <c r="AQ1833" s="340" t="s">
        <v>208</v>
      </c>
      <c r="AR1833" s="340" t="s">
        <v>10414</v>
      </c>
      <c r="AS1833" s="344">
        <v>0.006</v>
      </c>
      <c r="AT1833" s="340" t="s">
        <v>165</v>
      </c>
      <c r="AU1833" s="340" t="s">
        <v>179</v>
      </c>
      <c r="AV1833" s="53" t="s">
        <v>130</v>
      </c>
      <c r="AW1833" s="1691" t="s">
        <v>10028</v>
      </c>
      <c r="AX1833" s="53" t="s">
        <v>136</v>
      </c>
      <c r="AY1833" s="339"/>
      <c r="AZ1833" s="338" t="s">
        <v>7909</v>
      </c>
    </row>
    <row r="1834">
      <c r="A1834" s="41">
        <v>1834.0</v>
      </c>
      <c r="B1834" s="126" t="s">
        <v>145</v>
      </c>
      <c r="C1834" s="59" t="s">
        <v>108</v>
      </c>
      <c r="D1834" s="59" t="s">
        <v>138</v>
      </c>
      <c r="F1834" s="126" t="s">
        <v>10537</v>
      </c>
      <c r="G1834" s="126" t="s">
        <v>10504</v>
      </c>
      <c r="H1834" s="148" t="s">
        <v>10089</v>
      </c>
      <c r="I1834" s="150">
        <v>45758.0</v>
      </c>
      <c r="J1834" s="1579">
        <v>45772.0</v>
      </c>
      <c r="K1834" s="156"/>
      <c r="L1834" s="53" t="s">
        <v>10134</v>
      </c>
      <c r="M1834" s="126" t="s">
        <v>10496</v>
      </c>
      <c r="N1834" s="126" t="s">
        <v>10497</v>
      </c>
      <c r="O1834" s="498">
        <v>1.0</v>
      </c>
      <c r="P1834" s="525" t="s">
        <v>10498</v>
      </c>
      <c r="Q1834" s="105" t="str">
        <f t="array" ref="Q1834"> if(iserror(MATCH(V1834, 'File Links'!C:C, 0)), "N/A", HYPERLINK(INDEX('File Links'!B:B, MATCH(P1834, 'File Links'!C:C, 0))))</f>
        <v>N/A</v>
      </c>
      <c r="R1834" s="1689" t="s">
        <v>10018</v>
      </c>
      <c r="S1834" s="126" t="s">
        <v>10019</v>
      </c>
      <c r="T1834" s="1371"/>
      <c r="U1834" s="333"/>
      <c r="V1834" s="148" t="s">
        <v>10020</v>
      </c>
      <c r="W1834" s="156"/>
      <c r="X1834" s="46" t="str">
        <f t="array" ref="X1834"> if(iserror(MATCH(V1834, 'File Links'!C:C, 0)), "N/A", HYPERLINK(INDEX('File Links'!B:B, MATCH(V1834, 'File Links'!C:C, 0))))</f>
        <v>N/A</v>
      </c>
      <c r="Y1834" s="65"/>
      <c r="Z1834" s="148" t="s">
        <v>2072</v>
      </c>
      <c r="AA1834" s="368" t="s">
        <v>10021</v>
      </c>
      <c r="AB1834" s="148" t="s">
        <v>10535</v>
      </c>
      <c r="AC1834" s="148" t="s">
        <v>10506</v>
      </c>
      <c r="AD1834" s="148" t="s">
        <v>10507</v>
      </c>
      <c r="AE1834" s="148" t="s">
        <v>5675</v>
      </c>
      <c r="AF1834" s="158">
        <v>126.0</v>
      </c>
      <c r="AG1834" s="158" t="s">
        <v>10508</v>
      </c>
      <c r="AH1834" s="148" t="s">
        <v>127</v>
      </c>
      <c r="AI1834" s="148" t="s">
        <v>843</v>
      </c>
      <c r="AJ1834" s="158">
        <v>0.05</v>
      </c>
      <c r="AK1834" s="148" t="s">
        <v>128</v>
      </c>
      <c r="AL1834" s="148" t="s">
        <v>179</v>
      </c>
      <c r="AM1834" s="126" t="s">
        <v>130</v>
      </c>
      <c r="AN1834" s="126" t="s">
        <v>1528</v>
      </c>
      <c r="AO1834" s="158">
        <v>823.0</v>
      </c>
      <c r="AP1834" s="158">
        <v>0.012</v>
      </c>
      <c r="AQ1834" s="148" t="s">
        <v>208</v>
      </c>
      <c r="AR1834" s="148" t="s">
        <v>10414</v>
      </c>
      <c r="AS1834" s="158">
        <v>0.731</v>
      </c>
      <c r="AT1834" s="148" t="s">
        <v>165</v>
      </c>
      <c r="AU1834" s="148" t="s">
        <v>179</v>
      </c>
      <c r="AV1834" s="126" t="s">
        <v>130</v>
      </c>
      <c r="AW1834" s="1790" t="s">
        <v>10028</v>
      </c>
      <c r="AX1834" s="126" t="s">
        <v>136</v>
      </c>
      <c r="AZ1834" s="338" t="s">
        <v>7909</v>
      </c>
    </row>
    <row r="1835">
      <c r="A1835" s="41">
        <v>1835.0</v>
      </c>
      <c r="B1835" s="126" t="s">
        <v>145</v>
      </c>
      <c r="C1835" s="59" t="s">
        <v>108</v>
      </c>
      <c r="D1835" s="59" t="s">
        <v>138</v>
      </c>
      <c r="F1835" s="126" t="s">
        <v>10538</v>
      </c>
      <c r="G1835" s="126" t="s">
        <v>10510</v>
      </c>
      <c r="H1835" s="148" t="s">
        <v>10089</v>
      </c>
      <c r="I1835" s="150">
        <v>45758.0</v>
      </c>
      <c r="J1835" s="1579">
        <v>45772.0</v>
      </c>
      <c r="K1835" s="156"/>
      <c r="L1835" s="53" t="s">
        <v>10134</v>
      </c>
      <c r="M1835" s="126" t="s">
        <v>10496</v>
      </c>
      <c r="N1835" s="126" t="s">
        <v>10497</v>
      </c>
      <c r="O1835" s="498">
        <v>1.0</v>
      </c>
      <c r="P1835" s="525" t="s">
        <v>10498</v>
      </c>
      <c r="Q1835" s="105" t="str">
        <f t="array" ref="Q1835"> if(iserror(MATCH(V1835, 'File Links'!C:C, 0)), "N/A", HYPERLINK(INDEX('File Links'!B:B, MATCH(P1835, 'File Links'!C:C, 0))))</f>
        <v>N/A</v>
      </c>
      <c r="R1835" s="1689" t="s">
        <v>10018</v>
      </c>
      <c r="S1835" s="126" t="s">
        <v>10019</v>
      </c>
      <c r="T1835" s="1371"/>
      <c r="U1835" s="333"/>
      <c r="V1835" s="148" t="s">
        <v>10020</v>
      </c>
      <c r="W1835" s="156"/>
      <c r="X1835" s="46" t="str">
        <f t="array" ref="X1835"> if(iserror(MATCH(V1835, 'File Links'!C:C, 0)), "N/A", HYPERLINK(INDEX('File Links'!B:B, MATCH(V1835, 'File Links'!C:C, 0))))</f>
        <v>N/A</v>
      </c>
      <c r="Y1835" s="65"/>
      <c r="Z1835" s="148" t="s">
        <v>2072</v>
      </c>
      <c r="AA1835" s="368" t="s">
        <v>10021</v>
      </c>
      <c r="AB1835" s="148" t="s">
        <v>10535</v>
      </c>
      <c r="AC1835" s="148" t="s">
        <v>10512</v>
      </c>
      <c r="AD1835" s="148" t="s">
        <v>10513</v>
      </c>
      <c r="AE1835" s="148" t="s">
        <v>5675</v>
      </c>
      <c r="AF1835" s="158">
        <v>126.0</v>
      </c>
      <c r="AG1835" s="158" t="s">
        <v>10539</v>
      </c>
      <c r="AH1835" s="148" t="s">
        <v>127</v>
      </c>
      <c r="AI1835" s="148" t="s">
        <v>843</v>
      </c>
      <c r="AJ1835" s="158">
        <v>0.05</v>
      </c>
      <c r="AK1835" s="148" t="s">
        <v>128</v>
      </c>
      <c r="AL1835" s="148" t="s">
        <v>179</v>
      </c>
      <c r="AM1835" s="126" t="s">
        <v>130</v>
      </c>
      <c r="AN1835" s="126" t="s">
        <v>1528</v>
      </c>
      <c r="AO1835" s="158">
        <v>823.0</v>
      </c>
      <c r="AP1835" s="158">
        <v>0.036</v>
      </c>
      <c r="AQ1835" s="148" t="s">
        <v>208</v>
      </c>
      <c r="AR1835" s="148" t="s">
        <v>10414</v>
      </c>
      <c r="AS1835" s="158">
        <v>0.305</v>
      </c>
      <c r="AT1835" s="148" t="s">
        <v>165</v>
      </c>
      <c r="AU1835" s="148" t="s">
        <v>179</v>
      </c>
      <c r="AV1835" s="126" t="s">
        <v>130</v>
      </c>
      <c r="AW1835" s="1790" t="s">
        <v>10028</v>
      </c>
      <c r="AX1835" s="126" t="s">
        <v>136</v>
      </c>
      <c r="AZ1835" s="338" t="s">
        <v>7909</v>
      </c>
    </row>
    <row r="1836">
      <c r="A1836" s="41">
        <v>1836.0</v>
      </c>
      <c r="B1836" s="126" t="s">
        <v>145</v>
      </c>
      <c r="C1836" s="59" t="s">
        <v>108</v>
      </c>
      <c r="D1836" s="59" t="s">
        <v>138</v>
      </c>
      <c r="F1836" s="126" t="s">
        <v>10540</v>
      </c>
      <c r="G1836" s="126" t="s">
        <v>10516</v>
      </c>
      <c r="H1836" s="148" t="s">
        <v>10089</v>
      </c>
      <c r="I1836" s="150">
        <v>45758.0</v>
      </c>
      <c r="J1836" s="1579">
        <v>45772.0</v>
      </c>
      <c r="K1836" s="156"/>
      <c r="L1836" s="53" t="s">
        <v>10134</v>
      </c>
      <c r="M1836" s="126" t="s">
        <v>10496</v>
      </c>
      <c r="N1836" s="126" t="s">
        <v>10497</v>
      </c>
      <c r="O1836" s="498">
        <v>1.0</v>
      </c>
      <c r="P1836" s="525" t="s">
        <v>10498</v>
      </c>
      <c r="Q1836" s="105" t="str">
        <f t="array" ref="Q1836"> if(iserror(MATCH(V1836, 'File Links'!C:C, 0)), "N/A", HYPERLINK(INDEX('File Links'!B:B, MATCH(P1836, 'File Links'!C:C, 0))))</f>
        <v>N/A</v>
      </c>
      <c r="R1836" s="1689" t="s">
        <v>10018</v>
      </c>
      <c r="S1836" s="126" t="s">
        <v>10019</v>
      </c>
      <c r="T1836" s="1371"/>
      <c r="U1836" s="333"/>
      <c r="V1836" s="148" t="s">
        <v>10020</v>
      </c>
      <c r="W1836" s="156"/>
      <c r="X1836" s="46" t="str">
        <f t="array" ref="X1836"> if(iserror(MATCH(V1836, 'File Links'!C:C, 0)), "N/A", HYPERLINK(INDEX('File Links'!B:B, MATCH(V1836, 'File Links'!C:C, 0))))</f>
        <v>N/A</v>
      </c>
      <c r="Y1836" s="65"/>
      <c r="Z1836" s="148" t="s">
        <v>2072</v>
      </c>
      <c r="AA1836" s="368" t="s">
        <v>10021</v>
      </c>
      <c r="AB1836" s="148" t="s">
        <v>10535</v>
      </c>
      <c r="AC1836" s="148" t="s">
        <v>10518</v>
      </c>
      <c r="AD1836" s="148" t="s">
        <v>10519</v>
      </c>
      <c r="AE1836" s="148">
        <v>5.0</v>
      </c>
      <c r="AF1836" s="158">
        <v>126.0</v>
      </c>
      <c r="AG1836" s="158" t="s">
        <v>10541</v>
      </c>
      <c r="AH1836" s="148" t="s">
        <v>127</v>
      </c>
      <c r="AI1836" s="148" t="s">
        <v>806</v>
      </c>
      <c r="AJ1836" s="158">
        <v>0.01</v>
      </c>
      <c r="AK1836" s="148" t="s">
        <v>128</v>
      </c>
      <c r="AL1836" s="148" t="s">
        <v>179</v>
      </c>
      <c r="AM1836" s="126" t="s">
        <v>130</v>
      </c>
      <c r="AN1836" s="126" t="s">
        <v>1528</v>
      </c>
      <c r="AO1836" s="158">
        <v>823.0</v>
      </c>
      <c r="AP1836" s="158">
        <v>0.012</v>
      </c>
      <c r="AQ1836" s="148" t="s">
        <v>208</v>
      </c>
      <c r="AR1836" s="148" t="s">
        <v>10542</v>
      </c>
      <c r="AS1836" s="158">
        <v>0.736</v>
      </c>
      <c r="AT1836" s="148" t="s">
        <v>165</v>
      </c>
      <c r="AU1836" s="148" t="s">
        <v>179</v>
      </c>
      <c r="AV1836" s="126" t="s">
        <v>130</v>
      </c>
      <c r="AW1836" s="1790" t="s">
        <v>10028</v>
      </c>
      <c r="AX1836" s="126" t="s">
        <v>136</v>
      </c>
      <c r="AZ1836" s="338" t="s">
        <v>7909</v>
      </c>
    </row>
    <row r="1837">
      <c r="A1837" s="41">
        <v>1837.0</v>
      </c>
      <c r="B1837" s="126" t="s">
        <v>145</v>
      </c>
      <c r="C1837" s="59" t="s">
        <v>108</v>
      </c>
      <c r="D1837" s="59" t="s">
        <v>138</v>
      </c>
      <c r="F1837" s="126" t="s">
        <v>10543</v>
      </c>
      <c r="G1837" s="126" t="s">
        <v>10522</v>
      </c>
      <c r="H1837" s="148" t="s">
        <v>10089</v>
      </c>
      <c r="I1837" s="150">
        <v>45758.0</v>
      </c>
      <c r="J1837" s="1579">
        <v>45772.0</v>
      </c>
      <c r="K1837" s="156"/>
      <c r="L1837" s="53" t="s">
        <v>10134</v>
      </c>
      <c r="M1837" s="126" t="s">
        <v>10496</v>
      </c>
      <c r="N1837" s="126" t="s">
        <v>10497</v>
      </c>
      <c r="O1837" s="498">
        <v>1.0</v>
      </c>
      <c r="P1837" s="525" t="s">
        <v>10498</v>
      </c>
      <c r="Q1837" s="105" t="str">
        <f t="array" ref="Q1837"> if(iserror(MATCH(V1837, 'File Links'!C:C, 0)), "N/A", HYPERLINK(INDEX('File Links'!B:B, MATCH(P1837, 'File Links'!C:C, 0))))</f>
        <v>N/A</v>
      </c>
      <c r="R1837" s="1689" t="s">
        <v>10018</v>
      </c>
      <c r="S1837" s="126" t="s">
        <v>10019</v>
      </c>
      <c r="T1837" s="1371"/>
      <c r="U1837" s="333"/>
      <c r="V1837" s="148" t="s">
        <v>10020</v>
      </c>
      <c r="W1837" s="156"/>
      <c r="X1837" s="46" t="str">
        <f t="array" ref="X1837"> if(iserror(MATCH(V1837, 'File Links'!C:C, 0)), "N/A", HYPERLINK(INDEX('File Links'!B:B, MATCH(V1837, 'File Links'!C:C, 0))))</f>
        <v>N/A</v>
      </c>
      <c r="Y1837" s="65"/>
      <c r="Z1837" s="148" t="s">
        <v>2072</v>
      </c>
      <c r="AA1837" s="368" t="s">
        <v>10021</v>
      </c>
      <c r="AB1837" s="148" t="s">
        <v>10535</v>
      </c>
      <c r="AC1837" s="148" t="s">
        <v>10524</v>
      </c>
      <c r="AD1837" s="148" t="s">
        <v>10525</v>
      </c>
      <c r="AE1837" s="148">
        <v>5.0</v>
      </c>
      <c r="AF1837" s="158">
        <v>126.0</v>
      </c>
      <c r="AG1837" s="158" t="s">
        <v>10544</v>
      </c>
      <c r="AH1837" s="148" t="s">
        <v>127</v>
      </c>
      <c r="AI1837" s="148" t="s">
        <v>806</v>
      </c>
      <c r="AJ1837" s="158">
        <v>0.01</v>
      </c>
      <c r="AK1837" s="148" t="s">
        <v>128</v>
      </c>
      <c r="AL1837" s="148" t="s">
        <v>179</v>
      </c>
      <c r="AM1837" s="126" t="s">
        <v>130</v>
      </c>
      <c r="AN1837" s="126" t="s">
        <v>1528</v>
      </c>
      <c r="AO1837" s="158">
        <v>823.0</v>
      </c>
      <c r="AP1837" s="158">
        <v>0.038</v>
      </c>
      <c r="AQ1837" s="148" t="s">
        <v>208</v>
      </c>
      <c r="AR1837" s="148" t="s">
        <v>10542</v>
      </c>
      <c r="AS1837" s="158">
        <v>0.279</v>
      </c>
      <c r="AT1837" s="148" t="s">
        <v>165</v>
      </c>
      <c r="AU1837" s="148" t="s">
        <v>179</v>
      </c>
      <c r="AV1837" s="126" t="s">
        <v>130</v>
      </c>
      <c r="AW1837" s="1790" t="s">
        <v>10028</v>
      </c>
      <c r="AX1837" s="126" t="s">
        <v>136</v>
      </c>
      <c r="AZ1837" s="338" t="s">
        <v>7909</v>
      </c>
    </row>
    <row r="1838">
      <c r="A1838" s="41">
        <v>1838.0</v>
      </c>
      <c r="B1838" s="53" t="s">
        <v>145</v>
      </c>
      <c r="C1838" s="338" t="s">
        <v>108</v>
      </c>
      <c r="D1838" s="338" t="s">
        <v>138</v>
      </c>
      <c r="E1838" s="339"/>
      <c r="F1838" s="53" t="s">
        <v>10545</v>
      </c>
      <c r="G1838" s="53" t="s">
        <v>10528</v>
      </c>
      <c r="H1838" s="340" t="s">
        <v>10089</v>
      </c>
      <c r="I1838" s="342">
        <v>45758.0</v>
      </c>
      <c r="J1838" s="1579">
        <v>45772.0</v>
      </c>
      <c r="K1838" s="357"/>
      <c r="L1838" s="53" t="s">
        <v>10134</v>
      </c>
      <c r="M1838" s="53" t="s">
        <v>10496</v>
      </c>
      <c r="N1838" s="53" t="s">
        <v>10497</v>
      </c>
      <c r="O1838" s="52">
        <v>1.0</v>
      </c>
      <c r="P1838" s="1688" t="s">
        <v>10498</v>
      </c>
      <c r="Q1838" s="105" t="str">
        <f t="array" ref="Q1838"> if(iserror(MATCH(V1838, 'File Links'!C:C, 0)), "N/A", HYPERLINK(INDEX('File Links'!B:B, MATCH(P1838, 'File Links'!C:C, 0))))</f>
        <v>N/A</v>
      </c>
      <c r="R1838" s="1689" t="s">
        <v>10018</v>
      </c>
      <c r="S1838" s="53" t="s">
        <v>10019</v>
      </c>
      <c r="T1838" s="1791"/>
      <c r="U1838" s="382"/>
      <c r="V1838" s="340" t="s">
        <v>10020</v>
      </c>
      <c r="W1838" s="357"/>
      <c r="X1838" s="46" t="str">
        <f t="array" ref="X1838"> if(iserror(MATCH(V1838, 'File Links'!C:C, 0)), "N/A", HYPERLINK(INDEX('File Links'!B:B, MATCH(V1838, 'File Links'!C:C, 0))))</f>
        <v>N/A</v>
      </c>
      <c r="Y1838" s="43"/>
      <c r="Z1838" s="340" t="s">
        <v>2072</v>
      </c>
      <c r="AA1838" s="368" t="s">
        <v>10021</v>
      </c>
      <c r="AB1838" s="340" t="s">
        <v>10535</v>
      </c>
      <c r="AC1838" s="340" t="s">
        <v>10530</v>
      </c>
      <c r="AD1838" s="340" t="s">
        <v>10531</v>
      </c>
      <c r="AE1838" s="340">
        <v>5.0</v>
      </c>
      <c r="AF1838" s="344">
        <v>126.0</v>
      </c>
      <c r="AG1838" s="344" t="s">
        <v>10546</v>
      </c>
      <c r="AH1838" s="340" t="s">
        <v>127</v>
      </c>
      <c r="AI1838" s="340" t="s">
        <v>806</v>
      </c>
      <c r="AJ1838" s="344">
        <v>0.05</v>
      </c>
      <c r="AK1838" s="340" t="s">
        <v>128</v>
      </c>
      <c r="AL1838" s="340" t="s">
        <v>179</v>
      </c>
      <c r="AM1838" s="53" t="s">
        <v>130</v>
      </c>
      <c r="AN1838" s="53" t="s">
        <v>1528</v>
      </c>
      <c r="AO1838" s="344">
        <v>823.0</v>
      </c>
      <c r="AP1838" s="344">
        <v>0.041</v>
      </c>
      <c r="AQ1838" s="340" t="s">
        <v>208</v>
      </c>
      <c r="AR1838" s="340" t="s">
        <v>10542</v>
      </c>
      <c r="AS1838" s="344">
        <v>0.237</v>
      </c>
      <c r="AT1838" s="340" t="s">
        <v>165</v>
      </c>
      <c r="AU1838" s="340" t="s">
        <v>179</v>
      </c>
      <c r="AV1838" s="53" t="s">
        <v>130</v>
      </c>
      <c r="AW1838" s="1691" t="s">
        <v>10028</v>
      </c>
      <c r="AX1838" s="53" t="s">
        <v>136</v>
      </c>
      <c r="AY1838" s="339"/>
      <c r="AZ1838" s="338" t="s">
        <v>7909</v>
      </c>
    </row>
    <row r="1839">
      <c r="A1839" s="41">
        <v>1839.0</v>
      </c>
      <c r="B1839" s="53" t="s">
        <v>107</v>
      </c>
      <c r="C1839" s="338" t="s">
        <v>108</v>
      </c>
      <c r="D1839" s="338" t="s">
        <v>241</v>
      </c>
      <c r="E1839" s="339"/>
      <c r="F1839" s="53" t="s">
        <v>10547</v>
      </c>
      <c r="G1839" s="53" t="s">
        <v>10547</v>
      </c>
      <c r="H1839" s="340" t="s">
        <v>242</v>
      </c>
      <c r="I1839" s="342">
        <v>45755.0</v>
      </c>
      <c r="J1839" s="1579">
        <v>45772.0</v>
      </c>
      <c r="K1839" s="340" t="s">
        <v>10548</v>
      </c>
      <c r="L1839" s="53" t="s">
        <v>10112</v>
      </c>
      <c r="M1839" s="53" t="s">
        <v>10549</v>
      </c>
      <c r="N1839" s="53" t="s">
        <v>10550</v>
      </c>
      <c r="O1839" s="52">
        <v>4.0</v>
      </c>
      <c r="P1839" s="1688" t="s">
        <v>10551</v>
      </c>
      <c r="Q1839" s="105" t="str">
        <f t="array" ref="Q1839"> if(iserror(MATCH(V1839, 'File Links'!C:C, 0)), "N/A", HYPERLINK(INDEX('File Links'!B:B, MATCH(P1839, 'File Links'!C:C, 0))))</f>
        <v>N/A</v>
      </c>
      <c r="R1839" s="1689" t="s">
        <v>10018</v>
      </c>
      <c r="S1839" s="53" t="s">
        <v>10019</v>
      </c>
      <c r="T1839" s="1791"/>
      <c r="U1839" s="382"/>
      <c r="V1839" s="340" t="s">
        <v>10020</v>
      </c>
      <c r="W1839" s="357"/>
      <c r="X1839" s="46" t="str">
        <f t="array" ref="X1839"> if(iserror(MATCH(V1839, 'File Links'!C:C, 0)), "N/A", HYPERLINK(INDEX('File Links'!B:B, MATCH(V1839, 'File Links'!C:C, 0))))</f>
        <v>N/A</v>
      </c>
      <c r="Y1839" s="43"/>
      <c r="Z1839" s="340" t="s">
        <v>2072</v>
      </c>
      <c r="AA1839" s="53" t="s">
        <v>10021</v>
      </c>
      <c r="AB1839" s="340" t="s">
        <v>10443</v>
      </c>
      <c r="AC1839" s="340" t="s">
        <v>10552</v>
      </c>
      <c r="AD1839" s="340" t="s">
        <v>10553</v>
      </c>
      <c r="AE1839" s="340" t="s">
        <v>1167</v>
      </c>
      <c r="AF1839" s="344">
        <v>78.0</v>
      </c>
      <c r="AG1839" s="344" t="s">
        <v>10554</v>
      </c>
      <c r="AH1839" s="340" t="s">
        <v>127</v>
      </c>
      <c r="AI1839" s="340" t="s">
        <v>10555</v>
      </c>
      <c r="AJ1839" s="344">
        <v>0.001</v>
      </c>
      <c r="AK1839" s="340" t="s">
        <v>128</v>
      </c>
      <c r="AL1839" s="340" t="s">
        <v>179</v>
      </c>
      <c r="AM1839" s="53" t="s">
        <v>130</v>
      </c>
      <c r="AN1839" s="53" t="s">
        <v>131</v>
      </c>
      <c r="AO1839" s="344">
        <v>823.0</v>
      </c>
      <c r="AP1839" s="344">
        <v>1.0E-4</v>
      </c>
      <c r="AQ1839" s="340" t="s">
        <v>867</v>
      </c>
      <c r="AR1839" s="340" t="s">
        <v>10556</v>
      </c>
      <c r="AS1839" s="344">
        <v>0.794</v>
      </c>
      <c r="AT1839" s="340" t="s">
        <v>165</v>
      </c>
      <c r="AU1839" s="340" t="s">
        <v>179</v>
      </c>
      <c r="AV1839" s="53" t="s">
        <v>130</v>
      </c>
      <c r="AW1839" s="1691" t="s">
        <v>10028</v>
      </c>
      <c r="AX1839" s="53" t="s">
        <v>136</v>
      </c>
      <c r="AY1839" s="339"/>
      <c r="AZ1839" s="338" t="s">
        <v>7909</v>
      </c>
    </row>
    <row r="1840">
      <c r="A1840" s="41">
        <v>1840.0</v>
      </c>
      <c r="B1840" s="53" t="s">
        <v>107</v>
      </c>
      <c r="C1840" s="338" t="s">
        <v>108</v>
      </c>
      <c r="D1840" s="338" t="s">
        <v>241</v>
      </c>
      <c r="E1840" s="339"/>
      <c r="F1840" s="53" t="s">
        <v>10547</v>
      </c>
      <c r="G1840" s="53" t="s">
        <v>10557</v>
      </c>
      <c r="H1840" s="340" t="s">
        <v>242</v>
      </c>
      <c r="I1840" s="342">
        <v>45755.0</v>
      </c>
      <c r="J1840" s="1579">
        <v>45772.0</v>
      </c>
      <c r="K1840" s="340" t="s">
        <v>10558</v>
      </c>
      <c r="L1840" s="53" t="s">
        <v>10112</v>
      </c>
      <c r="M1840" s="53" t="s">
        <v>10549</v>
      </c>
      <c r="N1840" s="53" t="s">
        <v>10550</v>
      </c>
      <c r="O1840" s="52">
        <v>4.0</v>
      </c>
      <c r="P1840" s="1688" t="s">
        <v>10551</v>
      </c>
      <c r="Q1840" s="105" t="str">
        <f t="array" ref="Q1840"> if(iserror(MATCH(V1840, 'File Links'!C:C, 0)), "N/A", HYPERLINK(INDEX('File Links'!B:B, MATCH(P1840, 'File Links'!C:C, 0))))</f>
        <v>N/A</v>
      </c>
      <c r="R1840" s="1689" t="s">
        <v>10018</v>
      </c>
      <c r="S1840" s="53" t="s">
        <v>10019</v>
      </c>
      <c r="T1840" s="1791"/>
      <c r="U1840" s="382"/>
      <c r="V1840" s="340" t="s">
        <v>10020</v>
      </c>
      <c r="W1840" s="357"/>
      <c r="X1840" s="46" t="str">
        <f t="array" ref="X1840"> if(iserror(MATCH(V1840, 'File Links'!C:C, 0)), "N/A", HYPERLINK(INDEX('File Links'!B:B, MATCH(V1840, 'File Links'!C:C, 0))))</f>
        <v>N/A</v>
      </c>
      <c r="Y1840" s="43"/>
      <c r="Z1840" s="340" t="s">
        <v>2072</v>
      </c>
      <c r="AA1840" s="53" t="s">
        <v>10021</v>
      </c>
      <c r="AB1840" s="340" t="s">
        <v>10443</v>
      </c>
      <c r="AC1840" s="340" t="s">
        <v>10559</v>
      </c>
      <c r="AD1840" s="340" t="s">
        <v>10560</v>
      </c>
      <c r="AE1840" s="340" t="s">
        <v>1167</v>
      </c>
      <c r="AF1840" s="344">
        <v>78.0</v>
      </c>
      <c r="AG1840" s="344" t="s">
        <v>10561</v>
      </c>
      <c r="AH1840" s="340" t="s">
        <v>127</v>
      </c>
      <c r="AI1840" s="340" t="s">
        <v>10562</v>
      </c>
      <c r="AJ1840" s="344">
        <v>0.08</v>
      </c>
      <c r="AK1840" s="340" t="s">
        <v>165</v>
      </c>
      <c r="AL1840" s="340" t="s">
        <v>179</v>
      </c>
      <c r="AM1840" s="53" t="s">
        <v>130</v>
      </c>
      <c r="AN1840" s="53" t="s">
        <v>131</v>
      </c>
      <c r="AO1840" s="344">
        <v>823.0</v>
      </c>
      <c r="AP1840" s="344">
        <v>0.0</v>
      </c>
      <c r="AQ1840" s="340" t="s">
        <v>867</v>
      </c>
      <c r="AR1840" s="340" t="s">
        <v>10563</v>
      </c>
      <c r="AS1840" s="344">
        <v>0.941</v>
      </c>
      <c r="AT1840" s="340" t="s">
        <v>165</v>
      </c>
      <c r="AU1840" s="340" t="s">
        <v>179</v>
      </c>
      <c r="AV1840" s="53" t="s">
        <v>130</v>
      </c>
      <c r="AW1840" s="1691" t="s">
        <v>10028</v>
      </c>
      <c r="AX1840" s="53" t="s">
        <v>136</v>
      </c>
      <c r="AY1840" s="339"/>
      <c r="AZ1840" s="338" t="s">
        <v>7909</v>
      </c>
    </row>
    <row r="1841">
      <c r="A1841" s="41">
        <v>1841.0</v>
      </c>
      <c r="B1841" s="53" t="s">
        <v>145</v>
      </c>
      <c r="C1841" s="338" t="s">
        <v>108</v>
      </c>
      <c r="D1841" s="338" t="s">
        <v>138</v>
      </c>
      <c r="E1841" s="339"/>
      <c r="F1841" s="53" t="s">
        <v>10547</v>
      </c>
      <c r="G1841" s="53" t="s">
        <v>10564</v>
      </c>
      <c r="H1841" s="340" t="s">
        <v>10089</v>
      </c>
      <c r="I1841" s="342">
        <v>45758.0</v>
      </c>
      <c r="J1841" s="1579">
        <v>45772.0</v>
      </c>
      <c r="K1841" s="357"/>
      <c r="L1841" s="53" t="s">
        <v>10565</v>
      </c>
      <c r="M1841" s="53" t="s">
        <v>10566</v>
      </c>
      <c r="N1841" s="53" t="s">
        <v>10550</v>
      </c>
      <c r="O1841" s="52">
        <v>4.0</v>
      </c>
      <c r="P1841" s="1688" t="s">
        <v>10551</v>
      </c>
      <c r="Q1841" s="105" t="str">
        <f t="array" ref="Q1841"> if(iserror(MATCH(V1841, 'File Links'!C:C, 0)), "N/A", HYPERLINK(INDEX('File Links'!B:B, MATCH(P1841, 'File Links'!C:C, 0))))</f>
        <v>N/A</v>
      </c>
      <c r="R1841" s="1689" t="s">
        <v>10018</v>
      </c>
      <c r="S1841" s="53" t="s">
        <v>10019</v>
      </c>
      <c r="T1841" s="1791"/>
      <c r="U1841" s="382"/>
      <c r="V1841" s="340" t="s">
        <v>10020</v>
      </c>
      <c r="W1841" s="357"/>
      <c r="X1841" s="46" t="str">
        <f t="array" ref="X1841"> if(iserror(MATCH(V1841, 'File Links'!C:C, 0)), "N/A", HYPERLINK(INDEX('File Links'!B:B, MATCH(V1841, 'File Links'!C:C, 0))))</f>
        <v>N/A</v>
      </c>
      <c r="Y1841" s="43"/>
      <c r="Z1841" s="340" t="s">
        <v>2072</v>
      </c>
      <c r="AA1841" s="53" t="s">
        <v>10567</v>
      </c>
      <c r="AB1841" s="340" t="s">
        <v>10568</v>
      </c>
      <c r="AC1841" s="340" t="s">
        <v>10552</v>
      </c>
      <c r="AD1841" s="340" t="s">
        <v>10569</v>
      </c>
      <c r="AE1841" s="340" t="s">
        <v>10570</v>
      </c>
      <c r="AF1841" s="344">
        <v>78.0</v>
      </c>
      <c r="AG1841" s="344" t="s">
        <v>10554</v>
      </c>
      <c r="AH1841" s="340" t="s">
        <v>127</v>
      </c>
      <c r="AI1841" s="340" t="s">
        <v>300</v>
      </c>
      <c r="AJ1841" s="344">
        <v>0.001</v>
      </c>
      <c r="AK1841" s="340" t="s">
        <v>128</v>
      </c>
      <c r="AL1841" s="340" t="s">
        <v>179</v>
      </c>
      <c r="AM1841" s="53" t="s">
        <v>130</v>
      </c>
      <c r="AN1841" s="53" t="s">
        <v>1528</v>
      </c>
      <c r="AO1841" s="344">
        <v>823.0</v>
      </c>
      <c r="AP1841" s="344">
        <v>0.009</v>
      </c>
      <c r="AQ1841" s="340" t="s">
        <v>208</v>
      </c>
      <c r="AR1841" s="340" t="s">
        <v>10137</v>
      </c>
      <c r="AS1841" s="344">
        <v>0.794</v>
      </c>
      <c r="AT1841" s="340" t="s">
        <v>165</v>
      </c>
      <c r="AU1841" s="340" t="s">
        <v>179</v>
      </c>
      <c r="AV1841" s="53" t="s">
        <v>130</v>
      </c>
      <c r="AW1841" s="1691" t="s">
        <v>10028</v>
      </c>
      <c r="AX1841" s="53" t="s">
        <v>136</v>
      </c>
      <c r="AY1841" s="339"/>
      <c r="AZ1841" s="338" t="s">
        <v>7909</v>
      </c>
    </row>
    <row r="1842">
      <c r="A1842" s="41">
        <v>1842.0</v>
      </c>
      <c r="B1842" s="53" t="s">
        <v>145</v>
      </c>
      <c r="C1842" s="338" t="s">
        <v>108</v>
      </c>
      <c r="D1842" s="338" t="s">
        <v>138</v>
      </c>
      <c r="E1842" s="339"/>
      <c r="F1842" s="53" t="s">
        <v>10571</v>
      </c>
      <c r="G1842" s="53" t="s">
        <v>10557</v>
      </c>
      <c r="H1842" s="340" t="s">
        <v>10089</v>
      </c>
      <c r="I1842" s="342">
        <v>45758.0</v>
      </c>
      <c r="J1842" s="1579">
        <v>45772.0</v>
      </c>
      <c r="K1842" s="357"/>
      <c r="L1842" s="53" t="s">
        <v>10565</v>
      </c>
      <c r="M1842" s="53" t="s">
        <v>10566</v>
      </c>
      <c r="N1842" s="53" t="s">
        <v>10550</v>
      </c>
      <c r="O1842" s="52">
        <v>4.0</v>
      </c>
      <c r="P1842" s="1688" t="s">
        <v>10551</v>
      </c>
      <c r="Q1842" s="105" t="str">
        <f t="array" ref="Q1842"> if(iserror(MATCH(V1842, 'File Links'!C:C, 0)), "N/A", HYPERLINK(INDEX('File Links'!B:B, MATCH(P1842, 'File Links'!C:C, 0))))</f>
        <v>N/A</v>
      </c>
      <c r="R1842" s="1689" t="s">
        <v>10018</v>
      </c>
      <c r="S1842" s="53" t="s">
        <v>10019</v>
      </c>
      <c r="T1842" s="1791"/>
      <c r="U1842" s="382"/>
      <c r="V1842" s="340" t="s">
        <v>10020</v>
      </c>
      <c r="W1842" s="357"/>
      <c r="X1842" s="46" t="str">
        <f t="array" ref="X1842"> if(iserror(MATCH(V1842, 'File Links'!C:C, 0)), "N/A", HYPERLINK(INDEX('File Links'!B:B, MATCH(V1842, 'File Links'!C:C, 0))))</f>
        <v>N/A</v>
      </c>
      <c r="Y1842" s="43"/>
      <c r="Z1842" s="340" t="s">
        <v>2072</v>
      </c>
      <c r="AA1842" s="53" t="s">
        <v>10567</v>
      </c>
      <c r="AB1842" s="340" t="s">
        <v>10568</v>
      </c>
      <c r="AC1842" s="340" t="s">
        <v>10559</v>
      </c>
      <c r="AD1842" s="340" t="s">
        <v>10572</v>
      </c>
      <c r="AE1842" s="340" t="s">
        <v>10570</v>
      </c>
      <c r="AF1842" s="344">
        <v>78.0</v>
      </c>
      <c r="AG1842" s="344" t="s">
        <v>10561</v>
      </c>
      <c r="AH1842" s="340" t="s">
        <v>127</v>
      </c>
      <c r="AI1842" s="340" t="s">
        <v>300</v>
      </c>
      <c r="AJ1842" s="344">
        <v>0.08</v>
      </c>
      <c r="AK1842" s="340" t="s">
        <v>165</v>
      </c>
      <c r="AL1842" s="340" t="s">
        <v>179</v>
      </c>
      <c r="AM1842" s="53" t="s">
        <v>130</v>
      </c>
      <c r="AN1842" s="53" t="s">
        <v>1528</v>
      </c>
      <c r="AO1842" s="344">
        <v>823.0</v>
      </c>
      <c r="AP1842" s="344">
        <v>0.003</v>
      </c>
      <c r="AQ1842" s="340" t="s">
        <v>208</v>
      </c>
      <c r="AR1842" s="340" t="s">
        <v>10137</v>
      </c>
      <c r="AS1842" s="344">
        <v>0.941</v>
      </c>
      <c r="AT1842" s="340" t="s">
        <v>165</v>
      </c>
      <c r="AU1842" s="340" t="s">
        <v>179</v>
      </c>
      <c r="AV1842" s="53" t="s">
        <v>130</v>
      </c>
      <c r="AW1842" s="1691" t="s">
        <v>10028</v>
      </c>
      <c r="AX1842" s="53" t="s">
        <v>136</v>
      </c>
      <c r="AY1842" s="339"/>
      <c r="AZ1842" s="338" t="s">
        <v>7909</v>
      </c>
    </row>
    <row r="1843">
      <c r="A1843" s="41">
        <v>1843.0</v>
      </c>
      <c r="B1843" s="53" t="s">
        <v>145</v>
      </c>
      <c r="C1843" s="338" t="s">
        <v>108</v>
      </c>
      <c r="D1843" s="338" t="s">
        <v>241</v>
      </c>
      <c r="E1843" s="339"/>
      <c r="F1843" s="53" t="s">
        <v>10573</v>
      </c>
      <c r="G1843" s="53" t="s">
        <v>10573</v>
      </c>
      <c r="H1843" s="340" t="s">
        <v>242</v>
      </c>
      <c r="I1843" s="342">
        <v>45755.0</v>
      </c>
      <c r="J1843" s="1579">
        <v>45772.0</v>
      </c>
      <c r="K1843" s="340" t="s">
        <v>10574</v>
      </c>
      <c r="L1843" s="53" t="s">
        <v>10575</v>
      </c>
      <c r="M1843" s="53" t="s">
        <v>10576</v>
      </c>
      <c r="N1843" s="53" t="s">
        <v>10577</v>
      </c>
      <c r="O1843" s="52">
        <v>1.0</v>
      </c>
      <c r="P1843" s="1688" t="s">
        <v>10578</v>
      </c>
      <c r="Q1843" s="105" t="str">
        <f t="array" ref="Q1843"> if(iserror(MATCH(V1843, 'File Links'!C:C, 0)), "N/A", HYPERLINK(INDEX('File Links'!B:B, MATCH(P1843, 'File Links'!C:C, 0))))</f>
        <v>N/A</v>
      </c>
      <c r="R1843" s="1689" t="s">
        <v>10018</v>
      </c>
      <c r="S1843" s="53" t="s">
        <v>10019</v>
      </c>
      <c r="T1843" s="1791"/>
      <c r="U1843" s="382"/>
      <c r="V1843" s="340" t="s">
        <v>10020</v>
      </c>
      <c r="W1843" s="357"/>
      <c r="X1843" s="46" t="str">
        <f t="array" ref="X1843"> if(iserror(MATCH(V1843, 'File Links'!C:C, 0)), "N/A", HYPERLINK(INDEX('File Links'!B:B, MATCH(V1843, 'File Links'!C:C, 0))))</f>
        <v>N/A</v>
      </c>
      <c r="Y1843" s="43"/>
      <c r="Z1843" s="340" t="s">
        <v>2072</v>
      </c>
      <c r="AA1843" s="53" t="s">
        <v>10021</v>
      </c>
      <c r="AB1843" s="340" t="s">
        <v>10579</v>
      </c>
      <c r="AC1843" s="340" t="s">
        <v>10580</v>
      </c>
      <c r="AD1843" s="340" t="s">
        <v>10581</v>
      </c>
      <c r="AE1843" s="340" t="s">
        <v>1035</v>
      </c>
      <c r="AF1843" s="344">
        <v>109.0</v>
      </c>
      <c r="AG1843" s="344" t="s">
        <v>10582</v>
      </c>
      <c r="AH1843" s="340" t="s">
        <v>127</v>
      </c>
      <c r="AI1843" s="340" t="s">
        <v>1035</v>
      </c>
      <c r="AJ1843" s="344">
        <v>0.01</v>
      </c>
      <c r="AK1843" s="340" t="s">
        <v>128</v>
      </c>
      <c r="AL1843" s="340" t="s">
        <v>179</v>
      </c>
      <c r="AM1843" s="53" t="s">
        <v>134</v>
      </c>
      <c r="AN1843" s="53" t="s">
        <v>131</v>
      </c>
      <c r="AO1843" s="344">
        <v>823.0</v>
      </c>
      <c r="AP1843" s="344">
        <v>0.0</v>
      </c>
      <c r="AQ1843" s="340" t="s">
        <v>867</v>
      </c>
      <c r="AR1843" s="340" t="s">
        <v>10583</v>
      </c>
      <c r="AS1843" s="344">
        <v>0.868</v>
      </c>
      <c r="AT1843" s="340" t="s">
        <v>165</v>
      </c>
      <c r="AU1843" s="340" t="s">
        <v>179</v>
      </c>
      <c r="AV1843" s="53" t="s">
        <v>130</v>
      </c>
      <c r="AW1843" s="1691" t="s">
        <v>10028</v>
      </c>
      <c r="AX1843" s="53" t="s">
        <v>136</v>
      </c>
      <c r="AY1843" s="339"/>
      <c r="AZ1843" s="338" t="s">
        <v>7909</v>
      </c>
    </row>
    <row r="1844">
      <c r="A1844" s="41">
        <v>1844.0</v>
      </c>
      <c r="B1844" s="126" t="s">
        <v>145</v>
      </c>
      <c r="C1844" s="59" t="s">
        <v>108</v>
      </c>
      <c r="D1844" s="59" t="s">
        <v>241</v>
      </c>
      <c r="F1844" s="126" t="s">
        <v>10573</v>
      </c>
      <c r="G1844" s="126" t="s">
        <v>10584</v>
      </c>
      <c r="H1844" s="148" t="s">
        <v>242</v>
      </c>
      <c r="I1844" s="150">
        <v>45755.0</v>
      </c>
      <c r="J1844" s="1579">
        <v>45772.0</v>
      </c>
      <c r="K1844" s="148" t="s">
        <v>10585</v>
      </c>
      <c r="L1844" s="126" t="s">
        <v>10586</v>
      </c>
      <c r="M1844" s="126" t="s">
        <v>10576</v>
      </c>
      <c r="N1844" s="126" t="s">
        <v>10577</v>
      </c>
      <c r="O1844" s="498">
        <v>1.0</v>
      </c>
      <c r="P1844" s="525" t="s">
        <v>10578</v>
      </c>
      <c r="Q1844" s="105" t="str">
        <f t="array" ref="Q1844"> if(iserror(MATCH(V1844, 'File Links'!C:C, 0)), "N/A", HYPERLINK(INDEX('File Links'!B:B, MATCH(P1844, 'File Links'!C:C, 0))))</f>
        <v>N/A</v>
      </c>
      <c r="R1844" s="1689" t="s">
        <v>10018</v>
      </c>
      <c r="S1844" s="126" t="s">
        <v>10019</v>
      </c>
      <c r="T1844" s="1371"/>
      <c r="U1844" s="333"/>
      <c r="V1844" s="148" t="s">
        <v>10020</v>
      </c>
      <c r="W1844" s="156"/>
      <c r="X1844" s="46" t="str">
        <f t="array" ref="X1844"> if(iserror(MATCH(V1844, 'File Links'!C:C, 0)), "N/A", HYPERLINK(INDEX('File Links'!B:B, MATCH(V1844, 'File Links'!C:C, 0))))</f>
        <v>N/A</v>
      </c>
      <c r="Y1844" s="65"/>
      <c r="Z1844" s="148" t="s">
        <v>2072</v>
      </c>
      <c r="AA1844" s="368" t="s">
        <v>10021</v>
      </c>
      <c r="AB1844" s="148" t="s">
        <v>10579</v>
      </c>
      <c r="AC1844" s="148" t="s">
        <v>10587</v>
      </c>
      <c r="AD1844" s="148" t="s">
        <v>10588</v>
      </c>
      <c r="AE1844" s="148" t="s">
        <v>1035</v>
      </c>
      <c r="AF1844" s="158">
        <v>109.0</v>
      </c>
      <c r="AG1844" s="158">
        <v>0.113</v>
      </c>
      <c r="AH1844" s="148" t="s">
        <v>867</v>
      </c>
      <c r="AI1844" s="148" t="s">
        <v>10589</v>
      </c>
      <c r="AJ1844" s="158">
        <v>0.01</v>
      </c>
      <c r="AK1844" s="148" t="s">
        <v>128</v>
      </c>
      <c r="AL1844" s="148" t="s">
        <v>179</v>
      </c>
      <c r="AM1844" s="368" t="s">
        <v>130</v>
      </c>
      <c r="AN1844" s="126" t="s">
        <v>131</v>
      </c>
      <c r="AO1844" s="158">
        <v>823.0</v>
      </c>
      <c r="AP1844" s="158">
        <v>0.0</v>
      </c>
      <c r="AQ1844" s="148" t="s">
        <v>867</v>
      </c>
      <c r="AR1844" s="148" t="s">
        <v>10590</v>
      </c>
      <c r="AS1844" s="158">
        <v>0.949</v>
      </c>
      <c r="AT1844" s="148" t="s">
        <v>165</v>
      </c>
      <c r="AU1844" s="148" t="s">
        <v>179</v>
      </c>
      <c r="AV1844" s="53" t="s">
        <v>130</v>
      </c>
      <c r="AW1844" s="1691" t="s">
        <v>10028</v>
      </c>
      <c r="AX1844" s="126" t="s">
        <v>136</v>
      </c>
      <c r="AZ1844" s="338" t="s">
        <v>7909</v>
      </c>
    </row>
    <row r="1845">
      <c r="A1845" s="41">
        <v>1845.0</v>
      </c>
      <c r="B1845" s="126" t="s">
        <v>145</v>
      </c>
      <c r="C1845" s="59" t="s">
        <v>108</v>
      </c>
      <c r="D1845" s="59" t="s">
        <v>241</v>
      </c>
      <c r="F1845" s="126" t="s">
        <v>10573</v>
      </c>
      <c r="G1845" s="126" t="s">
        <v>10591</v>
      </c>
      <c r="H1845" s="148" t="s">
        <v>242</v>
      </c>
      <c r="I1845" s="150">
        <v>45755.0</v>
      </c>
      <c r="J1845" s="1579">
        <v>45772.0</v>
      </c>
      <c r="K1845" s="148" t="s">
        <v>10592</v>
      </c>
      <c r="L1845" s="126" t="s">
        <v>10586</v>
      </c>
      <c r="M1845" s="126" t="s">
        <v>10576</v>
      </c>
      <c r="N1845" s="126" t="s">
        <v>10577</v>
      </c>
      <c r="O1845" s="498">
        <v>1.0</v>
      </c>
      <c r="P1845" s="525" t="s">
        <v>10578</v>
      </c>
      <c r="Q1845" s="105" t="str">
        <f t="array" ref="Q1845"> if(iserror(MATCH(V1845, 'File Links'!C:C, 0)), "N/A", HYPERLINK(INDEX('File Links'!B:B, MATCH(P1845, 'File Links'!C:C, 0))))</f>
        <v>N/A</v>
      </c>
      <c r="R1845" s="1689" t="s">
        <v>10018</v>
      </c>
      <c r="S1845" s="126" t="s">
        <v>10019</v>
      </c>
      <c r="T1845" s="1371"/>
      <c r="U1845" s="333"/>
      <c r="V1845" s="148" t="s">
        <v>10020</v>
      </c>
      <c r="W1845" s="156"/>
      <c r="X1845" s="46" t="str">
        <f t="array" ref="X1845"> if(iserror(MATCH(V1845, 'File Links'!C:C, 0)), "N/A", HYPERLINK(INDEX('File Links'!B:B, MATCH(V1845, 'File Links'!C:C, 0))))</f>
        <v>N/A</v>
      </c>
      <c r="Y1845" s="65"/>
      <c r="Z1845" s="148" t="s">
        <v>2072</v>
      </c>
      <c r="AA1845" s="368" t="s">
        <v>10021</v>
      </c>
      <c r="AB1845" s="148" t="s">
        <v>10579</v>
      </c>
      <c r="AC1845" s="148" t="s">
        <v>10593</v>
      </c>
      <c r="AD1845" s="148" t="s">
        <v>10594</v>
      </c>
      <c r="AE1845" s="148" t="s">
        <v>1035</v>
      </c>
      <c r="AF1845" s="158">
        <v>109.0</v>
      </c>
      <c r="AG1845" s="158">
        <v>0.85</v>
      </c>
      <c r="AH1845" s="148" t="s">
        <v>867</v>
      </c>
      <c r="AI1845" s="148" t="s">
        <v>10595</v>
      </c>
      <c r="AJ1845" s="158">
        <v>0.05</v>
      </c>
      <c r="AK1845" s="148" t="s">
        <v>128</v>
      </c>
      <c r="AL1845" s="148" t="s">
        <v>179</v>
      </c>
      <c r="AM1845" s="368" t="s">
        <v>130</v>
      </c>
      <c r="AN1845" s="126" t="s">
        <v>131</v>
      </c>
      <c r="AO1845" s="158">
        <v>823.0</v>
      </c>
      <c r="AP1845" s="158">
        <v>0.0</v>
      </c>
      <c r="AQ1845" s="148" t="s">
        <v>867</v>
      </c>
      <c r="AR1845" s="148" t="s">
        <v>10596</v>
      </c>
      <c r="AS1845" s="158">
        <v>0.994</v>
      </c>
      <c r="AT1845" s="148" t="s">
        <v>165</v>
      </c>
      <c r="AU1845" s="148" t="s">
        <v>179</v>
      </c>
      <c r="AV1845" s="53" t="s">
        <v>130</v>
      </c>
      <c r="AW1845" s="1691" t="s">
        <v>10028</v>
      </c>
      <c r="AX1845" s="126" t="s">
        <v>136</v>
      </c>
      <c r="AZ1845" s="338" t="s">
        <v>7909</v>
      </c>
    </row>
    <row r="1846">
      <c r="A1846" s="41">
        <v>1846.0</v>
      </c>
      <c r="B1846" s="53" t="s">
        <v>145</v>
      </c>
      <c r="C1846" s="338" t="s">
        <v>108</v>
      </c>
      <c r="D1846" s="338" t="s">
        <v>241</v>
      </c>
      <c r="E1846" s="339"/>
      <c r="F1846" s="53" t="s">
        <v>10573</v>
      </c>
      <c r="G1846" s="53" t="s">
        <v>10597</v>
      </c>
      <c r="H1846" s="340" t="s">
        <v>242</v>
      </c>
      <c r="I1846" s="342">
        <v>45755.0</v>
      </c>
      <c r="J1846" s="1579">
        <v>45772.0</v>
      </c>
      <c r="K1846" s="357"/>
      <c r="L1846" s="53" t="s">
        <v>10598</v>
      </c>
      <c r="M1846" s="53" t="s">
        <v>10576</v>
      </c>
      <c r="N1846" s="53" t="s">
        <v>10577</v>
      </c>
      <c r="O1846" s="52">
        <v>1.0</v>
      </c>
      <c r="P1846" s="1688" t="s">
        <v>10578</v>
      </c>
      <c r="Q1846" s="105" t="str">
        <f t="array" ref="Q1846"> if(iserror(MATCH(V1846, 'File Links'!C:C, 0)), "N/A", HYPERLINK(INDEX('File Links'!B:B, MATCH(P1846, 'File Links'!C:C, 0))))</f>
        <v>N/A</v>
      </c>
      <c r="R1846" s="1689" t="s">
        <v>10018</v>
      </c>
      <c r="S1846" s="53" t="s">
        <v>10019</v>
      </c>
      <c r="T1846" s="1791"/>
      <c r="U1846" s="382"/>
      <c r="V1846" s="340" t="s">
        <v>10020</v>
      </c>
      <c r="W1846" s="357"/>
      <c r="X1846" s="46" t="str">
        <f t="array" ref="X1846"> if(iserror(MATCH(V1846, 'File Links'!C:C, 0)), "N/A", HYPERLINK(INDEX('File Links'!B:B, MATCH(V1846, 'File Links'!C:C, 0))))</f>
        <v>N/A</v>
      </c>
      <c r="Y1846" s="43"/>
      <c r="Z1846" s="340" t="s">
        <v>2072</v>
      </c>
      <c r="AA1846" s="53" t="s">
        <v>10021</v>
      </c>
      <c r="AB1846" s="340" t="s">
        <v>10579</v>
      </c>
      <c r="AC1846" s="340" t="s">
        <v>10599</v>
      </c>
      <c r="AD1846" s="340" t="s">
        <v>10600</v>
      </c>
      <c r="AE1846" s="340" t="s">
        <v>1035</v>
      </c>
      <c r="AF1846" s="344">
        <v>109.0</v>
      </c>
      <c r="AG1846" s="344">
        <v>0.226</v>
      </c>
      <c r="AH1846" s="340" t="s">
        <v>166</v>
      </c>
      <c r="AI1846" s="340" t="s">
        <v>10601</v>
      </c>
      <c r="AJ1846" s="344">
        <v>0.05</v>
      </c>
      <c r="AK1846" s="340" t="s">
        <v>328</v>
      </c>
      <c r="AL1846" s="340" t="s">
        <v>179</v>
      </c>
      <c r="AM1846" s="53" t="s">
        <v>130</v>
      </c>
      <c r="AN1846" s="53" t="s">
        <v>131</v>
      </c>
      <c r="AO1846" s="344">
        <v>823.0</v>
      </c>
      <c r="AP1846" s="344">
        <v>0.001</v>
      </c>
      <c r="AQ1846" s="340" t="s">
        <v>867</v>
      </c>
      <c r="AR1846" s="340" t="s">
        <v>10602</v>
      </c>
      <c r="AS1846" s="344">
        <v>0.62</v>
      </c>
      <c r="AT1846" s="340" t="s">
        <v>165</v>
      </c>
      <c r="AU1846" s="340" t="s">
        <v>179</v>
      </c>
      <c r="AV1846" s="53" t="s">
        <v>130</v>
      </c>
      <c r="AW1846" s="1691" t="s">
        <v>10028</v>
      </c>
      <c r="AX1846" s="53" t="s">
        <v>136</v>
      </c>
      <c r="AY1846" s="339"/>
      <c r="AZ1846" s="338" t="s">
        <v>7909</v>
      </c>
    </row>
    <row r="1847">
      <c r="A1847" s="41">
        <v>1847.0</v>
      </c>
      <c r="B1847" s="53" t="s">
        <v>107</v>
      </c>
      <c r="C1847" s="338" t="s">
        <v>108</v>
      </c>
      <c r="D1847" s="338" t="s">
        <v>138</v>
      </c>
      <c r="E1847" s="339"/>
      <c r="F1847" s="53" t="s">
        <v>10573</v>
      </c>
      <c r="G1847" s="53" t="s">
        <v>10603</v>
      </c>
      <c r="H1847" s="340" t="s">
        <v>10089</v>
      </c>
      <c r="I1847" s="342">
        <v>45761.0</v>
      </c>
      <c r="J1847" s="1579">
        <v>45772.0</v>
      </c>
      <c r="K1847" s="357"/>
      <c r="L1847" s="53" t="s">
        <v>10134</v>
      </c>
      <c r="M1847" s="53" t="s">
        <v>10576</v>
      </c>
      <c r="N1847" s="53" t="s">
        <v>10577</v>
      </c>
      <c r="O1847" s="52">
        <v>1.0</v>
      </c>
      <c r="P1847" s="1688" t="s">
        <v>10578</v>
      </c>
      <c r="Q1847" s="105" t="str">
        <f t="array" ref="Q1847"> if(iserror(MATCH(V1847, 'File Links'!C:C, 0)), "N/A", HYPERLINK(INDEX('File Links'!B:B, MATCH(P1847, 'File Links'!C:C, 0))))</f>
        <v>N/A</v>
      </c>
      <c r="R1847" s="1689" t="s">
        <v>10018</v>
      </c>
      <c r="S1847" s="53" t="s">
        <v>10019</v>
      </c>
      <c r="T1847" s="1791"/>
      <c r="U1847" s="382"/>
      <c r="V1847" s="340" t="s">
        <v>10020</v>
      </c>
      <c r="W1847" s="357"/>
      <c r="X1847" s="46" t="str">
        <f t="array" ref="X1847"> if(iserror(MATCH(V1847, 'File Links'!C:C, 0)), "N/A", HYPERLINK(INDEX('File Links'!B:B, MATCH(V1847, 'File Links'!C:C, 0))))</f>
        <v>N/A</v>
      </c>
      <c r="Y1847" s="43"/>
      <c r="Z1847" s="340" t="s">
        <v>2072</v>
      </c>
      <c r="AA1847" s="53" t="s">
        <v>10021</v>
      </c>
      <c r="AB1847" s="340" t="s">
        <v>10579</v>
      </c>
      <c r="AC1847" s="340" t="s">
        <v>10580</v>
      </c>
      <c r="AD1847" s="340" t="s">
        <v>10604</v>
      </c>
      <c r="AE1847" s="340">
        <v>6.0</v>
      </c>
      <c r="AF1847" s="344">
        <v>109.0</v>
      </c>
      <c r="AG1847" s="344" t="s">
        <v>10605</v>
      </c>
      <c r="AH1847" s="340" t="s">
        <v>127</v>
      </c>
      <c r="AI1847" s="340" t="s">
        <v>133</v>
      </c>
      <c r="AJ1847" s="344">
        <v>0.01</v>
      </c>
      <c r="AK1847" s="340" t="s">
        <v>128</v>
      </c>
      <c r="AL1847" s="340" t="s">
        <v>179</v>
      </c>
      <c r="AM1847" s="53" t="s">
        <v>134</v>
      </c>
      <c r="AN1847" s="53" t="s">
        <v>1528</v>
      </c>
      <c r="AO1847" s="344">
        <v>823.0</v>
      </c>
      <c r="AP1847" s="344">
        <v>0.013</v>
      </c>
      <c r="AQ1847" s="340" t="s">
        <v>208</v>
      </c>
      <c r="AR1847" s="340" t="s">
        <v>10137</v>
      </c>
      <c r="AS1847" s="344">
        <v>0.868</v>
      </c>
      <c r="AT1847" s="340" t="s">
        <v>165</v>
      </c>
      <c r="AU1847" s="340" t="s">
        <v>179</v>
      </c>
      <c r="AV1847" s="53" t="s">
        <v>130</v>
      </c>
      <c r="AW1847" s="1691" t="s">
        <v>10028</v>
      </c>
      <c r="AX1847" s="53" t="s">
        <v>136</v>
      </c>
      <c r="AY1847" s="339"/>
      <c r="AZ1847" s="338" t="s">
        <v>7909</v>
      </c>
    </row>
    <row r="1848">
      <c r="A1848" s="41">
        <v>1848.0</v>
      </c>
      <c r="B1848" s="126" t="s">
        <v>107</v>
      </c>
      <c r="C1848" s="59" t="s">
        <v>108</v>
      </c>
      <c r="D1848" s="59" t="s">
        <v>138</v>
      </c>
      <c r="F1848" s="126" t="s">
        <v>10606</v>
      </c>
      <c r="G1848" s="126" t="s">
        <v>10584</v>
      </c>
      <c r="H1848" s="148" t="s">
        <v>10089</v>
      </c>
      <c r="I1848" s="150">
        <v>45761.0</v>
      </c>
      <c r="J1848" s="1579">
        <v>45772.0</v>
      </c>
      <c r="K1848" s="156"/>
      <c r="L1848" s="53" t="s">
        <v>10134</v>
      </c>
      <c r="M1848" s="126" t="s">
        <v>10576</v>
      </c>
      <c r="N1848" s="126" t="s">
        <v>10577</v>
      </c>
      <c r="O1848" s="498">
        <v>1.0</v>
      </c>
      <c r="P1848" s="525" t="s">
        <v>10578</v>
      </c>
      <c r="Q1848" s="105" t="str">
        <f t="array" ref="Q1848"> if(iserror(MATCH(V1848, 'File Links'!C:C, 0)), "N/A", HYPERLINK(INDEX('File Links'!B:B, MATCH(P1848, 'File Links'!C:C, 0))))</f>
        <v>N/A</v>
      </c>
      <c r="R1848" s="1689" t="s">
        <v>10018</v>
      </c>
      <c r="S1848" s="126" t="s">
        <v>10019</v>
      </c>
      <c r="T1848" s="1371"/>
      <c r="U1848" s="333"/>
      <c r="V1848" s="148" t="s">
        <v>10020</v>
      </c>
      <c r="W1848" s="156"/>
      <c r="X1848" s="46" t="str">
        <f t="array" ref="X1848"> if(iserror(MATCH(V1848, 'File Links'!C:C, 0)), "N/A", HYPERLINK(INDEX('File Links'!B:B, MATCH(V1848, 'File Links'!C:C, 0))))</f>
        <v>N/A</v>
      </c>
      <c r="Y1848" s="65"/>
      <c r="Z1848" s="148" t="s">
        <v>2072</v>
      </c>
      <c r="AA1848" s="368" t="s">
        <v>10021</v>
      </c>
      <c r="AB1848" s="148" t="s">
        <v>10579</v>
      </c>
      <c r="AC1848" s="148" t="s">
        <v>10587</v>
      </c>
      <c r="AD1848" s="148" t="s">
        <v>10607</v>
      </c>
      <c r="AE1848" s="148">
        <v>6.0</v>
      </c>
      <c r="AF1848" s="158">
        <v>109.0</v>
      </c>
      <c r="AG1848" s="158" t="s">
        <v>10608</v>
      </c>
      <c r="AH1848" s="148" t="s">
        <v>127</v>
      </c>
      <c r="AI1848" s="148" t="s">
        <v>133</v>
      </c>
      <c r="AJ1848" s="158">
        <v>0.01</v>
      </c>
      <c r="AK1848" s="148" t="s">
        <v>128</v>
      </c>
      <c r="AL1848" s="148" t="s">
        <v>179</v>
      </c>
      <c r="AM1848" s="126" t="s">
        <v>130</v>
      </c>
      <c r="AN1848" s="126" t="s">
        <v>1528</v>
      </c>
      <c r="AO1848" s="158">
        <v>823.0</v>
      </c>
      <c r="AP1848" s="158">
        <v>-0.003</v>
      </c>
      <c r="AQ1848" s="148" t="s">
        <v>208</v>
      </c>
      <c r="AR1848" s="148" t="s">
        <v>10137</v>
      </c>
      <c r="AS1848" s="158">
        <v>0.949</v>
      </c>
      <c r="AT1848" s="148" t="s">
        <v>165</v>
      </c>
      <c r="AU1848" s="148" t="s">
        <v>179</v>
      </c>
      <c r="AV1848" s="126" t="s">
        <v>130</v>
      </c>
      <c r="AW1848" s="1790" t="s">
        <v>10028</v>
      </c>
      <c r="AX1848" s="126" t="s">
        <v>136</v>
      </c>
      <c r="AZ1848" s="338" t="s">
        <v>7909</v>
      </c>
    </row>
    <row r="1849">
      <c r="A1849" s="41">
        <v>1849.0</v>
      </c>
      <c r="B1849" s="53" t="s">
        <v>107</v>
      </c>
      <c r="C1849" s="338" t="s">
        <v>108</v>
      </c>
      <c r="D1849" s="338" t="s">
        <v>138</v>
      </c>
      <c r="E1849" s="339"/>
      <c r="F1849" s="53" t="s">
        <v>10609</v>
      </c>
      <c r="G1849" s="53" t="s">
        <v>10591</v>
      </c>
      <c r="H1849" s="340" t="s">
        <v>10089</v>
      </c>
      <c r="I1849" s="342">
        <v>45761.0</v>
      </c>
      <c r="J1849" s="1579">
        <v>45772.0</v>
      </c>
      <c r="K1849" s="357"/>
      <c r="L1849" s="53" t="s">
        <v>10134</v>
      </c>
      <c r="M1849" s="53" t="s">
        <v>10576</v>
      </c>
      <c r="N1849" s="53" t="s">
        <v>10577</v>
      </c>
      <c r="O1849" s="52">
        <v>1.0</v>
      </c>
      <c r="P1849" s="1688" t="s">
        <v>10578</v>
      </c>
      <c r="Q1849" s="105" t="str">
        <f t="array" ref="Q1849"> if(iserror(MATCH(V1849, 'File Links'!C:C, 0)), "N/A", HYPERLINK(INDEX('File Links'!B:B, MATCH(P1849, 'File Links'!C:C, 0))))</f>
        <v>N/A</v>
      </c>
      <c r="R1849" s="1689" t="s">
        <v>10018</v>
      </c>
      <c r="S1849" s="53" t="s">
        <v>10019</v>
      </c>
      <c r="T1849" s="1791"/>
      <c r="U1849" s="382"/>
      <c r="V1849" s="340" t="s">
        <v>10020</v>
      </c>
      <c r="W1849" s="357"/>
      <c r="X1849" s="46" t="str">
        <f t="array" ref="X1849"> if(iserror(MATCH(V1849, 'File Links'!C:C, 0)), "N/A", HYPERLINK(INDEX('File Links'!B:B, MATCH(V1849, 'File Links'!C:C, 0))))</f>
        <v>N/A</v>
      </c>
      <c r="Y1849" s="43"/>
      <c r="Z1849" s="340" t="s">
        <v>2072</v>
      </c>
      <c r="AA1849" s="53" t="s">
        <v>10021</v>
      </c>
      <c r="AB1849" s="340" t="s">
        <v>10579</v>
      </c>
      <c r="AC1849" s="340" t="s">
        <v>10593</v>
      </c>
      <c r="AD1849" s="340" t="s">
        <v>10610</v>
      </c>
      <c r="AE1849" s="340">
        <v>6.0</v>
      </c>
      <c r="AF1849" s="344">
        <v>109.0</v>
      </c>
      <c r="AG1849" s="344" t="s">
        <v>10611</v>
      </c>
      <c r="AH1849" s="340" t="s">
        <v>127</v>
      </c>
      <c r="AI1849" s="340" t="s">
        <v>133</v>
      </c>
      <c r="AJ1849" s="344">
        <v>0.05</v>
      </c>
      <c r="AK1849" s="340" t="s">
        <v>128</v>
      </c>
      <c r="AL1849" s="340" t="s">
        <v>179</v>
      </c>
      <c r="AM1849" s="53" t="s">
        <v>130</v>
      </c>
      <c r="AN1849" s="53" t="s">
        <v>1528</v>
      </c>
      <c r="AO1849" s="344">
        <v>823.0</v>
      </c>
      <c r="AP1849" s="344">
        <v>0.0</v>
      </c>
      <c r="AQ1849" s="340" t="s">
        <v>208</v>
      </c>
      <c r="AR1849" s="340" t="s">
        <v>10137</v>
      </c>
      <c r="AS1849" s="344">
        <v>0.994</v>
      </c>
      <c r="AT1849" s="340" t="s">
        <v>165</v>
      </c>
      <c r="AU1849" s="340" t="s">
        <v>179</v>
      </c>
      <c r="AV1849" s="53" t="s">
        <v>130</v>
      </c>
      <c r="AW1849" s="1691" t="s">
        <v>10028</v>
      </c>
      <c r="AX1849" s="53" t="s">
        <v>136</v>
      </c>
      <c r="AY1849" s="339"/>
      <c r="AZ1849" s="338" t="s">
        <v>7909</v>
      </c>
    </row>
    <row r="1850">
      <c r="A1850" s="41">
        <v>1850.0</v>
      </c>
      <c r="B1850" s="53" t="s">
        <v>107</v>
      </c>
      <c r="C1850" s="338" t="s">
        <v>108</v>
      </c>
      <c r="D1850" s="338" t="s">
        <v>241</v>
      </c>
      <c r="E1850" s="339"/>
      <c r="F1850" s="53" t="s">
        <v>10612</v>
      </c>
      <c r="G1850" s="53" t="s">
        <v>10612</v>
      </c>
      <c r="H1850" s="340" t="s">
        <v>242</v>
      </c>
      <c r="I1850" s="342">
        <v>45756.0</v>
      </c>
      <c r="J1850" s="1579">
        <v>45772.0</v>
      </c>
      <c r="K1850" s="340" t="s">
        <v>10613</v>
      </c>
      <c r="L1850" s="53" t="s">
        <v>10614</v>
      </c>
      <c r="M1850" s="53" t="s">
        <v>10615</v>
      </c>
      <c r="N1850" s="53" t="s">
        <v>10616</v>
      </c>
      <c r="O1850" s="52">
        <v>2.0</v>
      </c>
      <c r="P1850" s="1688" t="s">
        <v>10617</v>
      </c>
      <c r="Q1850" s="105" t="str">
        <f t="array" ref="Q1850"> if(iserror(MATCH(V1850, 'File Links'!C:C, 0)), "N/A", HYPERLINK(INDEX('File Links'!B:B, MATCH(P1850, 'File Links'!C:C, 0))))</f>
        <v>N/A</v>
      </c>
      <c r="R1850" s="1689" t="s">
        <v>10018</v>
      </c>
      <c r="S1850" s="53" t="s">
        <v>10019</v>
      </c>
      <c r="T1850" s="1791"/>
      <c r="U1850" s="382"/>
      <c r="V1850" s="340" t="s">
        <v>10020</v>
      </c>
      <c r="W1850" s="357"/>
      <c r="X1850" s="46" t="str">
        <f t="array" ref="X1850"> if(iserror(MATCH(V1850, 'File Links'!C:C, 0)), "N/A", HYPERLINK(INDEX('File Links'!B:B, MATCH(V1850, 'File Links'!C:C, 0))))</f>
        <v>N/A</v>
      </c>
      <c r="Y1850" s="43"/>
      <c r="Z1850" s="340" t="s">
        <v>2072</v>
      </c>
      <c r="AA1850" s="53" t="s">
        <v>10021</v>
      </c>
      <c r="AB1850" s="340" t="s">
        <v>10618</v>
      </c>
      <c r="AC1850" s="340" t="s">
        <v>10619</v>
      </c>
      <c r="AD1850" s="340" t="s">
        <v>10620</v>
      </c>
      <c r="AE1850" s="340" t="s">
        <v>4966</v>
      </c>
      <c r="AF1850" s="344">
        <v>194.0</v>
      </c>
      <c r="AG1850" s="344" t="s">
        <v>10621</v>
      </c>
      <c r="AH1850" s="340" t="s">
        <v>127</v>
      </c>
      <c r="AI1850" s="340" t="s">
        <v>10622</v>
      </c>
      <c r="AJ1850" s="344">
        <v>0.01</v>
      </c>
      <c r="AK1850" s="340" t="s">
        <v>128</v>
      </c>
      <c r="AL1850" s="340" t="s">
        <v>179</v>
      </c>
      <c r="AM1850" s="53" t="s">
        <v>130</v>
      </c>
      <c r="AN1850" s="53" t="s">
        <v>131</v>
      </c>
      <c r="AO1850" s="344">
        <v>738.0</v>
      </c>
      <c r="AP1850" s="344">
        <v>0.008</v>
      </c>
      <c r="AQ1850" s="340" t="s">
        <v>867</v>
      </c>
      <c r="AR1850" s="340" t="s">
        <v>10623</v>
      </c>
      <c r="AS1850" s="344">
        <v>0.064</v>
      </c>
      <c r="AT1850" s="340" t="s">
        <v>165</v>
      </c>
      <c r="AU1850" s="340" t="s">
        <v>179</v>
      </c>
      <c r="AV1850" s="53" t="s">
        <v>130</v>
      </c>
      <c r="AW1850" s="1691" t="s">
        <v>10028</v>
      </c>
      <c r="AX1850" s="53" t="s">
        <v>136</v>
      </c>
      <c r="AY1850" s="339"/>
      <c r="AZ1850" s="338" t="s">
        <v>7909</v>
      </c>
    </row>
    <row r="1851">
      <c r="A1851" s="41">
        <v>1851.0</v>
      </c>
      <c r="B1851" s="126" t="s">
        <v>107</v>
      </c>
      <c r="C1851" s="59" t="s">
        <v>108</v>
      </c>
      <c r="D1851" s="59" t="s">
        <v>241</v>
      </c>
      <c r="F1851" s="126" t="s">
        <v>10612</v>
      </c>
      <c r="G1851" s="126" t="s">
        <v>10624</v>
      </c>
      <c r="H1851" s="148" t="s">
        <v>242</v>
      </c>
      <c r="I1851" s="150">
        <v>45756.0</v>
      </c>
      <c r="J1851" s="1579">
        <v>45772.0</v>
      </c>
      <c r="K1851" s="148" t="s">
        <v>10625</v>
      </c>
      <c r="L1851" s="126" t="s">
        <v>10614</v>
      </c>
      <c r="M1851" s="126" t="s">
        <v>10615</v>
      </c>
      <c r="N1851" s="126" t="s">
        <v>10616</v>
      </c>
      <c r="O1851" s="498">
        <v>2.0</v>
      </c>
      <c r="P1851" s="525" t="s">
        <v>10617</v>
      </c>
      <c r="Q1851" s="105" t="str">
        <f t="array" ref="Q1851"> if(iserror(MATCH(V1851, 'File Links'!C:C, 0)), "N/A", HYPERLINK(INDEX('File Links'!B:B, MATCH(P1851, 'File Links'!C:C, 0))))</f>
        <v>N/A</v>
      </c>
      <c r="R1851" s="1689" t="s">
        <v>10018</v>
      </c>
      <c r="S1851" s="126" t="s">
        <v>10019</v>
      </c>
      <c r="T1851" s="1371"/>
      <c r="U1851" s="333"/>
      <c r="V1851" s="148" t="s">
        <v>10020</v>
      </c>
      <c r="W1851" s="156"/>
      <c r="X1851" s="46" t="str">
        <f t="array" ref="X1851"> if(iserror(MATCH(V1851, 'File Links'!C:C, 0)), "N/A", HYPERLINK(INDEX('File Links'!B:B, MATCH(V1851, 'File Links'!C:C, 0))))</f>
        <v>N/A</v>
      </c>
      <c r="Y1851" s="65"/>
      <c r="Z1851" s="148" t="s">
        <v>2072</v>
      </c>
      <c r="AA1851" s="368" t="s">
        <v>10021</v>
      </c>
      <c r="AB1851" s="148" t="s">
        <v>10618</v>
      </c>
      <c r="AC1851" s="148" t="s">
        <v>10626</v>
      </c>
      <c r="AD1851" s="148" t="s">
        <v>10627</v>
      </c>
      <c r="AE1851" s="148" t="s">
        <v>4966</v>
      </c>
      <c r="AF1851" s="158">
        <v>194.0</v>
      </c>
      <c r="AG1851" s="158" t="s">
        <v>10628</v>
      </c>
      <c r="AH1851" s="148" t="s">
        <v>127</v>
      </c>
      <c r="AI1851" s="148" t="s">
        <v>10629</v>
      </c>
      <c r="AJ1851" s="158">
        <v>0.05</v>
      </c>
      <c r="AK1851" s="148" t="s">
        <v>128</v>
      </c>
      <c r="AL1851" s="148" t="s">
        <v>179</v>
      </c>
      <c r="AM1851" s="53" t="s">
        <v>130</v>
      </c>
      <c r="AN1851" s="126" t="s">
        <v>131</v>
      </c>
      <c r="AO1851" s="158">
        <v>738.0</v>
      </c>
      <c r="AP1851" s="158">
        <v>0.0</v>
      </c>
      <c r="AQ1851" s="148" t="s">
        <v>867</v>
      </c>
      <c r="AR1851" s="148" t="s">
        <v>10630</v>
      </c>
      <c r="AS1851" s="158">
        <v>0.859</v>
      </c>
      <c r="AT1851" s="148" t="s">
        <v>165</v>
      </c>
      <c r="AU1851" s="148" t="s">
        <v>179</v>
      </c>
      <c r="AV1851" s="126" t="s">
        <v>130</v>
      </c>
      <c r="AW1851" s="1691" t="s">
        <v>10028</v>
      </c>
      <c r="AX1851" s="126" t="s">
        <v>136</v>
      </c>
      <c r="AZ1851" s="338" t="s">
        <v>7909</v>
      </c>
    </row>
    <row r="1852">
      <c r="A1852" s="41">
        <v>1852.0</v>
      </c>
      <c r="B1852" s="126" t="s">
        <v>107</v>
      </c>
      <c r="C1852" s="59" t="s">
        <v>108</v>
      </c>
      <c r="D1852" s="59" t="s">
        <v>241</v>
      </c>
      <c r="F1852" s="126" t="s">
        <v>10612</v>
      </c>
      <c r="G1852" s="126" t="s">
        <v>10631</v>
      </c>
      <c r="H1852" s="148" t="s">
        <v>242</v>
      </c>
      <c r="I1852" s="150">
        <v>45756.0</v>
      </c>
      <c r="J1852" s="1579">
        <v>45772.0</v>
      </c>
      <c r="K1852" s="148" t="s">
        <v>10632</v>
      </c>
      <c r="L1852" s="126" t="s">
        <v>10633</v>
      </c>
      <c r="M1852" s="126" t="s">
        <v>10615</v>
      </c>
      <c r="N1852" s="126" t="s">
        <v>10616</v>
      </c>
      <c r="O1852" s="498">
        <v>2.0</v>
      </c>
      <c r="P1852" s="525" t="s">
        <v>10617</v>
      </c>
      <c r="Q1852" s="105" t="str">
        <f t="array" ref="Q1852"> if(iserror(MATCH(V1852, 'File Links'!C:C, 0)), "N/A", HYPERLINK(INDEX('File Links'!B:B, MATCH(P1852, 'File Links'!C:C, 0))))</f>
        <v>N/A</v>
      </c>
      <c r="R1852" s="1689" t="s">
        <v>10018</v>
      </c>
      <c r="S1852" s="126" t="s">
        <v>10019</v>
      </c>
      <c r="T1852" s="1371"/>
      <c r="U1852" s="333"/>
      <c r="V1852" s="148" t="s">
        <v>10020</v>
      </c>
      <c r="W1852" s="156"/>
      <c r="X1852" s="46" t="str">
        <f t="array" ref="X1852"> if(iserror(MATCH(V1852, 'File Links'!C:C, 0)), "N/A", HYPERLINK(INDEX('File Links'!B:B, MATCH(V1852, 'File Links'!C:C, 0))))</f>
        <v>N/A</v>
      </c>
      <c r="Y1852" s="65"/>
      <c r="Z1852" s="148" t="s">
        <v>2072</v>
      </c>
      <c r="AA1852" s="368" t="s">
        <v>10021</v>
      </c>
      <c r="AB1852" s="148" t="s">
        <v>10618</v>
      </c>
      <c r="AC1852" s="148" t="s">
        <v>10634</v>
      </c>
      <c r="AD1852" s="148" t="s">
        <v>10635</v>
      </c>
      <c r="AE1852" s="148" t="s">
        <v>4966</v>
      </c>
      <c r="AF1852" s="158">
        <v>194.0</v>
      </c>
      <c r="AG1852" s="375" t="s">
        <v>10636</v>
      </c>
      <c r="AH1852" s="148" t="s">
        <v>127</v>
      </c>
      <c r="AI1852" s="148" t="s">
        <v>10637</v>
      </c>
      <c r="AJ1852" s="158">
        <v>0.01</v>
      </c>
      <c r="AK1852" s="148" t="s">
        <v>128</v>
      </c>
      <c r="AL1852" s="148" t="s">
        <v>179</v>
      </c>
      <c r="AM1852" s="53" t="s">
        <v>130</v>
      </c>
      <c r="AN1852" s="126" t="s">
        <v>131</v>
      </c>
      <c r="AO1852" s="158">
        <v>738.0</v>
      </c>
      <c r="AP1852" s="158">
        <v>0.001</v>
      </c>
      <c r="AQ1852" s="148" t="s">
        <v>867</v>
      </c>
      <c r="AR1852" s="148" t="s">
        <v>10638</v>
      </c>
      <c r="AS1852" s="158">
        <v>0.405</v>
      </c>
      <c r="AT1852" s="148" t="s">
        <v>165</v>
      </c>
      <c r="AU1852" s="148" t="s">
        <v>179</v>
      </c>
      <c r="AV1852" s="126" t="s">
        <v>130</v>
      </c>
      <c r="AW1852" s="1691" t="s">
        <v>10028</v>
      </c>
      <c r="AX1852" s="126" t="s">
        <v>136</v>
      </c>
      <c r="AZ1852" s="338" t="s">
        <v>7909</v>
      </c>
    </row>
    <row r="1853">
      <c r="A1853" s="41">
        <v>1853.0</v>
      </c>
      <c r="B1853" s="126" t="s">
        <v>145</v>
      </c>
      <c r="C1853" s="59" t="s">
        <v>108</v>
      </c>
      <c r="D1853" s="59" t="s">
        <v>241</v>
      </c>
      <c r="F1853" s="126" t="s">
        <v>10612</v>
      </c>
      <c r="G1853" s="126" t="s">
        <v>10639</v>
      </c>
      <c r="H1853" s="148" t="s">
        <v>242</v>
      </c>
      <c r="I1853" s="150">
        <v>45756.0</v>
      </c>
      <c r="J1853" s="1579">
        <v>45772.0</v>
      </c>
      <c r="K1853" s="156"/>
      <c r="L1853" s="126" t="s">
        <v>10614</v>
      </c>
      <c r="M1853" s="126" t="s">
        <v>10615</v>
      </c>
      <c r="N1853" s="126" t="s">
        <v>10616</v>
      </c>
      <c r="O1853" s="498">
        <v>2.0</v>
      </c>
      <c r="P1853" s="525" t="s">
        <v>10617</v>
      </c>
      <c r="Q1853" s="105" t="str">
        <f t="array" ref="Q1853"> if(iserror(MATCH(V1853, 'File Links'!C:C, 0)), "N/A", HYPERLINK(INDEX('File Links'!B:B, MATCH(P1853, 'File Links'!C:C, 0))))</f>
        <v>N/A</v>
      </c>
      <c r="R1853" s="1689" t="s">
        <v>10018</v>
      </c>
      <c r="S1853" s="126" t="s">
        <v>10019</v>
      </c>
      <c r="T1853" s="1371"/>
      <c r="U1853" s="333"/>
      <c r="V1853" s="148" t="s">
        <v>10020</v>
      </c>
      <c r="W1853" s="156"/>
      <c r="X1853" s="46" t="str">
        <f t="array" ref="X1853"> if(iserror(MATCH(V1853, 'File Links'!C:C, 0)), "N/A", HYPERLINK(INDEX('File Links'!B:B, MATCH(V1853, 'File Links'!C:C, 0))))</f>
        <v>N/A</v>
      </c>
      <c r="Y1853" s="65"/>
      <c r="Z1853" s="148" t="s">
        <v>2072</v>
      </c>
      <c r="AA1853" s="368" t="s">
        <v>10021</v>
      </c>
      <c r="AB1853" s="148" t="s">
        <v>10618</v>
      </c>
      <c r="AC1853" s="148" t="s">
        <v>10640</v>
      </c>
      <c r="AD1853" s="148" t="s">
        <v>10641</v>
      </c>
      <c r="AE1853" s="148" t="s">
        <v>4966</v>
      </c>
      <c r="AF1853" s="158">
        <v>194.0</v>
      </c>
      <c r="AG1853" s="158" t="s">
        <v>1314</v>
      </c>
      <c r="AH1853" s="148" t="s">
        <v>127</v>
      </c>
      <c r="AI1853" s="148" t="s">
        <v>4966</v>
      </c>
      <c r="AJ1853" s="158">
        <v>0.05</v>
      </c>
      <c r="AK1853" s="148" t="s">
        <v>328</v>
      </c>
      <c r="AL1853" s="148" t="s">
        <v>179</v>
      </c>
      <c r="AM1853" s="53" t="s">
        <v>130</v>
      </c>
      <c r="AN1853" s="126" t="s">
        <v>131</v>
      </c>
      <c r="AO1853" s="158">
        <v>738.0</v>
      </c>
      <c r="AP1853" s="158">
        <v>0.021</v>
      </c>
      <c r="AQ1853" s="148" t="s">
        <v>867</v>
      </c>
      <c r="AR1853" s="148" t="s">
        <v>10642</v>
      </c>
      <c r="AS1853" s="158">
        <v>0.001</v>
      </c>
      <c r="AT1853" s="148" t="s">
        <v>128</v>
      </c>
      <c r="AU1853" s="148" t="s">
        <v>179</v>
      </c>
      <c r="AV1853" s="126" t="s">
        <v>130</v>
      </c>
      <c r="AW1853" s="1691" t="s">
        <v>10028</v>
      </c>
      <c r="AX1853" s="126" t="s">
        <v>136</v>
      </c>
      <c r="AZ1853" s="338" t="s">
        <v>7909</v>
      </c>
    </row>
    <row r="1854">
      <c r="A1854" s="41">
        <v>1854.0</v>
      </c>
      <c r="B1854" s="53" t="s">
        <v>145</v>
      </c>
      <c r="C1854" s="338" t="s">
        <v>108</v>
      </c>
      <c r="D1854" s="338" t="s">
        <v>241</v>
      </c>
      <c r="E1854" s="339"/>
      <c r="F1854" s="53" t="s">
        <v>10612</v>
      </c>
      <c r="G1854" s="53" t="s">
        <v>10643</v>
      </c>
      <c r="H1854" s="340" t="s">
        <v>242</v>
      </c>
      <c r="I1854" s="342">
        <v>45756.0</v>
      </c>
      <c r="J1854" s="1579">
        <v>45772.0</v>
      </c>
      <c r="K1854" s="357"/>
      <c r="L1854" s="53" t="s">
        <v>10614</v>
      </c>
      <c r="M1854" s="53" t="s">
        <v>10615</v>
      </c>
      <c r="N1854" s="53" t="s">
        <v>10616</v>
      </c>
      <c r="O1854" s="52">
        <v>2.0</v>
      </c>
      <c r="P1854" s="1688" t="s">
        <v>10617</v>
      </c>
      <c r="Q1854" s="105" t="str">
        <f t="array" ref="Q1854"> if(iserror(MATCH(V1854, 'File Links'!C:C, 0)), "N/A", HYPERLINK(INDEX('File Links'!B:B, MATCH(P1854, 'File Links'!C:C, 0))))</f>
        <v>N/A</v>
      </c>
      <c r="R1854" s="1689" t="s">
        <v>10018</v>
      </c>
      <c r="S1854" s="53" t="s">
        <v>10019</v>
      </c>
      <c r="T1854" s="1791"/>
      <c r="U1854" s="382"/>
      <c r="V1854" s="340" t="s">
        <v>10020</v>
      </c>
      <c r="W1854" s="357"/>
      <c r="X1854" s="46" t="str">
        <f t="array" ref="X1854"> if(iserror(MATCH(V1854, 'File Links'!C:C, 0)), "N/A", HYPERLINK(INDEX('File Links'!B:B, MATCH(V1854, 'File Links'!C:C, 0))))</f>
        <v>N/A</v>
      </c>
      <c r="Y1854" s="43"/>
      <c r="Z1854" s="340" t="s">
        <v>2072</v>
      </c>
      <c r="AA1854" s="53" t="s">
        <v>10021</v>
      </c>
      <c r="AB1854" s="340" t="s">
        <v>10618</v>
      </c>
      <c r="AC1854" s="340" t="s">
        <v>10644</v>
      </c>
      <c r="AD1854" s="340" t="s">
        <v>10641</v>
      </c>
      <c r="AE1854" s="340" t="s">
        <v>4966</v>
      </c>
      <c r="AF1854" s="344">
        <v>194.0</v>
      </c>
      <c r="AG1854" s="344" t="s">
        <v>1314</v>
      </c>
      <c r="AH1854" s="340" t="s">
        <v>127</v>
      </c>
      <c r="AI1854" s="340" t="s">
        <v>4966</v>
      </c>
      <c r="AJ1854" s="344">
        <v>0.05</v>
      </c>
      <c r="AK1854" s="340" t="s">
        <v>328</v>
      </c>
      <c r="AL1854" s="340" t="s">
        <v>179</v>
      </c>
      <c r="AM1854" s="53" t="s">
        <v>130</v>
      </c>
      <c r="AN1854" s="53" t="s">
        <v>131</v>
      </c>
      <c r="AO1854" s="344">
        <v>738.0</v>
      </c>
      <c r="AP1854" s="344">
        <v>0.002</v>
      </c>
      <c r="AQ1854" s="340" t="s">
        <v>867</v>
      </c>
      <c r="AR1854" s="340" t="s">
        <v>10645</v>
      </c>
      <c r="AS1854" s="344">
        <v>0.296</v>
      </c>
      <c r="AT1854" s="340" t="s">
        <v>165</v>
      </c>
      <c r="AU1854" s="340" t="s">
        <v>179</v>
      </c>
      <c r="AV1854" s="53" t="s">
        <v>130</v>
      </c>
      <c r="AW1854" s="1691" t="s">
        <v>10028</v>
      </c>
      <c r="AX1854" s="53" t="s">
        <v>136</v>
      </c>
      <c r="AY1854" s="339"/>
      <c r="AZ1854" s="338" t="s">
        <v>7909</v>
      </c>
    </row>
    <row r="1855">
      <c r="A1855" s="41">
        <v>1855.0</v>
      </c>
      <c r="B1855" s="53" t="s">
        <v>145</v>
      </c>
      <c r="C1855" s="338" t="s">
        <v>108</v>
      </c>
      <c r="D1855" s="338" t="s">
        <v>138</v>
      </c>
      <c r="E1855" s="339"/>
      <c r="F1855" s="53" t="s">
        <v>10612</v>
      </c>
      <c r="G1855" s="53" t="s">
        <v>10646</v>
      </c>
      <c r="H1855" s="340" t="s">
        <v>10089</v>
      </c>
      <c r="I1855" s="342">
        <v>45761.0</v>
      </c>
      <c r="J1855" s="1579">
        <v>45772.0</v>
      </c>
      <c r="K1855" s="340" t="s">
        <v>10647</v>
      </c>
      <c r="L1855" s="53" t="s">
        <v>10134</v>
      </c>
      <c r="M1855" s="53" t="s">
        <v>10615</v>
      </c>
      <c r="N1855" s="53" t="s">
        <v>10616</v>
      </c>
      <c r="O1855" s="52">
        <v>2.0</v>
      </c>
      <c r="P1855" s="1688" t="s">
        <v>10617</v>
      </c>
      <c r="Q1855" s="105" t="str">
        <f t="array" ref="Q1855"> if(iserror(MATCH(V1855, 'File Links'!C:C, 0)), "N/A", HYPERLINK(INDEX('File Links'!B:B, MATCH(P1855, 'File Links'!C:C, 0))))</f>
        <v>N/A</v>
      </c>
      <c r="R1855" s="1689" t="s">
        <v>10018</v>
      </c>
      <c r="S1855" s="53" t="s">
        <v>10019</v>
      </c>
      <c r="T1855" s="1791"/>
      <c r="U1855" s="382"/>
      <c r="V1855" s="340" t="s">
        <v>10020</v>
      </c>
      <c r="W1855" s="357"/>
      <c r="X1855" s="46" t="str">
        <f t="array" ref="X1855"> if(iserror(MATCH(V1855, 'File Links'!C:C, 0)), "N/A", HYPERLINK(INDEX('File Links'!B:B, MATCH(V1855, 'File Links'!C:C, 0))))</f>
        <v>N/A</v>
      </c>
      <c r="Y1855" s="43"/>
      <c r="Z1855" s="340" t="s">
        <v>2072</v>
      </c>
      <c r="AA1855" s="53" t="s">
        <v>10021</v>
      </c>
      <c r="AB1855" s="340" t="s">
        <v>10648</v>
      </c>
      <c r="AC1855" s="340" t="s">
        <v>10619</v>
      </c>
      <c r="AD1855" s="340" t="s">
        <v>10649</v>
      </c>
      <c r="AE1855" s="340">
        <v>7.0</v>
      </c>
      <c r="AF1855" s="344">
        <v>179.0</v>
      </c>
      <c r="AG1855" s="344" t="s">
        <v>10650</v>
      </c>
      <c r="AH1855" s="340" t="s">
        <v>127</v>
      </c>
      <c r="AI1855" s="340" t="s">
        <v>125</v>
      </c>
      <c r="AJ1855" s="344">
        <v>0.01</v>
      </c>
      <c r="AK1855" s="340" t="s">
        <v>128</v>
      </c>
      <c r="AL1855" s="340" t="s">
        <v>179</v>
      </c>
      <c r="AM1855" s="53" t="s">
        <v>130</v>
      </c>
      <c r="AN1855" s="53" t="s">
        <v>1528</v>
      </c>
      <c r="AO1855" s="344">
        <v>738.0</v>
      </c>
      <c r="AP1855" s="344">
        <v>0.061</v>
      </c>
      <c r="AQ1855" s="340" t="s">
        <v>208</v>
      </c>
      <c r="AR1855" s="340" t="s">
        <v>10137</v>
      </c>
      <c r="AS1855" s="344">
        <v>0.064</v>
      </c>
      <c r="AT1855" s="340" t="s">
        <v>165</v>
      </c>
      <c r="AU1855" s="340" t="s">
        <v>179</v>
      </c>
      <c r="AV1855" s="53" t="s">
        <v>130</v>
      </c>
      <c r="AW1855" s="1691" t="s">
        <v>10028</v>
      </c>
      <c r="AX1855" s="53" t="s">
        <v>136</v>
      </c>
      <c r="AY1855" s="339"/>
      <c r="AZ1855" s="338" t="s">
        <v>7909</v>
      </c>
    </row>
    <row r="1856">
      <c r="A1856" s="41">
        <v>1856.0</v>
      </c>
      <c r="B1856" s="126" t="s">
        <v>145</v>
      </c>
      <c r="C1856" s="59" t="s">
        <v>108</v>
      </c>
      <c r="D1856" s="59" t="s">
        <v>138</v>
      </c>
      <c r="F1856" s="126" t="s">
        <v>10651</v>
      </c>
      <c r="G1856" s="126" t="s">
        <v>10624</v>
      </c>
      <c r="H1856" s="148" t="s">
        <v>10089</v>
      </c>
      <c r="I1856" s="150">
        <v>45761.0</v>
      </c>
      <c r="J1856" s="1579">
        <v>45772.0</v>
      </c>
      <c r="K1856" s="148" t="s">
        <v>10647</v>
      </c>
      <c r="L1856" s="53" t="s">
        <v>10134</v>
      </c>
      <c r="M1856" s="126" t="s">
        <v>10615</v>
      </c>
      <c r="N1856" s="126" t="s">
        <v>10616</v>
      </c>
      <c r="O1856" s="498">
        <v>2.0</v>
      </c>
      <c r="P1856" s="525" t="s">
        <v>10617</v>
      </c>
      <c r="Q1856" s="105" t="str">
        <f t="array" ref="Q1856"> if(iserror(MATCH(V1856, 'File Links'!C:C, 0)), "N/A", HYPERLINK(INDEX('File Links'!B:B, MATCH(P1856, 'File Links'!C:C, 0))))</f>
        <v>N/A</v>
      </c>
      <c r="R1856" s="1689" t="s">
        <v>10018</v>
      </c>
      <c r="S1856" s="126" t="s">
        <v>10019</v>
      </c>
      <c r="T1856" s="1371"/>
      <c r="U1856" s="333"/>
      <c r="V1856" s="148" t="s">
        <v>10020</v>
      </c>
      <c r="W1856" s="156"/>
      <c r="X1856" s="46" t="str">
        <f t="array" ref="X1856"> if(iserror(MATCH(V1856, 'File Links'!C:C, 0)), "N/A", HYPERLINK(INDEX('File Links'!B:B, MATCH(V1856, 'File Links'!C:C, 0))))</f>
        <v>N/A</v>
      </c>
      <c r="Y1856" s="65"/>
      <c r="Z1856" s="148" t="s">
        <v>2072</v>
      </c>
      <c r="AA1856" s="53" t="s">
        <v>10021</v>
      </c>
      <c r="AB1856" s="148" t="s">
        <v>10648</v>
      </c>
      <c r="AC1856" s="148" t="s">
        <v>10626</v>
      </c>
      <c r="AD1856" s="148" t="s">
        <v>10652</v>
      </c>
      <c r="AE1856" s="148">
        <v>7.0</v>
      </c>
      <c r="AF1856" s="158">
        <v>179.0</v>
      </c>
      <c r="AG1856" s="158" t="s">
        <v>10628</v>
      </c>
      <c r="AH1856" s="148" t="s">
        <v>127</v>
      </c>
      <c r="AI1856" s="148" t="s">
        <v>125</v>
      </c>
      <c r="AJ1856" s="158">
        <v>0.05</v>
      </c>
      <c r="AK1856" s="148" t="s">
        <v>128</v>
      </c>
      <c r="AL1856" s="148" t="s">
        <v>179</v>
      </c>
      <c r="AM1856" s="126" t="s">
        <v>130</v>
      </c>
      <c r="AN1856" s="126" t="s">
        <v>1528</v>
      </c>
      <c r="AO1856" s="158">
        <v>738.0</v>
      </c>
      <c r="AP1856" s="158">
        <v>-0.007</v>
      </c>
      <c r="AQ1856" s="148" t="s">
        <v>208</v>
      </c>
      <c r="AR1856" s="148" t="s">
        <v>10137</v>
      </c>
      <c r="AS1856" s="158">
        <v>0.859</v>
      </c>
      <c r="AT1856" s="148" t="s">
        <v>165</v>
      </c>
      <c r="AU1856" s="148" t="s">
        <v>179</v>
      </c>
      <c r="AV1856" s="126" t="s">
        <v>130</v>
      </c>
      <c r="AW1856" s="1790" t="s">
        <v>10028</v>
      </c>
      <c r="AX1856" s="126" t="s">
        <v>136</v>
      </c>
      <c r="AZ1856" s="338" t="s">
        <v>7909</v>
      </c>
    </row>
    <row r="1857">
      <c r="A1857" s="41">
        <v>1857.0</v>
      </c>
      <c r="B1857" s="53" t="s">
        <v>145</v>
      </c>
      <c r="C1857" s="338" t="s">
        <v>108</v>
      </c>
      <c r="D1857" s="338" t="s">
        <v>138</v>
      </c>
      <c r="E1857" s="339"/>
      <c r="F1857" s="53" t="s">
        <v>10653</v>
      </c>
      <c r="G1857" s="53" t="s">
        <v>10631</v>
      </c>
      <c r="H1857" s="340" t="s">
        <v>10089</v>
      </c>
      <c r="I1857" s="342">
        <v>45761.0</v>
      </c>
      <c r="J1857" s="1579">
        <v>45772.0</v>
      </c>
      <c r="K1857" s="340" t="s">
        <v>10647</v>
      </c>
      <c r="L1857" s="53" t="s">
        <v>10134</v>
      </c>
      <c r="M1857" s="53" t="s">
        <v>10615</v>
      </c>
      <c r="N1857" s="53" t="s">
        <v>10616</v>
      </c>
      <c r="O1857" s="52">
        <v>2.0</v>
      </c>
      <c r="P1857" s="1688" t="s">
        <v>10617</v>
      </c>
      <c r="Q1857" s="105" t="str">
        <f t="array" ref="Q1857"> if(iserror(MATCH(V1857, 'File Links'!C:C, 0)), "N/A", HYPERLINK(INDEX('File Links'!B:B, MATCH(P1857, 'File Links'!C:C, 0))))</f>
        <v>N/A</v>
      </c>
      <c r="R1857" s="1689" t="s">
        <v>10018</v>
      </c>
      <c r="S1857" s="53" t="s">
        <v>10019</v>
      </c>
      <c r="T1857" s="1791"/>
      <c r="U1857" s="382"/>
      <c r="V1857" s="340" t="s">
        <v>10020</v>
      </c>
      <c r="W1857" s="357"/>
      <c r="X1857" s="46" t="str">
        <f t="array" ref="X1857"> if(iserror(MATCH(V1857, 'File Links'!C:C, 0)), "N/A", HYPERLINK(INDEX('File Links'!B:B, MATCH(V1857, 'File Links'!C:C, 0))))</f>
        <v>N/A</v>
      </c>
      <c r="Y1857" s="43"/>
      <c r="Z1857" s="340" t="s">
        <v>2072</v>
      </c>
      <c r="AA1857" s="53" t="s">
        <v>10021</v>
      </c>
      <c r="AB1857" s="340" t="s">
        <v>10648</v>
      </c>
      <c r="AC1857" s="340" t="s">
        <v>10634</v>
      </c>
      <c r="AD1857" s="340" t="s">
        <v>10654</v>
      </c>
      <c r="AE1857" s="340">
        <v>7.0</v>
      </c>
      <c r="AF1857" s="344">
        <v>179.0</v>
      </c>
      <c r="AG1857" s="344" t="s">
        <v>10636</v>
      </c>
      <c r="AH1857" s="340" t="s">
        <v>127</v>
      </c>
      <c r="AI1857" s="340" t="s">
        <v>125</v>
      </c>
      <c r="AJ1857" s="344">
        <v>0.01</v>
      </c>
      <c r="AK1857" s="340" t="s">
        <v>128</v>
      </c>
      <c r="AL1857" s="340" t="s">
        <v>179</v>
      </c>
      <c r="AM1857" s="53" t="s">
        <v>130</v>
      </c>
      <c r="AN1857" s="53" t="s">
        <v>1528</v>
      </c>
      <c r="AO1857" s="344">
        <v>738.0</v>
      </c>
      <c r="AP1857" s="344">
        <v>-0.031</v>
      </c>
      <c r="AQ1857" s="340" t="s">
        <v>208</v>
      </c>
      <c r="AR1857" s="340" t="s">
        <v>10137</v>
      </c>
      <c r="AS1857" s="344">
        <v>0.405</v>
      </c>
      <c r="AT1857" s="340" t="s">
        <v>165</v>
      </c>
      <c r="AU1857" s="340" t="s">
        <v>179</v>
      </c>
      <c r="AV1857" s="53" t="s">
        <v>130</v>
      </c>
      <c r="AW1857" s="1691" t="s">
        <v>10028</v>
      </c>
      <c r="AX1857" s="53" t="s">
        <v>136</v>
      </c>
      <c r="AY1857" s="339"/>
      <c r="AZ1857" s="338" t="s">
        <v>7909</v>
      </c>
    </row>
    <row r="1858">
      <c r="A1858" s="41">
        <v>1858.0</v>
      </c>
      <c r="B1858" s="1793" t="s">
        <v>107</v>
      </c>
      <c r="C1858" s="1623" t="s">
        <v>108</v>
      </c>
      <c r="D1858" s="1623" t="s">
        <v>241</v>
      </c>
      <c r="E1858" s="1120"/>
      <c r="F1858" s="1793" t="s">
        <v>10655</v>
      </c>
      <c r="G1858" s="1793" t="s">
        <v>10655</v>
      </c>
      <c r="H1858" s="488" t="s">
        <v>242</v>
      </c>
      <c r="I1858" s="1794">
        <v>45756.0</v>
      </c>
      <c r="J1858" s="1795">
        <v>45772.0</v>
      </c>
      <c r="K1858" s="488" t="s">
        <v>10656</v>
      </c>
      <c r="L1858" s="1793" t="s">
        <v>10112</v>
      </c>
      <c r="M1858" s="1793" t="s">
        <v>10657</v>
      </c>
      <c r="N1858" s="1793" t="s">
        <v>10658</v>
      </c>
      <c r="O1858" s="1796">
        <v>1.0</v>
      </c>
      <c r="P1858" s="1797" t="s">
        <v>10659</v>
      </c>
      <c r="Q1858" s="105" t="str">
        <f t="array" ref="Q1858"> if(iserror(MATCH(V1858, 'File Links'!C:C, 0)), "N/A", HYPERLINK(INDEX('File Links'!B:B, MATCH(P1858, 'File Links'!C:C, 0))))</f>
        <v>N/A</v>
      </c>
      <c r="R1858" s="1798" t="s">
        <v>10018</v>
      </c>
      <c r="S1858" s="1793" t="s">
        <v>10019</v>
      </c>
      <c r="T1858" s="1799"/>
      <c r="U1858" s="1818"/>
      <c r="V1858" s="488" t="s">
        <v>10020</v>
      </c>
      <c r="W1858" s="1626"/>
      <c r="X1858" s="46" t="str">
        <f t="array" ref="X1858"> if(iserror(MATCH(V1858, 'File Links'!C:C, 0)), "N/A", HYPERLINK(INDEX('File Links'!B:B, MATCH(V1858, 'File Links'!C:C, 0))))</f>
        <v>N/A</v>
      </c>
      <c r="Y1858" s="1624"/>
      <c r="Z1858" s="488" t="s">
        <v>2072</v>
      </c>
      <c r="AA1858" s="1793" t="s">
        <v>10021</v>
      </c>
      <c r="AB1858" s="488" t="s">
        <v>10660</v>
      </c>
      <c r="AC1858" s="488" t="s">
        <v>10661</v>
      </c>
      <c r="AD1858" s="488" t="s">
        <v>10662</v>
      </c>
      <c r="AE1858" s="488" t="s">
        <v>875</v>
      </c>
      <c r="AF1858" s="1800">
        <v>74.0</v>
      </c>
      <c r="AG1858" s="1800" t="s">
        <v>10663</v>
      </c>
      <c r="AH1858" s="488" t="s">
        <v>127</v>
      </c>
      <c r="AI1858" s="488" t="s">
        <v>10664</v>
      </c>
      <c r="AJ1858" s="1800">
        <v>0.05</v>
      </c>
      <c r="AK1858" s="488" t="s">
        <v>128</v>
      </c>
      <c r="AL1858" s="488" t="s">
        <v>179</v>
      </c>
      <c r="AM1858" s="1793" t="s">
        <v>130</v>
      </c>
      <c r="AN1858" s="1793" t="s">
        <v>131</v>
      </c>
      <c r="AO1858" s="1800">
        <v>823.0</v>
      </c>
      <c r="AP1858" s="1800">
        <v>0.001</v>
      </c>
      <c r="AQ1858" s="488" t="s">
        <v>867</v>
      </c>
      <c r="AR1858" s="488" t="s">
        <v>10665</v>
      </c>
      <c r="AS1858" s="1800">
        <v>0.531</v>
      </c>
      <c r="AT1858" s="488" t="s">
        <v>165</v>
      </c>
      <c r="AU1858" s="488" t="s">
        <v>179</v>
      </c>
      <c r="AV1858" s="1793" t="s">
        <v>130</v>
      </c>
      <c r="AW1858" s="1801" t="s">
        <v>10028</v>
      </c>
      <c r="AX1858" s="1793" t="s">
        <v>136</v>
      </c>
      <c r="AY1858" s="1120"/>
      <c r="AZ1858" s="1623" t="s">
        <v>7909</v>
      </c>
    </row>
    <row r="1859">
      <c r="A1859" s="41">
        <v>1859.0</v>
      </c>
      <c r="B1859" s="53" t="s">
        <v>107</v>
      </c>
      <c r="C1859" s="338" t="s">
        <v>108</v>
      </c>
      <c r="D1859" s="338" t="s">
        <v>241</v>
      </c>
      <c r="E1859" s="339"/>
      <c r="F1859" s="53" t="s">
        <v>10655</v>
      </c>
      <c r="G1859" s="53" t="s">
        <v>10666</v>
      </c>
      <c r="H1859" s="340" t="s">
        <v>242</v>
      </c>
      <c r="I1859" s="342">
        <v>45756.0</v>
      </c>
      <c r="J1859" s="1579">
        <v>45772.0</v>
      </c>
      <c r="K1859" s="340" t="s">
        <v>10667</v>
      </c>
      <c r="L1859" s="53" t="s">
        <v>10112</v>
      </c>
      <c r="M1859" s="53" t="s">
        <v>10657</v>
      </c>
      <c r="N1859" s="53" t="s">
        <v>10658</v>
      </c>
      <c r="O1859" s="52">
        <v>1.0</v>
      </c>
      <c r="P1859" s="1688" t="s">
        <v>10659</v>
      </c>
      <c r="Q1859" s="105" t="str">
        <f t="array" ref="Q1859"> if(iserror(MATCH(V1859, 'File Links'!C:C, 0)), "N/A", HYPERLINK(INDEX('File Links'!B:B, MATCH(P1859, 'File Links'!C:C, 0))))</f>
        <v>N/A</v>
      </c>
      <c r="R1859" s="1689" t="s">
        <v>10018</v>
      </c>
      <c r="S1859" s="53" t="s">
        <v>10019</v>
      </c>
      <c r="T1859" s="1791"/>
      <c r="U1859" s="382"/>
      <c r="V1859" s="340" t="s">
        <v>10020</v>
      </c>
      <c r="W1859" s="357"/>
      <c r="X1859" s="46" t="str">
        <f t="array" ref="X1859"> if(iserror(MATCH(V1859, 'File Links'!C:C, 0)), "N/A", HYPERLINK(INDEX('File Links'!B:B, MATCH(V1859, 'File Links'!C:C, 0))))</f>
        <v>N/A</v>
      </c>
      <c r="Y1859" s="43"/>
      <c r="Z1859" s="340" t="s">
        <v>2072</v>
      </c>
      <c r="AA1859" s="53" t="s">
        <v>10021</v>
      </c>
      <c r="AB1859" s="340" t="s">
        <v>10660</v>
      </c>
      <c r="AC1859" s="340" t="s">
        <v>10668</v>
      </c>
      <c r="AD1859" s="340" t="s">
        <v>10669</v>
      </c>
      <c r="AE1859" s="340" t="s">
        <v>875</v>
      </c>
      <c r="AF1859" s="344">
        <v>74.0</v>
      </c>
      <c r="AG1859" s="344" t="s">
        <v>10670</v>
      </c>
      <c r="AH1859" s="340" t="s">
        <v>127</v>
      </c>
      <c r="AI1859" s="340" t="s">
        <v>10671</v>
      </c>
      <c r="AJ1859" s="344">
        <v>0.01</v>
      </c>
      <c r="AK1859" s="340" t="s">
        <v>128</v>
      </c>
      <c r="AL1859" s="340" t="s">
        <v>179</v>
      </c>
      <c r="AM1859" s="53" t="s">
        <v>130</v>
      </c>
      <c r="AN1859" s="53" t="s">
        <v>131</v>
      </c>
      <c r="AO1859" s="344">
        <v>823.0</v>
      </c>
      <c r="AP1859" s="344">
        <v>0.087</v>
      </c>
      <c r="AQ1859" s="340" t="s">
        <v>867</v>
      </c>
      <c r="AR1859" s="340" t="s">
        <v>10672</v>
      </c>
      <c r="AS1859" s="344">
        <v>0.001</v>
      </c>
      <c r="AT1859" s="340" t="s">
        <v>128</v>
      </c>
      <c r="AU1859" s="340" t="s">
        <v>179</v>
      </c>
      <c r="AV1859" s="53" t="s">
        <v>130</v>
      </c>
      <c r="AW1859" s="1691" t="s">
        <v>10028</v>
      </c>
      <c r="AX1859" s="53" t="s">
        <v>136</v>
      </c>
      <c r="AY1859" s="339"/>
      <c r="AZ1859" s="338" t="s">
        <v>7909</v>
      </c>
    </row>
    <row r="1860">
      <c r="A1860" s="41">
        <v>1860.0</v>
      </c>
      <c r="B1860" s="1793" t="s">
        <v>145</v>
      </c>
      <c r="C1860" s="1623" t="s">
        <v>108</v>
      </c>
      <c r="D1860" s="1623" t="s">
        <v>138</v>
      </c>
      <c r="E1860" s="1120"/>
      <c r="F1860" s="1793" t="s">
        <v>10655</v>
      </c>
      <c r="G1860" s="1793" t="s">
        <v>10673</v>
      </c>
      <c r="H1860" s="488" t="s">
        <v>10089</v>
      </c>
      <c r="I1860" s="1794">
        <v>45761.0</v>
      </c>
      <c r="J1860" s="1795">
        <v>45772.0</v>
      </c>
      <c r="K1860" s="1626"/>
      <c r="L1860" s="1793" t="s">
        <v>10134</v>
      </c>
      <c r="M1860" s="1793" t="s">
        <v>10657</v>
      </c>
      <c r="N1860" s="1793" t="s">
        <v>10658</v>
      </c>
      <c r="O1860" s="1796">
        <v>1.0</v>
      </c>
      <c r="P1860" s="1797" t="s">
        <v>10659</v>
      </c>
      <c r="Q1860" s="105" t="str">
        <f t="array" ref="Q1860"> if(iserror(MATCH(V1860, 'File Links'!C:C, 0)), "N/A", HYPERLINK(INDEX('File Links'!B:B, MATCH(P1860, 'File Links'!C:C, 0))))</f>
        <v>N/A</v>
      </c>
      <c r="R1860" s="1798" t="s">
        <v>10018</v>
      </c>
      <c r="S1860" s="1793" t="s">
        <v>10019</v>
      </c>
      <c r="T1860" s="1799"/>
      <c r="U1860" s="1818"/>
      <c r="V1860" s="488" t="s">
        <v>10020</v>
      </c>
      <c r="W1860" s="1626"/>
      <c r="X1860" s="46" t="str">
        <f t="array" ref="X1860"> if(iserror(MATCH(V1860, 'File Links'!C:C, 0)), "N/A", HYPERLINK(INDEX('File Links'!B:B, MATCH(V1860, 'File Links'!C:C, 0))))</f>
        <v>N/A</v>
      </c>
      <c r="Y1860" s="1624"/>
      <c r="Z1860" s="488" t="s">
        <v>2072</v>
      </c>
      <c r="AA1860" s="1793" t="s">
        <v>10021</v>
      </c>
      <c r="AB1860" s="488" t="s">
        <v>10660</v>
      </c>
      <c r="AC1860" s="488" t="s">
        <v>10674</v>
      </c>
      <c r="AD1860" s="488" t="s">
        <v>10675</v>
      </c>
      <c r="AE1860" s="488">
        <v>5.0</v>
      </c>
      <c r="AF1860" s="1800">
        <v>74.0</v>
      </c>
      <c r="AG1860" s="1800" t="s">
        <v>10663</v>
      </c>
      <c r="AH1860" s="488" t="s">
        <v>127</v>
      </c>
      <c r="AI1860" s="488" t="s">
        <v>806</v>
      </c>
      <c r="AJ1860" s="1800">
        <v>0.05</v>
      </c>
      <c r="AK1860" s="488" t="s">
        <v>128</v>
      </c>
      <c r="AL1860" s="488" t="s">
        <v>179</v>
      </c>
      <c r="AM1860" s="1793" t="s">
        <v>130</v>
      </c>
      <c r="AN1860" s="1793" t="s">
        <v>1528</v>
      </c>
      <c r="AO1860" s="1800">
        <v>823.0</v>
      </c>
      <c r="AP1860" s="1800">
        <v>0.022</v>
      </c>
      <c r="AQ1860" s="488" t="s">
        <v>208</v>
      </c>
      <c r="AR1860" s="488" t="s">
        <v>10137</v>
      </c>
      <c r="AS1860" s="1800">
        <v>0.531</v>
      </c>
      <c r="AT1860" s="488" t="s">
        <v>165</v>
      </c>
      <c r="AU1860" s="488" t="s">
        <v>179</v>
      </c>
      <c r="AV1860" s="1793" t="s">
        <v>130</v>
      </c>
      <c r="AW1860" s="1801" t="s">
        <v>10028</v>
      </c>
      <c r="AX1860" s="1793" t="s">
        <v>136</v>
      </c>
      <c r="AY1860" s="1120"/>
      <c r="AZ1860" s="1623" t="s">
        <v>7909</v>
      </c>
    </row>
    <row r="1861">
      <c r="A1861" s="41">
        <v>1861.0</v>
      </c>
      <c r="B1861" s="53" t="s">
        <v>145</v>
      </c>
      <c r="C1861" s="338" t="s">
        <v>108</v>
      </c>
      <c r="D1861" s="338" t="s">
        <v>138</v>
      </c>
      <c r="E1861" s="339"/>
      <c r="F1861" s="53" t="s">
        <v>10676</v>
      </c>
      <c r="G1861" s="53" t="s">
        <v>10666</v>
      </c>
      <c r="H1861" s="340" t="s">
        <v>10089</v>
      </c>
      <c r="I1861" s="342">
        <v>45761.0</v>
      </c>
      <c r="J1861" s="1579">
        <v>45772.0</v>
      </c>
      <c r="K1861" s="357"/>
      <c r="L1861" s="53" t="s">
        <v>10134</v>
      </c>
      <c r="M1861" s="53" t="s">
        <v>10657</v>
      </c>
      <c r="N1861" s="53" t="s">
        <v>10658</v>
      </c>
      <c r="O1861" s="52">
        <v>1.0</v>
      </c>
      <c r="P1861" s="1688" t="s">
        <v>10659</v>
      </c>
      <c r="Q1861" s="105" t="str">
        <f t="array" ref="Q1861"> if(iserror(MATCH(V1861, 'File Links'!C:C, 0)), "N/A", HYPERLINK(INDEX('File Links'!B:B, MATCH(P1861, 'File Links'!C:C, 0))))</f>
        <v>N/A</v>
      </c>
      <c r="R1861" s="1689" t="s">
        <v>10018</v>
      </c>
      <c r="S1861" s="53" t="s">
        <v>10019</v>
      </c>
      <c r="T1861" s="1791"/>
      <c r="U1861" s="382"/>
      <c r="V1861" s="340" t="s">
        <v>10020</v>
      </c>
      <c r="W1861" s="357"/>
      <c r="X1861" s="46" t="str">
        <f t="array" ref="X1861"> if(iserror(MATCH(V1861, 'File Links'!C:C, 0)), "N/A", HYPERLINK(INDEX('File Links'!B:B, MATCH(V1861, 'File Links'!C:C, 0))))</f>
        <v>N/A</v>
      </c>
      <c r="Y1861" s="43"/>
      <c r="Z1861" s="340" t="s">
        <v>2072</v>
      </c>
      <c r="AA1861" s="53" t="s">
        <v>10021</v>
      </c>
      <c r="AB1861" s="340" t="s">
        <v>10660</v>
      </c>
      <c r="AC1861" s="340" t="s">
        <v>10668</v>
      </c>
      <c r="AD1861" s="340" t="s">
        <v>10677</v>
      </c>
      <c r="AE1861" s="340">
        <v>5.0</v>
      </c>
      <c r="AF1861" s="344">
        <v>74.0</v>
      </c>
      <c r="AG1861" s="344" t="s">
        <v>10670</v>
      </c>
      <c r="AH1861" s="340" t="s">
        <v>127</v>
      </c>
      <c r="AI1861" s="340" t="s">
        <v>806</v>
      </c>
      <c r="AJ1861" s="344">
        <v>0.01</v>
      </c>
      <c r="AK1861" s="340" t="s">
        <v>128</v>
      </c>
      <c r="AL1861" s="340" t="s">
        <v>179</v>
      </c>
      <c r="AM1861" s="53" t="s">
        <v>130</v>
      </c>
      <c r="AN1861" s="53" t="s">
        <v>1528</v>
      </c>
      <c r="AO1861" s="344">
        <v>823.0</v>
      </c>
      <c r="AP1861" s="344">
        <v>0.294</v>
      </c>
      <c r="AQ1861" s="340" t="s">
        <v>208</v>
      </c>
      <c r="AR1861" s="340" t="s">
        <v>10137</v>
      </c>
      <c r="AS1861" s="344">
        <v>0.001</v>
      </c>
      <c r="AT1861" s="340" t="s">
        <v>128</v>
      </c>
      <c r="AU1861" s="340" t="s">
        <v>179</v>
      </c>
      <c r="AV1861" s="53" t="s">
        <v>130</v>
      </c>
      <c r="AW1861" s="1691" t="s">
        <v>10028</v>
      </c>
      <c r="AX1861" s="53" t="s">
        <v>136</v>
      </c>
      <c r="AY1861" s="339"/>
      <c r="AZ1861" s="338" t="s">
        <v>7909</v>
      </c>
    </row>
    <row r="1862">
      <c r="A1862" s="41">
        <v>1862.0</v>
      </c>
      <c r="B1862" s="59" t="s">
        <v>107</v>
      </c>
      <c r="C1862" s="59" t="s">
        <v>108</v>
      </c>
      <c r="D1862" s="59" t="s">
        <v>1263</v>
      </c>
      <c r="E1862" s="1819"/>
      <c r="F1862" s="140" t="s">
        <v>10678</v>
      </c>
      <c r="G1862" s="140" t="s">
        <v>10679</v>
      </c>
      <c r="H1862" s="140" t="s">
        <v>10680</v>
      </c>
      <c r="I1862" s="1819" t="s">
        <v>112</v>
      </c>
      <c r="J1862" s="1820">
        <v>45734.0</v>
      </c>
      <c r="K1862" s="140" t="s">
        <v>10681</v>
      </c>
      <c r="L1862" s="140"/>
      <c r="M1862" s="1821" t="s">
        <v>10682</v>
      </c>
      <c r="N1862" s="140" t="s">
        <v>10683</v>
      </c>
      <c r="O1862" s="1822">
        <v>3.0</v>
      </c>
      <c r="P1862" s="1823" t="s">
        <v>10684</v>
      </c>
      <c r="Q1862" s="105" t="str">
        <f t="array" ref="Q1862"> if(iserror(MATCH(V1862, 'File Links'!C:C, 0)), "N/A", HYPERLINK(INDEX('File Links'!B:B, MATCH(P1862, 'File Links'!C:C, 0))))</f>
        <v>N/A</v>
      </c>
      <c r="R1862" s="1824" t="s">
        <v>10685</v>
      </c>
      <c r="S1862" s="140" t="s">
        <v>10686</v>
      </c>
      <c r="T1862" s="1825" t="s">
        <v>10687</v>
      </c>
      <c r="U1862" s="1826" t="s">
        <v>10688</v>
      </c>
      <c r="V1862" s="195" t="str">
        <f> hyperlink(vlookup(lower(T1862),#REF!, 2, FALSE), SUBSTITUTE(lower(T1862), "/", "--") &amp;  ".pdf")</f>
        <v>https:----osf.io--janu3.pdf</v>
      </c>
      <c r="W1862" s="140" t="s">
        <v>3563</v>
      </c>
      <c r="X1862" s="46" t="str">
        <f t="array" ref="X1862"> if(iserror(MATCH(V1862, 'File Links'!C:C, 0)), "N/A", HYPERLINK(INDEX('File Links'!B:B, MATCH(V1862, 'File Links'!C:C, 0))))</f>
        <v>N/A</v>
      </c>
      <c r="Z1862" s="140" t="s">
        <v>141</v>
      </c>
      <c r="AA1862" s="1827" t="s">
        <v>10689</v>
      </c>
      <c r="AB1862" s="140" t="s">
        <v>10690</v>
      </c>
      <c r="AC1862" s="140" t="s">
        <v>10691</v>
      </c>
      <c r="AD1862" s="140" t="s">
        <v>10692</v>
      </c>
      <c r="AE1862" s="1822">
        <v>10.0</v>
      </c>
      <c r="AF1862" s="1822">
        <v>24.0</v>
      </c>
      <c r="AG1862" s="1822" t="s">
        <v>10693</v>
      </c>
      <c r="AH1862" s="140" t="s">
        <v>127</v>
      </c>
      <c r="AI1862" s="140" t="s">
        <v>625</v>
      </c>
      <c r="AJ1862" s="1828">
        <v>0.02</v>
      </c>
      <c r="AK1862" s="140" t="s">
        <v>165</v>
      </c>
      <c r="AL1862" s="140" t="s">
        <v>179</v>
      </c>
      <c r="AM1862" s="1819" t="s">
        <v>134</v>
      </c>
      <c r="AN1862" s="327" t="s">
        <v>131</v>
      </c>
      <c r="AO1862" s="1822">
        <v>29.0</v>
      </c>
      <c r="AP1862" s="1827">
        <v>0.02</v>
      </c>
      <c r="AQ1862" s="140" t="s">
        <v>867</v>
      </c>
      <c r="AR1862" s="140" t="s">
        <v>806</v>
      </c>
      <c r="AS1862" s="1822">
        <v>0.435</v>
      </c>
      <c r="AT1862" s="140" t="s">
        <v>165</v>
      </c>
      <c r="AU1862" s="140" t="s">
        <v>179</v>
      </c>
      <c r="AV1862" s="1819" t="s">
        <v>134</v>
      </c>
      <c r="AW1862" s="1829" t="s">
        <v>10694</v>
      </c>
      <c r="AX1862" s="1819" t="s">
        <v>136</v>
      </c>
      <c r="AZ1862" s="1819" t="s">
        <v>10695</v>
      </c>
    </row>
    <row r="1863">
      <c r="A1863" s="41">
        <v>1863.0</v>
      </c>
      <c r="B1863" s="59" t="s">
        <v>145</v>
      </c>
      <c r="C1863" s="59" t="s">
        <v>108</v>
      </c>
      <c r="D1863" s="59" t="s">
        <v>146</v>
      </c>
      <c r="E1863" s="1819"/>
      <c r="F1863" s="140" t="s">
        <v>10678</v>
      </c>
      <c r="G1863" s="140" t="s">
        <v>10679</v>
      </c>
      <c r="H1863" s="140" t="s">
        <v>146</v>
      </c>
      <c r="I1863" s="1819" t="s">
        <v>10696</v>
      </c>
      <c r="J1863" s="1820">
        <v>45734.0</v>
      </c>
      <c r="K1863" s="140" t="s">
        <v>10697</v>
      </c>
      <c r="L1863" s="140" t="s">
        <v>10698</v>
      </c>
      <c r="M1863" s="1821" t="s">
        <v>10682</v>
      </c>
      <c r="N1863" s="140" t="s">
        <v>10683</v>
      </c>
      <c r="O1863" s="1822">
        <v>3.0</v>
      </c>
      <c r="P1863" s="1823" t="s">
        <v>10684</v>
      </c>
      <c r="Q1863" s="49" t="str">
        <f t="array" ref="Q1863"> if(iserror(MATCH(V1863, 'File Links'!C:C, 0)), "N/A", HYPERLINK(INDEX('File Links'!B:B, MATCH(P1863, 'File Links'!C:C, 0))))</f>
        <v>https://drive.google.com/file/d/10N0LzNT1GTgGgvA6UUZUXzIdwFBBm26w/view?usp=drivesdk</v>
      </c>
      <c r="R1863" s="140" t="s">
        <v>10688</v>
      </c>
      <c r="S1863" s="140" t="s">
        <v>10686</v>
      </c>
      <c r="T1863" s="1825" t="s">
        <v>10687</v>
      </c>
      <c r="U1863" s="1830">
        <v>1.0</v>
      </c>
      <c r="V1863" s="195" t="str">
        <f t="shared" ref="V1863:V1913" si="121"> hyperlink(vlookup(lower(S1863),#REF!, 2, FALSE), SUBSTITUTE(lower(S1863), "/", "--") &amp;  ".pdf")</f>
        <v>10.1126--science.aac4716.pdf</v>
      </c>
      <c r="W1863" s="140" t="s">
        <v>3563</v>
      </c>
      <c r="X1863" s="51" t="str">
        <f t="array" ref="X1863"> if(iserror(MATCH(V1863, 'File Links'!C:C, 0)), "N/A", HYPERLINK(INDEX('File Links'!B:B, MATCH(V1863, 'File Links'!C:C, 0))))</f>
        <v>https://drive.google.com/file/d/1UMAh9VGta6ExS2-Lb6GkDF4fmnI2EMeM/view?usp=drivesdk</v>
      </c>
      <c r="Z1863" s="140" t="s">
        <v>141</v>
      </c>
      <c r="AA1863" s="140" t="s">
        <v>10689</v>
      </c>
      <c r="AB1863" s="140" t="s">
        <v>10699</v>
      </c>
      <c r="AC1863" s="1831" t="s">
        <v>10691</v>
      </c>
      <c r="AD1863" s="140" t="s">
        <v>10700</v>
      </c>
      <c r="AE1863" s="1822">
        <v>10.0</v>
      </c>
      <c r="AF1863" s="1830">
        <v>24.0</v>
      </c>
      <c r="AG1863" s="1822" t="s">
        <v>10693</v>
      </c>
      <c r="AH1863" s="140" t="s">
        <v>127</v>
      </c>
      <c r="AI1863" s="140" t="s">
        <v>625</v>
      </c>
      <c r="AJ1863" s="1822">
        <v>0.02</v>
      </c>
      <c r="AK1863" s="140" t="s">
        <v>165</v>
      </c>
      <c r="AL1863" s="140" t="s">
        <v>179</v>
      </c>
      <c r="AM1863" s="1819" t="s">
        <v>134</v>
      </c>
      <c r="AN1863" s="327" t="s">
        <v>131</v>
      </c>
      <c r="AO1863" s="1830">
        <v>29.0</v>
      </c>
      <c r="AP1863" s="1830">
        <v>0.02</v>
      </c>
      <c r="AQ1863" s="140" t="s">
        <v>132</v>
      </c>
      <c r="AR1863" s="140" t="s">
        <v>806</v>
      </c>
      <c r="AS1863" s="1822">
        <v>0.435</v>
      </c>
      <c r="AT1863" s="140" t="s">
        <v>165</v>
      </c>
      <c r="AU1863" s="140" t="s">
        <v>179</v>
      </c>
      <c r="AV1863" s="1819" t="s">
        <v>134</v>
      </c>
      <c r="AW1863" s="1829" t="s">
        <v>10701</v>
      </c>
      <c r="AX1863" s="1819" t="s">
        <v>136</v>
      </c>
      <c r="AZ1863" s="1819" t="s">
        <v>10695</v>
      </c>
    </row>
    <row r="1864">
      <c r="A1864" s="41">
        <v>1864.0</v>
      </c>
      <c r="B1864" s="126" t="s">
        <v>145</v>
      </c>
      <c r="C1864" s="59" t="s">
        <v>108</v>
      </c>
      <c r="D1864" s="59" t="s">
        <v>1263</v>
      </c>
      <c r="E1864" s="1819"/>
      <c r="F1864" s="140" t="s">
        <v>10702</v>
      </c>
      <c r="G1864" s="140" t="s">
        <v>10703</v>
      </c>
      <c r="H1864" s="140" t="s">
        <v>10704</v>
      </c>
      <c r="I1864" s="1830" t="s">
        <v>10705</v>
      </c>
      <c r="J1864" s="1820">
        <v>45734.0</v>
      </c>
      <c r="K1864" s="1832"/>
      <c r="L1864" s="1819" t="s">
        <v>10706</v>
      </c>
      <c r="M1864" s="1833" t="s">
        <v>10707</v>
      </c>
      <c r="N1864" s="140" t="s">
        <v>10708</v>
      </c>
      <c r="O1864" s="1822">
        <v>2.0</v>
      </c>
      <c r="P1864" s="1834" t="s">
        <v>10709</v>
      </c>
      <c r="Q1864" s="49" t="str">
        <f t="array" ref="Q1864"> if(iserror(MATCH(V1864, 'File Links'!C:C, 0)), "N/A", HYPERLINK(INDEX('File Links'!B:B, MATCH(P1864, 'File Links'!C:C, 0))))</f>
        <v>https://drive.google.com/file/d/1dnoOFsITQ-OlW3SSnEP3gasruwHVCneM/view?usp=drivesdk</v>
      </c>
      <c r="R1864" s="140" t="s">
        <v>10710</v>
      </c>
      <c r="S1864" s="140" t="s">
        <v>10686</v>
      </c>
      <c r="T1864" s="1825" t="s">
        <v>10711</v>
      </c>
      <c r="U1864" s="1835">
        <v>1.0</v>
      </c>
      <c r="V1864" s="195" t="str">
        <f t="shared" si="121"/>
        <v>10.1126--science.aac4716.pdf</v>
      </c>
      <c r="W1864" s="140" t="s">
        <v>3563</v>
      </c>
      <c r="X1864" s="51" t="str">
        <f t="array" ref="X1864"> if(iserror(MATCH(V1864, 'File Links'!C:C, 0)), "N/A", HYPERLINK(INDEX('File Links'!B:B, MATCH(V1864, 'File Links'!C:C, 0))))</f>
        <v>https://drive.google.com/file/d/1UMAh9VGta6ExS2-Lb6GkDF4fmnI2EMeM/view?usp=drivesdk</v>
      </c>
      <c r="Z1864" s="140" t="s">
        <v>141</v>
      </c>
      <c r="AA1864" s="140" t="s">
        <v>10712</v>
      </c>
      <c r="AB1864" s="140" t="s">
        <v>10713</v>
      </c>
      <c r="AC1864" s="140" t="s">
        <v>10714</v>
      </c>
      <c r="AD1864" s="140" t="s">
        <v>10715</v>
      </c>
      <c r="AE1864" s="1831">
        <v>5.0</v>
      </c>
      <c r="AF1864" s="1822">
        <v>32.0</v>
      </c>
      <c r="AG1864" s="1822" t="s">
        <v>10716</v>
      </c>
      <c r="AH1864" s="140" t="s">
        <v>127</v>
      </c>
      <c r="AI1864" s="140" t="s">
        <v>806</v>
      </c>
      <c r="AJ1864" s="1822">
        <v>0.001</v>
      </c>
      <c r="AK1864" s="140" t="s">
        <v>128</v>
      </c>
      <c r="AL1864" s="140" t="s">
        <v>179</v>
      </c>
      <c r="AM1864" s="1819" t="s">
        <v>130</v>
      </c>
      <c r="AN1864" s="327" t="s">
        <v>131</v>
      </c>
      <c r="AO1864" s="1830">
        <v>32.0</v>
      </c>
      <c r="AP1864" s="1830" t="s">
        <v>10717</v>
      </c>
      <c r="AQ1864" s="140" t="s">
        <v>127</v>
      </c>
      <c r="AR1864" s="140" t="s">
        <v>210</v>
      </c>
      <c r="AS1864" s="1822">
        <v>0.001</v>
      </c>
      <c r="AT1864" s="140" t="s">
        <v>128</v>
      </c>
      <c r="AU1864" s="1831" t="s">
        <v>179</v>
      </c>
      <c r="AV1864" s="1819" t="s">
        <v>130</v>
      </c>
      <c r="AW1864" s="1829" t="s">
        <v>10718</v>
      </c>
      <c r="AX1864" s="1819" t="s">
        <v>136</v>
      </c>
      <c r="AZ1864" s="1819" t="s">
        <v>10695</v>
      </c>
    </row>
    <row r="1865">
      <c r="A1865" s="41">
        <v>1865.0</v>
      </c>
      <c r="B1865" s="59" t="s">
        <v>107</v>
      </c>
      <c r="C1865" s="59" t="s">
        <v>108</v>
      </c>
      <c r="D1865" s="59" t="s">
        <v>146</v>
      </c>
      <c r="E1865" s="1819"/>
      <c r="F1865" s="140" t="s">
        <v>10702</v>
      </c>
      <c r="G1865" s="140" t="s">
        <v>10703</v>
      </c>
      <c r="H1865" s="140" t="s">
        <v>146</v>
      </c>
      <c r="I1865" s="1819" t="s">
        <v>10696</v>
      </c>
      <c r="J1865" s="1820">
        <v>45734.0</v>
      </c>
      <c r="K1865" s="1819" t="s">
        <v>10719</v>
      </c>
      <c r="L1865" s="1819"/>
      <c r="M1865" s="1821" t="s">
        <v>10707</v>
      </c>
      <c r="N1865" s="140" t="s">
        <v>10708</v>
      </c>
      <c r="O1865" s="1822">
        <v>2.0</v>
      </c>
      <c r="P1865" s="1823" t="s">
        <v>10709</v>
      </c>
      <c r="Q1865" s="49" t="str">
        <f t="array" ref="Q1865"> if(iserror(MATCH(V1865, 'File Links'!C:C, 0)), "N/A", HYPERLINK(INDEX('File Links'!B:B, MATCH(P1865, 'File Links'!C:C, 0))))</f>
        <v>https://drive.google.com/file/d/1dnoOFsITQ-OlW3SSnEP3gasruwHVCneM/view?usp=drivesdk</v>
      </c>
      <c r="R1865" s="140" t="s">
        <v>10710</v>
      </c>
      <c r="S1865" s="140" t="s">
        <v>10686</v>
      </c>
      <c r="T1865" s="1825" t="s">
        <v>10711</v>
      </c>
      <c r="U1865" s="1830">
        <v>1.0</v>
      </c>
      <c r="V1865" s="195" t="str">
        <f t="shared" si="121"/>
        <v>10.1126--science.aac4716.pdf</v>
      </c>
      <c r="W1865" s="140" t="s">
        <v>3563</v>
      </c>
      <c r="X1865" s="51" t="str">
        <f t="array" ref="X1865"> if(iserror(MATCH(V1865, 'File Links'!C:C, 0)), "N/A", HYPERLINK(INDEX('File Links'!B:B, MATCH(V1865, 'File Links'!C:C, 0))))</f>
        <v>https://drive.google.com/file/d/1UMAh9VGta6ExS2-Lb6GkDF4fmnI2EMeM/view?usp=drivesdk</v>
      </c>
      <c r="Z1865" s="140" t="s">
        <v>141</v>
      </c>
      <c r="AA1865" s="1831" t="s">
        <v>10712</v>
      </c>
      <c r="AB1865" s="140" t="s">
        <v>10720</v>
      </c>
      <c r="AC1865" s="1831" t="s">
        <v>10714</v>
      </c>
      <c r="AD1865" s="140" t="s">
        <v>10721</v>
      </c>
      <c r="AE1865" s="1822">
        <v>5.0</v>
      </c>
      <c r="AF1865" s="1822">
        <v>32.0</v>
      </c>
      <c r="AG1865" s="1822" t="s">
        <v>10716</v>
      </c>
      <c r="AH1865" s="140" t="s">
        <v>127</v>
      </c>
      <c r="AI1865" s="140" t="s">
        <v>806</v>
      </c>
      <c r="AJ1865" s="1822">
        <v>0.001</v>
      </c>
      <c r="AK1865" s="140" t="s">
        <v>128</v>
      </c>
      <c r="AL1865" s="1831" t="s">
        <v>179</v>
      </c>
      <c r="AM1865" s="1819" t="s">
        <v>130</v>
      </c>
      <c r="AN1865" s="327" t="s">
        <v>131</v>
      </c>
      <c r="AO1865" s="1830">
        <v>32.0</v>
      </c>
      <c r="AP1865" s="1830" t="s">
        <v>10717</v>
      </c>
      <c r="AQ1865" s="140" t="s">
        <v>127</v>
      </c>
      <c r="AR1865" s="140" t="s">
        <v>210</v>
      </c>
      <c r="AS1865" s="1822">
        <v>0.001</v>
      </c>
      <c r="AT1865" s="1831" t="s">
        <v>128</v>
      </c>
      <c r="AU1865" s="1831" t="s">
        <v>179</v>
      </c>
      <c r="AV1865" s="1819" t="s">
        <v>130</v>
      </c>
      <c r="AW1865" s="1829" t="s">
        <v>10722</v>
      </c>
      <c r="AX1865" s="1819" t="s">
        <v>136</v>
      </c>
      <c r="AZ1865" s="1819" t="s">
        <v>10695</v>
      </c>
    </row>
    <row r="1866">
      <c r="A1866" s="41">
        <v>1866.0</v>
      </c>
      <c r="B1866" s="126" t="s">
        <v>145</v>
      </c>
      <c r="C1866" s="59" t="s">
        <v>108</v>
      </c>
      <c r="D1866" s="59" t="s">
        <v>1263</v>
      </c>
      <c r="E1866" s="1819"/>
      <c r="F1866" s="140" t="s">
        <v>10723</v>
      </c>
      <c r="G1866" s="140" t="s">
        <v>10724</v>
      </c>
      <c r="H1866" s="140" t="s">
        <v>10725</v>
      </c>
      <c r="I1866" s="1830" t="s">
        <v>10705</v>
      </c>
      <c r="J1866" s="1820">
        <v>45734.0</v>
      </c>
      <c r="K1866" s="1832"/>
      <c r="L1866" s="1819" t="s">
        <v>10726</v>
      </c>
      <c r="M1866" s="1833" t="s">
        <v>10727</v>
      </c>
      <c r="N1866" s="140" t="s">
        <v>10728</v>
      </c>
      <c r="O1866" s="1822" t="s">
        <v>3579</v>
      </c>
      <c r="P1866" s="1834" t="s">
        <v>10729</v>
      </c>
      <c r="Q1866" s="49" t="str">
        <f t="array" ref="Q1866"> if(iserror(MATCH(V1866, 'File Links'!C:C, 0)), "N/A", HYPERLINK(INDEX('File Links'!B:B, MATCH(P1866, 'File Links'!C:C, 0))))</f>
        <v>https://drive.google.com/file/d/1mWHWKkVq6BilZwniJ1YPf3kKFnahjts7/view?usp=drivesdk</v>
      </c>
      <c r="R1866" s="140" t="s">
        <v>10730</v>
      </c>
      <c r="S1866" s="140" t="s">
        <v>10686</v>
      </c>
      <c r="T1866" s="1825" t="s">
        <v>10731</v>
      </c>
      <c r="U1866" s="1835">
        <v>1.0</v>
      </c>
      <c r="V1866" s="195" t="str">
        <f t="shared" si="121"/>
        <v>10.1126--science.aac4716.pdf</v>
      </c>
      <c r="W1866" s="140" t="s">
        <v>3563</v>
      </c>
      <c r="X1866" s="51" t="str">
        <f t="array" ref="X1866"> if(iserror(MATCH(V1866, 'File Links'!C:C, 0)), "N/A", HYPERLINK(INDEX('File Links'!B:B, MATCH(V1866, 'File Links'!C:C, 0))))</f>
        <v>https://drive.google.com/file/d/1UMAh9VGta6ExS2-Lb6GkDF4fmnI2EMeM/view?usp=drivesdk</v>
      </c>
      <c r="Z1866" s="140" t="s">
        <v>219</v>
      </c>
      <c r="AA1866" s="140" t="s">
        <v>10732</v>
      </c>
      <c r="AB1866" s="140" t="s">
        <v>10733</v>
      </c>
      <c r="AC1866" s="140" t="s">
        <v>10734</v>
      </c>
      <c r="AD1866" s="140" t="s">
        <v>10735</v>
      </c>
      <c r="AE1866" s="1822">
        <v>4.0</v>
      </c>
      <c r="AF1866" s="1822">
        <v>236.0</v>
      </c>
      <c r="AG1866" s="1822">
        <v>0.13</v>
      </c>
      <c r="AH1866" s="140" t="s">
        <v>7758</v>
      </c>
      <c r="AI1866" s="140" t="s">
        <v>10736</v>
      </c>
      <c r="AJ1866" s="1822">
        <v>0.05</v>
      </c>
      <c r="AK1866" s="140" t="s">
        <v>165</v>
      </c>
      <c r="AL1866" s="140" t="s">
        <v>179</v>
      </c>
      <c r="AM1866" s="1819" t="s">
        <v>130</v>
      </c>
      <c r="AN1866" s="327" t="s">
        <v>131</v>
      </c>
      <c r="AO1866" s="1830">
        <v>1146.0</v>
      </c>
      <c r="AP1866" s="1830">
        <v>0.02</v>
      </c>
      <c r="AQ1866" s="140" t="s">
        <v>7758</v>
      </c>
      <c r="AR1866" s="140" t="s">
        <v>10737</v>
      </c>
      <c r="AS1866" s="1822">
        <v>0.53</v>
      </c>
      <c r="AT1866" s="140" t="s">
        <v>165</v>
      </c>
      <c r="AU1866" s="140" t="s">
        <v>179</v>
      </c>
      <c r="AV1866" s="1819" t="s">
        <v>130</v>
      </c>
      <c r="AW1866" s="1829" t="s">
        <v>10738</v>
      </c>
      <c r="AX1866" s="1819" t="s">
        <v>136</v>
      </c>
      <c r="AZ1866" s="1819" t="s">
        <v>10695</v>
      </c>
    </row>
    <row r="1867">
      <c r="A1867" s="41">
        <v>1867.0</v>
      </c>
      <c r="B1867" s="59" t="s">
        <v>107</v>
      </c>
      <c r="C1867" s="59" t="s">
        <v>108</v>
      </c>
      <c r="D1867" s="59" t="s">
        <v>146</v>
      </c>
      <c r="E1867" s="1819"/>
      <c r="F1867" s="140" t="s">
        <v>10723</v>
      </c>
      <c r="G1867" s="140" t="s">
        <v>10724</v>
      </c>
      <c r="H1867" s="140" t="s">
        <v>146</v>
      </c>
      <c r="I1867" s="1819" t="s">
        <v>10696</v>
      </c>
      <c r="J1867" s="1820">
        <v>45734.0</v>
      </c>
      <c r="K1867" s="140" t="s">
        <v>10739</v>
      </c>
      <c r="L1867" s="140"/>
      <c r="M1867" s="1821" t="s">
        <v>10727</v>
      </c>
      <c r="N1867" s="140" t="s">
        <v>10728</v>
      </c>
      <c r="O1867" s="1836" t="s">
        <v>3579</v>
      </c>
      <c r="P1867" s="1823" t="s">
        <v>10729</v>
      </c>
      <c r="Q1867" s="49" t="str">
        <f t="array" ref="Q1867"> if(iserror(MATCH(V1867, 'File Links'!C:C, 0)), "N/A", HYPERLINK(INDEX('File Links'!B:B, MATCH(P1867, 'File Links'!C:C, 0))))</f>
        <v>https://drive.google.com/file/d/1mWHWKkVq6BilZwniJ1YPf3kKFnahjts7/view?usp=drivesdk</v>
      </c>
      <c r="R1867" s="140" t="s">
        <v>10730</v>
      </c>
      <c r="S1867" s="140" t="s">
        <v>10686</v>
      </c>
      <c r="T1867" s="1825" t="s">
        <v>10731</v>
      </c>
      <c r="U1867" s="1837">
        <v>1.0</v>
      </c>
      <c r="V1867" s="195" t="str">
        <f t="shared" si="121"/>
        <v>10.1126--science.aac4716.pdf</v>
      </c>
      <c r="W1867" s="140" t="s">
        <v>3563</v>
      </c>
      <c r="X1867" s="51" t="str">
        <f t="array" ref="X1867"> if(iserror(MATCH(V1867, 'File Links'!C:C, 0)), "N/A", HYPERLINK(INDEX('File Links'!B:B, MATCH(V1867, 'File Links'!C:C, 0))))</f>
        <v>https://drive.google.com/file/d/1UMAh9VGta6ExS2-Lb6GkDF4fmnI2EMeM/view?usp=drivesdk</v>
      </c>
      <c r="Z1867" s="140" t="s">
        <v>219</v>
      </c>
      <c r="AA1867" s="140" t="s">
        <v>10732</v>
      </c>
      <c r="AB1867" s="140" t="s">
        <v>10740</v>
      </c>
      <c r="AC1867" s="1831" t="s">
        <v>10734</v>
      </c>
      <c r="AD1867" s="140" t="s">
        <v>10741</v>
      </c>
      <c r="AE1867" s="1822">
        <v>4.0</v>
      </c>
      <c r="AF1867" s="1822">
        <v>236.0</v>
      </c>
      <c r="AG1867" s="1822">
        <v>0.13</v>
      </c>
      <c r="AH1867" s="140" t="s">
        <v>7758</v>
      </c>
      <c r="AI1867" s="140" t="s">
        <v>843</v>
      </c>
      <c r="AJ1867" s="1830">
        <v>0.05</v>
      </c>
      <c r="AK1867" s="140" t="s">
        <v>165</v>
      </c>
      <c r="AL1867" s="140" t="s">
        <v>179</v>
      </c>
      <c r="AM1867" s="1819" t="s">
        <v>130</v>
      </c>
      <c r="AN1867" s="327" t="s">
        <v>131</v>
      </c>
      <c r="AO1867" s="1822">
        <v>1146.0</v>
      </c>
      <c r="AP1867" s="1822">
        <v>0.02</v>
      </c>
      <c r="AQ1867" s="140" t="s">
        <v>7758</v>
      </c>
      <c r="AR1867" s="140" t="s">
        <v>806</v>
      </c>
      <c r="AS1867" s="1822">
        <v>0.53</v>
      </c>
      <c r="AT1867" s="140" t="s">
        <v>165</v>
      </c>
      <c r="AU1867" s="140" t="s">
        <v>179</v>
      </c>
      <c r="AV1867" s="1819" t="s">
        <v>130</v>
      </c>
      <c r="AW1867" s="1829" t="s">
        <v>10742</v>
      </c>
      <c r="AX1867" s="1838" t="s">
        <v>136</v>
      </c>
      <c r="AZ1867" s="1819" t="s">
        <v>10695</v>
      </c>
    </row>
    <row r="1868">
      <c r="A1868" s="41">
        <v>1868.0</v>
      </c>
      <c r="B1868" s="126" t="s">
        <v>145</v>
      </c>
      <c r="C1868" s="59" t="s">
        <v>108</v>
      </c>
      <c r="D1868" s="59" t="s">
        <v>1263</v>
      </c>
      <c r="E1868" s="1819"/>
      <c r="F1868" s="140" t="s">
        <v>10743</v>
      </c>
      <c r="G1868" s="140" t="s">
        <v>10744</v>
      </c>
      <c r="H1868" s="140" t="s">
        <v>10745</v>
      </c>
      <c r="I1868" s="1830" t="s">
        <v>10705</v>
      </c>
      <c r="J1868" s="1820">
        <v>45734.0</v>
      </c>
      <c r="K1868" s="1832"/>
      <c r="L1868" s="140" t="s">
        <v>10746</v>
      </c>
      <c r="M1868" s="1833" t="s">
        <v>10747</v>
      </c>
      <c r="N1868" s="140" t="s">
        <v>10748</v>
      </c>
      <c r="O1868" s="1822">
        <v>4.0</v>
      </c>
      <c r="P1868" s="1834" t="s">
        <v>10749</v>
      </c>
      <c r="Q1868" s="49" t="str">
        <f t="array" ref="Q1868"> if(iserror(MATCH(V1868, 'File Links'!C:C, 0)), "N/A", HYPERLINK(INDEX('File Links'!B:B, MATCH(P1868, 'File Links'!C:C, 0))))</f>
        <v>https://drive.google.com/file/d/18ezWy7djA945zL8CbFQlhWO8EZS4wwS1/view?usp=drivesdk</v>
      </c>
      <c r="R1868" s="1824" t="s">
        <v>10750</v>
      </c>
      <c r="S1868" s="140" t="s">
        <v>10686</v>
      </c>
      <c r="T1868" s="1825" t="s">
        <v>10751</v>
      </c>
      <c r="U1868" s="1835">
        <v>1.0</v>
      </c>
      <c r="V1868" s="195" t="str">
        <f t="shared" si="121"/>
        <v>10.1126--science.aac4716.pdf</v>
      </c>
      <c r="W1868" s="140" t="s">
        <v>157</v>
      </c>
      <c r="X1868" s="51" t="str">
        <f t="array" ref="X1868"> if(iserror(MATCH(V1868, 'File Links'!C:C, 0)), "N/A", HYPERLINK(INDEX('File Links'!B:B, MATCH(V1868, 'File Links'!C:C, 0))))</f>
        <v>https://drive.google.com/file/d/1UMAh9VGta6ExS2-Lb6GkDF4fmnI2EMeM/view?usp=drivesdk</v>
      </c>
      <c r="Z1868" s="140" t="s">
        <v>141</v>
      </c>
      <c r="AA1868" s="140" t="s">
        <v>10752</v>
      </c>
      <c r="AB1868" s="140" t="s">
        <v>10753</v>
      </c>
      <c r="AC1868" s="140" t="s">
        <v>10754</v>
      </c>
      <c r="AD1868" s="140" t="s">
        <v>10755</v>
      </c>
      <c r="AE1868" s="1822">
        <v>5.0</v>
      </c>
      <c r="AF1868" s="1822">
        <v>36.0</v>
      </c>
      <c r="AG1868" s="140">
        <v>0.82</v>
      </c>
      <c r="AH1868" s="140" t="s">
        <v>166</v>
      </c>
      <c r="AI1868" s="140" t="s">
        <v>10756</v>
      </c>
      <c r="AJ1868" s="1822">
        <v>0.05</v>
      </c>
      <c r="AK1868" s="140" t="s">
        <v>128</v>
      </c>
      <c r="AL1868" s="140" t="s">
        <v>129</v>
      </c>
      <c r="AM1868" s="1819" t="s">
        <v>130</v>
      </c>
      <c r="AN1868" s="327" t="s">
        <v>131</v>
      </c>
      <c r="AO1868" s="1822">
        <v>47.0</v>
      </c>
      <c r="AP1868" s="1819">
        <v>0.48</v>
      </c>
      <c r="AQ1868" s="1819" t="s">
        <v>166</v>
      </c>
      <c r="AR1868" s="1819" t="s">
        <v>806</v>
      </c>
      <c r="AS1868" s="1828">
        <v>0.132</v>
      </c>
      <c r="AT1868" s="1819" t="s">
        <v>165</v>
      </c>
      <c r="AU1868" s="1819" t="s">
        <v>129</v>
      </c>
      <c r="AV1868" s="1819" t="s">
        <v>130</v>
      </c>
      <c r="AW1868" s="1829" t="s">
        <v>10757</v>
      </c>
      <c r="AX1868" s="1819" t="s">
        <v>136</v>
      </c>
      <c r="AZ1868" s="1819" t="s">
        <v>10695</v>
      </c>
    </row>
    <row r="1869">
      <c r="A1869" s="41">
        <v>1869.0</v>
      </c>
      <c r="B1869" s="59" t="s">
        <v>107</v>
      </c>
      <c r="C1869" s="59" t="s">
        <v>108</v>
      </c>
      <c r="D1869" s="59" t="s">
        <v>146</v>
      </c>
      <c r="E1869" s="1819"/>
      <c r="F1869" s="140" t="s">
        <v>10743</v>
      </c>
      <c r="G1869" s="140" t="s">
        <v>10744</v>
      </c>
      <c r="H1869" s="140" t="s">
        <v>146</v>
      </c>
      <c r="I1869" s="1819" t="s">
        <v>10696</v>
      </c>
      <c r="J1869" s="1820">
        <v>45734.0</v>
      </c>
      <c r="K1869" s="140" t="s">
        <v>10758</v>
      </c>
      <c r="L1869" s="140"/>
      <c r="M1869" s="1821" t="s">
        <v>10747</v>
      </c>
      <c r="N1869" s="140" t="s">
        <v>10748</v>
      </c>
      <c r="O1869" s="1822">
        <v>4.0</v>
      </c>
      <c r="P1869" s="1823" t="s">
        <v>10749</v>
      </c>
      <c r="Q1869" s="49" t="str">
        <f t="array" ref="Q1869"> if(iserror(MATCH(V1869, 'File Links'!C:C, 0)), "N/A", HYPERLINK(INDEX('File Links'!B:B, MATCH(P1869, 'File Links'!C:C, 0))))</f>
        <v>https://drive.google.com/file/d/18ezWy7djA945zL8CbFQlhWO8EZS4wwS1/view?usp=drivesdk</v>
      </c>
      <c r="R1869" s="140" t="s">
        <v>10759</v>
      </c>
      <c r="S1869" s="140" t="s">
        <v>10686</v>
      </c>
      <c r="T1869" s="1825" t="s">
        <v>10751</v>
      </c>
      <c r="U1869" s="1837">
        <v>1.0</v>
      </c>
      <c r="V1869" s="195" t="str">
        <f t="shared" si="121"/>
        <v>10.1126--science.aac4716.pdf</v>
      </c>
      <c r="W1869" s="140" t="s">
        <v>157</v>
      </c>
      <c r="X1869" s="51" t="str">
        <f t="array" ref="X1869"> if(iserror(MATCH(V1869, 'File Links'!C:C, 0)), "N/A", HYPERLINK(INDEX('File Links'!B:B, MATCH(V1869, 'File Links'!C:C, 0))))</f>
        <v>https://drive.google.com/file/d/1UMAh9VGta6ExS2-Lb6GkDF4fmnI2EMeM/view?usp=drivesdk</v>
      </c>
      <c r="Z1869" s="140" t="s">
        <v>141</v>
      </c>
      <c r="AA1869" s="140" t="s">
        <v>10760</v>
      </c>
      <c r="AB1869" s="140" t="s">
        <v>10761</v>
      </c>
      <c r="AC1869" s="140" t="s">
        <v>10762</v>
      </c>
      <c r="AD1869" s="140" t="s">
        <v>10763</v>
      </c>
      <c r="AE1869" s="1822">
        <v>5.0</v>
      </c>
      <c r="AF1869" s="1822">
        <v>36.0</v>
      </c>
      <c r="AG1869" s="1822">
        <v>0.82</v>
      </c>
      <c r="AH1869" s="140" t="s">
        <v>166</v>
      </c>
      <c r="AI1869" s="140" t="s">
        <v>806</v>
      </c>
      <c r="AJ1869" s="1830">
        <v>0.05</v>
      </c>
      <c r="AK1869" s="140" t="s">
        <v>128</v>
      </c>
      <c r="AL1869" s="140" t="s">
        <v>129</v>
      </c>
      <c r="AM1869" s="1819" t="s">
        <v>130</v>
      </c>
      <c r="AN1869" s="327" t="s">
        <v>131</v>
      </c>
      <c r="AO1869" s="1822">
        <v>47.0</v>
      </c>
      <c r="AP1869" s="1822">
        <v>0.48</v>
      </c>
      <c r="AQ1869" s="140" t="s">
        <v>166</v>
      </c>
      <c r="AR1869" s="140" t="s">
        <v>806</v>
      </c>
      <c r="AS1869" s="1822">
        <v>0.132</v>
      </c>
      <c r="AT1869" s="140" t="s">
        <v>165</v>
      </c>
      <c r="AU1869" s="140" t="s">
        <v>129</v>
      </c>
      <c r="AV1869" s="1819" t="s">
        <v>130</v>
      </c>
      <c r="AW1869" s="1829" t="s">
        <v>10764</v>
      </c>
      <c r="AX1869" s="1819" t="s">
        <v>136</v>
      </c>
      <c r="AZ1869" s="1819" t="s">
        <v>10695</v>
      </c>
    </row>
    <row r="1870">
      <c r="A1870" s="41">
        <v>1870.0</v>
      </c>
      <c r="B1870" s="126" t="s">
        <v>145</v>
      </c>
      <c r="C1870" s="59" t="s">
        <v>108</v>
      </c>
      <c r="D1870" s="59" t="s">
        <v>1263</v>
      </c>
      <c r="E1870" s="1819"/>
      <c r="F1870" s="140" t="s">
        <v>10765</v>
      </c>
      <c r="G1870" s="140" t="s">
        <v>10766</v>
      </c>
      <c r="H1870" s="140" t="s">
        <v>10767</v>
      </c>
      <c r="I1870" s="1830" t="s">
        <v>10705</v>
      </c>
      <c r="J1870" s="1820">
        <v>45734.0</v>
      </c>
      <c r="K1870" s="1819" t="s">
        <v>10768</v>
      </c>
      <c r="L1870" s="1819" t="s">
        <v>10769</v>
      </c>
      <c r="M1870" s="1833" t="s">
        <v>10770</v>
      </c>
      <c r="N1870" s="140" t="s">
        <v>10771</v>
      </c>
      <c r="O1870" s="1830">
        <v>2.0</v>
      </c>
      <c r="P1870" s="1834" t="s">
        <v>10772</v>
      </c>
      <c r="Q1870" s="49" t="str">
        <f t="array" ref="Q1870"> if(iserror(MATCH(V1870, 'File Links'!C:C, 0)), "N/A", HYPERLINK(INDEX('File Links'!B:B, MATCH(P1870, 'File Links'!C:C, 0))))</f>
        <v>https://drive.google.com/file/d/1ytNNieBfW6njVZa_pFpdio4LUZmKmvXl/view?usp=drivesdk</v>
      </c>
      <c r="R1870" s="140" t="s">
        <v>10773</v>
      </c>
      <c r="S1870" s="140" t="s">
        <v>10686</v>
      </c>
      <c r="T1870" s="1825" t="s">
        <v>10774</v>
      </c>
      <c r="U1870" s="1830">
        <v>1.0</v>
      </c>
      <c r="V1870" s="195" t="str">
        <f t="shared" si="121"/>
        <v>10.1126--science.aac4716.pdf</v>
      </c>
      <c r="W1870" s="140" t="s">
        <v>157</v>
      </c>
      <c r="X1870" s="51" t="str">
        <f t="array" ref="X1870"> if(iserror(MATCH(V1870, 'File Links'!C:C, 0)), "N/A", HYPERLINK(INDEX('File Links'!B:B, MATCH(V1870, 'File Links'!C:C, 0))))</f>
        <v>https://drive.google.com/file/d/1UMAh9VGta6ExS2-Lb6GkDF4fmnI2EMeM/view?usp=drivesdk</v>
      </c>
      <c r="Z1870" s="140" t="s">
        <v>219</v>
      </c>
      <c r="AA1870" s="140" t="s">
        <v>10775</v>
      </c>
      <c r="AB1870" s="1819" t="s">
        <v>10776</v>
      </c>
      <c r="AC1870" s="1819" t="s">
        <v>10777</v>
      </c>
      <c r="AD1870" s="140" t="s">
        <v>10778</v>
      </c>
      <c r="AE1870" s="1830">
        <v>5.0</v>
      </c>
      <c r="AF1870" s="1830">
        <v>86.0</v>
      </c>
      <c r="AG1870" s="1830">
        <v>0.45</v>
      </c>
      <c r="AH1870" s="140" t="s">
        <v>166</v>
      </c>
      <c r="AI1870" s="1819" t="s">
        <v>10779</v>
      </c>
      <c r="AJ1870" s="1830" t="s">
        <v>131</v>
      </c>
      <c r="AK1870" s="1819" t="s">
        <v>131</v>
      </c>
      <c r="AL1870" s="1819" t="s">
        <v>179</v>
      </c>
      <c r="AM1870" s="1819" t="s">
        <v>130</v>
      </c>
      <c r="AN1870" s="327" t="s">
        <v>131</v>
      </c>
      <c r="AO1870" s="1830">
        <v>158.0</v>
      </c>
      <c r="AP1870" s="1830">
        <v>-0.21</v>
      </c>
      <c r="AQ1870" s="1819" t="s">
        <v>166</v>
      </c>
      <c r="AR1870" s="1819" t="s">
        <v>10780</v>
      </c>
      <c r="AS1870" s="1830">
        <v>0.189</v>
      </c>
      <c r="AT1870" s="1819" t="s">
        <v>165</v>
      </c>
      <c r="AU1870" s="1819" t="s">
        <v>129</v>
      </c>
      <c r="AV1870" s="1819" t="s">
        <v>130</v>
      </c>
      <c r="AW1870" s="1829" t="s">
        <v>10781</v>
      </c>
      <c r="AX1870" s="1819" t="s">
        <v>136</v>
      </c>
      <c r="AZ1870" s="1819" t="s">
        <v>10695</v>
      </c>
    </row>
    <row r="1871">
      <c r="A1871" s="41">
        <v>1871.0</v>
      </c>
      <c r="B1871" s="59" t="s">
        <v>107</v>
      </c>
      <c r="C1871" s="59" t="s">
        <v>108</v>
      </c>
      <c r="D1871" s="59" t="s">
        <v>146</v>
      </c>
      <c r="E1871" s="1819"/>
      <c r="F1871" s="140" t="s">
        <v>10765</v>
      </c>
      <c r="G1871" s="140" t="s">
        <v>10766</v>
      </c>
      <c r="H1871" s="140" t="s">
        <v>146</v>
      </c>
      <c r="I1871" s="1819" t="s">
        <v>10696</v>
      </c>
      <c r="J1871" s="1820">
        <v>45734.0</v>
      </c>
      <c r="K1871" s="1819" t="s">
        <v>10782</v>
      </c>
      <c r="L1871" s="1819"/>
      <c r="M1871" s="1821" t="s">
        <v>10770</v>
      </c>
      <c r="N1871" s="140" t="s">
        <v>10771</v>
      </c>
      <c r="O1871" s="1822">
        <v>2.0</v>
      </c>
      <c r="P1871" s="1823" t="s">
        <v>10772</v>
      </c>
      <c r="Q1871" s="49" t="str">
        <f t="array" ref="Q1871"> if(iserror(MATCH(V1871, 'File Links'!C:C, 0)), "N/A", HYPERLINK(INDEX('File Links'!B:B, MATCH(P1871, 'File Links'!C:C, 0))))</f>
        <v>https://drive.google.com/file/d/1ytNNieBfW6njVZa_pFpdio4LUZmKmvXl/view?usp=drivesdk</v>
      </c>
      <c r="R1871" s="140" t="s">
        <v>10773</v>
      </c>
      <c r="S1871" s="140" t="s">
        <v>10686</v>
      </c>
      <c r="T1871" s="1825" t="s">
        <v>10774</v>
      </c>
      <c r="U1871" s="1830">
        <v>1.0</v>
      </c>
      <c r="V1871" s="195" t="str">
        <f t="shared" si="121"/>
        <v>10.1126--science.aac4716.pdf</v>
      </c>
      <c r="W1871" s="140" t="s">
        <v>157</v>
      </c>
      <c r="X1871" s="51" t="str">
        <f t="array" ref="X1871"> if(iserror(MATCH(V1871, 'File Links'!C:C, 0)), "N/A", HYPERLINK(INDEX('File Links'!B:B, MATCH(V1871, 'File Links'!C:C, 0))))</f>
        <v>https://drive.google.com/file/d/1UMAh9VGta6ExS2-Lb6GkDF4fmnI2EMeM/view?usp=drivesdk</v>
      </c>
      <c r="Z1871" s="140" t="s">
        <v>219</v>
      </c>
      <c r="AA1871" s="140" t="s">
        <v>10783</v>
      </c>
      <c r="AB1871" s="140" t="s">
        <v>10784</v>
      </c>
      <c r="AC1871" s="140" t="s">
        <v>10785</v>
      </c>
      <c r="AD1871" s="140" t="s">
        <v>10786</v>
      </c>
      <c r="AE1871" s="1822">
        <v>5.0</v>
      </c>
      <c r="AF1871" s="1822">
        <v>86.0</v>
      </c>
      <c r="AG1871" s="1822">
        <v>0.45</v>
      </c>
      <c r="AH1871" s="140" t="s">
        <v>166</v>
      </c>
      <c r="AI1871" s="1836" t="s">
        <v>806</v>
      </c>
      <c r="AJ1871" s="1822" t="s">
        <v>131</v>
      </c>
      <c r="AK1871" s="1838" t="s">
        <v>131</v>
      </c>
      <c r="AL1871" s="1838" t="s">
        <v>179</v>
      </c>
      <c r="AM1871" s="1819" t="s">
        <v>130</v>
      </c>
      <c r="AN1871" s="327" t="s">
        <v>131</v>
      </c>
      <c r="AO1871" s="1830">
        <v>158.0</v>
      </c>
      <c r="AP1871" s="1830">
        <v>-0.21</v>
      </c>
      <c r="AQ1871" s="140" t="s">
        <v>166</v>
      </c>
      <c r="AR1871" s="140" t="s">
        <v>620</v>
      </c>
      <c r="AS1871" s="1822">
        <v>0.189</v>
      </c>
      <c r="AT1871" s="140" t="s">
        <v>165</v>
      </c>
      <c r="AU1871" s="140" t="s">
        <v>129</v>
      </c>
      <c r="AV1871" s="1819" t="s">
        <v>130</v>
      </c>
      <c r="AW1871" s="1829" t="s">
        <v>10787</v>
      </c>
      <c r="AX1871" s="1838" t="s">
        <v>136</v>
      </c>
      <c r="AZ1871" s="1819" t="s">
        <v>10695</v>
      </c>
    </row>
    <row r="1872">
      <c r="A1872" s="41">
        <v>1872.0</v>
      </c>
      <c r="B1872" s="59" t="s">
        <v>107</v>
      </c>
      <c r="C1872" s="59" t="s">
        <v>108</v>
      </c>
      <c r="D1872" s="59" t="s">
        <v>1263</v>
      </c>
      <c r="E1872" s="1819"/>
      <c r="F1872" s="140" t="s">
        <v>10788</v>
      </c>
      <c r="G1872" s="140" t="s">
        <v>10789</v>
      </c>
      <c r="H1872" s="140" t="s">
        <v>5011</v>
      </c>
      <c r="I1872" s="1830" t="s">
        <v>10705</v>
      </c>
      <c r="J1872" s="1820">
        <v>45734.0</v>
      </c>
      <c r="K1872" s="140" t="s">
        <v>10790</v>
      </c>
      <c r="L1872" s="140" t="s">
        <v>10790</v>
      </c>
      <c r="M1872" s="1833" t="s">
        <v>10791</v>
      </c>
      <c r="N1872" s="140" t="s">
        <v>10792</v>
      </c>
      <c r="P1872" s="1834" t="s">
        <v>10793</v>
      </c>
      <c r="Q1872" s="49" t="str">
        <f t="array" ref="Q1872"> if(iserror(MATCH(V1872, 'File Links'!C:C, 0)), "N/A", HYPERLINK(INDEX('File Links'!B:B, MATCH(P1872, 'File Links'!C:C, 0))))</f>
        <v>https://drive.google.com/file/d/1GJ1TkFgZk1zziaW-LwEzlbPoGlAfjX81/view?usp=drivesdk</v>
      </c>
      <c r="R1872" s="1832"/>
      <c r="S1872" s="140" t="s">
        <v>10686</v>
      </c>
      <c r="T1872" s="1831"/>
      <c r="U1872" s="1839"/>
      <c r="V1872" s="195" t="str">
        <f t="shared" si="121"/>
        <v>10.1126--science.aac4716.pdf</v>
      </c>
      <c r="W1872" s="1832"/>
      <c r="X1872" s="51" t="str">
        <f t="array" ref="X1872"> if(iserror(MATCH(V1872, 'File Links'!C:C, 0)), "N/A", HYPERLINK(INDEX('File Links'!B:B, MATCH(V1872, 'File Links'!C:C, 0))))</f>
        <v>https://drive.google.com/file/d/1UMAh9VGta6ExS2-Lb6GkDF4fmnI2EMeM/view?usp=drivesdk</v>
      </c>
      <c r="Z1872" s="1819"/>
      <c r="AA1872" s="1832"/>
      <c r="AB1872" s="140" t="s">
        <v>10794</v>
      </c>
      <c r="AC1872" s="1840" t="s">
        <v>10795</v>
      </c>
      <c r="AD1872" s="1841"/>
      <c r="AE1872" s="1840"/>
      <c r="AF1872" s="1822">
        <v>20.0</v>
      </c>
      <c r="AG1872" s="1832"/>
      <c r="AH1872" s="1832"/>
      <c r="AI1872" s="1832"/>
      <c r="AJ1872" s="1842"/>
      <c r="AK1872" s="1843"/>
      <c r="AL1872" s="1843"/>
      <c r="AM1872" s="1844"/>
      <c r="AN1872" s="327" t="s">
        <v>131</v>
      </c>
      <c r="AO1872" s="1832"/>
      <c r="AP1872" s="1832"/>
      <c r="AQ1872" s="1832"/>
      <c r="AR1872" s="1832"/>
      <c r="AS1872" s="1832"/>
      <c r="AT1872" s="1832"/>
      <c r="AU1872" s="1832"/>
      <c r="AV1872" s="1844"/>
      <c r="AW1872" s="1839"/>
      <c r="AX1872" s="1844"/>
      <c r="AZ1872" s="1819" t="s">
        <v>10695</v>
      </c>
    </row>
    <row r="1873">
      <c r="A1873" s="41">
        <v>1873.0</v>
      </c>
      <c r="B1873" s="126" t="s">
        <v>107</v>
      </c>
      <c r="C1873" s="59" t="s">
        <v>108</v>
      </c>
      <c r="D1873" s="59" t="s">
        <v>146</v>
      </c>
      <c r="E1873" s="1819"/>
      <c r="F1873" s="140" t="s">
        <v>10788</v>
      </c>
      <c r="G1873" s="140" t="s">
        <v>10789</v>
      </c>
      <c r="H1873" s="140" t="s">
        <v>146</v>
      </c>
      <c r="I1873" s="1819" t="s">
        <v>10696</v>
      </c>
      <c r="J1873" s="1820">
        <v>45734.0</v>
      </c>
      <c r="K1873" s="140" t="s">
        <v>10796</v>
      </c>
      <c r="L1873" s="140" t="s">
        <v>10790</v>
      </c>
      <c r="M1873" s="1821" t="s">
        <v>10791</v>
      </c>
      <c r="N1873" s="140" t="s">
        <v>10792</v>
      </c>
      <c r="P1873" s="1823" t="s">
        <v>10793</v>
      </c>
      <c r="Q1873" s="49" t="str">
        <f t="array" ref="Q1873"> if(iserror(MATCH(V1873, 'File Links'!C:C, 0)), "N/A", HYPERLINK(INDEX('File Links'!B:B, MATCH(P1873, 'File Links'!C:C, 0))))</f>
        <v>https://drive.google.com/file/d/1GJ1TkFgZk1zziaW-LwEzlbPoGlAfjX81/view?usp=drivesdk</v>
      </c>
      <c r="R1873" s="1832"/>
      <c r="S1873" s="140" t="s">
        <v>10686</v>
      </c>
      <c r="T1873" s="1831"/>
      <c r="U1873" s="1839"/>
      <c r="V1873" s="195" t="str">
        <f t="shared" si="121"/>
        <v>10.1126--science.aac4716.pdf</v>
      </c>
      <c r="W1873" s="1845"/>
      <c r="X1873" s="51" t="str">
        <f t="array" ref="X1873"> if(iserror(MATCH(V1873, 'File Links'!C:C, 0)), "N/A", HYPERLINK(INDEX('File Links'!B:B, MATCH(V1873, 'File Links'!C:C, 0))))</f>
        <v>https://drive.google.com/file/d/1UMAh9VGta6ExS2-Lb6GkDF4fmnI2EMeM/view?usp=drivesdk</v>
      </c>
      <c r="Z1873" s="1819"/>
      <c r="AA1873" s="1819"/>
      <c r="AB1873" s="1832"/>
      <c r="AC1873" s="1832"/>
      <c r="AD1873" s="1832"/>
      <c r="AE1873" s="1832"/>
      <c r="AF1873" s="1832"/>
      <c r="AG1873" s="1832"/>
      <c r="AH1873" s="1832"/>
      <c r="AI1873" s="1832"/>
      <c r="AJ1873" s="1842"/>
      <c r="AK1873" s="1843"/>
      <c r="AL1873" s="1843"/>
      <c r="AM1873" s="1844"/>
      <c r="AN1873" s="327" t="s">
        <v>131</v>
      </c>
      <c r="AO1873" s="1832"/>
      <c r="AP1873" s="1832"/>
      <c r="AQ1873" s="1832"/>
      <c r="AR1873" s="1832"/>
      <c r="AS1873" s="1832"/>
      <c r="AT1873" s="1832"/>
      <c r="AU1873" s="1832"/>
      <c r="AV1873" s="1844"/>
      <c r="AW1873" s="1839"/>
      <c r="AX1873" s="1844"/>
      <c r="AZ1873" s="1819" t="s">
        <v>10695</v>
      </c>
    </row>
    <row r="1874">
      <c r="A1874" s="41">
        <v>1874.0</v>
      </c>
      <c r="B1874" s="59" t="s">
        <v>145</v>
      </c>
      <c r="C1874" s="59" t="s">
        <v>108</v>
      </c>
      <c r="D1874" s="59" t="s">
        <v>1263</v>
      </c>
      <c r="E1874" s="1819"/>
      <c r="F1874" s="140" t="s">
        <v>10797</v>
      </c>
      <c r="G1874" s="140" t="s">
        <v>10798</v>
      </c>
      <c r="H1874" s="140" t="s">
        <v>10799</v>
      </c>
      <c r="I1874" s="1830" t="s">
        <v>10705</v>
      </c>
      <c r="J1874" s="1820">
        <v>45734.0</v>
      </c>
      <c r="K1874" s="1832"/>
      <c r="L1874" s="140" t="s">
        <v>10800</v>
      </c>
      <c r="M1874" s="1833" t="s">
        <v>10801</v>
      </c>
      <c r="N1874" s="140" t="s">
        <v>10802</v>
      </c>
      <c r="O1874" s="1822">
        <v>2.0</v>
      </c>
      <c r="P1874" s="1834" t="s">
        <v>10803</v>
      </c>
      <c r="Q1874" s="49" t="str">
        <f t="array" ref="Q1874"> if(iserror(MATCH(V1874, 'File Links'!C:C, 0)), "N/A", HYPERLINK(INDEX('File Links'!B:B, MATCH(P1874, 'File Links'!C:C, 0))))</f>
        <v>https://drive.google.com/file/d/15z0y7asIfplDps5d3R71GhEJxQWqBU9w/view?usp=drivesdk</v>
      </c>
      <c r="R1874" s="140" t="s">
        <v>10804</v>
      </c>
      <c r="S1874" s="140" t="s">
        <v>10686</v>
      </c>
      <c r="T1874" s="1825" t="s">
        <v>10805</v>
      </c>
      <c r="U1874" s="1835">
        <v>1.0</v>
      </c>
      <c r="V1874" s="195" t="str">
        <f t="shared" si="121"/>
        <v>10.1126--science.aac4716.pdf</v>
      </c>
      <c r="W1874" s="140" t="s">
        <v>157</v>
      </c>
      <c r="X1874" s="51" t="str">
        <f t="array" ref="X1874"> if(iserror(MATCH(V1874, 'File Links'!C:C, 0)), "N/A", HYPERLINK(INDEX('File Links'!B:B, MATCH(V1874, 'File Links'!C:C, 0))))</f>
        <v>https://drive.google.com/file/d/1UMAh9VGta6ExS2-Lb6GkDF4fmnI2EMeM/view?usp=drivesdk</v>
      </c>
      <c r="Z1874" s="140" t="s">
        <v>141</v>
      </c>
      <c r="AA1874" s="140" t="s">
        <v>10806</v>
      </c>
      <c r="AB1874" s="140" t="s">
        <v>10807</v>
      </c>
      <c r="AC1874" s="140" t="s">
        <v>10808</v>
      </c>
      <c r="AD1874" s="140" t="s">
        <v>10809</v>
      </c>
      <c r="AE1874" s="1822">
        <v>9.0</v>
      </c>
      <c r="AF1874" s="1822">
        <v>22.0</v>
      </c>
      <c r="AG1874" s="140">
        <v>0.45</v>
      </c>
      <c r="AH1874" s="1827" t="s">
        <v>867</v>
      </c>
      <c r="AI1874" s="140" t="s">
        <v>10810</v>
      </c>
      <c r="AJ1874" s="1828">
        <v>0.001</v>
      </c>
      <c r="AK1874" s="140" t="s">
        <v>128</v>
      </c>
      <c r="AL1874" s="140" t="s">
        <v>179</v>
      </c>
      <c r="AM1874" s="1819" t="s">
        <v>134</v>
      </c>
      <c r="AN1874" s="327" t="s">
        <v>131</v>
      </c>
      <c r="AO1874" s="1822">
        <v>30.0</v>
      </c>
      <c r="AP1874" s="140">
        <v>0.218</v>
      </c>
      <c r="AQ1874" s="140" t="s">
        <v>867</v>
      </c>
      <c r="AR1874" s="140" t="s">
        <v>10811</v>
      </c>
      <c r="AS1874" s="1822">
        <v>0.008</v>
      </c>
      <c r="AT1874" s="140" t="s">
        <v>165</v>
      </c>
      <c r="AU1874" s="140" t="s">
        <v>179</v>
      </c>
      <c r="AV1874" s="1819" t="s">
        <v>134</v>
      </c>
      <c r="AW1874" s="1829" t="s">
        <v>10812</v>
      </c>
      <c r="AX1874" s="1819" t="s">
        <v>136</v>
      </c>
      <c r="AZ1874" s="1819" t="s">
        <v>10695</v>
      </c>
    </row>
    <row r="1875">
      <c r="A1875" s="41">
        <v>1875.0</v>
      </c>
      <c r="B1875" s="59" t="s">
        <v>107</v>
      </c>
      <c r="C1875" s="59" t="s">
        <v>108</v>
      </c>
      <c r="D1875" s="59" t="s">
        <v>146</v>
      </c>
      <c r="E1875" s="1819"/>
      <c r="F1875" s="140" t="s">
        <v>10797</v>
      </c>
      <c r="G1875" s="140" t="s">
        <v>10798</v>
      </c>
      <c r="H1875" s="140" t="s">
        <v>10813</v>
      </c>
      <c r="I1875" s="1830" t="s">
        <v>10705</v>
      </c>
      <c r="J1875" s="1820">
        <v>45734.0</v>
      </c>
      <c r="K1875" s="140" t="s">
        <v>10814</v>
      </c>
      <c r="L1875" s="140"/>
      <c r="M1875" s="1821" t="s">
        <v>10801</v>
      </c>
      <c r="N1875" s="140" t="s">
        <v>10802</v>
      </c>
      <c r="O1875" s="1822">
        <v>2.0</v>
      </c>
      <c r="P1875" s="1823" t="s">
        <v>10803</v>
      </c>
      <c r="Q1875" s="49" t="str">
        <f t="array" ref="Q1875"> if(iserror(MATCH(V1875, 'File Links'!C:C, 0)), "N/A", HYPERLINK(INDEX('File Links'!B:B, MATCH(P1875, 'File Links'!C:C, 0))))</f>
        <v>https://drive.google.com/file/d/15z0y7asIfplDps5d3R71GhEJxQWqBU9w/view?usp=drivesdk</v>
      </c>
      <c r="R1875" s="140" t="s">
        <v>10804</v>
      </c>
      <c r="S1875" s="140" t="s">
        <v>10686</v>
      </c>
      <c r="T1875" s="1825" t="s">
        <v>10805</v>
      </c>
      <c r="U1875" s="1830">
        <v>1.0</v>
      </c>
      <c r="V1875" s="195" t="str">
        <f t="shared" si="121"/>
        <v>10.1126--science.aac4716.pdf</v>
      </c>
      <c r="W1875" s="140" t="s">
        <v>157</v>
      </c>
      <c r="X1875" s="51" t="str">
        <f t="array" ref="X1875"> if(iserror(MATCH(V1875, 'File Links'!C:C, 0)), "N/A", HYPERLINK(INDEX('File Links'!B:B, MATCH(V1875, 'File Links'!C:C, 0))))</f>
        <v>https://drive.google.com/file/d/1UMAh9VGta6ExS2-Lb6GkDF4fmnI2EMeM/view?usp=drivesdk</v>
      </c>
      <c r="Z1875" s="140" t="s">
        <v>141</v>
      </c>
      <c r="AA1875" s="140" t="s">
        <v>10815</v>
      </c>
      <c r="AB1875" s="140" t="s">
        <v>10816</v>
      </c>
      <c r="AC1875" s="140" t="s">
        <v>10808</v>
      </c>
      <c r="AD1875" s="140" t="s">
        <v>10817</v>
      </c>
      <c r="AE1875" s="1822">
        <v>9.0</v>
      </c>
      <c r="AF1875" s="1822">
        <v>22.0</v>
      </c>
      <c r="AG1875" s="1822">
        <v>0.45</v>
      </c>
      <c r="AH1875" s="1846" t="s">
        <v>132</v>
      </c>
      <c r="AI1875" s="140" t="s">
        <v>621</v>
      </c>
      <c r="AJ1875" s="1830">
        <v>0.001</v>
      </c>
      <c r="AK1875" s="140" t="s">
        <v>128</v>
      </c>
      <c r="AL1875" s="140" t="s">
        <v>179</v>
      </c>
      <c r="AM1875" s="1819" t="s">
        <v>130</v>
      </c>
      <c r="AN1875" s="327" t="s">
        <v>131</v>
      </c>
      <c r="AO1875" s="1822">
        <v>30.0</v>
      </c>
      <c r="AP1875" s="1822">
        <v>0.218</v>
      </c>
      <c r="AQ1875" s="1846" t="s">
        <v>132</v>
      </c>
      <c r="AR1875" s="140" t="s">
        <v>843</v>
      </c>
      <c r="AS1875" s="1822">
        <v>0.008</v>
      </c>
      <c r="AT1875" s="140" t="s">
        <v>165</v>
      </c>
      <c r="AU1875" s="140" t="s">
        <v>179</v>
      </c>
      <c r="AV1875" s="1819" t="s">
        <v>130</v>
      </c>
      <c r="AW1875" s="1829" t="s">
        <v>10818</v>
      </c>
      <c r="AX1875" s="1819" t="s">
        <v>136</v>
      </c>
      <c r="AZ1875" s="1819" t="s">
        <v>10695</v>
      </c>
    </row>
    <row r="1876">
      <c r="A1876" s="41">
        <v>1876.0</v>
      </c>
      <c r="B1876" s="59" t="s">
        <v>145</v>
      </c>
      <c r="C1876" s="59" t="s">
        <v>108</v>
      </c>
      <c r="D1876" s="59" t="s">
        <v>1263</v>
      </c>
      <c r="E1876" s="1819"/>
      <c r="F1876" s="140" t="s">
        <v>10819</v>
      </c>
      <c r="G1876" s="140" t="s">
        <v>10820</v>
      </c>
      <c r="H1876" s="140" t="s">
        <v>10821</v>
      </c>
      <c r="I1876" s="1830" t="s">
        <v>10705</v>
      </c>
      <c r="J1876" s="1820">
        <v>45734.0</v>
      </c>
      <c r="K1876" s="1832"/>
      <c r="L1876" s="1819" t="s">
        <v>10822</v>
      </c>
      <c r="M1876" s="1833" t="s">
        <v>10823</v>
      </c>
      <c r="N1876" s="140" t="s">
        <v>10824</v>
      </c>
      <c r="O1876" s="1822">
        <v>1.0</v>
      </c>
      <c r="P1876" s="1834" t="s">
        <v>10825</v>
      </c>
      <c r="Q1876" s="49" t="str">
        <f t="array" ref="Q1876"> if(iserror(MATCH(V1876, 'File Links'!C:C, 0)), "N/A", HYPERLINK(INDEX('File Links'!B:B, MATCH(P1876, 'File Links'!C:C, 0))))</f>
        <v>https://drive.google.com/file/d/122eQrKxq-6WpHqYSHCbu_61qufpfQpP1/view?usp=drivesdk</v>
      </c>
      <c r="R1876" s="140" t="s">
        <v>10826</v>
      </c>
      <c r="S1876" s="140" t="s">
        <v>10686</v>
      </c>
      <c r="T1876" s="1825" t="s">
        <v>10805</v>
      </c>
      <c r="U1876" s="1847"/>
      <c r="V1876" s="195" t="str">
        <f t="shared" si="121"/>
        <v>10.1126--science.aac4716.pdf</v>
      </c>
      <c r="W1876" s="140" t="s">
        <v>157</v>
      </c>
      <c r="X1876" s="51" t="str">
        <f t="array" ref="X1876"> if(iserror(MATCH(V1876, 'File Links'!C:C, 0)), "N/A", HYPERLINK(INDEX('File Links'!B:B, MATCH(V1876, 'File Links'!C:C, 0))))</f>
        <v>https://drive.google.com/file/d/1UMAh9VGta6ExS2-Lb6GkDF4fmnI2EMeM/view?usp=drivesdk</v>
      </c>
      <c r="Z1876" s="140" t="s">
        <v>219</v>
      </c>
      <c r="AA1876" s="140" t="s">
        <v>10827</v>
      </c>
      <c r="AB1876" s="140" t="s">
        <v>10828</v>
      </c>
      <c r="AC1876" s="140" t="s">
        <v>10829</v>
      </c>
      <c r="AD1876" s="140" t="s">
        <v>10830</v>
      </c>
      <c r="AE1876" s="1822">
        <v>4.0</v>
      </c>
      <c r="AF1876" s="1822">
        <v>280.0</v>
      </c>
      <c r="AG1876" s="1822">
        <v>0.26</v>
      </c>
      <c r="AH1876" s="140" t="s">
        <v>867</v>
      </c>
      <c r="AI1876" s="140" t="s">
        <v>10831</v>
      </c>
      <c r="AJ1876" s="1822">
        <v>0.001</v>
      </c>
      <c r="AK1876" s="140" t="s">
        <v>128</v>
      </c>
      <c r="AL1876" s="140" t="s">
        <v>129</v>
      </c>
      <c r="AM1876" s="1819" t="s">
        <v>134</v>
      </c>
      <c r="AN1876" s="327" t="s">
        <v>131</v>
      </c>
      <c r="AO1876" s="1830">
        <v>144.0</v>
      </c>
      <c r="AP1876" s="1830">
        <v>0.008</v>
      </c>
      <c r="AQ1876" s="140" t="s">
        <v>867</v>
      </c>
      <c r="AR1876" s="140" t="s">
        <v>10832</v>
      </c>
      <c r="AS1876" s="1830">
        <v>0.28</v>
      </c>
      <c r="AT1876" s="140" t="s">
        <v>165</v>
      </c>
      <c r="AU1876" s="140" t="s">
        <v>179</v>
      </c>
      <c r="AV1876" s="1819" t="s">
        <v>134</v>
      </c>
      <c r="AW1876" s="1829" t="s">
        <v>10833</v>
      </c>
      <c r="AX1876" s="1819" t="s">
        <v>136</v>
      </c>
      <c r="AZ1876" s="1819" t="s">
        <v>10695</v>
      </c>
    </row>
    <row r="1877">
      <c r="A1877" s="41">
        <v>1877.0</v>
      </c>
      <c r="B1877" s="59" t="s">
        <v>107</v>
      </c>
      <c r="C1877" s="59" t="s">
        <v>108</v>
      </c>
      <c r="D1877" s="59" t="s">
        <v>146</v>
      </c>
      <c r="E1877" s="1819"/>
      <c r="F1877" s="140" t="s">
        <v>10819</v>
      </c>
      <c r="G1877" s="140" t="s">
        <v>10820</v>
      </c>
      <c r="H1877" s="140" t="s">
        <v>146</v>
      </c>
      <c r="I1877" s="1819" t="s">
        <v>10696</v>
      </c>
      <c r="J1877" s="1820">
        <v>45734.0</v>
      </c>
      <c r="K1877" s="1832"/>
      <c r="L1877" s="1844"/>
      <c r="M1877" s="1821" t="s">
        <v>10823</v>
      </c>
      <c r="N1877" s="140" t="s">
        <v>10824</v>
      </c>
      <c r="O1877" s="1822">
        <v>1.0</v>
      </c>
      <c r="P1877" s="1823" t="s">
        <v>10825</v>
      </c>
      <c r="Q1877" s="49" t="str">
        <f t="array" ref="Q1877"> if(iserror(MATCH(V1877, 'File Links'!C:C, 0)), "N/A", HYPERLINK(INDEX('File Links'!B:B, MATCH(P1877, 'File Links'!C:C, 0))))</f>
        <v>https://drive.google.com/file/d/122eQrKxq-6WpHqYSHCbu_61qufpfQpP1/view?usp=drivesdk</v>
      </c>
      <c r="R1877" s="140" t="s">
        <v>10826</v>
      </c>
      <c r="S1877" s="140" t="s">
        <v>10686</v>
      </c>
      <c r="T1877" s="1825" t="s">
        <v>10805</v>
      </c>
      <c r="U1877" s="1830">
        <v>1.0</v>
      </c>
      <c r="V1877" s="195" t="str">
        <f t="shared" si="121"/>
        <v>10.1126--science.aac4716.pdf</v>
      </c>
      <c r="W1877" s="140" t="s">
        <v>157</v>
      </c>
      <c r="X1877" s="51" t="str">
        <f t="array" ref="X1877"> if(iserror(MATCH(V1877, 'File Links'!C:C, 0)), "N/A", HYPERLINK(INDEX('File Links'!B:B, MATCH(V1877, 'File Links'!C:C, 0))))</f>
        <v>https://drive.google.com/file/d/1UMAh9VGta6ExS2-Lb6GkDF4fmnI2EMeM/view?usp=drivesdk</v>
      </c>
      <c r="Z1877" s="140" t="s">
        <v>219</v>
      </c>
      <c r="AA1877" s="140" t="s">
        <v>10834</v>
      </c>
      <c r="AB1877" s="140" t="s">
        <v>10835</v>
      </c>
      <c r="AC1877" s="140" t="s">
        <v>10836</v>
      </c>
      <c r="AD1877" s="140" t="s">
        <v>10837</v>
      </c>
      <c r="AE1877" s="1822">
        <v>4.0</v>
      </c>
      <c r="AF1877" s="1830">
        <v>280.0</v>
      </c>
      <c r="AG1877" s="1822">
        <v>0.326</v>
      </c>
      <c r="AH1877" s="140" t="s">
        <v>132</v>
      </c>
      <c r="AI1877" s="140" t="s">
        <v>843</v>
      </c>
      <c r="AJ1877" s="1822">
        <v>0.001</v>
      </c>
      <c r="AK1877" s="140" t="s">
        <v>128</v>
      </c>
      <c r="AL1877" s="140" t="s">
        <v>129</v>
      </c>
      <c r="AM1877" s="1819" t="s">
        <v>134</v>
      </c>
      <c r="AN1877" s="327" t="s">
        <v>131</v>
      </c>
      <c r="AO1877" s="1830">
        <v>144.0</v>
      </c>
      <c r="AP1877" s="1830">
        <v>0.008</v>
      </c>
      <c r="AQ1877" s="140" t="s">
        <v>132</v>
      </c>
      <c r="AR1877" s="140" t="s">
        <v>843</v>
      </c>
      <c r="AS1877" s="1822">
        <v>0.28</v>
      </c>
      <c r="AT1877" s="140" t="s">
        <v>165</v>
      </c>
      <c r="AU1877" s="140" t="s">
        <v>179</v>
      </c>
      <c r="AV1877" s="1819" t="s">
        <v>134</v>
      </c>
      <c r="AW1877" s="1829" t="s">
        <v>10838</v>
      </c>
      <c r="AX1877" s="1819" t="s">
        <v>136</v>
      </c>
      <c r="AZ1877" s="1819" t="s">
        <v>10695</v>
      </c>
    </row>
    <row r="1878">
      <c r="A1878" s="41">
        <v>1878.0</v>
      </c>
      <c r="B1878" s="126" t="s">
        <v>145</v>
      </c>
      <c r="C1878" s="59" t="s">
        <v>108</v>
      </c>
      <c r="D1878" s="59" t="s">
        <v>1263</v>
      </c>
      <c r="E1878" s="1819"/>
      <c r="F1878" s="140" t="s">
        <v>10839</v>
      </c>
      <c r="G1878" s="140" t="s">
        <v>10840</v>
      </c>
      <c r="H1878" s="140" t="s">
        <v>10841</v>
      </c>
      <c r="I1878" s="1830" t="s">
        <v>10705</v>
      </c>
      <c r="J1878" s="1820">
        <v>45694.0</v>
      </c>
      <c r="K1878" s="1832"/>
      <c r="L1878" s="140" t="s">
        <v>10842</v>
      </c>
      <c r="M1878" s="1833" t="s">
        <v>10843</v>
      </c>
      <c r="N1878" s="140" t="s">
        <v>10844</v>
      </c>
      <c r="O1878" s="140" t="s">
        <v>10845</v>
      </c>
      <c r="P1878" s="1834" t="s">
        <v>10846</v>
      </c>
      <c r="Q1878" s="49" t="str">
        <f t="array" ref="Q1878"> if(iserror(MATCH(V1878, 'File Links'!C:C, 0)), "N/A", HYPERLINK(INDEX('File Links'!B:B, MATCH(P1878, 'File Links'!C:C, 0))))</f>
        <v>https://drive.google.com/file/d/1-SaG8WiDfkM6zwdVOonoQg1W2TXK8F2W/view?usp=drivesdk</v>
      </c>
      <c r="R1878" s="140" t="s">
        <v>10847</v>
      </c>
      <c r="S1878" s="148" t="s">
        <v>10848</v>
      </c>
      <c r="T1878" s="126"/>
      <c r="U1878" s="1848">
        <v>1.0</v>
      </c>
      <c r="V1878" s="195" t="str">
        <f t="shared" si="121"/>
        <v>10.17605--osf.io--ehjdm.pdf</v>
      </c>
      <c r="W1878" s="140" t="s">
        <v>157</v>
      </c>
      <c r="X1878" s="51" t="str">
        <f t="array" ref="X1878"> if(iserror(MATCH(V1878, 'File Links'!C:C, 0)), "N/A", HYPERLINK(INDEX('File Links'!B:B, MATCH(V1878, 'File Links'!C:C, 0))))</f>
        <v>https://drive.google.com/file/d/1GV4zWU9q5kR-RIu3cmHk_E669d6rWRsW/view?usp=drivesdk</v>
      </c>
      <c r="Z1878" s="140" t="s">
        <v>141</v>
      </c>
      <c r="AA1878" s="140" t="s">
        <v>10849</v>
      </c>
      <c r="AB1878" s="140" t="s">
        <v>10850</v>
      </c>
      <c r="AC1878" s="140" t="s">
        <v>10851</v>
      </c>
      <c r="AD1878" s="1849" t="s">
        <v>10852</v>
      </c>
      <c r="AE1878" s="1827">
        <v>5.0</v>
      </c>
      <c r="AF1878" s="1822">
        <v>59.0</v>
      </c>
      <c r="AG1878" s="140" t="s">
        <v>10853</v>
      </c>
      <c r="AH1878" s="140" t="s">
        <v>127</v>
      </c>
      <c r="AI1878" s="140" t="s">
        <v>806</v>
      </c>
      <c r="AJ1878" s="1819" t="s">
        <v>131</v>
      </c>
      <c r="AK1878" s="140" t="s">
        <v>131</v>
      </c>
      <c r="AL1878" s="140" t="s">
        <v>179</v>
      </c>
      <c r="AM1878" s="1819" t="s">
        <v>130</v>
      </c>
      <c r="AN1878" s="327" t="s">
        <v>131</v>
      </c>
      <c r="AO1878" s="1822">
        <v>120.0</v>
      </c>
      <c r="AP1878" s="140">
        <v>0.05</v>
      </c>
      <c r="AQ1878" s="140" t="s">
        <v>867</v>
      </c>
      <c r="AR1878" s="140" t="s">
        <v>10854</v>
      </c>
      <c r="AS1878" s="1822">
        <v>0.014</v>
      </c>
      <c r="AT1878" s="140" t="s">
        <v>165</v>
      </c>
      <c r="AU1878" s="140" t="s">
        <v>179</v>
      </c>
      <c r="AV1878" s="1819" t="s">
        <v>130</v>
      </c>
      <c r="AW1878" s="1829" t="s">
        <v>10855</v>
      </c>
      <c r="AX1878" s="1819" t="s">
        <v>136</v>
      </c>
      <c r="AZ1878" s="1819" t="s">
        <v>1263</v>
      </c>
    </row>
    <row r="1879">
      <c r="A1879" s="41">
        <v>1879.0</v>
      </c>
      <c r="B1879" s="59" t="s">
        <v>107</v>
      </c>
      <c r="C1879" s="59" t="s">
        <v>108</v>
      </c>
      <c r="D1879" s="59" t="s">
        <v>146</v>
      </c>
      <c r="E1879" s="1819"/>
      <c r="F1879" s="140" t="s">
        <v>10839</v>
      </c>
      <c r="G1879" s="1850" t="s">
        <v>10840</v>
      </c>
      <c r="H1879" s="140" t="s">
        <v>146</v>
      </c>
      <c r="I1879" s="1819" t="s">
        <v>10696</v>
      </c>
      <c r="J1879" s="1820">
        <v>45694.0</v>
      </c>
      <c r="K1879" s="140" t="s">
        <v>10856</v>
      </c>
      <c r="L1879" s="140"/>
      <c r="M1879" s="1821" t="s">
        <v>10843</v>
      </c>
      <c r="N1879" s="140" t="s">
        <v>10844</v>
      </c>
      <c r="O1879" s="140" t="s">
        <v>5900</v>
      </c>
      <c r="P1879" s="1823" t="s">
        <v>10846</v>
      </c>
      <c r="Q1879" s="49" t="str">
        <f t="array" ref="Q1879"> if(iserror(MATCH(V1879, 'File Links'!C:C, 0)), "N/A", HYPERLINK(INDEX('File Links'!B:B, MATCH(P1879, 'File Links'!C:C, 0))))</f>
        <v>https://drive.google.com/file/d/1-SaG8WiDfkM6zwdVOonoQg1W2TXK8F2W/view?usp=drivesdk</v>
      </c>
      <c r="R1879" s="1834" t="s">
        <v>10847</v>
      </c>
      <c r="S1879" s="148" t="s">
        <v>10848</v>
      </c>
      <c r="T1879" s="126"/>
      <c r="U1879" s="1830">
        <v>1.0</v>
      </c>
      <c r="V1879" s="195" t="str">
        <f t="shared" si="121"/>
        <v>10.17605--osf.io--ehjdm.pdf</v>
      </c>
      <c r="W1879" s="140" t="s">
        <v>157</v>
      </c>
      <c r="X1879" s="51" t="str">
        <f t="array" ref="X1879"> if(iserror(MATCH(V1879, 'File Links'!C:C, 0)), "N/A", HYPERLINK(INDEX('File Links'!B:B, MATCH(V1879, 'File Links'!C:C, 0))))</f>
        <v>https://drive.google.com/file/d/1GV4zWU9q5kR-RIu3cmHk_E669d6rWRsW/view?usp=drivesdk</v>
      </c>
      <c r="Z1879" s="140" t="s">
        <v>141</v>
      </c>
      <c r="AA1879" s="140" t="s">
        <v>10857</v>
      </c>
      <c r="AB1879" s="140" t="s">
        <v>10858</v>
      </c>
      <c r="AC1879" s="140" t="s">
        <v>10859</v>
      </c>
      <c r="AD1879" s="140" t="s">
        <v>10860</v>
      </c>
      <c r="AE1879" s="1822">
        <v>5.0</v>
      </c>
      <c r="AF1879" s="1822">
        <v>59.0</v>
      </c>
      <c r="AG1879" s="1822">
        <v>0.02</v>
      </c>
      <c r="AH1879" s="137" t="s">
        <v>7967</v>
      </c>
      <c r="AI1879" s="140" t="s">
        <v>806</v>
      </c>
      <c r="AJ1879" s="1819" t="s">
        <v>131</v>
      </c>
      <c r="AK1879" s="140" t="s">
        <v>131</v>
      </c>
      <c r="AL1879" s="140" t="s">
        <v>179</v>
      </c>
      <c r="AM1879" s="1819" t="s">
        <v>130</v>
      </c>
      <c r="AN1879" s="327" t="s">
        <v>131</v>
      </c>
      <c r="AO1879" s="1822">
        <v>120.0</v>
      </c>
      <c r="AP1879" s="1822">
        <v>0.05</v>
      </c>
      <c r="AQ1879" s="140" t="s">
        <v>132</v>
      </c>
      <c r="AR1879" s="140" t="s">
        <v>868</v>
      </c>
      <c r="AS1879" s="1822">
        <v>0.014</v>
      </c>
      <c r="AT1879" s="140" t="s">
        <v>165</v>
      </c>
      <c r="AU1879" s="140" t="s">
        <v>179</v>
      </c>
      <c r="AV1879" s="1819" t="s">
        <v>130</v>
      </c>
      <c r="AW1879" s="1829" t="s">
        <v>10861</v>
      </c>
      <c r="AX1879" s="1819" t="s">
        <v>136</v>
      </c>
      <c r="AZ1879" s="1819" t="s">
        <v>1263</v>
      </c>
    </row>
    <row r="1880">
      <c r="A1880" s="41">
        <v>1880.0</v>
      </c>
      <c r="B1880" s="59" t="s">
        <v>107</v>
      </c>
      <c r="C1880" s="59" t="s">
        <v>108</v>
      </c>
      <c r="D1880" s="59" t="s">
        <v>1263</v>
      </c>
      <c r="E1880" s="1819"/>
      <c r="F1880" s="1851" t="s">
        <v>10862</v>
      </c>
      <c r="G1880" s="1851" t="s">
        <v>10863</v>
      </c>
      <c r="H1880" s="1851" t="s">
        <v>10864</v>
      </c>
      <c r="I1880" s="1852" t="s">
        <v>10865</v>
      </c>
      <c r="J1880" s="1820">
        <v>45694.0</v>
      </c>
      <c r="K1880" s="1853"/>
      <c r="L1880" s="1852" t="s">
        <v>10866</v>
      </c>
      <c r="M1880" s="1854" t="s">
        <v>10867</v>
      </c>
      <c r="N1880" s="1855" t="s">
        <v>10868</v>
      </c>
      <c r="O1880" s="1856">
        <v>1.0</v>
      </c>
      <c r="P1880" s="1834" t="s">
        <v>10869</v>
      </c>
      <c r="Q1880" s="49" t="str">
        <f t="array" ref="Q1880"> if(iserror(MATCH(V1880, 'File Links'!C:C, 0)), "N/A", HYPERLINK(INDEX('File Links'!B:B, MATCH(P1880, 'File Links'!C:C, 0))))</f>
        <v>https://drive.google.com/file/d/19KQFSemeD8gmmrYhmcTweZW1cifRjRsN/view?usp=drivesdk</v>
      </c>
      <c r="R1880" s="140" t="s">
        <v>10870</v>
      </c>
      <c r="S1880" s="148" t="s">
        <v>10686</v>
      </c>
      <c r="T1880" s="126"/>
      <c r="U1880" s="1830">
        <v>1.0</v>
      </c>
      <c r="V1880" s="195" t="str">
        <f t="shared" si="121"/>
        <v>10.1126--science.aac4716.pdf</v>
      </c>
      <c r="W1880" s="1857" t="s">
        <v>157</v>
      </c>
      <c r="X1880" s="51" t="str">
        <f t="array" ref="X1880"> if(iserror(MATCH(V1880, 'File Links'!C:C, 0)), "N/A", HYPERLINK(INDEX('File Links'!B:B, MATCH(V1880, 'File Links'!C:C, 0))))</f>
        <v>https://drive.google.com/file/d/1UMAh9VGta6ExS2-Lb6GkDF4fmnI2EMeM/view?usp=drivesdk</v>
      </c>
      <c r="Y1880" s="1858"/>
      <c r="Z1880" s="140" t="s">
        <v>141</v>
      </c>
      <c r="AA1880" s="1840"/>
      <c r="AB1880" s="1852" t="s">
        <v>10871</v>
      </c>
      <c r="AC1880" s="1852" t="s">
        <v>10872</v>
      </c>
      <c r="AD1880" s="1855" t="s">
        <v>10873</v>
      </c>
      <c r="AE1880" s="1856">
        <v>3.0</v>
      </c>
      <c r="AF1880" s="1856">
        <v>141.0</v>
      </c>
      <c r="AG1880" s="1856">
        <v>-0.7</v>
      </c>
      <c r="AH1880" s="1857" t="s">
        <v>208</v>
      </c>
      <c r="AI1880" s="1859" t="s">
        <v>10874</v>
      </c>
      <c r="AJ1880" s="1860">
        <v>0.05</v>
      </c>
      <c r="AK1880" s="1819" t="s">
        <v>128</v>
      </c>
      <c r="AL1880" s="1819" t="s">
        <v>179</v>
      </c>
      <c r="AM1880" s="1859" t="s">
        <v>130</v>
      </c>
      <c r="AN1880" s="327" t="s">
        <v>131</v>
      </c>
      <c r="AO1880" s="1860">
        <v>51.0</v>
      </c>
      <c r="AP1880" s="1860">
        <v>-0.75</v>
      </c>
      <c r="AQ1880" s="1859" t="s">
        <v>208</v>
      </c>
      <c r="AR1880" s="1859" t="s">
        <v>10875</v>
      </c>
      <c r="AS1880" s="1830">
        <v>0.01</v>
      </c>
      <c r="AT1880" s="1819" t="s">
        <v>128</v>
      </c>
      <c r="AU1880" s="1861" t="s">
        <v>179</v>
      </c>
      <c r="AV1880" s="1859" t="s">
        <v>130</v>
      </c>
      <c r="AW1880" s="1862" t="s">
        <v>10876</v>
      </c>
      <c r="AX1880" s="1819" t="s">
        <v>136</v>
      </c>
      <c r="AZ1880" s="1819" t="s">
        <v>1263</v>
      </c>
      <c r="BB1880" s="1808" t="s">
        <v>10877</v>
      </c>
    </row>
    <row r="1881">
      <c r="A1881" s="41">
        <v>1881.0</v>
      </c>
      <c r="B1881" s="126" t="s">
        <v>145</v>
      </c>
      <c r="C1881" s="59" t="s">
        <v>108</v>
      </c>
      <c r="D1881" s="59" t="s">
        <v>146</v>
      </c>
      <c r="E1881" s="1819"/>
      <c r="F1881" s="140" t="s">
        <v>10862</v>
      </c>
      <c r="G1881" s="1850" t="s">
        <v>10863</v>
      </c>
      <c r="H1881" s="1851" t="s">
        <v>146</v>
      </c>
      <c r="I1881" s="1852" t="s">
        <v>10696</v>
      </c>
      <c r="J1881" s="1820">
        <v>45694.0</v>
      </c>
      <c r="K1881" s="1863"/>
      <c r="L1881" s="1844"/>
      <c r="M1881" s="1821" t="s">
        <v>10867</v>
      </c>
      <c r="N1881" s="140" t="s">
        <v>10868</v>
      </c>
      <c r="O1881" s="1822">
        <v>1.0</v>
      </c>
      <c r="P1881" s="1823" t="s">
        <v>10869</v>
      </c>
      <c r="Q1881" s="49" t="str">
        <f t="array" ref="Q1881"> if(iserror(MATCH(V1881, 'File Links'!C:C, 0)), "N/A", HYPERLINK(INDEX('File Links'!B:B, MATCH(P1881, 'File Links'!C:C, 0))))</f>
        <v>https://drive.google.com/file/d/19KQFSemeD8gmmrYhmcTweZW1cifRjRsN/view?usp=drivesdk</v>
      </c>
      <c r="R1881" s="1834" t="s">
        <v>10870</v>
      </c>
      <c r="S1881" s="148" t="s">
        <v>10686</v>
      </c>
      <c r="T1881" s="126"/>
      <c r="U1881" s="1830">
        <v>1.0</v>
      </c>
      <c r="V1881" s="195" t="str">
        <f t="shared" si="121"/>
        <v>10.1126--science.aac4716.pdf</v>
      </c>
      <c r="W1881" s="1857" t="s">
        <v>157</v>
      </c>
      <c r="X1881" s="51" t="str">
        <f t="array" ref="X1881"> if(iserror(MATCH(V1881, 'File Links'!C:C, 0)), "N/A", HYPERLINK(INDEX('File Links'!B:B, MATCH(V1881, 'File Links'!C:C, 0))))</f>
        <v>https://drive.google.com/file/d/1UMAh9VGta6ExS2-Lb6GkDF4fmnI2EMeM/view?usp=drivesdk</v>
      </c>
      <c r="Z1881" s="140" t="s">
        <v>141</v>
      </c>
      <c r="AA1881" s="140" t="s">
        <v>10878</v>
      </c>
      <c r="AB1881" s="140" t="s">
        <v>10879</v>
      </c>
      <c r="AC1881" s="140" t="s">
        <v>10872</v>
      </c>
      <c r="AD1881" s="140" t="s">
        <v>10880</v>
      </c>
      <c r="AE1881" s="1822">
        <v>3.0</v>
      </c>
      <c r="AF1881" s="1822">
        <v>141.0</v>
      </c>
      <c r="AG1881" s="1822">
        <v>-0.7</v>
      </c>
      <c r="AH1881" s="140" t="s">
        <v>208</v>
      </c>
      <c r="AI1881" s="140" t="s">
        <v>210</v>
      </c>
      <c r="AJ1881" s="1822">
        <v>0.05</v>
      </c>
      <c r="AK1881" s="140" t="s">
        <v>128</v>
      </c>
      <c r="AL1881" s="140" t="s">
        <v>179</v>
      </c>
      <c r="AM1881" s="1859" t="s">
        <v>130</v>
      </c>
      <c r="AN1881" s="327" t="s">
        <v>131</v>
      </c>
      <c r="AO1881" s="1830">
        <v>51.0</v>
      </c>
      <c r="AP1881" s="1830">
        <v>-0.75</v>
      </c>
      <c r="AQ1881" s="140" t="s">
        <v>208</v>
      </c>
      <c r="AR1881" s="1857" t="s">
        <v>843</v>
      </c>
      <c r="AS1881" s="1822">
        <v>0.01</v>
      </c>
      <c r="AT1881" s="140" t="s">
        <v>128</v>
      </c>
      <c r="AU1881" s="1864" t="s">
        <v>179</v>
      </c>
      <c r="AV1881" s="1861" t="s">
        <v>130</v>
      </c>
      <c r="AW1881" s="1862" t="s">
        <v>10881</v>
      </c>
      <c r="AX1881" s="1819" t="s">
        <v>136</v>
      </c>
      <c r="AZ1881" s="1819" t="s">
        <v>1263</v>
      </c>
    </row>
    <row r="1882">
      <c r="A1882" s="41">
        <v>1882.0</v>
      </c>
      <c r="B1882" s="59" t="s">
        <v>107</v>
      </c>
      <c r="C1882" s="59" t="s">
        <v>108</v>
      </c>
      <c r="D1882" s="59" t="s">
        <v>1263</v>
      </c>
      <c r="E1882" s="1819"/>
      <c r="F1882" s="140" t="s">
        <v>10882</v>
      </c>
      <c r="G1882" s="140" t="s">
        <v>10883</v>
      </c>
      <c r="H1882" s="1851" t="s">
        <v>10884</v>
      </c>
      <c r="I1882" s="1865" t="s">
        <v>10705</v>
      </c>
      <c r="J1882" s="1820">
        <v>45694.0</v>
      </c>
      <c r="K1882" s="1851" t="s">
        <v>10885</v>
      </c>
      <c r="L1882" s="140" t="s">
        <v>10886</v>
      </c>
      <c r="M1882" s="1833" t="s">
        <v>10887</v>
      </c>
      <c r="N1882" s="140" t="s">
        <v>10888</v>
      </c>
      <c r="O1882" s="1822">
        <v>1.0</v>
      </c>
      <c r="P1882" s="1834" t="s">
        <v>10889</v>
      </c>
      <c r="Q1882" s="49" t="str">
        <f t="array" ref="Q1882"> if(iserror(MATCH(V1882, 'File Links'!C:C, 0)), "N/A", HYPERLINK(INDEX('File Links'!B:B, MATCH(P1882, 'File Links'!C:C, 0))))</f>
        <v>https://drive.google.com/file/d/1UOMf-snqsk6_xm9569d5Yr7tIrEVriap/view?usp=drivesdk</v>
      </c>
      <c r="R1882" s="140" t="s">
        <v>10890</v>
      </c>
      <c r="S1882" s="148" t="s">
        <v>10686</v>
      </c>
      <c r="T1882" s="126"/>
      <c r="U1882" s="1830">
        <v>1.0</v>
      </c>
      <c r="V1882" s="195" t="str">
        <f t="shared" si="121"/>
        <v>10.1126--science.aac4716.pdf</v>
      </c>
      <c r="W1882" s="1857" t="s">
        <v>157</v>
      </c>
      <c r="X1882" s="51" t="str">
        <f t="array" ref="X1882"> if(iserror(MATCH(V1882, 'File Links'!C:C, 0)), "N/A", HYPERLINK(INDEX('File Links'!B:B, MATCH(V1882, 'File Links'!C:C, 0))))</f>
        <v>https://drive.google.com/file/d/1UMAh9VGta6ExS2-Lb6GkDF4fmnI2EMeM/view?usp=drivesdk</v>
      </c>
      <c r="Z1882" s="140" t="s">
        <v>219</v>
      </c>
      <c r="AA1882" s="140" t="s">
        <v>10891</v>
      </c>
      <c r="AB1882" s="140" t="s">
        <v>10892</v>
      </c>
      <c r="AC1882" s="140" t="s">
        <v>10893</v>
      </c>
      <c r="AD1882" s="140" t="s">
        <v>10894</v>
      </c>
      <c r="AE1882" s="1822">
        <v>1.0</v>
      </c>
      <c r="AF1882" s="1822">
        <v>125.0</v>
      </c>
      <c r="AG1882" s="140">
        <v>0.93</v>
      </c>
      <c r="AH1882" s="140" t="s">
        <v>166</v>
      </c>
      <c r="AI1882" s="140" t="s">
        <v>10895</v>
      </c>
      <c r="AJ1882" s="1819" t="s">
        <v>131</v>
      </c>
      <c r="AK1882" s="1843"/>
      <c r="AL1882" s="140" t="s">
        <v>179</v>
      </c>
      <c r="AM1882" s="1859" t="s">
        <v>130</v>
      </c>
      <c r="AN1882" s="327" t="s">
        <v>131</v>
      </c>
      <c r="AO1882" s="1822">
        <v>177.0</v>
      </c>
      <c r="AP1882" s="140">
        <v>1.18</v>
      </c>
      <c r="AQ1882" s="140" t="s">
        <v>166</v>
      </c>
      <c r="AR1882" s="1857" t="s">
        <v>10896</v>
      </c>
      <c r="AS1882" s="1822">
        <v>0.001</v>
      </c>
      <c r="AT1882" s="140" t="s">
        <v>128</v>
      </c>
      <c r="AU1882" s="1864" t="s">
        <v>179</v>
      </c>
      <c r="AV1882" s="1861" t="s">
        <v>130</v>
      </c>
      <c r="AW1882" s="1862" t="s">
        <v>10897</v>
      </c>
      <c r="AX1882" s="1819" t="s">
        <v>136</v>
      </c>
      <c r="AZ1882" s="1819" t="s">
        <v>1263</v>
      </c>
      <c r="BB1882" s="1808" t="s">
        <v>10898</v>
      </c>
    </row>
    <row r="1883">
      <c r="A1883" s="41">
        <v>1883.0</v>
      </c>
      <c r="B1883" s="126" t="s">
        <v>145</v>
      </c>
      <c r="C1883" s="59" t="s">
        <v>108</v>
      </c>
      <c r="D1883" s="59" t="s">
        <v>146</v>
      </c>
      <c r="E1883" s="1819"/>
      <c r="F1883" s="140" t="s">
        <v>10882</v>
      </c>
      <c r="G1883" s="1850" t="s">
        <v>10883</v>
      </c>
      <c r="H1883" s="1851" t="s">
        <v>146</v>
      </c>
      <c r="I1883" s="1852" t="s">
        <v>10696</v>
      </c>
      <c r="J1883" s="1820">
        <v>45694.0</v>
      </c>
      <c r="K1883" s="140" t="s">
        <v>10899</v>
      </c>
      <c r="L1883" s="140"/>
      <c r="M1883" s="1821" t="s">
        <v>10887</v>
      </c>
      <c r="N1883" s="140" t="s">
        <v>10888</v>
      </c>
      <c r="O1883" s="1822">
        <v>1.0</v>
      </c>
      <c r="P1883" s="1823" t="s">
        <v>10889</v>
      </c>
      <c r="Q1883" s="49" t="str">
        <f t="array" ref="Q1883"> if(iserror(MATCH(V1883, 'File Links'!C:C, 0)), "N/A", HYPERLINK(INDEX('File Links'!B:B, MATCH(P1883, 'File Links'!C:C, 0))))</f>
        <v>https://drive.google.com/file/d/1UOMf-snqsk6_xm9569d5Yr7tIrEVriap/view?usp=drivesdk</v>
      </c>
      <c r="R1883" s="1834" t="s">
        <v>10890</v>
      </c>
      <c r="S1883" s="148" t="s">
        <v>10686</v>
      </c>
      <c r="T1883" s="126"/>
      <c r="U1883" s="1830">
        <v>1.0</v>
      </c>
      <c r="V1883" s="195" t="str">
        <f t="shared" si="121"/>
        <v>10.1126--science.aac4716.pdf</v>
      </c>
      <c r="W1883" s="1857" t="s">
        <v>157</v>
      </c>
      <c r="X1883" s="51" t="str">
        <f t="array" ref="X1883"> if(iserror(MATCH(V1883, 'File Links'!C:C, 0)), "N/A", HYPERLINK(INDEX('File Links'!B:B, MATCH(V1883, 'File Links'!C:C, 0))))</f>
        <v>https://drive.google.com/file/d/1UMAh9VGta6ExS2-Lb6GkDF4fmnI2EMeM/view?usp=drivesdk</v>
      </c>
      <c r="Z1883" s="140" t="s">
        <v>219</v>
      </c>
      <c r="AA1883" s="140" t="s">
        <v>10900</v>
      </c>
      <c r="AB1883" s="140" t="s">
        <v>10901</v>
      </c>
      <c r="AC1883" s="140" t="s">
        <v>10902</v>
      </c>
      <c r="AD1883" s="140" t="s">
        <v>10903</v>
      </c>
      <c r="AE1883" s="1822">
        <v>1.0</v>
      </c>
      <c r="AF1883" s="1822">
        <v>125.0</v>
      </c>
      <c r="AG1883" s="1822">
        <v>0.93</v>
      </c>
      <c r="AH1883" s="140" t="s">
        <v>166</v>
      </c>
      <c r="AI1883" s="140" t="s">
        <v>805</v>
      </c>
      <c r="AJ1883" s="1822" t="s">
        <v>131</v>
      </c>
      <c r="AK1883" s="1843"/>
      <c r="AL1883" s="140" t="s">
        <v>179</v>
      </c>
      <c r="AM1883" s="1859" t="s">
        <v>130</v>
      </c>
      <c r="AN1883" s="327" t="s">
        <v>131</v>
      </c>
      <c r="AO1883" s="1830">
        <v>177.0</v>
      </c>
      <c r="AP1883" s="1830">
        <v>1.18</v>
      </c>
      <c r="AQ1883" s="140" t="s">
        <v>166</v>
      </c>
      <c r="AR1883" s="1857" t="s">
        <v>133</v>
      </c>
      <c r="AS1883" s="1822">
        <v>0.001</v>
      </c>
      <c r="AT1883" s="140" t="s">
        <v>128</v>
      </c>
      <c r="AU1883" s="1864" t="s">
        <v>179</v>
      </c>
      <c r="AV1883" s="1861" t="s">
        <v>130</v>
      </c>
      <c r="AW1883" s="1862" t="s">
        <v>10904</v>
      </c>
      <c r="AX1883" s="1819" t="s">
        <v>144</v>
      </c>
      <c r="AZ1883" s="1819" t="s">
        <v>1263</v>
      </c>
      <c r="BA1883" s="481"/>
    </row>
    <row r="1884">
      <c r="A1884" s="41">
        <v>1884.0</v>
      </c>
      <c r="B1884" s="126" t="s">
        <v>145</v>
      </c>
      <c r="C1884" s="59" t="s">
        <v>108</v>
      </c>
      <c r="D1884" s="59" t="s">
        <v>1263</v>
      </c>
      <c r="E1884" s="1819"/>
      <c r="F1884" s="140" t="s">
        <v>10905</v>
      </c>
      <c r="G1884" s="140" t="s">
        <v>10906</v>
      </c>
      <c r="H1884" s="1851" t="s">
        <v>10907</v>
      </c>
      <c r="I1884" s="1865" t="s">
        <v>10705</v>
      </c>
      <c r="J1884" s="1820">
        <v>45694.0</v>
      </c>
      <c r="K1884" s="140" t="s">
        <v>10908</v>
      </c>
      <c r="L1884" s="1819" t="s">
        <v>10909</v>
      </c>
      <c r="M1884" s="1833" t="s">
        <v>10910</v>
      </c>
      <c r="N1884" s="140" t="s">
        <v>10911</v>
      </c>
      <c r="O1884" s="1822">
        <v>1.0</v>
      </c>
      <c r="P1884" s="1834" t="s">
        <v>10912</v>
      </c>
      <c r="Q1884" s="49" t="str">
        <f t="array" ref="Q1884"> if(iserror(MATCH(V1884, 'File Links'!C:C, 0)), "N/A", HYPERLINK(INDEX('File Links'!B:B, MATCH(P1884, 'File Links'!C:C, 0))))</f>
        <v>https://drive.google.com/file/d/1VxdhYWAzQnqcs07E_QIp8DFonsZrBpYe/view?usp=drivesdk</v>
      </c>
      <c r="R1884" s="140" t="s">
        <v>10913</v>
      </c>
      <c r="S1884" s="148" t="s">
        <v>10686</v>
      </c>
      <c r="T1884" s="126"/>
      <c r="U1884" s="1830">
        <v>1.0</v>
      </c>
      <c r="V1884" s="195" t="str">
        <f t="shared" si="121"/>
        <v>10.1126--science.aac4716.pdf</v>
      </c>
      <c r="W1884" s="1857" t="s">
        <v>157</v>
      </c>
      <c r="X1884" s="51" t="str">
        <f t="array" ref="X1884"> if(iserror(MATCH(V1884, 'File Links'!C:C, 0)), "N/A", HYPERLINK(INDEX('File Links'!B:B, MATCH(V1884, 'File Links'!C:C, 0))))</f>
        <v>https://drive.google.com/file/d/1UMAh9VGta6ExS2-Lb6GkDF4fmnI2EMeM/view?usp=drivesdk</v>
      </c>
      <c r="Z1884" s="140" t="s">
        <v>219</v>
      </c>
      <c r="AA1884" s="140" t="s">
        <v>10914</v>
      </c>
      <c r="AB1884" s="140" t="s">
        <v>10915</v>
      </c>
      <c r="AC1884" s="140" t="s">
        <v>10916</v>
      </c>
      <c r="AD1884" s="140" t="s">
        <v>10917</v>
      </c>
      <c r="AE1884" s="1822">
        <v>4.0</v>
      </c>
      <c r="AF1884" s="1822">
        <v>32.0</v>
      </c>
      <c r="AG1884" s="1822">
        <v>0.326</v>
      </c>
      <c r="AH1884" s="140" t="s">
        <v>132</v>
      </c>
      <c r="AI1884" s="140" t="s">
        <v>10918</v>
      </c>
      <c r="AJ1884" s="1822" t="s">
        <v>131</v>
      </c>
      <c r="AK1884" s="1843"/>
      <c r="AL1884" s="140" t="s">
        <v>179</v>
      </c>
      <c r="AM1884" s="1859" t="s">
        <v>134</v>
      </c>
      <c r="AN1884" s="327" t="s">
        <v>131</v>
      </c>
      <c r="AO1884" s="1830">
        <v>32.0</v>
      </c>
      <c r="AP1884" s="1830">
        <v>0.426</v>
      </c>
      <c r="AQ1884" s="140" t="s">
        <v>132</v>
      </c>
      <c r="AR1884" s="1857" t="s">
        <v>10919</v>
      </c>
      <c r="AS1884" s="1822">
        <v>0.001</v>
      </c>
      <c r="AT1884" s="140" t="s">
        <v>128</v>
      </c>
      <c r="AU1884" s="1864" t="s">
        <v>129</v>
      </c>
      <c r="AV1884" s="1861" t="s">
        <v>134</v>
      </c>
      <c r="AW1884" s="1862" t="s">
        <v>10920</v>
      </c>
      <c r="AX1884" s="1819" t="s">
        <v>136</v>
      </c>
      <c r="AZ1884" s="1819" t="s">
        <v>1263</v>
      </c>
      <c r="BB1884" s="1808" t="s">
        <v>10921</v>
      </c>
    </row>
    <row r="1885">
      <c r="A1885" s="41">
        <v>1885.0</v>
      </c>
      <c r="B1885" s="59" t="s">
        <v>107</v>
      </c>
      <c r="C1885" s="59" t="s">
        <v>108</v>
      </c>
      <c r="D1885" s="59" t="s">
        <v>146</v>
      </c>
      <c r="E1885" s="1819"/>
      <c r="F1885" s="140" t="s">
        <v>10905</v>
      </c>
      <c r="G1885" s="1850" t="s">
        <v>10906</v>
      </c>
      <c r="H1885" s="1851" t="s">
        <v>146</v>
      </c>
      <c r="I1885" s="1852" t="s">
        <v>10696</v>
      </c>
      <c r="J1885" s="1820">
        <v>45694.0</v>
      </c>
      <c r="K1885" s="140" t="s">
        <v>10922</v>
      </c>
      <c r="L1885" s="140"/>
      <c r="M1885" s="1821" t="s">
        <v>10910</v>
      </c>
      <c r="N1885" s="140" t="s">
        <v>10911</v>
      </c>
      <c r="O1885" s="1822">
        <v>1.0</v>
      </c>
      <c r="P1885" s="1823" t="s">
        <v>10912</v>
      </c>
      <c r="Q1885" s="49" t="str">
        <f t="array" ref="Q1885"> if(iserror(MATCH(V1885, 'File Links'!C:C, 0)), "N/A", HYPERLINK(INDEX('File Links'!B:B, MATCH(P1885, 'File Links'!C:C, 0))))</f>
        <v>https://drive.google.com/file/d/1VxdhYWAzQnqcs07E_QIp8DFonsZrBpYe/view?usp=drivesdk</v>
      </c>
      <c r="R1885" s="1834" t="s">
        <v>10913</v>
      </c>
      <c r="S1885" s="148" t="s">
        <v>10686</v>
      </c>
      <c r="T1885" s="126"/>
      <c r="U1885" s="1830">
        <v>1.0</v>
      </c>
      <c r="V1885" s="195" t="str">
        <f t="shared" si="121"/>
        <v>10.1126--science.aac4716.pdf</v>
      </c>
      <c r="W1885" s="1857" t="s">
        <v>3800</v>
      </c>
      <c r="X1885" s="51" t="str">
        <f t="array" ref="X1885"> if(iserror(MATCH(V1885, 'File Links'!C:C, 0)), "N/A", HYPERLINK(INDEX('File Links'!B:B, MATCH(V1885, 'File Links'!C:C, 0))))</f>
        <v>https://drive.google.com/file/d/1UMAh9VGta6ExS2-Lb6GkDF4fmnI2EMeM/view?usp=drivesdk</v>
      </c>
      <c r="Z1885" s="140" t="s">
        <v>219</v>
      </c>
      <c r="AA1885" s="140" t="s">
        <v>10914</v>
      </c>
      <c r="AB1885" s="140" t="s">
        <v>10923</v>
      </c>
      <c r="AC1885" s="140" t="s">
        <v>10924</v>
      </c>
      <c r="AD1885" s="140" t="s">
        <v>10925</v>
      </c>
      <c r="AE1885" s="1822">
        <v>4.0</v>
      </c>
      <c r="AF1885" s="1822">
        <v>32.0</v>
      </c>
      <c r="AG1885" s="1822">
        <v>0.326</v>
      </c>
      <c r="AH1885" s="140" t="s">
        <v>132</v>
      </c>
      <c r="AI1885" s="140" t="s">
        <v>843</v>
      </c>
      <c r="AJ1885" s="1819" t="s">
        <v>131</v>
      </c>
      <c r="AK1885" s="140" t="s">
        <v>131</v>
      </c>
      <c r="AL1885" s="140" t="s">
        <v>179</v>
      </c>
      <c r="AM1885" s="1819" t="s">
        <v>130</v>
      </c>
      <c r="AN1885" s="327" t="s">
        <v>131</v>
      </c>
      <c r="AO1885" s="1822">
        <v>32.0</v>
      </c>
      <c r="AP1885" s="1822">
        <v>0.422</v>
      </c>
      <c r="AQ1885" s="140" t="s">
        <v>132</v>
      </c>
      <c r="AR1885" s="1857" t="s">
        <v>806</v>
      </c>
      <c r="AS1885" s="1822">
        <v>0.001</v>
      </c>
      <c r="AT1885" s="140" t="s">
        <v>128</v>
      </c>
      <c r="AU1885" s="1864" t="s">
        <v>129</v>
      </c>
      <c r="AV1885" s="1861" t="s">
        <v>130</v>
      </c>
      <c r="AW1885" s="1862" t="s">
        <v>10926</v>
      </c>
      <c r="AX1885" s="1819" t="s">
        <v>136</v>
      </c>
      <c r="AZ1885" s="1819" t="s">
        <v>1263</v>
      </c>
    </row>
    <row r="1886">
      <c r="A1886" s="41">
        <v>1886.0</v>
      </c>
      <c r="B1886" s="59" t="s">
        <v>107</v>
      </c>
      <c r="C1886" s="59" t="s">
        <v>108</v>
      </c>
      <c r="D1886" s="59" t="s">
        <v>1263</v>
      </c>
      <c r="E1886" s="1819"/>
      <c r="F1886" s="140" t="s">
        <v>10927</v>
      </c>
      <c r="G1886" s="140" t="s">
        <v>10928</v>
      </c>
      <c r="H1886" s="1852" t="s">
        <v>10929</v>
      </c>
      <c r="I1886" s="1865" t="s">
        <v>10705</v>
      </c>
      <c r="J1886" s="1820">
        <v>45694.0</v>
      </c>
      <c r="K1886" s="140" t="s">
        <v>10885</v>
      </c>
      <c r="L1886" s="140" t="s">
        <v>10930</v>
      </c>
      <c r="M1886" s="1833" t="s">
        <v>10931</v>
      </c>
      <c r="N1886" s="140" t="s">
        <v>10932</v>
      </c>
      <c r="O1886" s="1822">
        <v>2.0</v>
      </c>
      <c r="P1886" s="1834" t="s">
        <v>10933</v>
      </c>
      <c r="Q1886" s="49" t="str">
        <f t="array" ref="Q1886"> if(iserror(MATCH(V1886, 'File Links'!C:C, 0)), "N/A", HYPERLINK(INDEX('File Links'!B:B, MATCH(P1886, 'File Links'!C:C, 0))))</f>
        <v>https://drive.google.com/file/d/1-STrPNxtwFZUvuNyyXDlz1bTmYscRd6t/view?usp=drivesdk</v>
      </c>
      <c r="R1886" s="140" t="s">
        <v>10934</v>
      </c>
      <c r="S1886" s="148" t="s">
        <v>10935</v>
      </c>
      <c r="T1886" s="126"/>
      <c r="U1886" s="1819"/>
      <c r="V1886" s="195" t="str">
        <f t="shared" si="121"/>
        <v>10.17605--osf.io--ictp5.pdf</v>
      </c>
      <c r="W1886" s="1857" t="s">
        <v>157</v>
      </c>
      <c r="X1886" s="51" t="str">
        <f t="array" ref="X1886"> if(iserror(MATCH(V1886, 'File Links'!C:C, 0)), "N/A", HYPERLINK(INDEX('File Links'!B:B, MATCH(V1886, 'File Links'!C:C, 0))))</f>
        <v>https://drive.google.com/file/d/1aZbByDdOVHRhBNFrVHpONghJoQFgQzen/view?usp=drivesdk</v>
      </c>
      <c r="Z1886" s="140" t="s">
        <v>141</v>
      </c>
      <c r="AA1886" s="140" t="s">
        <v>10936</v>
      </c>
      <c r="AB1886" s="140" t="s">
        <v>10937</v>
      </c>
      <c r="AC1886" s="140" t="s">
        <v>10938</v>
      </c>
      <c r="AD1886" s="140" t="s">
        <v>10939</v>
      </c>
      <c r="AE1886" s="1822">
        <v>2.0</v>
      </c>
      <c r="AF1886" s="1822">
        <v>32.0</v>
      </c>
      <c r="AG1886" s="140" t="s">
        <v>10940</v>
      </c>
      <c r="AH1886" s="140" t="s">
        <v>127</v>
      </c>
      <c r="AI1886" s="140" t="s">
        <v>868</v>
      </c>
      <c r="AJ1886" s="1819" t="s">
        <v>131</v>
      </c>
      <c r="AK1886" s="140" t="s">
        <v>131</v>
      </c>
      <c r="AL1886" s="140" t="s">
        <v>179</v>
      </c>
      <c r="AM1886" s="1859" t="s">
        <v>130</v>
      </c>
      <c r="AN1886" s="327" t="s">
        <v>131</v>
      </c>
      <c r="AO1886" s="1822">
        <v>8.0</v>
      </c>
      <c r="AP1886" s="140" t="s">
        <v>10941</v>
      </c>
      <c r="AQ1886" s="140" t="s">
        <v>166</v>
      </c>
      <c r="AR1886" s="1857" t="s">
        <v>806</v>
      </c>
      <c r="AS1886" s="1822">
        <v>0.197</v>
      </c>
      <c r="AT1886" s="140" t="s">
        <v>165</v>
      </c>
      <c r="AU1886" s="1864" t="s">
        <v>129</v>
      </c>
      <c r="AV1886" s="1861" t="s">
        <v>130</v>
      </c>
      <c r="AW1886" s="1862" t="s">
        <v>10942</v>
      </c>
      <c r="AX1886" s="1819" t="s">
        <v>136</v>
      </c>
      <c r="AZ1886" s="1819" t="s">
        <v>1263</v>
      </c>
      <c r="BB1886" s="1808" t="s">
        <v>10921</v>
      </c>
    </row>
    <row r="1887">
      <c r="A1887" s="41">
        <v>1887.0</v>
      </c>
      <c r="B1887" s="126" t="s">
        <v>145</v>
      </c>
      <c r="C1887" s="59" t="s">
        <v>108</v>
      </c>
      <c r="D1887" s="59" t="s">
        <v>146</v>
      </c>
      <c r="E1887" s="1819"/>
      <c r="F1887" s="140" t="s">
        <v>10927</v>
      </c>
      <c r="G1887" s="1850" t="s">
        <v>10928</v>
      </c>
      <c r="H1887" s="1851" t="s">
        <v>146</v>
      </c>
      <c r="I1887" s="1852" t="s">
        <v>10696</v>
      </c>
      <c r="J1887" s="1820">
        <v>45694.0</v>
      </c>
      <c r="K1887" s="140" t="s">
        <v>10943</v>
      </c>
      <c r="L1887" s="140"/>
      <c r="M1887" s="1821" t="s">
        <v>10931</v>
      </c>
      <c r="N1887" s="140" t="s">
        <v>10932</v>
      </c>
      <c r="O1887" s="1822">
        <v>1.0</v>
      </c>
      <c r="P1887" s="1823" t="s">
        <v>10933</v>
      </c>
      <c r="Q1887" s="49" t="str">
        <f t="array" ref="Q1887"> if(iserror(MATCH(V1887, 'File Links'!C:C, 0)), "N/A", HYPERLINK(INDEX('File Links'!B:B, MATCH(P1887, 'File Links'!C:C, 0))))</f>
        <v>https://drive.google.com/file/d/1-STrPNxtwFZUvuNyyXDlz1bTmYscRd6t/view?usp=drivesdk</v>
      </c>
      <c r="R1887" s="1834" t="s">
        <v>10934</v>
      </c>
      <c r="S1887" s="148" t="s">
        <v>10935</v>
      </c>
      <c r="T1887" s="148"/>
      <c r="U1887" s="1819"/>
      <c r="V1887" s="195" t="str">
        <f t="shared" si="121"/>
        <v>10.17605--osf.io--ictp5.pdf</v>
      </c>
      <c r="W1887" s="1857" t="s">
        <v>3563</v>
      </c>
      <c r="X1887" s="51" t="str">
        <f t="array" ref="X1887"> if(iserror(MATCH(V1887, 'File Links'!C:C, 0)), "N/A", HYPERLINK(INDEX('File Links'!B:B, MATCH(V1887, 'File Links'!C:C, 0))))</f>
        <v>https://drive.google.com/file/d/1aZbByDdOVHRhBNFrVHpONghJoQFgQzen/view?usp=drivesdk</v>
      </c>
      <c r="Z1887" s="140" t="s">
        <v>141</v>
      </c>
      <c r="AA1887" s="140" t="s">
        <v>10944</v>
      </c>
      <c r="AB1887" s="140" t="s">
        <v>10945</v>
      </c>
      <c r="AC1887" s="140" t="s">
        <v>10946</v>
      </c>
      <c r="AD1887" s="140" t="s">
        <v>10947</v>
      </c>
      <c r="AE1887" s="1822">
        <v>2.0</v>
      </c>
      <c r="AF1887" s="1822">
        <v>32.0</v>
      </c>
      <c r="AG1887" s="140" t="s">
        <v>10940</v>
      </c>
      <c r="AH1887" s="140" t="s">
        <v>127</v>
      </c>
      <c r="AI1887" s="140" t="s">
        <v>868</v>
      </c>
      <c r="AJ1887" s="1819" t="s">
        <v>131</v>
      </c>
      <c r="AK1887" s="140" t="s">
        <v>131</v>
      </c>
      <c r="AL1887" s="140" t="s">
        <v>179</v>
      </c>
      <c r="AM1887" s="1859" t="s">
        <v>130</v>
      </c>
      <c r="AN1887" s="327" t="s">
        <v>131</v>
      </c>
      <c r="AO1887" s="1822">
        <v>8.0</v>
      </c>
      <c r="AP1887" s="140" t="s">
        <v>10948</v>
      </c>
      <c r="AQ1887" s="140" t="s">
        <v>127</v>
      </c>
      <c r="AR1887" s="1857" t="s">
        <v>806</v>
      </c>
      <c r="AS1887" s="1822">
        <v>0.197</v>
      </c>
      <c r="AT1887" s="140" t="s">
        <v>165</v>
      </c>
      <c r="AU1887" s="1864" t="s">
        <v>129</v>
      </c>
      <c r="AV1887" s="1861" t="s">
        <v>130</v>
      </c>
      <c r="AW1887" s="1862" t="s">
        <v>10949</v>
      </c>
      <c r="AX1887" s="1819" t="s">
        <v>136</v>
      </c>
      <c r="AZ1887" s="1819" t="s">
        <v>1263</v>
      </c>
    </row>
    <row r="1888">
      <c r="A1888" s="41">
        <v>1888.0</v>
      </c>
      <c r="B1888" s="59" t="s">
        <v>145</v>
      </c>
      <c r="C1888" s="59" t="s">
        <v>108</v>
      </c>
      <c r="D1888" s="59" t="s">
        <v>1263</v>
      </c>
      <c r="E1888" s="1819"/>
      <c r="F1888" s="140" t="s">
        <v>10950</v>
      </c>
      <c r="G1888" s="140" t="s">
        <v>10951</v>
      </c>
      <c r="H1888" s="1851" t="s">
        <v>10952</v>
      </c>
      <c r="I1888" s="1865" t="s">
        <v>10705</v>
      </c>
      <c r="J1888" s="1820">
        <v>45694.0</v>
      </c>
      <c r="K1888" s="140" t="s">
        <v>10953</v>
      </c>
      <c r="L1888" s="1819" t="s">
        <v>10954</v>
      </c>
      <c r="M1888" s="1833" t="s">
        <v>10955</v>
      </c>
      <c r="N1888" s="140" t="s">
        <v>10956</v>
      </c>
      <c r="O1888" s="1822">
        <v>1.0</v>
      </c>
      <c r="P1888" s="1834" t="s">
        <v>10957</v>
      </c>
      <c r="Q1888" s="49" t="str">
        <f t="array" ref="Q1888"> if(iserror(MATCH(V1888, 'File Links'!C:C, 0)), "N/A", HYPERLINK(INDEX('File Links'!B:B, MATCH(P1888, 'File Links'!C:C, 0))))</f>
        <v>https://drive.google.com/file/d/15VbpcEsW9L5op3IMpHA4I2dI5ndZgOpe/view?usp=drivesdk</v>
      </c>
      <c r="R1888" s="140" t="s">
        <v>10958</v>
      </c>
      <c r="S1888" s="148" t="s">
        <v>10959</v>
      </c>
      <c r="T1888" s="148"/>
      <c r="U1888" s="1830"/>
      <c r="V1888" s="195" t="str">
        <f t="shared" si="121"/>
        <v>10.3389--fpsyg.2014.00786.pdf</v>
      </c>
      <c r="W1888" s="1857" t="s">
        <v>10960</v>
      </c>
      <c r="X1888" s="51" t="str">
        <f t="array" ref="X1888"> if(iserror(MATCH(V1888, 'File Links'!C:C, 0)), "N/A", HYPERLINK(INDEX('File Links'!B:B, MATCH(V1888, 'File Links'!C:C, 0))))</f>
        <v>https://drive.google.com/file/d/1X8xl-ktO34rqHxXEr72Dhva7VBCdkSZl/view?usp=drivesdk</v>
      </c>
      <c r="Z1888" s="140" t="s">
        <v>141</v>
      </c>
      <c r="AA1888" s="1827" t="s">
        <v>10961</v>
      </c>
      <c r="AB1888" s="140" t="s">
        <v>10962</v>
      </c>
      <c r="AC1888" s="140" t="s">
        <v>10963</v>
      </c>
      <c r="AD1888" s="140" t="s">
        <v>10964</v>
      </c>
      <c r="AE1888" s="1866">
        <v>45689.0</v>
      </c>
      <c r="AF1888" s="1822">
        <v>173.0</v>
      </c>
      <c r="AG1888" s="1822" t="s">
        <v>10965</v>
      </c>
      <c r="AH1888" s="140" t="s">
        <v>127</v>
      </c>
      <c r="AI1888" s="140" t="s">
        <v>805</v>
      </c>
      <c r="AJ1888" s="1830">
        <v>0.01</v>
      </c>
      <c r="AK1888" s="140" t="s">
        <v>128</v>
      </c>
      <c r="AL1888" s="140" t="s">
        <v>179</v>
      </c>
      <c r="AM1888" s="1867" t="s">
        <v>134</v>
      </c>
      <c r="AN1888" s="327" t="s">
        <v>131</v>
      </c>
      <c r="AO1888" s="1830">
        <v>140.0</v>
      </c>
      <c r="AP1888" s="1830" t="s">
        <v>10966</v>
      </c>
      <c r="AQ1888" s="140" t="s">
        <v>127</v>
      </c>
      <c r="AR1888" s="1857" t="s">
        <v>133</v>
      </c>
      <c r="AS1888" s="1830">
        <v>0.001</v>
      </c>
      <c r="AT1888" s="140" t="s">
        <v>128</v>
      </c>
      <c r="AU1888" s="1864" t="s">
        <v>129</v>
      </c>
      <c r="AV1888" s="1861" t="s">
        <v>134</v>
      </c>
      <c r="AW1888" s="1862" t="s">
        <v>10967</v>
      </c>
      <c r="AX1888" s="1819" t="s">
        <v>136</v>
      </c>
      <c r="AZ1888" s="1819" t="s">
        <v>1263</v>
      </c>
      <c r="BB1888" s="1808" t="s">
        <v>10921</v>
      </c>
    </row>
    <row r="1889">
      <c r="A1889" s="41">
        <v>1889.0</v>
      </c>
      <c r="B1889" s="59" t="s">
        <v>107</v>
      </c>
      <c r="C1889" s="59" t="s">
        <v>108</v>
      </c>
      <c r="D1889" s="59" t="s">
        <v>146</v>
      </c>
      <c r="E1889" s="1819"/>
      <c r="F1889" s="140" t="s">
        <v>10950</v>
      </c>
      <c r="G1889" s="1850" t="s">
        <v>10951</v>
      </c>
      <c r="H1889" s="1851" t="s">
        <v>146</v>
      </c>
      <c r="I1889" s="1852" t="s">
        <v>10696</v>
      </c>
      <c r="J1889" s="1820">
        <v>45694.0</v>
      </c>
      <c r="K1889" s="140" t="s">
        <v>10968</v>
      </c>
      <c r="L1889" s="140"/>
      <c r="M1889" s="1821" t="s">
        <v>10955</v>
      </c>
      <c r="N1889" s="140" t="s">
        <v>10956</v>
      </c>
      <c r="O1889" s="1822">
        <v>1.0</v>
      </c>
      <c r="P1889" s="1823" t="s">
        <v>10957</v>
      </c>
      <c r="Q1889" s="49" t="str">
        <f t="array" ref="Q1889"> if(iserror(MATCH(V1889, 'File Links'!C:C, 0)), "N/A", HYPERLINK(INDEX('File Links'!B:B, MATCH(P1889, 'File Links'!C:C, 0))))</f>
        <v>https://drive.google.com/file/d/15VbpcEsW9L5op3IMpHA4I2dI5ndZgOpe/view?usp=drivesdk</v>
      </c>
      <c r="R1889" s="1834" t="s">
        <v>10958</v>
      </c>
      <c r="S1889" s="148" t="s">
        <v>10959</v>
      </c>
      <c r="T1889" s="148"/>
      <c r="U1889" s="1830">
        <v>1.0</v>
      </c>
      <c r="V1889" s="195" t="str">
        <f t="shared" si="121"/>
        <v>10.3389--fpsyg.2014.00786.pdf</v>
      </c>
      <c r="W1889" s="1857" t="s">
        <v>157</v>
      </c>
      <c r="X1889" s="51" t="str">
        <f t="array" ref="X1889"> if(iserror(MATCH(V1889, 'File Links'!C:C, 0)), "N/A", HYPERLINK(INDEX('File Links'!B:B, MATCH(V1889, 'File Links'!C:C, 0))))</f>
        <v>https://drive.google.com/file/d/1X8xl-ktO34rqHxXEr72Dhva7VBCdkSZl/view?usp=drivesdk</v>
      </c>
      <c r="Z1889" s="140" t="s">
        <v>141</v>
      </c>
      <c r="AA1889" s="140" t="s">
        <v>10961</v>
      </c>
      <c r="AB1889" s="140" t="s">
        <v>10969</v>
      </c>
      <c r="AC1889" s="140" t="s">
        <v>10970</v>
      </c>
      <c r="AD1889" s="140" t="s">
        <v>10971</v>
      </c>
      <c r="AE1889" s="1866">
        <v>45689.0</v>
      </c>
      <c r="AF1889" s="1822">
        <v>173.0</v>
      </c>
      <c r="AG1889" s="140" t="s">
        <v>10965</v>
      </c>
      <c r="AH1889" s="140" t="s">
        <v>127</v>
      </c>
      <c r="AI1889" s="140" t="s">
        <v>805</v>
      </c>
      <c r="AJ1889" s="1830">
        <v>0.01</v>
      </c>
      <c r="AK1889" s="140" t="s">
        <v>128</v>
      </c>
      <c r="AL1889" s="140" t="s">
        <v>129</v>
      </c>
      <c r="AM1889" s="1859" t="s">
        <v>130</v>
      </c>
      <c r="AN1889" s="327" t="s">
        <v>131</v>
      </c>
      <c r="AO1889" s="1822">
        <v>140.0</v>
      </c>
      <c r="AP1889" s="1822">
        <v>0.34</v>
      </c>
      <c r="AQ1889" s="140" t="s">
        <v>10972</v>
      </c>
      <c r="AR1889" s="1857" t="s">
        <v>133</v>
      </c>
      <c r="AS1889" s="1822">
        <v>0.001</v>
      </c>
      <c r="AT1889" s="140" t="s">
        <v>128</v>
      </c>
      <c r="AU1889" s="1864" t="s">
        <v>129</v>
      </c>
      <c r="AV1889" s="1861" t="s">
        <v>130</v>
      </c>
      <c r="AW1889" s="1862" t="s">
        <v>10973</v>
      </c>
      <c r="AX1889" s="1819" t="s">
        <v>136</v>
      </c>
      <c r="AZ1889" s="1819" t="s">
        <v>1263</v>
      </c>
    </row>
    <row r="1890">
      <c r="A1890" s="41">
        <v>1890.0</v>
      </c>
      <c r="B1890" s="126" t="s">
        <v>145</v>
      </c>
      <c r="C1890" s="59" t="s">
        <v>108</v>
      </c>
      <c r="D1890" s="59" t="s">
        <v>1263</v>
      </c>
      <c r="E1890" s="1819"/>
      <c r="F1890" s="140" t="s">
        <v>10974</v>
      </c>
      <c r="G1890" s="140" t="s">
        <v>10975</v>
      </c>
      <c r="H1890" s="1851" t="s">
        <v>10976</v>
      </c>
      <c r="I1890" s="1865" t="s">
        <v>10705</v>
      </c>
      <c r="J1890" s="1820">
        <v>45694.0</v>
      </c>
      <c r="K1890" s="1832"/>
      <c r="L1890" s="140" t="s">
        <v>10977</v>
      </c>
      <c r="M1890" s="1833" t="s">
        <v>10978</v>
      </c>
      <c r="N1890" s="140" t="s">
        <v>10979</v>
      </c>
      <c r="O1890" s="1822">
        <v>1.0</v>
      </c>
      <c r="P1890" s="1834" t="s">
        <v>10980</v>
      </c>
      <c r="Q1890" s="49" t="str">
        <f t="array" ref="Q1890"> if(iserror(MATCH(V1890, 'File Links'!C:C, 0)), "N/A", HYPERLINK(INDEX('File Links'!B:B, MATCH(P1890, 'File Links'!C:C, 0))))</f>
        <v>https://drive.google.com/file/d/1WsASGCOfsob-mQCui8A8AumUCdwI1vZt/view?usp=drivesdk</v>
      </c>
      <c r="R1890" s="140" t="s">
        <v>10981</v>
      </c>
      <c r="S1890" s="148" t="s">
        <v>10686</v>
      </c>
      <c r="T1890" s="126"/>
      <c r="U1890" s="1830">
        <v>1.0</v>
      </c>
      <c r="V1890" s="195" t="str">
        <f t="shared" si="121"/>
        <v>10.1126--science.aac4716.pdf</v>
      </c>
      <c r="W1890" s="1857" t="s">
        <v>157</v>
      </c>
      <c r="X1890" s="51" t="str">
        <f t="array" ref="X1890"> if(iserror(MATCH(V1890, 'File Links'!C:C, 0)), "N/A", HYPERLINK(INDEX('File Links'!B:B, MATCH(V1890, 'File Links'!C:C, 0))))</f>
        <v>https://drive.google.com/file/d/1UMAh9VGta6ExS2-Lb6GkDF4fmnI2EMeM/view?usp=drivesdk</v>
      </c>
      <c r="Z1890" s="140" t="s">
        <v>141</v>
      </c>
      <c r="AA1890" s="140" t="s">
        <v>10982</v>
      </c>
      <c r="AB1890" s="140" t="s">
        <v>10983</v>
      </c>
      <c r="AC1890" s="140" t="s">
        <v>10984</v>
      </c>
      <c r="AD1890" s="140" t="s">
        <v>10985</v>
      </c>
      <c r="AE1890" s="1822">
        <v>5.0</v>
      </c>
      <c r="AF1890" s="1822">
        <v>12.0</v>
      </c>
      <c r="AG1890" s="140" t="s">
        <v>10986</v>
      </c>
      <c r="AH1890" s="140" t="s">
        <v>127</v>
      </c>
      <c r="AI1890" s="140" t="s">
        <v>806</v>
      </c>
      <c r="AJ1890" s="1830">
        <v>1.0E-5</v>
      </c>
      <c r="AK1890" s="140" t="s">
        <v>128</v>
      </c>
      <c r="AL1890" s="140" t="s">
        <v>179</v>
      </c>
      <c r="AM1890" s="1859" t="s">
        <v>134</v>
      </c>
      <c r="AN1890" s="327" t="s">
        <v>131</v>
      </c>
      <c r="AO1890" s="1822">
        <v>12.0</v>
      </c>
      <c r="AP1890" s="140">
        <v>0.261</v>
      </c>
      <c r="AQ1890" s="140" t="s">
        <v>132</v>
      </c>
      <c r="AR1890" s="1857" t="s">
        <v>10987</v>
      </c>
      <c r="AS1890" s="1830">
        <v>1.0E-5</v>
      </c>
      <c r="AT1890" s="140" t="s">
        <v>128</v>
      </c>
      <c r="AU1890" s="1864" t="s">
        <v>179</v>
      </c>
      <c r="AV1890" s="1861" t="s">
        <v>134</v>
      </c>
      <c r="AW1890" s="1862" t="s">
        <v>10988</v>
      </c>
      <c r="AX1890" s="1819" t="s">
        <v>136</v>
      </c>
      <c r="AZ1890" s="1819" t="s">
        <v>1263</v>
      </c>
      <c r="BB1890" s="1808" t="s">
        <v>10921</v>
      </c>
    </row>
    <row r="1891">
      <c r="A1891" s="41">
        <v>1891.0</v>
      </c>
      <c r="B1891" s="59" t="s">
        <v>107</v>
      </c>
      <c r="C1891" s="59" t="s">
        <v>108</v>
      </c>
      <c r="D1891" s="59" t="s">
        <v>146</v>
      </c>
      <c r="E1891" s="1819"/>
      <c r="F1891" s="140" t="s">
        <v>10974</v>
      </c>
      <c r="G1891" s="1850" t="s">
        <v>10975</v>
      </c>
      <c r="H1891" s="1851" t="s">
        <v>146</v>
      </c>
      <c r="I1891" s="1852" t="s">
        <v>10696</v>
      </c>
      <c r="J1891" s="1820">
        <v>45694.0</v>
      </c>
      <c r="K1891" s="1832"/>
      <c r="L1891" s="1844"/>
      <c r="M1891" s="1821" t="s">
        <v>10978</v>
      </c>
      <c r="N1891" s="140" t="s">
        <v>10979</v>
      </c>
      <c r="O1891" s="1822">
        <v>1.0</v>
      </c>
      <c r="P1891" s="1823" t="s">
        <v>10980</v>
      </c>
      <c r="Q1891" s="49" t="str">
        <f t="array" ref="Q1891"> if(iserror(MATCH(V1891, 'File Links'!C:C, 0)), "N/A", HYPERLINK(INDEX('File Links'!B:B, MATCH(P1891, 'File Links'!C:C, 0))))</f>
        <v>https://drive.google.com/file/d/1WsASGCOfsob-mQCui8A8AumUCdwI1vZt/view?usp=drivesdk</v>
      </c>
      <c r="R1891" s="1834" t="s">
        <v>10981</v>
      </c>
      <c r="S1891" s="148" t="s">
        <v>10686</v>
      </c>
      <c r="T1891" s="126"/>
      <c r="U1891" s="1830">
        <v>1.0</v>
      </c>
      <c r="V1891" s="195" t="str">
        <f t="shared" si="121"/>
        <v>10.1126--science.aac4716.pdf</v>
      </c>
      <c r="W1891" s="1857" t="s">
        <v>3800</v>
      </c>
      <c r="X1891" s="51" t="str">
        <f t="array" ref="X1891"> if(iserror(MATCH(V1891, 'File Links'!C:C, 0)), "N/A", HYPERLINK(INDEX('File Links'!B:B, MATCH(V1891, 'File Links'!C:C, 0))))</f>
        <v>https://drive.google.com/file/d/1UMAh9VGta6ExS2-Lb6GkDF4fmnI2EMeM/view?usp=drivesdk</v>
      </c>
      <c r="Z1891" s="140" t="s">
        <v>141</v>
      </c>
      <c r="AA1891" s="140" t="s">
        <v>10989</v>
      </c>
      <c r="AB1891" s="140" t="s">
        <v>10990</v>
      </c>
      <c r="AC1891" s="140" t="s">
        <v>10991</v>
      </c>
      <c r="AD1891" s="140" t="s">
        <v>10992</v>
      </c>
      <c r="AE1891" s="1822">
        <v>5.0</v>
      </c>
      <c r="AF1891" s="1822">
        <v>12.0</v>
      </c>
      <c r="AG1891" s="1822">
        <v>0.308</v>
      </c>
      <c r="AH1891" s="140" t="s">
        <v>132</v>
      </c>
      <c r="AI1891" s="140" t="s">
        <v>806</v>
      </c>
      <c r="AJ1891" s="1830">
        <v>1.0E-5</v>
      </c>
      <c r="AK1891" s="140" t="s">
        <v>128</v>
      </c>
      <c r="AL1891" s="140" t="s">
        <v>179</v>
      </c>
      <c r="AM1891" s="1859" t="s">
        <v>134</v>
      </c>
      <c r="AN1891" s="327" t="s">
        <v>131</v>
      </c>
      <c r="AO1891" s="1830">
        <v>12.0</v>
      </c>
      <c r="AP1891" s="1830" t="s">
        <v>10993</v>
      </c>
      <c r="AQ1891" s="140" t="s">
        <v>127</v>
      </c>
      <c r="AR1891" s="1859" t="s">
        <v>133</v>
      </c>
      <c r="AS1891" s="1830">
        <v>1.0E-5</v>
      </c>
      <c r="AT1891" s="140" t="s">
        <v>128</v>
      </c>
      <c r="AU1891" s="1864" t="s">
        <v>179</v>
      </c>
      <c r="AV1891" s="1861" t="s">
        <v>134</v>
      </c>
      <c r="AW1891" s="1862" t="s">
        <v>10994</v>
      </c>
      <c r="AX1891" s="1819" t="s">
        <v>136</v>
      </c>
      <c r="AZ1891" s="1819" t="s">
        <v>1263</v>
      </c>
      <c r="BA1891" s="186"/>
    </row>
    <row r="1892">
      <c r="A1892" s="41">
        <v>1892.0</v>
      </c>
      <c r="B1892" s="126" t="s">
        <v>145</v>
      </c>
      <c r="C1892" s="59" t="s">
        <v>108</v>
      </c>
      <c r="D1892" s="59" t="s">
        <v>1263</v>
      </c>
      <c r="E1892" s="1819"/>
      <c r="F1892" s="140" t="s">
        <v>10995</v>
      </c>
      <c r="G1892" s="140" t="s">
        <v>10996</v>
      </c>
      <c r="H1892" s="1851" t="s">
        <v>10997</v>
      </c>
      <c r="I1892" s="1865" t="s">
        <v>10705</v>
      </c>
      <c r="J1892" s="1820">
        <v>45694.0</v>
      </c>
      <c r="K1892" s="1819" t="s">
        <v>10885</v>
      </c>
      <c r="L1892" s="1819" t="s">
        <v>10998</v>
      </c>
      <c r="M1892" s="1833" t="s">
        <v>10999</v>
      </c>
      <c r="N1892" s="140" t="s">
        <v>11000</v>
      </c>
      <c r="O1892" s="1822">
        <v>1.0</v>
      </c>
      <c r="P1892" s="1834" t="s">
        <v>11001</v>
      </c>
      <c r="Q1892" s="49" t="str">
        <f t="array" ref="Q1892"> if(iserror(MATCH(V1892, 'File Links'!C:C, 0)), "N/A", HYPERLINK(INDEX('File Links'!B:B, MATCH(P1892, 'File Links'!C:C, 0))))</f>
        <v>https://drive.google.com/file/d/1WwYYCOA_x1mX6TzeKfrhq1RdbnoCXoh0/view?usp=drivesdk</v>
      </c>
      <c r="R1892" s="140" t="s">
        <v>11002</v>
      </c>
      <c r="S1892" s="148" t="s">
        <v>10686</v>
      </c>
      <c r="T1892" s="126"/>
      <c r="U1892" s="1830">
        <v>1.0</v>
      </c>
      <c r="V1892" s="195" t="str">
        <f t="shared" si="121"/>
        <v>10.1126--science.aac4716.pdf</v>
      </c>
      <c r="W1892" s="1857" t="s">
        <v>157</v>
      </c>
      <c r="X1892" s="51" t="str">
        <f t="array" ref="X1892"> if(iserror(MATCH(V1892, 'File Links'!C:C, 0)), "N/A", HYPERLINK(INDEX('File Links'!B:B, MATCH(V1892, 'File Links'!C:C, 0))))</f>
        <v>https://drive.google.com/file/d/1UMAh9VGta6ExS2-Lb6GkDF4fmnI2EMeM/view?usp=drivesdk</v>
      </c>
      <c r="Z1892" s="140" t="s">
        <v>219</v>
      </c>
      <c r="AA1892" s="140" t="s">
        <v>11003</v>
      </c>
      <c r="AB1892" s="140" t="s">
        <v>11004</v>
      </c>
      <c r="AC1892" s="140" t="s">
        <v>11005</v>
      </c>
      <c r="AD1892" s="140" t="s">
        <v>11006</v>
      </c>
      <c r="AE1892" s="1822">
        <v>4.0</v>
      </c>
      <c r="AF1892" s="1822">
        <v>115.0</v>
      </c>
      <c r="AG1892" s="1822">
        <v>0.045</v>
      </c>
      <c r="AH1892" s="140" t="s">
        <v>132</v>
      </c>
      <c r="AI1892" s="140" t="s">
        <v>11007</v>
      </c>
      <c r="AJ1892" s="1822" t="s">
        <v>131</v>
      </c>
      <c r="AK1892" s="140" t="s">
        <v>131</v>
      </c>
      <c r="AL1892" s="140" t="s">
        <v>179</v>
      </c>
      <c r="AM1892" s="1859" t="s">
        <v>134</v>
      </c>
      <c r="AN1892" s="327" t="s">
        <v>131</v>
      </c>
      <c r="AO1892" s="1830">
        <v>166.0</v>
      </c>
      <c r="AP1892" s="1830">
        <v>0.002</v>
      </c>
      <c r="AQ1892" s="140" t="s">
        <v>132</v>
      </c>
      <c r="AR1892" s="1857" t="s">
        <v>11008</v>
      </c>
      <c r="AS1892" s="1822">
        <v>0.539</v>
      </c>
      <c r="AT1892" s="140" t="s">
        <v>165</v>
      </c>
      <c r="AU1892" s="1864" t="s">
        <v>179</v>
      </c>
      <c r="AV1892" s="1861" t="s">
        <v>134</v>
      </c>
      <c r="AW1892" s="1862" t="s">
        <v>11009</v>
      </c>
      <c r="AX1892" s="1819" t="s">
        <v>136</v>
      </c>
      <c r="AZ1892" s="1819" t="s">
        <v>1263</v>
      </c>
      <c r="BB1892" s="1808" t="s">
        <v>11010</v>
      </c>
    </row>
    <row r="1893">
      <c r="A1893" s="41">
        <v>1893.0</v>
      </c>
      <c r="B1893" s="59" t="s">
        <v>107</v>
      </c>
      <c r="C1893" s="59" t="s">
        <v>108</v>
      </c>
      <c r="D1893" s="59" t="s">
        <v>146</v>
      </c>
      <c r="E1893" s="1819"/>
      <c r="F1893" s="140" t="s">
        <v>10995</v>
      </c>
      <c r="G1893" s="1850" t="s">
        <v>10996</v>
      </c>
      <c r="H1893" s="1851" t="s">
        <v>146</v>
      </c>
      <c r="I1893" s="1852" t="s">
        <v>10696</v>
      </c>
      <c r="J1893" s="1820">
        <v>45694.0</v>
      </c>
      <c r="K1893" s="140" t="s">
        <v>11011</v>
      </c>
      <c r="L1893" s="140"/>
      <c r="M1893" s="1821" t="s">
        <v>10999</v>
      </c>
      <c r="N1893" s="140" t="s">
        <v>11000</v>
      </c>
      <c r="O1893" s="1822">
        <v>1.0</v>
      </c>
      <c r="P1893" s="1823" t="s">
        <v>11001</v>
      </c>
      <c r="Q1893" s="49" t="str">
        <f t="array" ref="Q1893"> if(iserror(MATCH(V1893, 'File Links'!C:C, 0)), "N/A", HYPERLINK(INDEX('File Links'!B:B, MATCH(P1893, 'File Links'!C:C, 0))))</f>
        <v>https://drive.google.com/file/d/1WwYYCOA_x1mX6TzeKfrhq1RdbnoCXoh0/view?usp=drivesdk</v>
      </c>
      <c r="R1893" s="1834" t="s">
        <v>11002</v>
      </c>
      <c r="S1893" s="148" t="s">
        <v>10686</v>
      </c>
      <c r="T1893" s="126"/>
      <c r="U1893" s="1830">
        <v>1.0</v>
      </c>
      <c r="V1893" s="195" t="str">
        <f t="shared" si="121"/>
        <v>10.1126--science.aac4716.pdf</v>
      </c>
      <c r="W1893" s="1857" t="s">
        <v>157</v>
      </c>
      <c r="X1893" s="51" t="str">
        <f t="array" ref="X1893"> if(iserror(MATCH(V1893, 'File Links'!C:C, 0)), "N/A", HYPERLINK(INDEX('File Links'!B:B, MATCH(V1893, 'File Links'!C:C, 0))))</f>
        <v>https://drive.google.com/file/d/1UMAh9VGta6ExS2-Lb6GkDF4fmnI2EMeM/view?usp=drivesdk</v>
      </c>
      <c r="Z1893" s="140" t="s">
        <v>219</v>
      </c>
      <c r="AA1893" s="140" t="s">
        <v>11003</v>
      </c>
      <c r="AB1893" s="140" t="s">
        <v>11012</v>
      </c>
      <c r="AC1893" s="140" t="s">
        <v>11005</v>
      </c>
      <c r="AD1893" s="140" t="s">
        <v>11013</v>
      </c>
      <c r="AE1893" s="1822">
        <v>4.0</v>
      </c>
      <c r="AF1893" s="1822">
        <v>115.0</v>
      </c>
      <c r="AG1893" s="1822">
        <v>0.045</v>
      </c>
      <c r="AH1893" s="140" t="s">
        <v>132</v>
      </c>
      <c r="AI1893" s="140" t="s">
        <v>843</v>
      </c>
      <c r="AJ1893" s="1819" t="s">
        <v>131</v>
      </c>
      <c r="AK1893" s="1843"/>
      <c r="AL1893" s="140" t="s">
        <v>179</v>
      </c>
      <c r="AM1893" s="1859" t="s">
        <v>134</v>
      </c>
      <c r="AN1893" s="327" t="s">
        <v>131</v>
      </c>
      <c r="AO1893" s="1822">
        <v>166.0</v>
      </c>
      <c r="AP1893" s="1822">
        <v>0.002</v>
      </c>
      <c r="AQ1893" s="140" t="s">
        <v>132</v>
      </c>
      <c r="AR1893" s="1857" t="s">
        <v>806</v>
      </c>
      <c r="AS1893" s="1822">
        <v>0.539</v>
      </c>
      <c r="AT1893" s="140" t="s">
        <v>165</v>
      </c>
      <c r="AU1893" s="1864" t="s">
        <v>179</v>
      </c>
      <c r="AV1893" s="1861" t="s">
        <v>134</v>
      </c>
      <c r="AW1893" s="1862" t="s">
        <v>11014</v>
      </c>
      <c r="AX1893" s="1819" t="s">
        <v>136</v>
      </c>
      <c r="AZ1893" s="1819" t="s">
        <v>1263</v>
      </c>
      <c r="BA1893" s="69"/>
    </row>
    <row r="1894">
      <c r="A1894" s="41">
        <v>1894.0</v>
      </c>
      <c r="B1894" s="126" t="s">
        <v>145</v>
      </c>
      <c r="C1894" s="59" t="s">
        <v>108</v>
      </c>
      <c r="D1894" s="59" t="s">
        <v>1263</v>
      </c>
      <c r="E1894" s="1819"/>
      <c r="F1894" s="140" t="s">
        <v>11015</v>
      </c>
      <c r="G1894" s="140" t="s">
        <v>11016</v>
      </c>
      <c r="H1894" s="1851" t="s">
        <v>11017</v>
      </c>
      <c r="I1894" s="1868">
        <v>45659.0</v>
      </c>
      <c r="J1894" s="1820">
        <v>45694.0</v>
      </c>
      <c r="K1894" s="1832"/>
      <c r="L1894" s="1819" t="s">
        <v>11018</v>
      </c>
      <c r="M1894" s="1833" t="s">
        <v>11019</v>
      </c>
      <c r="N1894" s="140" t="s">
        <v>11020</v>
      </c>
      <c r="O1894" s="1830">
        <v>1.0</v>
      </c>
      <c r="P1894" s="1834" t="s">
        <v>11021</v>
      </c>
      <c r="Q1894" s="49" t="str">
        <f t="array" ref="Q1894"> if(iserror(MATCH(V1894, 'File Links'!C:C, 0)), "N/A", HYPERLINK(INDEX('File Links'!B:B, MATCH(P1894, 'File Links'!C:C, 0))))</f>
        <v>https://drive.google.com/file/d/12tOopuzKbG82LEOynQuHYZ8im59EjTth/view?usp=drivesdk</v>
      </c>
      <c r="R1894" s="1819" t="s">
        <v>11022</v>
      </c>
      <c r="S1894" s="148" t="s">
        <v>10686</v>
      </c>
      <c r="T1894" s="126"/>
      <c r="U1894" s="1819"/>
      <c r="V1894" s="195" t="str">
        <f t="shared" si="121"/>
        <v>10.1126--science.aac4716.pdf</v>
      </c>
      <c r="W1894" s="1859" t="s">
        <v>157</v>
      </c>
      <c r="X1894" s="51" t="str">
        <f t="array" ref="X1894"> if(iserror(MATCH(V1894, 'File Links'!C:C, 0)), "N/A", HYPERLINK(INDEX('File Links'!B:B, MATCH(V1894, 'File Links'!C:C, 0))))</f>
        <v>https://drive.google.com/file/d/1UMAh9VGta6ExS2-Lb6GkDF4fmnI2EMeM/view?usp=drivesdk</v>
      </c>
      <c r="Z1894" s="1819" t="s">
        <v>141</v>
      </c>
      <c r="AA1894" s="140" t="s">
        <v>11023</v>
      </c>
      <c r="AB1894" s="1819" t="s">
        <v>11024</v>
      </c>
      <c r="AC1894" s="1819" t="s">
        <v>11025</v>
      </c>
      <c r="AD1894" s="1819" t="s">
        <v>11026</v>
      </c>
      <c r="AE1894" s="1830">
        <v>3.0</v>
      </c>
      <c r="AF1894" s="1830">
        <v>48.0</v>
      </c>
      <c r="AG1894" s="1819">
        <v>0.52</v>
      </c>
      <c r="AH1894" s="1819" t="s">
        <v>166</v>
      </c>
      <c r="AI1894" s="1819" t="s">
        <v>11027</v>
      </c>
      <c r="AJ1894" s="1830">
        <v>0.05</v>
      </c>
      <c r="AK1894" s="140" t="s">
        <v>128</v>
      </c>
      <c r="AL1894" s="140" t="s">
        <v>179</v>
      </c>
      <c r="AM1894" s="1859" t="s">
        <v>134</v>
      </c>
      <c r="AN1894" s="327" t="s">
        <v>131</v>
      </c>
      <c r="AO1894" s="1830">
        <v>118.0</v>
      </c>
      <c r="AP1894" s="1819">
        <v>0.014</v>
      </c>
      <c r="AQ1894" s="1819" t="s">
        <v>867</v>
      </c>
      <c r="AR1894" s="1859" t="s">
        <v>11028</v>
      </c>
      <c r="AS1894" s="1830">
        <v>0.2</v>
      </c>
      <c r="AT1894" s="1819" t="s">
        <v>165</v>
      </c>
      <c r="AU1894" s="1861" t="s">
        <v>179</v>
      </c>
      <c r="AV1894" s="1861" t="s">
        <v>134</v>
      </c>
      <c r="AW1894" s="1862" t="s">
        <v>11029</v>
      </c>
      <c r="AX1894" s="1819" t="s">
        <v>136</v>
      </c>
      <c r="AZ1894" s="1819" t="s">
        <v>1263</v>
      </c>
      <c r="BB1894" s="1808" t="s">
        <v>10921</v>
      </c>
    </row>
    <row r="1895">
      <c r="A1895" s="41">
        <v>1895.0</v>
      </c>
      <c r="B1895" s="59" t="s">
        <v>107</v>
      </c>
      <c r="C1895" s="59" t="s">
        <v>108</v>
      </c>
      <c r="D1895" s="59" t="s">
        <v>146</v>
      </c>
      <c r="E1895" s="1819"/>
      <c r="F1895" s="140" t="s">
        <v>11015</v>
      </c>
      <c r="G1895" s="1850" t="s">
        <v>11016</v>
      </c>
      <c r="H1895" s="1851" t="s">
        <v>146</v>
      </c>
      <c r="I1895" s="1852" t="s">
        <v>10696</v>
      </c>
      <c r="J1895" s="1820">
        <v>45694.0</v>
      </c>
      <c r="K1895" s="140" t="s">
        <v>11030</v>
      </c>
      <c r="L1895" s="140"/>
      <c r="M1895" s="1869" t="s">
        <v>11019</v>
      </c>
      <c r="N1895" s="140" t="s">
        <v>11020</v>
      </c>
      <c r="O1895" s="1822">
        <v>1.0</v>
      </c>
      <c r="P1895" s="1823" t="s">
        <v>11021</v>
      </c>
      <c r="Q1895" s="49" t="str">
        <f t="array" ref="Q1895"> if(iserror(MATCH(V1895, 'File Links'!C:C, 0)), "N/A", HYPERLINK(INDEX('File Links'!B:B, MATCH(P1895, 'File Links'!C:C, 0))))</f>
        <v>https://drive.google.com/file/d/12tOopuzKbG82LEOynQuHYZ8im59EjTth/view?usp=drivesdk</v>
      </c>
      <c r="R1895" s="1834" t="s">
        <v>11022</v>
      </c>
      <c r="S1895" s="148" t="s">
        <v>10686</v>
      </c>
      <c r="T1895" s="126"/>
      <c r="U1895" s="1830">
        <v>1.0</v>
      </c>
      <c r="V1895" s="195" t="str">
        <f t="shared" si="121"/>
        <v>10.1126--science.aac4716.pdf</v>
      </c>
      <c r="W1895" s="1857" t="s">
        <v>157</v>
      </c>
      <c r="X1895" s="51" t="str">
        <f t="array" ref="X1895"> if(iserror(MATCH(V1895, 'File Links'!C:C, 0)), "N/A", HYPERLINK(INDEX('File Links'!B:B, MATCH(V1895, 'File Links'!C:C, 0))))</f>
        <v>https://drive.google.com/file/d/1UMAh9VGta6ExS2-Lb6GkDF4fmnI2EMeM/view?usp=drivesdk</v>
      </c>
      <c r="Z1895" s="140" t="s">
        <v>141</v>
      </c>
      <c r="AA1895" s="140" t="s">
        <v>11023</v>
      </c>
      <c r="AB1895" s="140" t="s">
        <v>11031</v>
      </c>
      <c r="AC1895" s="140" t="s">
        <v>11032</v>
      </c>
      <c r="AD1895" s="140" t="s">
        <v>11033</v>
      </c>
      <c r="AE1895" s="1822">
        <v>3.0</v>
      </c>
      <c r="AF1895" s="1822">
        <v>48.0</v>
      </c>
      <c r="AG1895" s="1822">
        <v>0.52</v>
      </c>
      <c r="AH1895" s="140" t="s">
        <v>166</v>
      </c>
      <c r="AI1895" s="140" t="s">
        <v>210</v>
      </c>
      <c r="AJ1895" s="1830">
        <v>0.05</v>
      </c>
      <c r="AK1895" s="140" t="s">
        <v>128</v>
      </c>
      <c r="AL1895" s="140" t="s">
        <v>179</v>
      </c>
      <c r="AM1895" s="1859" t="s">
        <v>134</v>
      </c>
      <c r="AN1895" s="327" t="s">
        <v>131</v>
      </c>
      <c r="AO1895" s="1822">
        <v>118.0</v>
      </c>
      <c r="AP1895" s="1822">
        <v>0.01</v>
      </c>
      <c r="AQ1895" s="140" t="s">
        <v>132</v>
      </c>
      <c r="AR1895" s="1857" t="s">
        <v>125</v>
      </c>
      <c r="AS1895" s="1822">
        <v>0.2</v>
      </c>
      <c r="AT1895" s="140" t="s">
        <v>165</v>
      </c>
      <c r="AU1895" s="1864" t="s">
        <v>179</v>
      </c>
      <c r="AV1895" s="1861" t="s">
        <v>134</v>
      </c>
      <c r="AW1895" s="1829" t="s">
        <v>11034</v>
      </c>
      <c r="AX1895" s="1819" t="s">
        <v>136</v>
      </c>
      <c r="AZ1895" s="1819" t="s">
        <v>1263</v>
      </c>
      <c r="BA1895" s="186"/>
    </row>
    <row r="1896">
      <c r="A1896" s="41">
        <v>1896.0</v>
      </c>
      <c r="B1896" s="59" t="s">
        <v>145</v>
      </c>
      <c r="C1896" s="59" t="s">
        <v>108</v>
      </c>
      <c r="D1896" s="59" t="s">
        <v>1263</v>
      </c>
      <c r="E1896" s="1819"/>
      <c r="F1896" s="140" t="s">
        <v>11035</v>
      </c>
      <c r="G1896" s="140" t="s">
        <v>11036</v>
      </c>
      <c r="H1896" s="1851" t="s">
        <v>11037</v>
      </c>
      <c r="I1896" s="1868">
        <v>45659.0</v>
      </c>
      <c r="J1896" s="1820">
        <v>45694.0</v>
      </c>
      <c r="K1896" s="140" t="s">
        <v>11038</v>
      </c>
      <c r="L1896" s="140" t="s">
        <v>11039</v>
      </c>
      <c r="M1896" s="1833" t="s">
        <v>11040</v>
      </c>
      <c r="N1896" s="140" t="s">
        <v>11041</v>
      </c>
      <c r="O1896" s="1822">
        <v>1.0</v>
      </c>
      <c r="P1896" s="1834" t="s">
        <v>11042</v>
      </c>
      <c r="Q1896" s="105" t="str">
        <f t="array" ref="Q1896"> if(iserror(MATCH(V1896, 'File Links'!C:C, 0)), "N/A", HYPERLINK(INDEX('File Links'!B:B, MATCH(P1896, 'File Links'!C:C, 0))))</f>
        <v>N/A</v>
      </c>
      <c r="R1896" s="140" t="s">
        <v>11043</v>
      </c>
      <c r="S1896" s="148" t="s">
        <v>11044</v>
      </c>
      <c r="T1896" s="126"/>
      <c r="U1896" s="1819"/>
      <c r="V1896" s="195" t="str">
        <f t="shared" si="121"/>
        <v>10.17605--osf.io--82bwv   .pdf</v>
      </c>
      <c r="W1896" s="1857" t="s">
        <v>157</v>
      </c>
      <c r="X1896" s="46" t="str">
        <f t="array" ref="X1896"> if(iserror(MATCH(V1896, 'File Links'!C:C, 0)), "N/A", HYPERLINK(INDEX('File Links'!B:B, MATCH(V1896, 'File Links'!C:C, 0))))</f>
        <v>N/A</v>
      </c>
      <c r="Z1896" s="140" t="s">
        <v>219</v>
      </c>
      <c r="AA1896" s="140" t="s">
        <v>11045</v>
      </c>
      <c r="AB1896" s="140" t="s">
        <v>11046</v>
      </c>
      <c r="AC1896" s="140" t="s">
        <v>11047</v>
      </c>
      <c r="AD1896" s="140" t="s">
        <v>11048</v>
      </c>
      <c r="AE1896" s="1822">
        <v>3.0</v>
      </c>
      <c r="AF1896" s="1822">
        <v>31.0</v>
      </c>
      <c r="AG1896" s="140">
        <v>-0.38</v>
      </c>
      <c r="AH1896" s="140" t="s">
        <v>208</v>
      </c>
      <c r="AI1896" s="140" t="s">
        <v>210</v>
      </c>
      <c r="AJ1896" s="1828">
        <v>0.05</v>
      </c>
      <c r="AK1896" s="140" t="s">
        <v>128</v>
      </c>
      <c r="AL1896" s="140" t="s">
        <v>179</v>
      </c>
      <c r="AM1896" s="1859" t="s">
        <v>130</v>
      </c>
      <c r="AN1896" s="327" t="s">
        <v>131</v>
      </c>
      <c r="AO1896" s="1822">
        <v>43.0</v>
      </c>
      <c r="AP1896" s="140">
        <v>-0.25</v>
      </c>
      <c r="AQ1896" s="140" t="s">
        <v>208</v>
      </c>
      <c r="AR1896" s="1857" t="s">
        <v>843</v>
      </c>
      <c r="AS1896" s="1822">
        <v>0.11</v>
      </c>
      <c r="AT1896" s="140" t="s">
        <v>165</v>
      </c>
      <c r="AU1896" s="1864" t="s">
        <v>211</v>
      </c>
      <c r="AV1896" s="1861" t="s">
        <v>130</v>
      </c>
      <c r="AW1896" s="1829" t="s">
        <v>11049</v>
      </c>
      <c r="AX1896" s="1819" t="s">
        <v>136</v>
      </c>
      <c r="AZ1896" s="1819" t="s">
        <v>1263</v>
      </c>
      <c r="BB1896" s="1808" t="s">
        <v>10390</v>
      </c>
    </row>
    <row r="1897">
      <c r="A1897" s="41">
        <v>1897.0</v>
      </c>
      <c r="B1897" s="59" t="s">
        <v>107</v>
      </c>
      <c r="C1897" s="59" t="s">
        <v>108</v>
      </c>
      <c r="D1897" s="59" t="s">
        <v>146</v>
      </c>
      <c r="E1897" s="1819"/>
      <c r="F1897" s="140" t="s">
        <v>11035</v>
      </c>
      <c r="G1897" s="1850" t="s">
        <v>11036</v>
      </c>
      <c r="H1897" s="1851" t="s">
        <v>146</v>
      </c>
      <c r="I1897" s="1852" t="s">
        <v>10696</v>
      </c>
      <c r="J1897" s="1820">
        <v>45694.0</v>
      </c>
      <c r="K1897" s="1819" t="s">
        <v>11050</v>
      </c>
      <c r="L1897" s="1819"/>
      <c r="M1897" s="1821" t="s">
        <v>11040</v>
      </c>
      <c r="N1897" s="140" t="s">
        <v>11041</v>
      </c>
      <c r="O1897" s="1830">
        <v>1.0</v>
      </c>
      <c r="P1897" s="1823" t="s">
        <v>11042</v>
      </c>
      <c r="Q1897" s="105" t="str">
        <f t="array" ref="Q1897"> if(iserror(MATCH(V1897, 'File Links'!C:C, 0)), "N/A", HYPERLINK(INDEX('File Links'!B:B, MATCH(P1897, 'File Links'!C:C, 0))))</f>
        <v>N/A</v>
      </c>
      <c r="R1897" s="1834" t="s">
        <v>11043</v>
      </c>
      <c r="S1897" s="148" t="s">
        <v>11044</v>
      </c>
      <c r="T1897" s="126"/>
      <c r="U1897" s="1830">
        <v>1.0</v>
      </c>
      <c r="V1897" s="195" t="str">
        <f t="shared" si="121"/>
        <v>10.17605--osf.io--82bwv   .pdf</v>
      </c>
      <c r="W1897" s="1857" t="s">
        <v>157</v>
      </c>
      <c r="X1897" s="46" t="str">
        <f t="array" ref="X1897"> if(iserror(MATCH(V1897, 'File Links'!C:C, 0)), "N/A", HYPERLINK(INDEX('File Links'!B:B, MATCH(V1897, 'File Links'!C:C, 0))))</f>
        <v>N/A</v>
      </c>
      <c r="Z1897" s="1819" t="s">
        <v>219</v>
      </c>
      <c r="AA1897" s="140" t="s">
        <v>11045</v>
      </c>
      <c r="AB1897" s="1819" t="s">
        <v>11051</v>
      </c>
      <c r="AC1897" s="1819" t="s">
        <v>11047</v>
      </c>
      <c r="AD1897" s="140" t="s">
        <v>11052</v>
      </c>
      <c r="AE1897" s="1830">
        <v>3.0</v>
      </c>
      <c r="AF1897" s="1830">
        <v>31.0</v>
      </c>
      <c r="AG1897" s="1830" t="s">
        <v>11053</v>
      </c>
      <c r="AH1897" s="140" t="s">
        <v>208</v>
      </c>
      <c r="AI1897" s="1819" t="s">
        <v>210</v>
      </c>
      <c r="AJ1897" s="1830">
        <v>0.05</v>
      </c>
      <c r="AK1897" s="1819" t="s">
        <v>128</v>
      </c>
      <c r="AL1897" s="1819" t="s">
        <v>211</v>
      </c>
      <c r="AM1897" s="1859" t="s">
        <v>130</v>
      </c>
      <c r="AN1897" s="327" t="s">
        <v>131</v>
      </c>
      <c r="AO1897" s="1830">
        <v>43.0</v>
      </c>
      <c r="AP1897" s="1830" t="s">
        <v>11054</v>
      </c>
      <c r="AQ1897" s="1819" t="s">
        <v>208</v>
      </c>
      <c r="AR1897" s="1859" t="s">
        <v>843</v>
      </c>
      <c r="AS1897" s="1830">
        <v>0.11</v>
      </c>
      <c r="AT1897" s="1819" t="s">
        <v>165</v>
      </c>
      <c r="AU1897" s="1864" t="s">
        <v>211</v>
      </c>
      <c r="AV1897" s="1861" t="s">
        <v>130</v>
      </c>
      <c r="AW1897" s="1829" t="s">
        <v>11055</v>
      </c>
      <c r="AX1897" s="1819" t="s">
        <v>136</v>
      </c>
      <c r="AY1897" s="59" t="s">
        <v>11056</v>
      </c>
      <c r="AZ1897" s="1819" t="s">
        <v>1263</v>
      </c>
    </row>
    <row r="1898" ht="20.25" customHeight="1">
      <c r="A1898" s="41">
        <v>1898.0</v>
      </c>
      <c r="B1898" s="59" t="s">
        <v>145</v>
      </c>
      <c r="C1898" s="59" t="s">
        <v>108</v>
      </c>
      <c r="D1898" s="59" t="s">
        <v>1263</v>
      </c>
      <c r="E1898" s="1819"/>
      <c r="F1898" s="140" t="s">
        <v>11057</v>
      </c>
      <c r="G1898" s="140" t="s">
        <v>11058</v>
      </c>
      <c r="H1898" s="140" t="s">
        <v>11059</v>
      </c>
      <c r="I1898" s="1870">
        <v>45659.0</v>
      </c>
      <c r="J1898" s="1820">
        <v>45694.0</v>
      </c>
      <c r="K1898" s="140" t="s">
        <v>11060</v>
      </c>
      <c r="L1898" s="1819" t="s">
        <v>11061</v>
      </c>
      <c r="M1898" s="1833" t="s">
        <v>11062</v>
      </c>
      <c r="N1898" s="140" t="s">
        <v>11063</v>
      </c>
      <c r="O1898" s="1822">
        <v>2.0</v>
      </c>
      <c r="P1898" s="1834" t="s">
        <v>11064</v>
      </c>
      <c r="Q1898" s="49" t="str">
        <f t="array" ref="Q1898"> if(iserror(MATCH(V1898, 'File Links'!C:C, 0)), "N/A", HYPERLINK(INDEX('File Links'!B:B, MATCH(P1898, 'File Links'!C:C, 0))))</f>
        <v>https://drive.google.com/file/d/1XfDlpkvCBdw9lQuqmsbfM7aoNwvrAoip/view?usp=drivesdk</v>
      </c>
      <c r="R1898" s="1834" t="s">
        <v>11065</v>
      </c>
      <c r="S1898" s="148" t="s">
        <v>11066</v>
      </c>
      <c r="T1898" s="126"/>
      <c r="U1898" s="1830"/>
      <c r="V1898" s="195" t="str">
        <f t="shared" si="121"/>
        <v>10.17605--osf.io--nxp9w.pdf</v>
      </c>
      <c r="W1898" s="140" t="s">
        <v>157</v>
      </c>
      <c r="X1898" s="51" t="str">
        <f t="array" ref="X1898"> if(iserror(MATCH(V1898, 'File Links'!C:C, 0)), "N/A", HYPERLINK(INDEX('File Links'!B:B, MATCH(V1898, 'File Links'!C:C, 0))))</f>
        <v>https://drive.google.com/file/d/1yS8koYLoBzTIOnY0Iveg0atwD_kYj-_v/view?usp=drivesdk</v>
      </c>
      <c r="Z1898" s="140" t="s">
        <v>219</v>
      </c>
      <c r="AA1898" s="140" t="s">
        <v>11067</v>
      </c>
      <c r="AB1898" s="140" t="s">
        <v>11068</v>
      </c>
      <c r="AC1898" s="140" t="s">
        <v>11069</v>
      </c>
      <c r="AD1898" s="140" t="s">
        <v>11070</v>
      </c>
      <c r="AE1898" s="1866">
        <v>45813.0</v>
      </c>
      <c r="AF1898" s="1822">
        <v>12.0</v>
      </c>
      <c r="AG1898" s="1822">
        <v>3.25</v>
      </c>
      <c r="AH1898" s="140" t="s">
        <v>166</v>
      </c>
      <c r="AI1898" s="140" t="s">
        <v>11071</v>
      </c>
      <c r="AJ1898" s="1822" t="s">
        <v>131</v>
      </c>
      <c r="AK1898" s="1827" t="s">
        <v>131</v>
      </c>
      <c r="AL1898" s="140" t="s">
        <v>179</v>
      </c>
      <c r="AM1898" s="1819" t="s">
        <v>130</v>
      </c>
      <c r="AN1898" s="327" t="s">
        <v>131</v>
      </c>
      <c r="AO1898" s="1830">
        <v>24.0</v>
      </c>
      <c r="AP1898" s="1830" t="s">
        <v>11072</v>
      </c>
      <c r="AQ1898" s="140" t="s">
        <v>166</v>
      </c>
      <c r="AR1898" s="140" t="s">
        <v>806</v>
      </c>
      <c r="AS1898" s="1822" t="s">
        <v>131</v>
      </c>
      <c r="AT1898" s="1827" t="s">
        <v>131</v>
      </c>
      <c r="AU1898" s="140" t="s">
        <v>179</v>
      </c>
      <c r="AV1898" s="1819" t="s">
        <v>130</v>
      </c>
      <c r="AW1898" s="1829" t="s">
        <v>11073</v>
      </c>
      <c r="AX1898" s="1819" t="s">
        <v>136</v>
      </c>
      <c r="AZ1898" s="1819" t="s">
        <v>1263</v>
      </c>
      <c r="BB1898" s="1808" t="s">
        <v>11074</v>
      </c>
    </row>
    <row r="1899" ht="20.25" customHeight="1">
      <c r="A1899" s="41">
        <v>1899.0</v>
      </c>
      <c r="B1899" s="59" t="s">
        <v>107</v>
      </c>
      <c r="C1899" s="59" t="s">
        <v>108</v>
      </c>
      <c r="D1899" s="59" t="s">
        <v>146</v>
      </c>
      <c r="E1899" s="1819"/>
      <c r="F1899" s="140" t="s">
        <v>11057</v>
      </c>
      <c r="G1899" s="1850" t="s">
        <v>11058</v>
      </c>
      <c r="H1899" s="140" t="s">
        <v>146</v>
      </c>
      <c r="I1899" s="1819" t="s">
        <v>10696</v>
      </c>
      <c r="J1899" s="1820">
        <v>45694.0</v>
      </c>
      <c r="K1899" s="140" t="s">
        <v>11075</v>
      </c>
      <c r="L1899" s="140"/>
      <c r="M1899" s="1821" t="s">
        <v>11062</v>
      </c>
      <c r="N1899" s="140" t="s">
        <v>11063</v>
      </c>
      <c r="O1899" s="1822">
        <v>2.0</v>
      </c>
      <c r="P1899" s="1823" t="s">
        <v>11064</v>
      </c>
      <c r="Q1899" s="49" t="str">
        <f t="array" ref="Q1899"> if(iserror(MATCH(V1899, 'File Links'!C:C, 0)), "N/A", HYPERLINK(INDEX('File Links'!B:B, MATCH(P1899, 'File Links'!C:C, 0))))</f>
        <v>https://drive.google.com/file/d/1XfDlpkvCBdw9lQuqmsbfM7aoNwvrAoip/view?usp=drivesdk</v>
      </c>
      <c r="R1899" s="1834" t="s">
        <v>11065</v>
      </c>
      <c r="S1899" s="148" t="s">
        <v>11066</v>
      </c>
      <c r="T1899" s="126"/>
      <c r="U1899" s="1830">
        <v>1.0</v>
      </c>
      <c r="V1899" s="195" t="str">
        <f t="shared" si="121"/>
        <v>10.17605--osf.io--nxp9w.pdf</v>
      </c>
      <c r="W1899" s="140" t="s">
        <v>3563</v>
      </c>
      <c r="X1899" s="51" t="str">
        <f t="array" ref="X1899"> if(iserror(MATCH(V1899, 'File Links'!C:C, 0)), "N/A", HYPERLINK(INDEX('File Links'!B:B, MATCH(V1899, 'File Links'!C:C, 0))))</f>
        <v>https://drive.google.com/file/d/1yS8koYLoBzTIOnY0Iveg0atwD_kYj-_v/view?usp=drivesdk</v>
      </c>
      <c r="Z1899" s="140" t="s">
        <v>219</v>
      </c>
      <c r="AA1899" s="140" t="s">
        <v>11076</v>
      </c>
      <c r="AB1899" s="140" t="s">
        <v>11077</v>
      </c>
      <c r="AC1899" s="140" t="s">
        <v>11069</v>
      </c>
      <c r="AD1899" s="140" t="s">
        <v>11078</v>
      </c>
      <c r="AE1899" s="1866">
        <v>45813.0</v>
      </c>
      <c r="AF1899" s="1822">
        <v>12.0</v>
      </c>
      <c r="AG1899" s="1822">
        <v>3.25</v>
      </c>
      <c r="AH1899" s="140" t="s">
        <v>166</v>
      </c>
      <c r="AI1899" s="140" t="s">
        <v>133</v>
      </c>
      <c r="AJ1899" s="1819" t="s">
        <v>131</v>
      </c>
      <c r="AK1899" s="1843"/>
      <c r="AL1899" s="140" t="s">
        <v>129</v>
      </c>
      <c r="AM1899" s="1819" t="s">
        <v>130</v>
      </c>
      <c r="AN1899" s="327" t="s">
        <v>131</v>
      </c>
      <c r="AO1899" s="1822">
        <v>24.0</v>
      </c>
      <c r="AP1899" s="140" t="s">
        <v>11079</v>
      </c>
      <c r="AQ1899" s="140" t="s">
        <v>127</v>
      </c>
      <c r="AR1899" s="140" t="s">
        <v>806</v>
      </c>
      <c r="AS1899" s="140" t="s">
        <v>131</v>
      </c>
      <c r="AT1899" s="140" t="s">
        <v>131</v>
      </c>
      <c r="AU1899" s="140" t="s">
        <v>179</v>
      </c>
      <c r="AV1899" s="1819" t="s">
        <v>130</v>
      </c>
      <c r="AW1899" s="1829" t="s">
        <v>11080</v>
      </c>
      <c r="AX1899" s="1819" t="s">
        <v>136</v>
      </c>
      <c r="AZ1899" s="1819" t="s">
        <v>1263</v>
      </c>
      <c r="BA1899" s="161"/>
    </row>
    <row r="1900" ht="20.25" customHeight="1">
      <c r="A1900" s="41">
        <v>1900.0</v>
      </c>
      <c r="B1900" s="59" t="s">
        <v>145</v>
      </c>
      <c r="C1900" s="59" t="s">
        <v>108</v>
      </c>
      <c r="D1900" s="59" t="s">
        <v>1263</v>
      </c>
      <c r="E1900" s="1819"/>
      <c r="F1900" s="140" t="s">
        <v>11081</v>
      </c>
      <c r="G1900" s="140" t="s">
        <v>11082</v>
      </c>
      <c r="H1900" s="140" t="s">
        <v>11083</v>
      </c>
      <c r="I1900" s="1870">
        <v>45659.0</v>
      </c>
      <c r="J1900" s="1820">
        <v>45694.0</v>
      </c>
      <c r="K1900" s="140" t="s">
        <v>11084</v>
      </c>
      <c r="L1900" s="140" t="s">
        <v>11085</v>
      </c>
      <c r="M1900" s="1833" t="s">
        <v>11086</v>
      </c>
      <c r="N1900" s="140" t="s">
        <v>11087</v>
      </c>
      <c r="O1900" s="1822">
        <v>3.0</v>
      </c>
      <c r="P1900" s="1834" t="s">
        <v>11088</v>
      </c>
      <c r="Q1900" s="49" t="str">
        <f t="array" ref="Q1900"> if(iserror(MATCH(V1900, 'File Links'!C:C, 0)), "N/A", HYPERLINK(INDEX('File Links'!B:B, MATCH(P1900, 'File Links'!C:C, 0))))</f>
        <v>https://drive.google.com/file/d/1z9vM-OymRrqp1u2xxHltR_nTYkRN8Bhe/view?usp=drivesdk</v>
      </c>
      <c r="R1900" s="1834" t="s">
        <v>11089</v>
      </c>
      <c r="S1900" s="156" t="s">
        <v>10686</v>
      </c>
      <c r="T1900" s="126"/>
      <c r="U1900" s="1819"/>
      <c r="V1900" s="195" t="str">
        <f t="shared" si="121"/>
        <v>10.1126--science.aac4716.pdf</v>
      </c>
      <c r="W1900" s="140" t="s">
        <v>3563</v>
      </c>
      <c r="X1900" s="51" t="str">
        <f t="array" ref="X1900"> if(iserror(MATCH(V1900, 'File Links'!C:C, 0)), "N/A", HYPERLINK(INDEX('File Links'!B:B, MATCH(V1900, 'File Links'!C:C, 0))))</f>
        <v>https://drive.google.com/file/d/1UMAh9VGta6ExS2-Lb6GkDF4fmnI2EMeM/view?usp=drivesdk</v>
      </c>
      <c r="Z1900" s="140" t="s">
        <v>141</v>
      </c>
      <c r="AA1900" s="140" t="s">
        <v>11090</v>
      </c>
      <c r="AB1900" s="140" t="s">
        <v>11091</v>
      </c>
      <c r="AC1900" s="140" t="s">
        <v>11092</v>
      </c>
      <c r="AD1900" s="140" t="s">
        <v>11093</v>
      </c>
      <c r="AE1900" s="1822">
        <v>5.0</v>
      </c>
      <c r="AF1900" s="1822">
        <v>8.0</v>
      </c>
      <c r="AG1900" s="140" t="s">
        <v>11094</v>
      </c>
      <c r="AH1900" s="140" t="s">
        <v>127</v>
      </c>
      <c r="AI1900" s="140" t="s">
        <v>806</v>
      </c>
      <c r="AJ1900" s="1830">
        <v>0.028</v>
      </c>
      <c r="AK1900" s="140" t="s">
        <v>165</v>
      </c>
      <c r="AL1900" s="140" t="s">
        <v>129</v>
      </c>
      <c r="AM1900" s="1819" t="s">
        <v>130</v>
      </c>
      <c r="AN1900" s="327" t="s">
        <v>131</v>
      </c>
      <c r="AO1900" s="1822">
        <v>17.0</v>
      </c>
      <c r="AP1900" s="140" t="s">
        <v>11095</v>
      </c>
      <c r="AQ1900" s="140" t="s">
        <v>127</v>
      </c>
      <c r="AR1900" s="140" t="s">
        <v>11096</v>
      </c>
      <c r="AS1900" s="1822">
        <v>0.05</v>
      </c>
      <c r="AT1900" s="140" t="s">
        <v>128</v>
      </c>
      <c r="AU1900" s="140" t="s">
        <v>129</v>
      </c>
      <c r="AV1900" s="1819" t="s">
        <v>130</v>
      </c>
      <c r="AW1900" s="1829" t="s">
        <v>11097</v>
      </c>
      <c r="AX1900" s="1819" t="s">
        <v>144</v>
      </c>
      <c r="AZ1900" s="1819" t="s">
        <v>1263</v>
      </c>
      <c r="BB1900" s="1808" t="s">
        <v>11098</v>
      </c>
    </row>
    <row r="1901" ht="20.25" customHeight="1">
      <c r="A1901" s="41">
        <v>1901.0</v>
      </c>
      <c r="B1901" s="59" t="s">
        <v>107</v>
      </c>
      <c r="C1901" s="59" t="s">
        <v>108</v>
      </c>
      <c r="D1901" s="59" t="s">
        <v>146</v>
      </c>
      <c r="E1901" s="1819"/>
      <c r="F1901" s="140" t="s">
        <v>11081</v>
      </c>
      <c r="G1901" s="1850" t="s">
        <v>11082</v>
      </c>
      <c r="H1901" s="140" t="s">
        <v>146</v>
      </c>
      <c r="I1901" s="1819" t="s">
        <v>10696</v>
      </c>
      <c r="J1901" s="1820">
        <v>45694.0</v>
      </c>
      <c r="K1901" s="140" t="s">
        <v>11099</v>
      </c>
      <c r="L1901" s="140"/>
      <c r="M1901" s="1821" t="s">
        <v>11086</v>
      </c>
      <c r="N1901" s="140" t="s">
        <v>11087</v>
      </c>
      <c r="O1901" s="1822">
        <v>3.0</v>
      </c>
      <c r="P1901" s="1823" t="s">
        <v>11088</v>
      </c>
      <c r="Q1901" s="49" t="str">
        <f t="array" ref="Q1901"> if(iserror(MATCH(V1901, 'File Links'!C:C, 0)), "N/A", HYPERLINK(INDEX('File Links'!B:B, MATCH(P1901, 'File Links'!C:C, 0))))</f>
        <v>https://drive.google.com/file/d/1z9vM-OymRrqp1u2xxHltR_nTYkRN8Bhe/view?usp=drivesdk</v>
      </c>
      <c r="R1901" s="1834" t="s">
        <v>11089</v>
      </c>
      <c r="S1901" s="156" t="s">
        <v>10686</v>
      </c>
      <c r="T1901" s="126"/>
      <c r="U1901" s="1830">
        <v>1.0</v>
      </c>
      <c r="V1901" s="195" t="str">
        <f t="shared" si="121"/>
        <v>10.1126--science.aac4716.pdf</v>
      </c>
      <c r="W1901" s="140" t="s">
        <v>3563</v>
      </c>
      <c r="X1901" s="51" t="str">
        <f t="array" ref="X1901"> if(iserror(MATCH(V1901, 'File Links'!C:C, 0)), "N/A", HYPERLINK(INDEX('File Links'!B:B, MATCH(V1901, 'File Links'!C:C, 0))))</f>
        <v>https://drive.google.com/file/d/1UMAh9VGta6ExS2-Lb6GkDF4fmnI2EMeM/view?usp=drivesdk</v>
      </c>
      <c r="Z1901" s="140" t="s">
        <v>141</v>
      </c>
      <c r="AA1901" s="140" t="s">
        <v>11100</v>
      </c>
      <c r="AB1901" s="140" t="s">
        <v>11101</v>
      </c>
      <c r="AC1901" s="1819" t="s">
        <v>11092</v>
      </c>
      <c r="AD1901" s="140" t="s">
        <v>11102</v>
      </c>
      <c r="AE1901" s="1830">
        <v>5.0</v>
      </c>
      <c r="AF1901" s="1822">
        <v>8.0</v>
      </c>
      <c r="AG1901" s="1830">
        <v>0.52</v>
      </c>
      <c r="AH1901" s="216" t="s">
        <v>2612</v>
      </c>
      <c r="AI1901" s="140" t="s">
        <v>806</v>
      </c>
      <c r="AJ1901" s="1830">
        <v>0.028</v>
      </c>
      <c r="AK1901" s="140" t="s">
        <v>165</v>
      </c>
      <c r="AL1901" s="140" t="s">
        <v>129</v>
      </c>
      <c r="AM1901" s="1819" t="s">
        <v>130</v>
      </c>
      <c r="AN1901" s="327" t="s">
        <v>131</v>
      </c>
      <c r="AO1901" s="1830">
        <v>17.0</v>
      </c>
      <c r="AP1901" s="1830">
        <v>-2.33</v>
      </c>
      <c r="AQ1901" s="140" t="s">
        <v>10972</v>
      </c>
      <c r="AR1901" s="1819" t="s">
        <v>843</v>
      </c>
      <c r="AS1901" s="1830">
        <v>1.0E-4</v>
      </c>
      <c r="AT1901" s="140" t="s">
        <v>165</v>
      </c>
      <c r="AU1901" s="140" t="s">
        <v>129</v>
      </c>
      <c r="AV1901" s="1819" t="s">
        <v>130</v>
      </c>
      <c r="AW1901" s="1829" t="s">
        <v>11103</v>
      </c>
      <c r="AX1901" s="1819" t="s">
        <v>144</v>
      </c>
      <c r="AZ1901" s="1819" t="s">
        <v>1263</v>
      </c>
    </row>
    <row r="1902" ht="20.25" customHeight="1">
      <c r="A1902" s="41">
        <v>1902.0</v>
      </c>
      <c r="B1902" s="59" t="s">
        <v>107</v>
      </c>
      <c r="C1902" s="59" t="s">
        <v>108</v>
      </c>
      <c r="D1902" s="59" t="s">
        <v>1263</v>
      </c>
      <c r="E1902" s="1819"/>
      <c r="F1902" s="140" t="s">
        <v>11104</v>
      </c>
      <c r="G1902" s="140" t="s">
        <v>11105</v>
      </c>
      <c r="H1902" s="140" t="s">
        <v>5011</v>
      </c>
      <c r="I1902" s="1870">
        <v>45659.0</v>
      </c>
      <c r="J1902" s="1820">
        <v>45734.0</v>
      </c>
      <c r="K1902" s="140" t="s">
        <v>4043</v>
      </c>
      <c r="L1902" s="1819" t="s">
        <v>11106</v>
      </c>
      <c r="M1902" s="1821" t="s">
        <v>11107</v>
      </c>
      <c r="N1902" s="140" t="s">
        <v>11108</v>
      </c>
      <c r="P1902" s="1823" t="s">
        <v>11109</v>
      </c>
      <c r="Q1902" s="49" t="str">
        <f t="array" ref="Q1902"> if(iserror(MATCH(V1902, 'File Links'!C:C, 0)), "N/A", HYPERLINK(INDEX('File Links'!B:B, MATCH(P1902, 'File Links'!C:C, 0))))</f>
        <v>https://drive.google.com/file/d/1qgt58xRKt3k8Eix4-bV5OBupJ4bQXEgg/view?usp=drivesdk</v>
      </c>
      <c r="R1902" s="1871"/>
      <c r="S1902" s="156" t="s">
        <v>10686</v>
      </c>
      <c r="T1902" s="126"/>
      <c r="U1902" s="1847"/>
      <c r="V1902" s="195" t="str">
        <f t="shared" si="121"/>
        <v>10.1126--science.aac4716.pdf</v>
      </c>
      <c r="W1902" s="1832"/>
      <c r="X1902" s="51" t="str">
        <f t="array" ref="X1902"> if(iserror(MATCH(V1902, 'File Links'!C:C, 0)), "N/A", HYPERLINK(INDEX('File Links'!B:B, MATCH(V1902, 'File Links'!C:C, 0))))</f>
        <v>https://drive.google.com/file/d/1UMAh9VGta6ExS2-Lb6GkDF4fmnI2EMeM/view?usp=drivesdk</v>
      </c>
      <c r="Z1902" s="1819"/>
      <c r="AA1902" s="1832"/>
      <c r="AB1902" s="140" t="s">
        <v>11110</v>
      </c>
      <c r="AC1902" s="140" t="s">
        <v>11111</v>
      </c>
      <c r="AF1902" s="1830">
        <v>4.0</v>
      </c>
      <c r="AG1902" s="1872"/>
      <c r="AH1902" s="1832"/>
      <c r="AI1902" s="1832"/>
      <c r="AJ1902" s="1873"/>
      <c r="AK1902" s="1843"/>
      <c r="AL1902" s="1843"/>
      <c r="AM1902" s="1844"/>
      <c r="AN1902" s="327" t="s">
        <v>131</v>
      </c>
      <c r="AO1902" s="1847"/>
      <c r="AP1902" s="1847"/>
      <c r="AQ1902" s="1832"/>
      <c r="AR1902" s="1832"/>
      <c r="AS1902" s="1872"/>
      <c r="AT1902" s="1832"/>
      <c r="AU1902" s="1832"/>
      <c r="AV1902" s="1844"/>
      <c r="AW1902" s="1874"/>
      <c r="AX1902" s="1844"/>
      <c r="AZ1902" s="1819" t="s">
        <v>10695</v>
      </c>
      <c r="BB1902" s="1808" t="s">
        <v>11112</v>
      </c>
    </row>
    <row r="1903" ht="20.25" customHeight="1">
      <c r="A1903" s="41">
        <v>1903.0</v>
      </c>
      <c r="B1903" s="126" t="s">
        <v>107</v>
      </c>
      <c r="C1903" s="59" t="s">
        <v>108</v>
      </c>
      <c r="D1903" s="59" t="s">
        <v>146</v>
      </c>
      <c r="E1903" s="1819"/>
      <c r="F1903" s="140" t="s">
        <v>11104</v>
      </c>
      <c r="G1903" s="140" t="s">
        <v>11105</v>
      </c>
      <c r="H1903" s="140" t="s">
        <v>146</v>
      </c>
      <c r="I1903" s="1819" t="s">
        <v>10696</v>
      </c>
      <c r="J1903" s="1820">
        <v>45734.0</v>
      </c>
      <c r="K1903" s="140" t="s">
        <v>11113</v>
      </c>
      <c r="L1903" s="140" t="s">
        <v>11106</v>
      </c>
      <c r="M1903" s="1821" t="s">
        <v>11107</v>
      </c>
      <c r="N1903" s="140" t="s">
        <v>11108</v>
      </c>
      <c r="P1903" s="1823" t="s">
        <v>11109</v>
      </c>
      <c r="Q1903" s="49" t="str">
        <f t="array" ref="Q1903"> if(iserror(MATCH(V1903, 'File Links'!C:C, 0)), "N/A", HYPERLINK(INDEX('File Links'!B:B, MATCH(P1903, 'File Links'!C:C, 0))))</f>
        <v>https://drive.google.com/file/d/1qgt58xRKt3k8Eix4-bV5OBupJ4bQXEgg/view?usp=drivesdk</v>
      </c>
      <c r="R1903" s="1871"/>
      <c r="S1903" s="156" t="s">
        <v>10686</v>
      </c>
      <c r="T1903" s="126"/>
      <c r="U1903" s="1839"/>
      <c r="V1903" s="195" t="str">
        <f t="shared" si="121"/>
        <v>10.1126--science.aac4716.pdf</v>
      </c>
      <c r="W1903" s="1845"/>
      <c r="X1903" s="51" t="str">
        <f t="array" ref="X1903"> if(iserror(MATCH(V1903, 'File Links'!C:C, 0)), "N/A", HYPERLINK(INDEX('File Links'!B:B, MATCH(V1903, 'File Links'!C:C, 0))))</f>
        <v>https://drive.google.com/file/d/1UMAh9VGta6ExS2-Lb6GkDF4fmnI2EMeM/view?usp=drivesdk</v>
      </c>
      <c r="Z1903" s="1819"/>
      <c r="AA1903" s="1819"/>
      <c r="AB1903" s="1832"/>
      <c r="AC1903" s="1832"/>
      <c r="AD1903" s="1832"/>
      <c r="AE1903" s="1832"/>
      <c r="AF1903" s="1832"/>
      <c r="AG1903" s="1832"/>
      <c r="AH1903" s="1832"/>
      <c r="AI1903" s="1832"/>
      <c r="AJ1903" s="1842"/>
      <c r="AK1903" s="1843"/>
      <c r="AL1903" s="1843"/>
      <c r="AM1903" s="1844"/>
      <c r="AN1903" s="327" t="s">
        <v>131</v>
      </c>
      <c r="AO1903" s="1832"/>
      <c r="AP1903" s="1832"/>
      <c r="AQ1903" s="1832"/>
      <c r="AR1903" s="1832"/>
      <c r="AS1903" s="1832"/>
      <c r="AT1903" s="1832"/>
      <c r="AU1903" s="1832"/>
      <c r="AV1903" s="1844"/>
      <c r="AW1903" s="1839"/>
      <c r="AX1903" s="1844"/>
      <c r="AZ1903" s="1819" t="s">
        <v>10695</v>
      </c>
      <c r="BA1903" s="69"/>
    </row>
    <row r="1904" ht="20.25" customHeight="1">
      <c r="A1904" s="41">
        <v>1904.0</v>
      </c>
      <c r="B1904" s="126" t="s">
        <v>145</v>
      </c>
      <c r="C1904" s="59" t="s">
        <v>108</v>
      </c>
      <c r="D1904" s="59" t="s">
        <v>1263</v>
      </c>
      <c r="E1904" s="1819"/>
      <c r="F1904" s="140" t="s">
        <v>11114</v>
      </c>
      <c r="G1904" s="140" t="s">
        <v>11115</v>
      </c>
      <c r="H1904" s="140" t="s">
        <v>11116</v>
      </c>
      <c r="I1904" s="1870">
        <v>45659.0</v>
      </c>
      <c r="J1904" s="1820">
        <v>45694.0</v>
      </c>
      <c r="K1904" s="140" t="s">
        <v>11117</v>
      </c>
      <c r="L1904" s="140" t="s">
        <v>11118</v>
      </c>
      <c r="M1904" s="1833" t="s">
        <v>11119</v>
      </c>
      <c r="N1904" s="140" t="s">
        <v>6318</v>
      </c>
      <c r="O1904" s="1822">
        <v>1.0</v>
      </c>
      <c r="P1904" s="1834" t="s">
        <v>6319</v>
      </c>
      <c r="Q1904" s="49" t="str">
        <f t="array" ref="Q1904"> if(iserror(MATCH(V1904, 'File Links'!C:C, 0)), "N/A", HYPERLINK(INDEX('File Links'!B:B, MATCH(P1904, 'File Links'!C:C, 0))))</f>
        <v>https://drive.google.com/file/d/1cd2Q3usXoNSUYACYaL4eodYUxZsj-SOb/view?usp=drivesdk</v>
      </c>
      <c r="R1904" s="1834" t="s">
        <v>11120</v>
      </c>
      <c r="S1904" s="156" t="s">
        <v>10686</v>
      </c>
      <c r="T1904" s="126"/>
      <c r="U1904" s="1819"/>
      <c r="V1904" s="195" t="str">
        <f t="shared" si="121"/>
        <v>10.1126--science.aac4716.pdf</v>
      </c>
      <c r="W1904" s="140" t="s">
        <v>157</v>
      </c>
      <c r="X1904" s="51" t="str">
        <f t="array" ref="X1904"> if(iserror(MATCH(V1904, 'File Links'!C:C, 0)), "N/A", HYPERLINK(INDEX('File Links'!B:B, MATCH(V1904, 'File Links'!C:C, 0))))</f>
        <v>https://drive.google.com/file/d/1UMAh9VGta6ExS2-Lb6GkDF4fmnI2EMeM/view?usp=drivesdk</v>
      </c>
      <c r="Z1904" s="140" t="s">
        <v>219</v>
      </c>
      <c r="AA1904" s="140" t="s">
        <v>11121</v>
      </c>
      <c r="AB1904" s="140" t="s">
        <v>11122</v>
      </c>
      <c r="AC1904" s="140" t="s">
        <v>11123</v>
      </c>
      <c r="AD1904" s="140" t="s">
        <v>11124</v>
      </c>
      <c r="AE1904" s="1822">
        <v>2.0</v>
      </c>
      <c r="AF1904" s="1822">
        <v>36.0</v>
      </c>
      <c r="AG1904" s="140" t="s">
        <v>11125</v>
      </c>
      <c r="AH1904" s="140" t="s">
        <v>127</v>
      </c>
      <c r="AI1904" s="140" t="s">
        <v>868</v>
      </c>
      <c r="AJ1904" s="1819" t="s">
        <v>131</v>
      </c>
      <c r="AK1904" s="140" t="s">
        <v>131</v>
      </c>
      <c r="AL1904" s="140" t="s">
        <v>179</v>
      </c>
      <c r="AM1904" s="1819" t="s">
        <v>130</v>
      </c>
      <c r="AN1904" s="327" t="s">
        <v>131</v>
      </c>
      <c r="AO1904" s="1822">
        <v>70.0</v>
      </c>
      <c r="AP1904" s="140">
        <v>0.001</v>
      </c>
      <c r="AQ1904" s="140" t="s">
        <v>867</v>
      </c>
      <c r="AR1904" s="140" t="s">
        <v>11126</v>
      </c>
      <c r="AS1904" s="1830">
        <v>0.79</v>
      </c>
      <c r="AT1904" s="1819" t="s">
        <v>165</v>
      </c>
      <c r="AU1904" s="140" t="s">
        <v>179</v>
      </c>
      <c r="AV1904" s="1819" t="s">
        <v>130</v>
      </c>
      <c r="AW1904" s="1829" t="s">
        <v>11127</v>
      </c>
      <c r="AX1904" s="1819" t="s">
        <v>136</v>
      </c>
      <c r="AZ1904" s="1819" t="s">
        <v>1263</v>
      </c>
      <c r="BB1904" s="1808" t="s">
        <v>11010</v>
      </c>
    </row>
    <row r="1905" ht="20.25" customHeight="1">
      <c r="A1905" s="41">
        <v>1905.0</v>
      </c>
      <c r="B1905" s="59" t="s">
        <v>107</v>
      </c>
      <c r="C1905" s="59" t="s">
        <v>108</v>
      </c>
      <c r="D1905" s="59" t="s">
        <v>146</v>
      </c>
      <c r="E1905" s="1819"/>
      <c r="F1905" s="140" t="s">
        <v>11114</v>
      </c>
      <c r="G1905" s="1850" t="s">
        <v>11115</v>
      </c>
      <c r="H1905" s="140" t="s">
        <v>146</v>
      </c>
      <c r="I1905" s="1819" t="s">
        <v>10696</v>
      </c>
      <c r="J1905" s="1820">
        <v>45694.0</v>
      </c>
      <c r="K1905" s="1819" t="s">
        <v>11128</v>
      </c>
      <c r="L1905" s="1819"/>
      <c r="M1905" s="1821" t="s">
        <v>11119</v>
      </c>
      <c r="N1905" s="140" t="s">
        <v>6318</v>
      </c>
      <c r="O1905" s="1830">
        <v>1.0</v>
      </c>
      <c r="P1905" s="1823" t="s">
        <v>6319</v>
      </c>
      <c r="Q1905" s="49" t="str">
        <f t="array" ref="Q1905"> if(iserror(MATCH(V1905, 'File Links'!C:C, 0)), "N/A", HYPERLINK(INDEX('File Links'!B:B, MATCH(P1905, 'File Links'!C:C, 0))))</f>
        <v>https://drive.google.com/file/d/1cd2Q3usXoNSUYACYaL4eodYUxZsj-SOb/view?usp=drivesdk</v>
      </c>
      <c r="R1905" s="1834" t="s">
        <v>11120</v>
      </c>
      <c r="S1905" s="156" t="s">
        <v>10686</v>
      </c>
      <c r="T1905" s="126"/>
      <c r="U1905" s="1830">
        <v>1.0</v>
      </c>
      <c r="V1905" s="195" t="str">
        <f t="shared" si="121"/>
        <v>10.1126--science.aac4716.pdf</v>
      </c>
      <c r="W1905" s="140" t="s">
        <v>157</v>
      </c>
      <c r="X1905" s="51" t="str">
        <f t="array" ref="X1905"> if(iserror(MATCH(V1905, 'File Links'!C:C, 0)), "N/A", HYPERLINK(INDEX('File Links'!B:B, MATCH(V1905, 'File Links'!C:C, 0))))</f>
        <v>https://drive.google.com/file/d/1UMAh9VGta6ExS2-Lb6GkDF4fmnI2EMeM/view?usp=drivesdk</v>
      </c>
      <c r="Z1905" s="1819" t="s">
        <v>219</v>
      </c>
      <c r="AA1905" s="140" t="s">
        <v>11129</v>
      </c>
      <c r="AB1905" s="1819" t="s">
        <v>11130</v>
      </c>
      <c r="AC1905" s="1819" t="s">
        <v>11123</v>
      </c>
      <c r="AD1905" s="140" t="s">
        <v>11131</v>
      </c>
      <c r="AE1905" s="1830">
        <v>2.0</v>
      </c>
      <c r="AF1905" s="1830">
        <v>36.0</v>
      </c>
      <c r="AG1905" s="1830">
        <v>0.2</v>
      </c>
      <c r="AH1905" s="140" t="s">
        <v>11132</v>
      </c>
      <c r="AI1905" s="1819" t="s">
        <v>868</v>
      </c>
      <c r="AJ1905" s="1830">
        <v>0.93</v>
      </c>
      <c r="AK1905" s="1819" t="s">
        <v>165</v>
      </c>
      <c r="AL1905" s="1819" t="s">
        <v>179</v>
      </c>
      <c r="AM1905" s="1819" t="s">
        <v>134</v>
      </c>
      <c r="AN1905" s="327" t="s">
        <v>131</v>
      </c>
      <c r="AO1905" s="1830">
        <v>70.0</v>
      </c>
      <c r="AP1905" s="1830">
        <v>0.001</v>
      </c>
      <c r="AQ1905" s="1819" t="s">
        <v>132</v>
      </c>
      <c r="AR1905" s="1819" t="s">
        <v>210</v>
      </c>
      <c r="AS1905" s="1830">
        <v>0.79</v>
      </c>
      <c r="AT1905" s="1819" t="s">
        <v>165</v>
      </c>
      <c r="AU1905" s="1819" t="s">
        <v>179</v>
      </c>
      <c r="AV1905" s="1819" t="s">
        <v>134</v>
      </c>
      <c r="AW1905" s="1829" t="s">
        <v>11133</v>
      </c>
      <c r="AX1905" s="1819" t="s">
        <v>136</v>
      </c>
      <c r="AZ1905" s="1819" t="s">
        <v>1263</v>
      </c>
      <c r="BA1905" s="186"/>
    </row>
    <row r="1906" ht="20.25" customHeight="1">
      <c r="A1906" s="41">
        <v>1906.0</v>
      </c>
      <c r="B1906" s="126" t="s">
        <v>107</v>
      </c>
      <c r="C1906" s="59" t="s">
        <v>108</v>
      </c>
      <c r="D1906" s="59" t="s">
        <v>1263</v>
      </c>
      <c r="E1906" s="1819"/>
      <c r="F1906" s="140" t="s">
        <v>11134</v>
      </c>
      <c r="G1906" s="140" t="s">
        <v>11135</v>
      </c>
      <c r="H1906" s="140" t="s">
        <v>5011</v>
      </c>
      <c r="I1906" s="1870">
        <v>45659.0</v>
      </c>
      <c r="J1906" s="1820">
        <v>45734.0</v>
      </c>
      <c r="K1906" s="1819" t="s">
        <v>4043</v>
      </c>
      <c r="L1906" s="140" t="s">
        <v>11106</v>
      </c>
      <c r="M1906" s="1821" t="s">
        <v>11136</v>
      </c>
      <c r="N1906" s="140" t="s">
        <v>11137</v>
      </c>
      <c r="P1906" s="1823" t="s">
        <v>11138</v>
      </c>
      <c r="Q1906" s="49" t="str">
        <f t="array" ref="Q1906"> if(iserror(MATCH(V1906, 'File Links'!C:C, 0)), "N/A", HYPERLINK(INDEX('File Links'!B:B, MATCH(P1906, 'File Links'!C:C, 0))))</f>
        <v>https://drive.google.com/file/d/1tLDYZKQb4z1ZUitzltLK7vgv1To8FFUF/view?usp=drivesdk</v>
      </c>
      <c r="R1906" s="1871"/>
      <c r="S1906" s="156" t="s">
        <v>10686</v>
      </c>
      <c r="T1906" s="126"/>
      <c r="U1906" s="1847"/>
      <c r="V1906" s="195" t="str">
        <f t="shared" si="121"/>
        <v>10.1126--science.aac4716.pdf</v>
      </c>
      <c r="W1906" s="1832"/>
      <c r="X1906" s="51" t="str">
        <f t="array" ref="X1906"> if(iserror(MATCH(V1906, 'File Links'!C:C, 0)), "N/A", HYPERLINK(INDEX('File Links'!B:B, MATCH(V1906, 'File Links'!C:C, 0))))</f>
        <v>https://drive.google.com/file/d/1UMAh9VGta6ExS2-Lb6GkDF4fmnI2EMeM/view?usp=drivesdk</v>
      </c>
      <c r="Z1906" s="1819"/>
      <c r="AA1906" s="1832"/>
      <c r="AB1906" s="140" t="s">
        <v>11139</v>
      </c>
      <c r="AC1906" s="140" t="s">
        <v>11140</v>
      </c>
      <c r="AF1906" s="1822">
        <v>3412.0</v>
      </c>
      <c r="AG1906" s="1872"/>
      <c r="AH1906" s="1832"/>
      <c r="AI1906" s="1832"/>
      <c r="AJ1906" s="1873"/>
      <c r="AK1906" s="1875"/>
      <c r="AL1906" s="1843"/>
      <c r="AM1906" s="1844"/>
      <c r="AN1906" s="327" t="s">
        <v>131</v>
      </c>
      <c r="AO1906" s="1847"/>
      <c r="AP1906" s="1847"/>
      <c r="AQ1906" s="1832"/>
      <c r="AR1906" s="1832"/>
      <c r="AS1906" s="1872"/>
      <c r="AT1906" s="1832"/>
      <c r="AU1906" s="1832"/>
      <c r="AV1906" s="1844"/>
      <c r="AW1906" s="1874"/>
      <c r="AX1906" s="1844"/>
      <c r="AZ1906" s="1819" t="s">
        <v>10695</v>
      </c>
      <c r="BB1906" s="1808" t="s">
        <v>11141</v>
      </c>
    </row>
    <row r="1907" ht="20.25" customHeight="1">
      <c r="A1907" s="41">
        <v>1907.0</v>
      </c>
      <c r="B1907" s="59" t="s">
        <v>107</v>
      </c>
      <c r="C1907" s="59" t="s">
        <v>108</v>
      </c>
      <c r="D1907" s="59" t="s">
        <v>146</v>
      </c>
      <c r="E1907" s="1819"/>
      <c r="F1907" s="140" t="s">
        <v>11134</v>
      </c>
      <c r="G1907" s="140" t="s">
        <v>11135</v>
      </c>
      <c r="H1907" s="140" t="s">
        <v>146</v>
      </c>
      <c r="I1907" s="1819" t="s">
        <v>10696</v>
      </c>
      <c r="J1907" s="1820">
        <v>45734.0</v>
      </c>
      <c r="K1907" s="140" t="s">
        <v>11142</v>
      </c>
      <c r="L1907" s="140" t="s">
        <v>11106</v>
      </c>
      <c r="M1907" s="1821" t="s">
        <v>11136</v>
      </c>
      <c r="N1907" s="140" t="s">
        <v>11137</v>
      </c>
      <c r="P1907" s="1823" t="s">
        <v>11138</v>
      </c>
      <c r="Q1907" s="49" t="str">
        <f t="array" ref="Q1907"> if(iserror(MATCH(V1907, 'File Links'!C:C, 0)), "N/A", HYPERLINK(INDEX('File Links'!B:B, MATCH(P1907, 'File Links'!C:C, 0))))</f>
        <v>https://drive.google.com/file/d/1tLDYZKQb4z1ZUitzltLK7vgv1To8FFUF/view?usp=drivesdk</v>
      </c>
      <c r="R1907" s="1871"/>
      <c r="S1907" s="156" t="s">
        <v>10686</v>
      </c>
      <c r="T1907" s="126"/>
      <c r="U1907" s="1847"/>
      <c r="V1907" s="195" t="str">
        <f t="shared" si="121"/>
        <v>10.1126--science.aac4716.pdf</v>
      </c>
      <c r="W1907" s="1845"/>
      <c r="X1907" s="51" t="str">
        <f t="array" ref="X1907"> if(iserror(MATCH(V1907, 'File Links'!C:C, 0)), "N/A", HYPERLINK(INDEX('File Links'!B:B, MATCH(V1907, 'File Links'!C:C, 0))))</f>
        <v>https://drive.google.com/file/d/1UMAh9VGta6ExS2-Lb6GkDF4fmnI2EMeM/view?usp=drivesdk</v>
      </c>
      <c r="Z1907" s="1819"/>
      <c r="AA1907" s="1819"/>
      <c r="AB1907" s="1832"/>
      <c r="AC1907" s="1832"/>
      <c r="AD1907" s="1832"/>
      <c r="AE1907" s="1872"/>
      <c r="AF1907" s="1872"/>
      <c r="AG1907" s="1872"/>
      <c r="AH1907" s="1832"/>
      <c r="AI1907" s="1832"/>
      <c r="AJ1907" s="1876"/>
      <c r="AK1907" s="1875"/>
      <c r="AL1907" s="1843"/>
      <c r="AM1907" s="1844"/>
      <c r="AN1907" s="327" t="s">
        <v>131</v>
      </c>
      <c r="AO1907" s="1847"/>
      <c r="AP1907" s="1847"/>
      <c r="AQ1907" s="1832"/>
      <c r="AR1907" s="1832"/>
      <c r="AS1907" s="1872"/>
      <c r="AT1907" s="1832"/>
      <c r="AU1907" s="1832"/>
      <c r="AV1907" s="1844"/>
      <c r="AW1907" s="1874"/>
      <c r="AX1907" s="1844"/>
      <c r="AZ1907" s="1819" t="s">
        <v>10695</v>
      </c>
    </row>
    <row r="1908" ht="20.25" customHeight="1">
      <c r="A1908" s="41">
        <v>1908.0</v>
      </c>
      <c r="B1908" s="59" t="s">
        <v>145</v>
      </c>
      <c r="C1908" s="59" t="s">
        <v>108</v>
      </c>
      <c r="D1908" s="59" t="s">
        <v>1263</v>
      </c>
      <c r="E1908" s="1819"/>
      <c r="F1908" s="140" t="s">
        <v>11143</v>
      </c>
      <c r="G1908" s="140" t="s">
        <v>11144</v>
      </c>
      <c r="H1908" s="1819" t="s">
        <v>11145</v>
      </c>
      <c r="I1908" s="1870">
        <v>45659.0</v>
      </c>
      <c r="J1908" s="1820">
        <v>45694.0</v>
      </c>
      <c r="K1908" s="140" t="s">
        <v>11146</v>
      </c>
      <c r="L1908" s="1824" t="s">
        <v>11147</v>
      </c>
      <c r="M1908" s="1833" t="s">
        <v>11148</v>
      </c>
      <c r="N1908" s="140" t="s">
        <v>11149</v>
      </c>
      <c r="O1908" s="1822">
        <v>3.0</v>
      </c>
      <c r="P1908" s="1834" t="s">
        <v>11150</v>
      </c>
      <c r="Q1908" s="49" t="str">
        <f t="array" ref="Q1908"> if(iserror(MATCH(V1908, 'File Links'!C:C, 0)), "N/A", HYPERLINK(INDEX('File Links'!B:B, MATCH(P1908, 'File Links'!C:C, 0))))</f>
        <v>https://drive.google.com/file/d/1vmwxHTrl9F3n9CjnCny5Gv7aZ_iSmn06/view?usp=drivesdk</v>
      </c>
      <c r="R1908" s="1834" t="s">
        <v>11151</v>
      </c>
      <c r="S1908" s="156" t="s">
        <v>10686</v>
      </c>
      <c r="T1908" s="120" t="s">
        <v>11152</v>
      </c>
      <c r="U1908" s="1819"/>
      <c r="V1908" s="195" t="str">
        <f t="shared" si="121"/>
        <v>10.1126--science.aac4716.pdf</v>
      </c>
      <c r="W1908" s="140" t="s">
        <v>157</v>
      </c>
      <c r="X1908" s="51" t="str">
        <f t="array" ref="X1908"> if(iserror(MATCH(V1908, 'File Links'!C:C, 0)), "N/A", HYPERLINK(INDEX('File Links'!B:B, MATCH(V1908, 'File Links'!C:C, 0))))</f>
        <v>https://drive.google.com/file/d/1UMAh9VGta6ExS2-Lb6GkDF4fmnI2EMeM/view?usp=drivesdk</v>
      </c>
      <c r="Z1908" s="140" t="s">
        <v>141</v>
      </c>
      <c r="AA1908" s="140" t="s">
        <v>11153</v>
      </c>
      <c r="AB1908" s="140" t="s">
        <v>11154</v>
      </c>
      <c r="AC1908" s="140" t="s">
        <v>11155</v>
      </c>
      <c r="AD1908" s="140" t="s">
        <v>11156</v>
      </c>
      <c r="AE1908" s="1822">
        <v>5.0</v>
      </c>
      <c r="AF1908" s="1822">
        <v>29.0</v>
      </c>
      <c r="AG1908" s="140" t="s">
        <v>11157</v>
      </c>
      <c r="AH1908" s="140" t="s">
        <v>127</v>
      </c>
      <c r="AI1908" s="1832"/>
      <c r="AJ1908" s="1828">
        <v>0.001</v>
      </c>
      <c r="AK1908" s="140" t="s">
        <v>128</v>
      </c>
      <c r="AL1908" s="140" t="s">
        <v>129</v>
      </c>
      <c r="AM1908" s="1819" t="s">
        <v>134</v>
      </c>
      <c r="AN1908" s="327" t="s">
        <v>131</v>
      </c>
      <c r="AO1908" s="1822">
        <v>26.0</v>
      </c>
      <c r="AP1908" s="1841">
        <v>0.62</v>
      </c>
      <c r="AQ1908" s="140" t="s">
        <v>166</v>
      </c>
      <c r="AR1908" s="140" t="s">
        <v>11158</v>
      </c>
      <c r="AS1908" s="1828">
        <v>0.00471</v>
      </c>
      <c r="AT1908" s="140" t="s">
        <v>165</v>
      </c>
      <c r="AU1908" s="140" t="s">
        <v>129</v>
      </c>
      <c r="AV1908" s="1819" t="s">
        <v>134</v>
      </c>
      <c r="AW1908" s="1829" t="s">
        <v>11159</v>
      </c>
      <c r="AX1908" s="1819" t="s">
        <v>136</v>
      </c>
      <c r="AZ1908" s="1819" t="s">
        <v>1263</v>
      </c>
      <c r="BB1908" s="1808" t="s">
        <v>10921</v>
      </c>
    </row>
    <row r="1909" ht="20.25" customHeight="1">
      <c r="A1909" s="41">
        <v>1909.0</v>
      </c>
      <c r="B1909" s="59" t="s">
        <v>107</v>
      </c>
      <c r="C1909" s="59" t="s">
        <v>108</v>
      </c>
      <c r="D1909" s="59" t="s">
        <v>146</v>
      </c>
      <c r="E1909" s="1819"/>
      <c r="F1909" s="140" t="s">
        <v>11143</v>
      </c>
      <c r="G1909" s="1850" t="s">
        <v>11144</v>
      </c>
      <c r="H1909" s="140" t="s">
        <v>146</v>
      </c>
      <c r="I1909" s="1819" t="s">
        <v>10696</v>
      </c>
      <c r="J1909" s="1820">
        <v>45694.0</v>
      </c>
      <c r="K1909" s="140" t="s">
        <v>11160</v>
      </c>
      <c r="L1909" s="140"/>
      <c r="M1909" s="1821" t="s">
        <v>11148</v>
      </c>
      <c r="N1909" s="140" t="s">
        <v>11149</v>
      </c>
      <c r="O1909" s="1822">
        <v>3.0</v>
      </c>
      <c r="P1909" s="1823" t="s">
        <v>11150</v>
      </c>
      <c r="Q1909" s="49" t="str">
        <f t="array" ref="Q1909"> if(iserror(MATCH(V1909, 'File Links'!C:C, 0)), "N/A", HYPERLINK(INDEX('File Links'!B:B, MATCH(P1909, 'File Links'!C:C, 0))))</f>
        <v>https://drive.google.com/file/d/1vmwxHTrl9F3n9CjnCny5Gv7aZ_iSmn06/view?usp=drivesdk</v>
      </c>
      <c r="R1909" s="1834" t="s">
        <v>11151</v>
      </c>
      <c r="S1909" s="156" t="s">
        <v>10686</v>
      </c>
      <c r="T1909" s="126"/>
      <c r="U1909" s="1830">
        <v>1.0</v>
      </c>
      <c r="V1909" s="195" t="str">
        <f t="shared" si="121"/>
        <v>10.1126--science.aac4716.pdf</v>
      </c>
      <c r="W1909" s="140" t="s">
        <v>157</v>
      </c>
      <c r="X1909" s="51" t="str">
        <f t="array" ref="X1909"> if(iserror(MATCH(V1909, 'File Links'!C:C, 0)), "N/A", HYPERLINK(INDEX('File Links'!B:B, MATCH(V1909, 'File Links'!C:C, 0))))</f>
        <v>https://drive.google.com/file/d/1UMAh9VGta6ExS2-Lb6GkDF4fmnI2EMeM/view?usp=drivesdk</v>
      </c>
      <c r="Z1909" s="140" t="s">
        <v>141</v>
      </c>
      <c r="AA1909" s="140" t="s">
        <v>11161</v>
      </c>
      <c r="AB1909" s="140" t="s">
        <v>11162</v>
      </c>
      <c r="AC1909" s="140" t="s">
        <v>11155</v>
      </c>
      <c r="AD1909" s="140" t="s">
        <v>11163</v>
      </c>
      <c r="AE1909" s="1822">
        <v>5.0</v>
      </c>
      <c r="AF1909" s="1822">
        <v>29.0</v>
      </c>
      <c r="AG1909" s="140" t="s">
        <v>11157</v>
      </c>
      <c r="AH1909" s="140" t="s">
        <v>127</v>
      </c>
      <c r="AI1909" s="140" t="s">
        <v>806</v>
      </c>
      <c r="AJ1909" s="1830">
        <v>0.0</v>
      </c>
      <c r="AK1909" s="140" t="s">
        <v>165</v>
      </c>
      <c r="AL1909" s="140" t="s">
        <v>129</v>
      </c>
      <c r="AM1909" s="1819" t="s">
        <v>130</v>
      </c>
      <c r="AN1909" s="327" t="s">
        <v>131</v>
      </c>
      <c r="AO1909" s="1822">
        <v>26.0</v>
      </c>
      <c r="AP1909" s="1822">
        <v>-0.62</v>
      </c>
      <c r="AQ1909" s="140" t="s">
        <v>166</v>
      </c>
      <c r="AR1909" s="140" t="s">
        <v>843</v>
      </c>
      <c r="AS1909" s="1822">
        <v>0.00471</v>
      </c>
      <c r="AT1909" s="140" t="s">
        <v>165</v>
      </c>
      <c r="AU1909" s="140" t="s">
        <v>179</v>
      </c>
      <c r="AV1909" s="1819" t="s">
        <v>130</v>
      </c>
      <c r="AW1909" s="1829" t="s">
        <v>11164</v>
      </c>
      <c r="AX1909" s="1819" t="s">
        <v>144</v>
      </c>
      <c r="AZ1909" s="1819" t="s">
        <v>1263</v>
      </c>
      <c r="BA1909" s="481"/>
    </row>
    <row r="1910" ht="20.25" customHeight="1">
      <c r="A1910" s="41">
        <v>1910.0</v>
      </c>
      <c r="B1910" s="59" t="s">
        <v>107</v>
      </c>
      <c r="C1910" s="59" t="s">
        <v>108</v>
      </c>
      <c r="D1910" s="59" t="s">
        <v>1263</v>
      </c>
      <c r="E1910" s="1819"/>
      <c r="F1910" s="140" t="s">
        <v>11165</v>
      </c>
      <c r="G1910" s="140" t="s">
        <v>11166</v>
      </c>
      <c r="H1910" s="140" t="s">
        <v>11167</v>
      </c>
      <c r="I1910" s="1870">
        <v>45659.0</v>
      </c>
      <c r="J1910" s="1820">
        <v>45694.0</v>
      </c>
      <c r="K1910" s="1819" t="s">
        <v>11168</v>
      </c>
      <c r="L1910" s="1819" t="s">
        <v>11169</v>
      </c>
      <c r="M1910" s="1833" t="s">
        <v>11170</v>
      </c>
      <c r="N1910" s="140" t="s">
        <v>11171</v>
      </c>
      <c r="O1910" s="1830">
        <v>1.0</v>
      </c>
      <c r="P1910" s="1834" t="s">
        <v>11172</v>
      </c>
      <c r="Q1910" s="49" t="str">
        <f t="array" ref="Q1910"> if(iserror(MATCH(V1910, 'File Links'!C:C, 0)), "N/A", HYPERLINK(INDEX('File Links'!B:B, MATCH(P1910, 'File Links'!C:C, 0))))</f>
        <v>https://drive.google.com/file/d/1UsMzRx5dAyBC19d7_59BtDW0beEzge2i/view?usp=drivesdk</v>
      </c>
      <c r="R1910" s="1877" t="s">
        <v>11173</v>
      </c>
      <c r="S1910" s="156" t="s">
        <v>10686</v>
      </c>
      <c r="T1910" s="126"/>
      <c r="U1910" s="1847"/>
      <c r="V1910" s="195" t="str">
        <f t="shared" si="121"/>
        <v>10.1126--science.aac4716.pdf</v>
      </c>
      <c r="W1910" s="140" t="s">
        <v>157</v>
      </c>
      <c r="X1910" s="51" t="str">
        <f t="array" ref="X1910"> if(iserror(MATCH(V1910, 'File Links'!C:C, 0)), "N/A", HYPERLINK(INDEX('File Links'!B:B, MATCH(V1910, 'File Links'!C:C, 0))))</f>
        <v>https://drive.google.com/file/d/1UMAh9VGta6ExS2-Lb6GkDF4fmnI2EMeM/view?usp=drivesdk</v>
      </c>
      <c r="Z1910" s="1819" t="s">
        <v>219</v>
      </c>
      <c r="AA1910" s="140" t="s">
        <v>11174</v>
      </c>
      <c r="AB1910" s="1819" t="s">
        <v>11175</v>
      </c>
      <c r="AC1910" s="1819" t="s">
        <v>11176</v>
      </c>
      <c r="AD1910" s="140" t="s">
        <v>11177</v>
      </c>
      <c r="AE1910" s="1830">
        <v>3.0</v>
      </c>
      <c r="AF1910" s="1830">
        <v>28.0</v>
      </c>
      <c r="AG1910" s="1830" t="s">
        <v>11178</v>
      </c>
      <c r="AH1910" s="140" t="s">
        <v>166</v>
      </c>
      <c r="AI1910" s="1819" t="s">
        <v>210</v>
      </c>
      <c r="AJ1910" s="1830" t="s">
        <v>131</v>
      </c>
      <c r="AK1910" s="1875"/>
      <c r="AL1910" s="1819" t="s">
        <v>179</v>
      </c>
      <c r="AM1910" s="1819" t="s">
        <v>134</v>
      </c>
      <c r="AN1910" s="327" t="s">
        <v>131</v>
      </c>
      <c r="AO1910" s="1830">
        <v>66.0</v>
      </c>
      <c r="AP1910" s="1830" t="s">
        <v>11179</v>
      </c>
      <c r="AQ1910" s="1819" t="s">
        <v>132</v>
      </c>
      <c r="AR1910" s="1844"/>
      <c r="AS1910" s="1828">
        <v>0.89</v>
      </c>
      <c r="AT1910" s="1819" t="s">
        <v>165</v>
      </c>
      <c r="AU1910" s="1819" t="s">
        <v>179</v>
      </c>
      <c r="AW1910" s="1829" t="s">
        <v>11180</v>
      </c>
      <c r="AX1910" s="1819" t="s">
        <v>136</v>
      </c>
      <c r="AZ1910" s="1819" t="s">
        <v>1263</v>
      </c>
      <c r="BB1910" s="1808" t="s">
        <v>10921</v>
      </c>
    </row>
    <row r="1911" ht="20.25" customHeight="1">
      <c r="A1911" s="41">
        <v>1911.0</v>
      </c>
      <c r="B1911" s="59" t="s">
        <v>145</v>
      </c>
      <c r="C1911" s="59" t="s">
        <v>108</v>
      </c>
      <c r="D1911" s="59" t="s">
        <v>146</v>
      </c>
      <c r="E1911" s="1819"/>
      <c r="F1911" s="140" t="s">
        <v>11165</v>
      </c>
      <c r="G1911" s="1850" t="s">
        <v>11166</v>
      </c>
      <c r="H1911" s="140" t="s">
        <v>146</v>
      </c>
      <c r="I1911" s="1819" t="s">
        <v>10696</v>
      </c>
      <c r="J1911" s="1820">
        <v>45694.0</v>
      </c>
      <c r="K1911" s="140" t="s">
        <v>11181</v>
      </c>
      <c r="L1911" s="140"/>
      <c r="M1911" s="1821" t="s">
        <v>11170</v>
      </c>
      <c r="N1911" s="140" t="s">
        <v>11171</v>
      </c>
      <c r="O1911" s="1822">
        <v>1.0</v>
      </c>
      <c r="P1911" s="1823" t="s">
        <v>11172</v>
      </c>
      <c r="Q1911" s="49" t="str">
        <f t="array" ref="Q1911"> if(iserror(MATCH(V1911, 'File Links'!C:C, 0)), "N/A", HYPERLINK(INDEX('File Links'!B:B, MATCH(P1911, 'File Links'!C:C, 0))))</f>
        <v>https://drive.google.com/file/d/1UsMzRx5dAyBC19d7_59BtDW0beEzge2i/view?usp=drivesdk</v>
      </c>
      <c r="R1911" s="1877" t="s">
        <v>11182</v>
      </c>
      <c r="S1911" s="156" t="s">
        <v>10686</v>
      </c>
      <c r="T1911" s="126"/>
      <c r="U1911" s="1830">
        <v>1.0</v>
      </c>
      <c r="V1911" s="195" t="str">
        <f t="shared" si="121"/>
        <v>10.1126--science.aac4716.pdf</v>
      </c>
      <c r="W1911" s="140" t="s">
        <v>157</v>
      </c>
      <c r="X1911" s="51" t="str">
        <f t="array" ref="X1911"> if(iserror(MATCH(V1911, 'File Links'!C:C, 0)), "N/A", HYPERLINK(INDEX('File Links'!B:B, MATCH(V1911, 'File Links'!C:C, 0))))</f>
        <v>https://drive.google.com/file/d/1UMAh9VGta6ExS2-Lb6GkDF4fmnI2EMeM/view?usp=drivesdk</v>
      </c>
      <c r="Z1911" s="140" t="s">
        <v>219</v>
      </c>
      <c r="AA1911" s="140" t="s">
        <v>11183</v>
      </c>
      <c r="AB1911" s="140" t="s">
        <v>11184</v>
      </c>
      <c r="AC1911" s="140" t="s">
        <v>11185</v>
      </c>
      <c r="AD1911" s="140" t="s">
        <v>11186</v>
      </c>
      <c r="AE1911" s="1822">
        <v>3.0</v>
      </c>
      <c r="AF1911" s="1822">
        <v>28.0</v>
      </c>
      <c r="AG1911" s="1822">
        <v>0.8</v>
      </c>
      <c r="AH1911" s="140" t="s">
        <v>166</v>
      </c>
      <c r="AI1911" s="140" t="s">
        <v>11187</v>
      </c>
      <c r="AJ1911" s="1822" t="s">
        <v>131</v>
      </c>
      <c r="AK1911" s="140" t="s">
        <v>131</v>
      </c>
      <c r="AL1911" s="140" t="s">
        <v>179</v>
      </c>
      <c r="AM1911" s="1819" t="s">
        <v>134</v>
      </c>
      <c r="AN1911" s="327" t="s">
        <v>131</v>
      </c>
      <c r="AO1911" s="1830">
        <v>66.0</v>
      </c>
      <c r="AP1911" s="1830">
        <v>0.0</v>
      </c>
      <c r="AQ1911" s="140" t="s">
        <v>132</v>
      </c>
      <c r="AR1911" s="140" t="s">
        <v>11188</v>
      </c>
      <c r="AS1911" s="1822">
        <v>0.89</v>
      </c>
      <c r="AT1911" s="140" t="s">
        <v>165</v>
      </c>
      <c r="AU1911" s="140" t="s">
        <v>179</v>
      </c>
      <c r="AV1911" s="1819" t="s">
        <v>134</v>
      </c>
      <c r="AW1911" s="1829" t="s">
        <v>11189</v>
      </c>
      <c r="AX1911" s="1819" t="s">
        <v>136</v>
      </c>
      <c r="AZ1911" s="1819" t="s">
        <v>1263</v>
      </c>
      <c r="BA1911" s="161"/>
    </row>
    <row r="1912" ht="20.25" customHeight="1">
      <c r="A1912" s="41">
        <v>1912.0</v>
      </c>
      <c r="B1912" s="59" t="s">
        <v>145</v>
      </c>
      <c r="C1912" s="59" t="s">
        <v>108</v>
      </c>
      <c r="D1912" s="59" t="s">
        <v>1263</v>
      </c>
      <c r="E1912" s="1819"/>
      <c r="F1912" s="140" t="s">
        <v>11190</v>
      </c>
      <c r="G1912" s="140" t="s">
        <v>11191</v>
      </c>
      <c r="H1912" s="140" t="s">
        <v>11192</v>
      </c>
      <c r="I1912" s="1870">
        <v>45659.0</v>
      </c>
      <c r="J1912" s="1820">
        <v>45694.0</v>
      </c>
      <c r="K1912" s="1832"/>
      <c r="L1912" s="140" t="s">
        <v>11193</v>
      </c>
      <c r="M1912" s="1833" t="s">
        <v>11194</v>
      </c>
      <c r="N1912" s="140" t="s">
        <v>11195</v>
      </c>
      <c r="O1912" s="1822">
        <v>3.0</v>
      </c>
      <c r="P1912" s="1834" t="s">
        <v>11196</v>
      </c>
      <c r="Q1912" s="49" t="str">
        <f t="array" ref="Q1912"> if(iserror(MATCH(V1912, 'File Links'!C:C, 0)), "N/A", HYPERLINK(INDEX('File Links'!B:B, MATCH(P1912, 'File Links'!C:C, 0))))</f>
        <v>https://drive.google.com/file/d/1DqdONyqsLP1eg0rgW71wKdPbcflRStOn/view?usp=drivesdk</v>
      </c>
      <c r="R1912" s="1834" t="s">
        <v>11022</v>
      </c>
      <c r="S1912" s="156" t="s">
        <v>10686</v>
      </c>
      <c r="T1912" s="126"/>
      <c r="U1912" s="1819"/>
      <c r="V1912" s="195" t="str">
        <f t="shared" si="121"/>
        <v>10.1126--science.aac4716.pdf</v>
      </c>
      <c r="W1912" s="140" t="s">
        <v>157</v>
      </c>
      <c r="X1912" s="51" t="str">
        <f t="array" ref="X1912"> if(iserror(MATCH(V1912, 'File Links'!C:C, 0)), "N/A", HYPERLINK(INDEX('File Links'!B:B, MATCH(V1912, 'File Links'!C:C, 0))))</f>
        <v>https://drive.google.com/file/d/1UMAh9VGta6ExS2-Lb6GkDF4fmnI2EMeM/view?usp=drivesdk</v>
      </c>
      <c r="Z1912" s="140" t="s">
        <v>141</v>
      </c>
      <c r="AA1912" s="140" t="s">
        <v>11197</v>
      </c>
      <c r="AB1912" s="140" t="s">
        <v>11198</v>
      </c>
      <c r="AC1912" s="140" t="s">
        <v>11199</v>
      </c>
      <c r="AD1912" s="140" t="s">
        <v>11200</v>
      </c>
      <c r="AE1912" s="1822">
        <v>7.0</v>
      </c>
      <c r="AF1912" s="1822">
        <v>36.0</v>
      </c>
      <c r="AG1912" s="140" t="s">
        <v>11201</v>
      </c>
      <c r="AH1912" s="140" t="s">
        <v>127</v>
      </c>
      <c r="AI1912" s="140" t="s">
        <v>125</v>
      </c>
      <c r="AJ1912" s="1828">
        <v>0.001</v>
      </c>
      <c r="AK1912" s="140" t="s">
        <v>128</v>
      </c>
      <c r="AL1912" s="140" t="s">
        <v>179</v>
      </c>
      <c r="AM1912" s="1819" t="s">
        <v>134</v>
      </c>
      <c r="AN1912" s="327" t="s">
        <v>131</v>
      </c>
      <c r="AO1912" s="1822">
        <v>36.0</v>
      </c>
      <c r="AP1912" s="140" t="s">
        <v>11202</v>
      </c>
      <c r="AQ1912" s="140" t="s">
        <v>127</v>
      </c>
      <c r="AR1912" s="140" t="s">
        <v>806</v>
      </c>
      <c r="AS1912" s="1822">
        <v>0.001</v>
      </c>
      <c r="AT1912" s="140" t="s">
        <v>128</v>
      </c>
      <c r="AU1912" s="140" t="s">
        <v>179</v>
      </c>
      <c r="AV1912" s="1819" t="s">
        <v>134</v>
      </c>
      <c r="AW1912" s="1829" t="s">
        <v>11203</v>
      </c>
      <c r="AX1912" s="1819" t="s">
        <v>136</v>
      </c>
      <c r="AZ1912" s="1819" t="s">
        <v>1263</v>
      </c>
      <c r="BB1912" s="1808" t="s">
        <v>10921</v>
      </c>
    </row>
    <row r="1913" ht="20.25" customHeight="1">
      <c r="A1913" s="41">
        <v>1913.0</v>
      </c>
      <c r="B1913" s="59" t="s">
        <v>107</v>
      </c>
      <c r="C1913" s="59" t="s">
        <v>108</v>
      </c>
      <c r="D1913" s="59" t="s">
        <v>146</v>
      </c>
      <c r="E1913" s="1819"/>
      <c r="F1913" s="140" t="s">
        <v>11190</v>
      </c>
      <c r="G1913" s="1850" t="s">
        <v>11191</v>
      </c>
      <c r="H1913" s="140" t="s">
        <v>146</v>
      </c>
      <c r="I1913" s="1819" t="s">
        <v>10696</v>
      </c>
      <c r="J1913" s="1820">
        <v>45694.0</v>
      </c>
      <c r="K1913" s="140" t="s">
        <v>11204</v>
      </c>
      <c r="L1913" s="140"/>
      <c r="M1913" s="1869" t="s">
        <v>11194</v>
      </c>
      <c r="N1913" s="140" t="s">
        <v>11195</v>
      </c>
      <c r="O1913" s="1822">
        <v>3.0</v>
      </c>
      <c r="P1913" s="1823" t="s">
        <v>11196</v>
      </c>
      <c r="Q1913" s="49" t="str">
        <f t="array" ref="Q1913"> if(iserror(MATCH(V1913, 'File Links'!C:C, 0)), "N/A", HYPERLINK(INDEX('File Links'!B:B, MATCH(P1913, 'File Links'!C:C, 0))))</f>
        <v>https://drive.google.com/file/d/1DqdONyqsLP1eg0rgW71wKdPbcflRStOn/view?usp=drivesdk</v>
      </c>
      <c r="R1913" s="1834" t="s">
        <v>11022</v>
      </c>
      <c r="S1913" s="156" t="s">
        <v>10686</v>
      </c>
      <c r="T1913" s="126"/>
      <c r="U1913" s="1830">
        <v>1.0</v>
      </c>
      <c r="V1913" s="195" t="str">
        <f t="shared" si="121"/>
        <v>10.1126--science.aac4716.pdf</v>
      </c>
      <c r="W1913" s="140" t="s">
        <v>3563</v>
      </c>
      <c r="X1913" s="51" t="str">
        <f t="array" ref="X1913"> if(iserror(MATCH(V1913, 'File Links'!C:C, 0)), "N/A", HYPERLINK(INDEX('File Links'!B:B, MATCH(V1913, 'File Links'!C:C, 0))))</f>
        <v>https://drive.google.com/file/d/1UMAh9VGta6ExS2-Lb6GkDF4fmnI2EMeM/view?usp=drivesdk</v>
      </c>
      <c r="Z1913" s="140" t="s">
        <v>141</v>
      </c>
      <c r="AA1913" s="140" t="s">
        <v>11205</v>
      </c>
      <c r="AB1913" s="140" t="s">
        <v>11206</v>
      </c>
      <c r="AC1913" s="140" t="s">
        <v>11207</v>
      </c>
      <c r="AD1913" s="140" t="s">
        <v>11208</v>
      </c>
      <c r="AE1913" s="1822">
        <v>7.0</v>
      </c>
      <c r="AF1913" s="1822">
        <v>36.0</v>
      </c>
      <c r="AG1913" s="1822" t="s">
        <v>11201</v>
      </c>
      <c r="AH1913" s="140" t="s">
        <v>127</v>
      </c>
      <c r="AI1913" s="140" t="s">
        <v>125</v>
      </c>
      <c r="AJ1913" s="1822">
        <v>0.001</v>
      </c>
      <c r="AK1913" s="140" t="s">
        <v>128</v>
      </c>
      <c r="AL1913" s="140" t="s">
        <v>179</v>
      </c>
      <c r="AM1913" s="1819" t="s">
        <v>134</v>
      </c>
      <c r="AN1913" s="327" t="s">
        <v>131</v>
      </c>
      <c r="AO1913" s="1830">
        <v>36.0</v>
      </c>
      <c r="AP1913" s="1830" t="s">
        <v>11202</v>
      </c>
      <c r="AQ1913" s="140" t="s">
        <v>127</v>
      </c>
      <c r="AR1913" s="140" t="s">
        <v>806</v>
      </c>
      <c r="AS1913" s="1822">
        <v>0.001</v>
      </c>
      <c r="AT1913" s="140" t="s">
        <v>165</v>
      </c>
      <c r="AU1913" s="140" t="s">
        <v>179</v>
      </c>
      <c r="AV1913" s="1819" t="s">
        <v>134</v>
      </c>
      <c r="AW1913" s="1829" t="s">
        <v>11209</v>
      </c>
      <c r="AX1913" s="1819" t="s">
        <v>136</v>
      </c>
      <c r="AZ1913" s="1819" t="s">
        <v>1263</v>
      </c>
      <c r="BA1913" s="186"/>
    </row>
    <row r="1914" ht="20.25" customHeight="1">
      <c r="A1914" s="41">
        <v>1914.0</v>
      </c>
      <c r="B1914" s="126" t="s">
        <v>107</v>
      </c>
      <c r="C1914" s="59" t="s">
        <v>108</v>
      </c>
      <c r="D1914" s="59" t="s">
        <v>1263</v>
      </c>
      <c r="F1914" s="156" t="s">
        <v>11210</v>
      </c>
      <c r="G1914" s="156" t="s">
        <v>11211</v>
      </c>
      <c r="H1914" s="156" t="s">
        <v>11212</v>
      </c>
      <c r="I1914" s="859" t="s">
        <v>112</v>
      </c>
      <c r="J1914" s="537">
        <v>45762.0</v>
      </c>
      <c r="K1914" s="156" t="s">
        <v>11213</v>
      </c>
      <c r="L1914" s="156" t="s">
        <v>11214</v>
      </c>
      <c r="M1914" s="1878" t="s">
        <v>11215</v>
      </c>
      <c r="N1914" s="156" t="s">
        <v>11216</v>
      </c>
      <c r="O1914" s="333">
        <v>1.0</v>
      </c>
      <c r="P1914" s="603" t="s">
        <v>11217</v>
      </c>
      <c r="Q1914" s="49" t="str">
        <f t="array" ref="Q1914"> if(iserror(MATCH(V1914, 'File Links'!C:C, 0)), "N/A", HYPERLINK(INDEX('File Links'!B:B, MATCH(P1914, 'File Links'!C:C, 0))))</f>
        <v>https://drive.google.com/file/d/1HyrNh-agatlqkBI_Y2cQxLTUdJmQoYlf/view?usp=drivesdk</v>
      </c>
      <c r="R1914" s="603" t="s">
        <v>11218</v>
      </c>
      <c r="S1914" s="156" t="s">
        <v>10686</v>
      </c>
      <c r="T1914" s="126"/>
      <c r="U1914" s="333">
        <v>1.0</v>
      </c>
      <c r="V1914" s="156" t="s">
        <v>11219</v>
      </c>
      <c r="W1914" s="54" t="s">
        <v>157</v>
      </c>
      <c r="X1914" s="51" t="str">
        <f t="array" ref="X1914"> if(iserror(MATCH(V1914, 'File Links'!C:C, 0)), "N/A", HYPERLINK(INDEX('File Links'!B:B, MATCH(V1914, 'File Links'!C:C, 0))))</f>
        <v>https://drive.google.com/file/d/1UMAh9VGta6ExS2-Lb6GkDF4fmnI2EMeM/view?usp=drivesdk</v>
      </c>
      <c r="Z1914" s="156" t="s">
        <v>219</v>
      </c>
      <c r="AA1914" s="156" t="s">
        <v>11220</v>
      </c>
      <c r="AB1914" s="156" t="s">
        <v>11221</v>
      </c>
      <c r="AC1914" s="156" t="s">
        <v>11222</v>
      </c>
      <c r="AD1914" s="65" t="s">
        <v>11223</v>
      </c>
      <c r="AE1914" s="333">
        <v>3.0</v>
      </c>
      <c r="AF1914" s="153">
        <v>25.0</v>
      </c>
      <c r="AG1914" s="1879">
        <v>0.18</v>
      </c>
      <c r="AH1914" s="1418" t="s">
        <v>867</v>
      </c>
      <c r="AI1914" s="156" t="s">
        <v>210</v>
      </c>
      <c r="AJ1914" s="158">
        <v>0.05</v>
      </c>
      <c r="AK1914" s="156" t="s">
        <v>128</v>
      </c>
      <c r="AL1914" s="156" t="s">
        <v>179</v>
      </c>
      <c r="AM1914" s="65" t="s">
        <v>134</v>
      </c>
      <c r="AN1914" s="327" t="s">
        <v>131</v>
      </c>
      <c r="AO1914" s="153">
        <v>30.0</v>
      </c>
      <c r="AP1914" s="156" t="s">
        <v>11224</v>
      </c>
      <c r="AQ1914" s="156" t="s">
        <v>127</v>
      </c>
      <c r="AR1914" s="156" t="s">
        <v>125</v>
      </c>
      <c r="AS1914" s="1822">
        <v>0.254</v>
      </c>
      <c r="AT1914" s="156" t="s">
        <v>165</v>
      </c>
      <c r="AU1914" s="156" t="s">
        <v>179</v>
      </c>
      <c r="AV1914" s="65" t="s">
        <v>134</v>
      </c>
      <c r="AW1914" s="432" t="s">
        <v>11225</v>
      </c>
      <c r="AX1914" s="65" t="s">
        <v>136</v>
      </c>
      <c r="AY1914" s="65"/>
      <c r="AZ1914" s="126" t="s">
        <v>10695</v>
      </c>
    </row>
    <row r="1915" ht="20.25" customHeight="1">
      <c r="A1915" s="41">
        <v>1915.0</v>
      </c>
      <c r="B1915" s="126" t="s">
        <v>145</v>
      </c>
      <c r="C1915" s="59" t="s">
        <v>108</v>
      </c>
      <c r="D1915" s="59" t="s">
        <v>146</v>
      </c>
      <c r="F1915" s="156" t="s">
        <v>11210</v>
      </c>
      <c r="G1915" s="156" t="s">
        <v>11211</v>
      </c>
      <c r="H1915" s="156" t="s">
        <v>11226</v>
      </c>
      <c r="I1915" s="859" t="s">
        <v>112</v>
      </c>
      <c r="J1915" s="537">
        <v>45762.0</v>
      </c>
      <c r="K1915" s="65" t="s">
        <v>11227</v>
      </c>
      <c r="L1915" s="65"/>
      <c r="M1915" s="1878" t="s">
        <v>11215</v>
      </c>
      <c r="N1915" s="156" t="s">
        <v>11216</v>
      </c>
      <c r="O1915" s="333">
        <v>1.0</v>
      </c>
      <c r="P1915" s="603" t="s">
        <v>11217</v>
      </c>
      <c r="Q1915" s="49" t="str">
        <f t="array" ref="Q1915"> if(iserror(MATCH(V1915, 'File Links'!C:C, 0)), "N/A", HYPERLINK(INDEX('File Links'!B:B, MATCH(P1915, 'File Links'!C:C, 0))))</f>
        <v>https://drive.google.com/file/d/1HyrNh-agatlqkBI_Y2cQxLTUdJmQoYlf/view?usp=drivesdk</v>
      </c>
      <c r="R1915" s="603" t="s">
        <v>11218</v>
      </c>
      <c r="S1915" s="156" t="s">
        <v>10686</v>
      </c>
      <c r="T1915" s="126"/>
      <c r="U1915" s="333">
        <v>1.0</v>
      </c>
      <c r="V1915" s="156" t="s">
        <v>11219</v>
      </c>
      <c r="W1915" s="59" t="s">
        <v>11228</v>
      </c>
      <c r="X1915" s="51" t="str">
        <f t="array" ref="X1915"> if(iserror(MATCH(V1915, 'File Links'!C:C, 0)), "N/A", HYPERLINK(INDEX('File Links'!B:B, MATCH(V1915, 'File Links'!C:C, 0))))</f>
        <v>https://drive.google.com/file/d/1UMAh9VGta6ExS2-Lb6GkDF4fmnI2EMeM/view?usp=drivesdk</v>
      </c>
      <c r="Z1915" s="65" t="s">
        <v>219</v>
      </c>
      <c r="AA1915" s="156" t="s">
        <v>4705</v>
      </c>
      <c r="AB1915" s="65" t="s">
        <v>11229</v>
      </c>
      <c r="AC1915" s="65" t="s">
        <v>11230</v>
      </c>
      <c r="AD1915" s="1880" t="s">
        <v>11223</v>
      </c>
      <c r="AE1915" s="333">
        <v>3.0</v>
      </c>
      <c r="AF1915" s="333">
        <v>25.0</v>
      </c>
      <c r="AG1915" s="1879">
        <v>0.18</v>
      </c>
      <c r="AH1915" s="1418" t="s">
        <v>867</v>
      </c>
      <c r="AI1915" s="65" t="s">
        <v>210</v>
      </c>
      <c r="AJ1915" s="158">
        <v>0.05</v>
      </c>
      <c r="AK1915" s="65" t="s">
        <v>128</v>
      </c>
      <c r="AL1915" s="65" t="s">
        <v>179</v>
      </c>
      <c r="AM1915" s="65" t="s">
        <v>134</v>
      </c>
      <c r="AN1915" s="327" t="s">
        <v>131</v>
      </c>
      <c r="AO1915" s="333">
        <v>30.0</v>
      </c>
      <c r="AP1915" s="333" t="s">
        <v>11224</v>
      </c>
      <c r="AQ1915" s="65" t="s">
        <v>127</v>
      </c>
      <c r="AR1915" s="65" t="s">
        <v>125</v>
      </c>
      <c r="AS1915" s="1822">
        <v>0.254</v>
      </c>
      <c r="AT1915" s="65" t="s">
        <v>165</v>
      </c>
      <c r="AU1915" s="65" t="s">
        <v>179</v>
      </c>
      <c r="AV1915" s="65" t="s">
        <v>134</v>
      </c>
      <c r="AW1915" s="432" t="s">
        <v>11231</v>
      </c>
      <c r="AX1915" s="65" t="s">
        <v>144</v>
      </c>
      <c r="AY1915" s="65"/>
      <c r="AZ1915" s="59" t="s">
        <v>10695</v>
      </c>
    </row>
    <row r="1916">
      <c r="A1916" s="41">
        <v>1916.0</v>
      </c>
      <c r="B1916" s="144" t="s">
        <v>145</v>
      </c>
      <c r="C1916" s="146" t="s">
        <v>108</v>
      </c>
      <c r="D1916" s="146" t="s">
        <v>1263</v>
      </c>
      <c r="E1916" s="69"/>
      <c r="F1916" s="119" t="s">
        <v>11232</v>
      </c>
      <c r="G1916" s="119" t="s">
        <v>11233</v>
      </c>
      <c r="H1916" s="119" t="s">
        <v>11234</v>
      </c>
      <c r="I1916" s="1881" t="s">
        <v>112</v>
      </c>
      <c r="J1916" s="537">
        <v>45762.0</v>
      </c>
      <c r="K1916" s="1882" t="s">
        <v>11235</v>
      </c>
      <c r="L1916" s="144" t="s">
        <v>11236</v>
      </c>
      <c r="M1916" s="1883" t="s">
        <v>11237</v>
      </c>
      <c r="N1916" s="707" t="s">
        <v>11238</v>
      </c>
      <c r="O1916" s="1884">
        <v>2.0</v>
      </c>
      <c r="P1916" s="533" t="s">
        <v>11239</v>
      </c>
      <c r="Q1916" s="49" t="str">
        <f t="array" ref="Q1916"> if(iserror(MATCH(V1916, 'File Links'!C:C, 0)), "N/A", HYPERLINK(INDEX('File Links'!B:B, MATCH(P1916, 'File Links'!C:C, 0))))</f>
        <v>https://drive.google.com/file/d/1ZvAbdxhSZjsiTtoGCcl4wKGSEHyET-ky/view?usp=drivesdk</v>
      </c>
      <c r="R1916" s="119" t="s">
        <v>11240</v>
      </c>
      <c r="S1916" s="156" t="s">
        <v>10686</v>
      </c>
      <c r="T1916" s="126"/>
      <c r="U1916" s="1106">
        <v>1.0</v>
      </c>
      <c r="V1916" s="119" t="s">
        <v>11219</v>
      </c>
      <c r="W1916" s="109" t="s">
        <v>157</v>
      </c>
      <c r="X1916" s="51" t="str">
        <f t="array" ref="X1916"> if(iserror(MATCH(V1916, 'File Links'!C:C, 0)), "N/A", HYPERLINK(INDEX('File Links'!B:B, MATCH(V1916, 'File Links'!C:C, 0))))</f>
        <v>https://drive.google.com/file/d/1UMAh9VGta6ExS2-Lb6GkDF4fmnI2EMeM/view?usp=drivesdk</v>
      </c>
      <c r="Y1916" s="69"/>
      <c r="Z1916" s="119" t="s">
        <v>141</v>
      </c>
      <c r="AA1916" s="119" t="s">
        <v>11241</v>
      </c>
      <c r="AB1916" s="108" t="s">
        <v>11242</v>
      </c>
      <c r="AC1916" s="108" t="s">
        <v>11243</v>
      </c>
      <c r="AD1916" s="108" t="s">
        <v>11244</v>
      </c>
      <c r="AE1916" s="1106">
        <v>4.0</v>
      </c>
      <c r="AF1916" s="1106">
        <v>24.0</v>
      </c>
      <c r="AG1916" s="1885">
        <v>0.2</v>
      </c>
      <c r="AH1916" s="1418" t="s">
        <v>867</v>
      </c>
      <c r="AI1916" s="108" t="s">
        <v>843</v>
      </c>
      <c r="AJ1916" s="1106" t="s">
        <v>131</v>
      </c>
      <c r="AK1916" s="140" t="s">
        <v>131</v>
      </c>
      <c r="AL1916" s="108" t="s">
        <v>179</v>
      </c>
      <c r="AM1916" s="108" t="s">
        <v>134</v>
      </c>
      <c r="AN1916" s="327" t="s">
        <v>131</v>
      </c>
      <c r="AO1916" s="1106">
        <v>38.0</v>
      </c>
      <c r="AP1916" s="1161">
        <v>0.18</v>
      </c>
      <c r="AQ1916" s="108" t="s">
        <v>867</v>
      </c>
      <c r="AR1916" s="108" t="s">
        <v>210</v>
      </c>
      <c r="AS1916" s="1822">
        <v>0.007</v>
      </c>
      <c r="AT1916" s="108" t="s">
        <v>165</v>
      </c>
      <c r="AU1916" s="108" t="s">
        <v>179</v>
      </c>
      <c r="AV1916" s="108" t="s">
        <v>134</v>
      </c>
      <c r="AW1916" s="653" t="s">
        <v>11245</v>
      </c>
      <c r="AX1916" s="108" t="s">
        <v>136</v>
      </c>
      <c r="AY1916" s="108"/>
      <c r="AZ1916" s="59" t="s">
        <v>10695</v>
      </c>
    </row>
    <row r="1917">
      <c r="A1917" s="41">
        <v>1917.0</v>
      </c>
      <c r="B1917" s="144" t="s">
        <v>107</v>
      </c>
      <c r="C1917" s="146" t="s">
        <v>108</v>
      </c>
      <c r="D1917" s="146" t="s">
        <v>146</v>
      </c>
      <c r="E1917" s="69"/>
      <c r="F1917" s="119" t="s">
        <v>11232</v>
      </c>
      <c r="G1917" s="119" t="s">
        <v>11233</v>
      </c>
      <c r="H1917" s="119" t="s">
        <v>146</v>
      </c>
      <c r="I1917" s="1881" t="s">
        <v>112</v>
      </c>
      <c r="J1917" s="537">
        <v>45762.0</v>
      </c>
      <c r="K1917" s="108" t="s">
        <v>11235</v>
      </c>
      <c r="L1917" s="108"/>
      <c r="M1917" s="1883" t="s">
        <v>11237</v>
      </c>
      <c r="N1917" s="119" t="s">
        <v>11238</v>
      </c>
      <c r="O1917" s="1106">
        <v>2.0</v>
      </c>
      <c r="P1917" s="533" t="s">
        <v>11239</v>
      </c>
      <c r="Q1917" s="49" t="str">
        <f t="array" ref="Q1917"> if(iserror(MATCH(V1917, 'File Links'!C:C, 0)), "N/A", HYPERLINK(INDEX('File Links'!B:B, MATCH(P1917, 'File Links'!C:C, 0))))</f>
        <v>https://drive.google.com/file/d/1ZvAbdxhSZjsiTtoGCcl4wKGSEHyET-ky/view?usp=drivesdk</v>
      </c>
      <c r="R1917" s="119" t="s">
        <v>11240</v>
      </c>
      <c r="S1917" s="156" t="s">
        <v>10686</v>
      </c>
      <c r="T1917" s="126"/>
      <c r="U1917" s="1106">
        <v>1.0</v>
      </c>
      <c r="V1917" s="119" t="s">
        <v>11219</v>
      </c>
      <c r="W1917" s="109" t="s">
        <v>157</v>
      </c>
      <c r="X1917" s="51" t="str">
        <f t="array" ref="X1917"> if(iserror(MATCH(V1917, 'File Links'!C:C, 0)), "N/A", HYPERLINK(INDEX('File Links'!B:B, MATCH(V1917, 'File Links'!C:C, 0))))</f>
        <v>https://drive.google.com/file/d/1UMAh9VGta6ExS2-Lb6GkDF4fmnI2EMeM/view?usp=drivesdk</v>
      </c>
      <c r="Y1917" s="69"/>
      <c r="Z1917" s="108" t="s">
        <v>141</v>
      </c>
      <c r="AA1917" s="119" t="s">
        <v>11241</v>
      </c>
      <c r="AB1917" s="108" t="s">
        <v>11246</v>
      </c>
      <c r="AC1917" s="108" t="s">
        <v>11247</v>
      </c>
      <c r="AD1917" s="119" t="s">
        <v>11248</v>
      </c>
      <c r="AE1917" s="1106">
        <v>4.0</v>
      </c>
      <c r="AF1917" s="1106">
        <v>24.0</v>
      </c>
      <c r="AG1917" s="1161">
        <v>0.2</v>
      </c>
      <c r="AH1917" s="119" t="s">
        <v>132</v>
      </c>
      <c r="AI1917" s="108" t="s">
        <v>843</v>
      </c>
      <c r="AJ1917" s="158">
        <v>0.05</v>
      </c>
      <c r="AK1917" s="108" t="s">
        <v>128</v>
      </c>
      <c r="AL1917" s="108" t="s">
        <v>179</v>
      </c>
      <c r="AM1917" s="108" t="s">
        <v>130</v>
      </c>
      <c r="AN1917" s="327" t="s">
        <v>131</v>
      </c>
      <c r="AO1917" s="1106">
        <v>38.0</v>
      </c>
      <c r="AP1917" s="1161">
        <v>0.18</v>
      </c>
      <c r="AQ1917" s="108" t="s">
        <v>132</v>
      </c>
      <c r="AR1917" s="108" t="s">
        <v>210</v>
      </c>
      <c r="AS1917" s="1822">
        <v>0.007</v>
      </c>
      <c r="AT1917" s="108" t="s">
        <v>165</v>
      </c>
      <c r="AU1917" s="108" t="s">
        <v>179</v>
      </c>
      <c r="AV1917" s="108" t="s">
        <v>130</v>
      </c>
      <c r="AW1917" s="653" t="s">
        <v>11249</v>
      </c>
      <c r="AX1917" s="108" t="s">
        <v>144</v>
      </c>
      <c r="AY1917" s="108"/>
      <c r="AZ1917" s="59" t="s">
        <v>10695</v>
      </c>
    </row>
    <row r="1918">
      <c r="A1918" s="41">
        <v>1918.0</v>
      </c>
      <c r="B1918" s="126" t="s">
        <v>145</v>
      </c>
      <c r="C1918" s="59" t="s">
        <v>108</v>
      </c>
      <c r="D1918" s="59" t="s">
        <v>1263</v>
      </c>
      <c r="F1918" s="156" t="s">
        <v>11250</v>
      </c>
      <c r="G1918" s="156" t="s">
        <v>11251</v>
      </c>
      <c r="H1918" s="156" t="s">
        <v>11252</v>
      </c>
      <c r="I1918" s="859" t="s">
        <v>112</v>
      </c>
      <c r="J1918" s="537">
        <v>45762.0</v>
      </c>
      <c r="K1918" s="156" t="s">
        <v>11253</v>
      </c>
      <c r="L1918" s="156" t="s">
        <v>11254</v>
      </c>
      <c r="M1918" s="1878" t="s">
        <v>11255</v>
      </c>
      <c r="N1918" s="156" t="s">
        <v>11256</v>
      </c>
      <c r="O1918" s="333">
        <v>2.0</v>
      </c>
      <c r="P1918" s="603" t="s">
        <v>11257</v>
      </c>
      <c r="Q1918" s="49" t="str">
        <f t="array" ref="Q1918"> if(iserror(MATCH(V1918, 'File Links'!C:C, 0)), "N/A", HYPERLINK(INDEX('File Links'!B:B, MATCH(P1918, 'File Links'!C:C, 0))))</f>
        <v>https://drive.google.com/file/d/1hN-J6Uky5FuFHoIu7VleAWRSmSqB3wMb/view?usp=drivesdk</v>
      </c>
      <c r="R1918" s="156" t="s">
        <v>11258</v>
      </c>
      <c r="S1918" s="156" t="s">
        <v>10686</v>
      </c>
      <c r="T1918" s="126"/>
      <c r="U1918" s="333">
        <v>1.0</v>
      </c>
      <c r="V1918" s="156" t="s">
        <v>11219</v>
      </c>
      <c r="W1918" s="54" t="s">
        <v>157</v>
      </c>
      <c r="X1918" s="51" t="str">
        <f t="array" ref="X1918"> if(iserror(MATCH(V1918, 'File Links'!C:C, 0)), "N/A", HYPERLINK(INDEX('File Links'!B:B, MATCH(V1918, 'File Links'!C:C, 0))))</f>
        <v>https://drive.google.com/file/d/1UMAh9VGta6ExS2-Lb6GkDF4fmnI2EMeM/view?usp=drivesdk</v>
      </c>
      <c r="Z1918" s="156" t="s">
        <v>219</v>
      </c>
      <c r="AA1918" s="156" t="s">
        <v>11259</v>
      </c>
      <c r="AB1918" s="156" t="s">
        <v>11260</v>
      </c>
      <c r="AC1918" s="156" t="s">
        <v>11261</v>
      </c>
      <c r="AD1918" s="65" t="s">
        <v>11262</v>
      </c>
      <c r="AE1918" s="333">
        <v>5.0</v>
      </c>
      <c r="AF1918" s="153">
        <v>119.0</v>
      </c>
      <c r="AG1918" s="158">
        <v>0.21</v>
      </c>
      <c r="AH1918" s="156" t="s">
        <v>11263</v>
      </c>
      <c r="AI1918" s="156" t="s">
        <v>806</v>
      </c>
      <c r="AJ1918" s="65" t="s">
        <v>131</v>
      </c>
      <c r="AK1918" s="140" t="s">
        <v>131</v>
      </c>
      <c r="AL1918" s="156" t="s">
        <v>179</v>
      </c>
      <c r="AM1918" s="65" t="s">
        <v>130</v>
      </c>
      <c r="AN1918" s="327" t="s">
        <v>131</v>
      </c>
      <c r="AO1918" s="153">
        <v>238.0</v>
      </c>
      <c r="AP1918" s="158">
        <v>0.46</v>
      </c>
      <c r="AQ1918" s="156" t="s">
        <v>208</v>
      </c>
      <c r="AR1918" s="156" t="s">
        <v>125</v>
      </c>
      <c r="AS1918" s="1822">
        <v>0.001</v>
      </c>
      <c r="AT1918" s="156" t="s">
        <v>128</v>
      </c>
      <c r="AU1918" s="156" t="s">
        <v>129</v>
      </c>
      <c r="AV1918" s="65" t="s">
        <v>130</v>
      </c>
      <c r="AW1918" s="432" t="s">
        <v>11264</v>
      </c>
      <c r="AX1918" s="65" t="s">
        <v>136</v>
      </c>
      <c r="AY1918" s="65"/>
      <c r="AZ1918" s="59" t="s">
        <v>10695</v>
      </c>
    </row>
    <row r="1919">
      <c r="A1919" s="41">
        <v>1919.0</v>
      </c>
      <c r="B1919" s="126" t="s">
        <v>107</v>
      </c>
      <c r="C1919" s="59" t="s">
        <v>108</v>
      </c>
      <c r="D1919" s="59" t="s">
        <v>146</v>
      </c>
      <c r="F1919" s="156" t="s">
        <v>11250</v>
      </c>
      <c r="G1919" s="156" t="s">
        <v>11251</v>
      </c>
      <c r="H1919" s="156" t="s">
        <v>146</v>
      </c>
      <c r="I1919" s="859" t="s">
        <v>112</v>
      </c>
      <c r="J1919" s="537">
        <v>45762.0</v>
      </c>
      <c r="K1919" s="156" t="s">
        <v>11265</v>
      </c>
      <c r="L1919" s="65"/>
      <c r="M1919" s="1878" t="s">
        <v>11255</v>
      </c>
      <c r="N1919" s="156" t="s">
        <v>11256</v>
      </c>
      <c r="O1919" s="153">
        <v>2.0</v>
      </c>
      <c r="P1919" s="603" t="s">
        <v>11257</v>
      </c>
      <c r="Q1919" s="49" t="str">
        <f t="array" ref="Q1919"> if(iserror(MATCH(V1919, 'File Links'!C:C, 0)), "N/A", HYPERLINK(INDEX('File Links'!B:B, MATCH(P1919, 'File Links'!C:C, 0))))</f>
        <v>https://drive.google.com/file/d/1hN-J6Uky5FuFHoIu7VleAWRSmSqB3wMb/view?usp=drivesdk</v>
      </c>
      <c r="R1919" s="156" t="s">
        <v>11258</v>
      </c>
      <c r="S1919" s="156" t="s">
        <v>10686</v>
      </c>
      <c r="T1919" s="126"/>
      <c r="U1919" s="333">
        <v>1.0</v>
      </c>
      <c r="V1919" s="156" t="s">
        <v>11219</v>
      </c>
      <c r="W1919" s="59" t="s">
        <v>3797</v>
      </c>
      <c r="X1919" s="51" t="str">
        <f t="array" ref="X1919"> if(iserror(MATCH(V1919, 'File Links'!C:C, 0)), "N/A", HYPERLINK(INDEX('File Links'!B:B, MATCH(V1919, 'File Links'!C:C, 0))))</f>
        <v>https://drive.google.com/file/d/1UMAh9VGta6ExS2-Lb6GkDF4fmnI2EMeM/view?usp=drivesdk</v>
      </c>
      <c r="Z1919" s="156" t="s">
        <v>219</v>
      </c>
      <c r="AA1919" s="156" t="s">
        <v>8146</v>
      </c>
      <c r="AB1919" s="156" t="s">
        <v>11266</v>
      </c>
      <c r="AC1919" s="156" t="s">
        <v>11267</v>
      </c>
      <c r="AD1919" s="156" t="s">
        <v>11268</v>
      </c>
      <c r="AE1919" s="153">
        <v>5.0</v>
      </c>
      <c r="AF1919" s="153">
        <v>119.0</v>
      </c>
      <c r="AG1919" s="158">
        <v>0.21</v>
      </c>
      <c r="AH1919" s="156" t="s">
        <v>11263</v>
      </c>
      <c r="AI1919" s="156" t="s">
        <v>806</v>
      </c>
      <c r="AJ1919" s="65" t="s">
        <v>131</v>
      </c>
      <c r="AK1919" s="140" t="s">
        <v>131</v>
      </c>
      <c r="AL1919" s="156" t="s">
        <v>179</v>
      </c>
      <c r="AM1919" s="65" t="s">
        <v>130</v>
      </c>
      <c r="AN1919" s="327" t="s">
        <v>131</v>
      </c>
      <c r="AO1919" s="153">
        <v>238.0</v>
      </c>
      <c r="AP1919" s="861">
        <v>497.0</v>
      </c>
      <c r="AQ1919" s="156" t="s">
        <v>208</v>
      </c>
      <c r="AR1919" s="156" t="s">
        <v>125</v>
      </c>
      <c r="AS1919" s="1822">
        <v>0.001</v>
      </c>
      <c r="AT1919" s="156" t="s">
        <v>165</v>
      </c>
      <c r="AU1919" s="156" t="s">
        <v>129</v>
      </c>
      <c r="AV1919" s="65" t="s">
        <v>130</v>
      </c>
      <c r="AW1919" s="432" t="s">
        <v>11269</v>
      </c>
      <c r="AX1919" s="65" t="s">
        <v>144</v>
      </c>
      <c r="AY1919" s="65"/>
      <c r="AZ1919" s="59" t="s">
        <v>10695</v>
      </c>
    </row>
    <row r="1920">
      <c r="A1920" s="41">
        <v>1920.0</v>
      </c>
      <c r="B1920" s="126" t="s">
        <v>145</v>
      </c>
      <c r="C1920" s="59" t="s">
        <v>108</v>
      </c>
      <c r="D1920" s="59" t="s">
        <v>1263</v>
      </c>
      <c r="F1920" s="156" t="s">
        <v>11270</v>
      </c>
      <c r="G1920" s="156" t="s">
        <v>11271</v>
      </c>
      <c r="H1920" s="156" t="s">
        <v>11272</v>
      </c>
      <c r="I1920" s="859" t="s">
        <v>112</v>
      </c>
      <c r="J1920" s="1368">
        <v>45763.0</v>
      </c>
      <c r="K1920" s="156" t="s">
        <v>11273</v>
      </c>
      <c r="L1920" s="126" t="s">
        <v>11274</v>
      </c>
      <c r="M1920" s="1878" t="s">
        <v>11275</v>
      </c>
      <c r="N1920" s="156" t="s">
        <v>11276</v>
      </c>
      <c r="O1920" s="333">
        <v>1.0</v>
      </c>
      <c r="P1920" s="603" t="s">
        <v>11277</v>
      </c>
      <c r="Q1920" s="49" t="str">
        <f t="array" ref="Q1920"> if(iserror(MATCH(V1920, 'File Links'!C:C, 0)), "N/A", HYPERLINK(INDEX('File Links'!B:B, MATCH(P1920, 'File Links'!C:C, 0))))</f>
        <v>https://drive.google.com/file/d/1SwGFI5Wz9iRzabOCXMcfTU90XgmL8lKJ/view?usp=drivesdk</v>
      </c>
      <c r="R1920" s="156" t="s">
        <v>11278</v>
      </c>
      <c r="S1920" s="156" t="s">
        <v>10686</v>
      </c>
      <c r="T1920" s="126"/>
      <c r="U1920" s="333">
        <v>1.0</v>
      </c>
      <c r="V1920" s="156" t="s">
        <v>11219</v>
      </c>
      <c r="W1920" s="54" t="s">
        <v>157</v>
      </c>
      <c r="X1920" s="51" t="str">
        <f t="array" ref="X1920"> if(iserror(MATCH(V1920, 'File Links'!C:C, 0)), "N/A", HYPERLINK(INDEX('File Links'!B:B, MATCH(V1920, 'File Links'!C:C, 0))))</f>
        <v>https://drive.google.com/file/d/1UMAh9VGta6ExS2-Lb6GkDF4fmnI2EMeM/view?usp=drivesdk</v>
      </c>
      <c r="Z1920" s="156" t="s">
        <v>219</v>
      </c>
      <c r="AA1920" s="156" t="s">
        <v>11279</v>
      </c>
      <c r="AB1920" s="156" t="s">
        <v>11280</v>
      </c>
      <c r="AC1920" s="148" t="s">
        <v>11281</v>
      </c>
      <c r="AD1920" s="65" t="s">
        <v>11282</v>
      </c>
      <c r="AE1920" s="333">
        <v>5.0</v>
      </c>
      <c r="AF1920" s="153">
        <v>564.0</v>
      </c>
      <c r="AG1920" s="1886">
        <v>-0.004</v>
      </c>
      <c r="AH1920" s="156" t="s">
        <v>166</v>
      </c>
      <c r="AI1920" s="156" t="s">
        <v>806</v>
      </c>
      <c r="AJ1920" s="65" t="s">
        <v>131</v>
      </c>
      <c r="AK1920" s="1831" t="s">
        <v>131</v>
      </c>
      <c r="AL1920" s="156" t="s">
        <v>179</v>
      </c>
      <c r="AM1920" s="65" t="s">
        <v>130</v>
      </c>
      <c r="AN1920" s="327" t="s">
        <v>131</v>
      </c>
      <c r="AO1920" s="333">
        <v>3597.0</v>
      </c>
      <c r="AP1920" s="498">
        <v>0.21</v>
      </c>
      <c r="AQ1920" s="156" t="s">
        <v>166</v>
      </c>
      <c r="AR1920" s="156" t="s">
        <v>625</v>
      </c>
      <c r="AS1920" s="126">
        <v>3.0E-10</v>
      </c>
      <c r="AT1920" s="65" t="s">
        <v>165</v>
      </c>
      <c r="AU1920" s="156" t="s">
        <v>179</v>
      </c>
      <c r="AV1920" s="65" t="s">
        <v>130</v>
      </c>
      <c r="AW1920" s="432" t="s">
        <v>11283</v>
      </c>
      <c r="AX1920" s="65" t="s">
        <v>136</v>
      </c>
      <c r="AY1920" s="65"/>
      <c r="AZ1920" s="59" t="s">
        <v>10695</v>
      </c>
    </row>
    <row r="1921">
      <c r="A1921" s="41">
        <v>1921.0</v>
      </c>
      <c r="B1921" s="126" t="s">
        <v>107</v>
      </c>
      <c r="C1921" s="59" t="s">
        <v>108</v>
      </c>
      <c r="D1921" s="59" t="s">
        <v>146</v>
      </c>
      <c r="F1921" s="156" t="s">
        <v>11270</v>
      </c>
      <c r="G1921" s="156" t="s">
        <v>11271</v>
      </c>
      <c r="H1921" s="156" t="s">
        <v>146</v>
      </c>
      <c r="I1921" s="859" t="s">
        <v>112</v>
      </c>
      <c r="J1921" s="537">
        <v>45763.0</v>
      </c>
      <c r="K1921" s="156" t="s">
        <v>10943</v>
      </c>
      <c r="L1921" s="65"/>
      <c r="M1921" s="1878" t="s">
        <v>11275</v>
      </c>
      <c r="N1921" s="156" t="s">
        <v>11276</v>
      </c>
      <c r="O1921" s="153">
        <v>1.0</v>
      </c>
      <c r="P1921" s="603" t="s">
        <v>11277</v>
      </c>
      <c r="Q1921" s="49" t="str">
        <f t="array" ref="Q1921"> if(iserror(MATCH(V1921, 'File Links'!C:C, 0)), "N/A", HYPERLINK(INDEX('File Links'!B:B, MATCH(P1921, 'File Links'!C:C, 0))))</f>
        <v>https://drive.google.com/file/d/1SwGFI5Wz9iRzabOCXMcfTU90XgmL8lKJ/view?usp=drivesdk</v>
      </c>
      <c r="R1921" s="156" t="s">
        <v>11278</v>
      </c>
      <c r="S1921" s="156" t="s">
        <v>10686</v>
      </c>
      <c r="T1921" s="126"/>
      <c r="U1921" s="333">
        <v>1.0</v>
      </c>
      <c r="V1921" s="156" t="s">
        <v>11219</v>
      </c>
      <c r="W1921" s="54" t="s">
        <v>157</v>
      </c>
      <c r="X1921" s="51" t="str">
        <f t="array" ref="X1921"> if(iserror(MATCH(V1921, 'File Links'!C:C, 0)), "N/A", HYPERLINK(INDEX('File Links'!B:B, MATCH(V1921, 'File Links'!C:C, 0))))</f>
        <v>https://drive.google.com/file/d/1UMAh9VGta6ExS2-Lb6GkDF4fmnI2EMeM/view?usp=drivesdk</v>
      </c>
      <c r="Z1921" s="156" t="s">
        <v>219</v>
      </c>
      <c r="AA1921" s="156" t="s">
        <v>11284</v>
      </c>
      <c r="AB1921" s="156" t="s">
        <v>11285</v>
      </c>
      <c r="AC1921" s="156" t="s">
        <v>11286</v>
      </c>
      <c r="AD1921" s="156" t="s">
        <v>11287</v>
      </c>
      <c r="AE1921" s="153">
        <v>5.0</v>
      </c>
      <c r="AF1921" s="153">
        <v>564.0</v>
      </c>
      <c r="AG1921" s="861">
        <v>-4.0</v>
      </c>
      <c r="AH1921" s="156" t="s">
        <v>166</v>
      </c>
      <c r="AI1921" s="156" t="s">
        <v>806</v>
      </c>
      <c r="AJ1921" s="153" t="s">
        <v>131</v>
      </c>
      <c r="AK1921" s="1831" t="s">
        <v>131</v>
      </c>
      <c r="AL1921" s="156" t="s">
        <v>179</v>
      </c>
      <c r="AM1921" s="65" t="s">
        <v>130</v>
      </c>
      <c r="AN1921" s="327" t="s">
        <v>131</v>
      </c>
      <c r="AO1921" s="333">
        <v>3597.0</v>
      </c>
      <c r="AP1921" s="498">
        <v>0.21</v>
      </c>
      <c r="AQ1921" s="156" t="s">
        <v>166</v>
      </c>
      <c r="AR1921" s="156" t="s">
        <v>625</v>
      </c>
      <c r="AS1921" s="126">
        <v>3.0E-10</v>
      </c>
      <c r="AT1921" s="156" t="s">
        <v>165</v>
      </c>
      <c r="AU1921" s="156" t="s">
        <v>129</v>
      </c>
      <c r="AV1921" s="65" t="s">
        <v>130</v>
      </c>
      <c r="AW1921" s="432" t="s">
        <v>11288</v>
      </c>
      <c r="AX1921" s="65" t="s">
        <v>136</v>
      </c>
      <c r="AY1921" s="65"/>
      <c r="AZ1921" s="59" t="s">
        <v>10695</v>
      </c>
    </row>
    <row r="1922">
      <c r="A1922" s="41">
        <v>1922.0</v>
      </c>
      <c r="B1922" s="126" t="s">
        <v>107</v>
      </c>
      <c r="C1922" s="59" t="s">
        <v>108</v>
      </c>
      <c r="D1922" s="59" t="s">
        <v>1263</v>
      </c>
      <c r="F1922" s="156" t="s">
        <v>11289</v>
      </c>
      <c r="G1922" s="156" t="s">
        <v>11290</v>
      </c>
      <c r="H1922" s="156" t="s">
        <v>11291</v>
      </c>
      <c r="I1922" s="859" t="s">
        <v>112</v>
      </c>
      <c r="J1922" s="537">
        <v>45763.0</v>
      </c>
      <c r="K1922" s="156" t="s">
        <v>11292</v>
      </c>
      <c r="L1922" s="148" t="s">
        <v>11293</v>
      </c>
      <c r="M1922" s="1878" t="s">
        <v>11294</v>
      </c>
      <c r="N1922" s="156" t="s">
        <v>11295</v>
      </c>
      <c r="O1922" s="333">
        <v>1.0</v>
      </c>
      <c r="P1922" s="603" t="s">
        <v>11296</v>
      </c>
      <c r="Q1922" s="49" t="str">
        <f t="array" ref="Q1922"> if(iserror(MATCH(V1922, 'File Links'!C:C, 0)), "N/A", HYPERLINK(INDEX('File Links'!B:B, MATCH(P1922, 'File Links'!C:C, 0))))</f>
        <v>https://drive.google.com/file/d/1sINTPt9kd7F5Vgc5qW1iK2Ge6313RMjs/view?usp=drivesdk</v>
      </c>
      <c r="R1922" s="156" t="s">
        <v>11297</v>
      </c>
      <c r="S1922" s="156" t="s">
        <v>10686</v>
      </c>
      <c r="T1922" s="126"/>
      <c r="U1922" s="333">
        <v>1.0</v>
      </c>
      <c r="V1922" s="156" t="s">
        <v>11219</v>
      </c>
      <c r="W1922" s="54" t="s">
        <v>157</v>
      </c>
      <c r="X1922" s="51" t="str">
        <f t="array" ref="X1922"> if(iserror(MATCH(V1922, 'File Links'!C:C, 0)), "N/A", HYPERLINK(INDEX('File Links'!B:B, MATCH(V1922, 'File Links'!C:C, 0))))</f>
        <v>https://drive.google.com/file/d/1UMAh9VGta6ExS2-Lb6GkDF4fmnI2EMeM/view?usp=drivesdk</v>
      </c>
      <c r="Z1922" s="156" t="s">
        <v>219</v>
      </c>
      <c r="AA1922" s="156" t="s">
        <v>11298</v>
      </c>
      <c r="AB1922" s="156" t="s">
        <v>11299</v>
      </c>
      <c r="AC1922" s="156" t="s">
        <v>11300</v>
      </c>
      <c r="AD1922" s="65" t="s">
        <v>11301</v>
      </c>
      <c r="AE1922" s="333">
        <v>2.0</v>
      </c>
      <c r="AF1922" s="153">
        <v>30.0</v>
      </c>
      <c r="AG1922" s="156" t="s">
        <v>11302</v>
      </c>
      <c r="AH1922" s="156" t="s">
        <v>127</v>
      </c>
      <c r="AI1922" s="156" t="s">
        <v>868</v>
      </c>
      <c r="AJ1922" s="498">
        <v>0.01</v>
      </c>
      <c r="AK1922" s="156" t="s">
        <v>128</v>
      </c>
      <c r="AL1922" s="156" t="s">
        <v>179</v>
      </c>
      <c r="AM1922" s="65" t="s">
        <v>130</v>
      </c>
      <c r="AN1922" s="156" t="s">
        <v>131</v>
      </c>
      <c r="AO1922" s="153">
        <v>58.0</v>
      </c>
      <c r="AP1922" s="148" t="s">
        <v>11303</v>
      </c>
      <c r="AQ1922" s="156" t="s">
        <v>166</v>
      </c>
      <c r="AR1922" s="156" t="s">
        <v>806</v>
      </c>
      <c r="AS1922" s="158">
        <v>0.44</v>
      </c>
      <c r="AT1922" s="156" t="s">
        <v>165</v>
      </c>
      <c r="AU1922" s="156" t="s">
        <v>179</v>
      </c>
      <c r="AV1922" s="65" t="s">
        <v>130</v>
      </c>
      <c r="AW1922" s="432" t="s">
        <v>11304</v>
      </c>
      <c r="AX1922" s="65" t="s">
        <v>136</v>
      </c>
      <c r="AY1922" s="65"/>
      <c r="AZ1922" s="59" t="s">
        <v>10695</v>
      </c>
    </row>
    <row r="1923">
      <c r="A1923" s="41">
        <v>1923.0</v>
      </c>
      <c r="B1923" s="126" t="s">
        <v>145</v>
      </c>
      <c r="C1923" s="59" t="s">
        <v>108</v>
      </c>
      <c r="D1923" s="59" t="s">
        <v>146</v>
      </c>
      <c r="F1923" s="156" t="s">
        <v>11289</v>
      </c>
      <c r="G1923" s="156" t="s">
        <v>11290</v>
      </c>
      <c r="H1923" s="156" t="s">
        <v>146</v>
      </c>
      <c r="I1923" s="859" t="s">
        <v>112</v>
      </c>
      <c r="J1923" s="537">
        <v>45763.0</v>
      </c>
      <c r="K1923" s="156" t="s">
        <v>11305</v>
      </c>
      <c r="L1923" s="65"/>
      <c r="M1923" s="1878" t="s">
        <v>11294</v>
      </c>
      <c r="N1923" s="156" t="s">
        <v>11295</v>
      </c>
      <c r="O1923" s="153">
        <v>1.0</v>
      </c>
      <c r="P1923" s="603" t="s">
        <v>11296</v>
      </c>
      <c r="Q1923" s="49" t="str">
        <f t="array" ref="Q1923"> if(iserror(MATCH(V1923, 'File Links'!C:C, 0)), "N/A", HYPERLINK(INDEX('File Links'!B:B, MATCH(P1923, 'File Links'!C:C, 0))))</f>
        <v>https://drive.google.com/file/d/1sINTPt9kd7F5Vgc5qW1iK2Ge6313RMjs/view?usp=drivesdk</v>
      </c>
      <c r="R1923" s="156" t="s">
        <v>11297</v>
      </c>
      <c r="S1923" s="156" t="s">
        <v>10686</v>
      </c>
      <c r="T1923" s="126"/>
      <c r="U1923" s="333">
        <v>1.0</v>
      </c>
      <c r="V1923" s="156" t="s">
        <v>11219</v>
      </c>
      <c r="W1923" s="54" t="s">
        <v>157</v>
      </c>
      <c r="X1923" s="51" t="str">
        <f t="array" ref="X1923"> if(iserror(MATCH(V1923, 'File Links'!C:C, 0)), "N/A", HYPERLINK(INDEX('File Links'!B:B, MATCH(V1923, 'File Links'!C:C, 0))))</f>
        <v>https://drive.google.com/file/d/1UMAh9VGta6ExS2-Lb6GkDF4fmnI2EMeM/view?usp=drivesdk</v>
      </c>
      <c r="Z1923" s="156" t="s">
        <v>219</v>
      </c>
      <c r="AA1923" s="156" t="s">
        <v>11306</v>
      </c>
      <c r="AB1923" s="148" t="s">
        <v>11307</v>
      </c>
      <c r="AC1923" s="156" t="s">
        <v>11308</v>
      </c>
      <c r="AD1923" s="156" t="s">
        <v>11309</v>
      </c>
      <c r="AE1923" s="153">
        <v>2.0</v>
      </c>
      <c r="AF1923" s="153">
        <v>30.0</v>
      </c>
      <c r="AG1923" s="156" t="s">
        <v>11302</v>
      </c>
      <c r="AH1923" s="156" t="s">
        <v>127</v>
      </c>
      <c r="AI1923" s="156" t="s">
        <v>868</v>
      </c>
      <c r="AJ1923" s="498">
        <v>0.01</v>
      </c>
      <c r="AK1923" s="156" t="s">
        <v>128</v>
      </c>
      <c r="AL1923" s="156" t="s">
        <v>179</v>
      </c>
      <c r="AM1923" s="65" t="s">
        <v>130</v>
      </c>
      <c r="AN1923" s="1112" t="s">
        <v>131</v>
      </c>
      <c r="AO1923" s="153">
        <v>58.0</v>
      </c>
      <c r="AP1923" s="158">
        <v>0.2</v>
      </c>
      <c r="AQ1923" s="156" t="s">
        <v>166</v>
      </c>
      <c r="AR1923" s="156" t="s">
        <v>806</v>
      </c>
      <c r="AS1923" s="158">
        <v>0.44</v>
      </c>
      <c r="AT1923" s="156" t="s">
        <v>165</v>
      </c>
      <c r="AU1923" s="156" t="s">
        <v>179</v>
      </c>
      <c r="AV1923" s="65" t="s">
        <v>130</v>
      </c>
      <c r="AW1923" s="432" t="s">
        <v>11310</v>
      </c>
      <c r="AX1923" s="65" t="s">
        <v>136</v>
      </c>
      <c r="AY1923" s="65"/>
      <c r="AZ1923" s="59" t="s">
        <v>10695</v>
      </c>
    </row>
    <row r="1924">
      <c r="A1924" s="41">
        <v>1924.0</v>
      </c>
      <c r="B1924" s="126" t="s">
        <v>145</v>
      </c>
      <c r="C1924" s="59" t="s">
        <v>108</v>
      </c>
      <c r="D1924" s="59" t="s">
        <v>1263</v>
      </c>
      <c r="F1924" s="156" t="s">
        <v>11311</v>
      </c>
      <c r="G1924" s="156" t="s">
        <v>11312</v>
      </c>
      <c r="H1924" s="156" t="s">
        <v>11313</v>
      </c>
      <c r="I1924" s="859" t="s">
        <v>112</v>
      </c>
      <c r="J1924" s="537">
        <v>45763.0</v>
      </c>
      <c r="K1924" s="65"/>
      <c r="L1924" s="126" t="s">
        <v>11314</v>
      </c>
      <c r="M1924" s="1878" t="s">
        <v>11315</v>
      </c>
      <c r="N1924" s="156" t="s">
        <v>11316</v>
      </c>
      <c r="O1924" s="153">
        <v>5.0</v>
      </c>
      <c r="P1924" s="603" t="s">
        <v>11317</v>
      </c>
      <c r="Q1924" s="49" t="str">
        <f t="array" ref="Q1924"> if(iserror(MATCH(V1924, 'File Links'!C:C, 0)), "N/A", HYPERLINK(INDEX('File Links'!B:B, MATCH(P1924, 'File Links'!C:C, 0))))</f>
        <v>https://drive.google.com/file/d/1HvJhg-z__ZC4L2MVWwWJgR-8s9h67R34/view?usp=drivesdk</v>
      </c>
      <c r="R1924" s="156" t="s">
        <v>11318</v>
      </c>
      <c r="S1924" s="156" t="s">
        <v>10686</v>
      </c>
      <c r="T1924" s="126"/>
      <c r="U1924" s="333">
        <v>1.0</v>
      </c>
      <c r="V1924" s="156" t="s">
        <v>11219</v>
      </c>
      <c r="W1924" s="54" t="s">
        <v>157</v>
      </c>
      <c r="X1924" s="51" t="str">
        <f t="array" ref="X1924"> if(iserror(MATCH(V1924, 'File Links'!C:C, 0)), "N/A", HYPERLINK(INDEX('File Links'!B:B, MATCH(V1924, 'File Links'!C:C, 0))))</f>
        <v>https://drive.google.com/file/d/1UMAh9VGta6ExS2-Lb6GkDF4fmnI2EMeM/view?usp=drivesdk</v>
      </c>
      <c r="Z1924" s="156" t="s">
        <v>141</v>
      </c>
      <c r="AA1924" s="156" t="s">
        <v>11319</v>
      </c>
      <c r="AB1924" s="148" t="s">
        <v>11320</v>
      </c>
      <c r="AC1924" s="1112" t="s">
        <v>11321</v>
      </c>
      <c r="AD1924" s="65" t="s">
        <v>11322</v>
      </c>
      <c r="AE1924" s="333">
        <v>5.0</v>
      </c>
      <c r="AF1924" s="153">
        <v>4.0</v>
      </c>
      <c r="AG1924" s="158">
        <v>0.74</v>
      </c>
      <c r="AH1924" s="156" t="s">
        <v>132</v>
      </c>
      <c r="AI1924" s="156" t="s">
        <v>806</v>
      </c>
      <c r="AJ1924" s="158">
        <v>0.005</v>
      </c>
      <c r="AK1924" s="156" t="s">
        <v>165</v>
      </c>
      <c r="AL1924" s="156" t="s">
        <v>179</v>
      </c>
      <c r="AM1924" s="1296" t="s">
        <v>130</v>
      </c>
      <c r="AN1924" s="65" t="s">
        <v>131</v>
      </c>
      <c r="AO1924" s="333">
        <v>5.0</v>
      </c>
      <c r="AP1924" s="498">
        <v>0.76</v>
      </c>
      <c r="AQ1924" s="156" t="s">
        <v>867</v>
      </c>
      <c r="AR1924" s="156" t="s">
        <v>210</v>
      </c>
      <c r="AS1924" s="1822">
        <v>0.001</v>
      </c>
      <c r="AT1924" s="156" t="s">
        <v>128</v>
      </c>
      <c r="AU1924" s="156" t="s">
        <v>179</v>
      </c>
      <c r="AV1924" s="65" t="s">
        <v>134</v>
      </c>
      <c r="AW1924" s="432" t="s">
        <v>11323</v>
      </c>
      <c r="AX1924" s="65" t="s">
        <v>136</v>
      </c>
      <c r="AY1924" s="65"/>
      <c r="AZ1924" s="59" t="s">
        <v>10695</v>
      </c>
    </row>
    <row r="1925">
      <c r="A1925" s="41">
        <v>1925.0</v>
      </c>
      <c r="B1925" s="126" t="s">
        <v>107</v>
      </c>
      <c r="C1925" s="59" t="s">
        <v>108</v>
      </c>
      <c r="D1925" s="59" t="s">
        <v>146</v>
      </c>
      <c r="F1925" s="156" t="s">
        <v>11311</v>
      </c>
      <c r="G1925" s="156" t="s">
        <v>11312</v>
      </c>
      <c r="H1925" s="156" t="s">
        <v>11324</v>
      </c>
      <c r="I1925" s="859" t="s">
        <v>112</v>
      </c>
      <c r="J1925" s="537">
        <v>45763.0</v>
      </c>
      <c r="K1925" s="65"/>
      <c r="L1925" s="65"/>
      <c r="M1925" s="1878" t="s">
        <v>11315</v>
      </c>
      <c r="N1925" s="156" t="s">
        <v>11316</v>
      </c>
      <c r="O1925" s="153">
        <v>5.0</v>
      </c>
      <c r="P1925" s="603" t="s">
        <v>11317</v>
      </c>
      <c r="Q1925" s="49" t="str">
        <f t="array" ref="Q1925"> if(iserror(MATCH(V1925, 'File Links'!C:C, 0)), "N/A", HYPERLINK(INDEX('File Links'!B:B, MATCH(P1925, 'File Links'!C:C, 0))))</f>
        <v>https://drive.google.com/file/d/1HvJhg-z__ZC4L2MVWwWJgR-8s9h67R34/view?usp=drivesdk</v>
      </c>
      <c r="R1925" s="156" t="s">
        <v>11318</v>
      </c>
      <c r="S1925" s="156" t="s">
        <v>10686</v>
      </c>
      <c r="T1925" s="126"/>
      <c r="U1925" s="333">
        <v>1.0</v>
      </c>
      <c r="V1925" s="156" t="s">
        <v>11219</v>
      </c>
      <c r="W1925" s="54" t="s">
        <v>157</v>
      </c>
      <c r="X1925" s="51" t="str">
        <f t="array" ref="X1925"> if(iserror(MATCH(V1925, 'File Links'!C:C, 0)), "N/A", HYPERLINK(INDEX('File Links'!B:B, MATCH(V1925, 'File Links'!C:C, 0))))</f>
        <v>https://drive.google.com/file/d/1UMAh9VGta6ExS2-Lb6GkDF4fmnI2EMeM/view?usp=drivesdk</v>
      </c>
      <c r="Z1925" s="156" t="s">
        <v>141</v>
      </c>
      <c r="AA1925" s="156" t="s">
        <v>11319</v>
      </c>
      <c r="AB1925" s="156" t="s">
        <v>11325</v>
      </c>
      <c r="AC1925" s="156" t="s">
        <v>11321</v>
      </c>
      <c r="AD1925" s="156" t="s">
        <v>11326</v>
      </c>
      <c r="AE1925" s="153">
        <v>5.0</v>
      </c>
      <c r="AF1925" s="153">
        <v>4.0</v>
      </c>
      <c r="AG1925" s="158">
        <v>0.74</v>
      </c>
      <c r="AH1925" s="156" t="s">
        <v>132</v>
      </c>
      <c r="AI1925" s="156" t="s">
        <v>806</v>
      </c>
      <c r="AJ1925" s="158">
        <v>0.005</v>
      </c>
      <c r="AK1925" s="156" t="s">
        <v>165</v>
      </c>
      <c r="AL1925" s="156" t="s">
        <v>179</v>
      </c>
      <c r="AM1925" s="65" t="s">
        <v>130</v>
      </c>
      <c r="AN1925" s="65"/>
      <c r="AO1925" s="153">
        <v>5.0</v>
      </c>
      <c r="AP1925" s="158">
        <v>0.76</v>
      </c>
      <c r="AQ1925" s="1057" t="s">
        <v>132</v>
      </c>
      <c r="AR1925" s="156" t="s">
        <v>210</v>
      </c>
      <c r="AS1925" s="1822">
        <v>0.001</v>
      </c>
      <c r="AT1925" s="1057" t="s">
        <v>165</v>
      </c>
      <c r="AU1925" s="1057" t="s">
        <v>211</v>
      </c>
      <c r="AV1925" s="1384" t="s">
        <v>130</v>
      </c>
      <c r="AW1925" s="432" t="s">
        <v>11327</v>
      </c>
      <c r="AX1925" s="65" t="s">
        <v>136</v>
      </c>
      <c r="AY1925" s="65"/>
      <c r="AZ1925" s="59" t="s">
        <v>10695</v>
      </c>
    </row>
    <row r="1926" ht="15.75" customHeight="1">
      <c r="A1926" s="41">
        <v>1926.0</v>
      </c>
      <c r="B1926" s="126" t="s">
        <v>145</v>
      </c>
      <c r="C1926" s="59" t="s">
        <v>108</v>
      </c>
      <c r="D1926" s="59" t="s">
        <v>1263</v>
      </c>
      <c r="F1926" s="156" t="s">
        <v>11328</v>
      </c>
      <c r="G1926" s="156" t="s">
        <v>11329</v>
      </c>
      <c r="H1926" s="156" t="s">
        <v>11330</v>
      </c>
      <c r="I1926" s="859" t="s">
        <v>112</v>
      </c>
      <c r="J1926" s="537">
        <v>45763.0</v>
      </c>
      <c r="K1926" s="156" t="s">
        <v>11331</v>
      </c>
      <c r="L1926" s="148" t="s">
        <v>11332</v>
      </c>
      <c r="M1926" s="1878" t="s">
        <v>11333</v>
      </c>
      <c r="N1926" s="156" t="s">
        <v>11334</v>
      </c>
      <c r="O1926" s="333">
        <v>4.0</v>
      </c>
      <c r="P1926" s="603" t="s">
        <v>11335</v>
      </c>
      <c r="Q1926" s="49" t="str">
        <f t="array" ref="Q1926"> if(iserror(MATCH(V1926, 'File Links'!C:C, 0)), "N/A", HYPERLINK(INDEX('File Links'!B:B, MATCH(P1926, 'File Links'!C:C, 0))))</f>
        <v>https://drive.google.com/file/d/1pEsi_zCge4Xxz2XomVjcrFondU662vvE/view?usp=drivesdk</v>
      </c>
      <c r="R1926" s="156" t="s">
        <v>11336</v>
      </c>
      <c r="S1926" s="156" t="s">
        <v>10686</v>
      </c>
      <c r="T1926" s="126"/>
      <c r="U1926" s="333">
        <v>1.0</v>
      </c>
      <c r="V1926" s="156" t="s">
        <v>11219</v>
      </c>
      <c r="W1926" s="54" t="s">
        <v>157</v>
      </c>
      <c r="X1926" s="51" t="str">
        <f t="array" ref="X1926"> if(iserror(MATCH(V1926, 'File Links'!C:C, 0)), "N/A", HYPERLINK(INDEX('File Links'!B:B, MATCH(V1926, 'File Links'!C:C, 0))))</f>
        <v>https://drive.google.com/file/d/1UMAh9VGta6ExS2-Lb6GkDF4fmnI2EMeM/view?usp=drivesdk</v>
      </c>
      <c r="Z1926" s="156" t="s">
        <v>219</v>
      </c>
      <c r="AA1926" s="156" t="s">
        <v>11337</v>
      </c>
      <c r="AB1926" s="156" t="s">
        <v>11338</v>
      </c>
      <c r="AC1926" s="1112" t="s">
        <v>11339</v>
      </c>
      <c r="AD1926" s="65" t="s">
        <v>11340</v>
      </c>
      <c r="AE1926" s="333">
        <v>5.0</v>
      </c>
      <c r="AF1926" s="153">
        <v>84.0</v>
      </c>
      <c r="AG1926" s="158">
        <v>0.11</v>
      </c>
      <c r="AH1926" s="156" t="s">
        <v>132</v>
      </c>
      <c r="AI1926" s="156" t="s">
        <v>806</v>
      </c>
      <c r="AJ1926" s="65" t="s">
        <v>131</v>
      </c>
      <c r="AK1926" s="1831" t="s">
        <v>131</v>
      </c>
      <c r="AL1926" s="156" t="s">
        <v>179</v>
      </c>
      <c r="AM1926" s="65" t="s">
        <v>130</v>
      </c>
      <c r="AN1926" s="156" t="s">
        <v>131</v>
      </c>
      <c r="AO1926" s="153">
        <v>125.0</v>
      </c>
      <c r="AP1926" s="148">
        <v>0.0</v>
      </c>
      <c r="AQ1926" s="156" t="s">
        <v>132</v>
      </c>
      <c r="AR1926" s="156" t="s">
        <v>210</v>
      </c>
      <c r="AS1926" s="158">
        <v>0.79</v>
      </c>
      <c r="AT1926" s="156" t="s">
        <v>165</v>
      </c>
      <c r="AU1926" s="1112" t="s">
        <v>179</v>
      </c>
      <c r="AV1926" s="65" t="s">
        <v>130</v>
      </c>
      <c r="AW1926" s="432" t="s">
        <v>11341</v>
      </c>
      <c r="AX1926" s="65" t="s">
        <v>136</v>
      </c>
      <c r="AY1926" s="65"/>
      <c r="AZ1926" s="59" t="s">
        <v>10695</v>
      </c>
    </row>
    <row r="1927">
      <c r="A1927" s="41">
        <v>1927.0</v>
      </c>
      <c r="B1927" s="126" t="s">
        <v>107</v>
      </c>
      <c r="C1927" s="59" t="s">
        <v>108</v>
      </c>
      <c r="D1927" s="59" t="s">
        <v>146</v>
      </c>
      <c r="F1927" s="156" t="s">
        <v>11328</v>
      </c>
      <c r="G1927" s="156" t="s">
        <v>11329</v>
      </c>
      <c r="H1927" s="156" t="s">
        <v>146</v>
      </c>
      <c r="I1927" s="859" t="s">
        <v>112</v>
      </c>
      <c r="J1927" s="537">
        <v>45763.0</v>
      </c>
      <c r="K1927" s="156" t="s">
        <v>10943</v>
      </c>
      <c r="L1927" s="65"/>
      <c r="M1927" s="1878" t="s">
        <v>11333</v>
      </c>
      <c r="N1927" s="156" t="s">
        <v>11334</v>
      </c>
      <c r="O1927" s="153">
        <v>4.0</v>
      </c>
      <c r="P1927" s="603" t="s">
        <v>11335</v>
      </c>
      <c r="Q1927" s="49" t="str">
        <f t="array" ref="Q1927"> if(iserror(MATCH(V1927, 'File Links'!C:C, 0)), "N/A", HYPERLINK(INDEX('File Links'!B:B, MATCH(P1927, 'File Links'!C:C, 0))))</f>
        <v>https://drive.google.com/file/d/1pEsi_zCge4Xxz2XomVjcrFondU662vvE/view?usp=drivesdk</v>
      </c>
      <c r="R1927" s="156" t="s">
        <v>11336</v>
      </c>
      <c r="S1927" s="156" t="s">
        <v>10686</v>
      </c>
      <c r="T1927" s="126"/>
      <c r="U1927" s="333">
        <v>1.0</v>
      </c>
      <c r="V1927" s="156" t="s">
        <v>11219</v>
      </c>
      <c r="W1927" s="54" t="s">
        <v>157</v>
      </c>
      <c r="X1927" s="51" t="str">
        <f t="array" ref="X1927"> if(iserror(MATCH(V1927, 'File Links'!C:C, 0)), "N/A", HYPERLINK(INDEX('File Links'!B:B, MATCH(V1927, 'File Links'!C:C, 0))))</f>
        <v>https://drive.google.com/file/d/1UMAh9VGta6ExS2-Lb6GkDF4fmnI2EMeM/view?usp=drivesdk</v>
      </c>
      <c r="Z1927" s="156" t="s">
        <v>219</v>
      </c>
      <c r="AA1927" s="156" t="s">
        <v>11337</v>
      </c>
      <c r="AB1927" s="156" t="s">
        <v>11342</v>
      </c>
      <c r="AC1927" s="156" t="s">
        <v>11339</v>
      </c>
      <c r="AD1927" s="156" t="s">
        <v>11343</v>
      </c>
      <c r="AE1927" s="153">
        <v>5.0</v>
      </c>
      <c r="AF1927" s="153">
        <v>84.0</v>
      </c>
      <c r="AG1927" s="158">
        <v>0.11</v>
      </c>
      <c r="AH1927" s="156" t="s">
        <v>132</v>
      </c>
      <c r="AI1927" s="156" t="s">
        <v>806</v>
      </c>
      <c r="AJ1927" s="65" t="s">
        <v>131</v>
      </c>
      <c r="AK1927" s="1831" t="s">
        <v>131</v>
      </c>
      <c r="AL1927" s="156" t="s">
        <v>179</v>
      </c>
      <c r="AM1927" s="65" t="s">
        <v>130</v>
      </c>
      <c r="AN1927" s="1112" t="s">
        <v>131</v>
      </c>
      <c r="AO1927" s="153">
        <v>125.0</v>
      </c>
      <c r="AP1927" s="153">
        <v>0.0</v>
      </c>
      <c r="AQ1927" s="156" t="s">
        <v>132</v>
      </c>
      <c r="AR1927" s="156" t="s">
        <v>210</v>
      </c>
      <c r="AS1927" s="158">
        <v>0.78</v>
      </c>
      <c r="AT1927" s="156" t="s">
        <v>165</v>
      </c>
      <c r="AU1927" s="156" t="s">
        <v>179</v>
      </c>
      <c r="AV1927" s="65" t="s">
        <v>130</v>
      </c>
      <c r="AW1927" s="432" t="s">
        <v>11344</v>
      </c>
      <c r="AX1927" s="65" t="s">
        <v>136</v>
      </c>
      <c r="AY1927" s="65"/>
      <c r="AZ1927" s="59" t="s">
        <v>10695</v>
      </c>
    </row>
    <row r="1928">
      <c r="A1928" s="41">
        <v>1928.0</v>
      </c>
      <c r="B1928" s="126" t="s">
        <v>145</v>
      </c>
      <c r="C1928" s="59" t="s">
        <v>108</v>
      </c>
      <c r="D1928" s="59" t="s">
        <v>1263</v>
      </c>
      <c r="F1928" s="156" t="s">
        <v>11345</v>
      </c>
      <c r="G1928" s="156" t="s">
        <v>11346</v>
      </c>
      <c r="H1928" s="156" t="s">
        <v>11347</v>
      </c>
      <c r="I1928" s="859" t="s">
        <v>112</v>
      </c>
      <c r="J1928" s="537">
        <v>45763.0</v>
      </c>
      <c r="K1928" s="65"/>
      <c r="L1928" s="126" t="s">
        <v>11348</v>
      </c>
      <c r="M1928" s="1878" t="s">
        <v>11349</v>
      </c>
      <c r="N1928" s="156" t="s">
        <v>11350</v>
      </c>
      <c r="O1928" s="333">
        <v>1.0</v>
      </c>
      <c r="P1928" s="603" t="s">
        <v>11351</v>
      </c>
      <c r="Q1928" s="49" t="str">
        <f t="array" ref="Q1928"> if(iserror(MATCH(V1928, 'File Links'!C:C, 0)), "N/A", HYPERLINK(INDEX('File Links'!B:B, MATCH(P1928, 'File Links'!C:C, 0))))</f>
        <v>https://drive.google.com/file/d/1WfPribPjrUnNwdjyMLceAC2yV6uOwcIj/view?usp=drivesdk</v>
      </c>
      <c r="R1928" s="156" t="s">
        <v>11352</v>
      </c>
      <c r="S1928" s="156" t="s">
        <v>10686</v>
      </c>
      <c r="T1928" s="126"/>
      <c r="U1928" s="333">
        <v>1.0</v>
      </c>
      <c r="V1928" s="156" t="s">
        <v>11219</v>
      </c>
      <c r="W1928" s="54" t="s">
        <v>157</v>
      </c>
      <c r="X1928" s="51" t="str">
        <f t="array" ref="X1928"> if(iserror(MATCH(V1928, 'File Links'!C:C, 0)), "N/A", HYPERLINK(INDEX('File Links'!B:B, MATCH(V1928, 'File Links'!C:C, 0))))</f>
        <v>https://drive.google.com/file/d/1UMAh9VGta6ExS2-Lb6GkDF4fmnI2EMeM/view?usp=drivesdk</v>
      </c>
      <c r="Z1928" s="156" t="s">
        <v>219</v>
      </c>
      <c r="AA1928" s="156" t="s">
        <v>11353</v>
      </c>
      <c r="AB1928" s="148" t="s">
        <v>11354</v>
      </c>
      <c r="AC1928" s="148" t="s">
        <v>11355</v>
      </c>
      <c r="AD1928" s="65" t="s">
        <v>11356</v>
      </c>
      <c r="AE1928" s="333">
        <v>3.0</v>
      </c>
      <c r="AF1928" s="153">
        <v>82.0</v>
      </c>
      <c r="AG1928" s="153" t="s">
        <v>11357</v>
      </c>
      <c r="AH1928" s="156" t="s">
        <v>127</v>
      </c>
      <c r="AI1928" s="156" t="s">
        <v>210</v>
      </c>
      <c r="AJ1928" s="1887">
        <v>0.001</v>
      </c>
      <c r="AK1928" s="65" t="s">
        <v>128</v>
      </c>
      <c r="AL1928" s="156" t="s">
        <v>179</v>
      </c>
      <c r="AM1928" s="65" t="s">
        <v>134</v>
      </c>
      <c r="AN1928" s="65" t="s">
        <v>131</v>
      </c>
      <c r="AO1928" s="333">
        <v>88.0</v>
      </c>
      <c r="AP1928" s="1114">
        <v>0.74</v>
      </c>
      <c r="AQ1928" s="156" t="s">
        <v>867</v>
      </c>
      <c r="AR1928" s="156" t="s">
        <v>843</v>
      </c>
      <c r="AS1928" s="1887">
        <v>0.001</v>
      </c>
      <c r="AT1928" s="156" t="s">
        <v>128</v>
      </c>
      <c r="AU1928" s="156" t="s">
        <v>179</v>
      </c>
      <c r="AV1928" s="65" t="s">
        <v>134</v>
      </c>
      <c r="AW1928" s="432" t="s">
        <v>11358</v>
      </c>
      <c r="AX1928" s="65" t="s">
        <v>136</v>
      </c>
      <c r="AY1928" s="65"/>
      <c r="AZ1928" s="59" t="s">
        <v>10695</v>
      </c>
    </row>
    <row r="1929">
      <c r="A1929" s="41">
        <v>1929.0</v>
      </c>
      <c r="B1929" s="126" t="s">
        <v>107</v>
      </c>
      <c r="C1929" s="59" t="s">
        <v>108</v>
      </c>
      <c r="D1929" s="59" t="s">
        <v>146</v>
      </c>
      <c r="F1929" s="156" t="s">
        <v>11345</v>
      </c>
      <c r="G1929" s="156" t="s">
        <v>11346</v>
      </c>
      <c r="H1929" s="156" t="s">
        <v>11359</v>
      </c>
      <c r="I1929" s="859" t="s">
        <v>112</v>
      </c>
      <c r="J1929" s="537">
        <v>45763.0</v>
      </c>
      <c r="K1929" s="65"/>
      <c r="L1929" s="65"/>
      <c r="M1929" s="1878" t="s">
        <v>11349</v>
      </c>
      <c r="N1929" s="156" t="s">
        <v>11350</v>
      </c>
      <c r="O1929" s="153">
        <v>1.0</v>
      </c>
      <c r="P1929" s="603" t="s">
        <v>11351</v>
      </c>
      <c r="Q1929" s="49" t="str">
        <f t="array" ref="Q1929"> if(iserror(MATCH(V1929, 'File Links'!C:C, 0)), "N/A", HYPERLINK(INDEX('File Links'!B:B, MATCH(P1929, 'File Links'!C:C, 0))))</f>
        <v>https://drive.google.com/file/d/1WfPribPjrUnNwdjyMLceAC2yV6uOwcIj/view?usp=drivesdk</v>
      </c>
      <c r="R1929" s="156" t="s">
        <v>11352</v>
      </c>
      <c r="S1929" s="156" t="s">
        <v>10686</v>
      </c>
      <c r="T1929" s="126"/>
      <c r="U1929" s="333">
        <v>1.0</v>
      </c>
      <c r="V1929" s="156" t="s">
        <v>11219</v>
      </c>
      <c r="W1929" s="59" t="s">
        <v>3797</v>
      </c>
      <c r="X1929" s="51" t="str">
        <f t="array" ref="X1929"> if(iserror(MATCH(V1929, 'File Links'!C:C, 0)), "N/A", HYPERLINK(INDEX('File Links'!B:B, MATCH(V1929, 'File Links'!C:C, 0))))</f>
        <v>https://drive.google.com/file/d/1UMAh9VGta6ExS2-Lb6GkDF4fmnI2EMeM/view?usp=drivesdk</v>
      </c>
      <c r="Z1929" s="156" t="s">
        <v>219</v>
      </c>
      <c r="AA1929" s="156" t="s">
        <v>4705</v>
      </c>
      <c r="AB1929" s="156" t="s">
        <v>11360</v>
      </c>
      <c r="AC1929" s="156" t="s">
        <v>11361</v>
      </c>
      <c r="AD1929" s="156" t="s">
        <v>11362</v>
      </c>
      <c r="AE1929" s="153">
        <v>3.0</v>
      </c>
      <c r="AF1929" s="153">
        <v>82.0</v>
      </c>
      <c r="AG1929" s="156" t="s">
        <v>11357</v>
      </c>
      <c r="AH1929" s="156" t="s">
        <v>127</v>
      </c>
      <c r="AI1929" s="156" t="s">
        <v>210</v>
      </c>
      <c r="AJ1929" s="1887">
        <v>0.001</v>
      </c>
      <c r="AK1929" s="156" t="s">
        <v>128</v>
      </c>
      <c r="AL1929" s="156" t="s">
        <v>179</v>
      </c>
      <c r="AM1929" s="65" t="s">
        <v>134</v>
      </c>
      <c r="AN1929" s="65"/>
      <c r="AO1929" s="153">
        <v>88.0</v>
      </c>
      <c r="AP1929" s="158">
        <v>0.74</v>
      </c>
      <c r="AQ1929" s="156" t="s">
        <v>132</v>
      </c>
      <c r="AR1929" s="156" t="s">
        <v>843</v>
      </c>
      <c r="AS1929" s="1887">
        <v>0.001</v>
      </c>
      <c r="AT1929" s="156" t="s">
        <v>128</v>
      </c>
      <c r="AU1929" s="156" t="s">
        <v>179</v>
      </c>
      <c r="AV1929" s="65" t="s">
        <v>134</v>
      </c>
      <c r="AW1929" s="432" t="s">
        <v>11363</v>
      </c>
      <c r="AX1929" s="65" t="s">
        <v>136</v>
      </c>
      <c r="AY1929" s="65"/>
      <c r="AZ1929" s="59" t="s">
        <v>10695</v>
      </c>
    </row>
    <row r="1930">
      <c r="A1930" s="41">
        <v>1930.0</v>
      </c>
      <c r="B1930" s="126" t="s">
        <v>107</v>
      </c>
      <c r="C1930" s="59" t="s">
        <v>108</v>
      </c>
      <c r="D1930" s="59" t="s">
        <v>1263</v>
      </c>
      <c r="F1930" s="156" t="s">
        <v>11364</v>
      </c>
      <c r="G1930" s="156" t="s">
        <v>11365</v>
      </c>
      <c r="H1930" s="156" t="s">
        <v>11366</v>
      </c>
      <c r="I1930" s="859" t="s">
        <v>112</v>
      </c>
      <c r="J1930" s="537">
        <v>45763.0</v>
      </c>
      <c r="K1930" s="65"/>
      <c r="L1930" s="148" t="s">
        <v>11367</v>
      </c>
      <c r="M1930" s="1878" t="s">
        <v>11368</v>
      </c>
      <c r="N1930" s="156" t="s">
        <v>11369</v>
      </c>
      <c r="O1930" s="333">
        <v>3.0</v>
      </c>
      <c r="P1930" s="603" t="s">
        <v>11370</v>
      </c>
      <c r="Q1930" s="49" t="str">
        <f t="array" ref="Q1930"> if(iserror(MATCH(V1930, 'File Links'!C:C, 0)), "N/A", HYPERLINK(INDEX('File Links'!B:B, MATCH(P1930, 'File Links'!C:C, 0))))</f>
        <v>https://drive.google.com/file/d/1kdZLBkUApDss7ySLJK034jl3rTKemhnJ/view?usp=drivesdk</v>
      </c>
      <c r="R1930" s="156" t="s">
        <v>11371</v>
      </c>
      <c r="S1930" s="156" t="s">
        <v>10686</v>
      </c>
      <c r="T1930" s="126"/>
      <c r="U1930" s="333">
        <v>1.0</v>
      </c>
      <c r="V1930" s="156" t="s">
        <v>11219</v>
      </c>
      <c r="W1930" s="54" t="s">
        <v>157</v>
      </c>
      <c r="X1930" s="51" t="str">
        <f t="array" ref="X1930"> if(iserror(MATCH(V1930, 'File Links'!C:C, 0)), "N/A", HYPERLINK(INDEX('File Links'!B:B, MATCH(V1930, 'File Links'!C:C, 0))))</f>
        <v>https://drive.google.com/file/d/1UMAh9VGta6ExS2-Lb6GkDF4fmnI2EMeM/view?usp=drivesdk</v>
      </c>
      <c r="Z1930" s="156" t="s">
        <v>219</v>
      </c>
      <c r="AA1930" s="156" t="s">
        <v>11372</v>
      </c>
      <c r="AB1930" s="156" t="s">
        <v>11373</v>
      </c>
      <c r="AC1930" s="156" t="s">
        <v>11374</v>
      </c>
      <c r="AD1930" s="65" t="s">
        <v>11375</v>
      </c>
      <c r="AE1930" s="333">
        <v>5.0</v>
      </c>
      <c r="AF1930" s="153">
        <v>57.0</v>
      </c>
      <c r="AG1930" s="158">
        <v>0.12</v>
      </c>
      <c r="AH1930" s="156" t="s">
        <v>132</v>
      </c>
      <c r="AI1930" s="156" t="s">
        <v>806</v>
      </c>
      <c r="AJ1930" s="1879">
        <v>0.01</v>
      </c>
      <c r="AK1930" s="156" t="s">
        <v>165</v>
      </c>
      <c r="AL1930" s="156" t="s">
        <v>179</v>
      </c>
      <c r="AM1930" s="65" t="s">
        <v>134</v>
      </c>
      <c r="AN1930" s="156" t="s">
        <v>131</v>
      </c>
      <c r="AO1930" s="153">
        <v>78.0</v>
      </c>
      <c r="AP1930" s="333" t="s">
        <v>11376</v>
      </c>
      <c r="AQ1930" s="156" t="s">
        <v>127</v>
      </c>
      <c r="AR1930" s="156" t="s">
        <v>125</v>
      </c>
      <c r="AS1930" s="158">
        <v>0.68</v>
      </c>
      <c r="AT1930" s="156" t="s">
        <v>165</v>
      </c>
      <c r="AU1930" s="156" t="s">
        <v>179</v>
      </c>
      <c r="AV1930" s="65" t="s">
        <v>134</v>
      </c>
      <c r="AW1930" s="432" t="s">
        <v>11377</v>
      </c>
      <c r="AX1930" s="65" t="s">
        <v>136</v>
      </c>
      <c r="AY1930" s="65"/>
      <c r="AZ1930" s="59" t="s">
        <v>10695</v>
      </c>
    </row>
    <row r="1931">
      <c r="A1931" s="41">
        <v>1931.0</v>
      </c>
      <c r="B1931" s="126" t="s">
        <v>145</v>
      </c>
      <c r="C1931" s="59" t="s">
        <v>108</v>
      </c>
      <c r="D1931" s="59" t="s">
        <v>146</v>
      </c>
      <c r="F1931" s="156" t="s">
        <v>11364</v>
      </c>
      <c r="G1931" s="156" t="s">
        <v>11365</v>
      </c>
      <c r="H1931" s="156" t="s">
        <v>146</v>
      </c>
      <c r="I1931" s="859" t="s">
        <v>112</v>
      </c>
      <c r="J1931" s="537">
        <v>45763.0</v>
      </c>
      <c r="K1931" s="156" t="s">
        <v>11181</v>
      </c>
      <c r="L1931" s="65"/>
      <c r="M1931" s="1878" t="s">
        <v>11368</v>
      </c>
      <c r="N1931" s="156" t="s">
        <v>11369</v>
      </c>
      <c r="O1931" s="153">
        <v>3.0</v>
      </c>
      <c r="P1931" s="603" t="s">
        <v>11370</v>
      </c>
      <c r="Q1931" s="49" t="str">
        <f t="array" ref="Q1931"> if(iserror(MATCH(V1931, 'File Links'!C:C, 0)), "N/A", HYPERLINK(INDEX('File Links'!B:B, MATCH(P1931, 'File Links'!C:C, 0))))</f>
        <v>https://drive.google.com/file/d/1kdZLBkUApDss7ySLJK034jl3rTKemhnJ/view?usp=drivesdk</v>
      </c>
      <c r="R1931" s="156" t="s">
        <v>11371</v>
      </c>
      <c r="S1931" s="156" t="s">
        <v>10686</v>
      </c>
      <c r="T1931" s="126"/>
      <c r="U1931" s="333">
        <v>1.0</v>
      </c>
      <c r="V1931" s="156" t="s">
        <v>11219</v>
      </c>
      <c r="W1931" s="54" t="s">
        <v>157</v>
      </c>
      <c r="X1931" s="51" t="str">
        <f t="array" ref="X1931"> if(iserror(MATCH(V1931, 'File Links'!C:C, 0)), "N/A", HYPERLINK(INDEX('File Links'!B:B, MATCH(V1931, 'File Links'!C:C, 0))))</f>
        <v>https://drive.google.com/file/d/1UMAh9VGta6ExS2-Lb6GkDF4fmnI2EMeM/view?usp=drivesdk</v>
      </c>
      <c r="Z1931" s="156" t="s">
        <v>219</v>
      </c>
      <c r="AA1931" s="156" t="s">
        <v>11378</v>
      </c>
      <c r="AB1931" s="156" t="s">
        <v>11379</v>
      </c>
      <c r="AC1931" s="156" t="s">
        <v>11380</v>
      </c>
      <c r="AD1931" s="156" t="s">
        <v>11381</v>
      </c>
      <c r="AE1931" s="153">
        <v>5.0</v>
      </c>
      <c r="AF1931" s="153">
        <v>57.0</v>
      </c>
      <c r="AG1931" s="158">
        <v>0.12</v>
      </c>
      <c r="AH1931" s="156" t="s">
        <v>132</v>
      </c>
      <c r="AI1931" s="156" t="s">
        <v>806</v>
      </c>
      <c r="AJ1931" s="1879">
        <v>0.01</v>
      </c>
      <c r="AK1931" s="156" t="s">
        <v>165</v>
      </c>
      <c r="AL1931" s="156" t="s">
        <v>179</v>
      </c>
      <c r="AM1931" s="65" t="s">
        <v>134</v>
      </c>
      <c r="AN1931" s="156" t="s">
        <v>131</v>
      </c>
      <c r="AO1931" s="333">
        <v>78.0</v>
      </c>
      <c r="AP1931" s="333" t="s">
        <v>11376</v>
      </c>
      <c r="AQ1931" s="156" t="s">
        <v>127</v>
      </c>
      <c r="AR1931" s="65" t="s">
        <v>125</v>
      </c>
      <c r="AS1931" s="158">
        <v>0.68</v>
      </c>
      <c r="AT1931" s="156" t="s">
        <v>165</v>
      </c>
      <c r="AU1931" s="156" t="s">
        <v>179</v>
      </c>
      <c r="AV1931" s="65" t="s">
        <v>134</v>
      </c>
      <c r="AW1931" s="432" t="s">
        <v>11382</v>
      </c>
      <c r="AX1931" s="65" t="s">
        <v>136</v>
      </c>
      <c r="AY1931" s="65"/>
      <c r="AZ1931" s="59" t="s">
        <v>10695</v>
      </c>
    </row>
    <row r="1932">
      <c r="A1932" s="41">
        <v>1932.0</v>
      </c>
      <c r="B1932" s="126" t="s">
        <v>145</v>
      </c>
      <c r="C1932" s="59" t="s">
        <v>108</v>
      </c>
      <c r="D1932" s="59" t="s">
        <v>1263</v>
      </c>
      <c r="F1932" s="156" t="s">
        <v>11383</v>
      </c>
      <c r="G1932" s="156" t="s">
        <v>11384</v>
      </c>
      <c r="H1932" s="156" t="s">
        <v>11385</v>
      </c>
      <c r="I1932" s="859" t="s">
        <v>112</v>
      </c>
      <c r="J1932" s="537">
        <v>45763.0</v>
      </c>
      <c r="K1932" s="65"/>
      <c r="L1932" s="126" t="s">
        <v>11386</v>
      </c>
      <c r="M1932" s="1878" t="s">
        <v>11387</v>
      </c>
      <c r="N1932" s="156" t="s">
        <v>11388</v>
      </c>
      <c r="O1932" s="153">
        <v>1.0</v>
      </c>
      <c r="P1932" s="603" t="s">
        <v>11389</v>
      </c>
      <c r="Q1932" s="49" t="str">
        <f t="array" ref="Q1932"> if(iserror(MATCH(V1932, 'File Links'!C:C, 0)), "N/A", HYPERLINK(INDEX('File Links'!B:B, MATCH(P1932, 'File Links'!C:C, 0))))</f>
        <v>https://drive.google.com/file/d/1xSVM7VMKatYnl6XkKdkAikq6Hru3wdAI/view?usp=drivesdk</v>
      </c>
      <c r="R1932" s="156" t="s">
        <v>11390</v>
      </c>
      <c r="S1932" s="156" t="s">
        <v>10686</v>
      </c>
      <c r="T1932" s="126"/>
      <c r="U1932" s="333">
        <v>1.0</v>
      </c>
      <c r="V1932" s="156" t="s">
        <v>11219</v>
      </c>
      <c r="W1932" s="54" t="s">
        <v>157</v>
      </c>
      <c r="X1932" s="51" t="str">
        <f t="array" ref="X1932"> if(iserror(MATCH(V1932, 'File Links'!C:C, 0)), "N/A", HYPERLINK(INDEX('File Links'!B:B, MATCH(V1932, 'File Links'!C:C, 0))))</f>
        <v>https://drive.google.com/file/d/1UMAh9VGta6ExS2-Lb6GkDF4fmnI2EMeM/view?usp=drivesdk</v>
      </c>
      <c r="Z1932" s="156" t="s">
        <v>219</v>
      </c>
      <c r="AA1932" s="156" t="s">
        <v>11391</v>
      </c>
      <c r="AB1932" s="148" t="s">
        <v>11392</v>
      </c>
      <c r="AC1932" s="65" t="s">
        <v>11393</v>
      </c>
      <c r="AD1932" s="65" t="s">
        <v>11394</v>
      </c>
      <c r="AE1932" s="333">
        <v>4.0</v>
      </c>
      <c r="AF1932" s="153">
        <v>240.0</v>
      </c>
      <c r="AG1932" s="156" t="s">
        <v>11395</v>
      </c>
      <c r="AH1932" s="156" t="s">
        <v>127</v>
      </c>
      <c r="AI1932" s="156" t="s">
        <v>843</v>
      </c>
      <c r="AJ1932" s="1364">
        <v>0.001</v>
      </c>
      <c r="AK1932" s="1112" t="s">
        <v>165</v>
      </c>
      <c r="AL1932" s="156" t="s">
        <v>179</v>
      </c>
      <c r="AM1932" s="65" t="s">
        <v>130</v>
      </c>
      <c r="AN1932" s="65" t="s">
        <v>131</v>
      </c>
      <c r="AO1932" s="333">
        <v>120.0</v>
      </c>
      <c r="AP1932" s="158">
        <v>0.426</v>
      </c>
      <c r="AQ1932" s="156" t="s">
        <v>867</v>
      </c>
      <c r="AR1932" s="156" t="s">
        <v>133</v>
      </c>
      <c r="AS1932" s="1887">
        <v>0.001</v>
      </c>
      <c r="AT1932" s="156" t="s">
        <v>128</v>
      </c>
      <c r="AU1932" s="156" t="s">
        <v>179</v>
      </c>
      <c r="AV1932" s="65" t="s">
        <v>130</v>
      </c>
      <c r="AW1932" s="432" t="s">
        <v>11396</v>
      </c>
      <c r="AX1932" s="65" t="s">
        <v>136</v>
      </c>
      <c r="AY1932" s="65"/>
      <c r="AZ1932" s="59" t="s">
        <v>10695</v>
      </c>
    </row>
    <row r="1933">
      <c r="A1933" s="41">
        <v>1933.0</v>
      </c>
      <c r="B1933" s="126" t="s">
        <v>107</v>
      </c>
      <c r="C1933" s="59" t="s">
        <v>108</v>
      </c>
      <c r="D1933" s="59" t="s">
        <v>146</v>
      </c>
      <c r="F1933" s="156" t="s">
        <v>11383</v>
      </c>
      <c r="G1933" s="156" t="s">
        <v>11384</v>
      </c>
      <c r="H1933" s="156" t="s">
        <v>146</v>
      </c>
      <c r="I1933" s="859" t="s">
        <v>112</v>
      </c>
      <c r="J1933" s="537">
        <v>45763.0</v>
      </c>
      <c r="K1933" s="156" t="s">
        <v>11397</v>
      </c>
      <c r="L1933" s="65"/>
      <c r="M1933" s="1878" t="s">
        <v>11387</v>
      </c>
      <c r="N1933" s="156" t="s">
        <v>11388</v>
      </c>
      <c r="O1933" s="153">
        <v>1.0</v>
      </c>
      <c r="P1933" s="603" t="s">
        <v>11389</v>
      </c>
      <c r="Q1933" s="49" t="str">
        <f t="array" ref="Q1933"> if(iserror(MATCH(V1933, 'File Links'!C:C, 0)), "N/A", HYPERLINK(INDEX('File Links'!B:B, MATCH(P1933, 'File Links'!C:C, 0))))</f>
        <v>https://drive.google.com/file/d/1xSVM7VMKatYnl6XkKdkAikq6Hru3wdAI/view?usp=drivesdk</v>
      </c>
      <c r="R1933" s="156" t="s">
        <v>11390</v>
      </c>
      <c r="S1933" s="156" t="s">
        <v>10686</v>
      </c>
      <c r="T1933" s="126"/>
      <c r="U1933" s="333">
        <v>1.0</v>
      </c>
      <c r="V1933" s="156" t="s">
        <v>11219</v>
      </c>
      <c r="W1933" s="59" t="s">
        <v>3797</v>
      </c>
      <c r="X1933" s="51" t="str">
        <f t="array" ref="X1933"> if(iserror(MATCH(V1933, 'File Links'!C:C, 0)), "N/A", HYPERLINK(INDEX('File Links'!B:B, MATCH(V1933, 'File Links'!C:C, 0))))</f>
        <v>https://drive.google.com/file/d/1UMAh9VGta6ExS2-Lb6GkDF4fmnI2EMeM/view?usp=drivesdk</v>
      </c>
      <c r="Z1933" s="156" t="s">
        <v>219</v>
      </c>
      <c r="AA1933" s="156" t="s">
        <v>11398</v>
      </c>
      <c r="AB1933" s="156" t="s">
        <v>11399</v>
      </c>
      <c r="AC1933" s="156" t="s">
        <v>11400</v>
      </c>
      <c r="AD1933" s="156" t="s">
        <v>11401</v>
      </c>
      <c r="AE1933" s="153">
        <v>4.0</v>
      </c>
      <c r="AF1933" s="153">
        <v>240.0</v>
      </c>
      <c r="AG1933" s="156" t="s">
        <v>11395</v>
      </c>
      <c r="AH1933" s="156" t="s">
        <v>127</v>
      </c>
      <c r="AI1933" s="156" t="s">
        <v>843</v>
      </c>
      <c r="AJ1933" s="498">
        <v>0.001</v>
      </c>
      <c r="AK1933" s="156" t="s">
        <v>165</v>
      </c>
      <c r="AL1933" s="1057" t="s">
        <v>129</v>
      </c>
      <c r="AM1933" s="65" t="s">
        <v>130</v>
      </c>
      <c r="AN1933" s="1296" t="s">
        <v>131</v>
      </c>
      <c r="AO1933" s="153">
        <v>120.0</v>
      </c>
      <c r="AP1933" s="158">
        <v>0.426</v>
      </c>
      <c r="AQ1933" s="1057" t="s">
        <v>132</v>
      </c>
      <c r="AR1933" s="156" t="s">
        <v>125</v>
      </c>
      <c r="AS1933" s="1887">
        <v>0.001</v>
      </c>
      <c r="AT1933" s="1057" t="s">
        <v>165</v>
      </c>
      <c r="AU1933" s="1057" t="s">
        <v>129</v>
      </c>
      <c r="AV1933" s="65" t="s">
        <v>130</v>
      </c>
      <c r="AW1933" s="432" t="s">
        <v>11402</v>
      </c>
      <c r="AX1933" s="65" t="s">
        <v>144</v>
      </c>
      <c r="AY1933" s="65"/>
      <c r="AZ1933" s="59" t="s">
        <v>10695</v>
      </c>
    </row>
    <row r="1934">
      <c r="A1934" s="41">
        <v>1934.0</v>
      </c>
      <c r="B1934" s="126" t="s">
        <v>145</v>
      </c>
      <c r="C1934" s="59" t="s">
        <v>108</v>
      </c>
      <c r="D1934" s="59" t="s">
        <v>1263</v>
      </c>
      <c r="F1934" s="156" t="s">
        <v>11403</v>
      </c>
      <c r="G1934" s="156" t="s">
        <v>11404</v>
      </c>
      <c r="H1934" s="156" t="s">
        <v>11405</v>
      </c>
      <c r="I1934" s="859" t="s">
        <v>112</v>
      </c>
      <c r="J1934" s="537">
        <v>45763.0</v>
      </c>
      <c r="K1934" s="65"/>
      <c r="L1934" s="148" t="s">
        <v>11406</v>
      </c>
      <c r="M1934" s="1878" t="s">
        <v>11407</v>
      </c>
      <c r="N1934" s="156" t="s">
        <v>11408</v>
      </c>
      <c r="O1934" s="333">
        <v>2.0</v>
      </c>
      <c r="P1934" s="603" t="s">
        <v>11409</v>
      </c>
      <c r="Q1934" s="49" t="str">
        <f t="array" ref="Q1934"> if(iserror(MATCH(V1934, 'File Links'!C:C, 0)), "N/A", HYPERLINK(INDEX('File Links'!B:B, MATCH(P1934, 'File Links'!C:C, 0))))</f>
        <v>https://drive.google.com/file/d/1uCFFMA_-qokNXypcjNJCz-kIkPjXgKuT/view?usp=drivesdk</v>
      </c>
      <c r="R1934" s="156" t="s">
        <v>11410</v>
      </c>
      <c r="S1934" s="156" t="s">
        <v>10686</v>
      </c>
      <c r="T1934" s="126"/>
      <c r="U1934" s="333">
        <v>1.0</v>
      </c>
      <c r="V1934" s="156" t="s">
        <v>11219</v>
      </c>
      <c r="W1934" s="54" t="s">
        <v>157</v>
      </c>
      <c r="X1934" s="51" t="str">
        <f t="array" ref="X1934"> if(iserror(MATCH(V1934, 'File Links'!C:C, 0)), "N/A", HYPERLINK(INDEX('File Links'!B:B, MATCH(V1934, 'File Links'!C:C, 0))))</f>
        <v>https://drive.google.com/file/d/1UMAh9VGta6ExS2-Lb6GkDF4fmnI2EMeM/view?usp=drivesdk</v>
      </c>
      <c r="Z1934" s="156" t="s">
        <v>141</v>
      </c>
      <c r="AA1934" s="156" t="s">
        <v>11411</v>
      </c>
      <c r="AB1934" s="148" t="s">
        <v>11412</v>
      </c>
      <c r="AC1934" s="156" t="s">
        <v>11413</v>
      </c>
      <c r="AD1934" s="65" t="s">
        <v>11414</v>
      </c>
      <c r="AE1934" s="333">
        <v>4.0</v>
      </c>
      <c r="AF1934" s="153">
        <v>15.0</v>
      </c>
      <c r="AG1934" s="158">
        <v>1.71</v>
      </c>
      <c r="AH1934" s="156" t="s">
        <v>166</v>
      </c>
      <c r="AI1934" s="156" t="s">
        <v>843</v>
      </c>
      <c r="AJ1934" s="498">
        <v>0.007</v>
      </c>
      <c r="AK1934" s="156" t="s">
        <v>128</v>
      </c>
      <c r="AL1934" s="156" t="s">
        <v>179</v>
      </c>
      <c r="AM1934" s="65" t="s">
        <v>134</v>
      </c>
      <c r="AN1934" s="156" t="s">
        <v>131</v>
      </c>
      <c r="AO1934" s="153">
        <v>12.0</v>
      </c>
      <c r="AP1934" s="148">
        <v>0.548</v>
      </c>
      <c r="AQ1934" s="156" t="s">
        <v>10972</v>
      </c>
      <c r="AR1934" s="156" t="s">
        <v>843</v>
      </c>
      <c r="AS1934" s="158">
        <v>0.09</v>
      </c>
      <c r="AT1934" s="156" t="s">
        <v>165</v>
      </c>
      <c r="AU1934" s="156" t="s">
        <v>129</v>
      </c>
      <c r="AV1934" s="1296" t="s">
        <v>130</v>
      </c>
      <c r="AW1934" s="432" t="s">
        <v>11415</v>
      </c>
      <c r="AX1934" s="65" t="s">
        <v>136</v>
      </c>
      <c r="AY1934" s="65"/>
      <c r="AZ1934" s="59" t="s">
        <v>10695</v>
      </c>
    </row>
    <row r="1935">
      <c r="A1935" s="41">
        <v>1935.0</v>
      </c>
      <c r="B1935" s="126" t="s">
        <v>107</v>
      </c>
      <c r="C1935" s="59" t="s">
        <v>108</v>
      </c>
      <c r="D1935" s="59" t="s">
        <v>146</v>
      </c>
      <c r="F1935" s="156" t="s">
        <v>11403</v>
      </c>
      <c r="G1935" s="156" t="s">
        <v>11404</v>
      </c>
      <c r="H1935" s="156" t="s">
        <v>146</v>
      </c>
      <c r="I1935" s="859" t="s">
        <v>112</v>
      </c>
      <c r="J1935" s="537">
        <v>45763.0</v>
      </c>
      <c r="K1935" s="65"/>
      <c r="L1935" s="65"/>
      <c r="M1935" s="1878" t="s">
        <v>11407</v>
      </c>
      <c r="N1935" s="156" t="s">
        <v>11408</v>
      </c>
      <c r="O1935" s="153">
        <v>2.0</v>
      </c>
      <c r="P1935" s="603" t="s">
        <v>11409</v>
      </c>
      <c r="Q1935" s="49" t="str">
        <f t="array" ref="Q1935"> if(iserror(MATCH(V1935, 'File Links'!C:C, 0)), "N/A", HYPERLINK(INDEX('File Links'!B:B, MATCH(P1935, 'File Links'!C:C, 0))))</f>
        <v>https://drive.google.com/file/d/1uCFFMA_-qokNXypcjNJCz-kIkPjXgKuT/view?usp=drivesdk</v>
      </c>
      <c r="R1935" s="156" t="s">
        <v>11410</v>
      </c>
      <c r="S1935" s="156" t="s">
        <v>10686</v>
      </c>
      <c r="T1935" s="126"/>
      <c r="U1935" s="333">
        <v>1.0</v>
      </c>
      <c r="V1935" s="156" t="s">
        <v>11219</v>
      </c>
      <c r="W1935" s="59" t="s">
        <v>11228</v>
      </c>
      <c r="X1935" s="51" t="str">
        <f t="array" ref="X1935"> if(iserror(MATCH(V1935, 'File Links'!C:C, 0)), "N/A", HYPERLINK(INDEX('File Links'!B:B, MATCH(V1935, 'File Links'!C:C, 0))))</f>
        <v>https://drive.google.com/file/d/1UMAh9VGta6ExS2-Lb6GkDF4fmnI2EMeM/view?usp=drivesdk</v>
      </c>
      <c r="Z1935" s="156" t="s">
        <v>141</v>
      </c>
      <c r="AA1935" s="156" t="s">
        <v>11416</v>
      </c>
      <c r="AB1935" s="156" t="s">
        <v>11417</v>
      </c>
      <c r="AC1935" s="156" t="s">
        <v>11418</v>
      </c>
      <c r="AD1935" s="156" t="s">
        <v>11419</v>
      </c>
      <c r="AE1935" s="153">
        <v>4.0</v>
      </c>
      <c r="AF1935" s="153">
        <v>15.0</v>
      </c>
      <c r="AG1935" s="158">
        <v>1.71</v>
      </c>
      <c r="AH1935" s="156" t="s">
        <v>166</v>
      </c>
      <c r="AI1935" s="156" t="s">
        <v>843</v>
      </c>
      <c r="AJ1935" s="498">
        <v>0.007</v>
      </c>
      <c r="AK1935" s="156" t="s">
        <v>128</v>
      </c>
      <c r="AL1935" s="156" t="s">
        <v>129</v>
      </c>
      <c r="AM1935" s="1384" t="s">
        <v>130</v>
      </c>
      <c r="AN1935" s="1112" t="s">
        <v>131</v>
      </c>
      <c r="AO1935" s="153">
        <v>12.0</v>
      </c>
      <c r="AP1935" s="158">
        <v>0.54</v>
      </c>
      <c r="AQ1935" s="156" t="s">
        <v>10972</v>
      </c>
      <c r="AR1935" s="156" t="s">
        <v>843</v>
      </c>
      <c r="AS1935" s="158">
        <v>0.09</v>
      </c>
      <c r="AT1935" s="156" t="s">
        <v>165</v>
      </c>
      <c r="AU1935" s="156" t="s">
        <v>129</v>
      </c>
      <c r="AV1935" s="65" t="s">
        <v>130</v>
      </c>
      <c r="AW1935" s="432" t="s">
        <v>11420</v>
      </c>
      <c r="AX1935" s="65" t="s">
        <v>136</v>
      </c>
      <c r="AY1935" s="65"/>
      <c r="AZ1935" s="59" t="s">
        <v>10695</v>
      </c>
    </row>
    <row r="1936">
      <c r="A1936" s="41">
        <v>1936.0</v>
      </c>
      <c r="B1936" s="126" t="s">
        <v>145</v>
      </c>
      <c r="C1936" s="59" t="s">
        <v>108</v>
      </c>
      <c r="D1936" s="59" t="s">
        <v>1263</v>
      </c>
      <c r="F1936" s="603" t="s">
        <v>11421</v>
      </c>
      <c r="G1936" s="603" t="s">
        <v>11422</v>
      </c>
      <c r="H1936" s="603" t="s">
        <v>11423</v>
      </c>
      <c r="I1936" s="1888" t="s">
        <v>112</v>
      </c>
      <c r="J1936" s="1889">
        <v>45763.0</v>
      </c>
      <c r="K1936" s="524"/>
      <c r="L1936" s="545" t="s">
        <v>11424</v>
      </c>
      <c r="M1936" s="1890" t="s">
        <v>11425</v>
      </c>
      <c r="N1936" s="603" t="s">
        <v>11426</v>
      </c>
      <c r="O1936" s="1891">
        <v>2.0</v>
      </c>
      <c r="P1936" s="603" t="s">
        <v>11427</v>
      </c>
      <c r="Q1936" s="49" t="str">
        <f t="array" ref="Q1936"> if(iserror(MATCH(V1936, 'File Links'!C:C, 0)), "N/A", HYPERLINK(INDEX('File Links'!B:B, MATCH(P1936, 'File Links'!C:C, 0))))</f>
        <v>https://drive.google.com/file/d/1lRP53zTo3VPT-PsO3ntfyg-tGbdQtIIK/view?usp=drivesdk</v>
      </c>
      <c r="R1936" s="603" t="s">
        <v>11428</v>
      </c>
      <c r="S1936" s="156" t="s">
        <v>10686</v>
      </c>
      <c r="T1936" s="126"/>
      <c r="U1936" s="1892">
        <v>1.0</v>
      </c>
      <c r="V1936" s="156" t="s">
        <v>11219</v>
      </c>
      <c r="W1936" s="1893" t="s">
        <v>157</v>
      </c>
      <c r="X1936" s="51" t="str">
        <f t="array" ref="X1936"> if(iserror(MATCH(V1936, 'File Links'!C:C, 0)), "N/A", HYPERLINK(INDEX('File Links'!B:B, MATCH(V1936, 'File Links'!C:C, 0))))</f>
        <v>https://drive.google.com/file/d/1UMAh9VGta6ExS2-Lb6GkDF4fmnI2EMeM/view?usp=drivesdk</v>
      </c>
      <c r="Y1936" s="547"/>
      <c r="Z1936" s="603" t="s">
        <v>219</v>
      </c>
      <c r="AA1936" s="1894" t="s">
        <v>11429</v>
      </c>
      <c r="AB1936" s="603" t="s">
        <v>11430</v>
      </c>
      <c r="AC1936" s="603" t="s">
        <v>11431</v>
      </c>
      <c r="AD1936" s="524" t="s">
        <v>11432</v>
      </c>
      <c r="AE1936" s="1892">
        <v>4.0</v>
      </c>
      <c r="AF1936" s="1891">
        <v>208.0</v>
      </c>
      <c r="AG1936" s="1891" t="s">
        <v>11433</v>
      </c>
      <c r="AH1936" s="603" t="s">
        <v>127</v>
      </c>
      <c r="AI1936" s="603" t="s">
        <v>843</v>
      </c>
      <c r="AJ1936" s="1895">
        <v>0.008</v>
      </c>
      <c r="AK1936" s="603" t="s">
        <v>165</v>
      </c>
      <c r="AL1936" s="603" t="s">
        <v>129</v>
      </c>
      <c r="AM1936" s="524" t="s">
        <v>134</v>
      </c>
      <c r="AN1936" s="65" t="s">
        <v>131</v>
      </c>
      <c r="AO1936" s="1892">
        <v>263.0</v>
      </c>
      <c r="AP1936" s="549">
        <v>0.001</v>
      </c>
      <c r="AQ1936" s="603" t="s">
        <v>867</v>
      </c>
      <c r="AR1936" s="603" t="s">
        <v>125</v>
      </c>
      <c r="AS1936" s="549">
        <v>0.628</v>
      </c>
      <c r="AT1936" s="603" t="s">
        <v>165</v>
      </c>
      <c r="AU1936" s="603" t="s">
        <v>179</v>
      </c>
      <c r="AV1936" s="524" t="s">
        <v>134</v>
      </c>
      <c r="AW1936" s="1896" t="s">
        <v>11434</v>
      </c>
      <c r="AX1936" s="524" t="s">
        <v>144</v>
      </c>
      <c r="AY1936" s="65"/>
      <c r="AZ1936" s="59" t="s">
        <v>10695</v>
      </c>
    </row>
    <row r="1937">
      <c r="A1937" s="41">
        <v>1937.0</v>
      </c>
      <c r="B1937" s="126" t="s">
        <v>107</v>
      </c>
      <c r="C1937" s="59" t="s">
        <v>108</v>
      </c>
      <c r="D1937" s="59" t="s">
        <v>146</v>
      </c>
      <c r="F1937" s="603" t="s">
        <v>11421</v>
      </c>
      <c r="G1937" s="603" t="s">
        <v>11422</v>
      </c>
      <c r="H1937" s="603" t="s">
        <v>146</v>
      </c>
      <c r="I1937" s="1888" t="s">
        <v>112</v>
      </c>
      <c r="J1937" s="1889">
        <v>45763.0</v>
      </c>
      <c r="K1937" s="603" t="s">
        <v>11435</v>
      </c>
      <c r="L1937" s="524"/>
      <c r="M1937" s="1890" t="s">
        <v>11425</v>
      </c>
      <c r="N1937" s="603" t="s">
        <v>11426</v>
      </c>
      <c r="O1937" s="1891">
        <v>2.0</v>
      </c>
      <c r="P1937" s="603" t="s">
        <v>11427</v>
      </c>
      <c r="Q1937" s="49" t="str">
        <f t="array" ref="Q1937"> if(iserror(MATCH(V1937, 'File Links'!C:C, 0)), "N/A", HYPERLINK(INDEX('File Links'!B:B, MATCH(P1937, 'File Links'!C:C, 0))))</f>
        <v>https://drive.google.com/file/d/1lRP53zTo3VPT-PsO3ntfyg-tGbdQtIIK/view?usp=drivesdk</v>
      </c>
      <c r="R1937" s="603" t="s">
        <v>11428</v>
      </c>
      <c r="S1937" s="156" t="s">
        <v>10686</v>
      </c>
      <c r="T1937" s="126"/>
      <c r="U1937" s="1892">
        <v>1.0</v>
      </c>
      <c r="V1937" s="156" t="s">
        <v>11219</v>
      </c>
      <c r="W1937" s="1893" t="s">
        <v>157</v>
      </c>
      <c r="X1937" s="51" t="str">
        <f t="array" ref="X1937"> if(iserror(MATCH(V1937, 'File Links'!C:C, 0)), "N/A", HYPERLINK(INDEX('File Links'!B:B, MATCH(V1937, 'File Links'!C:C, 0))))</f>
        <v>https://drive.google.com/file/d/1UMAh9VGta6ExS2-Lb6GkDF4fmnI2EMeM/view?usp=drivesdk</v>
      </c>
      <c r="Y1937" s="547"/>
      <c r="Z1937" s="603" t="s">
        <v>219</v>
      </c>
      <c r="AA1937" s="603" t="s">
        <v>11429</v>
      </c>
      <c r="AB1937" s="1897" t="s">
        <v>11436</v>
      </c>
      <c r="AC1937" s="1898"/>
      <c r="AD1937" s="603" t="s">
        <v>11437</v>
      </c>
      <c r="AE1937" s="1891">
        <v>4.0</v>
      </c>
      <c r="AF1937" s="1891">
        <v>208.0</v>
      </c>
      <c r="AG1937" s="603" t="s">
        <v>11438</v>
      </c>
      <c r="AH1937" s="603" t="s">
        <v>127</v>
      </c>
      <c r="AI1937" s="603" t="s">
        <v>843</v>
      </c>
      <c r="AJ1937" s="1895">
        <v>0.008</v>
      </c>
      <c r="AK1937" s="603" t="s">
        <v>165</v>
      </c>
      <c r="AL1937" s="603" t="s">
        <v>179</v>
      </c>
      <c r="AM1937" s="524" t="s">
        <v>134</v>
      </c>
      <c r="AN1937" s="1296" t="s">
        <v>131</v>
      </c>
      <c r="AO1937" s="1891">
        <v>263.0</v>
      </c>
      <c r="AP1937" s="549">
        <v>0.001</v>
      </c>
      <c r="AQ1937" s="603" t="s">
        <v>132</v>
      </c>
      <c r="AR1937" s="603" t="s">
        <v>125</v>
      </c>
      <c r="AS1937" s="549">
        <v>0.628</v>
      </c>
      <c r="AT1937" s="603" t="s">
        <v>165</v>
      </c>
      <c r="AU1937" s="603" t="s">
        <v>179</v>
      </c>
      <c r="AV1937" s="524" t="s">
        <v>134</v>
      </c>
      <c r="AW1937" s="1896" t="s">
        <v>11439</v>
      </c>
      <c r="AX1937" s="524" t="s">
        <v>144</v>
      </c>
      <c r="AY1937" s="65"/>
      <c r="AZ1937" s="59" t="s">
        <v>10695</v>
      </c>
    </row>
    <row r="1938">
      <c r="A1938" s="41">
        <v>1938.0</v>
      </c>
      <c r="B1938" s="126" t="s">
        <v>145</v>
      </c>
      <c r="C1938" s="59" t="s">
        <v>108</v>
      </c>
      <c r="D1938" s="59" t="s">
        <v>1263</v>
      </c>
      <c r="F1938" s="603" t="s">
        <v>11440</v>
      </c>
      <c r="G1938" s="603" t="s">
        <v>11441</v>
      </c>
      <c r="H1938" s="603" t="s">
        <v>11442</v>
      </c>
      <c r="I1938" s="1888" t="s">
        <v>112</v>
      </c>
      <c r="J1938" s="1889">
        <v>45763.0</v>
      </c>
      <c r="K1938" s="524"/>
      <c r="L1938" s="545" t="s">
        <v>11443</v>
      </c>
      <c r="M1938" s="1890" t="s">
        <v>11444</v>
      </c>
      <c r="N1938" s="603" t="s">
        <v>11445</v>
      </c>
      <c r="O1938" s="1892">
        <v>2.0</v>
      </c>
      <c r="P1938" s="603" t="s">
        <v>11446</v>
      </c>
      <c r="Q1938" s="49" t="str">
        <f t="array" ref="Q1938"> if(iserror(MATCH(V1938, 'File Links'!C:C, 0)), "N/A", HYPERLINK(INDEX('File Links'!B:B, MATCH(P1938, 'File Links'!C:C, 0))))</f>
        <v>https://drive.google.com/file/d/19iYi-koeR6fi39K_iI9D0SdOP6whI2f7/view?usp=drivesdk</v>
      </c>
      <c r="R1938" s="603" t="s">
        <v>11447</v>
      </c>
      <c r="S1938" s="156" t="s">
        <v>10686</v>
      </c>
      <c r="T1938" s="126"/>
      <c r="U1938" s="1892">
        <v>1.0</v>
      </c>
      <c r="V1938" s="156" t="s">
        <v>11219</v>
      </c>
      <c r="W1938" s="1893" t="s">
        <v>157</v>
      </c>
      <c r="X1938" s="51" t="str">
        <f t="array" ref="X1938"> if(iserror(MATCH(V1938, 'File Links'!C:C, 0)), "N/A", HYPERLINK(INDEX('File Links'!B:B, MATCH(V1938, 'File Links'!C:C, 0))))</f>
        <v>https://drive.google.com/file/d/1UMAh9VGta6ExS2-Lb6GkDF4fmnI2EMeM/view?usp=drivesdk</v>
      </c>
      <c r="Y1938" s="547"/>
      <c r="Z1938" s="603" t="s">
        <v>141</v>
      </c>
      <c r="AA1938" s="603" t="s">
        <v>11448</v>
      </c>
      <c r="AB1938" s="524" t="s">
        <v>11449</v>
      </c>
      <c r="AC1938" s="524" t="s">
        <v>11450</v>
      </c>
      <c r="AD1938" s="524" t="s">
        <v>11451</v>
      </c>
      <c r="AE1938" s="1892">
        <v>8.0</v>
      </c>
      <c r="AF1938" s="1892">
        <v>95.0</v>
      </c>
      <c r="AG1938" s="549">
        <v>0.038</v>
      </c>
      <c r="AH1938" s="603" t="s">
        <v>867</v>
      </c>
      <c r="AI1938" s="524" t="s">
        <v>606</v>
      </c>
      <c r="AJ1938" s="1895">
        <v>0.028</v>
      </c>
      <c r="AK1938" s="603" t="s">
        <v>165</v>
      </c>
      <c r="AL1938" s="603" t="s">
        <v>211</v>
      </c>
      <c r="AM1938" s="524" t="s">
        <v>130</v>
      </c>
      <c r="AN1938" s="65" t="s">
        <v>131</v>
      </c>
      <c r="AO1938" s="1892">
        <v>242.0</v>
      </c>
      <c r="AP1938" s="549">
        <v>0.255</v>
      </c>
      <c r="AQ1938" s="603" t="s">
        <v>166</v>
      </c>
      <c r="AR1938" s="524" t="s">
        <v>133</v>
      </c>
      <c r="AS1938" s="1899">
        <v>0.001</v>
      </c>
      <c r="AT1938" s="1894" t="s">
        <v>128</v>
      </c>
      <c r="AU1938" s="603" t="s">
        <v>179</v>
      </c>
      <c r="AV1938" s="524" t="s">
        <v>130</v>
      </c>
      <c r="AW1938" s="1896" t="s">
        <v>11452</v>
      </c>
      <c r="AX1938" s="524" t="s">
        <v>136</v>
      </c>
      <c r="AY1938" s="65"/>
      <c r="AZ1938" s="59" t="s">
        <v>10695</v>
      </c>
    </row>
    <row r="1939">
      <c r="A1939" s="41">
        <v>1939.0</v>
      </c>
      <c r="B1939" s="126" t="s">
        <v>107</v>
      </c>
      <c r="C1939" s="59" t="s">
        <v>108</v>
      </c>
      <c r="D1939" s="59" t="s">
        <v>146</v>
      </c>
      <c r="F1939" s="156" t="s">
        <v>11440</v>
      </c>
      <c r="G1939" s="156" t="s">
        <v>11441</v>
      </c>
      <c r="H1939" s="156" t="s">
        <v>146</v>
      </c>
      <c r="I1939" s="859" t="s">
        <v>112</v>
      </c>
      <c r="J1939" s="537">
        <v>45763.0</v>
      </c>
      <c r="K1939" s="156" t="s">
        <v>11453</v>
      </c>
      <c r="L1939" s="65"/>
      <c r="M1939" s="1878" t="s">
        <v>11444</v>
      </c>
      <c r="N1939" s="156" t="s">
        <v>11445</v>
      </c>
      <c r="O1939" s="153">
        <v>2.0</v>
      </c>
      <c r="P1939" s="603" t="s">
        <v>11446</v>
      </c>
      <c r="Q1939" s="49" t="str">
        <f t="array" ref="Q1939"> if(iserror(MATCH(V1939, 'File Links'!C:C, 0)), "N/A", HYPERLINK(INDEX('File Links'!B:B, MATCH(P1939, 'File Links'!C:C, 0))))</f>
        <v>https://drive.google.com/file/d/19iYi-koeR6fi39K_iI9D0SdOP6whI2f7/view?usp=drivesdk</v>
      </c>
      <c r="R1939" s="156" t="s">
        <v>11447</v>
      </c>
      <c r="S1939" s="156" t="s">
        <v>10686</v>
      </c>
      <c r="T1939" s="126"/>
      <c r="U1939" s="333">
        <v>1.0</v>
      </c>
      <c r="V1939" s="156" t="s">
        <v>11219</v>
      </c>
      <c r="W1939" s="59" t="s">
        <v>11228</v>
      </c>
      <c r="X1939" s="51" t="str">
        <f t="array" ref="X1939"> if(iserror(MATCH(V1939, 'File Links'!C:C, 0)), "N/A", HYPERLINK(INDEX('File Links'!B:B, MATCH(V1939, 'File Links'!C:C, 0))))</f>
        <v>https://drive.google.com/file/d/1UMAh9VGta6ExS2-Lb6GkDF4fmnI2EMeM/view?usp=drivesdk</v>
      </c>
      <c r="Z1939" s="156" t="s">
        <v>141</v>
      </c>
      <c r="AA1939" s="156" t="s">
        <v>11454</v>
      </c>
      <c r="AB1939" s="603" t="s">
        <v>11455</v>
      </c>
      <c r="AC1939" s="1900" t="s">
        <v>11456</v>
      </c>
      <c r="AD1939" s="156" t="s">
        <v>11457</v>
      </c>
      <c r="AE1939" s="153">
        <v>8.0</v>
      </c>
      <c r="AF1939" s="153">
        <v>95.0</v>
      </c>
      <c r="AG1939" s="158">
        <v>0.038</v>
      </c>
      <c r="AH1939" s="603" t="s">
        <v>132</v>
      </c>
      <c r="AI1939" s="1901" t="s">
        <v>606</v>
      </c>
      <c r="AJ1939" s="498">
        <v>0.028</v>
      </c>
      <c r="AK1939" s="156" t="s">
        <v>165</v>
      </c>
      <c r="AL1939" s="156" t="s">
        <v>211</v>
      </c>
      <c r="AM1939" s="65" t="s">
        <v>130</v>
      </c>
      <c r="AN1939" s="1296" t="s">
        <v>131</v>
      </c>
      <c r="AO1939" s="153">
        <v>242.0</v>
      </c>
      <c r="AP1939" s="158">
        <v>0.255</v>
      </c>
      <c r="AQ1939" s="156" t="s">
        <v>166</v>
      </c>
      <c r="AR1939" s="156" t="s">
        <v>133</v>
      </c>
      <c r="AS1939" s="1887">
        <v>0.001</v>
      </c>
      <c r="AT1939" s="1057" t="s">
        <v>165</v>
      </c>
      <c r="AU1939" s="1057" t="s">
        <v>211</v>
      </c>
      <c r="AV1939" s="65" t="s">
        <v>130</v>
      </c>
      <c r="AW1939" s="432" t="s">
        <v>11458</v>
      </c>
      <c r="AX1939" s="65" t="s">
        <v>144</v>
      </c>
      <c r="AY1939" s="65"/>
      <c r="AZ1939" s="59" t="s">
        <v>10695</v>
      </c>
    </row>
    <row r="1940">
      <c r="A1940" s="41">
        <v>1940.0</v>
      </c>
      <c r="B1940" s="65" t="s">
        <v>145</v>
      </c>
      <c r="C1940" s="59" t="s">
        <v>108</v>
      </c>
      <c r="D1940" s="59" t="s">
        <v>1434</v>
      </c>
      <c r="F1940" s="156" t="s">
        <v>11459</v>
      </c>
      <c r="G1940" s="1441" t="s">
        <v>11460</v>
      </c>
      <c r="H1940" s="156" t="s">
        <v>11461</v>
      </c>
      <c r="I1940" s="526">
        <v>45690.0</v>
      </c>
      <c r="J1940" s="1368">
        <v>45693.0</v>
      </c>
      <c r="K1940" s="65" t="s">
        <v>11462</v>
      </c>
      <c r="L1940" s="65" t="s">
        <v>11463</v>
      </c>
      <c r="M1940" s="1902" t="s">
        <v>11464</v>
      </c>
      <c r="N1940" s="156" t="s">
        <v>11465</v>
      </c>
      <c r="O1940" s="333">
        <v>1.0</v>
      </c>
      <c r="P1940" s="1573" t="s">
        <v>11466</v>
      </c>
      <c r="Q1940" s="49" t="str">
        <f t="array" ref="Q1940"> if(iserror(MATCH(V1940, 'File Links'!C:C, 0)), "N/A", HYPERLINK(INDEX('File Links'!B:B, MATCH(P1940, 'File Links'!C:C, 0))))</f>
        <v>https://drive.google.com/file/d/1OXOz_E9VpKDoMyophO2ymVaA6QjHkMCY/view?usp=drivesdk</v>
      </c>
      <c r="R1940" s="156" t="s">
        <v>11467</v>
      </c>
      <c r="S1940" s="156" t="s">
        <v>10686</v>
      </c>
      <c r="T1940" s="126"/>
      <c r="U1940" s="333">
        <v>1.0</v>
      </c>
      <c r="V1940" s="195" t="str">
        <f t="shared" ref="V1940:V2041" si="122"> hyperlink(vlookup(lower(S1940),#REF!, 2, FALSE), SUBSTITUTE(lower(S1940), "/", "--") &amp;  ".pdf")</f>
        <v>10.1126--science.aac4716.pdf</v>
      </c>
      <c r="W1940" s="58" t="s">
        <v>3563</v>
      </c>
      <c r="X1940" s="51" t="str">
        <f t="array" ref="X1940"> if(iserror(MATCH(V1940, 'File Links'!C:C, 0)), "N/A", HYPERLINK(INDEX('File Links'!B:B, MATCH(V1940, 'File Links'!C:C, 0))))</f>
        <v>https://drive.google.com/file/d/1UMAh9VGta6ExS2-Lb6GkDF4fmnI2EMeM/view?usp=drivesdk</v>
      </c>
      <c r="Y1940" s="65"/>
      <c r="Z1940" s="65" t="s">
        <v>141</v>
      </c>
      <c r="AA1940" s="65" t="s">
        <v>11468</v>
      </c>
      <c r="AB1940" s="156" t="s">
        <v>11469</v>
      </c>
      <c r="AC1940" s="1903" t="s">
        <v>11470</v>
      </c>
      <c r="AD1940" s="65" t="s">
        <v>11471</v>
      </c>
      <c r="AE1940" s="333">
        <v>3.0</v>
      </c>
      <c r="AF1940" s="153">
        <v>14.0</v>
      </c>
      <c r="AG1940" s="65" t="s">
        <v>11472</v>
      </c>
      <c r="AH1940" s="65" t="s">
        <v>127</v>
      </c>
      <c r="AI1940" s="65" t="s">
        <v>210</v>
      </c>
      <c r="AJ1940" s="335" t="s">
        <v>131</v>
      </c>
      <c r="AK1940" s="59" t="s">
        <v>131</v>
      </c>
      <c r="AL1940" s="58" t="s">
        <v>179</v>
      </c>
      <c r="AM1940" s="65" t="s">
        <v>134</v>
      </c>
      <c r="AN1940" s="1055" t="s">
        <v>131</v>
      </c>
      <c r="AO1940" s="153">
        <v>19.0</v>
      </c>
      <c r="AP1940" s="333">
        <v>0.0065</v>
      </c>
      <c r="AQ1940" s="65" t="s">
        <v>132</v>
      </c>
      <c r="AR1940" s="65" t="s">
        <v>843</v>
      </c>
      <c r="AS1940" s="333">
        <v>0.369</v>
      </c>
      <c r="AT1940" s="65" t="s">
        <v>165</v>
      </c>
      <c r="AU1940" s="65" t="s">
        <v>179</v>
      </c>
      <c r="AV1940" s="65" t="s">
        <v>134</v>
      </c>
      <c r="AW1940" s="1790" t="s">
        <v>11473</v>
      </c>
      <c r="AX1940" s="65" t="s">
        <v>136</v>
      </c>
      <c r="AZ1940" s="65" t="s">
        <v>1434</v>
      </c>
    </row>
    <row r="1941">
      <c r="A1941" s="41">
        <v>1941.0</v>
      </c>
      <c r="B1941" s="65" t="s">
        <v>107</v>
      </c>
      <c r="C1941" s="59" t="s">
        <v>108</v>
      </c>
      <c r="D1941" s="59" t="s">
        <v>146</v>
      </c>
      <c r="F1941" s="156" t="s">
        <v>11459</v>
      </c>
      <c r="G1941" s="1441" t="s">
        <v>11460</v>
      </c>
      <c r="H1941" s="156" t="s">
        <v>146</v>
      </c>
      <c r="I1941" s="526">
        <v>45690.0</v>
      </c>
      <c r="J1941" s="1368">
        <v>45693.0</v>
      </c>
      <c r="K1941" s="65" t="s">
        <v>11474</v>
      </c>
      <c r="L1941" s="65" t="s">
        <v>11475</v>
      </c>
      <c r="M1941" s="1902" t="s">
        <v>11464</v>
      </c>
      <c r="N1941" s="156" t="s">
        <v>11465</v>
      </c>
      <c r="O1941" s="333">
        <v>1.0</v>
      </c>
      <c r="P1941" s="1573" t="s">
        <v>11466</v>
      </c>
      <c r="Q1941" s="49" t="str">
        <f t="array" ref="Q1941"> if(iserror(MATCH(V1941, 'File Links'!C:C, 0)), "N/A", HYPERLINK(INDEX('File Links'!B:B, MATCH(P1941, 'File Links'!C:C, 0))))</f>
        <v>https://drive.google.com/file/d/1OXOz_E9VpKDoMyophO2ymVaA6QjHkMCY/view?usp=drivesdk</v>
      </c>
      <c r="R1941" s="156" t="s">
        <v>11467</v>
      </c>
      <c r="S1941" s="156" t="s">
        <v>10686</v>
      </c>
      <c r="T1941" s="126"/>
      <c r="U1941" s="333">
        <v>1.0</v>
      </c>
      <c r="V1941" s="195" t="str">
        <f t="shared" si="122"/>
        <v>10.1126--science.aac4716.pdf</v>
      </c>
      <c r="W1941" s="156" t="s">
        <v>3563</v>
      </c>
      <c r="X1941" s="51" t="str">
        <f t="array" ref="X1941"> if(iserror(MATCH(V1941, 'File Links'!C:C, 0)), "N/A", HYPERLINK(INDEX('File Links'!B:B, MATCH(V1941, 'File Links'!C:C, 0))))</f>
        <v>https://drive.google.com/file/d/1UMAh9VGta6ExS2-Lb6GkDF4fmnI2EMeM/view?usp=drivesdk</v>
      </c>
      <c r="Y1941" s="65"/>
      <c r="Z1941" s="65" t="s">
        <v>141</v>
      </c>
      <c r="AA1941" s="156" t="s">
        <v>11468</v>
      </c>
      <c r="AB1941" s="65" t="s">
        <v>11476</v>
      </c>
      <c r="AC1941" s="65" t="s">
        <v>11470</v>
      </c>
      <c r="AD1941" s="156" t="s">
        <v>11477</v>
      </c>
      <c r="AE1941" s="333">
        <v>3.0</v>
      </c>
      <c r="AF1941" s="333">
        <v>14.0</v>
      </c>
      <c r="AG1941" s="153" t="s">
        <v>11472</v>
      </c>
      <c r="AH1941" s="156" t="s">
        <v>127</v>
      </c>
      <c r="AI1941" s="65" t="s">
        <v>210</v>
      </c>
      <c r="AJ1941" s="334" t="s">
        <v>131</v>
      </c>
      <c r="AK1941" s="59" t="s">
        <v>131</v>
      </c>
      <c r="AL1941" s="58" t="s">
        <v>179</v>
      </c>
      <c r="AM1941" s="65" t="s">
        <v>134</v>
      </c>
      <c r="AN1941" s="1055" t="s">
        <v>131</v>
      </c>
      <c r="AO1941" s="333">
        <v>19.0</v>
      </c>
      <c r="AP1941" s="333">
        <v>0.0065</v>
      </c>
      <c r="AQ1941" s="65" t="s">
        <v>132</v>
      </c>
      <c r="AR1941" s="65" t="s">
        <v>843</v>
      </c>
      <c r="AS1941" s="333">
        <v>0.36</v>
      </c>
      <c r="AT1941" s="65" t="s">
        <v>165</v>
      </c>
      <c r="AU1941" s="65" t="s">
        <v>179</v>
      </c>
      <c r="AV1941" s="65" t="s">
        <v>134</v>
      </c>
      <c r="AW1941" s="432" t="s">
        <v>11478</v>
      </c>
      <c r="AX1941" s="539" t="s">
        <v>144</v>
      </c>
      <c r="AZ1941" s="65" t="s">
        <v>1434</v>
      </c>
    </row>
    <row r="1942">
      <c r="A1942" s="41">
        <v>1942.0</v>
      </c>
      <c r="B1942" s="65" t="s">
        <v>145</v>
      </c>
      <c r="C1942" s="59" t="s">
        <v>108</v>
      </c>
      <c r="D1942" s="59" t="s">
        <v>1434</v>
      </c>
      <c r="F1942" s="156" t="s">
        <v>11479</v>
      </c>
      <c r="G1942" s="1441" t="s">
        <v>11480</v>
      </c>
      <c r="H1942" s="156" t="s">
        <v>11481</v>
      </c>
      <c r="I1942" s="526">
        <v>45690.0</v>
      </c>
      <c r="J1942" s="1368">
        <v>45693.0</v>
      </c>
      <c r="K1942" s="1904" t="s">
        <v>11482</v>
      </c>
      <c r="L1942" s="65" t="s">
        <v>11483</v>
      </c>
      <c r="M1942" s="1902" t="s">
        <v>11484</v>
      </c>
      <c r="N1942" s="434" t="s">
        <v>4486</v>
      </c>
      <c r="O1942" s="333">
        <v>2.0</v>
      </c>
      <c r="P1942" s="1573" t="s">
        <v>7208</v>
      </c>
      <c r="Q1942" s="49" t="str">
        <f t="array" ref="Q1942"> if(iserror(MATCH(V1942, 'File Links'!C:C, 0)), "N/A", HYPERLINK(INDEX('File Links'!B:B, MATCH(P1942, 'File Links'!C:C, 0))))</f>
        <v>https://drive.google.com/file/d/1WZ-wmp0ZBZO-MwxvYanAL8j3J4k47183/view?usp=drivesdk</v>
      </c>
      <c r="R1942" s="156" t="s">
        <v>11485</v>
      </c>
      <c r="S1942" s="1905" t="s">
        <v>11486</v>
      </c>
      <c r="T1942" s="1906" t="s">
        <v>11487</v>
      </c>
      <c r="U1942" s="333">
        <v>1.0</v>
      </c>
      <c r="V1942" s="195" t="str">
        <f t="shared" si="122"/>
        <v>10.1027--1864-9335--a000186.pdf</v>
      </c>
      <c r="W1942" s="65" t="s">
        <v>3563</v>
      </c>
      <c r="X1942" s="51" t="str">
        <f t="array" ref="X1942"> if(iserror(MATCH(V1942, 'File Links'!C:C, 0)), "N/A", HYPERLINK(INDEX('File Links'!B:B, MATCH(V1942, 'File Links'!C:C, 0))))</f>
        <v>https://drive.google.com/file/d/1tKM1PILFcJ_p1wV0Jul0zI6ZVlWSKpjf/view?usp=drivesdk</v>
      </c>
      <c r="Y1942" s="65"/>
      <c r="Z1942" s="65" t="s">
        <v>219</v>
      </c>
      <c r="AA1942" s="65" t="s">
        <v>5546</v>
      </c>
      <c r="AB1942" s="156" t="s">
        <v>11488</v>
      </c>
      <c r="AC1942" s="1907" t="s">
        <v>11489</v>
      </c>
      <c r="AD1942" s="65" t="s">
        <v>11490</v>
      </c>
      <c r="AE1942" s="333">
        <v>4.0</v>
      </c>
      <c r="AF1942" s="153">
        <v>43.0</v>
      </c>
      <c r="AG1942" s="333">
        <v>0.16</v>
      </c>
      <c r="AH1942" s="65" t="s">
        <v>132</v>
      </c>
      <c r="AI1942" s="65" t="s">
        <v>843</v>
      </c>
      <c r="AJ1942" s="335" t="s">
        <v>131</v>
      </c>
      <c r="AK1942" s="59" t="s">
        <v>131</v>
      </c>
      <c r="AL1942" s="58" t="s">
        <v>179</v>
      </c>
      <c r="AM1942" s="65" t="s">
        <v>130</v>
      </c>
      <c r="AN1942" s="1055" t="s">
        <v>131</v>
      </c>
      <c r="AO1942" s="333">
        <v>126.0</v>
      </c>
      <c r="AP1942" s="333">
        <v>0.005</v>
      </c>
      <c r="AQ1942" s="65" t="s">
        <v>166</v>
      </c>
      <c r="AR1942" s="65" t="s">
        <v>625</v>
      </c>
      <c r="AS1942" s="333">
        <v>0.97</v>
      </c>
      <c r="AT1942" s="65" t="s">
        <v>165</v>
      </c>
      <c r="AU1942" s="65" t="s">
        <v>179</v>
      </c>
      <c r="AV1942" s="65" t="s">
        <v>130</v>
      </c>
      <c r="AW1942" s="1790" t="s">
        <v>11491</v>
      </c>
      <c r="AX1942" s="65" t="s">
        <v>136</v>
      </c>
      <c r="AZ1942" s="65" t="s">
        <v>1434</v>
      </c>
    </row>
    <row r="1943">
      <c r="A1943" s="41">
        <v>1943.0</v>
      </c>
      <c r="B1943" s="65" t="s">
        <v>107</v>
      </c>
      <c r="C1943" s="59" t="s">
        <v>108</v>
      </c>
      <c r="D1943" s="59" t="s">
        <v>146</v>
      </c>
      <c r="F1943" s="156" t="s">
        <v>11479</v>
      </c>
      <c r="G1943" s="1441" t="s">
        <v>11480</v>
      </c>
      <c r="H1943" s="156" t="s">
        <v>146</v>
      </c>
      <c r="I1943" s="526">
        <v>45690.0</v>
      </c>
      <c r="J1943" s="1368">
        <v>45693.0</v>
      </c>
      <c r="K1943" s="156" t="s">
        <v>11492</v>
      </c>
      <c r="L1943" s="65"/>
      <c r="M1943" s="1902" t="s">
        <v>11484</v>
      </c>
      <c r="N1943" s="434" t="s">
        <v>4486</v>
      </c>
      <c r="O1943" s="153">
        <v>2.0</v>
      </c>
      <c r="P1943" s="1573" t="s">
        <v>7208</v>
      </c>
      <c r="Q1943" s="49" t="str">
        <f t="array" ref="Q1943"> if(iserror(MATCH(V1943, 'File Links'!C:C, 0)), "N/A", HYPERLINK(INDEX('File Links'!B:B, MATCH(P1943, 'File Links'!C:C, 0))))</f>
        <v>https://drive.google.com/file/d/1WZ-wmp0ZBZO-MwxvYanAL8j3J4k47183/view?usp=drivesdk</v>
      </c>
      <c r="R1943" s="156" t="s">
        <v>11485</v>
      </c>
      <c r="S1943" s="436" t="s">
        <v>11486</v>
      </c>
      <c r="T1943" s="1906" t="s">
        <v>11487</v>
      </c>
      <c r="U1943" s="333">
        <v>1.0</v>
      </c>
      <c r="V1943" s="195" t="str">
        <f t="shared" si="122"/>
        <v>10.1027--1864-9335--a000186.pdf</v>
      </c>
      <c r="W1943" s="156" t="s">
        <v>3563</v>
      </c>
      <c r="X1943" s="51" t="str">
        <f t="array" ref="X1943"> if(iserror(MATCH(V1943, 'File Links'!C:C, 0)), "N/A", HYPERLINK(INDEX('File Links'!B:B, MATCH(V1943, 'File Links'!C:C, 0))))</f>
        <v>https://drive.google.com/file/d/1tKM1PILFcJ_p1wV0Jul0zI6ZVlWSKpjf/view?usp=drivesdk</v>
      </c>
      <c r="Y1943" s="65"/>
      <c r="Z1943" s="156" t="s">
        <v>219</v>
      </c>
      <c r="AA1943" s="156" t="s">
        <v>11493</v>
      </c>
      <c r="AB1943" s="434" t="s">
        <v>11494</v>
      </c>
      <c r="AC1943" s="156" t="s">
        <v>11489</v>
      </c>
      <c r="AD1943" s="156" t="s">
        <v>11495</v>
      </c>
      <c r="AE1943" s="153">
        <v>4.0</v>
      </c>
      <c r="AF1943" s="153">
        <v>43.0</v>
      </c>
      <c r="AG1943" s="153">
        <v>0.16</v>
      </c>
      <c r="AH1943" s="156" t="s">
        <v>132</v>
      </c>
      <c r="AI1943" s="156" t="s">
        <v>843</v>
      </c>
      <c r="AJ1943" s="334" t="s">
        <v>131</v>
      </c>
      <c r="AK1943" s="59" t="s">
        <v>131</v>
      </c>
      <c r="AL1943" s="54" t="s">
        <v>179</v>
      </c>
      <c r="AM1943" s="65" t="s">
        <v>130</v>
      </c>
      <c r="AN1943" s="1055" t="s">
        <v>131</v>
      </c>
      <c r="AO1943" s="333">
        <v>126.0</v>
      </c>
      <c r="AP1943" s="333">
        <v>0.005</v>
      </c>
      <c r="AQ1943" s="156" t="s">
        <v>166</v>
      </c>
      <c r="AR1943" s="156" t="s">
        <v>625</v>
      </c>
      <c r="AS1943" s="153">
        <v>0.97</v>
      </c>
      <c r="AT1943" s="156" t="s">
        <v>165</v>
      </c>
      <c r="AU1943" s="156" t="s">
        <v>179</v>
      </c>
      <c r="AV1943" s="65" t="s">
        <v>130</v>
      </c>
      <c r="AW1943" s="432" t="s">
        <v>11496</v>
      </c>
      <c r="AX1943" s="65" t="s">
        <v>136</v>
      </c>
      <c r="AZ1943" s="65" t="s">
        <v>1434</v>
      </c>
    </row>
    <row r="1944">
      <c r="A1944" s="41">
        <v>1944.0</v>
      </c>
      <c r="B1944" s="65" t="s">
        <v>145</v>
      </c>
      <c r="C1944" s="59" t="s">
        <v>108</v>
      </c>
      <c r="D1944" s="59" t="s">
        <v>1434</v>
      </c>
      <c r="F1944" s="156" t="s">
        <v>11497</v>
      </c>
      <c r="G1944" s="1441" t="s">
        <v>11498</v>
      </c>
      <c r="H1944" s="156" t="s">
        <v>11499</v>
      </c>
      <c r="I1944" s="526">
        <v>45690.0</v>
      </c>
      <c r="J1944" s="1368">
        <v>45693.0</v>
      </c>
      <c r="K1944" s="591" t="s">
        <v>11500</v>
      </c>
      <c r="L1944" s="65"/>
      <c r="M1944" s="1902" t="s">
        <v>11501</v>
      </c>
      <c r="N1944" s="156" t="s">
        <v>11502</v>
      </c>
      <c r="O1944" s="333">
        <v>2.0</v>
      </c>
      <c r="P1944" s="1573" t="s">
        <v>11503</v>
      </c>
      <c r="Q1944" s="49" t="str">
        <f t="array" ref="Q1944"> if(iserror(MATCH(V1944, 'File Links'!C:C, 0)), "N/A", HYPERLINK(INDEX('File Links'!B:B, MATCH(P1944, 'File Links'!C:C, 0))))</f>
        <v>https://drive.google.com/file/d/1H1LGxInHGwZQlib48Sk8tAS3t5eXTLL_/view?usp=drivesdk</v>
      </c>
      <c r="R1944" s="677" t="s">
        <v>11504</v>
      </c>
      <c r="S1944" s="156" t="s">
        <v>10686</v>
      </c>
      <c r="T1944" s="126"/>
      <c r="U1944" s="333">
        <v>1.0</v>
      </c>
      <c r="V1944" s="195" t="str">
        <f t="shared" si="122"/>
        <v>10.1126--science.aac4716.pdf</v>
      </c>
      <c r="W1944" s="65" t="s">
        <v>157</v>
      </c>
      <c r="X1944" s="51" t="str">
        <f t="array" ref="X1944"> if(iserror(MATCH(V1944, 'File Links'!C:C, 0)), "N/A", HYPERLINK(INDEX('File Links'!B:B, MATCH(V1944, 'File Links'!C:C, 0))))</f>
        <v>https://drive.google.com/file/d/1UMAh9VGta6ExS2-Lb6GkDF4fmnI2EMeM/view?usp=drivesdk</v>
      </c>
      <c r="Y1944" s="65"/>
      <c r="Z1944" s="65" t="s">
        <v>141</v>
      </c>
      <c r="AA1944" s="65" t="s">
        <v>11505</v>
      </c>
      <c r="AB1944" s="156" t="s">
        <v>11506</v>
      </c>
      <c r="AC1944" s="1907" t="s">
        <v>11507</v>
      </c>
      <c r="AD1944" s="65" t="s">
        <v>11508</v>
      </c>
      <c r="AE1944" s="333">
        <v>6.0</v>
      </c>
      <c r="AF1944" s="153">
        <v>8.0</v>
      </c>
      <c r="AG1944" s="65" t="s">
        <v>11509</v>
      </c>
      <c r="AH1944" s="65" t="s">
        <v>127</v>
      </c>
      <c r="AI1944" s="65" t="s">
        <v>133</v>
      </c>
      <c r="AJ1944" s="334">
        <v>0.001</v>
      </c>
      <c r="AK1944" s="58" t="s">
        <v>128</v>
      </c>
      <c r="AL1944" s="58" t="s">
        <v>179</v>
      </c>
      <c r="AM1944" s="65" t="s">
        <v>130</v>
      </c>
      <c r="AN1944" s="1055" t="s">
        <v>131</v>
      </c>
      <c r="AO1944" s="153">
        <v>8.0</v>
      </c>
      <c r="AP1944" s="126" t="s">
        <v>11510</v>
      </c>
      <c r="AQ1944" s="65" t="s">
        <v>127</v>
      </c>
      <c r="AR1944" s="65" t="s">
        <v>210</v>
      </c>
      <c r="AS1944" s="333">
        <v>0.76</v>
      </c>
      <c r="AT1944" s="65" t="s">
        <v>165</v>
      </c>
      <c r="AU1944" s="65" t="s">
        <v>179</v>
      </c>
      <c r="AV1944" s="65" t="s">
        <v>130</v>
      </c>
      <c r="AW1944" s="432" t="s">
        <v>11511</v>
      </c>
      <c r="AX1944" s="65" t="s">
        <v>136</v>
      </c>
      <c r="AZ1944" s="65" t="s">
        <v>1434</v>
      </c>
    </row>
    <row r="1945">
      <c r="A1945" s="41">
        <v>1945.0</v>
      </c>
      <c r="B1945" s="65" t="s">
        <v>107</v>
      </c>
      <c r="C1945" s="59" t="s">
        <v>108</v>
      </c>
      <c r="D1945" s="59" t="s">
        <v>146</v>
      </c>
      <c r="F1945" s="156" t="s">
        <v>11497</v>
      </c>
      <c r="G1945" s="1441" t="s">
        <v>11498</v>
      </c>
      <c r="H1945" s="156" t="s">
        <v>11512</v>
      </c>
      <c r="I1945" s="526">
        <v>45690.0</v>
      </c>
      <c r="J1945" s="1368">
        <v>45693.0</v>
      </c>
      <c r="K1945" s="156" t="s">
        <v>11513</v>
      </c>
      <c r="L1945" s="65"/>
      <c r="M1945" s="1902" t="s">
        <v>11501</v>
      </c>
      <c r="N1945" s="156" t="s">
        <v>11502</v>
      </c>
      <c r="O1945" s="153">
        <v>2.0</v>
      </c>
      <c r="P1945" s="1573" t="s">
        <v>11503</v>
      </c>
      <c r="Q1945" s="49" t="str">
        <f t="array" ref="Q1945"> if(iserror(MATCH(V1945, 'File Links'!C:C, 0)), "N/A", HYPERLINK(INDEX('File Links'!B:B, MATCH(P1945, 'File Links'!C:C, 0))))</f>
        <v>https://drive.google.com/file/d/1H1LGxInHGwZQlib48Sk8tAS3t5eXTLL_/view?usp=drivesdk</v>
      </c>
      <c r="R1945" s="156" t="s">
        <v>11514</v>
      </c>
      <c r="S1945" s="156" t="s">
        <v>10686</v>
      </c>
      <c r="T1945" s="126"/>
      <c r="U1945" s="333">
        <v>1.0</v>
      </c>
      <c r="V1945" s="195" t="str">
        <f t="shared" si="122"/>
        <v>10.1126--science.aac4716.pdf</v>
      </c>
      <c r="W1945" s="156" t="s">
        <v>157</v>
      </c>
      <c r="X1945" s="51" t="str">
        <f t="array" ref="X1945"> if(iserror(MATCH(V1945, 'File Links'!C:C, 0)), "N/A", HYPERLINK(INDEX('File Links'!B:B, MATCH(V1945, 'File Links'!C:C, 0))))</f>
        <v>https://drive.google.com/file/d/1UMAh9VGta6ExS2-Lb6GkDF4fmnI2EMeM/view?usp=drivesdk</v>
      </c>
      <c r="Y1945" s="65"/>
      <c r="Z1945" s="156" t="s">
        <v>141</v>
      </c>
      <c r="AA1945" s="156" t="s">
        <v>11515</v>
      </c>
      <c r="AB1945" s="156" t="s">
        <v>11516</v>
      </c>
      <c r="AC1945" s="156" t="s">
        <v>11507</v>
      </c>
      <c r="AD1945" s="156" t="s">
        <v>11517</v>
      </c>
      <c r="AE1945" s="153">
        <v>6.0</v>
      </c>
      <c r="AF1945" s="153">
        <v>8.0</v>
      </c>
      <c r="AG1945" s="1057" t="s">
        <v>11518</v>
      </c>
      <c r="AH1945" s="156" t="s">
        <v>127</v>
      </c>
      <c r="AI1945" s="156" t="s">
        <v>133</v>
      </c>
      <c r="AJ1945" s="334">
        <v>0.001</v>
      </c>
      <c r="AK1945" s="54" t="s">
        <v>128</v>
      </c>
      <c r="AL1945" s="54" t="s">
        <v>179</v>
      </c>
      <c r="AM1945" s="65" t="s">
        <v>130</v>
      </c>
      <c r="AN1945" s="1055" t="s">
        <v>131</v>
      </c>
      <c r="AO1945" s="153">
        <v>8.0</v>
      </c>
      <c r="AP1945" s="156" t="s">
        <v>11510</v>
      </c>
      <c r="AQ1945" s="156" t="s">
        <v>127</v>
      </c>
      <c r="AR1945" s="156" t="s">
        <v>210</v>
      </c>
      <c r="AS1945" s="153">
        <v>0.76</v>
      </c>
      <c r="AT1945" s="156" t="s">
        <v>165</v>
      </c>
      <c r="AU1945" s="156" t="s">
        <v>179</v>
      </c>
      <c r="AV1945" s="65" t="s">
        <v>130</v>
      </c>
      <c r="AW1945" s="432" t="s">
        <v>11519</v>
      </c>
      <c r="AX1945" s="65" t="s">
        <v>136</v>
      </c>
      <c r="AZ1945" s="65" t="s">
        <v>1434</v>
      </c>
    </row>
    <row r="1946">
      <c r="A1946" s="41">
        <v>1946.0</v>
      </c>
      <c r="B1946" s="65" t="s">
        <v>107</v>
      </c>
      <c r="C1946" s="59" t="s">
        <v>108</v>
      </c>
      <c r="D1946" s="59" t="s">
        <v>1434</v>
      </c>
      <c r="F1946" s="156" t="s">
        <v>11520</v>
      </c>
      <c r="G1946" s="1441" t="s">
        <v>11521</v>
      </c>
      <c r="H1946" s="156" t="s">
        <v>11522</v>
      </c>
      <c r="I1946" s="526">
        <v>45690.0</v>
      </c>
      <c r="J1946" s="1368">
        <v>45693.0</v>
      </c>
      <c r="K1946" s="65"/>
      <c r="L1946" s="65"/>
      <c r="M1946" s="1902" t="s">
        <v>11523</v>
      </c>
      <c r="N1946" s="156" t="s">
        <v>11524</v>
      </c>
      <c r="O1946" s="333">
        <v>1.0</v>
      </c>
      <c r="P1946" s="1573" t="s">
        <v>11525</v>
      </c>
      <c r="Q1946" s="49" t="str">
        <f t="array" ref="Q1946"> if(iserror(MATCH(V1946, 'File Links'!C:C, 0)), "N/A", HYPERLINK(INDEX('File Links'!B:B, MATCH(P1946, 'File Links'!C:C, 0))))</f>
        <v>https://drive.google.com/file/d/1-FUitYcnAKMu52rxwYLJUGd9TwUYmGfa/view?usp=drivesdk</v>
      </c>
      <c r="R1946" s="156" t="s">
        <v>11526</v>
      </c>
      <c r="S1946" s="156" t="s">
        <v>10686</v>
      </c>
      <c r="T1946" s="126"/>
      <c r="U1946" s="333">
        <v>1.0</v>
      </c>
      <c r="V1946" s="195" t="str">
        <f t="shared" si="122"/>
        <v>10.1126--science.aac4716.pdf</v>
      </c>
      <c r="W1946" s="65" t="s">
        <v>157</v>
      </c>
      <c r="X1946" s="51" t="str">
        <f t="array" ref="X1946"> if(iserror(MATCH(V1946, 'File Links'!C:C, 0)), "N/A", HYPERLINK(INDEX('File Links'!B:B, MATCH(V1946, 'File Links'!C:C, 0))))</f>
        <v>https://drive.google.com/file/d/1UMAh9VGta6ExS2-Lb6GkDF4fmnI2EMeM/view?usp=drivesdk</v>
      </c>
      <c r="Y1946" s="65"/>
      <c r="Z1946" s="65" t="s">
        <v>219</v>
      </c>
      <c r="AA1946" s="65" t="s">
        <v>11527</v>
      </c>
      <c r="AB1946" s="65" t="s">
        <v>11528</v>
      </c>
      <c r="AC1946" s="65" t="s">
        <v>11529</v>
      </c>
      <c r="AD1946" s="65" t="s">
        <v>11530</v>
      </c>
      <c r="AE1946" s="333">
        <v>3.0</v>
      </c>
      <c r="AF1946" s="333">
        <v>70.0</v>
      </c>
      <c r="AG1946" s="333">
        <v>-0.43</v>
      </c>
      <c r="AH1946" s="65" t="s">
        <v>208</v>
      </c>
      <c r="AI1946" s="65" t="s">
        <v>210</v>
      </c>
      <c r="AJ1946" s="335" t="s">
        <v>131</v>
      </c>
      <c r="AK1946" s="58"/>
      <c r="AL1946" s="58" t="s">
        <v>129</v>
      </c>
      <c r="AM1946" s="65" t="s">
        <v>130</v>
      </c>
      <c r="AN1946" s="1055" t="s">
        <v>131</v>
      </c>
      <c r="AO1946" s="333">
        <v>16.0</v>
      </c>
      <c r="AP1946" s="333">
        <v>-0.11</v>
      </c>
      <c r="AQ1946" s="65" t="s">
        <v>208</v>
      </c>
      <c r="AR1946" s="65" t="s">
        <v>806</v>
      </c>
      <c r="AS1946" s="65" t="s">
        <v>131</v>
      </c>
      <c r="AT1946" s="65"/>
      <c r="AU1946" s="65" t="s">
        <v>129</v>
      </c>
      <c r="AV1946" s="65" t="s">
        <v>130</v>
      </c>
      <c r="AW1946" s="1790" t="s">
        <v>11531</v>
      </c>
      <c r="AX1946" s="65" t="s">
        <v>144</v>
      </c>
      <c r="AZ1946" s="65" t="s">
        <v>1434</v>
      </c>
    </row>
    <row r="1947">
      <c r="A1947" s="41">
        <v>1947.0</v>
      </c>
      <c r="B1947" s="65" t="s">
        <v>145</v>
      </c>
      <c r="C1947" s="59" t="s">
        <v>108</v>
      </c>
      <c r="D1947" s="59" t="s">
        <v>146</v>
      </c>
      <c r="F1947" s="156" t="s">
        <v>11520</v>
      </c>
      <c r="G1947" s="1441" t="s">
        <v>11521</v>
      </c>
      <c r="H1947" s="156" t="s">
        <v>146</v>
      </c>
      <c r="I1947" s="526">
        <v>45690.0</v>
      </c>
      <c r="J1947" s="1368">
        <v>45693.0</v>
      </c>
      <c r="K1947" s="156" t="s">
        <v>11532</v>
      </c>
      <c r="L1947" s="65" t="s">
        <v>11533</v>
      </c>
      <c r="M1947" s="1902" t="s">
        <v>11523</v>
      </c>
      <c r="N1947" s="434" t="s">
        <v>11524</v>
      </c>
      <c r="O1947" s="153">
        <v>1.0</v>
      </c>
      <c r="P1947" s="1573" t="s">
        <v>11525</v>
      </c>
      <c r="Q1947" s="49" t="str">
        <f t="array" ref="Q1947"> if(iserror(MATCH(V1947, 'File Links'!C:C, 0)), "N/A", HYPERLINK(INDEX('File Links'!B:B, MATCH(P1947, 'File Links'!C:C, 0))))</f>
        <v>https://drive.google.com/file/d/1-FUitYcnAKMu52rxwYLJUGd9TwUYmGfa/view?usp=drivesdk</v>
      </c>
      <c r="R1947" s="156" t="s">
        <v>11526</v>
      </c>
      <c r="S1947" s="434" t="s">
        <v>10686</v>
      </c>
      <c r="T1947" s="126"/>
      <c r="U1947" s="333">
        <v>1.0</v>
      </c>
      <c r="V1947" s="195" t="str">
        <f t="shared" si="122"/>
        <v>10.1126--science.aac4716.pdf</v>
      </c>
      <c r="W1947" s="65" t="s">
        <v>157</v>
      </c>
      <c r="X1947" s="51" t="str">
        <f t="array" ref="X1947"> if(iserror(MATCH(V1947, 'File Links'!C:C, 0)), "N/A", HYPERLINK(INDEX('File Links'!B:B, MATCH(V1947, 'File Links'!C:C, 0))))</f>
        <v>https://drive.google.com/file/d/1UMAh9VGta6ExS2-Lb6GkDF4fmnI2EMeM/view?usp=drivesdk</v>
      </c>
      <c r="Y1947" s="65"/>
      <c r="Z1947" s="156" t="s">
        <v>219</v>
      </c>
      <c r="AA1947" s="156" t="s">
        <v>11534</v>
      </c>
      <c r="AB1947" s="829" t="s">
        <v>11535</v>
      </c>
      <c r="AC1947" s="829" t="s">
        <v>11536</v>
      </c>
      <c r="AD1947" s="1903" t="s">
        <v>11530</v>
      </c>
      <c r="AE1947" s="333">
        <v>3.0</v>
      </c>
      <c r="AF1947" s="333">
        <v>70.0</v>
      </c>
      <c r="AG1947" s="333">
        <v>-0.43</v>
      </c>
      <c r="AH1947" s="156" t="s">
        <v>208</v>
      </c>
      <c r="AI1947" s="65" t="s">
        <v>210</v>
      </c>
      <c r="AJ1947" s="335"/>
      <c r="AK1947" s="58"/>
      <c r="AL1947" s="54" t="s">
        <v>129</v>
      </c>
      <c r="AM1947" s="65" t="s">
        <v>130</v>
      </c>
      <c r="AN1947" s="1055" t="s">
        <v>131</v>
      </c>
      <c r="AO1947" s="333">
        <v>16.0</v>
      </c>
      <c r="AP1947" s="333">
        <v>-0.11</v>
      </c>
      <c r="AQ1947" s="156" t="s">
        <v>208</v>
      </c>
      <c r="AR1947" s="65" t="s">
        <v>806</v>
      </c>
      <c r="AS1947" s="65"/>
      <c r="AT1947" s="216" t="s">
        <v>131</v>
      </c>
      <c r="AU1947" s="156" t="s">
        <v>129</v>
      </c>
      <c r="AV1947" s="65" t="s">
        <v>130</v>
      </c>
      <c r="AW1947" s="432" t="s">
        <v>11537</v>
      </c>
      <c r="AX1947" s="65" t="s">
        <v>144</v>
      </c>
      <c r="AZ1947" s="65" t="s">
        <v>1434</v>
      </c>
    </row>
    <row r="1948">
      <c r="A1948" s="41">
        <v>1948.0</v>
      </c>
      <c r="B1948" s="65" t="s">
        <v>145</v>
      </c>
      <c r="C1948" s="59" t="s">
        <v>108</v>
      </c>
      <c r="D1948" s="59" t="s">
        <v>1434</v>
      </c>
      <c r="F1948" s="156" t="s">
        <v>11538</v>
      </c>
      <c r="G1948" s="1441" t="s">
        <v>11539</v>
      </c>
      <c r="H1948" s="156" t="s">
        <v>11540</v>
      </c>
      <c r="I1948" s="526">
        <v>45690.0</v>
      </c>
      <c r="J1948" s="1368">
        <v>45693.0</v>
      </c>
      <c r="K1948" s="65"/>
      <c r="L1948" s="65" t="s">
        <v>11541</v>
      </c>
      <c r="M1948" s="1902" t="s">
        <v>11542</v>
      </c>
      <c r="N1948" s="156" t="s">
        <v>11543</v>
      </c>
      <c r="O1948" s="333">
        <v>2.0</v>
      </c>
      <c r="P1948" s="1573" t="s">
        <v>11544</v>
      </c>
      <c r="Q1948" s="49" t="str">
        <f t="array" ref="Q1948"> if(iserror(MATCH(V1948, 'File Links'!C:C, 0)), "N/A", HYPERLINK(INDEX('File Links'!B:B, MATCH(P1948, 'File Links'!C:C, 0))))</f>
        <v>https://drive.google.com/file/d/1RWYs4BxngJFHCjARwIfsUfl_7-oYLebS/view?usp=drivesdk</v>
      </c>
      <c r="R1948" s="156" t="s">
        <v>11545</v>
      </c>
      <c r="S1948" s="434" t="s">
        <v>10686</v>
      </c>
      <c r="T1948" s="126"/>
      <c r="U1948" s="333">
        <v>1.0</v>
      </c>
      <c r="V1948" s="195" t="str">
        <f t="shared" si="122"/>
        <v>10.1126--science.aac4716.pdf</v>
      </c>
      <c r="W1948" s="65" t="s">
        <v>157</v>
      </c>
      <c r="X1948" s="51" t="str">
        <f t="array" ref="X1948"> if(iserror(MATCH(V1948, 'File Links'!C:C, 0)), "N/A", HYPERLINK(INDEX('File Links'!B:B, MATCH(V1948, 'File Links'!C:C, 0))))</f>
        <v>https://drive.google.com/file/d/1UMAh9VGta6ExS2-Lb6GkDF4fmnI2EMeM/view?usp=drivesdk</v>
      </c>
      <c r="Y1948" s="65"/>
      <c r="Z1948" s="65" t="s">
        <v>219</v>
      </c>
      <c r="AA1948" s="65" t="s">
        <v>11546</v>
      </c>
      <c r="AB1948" s="156" t="s">
        <v>11547</v>
      </c>
      <c r="AC1948" s="1907" t="s">
        <v>11548</v>
      </c>
      <c r="AD1948" s="65" t="s">
        <v>11549</v>
      </c>
      <c r="AE1948" s="333">
        <v>4.0</v>
      </c>
      <c r="AF1948" s="153">
        <v>53.0</v>
      </c>
      <c r="AG1948" s="333">
        <v>-0.31</v>
      </c>
      <c r="AH1948" s="65" t="s">
        <v>208</v>
      </c>
      <c r="AI1948" s="65" t="s">
        <v>843</v>
      </c>
      <c r="AJ1948" s="334">
        <v>0.05</v>
      </c>
      <c r="AK1948" s="58" t="s">
        <v>128</v>
      </c>
      <c r="AL1948" s="58" t="s">
        <v>179</v>
      </c>
      <c r="AM1948" s="65" t="s">
        <v>130</v>
      </c>
      <c r="AN1948" s="1055" t="s">
        <v>131</v>
      </c>
      <c r="AO1948" s="153">
        <v>72.0</v>
      </c>
      <c r="AP1948" s="333">
        <v>0.034</v>
      </c>
      <c r="AQ1948" s="65" t="s">
        <v>208</v>
      </c>
      <c r="AR1948" s="65" t="s">
        <v>133</v>
      </c>
      <c r="AS1948" s="333">
        <v>0.78</v>
      </c>
      <c r="AT1948" s="65" t="s">
        <v>165</v>
      </c>
      <c r="AU1948" s="65" t="s">
        <v>129</v>
      </c>
      <c r="AV1948" s="65" t="s">
        <v>130</v>
      </c>
      <c r="AW1948" s="1790" t="s">
        <v>11550</v>
      </c>
      <c r="AX1948" s="65" t="s">
        <v>136</v>
      </c>
      <c r="AZ1948" s="65" t="s">
        <v>1434</v>
      </c>
    </row>
    <row r="1949">
      <c r="A1949" s="41">
        <v>1949.0</v>
      </c>
      <c r="B1949" s="65" t="s">
        <v>107</v>
      </c>
      <c r="C1949" s="59" t="s">
        <v>108</v>
      </c>
      <c r="D1949" s="59" t="s">
        <v>146</v>
      </c>
      <c r="F1949" s="156" t="s">
        <v>11538</v>
      </c>
      <c r="G1949" s="1441" t="s">
        <v>11539</v>
      </c>
      <c r="H1949" s="156" t="s">
        <v>146</v>
      </c>
      <c r="I1949" s="526">
        <v>45690.0</v>
      </c>
      <c r="J1949" s="1368">
        <v>45693.0</v>
      </c>
      <c r="K1949" s="65"/>
      <c r="L1949" s="65"/>
      <c r="M1949" s="1902" t="s">
        <v>11542</v>
      </c>
      <c r="N1949" s="156" t="s">
        <v>11543</v>
      </c>
      <c r="O1949" s="153">
        <v>2.0</v>
      </c>
      <c r="P1949" s="1573" t="s">
        <v>11544</v>
      </c>
      <c r="Q1949" s="49" t="str">
        <f t="array" ref="Q1949"> if(iserror(MATCH(V1949, 'File Links'!C:C, 0)), "N/A", HYPERLINK(INDEX('File Links'!B:B, MATCH(P1949, 'File Links'!C:C, 0))))</f>
        <v>https://drive.google.com/file/d/1RWYs4BxngJFHCjARwIfsUfl_7-oYLebS/view?usp=drivesdk</v>
      </c>
      <c r="R1949" s="156" t="s">
        <v>11545</v>
      </c>
      <c r="S1949" s="434" t="s">
        <v>10686</v>
      </c>
      <c r="T1949" s="126"/>
      <c r="U1949" s="333">
        <v>1.0</v>
      </c>
      <c r="V1949" s="195" t="str">
        <f t="shared" si="122"/>
        <v>10.1126--science.aac4716.pdf</v>
      </c>
      <c r="W1949" s="156" t="s">
        <v>157</v>
      </c>
      <c r="X1949" s="51" t="str">
        <f t="array" ref="X1949"> if(iserror(MATCH(V1949, 'File Links'!C:C, 0)), "N/A", HYPERLINK(INDEX('File Links'!B:B, MATCH(V1949, 'File Links'!C:C, 0))))</f>
        <v>https://drive.google.com/file/d/1UMAh9VGta6ExS2-Lb6GkDF4fmnI2EMeM/view?usp=drivesdk</v>
      </c>
      <c r="Y1949" s="65"/>
      <c r="Z1949" s="156" t="s">
        <v>219</v>
      </c>
      <c r="AA1949" s="156" t="s">
        <v>11546</v>
      </c>
      <c r="AB1949" s="156" t="s">
        <v>11551</v>
      </c>
      <c r="AC1949" s="156" t="s">
        <v>11548</v>
      </c>
      <c r="AD1949" s="156" t="s">
        <v>11552</v>
      </c>
      <c r="AE1949" s="153">
        <v>4.0</v>
      </c>
      <c r="AF1949" s="153">
        <v>53.0</v>
      </c>
      <c r="AG1949" s="153">
        <v>-0.31</v>
      </c>
      <c r="AH1949" s="156" t="s">
        <v>208</v>
      </c>
      <c r="AI1949" s="156" t="s">
        <v>843</v>
      </c>
      <c r="AJ1949" s="334">
        <v>0.05</v>
      </c>
      <c r="AK1949" s="54" t="s">
        <v>128</v>
      </c>
      <c r="AL1949" s="54" t="s">
        <v>179</v>
      </c>
      <c r="AM1949" s="65" t="s">
        <v>130</v>
      </c>
      <c r="AN1949" s="1055" t="s">
        <v>131</v>
      </c>
      <c r="AO1949" s="153">
        <v>72.0</v>
      </c>
      <c r="AP1949" s="153">
        <v>0.034</v>
      </c>
      <c r="AQ1949" s="156" t="s">
        <v>208</v>
      </c>
      <c r="AR1949" s="156" t="s">
        <v>133</v>
      </c>
      <c r="AS1949" s="153">
        <v>0.78</v>
      </c>
      <c r="AT1949" s="156" t="s">
        <v>165</v>
      </c>
      <c r="AU1949" s="156" t="s">
        <v>129</v>
      </c>
      <c r="AV1949" s="65" t="s">
        <v>130</v>
      </c>
      <c r="AW1949" s="432" t="s">
        <v>11553</v>
      </c>
      <c r="AX1949" s="65" t="s">
        <v>136</v>
      </c>
      <c r="AZ1949" s="65" t="s">
        <v>1434</v>
      </c>
    </row>
    <row r="1950">
      <c r="A1950" s="41">
        <v>1950.0</v>
      </c>
      <c r="B1950" s="65" t="s">
        <v>145</v>
      </c>
      <c r="C1950" s="59" t="s">
        <v>108</v>
      </c>
      <c r="D1950" s="59" t="s">
        <v>1434</v>
      </c>
      <c r="F1950" s="156" t="s">
        <v>11554</v>
      </c>
      <c r="G1950" s="1441" t="s">
        <v>11555</v>
      </c>
      <c r="H1950" s="156" t="s">
        <v>11556</v>
      </c>
      <c r="I1950" s="526">
        <v>45690.0</v>
      </c>
      <c r="J1950" s="1368">
        <v>45693.0</v>
      </c>
      <c r="K1950" s="65" t="s">
        <v>11557</v>
      </c>
      <c r="L1950" s="65"/>
      <c r="M1950" s="1902" t="s">
        <v>11558</v>
      </c>
      <c r="N1950" s="434" t="s">
        <v>11559</v>
      </c>
      <c r="O1950" s="333">
        <v>1.0</v>
      </c>
      <c r="P1950" s="1573" t="s">
        <v>11560</v>
      </c>
      <c r="Q1950" s="49" t="str">
        <f t="array" ref="Q1950"> if(iserror(MATCH(V1950, 'File Links'!C:C, 0)), "N/A", HYPERLINK(INDEX('File Links'!B:B, MATCH(P1950, 'File Links'!C:C, 0))))</f>
        <v>https://drive.google.com/file/d/1HlSsul-f2PZvtm7eAB3JNvLefgA9BMVI/view?usp=drivesdk</v>
      </c>
      <c r="R1950" s="156" t="s">
        <v>11561</v>
      </c>
      <c r="S1950" s="434" t="s">
        <v>10686</v>
      </c>
      <c r="T1950" s="65"/>
      <c r="U1950" s="333">
        <v>1.0</v>
      </c>
      <c r="V1950" s="195" t="str">
        <f t="shared" si="122"/>
        <v>10.1126--science.aac4716.pdf</v>
      </c>
      <c r="W1950" s="65" t="s">
        <v>157</v>
      </c>
      <c r="X1950" s="51" t="str">
        <f t="array" ref="X1950"> if(iserror(MATCH(V1950, 'File Links'!C:C, 0)), "N/A", HYPERLINK(INDEX('File Links'!B:B, MATCH(V1950, 'File Links'!C:C, 0))))</f>
        <v>https://drive.google.com/file/d/1UMAh9VGta6ExS2-Lb6GkDF4fmnI2EMeM/view?usp=drivesdk</v>
      </c>
      <c r="Y1950" s="65"/>
      <c r="Z1950" s="65" t="s">
        <v>141</v>
      </c>
      <c r="AA1950" s="65" t="s">
        <v>11562</v>
      </c>
      <c r="AB1950" s="156" t="s">
        <v>11563</v>
      </c>
      <c r="AC1950" s="156" t="s">
        <v>11564</v>
      </c>
      <c r="AD1950" s="65" t="s">
        <v>11565</v>
      </c>
      <c r="AE1950" s="333">
        <v>5.0</v>
      </c>
      <c r="AF1950" s="153">
        <v>40.0</v>
      </c>
      <c r="AG1950" s="333">
        <v>0.14</v>
      </c>
      <c r="AH1950" s="65" t="s">
        <v>132</v>
      </c>
      <c r="AI1950" s="65" t="s">
        <v>806</v>
      </c>
      <c r="AJ1950" s="335" t="s">
        <v>131</v>
      </c>
      <c r="AK1950" s="58"/>
      <c r="AL1950" s="58" t="s">
        <v>179</v>
      </c>
      <c r="AM1950" s="65" t="s">
        <v>134</v>
      </c>
      <c r="AN1950" s="1055" t="s">
        <v>131</v>
      </c>
      <c r="AO1950" s="333">
        <v>95.0</v>
      </c>
      <c r="AP1950" s="333">
        <v>0.17</v>
      </c>
      <c r="AQ1950" s="65" t="s">
        <v>867</v>
      </c>
      <c r="AR1950" s="65" t="s">
        <v>606</v>
      </c>
      <c r="AS1950" s="333">
        <v>3.5E-5</v>
      </c>
      <c r="AT1950" s="65" t="s">
        <v>165</v>
      </c>
      <c r="AU1950" s="65" t="s">
        <v>179</v>
      </c>
      <c r="AV1950" s="65" t="s">
        <v>134</v>
      </c>
      <c r="AW1950" s="432" t="s">
        <v>11566</v>
      </c>
      <c r="AX1950" s="65" t="s">
        <v>144</v>
      </c>
      <c r="AZ1950" s="65" t="s">
        <v>1434</v>
      </c>
    </row>
    <row r="1951">
      <c r="A1951" s="41">
        <v>1951.0</v>
      </c>
      <c r="B1951" s="65" t="s">
        <v>107</v>
      </c>
      <c r="C1951" s="59" t="s">
        <v>108</v>
      </c>
      <c r="D1951" s="59" t="s">
        <v>146</v>
      </c>
      <c r="F1951" s="156" t="s">
        <v>11554</v>
      </c>
      <c r="G1951" s="1441" t="s">
        <v>11555</v>
      </c>
      <c r="H1951" s="156" t="s">
        <v>146</v>
      </c>
      <c r="I1951" s="526">
        <v>45690.0</v>
      </c>
      <c r="J1951" s="1368">
        <v>45693.0</v>
      </c>
      <c r="K1951" s="156" t="s">
        <v>11567</v>
      </c>
      <c r="L1951" s="65"/>
      <c r="M1951" s="1902" t="s">
        <v>11558</v>
      </c>
      <c r="N1951" s="434" t="s">
        <v>11559</v>
      </c>
      <c r="O1951" s="153">
        <v>1.0</v>
      </c>
      <c r="P1951" s="1573" t="s">
        <v>11560</v>
      </c>
      <c r="Q1951" s="49" t="str">
        <f t="array" ref="Q1951"> if(iserror(MATCH(V1951, 'File Links'!C:C, 0)), "N/A", HYPERLINK(INDEX('File Links'!B:B, MATCH(P1951, 'File Links'!C:C, 0))))</f>
        <v>https://drive.google.com/file/d/1HlSsul-f2PZvtm7eAB3JNvLefgA9BMVI/view?usp=drivesdk</v>
      </c>
      <c r="R1951" s="156" t="s">
        <v>11561</v>
      </c>
      <c r="S1951" s="434" t="s">
        <v>10686</v>
      </c>
      <c r="T1951" s="65"/>
      <c r="U1951" s="333">
        <v>1.0</v>
      </c>
      <c r="V1951" s="195" t="str">
        <f t="shared" si="122"/>
        <v>10.1126--science.aac4716.pdf</v>
      </c>
      <c r="W1951" s="156" t="s">
        <v>157</v>
      </c>
      <c r="X1951" s="51" t="str">
        <f t="array" ref="X1951"> if(iserror(MATCH(V1951, 'File Links'!C:C, 0)), "N/A", HYPERLINK(INDEX('File Links'!B:B, MATCH(V1951, 'File Links'!C:C, 0))))</f>
        <v>https://drive.google.com/file/d/1UMAh9VGta6ExS2-Lb6GkDF4fmnI2EMeM/view?usp=drivesdk</v>
      </c>
      <c r="Y1951" s="65"/>
      <c r="Z1951" s="65" t="s">
        <v>141</v>
      </c>
      <c r="AA1951" s="65" t="s">
        <v>11562</v>
      </c>
      <c r="AB1951" s="65" t="s">
        <v>11568</v>
      </c>
      <c r="AC1951" s="65" t="s">
        <v>11569</v>
      </c>
      <c r="AD1951" s="1908"/>
      <c r="AE1951" s="333">
        <v>5.0</v>
      </c>
      <c r="AF1951" s="333">
        <v>40.0</v>
      </c>
      <c r="AG1951" s="333">
        <v>0.14</v>
      </c>
      <c r="AH1951" s="65" t="s">
        <v>132</v>
      </c>
      <c r="AI1951" s="65" t="s">
        <v>806</v>
      </c>
      <c r="AJ1951" s="335" t="s">
        <v>131</v>
      </c>
      <c r="AK1951" s="58"/>
      <c r="AL1951" s="58" t="s">
        <v>179</v>
      </c>
      <c r="AM1951" s="65" t="s">
        <v>134</v>
      </c>
      <c r="AN1951" s="1055" t="s">
        <v>131</v>
      </c>
      <c r="AO1951" s="333">
        <v>95.0</v>
      </c>
      <c r="AP1951" s="333">
        <v>0.17</v>
      </c>
      <c r="AQ1951" s="1908" t="s">
        <v>132</v>
      </c>
      <c r="AR1951" s="65" t="s">
        <v>606</v>
      </c>
      <c r="AS1951" s="333">
        <v>3.5E-5</v>
      </c>
      <c r="AT1951" s="65" t="s">
        <v>165</v>
      </c>
      <c r="AU1951" s="65" t="s">
        <v>179</v>
      </c>
      <c r="AV1951" s="65" t="s">
        <v>134</v>
      </c>
      <c r="AW1951" s="432" t="s">
        <v>11570</v>
      </c>
      <c r="AX1951" s="65" t="s">
        <v>144</v>
      </c>
      <c r="AZ1951" s="65" t="s">
        <v>1434</v>
      </c>
    </row>
    <row r="1952">
      <c r="A1952" s="41">
        <v>1952.0</v>
      </c>
      <c r="B1952" s="65" t="s">
        <v>145</v>
      </c>
      <c r="C1952" s="59" t="s">
        <v>108</v>
      </c>
      <c r="D1952" s="59" t="s">
        <v>1434</v>
      </c>
      <c r="F1952" s="156" t="s">
        <v>11571</v>
      </c>
      <c r="G1952" s="1441" t="s">
        <v>11572</v>
      </c>
      <c r="H1952" s="156" t="s">
        <v>11573</v>
      </c>
      <c r="I1952" s="526">
        <v>45690.0</v>
      </c>
      <c r="J1952" s="1368">
        <v>45693.0</v>
      </c>
      <c r="K1952" s="65"/>
      <c r="L1952" s="65" t="s">
        <v>11574</v>
      </c>
      <c r="M1952" s="1902" t="s">
        <v>11575</v>
      </c>
      <c r="N1952" s="156" t="s">
        <v>11576</v>
      </c>
      <c r="O1952" s="333">
        <v>3.0</v>
      </c>
      <c r="P1952" s="1573" t="s">
        <v>11577</v>
      </c>
      <c r="Q1952" s="49" t="str">
        <f t="array" ref="Q1952"> if(iserror(MATCH(V1952, 'File Links'!C:C, 0)), "N/A", HYPERLINK(INDEX('File Links'!B:B, MATCH(P1952, 'File Links'!C:C, 0))))</f>
        <v>https://drive.google.com/file/d/1xJDFi9AZRlHlZ8zxZ8pogfKFGSJiXpeB/view?usp=drivesdk</v>
      </c>
      <c r="R1952" s="156" t="s">
        <v>11578</v>
      </c>
      <c r="S1952" s="434" t="s">
        <v>10686</v>
      </c>
      <c r="T1952" s="126"/>
      <c r="U1952" s="333">
        <v>1.0</v>
      </c>
      <c r="V1952" s="195" t="str">
        <f t="shared" si="122"/>
        <v>10.1126--science.aac4716.pdf</v>
      </c>
      <c r="W1952" s="65" t="s">
        <v>157</v>
      </c>
      <c r="X1952" s="51" t="str">
        <f t="array" ref="X1952"> if(iserror(MATCH(V1952, 'File Links'!C:C, 0)), "N/A", HYPERLINK(INDEX('File Links'!B:B, MATCH(V1952, 'File Links'!C:C, 0))))</f>
        <v>https://drive.google.com/file/d/1UMAh9VGta6ExS2-Lb6GkDF4fmnI2EMeM/view?usp=drivesdk</v>
      </c>
      <c r="Y1952" s="65"/>
      <c r="Z1952" s="65" t="s">
        <v>141</v>
      </c>
      <c r="AA1952" s="65" t="s">
        <v>11579</v>
      </c>
      <c r="AB1952" s="156" t="s">
        <v>11580</v>
      </c>
      <c r="AC1952" s="156" t="s">
        <v>11581</v>
      </c>
      <c r="AD1952" s="65" t="s">
        <v>11582</v>
      </c>
      <c r="AE1952" s="333">
        <v>5.0</v>
      </c>
      <c r="AF1952" s="153">
        <v>48.0</v>
      </c>
      <c r="AG1952" s="357" t="s">
        <v>11583</v>
      </c>
      <c r="AH1952" s="65" t="s">
        <v>127</v>
      </c>
      <c r="AI1952" s="65" t="s">
        <v>4617</v>
      </c>
      <c r="AJ1952" s="334">
        <v>0.01</v>
      </c>
      <c r="AK1952" s="58" t="s">
        <v>128</v>
      </c>
      <c r="AL1952" s="58" t="s">
        <v>179</v>
      </c>
      <c r="AM1952" s="65" t="s">
        <v>130</v>
      </c>
      <c r="AN1952" s="1055" t="s">
        <v>131</v>
      </c>
      <c r="AO1952" s="153">
        <v>48.0</v>
      </c>
      <c r="AP1952" s="333">
        <v>0.032</v>
      </c>
      <c r="AQ1952" s="65" t="s">
        <v>132</v>
      </c>
      <c r="AR1952" s="65" t="s">
        <v>125</v>
      </c>
      <c r="AS1952" s="333">
        <v>0.237</v>
      </c>
      <c r="AT1952" s="65" t="s">
        <v>165</v>
      </c>
      <c r="AU1952" s="65" t="s">
        <v>129</v>
      </c>
      <c r="AV1952" s="65" t="s">
        <v>130</v>
      </c>
      <c r="AW1952" s="432" t="s">
        <v>11584</v>
      </c>
      <c r="AX1952" s="65" t="s">
        <v>136</v>
      </c>
      <c r="AZ1952" s="65" t="s">
        <v>1434</v>
      </c>
    </row>
    <row r="1953">
      <c r="A1953" s="41">
        <v>1953.0</v>
      </c>
      <c r="B1953" s="65" t="s">
        <v>107</v>
      </c>
      <c r="C1953" s="59" t="s">
        <v>108</v>
      </c>
      <c r="D1953" s="59" t="s">
        <v>146</v>
      </c>
      <c r="F1953" s="156" t="s">
        <v>11571</v>
      </c>
      <c r="G1953" s="1441" t="s">
        <v>11572</v>
      </c>
      <c r="H1953" s="156" t="s">
        <v>146</v>
      </c>
      <c r="I1953" s="526">
        <v>45690.0</v>
      </c>
      <c r="J1953" s="1368">
        <v>45693.0</v>
      </c>
      <c r="K1953" s="156" t="s">
        <v>11585</v>
      </c>
      <c r="L1953" s="65"/>
      <c r="M1953" s="357" t="s">
        <v>11575</v>
      </c>
      <c r="N1953" s="156" t="s">
        <v>11576</v>
      </c>
      <c r="O1953" s="153">
        <v>3.0</v>
      </c>
      <c r="P1953" s="1573" t="s">
        <v>11577</v>
      </c>
      <c r="Q1953" s="49" t="str">
        <f t="array" ref="Q1953"> if(iserror(MATCH(V1953, 'File Links'!C:C, 0)), "N/A", HYPERLINK(INDEX('File Links'!B:B, MATCH(P1953, 'File Links'!C:C, 0))))</f>
        <v>https://drive.google.com/file/d/1xJDFi9AZRlHlZ8zxZ8pogfKFGSJiXpeB/view?usp=drivesdk</v>
      </c>
      <c r="R1953" s="156" t="s">
        <v>11578</v>
      </c>
      <c r="S1953" s="434" t="s">
        <v>10686</v>
      </c>
      <c r="T1953" s="126"/>
      <c r="U1953" s="333">
        <v>1.0</v>
      </c>
      <c r="V1953" s="195" t="str">
        <f t="shared" si="122"/>
        <v>10.1126--science.aac4716.pdf</v>
      </c>
      <c r="W1953" s="156" t="s">
        <v>157</v>
      </c>
      <c r="X1953" s="51" t="str">
        <f t="array" ref="X1953"> if(iserror(MATCH(V1953, 'File Links'!C:C, 0)), "N/A", HYPERLINK(INDEX('File Links'!B:B, MATCH(V1953, 'File Links'!C:C, 0))))</f>
        <v>https://drive.google.com/file/d/1UMAh9VGta6ExS2-Lb6GkDF4fmnI2EMeM/view?usp=drivesdk</v>
      </c>
      <c r="Y1953" s="65"/>
      <c r="Z1953" s="156" t="s">
        <v>141</v>
      </c>
      <c r="AA1953" s="156" t="s">
        <v>11579</v>
      </c>
      <c r="AB1953" s="156" t="s">
        <v>11586</v>
      </c>
      <c r="AC1953" s="156" t="s">
        <v>11587</v>
      </c>
      <c r="AD1953" s="156" t="s">
        <v>11588</v>
      </c>
      <c r="AE1953" s="153">
        <v>5.0</v>
      </c>
      <c r="AF1953" s="153">
        <v>48.0</v>
      </c>
      <c r="AG1953" s="156" t="s">
        <v>11583</v>
      </c>
      <c r="AH1953" s="156" t="s">
        <v>127</v>
      </c>
      <c r="AI1953" s="156" t="s">
        <v>806</v>
      </c>
      <c r="AJ1953" s="334">
        <v>0.01</v>
      </c>
      <c r="AK1953" s="54" t="s">
        <v>128</v>
      </c>
      <c r="AL1953" s="54" t="s">
        <v>179</v>
      </c>
      <c r="AM1953" s="65" t="s">
        <v>130</v>
      </c>
      <c r="AN1953" s="1055" t="s">
        <v>131</v>
      </c>
      <c r="AO1953" s="153">
        <v>48.0</v>
      </c>
      <c r="AP1953" s="153">
        <v>0.032</v>
      </c>
      <c r="AQ1953" s="156" t="s">
        <v>132</v>
      </c>
      <c r="AR1953" s="1909" t="s">
        <v>606</v>
      </c>
      <c r="AS1953" s="153">
        <v>0.237</v>
      </c>
      <c r="AT1953" s="156" t="s">
        <v>165</v>
      </c>
      <c r="AU1953" s="156" t="s">
        <v>129</v>
      </c>
      <c r="AV1953" s="65" t="s">
        <v>130</v>
      </c>
      <c r="AW1953" s="432" t="s">
        <v>11584</v>
      </c>
      <c r="AX1953" s="1908" t="s">
        <v>144</v>
      </c>
      <c r="AZ1953" s="65" t="s">
        <v>1434</v>
      </c>
    </row>
    <row r="1954">
      <c r="A1954" s="41">
        <v>1954.0</v>
      </c>
      <c r="B1954" s="65" t="s">
        <v>145</v>
      </c>
      <c r="C1954" s="59" t="s">
        <v>108</v>
      </c>
      <c r="D1954" s="59" t="s">
        <v>1434</v>
      </c>
      <c r="F1954" s="156" t="s">
        <v>11589</v>
      </c>
      <c r="G1954" s="1441" t="s">
        <v>11590</v>
      </c>
      <c r="H1954" s="156" t="s">
        <v>11591</v>
      </c>
      <c r="I1954" s="526">
        <v>45690.0</v>
      </c>
      <c r="J1954" s="1368">
        <v>45693.0</v>
      </c>
      <c r="K1954" s="65"/>
      <c r="L1954" s="65" t="s">
        <v>11592</v>
      </c>
      <c r="M1954" s="1902" t="s">
        <v>11593</v>
      </c>
      <c r="N1954" s="434" t="s">
        <v>5563</v>
      </c>
      <c r="O1954" s="333">
        <v>1.0</v>
      </c>
      <c r="P1954" s="1573" t="s">
        <v>5564</v>
      </c>
      <c r="Q1954" s="49" t="str">
        <f t="array" ref="Q1954"> if(iserror(MATCH(V1954, 'File Links'!C:C, 0)), "N/A", HYPERLINK(INDEX('File Links'!B:B, MATCH(P1954, 'File Links'!C:C, 0))))</f>
        <v>https://drive.google.com/file/d/17yvRZkdBULPZU-hy9QprgZuJeonQfAel/view?usp=drivesdk</v>
      </c>
      <c r="R1954" s="156" t="s">
        <v>11594</v>
      </c>
      <c r="S1954" s="434" t="s">
        <v>10686</v>
      </c>
      <c r="T1954" s="65"/>
      <c r="U1954" s="333">
        <v>1.0</v>
      </c>
      <c r="V1954" s="195" t="str">
        <f t="shared" si="122"/>
        <v>10.1126--science.aac4716.pdf</v>
      </c>
      <c r="W1954" s="65" t="s">
        <v>157</v>
      </c>
      <c r="X1954" s="51" t="str">
        <f t="array" ref="X1954"> if(iserror(MATCH(V1954, 'File Links'!C:C, 0)), "N/A", HYPERLINK(INDEX('File Links'!B:B, MATCH(V1954, 'File Links'!C:C, 0))))</f>
        <v>https://drive.google.com/file/d/1UMAh9VGta6ExS2-Lb6GkDF4fmnI2EMeM/view?usp=drivesdk</v>
      </c>
      <c r="Y1954" s="65"/>
      <c r="Z1954" s="65" t="s">
        <v>141</v>
      </c>
      <c r="AA1954" s="65" t="s">
        <v>11595</v>
      </c>
      <c r="AB1954" s="156" t="s">
        <v>11596</v>
      </c>
      <c r="AC1954" s="1907" t="s">
        <v>11597</v>
      </c>
      <c r="AD1954" s="65" t="s">
        <v>11598</v>
      </c>
      <c r="AE1954" s="333">
        <v>2.0</v>
      </c>
      <c r="AF1954" s="153">
        <v>56.0</v>
      </c>
      <c r="AG1954" s="126" t="s">
        <v>11599</v>
      </c>
      <c r="AH1954" s="65" t="s">
        <v>127</v>
      </c>
      <c r="AI1954" s="65" t="s">
        <v>868</v>
      </c>
      <c r="AJ1954" s="334">
        <v>0.037</v>
      </c>
      <c r="AK1954" s="58" t="s">
        <v>165</v>
      </c>
      <c r="AL1954" s="58" t="s">
        <v>179</v>
      </c>
      <c r="AM1954" s="65" t="s">
        <v>130</v>
      </c>
      <c r="AN1954" s="1055" t="s">
        <v>131</v>
      </c>
      <c r="AO1954" s="333">
        <v>51.0</v>
      </c>
      <c r="AP1954" s="126" t="s">
        <v>11600</v>
      </c>
      <c r="AQ1954" s="65" t="s">
        <v>127</v>
      </c>
      <c r="AR1954" s="65" t="s">
        <v>843</v>
      </c>
      <c r="AS1954" s="333">
        <v>0.21</v>
      </c>
      <c r="AT1954" s="65" t="s">
        <v>165</v>
      </c>
      <c r="AU1954" s="65" t="s">
        <v>179</v>
      </c>
      <c r="AV1954" s="65" t="s">
        <v>130</v>
      </c>
      <c r="AW1954" s="1790" t="s">
        <v>11601</v>
      </c>
      <c r="AX1954" s="65" t="s">
        <v>136</v>
      </c>
      <c r="AZ1954" s="65" t="s">
        <v>1434</v>
      </c>
    </row>
    <row r="1955">
      <c r="A1955" s="41">
        <v>1955.0</v>
      </c>
      <c r="B1955" s="65" t="s">
        <v>107</v>
      </c>
      <c r="C1955" s="59" t="s">
        <v>108</v>
      </c>
      <c r="D1955" s="59" t="s">
        <v>146</v>
      </c>
      <c r="F1955" s="156" t="s">
        <v>11589</v>
      </c>
      <c r="G1955" s="1441" t="s">
        <v>11590</v>
      </c>
      <c r="H1955" s="156" t="s">
        <v>146</v>
      </c>
      <c r="I1955" s="526">
        <v>45690.0</v>
      </c>
      <c r="J1955" s="1368">
        <v>45693.0</v>
      </c>
      <c r="K1955" s="65"/>
      <c r="L1955" s="65"/>
      <c r="M1955" s="1902" t="s">
        <v>11593</v>
      </c>
      <c r="N1955" s="156" t="s">
        <v>5563</v>
      </c>
      <c r="O1955" s="153">
        <v>1.0</v>
      </c>
      <c r="P1955" s="1573" t="s">
        <v>5564</v>
      </c>
      <c r="Q1955" s="49" t="str">
        <f t="array" ref="Q1955"> if(iserror(MATCH(V1955, 'File Links'!C:C, 0)), "N/A", HYPERLINK(INDEX('File Links'!B:B, MATCH(P1955, 'File Links'!C:C, 0))))</f>
        <v>https://drive.google.com/file/d/17yvRZkdBULPZU-hy9QprgZuJeonQfAel/view?usp=drivesdk</v>
      </c>
      <c r="R1955" s="156" t="s">
        <v>11594</v>
      </c>
      <c r="S1955" s="434" t="s">
        <v>10686</v>
      </c>
      <c r="T1955" s="126"/>
      <c r="U1955" s="333">
        <v>1.0</v>
      </c>
      <c r="V1955" s="195" t="str">
        <f t="shared" si="122"/>
        <v>10.1126--science.aac4716.pdf</v>
      </c>
      <c r="W1955" s="156" t="s">
        <v>157</v>
      </c>
      <c r="X1955" s="51" t="str">
        <f t="array" ref="X1955"> if(iserror(MATCH(V1955, 'File Links'!C:C, 0)), "N/A", HYPERLINK(INDEX('File Links'!B:B, MATCH(V1955, 'File Links'!C:C, 0))))</f>
        <v>https://drive.google.com/file/d/1UMAh9VGta6ExS2-Lb6GkDF4fmnI2EMeM/view?usp=drivesdk</v>
      </c>
      <c r="Y1955" s="65"/>
      <c r="Z1955" s="156" t="s">
        <v>141</v>
      </c>
      <c r="AA1955" s="156" t="s">
        <v>11602</v>
      </c>
      <c r="AB1955" s="156" t="s">
        <v>11603</v>
      </c>
      <c r="AC1955" s="156" t="s">
        <v>11597</v>
      </c>
      <c r="AD1955" s="156" t="s">
        <v>11604</v>
      </c>
      <c r="AE1955" s="1299">
        <v>45689.0</v>
      </c>
      <c r="AF1955" s="153">
        <v>56.0</v>
      </c>
      <c r="AG1955" s="153">
        <v>3.28</v>
      </c>
      <c r="AH1955" s="156" t="s">
        <v>715</v>
      </c>
      <c r="AI1955" s="156" t="s">
        <v>868</v>
      </c>
      <c r="AJ1955" s="334">
        <v>0.037</v>
      </c>
      <c r="AK1955" s="54" t="s">
        <v>165</v>
      </c>
      <c r="AL1955" s="54" t="s">
        <v>179</v>
      </c>
      <c r="AM1955" s="65" t="s">
        <v>130</v>
      </c>
      <c r="AN1955" s="1055" t="s">
        <v>131</v>
      </c>
      <c r="AO1955" s="153">
        <v>51.0</v>
      </c>
      <c r="AP1955" s="153">
        <v>0.19</v>
      </c>
      <c r="AQ1955" s="156" t="s">
        <v>11132</v>
      </c>
      <c r="AR1955" s="156" t="s">
        <v>843</v>
      </c>
      <c r="AS1955" s="153">
        <v>0.21</v>
      </c>
      <c r="AT1955" s="156" t="s">
        <v>165</v>
      </c>
      <c r="AU1955" s="156" t="s">
        <v>179</v>
      </c>
      <c r="AV1955" s="65" t="s">
        <v>130</v>
      </c>
      <c r="AW1955" s="432" t="s">
        <v>11605</v>
      </c>
      <c r="AX1955" s="65" t="s">
        <v>136</v>
      </c>
      <c r="AZ1955" s="65" t="s">
        <v>1434</v>
      </c>
    </row>
    <row r="1956">
      <c r="A1956" s="41">
        <v>1956.0</v>
      </c>
      <c r="B1956" s="65" t="s">
        <v>145</v>
      </c>
      <c r="C1956" s="59" t="s">
        <v>108</v>
      </c>
      <c r="D1956" s="59" t="s">
        <v>1434</v>
      </c>
      <c r="F1956" s="156" t="s">
        <v>11606</v>
      </c>
      <c r="G1956" s="1441" t="s">
        <v>11607</v>
      </c>
      <c r="H1956" s="156" t="s">
        <v>11608</v>
      </c>
      <c r="I1956" s="526">
        <v>45690.0</v>
      </c>
      <c r="J1956" s="1368">
        <v>45693.0</v>
      </c>
      <c r="K1956" s="65" t="s">
        <v>11609</v>
      </c>
      <c r="L1956" s="65"/>
      <c r="M1956" s="1902" t="s">
        <v>11610</v>
      </c>
      <c r="N1956" s="156" t="s">
        <v>11611</v>
      </c>
      <c r="O1956" s="333">
        <v>1.0</v>
      </c>
      <c r="P1956" s="1573" t="s">
        <v>11612</v>
      </c>
      <c r="Q1956" s="49" t="str">
        <f t="array" ref="Q1956"> if(iserror(MATCH(V1956, 'File Links'!C:C, 0)), "N/A", HYPERLINK(INDEX('File Links'!B:B, MATCH(P1956, 'File Links'!C:C, 0))))</f>
        <v>https://drive.google.com/file/d/1XqhWmKG3ZvoLJmLnPSVfonhhVjkaOyOo/view?usp=drivesdk</v>
      </c>
      <c r="R1956" s="156" t="s">
        <v>11613</v>
      </c>
      <c r="S1956" s="434" t="s">
        <v>10686</v>
      </c>
      <c r="T1956" s="126"/>
      <c r="U1956" s="333">
        <v>1.0</v>
      </c>
      <c r="V1956" s="195" t="str">
        <f t="shared" si="122"/>
        <v>10.1126--science.aac4716.pdf</v>
      </c>
      <c r="W1956" s="65" t="s">
        <v>157</v>
      </c>
      <c r="X1956" s="51" t="str">
        <f t="array" ref="X1956"> if(iserror(MATCH(V1956, 'File Links'!C:C, 0)), "N/A", HYPERLINK(INDEX('File Links'!B:B, MATCH(V1956, 'File Links'!C:C, 0))))</f>
        <v>https://drive.google.com/file/d/1UMAh9VGta6ExS2-Lb6GkDF4fmnI2EMeM/view?usp=drivesdk</v>
      </c>
      <c r="Y1956" s="65"/>
      <c r="Z1956" s="65" t="s">
        <v>141</v>
      </c>
      <c r="AA1956" s="65" t="s">
        <v>11614</v>
      </c>
      <c r="AB1956" s="156" t="s">
        <v>11615</v>
      </c>
      <c r="AC1956" s="1907" t="s">
        <v>11616</v>
      </c>
      <c r="AD1956" s="65" t="s">
        <v>11617</v>
      </c>
      <c r="AE1956" s="333">
        <v>2.0</v>
      </c>
      <c r="AF1956" s="153">
        <v>18.0</v>
      </c>
      <c r="AG1956" s="65" t="s">
        <v>11618</v>
      </c>
      <c r="AH1956" s="65" t="s">
        <v>127</v>
      </c>
      <c r="AI1956" s="65" t="s">
        <v>868</v>
      </c>
      <c r="AJ1956" s="335" t="s">
        <v>131</v>
      </c>
      <c r="AK1956" s="58"/>
      <c r="AL1956" s="58" t="s">
        <v>179</v>
      </c>
      <c r="AM1956" s="65" t="s">
        <v>130</v>
      </c>
      <c r="AN1956" s="1055" t="s">
        <v>131</v>
      </c>
      <c r="AO1956" s="153">
        <v>22.0</v>
      </c>
      <c r="AP1956" s="333">
        <v>0.065</v>
      </c>
      <c r="AQ1956" s="65" t="s">
        <v>867</v>
      </c>
      <c r="AR1956" s="65" t="s">
        <v>868</v>
      </c>
      <c r="AS1956" s="333">
        <v>0.24</v>
      </c>
      <c r="AT1956" s="65" t="s">
        <v>165</v>
      </c>
      <c r="AU1956" s="65" t="s">
        <v>179</v>
      </c>
      <c r="AV1956" s="65" t="s">
        <v>130</v>
      </c>
      <c r="AW1956" s="1790" t="s">
        <v>11619</v>
      </c>
      <c r="AX1956" s="65" t="s">
        <v>136</v>
      </c>
      <c r="AZ1956" s="65" t="s">
        <v>1434</v>
      </c>
    </row>
    <row r="1957">
      <c r="A1957" s="41">
        <v>1957.0</v>
      </c>
      <c r="B1957" s="65" t="s">
        <v>107</v>
      </c>
      <c r="C1957" s="59" t="s">
        <v>108</v>
      </c>
      <c r="D1957" s="59" t="s">
        <v>146</v>
      </c>
      <c r="F1957" s="156" t="s">
        <v>11606</v>
      </c>
      <c r="G1957" s="1441" t="s">
        <v>11607</v>
      </c>
      <c r="H1957" s="156" t="s">
        <v>146</v>
      </c>
      <c r="I1957" s="526">
        <v>45690.0</v>
      </c>
      <c r="J1957" s="1368">
        <v>45693.0</v>
      </c>
      <c r="K1957" s="65"/>
      <c r="L1957" s="65"/>
      <c r="M1957" s="1902" t="s">
        <v>11610</v>
      </c>
      <c r="N1957" s="434" t="s">
        <v>11611</v>
      </c>
      <c r="O1957" s="153">
        <v>1.0</v>
      </c>
      <c r="P1957" s="1573" t="s">
        <v>11612</v>
      </c>
      <c r="Q1957" s="49" t="str">
        <f t="array" ref="Q1957"> if(iserror(MATCH(V1957, 'File Links'!C:C, 0)), "N/A", HYPERLINK(INDEX('File Links'!B:B, MATCH(P1957, 'File Links'!C:C, 0))))</f>
        <v>https://drive.google.com/file/d/1XqhWmKG3ZvoLJmLnPSVfonhhVjkaOyOo/view?usp=drivesdk</v>
      </c>
      <c r="R1957" s="156" t="s">
        <v>11613</v>
      </c>
      <c r="S1957" s="434" t="s">
        <v>10686</v>
      </c>
      <c r="T1957" s="65"/>
      <c r="U1957" s="333">
        <v>1.0</v>
      </c>
      <c r="V1957" s="195" t="str">
        <f t="shared" si="122"/>
        <v>10.1126--science.aac4716.pdf</v>
      </c>
      <c r="W1957" s="156" t="s">
        <v>157</v>
      </c>
      <c r="X1957" s="51" t="str">
        <f t="array" ref="X1957"> if(iserror(MATCH(V1957, 'File Links'!C:C, 0)), "N/A", HYPERLINK(INDEX('File Links'!B:B, MATCH(V1957, 'File Links'!C:C, 0))))</f>
        <v>https://drive.google.com/file/d/1UMAh9VGta6ExS2-Lb6GkDF4fmnI2EMeM/view?usp=drivesdk</v>
      </c>
      <c r="Y1957" s="65"/>
      <c r="Z1957" s="156" t="s">
        <v>141</v>
      </c>
      <c r="AA1957" s="156" t="s">
        <v>11620</v>
      </c>
      <c r="AB1957" s="156" t="s">
        <v>11621</v>
      </c>
      <c r="AC1957" s="156" t="s">
        <v>11616</v>
      </c>
      <c r="AD1957" s="156" t="s">
        <v>11622</v>
      </c>
      <c r="AE1957" s="153">
        <v>2.0</v>
      </c>
      <c r="AF1957" s="153">
        <v>18.0</v>
      </c>
      <c r="AG1957" s="153" t="s">
        <v>11618</v>
      </c>
      <c r="AH1957" s="156" t="s">
        <v>127</v>
      </c>
      <c r="AI1957" s="156" t="s">
        <v>868</v>
      </c>
      <c r="AJ1957" s="706" t="s">
        <v>131</v>
      </c>
      <c r="AK1957" s="58"/>
      <c r="AL1957" s="54" t="s">
        <v>179</v>
      </c>
      <c r="AM1957" s="65" t="s">
        <v>130</v>
      </c>
      <c r="AN1957" s="1055" t="s">
        <v>131</v>
      </c>
      <c r="AO1957" s="333">
        <v>22.0</v>
      </c>
      <c r="AP1957" s="333">
        <v>0.065</v>
      </c>
      <c r="AQ1957" s="1910" t="s">
        <v>132</v>
      </c>
      <c r="AR1957" s="156" t="s">
        <v>868</v>
      </c>
      <c r="AS1957" s="153">
        <v>0.24</v>
      </c>
      <c r="AT1957" s="156" t="s">
        <v>165</v>
      </c>
      <c r="AU1957" s="156" t="s">
        <v>179</v>
      </c>
      <c r="AV1957" s="65" t="s">
        <v>130</v>
      </c>
      <c r="AW1957" s="432" t="s">
        <v>11623</v>
      </c>
      <c r="AX1957" s="65" t="s">
        <v>136</v>
      </c>
      <c r="AZ1957" s="65" t="s">
        <v>1434</v>
      </c>
    </row>
    <row r="1958">
      <c r="A1958" s="41">
        <v>1958.0</v>
      </c>
      <c r="B1958" s="65" t="s">
        <v>145</v>
      </c>
      <c r="C1958" s="59" t="s">
        <v>108</v>
      </c>
      <c r="D1958" s="59" t="s">
        <v>1434</v>
      </c>
      <c r="F1958" s="156" t="s">
        <v>11624</v>
      </c>
      <c r="G1958" s="1441" t="s">
        <v>11625</v>
      </c>
      <c r="H1958" s="156" t="s">
        <v>11626</v>
      </c>
      <c r="I1958" s="526">
        <v>45690.0</v>
      </c>
      <c r="J1958" s="1368">
        <v>45693.0</v>
      </c>
      <c r="K1958" s="65"/>
      <c r="L1958" s="65" t="s">
        <v>11627</v>
      </c>
      <c r="M1958" s="1902" t="s">
        <v>11628</v>
      </c>
      <c r="N1958" s="156" t="s">
        <v>11629</v>
      </c>
      <c r="O1958" s="333">
        <v>2.0</v>
      </c>
      <c r="P1958" s="1573" t="s">
        <v>11630</v>
      </c>
      <c r="Q1958" s="49" t="str">
        <f t="array" ref="Q1958"> if(iserror(MATCH(V1958, 'File Links'!C:C, 0)), "N/A", HYPERLINK(INDEX('File Links'!B:B, MATCH(P1958, 'File Links'!C:C, 0))))</f>
        <v>https://drive.google.com/file/d/1cOFI1sWmcyfR3tFVOvV90FUY4g-TwC4Z/view?usp=drivesdk</v>
      </c>
      <c r="R1958" s="156" t="s">
        <v>11631</v>
      </c>
      <c r="S1958" s="434" t="s">
        <v>10686</v>
      </c>
      <c r="T1958" s="126"/>
      <c r="U1958" s="333">
        <v>1.0</v>
      </c>
      <c r="V1958" s="195" t="str">
        <f t="shared" si="122"/>
        <v>10.1126--science.aac4716.pdf</v>
      </c>
      <c r="W1958" s="65" t="s">
        <v>3563</v>
      </c>
      <c r="X1958" s="51" t="str">
        <f t="array" ref="X1958"> if(iserror(MATCH(V1958, 'File Links'!C:C, 0)), "N/A", HYPERLINK(INDEX('File Links'!B:B, MATCH(V1958, 'File Links'!C:C, 0))))</f>
        <v>https://drive.google.com/file/d/1UMAh9VGta6ExS2-Lb6GkDF4fmnI2EMeM/view?usp=drivesdk</v>
      </c>
      <c r="Y1958" s="65"/>
      <c r="Z1958" s="65" t="s">
        <v>141</v>
      </c>
      <c r="AA1958" s="65" t="s">
        <v>11632</v>
      </c>
      <c r="AB1958" s="156" t="s">
        <v>11633</v>
      </c>
      <c r="AC1958" s="1907" t="s">
        <v>11634</v>
      </c>
      <c r="AD1958" s="65" t="s">
        <v>11635</v>
      </c>
      <c r="AE1958" s="333">
        <v>14.0</v>
      </c>
      <c r="AF1958" s="153">
        <v>39.0</v>
      </c>
      <c r="AG1958" s="65" t="s">
        <v>11636</v>
      </c>
      <c r="AH1958" s="65" t="s">
        <v>127</v>
      </c>
      <c r="AI1958" s="65" t="s">
        <v>2222</v>
      </c>
      <c r="AJ1958" s="334">
        <v>0.001</v>
      </c>
      <c r="AK1958" s="58" t="s">
        <v>128</v>
      </c>
      <c r="AL1958" s="58" t="s">
        <v>179</v>
      </c>
      <c r="AM1958" s="65" t="s">
        <v>134</v>
      </c>
      <c r="AN1958" s="1055" t="s">
        <v>131</v>
      </c>
      <c r="AO1958" s="153">
        <v>47.0</v>
      </c>
      <c r="AP1958" s="333">
        <v>0.28</v>
      </c>
      <c r="AQ1958" s="65" t="s">
        <v>867</v>
      </c>
      <c r="AR1958" s="65" t="s">
        <v>7513</v>
      </c>
      <c r="AS1958" s="333">
        <v>3.0E-5</v>
      </c>
      <c r="AT1958" s="65" t="s">
        <v>165</v>
      </c>
      <c r="AU1958" s="65" t="s">
        <v>179</v>
      </c>
      <c r="AV1958" s="65" t="s">
        <v>134</v>
      </c>
      <c r="AW1958" s="1790" t="s">
        <v>11637</v>
      </c>
      <c r="AX1958" s="65" t="s">
        <v>136</v>
      </c>
      <c r="AZ1958" s="65" t="s">
        <v>1434</v>
      </c>
    </row>
    <row r="1959">
      <c r="A1959" s="41">
        <v>1959.0</v>
      </c>
      <c r="B1959" s="65" t="s">
        <v>107</v>
      </c>
      <c r="C1959" s="59" t="s">
        <v>108</v>
      </c>
      <c r="D1959" s="59" t="s">
        <v>146</v>
      </c>
      <c r="F1959" s="156" t="s">
        <v>11624</v>
      </c>
      <c r="G1959" s="1441" t="s">
        <v>11625</v>
      </c>
      <c r="H1959" s="156" t="s">
        <v>146</v>
      </c>
      <c r="I1959" s="526">
        <v>45690.0</v>
      </c>
      <c r="J1959" s="1368">
        <v>45693.0</v>
      </c>
      <c r="K1959" s="65"/>
      <c r="L1959" s="65"/>
      <c r="M1959" s="1902" t="s">
        <v>11628</v>
      </c>
      <c r="N1959" s="434" t="s">
        <v>11629</v>
      </c>
      <c r="O1959" s="153">
        <v>2.0</v>
      </c>
      <c r="P1959" s="1573" t="s">
        <v>11630</v>
      </c>
      <c r="Q1959" s="49" t="str">
        <f t="array" ref="Q1959"> if(iserror(MATCH(V1959, 'File Links'!C:C, 0)), "N/A", HYPERLINK(INDEX('File Links'!B:B, MATCH(P1959, 'File Links'!C:C, 0))))</f>
        <v>https://drive.google.com/file/d/1cOFI1sWmcyfR3tFVOvV90FUY4g-TwC4Z/view?usp=drivesdk</v>
      </c>
      <c r="R1959" s="156" t="s">
        <v>11631</v>
      </c>
      <c r="S1959" s="434" t="s">
        <v>10686</v>
      </c>
      <c r="T1959" s="65"/>
      <c r="U1959" s="333">
        <v>1.0</v>
      </c>
      <c r="V1959" s="195" t="str">
        <f t="shared" si="122"/>
        <v>10.1126--science.aac4716.pdf</v>
      </c>
      <c r="W1959" s="156" t="s">
        <v>3563</v>
      </c>
      <c r="X1959" s="51" t="str">
        <f t="array" ref="X1959"> if(iserror(MATCH(V1959, 'File Links'!C:C, 0)), "N/A", HYPERLINK(INDEX('File Links'!B:B, MATCH(V1959, 'File Links'!C:C, 0))))</f>
        <v>https://drive.google.com/file/d/1UMAh9VGta6ExS2-Lb6GkDF4fmnI2EMeM/view?usp=drivesdk</v>
      </c>
      <c r="Y1959" s="65"/>
      <c r="Z1959" s="156" t="s">
        <v>141</v>
      </c>
      <c r="AA1959" s="156" t="s">
        <v>11638</v>
      </c>
      <c r="AB1959" s="156" t="s">
        <v>11639</v>
      </c>
      <c r="AC1959" s="156" t="s">
        <v>11634</v>
      </c>
      <c r="AD1959" s="156" t="s">
        <v>11640</v>
      </c>
      <c r="AE1959" s="153">
        <v>14.0</v>
      </c>
      <c r="AF1959" s="153">
        <v>39.0</v>
      </c>
      <c r="AG1959" s="153" t="s">
        <v>11636</v>
      </c>
      <c r="AH1959" s="156" t="s">
        <v>127</v>
      </c>
      <c r="AI1959" s="156" t="s">
        <v>2222</v>
      </c>
      <c r="AJ1959" s="706">
        <v>0.001</v>
      </c>
      <c r="AK1959" s="54" t="s">
        <v>128</v>
      </c>
      <c r="AL1959" s="54" t="s">
        <v>179</v>
      </c>
      <c r="AM1959" s="65" t="s">
        <v>134</v>
      </c>
      <c r="AN1959" s="1055" t="s">
        <v>131</v>
      </c>
      <c r="AO1959" s="333">
        <v>47.0</v>
      </c>
      <c r="AP1959" s="333">
        <v>0.054</v>
      </c>
      <c r="AQ1959" s="156" t="s">
        <v>132</v>
      </c>
      <c r="AR1959" s="156" t="s">
        <v>843</v>
      </c>
      <c r="AS1959" s="153">
        <v>3.0E-5</v>
      </c>
      <c r="AT1959" s="156" t="s">
        <v>165</v>
      </c>
      <c r="AU1959" s="156" t="s">
        <v>179</v>
      </c>
      <c r="AV1959" s="65" t="s">
        <v>134</v>
      </c>
      <c r="AW1959" s="432" t="s">
        <v>11641</v>
      </c>
      <c r="AX1959" s="65" t="s">
        <v>136</v>
      </c>
      <c r="AZ1959" s="65" t="s">
        <v>1434</v>
      </c>
    </row>
    <row r="1960">
      <c r="A1960" s="41">
        <v>1960.0</v>
      </c>
      <c r="B1960" s="65" t="s">
        <v>145</v>
      </c>
      <c r="C1960" s="59" t="s">
        <v>108</v>
      </c>
      <c r="D1960" s="59" t="s">
        <v>1434</v>
      </c>
      <c r="F1960" s="156" t="s">
        <v>11642</v>
      </c>
      <c r="G1960" s="1441" t="s">
        <v>11643</v>
      </c>
      <c r="H1960" s="156" t="s">
        <v>11644</v>
      </c>
      <c r="I1960" s="526">
        <v>45690.0</v>
      </c>
      <c r="J1960" s="1368">
        <v>45693.0</v>
      </c>
      <c r="K1960" s="65"/>
      <c r="L1960" s="65"/>
      <c r="M1960" s="1902" t="s">
        <v>11645</v>
      </c>
      <c r="N1960" s="434" t="s">
        <v>11646</v>
      </c>
      <c r="O1960" s="333">
        <v>3.0</v>
      </c>
      <c r="P1960" s="1573" t="s">
        <v>11647</v>
      </c>
      <c r="Q1960" s="49" t="str">
        <f t="array" ref="Q1960"> if(iserror(MATCH(V1960, 'File Links'!C:C, 0)), "N/A", HYPERLINK(INDEX('File Links'!B:B, MATCH(P1960, 'File Links'!C:C, 0))))</f>
        <v>https://drive.google.com/file/d/128D_xuWagaOC3zKfGWUi8CFf7zReyViC/view?usp=drivesdk</v>
      </c>
      <c r="R1960" s="156" t="s">
        <v>11648</v>
      </c>
      <c r="S1960" s="434" t="s">
        <v>10686</v>
      </c>
      <c r="T1960" s="65"/>
      <c r="U1960" s="333">
        <v>1.0</v>
      </c>
      <c r="V1960" s="195" t="str">
        <f t="shared" si="122"/>
        <v>10.1126--science.aac4716.pdf</v>
      </c>
      <c r="W1960" s="65" t="s">
        <v>157</v>
      </c>
      <c r="X1960" s="51" t="str">
        <f t="array" ref="X1960"> if(iserror(MATCH(V1960, 'File Links'!C:C, 0)), "N/A", HYPERLINK(INDEX('File Links'!B:B, MATCH(V1960, 'File Links'!C:C, 0))))</f>
        <v>https://drive.google.com/file/d/1UMAh9VGta6ExS2-Lb6GkDF4fmnI2EMeM/view?usp=drivesdk</v>
      </c>
      <c r="Y1960" s="65"/>
      <c r="Z1960" s="65" t="s">
        <v>141</v>
      </c>
      <c r="AA1960" s="65" t="s">
        <v>11649</v>
      </c>
      <c r="AB1960" s="156" t="s">
        <v>11650</v>
      </c>
      <c r="AC1960" s="1907" t="s">
        <v>11651</v>
      </c>
      <c r="AD1960" s="65" t="s">
        <v>11652</v>
      </c>
      <c r="AE1960" s="333">
        <v>15.0</v>
      </c>
      <c r="AF1960" s="153">
        <v>32.0</v>
      </c>
      <c r="AG1960" s="333">
        <v>0.31</v>
      </c>
      <c r="AH1960" s="65" t="s">
        <v>867</v>
      </c>
      <c r="AI1960" s="65" t="s">
        <v>620</v>
      </c>
      <c r="AJ1960" s="334">
        <v>0.001</v>
      </c>
      <c r="AK1960" s="58" t="s">
        <v>128</v>
      </c>
      <c r="AL1960" s="58" t="s">
        <v>129</v>
      </c>
      <c r="AM1960" s="65" t="s">
        <v>134</v>
      </c>
      <c r="AN1960" s="1055" t="s">
        <v>131</v>
      </c>
      <c r="AO1960" s="333">
        <v>21.0</v>
      </c>
      <c r="AP1960" s="333">
        <v>0.162</v>
      </c>
      <c r="AQ1960" s="65" t="s">
        <v>867</v>
      </c>
      <c r="AR1960" s="65" t="s">
        <v>133</v>
      </c>
      <c r="AS1960" s="333">
        <v>0.071</v>
      </c>
      <c r="AT1960" s="65" t="s">
        <v>165</v>
      </c>
      <c r="AU1960" s="65" t="s">
        <v>129</v>
      </c>
      <c r="AV1960" s="65" t="s">
        <v>134</v>
      </c>
      <c r="AW1960" s="432" t="s">
        <v>11653</v>
      </c>
      <c r="AX1960" s="65" t="s">
        <v>136</v>
      </c>
      <c r="AZ1960" s="65" t="s">
        <v>1434</v>
      </c>
    </row>
    <row r="1961">
      <c r="A1961" s="41">
        <v>1961.0</v>
      </c>
      <c r="B1961" s="65" t="s">
        <v>107</v>
      </c>
      <c r="C1961" s="59" t="s">
        <v>108</v>
      </c>
      <c r="D1961" s="59" t="s">
        <v>146</v>
      </c>
      <c r="F1961" s="156" t="s">
        <v>11642</v>
      </c>
      <c r="G1961" s="1441" t="s">
        <v>11643</v>
      </c>
      <c r="H1961" s="156" t="s">
        <v>146</v>
      </c>
      <c r="I1961" s="526">
        <v>45690.0</v>
      </c>
      <c r="J1961" s="1368">
        <v>45693.0</v>
      </c>
      <c r="K1961" s="156" t="s">
        <v>11654</v>
      </c>
      <c r="L1961" s="65"/>
      <c r="M1961" s="1902" t="s">
        <v>11645</v>
      </c>
      <c r="N1961" s="156" t="s">
        <v>11646</v>
      </c>
      <c r="O1961" s="153">
        <v>3.0</v>
      </c>
      <c r="P1961" s="1573" t="s">
        <v>11647</v>
      </c>
      <c r="Q1961" s="49" t="str">
        <f t="array" ref="Q1961"> if(iserror(MATCH(V1961, 'File Links'!C:C, 0)), "N/A", HYPERLINK(INDEX('File Links'!B:B, MATCH(P1961, 'File Links'!C:C, 0))))</f>
        <v>https://drive.google.com/file/d/128D_xuWagaOC3zKfGWUi8CFf7zReyViC/view?usp=drivesdk</v>
      </c>
      <c r="R1961" s="156" t="s">
        <v>11648</v>
      </c>
      <c r="S1961" s="434" t="s">
        <v>10686</v>
      </c>
      <c r="T1961" s="126"/>
      <c r="U1961" s="333">
        <v>1.0</v>
      </c>
      <c r="V1961" s="195" t="str">
        <f t="shared" si="122"/>
        <v>10.1126--science.aac4716.pdf</v>
      </c>
      <c r="W1961" s="156" t="s">
        <v>157</v>
      </c>
      <c r="X1961" s="51" t="str">
        <f t="array" ref="X1961"> if(iserror(MATCH(V1961, 'File Links'!C:C, 0)), "N/A", HYPERLINK(INDEX('File Links'!B:B, MATCH(V1961, 'File Links'!C:C, 0))))</f>
        <v>https://drive.google.com/file/d/1UMAh9VGta6ExS2-Lb6GkDF4fmnI2EMeM/view?usp=drivesdk</v>
      </c>
      <c r="Y1961" s="65"/>
      <c r="Z1961" s="156" t="s">
        <v>141</v>
      </c>
      <c r="AA1961" s="156" t="s">
        <v>11655</v>
      </c>
      <c r="AB1961" s="156" t="s">
        <v>11656</v>
      </c>
      <c r="AC1961" s="156" t="s">
        <v>11651</v>
      </c>
      <c r="AD1961" s="156" t="s">
        <v>11657</v>
      </c>
      <c r="AE1961" s="153">
        <v>15.0</v>
      </c>
      <c r="AF1961" s="153">
        <v>32.0</v>
      </c>
      <c r="AG1961" s="153">
        <v>0.31</v>
      </c>
      <c r="AH1961" s="1910" t="s">
        <v>132</v>
      </c>
      <c r="AI1961" s="156" t="s">
        <v>620</v>
      </c>
      <c r="AJ1961" s="334">
        <v>0.001</v>
      </c>
      <c r="AK1961" s="54" t="s">
        <v>128</v>
      </c>
      <c r="AL1961" s="54" t="s">
        <v>129</v>
      </c>
      <c r="AM1961" s="1908" t="s">
        <v>130</v>
      </c>
      <c r="AN1961" s="1055" t="s">
        <v>131</v>
      </c>
      <c r="AO1961" s="153">
        <v>21.0</v>
      </c>
      <c r="AP1961" s="153">
        <v>0.162</v>
      </c>
      <c r="AQ1961" s="1910" t="s">
        <v>132</v>
      </c>
      <c r="AR1961" s="156" t="s">
        <v>133</v>
      </c>
      <c r="AS1961" s="153">
        <v>0.071</v>
      </c>
      <c r="AT1961" s="156" t="s">
        <v>165</v>
      </c>
      <c r="AU1961" s="156" t="s">
        <v>129</v>
      </c>
      <c r="AV1961" s="1908" t="s">
        <v>130</v>
      </c>
      <c r="AW1961" s="432" t="s">
        <v>11653</v>
      </c>
      <c r="AX1961" s="65" t="s">
        <v>136</v>
      </c>
      <c r="AZ1961" s="65" t="s">
        <v>1434</v>
      </c>
    </row>
    <row r="1962">
      <c r="A1962" s="41">
        <v>1962.0</v>
      </c>
      <c r="B1962" s="65" t="s">
        <v>145</v>
      </c>
      <c r="C1962" s="59" t="s">
        <v>108</v>
      </c>
      <c r="D1962" s="59" t="s">
        <v>1434</v>
      </c>
      <c r="F1962" s="156" t="s">
        <v>11658</v>
      </c>
      <c r="G1962" s="1441" t="s">
        <v>11659</v>
      </c>
      <c r="H1962" s="156" t="s">
        <v>11660</v>
      </c>
      <c r="I1962" s="526">
        <v>45690.0</v>
      </c>
      <c r="J1962" s="1368">
        <v>45693.0</v>
      </c>
      <c r="K1962" s="65"/>
      <c r="L1962" s="65"/>
      <c r="M1962" s="1902" t="s">
        <v>11661</v>
      </c>
      <c r="N1962" s="434" t="s">
        <v>6576</v>
      </c>
      <c r="O1962" s="333">
        <v>6.0</v>
      </c>
      <c r="P1962" s="1573" t="s">
        <v>11662</v>
      </c>
      <c r="Q1962" s="49" t="str">
        <f t="array" ref="Q1962"> if(iserror(MATCH(V1962, 'File Links'!C:C, 0)), "N/A", HYPERLINK(INDEX('File Links'!B:B, MATCH(P1962, 'File Links'!C:C, 0))))</f>
        <v>https://drive.google.com/file/d/1qNTfBnw7SpCi3blakzyKQFcGYOfOx3la/view?usp=drivesdk</v>
      </c>
      <c r="R1962" s="156" t="s">
        <v>11663</v>
      </c>
      <c r="S1962" s="434" t="s">
        <v>10686</v>
      </c>
      <c r="T1962" s="65"/>
      <c r="U1962" s="333">
        <v>1.0</v>
      </c>
      <c r="V1962" s="195" t="str">
        <f t="shared" si="122"/>
        <v>10.1126--science.aac4716.pdf</v>
      </c>
      <c r="W1962" s="65" t="s">
        <v>157</v>
      </c>
      <c r="X1962" s="51" t="str">
        <f t="array" ref="X1962"> if(iserror(MATCH(V1962, 'File Links'!C:C, 0)), "N/A", HYPERLINK(INDEX('File Links'!B:B, MATCH(V1962, 'File Links'!C:C, 0))))</f>
        <v>https://drive.google.com/file/d/1UMAh9VGta6ExS2-Lb6GkDF4fmnI2EMeM/view?usp=drivesdk</v>
      </c>
      <c r="Y1962" s="65"/>
      <c r="Z1962" s="65" t="s">
        <v>141</v>
      </c>
      <c r="AA1962" s="156" t="s">
        <v>11664</v>
      </c>
      <c r="AB1962" s="156" t="s">
        <v>11665</v>
      </c>
      <c r="AC1962" s="1907" t="s">
        <v>11666</v>
      </c>
      <c r="AD1962" s="65" t="s">
        <v>11667</v>
      </c>
      <c r="AE1962" s="333">
        <v>17.0</v>
      </c>
      <c r="AF1962" s="153">
        <v>24.0</v>
      </c>
      <c r="AG1962" s="65" t="s">
        <v>11668</v>
      </c>
      <c r="AH1962" s="65" t="s">
        <v>127</v>
      </c>
      <c r="AI1962" s="65" t="s">
        <v>298</v>
      </c>
      <c r="AJ1962" s="334">
        <v>0.005</v>
      </c>
      <c r="AK1962" s="58" t="s">
        <v>128</v>
      </c>
      <c r="AL1962" s="58" t="s">
        <v>129</v>
      </c>
      <c r="AM1962" s="65" t="s">
        <v>134</v>
      </c>
      <c r="AN1962" s="1055" t="s">
        <v>131</v>
      </c>
      <c r="AO1962" s="333">
        <v>24.0</v>
      </c>
      <c r="AP1962" s="333">
        <v>0.051</v>
      </c>
      <c r="AQ1962" s="65" t="s">
        <v>867</v>
      </c>
      <c r="AR1962" s="65" t="s">
        <v>125</v>
      </c>
      <c r="AS1962" s="333">
        <v>0.0269</v>
      </c>
      <c r="AT1962" s="65" t="s">
        <v>165</v>
      </c>
      <c r="AU1962" s="65" t="s">
        <v>129</v>
      </c>
      <c r="AV1962" s="65" t="s">
        <v>134</v>
      </c>
      <c r="AW1962" s="1790" t="s">
        <v>11669</v>
      </c>
      <c r="AX1962" s="65" t="s">
        <v>136</v>
      </c>
      <c r="AZ1962" s="65" t="s">
        <v>1434</v>
      </c>
    </row>
    <row r="1963">
      <c r="A1963" s="41">
        <v>1963.0</v>
      </c>
      <c r="B1963" s="65" t="s">
        <v>107</v>
      </c>
      <c r="C1963" s="59" t="s">
        <v>108</v>
      </c>
      <c r="D1963" s="59" t="s">
        <v>146</v>
      </c>
      <c r="F1963" s="156" t="s">
        <v>11658</v>
      </c>
      <c r="G1963" s="1441" t="s">
        <v>11659</v>
      </c>
      <c r="H1963" s="156" t="s">
        <v>146</v>
      </c>
      <c r="I1963" s="526">
        <v>45690.0</v>
      </c>
      <c r="J1963" s="1368">
        <v>45693.0</v>
      </c>
      <c r="K1963" s="156" t="s">
        <v>11670</v>
      </c>
      <c r="L1963" s="65"/>
      <c r="M1963" s="1902" t="s">
        <v>11661</v>
      </c>
      <c r="N1963" s="434" t="s">
        <v>6576</v>
      </c>
      <c r="O1963" s="153">
        <v>6.0</v>
      </c>
      <c r="P1963" s="1573" t="s">
        <v>11662</v>
      </c>
      <c r="Q1963" s="49" t="str">
        <f t="array" ref="Q1963"> if(iserror(MATCH(V1963, 'File Links'!C:C, 0)), "N/A", HYPERLINK(INDEX('File Links'!B:B, MATCH(P1963, 'File Links'!C:C, 0))))</f>
        <v>https://drive.google.com/file/d/1qNTfBnw7SpCi3blakzyKQFcGYOfOx3la/view?usp=drivesdk</v>
      </c>
      <c r="R1963" s="156" t="s">
        <v>11663</v>
      </c>
      <c r="S1963" s="434" t="s">
        <v>10686</v>
      </c>
      <c r="T1963" s="65"/>
      <c r="U1963" s="333">
        <v>1.0</v>
      </c>
      <c r="V1963" s="195" t="str">
        <f t="shared" si="122"/>
        <v>10.1126--science.aac4716.pdf</v>
      </c>
      <c r="W1963" s="156" t="s">
        <v>157</v>
      </c>
      <c r="X1963" s="51" t="str">
        <f t="array" ref="X1963"> if(iserror(MATCH(V1963, 'File Links'!C:C, 0)), "N/A", HYPERLINK(INDEX('File Links'!B:B, MATCH(V1963, 'File Links'!C:C, 0))))</f>
        <v>https://drive.google.com/file/d/1UMAh9VGta6ExS2-Lb6GkDF4fmnI2EMeM/view?usp=drivesdk</v>
      </c>
      <c r="Y1963" s="65"/>
      <c r="Z1963" s="156" t="s">
        <v>141</v>
      </c>
      <c r="AA1963" s="156" t="s">
        <v>11671</v>
      </c>
      <c r="AB1963" s="156" t="s">
        <v>11672</v>
      </c>
      <c r="AC1963" s="156" t="s">
        <v>11666</v>
      </c>
      <c r="AD1963" s="156" t="s">
        <v>11673</v>
      </c>
      <c r="AE1963" s="1911">
        <v>11.0</v>
      </c>
      <c r="AF1963" s="153">
        <v>24.0</v>
      </c>
      <c r="AG1963" s="153" t="s">
        <v>11668</v>
      </c>
      <c r="AH1963" s="156" t="s">
        <v>127</v>
      </c>
      <c r="AI1963" s="156" t="s">
        <v>298</v>
      </c>
      <c r="AJ1963" s="706">
        <v>0.005</v>
      </c>
      <c r="AK1963" s="54" t="s">
        <v>128</v>
      </c>
      <c r="AL1963" s="54" t="s">
        <v>129</v>
      </c>
      <c r="AM1963" s="1908" t="s">
        <v>130</v>
      </c>
      <c r="AN1963" s="1055" t="s">
        <v>131</v>
      </c>
      <c r="AO1963" s="333">
        <v>24.0</v>
      </c>
      <c r="AP1963" s="333">
        <v>0.051</v>
      </c>
      <c r="AQ1963" s="1910" t="s">
        <v>132</v>
      </c>
      <c r="AR1963" s="156" t="s">
        <v>621</v>
      </c>
      <c r="AS1963" s="153">
        <v>0.269</v>
      </c>
      <c r="AT1963" s="156" t="s">
        <v>165</v>
      </c>
      <c r="AU1963" s="156" t="s">
        <v>129</v>
      </c>
      <c r="AV1963" s="1908" t="s">
        <v>130</v>
      </c>
      <c r="AW1963" s="432" t="s">
        <v>11674</v>
      </c>
      <c r="AX1963" s="65" t="s">
        <v>136</v>
      </c>
      <c r="AZ1963" s="65" t="s">
        <v>1434</v>
      </c>
    </row>
    <row r="1964">
      <c r="A1964" s="41">
        <v>1964.0</v>
      </c>
      <c r="B1964" s="65" t="s">
        <v>145</v>
      </c>
      <c r="C1964" s="59" t="s">
        <v>108</v>
      </c>
      <c r="D1964" s="59" t="s">
        <v>1434</v>
      </c>
      <c r="F1964" s="156" t="s">
        <v>11675</v>
      </c>
      <c r="G1964" s="1441" t="s">
        <v>11676</v>
      </c>
      <c r="H1964" s="156" t="s">
        <v>11677</v>
      </c>
      <c r="I1964" s="526">
        <v>45690.0</v>
      </c>
      <c r="J1964" s="1368">
        <v>45693.0</v>
      </c>
      <c r="K1964" s="65" t="s">
        <v>11678</v>
      </c>
      <c r="L1964" s="65"/>
      <c r="M1964" s="1902" t="s">
        <v>11679</v>
      </c>
      <c r="N1964" s="156" t="s">
        <v>11680</v>
      </c>
      <c r="O1964" s="333">
        <v>3.0</v>
      </c>
      <c r="P1964" s="1573" t="s">
        <v>11681</v>
      </c>
      <c r="Q1964" s="49" t="str">
        <f t="array" ref="Q1964"> if(iserror(MATCH(V1964, 'File Links'!C:C, 0)), "N/A", HYPERLINK(INDEX('File Links'!B:B, MATCH(P1964, 'File Links'!C:C, 0))))</f>
        <v>https://drive.google.com/file/d/1jBszlwOALWIwLYvif4D3xVGXucPXKUwU/view?usp=drivesdk</v>
      </c>
      <c r="R1964" s="156" t="s">
        <v>11682</v>
      </c>
      <c r="S1964" s="434" t="s">
        <v>10686</v>
      </c>
      <c r="T1964" s="126"/>
      <c r="U1964" s="333">
        <v>1.0</v>
      </c>
      <c r="V1964" s="195" t="str">
        <f t="shared" si="122"/>
        <v>10.1126--science.aac4716.pdf</v>
      </c>
      <c r="W1964" s="65" t="s">
        <v>157</v>
      </c>
      <c r="X1964" s="51" t="str">
        <f t="array" ref="X1964"> if(iserror(MATCH(V1964, 'File Links'!C:C, 0)), "N/A", HYPERLINK(INDEX('File Links'!B:B, MATCH(V1964, 'File Links'!C:C, 0))))</f>
        <v>https://drive.google.com/file/d/1UMAh9VGta6ExS2-Lb6GkDF4fmnI2EMeM/view?usp=drivesdk</v>
      </c>
      <c r="Y1964" s="65"/>
      <c r="Z1964" s="65" t="s">
        <v>141</v>
      </c>
      <c r="AA1964" s="65" t="s">
        <v>11683</v>
      </c>
      <c r="AB1964" s="156" t="s">
        <v>11684</v>
      </c>
      <c r="AC1964" s="1907" t="s">
        <v>11685</v>
      </c>
      <c r="AD1964" s="65" t="s">
        <v>11686</v>
      </c>
      <c r="AE1964" s="333">
        <v>5.0</v>
      </c>
      <c r="AF1964" s="153">
        <v>96.0</v>
      </c>
      <c r="AG1964" s="333">
        <v>0.05</v>
      </c>
      <c r="AH1964" s="65" t="s">
        <v>132</v>
      </c>
      <c r="AI1964" s="65" t="s">
        <v>806</v>
      </c>
      <c r="AJ1964" s="334">
        <v>0.05</v>
      </c>
      <c r="AK1964" s="58" t="s">
        <v>128</v>
      </c>
      <c r="AL1964" s="58" t="s">
        <v>179</v>
      </c>
      <c r="AM1964" s="65" t="s">
        <v>134</v>
      </c>
      <c r="AN1964" s="1055" t="s">
        <v>131</v>
      </c>
      <c r="AO1964" s="153">
        <v>108.0</v>
      </c>
      <c r="AP1964" s="333">
        <v>4.0E-4</v>
      </c>
      <c r="AQ1964" s="65" t="s">
        <v>867</v>
      </c>
      <c r="AR1964" s="65" t="s">
        <v>210</v>
      </c>
      <c r="AS1964" s="333">
        <v>0.84</v>
      </c>
      <c r="AT1964" s="65" t="s">
        <v>165</v>
      </c>
      <c r="AU1964" s="65" t="s">
        <v>179</v>
      </c>
      <c r="AV1964" s="65" t="s">
        <v>134</v>
      </c>
      <c r="AW1964" s="432" t="s">
        <v>11687</v>
      </c>
      <c r="AX1964" s="65" t="s">
        <v>144</v>
      </c>
      <c r="AZ1964" s="65" t="s">
        <v>1434</v>
      </c>
    </row>
    <row r="1965">
      <c r="A1965" s="41">
        <v>1965.0</v>
      </c>
      <c r="B1965" s="65" t="s">
        <v>107</v>
      </c>
      <c r="C1965" s="59" t="s">
        <v>108</v>
      </c>
      <c r="D1965" s="59" t="s">
        <v>146</v>
      </c>
      <c r="F1965" s="156" t="s">
        <v>11675</v>
      </c>
      <c r="G1965" s="1441" t="s">
        <v>11676</v>
      </c>
      <c r="H1965" s="156" t="s">
        <v>146</v>
      </c>
      <c r="I1965" s="526">
        <v>45690.0</v>
      </c>
      <c r="J1965" s="1368">
        <v>45693.0</v>
      </c>
      <c r="K1965" s="156" t="s">
        <v>11688</v>
      </c>
      <c r="L1965" s="65"/>
      <c r="M1965" s="1902" t="s">
        <v>11679</v>
      </c>
      <c r="N1965" s="434" t="s">
        <v>11680</v>
      </c>
      <c r="O1965" s="153">
        <v>3.0</v>
      </c>
      <c r="P1965" s="1573" t="s">
        <v>11681</v>
      </c>
      <c r="Q1965" s="49" t="str">
        <f t="array" ref="Q1965"> if(iserror(MATCH(V1965, 'File Links'!C:C, 0)), "N/A", HYPERLINK(INDEX('File Links'!B:B, MATCH(P1965, 'File Links'!C:C, 0))))</f>
        <v>https://drive.google.com/file/d/1jBszlwOALWIwLYvif4D3xVGXucPXKUwU/view?usp=drivesdk</v>
      </c>
      <c r="R1965" s="156" t="s">
        <v>11682</v>
      </c>
      <c r="S1965" s="434" t="s">
        <v>10686</v>
      </c>
      <c r="T1965" s="65"/>
      <c r="U1965" s="333">
        <v>1.0</v>
      </c>
      <c r="V1965" s="195" t="str">
        <f t="shared" si="122"/>
        <v>10.1126--science.aac4716.pdf</v>
      </c>
      <c r="W1965" s="156" t="s">
        <v>157</v>
      </c>
      <c r="X1965" s="51" t="str">
        <f t="array" ref="X1965"> if(iserror(MATCH(V1965, 'File Links'!C:C, 0)), "N/A", HYPERLINK(INDEX('File Links'!B:B, MATCH(V1965, 'File Links'!C:C, 0))))</f>
        <v>https://drive.google.com/file/d/1UMAh9VGta6ExS2-Lb6GkDF4fmnI2EMeM/view?usp=drivesdk</v>
      </c>
      <c r="Y1965" s="65"/>
      <c r="Z1965" s="156" t="s">
        <v>141</v>
      </c>
      <c r="AA1965" s="156" t="s">
        <v>11689</v>
      </c>
      <c r="AB1965" s="156" t="s">
        <v>11690</v>
      </c>
      <c r="AC1965" s="156" t="s">
        <v>11685</v>
      </c>
      <c r="AD1965" s="156" t="s">
        <v>11691</v>
      </c>
      <c r="AE1965" s="153">
        <v>5.0</v>
      </c>
      <c r="AF1965" s="153">
        <v>96.0</v>
      </c>
      <c r="AG1965" s="153">
        <v>0.05</v>
      </c>
      <c r="AH1965" s="156" t="s">
        <v>132</v>
      </c>
      <c r="AI1965" s="156" t="s">
        <v>806</v>
      </c>
      <c r="AJ1965" s="706">
        <v>0.05</v>
      </c>
      <c r="AK1965" s="54" t="s">
        <v>128</v>
      </c>
      <c r="AL1965" s="54" t="s">
        <v>179</v>
      </c>
      <c r="AM1965" s="65" t="s">
        <v>134</v>
      </c>
      <c r="AN1965" s="1055" t="s">
        <v>131</v>
      </c>
      <c r="AO1965" s="333">
        <v>108.0</v>
      </c>
      <c r="AP1965" s="333">
        <v>4.0E-4</v>
      </c>
      <c r="AQ1965" s="1910" t="s">
        <v>132</v>
      </c>
      <c r="AR1965" s="156" t="s">
        <v>210</v>
      </c>
      <c r="AS1965" s="153">
        <v>0.84</v>
      </c>
      <c r="AT1965" s="156" t="s">
        <v>165</v>
      </c>
      <c r="AU1965" s="156" t="s">
        <v>179</v>
      </c>
      <c r="AV1965" s="65" t="s">
        <v>134</v>
      </c>
      <c r="AW1965" s="432" t="s">
        <v>11687</v>
      </c>
      <c r="AX1965" s="65" t="s">
        <v>144</v>
      </c>
      <c r="AZ1965" s="65" t="s">
        <v>1434</v>
      </c>
    </row>
    <row r="1966">
      <c r="A1966" s="41">
        <v>1966.0</v>
      </c>
      <c r="B1966" s="65" t="s">
        <v>145</v>
      </c>
      <c r="C1966" s="59" t="s">
        <v>108</v>
      </c>
      <c r="D1966" s="59" t="s">
        <v>1434</v>
      </c>
      <c r="F1966" s="156" t="s">
        <v>11692</v>
      </c>
      <c r="G1966" s="1441" t="s">
        <v>11693</v>
      </c>
      <c r="H1966" s="156" t="s">
        <v>11694</v>
      </c>
      <c r="I1966" s="526">
        <v>45690.0</v>
      </c>
      <c r="J1966" s="1368">
        <v>45693.0</v>
      </c>
      <c r="K1966" s="65"/>
      <c r="L1966" s="126" t="s">
        <v>11695</v>
      </c>
      <c r="M1966" s="1442" t="s">
        <v>11696</v>
      </c>
      <c r="N1966" s="434" t="s">
        <v>11697</v>
      </c>
      <c r="O1966" s="333">
        <v>3.0</v>
      </c>
      <c r="P1966" s="1573" t="s">
        <v>11698</v>
      </c>
      <c r="Q1966" s="49" t="str">
        <f t="array" ref="Q1966"> if(iserror(MATCH(V1966, 'File Links'!C:C, 0)), "N/A", HYPERLINK(INDEX('File Links'!B:B, MATCH(P1966, 'File Links'!C:C, 0))))</f>
        <v>https://drive.google.com/file/d/13XRIYgF2yNC1qLHSQBITGa6oU0w9njVk/view?usp=drivesdk</v>
      </c>
      <c r="R1966" s="156" t="s">
        <v>11699</v>
      </c>
      <c r="S1966" s="434" t="s">
        <v>10686</v>
      </c>
      <c r="T1966" s="65"/>
      <c r="U1966" s="333">
        <v>1.0</v>
      </c>
      <c r="V1966" s="195" t="str">
        <f t="shared" si="122"/>
        <v>10.1126--science.aac4716.pdf</v>
      </c>
      <c r="W1966" s="65" t="s">
        <v>3563</v>
      </c>
      <c r="X1966" s="51" t="str">
        <f t="array" ref="X1966"> if(iserror(MATCH(V1966, 'File Links'!C:C, 0)), "N/A", HYPERLINK(INDEX('File Links'!B:B, MATCH(V1966, 'File Links'!C:C, 0))))</f>
        <v>https://drive.google.com/file/d/1UMAh9VGta6ExS2-Lb6GkDF4fmnI2EMeM/view?usp=drivesdk</v>
      </c>
      <c r="Y1966" s="65"/>
      <c r="Z1966" s="65" t="s">
        <v>141</v>
      </c>
      <c r="AA1966" s="65" t="s">
        <v>11700</v>
      </c>
      <c r="AB1966" s="156" t="s">
        <v>11701</v>
      </c>
      <c r="AC1966" s="1907" t="s">
        <v>11702</v>
      </c>
      <c r="AD1966" s="65" t="s">
        <v>11703</v>
      </c>
      <c r="AE1966" s="333">
        <v>8.0</v>
      </c>
      <c r="AF1966" s="153">
        <v>18.0</v>
      </c>
      <c r="AG1966" s="65" t="s">
        <v>11704</v>
      </c>
      <c r="AH1966" s="65" t="s">
        <v>127</v>
      </c>
      <c r="AI1966" s="65" t="s">
        <v>606</v>
      </c>
      <c r="AJ1966" s="334">
        <v>0.002</v>
      </c>
      <c r="AK1966" s="58" t="s">
        <v>165</v>
      </c>
      <c r="AL1966" s="58" t="s">
        <v>179</v>
      </c>
      <c r="AM1966" s="65" t="s">
        <v>134</v>
      </c>
      <c r="AN1966" s="1055" t="s">
        <v>131</v>
      </c>
      <c r="AO1966" s="333">
        <v>32.0</v>
      </c>
      <c r="AP1966" s="333">
        <v>0.01</v>
      </c>
      <c r="AQ1966" s="65" t="s">
        <v>867</v>
      </c>
      <c r="AR1966" s="65" t="s">
        <v>806</v>
      </c>
      <c r="AS1966" s="333">
        <v>0.72</v>
      </c>
      <c r="AT1966" s="65" t="s">
        <v>165</v>
      </c>
      <c r="AU1966" s="65" t="s">
        <v>179</v>
      </c>
      <c r="AV1966" s="65" t="s">
        <v>134</v>
      </c>
      <c r="AW1966" s="1790" t="s">
        <v>11705</v>
      </c>
      <c r="AX1966" s="65" t="s">
        <v>136</v>
      </c>
      <c r="AZ1966" s="65" t="s">
        <v>1434</v>
      </c>
    </row>
    <row r="1967">
      <c r="A1967" s="41">
        <v>1967.0</v>
      </c>
      <c r="B1967" s="65" t="s">
        <v>107</v>
      </c>
      <c r="C1967" s="59" t="s">
        <v>108</v>
      </c>
      <c r="D1967" s="59" t="s">
        <v>146</v>
      </c>
      <c r="F1967" s="156" t="s">
        <v>11692</v>
      </c>
      <c r="G1967" s="1441" t="s">
        <v>11693</v>
      </c>
      <c r="H1967" s="156" t="s">
        <v>146</v>
      </c>
      <c r="I1967" s="526">
        <v>45690.0</v>
      </c>
      <c r="J1967" s="1368">
        <v>45693.0</v>
      </c>
      <c r="K1967" s="156" t="s">
        <v>11706</v>
      </c>
      <c r="L1967" s="65"/>
      <c r="M1967" s="1442" t="s">
        <v>11696</v>
      </c>
      <c r="N1967" s="434" t="s">
        <v>11697</v>
      </c>
      <c r="O1967" s="153">
        <v>3.0</v>
      </c>
      <c r="P1967" s="1573" t="s">
        <v>11698</v>
      </c>
      <c r="Q1967" s="49" t="str">
        <f t="array" ref="Q1967"> if(iserror(MATCH(V1967, 'File Links'!C:C, 0)), "N/A", HYPERLINK(INDEX('File Links'!B:B, MATCH(P1967, 'File Links'!C:C, 0))))</f>
        <v>https://drive.google.com/file/d/13XRIYgF2yNC1qLHSQBITGa6oU0w9njVk/view?usp=drivesdk</v>
      </c>
      <c r="R1967" s="156" t="s">
        <v>11699</v>
      </c>
      <c r="S1967" s="434" t="s">
        <v>10686</v>
      </c>
      <c r="T1967" s="65"/>
      <c r="U1967" s="333">
        <v>1.0</v>
      </c>
      <c r="V1967" s="195" t="str">
        <f t="shared" si="122"/>
        <v>10.1126--science.aac4716.pdf</v>
      </c>
      <c r="W1967" s="156" t="s">
        <v>3563</v>
      </c>
      <c r="X1967" s="51" t="str">
        <f t="array" ref="X1967"> if(iserror(MATCH(V1967, 'File Links'!C:C, 0)), "N/A", HYPERLINK(INDEX('File Links'!B:B, MATCH(V1967, 'File Links'!C:C, 0))))</f>
        <v>https://drive.google.com/file/d/1UMAh9VGta6ExS2-Lb6GkDF4fmnI2EMeM/view?usp=drivesdk</v>
      </c>
      <c r="Y1967" s="65"/>
      <c r="Z1967" s="156" t="s">
        <v>141</v>
      </c>
      <c r="AA1967" s="156" t="s">
        <v>11700</v>
      </c>
      <c r="AB1967" s="65" t="s">
        <v>11707</v>
      </c>
      <c r="AC1967" s="156" t="s">
        <v>11702</v>
      </c>
      <c r="AD1967" s="156" t="s">
        <v>11708</v>
      </c>
      <c r="AE1967" s="1912">
        <v>8.0</v>
      </c>
      <c r="AF1967" s="153">
        <v>18.0</v>
      </c>
      <c r="AG1967" s="153" t="s">
        <v>11704</v>
      </c>
      <c r="AH1967" s="156" t="s">
        <v>127</v>
      </c>
      <c r="AI1967" s="65" t="s">
        <v>606</v>
      </c>
      <c r="AJ1967" s="706">
        <v>0.002</v>
      </c>
      <c r="AK1967" s="54" t="s">
        <v>165</v>
      </c>
      <c r="AL1967" s="54" t="s">
        <v>179</v>
      </c>
      <c r="AM1967" s="65" t="s">
        <v>134</v>
      </c>
      <c r="AN1967" s="1055" t="s">
        <v>131</v>
      </c>
      <c r="AO1967" s="333">
        <v>32.0</v>
      </c>
      <c r="AP1967" s="333">
        <v>0.01</v>
      </c>
      <c r="AQ1967" s="1910" t="s">
        <v>132</v>
      </c>
      <c r="AR1967" s="156" t="s">
        <v>806</v>
      </c>
      <c r="AS1967" s="153">
        <v>0.72</v>
      </c>
      <c r="AT1967" s="156" t="s">
        <v>165</v>
      </c>
      <c r="AU1967" s="156" t="s">
        <v>179</v>
      </c>
      <c r="AV1967" s="65" t="s">
        <v>134</v>
      </c>
      <c r="AW1967" s="432" t="s">
        <v>11709</v>
      </c>
      <c r="AX1967" s="65" t="s">
        <v>136</v>
      </c>
      <c r="AZ1967" s="65" t="s">
        <v>1434</v>
      </c>
    </row>
    <row r="1968">
      <c r="A1968" s="41">
        <v>1968.0</v>
      </c>
      <c r="B1968" s="65" t="s">
        <v>145</v>
      </c>
      <c r="C1968" s="59" t="s">
        <v>108</v>
      </c>
      <c r="D1968" s="59" t="s">
        <v>1434</v>
      </c>
      <c r="F1968" s="603" t="s">
        <v>11710</v>
      </c>
      <c r="G1968" s="1913" t="s">
        <v>11711</v>
      </c>
      <c r="H1968" s="603" t="s">
        <v>11712</v>
      </c>
      <c r="I1968" s="519">
        <v>45690.0</v>
      </c>
      <c r="J1968" s="1914">
        <v>45693.0</v>
      </c>
      <c r="K1968" s="524"/>
      <c r="L1968" s="524"/>
      <c r="M1968" s="1915" t="s">
        <v>11713</v>
      </c>
      <c r="N1968" s="603" t="s">
        <v>11714</v>
      </c>
      <c r="O1968" s="1892">
        <v>1.0</v>
      </c>
      <c r="P1968" s="1573" t="s">
        <v>11715</v>
      </c>
      <c r="Q1968" s="49" t="str">
        <f t="array" ref="Q1968"> if(iserror(MATCH(V1968, 'File Links'!C:C, 0)), "N/A", HYPERLINK(INDEX('File Links'!B:B, MATCH(P1968, 'File Links'!C:C, 0))))</f>
        <v>https://drive.google.com/file/d/1btjIxPMyuU5I6jNMm9c2DuyFxN8Pze7t/view?usp=drivesdk</v>
      </c>
      <c r="R1968" s="603" t="s">
        <v>11716</v>
      </c>
      <c r="S1968" s="434" t="s">
        <v>10686</v>
      </c>
      <c r="T1968" s="126"/>
      <c r="U1968" s="333">
        <v>1.0</v>
      </c>
      <c r="V1968" s="195" t="str">
        <f t="shared" si="122"/>
        <v>10.1126--science.aac4716.pdf</v>
      </c>
      <c r="W1968" s="524" t="s">
        <v>157</v>
      </c>
      <c r="X1968" s="51" t="str">
        <f t="array" ref="X1968"> if(iserror(MATCH(V1968, 'File Links'!C:C, 0)), "N/A", HYPERLINK(INDEX('File Links'!B:B, MATCH(V1968, 'File Links'!C:C, 0))))</f>
        <v>https://drive.google.com/file/d/1UMAh9VGta6ExS2-Lb6GkDF4fmnI2EMeM/view?usp=drivesdk</v>
      </c>
      <c r="Y1968" s="524"/>
      <c r="Z1968" s="524" t="s">
        <v>141</v>
      </c>
      <c r="AA1968" s="524" t="s">
        <v>11717</v>
      </c>
      <c r="AB1968" s="603" t="s">
        <v>11718</v>
      </c>
      <c r="AC1968" s="603" t="s">
        <v>11719</v>
      </c>
      <c r="AD1968" s="524" t="s">
        <v>11720</v>
      </c>
      <c r="AE1968" s="1892">
        <v>6.0</v>
      </c>
      <c r="AF1968" s="1891">
        <v>154.0</v>
      </c>
      <c r="AG1968" s="524" t="s">
        <v>11721</v>
      </c>
      <c r="AH1968" s="524" t="s">
        <v>127</v>
      </c>
      <c r="AI1968" s="524" t="s">
        <v>133</v>
      </c>
      <c r="AJ1968" s="1916">
        <v>0.001</v>
      </c>
      <c r="AK1968" s="518" t="s">
        <v>128</v>
      </c>
      <c r="AL1968" s="518" t="s">
        <v>179</v>
      </c>
      <c r="AM1968" s="524" t="s">
        <v>134</v>
      </c>
      <c r="AN1968" s="1055" t="s">
        <v>131</v>
      </c>
      <c r="AO1968" s="1891">
        <v>49.0</v>
      </c>
      <c r="AP1968" s="524" t="s">
        <v>11722</v>
      </c>
      <c r="AQ1968" s="524" t="s">
        <v>127</v>
      </c>
      <c r="AR1968" s="524" t="s">
        <v>210</v>
      </c>
      <c r="AS1968" s="1892">
        <v>0.045</v>
      </c>
      <c r="AT1968" s="524" t="s">
        <v>165</v>
      </c>
      <c r="AU1968" s="524" t="s">
        <v>179</v>
      </c>
      <c r="AV1968" s="524" t="s">
        <v>134</v>
      </c>
      <c r="AW1968" s="1917" t="s">
        <v>11723</v>
      </c>
      <c r="AX1968" s="524" t="s">
        <v>136</v>
      </c>
      <c r="AZ1968" s="65" t="s">
        <v>1434</v>
      </c>
    </row>
    <row r="1969">
      <c r="A1969" s="41">
        <v>1969.0</v>
      </c>
      <c r="B1969" s="65" t="s">
        <v>107</v>
      </c>
      <c r="C1969" s="59" t="s">
        <v>108</v>
      </c>
      <c r="D1969" s="59" t="s">
        <v>146</v>
      </c>
      <c r="F1969" s="156" t="s">
        <v>11710</v>
      </c>
      <c r="G1969" s="1441" t="s">
        <v>11711</v>
      </c>
      <c r="H1969" s="156" t="s">
        <v>146</v>
      </c>
      <c r="I1969" s="526">
        <v>45690.0</v>
      </c>
      <c r="J1969" s="1368">
        <v>45693.0</v>
      </c>
      <c r="K1969" s="65"/>
      <c r="L1969" s="65"/>
      <c r="M1969" s="357" t="s">
        <v>11713</v>
      </c>
      <c r="N1969" s="156" t="s">
        <v>11714</v>
      </c>
      <c r="O1969" s="153">
        <v>1.0</v>
      </c>
      <c r="P1969" s="379" t="s">
        <v>11715</v>
      </c>
      <c r="Q1969" s="49" t="str">
        <f t="array" ref="Q1969"> if(iserror(MATCH(V1969, 'File Links'!C:C, 0)), "N/A", HYPERLINK(INDEX('File Links'!B:B, MATCH(P1969, 'File Links'!C:C, 0))))</f>
        <v>https://drive.google.com/file/d/1btjIxPMyuU5I6jNMm9c2DuyFxN8Pze7t/view?usp=drivesdk</v>
      </c>
      <c r="R1969" s="156" t="s">
        <v>11716</v>
      </c>
      <c r="S1969" s="434" t="s">
        <v>10686</v>
      </c>
      <c r="T1969" s="126"/>
      <c r="U1969" s="333">
        <v>1.0</v>
      </c>
      <c r="V1969" s="195" t="str">
        <f t="shared" si="122"/>
        <v>10.1126--science.aac4716.pdf</v>
      </c>
      <c r="W1969" s="156" t="s">
        <v>157</v>
      </c>
      <c r="X1969" s="51" t="str">
        <f t="array" ref="X1969"> if(iserror(MATCH(V1969, 'File Links'!C:C, 0)), "N/A", HYPERLINK(INDEX('File Links'!B:B, MATCH(V1969, 'File Links'!C:C, 0))))</f>
        <v>https://drive.google.com/file/d/1UMAh9VGta6ExS2-Lb6GkDF4fmnI2EMeM/view?usp=drivesdk</v>
      </c>
      <c r="Y1969" s="65"/>
      <c r="Z1969" s="156" t="s">
        <v>141</v>
      </c>
      <c r="AA1969" s="156" t="s">
        <v>11724</v>
      </c>
      <c r="AB1969" s="156" t="s">
        <v>11725</v>
      </c>
      <c r="AC1969" s="156" t="s">
        <v>11726</v>
      </c>
      <c r="AD1969" s="156" t="s">
        <v>11727</v>
      </c>
      <c r="AE1969" s="153">
        <v>6.0</v>
      </c>
      <c r="AF1969" s="153">
        <v>154.0</v>
      </c>
      <c r="AG1969" s="156" t="s">
        <v>11721</v>
      </c>
      <c r="AH1969" s="156" t="s">
        <v>127</v>
      </c>
      <c r="AI1969" s="156" t="s">
        <v>133</v>
      </c>
      <c r="AJ1969" s="334">
        <v>0.001</v>
      </c>
      <c r="AK1969" s="54" t="s">
        <v>128</v>
      </c>
      <c r="AL1969" s="54" t="s">
        <v>179</v>
      </c>
      <c r="AM1969" s="65" t="s">
        <v>134</v>
      </c>
      <c r="AN1969" s="1055" t="s">
        <v>131</v>
      </c>
      <c r="AO1969" s="153">
        <v>49.0</v>
      </c>
      <c r="AP1969" s="156" t="s">
        <v>11722</v>
      </c>
      <c r="AQ1969" s="156" t="s">
        <v>127</v>
      </c>
      <c r="AR1969" s="156" t="s">
        <v>210</v>
      </c>
      <c r="AS1969" s="153">
        <v>0.045</v>
      </c>
      <c r="AT1969" s="156" t="s">
        <v>165</v>
      </c>
      <c r="AU1969" s="156" t="s">
        <v>179</v>
      </c>
      <c r="AV1969" s="65" t="s">
        <v>134</v>
      </c>
      <c r="AW1969" s="432" t="s">
        <v>11728</v>
      </c>
      <c r="AX1969" s="65" t="s">
        <v>136</v>
      </c>
      <c r="AZ1969" s="65" t="s">
        <v>1434</v>
      </c>
    </row>
    <row r="1970">
      <c r="A1970" s="41">
        <v>1970.0</v>
      </c>
      <c r="B1970" s="65" t="s">
        <v>145</v>
      </c>
      <c r="C1970" s="59" t="s">
        <v>108</v>
      </c>
      <c r="D1970" s="59" t="s">
        <v>1434</v>
      </c>
      <c r="F1970" s="156" t="s">
        <v>11729</v>
      </c>
      <c r="G1970" s="1441" t="s">
        <v>11730</v>
      </c>
      <c r="H1970" s="156" t="s">
        <v>11731</v>
      </c>
      <c r="I1970" s="526">
        <v>45690.0</v>
      </c>
      <c r="J1970" s="1368">
        <v>45693.0</v>
      </c>
      <c r="K1970" s="65"/>
      <c r="L1970" s="65"/>
      <c r="M1970" s="1902" t="s">
        <v>11732</v>
      </c>
      <c r="N1970" s="434" t="s">
        <v>11733</v>
      </c>
      <c r="O1970" s="333">
        <v>1.0</v>
      </c>
      <c r="P1970" s="379" t="s">
        <v>11734</v>
      </c>
      <c r="Q1970" s="49" t="str">
        <f t="array" ref="Q1970"> if(iserror(MATCH(V1970, 'File Links'!C:C, 0)), "N/A", HYPERLINK(INDEX('File Links'!B:B, MATCH(P1970, 'File Links'!C:C, 0))))</f>
        <v>https://drive.google.com/file/d/1EbrmM7VFUrWNPY8NxA_ziNU_qOGIUYVa/view?usp=drivesdk</v>
      </c>
      <c r="R1970" s="156" t="s">
        <v>11735</v>
      </c>
      <c r="S1970" s="434" t="s">
        <v>10686</v>
      </c>
      <c r="T1970" s="65"/>
      <c r="U1970" s="333">
        <v>1.0</v>
      </c>
      <c r="V1970" s="195" t="str">
        <f t="shared" si="122"/>
        <v>10.1126--science.aac4716.pdf</v>
      </c>
      <c r="W1970" s="65" t="s">
        <v>157</v>
      </c>
      <c r="X1970" s="51" t="str">
        <f t="array" ref="X1970"> if(iserror(MATCH(V1970, 'File Links'!C:C, 0)), "N/A", HYPERLINK(INDEX('File Links'!B:B, MATCH(V1970, 'File Links'!C:C, 0))))</f>
        <v>https://drive.google.com/file/d/1UMAh9VGta6ExS2-Lb6GkDF4fmnI2EMeM/view?usp=drivesdk</v>
      </c>
      <c r="Y1970" s="65"/>
      <c r="Z1970" s="65" t="s">
        <v>141</v>
      </c>
      <c r="AA1970" s="65" t="s">
        <v>11736</v>
      </c>
      <c r="AB1970" s="156" t="s">
        <v>11737</v>
      </c>
      <c r="AC1970" s="1918" t="s">
        <v>11738</v>
      </c>
      <c r="AD1970" s="65" t="s">
        <v>11739</v>
      </c>
      <c r="AE1970" s="333">
        <v>6.0</v>
      </c>
      <c r="AF1970" s="153">
        <v>24.0</v>
      </c>
      <c r="AG1970" s="333">
        <v>1.51</v>
      </c>
      <c r="AH1970" s="65" t="s">
        <v>166</v>
      </c>
      <c r="AI1970" s="65" t="s">
        <v>133</v>
      </c>
      <c r="AJ1970" s="334">
        <v>0.001</v>
      </c>
      <c r="AK1970" s="58" t="s">
        <v>128</v>
      </c>
      <c r="AL1970" s="58" t="s">
        <v>129</v>
      </c>
      <c r="AM1970" s="65" t="s">
        <v>130</v>
      </c>
      <c r="AN1970" s="1055" t="s">
        <v>131</v>
      </c>
      <c r="AO1970" s="333">
        <v>63.0</v>
      </c>
      <c r="AP1970" s="333">
        <v>0.224</v>
      </c>
      <c r="AQ1970" s="65" t="s">
        <v>867</v>
      </c>
      <c r="AR1970" s="65" t="s">
        <v>500</v>
      </c>
      <c r="AS1970" s="333">
        <v>0.002</v>
      </c>
      <c r="AT1970" s="65" t="s">
        <v>165</v>
      </c>
      <c r="AU1970" s="65" t="s">
        <v>179</v>
      </c>
      <c r="AV1970" s="65" t="s">
        <v>130</v>
      </c>
      <c r="AW1970" s="432" t="s">
        <v>11740</v>
      </c>
      <c r="AX1970" s="65" t="s">
        <v>136</v>
      </c>
      <c r="AZ1970" s="65" t="s">
        <v>1434</v>
      </c>
    </row>
    <row r="1971">
      <c r="A1971" s="41">
        <v>1971.0</v>
      </c>
      <c r="B1971" s="65" t="s">
        <v>107</v>
      </c>
      <c r="C1971" s="59" t="s">
        <v>108</v>
      </c>
      <c r="D1971" s="59" t="s">
        <v>146</v>
      </c>
      <c r="F1971" s="156" t="s">
        <v>11729</v>
      </c>
      <c r="G1971" s="1441" t="s">
        <v>11730</v>
      </c>
      <c r="H1971" s="156" t="s">
        <v>146</v>
      </c>
      <c r="I1971" s="526">
        <v>45690.0</v>
      </c>
      <c r="J1971" s="1368">
        <v>45693.0</v>
      </c>
      <c r="K1971" s="156" t="s">
        <v>11741</v>
      </c>
      <c r="L1971" s="65"/>
      <c r="M1971" s="357" t="s">
        <v>11732</v>
      </c>
      <c r="N1971" s="434" t="s">
        <v>11733</v>
      </c>
      <c r="O1971" s="153">
        <v>1.0</v>
      </c>
      <c r="P1971" s="379" t="s">
        <v>11734</v>
      </c>
      <c r="Q1971" s="49" t="str">
        <f t="array" ref="Q1971"> if(iserror(MATCH(V1971, 'File Links'!C:C, 0)), "N/A", HYPERLINK(INDEX('File Links'!B:B, MATCH(P1971, 'File Links'!C:C, 0))))</f>
        <v>https://drive.google.com/file/d/1EbrmM7VFUrWNPY8NxA_ziNU_qOGIUYVa/view?usp=drivesdk</v>
      </c>
      <c r="R1971" s="156" t="s">
        <v>11735</v>
      </c>
      <c r="S1971" s="434" t="s">
        <v>10686</v>
      </c>
      <c r="T1971" s="65"/>
      <c r="U1971" s="333">
        <v>1.0</v>
      </c>
      <c r="V1971" s="195" t="str">
        <f t="shared" si="122"/>
        <v>10.1126--science.aac4716.pdf</v>
      </c>
      <c r="W1971" s="156" t="s">
        <v>157</v>
      </c>
      <c r="X1971" s="51" t="str">
        <f t="array" ref="X1971"> if(iserror(MATCH(V1971, 'File Links'!C:C, 0)), "N/A", HYPERLINK(INDEX('File Links'!B:B, MATCH(V1971, 'File Links'!C:C, 0))))</f>
        <v>https://drive.google.com/file/d/1UMAh9VGta6ExS2-Lb6GkDF4fmnI2EMeM/view?usp=drivesdk</v>
      </c>
      <c r="Y1971" s="65"/>
      <c r="Z1971" s="156" t="s">
        <v>141</v>
      </c>
      <c r="AA1971" s="156" t="s">
        <v>11736</v>
      </c>
      <c r="AB1971" s="156" t="s">
        <v>11742</v>
      </c>
      <c r="AC1971" s="156" t="s">
        <v>11738</v>
      </c>
      <c r="AD1971" s="156" t="s">
        <v>11743</v>
      </c>
      <c r="AE1971" s="153">
        <v>6.0</v>
      </c>
      <c r="AF1971" s="153">
        <v>24.0</v>
      </c>
      <c r="AG1971" s="153">
        <v>1.51</v>
      </c>
      <c r="AH1971" s="156" t="s">
        <v>166</v>
      </c>
      <c r="AI1971" s="156" t="s">
        <v>133</v>
      </c>
      <c r="AJ1971" s="706">
        <v>0.001</v>
      </c>
      <c r="AK1971" s="54" t="s">
        <v>128</v>
      </c>
      <c r="AL1971" s="54" t="s">
        <v>129</v>
      </c>
      <c r="AM1971" s="65" t="s">
        <v>130</v>
      </c>
      <c r="AN1971" s="1055" t="s">
        <v>131</v>
      </c>
      <c r="AO1971" s="333">
        <v>63.0</v>
      </c>
      <c r="AP1971" s="333">
        <v>0.224</v>
      </c>
      <c r="AQ1971" s="1910" t="s">
        <v>132</v>
      </c>
      <c r="AR1971" s="156" t="s">
        <v>843</v>
      </c>
      <c r="AS1971" s="153">
        <v>0.002</v>
      </c>
      <c r="AT1971" s="156" t="s">
        <v>165</v>
      </c>
      <c r="AU1971" s="156" t="s">
        <v>179</v>
      </c>
      <c r="AV1971" s="65" t="s">
        <v>130</v>
      </c>
      <c r="AW1971" s="432" t="s">
        <v>11744</v>
      </c>
      <c r="AX1971" s="65" t="s">
        <v>136</v>
      </c>
      <c r="AZ1971" s="65" t="s">
        <v>1434</v>
      </c>
    </row>
    <row r="1972">
      <c r="A1972" s="41">
        <v>1972.0</v>
      </c>
      <c r="B1972" s="65" t="s">
        <v>145</v>
      </c>
      <c r="C1972" s="59" t="s">
        <v>108</v>
      </c>
      <c r="D1972" s="59" t="s">
        <v>1434</v>
      </c>
      <c r="F1972" s="156" t="s">
        <v>11745</v>
      </c>
      <c r="G1972" s="1441" t="s">
        <v>11746</v>
      </c>
      <c r="H1972" s="156" t="s">
        <v>11747</v>
      </c>
      <c r="I1972" s="526">
        <v>45690.0</v>
      </c>
      <c r="J1972" s="1368">
        <v>45693.0</v>
      </c>
      <c r="K1972" s="65"/>
      <c r="L1972" s="65"/>
      <c r="M1972" s="1902" t="s">
        <v>11748</v>
      </c>
      <c r="N1972" s="156" t="s">
        <v>11749</v>
      </c>
      <c r="O1972" s="333">
        <v>5.0</v>
      </c>
      <c r="P1972" s="379" t="s">
        <v>11750</v>
      </c>
      <c r="Q1972" s="49" t="str">
        <f t="array" ref="Q1972"> if(iserror(MATCH(V1972, 'File Links'!C:C, 0)), "N/A", HYPERLINK(INDEX('File Links'!B:B, MATCH(P1972, 'File Links'!C:C, 0))))</f>
        <v>https://drive.google.com/file/d/12OzFlZKms2M0ZvYy4yTBRvGof4FqM1Ud/view?usp=drivesdk</v>
      </c>
      <c r="R1972" s="156" t="s">
        <v>11751</v>
      </c>
      <c r="S1972" s="156" t="s">
        <v>10686</v>
      </c>
      <c r="T1972" s="65"/>
      <c r="U1972" s="333">
        <v>1.0</v>
      </c>
      <c r="V1972" s="195" t="str">
        <f t="shared" si="122"/>
        <v>10.1126--science.aac4716.pdf</v>
      </c>
      <c r="W1972" s="65" t="s">
        <v>157</v>
      </c>
      <c r="X1972" s="51" t="str">
        <f t="array" ref="X1972"> if(iserror(MATCH(V1972, 'File Links'!C:C, 0)), "N/A", HYPERLINK(INDEX('File Links'!B:B, MATCH(V1972, 'File Links'!C:C, 0))))</f>
        <v>https://drive.google.com/file/d/1UMAh9VGta6ExS2-Lb6GkDF4fmnI2EMeM/view?usp=drivesdk</v>
      </c>
      <c r="Y1972" s="65"/>
      <c r="Z1972" s="65" t="s">
        <v>141</v>
      </c>
      <c r="AA1972" s="65" t="s">
        <v>11752</v>
      </c>
      <c r="AB1972" s="156" t="s">
        <v>11753</v>
      </c>
      <c r="AC1972" s="1907" t="s">
        <v>11754</v>
      </c>
      <c r="AD1972" s="65" t="s">
        <v>11755</v>
      </c>
      <c r="AE1972" s="333">
        <v>7.0</v>
      </c>
      <c r="AF1972" s="153">
        <v>16.0</v>
      </c>
      <c r="AG1972" s="333">
        <v>0.026</v>
      </c>
      <c r="AH1972" s="65" t="s">
        <v>132</v>
      </c>
      <c r="AI1972" s="65" t="s">
        <v>4966</v>
      </c>
      <c r="AJ1972" s="334">
        <v>0.1</v>
      </c>
      <c r="AK1972" s="58" t="s">
        <v>328</v>
      </c>
      <c r="AL1972" s="58" t="s">
        <v>179</v>
      </c>
      <c r="AM1972" s="65" t="s">
        <v>134</v>
      </c>
      <c r="AN1972" s="1055" t="s">
        <v>131</v>
      </c>
      <c r="AO1972" s="153">
        <v>20.0</v>
      </c>
      <c r="AP1972" s="333">
        <v>0.021</v>
      </c>
      <c r="AQ1972" s="65" t="s">
        <v>132</v>
      </c>
      <c r="AR1972" s="65" t="s">
        <v>500</v>
      </c>
      <c r="AS1972" s="333">
        <v>0.17</v>
      </c>
      <c r="AT1972" s="65" t="s">
        <v>165</v>
      </c>
      <c r="AU1972" s="65" t="s">
        <v>179</v>
      </c>
      <c r="AV1972" s="65" t="s">
        <v>134</v>
      </c>
      <c r="AW1972" s="432" t="s">
        <v>11756</v>
      </c>
      <c r="AX1972" s="65" t="s">
        <v>136</v>
      </c>
      <c r="AZ1972" s="65" t="s">
        <v>1434</v>
      </c>
    </row>
    <row r="1973">
      <c r="A1973" s="41">
        <v>1973.0</v>
      </c>
      <c r="B1973" s="65" t="s">
        <v>107</v>
      </c>
      <c r="C1973" s="59" t="s">
        <v>108</v>
      </c>
      <c r="D1973" s="59" t="s">
        <v>146</v>
      </c>
      <c r="F1973" s="156" t="s">
        <v>11745</v>
      </c>
      <c r="G1973" s="1441" t="s">
        <v>11746</v>
      </c>
      <c r="H1973" s="156" t="s">
        <v>146</v>
      </c>
      <c r="I1973" s="526">
        <v>45690.0</v>
      </c>
      <c r="J1973" s="1368">
        <v>45693.0</v>
      </c>
      <c r="K1973" s="65"/>
      <c r="L1973" s="65"/>
      <c r="M1973" s="1902" t="s">
        <v>11748</v>
      </c>
      <c r="N1973" s="434" t="s">
        <v>11749</v>
      </c>
      <c r="O1973" s="153">
        <v>5.0</v>
      </c>
      <c r="P1973" s="379" t="s">
        <v>11750</v>
      </c>
      <c r="Q1973" s="49" t="str">
        <f t="array" ref="Q1973"> if(iserror(MATCH(V1973, 'File Links'!C:C, 0)), "N/A", HYPERLINK(INDEX('File Links'!B:B, MATCH(P1973, 'File Links'!C:C, 0))))</f>
        <v>https://drive.google.com/file/d/12OzFlZKms2M0ZvYy4yTBRvGof4FqM1Ud/view?usp=drivesdk</v>
      </c>
      <c r="R1973" s="156" t="s">
        <v>11751</v>
      </c>
      <c r="S1973" s="434" t="s">
        <v>10686</v>
      </c>
      <c r="T1973" s="65"/>
      <c r="U1973" s="333">
        <v>1.0</v>
      </c>
      <c r="V1973" s="195" t="str">
        <f t="shared" si="122"/>
        <v>10.1126--science.aac4716.pdf</v>
      </c>
      <c r="W1973" s="156" t="s">
        <v>157</v>
      </c>
      <c r="X1973" s="51" t="str">
        <f t="array" ref="X1973"> if(iserror(MATCH(V1973, 'File Links'!C:C, 0)), "N/A", HYPERLINK(INDEX('File Links'!B:B, MATCH(V1973, 'File Links'!C:C, 0))))</f>
        <v>https://drive.google.com/file/d/1UMAh9VGta6ExS2-Lb6GkDF4fmnI2EMeM/view?usp=drivesdk</v>
      </c>
      <c r="Y1973" s="65"/>
      <c r="Z1973" s="156" t="s">
        <v>141</v>
      </c>
      <c r="AA1973" s="156" t="s">
        <v>11757</v>
      </c>
      <c r="AB1973" s="156" t="s">
        <v>11758</v>
      </c>
      <c r="AC1973" s="156" t="s">
        <v>11754</v>
      </c>
      <c r="AD1973" s="156" t="s">
        <v>11759</v>
      </c>
      <c r="AE1973" s="153">
        <v>7.0</v>
      </c>
      <c r="AF1973" s="153">
        <v>16.0</v>
      </c>
      <c r="AG1973" s="1919">
        <v>0.02</v>
      </c>
      <c r="AH1973" s="156" t="s">
        <v>132</v>
      </c>
      <c r="AI1973" s="156" t="s">
        <v>125</v>
      </c>
      <c r="AJ1973" s="706">
        <v>0.1</v>
      </c>
      <c r="AK1973" s="54" t="s">
        <v>328</v>
      </c>
      <c r="AL1973" s="54" t="s">
        <v>179</v>
      </c>
      <c r="AM1973" s="65" t="s">
        <v>134</v>
      </c>
      <c r="AN1973" s="1055" t="s">
        <v>131</v>
      </c>
      <c r="AO1973" s="333">
        <v>20.0</v>
      </c>
      <c r="AP1973" s="333">
        <v>0.021</v>
      </c>
      <c r="AQ1973" s="156" t="s">
        <v>132</v>
      </c>
      <c r="AR1973" s="156" t="s">
        <v>210</v>
      </c>
      <c r="AS1973" s="153">
        <v>0.17</v>
      </c>
      <c r="AT1973" s="156" t="s">
        <v>165</v>
      </c>
      <c r="AU1973" s="156" t="s">
        <v>179</v>
      </c>
      <c r="AV1973" s="65" t="s">
        <v>134</v>
      </c>
      <c r="AW1973" s="432" t="s">
        <v>11756</v>
      </c>
      <c r="AX1973" s="65" t="s">
        <v>136</v>
      </c>
      <c r="AZ1973" s="65" t="s">
        <v>1434</v>
      </c>
    </row>
    <row r="1974">
      <c r="A1974" s="41">
        <v>1974.0</v>
      </c>
      <c r="B1974" s="65" t="s">
        <v>107</v>
      </c>
      <c r="C1974" s="59" t="s">
        <v>108</v>
      </c>
      <c r="D1974" s="59" t="s">
        <v>1434</v>
      </c>
      <c r="F1974" s="156" t="s">
        <v>11760</v>
      </c>
      <c r="G1974" s="1441" t="s">
        <v>11761</v>
      </c>
      <c r="H1974" s="156" t="s">
        <v>11762</v>
      </c>
      <c r="I1974" s="526">
        <v>45690.0</v>
      </c>
      <c r="J1974" s="1368">
        <v>45693.0</v>
      </c>
      <c r="K1974" s="65"/>
      <c r="L1974" s="65" t="s">
        <v>11763</v>
      </c>
      <c r="M1974" s="1902" t="s">
        <v>11764</v>
      </c>
      <c r="N1974" s="434" t="s">
        <v>11765</v>
      </c>
      <c r="O1974" s="333">
        <v>4.0</v>
      </c>
      <c r="P1974" s="379" t="s">
        <v>11766</v>
      </c>
      <c r="Q1974" s="49" t="str">
        <f t="array" ref="Q1974"> if(iserror(MATCH(V1974, 'File Links'!C:C, 0)), "N/A", HYPERLINK(INDEX('File Links'!B:B, MATCH(P1974, 'File Links'!C:C, 0))))</f>
        <v>https://drive.google.com/file/d/1ycY8rorKC9FDqVeTFdgVQQrTEuktcPox/view?usp=drivesdk</v>
      </c>
      <c r="R1974" s="156" t="s">
        <v>11767</v>
      </c>
      <c r="S1974" s="434" t="s">
        <v>10686</v>
      </c>
      <c r="T1974" s="65"/>
      <c r="U1974" s="333">
        <v>1.0</v>
      </c>
      <c r="V1974" s="195" t="str">
        <f t="shared" si="122"/>
        <v>10.1126--science.aac4716.pdf</v>
      </c>
      <c r="W1974" s="65" t="s">
        <v>3563</v>
      </c>
      <c r="X1974" s="51" t="str">
        <f t="array" ref="X1974"> if(iserror(MATCH(V1974, 'File Links'!C:C, 0)), "N/A", HYPERLINK(INDEX('File Links'!B:B, MATCH(V1974, 'File Links'!C:C, 0))))</f>
        <v>https://drive.google.com/file/d/1UMAh9VGta6ExS2-Lb6GkDF4fmnI2EMeM/view?usp=drivesdk</v>
      </c>
      <c r="Y1974" s="65"/>
      <c r="Z1974" s="65" t="s">
        <v>141</v>
      </c>
      <c r="AA1974" s="65" t="s">
        <v>11768</v>
      </c>
      <c r="AB1974" s="156" t="s">
        <v>11769</v>
      </c>
      <c r="AC1974" s="156" t="s">
        <v>11770</v>
      </c>
      <c r="AD1974" s="65" t="s">
        <v>11771</v>
      </c>
      <c r="AE1974" s="333">
        <v>9.0</v>
      </c>
      <c r="AF1974" s="153">
        <v>32.0</v>
      </c>
      <c r="AG1974" s="333">
        <v>0.14</v>
      </c>
      <c r="AH1974" s="65" t="s">
        <v>132</v>
      </c>
      <c r="AI1974" s="65" t="s">
        <v>621</v>
      </c>
      <c r="AJ1974" s="334">
        <v>0.03</v>
      </c>
      <c r="AK1974" s="58" t="s">
        <v>165</v>
      </c>
      <c r="AL1974" s="58" t="s">
        <v>179</v>
      </c>
      <c r="AM1974" s="65" t="s">
        <v>134</v>
      </c>
      <c r="AN1974" s="1055" t="s">
        <v>131</v>
      </c>
      <c r="AO1974" s="333">
        <v>71.0</v>
      </c>
      <c r="AP1974" s="1920" t="s">
        <v>11772</v>
      </c>
      <c r="AQ1974" s="65" t="s">
        <v>127</v>
      </c>
      <c r="AR1974" s="1920" t="s">
        <v>805</v>
      </c>
      <c r="AS1974" s="333">
        <v>0.001</v>
      </c>
      <c r="AT1974" s="65" t="s">
        <v>165</v>
      </c>
      <c r="AU1974" s="65" t="s">
        <v>179</v>
      </c>
      <c r="AV1974" s="65" t="s">
        <v>134</v>
      </c>
      <c r="AW1974" s="126" t="s">
        <v>131</v>
      </c>
      <c r="AX1974" s="65" t="s">
        <v>136</v>
      </c>
      <c r="AZ1974" s="65" t="s">
        <v>1434</v>
      </c>
    </row>
    <row r="1975">
      <c r="A1975" s="41">
        <v>1975.0</v>
      </c>
      <c r="B1975" s="65" t="s">
        <v>145</v>
      </c>
      <c r="C1975" s="59" t="s">
        <v>108</v>
      </c>
      <c r="D1975" s="59" t="s">
        <v>146</v>
      </c>
      <c r="F1975" s="156" t="s">
        <v>11760</v>
      </c>
      <c r="G1975" s="1441" t="s">
        <v>11761</v>
      </c>
      <c r="H1975" s="156" t="s">
        <v>146</v>
      </c>
      <c r="I1975" s="526">
        <v>45690.0</v>
      </c>
      <c r="J1975" s="1368">
        <v>45693.0</v>
      </c>
      <c r="K1975" s="156" t="s">
        <v>11773</v>
      </c>
      <c r="L1975" s="65"/>
      <c r="M1975" s="1902" t="s">
        <v>11764</v>
      </c>
      <c r="N1975" s="156" t="s">
        <v>11765</v>
      </c>
      <c r="O1975" s="153">
        <v>4.0</v>
      </c>
      <c r="P1975" s="379" t="s">
        <v>11766</v>
      </c>
      <c r="Q1975" s="49" t="str">
        <f t="array" ref="Q1975"> if(iserror(MATCH(V1975, 'File Links'!C:C, 0)), "N/A", HYPERLINK(INDEX('File Links'!B:B, MATCH(P1975, 'File Links'!C:C, 0))))</f>
        <v>https://drive.google.com/file/d/1ycY8rorKC9FDqVeTFdgVQQrTEuktcPox/view?usp=drivesdk</v>
      </c>
      <c r="R1975" s="156" t="s">
        <v>11767</v>
      </c>
      <c r="S1975" s="434" t="s">
        <v>10686</v>
      </c>
      <c r="T1975" s="126"/>
      <c r="U1975" s="333">
        <v>1.0</v>
      </c>
      <c r="V1975" s="195" t="str">
        <f t="shared" si="122"/>
        <v>10.1126--science.aac4716.pdf</v>
      </c>
      <c r="W1975" s="156" t="s">
        <v>3563</v>
      </c>
      <c r="X1975" s="51" t="str">
        <f t="array" ref="X1975"> if(iserror(MATCH(V1975, 'File Links'!C:C, 0)), "N/A", HYPERLINK(INDEX('File Links'!B:B, MATCH(V1975, 'File Links'!C:C, 0))))</f>
        <v>https://drive.google.com/file/d/1UMAh9VGta6ExS2-Lb6GkDF4fmnI2EMeM/view?usp=drivesdk</v>
      </c>
      <c r="Y1975" s="65"/>
      <c r="Z1975" s="156" t="s">
        <v>141</v>
      </c>
      <c r="AA1975" s="156" t="s">
        <v>11774</v>
      </c>
      <c r="AB1975" s="156" t="s">
        <v>11775</v>
      </c>
      <c r="AC1975" s="156" t="s">
        <v>11776</v>
      </c>
      <c r="AD1975" s="1903" t="s">
        <v>11771</v>
      </c>
      <c r="AE1975" s="153">
        <v>9.0</v>
      </c>
      <c r="AF1975" s="153">
        <v>32.0</v>
      </c>
      <c r="AG1975" s="153">
        <v>0.14</v>
      </c>
      <c r="AH1975" s="156" t="s">
        <v>132</v>
      </c>
      <c r="AI1975" s="156" t="s">
        <v>621</v>
      </c>
      <c r="AJ1975" s="334">
        <v>0.03</v>
      </c>
      <c r="AK1975" s="54" t="s">
        <v>165</v>
      </c>
      <c r="AL1975" s="54" t="s">
        <v>179</v>
      </c>
      <c r="AM1975" s="65" t="s">
        <v>134</v>
      </c>
      <c r="AN1975" s="1055" t="s">
        <v>131</v>
      </c>
      <c r="AO1975" s="153">
        <v>71.0</v>
      </c>
      <c r="AP1975" s="156" t="s">
        <v>11777</v>
      </c>
      <c r="AQ1975" s="156" t="s">
        <v>127</v>
      </c>
      <c r="AR1975" s="156" t="s">
        <v>806</v>
      </c>
      <c r="AS1975" s="153">
        <v>0.001</v>
      </c>
      <c r="AT1975" s="156" t="s">
        <v>165</v>
      </c>
      <c r="AU1975" s="156" t="s">
        <v>179</v>
      </c>
      <c r="AV1975" s="65" t="s">
        <v>134</v>
      </c>
      <c r="AW1975" s="432" t="s">
        <v>11778</v>
      </c>
      <c r="AX1975" s="65" t="s">
        <v>136</v>
      </c>
      <c r="AZ1975" s="65" t="s">
        <v>1434</v>
      </c>
    </row>
    <row r="1976">
      <c r="A1976" s="41">
        <v>1976.0</v>
      </c>
      <c r="B1976" s="65" t="s">
        <v>145</v>
      </c>
      <c r="C1976" s="59" t="s">
        <v>108</v>
      </c>
      <c r="D1976" s="59" t="s">
        <v>1434</v>
      </c>
      <c r="F1976" s="156" t="s">
        <v>11779</v>
      </c>
      <c r="G1976" s="1441" t="s">
        <v>11780</v>
      </c>
      <c r="H1976" s="156" t="s">
        <v>11781</v>
      </c>
      <c r="I1976" s="526">
        <v>45690.0</v>
      </c>
      <c r="J1976" s="1368">
        <v>45693.0</v>
      </c>
      <c r="K1976" s="65" t="s">
        <v>11782</v>
      </c>
      <c r="L1976" s="65"/>
      <c r="M1976" s="1902" t="s">
        <v>11783</v>
      </c>
      <c r="N1976" s="156" t="s">
        <v>11784</v>
      </c>
      <c r="O1976" s="333">
        <v>2.0</v>
      </c>
      <c r="P1976" s="379" t="s">
        <v>11785</v>
      </c>
      <c r="Q1976" s="49" t="str">
        <f t="array" ref="Q1976"> if(iserror(MATCH(V1976, 'File Links'!C:C, 0)), "N/A", HYPERLINK(INDEX('File Links'!B:B, MATCH(P1976, 'File Links'!C:C, 0))))</f>
        <v>https://drive.google.com/file/d/1G9_olsUh3tpfcqhh1KX72VpE0keeAnj7/view?usp=drivesdk</v>
      </c>
      <c r="R1976" s="156" t="s">
        <v>11786</v>
      </c>
      <c r="S1976" s="434" t="s">
        <v>10686</v>
      </c>
      <c r="T1976" s="126"/>
      <c r="U1976" s="333">
        <v>1.0</v>
      </c>
      <c r="V1976" s="195" t="str">
        <f t="shared" si="122"/>
        <v>10.1126--science.aac4716.pdf</v>
      </c>
      <c r="W1976" s="65" t="s">
        <v>3563</v>
      </c>
      <c r="X1976" s="51" t="str">
        <f t="array" ref="X1976"> if(iserror(MATCH(V1976, 'File Links'!C:C, 0)), "N/A", HYPERLINK(INDEX('File Links'!B:B, MATCH(V1976, 'File Links'!C:C, 0))))</f>
        <v>https://drive.google.com/file/d/1UMAh9VGta6ExS2-Lb6GkDF4fmnI2EMeM/view?usp=drivesdk</v>
      </c>
      <c r="Y1976" s="65"/>
      <c r="Z1976" s="65" t="s">
        <v>141</v>
      </c>
      <c r="AA1976" s="65" t="s">
        <v>11787</v>
      </c>
      <c r="AB1976" s="156" t="s">
        <v>11788</v>
      </c>
      <c r="AC1976" s="1907" t="s">
        <v>11789</v>
      </c>
      <c r="AD1976" s="65" t="s">
        <v>11790</v>
      </c>
      <c r="AE1976" s="333">
        <v>4.0</v>
      </c>
      <c r="AF1976" s="153">
        <v>32.0</v>
      </c>
      <c r="AG1976" s="65" t="s">
        <v>11791</v>
      </c>
      <c r="AH1976" s="65" t="s">
        <v>127</v>
      </c>
      <c r="AI1976" s="65" t="s">
        <v>843</v>
      </c>
      <c r="AJ1976" s="334">
        <v>0.06</v>
      </c>
      <c r="AK1976" s="58" t="s">
        <v>128</v>
      </c>
      <c r="AL1976" s="58" t="s">
        <v>179</v>
      </c>
      <c r="AM1976" s="65" t="s">
        <v>130</v>
      </c>
      <c r="AN1976" s="1055" t="s">
        <v>131</v>
      </c>
      <c r="AO1976" s="153">
        <v>91.0</v>
      </c>
      <c r="AP1976" s="333">
        <v>0.011</v>
      </c>
      <c r="AQ1976" s="65" t="s">
        <v>132</v>
      </c>
      <c r="AR1976" s="156" t="s">
        <v>806</v>
      </c>
      <c r="AS1976" s="333">
        <v>0.33</v>
      </c>
      <c r="AT1976" s="65" t="s">
        <v>165</v>
      </c>
      <c r="AU1976" s="65" t="s">
        <v>179</v>
      </c>
      <c r="AV1976" s="65" t="s">
        <v>130</v>
      </c>
      <c r="AW1976" s="432" t="s">
        <v>11792</v>
      </c>
      <c r="AX1976" s="65" t="s">
        <v>136</v>
      </c>
      <c r="AZ1976" s="65" t="s">
        <v>1434</v>
      </c>
    </row>
    <row r="1977">
      <c r="A1977" s="41">
        <v>1977.0</v>
      </c>
      <c r="B1977" s="65" t="s">
        <v>107</v>
      </c>
      <c r="C1977" s="59" t="s">
        <v>108</v>
      </c>
      <c r="D1977" s="59" t="s">
        <v>146</v>
      </c>
      <c r="F1977" s="156" t="s">
        <v>11779</v>
      </c>
      <c r="G1977" s="1441" t="s">
        <v>11780</v>
      </c>
      <c r="H1977" s="156" t="s">
        <v>146</v>
      </c>
      <c r="I1977" s="526">
        <v>45690.0</v>
      </c>
      <c r="J1977" s="1368">
        <v>45693.0</v>
      </c>
      <c r="K1977" s="65" t="s">
        <v>11793</v>
      </c>
      <c r="L1977" s="65"/>
      <c r="M1977" s="1878" t="s">
        <v>11783</v>
      </c>
      <c r="N1977" s="434" t="s">
        <v>11784</v>
      </c>
      <c r="O1977" s="1919">
        <v>1.0</v>
      </c>
      <c r="P1977" s="379" t="s">
        <v>11785</v>
      </c>
      <c r="Q1977" s="49" t="str">
        <f t="array" ref="Q1977"> if(iserror(MATCH(V1977, 'File Links'!C:C, 0)), "N/A", HYPERLINK(INDEX('File Links'!B:B, MATCH(P1977, 'File Links'!C:C, 0))))</f>
        <v>https://drive.google.com/file/d/1G9_olsUh3tpfcqhh1KX72VpE0keeAnj7/view?usp=drivesdk</v>
      </c>
      <c r="R1977" s="156" t="s">
        <v>11786</v>
      </c>
      <c r="S1977" s="434" t="s">
        <v>10686</v>
      </c>
      <c r="T1977" s="65"/>
      <c r="U1977" s="333">
        <v>1.0</v>
      </c>
      <c r="V1977" s="195" t="str">
        <f t="shared" si="122"/>
        <v>10.1126--science.aac4716.pdf</v>
      </c>
      <c r="W1977" s="156" t="s">
        <v>157</v>
      </c>
      <c r="X1977" s="51" t="str">
        <f t="array" ref="X1977"> if(iserror(MATCH(V1977, 'File Links'!C:C, 0)), "N/A", HYPERLINK(INDEX('File Links'!B:B, MATCH(V1977, 'File Links'!C:C, 0))))</f>
        <v>https://drive.google.com/file/d/1UMAh9VGta6ExS2-Lb6GkDF4fmnI2EMeM/view?usp=drivesdk</v>
      </c>
      <c r="Y1977" s="65"/>
      <c r="Z1977" s="156" t="s">
        <v>141</v>
      </c>
      <c r="AA1977" s="156" t="s">
        <v>11787</v>
      </c>
      <c r="AB1977" s="156" t="s">
        <v>11794</v>
      </c>
      <c r="AC1977" s="156" t="s">
        <v>11789</v>
      </c>
      <c r="AD1977" s="156" t="s">
        <v>11795</v>
      </c>
      <c r="AE1977" s="1299">
        <v>4.0</v>
      </c>
      <c r="AF1977" s="153">
        <v>32.0</v>
      </c>
      <c r="AG1977" s="153" t="s">
        <v>11796</v>
      </c>
      <c r="AH1977" s="156" t="s">
        <v>127</v>
      </c>
      <c r="AI1977" s="156" t="s">
        <v>843</v>
      </c>
      <c r="AJ1977" s="334">
        <v>0.06</v>
      </c>
      <c r="AK1977" s="54" t="s">
        <v>128</v>
      </c>
      <c r="AL1977" s="54" t="s">
        <v>179</v>
      </c>
      <c r="AM1977" s="65" t="s">
        <v>130</v>
      </c>
      <c r="AN1977" s="1055" t="s">
        <v>131</v>
      </c>
      <c r="AO1977" s="333">
        <v>91.0</v>
      </c>
      <c r="AP1977" s="333">
        <v>0.011</v>
      </c>
      <c r="AQ1977" s="156" t="s">
        <v>132</v>
      </c>
      <c r="AR1977" s="156" t="s">
        <v>806</v>
      </c>
      <c r="AS1977" s="153">
        <v>0.33</v>
      </c>
      <c r="AT1977" s="156" t="s">
        <v>165</v>
      </c>
      <c r="AU1977" s="156" t="s">
        <v>179</v>
      </c>
      <c r="AV1977" s="65" t="s">
        <v>130</v>
      </c>
      <c r="AW1977" s="432" t="s">
        <v>11792</v>
      </c>
      <c r="AX1977" s="65" t="s">
        <v>136</v>
      </c>
      <c r="AZ1977" s="65" t="s">
        <v>1434</v>
      </c>
    </row>
    <row r="1978">
      <c r="A1978" s="41">
        <v>1978.0</v>
      </c>
      <c r="B1978" s="65" t="s">
        <v>145</v>
      </c>
      <c r="C1978" s="59" t="s">
        <v>108</v>
      </c>
      <c r="D1978" s="59" t="s">
        <v>1434</v>
      </c>
      <c r="F1978" s="156" t="s">
        <v>11797</v>
      </c>
      <c r="G1978" s="1441" t="s">
        <v>11798</v>
      </c>
      <c r="H1978" s="156" t="s">
        <v>11799</v>
      </c>
      <c r="I1978" s="526">
        <v>45690.0</v>
      </c>
      <c r="J1978" s="1368">
        <v>45693.0</v>
      </c>
      <c r="K1978" s="65"/>
      <c r="L1978" s="65" t="s">
        <v>11800</v>
      </c>
      <c r="M1978" s="1902" t="s">
        <v>11801</v>
      </c>
      <c r="N1978" s="156" t="s">
        <v>11802</v>
      </c>
      <c r="O1978" s="65" t="s">
        <v>5900</v>
      </c>
      <c r="P1978" s="379" t="s">
        <v>11803</v>
      </c>
      <c r="Q1978" s="49" t="str">
        <f t="array" ref="Q1978"> if(iserror(MATCH(V1978, 'File Links'!C:C, 0)), "N/A", HYPERLINK(INDEX('File Links'!B:B, MATCH(P1978, 'File Links'!C:C, 0))))</f>
        <v>https://drive.google.com/file/d/1y0oKhgHFMs_nXH4ufYi5ZaxDoesUnD71/view?usp=drivesdk</v>
      </c>
      <c r="R1978" s="156" t="s">
        <v>11804</v>
      </c>
      <c r="S1978" s="434" t="s">
        <v>10686</v>
      </c>
      <c r="T1978" s="126"/>
      <c r="U1978" s="333">
        <v>1.0</v>
      </c>
      <c r="V1978" s="195" t="str">
        <f t="shared" si="122"/>
        <v>10.1126--science.aac4716.pdf</v>
      </c>
      <c r="W1978" s="65" t="s">
        <v>157</v>
      </c>
      <c r="X1978" s="51" t="str">
        <f t="array" ref="X1978"> if(iserror(MATCH(V1978, 'File Links'!C:C, 0)), "N/A", HYPERLINK(INDEX('File Links'!B:B, MATCH(V1978, 'File Links'!C:C, 0))))</f>
        <v>https://drive.google.com/file/d/1UMAh9VGta6ExS2-Lb6GkDF4fmnI2EMeM/view?usp=drivesdk</v>
      </c>
      <c r="Y1978" s="65"/>
      <c r="Z1978" s="65" t="s">
        <v>141</v>
      </c>
      <c r="AA1978" s="65" t="s">
        <v>11805</v>
      </c>
      <c r="AB1978" s="65" t="s">
        <v>11806</v>
      </c>
      <c r="AC1978" s="1907" t="s">
        <v>11807</v>
      </c>
      <c r="AD1978" s="65" t="s">
        <v>11808</v>
      </c>
      <c r="AE1978" s="333">
        <v>6.0</v>
      </c>
      <c r="AF1978" s="333">
        <v>8.0</v>
      </c>
      <c r="AG1978" s="333">
        <v>1.023</v>
      </c>
      <c r="AH1978" s="65" t="s">
        <v>166</v>
      </c>
      <c r="AI1978" s="65" t="s">
        <v>133</v>
      </c>
      <c r="AJ1978" s="334">
        <v>0.023</v>
      </c>
      <c r="AK1978" s="58" t="s">
        <v>165</v>
      </c>
      <c r="AL1978" s="58" t="s">
        <v>179</v>
      </c>
      <c r="AM1978" s="65" t="s">
        <v>130</v>
      </c>
      <c r="AN1978" s="1055" t="s">
        <v>131</v>
      </c>
      <c r="AO1978" s="333">
        <v>15.0</v>
      </c>
      <c r="AP1978" s="333">
        <v>0.957</v>
      </c>
      <c r="AQ1978" s="65" t="s">
        <v>166</v>
      </c>
      <c r="AR1978" s="65" t="s">
        <v>210</v>
      </c>
      <c r="AS1978" s="333">
        <v>0.002</v>
      </c>
      <c r="AT1978" s="65" t="s">
        <v>165</v>
      </c>
      <c r="AU1978" s="65" t="s">
        <v>179</v>
      </c>
      <c r="AV1978" s="65" t="s">
        <v>130</v>
      </c>
      <c r="AW1978" s="432" t="s">
        <v>11809</v>
      </c>
      <c r="AX1978" s="65" t="s">
        <v>136</v>
      </c>
      <c r="AZ1978" s="65" t="s">
        <v>1434</v>
      </c>
    </row>
    <row r="1979">
      <c r="A1979" s="41">
        <v>1979.0</v>
      </c>
      <c r="B1979" s="65" t="s">
        <v>107</v>
      </c>
      <c r="C1979" s="59" t="s">
        <v>108</v>
      </c>
      <c r="D1979" s="59" t="s">
        <v>146</v>
      </c>
      <c r="F1979" s="156" t="s">
        <v>11797</v>
      </c>
      <c r="G1979" s="1441" t="s">
        <v>11798</v>
      </c>
      <c r="H1979" s="156" t="s">
        <v>146</v>
      </c>
      <c r="I1979" s="526">
        <v>45690.0</v>
      </c>
      <c r="J1979" s="1368">
        <v>45693.0</v>
      </c>
      <c r="K1979" s="156" t="s">
        <v>11810</v>
      </c>
      <c r="L1979" s="65"/>
      <c r="M1979" s="1902" t="s">
        <v>11801</v>
      </c>
      <c r="N1979" s="156" t="s">
        <v>11802</v>
      </c>
      <c r="O1979" s="156" t="s">
        <v>5900</v>
      </c>
      <c r="P1979" s="379" t="s">
        <v>11803</v>
      </c>
      <c r="Q1979" s="49" t="str">
        <f t="array" ref="Q1979"> if(iserror(MATCH(V1979, 'File Links'!C:C, 0)), "N/A", HYPERLINK(INDEX('File Links'!B:B, MATCH(P1979, 'File Links'!C:C, 0))))</f>
        <v>https://drive.google.com/file/d/1y0oKhgHFMs_nXH4ufYi5ZaxDoesUnD71/view?usp=drivesdk</v>
      </c>
      <c r="R1979" s="156" t="s">
        <v>11804</v>
      </c>
      <c r="S1979" s="434" t="s">
        <v>10686</v>
      </c>
      <c r="T1979" s="126"/>
      <c r="U1979" s="333">
        <v>1.0</v>
      </c>
      <c r="V1979" s="195" t="str">
        <f t="shared" si="122"/>
        <v>10.1126--science.aac4716.pdf</v>
      </c>
      <c r="W1979" s="156" t="s">
        <v>157</v>
      </c>
      <c r="X1979" s="51" t="str">
        <f t="array" ref="X1979"> if(iserror(MATCH(V1979, 'File Links'!C:C, 0)), "N/A", HYPERLINK(INDEX('File Links'!B:B, MATCH(V1979, 'File Links'!C:C, 0))))</f>
        <v>https://drive.google.com/file/d/1UMAh9VGta6ExS2-Lb6GkDF4fmnI2EMeM/view?usp=drivesdk</v>
      </c>
      <c r="Y1979" s="65"/>
      <c r="Z1979" s="156" t="s">
        <v>141</v>
      </c>
      <c r="AA1979" s="156" t="s">
        <v>11811</v>
      </c>
      <c r="AB1979" s="156" t="s">
        <v>11812</v>
      </c>
      <c r="AC1979" s="156" t="s">
        <v>11807</v>
      </c>
      <c r="AD1979" s="156" t="s">
        <v>11813</v>
      </c>
      <c r="AE1979" s="153">
        <v>6.0</v>
      </c>
      <c r="AF1979" s="153">
        <v>8.0</v>
      </c>
      <c r="AG1979" s="153">
        <v>1.023</v>
      </c>
      <c r="AH1979" s="156" t="s">
        <v>166</v>
      </c>
      <c r="AI1979" s="156" t="s">
        <v>133</v>
      </c>
      <c r="AJ1979" s="334">
        <v>0.023</v>
      </c>
      <c r="AK1979" s="54" t="s">
        <v>165</v>
      </c>
      <c r="AL1979" s="54" t="s">
        <v>179</v>
      </c>
      <c r="AM1979" s="65" t="s">
        <v>130</v>
      </c>
      <c r="AN1979" s="1055" t="s">
        <v>131</v>
      </c>
      <c r="AO1979" s="153">
        <v>15.0</v>
      </c>
      <c r="AP1979" s="153">
        <v>0.957</v>
      </c>
      <c r="AQ1979" s="156" t="s">
        <v>166</v>
      </c>
      <c r="AR1979" s="156" t="s">
        <v>210</v>
      </c>
      <c r="AS1979" s="153">
        <v>0.002</v>
      </c>
      <c r="AT1979" s="156" t="s">
        <v>165</v>
      </c>
      <c r="AU1979" s="156" t="s">
        <v>179</v>
      </c>
      <c r="AV1979" s="65" t="s">
        <v>130</v>
      </c>
      <c r="AW1979" s="432" t="s">
        <v>11809</v>
      </c>
      <c r="AX1979" s="1908" t="s">
        <v>144</v>
      </c>
      <c r="AZ1979" s="65" t="s">
        <v>1434</v>
      </c>
    </row>
    <row r="1980">
      <c r="A1980" s="41">
        <v>1980.0</v>
      </c>
      <c r="B1980" s="65" t="s">
        <v>145</v>
      </c>
      <c r="C1980" s="59" t="s">
        <v>108</v>
      </c>
      <c r="D1980" s="59" t="s">
        <v>1434</v>
      </c>
      <c r="F1980" s="156" t="s">
        <v>11814</v>
      </c>
      <c r="G1980" s="1441" t="s">
        <v>11815</v>
      </c>
      <c r="H1980" s="156" t="s">
        <v>11816</v>
      </c>
      <c r="I1980" s="526">
        <v>45690.0</v>
      </c>
      <c r="J1980" s="1368">
        <v>45693.0</v>
      </c>
      <c r="K1980" s="65"/>
      <c r="L1980" s="65"/>
      <c r="M1980" s="1902" t="s">
        <v>11817</v>
      </c>
      <c r="N1980" s="156" t="s">
        <v>11818</v>
      </c>
      <c r="O1980" s="333">
        <v>4.0</v>
      </c>
      <c r="P1980" s="379" t="s">
        <v>11819</v>
      </c>
      <c r="Q1980" s="49" t="str">
        <f t="array" ref="Q1980"> if(iserror(MATCH(V1980, 'File Links'!C:C, 0)), "N/A", HYPERLINK(INDEX('File Links'!B:B, MATCH(P1980, 'File Links'!C:C, 0))))</f>
        <v>https://drive.google.com/file/d/1NiPCpcI4sxnM3OTJQdqenG265Dkr8hRb/view?usp=drivesdk</v>
      </c>
      <c r="R1980" s="156" t="s">
        <v>11820</v>
      </c>
      <c r="S1980" s="434" t="s">
        <v>10686</v>
      </c>
      <c r="T1980" s="126"/>
      <c r="U1980" s="333">
        <v>1.0</v>
      </c>
      <c r="V1980" s="195" t="str">
        <f t="shared" si="122"/>
        <v>10.1126--science.aac4716.pdf</v>
      </c>
      <c r="W1980" s="65" t="s">
        <v>3563</v>
      </c>
      <c r="X1980" s="51" t="str">
        <f t="array" ref="X1980"> if(iserror(MATCH(V1980, 'File Links'!C:C, 0)), "N/A", HYPERLINK(INDEX('File Links'!B:B, MATCH(V1980, 'File Links'!C:C, 0))))</f>
        <v>https://drive.google.com/file/d/1UMAh9VGta6ExS2-Lb6GkDF4fmnI2EMeM/view?usp=drivesdk</v>
      </c>
      <c r="Y1980" s="65"/>
      <c r="Z1980" s="65" t="s">
        <v>141</v>
      </c>
      <c r="AA1980" s="156" t="s">
        <v>11821</v>
      </c>
      <c r="AB1980" s="156" t="s">
        <v>11822</v>
      </c>
      <c r="AC1980" s="1907" t="s">
        <v>11823</v>
      </c>
      <c r="AD1980" s="65" t="s">
        <v>11824</v>
      </c>
      <c r="AE1980" s="333">
        <v>11.0</v>
      </c>
      <c r="AF1980" s="153">
        <v>25.0</v>
      </c>
      <c r="AG1980" s="65" t="s">
        <v>11825</v>
      </c>
      <c r="AH1980" s="65" t="s">
        <v>127</v>
      </c>
      <c r="AI1980" s="65" t="s">
        <v>300</v>
      </c>
      <c r="AJ1980" s="334">
        <v>0.05</v>
      </c>
      <c r="AK1980" s="58" t="s">
        <v>128</v>
      </c>
      <c r="AL1980" s="58" t="s">
        <v>129</v>
      </c>
      <c r="AM1980" s="65" t="s">
        <v>130</v>
      </c>
      <c r="AN1980" s="1055" t="s">
        <v>131</v>
      </c>
      <c r="AO1980" s="153">
        <v>32.0</v>
      </c>
      <c r="AP1980" s="333">
        <v>0.046</v>
      </c>
      <c r="AQ1980" s="65" t="s">
        <v>867</v>
      </c>
      <c r="AR1980" s="65" t="s">
        <v>806</v>
      </c>
      <c r="AS1980" s="333">
        <v>0.229</v>
      </c>
      <c r="AT1980" s="65" t="s">
        <v>165</v>
      </c>
      <c r="AU1980" s="65" t="s">
        <v>179</v>
      </c>
      <c r="AV1980" s="65" t="s">
        <v>130</v>
      </c>
      <c r="AW1980" s="432" t="s">
        <v>11826</v>
      </c>
      <c r="AX1980" s="65" t="s">
        <v>136</v>
      </c>
      <c r="AZ1980" s="65" t="s">
        <v>1434</v>
      </c>
    </row>
    <row r="1981">
      <c r="A1981" s="41">
        <v>1981.0</v>
      </c>
      <c r="B1981" s="65" t="s">
        <v>107</v>
      </c>
      <c r="C1981" s="59" t="s">
        <v>108</v>
      </c>
      <c r="D1981" s="59" t="s">
        <v>146</v>
      </c>
      <c r="F1981" s="156" t="s">
        <v>11814</v>
      </c>
      <c r="G1981" s="1441" t="s">
        <v>11815</v>
      </c>
      <c r="H1981" s="156" t="s">
        <v>146</v>
      </c>
      <c r="I1981" s="526">
        <v>45690.0</v>
      </c>
      <c r="J1981" s="1368">
        <v>45693.0</v>
      </c>
      <c r="K1981" s="156" t="s">
        <v>11827</v>
      </c>
      <c r="L1981" s="65"/>
      <c r="M1981" s="1902" t="s">
        <v>11817</v>
      </c>
      <c r="N1981" s="156" t="s">
        <v>11818</v>
      </c>
      <c r="O1981" s="153">
        <v>4.0</v>
      </c>
      <c r="P1981" s="379" t="s">
        <v>11819</v>
      </c>
      <c r="Q1981" s="49" t="str">
        <f t="array" ref="Q1981"> if(iserror(MATCH(V1981, 'File Links'!C:C, 0)), "N/A", HYPERLINK(INDEX('File Links'!B:B, MATCH(P1981, 'File Links'!C:C, 0))))</f>
        <v>https://drive.google.com/file/d/1NiPCpcI4sxnM3OTJQdqenG265Dkr8hRb/view?usp=drivesdk</v>
      </c>
      <c r="R1981" s="156" t="s">
        <v>11820</v>
      </c>
      <c r="S1981" s="434" t="s">
        <v>10686</v>
      </c>
      <c r="T1981" s="126"/>
      <c r="U1981" s="333">
        <v>1.0</v>
      </c>
      <c r="V1981" s="195" t="str">
        <f t="shared" si="122"/>
        <v>10.1126--science.aac4716.pdf</v>
      </c>
      <c r="W1981" s="156" t="s">
        <v>3563</v>
      </c>
      <c r="X1981" s="51" t="str">
        <f t="array" ref="X1981"> if(iserror(MATCH(V1981, 'File Links'!C:C, 0)), "N/A", HYPERLINK(INDEX('File Links'!B:B, MATCH(V1981, 'File Links'!C:C, 0))))</f>
        <v>https://drive.google.com/file/d/1UMAh9VGta6ExS2-Lb6GkDF4fmnI2EMeM/view?usp=drivesdk</v>
      </c>
      <c r="Y1981" s="65"/>
      <c r="Z1981" s="156" t="s">
        <v>141</v>
      </c>
      <c r="AA1981" s="156" t="s">
        <v>4295</v>
      </c>
      <c r="AB1981" s="156" t="s">
        <v>11828</v>
      </c>
      <c r="AC1981" s="156" t="s">
        <v>11823</v>
      </c>
      <c r="AD1981" s="156" t="s">
        <v>11829</v>
      </c>
      <c r="AE1981" s="153">
        <v>11.0</v>
      </c>
      <c r="AF1981" s="153">
        <v>25.0</v>
      </c>
      <c r="AG1981" s="156" t="s">
        <v>11825</v>
      </c>
      <c r="AH1981" s="156" t="s">
        <v>127</v>
      </c>
      <c r="AI1981" s="156" t="s">
        <v>300</v>
      </c>
      <c r="AJ1981" s="334">
        <v>0.05</v>
      </c>
      <c r="AK1981" s="54" t="s">
        <v>128</v>
      </c>
      <c r="AL1981" s="54" t="s">
        <v>129</v>
      </c>
      <c r="AM1981" s="65" t="s">
        <v>130</v>
      </c>
      <c r="AN1981" s="1055" t="s">
        <v>131</v>
      </c>
      <c r="AO1981" s="153">
        <v>32.0</v>
      </c>
      <c r="AP1981" s="153">
        <v>0.046</v>
      </c>
      <c r="AQ1981" s="1910" t="s">
        <v>132</v>
      </c>
      <c r="AR1981" s="156" t="s">
        <v>806</v>
      </c>
      <c r="AS1981" s="153">
        <v>0.229</v>
      </c>
      <c r="AT1981" s="156" t="s">
        <v>165</v>
      </c>
      <c r="AU1981" s="156" t="s">
        <v>179</v>
      </c>
      <c r="AV1981" s="65" t="s">
        <v>130</v>
      </c>
      <c r="AW1981" s="432" t="s">
        <v>11826</v>
      </c>
      <c r="AX1981" s="65" t="s">
        <v>136</v>
      </c>
      <c r="AZ1981" s="65" t="s">
        <v>1434</v>
      </c>
    </row>
    <row r="1982">
      <c r="A1982" s="41">
        <v>1982.0</v>
      </c>
      <c r="B1982" s="65" t="s">
        <v>145</v>
      </c>
      <c r="C1982" s="59" t="s">
        <v>108</v>
      </c>
      <c r="D1982" s="59" t="s">
        <v>1434</v>
      </c>
      <c r="F1982" s="156" t="s">
        <v>11830</v>
      </c>
      <c r="G1982" s="1441" t="s">
        <v>11831</v>
      </c>
      <c r="H1982" s="156" t="s">
        <v>11608</v>
      </c>
      <c r="I1982" s="526">
        <v>45690.0</v>
      </c>
      <c r="J1982" s="1368">
        <v>45693.0</v>
      </c>
      <c r="K1982" s="65"/>
      <c r="L1982" s="65"/>
      <c r="M1982" s="1902" t="s">
        <v>11832</v>
      </c>
      <c r="N1982" s="156" t="s">
        <v>11833</v>
      </c>
      <c r="O1982" s="333">
        <v>3.0</v>
      </c>
      <c r="P1982" s="379" t="s">
        <v>11834</v>
      </c>
      <c r="Q1982" s="49" t="str">
        <f t="array" ref="Q1982"> if(iserror(MATCH(V1982, 'File Links'!C:C, 0)), "N/A", HYPERLINK(INDEX('File Links'!B:B, MATCH(P1982, 'File Links'!C:C, 0))))</f>
        <v>https://drive.google.com/file/d/1VkkAzt4eeAeZtV2ewwPlwMagejOBaOcs/view?usp=drivesdk</v>
      </c>
      <c r="R1982" s="156" t="s">
        <v>11835</v>
      </c>
      <c r="S1982" s="434" t="s">
        <v>10686</v>
      </c>
      <c r="T1982" s="126"/>
      <c r="U1982" s="333">
        <v>1.0</v>
      </c>
      <c r="V1982" s="195" t="str">
        <f t="shared" si="122"/>
        <v>10.1126--science.aac4716.pdf</v>
      </c>
      <c r="W1982" s="65" t="s">
        <v>157</v>
      </c>
      <c r="X1982" s="51" t="str">
        <f t="array" ref="X1982"> if(iserror(MATCH(V1982, 'File Links'!C:C, 0)), "N/A", HYPERLINK(INDEX('File Links'!B:B, MATCH(V1982, 'File Links'!C:C, 0))))</f>
        <v>https://drive.google.com/file/d/1UMAh9VGta6ExS2-Lb6GkDF4fmnI2EMeM/view?usp=drivesdk</v>
      </c>
      <c r="Y1982" s="65"/>
      <c r="Z1982" s="65" t="s">
        <v>141</v>
      </c>
      <c r="AA1982" s="65" t="s">
        <v>11836</v>
      </c>
      <c r="AB1982" s="156" t="s">
        <v>11837</v>
      </c>
      <c r="AC1982" s="1918" t="s">
        <v>11838</v>
      </c>
      <c r="AD1982" s="65" t="s">
        <v>11839</v>
      </c>
      <c r="AE1982" s="333">
        <v>7.0</v>
      </c>
      <c r="AF1982" s="153">
        <v>37.0</v>
      </c>
      <c r="AG1982" s="65" t="s">
        <v>11840</v>
      </c>
      <c r="AH1982" s="65" t="s">
        <v>127</v>
      </c>
      <c r="AI1982" s="65" t="s">
        <v>125</v>
      </c>
      <c r="AJ1982" s="334">
        <v>0.001</v>
      </c>
      <c r="AK1982" s="58" t="s">
        <v>128</v>
      </c>
      <c r="AL1982" s="58" t="s">
        <v>179</v>
      </c>
      <c r="AM1982" s="65" t="s">
        <v>134</v>
      </c>
      <c r="AN1982" s="1055" t="s">
        <v>131</v>
      </c>
      <c r="AO1982" s="153">
        <v>38.0</v>
      </c>
      <c r="AP1982" s="333">
        <v>0.23</v>
      </c>
      <c r="AQ1982" s="65" t="s">
        <v>867</v>
      </c>
      <c r="AR1982" s="65" t="s">
        <v>210</v>
      </c>
      <c r="AS1982" s="333">
        <v>0.002</v>
      </c>
      <c r="AT1982" s="65" t="s">
        <v>165</v>
      </c>
      <c r="AU1982" s="65" t="s">
        <v>179</v>
      </c>
      <c r="AV1982" s="65" t="s">
        <v>134</v>
      </c>
      <c r="AW1982" s="1790" t="s">
        <v>11841</v>
      </c>
      <c r="AX1982" s="65" t="s">
        <v>136</v>
      </c>
      <c r="AZ1982" s="65" t="s">
        <v>1434</v>
      </c>
    </row>
    <row r="1983">
      <c r="A1983" s="41">
        <v>1983.0</v>
      </c>
      <c r="B1983" s="65" t="s">
        <v>107</v>
      </c>
      <c r="C1983" s="59" t="s">
        <v>108</v>
      </c>
      <c r="D1983" s="59" t="s">
        <v>146</v>
      </c>
      <c r="F1983" s="156" t="s">
        <v>11830</v>
      </c>
      <c r="G1983" s="1441" t="s">
        <v>11831</v>
      </c>
      <c r="H1983" s="156" t="s">
        <v>11842</v>
      </c>
      <c r="I1983" s="526">
        <v>45690.0</v>
      </c>
      <c r="J1983" s="1368">
        <v>45693.0</v>
      </c>
      <c r="K1983" s="156" t="s">
        <v>11843</v>
      </c>
      <c r="L1983" s="65"/>
      <c r="M1983" s="1902" t="s">
        <v>11832</v>
      </c>
      <c r="N1983" s="156" t="s">
        <v>11833</v>
      </c>
      <c r="O1983" s="153">
        <v>3.0</v>
      </c>
      <c r="P1983" s="379" t="s">
        <v>11834</v>
      </c>
      <c r="Q1983" s="49" t="str">
        <f t="array" ref="Q1983"> if(iserror(MATCH(V1983, 'File Links'!C:C, 0)), "N/A", HYPERLINK(INDEX('File Links'!B:B, MATCH(P1983, 'File Links'!C:C, 0))))</f>
        <v>https://drive.google.com/file/d/1VkkAzt4eeAeZtV2ewwPlwMagejOBaOcs/view?usp=drivesdk</v>
      </c>
      <c r="R1983" s="156" t="s">
        <v>11835</v>
      </c>
      <c r="S1983" s="434" t="s">
        <v>10686</v>
      </c>
      <c r="T1983" s="126"/>
      <c r="U1983" s="333">
        <v>1.0</v>
      </c>
      <c r="V1983" s="195" t="str">
        <f t="shared" si="122"/>
        <v>10.1126--science.aac4716.pdf</v>
      </c>
      <c r="W1983" s="156" t="s">
        <v>157</v>
      </c>
      <c r="X1983" s="51" t="str">
        <f t="array" ref="X1983"> if(iserror(MATCH(V1983, 'File Links'!C:C, 0)), "N/A", HYPERLINK(INDEX('File Links'!B:B, MATCH(V1983, 'File Links'!C:C, 0))))</f>
        <v>https://drive.google.com/file/d/1UMAh9VGta6ExS2-Lb6GkDF4fmnI2EMeM/view?usp=drivesdk</v>
      </c>
      <c r="Y1983" s="65"/>
      <c r="Z1983" s="156" t="s">
        <v>141</v>
      </c>
      <c r="AA1983" s="156" t="s">
        <v>11836</v>
      </c>
      <c r="AB1983" s="156" t="s">
        <v>11844</v>
      </c>
      <c r="AC1983" s="156" t="s">
        <v>11838</v>
      </c>
      <c r="AD1983" s="156" t="s">
        <v>11845</v>
      </c>
      <c r="AE1983" s="153">
        <v>7.0</v>
      </c>
      <c r="AF1983" s="153">
        <v>37.0</v>
      </c>
      <c r="AG1983" s="156" t="s">
        <v>11840</v>
      </c>
      <c r="AH1983" s="156" t="s">
        <v>127</v>
      </c>
      <c r="AI1983" s="156" t="s">
        <v>125</v>
      </c>
      <c r="AJ1983" s="334">
        <v>0.001</v>
      </c>
      <c r="AK1983" s="54" t="s">
        <v>128</v>
      </c>
      <c r="AL1983" s="54" t="s">
        <v>179</v>
      </c>
      <c r="AM1983" s="1908" t="s">
        <v>130</v>
      </c>
      <c r="AN1983" s="1055" t="s">
        <v>131</v>
      </c>
      <c r="AO1983" s="153">
        <v>38.0</v>
      </c>
      <c r="AP1983" s="153">
        <v>0.23</v>
      </c>
      <c r="AQ1983" s="1910" t="s">
        <v>132</v>
      </c>
      <c r="AR1983" s="156" t="s">
        <v>210</v>
      </c>
      <c r="AS1983" s="153">
        <v>0.002</v>
      </c>
      <c r="AT1983" s="156" t="s">
        <v>165</v>
      </c>
      <c r="AU1983" s="156" t="s">
        <v>179</v>
      </c>
      <c r="AV1983" s="1908" t="s">
        <v>130</v>
      </c>
      <c r="AW1983" s="432" t="s">
        <v>11846</v>
      </c>
      <c r="AX1983" s="65" t="s">
        <v>136</v>
      </c>
      <c r="AZ1983" s="65" t="s">
        <v>1434</v>
      </c>
    </row>
    <row r="1984">
      <c r="A1984" s="41">
        <v>1984.0</v>
      </c>
      <c r="B1984" s="65" t="s">
        <v>145</v>
      </c>
      <c r="C1984" s="59" t="s">
        <v>108</v>
      </c>
      <c r="D1984" s="59" t="s">
        <v>1434</v>
      </c>
      <c r="F1984" s="156" t="s">
        <v>11847</v>
      </c>
      <c r="G1984" s="1441" t="s">
        <v>11848</v>
      </c>
      <c r="H1984" s="156" t="s">
        <v>11499</v>
      </c>
      <c r="I1984" s="526">
        <v>45690.0</v>
      </c>
      <c r="J1984" s="1368">
        <v>45693.0</v>
      </c>
      <c r="K1984" s="65"/>
      <c r="L1984" s="65"/>
      <c r="M1984" s="1902" t="s">
        <v>11849</v>
      </c>
      <c r="N1984" s="434" t="s">
        <v>11850</v>
      </c>
      <c r="O1984" s="333">
        <v>2.0</v>
      </c>
      <c r="P1984" s="379" t="s">
        <v>11851</v>
      </c>
      <c r="Q1984" s="49" t="str">
        <f t="array" ref="Q1984"> if(iserror(MATCH(V1984, 'File Links'!C:C, 0)), "N/A", HYPERLINK(INDEX('File Links'!B:B, MATCH(P1984, 'File Links'!C:C, 0))))</f>
        <v>https://drive.google.com/file/d/1Lf2mJhcl4k2IlhscpNWAcWIYn_DN1RLo/view?usp=drivesdk</v>
      </c>
      <c r="R1984" s="156" t="s">
        <v>11852</v>
      </c>
      <c r="S1984" s="434" t="s">
        <v>10686</v>
      </c>
      <c r="T1984" s="65"/>
      <c r="U1984" s="333">
        <v>1.0</v>
      </c>
      <c r="V1984" s="195" t="str">
        <f t="shared" si="122"/>
        <v>10.1126--science.aac4716.pdf</v>
      </c>
      <c r="W1984" s="65" t="s">
        <v>157</v>
      </c>
      <c r="X1984" s="51" t="str">
        <f t="array" ref="X1984"> if(iserror(MATCH(V1984, 'File Links'!C:C, 0)), "N/A", HYPERLINK(INDEX('File Links'!B:B, MATCH(V1984, 'File Links'!C:C, 0))))</f>
        <v>https://drive.google.com/file/d/1UMAh9VGta6ExS2-Lb6GkDF4fmnI2EMeM/view?usp=drivesdk</v>
      </c>
      <c r="Y1984" s="65"/>
      <c r="Z1984" s="65" t="s">
        <v>141</v>
      </c>
      <c r="AA1984" s="65" t="s">
        <v>11853</v>
      </c>
      <c r="AB1984" s="156" t="s">
        <v>11854</v>
      </c>
      <c r="AC1984" s="1918" t="s">
        <v>11855</v>
      </c>
      <c r="AD1984" s="65" t="s">
        <v>11856</v>
      </c>
      <c r="AE1984" s="333">
        <v>6.0</v>
      </c>
      <c r="AF1984" s="153">
        <v>40.0</v>
      </c>
      <c r="AG1984" s="333">
        <v>0.6</v>
      </c>
      <c r="AH1984" s="65" t="s">
        <v>166</v>
      </c>
      <c r="AI1984" s="65" t="s">
        <v>133</v>
      </c>
      <c r="AJ1984" s="334">
        <v>0.001</v>
      </c>
      <c r="AK1984" s="58" t="s">
        <v>165</v>
      </c>
      <c r="AL1984" s="58" t="s">
        <v>179</v>
      </c>
      <c r="AM1984" s="65" t="s">
        <v>134</v>
      </c>
      <c r="AN1984" s="1055" t="s">
        <v>131</v>
      </c>
      <c r="AO1984" s="333">
        <v>40.0</v>
      </c>
      <c r="AP1984" s="333">
        <v>0.37</v>
      </c>
      <c r="AQ1984" s="65" t="s">
        <v>166</v>
      </c>
      <c r="AR1984" s="65" t="s">
        <v>806</v>
      </c>
      <c r="AS1984" s="333">
        <v>0.044</v>
      </c>
      <c r="AT1984" s="65" t="s">
        <v>165</v>
      </c>
      <c r="AU1984" s="65" t="s">
        <v>179</v>
      </c>
      <c r="AV1984" s="65" t="s">
        <v>134</v>
      </c>
      <c r="AW1984" s="432" t="s">
        <v>11857</v>
      </c>
      <c r="AX1984" s="65" t="s">
        <v>136</v>
      </c>
      <c r="AZ1984" s="65" t="s">
        <v>1434</v>
      </c>
    </row>
    <row r="1985">
      <c r="A1985" s="41">
        <v>1985.0</v>
      </c>
      <c r="B1985" s="65" t="s">
        <v>107</v>
      </c>
      <c r="C1985" s="59" t="s">
        <v>108</v>
      </c>
      <c r="D1985" s="59" t="s">
        <v>146</v>
      </c>
      <c r="F1985" s="156" t="s">
        <v>11847</v>
      </c>
      <c r="G1985" s="1441" t="s">
        <v>11848</v>
      </c>
      <c r="H1985" s="156" t="s">
        <v>146</v>
      </c>
      <c r="I1985" s="526">
        <v>45690.0</v>
      </c>
      <c r="J1985" s="1368">
        <v>45693.0</v>
      </c>
      <c r="K1985" s="65"/>
      <c r="L1985" s="65"/>
      <c r="M1985" s="1902" t="s">
        <v>11849</v>
      </c>
      <c r="N1985" s="156" t="s">
        <v>11850</v>
      </c>
      <c r="O1985" s="153">
        <v>2.0</v>
      </c>
      <c r="P1985" s="379" t="s">
        <v>11851</v>
      </c>
      <c r="Q1985" s="49" t="str">
        <f t="array" ref="Q1985"> if(iserror(MATCH(V1985, 'File Links'!C:C, 0)), "N/A", HYPERLINK(INDEX('File Links'!B:B, MATCH(P1985, 'File Links'!C:C, 0))))</f>
        <v>https://drive.google.com/file/d/1Lf2mJhcl4k2IlhscpNWAcWIYn_DN1RLo/view?usp=drivesdk</v>
      </c>
      <c r="R1985" s="156" t="s">
        <v>11852</v>
      </c>
      <c r="S1985" s="434" t="s">
        <v>10686</v>
      </c>
      <c r="T1985" s="126"/>
      <c r="U1985" s="333">
        <v>1.0</v>
      </c>
      <c r="V1985" s="195" t="str">
        <f t="shared" si="122"/>
        <v>10.1126--science.aac4716.pdf</v>
      </c>
      <c r="W1985" s="156" t="s">
        <v>157</v>
      </c>
      <c r="X1985" s="51" t="str">
        <f t="array" ref="X1985"> if(iserror(MATCH(V1985, 'File Links'!C:C, 0)), "N/A", HYPERLINK(INDEX('File Links'!B:B, MATCH(V1985, 'File Links'!C:C, 0))))</f>
        <v>https://drive.google.com/file/d/1UMAh9VGta6ExS2-Lb6GkDF4fmnI2EMeM/view?usp=drivesdk</v>
      </c>
      <c r="Y1985" s="65"/>
      <c r="Z1985" s="156" t="s">
        <v>141</v>
      </c>
      <c r="AA1985" s="156" t="s">
        <v>11858</v>
      </c>
      <c r="AB1985" s="156" t="s">
        <v>11859</v>
      </c>
      <c r="AC1985" s="156" t="s">
        <v>11855</v>
      </c>
      <c r="AD1985" s="156" t="s">
        <v>11860</v>
      </c>
      <c r="AE1985" s="1919">
        <v>11.0</v>
      </c>
      <c r="AF1985" s="153">
        <v>40.0</v>
      </c>
      <c r="AG1985" s="1919">
        <v>0.44</v>
      </c>
      <c r="AH1985" s="156" t="s">
        <v>166</v>
      </c>
      <c r="AI1985" s="1909" t="s">
        <v>300</v>
      </c>
      <c r="AJ1985" s="334">
        <v>0.008</v>
      </c>
      <c r="AK1985" s="54" t="s">
        <v>128</v>
      </c>
      <c r="AL1985" s="54" t="s">
        <v>179</v>
      </c>
      <c r="AM1985" s="1908" t="s">
        <v>130</v>
      </c>
      <c r="AN1985" s="1055" t="s">
        <v>131</v>
      </c>
      <c r="AO1985" s="153">
        <v>40.0</v>
      </c>
      <c r="AP1985" s="153">
        <v>0.37</v>
      </c>
      <c r="AQ1985" s="156" t="s">
        <v>166</v>
      </c>
      <c r="AR1985" s="156" t="s">
        <v>806</v>
      </c>
      <c r="AS1985" s="1919">
        <v>0.44</v>
      </c>
      <c r="AT1985" s="156" t="s">
        <v>165</v>
      </c>
      <c r="AU1985" s="156" t="s">
        <v>179</v>
      </c>
      <c r="AV1985" s="1908" t="s">
        <v>130</v>
      </c>
      <c r="AW1985" s="432" t="s">
        <v>11861</v>
      </c>
      <c r="AX1985" s="65" t="s">
        <v>136</v>
      </c>
      <c r="AZ1985" s="65" t="s">
        <v>1434</v>
      </c>
    </row>
    <row r="1986">
      <c r="A1986" s="41">
        <v>1986.0</v>
      </c>
      <c r="B1986" s="65" t="s">
        <v>145</v>
      </c>
      <c r="C1986" s="59" t="s">
        <v>108</v>
      </c>
      <c r="D1986" s="59" t="s">
        <v>1434</v>
      </c>
      <c r="F1986" s="156" t="s">
        <v>11862</v>
      </c>
      <c r="G1986" s="1441" t="s">
        <v>11863</v>
      </c>
      <c r="H1986" s="65" t="s">
        <v>11864</v>
      </c>
      <c r="I1986" s="526">
        <v>45690.0</v>
      </c>
      <c r="J1986" s="1368">
        <v>45693.0</v>
      </c>
      <c r="K1986" s="65"/>
      <c r="L1986" s="65"/>
      <c r="M1986" s="1902" t="s">
        <v>11865</v>
      </c>
      <c r="N1986" s="156" t="s">
        <v>11866</v>
      </c>
      <c r="O1986" s="65" t="s">
        <v>5900</v>
      </c>
      <c r="P1986" s="379" t="s">
        <v>11867</v>
      </c>
      <c r="Q1986" s="49" t="str">
        <f t="array" ref="Q1986"> if(iserror(MATCH(V1986, 'File Links'!C:C, 0)), "N/A", HYPERLINK(INDEX('File Links'!B:B, MATCH(P1986, 'File Links'!C:C, 0))))</f>
        <v>https://drive.google.com/file/d/16eIzUB6LjNl3GMULG3vB5p7EO1iC0SJ3/view?usp=drivesdk</v>
      </c>
      <c r="R1986" s="156" t="s">
        <v>11868</v>
      </c>
      <c r="S1986" s="434" t="s">
        <v>10686</v>
      </c>
      <c r="T1986" s="126"/>
      <c r="U1986" s="333">
        <v>1.0</v>
      </c>
      <c r="V1986" s="195" t="str">
        <f t="shared" si="122"/>
        <v>10.1126--science.aac4716.pdf</v>
      </c>
      <c r="W1986" s="65" t="s">
        <v>157</v>
      </c>
      <c r="X1986" s="51" t="str">
        <f t="array" ref="X1986"> if(iserror(MATCH(V1986, 'File Links'!C:C, 0)), "N/A", HYPERLINK(INDEX('File Links'!B:B, MATCH(V1986, 'File Links'!C:C, 0))))</f>
        <v>https://drive.google.com/file/d/1UMAh9VGta6ExS2-Lb6GkDF4fmnI2EMeM/view?usp=drivesdk</v>
      </c>
      <c r="Y1986" s="65"/>
      <c r="Z1986" s="65" t="s">
        <v>141</v>
      </c>
      <c r="AA1986" s="65" t="s">
        <v>11869</v>
      </c>
      <c r="AB1986" s="156" t="s">
        <v>11870</v>
      </c>
      <c r="AC1986" s="1907" t="s">
        <v>11871</v>
      </c>
      <c r="AD1986" s="65" t="s">
        <v>11872</v>
      </c>
      <c r="AE1986" s="333">
        <v>12.0</v>
      </c>
      <c r="AF1986" s="153">
        <v>24.0</v>
      </c>
      <c r="AG1986" s="333">
        <v>0.51</v>
      </c>
      <c r="AH1986" s="65" t="s">
        <v>867</v>
      </c>
      <c r="AI1986" s="65" t="s">
        <v>605</v>
      </c>
      <c r="AJ1986" s="334">
        <v>0.01</v>
      </c>
      <c r="AK1986" s="58" t="s">
        <v>128</v>
      </c>
      <c r="AL1986" s="58" t="s">
        <v>179</v>
      </c>
      <c r="AM1986" s="65" t="s">
        <v>130</v>
      </c>
      <c r="AN1986" s="1055" t="s">
        <v>131</v>
      </c>
      <c r="AO1986" s="153">
        <v>24.0</v>
      </c>
      <c r="AP1986" s="333">
        <v>0.46</v>
      </c>
      <c r="AQ1986" s="65" t="s">
        <v>867</v>
      </c>
      <c r="AR1986" s="65" t="s">
        <v>843</v>
      </c>
      <c r="AS1986" s="333">
        <v>0.001</v>
      </c>
      <c r="AT1986" s="65" t="s">
        <v>128</v>
      </c>
      <c r="AU1986" s="65" t="s">
        <v>179</v>
      </c>
      <c r="AV1986" s="65" t="s">
        <v>130</v>
      </c>
      <c r="AW1986" s="432" t="s">
        <v>11873</v>
      </c>
      <c r="AX1986" s="65" t="s">
        <v>136</v>
      </c>
      <c r="AZ1986" s="65" t="s">
        <v>1434</v>
      </c>
    </row>
    <row r="1987">
      <c r="A1987" s="41">
        <v>1987.0</v>
      </c>
      <c r="B1987" s="65" t="s">
        <v>107</v>
      </c>
      <c r="C1987" s="59" t="s">
        <v>108</v>
      </c>
      <c r="D1987" s="59" t="s">
        <v>146</v>
      </c>
      <c r="F1987" s="156" t="s">
        <v>11862</v>
      </c>
      <c r="G1987" s="1441" t="s">
        <v>11863</v>
      </c>
      <c r="H1987" s="156" t="s">
        <v>146</v>
      </c>
      <c r="I1987" s="526">
        <v>45690.0</v>
      </c>
      <c r="J1987" s="1368">
        <v>45693.0</v>
      </c>
      <c r="K1987" s="156" t="s">
        <v>11874</v>
      </c>
      <c r="L1987" s="65"/>
      <c r="M1987" s="1902" t="s">
        <v>11865</v>
      </c>
      <c r="N1987" s="156" t="s">
        <v>11866</v>
      </c>
      <c r="O1987" s="156" t="s">
        <v>5900</v>
      </c>
      <c r="P1987" s="379" t="s">
        <v>11867</v>
      </c>
      <c r="Q1987" s="49" t="str">
        <f t="array" ref="Q1987"> if(iserror(MATCH(V1987, 'File Links'!C:C, 0)), "N/A", HYPERLINK(INDEX('File Links'!B:B, MATCH(P1987, 'File Links'!C:C, 0))))</f>
        <v>https://drive.google.com/file/d/16eIzUB6LjNl3GMULG3vB5p7EO1iC0SJ3/view?usp=drivesdk</v>
      </c>
      <c r="R1987" s="156" t="s">
        <v>11868</v>
      </c>
      <c r="S1987" s="434" t="s">
        <v>10686</v>
      </c>
      <c r="T1987" s="126"/>
      <c r="U1987" s="333">
        <v>1.0</v>
      </c>
      <c r="V1987" s="195" t="str">
        <f t="shared" si="122"/>
        <v>10.1126--science.aac4716.pdf</v>
      </c>
      <c r="W1987" s="156" t="s">
        <v>157</v>
      </c>
      <c r="X1987" s="51" t="str">
        <f t="array" ref="X1987"> if(iserror(MATCH(V1987, 'File Links'!C:C, 0)), "N/A", HYPERLINK(INDEX('File Links'!B:B, MATCH(V1987, 'File Links'!C:C, 0))))</f>
        <v>https://drive.google.com/file/d/1UMAh9VGta6ExS2-Lb6GkDF4fmnI2EMeM/view?usp=drivesdk</v>
      </c>
      <c r="Y1987" s="65"/>
      <c r="Z1987" s="156" t="s">
        <v>141</v>
      </c>
      <c r="AA1987" s="156" t="s">
        <v>5213</v>
      </c>
      <c r="AB1987" s="156" t="s">
        <v>11875</v>
      </c>
      <c r="AC1987" s="156" t="s">
        <v>11871</v>
      </c>
      <c r="AD1987" s="156" t="s">
        <v>11876</v>
      </c>
      <c r="AE1987" s="153">
        <v>12.0</v>
      </c>
      <c r="AF1987" s="153">
        <v>24.0</v>
      </c>
      <c r="AG1987" s="153">
        <v>0.51</v>
      </c>
      <c r="AH1987" s="1910" t="s">
        <v>132</v>
      </c>
      <c r="AI1987" s="156" t="s">
        <v>605</v>
      </c>
      <c r="AJ1987" s="334">
        <v>0.01</v>
      </c>
      <c r="AK1987" s="54" t="s">
        <v>128</v>
      </c>
      <c r="AL1987" s="54" t="s">
        <v>179</v>
      </c>
      <c r="AM1987" s="65" t="s">
        <v>130</v>
      </c>
      <c r="AN1987" s="1055" t="s">
        <v>131</v>
      </c>
      <c r="AO1987" s="153">
        <v>24.0</v>
      </c>
      <c r="AP1987" s="153">
        <v>0.46</v>
      </c>
      <c r="AQ1987" s="1910" t="s">
        <v>132</v>
      </c>
      <c r="AR1987" s="156" t="s">
        <v>843</v>
      </c>
      <c r="AS1987" s="153">
        <v>0.001</v>
      </c>
      <c r="AT1987" s="156" t="s">
        <v>128</v>
      </c>
      <c r="AU1987" s="156" t="s">
        <v>179</v>
      </c>
      <c r="AV1987" s="65" t="s">
        <v>130</v>
      </c>
      <c r="AW1987" s="432" t="s">
        <v>11877</v>
      </c>
      <c r="AX1987" s="65" t="s">
        <v>136</v>
      </c>
      <c r="AZ1987" s="65" t="s">
        <v>1434</v>
      </c>
    </row>
    <row r="1988">
      <c r="A1988" s="41">
        <v>1988.0</v>
      </c>
      <c r="B1988" s="65" t="s">
        <v>145</v>
      </c>
      <c r="C1988" s="59" t="s">
        <v>108</v>
      </c>
      <c r="D1988" s="59" t="s">
        <v>1434</v>
      </c>
      <c r="F1988" s="156" t="s">
        <v>11878</v>
      </c>
      <c r="G1988" s="1441" t="s">
        <v>11879</v>
      </c>
      <c r="H1988" s="156" t="s">
        <v>11880</v>
      </c>
      <c r="I1988" s="526">
        <v>45690.0</v>
      </c>
      <c r="J1988" s="1368">
        <v>45693.0</v>
      </c>
      <c r="K1988" s="65" t="s">
        <v>11881</v>
      </c>
      <c r="L1988" s="65"/>
      <c r="M1988" s="1902" t="s">
        <v>11882</v>
      </c>
      <c r="N1988" s="434" t="s">
        <v>11883</v>
      </c>
      <c r="O1988" s="333">
        <v>3.0</v>
      </c>
      <c r="P1988" s="379" t="s">
        <v>11884</v>
      </c>
      <c r="Q1988" s="49" t="str">
        <f t="array" ref="Q1988"> if(iserror(MATCH(V1988, 'File Links'!C:C, 0)), "N/A", HYPERLINK(INDEX('File Links'!B:B, MATCH(P1988, 'File Links'!C:C, 0))))</f>
        <v>https://drive.google.com/file/d/15LyeMLPtv2yK2REXBqDLC63QQhUXXDVm/view?usp=drivesdk</v>
      </c>
      <c r="R1988" s="156" t="s">
        <v>11885</v>
      </c>
      <c r="S1988" s="434" t="s">
        <v>10686</v>
      </c>
      <c r="T1988" s="65"/>
      <c r="U1988" s="333">
        <v>1.0</v>
      </c>
      <c r="V1988" s="195" t="str">
        <f t="shared" si="122"/>
        <v>10.1126--science.aac4716.pdf</v>
      </c>
      <c r="W1988" s="65" t="s">
        <v>157</v>
      </c>
      <c r="X1988" s="51" t="str">
        <f t="array" ref="X1988"> if(iserror(MATCH(V1988, 'File Links'!C:C, 0)), "N/A", HYPERLINK(INDEX('File Links'!B:B, MATCH(V1988, 'File Links'!C:C, 0))))</f>
        <v>https://drive.google.com/file/d/1UMAh9VGta6ExS2-Lb6GkDF4fmnI2EMeM/view?usp=drivesdk</v>
      </c>
      <c r="Y1988" s="65"/>
      <c r="Z1988" s="65" t="s">
        <v>141</v>
      </c>
      <c r="AA1988" s="65" t="s">
        <v>11886</v>
      </c>
      <c r="AB1988" s="156" t="s">
        <v>11887</v>
      </c>
      <c r="AC1988" s="156" t="s">
        <v>11888</v>
      </c>
      <c r="AD1988" s="65" t="s">
        <v>11889</v>
      </c>
      <c r="AE1988" s="333">
        <v>8.0</v>
      </c>
      <c r="AF1988" s="153">
        <v>12.0</v>
      </c>
      <c r="AG1988" s="65" t="s">
        <v>11890</v>
      </c>
      <c r="AH1988" s="65" t="s">
        <v>127</v>
      </c>
      <c r="AI1988" s="65" t="s">
        <v>597</v>
      </c>
      <c r="AJ1988" s="334">
        <v>0.05</v>
      </c>
      <c r="AK1988" s="58" t="s">
        <v>128</v>
      </c>
      <c r="AL1988" s="58" t="s">
        <v>179</v>
      </c>
      <c r="AM1988" s="65" t="s">
        <v>134</v>
      </c>
      <c r="AN1988" s="1055" t="s">
        <v>131</v>
      </c>
      <c r="AO1988" s="333">
        <v>18.0</v>
      </c>
      <c r="AP1988" s="333">
        <v>0.102</v>
      </c>
      <c r="AQ1988" s="65" t="s">
        <v>166</v>
      </c>
      <c r="AR1988" s="65" t="s">
        <v>210</v>
      </c>
      <c r="AS1988" s="333">
        <v>0.142</v>
      </c>
      <c r="AT1988" s="65" t="s">
        <v>165</v>
      </c>
      <c r="AU1988" s="65" t="s">
        <v>179</v>
      </c>
      <c r="AV1988" s="65" t="s">
        <v>134</v>
      </c>
      <c r="AW1988" s="432" t="s">
        <v>11891</v>
      </c>
      <c r="AX1988" s="65" t="s">
        <v>136</v>
      </c>
      <c r="AZ1988" s="65" t="s">
        <v>1434</v>
      </c>
    </row>
    <row r="1989">
      <c r="A1989" s="41">
        <v>1989.0</v>
      </c>
      <c r="B1989" s="65" t="s">
        <v>107</v>
      </c>
      <c r="C1989" s="59" t="s">
        <v>108</v>
      </c>
      <c r="D1989" s="59" t="s">
        <v>146</v>
      </c>
      <c r="F1989" s="156" t="s">
        <v>11878</v>
      </c>
      <c r="G1989" s="1441" t="s">
        <v>11879</v>
      </c>
      <c r="H1989" s="156" t="s">
        <v>11892</v>
      </c>
      <c r="I1989" s="526">
        <v>45690.0</v>
      </c>
      <c r="J1989" s="1368">
        <v>45693.0</v>
      </c>
      <c r="K1989" s="65"/>
      <c r="L1989" s="65"/>
      <c r="M1989" s="1902" t="s">
        <v>11882</v>
      </c>
      <c r="N1989" s="156" t="s">
        <v>11883</v>
      </c>
      <c r="O1989" s="153">
        <v>3.0</v>
      </c>
      <c r="P1989" s="379" t="s">
        <v>11884</v>
      </c>
      <c r="Q1989" s="49" t="str">
        <f t="array" ref="Q1989"> if(iserror(MATCH(V1989, 'File Links'!C:C, 0)), "N/A", HYPERLINK(INDEX('File Links'!B:B, MATCH(P1989, 'File Links'!C:C, 0))))</f>
        <v>https://drive.google.com/file/d/15LyeMLPtv2yK2REXBqDLC63QQhUXXDVm/view?usp=drivesdk</v>
      </c>
      <c r="R1989" s="156" t="s">
        <v>11885</v>
      </c>
      <c r="S1989" s="434" t="s">
        <v>10686</v>
      </c>
      <c r="T1989" s="126"/>
      <c r="U1989" s="333">
        <v>1.0</v>
      </c>
      <c r="V1989" s="195" t="str">
        <f t="shared" si="122"/>
        <v>10.1126--science.aac4716.pdf</v>
      </c>
      <c r="W1989" s="156" t="s">
        <v>157</v>
      </c>
      <c r="X1989" s="51" t="str">
        <f t="array" ref="X1989"> if(iserror(MATCH(V1989, 'File Links'!C:C, 0)), "N/A", HYPERLINK(INDEX('File Links'!B:B, MATCH(V1989, 'File Links'!C:C, 0))))</f>
        <v>https://drive.google.com/file/d/1UMAh9VGta6ExS2-Lb6GkDF4fmnI2EMeM/view?usp=drivesdk</v>
      </c>
      <c r="Y1989" s="65"/>
      <c r="Z1989" s="156" t="s">
        <v>141</v>
      </c>
      <c r="AA1989" s="156" t="s">
        <v>11893</v>
      </c>
      <c r="AB1989" s="156" t="s">
        <v>11894</v>
      </c>
      <c r="AC1989" s="156" t="s">
        <v>11895</v>
      </c>
      <c r="AD1989" s="156" t="s">
        <v>11896</v>
      </c>
      <c r="AE1989" s="153">
        <v>8.0</v>
      </c>
      <c r="AF1989" s="153">
        <v>12.0</v>
      </c>
      <c r="AG1989" s="156" t="s">
        <v>11897</v>
      </c>
      <c r="AH1989" s="156" t="s">
        <v>127</v>
      </c>
      <c r="AI1989" s="156" t="s">
        <v>606</v>
      </c>
      <c r="AJ1989" s="334">
        <v>0.05</v>
      </c>
      <c r="AK1989" s="54" t="s">
        <v>128</v>
      </c>
      <c r="AL1989" s="54" t="s">
        <v>179</v>
      </c>
      <c r="AM1989" s="65" t="s">
        <v>134</v>
      </c>
      <c r="AN1989" s="1055" t="s">
        <v>131</v>
      </c>
      <c r="AO1989" s="153">
        <v>18.0</v>
      </c>
      <c r="AP1989" s="153">
        <v>0.102</v>
      </c>
      <c r="AQ1989" s="156" t="s">
        <v>166</v>
      </c>
      <c r="AR1989" s="156" t="s">
        <v>210</v>
      </c>
      <c r="AS1989" s="153">
        <v>0.142</v>
      </c>
      <c r="AT1989" s="156" t="s">
        <v>165</v>
      </c>
      <c r="AU1989" s="156" t="s">
        <v>179</v>
      </c>
      <c r="AV1989" s="65" t="s">
        <v>134</v>
      </c>
      <c r="AW1989" s="432" t="s">
        <v>11891</v>
      </c>
      <c r="AX1989" s="65" t="s">
        <v>136</v>
      </c>
      <c r="AZ1989" s="65" t="s">
        <v>1434</v>
      </c>
    </row>
    <row r="1990">
      <c r="A1990" s="41">
        <v>1990.0</v>
      </c>
      <c r="B1990" s="65" t="s">
        <v>145</v>
      </c>
      <c r="C1990" s="59" t="s">
        <v>108</v>
      </c>
      <c r="D1990" s="59" t="s">
        <v>1434</v>
      </c>
      <c r="F1990" s="156" t="s">
        <v>11898</v>
      </c>
      <c r="G1990" s="1441" t="s">
        <v>11899</v>
      </c>
      <c r="H1990" s="156" t="s">
        <v>11900</v>
      </c>
      <c r="I1990" s="526">
        <v>45690.0</v>
      </c>
      <c r="J1990" s="1368">
        <v>45693.0</v>
      </c>
      <c r="K1990" s="65"/>
      <c r="L1990" s="65"/>
      <c r="M1990" s="1902" t="s">
        <v>11901</v>
      </c>
      <c r="N1990" s="156" t="s">
        <v>11902</v>
      </c>
      <c r="O1990" s="333">
        <v>1.0</v>
      </c>
      <c r="P1990" s="379" t="s">
        <v>11903</v>
      </c>
      <c r="Q1990" s="49" t="str">
        <f t="array" ref="Q1990"> if(iserror(MATCH(V1990, 'File Links'!C:C, 0)), "N/A", HYPERLINK(INDEX('File Links'!B:B, MATCH(P1990, 'File Links'!C:C, 0))))</f>
        <v>https://drive.google.com/file/d/1fP-Dr1DLCnPl-2Ya6EGtFK2aCF6SWr93/view?usp=drivesdk</v>
      </c>
      <c r="R1990" s="156" t="s">
        <v>11904</v>
      </c>
      <c r="S1990" s="434" t="s">
        <v>10686</v>
      </c>
      <c r="T1990" s="126"/>
      <c r="U1990" s="333">
        <v>1.0</v>
      </c>
      <c r="V1990" s="195" t="str">
        <f t="shared" si="122"/>
        <v>10.1126--science.aac4716.pdf</v>
      </c>
      <c r="W1990" s="65" t="s">
        <v>157</v>
      </c>
      <c r="X1990" s="51" t="str">
        <f t="array" ref="X1990"> if(iserror(MATCH(V1990, 'File Links'!C:C, 0)), "N/A", HYPERLINK(INDEX('File Links'!B:B, MATCH(V1990, 'File Links'!C:C, 0))))</f>
        <v>https://drive.google.com/file/d/1UMAh9VGta6ExS2-Lb6GkDF4fmnI2EMeM/view?usp=drivesdk</v>
      </c>
      <c r="Y1990" s="65"/>
      <c r="Z1990" s="65" t="s">
        <v>141</v>
      </c>
      <c r="AA1990" s="65" t="s">
        <v>11905</v>
      </c>
      <c r="AB1990" s="156" t="s">
        <v>11906</v>
      </c>
      <c r="AC1990" s="156" t="s">
        <v>11907</v>
      </c>
      <c r="AD1990" s="65" t="s">
        <v>11908</v>
      </c>
      <c r="AE1990" s="333">
        <v>11.0</v>
      </c>
      <c r="AF1990" s="153">
        <v>68.0</v>
      </c>
      <c r="AG1990" s="126" t="s">
        <v>11909</v>
      </c>
      <c r="AH1990" s="65" t="s">
        <v>127</v>
      </c>
      <c r="AI1990" s="65" t="s">
        <v>300</v>
      </c>
      <c r="AJ1990" s="334">
        <v>0.05</v>
      </c>
      <c r="AK1990" s="58" t="s">
        <v>128</v>
      </c>
      <c r="AL1990" s="58" t="s">
        <v>179</v>
      </c>
      <c r="AM1990" s="65" t="s">
        <v>134</v>
      </c>
      <c r="AN1990" s="1055" t="s">
        <v>131</v>
      </c>
      <c r="AO1990" s="153">
        <v>153.0</v>
      </c>
      <c r="AP1990" s="126" t="s">
        <v>11910</v>
      </c>
      <c r="AQ1990" s="65" t="s">
        <v>127</v>
      </c>
      <c r="AR1990" s="65" t="s">
        <v>133</v>
      </c>
      <c r="AS1990" s="333">
        <v>0.21</v>
      </c>
      <c r="AT1990" s="65" t="s">
        <v>165</v>
      </c>
      <c r="AU1990" s="65" t="s">
        <v>129</v>
      </c>
      <c r="AV1990" s="65" t="s">
        <v>134</v>
      </c>
      <c r="AW1990" s="432" t="s">
        <v>11911</v>
      </c>
      <c r="AX1990" s="65" t="s">
        <v>136</v>
      </c>
      <c r="AZ1990" s="65" t="s">
        <v>1434</v>
      </c>
    </row>
    <row r="1991">
      <c r="A1991" s="41">
        <v>1991.0</v>
      </c>
      <c r="B1991" s="65" t="s">
        <v>107</v>
      </c>
      <c r="C1991" s="59" t="s">
        <v>108</v>
      </c>
      <c r="D1991" s="59" t="s">
        <v>146</v>
      </c>
      <c r="F1991" s="156" t="s">
        <v>11898</v>
      </c>
      <c r="G1991" s="1441" t="s">
        <v>11899</v>
      </c>
      <c r="H1991" s="156" t="s">
        <v>146</v>
      </c>
      <c r="I1991" s="526">
        <v>45690.0</v>
      </c>
      <c r="J1991" s="1368">
        <v>45693.0</v>
      </c>
      <c r="K1991" s="156" t="s">
        <v>11912</v>
      </c>
      <c r="L1991" s="65"/>
      <c r="M1991" s="1902" t="s">
        <v>11901</v>
      </c>
      <c r="N1991" s="434" t="s">
        <v>11902</v>
      </c>
      <c r="O1991" s="153">
        <v>1.0</v>
      </c>
      <c r="P1991" s="379" t="s">
        <v>11903</v>
      </c>
      <c r="Q1991" s="49" t="str">
        <f t="array" ref="Q1991"> if(iserror(MATCH(V1991, 'File Links'!C:C, 0)), "N/A", HYPERLINK(INDEX('File Links'!B:B, MATCH(P1991, 'File Links'!C:C, 0))))</f>
        <v>https://drive.google.com/file/d/1fP-Dr1DLCnPl-2Ya6EGtFK2aCF6SWr93/view?usp=drivesdk</v>
      </c>
      <c r="R1991" s="156" t="s">
        <v>11904</v>
      </c>
      <c r="S1991" s="434" t="s">
        <v>10686</v>
      </c>
      <c r="T1991" s="65"/>
      <c r="U1991" s="333">
        <v>1.0</v>
      </c>
      <c r="V1991" s="195" t="str">
        <f t="shared" si="122"/>
        <v>10.1126--science.aac4716.pdf</v>
      </c>
      <c r="W1991" s="434" t="s">
        <v>157</v>
      </c>
      <c r="X1991" s="51" t="str">
        <f t="array" ref="X1991"> if(iserror(MATCH(V1991, 'File Links'!C:C, 0)), "N/A", HYPERLINK(INDEX('File Links'!B:B, MATCH(V1991, 'File Links'!C:C, 0))))</f>
        <v>https://drive.google.com/file/d/1UMAh9VGta6ExS2-Lb6GkDF4fmnI2EMeM/view?usp=drivesdk</v>
      </c>
      <c r="Y1991" s="65"/>
      <c r="Z1991" s="156" t="s">
        <v>141</v>
      </c>
      <c r="AA1991" s="156" t="s">
        <v>10878</v>
      </c>
      <c r="AB1991" s="156" t="s">
        <v>11913</v>
      </c>
      <c r="AC1991" s="65" t="s">
        <v>11914</v>
      </c>
      <c r="AD1991" s="156" t="s">
        <v>11915</v>
      </c>
      <c r="AE1991" s="333">
        <v>11.0</v>
      </c>
      <c r="AF1991" s="153">
        <v>68.0</v>
      </c>
      <c r="AG1991" s="333" t="s">
        <v>11916</v>
      </c>
      <c r="AH1991" s="156" t="s">
        <v>127</v>
      </c>
      <c r="AI1991" s="65" t="s">
        <v>300</v>
      </c>
      <c r="AJ1991" s="334">
        <v>0.05</v>
      </c>
      <c r="AK1991" s="54" t="s">
        <v>128</v>
      </c>
      <c r="AL1991" s="54" t="s">
        <v>179</v>
      </c>
      <c r="AM1991" s="1908" t="s">
        <v>130</v>
      </c>
      <c r="AN1991" s="1055" t="s">
        <v>131</v>
      </c>
      <c r="AO1991" s="333">
        <v>153.0</v>
      </c>
      <c r="AP1991" s="333" t="s">
        <v>11917</v>
      </c>
      <c r="AQ1991" s="156" t="s">
        <v>127</v>
      </c>
      <c r="AR1991" s="65" t="s">
        <v>133</v>
      </c>
      <c r="AS1991" s="333">
        <v>0.21</v>
      </c>
      <c r="AT1991" s="65" t="s">
        <v>165</v>
      </c>
      <c r="AU1991" s="156" t="s">
        <v>129</v>
      </c>
      <c r="AV1991" s="1908" t="s">
        <v>130</v>
      </c>
      <c r="AW1991" s="432" t="s">
        <v>11918</v>
      </c>
      <c r="AX1991" s="65" t="s">
        <v>136</v>
      </c>
      <c r="AZ1991" s="65" t="s">
        <v>1434</v>
      </c>
    </row>
    <row r="1992">
      <c r="A1992" s="41">
        <v>1992.0</v>
      </c>
      <c r="B1992" s="65" t="s">
        <v>145</v>
      </c>
      <c r="C1992" s="59" t="s">
        <v>108</v>
      </c>
      <c r="D1992" s="59" t="s">
        <v>1434</v>
      </c>
      <c r="F1992" s="156" t="s">
        <v>11919</v>
      </c>
      <c r="G1992" s="1441" t="s">
        <v>11920</v>
      </c>
      <c r="H1992" s="156" t="s">
        <v>11921</v>
      </c>
      <c r="I1992" s="526">
        <v>45690.0</v>
      </c>
      <c r="J1992" s="1368">
        <v>45693.0</v>
      </c>
      <c r="K1992" s="65" t="s">
        <v>11922</v>
      </c>
      <c r="L1992" s="65" t="s">
        <v>11923</v>
      </c>
      <c r="M1992" s="1902" t="s">
        <v>11924</v>
      </c>
      <c r="N1992" s="434" t="s">
        <v>11925</v>
      </c>
      <c r="O1992" s="333">
        <v>1.0</v>
      </c>
      <c r="P1992" s="379" t="s">
        <v>11926</v>
      </c>
      <c r="Q1992" s="49" t="str">
        <f t="array" ref="Q1992"> if(iserror(MATCH(V1992, 'File Links'!C:C, 0)), "N/A", HYPERLINK(INDEX('File Links'!B:B, MATCH(P1992, 'File Links'!C:C, 0))))</f>
        <v>https://drive.google.com/file/d/1iTGkXjtQ0EE8-v45xZZ-Yv9zhQVAt2Pn/view?usp=drivesdk</v>
      </c>
      <c r="R1992" s="156" t="s">
        <v>11927</v>
      </c>
      <c r="S1992" s="434" t="s">
        <v>10686</v>
      </c>
      <c r="T1992" s="65"/>
      <c r="U1992" s="333">
        <v>1.0</v>
      </c>
      <c r="V1992" s="195" t="str">
        <f t="shared" si="122"/>
        <v>10.1126--science.aac4716.pdf</v>
      </c>
      <c r="W1992" s="65" t="s">
        <v>157</v>
      </c>
      <c r="X1992" s="51" t="str">
        <f t="array" ref="X1992"> if(iserror(MATCH(V1992, 'File Links'!C:C, 0)), "N/A", HYPERLINK(INDEX('File Links'!B:B, MATCH(V1992, 'File Links'!C:C, 0))))</f>
        <v>https://drive.google.com/file/d/1UMAh9VGta6ExS2-Lb6GkDF4fmnI2EMeM/view?usp=drivesdk</v>
      </c>
      <c r="Y1992" s="65"/>
      <c r="Z1992" s="65" t="s">
        <v>141</v>
      </c>
      <c r="AA1992" s="65" t="s">
        <v>11928</v>
      </c>
      <c r="AB1992" s="156" t="s">
        <v>11929</v>
      </c>
      <c r="AC1992" s="156" t="s">
        <v>11930</v>
      </c>
      <c r="AD1992" s="65" t="s">
        <v>11931</v>
      </c>
      <c r="AE1992" s="333">
        <v>5.0</v>
      </c>
      <c r="AF1992" s="153">
        <v>240.0</v>
      </c>
      <c r="AG1992" s="65" t="s">
        <v>11932</v>
      </c>
      <c r="AH1992" s="65" t="s">
        <v>127</v>
      </c>
      <c r="AI1992" s="65" t="s">
        <v>806</v>
      </c>
      <c r="AJ1992" s="334">
        <v>0.001</v>
      </c>
      <c r="AK1992" s="58" t="s">
        <v>128</v>
      </c>
      <c r="AL1992" s="58" t="s">
        <v>179</v>
      </c>
      <c r="AM1992" s="65" t="s">
        <v>134</v>
      </c>
      <c r="AN1992" s="1055" t="s">
        <v>131</v>
      </c>
      <c r="AO1992" s="333">
        <v>270.0</v>
      </c>
      <c r="AP1992" s="333">
        <v>0.0</v>
      </c>
      <c r="AQ1992" s="65" t="s">
        <v>867</v>
      </c>
      <c r="AR1992" s="65" t="s">
        <v>605</v>
      </c>
      <c r="AS1992" s="333">
        <v>0.991</v>
      </c>
      <c r="AT1992" s="65" t="s">
        <v>165</v>
      </c>
      <c r="AU1992" s="65" t="s">
        <v>179</v>
      </c>
      <c r="AV1992" s="65" t="s">
        <v>134</v>
      </c>
      <c r="AW1992" s="432" t="s">
        <v>11933</v>
      </c>
      <c r="AX1992" s="65" t="s">
        <v>136</v>
      </c>
      <c r="AZ1992" s="65" t="s">
        <v>1434</v>
      </c>
    </row>
    <row r="1993">
      <c r="A1993" s="41">
        <v>1993.0</v>
      </c>
      <c r="B1993" s="65" t="s">
        <v>107</v>
      </c>
      <c r="C1993" s="59" t="s">
        <v>108</v>
      </c>
      <c r="D1993" s="59" t="s">
        <v>146</v>
      </c>
      <c r="F1993" s="156" t="s">
        <v>11919</v>
      </c>
      <c r="G1993" s="1441" t="s">
        <v>11920</v>
      </c>
      <c r="H1993" s="156" t="s">
        <v>146</v>
      </c>
      <c r="I1993" s="526">
        <v>45690.0</v>
      </c>
      <c r="J1993" s="1368">
        <v>45693.0</v>
      </c>
      <c r="K1993" s="156" t="s">
        <v>11934</v>
      </c>
      <c r="L1993" s="65"/>
      <c r="M1993" s="1902" t="s">
        <v>11924</v>
      </c>
      <c r="N1993" s="156" t="s">
        <v>11925</v>
      </c>
      <c r="O1993" s="153">
        <v>1.0</v>
      </c>
      <c r="P1993" s="379" t="s">
        <v>11926</v>
      </c>
      <c r="Q1993" s="49" t="str">
        <f t="array" ref="Q1993"> if(iserror(MATCH(V1993, 'File Links'!C:C, 0)), "N/A", HYPERLINK(INDEX('File Links'!B:B, MATCH(P1993, 'File Links'!C:C, 0))))</f>
        <v>https://drive.google.com/file/d/1iTGkXjtQ0EE8-v45xZZ-Yv9zhQVAt2Pn/view?usp=drivesdk</v>
      </c>
      <c r="R1993" s="156" t="s">
        <v>11927</v>
      </c>
      <c r="S1993" s="434" t="s">
        <v>10686</v>
      </c>
      <c r="T1993" s="126"/>
      <c r="U1993" s="333">
        <v>1.0</v>
      </c>
      <c r="V1993" s="195" t="str">
        <f t="shared" si="122"/>
        <v>10.1126--science.aac4716.pdf</v>
      </c>
      <c r="W1993" s="156" t="s">
        <v>157</v>
      </c>
      <c r="X1993" s="51" t="str">
        <f t="array" ref="X1993"> if(iserror(MATCH(V1993, 'File Links'!C:C, 0)), "N/A", HYPERLINK(INDEX('File Links'!B:B, MATCH(V1993, 'File Links'!C:C, 0))))</f>
        <v>https://drive.google.com/file/d/1UMAh9VGta6ExS2-Lb6GkDF4fmnI2EMeM/view?usp=drivesdk</v>
      </c>
      <c r="Y1993" s="65"/>
      <c r="Z1993" s="156" t="s">
        <v>141</v>
      </c>
      <c r="AA1993" s="156" t="s">
        <v>11928</v>
      </c>
      <c r="AB1993" s="156" t="s">
        <v>11935</v>
      </c>
      <c r="AC1993" s="156" t="s">
        <v>11936</v>
      </c>
      <c r="AD1993" s="156" t="s">
        <v>11937</v>
      </c>
      <c r="AE1993" s="153">
        <v>5.0</v>
      </c>
      <c r="AF1993" s="153">
        <v>240.0</v>
      </c>
      <c r="AG1993" s="156" t="s">
        <v>11938</v>
      </c>
      <c r="AH1993" s="156" t="s">
        <v>127</v>
      </c>
      <c r="AI1993" s="156" t="s">
        <v>806</v>
      </c>
      <c r="AJ1993" s="334">
        <v>0.001</v>
      </c>
      <c r="AK1993" s="54" t="s">
        <v>128</v>
      </c>
      <c r="AL1993" s="54" t="s">
        <v>179</v>
      </c>
      <c r="AM1993" s="65" t="s">
        <v>134</v>
      </c>
      <c r="AN1993" s="1055" t="s">
        <v>131</v>
      </c>
      <c r="AO1993" s="153">
        <v>270.0</v>
      </c>
      <c r="AP1993" s="153">
        <v>0.0</v>
      </c>
      <c r="AQ1993" s="1910" t="s">
        <v>132</v>
      </c>
      <c r="AR1993" s="156" t="s">
        <v>605</v>
      </c>
      <c r="AS1993" s="153">
        <v>0.991</v>
      </c>
      <c r="AT1993" s="156" t="s">
        <v>165</v>
      </c>
      <c r="AU1993" s="156" t="s">
        <v>179</v>
      </c>
      <c r="AV1993" s="65" t="s">
        <v>134</v>
      </c>
      <c r="AW1993" s="432" t="s">
        <v>11933</v>
      </c>
      <c r="AX1993" s="1908" t="s">
        <v>144</v>
      </c>
      <c r="AZ1993" s="65" t="s">
        <v>1434</v>
      </c>
    </row>
    <row r="1994">
      <c r="A1994" s="41">
        <v>1994.0</v>
      </c>
      <c r="B1994" s="65" t="s">
        <v>145</v>
      </c>
      <c r="C1994" s="59" t="s">
        <v>108</v>
      </c>
      <c r="D1994" s="59" t="s">
        <v>1434</v>
      </c>
      <c r="F1994" s="156" t="s">
        <v>11939</v>
      </c>
      <c r="G1994" s="1441" t="s">
        <v>11940</v>
      </c>
      <c r="H1994" s="156" t="s">
        <v>11941</v>
      </c>
      <c r="I1994" s="526">
        <v>45690.0</v>
      </c>
      <c r="J1994" s="1368">
        <v>45693.0</v>
      </c>
      <c r="K1994" s="65" t="s">
        <v>11942</v>
      </c>
      <c r="L1994" s="65"/>
      <c r="M1994" s="1902" t="s">
        <v>11943</v>
      </c>
      <c r="N1994" s="434" t="s">
        <v>6561</v>
      </c>
      <c r="O1994" s="333">
        <v>4.0</v>
      </c>
      <c r="P1994" s="379" t="s">
        <v>11944</v>
      </c>
      <c r="Q1994" s="49" t="str">
        <f t="array" ref="Q1994"> if(iserror(MATCH(V1994, 'File Links'!C:C, 0)), "N/A", HYPERLINK(INDEX('File Links'!B:B, MATCH(P1994, 'File Links'!C:C, 0))))</f>
        <v>https://drive.google.com/file/d/14KU35or-OxTWODmUyKwRoB3qwuTQZobO/view?usp=drivesdk</v>
      </c>
      <c r="R1994" s="156" t="s">
        <v>11945</v>
      </c>
      <c r="S1994" s="434" t="s">
        <v>10686</v>
      </c>
      <c r="T1994" s="65"/>
      <c r="U1994" s="333"/>
      <c r="V1994" s="195" t="str">
        <f t="shared" si="122"/>
        <v>10.1126--science.aac4716.pdf</v>
      </c>
      <c r="W1994" s="65" t="s">
        <v>157</v>
      </c>
      <c r="X1994" s="51" t="str">
        <f t="array" ref="X1994"> if(iserror(MATCH(V1994, 'File Links'!C:C, 0)), "N/A", HYPERLINK(INDEX('File Links'!B:B, MATCH(V1994, 'File Links'!C:C, 0))))</f>
        <v>https://drive.google.com/file/d/1UMAh9VGta6ExS2-Lb6GkDF4fmnI2EMeM/view?usp=drivesdk</v>
      </c>
      <c r="Y1994" s="65"/>
      <c r="Z1994" s="65" t="s">
        <v>219</v>
      </c>
      <c r="AA1994" s="65" t="s">
        <v>11946</v>
      </c>
      <c r="AB1994" s="156" t="s">
        <v>11947</v>
      </c>
      <c r="AC1994" s="1918" t="s">
        <v>11948</v>
      </c>
      <c r="AD1994" s="65" t="s">
        <v>11949</v>
      </c>
      <c r="AE1994" s="333">
        <v>12.0</v>
      </c>
      <c r="AF1994" s="153">
        <v>67.0</v>
      </c>
      <c r="AG1994" s="65" t="s">
        <v>11950</v>
      </c>
      <c r="AH1994" s="65" t="s">
        <v>127</v>
      </c>
      <c r="AI1994" s="65" t="s">
        <v>300</v>
      </c>
      <c r="AJ1994" s="334">
        <v>0.01</v>
      </c>
      <c r="AK1994" s="58" t="s">
        <v>128</v>
      </c>
      <c r="AL1994" s="58" t="s">
        <v>179</v>
      </c>
      <c r="AM1994" s="65" t="s">
        <v>130</v>
      </c>
      <c r="AN1994" s="1055" t="s">
        <v>131</v>
      </c>
      <c r="AO1994" s="333">
        <v>75.0</v>
      </c>
      <c r="AP1994" s="65" t="s">
        <v>11951</v>
      </c>
      <c r="AQ1994" s="65" t="s">
        <v>127</v>
      </c>
      <c r="AR1994" s="65" t="s">
        <v>606</v>
      </c>
      <c r="AS1994" s="333">
        <v>0.1469</v>
      </c>
      <c r="AT1994" s="65" t="s">
        <v>165</v>
      </c>
      <c r="AU1994" s="65" t="s">
        <v>129</v>
      </c>
      <c r="AV1994" s="65" t="s">
        <v>130</v>
      </c>
      <c r="AW1994" s="1790" t="s">
        <v>11952</v>
      </c>
      <c r="AX1994" s="65" t="s">
        <v>136</v>
      </c>
      <c r="AZ1994" s="65" t="s">
        <v>1434</v>
      </c>
    </row>
    <row r="1995">
      <c r="A1995" s="41">
        <v>1995.0</v>
      </c>
      <c r="B1995" s="65" t="s">
        <v>107</v>
      </c>
      <c r="C1995" s="59" t="s">
        <v>108</v>
      </c>
      <c r="D1995" s="59" t="s">
        <v>146</v>
      </c>
      <c r="F1995" s="156" t="s">
        <v>11939</v>
      </c>
      <c r="G1995" s="1441" t="s">
        <v>11953</v>
      </c>
      <c r="H1995" s="156" t="s">
        <v>146</v>
      </c>
      <c r="I1995" s="526">
        <v>45690.0</v>
      </c>
      <c r="J1995" s="1368">
        <v>45693.0</v>
      </c>
      <c r="K1995" s="156" t="s">
        <v>11954</v>
      </c>
      <c r="L1995" s="65"/>
      <c r="M1995" s="1902" t="s">
        <v>11943</v>
      </c>
      <c r="N1995" s="434" t="s">
        <v>6561</v>
      </c>
      <c r="O1995" s="153">
        <v>4.0</v>
      </c>
      <c r="P1995" s="379" t="s">
        <v>11944</v>
      </c>
      <c r="Q1995" s="49" t="str">
        <f t="array" ref="Q1995"> if(iserror(MATCH(V1995, 'File Links'!C:C, 0)), "N/A", HYPERLINK(INDEX('File Links'!B:B, MATCH(P1995, 'File Links'!C:C, 0))))</f>
        <v>https://drive.google.com/file/d/14KU35or-OxTWODmUyKwRoB3qwuTQZobO/view?usp=drivesdk</v>
      </c>
      <c r="R1995" s="156" t="s">
        <v>11945</v>
      </c>
      <c r="S1995" s="434" t="s">
        <v>10686</v>
      </c>
      <c r="T1995" s="65"/>
      <c r="U1995" s="333">
        <v>1.0</v>
      </c>
      <c r="V1995" s="195" t="str">
        <f t="shared" si="122"/>
        <v>10.1126--science.aac4716.pdf</v>
      </c>
      <c r="W1995" s="156" t="s">
        <v>157</v>
      </c>
      <c r="X1995" s="51" t="str">
        <f t="array" ref="X1995"> if(iserror(MATCH(V1995, 'File Links'!C:C, 0)), "N/A", HYPERLINK(INDEX('File Links'!B:B, MATCH(V1995, 'File Links'!C:C, 0))))</f>
        <v>https://drive.google.com/file/d/1UMAh9VGta6ExS2-Lb6GkDF4fmnI2EMeM/view?usp=drivesdk</v>
      </c>
      <c r="Y1995" s="65"/>
      <c r="Z1995" s="156" t="s">
        <v>219</v>
      </c>
      <c r="AA1995" s="156" t="s">
        <v>11955</v>
      </c>
      <c r="AB1995" s="156" t="s">
        <v>11956</v>
      </c>
      <c r="AC1995" s="156" t="s">
        <v>11948</v>
      </c>
      <c r="AD1995" s="156" t="s">
        <v>11957</v>
      </c>
      <c r="AE1995" s="153">
        <v>12.0</v>
      </c>
      <c r="AF1995" s="153">
        <v>67.0</v>
      </c>
      <c r="AG1995" s="153" t="s">
        <v>11950</v>
      </c>
      <c r="AH1995" s="156" t="s">
        <v>127</v>
      </c>
      <c r="AI1995" s="156" t="s">
        <v>300</v>
      </c>
      <c r="AJ1995" s="706">
        <v>0.01</v>
      </c>
      <c r="AK1995" s="54" t="s">
        <v>128</v>
      </c>
      <c r="AL1995" s="54" t="s">
        <v>179</v>
      </c>
      <c r="AM1995" s="65" t="s">
        <v>130</v>
      </c>
      <c r="AN1995" s="1055" t="s">
        <v>131</v>
      </c>
      <c r="AO1995" s="333">
        <v>75.0</v>
      </c>
      <c r="AP1995" s="333" t="s">
        <v>11951</v>
      </c>
      <c r="AQ1995" s="1910" t="s">
        <v>166</v>
      </c>
      <c r="AR1995" s="156" t="s">
        <v>300</v>
      </c>
      <c r="AS1995" s="1911">
        <v>0.05</v>
      </c>
      <c r="AT1995" s="156" t="s">
        <v>328</v>
      </c>
      <c r="AU1995" s="156" t="s">
        <v>129</v>
      </c>
      <c r="AV1995" s="65" t="s">
        <v>130</v>
      </c>
      <c r="AW1995" s="432" t="s">
        <v>11958</v>
      </c>
      <c r="AX1995" s="65" t="s">
        <v>136</v>
      </c>
      <c r="AZ1995" s="65" t="s">
        <v>1434</v>
      </c>
    </row>
    <row r="1996">
      <c r="A1996" s="41">
        <v>1996.0</v>
      </c>
      <c r="B1996" s="65" t="s">
        <v>107</v>
      </c>
      <c r="C1996" s="59" t="s">
        <v>108</v>
      </c>
      <c r="D1996" s="59" t="s">
        <v>1434</v>
      </c>
      <c r="F1996" s="156" t="s">
        <v>11959</v>
      </c>
      <c r="G1996" s="1441" t="s">
        <v>11960</v>
      </c>
      <c r="H1996" s="156" t="s">
        <v>11961</v>
      </c>
      <c r="I1996" s="526">
        <v>45690.0</v>
      </c>
      <c r="J1996" s="1368">
        <v>45693.0</v>
      </c>
      <c r="K1996" s="65"/>
      <c r="L1996" s="65"/>
      <c r="M1996" s="1902" t="s">
        <v>11962</v>
      </c>
      <c r="N1996" s="156" t="s">
        <v>11963</v>
      </c>
      <c r="O1996" s="333">
        <v>4.0</v>
      </c>
      <c r="P1996" s="379" t="s">
        <v>11964</v>
      </c>
      <c r="Q1996" s="49" t="str">
        <f t="array" ref="Q1996"> if(iserror(MATCH(V1996, 'File Links'!C:C, 0)), "N/A", HYPERLINK(INDEX('File Links'!B:B, MATCH(P1996, 'File Links'!C:C, 0))))</f>
        <v>https://drive.google.com/file/d/1yQorPB990ECp--s5Y810aRf0XfraQ5Wv/view?usp=drivesdk</v>
      </c>
      <c r="R1996" s="156" t="s">
        <v>11965</v>
      </c>
      <c r="S1996" s="434" t="s">
        <v>10686</v>
      </c>
      <c r="T1996" s="126"/>
      <c r="U1996" s="333">
        <v>1.0</v>
      </c>
      <c r="V1996" s="195" t="str">
        <f t="shared" si="122"/>
        <v>10.1126--science.aac4716.pdf</v>
      </c>
      <c r="W1996" s="65" t="s">
        <v>157</v>
      </c>
      <c r="X1996" s="51" t="str">
        <f t="array" ref="X1996"> if(iserror(MATCH(V1996, 'File Links'!C:C, 0)), "N/A", HYPERLINK(INDEX('File Links'!B:B, MATCH(V1996, 'File Links'!C:C, 0))))</f>
        <v>https://drive.google.com/file/d/1UMAh9VGta6ExS2-Lb6GkDF4fmnI2EMeM/view?usp=drivesdk</v>
      </c>
      <c r="Y1996" s="65"/>
      <c r="Z1996" s="65" t="s">
        <v>219</v>
      </c>
      <c r="AA1996" s="65" t="s">
        <v>11966</v>
      </c>
      <c r="AB1996" s="156" t="s">
        <v>11967</v>
      </c>
      <c r="AC1996" s="156" t="s">
        <v>11968</v>
      </c>
      <c r="AD1996" s="65" t="s">
        <v>11969</v>
      </c>
      <c r="AE1996" s="333">
        <v>13.0</v>
      </c>
      <c r="AF1996" s="153">
        <v>70.0</v>
      </c>
      <c r="AG1996" s="65" t="s">
        <v>11970</v>
      </c>
      <c r="AH1996" s="65" t="s">
        <v>127</v>
      </c>
      <c r="AI1996" s="65" t="s">
        <v>429</v>
      </c>
      <c r="AJ1996" s="334">
        <v>0.01</v>
      </c>
      <c r="AK1996" s="58" t="s">
        <v>128</v>
      </c>
      <c r="AL1996" s="58" t="s">
        <v>179</v>
      </c>
      <c r="AM1996" s="65" t="s">
        <v>134</v>
      </c>
      <c r="AN1996" s="1055" t="s">
        <v>131</v>
      </c>
      <c r="AO1996" s="153">
        <v>180.0</v>
      </c>
      <c r="AP1996" s="333">
        <v>0.016</v>
      </c>
      <c r="AQ1996" s="216" t="s">
        <v>2612</v>
      </c>
      <c r="AR1996" s="65" t="s">
        <v>806</v>
      </c>
      <c r="AS1996" s="333">
        <v>0.045</v>
      </c>
      <c r="AT1996" s="65" t="s">
        <v>165</v>
      </c>
      <c r="AU1996" s="65" t="s">
        <v>179</v>
      </c>
      <c r="AV1996" s="65" t="s">
        <v>134</v>
      </c>
      <c r="AW1996" s="126" t="s">
        <v>131</v>
      </c>
      <c r="AX1996" s="65" t="s">
        <v>136</v>
      </c>
      <c r="AZ1996" s="65" t="s">
        <v>1434</v>
      </c>
    </row>
    <row r="1997">
      <c r="A1997" s="41">
        <v>1997.0</v>
      </c>
      <c r="B1997" s="65" t="s">
        <v>145</v>
      </c>
      <c r="C1997" s="59" t="s">
        <v>108</v>
      </c>
      <c r="D1997" s="59" t="s">
        <v>146</v>
      </c>
      <c r="F1997" s="156" t="s">
        <v>11959</v>
      </c>
      <c r="G1997" s="1441" t="s">
        <v>11971</v>
      </c>
      <c r="H1997" s="156" t="s">
        <v>146</v>
      </c>
      <c r="I1997" s="526">
        <v>45690.0</v>
      </c>
      <c r="J1997" s="1368">
        <v>45693.0</v>
      </c>
      <c r="K1997" s="65" t="s">
        <v>11972</v>
      </c>
      <c r="L1997" s="65"/>
      <c r="M1997" s="1902" t="s">
        <v>11962</v>
      </c>
      <c r="N1997" s="434" t="s">
        <v>11963</v>
      </c>
      <c r="O1997" s="153">
        <v>4.0</v>
      </c>
      <c r="P1997" s="379" t="s">
        <v>11964</v>
      </c>
      <c r="Q1997" s="49" t="str">
        <f t="array" ref="Q1997"> if(iserror(MATCH(V1997, 'File Links'!C:C, 0)), "N/A", HYPERLINK(INDEX('File Links'!B:B, MATCH(P1997, 'File Links'!C:C, 0))))</f>
        <v>https://drive.google.com/file/d/1yQorPB990ECp--s5Y810aRf0XfraQ5Wv/view?usp=drivesdk</v>
      </c>
      <c r="R1997" s="156" t="s">
        <v>11965</v>
      </c>
      <c r="S1997" s="434" t="s">
        <v>10686</v>
      </c>
      <c r="T1997" s="65"/>
      <c r="U1997" s="333">
        <v>1.0</v>
      </c>
      <c r="V1997" s="195" t="str">
        <f t="shared" si="122"/>
        <v>10.1126--science.aac4716.pdf</v>
      </c>
      <c r="W1997" s="156" t="s">
        <v>157</v>
      </c>
      <c r="X1997" s="51" t="str">
        <f t="array" ref="X1997"> if(iserror(MATCH(V1997, 'File Links'!C:C, 0)), "N/A", HYPERLINK(INDEX('File Links'!B:B, MATCH(V1997, 'File Links'!C:C, 0))))</f>
        <v>https://drive.google.com/file/d/1UMAh9VGta6ExS2-Lb6GkDF4fmnI2EMeM/view?usp=drivesdk</v>
      </c>
      <c r="Y1997" s="65"/>
      <c r="Z1997" s="156" t="s">
        <v>219</v>
      </c>
      <c r="AA1997" s="156" t="s">
        <v>11973</v>
      </c>
      <c r="AB1997" s="156" t="s">
        <v>11974</v>
      </c>
      <c r="AC1997" s="156" t="s">
        <v>11975</v>
      </c>
      <c r="AD1997" s="1903" t="s">
        <v>11969</v>
      </c>
      <c r="AE1997" s="153">
        <v>13.0</v>
      </c>
      <c r="AF1997" s="153">
        <v>70.0</v>
      </c>
      <c r="AG1997" s="153" t="s">
        <v>11970</v>
      </c>
      <c r="AH1997" s="156" t="s">
        <v>127</v>
      </c>
      <c r="AI1997" s="156" t="s">
        <v>429</v>
      </c>
      <c r="AJ1997" s="706">
        <v>0.01</v>
      </c>
      <c r="AK1997" s="54" t="s">
        <v>128</v>
      </c>
      <c r="AL1997" s="54" t="s">
        <v>179</v>
      </c>
      <c r="AM1997" s="65" t="s">
        <v>134</v>
      </c>
      <c r="AN1997" s="1055" t="s">
        <v>131</v>
      </c>
      <c r="AO1997" s="333">
        <v>180.0</v>
      </c>
      <c r="AP1997" s="333">
        <v>0.016</v>
      </c>
      <c r="AQ1997" s="216" t="s">
        <v>2612</v>
      </c>
      <c r="AR1997" s="156" t="s">
        <v>806</v>
      </c>
      <c r="AS1997" s="153">
        <v>0.045</v>
      </c>
      <c r="AT1997" s="156" t="s">
        <v>165</v>
      </c>
      <c r="AU1997" s="156" t="s">
        <v>179</v>
      </c>
      <c r="AV1997" s="65" t="s">
        <v>134</v>
      </c>
      <c r="AW1997" s="432" t="s">
        <v>11976</v>
      </c>
      <c r="AX1997" s="65" t="s">
        <v>136</v>
      </c>
      <c r="AZ1997" s="65" t="s">
        <v>1434</v>
      </c>
    </row>
    <row r="1998">
      <c r="A1998" s="41">
        <v>1998.0</v>
      </c>
      <c r="B1998" s="65" t="s">
        <v>107</v>
      </c>
      <c r="C1998" s="59" t="s">
        <v>108</v>
      </c>
      <c r="D1998" s="59" t="s">
        <v>1434</v>
      </c>
      <c r="F1998" s="156" t="s">
        <v>11977</v>
      </c>
      <c r="G1998" s="1441" t="s">
        <v>11978</v>
      </c>
      <c r="H1998" s="156" t="s">
        <v>11979</v>
      </c>
      <c r="I1998" s="526">
        <v>45690.0</v>
      </c>
      <c r="J1998" s="1368">
        <v>45693.0</v>
      </c>
      <c r="K1998" s="65" t="s">
        <v>11980</v>
      </c>
      <c r="L1998" s="65"/>
      <c r="M1998" s="1902" t="s">
        <v>11981</v>
      </c>
      <c r="N1998" s="434" t="s">
        <v>11982</v>
      </c>
      <c r="O1998" s="65"/>
      <c r="P1998" s="379" t="s">
        <v>11983</v>
      </c>
      <c r="Q1998" s="49" t="str">
        <f t="array" ref="Q1998"> if(iserror(MATCH(V1998, 'File Links'!C:C, 0)), "N/A", HYPERLINK(INDEX('File Links'!B:B, MATCH(P1998, 'File Links'!C:C, 0))))</f>
        <v>https://drive.google.com/file/d/1_PDJ9HJdyc65HgAxy4hirK9FdTGjmJt6/view?usp=drivesdk</v>
      </c>
      <c r="R1998" s="156" t="s">
        <v>11984</v>
      </c>
      <c r="S1998" s="434" t="s">
        <v>10686</v>
      </c>
      <c r="T1998" s="65"/>
      <c r="U1998" s="333">
        <v>1.0</v>
      </c>
      <c r="V1998" s="195" t="str">
        <f t="shared" si="122"/>
        <v>10.1126--science.aac4716.pdf</v>
      </c>
      <c r="W1998" s="65" t="s">
        <v>11985</v>
      </c>
      <c r="X1998" s="51" t="str">
        <f t="array" ref="X1998"> if(iserror(MATCH(V1998, 'File Links'!C:C, 0)), "N/A", HYPERLINK(INDEX('File Links'!B:B, MATCH(V1998, 'File Links'!C:C, 0))))</f>
        <v>https://drive.google.com/file/d/1UMAh9VGta6ExS2-Lb6GkDF4fmnI2EMeM/view?usp=drivesdk</v>
      </c>
      <c r="Y1998" s="65"/>
      <c r="Z1998" s="65" t="s">
        <v>219</v>
      </c>
      <c r="AA1998" s="65" t="s">
        <v>11986</v>
      </c>
      <c r="AB1998" s="156" t="s">
        <v>11987</v>
      </c>
      <c r="AC1998" s="156" t="s">
        <v>11988</v>
      </c>
      <c r="AD1998" s="65" t="s">
        <v>11989</v>
      </c>
      <c r="AE1998" s="333">
        <v>7.0</v>
      </c>
      <c r="AF1998" s="153">
        <v>230047.0</v>
      </c>
      <c r="AG1998" s="65" t="s">
        <v>11990</v>
      </c>
      <c r="AH1998" s="65" t="s">
        <v>127</v>
      </c>
      <c r="AI1998" s="65" t="s">
        <v>125</v>
      </c>
      <c r="AJ1998" s="334">
        <v>0.001</v>
      </c>
      <c r="AK1998" s="58" t="s">
        <v>128</v>
      </c>
      <c r="AL1998" s="58" t="s">
        <v>211</v>
      </c>
      <c r="AM1998" s="65" t="s">
        <v>130</v>
      </c>
      <c r="AN1998" s="1055" t="s">
        <v>131</v>
      </c>
      <c r="AO1998" s="333">
        <v>455326.0</v>
      </c>
      <c r="AP1998" s="65" t="s">
        <v>11991</v>
      </c>
      <c r="AQ1998" s="65" t="s">
        <v>127</v>
      </c>
      <c r="AR1998" s="65" t="s">
        <v>210</v>
      </c>
      <c r="AS1998" s="333">
        <v>2.2E-16</v>
      </c>
      <c r="AT1998" s="65" t="s">
        <v>165</v>
      </c>
      <c r="AU1998" s="65" t="s">
        <v>179</v>
      </c>
      <c r="AV1998" s="65" t="s">
        <v>130</v>
      </c>
      <c r="AW1998" s="126" t="s">
        <v>131</v>
      </c>
      <c r="AX1998" s="65" t="s">
        <v>136</v>
      </c>
      <c r="AZ1998" s="65" t="s">
        <v>1434</v>
      </c>
    </row>
    <row r="1999">
      <c r="A1999" s="41">
        <v>1999.0</v>
      </c>
      <c r="B1999" s="65" t="s">
        <v>145</v>
      </c>
      <c r="C1999" s="59" t="s">
        <v>108</v>
      </c>
      <c r="D1999" s="59" t="s">
        <v>146</v>
      </c>
      <c r="F1999" s="156" t="s">
        <v>11977</v>
      </c>
      <c r="G1999" s="1441" t="s">
        <v>11978</v>
      </c>
      <c r="H1999" s="156" t="s">
        <v>11992</v>
      </c>
      <c r="I1999" s="526">
        <v>45690.0</v>
      </c>
      <c r="J1999" s="1368">
        <v>45693.0</v>
      </c>
      <c r="K1999" s="156" t="s">
        <v>11993</v>
      </c>
      <c r="L1999" s="65"/>
      <c r="M1999" s="1902" t="s">
        <v>11981</v>
      </c>
      <c r="N1999" s="156" t="s">
        <v>11982</v>
      </c>
      <c r="O1999" s="153">
        <v>1.0</v>
      </c>
      <c r="P1999" s="379" t="s">
        <v>11983</v>
      </c>
      <c r="Q1999" s="49" t="str">
        <f t="array" ref="Q1999"> if(iserror(MATCH(V1999, 'File Links'!C:C, 0)), "N/A", HYPERLINK(INDEX('File Links'!B:B, MATCH(P1999, 'File Links'!C:C, 0))))</f>
        <v>https://drive.google.com/file/d/1_PDJ9HJdyc65HgAxy4hirK9FdTGjmJt6/view?usp=drivesdk</v>
      </c>
      <c r="R1999" s="156" t="s">
        <v>11984</v>
      </c>
      <c r="S1999" s="434" t="s">
        <v>10686</v>
      </c>
      <c r="T1999" s="126"/>
      <c r="U1999" s="333">
        <v>1.0</v>
      </c>
      <c r="V1999" s="195" t="str">
        <f t="shared" si="122"/>
        <v>10.1126--science.aac4716.pdf</v>
      </c>
      <c r="W1999" s="156" t="s">
        <v>3800</v>
      </c>
      <c r="X1999" s="51" t="str">
        <f t="array" ref="X1999"> if(iserror(MATCH(V1999, 'File Links'!C:C, 0)), "N/A", HYPERLINK(INDEX('File Links'!B:B, MATCH(V1999, 'File Links'!C:C, 0))))</f>
        <v>https://drive.google.com/file/d/1UMAh9VGta6ExS2-Lb6GkDF4fmnI2EMeM/view?usp=drivesdk</v>
      </c>
      <c r="Y1999" s="65"/>
      <c r="Z1999" s="156" t="s">
        <v>219</v>
      </c>
      <c r="AA1999" s="156" t="s">
        <v>11994</v>
      </c>
      <c r="AB1999" s="156" t="s">
        <v>11995</v>
      </c>
      <c r="AC1999" s="156" t="s">
        <v>11996</v>
      </c>
      <c r="AD1999" s="156" t="s">
        <v>11997</v>
      </c>
      <c r="AE1999" s="153">
        <v>7.0</v>
      </c>
      <c r="AF1999" s="153">
        <v>230047.0</v>
      </c>
      <c r="AG1999" s="156" t="s">
        <v>11990</v>
      </c>
      <c r="AH1999" s="156" t="s">
        <v>127</v>
      </c>
      <c r="AI1999" s="156" t="s">
        <v>125</v>
      </c>
      <c r="AJ1999" s="334">
        <v>0.001</v>
      </c>
      <c r="AK1999" s="54" t="s">
        <v>128</v>
      </c>
      <c r="AL1999" s="54" t="s">
        <v>211</v>
      </c>
      <c r="AM1999" s="65" t="s">
        <v>130</v>
      </c>
      <c r="AN1999" s="1055" t="s">
        <v>131</v>
      </c>
      <c r="AO1999" s="153">
        <v>455326.0</v>
      </c>
      <c r="AP1999" s="156" t="s">
        <v>11991</v>
      </c>
      <c r="AQ1999" s="156" t="s">
        <v>127</v>
      </c>
      <c r="AR1999" s="156" t="s">
        <v>210</v>
      </c>
      <c r="AS1999" s="153">
        <v>0.0</v>
      </c>
      <c r="AT1999" s="156" t="s">
        <v>165</v>
      </c>
      <c r="AU1999" s="156" t="s">
        <v>179</v>
      </c>
      <c r="AV1999" s="65" t="s">
        <v>130</v>
      </c>
      <c r="AW1999" s="432" t="s">
        <v>11998</v>
      </c>
      <c r="AX1999" s="65" t="s">
        <v>144</v>
      </c>
      <c r="AZ1999" s="65" t="s">
        <v>1434</v>
      </c>
    </row>
    <row r="2000">
      <c r="A2000" s="41">
        <v>2000.0</v>
      </c>
      <c r="B2000" s="65" t="s">
        <v>145</v>
      </c>
      <c r="C2000" s="59" t="s">
        <v>108</v>
      </c>
      <c r="D2000" s="59" t="s">
        <v>1434</v>
      </c>
      <c r="F2000" s="156" t="s">
        <v>11999</v>
      </c>
      <c r="G2000" s="1441" t="s">
        <v>12000</v>
      </c>
      <c r="H2000" s="156" t="s">
        <v>12001</v>
      </c>
      <c r="I2000" s="526">
        <v>45690.0</v>
      </c>
      <c r="J2000" s="1368">
        <v>45693.0</v>
      </c>
      <c r="K2000" s="65"/>
      <c r="L2000" s="65"/>
      <c r="M2000" s="1902" t="s">
        <v>12002</v>
      </c>
      <c r="N2000" s="156" t="s">
        <v>12003</v>
      </c>
      <c r="O2000" s="333">
        <v>6.0</v>
      </c>
      <c r="P2000" s="379" t="s">
        <v>12004</v>
      </c>
      <c r="Q2000" s="49" t="str">
        <f t="array" ref="Q2000"> if(iserror(MATCH(V2000, 'File Links'!C:C, 0)), "N/A", HYPERLINK(INDEX('File Links'!B:B, MATCH(P2000, 'File Links'!C:C, 0))))</f>
        <v>https://drive.google.com/file/d/1uUa0wmROI0qE2xnTwxRVDmnwcW2lORPw/view?usp=drivesdk</v>
      </c>
      <c r="R2000" s="156" t="s">
        <v>12005</v>
      </c>
      <c r="S2000" s="434" t="s">
        <v>10686</v>
      </c>
      <c r="T2000" s="126"/>
      <c r="U2000" s="333">
        <v>1.0</v>
      </c>
      <c r="V2000" s="195" t="str">
        <f t="shared" si="122"/>
        <v>10.1126--science.aac4716.pdf</v>
      </c>
      <c r="W2000" s="65" t="s">
        <v>3563</v>
      </c>
      <c r="X2000" s="51" t="str">
        <f t="array" ref="X2000"> if(iserror(MATCH(V2000, 'File Links'!C:C, 0)), "N/A", HYPERLINK(INDEX('File Links'!B:B, MATCH(V2000, 'File Links'!C:C, 0))))</f>
        <v>https://drive.google.com/file/d/1UMAh9VGta6ExS2-Lb6GkDF4fmnI2EMeM/view?usp=drivesdk</v>
      </c>
      <c r="Y2000" s="65"/>
      <c r="Z2000" s="65" t="s">
        <v>219</v>
      </c>
      <c r="AA2000" s="65" t="s">
        <v>12006</v>
      </c>
      <c r="AB2000" s="156" t="s">
        <v>12007</v>
      </c>
      <c r="AC2000" s="1907" t="s">
        <v>12008</v>
      </c>
      <c r="AD2000" s="65" t="s">
        <v>12009</v>
      </c>
      <c r="AE2000" s="333">
        <v>16.0</v>
      </c>
      <c r="AF2000" s="153">
        <v>100.0</v>
      </c>
      <c r="AG2000" s="333">
        <v>-32.04</v>
      </c>
      <c r="AH2000" s="65" t="s">
        <v>980</v>
      </c>
      <c r="AI2000" s="65" t="s">
        <v>12010</v>
      </c>
      <c r="AJ2000" s="334">
        <v>0.03</v>
      </c>
      <c r="AK2000" s="58" t="s">
        <v>165</v>
      </c>
      <c r="AL2000" s="58" t="s">
        <v>179</v>
      </c>
      <c r="AM2000" s="65" t="s">
        <v>134</v>
      </c>
      <c r="AN2000" s="1055" t="s">
        <v>131</v>
      </c>
      <c r="AO2000" s="153">
        <v>200.0</v>
      </c>
      <c r="AP2000" s="333">
        <v>0.05</v>
      </c>
      <c r="AQ2000" s="156" t="s">
        <v>12011</v>
      </c>
      <c r="AR2000" s="65" t="s">
        <v>621</v>
      </c>
      <c r="AS2000" s="333">
        <v>0.47</v>
      </c>
      <c r="AT2000" s="65" t="s">
        <v>165</v>
      </c>
      <c r="AU2000" s="65" t="s">
        <v>129</v>
      </c>
      <c r="AV2000" s="65" t="s">
        <v>134</v>
      </c>
      <c r="AW2000" s="432" t="s">
        <v>12012</v>
      </c>
      <c r="AX2000" s="65" t="s">
        <v>136</v>
      </c>
      <c r="AZ2000" s="65" t="s">
        <v>1434</v>
      </c>
    </row>
    <row r="2001">
      <c r="A2001" s="41">
        <v>2001.0</v>
      </c>
      <c r="B2001" s="65" t="s">
        <v>107</v>
      </c>
      <c r="C2001" s="59" t="s">
        <v>108</v>
      </c>
      <c r="D2001" s="59" t="s">
        <v>146</v>
      </c>
      <c r="F2001" s="156" t="s">
        <v>11999</v>
      </c>
      <c r="G2001" s="1441" t="s">
        <v>12013</v>
      </c>
      <c r="H2001" s="156" t="s">
        <v>146</v>
      </c>
      <c r="I2001" s="526">
        <v>45690.0</v>
      </c>
      <c r="J2001" s="1368">
        <v>45693.0</v>
      </c>
      <c r="K2001" s="156" t="s">
        <v>12014</v>
      </c>
      <c r="L2001" s="65"/>
      <c r="M2001" s="1902" t="s">
        <v>12002</v>
      </c>
      <c r="N2001" s="156" t="s">
        <v>12003</v>
      </c>
      <c r="O2001" s="153">
        <v>6.0</v>
      </c>
      <c r="P2001" s="379" t="s">
        <v>12004</v>
      </c>
      <c r="Q2001" s="49" t="str">
        <f t="array" ref="Q2001"> if(iserror(MATCH(V2001, 'File Links'!C:C, 0)), "N/A", HYPERLINK(INDEX('File Links'!B:B, MATCH(P2001, 'File Links'!C:C, 0))))</f>
        <v>https://drive.google.com/file/d/1uUa0wmROI0qE2xnTwxRVDmnwcW2lORPw/view?usp=drivesdk</v>
      </c>
      <c r="R2001" s="156" t="s">
        <v>12005</v>
      </c>
      <c r="S2001" s="434" t="s">
        <v>10686</v>
      </c>
      <c r="T2001" s="126"/>
      <c r="U2001" s="333">
        <v>1.0</v>
      </c>
      <c r="V2001" s="195" t="str">
        <f t="shared" si="122"/>
        <v>10.1126--science.aac4716.pdf</v>
      </c>
      <c r="W2001" s="156" t="s">
        <v>3563</v>
      </c>
      <c r="X2001" s="51" t="str">
        <f t="array" ref="X2001"> if(iserror(MATCH(V2001, 'File Links'!C:C, 0)), "N/A", HYPERLINK(INDEX('File Links'!B:B, MATCH(V2001, 'File Links'!C:C, 0))))</f>
        <v>https://drive.google.com/file/d/1UMAh9VGta6ExS2-Lb6GkDF4fmnI2EMeM/view?usp=drivesdk</v>
      </c>
      <c r="Y2001" s="65"/>
      <c r="Z2001" s="156" t="s">
        <v>219</v>
      </c>
      <c r="AA2001" s="156" t="s">
        <v>12006</v>
      </c>
      <c r="AB2001" s="156" t="s">
        <v>12015</v>
      </c>
      <c r="AC2001" s="156" t="s">
        <v>12008</v>
      </c>
      <c r="AD2001" s="156" t="s">
        <v>12016</v>
      </c>
      <c r="AE2001" s="153">
        <v>16.0</v>
      </c>
      <c r="AF2001" s="153">
        <v>100.0</v>
      </c>
      <c r="AG2001" s="153">
        <v>-32.04</v>
      </c>
      <c r="AH2001" s="156" t="s">
        <v>980</v>
      </c>
      <c r="AI2001" s="156" t="s">
        <v>175</v>
      </c>
      <c r="AJ2001" s="334">
        <v>0.03</v>
      </c>
      <c r="AK2001" s="54" t="s">
        <v>165</v>
      </c>
      <c r="AL2001" s="54" t="s">
        <v>179</v>
      </c>
      <c r="AM2001" s="1908" t="s">
        <v>130</v>
      </c>
      <c r="AN2001" s="1055" t="s">
        <v>131</v>
      </c>
      <c r="AO2001" s="153">
        <v>200.0</v>
      </c>
      <c r="AP2001" s="153">
        <v>0.05</v>
      </c>
      <c r="AQ2001" s="156" t="s">
        <v>12011</v>
      </c>
      <c r="AR2001" s="156" t="s">
        <v>621</v>
      </c>
      <c r="AS2001" s="153">
        <v>0.47</v>
      </c>
      <c r="AT2001" s="156" t="s">
        <v>165</v>
      </c>
      <c r="AU2001" s="156" t="s">
        <v>129</v>
      </c>
      <c r="AV2001" s="65" t="s">
        <v>134</v>
      </c>
      <c r="AW2001" s="432" t="s">
        <v>12012</v>
      </c>
      <c r="AX2001" s="65" t="s">
        <v>136</v>
      </c>
      <c r="AZ2001" s="65" t="s">
        <v>1434</v>
      </c>
    </row>
    <row r="2002">
      <c r="A2002" s="41">
        <v>2002.0</v>
      </c>
      <c r="B2002" s="65" t="s">
        <v>145</v>
      </c>
      <c r="C2002" s="59" t="s">
        <v>108</v>
      </c>
      <c r="D2002" s="59" t="s">
        <v>1434</v>
      </c>
      <c r="F2002" s="156" t="s">
        <v>12017</v>
      </c>
      <c r="G2002" s="1441" t="s">
        <v>12018</v>
      </c>
      <c r="H2002" s="156" t="s">
        <v>12019</v>
      </c>
      <c r="I2002" s="526">
        <v>45690.0</v>
      </c>
      <c r="J2002" s="1368">
        <v>45693.0</v>
      </c>
      <c r="K2002" s="65"/>
      <c r="L2002" s="65" t="s">
        <v>12020</v>
      </c>
      <c r="M2002" s="1902" t="s">
        <v>12021</v>
      </c>
      <c r="N2002" s="434" t="s">
        <v>5419</v>
      </c>
      <c r="O2002" s="333">
        <v>5.0</v>
      </c>
      <c r="P2002" s="379" t="s">
        <v>12022</v>
      </c>
      <c r="Q2002" s="49" t="str">
        <f t="array" ref="Q2002"> if(iserror(MATCH(V2002, 'File Links'!C:C, 0)), "N/A", HYPERLINK(INDEX('File Links'!B:B, MATCH(P2002, 'File Links'!C:C, 0))))</f>
        <v>https://drive.google.com/file/d/1HpcHlK2DyzZieaRbX6Fr0ov7Mf_R671v/view?usp=drivesdk</v>
      </c>
      <c r="R2002" s="156" t="s">
        <v>12023</v>
      </c>
      <c r="S2002" s="434" t="s">
        <v>10686</v>
      </c>
      <c r="T2002" s="65"/>
      <c r="U2002" s="1921"/>
      <c r="V2002" s="195" t="str">
        <f t="shared" si="122"/>
        <v>10.1126--science.aac4716.pdf</v>
      </c>
      <c r="W2002" s="65" t="s">
        <v>157</v>
      </c>
      <c r="X2002" s="51" t="str">
        <f t="array" ref="X2002"> if(iserror(MATCH(V2002, 'File Links'!C:C, 0)), "N/A", HYPERLINK(INDEX('File Links'!B:B, MATCH(V2002, 'File Links'!C:C, 0))))</f>
        <v>https://drive.google.com/file/d/1UMAh9VGta6ExS2-Lb6GkDF4fmnI2EMeM/view?usp=drivesdk</v>
      </c>
      <c r="Y2002" s="65"/>
      <c r="Z2002" s="65" t="s">
        <v>219</v>
      </c>
      <c r="AA2002" s="65" t="s">
        <v>12024</v>
      </c>
      <c r="AB2002" s="156" t="s">
        <v>12025</v>
      </c>
      <c r="AC2002" s="1907" t="s">
        <v>12026</v>
      </c>
      <c r="AD2002" s="65" t="s">
        <v>12027</v>
      </c>
      <c r="AE2002" s="333">
        <v>8.0</v>
      </c>
      <c r="AF2002" s="153">
        <v>36.0</v>
      </c>
      <c r="AG2002" s="65" t="s">
        <v>5427</v>
      </c>
      <c r="AH2002" s="65" t="s">
        <v>127</v>
      </c>
      <c r="AI2002" s="65" t="s">
        <v>606</v>
      </c>
      <c r="AJ2002" s="334">
        <v>0.02</v>
      </c>
      <c r="AK2002" s="58" t="s">
        <v>165</v>
      </c>
      <c r="AL2002" s="58" t="s">
        <v>179</v>
      </c>
      <c r="AM2002" s="65" t="s">
        <v>130</v>
      </c>
      <c r="AN2002" s="1055" t="s">
        <v>131</v>
      </c>
      <c r="AO2002" s="333">
        <v>88.0</v>
      </c>
      <c r="AP2002" s="65" t="s">
        <v>12028</v>
      </c>
      <c r="AQ2002" s="65" t="s">
        <v>127</v>
      </c>
      <c r="AR2002" s="65" t="s">
        <v>843</v>
      </c>
      <c r="AS2002" s="333">
        <v>0.77</v>
      </c>
      <c r="AT2002" s="65" t="s">
        <v>165</v>
      </c>
      <c r="AU2002" s="65" t="s">
        <v>129</v>
      </c>
      <c r="AV2002" s="65" t="s">
        <v>130</v>
      </c>
      <c r="AW2002" s="432" t="s">
        <v>12029</v>
      </c>
      <c r="AX2002" s="65" t="s">
        <v>136</v>
      </c>
      <c r="AZ2002" s="65" t="s">
        <v>1434</v>
      </c>
    </row>
    <row r="2003">
      <c r="A2003" s="41">
        <v>2003.0</v>
      </c>
      <c r="B2003" s="65" t="s">
        <v>107</v>
      </c>
      <c r="C2003" s="59" t="s">
        <v>108</v>
      </c>
      <c r="D2003" s="59" t="s">
        <v>146</v>
      </c>
      <c r="F2003" s="156" t="s">
        <v>12017</v>
      </c>
      <c r="G2003" s="1441" t="s">
        <v>12018</v>
      </c>
      <c r="H2003" s="156" t="s">
        <v>12030</v>
      </c>
      <c r="I2003" s="526">
        <v>45690.0</v>
      </c>
      <c r="J2003" s="1368">
        <v>45693.0</v>
      </c>
      <c r="K2003" s="156" t="s">
        <v>12031</v>
      </c>
      <c r="L2003" s="65"/>
      <c r="M2003" s="1902" t="s">
        <v>12021</v>
      </c>
      <c r="N2003" s="434" t="s">
        <v>5419</v>
      </c>
      <c r="O2003" s="153">
        <v>5.0</v>
      </c>
      <c r="P2003" s="379" t="s">
        <v>12022</v>
      </c>
      <c r="Q2003" s="49" t="str">
        <f t="array" ref="Q2003"> if(iserror(MATCH(V2003, 'File Links'!C:C, 0)), "N/A", HYPERLINK(INDEX('File Links'!B:B, MATCH(P2003, 'File Links'!C:C, 0))))</f>
        <v>https://drive.google.com/file/d/1HpcHlK2DyzZieaRbX6Fr0ov7Mf_R671v/view?usp=drivesdk</v>
      </c>
      <c r="R2003" s="156" t="s">
        <v>12023</v>
      </c>
      <c r="S2003" s="434" t="s">
        <v>10686</v>
      </c>
      <c r="T2003" s="65"/>
      <c r="U2003" s="333">
        <v>1.0</v>
      </c>
      <c r="V2003" s="195" t="str">
        <f t="shared" si="122"/>
        <v>10.1126--science.aac4716.pdf</v>
      </c>
      <c r="W2003" s="156" t="s">
        <v>157</v>
      </c>
      <c r="X2003" s="51" t="str">
        <f t="array" ref="X2003"> if(iserror(MATCH(V2003, 'File Links'!C:C, 0)), "N/A", HYPERLINK(INDEX('File Links'!B:B, MATCH(V2003, 'File Links'!C:C, 0))))</f>
        <v>https://drive.google.com/file/d/1UMAh9VGta6ExS2-Lb6GkDF4fmnI2EMeM/view?usp=drivesdk</v>
      </c>
      <c r="Y2003" s="65"/>
      <c r="Z2003" s="156" t="s">
        <v>219</v>
      </c>
      <c r="AA2003" s="156" t="s">
        <v>5423</v>
      </c>
      <c r="AB2003" s="156" t="s">
        <v>5424</v>
      </c>
      <c r="AC2003" s="156" t="s">
        <v>12026</v>
      </c>
      <c r="AD2003" s="156" t="s">
        <v>12032</v>
      </c>
      <c r="AE2003" s="333">
        <v>8.0</v>
      </c>
      <c r="AF2003" s="333">
        <v>36.0</v>
      </c>
      <c r="AG2003" s="333" t="s">
        <v>5427</v>
      </c>
      <c r="AH2003" s="156" t="s">
        <v>127</v>
      </c>
      <c r="AI2003" s="65" t="s">
        <v>606</v>
      </c>
      <c r="AJ2003" s="334">
        <v>0.02</v>
      </c>
      <c r="AK2003" s="54" t="s">
        <v>165</v>
      </c>
      <c r="AL2003" s="54" t="s">
        <v>179</v>
      </c>
      <c r="AM2003" s="65" t="s">
        <v>130</v>
      </c>
      <c r="AN2003" s="1055" t="s">
        <v>131</v>
      </c>
      <c r="AO2003" s="333">
        <v>88.0</v>
      </c>
      <c r="AP2003" s="333" t="s">
        <v>12033</v>
      </c>
      <c r="AQ2003" s="156" t="s">
        <v>127</v>
      </c>
      <c r="AR2003" s="65" t="s">
        <v>843</v>
      </c>
      <c r="AS2003" s="333">
        <v>0.77</v>
      </c>
      <c r="AT2003" s="156" t="s">
        <v>165</v>
      </c>
      <c r="AU2003" s="156" t="s">
        <v>129</v>
      </c>
      <c r="AV2003" s="65" t="s">
        <v>130</v>
      </c>
      <c r="AW2003" s="432" t="s">
        <v>12034</v>
      </c>
      <c r="AX2003" s="1908" t="s">
        <v>144</v>
      </c>
      <c r="AZ2003" s="65" t="s">
        <v>1434</v>
      </c>
    </row>
    <row r="2004">
      <c r="A2004" s="41">
        <v>2004.0</v>
      </c>
      <c r="B2004" s="65" t="s">
        <v>145</v>
      </c>
      <c r="C2004" s="59" t="s">
        <v>108</v>
      </c>
      <c r="D2004" s="59" t="s">
        <v>1434</v>
      </c>
      <c r="F2004" s="156" t="s">
        <v>12035</v>
      </c>
      <c r="G2004" s="1441" t="s">
        <v>12036</v>
      </c>
      <c r="H2004" s="156" t="s">
        <v>12037</v>
      </c>
      <c r="I2004" s="526">
        <v>45690.0</v>
      </c>
      <c r="J2004" s="1368">
        <v>45693.0</v>
      </c>
      <c r="K2004" s="591" t="s">
        <v>12038</v>
      </c>
      <c r="L2004" s="65"/>
      <c r="M2004" s="1902" t="s">
        <v>12039</v>
      </c>
      <c r="N2004" s="156" t="s">
        <v>12040</v>
      </c>
      <c r="O2004" s="333">
        <v>2.0</v>
      </c>
      <c r="P2004" s="379" t="s">
        <v>12041</v>
      </c>
      <c r="Q2004" s="49" t="str">
        <f t="array" ref="Q2004"> if(iserror(MATCH(V2004, 'File Links'!C:C, 0)), "N/A", HYPERLINK(INDEX('File Links'!B:B, MATCH(P2004, 'File Links'!C:C, 0))))</f>
        <v>https://drive.google.com/file/d/1YjgU1oCfPf7_yAtASpZhwJS4TVj_g8CU/view?usp=drivesdk</v>
      </c>
      <c r="R2004" s="156" t="s">
        <v>12042</v>
      </c>
      <c r="S2004" s="434" t="s">
        <v>10686</v>
      </c>
      <c r="T2004" s="126"/>
      <c r="U2004" s="65"/>
      <c r="V2004" s="195" t="str">
        <f t="shared" si="122"/>
        <v>10.1126--science.aac4716.pdf</v>
      </c>
      <c r="W2004" s="65" t="s">
        <v>157</v>
      </c>
      <c r="X2004" s="51" t="str">
        <f t="array" ref="X2004"> if(iserror(MATCH(V2004, 'File Links'!C:C, 0)), "N/A", HYPERLINK(INDEX('File Links'!B:B, MATCH(V2004, 'File Links'!C:C, 0))))</f>
        <v>https://drive.google.com/file/d/1UMAh9VGta6ExS2-Lb6GkDF4fmnI2EMeM/view?usp=drivesdk</v>
      </c>
      <c r="Y2004" s="65"/>
      <c r="Z2004" s="65" t="s">
        <v>141</v>
      </c>
      <c r="AA2004" s="65" t="s">
        <v>12043</v>
      </c>
      <c r="AB2004" s="156" t="s">
        <v>12044</v>
      </c>
      <c r="AC2004" s="1907" t="s">
        <v>12045</v>
      </c>
      <c r="AD2004" s="65" t="s">
        <v>12046</v>
      </c>
      <c r="AE2004" s="333">
        <v>4.0</v>
      </c>
      <c r="AF2004" s="153">
        <v>32.0</v>
      </c>
      <c r="AG2004" s="65" t="s">
        <v>12047</v>
      </c>
      <c r="AH2004" s="65" t="s">
        <v>127</v>
      </c>
      <c r="AI2004" s="65" t="s">
        <v>843</v>
      </c>
      <c r="AJ2004" s="335" t="s">
        <v>131</v>
      </c>
      <c r="AK2004" s="58"/>
      <c r="AL2004" s="58" t="s">
        <v>129</v>
      </c>
      <c r="AM2004" s="65" t="s">
        <v>130</v>
      </c>
      <c r="AN2004" s="1055" t="s">
        <v>131</v>
      </c>
      <c r="AO2004" s="153">
        <v>48.0</v>
      </c>
      <c r="AP2004" s="333">
        <v>0.02</v>
      </c>
      <c r="AQ2004" s="65" t="s">
        <v>867</v>
      </c>
      <c r="AR2004" s="65" t="s">
        <v>621</v>
      </c>
      <c r="AS2004" s="333">
        <v>0.335</v>
      </c>
      <c r="AT2004" s="65" t="s">
        <v>165</v>
      </c>
      <c r="AU2004" s="65" t="s">
        <v>129</v>
      </c>
      <c r="AV2004" s="65" t="s">
        <v>130</v>
      </c>
      <c r="AW2004" s="432" t="s">
        <v>12048</v>
      </c>
      <c r="AX2004" s="65" t="s">
        <v>136</v>
      </c>
      <c r="AZ2004" s="65" t="s">
        <v>1434</v>
      </c>
    </row>
    <row r="2005">
      <c r="A2005" s="41">
        <v>2005.0</v>
      </c>
      <c r="B2005" s="65" t="s">
        <v>107</v>
      </c>
      <c r="C2005" s="59" t="s">
        <v>108</v>
      </c>
      <c r="D2005" s="59" t="s">
        <v>146</v>
      </c>
      <c r="F2005" s="156" t="s">
        <v>12035</v>
      </c>
      <c r="G2005" s="1441" t="s">
        <v>12036</v>
      </c>
      <c r="H2005" s="156" t="s">
        <v>146</v>
      </c>
      <c r="I2005" s="526">
        <v>45690.0</v>
      </c>
      <c r="J2005" s="1368">
        <v>45693.0</v>
      </c>
      <c r="K2005" s="156" t="s">
        <v>12049</v>
      </c>
      <c r="L2005" s="65"/>
      <c r="M2005" s="1902" t="s">
        <v>12039</v>
      </c>
      <c r="N2005" s="156" t="s">
        <v>12040</v>
      </c>
      <c r="O2005" s="153">
        <v>2.0</v>
      </c>
      <c r="P2005" s="379" t="s">
        <v>12041</v>
      </c>
      <c r="Q2005" s="49" t="str">
        <f t="array" ref="Q2005"> if(iserror(MATCH(V2005, 'File Links'!C:C, 0)), "N/A", HYPERLINK(INDEX('File Links'!B:B, MATCH(P2005, 'File Links'!C:C, 0))))</f>
        <v>https://drive.google.com/file/d/1YjgU1oCfPf7_yAtASpZhwJS4TVj_g8CU/view?usp=drivesdk</v>
      </c>
      <c r="R2005" s="156" t="s">
        <v>12042</v>
      </c>
      <c r="S2005" s="434" t="s">
        <v>10686</v>
      </c>
      <c r="T2005" s="126"/>
      <c r="U2005" s="333">
        <v>1.0</v>
      </c>
      <c r="V2005" s="195" t="str">
        <f t="shared" si="122"/>
        <v>10.1126--science.aac4716.pdf</v>
      </c>
      <c r="W2005" s="156" t="s">
        <v>157</v>
      </c>
      <c r="X2005" s="51" t="str">
        <f t="array" ref="X2005"> if(iserror(MATCH(V2005, 'File Links'!C:C, 0)), "N/A", HYPERLINK(INDEX('File Links'!B:B, MATCH(V2005, 'File Links'!C:C, 0))))</f>
        <v>https://drive.google.com/file/d/1UMAh9VGta6ExS2-Lb6GkDF4fmnI2EMeM/view?usp=drivesdk</v>
      </c>
      <c r="Y2005" s="65"/>
      <c r="Z2005" s="156" t="s">
        <v>141</v>
      </c>
      <c r="AA2005" s="156" t="s">
        <v>12050</v>
      </c>
      <c r="AB2005" s="156" t="s">
        <v>12051</v>
      </c>
      <c r="AC2005" s="156" t="s">
        <v>12045</v>
      </c>
      <c r="AD2005" s="156" t="s">
        <v>12052</v>
      </c>
      <c r="AE2005" s="153">
        <v>4.0</v>
      </c>
      <c r="AF2005" s="153">
        <v>32.0</v>
      </c>
      <c r="AG2005" s="156" t="s">
        <v>12053</v>
      </c>
      <c r="AH2005" s="156" t="s">
        <v>127</v>
      </c>
      <c r="AI2005" s="156" t="s">
        <v>843</v>
      </c>
      <c r="AJ2005" s="335"/>
      <c r="AK2005" s="58"/>
      <c r="AL2005" s="54" t="s">
        <v>129</v>
      </c>
      <c r="AM2005" s="65" t="s">
        <v>130</v>
      </c>
      <c r="AN2005" s="1055" t="s">
        <v>131</v>
      </c>
      <c r="AO2005" s="153">
        <v>48.0</v>
      </c>
      <c r="AP2005" s="153">
        <v>0.02</v>
      </c>
      <c r="AQ2005" s="1910" t="s">
        <v>132</v>
      </c>
      <c r="AR2005" s="156" t="s">
        <v>621</v>
      </c>
      <c r="AS2005" s="153">
        <v>0.335</v>
      </c>
      <c r="AT2005" s="156" t="s">
        <v>165</v>
      </c>
      <c r="AU2005" s="156" t="s">
        <v>129</v>
      </c>
      <c r="AV2005" s="65" t="s">
        <v>130</v>
      </c>
      <c r="AW2005" s="432" t="s">
        <v>12048</v>
      </c>
      <c r="AX2005" s="65" t="s">
        <v>136</v>
      </c>
      <c r="AZ2005" s="65" t="s">
        <v>1434</v>
      </c>
    </row>
    <row r="2006">
      <c r="A2006" s="41">
        <v>2006.0</v>
      </c>
      <c r="B2006" s="65" t="s">
        <v>145</v>
      </c>
      <c r="C2006" s="59" t="s">
        <v>108</v>
      </c>
      <c r="D2006" s="59" t="s">
        <v>1434</v>
      </c>
      <c r="F2006" s="156" t="s">
        <v>12054</v>
      </c>
      <c r="G2006" s="1441" t="s">
        <v>12055</v>
      </c>
      <c r="H2006" s="156" t="s">
        <v>12056</v>
      </c>
      <c r="I2006" s="526">
        <v>45690.0</v>
      </c>
      <c r="J2006" s="1368">
        <v>45693.0</v>
      </c>
      <c r="K2006" s="65"/>
      <c r="L2006" s="65"/>
      <c r="M2006" s="1902" t="s">
        <v>12057</v>
      </c>
      <c r="N2006" s="156" t="s">
        <v>5419</v>
      </c>
      <c r="O2006" s="333">
        <v>7.0</v>
      </c>
      <c r="P2006" s="379" t="s">
        <v>12022</v>
      </c>
      <c r="Q2006" s="49" t="str">
        <f t="array" ref="Q2006"> if(iserror(MATCH(V2006, 'File Links'!C:C, 0)), "N/A", HYPERLINK(INDEX('File Links'!B:B, MATCH(P2006, 'File Links'!C:C, 0))))</f>
        <v>https://drive.google.com/file/d/1HpcHlK2DyzZieaRbX6Fr0ov7Mf_R671v/view?usp=drivesdk</v>
      </c>
      <c r="R2006" s="156" t="s">
        <v>12058</v>
      </c>
      <c r="S2006" s="434" t="s">
        <v>10686</v>
      </c>
      <c r="T2006" s="126"/>
      <c r="U2006" s="65"/>
      <c r="V2006" s="195" t="str">
        <f t="shared" si="122"/>
        <v>10.1126--science.aac4716.pdf</v>
      </c>
      <c r="W2006" s="65" t="s">
        <v>157</v>
      </c>
      <c r="X2006" s="51" t="str">
        <f t="array" ref="X2006"> if(iserror(MATCH(V2006, 'File Links'!C:C, 0)), "N/A", HYPERLINK(INDEX('File Links'!B:B, MATCH(V2006, 'File Links'!C:C, 0))))</f>
        <v>https://drive.google.com/file/d/1UMAh9VGta6ExS2-Lb6GkDF4fmnI2EMeM/view?usp=drivesdk</v>
      </c>
      <c r="Y2006" s="65"/>
      <c r="Z2006" s="65" t="s">
        <v>219</v>
      </c>
      <c r="AA2006" s="65" t="s">
        <v>12024</v>
      </c>
      <c r="AB2006" s="156" t="s">
        <v>12025</v>
      </c>
      <c r="AC2006" s="1907" t="s">
        <v>12059</v>
      </c>
      <c r="AD2006" s="65" t="s">
        <v>12060</v>
      </c>
      <c r="AE2006" s="333">
        <v>10.0</v>
      </c>
      <c r="AF2006" s="153">
        <v>98.0</v>
      </c>
      <c r="AG2006" s="65" t="s">
        <v>12061</v>
      </c>
      <c r="AH2006" s="65" t="s">
        <v>127</v>
      </c>
      <c r="AI2006" s="65" t="s">
        <v>625</v>
      </c>
      <c r="AJ2006" s="334">
        <v>0.02</v>
      </c>
      <c r="AK2006" s="58" t="s">
        <v>165</v>
      </c>
      <c r="AL2006" s="58" t="s">
        <v>179</v>
      </c>
      <c r="AM2006" s="65" t="s">
        <v>134</v>
      </c>
      <c r="AN2006" s="1055" t="s">
        <v>131</v>
      </c>
      <c r="AO2006" s="153">
        <v>105.0</v>
      </c>
      <c r="AP2006" s="333">
        <v>0.049</v>
      </c>
      <c r="AQ2006" s="65" t="s">
        <v>867</v>
      </c>
      <c r="AR2006" s="65" t="s">
        <v>843</v>
      </c>
      <c r="AS2006" s="333">
        <v>0.085</v>
      </c>
      <c r="AT2006" s="65" t="s">
        <v>165</v>
      </c>
      <c r="AU2006" s="65" t="s">
        <v>179</v>
      </c>
      <c r="AV2006" s="65" t="s">
        <v>134</v>
      </c>
      <c r="AW2006" s="432" t="s">
        <v>12062</v>
      </c>
      <c r="AX2006" s="65" t="s">
        <v>136</v>
      </c>
      <c r="AZ2006" s="65" t="s">
        <v>1434</v>
      </c>
      <c r="BA2006" s="69"/>
      <c r="BB2006" s="69"/>
      <c r="BC2006" s="69"/>
      <c r="BD2006" s="69"/>
      <c r="BE2006" s="69"/>
      <c r="BF2006" s="69"/>
      <c r="BG2006" s="69"/>
      <c r="BH2006" s="69"/>
      <c r="BI2006" s="69"/>
      <c r="BJ2006" s="69"/>
      <c r="BK2006" s="69"/>
      <c r="BL2006" s="69"/>
      <c r="BM2006" s="69"/>
      <c r="BN2006" s="69"/>
      <c r="BO2006" s="69"/>
      <c r="BP2006" s="69"/>
      <c r="BQ2006" s="69"/>
      <c r="BR2006" s="69"/>
      <c r="BS2006" s="69"/>
      <c r="BT2006" s="69"/>
      <c r="BU2006" s="69"/>
      <c r="BV2006" s="69"/>
      <c r="BW2006" s="69"/>
      <c r="BX2006" s="69"/>
      <c r="BY2006" s="69"/>
      <c r="BZ2006" s="69"/>
      <c r="CA2006" s="69"/>
      <c r="CB2006" s="69"/>
      <c r="CC2006" s="69"/>
      <c r="CD2006" s="69"/>
      <c r="CE2006" s="69"/>
      <c r="CF2006" s="69"/>
      <c r="CG2006" s="69"/>
      <c r="CH2006" s="69"/>
      <c r="CI2006" s="69"/>
      <c r="CJ2006" s="69"/>
      <c r="CK2006" s="69"/>
      <c r="CL2006" s="69"/>
      <c r="CM2006" s="69"/>
      <c r="CN2006" s="69"/>
      <c r="CO2006" s="69"/>
      <c r="CP2006" s="69"/>
      <c r="CQ2006" s="69"/>
      <c r="CR2006" s="69"/>
      <c r="CS2006" s="69"/>
      <c r="CT2006" s="69"/>
      <c r="CU2006" s="69"/>
      <c r="CV2006" s="69"/>
      <c r="CW2006" s="69"/>
      <c r="CX2006" s="69"/>
      <c r="CY2006" s="69"/>
      <c r="CZ2006" s="69"/>
      <c r="DA2006" s="69"/>
      <c r="DB2006" s="69"/>
      <c r="DC2006" s="69"/>
      <c r="DD2006" s="69"/>
      <c r="DE2006" s="69"/>
      <c r="DF2006" s="69"/>
      <c r="DG2006" s="69"/>
      <c r="DH2006" s="69"/>
    </row>
    <row r="2007">
      <c r="A2007" s="41">
        <v>2007.0</v>
      </c>
      <c r="B2007" s="65" t="s">
        <v>107</v>
      </c>
      <c r="C2007" s="59" t="s">
        <v>108</v>
      </c>
      <c r="D2007" s="59" t="s">
        <v>146</v>
      </c>
      <c r="F2007" s="156" t="s">
        <v>12054</v>
      </c>
      <c r="G2007" s="1441" t="s">
        <v>12055</v>
      </c>
      <c r="H2007" s="156" t="s">
        <v>146</v>
      </c>
      <c r="I2007" s="526">
        <v>45690.0</v>
      </c>
      <c r="J2007" s="1368">
        <v>45693.0</v>
      </c>
      <c r="K2007" s="65"/>
      <c r="L2007" s="65"/>
      <c r="M2007" s="1902" t="s">
        <v>12057</v>
      </c>
      <c r="N2007" s="156" t="s">
        <v>5419</v>
      </c>
      <c r="O2007" s="153">
        <v>7.0</v>
      </c>
      <c r="P2007" s="379" t="s">
        <v>12022</v>
      </c>
      <c r="Q2007" s="49" t="str">
        <f t="array" ref="Q2007"> if(iserror(MATCH(V2007, 'File Links'!C:C, 0)), "N/A", HYPERLINK(INDEX('File Links'!B:B, MATCH(P2007, 'File Links'!C:C, 0))))</f>
        <v>https://drive.google.com/file/d/1HpcHlK2DyzZieaRbX6Fr0ov7Mf_R671v/view?usp=drivesdk</v>
      </c>
      <c r="R2007" s="156" t="s">
        <v>12058</v>
      </c>
      <c r="S2007" s="434" t="s">
        <v>10686</v>
      </c>
      <c r="T2007" s="126"/>
      <c r="U2007" s="333">
        <v>1.0</v>
      </c>
      <c r="V2007" s="195" t="str">
        <f t="shared" si="122"/>
        <v>10.1126--science.aac4716.pdf</v>
      </c>
      <c r="W2007" s="156" t="s">
        <v>157</v>
      </c>
      <c r="X2007" s="51" t="str">
        <f t="array" ref="X2007"> if(iserror(MATCH(V2007, 'File Links'!C:C, 0)), "N/A", HYPERLINK(INDEX('File Links'!B:B, MATCH(V2007, 'File Links'!C:C, 0))))</f>
        <v>https://drive.google.com/file/d/1UMAh9VGta6ExS2-Lb6GkDF4fmnI2EMeM/view?usp=drivesdk</v>
      </c>
      <c r="Y2007" s="65"/>
      <c r="Z2007" s="156" t="s">
        <v>219</v>
      </c>
      <c r="AA2007" s="156" t="s">
        <v>5423</v>
      </c>
      <c r="AB2007" s="156" t="s">
        <v>5424</v>
      </c>
      <c r="AC2007" s="156" t="s">
        <v>12059</v>
      </c>
      <c r="AD2007" s="156" t="s">
        <v>12063</v>
      </c>
      <c r="AE2007" s="153">
        <v>10.0</v>
      </c>
      <c r="AF2007" s="153">
        <v>98.0</v>
      </c>
      <c r="AG2007" s="156" t="s">
        <v>12061</v>
      </c>
      <c r="AH2007" s="1910" t="s">
        <v>132</v>
      </c>
      <c r="AI2007" s="156" t="s">
        <v>625</v>
      </c>
      <c r="AJ2007" s="334">
        <v>0.02</v>
      </c>
      <c r="AK2007" s="54" t="s">
        <v>165</v>
      </c>
      <c r="AL2007" s="54" t="s">
        <v>179</v>
      </c>
      <c r="AM2007" s="65" t="s">
        <v>134</v>
      </c>
      <c r="AN2007" s="1055" t="s">
        <v>131</v>
      </c>
      <c r="AO2007" s="153">
        <v>105.0</v>
      </c>
      <c r="AP2007" s="153">
        <v>0.049</v>
      </c>
      <c r="AQ2007" s="1910" t="s">
        <v>132</v>
      </c>
      <c r="AR2007" s="156" t="s">
        <v>843</v>
      </c>
      <c r="AS2007" s="153">
        <v>0.085</v>
      </c>
      <c r="AT2007" s="156" t="s">
        <v>165</v>
      </c>
      <c r="AU2007" s="156" t="s">
        <v>179</v>
      </c>
      <c r="AV2007" s="65" t="s">
        <v>134</v>
      </c>
      <c r="AW2007" s="432" t="s">
        <v>12062</v>
      </c>
      <c r="AX2007" s="65" t="s">
        <v>136</v>
      </c>
      <c r="AZ2007" s="65" t="s">
        <v>1434</v>
      </c>
      <c r="BA2007" s="69"/>
      <c r="BB2007" s="69"/>
      <c r="BC2007" s="69"/>
      <c r="BD2007" s="69"/>
      <c r="BE2007" s="69"/>
      <c r="BF2007" s="69"/>
      <c r="BG2007" s="69"/>
      <c r="BH2007" s="69"/>
      <c r="BI2007" s="69"/>
      <c r="BJ2007" s="69"/>
      <c r="BK2007" s="69"/>
      <c r="BL2007" s="69"/>
      <c r="BM2007" s="69"/>
      <c r="BN2007" s="69"/>
      <c r="BO2007" s="69"/>
      <c r="BP2007" s="69"/>
      <c r="BQ2007" s="69"/>
      <c r="BR2007" s="69"/>
      <c r="BS2007" s="69"/>
      <c r="BT2007" s="69"/>
      <c r="BU2007" s="69"/>
      <c r="BV2007" s="69"/>
      <c r="BW2007" s="69"/>
      <c r="BX2007" s="69"/>
      <c r="BY2007" s="69"/>
      <c r="BZ2007" s="69"/>
      <c r="CA2007" s="69"/>
      <c r="CB2007" s="69"/>
      <c r="CC2007" s="69"/>
      <c r="CD2007" s="69"/>
      <c r="CE2007" s="69"/>
      <c r="CF2007" s="69"/>
      <c r="CG2007" s="69"/>
      <c r="CH2007" s="69"/>
      <c r="CI2007" s="69"/>
      <c r="CJ2007" s="69"/>
      <c r="CK2007" s="69"/>
      <c r="CL2007" s="69"/>
      <c r="CM2007" s="69"/>
      <c r="CN2007" s="69"/>
      <c r="CO2007" s="69"/>
      <c r="CP2007" s="69"/>
      <c r="CQ2007" s="69"/>
      <c r="CR2007" s="69"/>
      <c r="CS2007" s="69"/>
      <c r="CT2007" s="69"/>
      <c r="CU2007" s="69"/>
      <c r="CV2007" s="69"/>
      <c r="CW2007" s="69"/>
      <c r="CX2007" s="69"/>
      <c r="CY2007" s="69"/>
      <c r="CZ2007" s="69"/>
      <c r="DA2007" s="69"/>
      <c r="DB2007" s="69"/>
      <c r="DC2007" s="69"/>
      <c r="DD2007" s="69"/>
      <c r="DE2007" s="69"/>
      <c r="DF2007" s="69"/>
      <c r="DG2007" s="69"/>
      <c r="DH2007" s="69"/>
    </row>
    <row r="2008">
      <c r="A2008" s="41">
        <v>2008.0</v>
      </c>
      <c r="B2008" s="65" t="s">
        <v>107</v>
      </c>
      <c r="C2008" s="59" t="s">
        <v>108</v>
      </c>
      <c r="D2008" s="59" t="s">
        <v>1434</v>
      </c>
      <c r="F2008" s="156" t="s">
        <v>12064</v>
      </c>
      <c r="G2008" s="1441" t="s">
        <v>12065</v>
      </c>
      <c r="H2008" s="156" t="s">
        <v>12066</v>
      </c>
      <c r="I2008" s="526">
        <v>45690.0</v>
      </c>
      <c r="J2008" s="1368">
        <v>45693.0</v>
      </c>
      <c r="K2008" s="65" t="s">
        <v>12067</v>
      </c>
      <c r="L2008" s="65"/>
      <c r="M2008" s="1902" t="s">
        <v>12068</v>
      </c>
      <c r="N2008" s="434" t="s">
        <v>12069</v>
      </c>
      <c r="O2008" s="333">
        <v>5.0</v>
      </c>
      <c r="P2008" s="379" t="s">
        <v>12070</v>
      </c>
      <c r="Q2008" s="49" t="str">
        <f t="array" ref="Q2008"> if(iserror(MATCH(V2008, 'File Links'!C:C, 0)), "N/A", HYPERLINK(INDEX('File Links'!B:B, MATCH(P2008, 'File Links'!C:C, 0))))</f>
        <v>https://drive.google.com/file/d/17-wgGNPZwtL6rEYJQatdPfEg3Zj4LlVp/view?usp=drivesdk</v>
      </c>
      <c r="R2008" s="156" t="s">
        <v>12071</v>
      </c>
      <c r="S2008" s="434" t="s">
        <v>10686</v>
      </c>
      <c r="T2008" s="126"/>
      <c r="U2008" s="333">
        <v>1.0</v>
      </c>
      <c r="V2008" s="195" t="str">
        <f t="shared" si="122"/>
        <v>10.1126--science.aac4716.pdf</v>
      </c>
      <c r="W2008" s="65" t="s">
        <v>157</v>
      </c>
      <c r="X2008" s="51" t="str">
        <f t="array" ref="X2008"> if(iserror(MATCH(V2008, 'File Links'!C:C, 0)), "N/A", HYPERLINK(INDEX('File Links'!B:B, MATCH(V2008, 'File Links'!C:C, 0))))</f>
        <v>https://drive.google.com/file/d/1UMAh9VGta6ExS2-Lb6GkDF4fmnI2EMeM/view?usp=drivesdk</v>
      </c>
      <c r="Y2008" s="65"/>
      <c r="Z2008" s="65" t="s">
        <v>219</v>
      </c>
      <c r="AA2008" s="65" t="s">
        <v>12072</v>
      </c>
      <c r="AB2008" s="156" t="s">
        <v>12073</v>
      </c>
      <c r="AC2008" s="156" t="s">
        <v>12074</v>
      </c>
      <c r="AD2008" s="65" t="s">
        <v>12075</v>
      </c>
      <c r="AE2008" s="333">
        <v>14.0</v>
      </c>
      <c r="AF2008" s="153">
        <v>133.0</v>
      </c>
      <c r="AG2008" s="333">
        <v>0.04</v>
      </c>
      <c r="AH2008" s="65" t="s">
        <v>132</v>
      </c>
      <c r="AI2008" s="65" t="s">
        <v>2222</v>
      </c>
      <c r="AJ2008" s="334">
        <v>0.02</v>
      </c>
      <c r="AK2008" s="58" t="s">
        <v>128</v>
      </c>
      <c r="AL2008" s="58" t="s">
        <v>179</v>
      </c>
      <c r="AM2008" s="65" t="s">
        <v>134</v>
      </c>
      <c r="AN2008" s="1055" t="s">
        <v>131</v>
      </c>
      <c r="AO2008" s="333">
        <v>113.0</v>
      </c>
      <c r="AP2008" s="65" t="s">
        <v>12076</v>
      </c>
      <c r="AQ2008" s="65" t="s">
        <v>127</v>
      </c>
      <c r="AR2008" s="65" t="s">
        <v>133</v>
      </c>
      <c r="AS2008" s="333">
        <v>0.471</v>
      </c>
      <c r="AT2008" s="65" t="s">
        <v>165</v>
      </c>
      <c r="AU2008" s="65" t="s">
        <v>179</v>
      </c>
      <c r="AV2008" s="65" t="s">
        <v>134</v>
      </c>
      <c r="AW2008" s="432" t="s">
        <v>12077</v>
      </c>
      <c r="AX2008" s="65" t="s">
        <v>136</v>
      </c>
      <c r="AZ2008" s="65" t="s">
        <v>1434</v>
      </c>
    </row>
    <row r="2009">
      <c r="A2009" s="41">
        <v>2009.0</v>
      </c>
      <c r="B2009" s="65" t="s">
        <v>145</v>
      </c>
      <c r="C2009" s="59" t="s">
        <v>108</v>
      </c>
      <c r="D2009" s="59" t="s">
        <v>146</v>
      </c>
      <c r="F2009" s="156" t="s">
        <v>12064</v>
      </c>
      <c r="G2009" s="1441" t="s">
        <v>12065</v>
      </c>
      <c r="H2009" s="156" t="s">
        <v>146</v>
      </c>
      <c r="I2009" s="526">
        <v>45690.0</v>
      </c>
      <c r="J2009" s="1368">
        <v>45693.0</v>
      </c>
      <c r="K2009" s="156" t="s">
        <v>12078</v>
      </c>
      <c r="L2009" s="65"/>
      <c r="M2009" s="1902" t="s">
        <v>12068</v>
      </c>
      <c r="N2009" s="156" t="s">
        <v>12069</v>
      </c>
      <c r="O2009" s="153">
        <v>5.0</v>
      </c>
      <c r="P2009" s="379" t="s">
        <v>12070</v>
      </c>
      <c r="Q2009" s="49" t="str">
        <f t="array" ref="Q2009"> if(iserror(MATCH(V2009, 'File Links'!C:C, 0)), "N/A", HYPERLINK(INDEX('File Links'!B:B, MATCH(P2009, 'File Links'!C:C, 0))))</f>
        <v>https://drive.google.com/file/d/17-wgGNPZwtL6rEYJQatdPfEg3Zj4LlVp/view?usp=drivesdk</v>
      </c>
      <c r="R2009" s="156" t="s">
        <v>12071</v>
      </c>
      <c r="S2009" s="434" t="s">
        <v>10686</v>
      </c>
      <c r="T2009" s="126"/>
      <c r="U2009" s="333">
        <v>1.0</v>
      </c>
      <c r="V2009" s="195" t="str">
        <f t="shared" si="122"/>
        <v>10.1126--science.aac4716.pdf</v>
      </c>
      <c r="W2009" s="156" t="s">
        <v>157</v>
      </c>
      <c r="X2009" s="51" t="str">
        <f t="array" ref="X2009"> if(iserror(MATCH(V2009, 'File Links'!C:C, 0)), "N/A", HYPERLINK(INDEX('File Links'!B:B, MATCH(V2009, 'File Links'!C:C, 0))))</f>
        <v>https://drive.google.com/file/d/1UMAh9VGta6ExS2-Lb6GkDF4fmnI2EMeM/view?usp=drivesdk</v>
      </c>
      <c r="Y2009" s="65"/>
      <c r="Z2009" s="156" t="s">
        <v>219</v>
      </c>
      <c r="AA2009" s="156" t="s">
        <v>12072</v>
      </c>
      <c r="AB2009" s="156" t="s">
        <v>12079</v>
      </c>
      <c r="AC2009" s="156" t="s">
        <v>12080</v>
      </c>
      <c r="AD2009" s="1903" t="s">
        <v>12075</v>
      </c>
      <c r="AE2009" s="153">
        <v>14.0</v>
      </c>
      <c r="AF2009" s="153">
        <v>133.0</v>
      </c>
      <c r="AG2009" s="153">
        <v>0.04</v>
      </c>
      <c r="AH2009" s="156" t="s">
        <v>132</v>
      </c>
      <c r="AI2009" s="156" t="s">
        <v>2222</v>
      </c>
      <c r="AJ2009" s="334">
        <v>0.02</v>
      </c>
      <c r="AK2009" s="54" t="s">
        <v>128</v>
      </c>
      <c r="AL2009" s="54" t="s">
        <v>179</v>
      </c>
      <c r="AM2009" s="65" t="s">
        <v>134</v>
      </c>
      <c r="AN2009" s="1055" t="s">
        <v>131</v>
      </c>
      <c r="AO2009" s="153">
        <v>113.0</v>
      </c>
      <c r="AP2009" s="156" t="s">
        <v>12081</v>
      </c>
      <c r="AQ2009" s="156" t="s">
        <v>127</v>
      </c>
      <c r="AR2009" s="156" t="s">
        <v>133</v>
      </c>
      <c r="AS2009" s="153">
        <v>0.471</v>
      </c>
      <c r="AT2009" s="156" t="s">
        <v>165</v>
      </c>
      <c r="AU2009" s="156" t="s">
        <v>179</v>
      </c>
      <c r="AV2009" s="65" t="s">
        <v>134</v>
      </c>
      <c r="AW2009" s="432" t="s">
        <v>12077</v>
      </c>
      <c r="AX2009" s="65" t="s">
        <v>136</v>
      </c>
      <c r="AZ2009" s="65" t="s">
        <v>1434</v>
      </c>
    </row>
    <row r="2010">
      <c r="A2010" s="41">
        <v>2010.0</v>
      </c>
      <c r="B2010" s="65" t="s">
        <v>145</v>
      </c>
      <c r="C2010" s="59" t="s">
        <v>108</v>
      </c>
      <c r="D2010" s="59" t="s">
        <v>1434</v>
      </c>
      <c r="F2010" s="156" t="s">
        <v>12082</v>
      </c>
      <c r="G2010" s="1441" t="s">
        <v>12083</v>
      </c>
      <c r="H2010" s="156" t="s">
        <v>12084</v>
      </c>
      <c r="I2010" s="526">
        <v>45690.0</v>
      </c>
      <c r="J2010" s="1368">
        <v>45693.0</v>
      </c>
      <c r="K2010" s="591" t="s">
        <v>12085</v>
      </c>
      <c r="L2010" s="65"/>
      <c r="M2010" s="1902" t="s">
        <v>12086</v>
      </c>
      <c r="N2010" s="156" t="s">
        <v>12087</v>
      </c>
      <c r="O2010" s="333">
        <v>2.0</v>
      </c>
      <c r="P2010" s="379" t="s">
        <v>12088</v>
      </c>
      <c r="Q2010" s="49" t="str">
        <f t="array" ref="Q2010"> if(iserror(MATCH(V2010, 'File Links'!C:C, 0)), "N/A", HYPERLINK(INDEX('File Links'!B:B, MATCH(P2010, 'File Links'!C:C, 0))))</f>
        <v>https://drive.google.com/file/d/16Fdz5Q4hZTnIAAvzSPJ1UmDOOND5AaDe/view?usp=drivesdk</v>
      </c>
      <c r="R2010" s="156" t="s">
        <v>12089</v>
      </c>
      <c r="S2010" s="434" t="s">
        <v>10686</v>
      </c>
      <c r="T2010" s="126"/>
      <c r="U2010" s="333">
        <v>1.0</v>
      </c>
      <c r="V2010" s="195" t="str">
        <f t="shared" si="122"/>
        <v>10.1126--science.aac4716.pdf</v>
      </c>
      <c r="W2010" s="65" t="s">
        <v>157</v>
      </c>
      <c r="X2010" s="51" t="str">
        <f t="array" ref="X2010"> if(iserror(MATCH(V2010, 'File Links'!C:C, 0)), "N/A", HYPERLINK(INDEX('File Links'!B:B, MATCH(V2010, 'File Links'!C:C, 0))))</f>
        <v>https://drive.google.com/file/d/1UMAh9VGta6ExS2-Lb6GkDF4fmnI2EMeM/view?usp=drivesdk</v>
      </c>
      <c r="Y2010" s="65"/>
      <c r="Z2010" s="65" t="s">
        <v>219</v>
      </c>
      <c r="AA2010" s="65" t="s">
        <v>12090</v>
      </c>
      <c r="AB2010" s="156" t="s">
        <v>12091</v>
      </c>
      <c r="AC2010" s="1903" t="s">
        <v>12092</v>
      </c>
      <c r="AD2010" s="65" t="s">
        <v>12093</v>
      </c>
      <c r="AE2010" s="333">
        <v>12.0</v>
      </c>
      <c r="AF2010" s="153">
        <v>48.0</v>
      </c>
      <c r="AG2010" s="65" t="s">
        <v>12094</v>
      </c>
      <c r="AH2010" s="65" t="s">
        <v>127</v>
      </c>
      <c r="AI2010" s="65" t="s">
        <v>605</v>
      </c>
      <c r="AJ2010" s="334">
        <v>0.03</v>
      </c>
      <c r="AK2010" s="58" t="s">
        <v>165</v>
      </c>
      <c r="AL2010" s="58" t="s">
        <v>179</v>
      </c>
      <c r="AM2010" s="65" t="s">
        <v>134</v>
      </c>
      <c r="AN2010" s="1055" t="s">
        <v>131</v>
      </c>
      <c r="AO2010" s="153">
        <v>75.0</v>
      </c>
      <c r="AP2010" s="333">
        <v>0.006</v>
      </c>
      <c r="AQ2010" s="65" t="s">
        <v>867</v>
      </c>
      <c r="AR2010" s="65" t="s">
        <v>125</v>
      </c>
      <c r="AS2010" s="333">
        <v>0.513</v>
      </c>
      <c r="AT2010" s="65" t="s">
        <v>165</v>
      </c>
      <c r="AU2010" s="65" t="s">
        <v>179</v>
      </c>
      <c r="AV2010" s="65" t="s">
        <v>134</v>
      </c>
      <c r="AW2010" s="432" t="s">
        <v>12095</v>
      </c>
      <c r="AX2010" s="65" t="s">
        <v>136</v>
      </c>
      <c r="AZ2010" s="65" t="s">
        <v>1434</v>
      </c>
    </row>
    <row r="2011">
      <c r="A2011" s="41">
        <v>2011.0</v>
      </c>
      <c r="B2011" s="65" t="s">
        <v>107</v>
      </c>
      <c r="C2011" s="59" t="s">
        <v>108</v>
      </c>
      <c r="D2011" s="59" t="s">
        <v>146</v>
      </c>
      <c r="F2011" s="156" t="s">
        <v>12082</v>
      </c>
      <c r="G2011" s="1441" t="s">
        <v>12096</v>
      </c>
      <c r="H2011" s="156" t="s">
        <v>146</v>
      </c>
      <c r="I2011" s="526">
        <v>45690.0</v>
      </c>
      <c r="J2011" s="1368">
        <v>45693.0</v>
      </c>
      <c r="K2011" s="65" t="s">
        <v>12097</v>
      </c>
      <c r="L2011" s="65"/>
      <c r="M2011" s="1902" t="s">
        <v>12086</v>
      </c>
      <c r="N2011" s="156" t="s">
        <v>12087</v>
      </c>
      <c r="O2011" s="333">
        <v>2.0</v>
      </c>
      <c r="P2011" s="379" t="s">
        <v>12088</v>
      </c>
      <c r="Q2011" s="49" t="str">
        <f t="array" ref="Q2011"> if(iserror(MATCH(V2011, 'File Links'!C:C, 0)), "N/A", HYPERLINK(INDEX('File Links'!B:B, MATCH(P2011, 'File Links'!C:C, 0))))</f>
        <v>https://drive.google.com/file/d/16Fdz5Q4hZTnIAAvzSPJ1UmDOOND5AaDe/view?usp=drivesdk</v>
      </c>
      <c r="R2011" s="156" t="s">
        <v>12089</v>
      </c>
      <c r="S2011" s="434" t="s">
        <v>10686</v>
      </c>
      <c r="T2011" s="126"/>
      <c r="U2011" s="333">
        <v>1.0</v>
      </c>
      <c r="V2011" s="195" t="str">
        <f t="shared" si="122"/>
        <v>10.1126--science.aac4716.pdf</v>
      </c>
      <c r="W2011" s="156" t="s">
        <v>157</v>
      </c>
      <c r="X2011" s="51" t="str">
        <f t="array" ref="X2011"> if(iserror(MATCH(V2011, 'File Links'!C:C, 0)), "N/A", HYPERLINK(INDEX('File Links'!B:B, MATCH(V2011, 'File Links'!C:C, 0))))</f>
        <v>https://drive.google.com/file/d/1UMAh9VGta6ExS2-Lb6GkDF4fmnI2EMeM/view?usp=drivesdk</v>
      </c>
      <c r="Y2011" s="65"/>
      <c r="Z2011" s="156" t="s">
        <v>219</v>
      </c>
      <c r="AA2011" s="156" t="s">
        <v>4024</v>
      </c>
      <c r="AB2011" s="65" t="s">
        <v>12098</v>
      </c>
      <c r="AC2011" s="65" t="s">
        <v>12092</v>
      </c>
      <c r="AD2011" s="156" t="s">
        <v>12099</v>
      </c>
      <c r="AE2011" s="333">
        <v>12.0</v>
      </c>
      <c r="AF2011" s="333">
        <v>48.0</v>
      </c>
      <c r="AG2011" s="333" t="s">
        <v>12094</v>
      </c>
      <c r="AH2011" s="156" t="s">
        <v>127</v>
      </c>
      <c r="AI2011" s="65" t="s">
        <v>605</v>
      </c>
      <c r="AJ2011" s="334">
        <v>0.03</v>
      </c>
      <c r="AK2011" s="58" t="s">
        <v>165</v>
      </c>
      <c r="AL2011" s="58" t="s">
        <v>179</v>
      </c>
      <c r="AM2011" s="65" t="s">
        <v>134</v>
      </c>
      <c r="AN2011" s="1055" t="s">
        <v>131</v>
      </c>
      <c r="AO2011" s="333">
        <v>75.0</v>
      </c>
      <c r="AP2011" s="333">
        <v>0.006</v>
      </c>
      <c r="AQ2011" s="1908" t="s">
        <v>132</v>
      </c>
      <c r="AR2011" s="65" t="s">
        <v>125</v>
      </c>
      <c r="AS2011" s="333">
        <v>0.513</v>
      </c>
      <c r="AT2011" s="65" t="s">
        <v>165</v>
      </c>
      <c r="AU2011" s="65" t="s">
        <v>179</v>
      </c>
      <c r="AV2011" s="65" t="s">
        <v>134</v>
      </c>
      <c r="AW2011" s="432" t="s">
        <v>12095</v>
      </c>
      <c r="AX2011" s="65" t="s">
        <v>136</v>
      </c>
      <c r="AZ2011" s="65" t="s">
        <v>1434</v>
      </c>
    </row>
    <row r="2012">
      <c r="A2012" s="41">
        <v>2012.0</v>
      </c>
      <c r="B2012" s="65" t="s">
        <v>145</v>
      </c>
      <c r="C2012" s="59" t="s">
        <v>108</v>
      </c>
      <c r="D2012" s="59" t="s">
        <v>1434</v>
      </c>
      <c r="F2012" s="156" t="s">
        <v>12100</v>
      </c>
      <c r="G2012" s="1441" t="s">
        <v>12101</v>
      </c>
      <c r="H2012" s="156" t="s">
        <v>12102</v>
      </c>
      <c r="I2012" s="526">
        <v>45690.0</v>
      </c>
      <c r="J2012" s="1368">
        <v>45693.0</v>
      </c>
      <c r="K2012" s="65"/>
      <c r="L2012" s="65"/>
      <c r="M2012" s="1902" t="s">
        <v>12103</v>
      </c>
      <c r="N2012" s="434" t="s">
        <v>12104</v>
      </c>
      <c r="O2012" s="333">
        <v>2.0</v>
      </c>
      <c r="P2012" s="379" t="s">
        <v>12105</v>
      </c>
      <c r="Q2012" s="49" t="str">
        <f t="array" ref="Q2012"> if(iserror(MATCH(V2012, 'File Links'!C:C, 0)), "N/A", HYPERLINK(INDEX('File Links'!B:B, MATCH(P2012, 'File Links'!C:C, 0))))</f>
        <v>https://drive.google.com/file/d/1GCFNtGI_d_CgIPtrM02hpi0r-UNQaVqq/view?usp=drivesdk</v>
      </c>
      <c r="R2012" s="156" t="s">
        <v>12106</v>
      </c>
      <c r="S2012" s="434" t="s">
        <v>10686</v>
      </c>
      <c r="T2012" s="65"/>
      <c r="U2012" s="333">
        <v>1.0</v>
      </c>
      <c r="V2012" s="195" t="str">
        <f t="shared" si="122"/>
        <v>10.1126--science.aac4716.pdf</v>
      </c>
      <c r="W2012" s="65" t="s">
        <v>3563</v>
      </c>
      <c r="X2012" s="51" t="str">
        <f t="array" ref="X2012"> if(iserror(MATCH(V2012, 'File Links'!C:C, 0)), "N/A", HYPERLINK(INDEX('File Links'!B:B, MATCH(V2012, 'File Links'!C:C, 0))))</f>
        <v>https://drive.google.com/file/d/1UMAh9VGta6ExS2-Lb6GkDF4fmnI2EMeM/view?usp=drivesdk</v>
      </c>
      <c r="Y2012" s="65"/>
      <c r="Z2012" s="65" t="s">
        <v>219</v>
      </c>
      <c r="AA2012" s="65" t="s">
        <v>12107</v>
      </c>
      <c r="AB2012" s="156" t="s">
        <v>12108</v>
      </c>
      <c r="AC2012" s="1907" t="s">
        <v>12109</v>
      </c>
      <c r="AD2012" s="65" t="s">
        <v>12110</v>
      </c>
      <c r="AE2012" s="333">
        <v>9.0</v>
      </c>
      <c r="AF2012" s="153">
        <v>57.0</v>
      </c>
      <c r="AG2012" s="333">
        <v>0.11</v>
      </c>
      <c r="AH2012" s="65" t="s">
        <v>867</v>
      </c>
      <c r="AI2012" s="65" t="s">
        <v>621</v>
      </c>
      <c r="AJ2012" s="334">
        <v>0.05</v>
      </c>
      <c r="AK2012" s="58" t="s">
        <v>128</v>
      </c>
      <c r="AL2012" s="58" t="s">
        <v>179</v>
      </c>
      <c r="AM2012" s="65" t="s">
        <v>134</v>
      </c>
      <c r="AN2012" s="1055" t="s">
        <v>131</v>
      </c>
      <c r="AO2012" s="333">
        <v>71.0</v>
      </c>
      <c r="AP2012" s="333">
        <v>0.01</v>
      </c>
      <c r="AQ2012" s="65" t="s">
        <v>867</v>
      </c>
      <c r="AR2012" s="65" t="s">
        <v>806</v>
      </c>
      <c r="AS2012" s="333">
        <v>0.74</v>
      </c>
      <c r="AT2012" s="65" t="s">
        <v>165</v>
      </c>
      <c r="AU2012" s="65" t="s">
        <v>179</v>
      </c>
      <c r="AV2012" s="65" t="s">
        <v>134</v>
      </c>
      <c r="AW2012" s="432" t="s">
        <v>12111</v>
      </c>
      <c r="AX2012" s="65" t="s">
        <v>136</v>
      </c>
      <c r="AZ2012" s="65" t="s">
        <v>1434</v>
      </c>
    </row>
    <row r="2013">
      <c r="A2013" s="41">
        <v>2013.0</v>
      </c>
      <c r="B2013" s="65" t="s">
        <v>107</v>
      </c>
      <c r="C2013" s="59" t="s">
        <v>108</v>
      </c>
      <c r="D2013" s="59" t="s">
        <v>146</v>
      </c>
      <c r="F2013" s="156" t="s">
        <v>12100</v>
      </c>
      <c r="G2013" s="1441" t="s">
        <v>12112</v>
      </c>
      <c r="H2013" s="156" t="s">
        <v>146</v>
      </c>
      <c r="I2013" s="526">
        <v>45690.0</v>
      </c>
      <c r="J2013" s="1368">
        <v>45693.0</v>
      </c>
      <c r="K2013" s="156" t="s">
        <v>12113</v>
      </c>
      <c r="L2013" s="65"/>
      <c r="M2013" s="1902" t="s">
        <v>12103</v>
      </c>
      <c r="N2013" s="434" t="s">
        <v>12104</v>
      </c>
      <c r="O2013" s="153">
        <v>2.0</v>
      </c>
      <c r="P2013" s="379" t="s">
        <v>12105</v>
      </c>
      <c r="Q2013" s="49" t="str">
        <f t="array" ref="Q2013"> if(iserror(MATCH(V2013, 'File Links'!C:C, 0)), "N/A", HYPERLINK(INDEX('File Links'!B:B, MATCH(P2013, 'File Links'!C:C, 0))))</f>
        <v>https://drive.google.com/file/d/1GCFNtGI_d_CgIPtrM02hpi0r-UNQaVqq/view?usp=drivesdk</v>
      </c>
      <c r="R2013" s="156" t="s">
        <v>12106</v>
      </c>
      <c r="S2013" s="434" t="s">
        <v>10686</v>
      </c>
      <c r="T2013" s="65"/>
      <c r="U2013" s="333">
        <v>1.0</v>
      </c>
      <c r="V2013" s="195" t="str">
        <f t="shared" si="122"/>
        <v>10.1126--science.aac4716.pdf</v>
      </c>
      <c r="W2013" s="156" t="s">
        <v>3563</v>
      </c>
      <c r="X2013" s="51" t="str">
        <f t="array" ref="X2013"> if(iserror(MATCH(V2013, 'File Links'!C:C, 0)), "N/A", HYPERLINK(INDEX('File Links'!B:B, MATCH(V2013, 'File Links'!C:C, 0))))</f>
        <v>https://drive.google.com/file/d/1UMAh9VGta6ExS2-Lb6GkDF4fmnI2EMeM/view?usp=drivesdk</v>
      </c>
      <c r="Y2013" s="65"/>
      <c r="Z2013" s="156" t="s">
        <v>219</v>
      </c>
      <c r="AA2013" s="156" t="s">
        <v>12114</v>
      </c>
      <c r="AB2013" s="156" t="s">
        <v>12115</v>
      </c>
      <c r="AC2013" s="156" t="s">
        <v>12109</v>
      </c>
      <c r="AD2013" s="156" t="s">
        <v>12116</v>
      </c>
      <c r="AE2013" s="153">
        <v>9.0</v>
      </c>
      <c r="AF2013" s="153">
        <v>57.0</v>
      </c>
      <c r="AG2013" s="153">
        <v>0.11</v>
      </c>
      <c r="AH2013" s="1910" t="s">
        <v>132</v>
      </c>
      <c r="AI2013" s="156" t="s">
        <v>621</v>
      </c>
      <c r="AJ2013" s="706">
        <v>0.05</v>
      </c>
      <c r="AK2013" s="54" t="s">
        <v>128</v>
      </c>
      <c r="AL2013" s="54" t="s">
        <v>179</v>
      </c>
      <c r="AM2013" s="65" t="s">
        <v>134</v>
      </c>
      <c r="AN2013" s="1055" t="s">
        <v>131</v>
      </c>
      <c r="AO2013" s="333">
        <v>71.0</v>
      </c>
      <c r="AP2013" s="333">
        <v>0.01</v>
      </c>
      <c r="AQ2013" s="1910" t="s">
        <v>132</v>
      </c>
      <c r="AR2013" s="156" t="s">
        <v>806</v>
      </c>
      <c r="AS2013" s="153">
        <v>0.74</v>
      </c>
      <c r="AT2013" s="156" t="s">
        <v>165</v>
      </c>
      <c r="AU2013" s="156" t="s">
        <v>179</v>
      </c>
      <c r="AV2013" s="65" t="s">
        <v>134</v>
      </c>
      <c r="AW2013" s="432" t="s">
        <v>12111</v>
      </c>
      <c r="AX2013" s="65" t="s">
        <v>136</v>
      </c>
      <c r="AZ2013" s="65" t="s">
        <v>1434</v>
      </c>
    </row>
    <row r="2014">
      <c r="A2014" s="41">
        <v>2014.0</v>
      </c>
      <c r="B2014" s="65" t="s">
        <v>145</v>
      </c>
      <c r="C2014" s="59" t="s">
        <v>108</v>
      </c>
      <c r="D2014" s="59" t="s">
        <v>1434</v>
      </c>
      <c r="F2014" s="156" t="s">
        <v>12117</v>
      </c>
      <c r="G2014" s="1441" t="s">
        <v>12118</v>
      </c>
      <c r="H2014" s="156" t="s">
        <v>12119</v>
      </c>
      <c r="I2014" s="526">
        <v>45690.0</v>
      </c>
      <c r="J2014" s="1368">
        <v>45693.0</v>
      </c>
      <c r="K2014" s="65" t="s">
        <v>12120</v>
      </c>
      <c r="L2014" s="65" t="s">
        <v>12121</v>
      </c>
      <c r="M2014" s="1902" t="s">
        <v>12122</v>
      </c>
      <c r="N2014" s="156" t="s">
        <v>12123</v>
      </c>
      <c r="O2014" s="333">
        <v>3.0</v>
      </c>
      <c r="P2014" s="379" t="s">
        <v>12124</v>
      </c>
      <c r="Q2014" s="49" t="str">
        <f t="array" ref="Q2014"> if(iserror(MATCH(V2014, 'File Links'!C:C, 0)), "N/A", HYPERLINK(INDEX('File Links'!B:B, MATCH(P2014, 'File Links'!C:C, 0))))</f>
        <v>https://drive.google.com/file/d/1UTh20eT7TkvvPfQekHv-og8JNZ7R1WP8/view?usp=drivesdk</v>
      </c>
      <c r="R2014" s="156" t="s">
        <v>12125</v>
      </c>
      <c r="S2014" s="434" t="s">
        <v>10686</v>
      </c>
      <c r="T2014" s="126" t="s">
        <v>12126</v>
      </c>
      <c r="U2014" s="333">
        <v>1.0</v>
      </c>
      <c r="V2014" s="195" t="str">
        <f t="shared" si="122"/>
        <v>10.1126--science.aac4716.pdf</v>
      </c>
      <c r="W2014" s="65" t="s">
        <v>3563</v>
      </c>
      <c r="X2014" s="51" t="str">
        <f t="array" ref="X2014"> if(iserror(MATCH(V2014, 'File Links'!C:C, 0)), "N/A", HYPERLINK(INDEX('File Links'!B:B, MATCH(V2014, 'File Links'!C:C, 0))))</f>
        <v>https://drive.google.com/file/d/1UMAh9VGta6ExS2-Lb6GkDF4fmnI2EMeM/view?usp=drivesdk</v>
      </c>
      <c r="Y2014" s="65"/>
      <c r="Z2014" s="65" t="s">
        <v>219</v>
      </c>
      <c r="AA2014" s="65" t="s">
        <v>12127</v>
      </c>
      <c r="AB2014" s="156" t="s">
        <v>12128</v>
      </c>
      <c r="AC2014" s="1918" t="s">
        <v>12129</v>
      </c>
      <c r="AD2014" s="65" t="s">
        <v>12130</v>
      </c>
      <c r="AE2014" s="333">
        <v>10.0</v>
      </c>
      <c r="AF2014" s="153">
        <v>103.0</v>
      </c>
      <c r="AG2014" s="65" t="s">
        <v>12131</v>
      </c>
      <c r="AH2014" s="65" t="s">
        <v>127</v>
      </c>
      <c r="AI2014" s="65" t="s">
        <v>625</v>
      </c>
      <c r="AJ2014" s="334">
        <v>1.0E-4</v>
      </c>
      <c r="AK2014" s="58" t="s">
        <v>128</v>
      </c>
      <c r="AL2014" s="58" t="s">
        <v>179</v>
      </c>
      <c r="AM2014" s="65" t="s">
        <v>134</v>
      </c>
      <c r="AN2014" s="1055" t="s">
        <v>131</v>
      </c>
      <c r="AO2014" s="153">
        <v>83.0</v>
      </c>
      <c r="AP2014" s="333">
        <v>-0.08</v>
      </c>
      <c r="AQ2014" s="65" t="s">
        <v>166</v>
      </c>
      <c r="AR2014" s="65" t="s">
        <v>125</v>
      </c>
      <c r="AS2014" s="333">
        <v>0.8</v>
      </c>
      <c r="AT2014" s="65" t="s">
        <v>165</v>
      </c>
      <c r="AU2014" s="65" t="s">
        <v>129</v>
      </c>
      <c r="AV2014" s="65" t="s">
        <v>134</v>
      </c>
      <c r="AW2014" s="432" t="s">
        <v>12132</v>
      </c>
      <c r="AX2014" s="65" t="s">
        <v>136</v>
      </c>
      <c r="AZ2014" s="65" t="s">
        <v>1434</v>
      </c>
    </row>
    <row r="2015">
      <c r="A2015" s="41">
        <v>2015.0</v>
      </c>
      <c r="B2015" s="65" t="s">
        <v>107</v>
      </c>
      <c r="C2015" s="59" t="s">
        <v>108</v>
      </c>
      <c r="D2015" s="59" t="s">
        <v>146</v>
      </c>
      <c r="F2015" s="156" t="s">
        <v>12117</v>
      </c>
      <c r="G2015" s="1441" t="s">
        <v>12118</v>
      </c>
      <c r="H2015" s="156" t="s">
        <v>12133</v>
      </c>
      <c r="I2015" s="526">
        <v>45690.0</v>
      </c>
      <c r="J2015" s="1368">
        <v>45693.0</v>
      </c>
      <c r="K2015" s="156" t="s">
        <v>12134</v>
      </c>
      <c r="L2015" s="65"/>
      <c r="M2015" s="1902" t="s">
        <v>12122</v>
      </c>
      <c r="N2015" s="434" t="s">
        <v>12123</v>
      </c>
      <c r="O2015" s="153">
        <v>3.0</v>
      </c>
      <c r="P2015" s="379" t="s">
        <v>12124</v>
      </c>
      <c r="Q2015" s="49" t="str">
        <f t="array" ref="Q2015"> if(iserror(MATCH(V2015, 'File Links'!C:C, 0)), "N/A", HYPERLINK(INDEX('File Links'!B:B, MATCH(P2015, 'File Links'!C:C, 0))))</f>
        <v>https://drive.google.com/file/d/1UTh20eT7TkvvPfQekHv-og8JNZ7R1WP8/view?usp=drivesdk</v>
      </c>
      <c r="R2015" s="156" t="s">
        <v>12125</v>
      </c>
      <c r="S2015" s="434" t="s">
        <v>10686</v>
      </c>
      <c r="T2015" s="65"/>
      <c r="U2015" s="333">
        <v>1.0</v>
      </c>
      <c r="V2015" s="195" t="str">
        <f t="shared" si="122"/>
        <v>10.1126--science.aac4716.pdf</v>
      </c>
      <c r="W2015" s="156" t="s">
        <v>3563</v>
      </c>
      <c r="X2015" s="51" t="str">
        <f t="array" ref="X2015"> if(iserror(MATCH(V2015, 'File Links'!C:C, 0)), "N/A", HYPERLINK(INDEX('File Links'!B:B, MATCH(V2015, 'File Links'!C:C, 0))))</f>
        <v>https://drive.google.com/file/d/1UMAh9VGta6ExS2-Lb6GkDF4fmnI2EMeM/view?usp=drivesdk</v>
      </c>
      <c r="Y2015" s="65"/>
      <c r="Z2015" s="156" t="s">
        <v>219</v>
      </c>
      <c r="AA2015" s="156" t="s">
        <v>4705</v>
      </c>
      <c r="AB2015" s="156" t="s">
        <v>12135</v>
      </c>
      <c r="AC2015" s="156" t="s">
        <v>12129</v>
      </c>
      <c r="AD2015" s="156" t="s">
        <v>12136</v>
      </c>
      <c r="AE2015" s="153">
        <v>10.0</v>
      </c>
      <c r="AF2015" s="153">
        <v>103.0</v>
      </c>
      <c r="AG2015" s="1911">
        <v>0.1433</v>
      </c>
      <c r="AH2015" s="1910" t="s">
        <v>132</v>
      </c>
      <c r="AI2015" s="156" t="s">
        <v>625</v>
      </c>
      <c r="AJ2015" s="706">
        <v>1.0E-4</v>
      </c>
      <c r="AK2015" s="54" t="s">
        <v>128</v>
      </c>
      <c r="AL2015" s="54" t="s">
        <v>179</v>
      </c>
      <c r="AM2015" s="1908" t="s">
        <v>130</v>
      </c>
      <c r="AN2015" s="1055" t="s">
        <v>131</v>
      </c>
      <c r="AO2015" s="333">
        <v>83.0</v>
      </c>
      <c r="AP2015" s="333">
        <v>-0.08</v>
      </c>
      <c r="AQ2015" s="156" t="s">
        <v>166</v>
      </c>
      <c r="AR2015" s="156" t="s">
        <v>125</v>
      </c>
      <c r="AS2015" s="153">
        <v>0.8</v>
      </c>
      <c r="AT2015" s="156" t="s">
        <v>165</v>
      </c>
      <c r="AU2015" s="156" t="s">
        <v>129</v>
      </c>
      <c r="AV2015" s="1908" t="s">
        <v>130</v>
      </c>
      <c r="AW2015" s="432" t="s">
        <v>12137</v>
      </c>
      <c r="AX2015" s="65" t="s">
        <v>144</v>
      </c>
      <c r="AZ2015" s="65" t="s">
        <v>1434</v>
      </c>
    </row>
    <row r="2016">
      <c r="A2016" s="41">
        <v>2016.0</v>
      </c>
      <c r="B2016" s="65" t="s">
        <v>107</v>
      </c>
      <c r="C2016" s="59" t="s">
        <v>108</v>
      </c>
      <c r="D2016" s="59" t="s">
        <v>1434</v>
      </c>
      <c r="F2016" s="156" t="s">
        <v>12138</v>
      </c>
      <c r="G2016" s="1441" t="s">
        <v>12139</v>
      </c>
      <c r="H2016" s="156" t="s">
        <v>12140</v>
      </c>
      <c r="I2016" s="526">
        <v>45690.0</v>
      </c>
      <c r="J2016" s="1368">
        <v>45693.0</v>
      </c>
      <c r="K2016" s="65"/>
      <c r="L2016" s="65"/>
      <c r="M2016" s="1902" t="s">
        <v>12141</v>
      </c>
      <c r="N2016" s="434" t="s">
        <v>12142</v>
      </c>
      <c r="O2016" s="333">
        <v>5.0</v>
      </c>
      <c r="P2016" s="379" t="s">
        <v>12143</v>
      </c>
      <c r="Q2016" s="49" t="str">
        <f t="array" ref="Q2016"> if(iserror(MATCH(V2016, 'File Links'!C:C, 0)), "N/A", HYPERLINK(INDEX('File Links'!B:B, MATCH(P2016, 'File Links'!C:C, 0))))</f>
        <v>https://drive.google.com/file/d/1EGlmFl81-d1oxiKpGgGytIRbyZhEQLuV/view?usp=drivesdk</v>
      </c>
      <c r="R2016" s="156" t="s">
        <v>12144</v>
      </c>
      <c r="S2016" s="434" t="s">
        <v>10686</v>
      </c>
      <c r="T2016" s="65"/>
      <c r="U2016" s="333"/>
      <c r="V2016" s="195" t="str">
        <f t="shared" si="122"/>
        <v>10.1126--science.aac4716.pdf</v>
      </c>
      <c r="W2016" s="65" t="s">
        <v>3563</v>
      </c>
      <c r="X2016" s="51" t="str">
        <f t="array" ref="X2016"> if(iserror(MATCH(V2016, 'File Links'!C:C, 0)), "N/A", HYPERLINK(INDEX('File Links'!B:B, MATCH(V2016, 'File Links'!C:C, 0))))</f>
        <v>https://drive.google.com/file/d/1UMAh9VGta6ExS2-Lb6GkDF4fmnI2EMeM/view?usp=drivesdk</v>
      </c>
      <c r="Y2016" s="65"/>
      <c r="Z2016" s="65" t="s">
        <v>219</v>
      </c>
      <c r="AA2016" s="65" t="s">
        <v>12145</v>
      </c>
      <c r="AB2016" s="156" t="s">
        <v>12146</v>
      </c>
      <c r="AC2016" s="156" t="s">
        <v>12147</v>
      </c>
      <c r="AD2016" s="65" t="s">
        <v>12148</v>
      </c>
      <c r="AE2016" s="333">
        <v>16.0</v>
      </c>
      <c r="AF2016" s="153">
        <v>186.0</v>
      </c>
      <c r="AG2016" s="333">
        <v>0.03</v>
      </c>
      <c r="AH2016" s="65" t="s">
        <v>132</v>
      </c>
      <c r="AI2016" s="65" t="s">
        <v>175</v>
      </c>
      <c r="AJ2016" s="334">
        <v>0.05</v>
      </c>
      <c r="AK2016" s="58" t="s">
        <v>128</v>
      </c>
      <c r="AL2016" s="58" t="s">
        <v>179</v>
      </c>
      <c r="AM2016" s="65" t="s">
        <v>134</v>
      </c>
      <c r="AN2016" s="1055" t="s">
        <v>131</v>
      </c>
      <c r="AO2016" s="333">
        <v>280.0</v>
      </c>
      <c r="AP2016" s="333">
        <v>0.001</v>
      </c>
      <c r="AQ2016" s="65" t="s">
        <v>132</v>
      </c>
      <c r="AR2016" s="65" t="s">
        <v>806</v>
      </c>
      <c r="AS2016" s="333">
        <v>0.54</v>
      </c>
      <c r="AT2016" s="65" t="s">
        <v>165</v>
      </c>
      <c r="AU2016" s="65" t="s">
        <v>179</v>
      </c>
      <c r="AV2016" s="65" t="s">
        <v>134</v>
      </c>
      <c r="AW2016" s="126" t="s">
        <v>131</v>
      </c>
      <c r="AX2016" s="65" t="s">
        <v>136</v>
      </c>
      <c r="AZ2016" s="65" t="s">
        <v>1434</v>
      </c>
    </row>
    <row r="2017">
      <c r="A2017" s="41">
        <v>2017.0</v>
      </c>
      <c r="B2017" s="65" t="s">
        <v>145</v>
      </c>
      <c r="C2017" s="59" t="s">
        <v>108</v>
      </c>
      <c r="D2017" s="59" t="s">
        <v>146</v>
      </c>
      <c r="F2017" s="156" t="s">
        <v>12138</v>
      </c>
      <c r="G2017" s="1441" t="s">
        <v>12139</v>
      </c>
      <c r="H2017" s="156" t="s">
        <v>12149</v>
      </c>
      <c r="I2017" s="526">
        <v>45690.0</v>
      </c>
      <c r="J2017" s="1368">
        <v>45693.0</v>
      </c>
      <c r="K2017" s="156" t="s">
        <v>12150</v>
      </c>
      <c r="L2017" s="65"/>
      <c r="M2017" s="1902" t="s">
        <v>12141</v>
      </c>
      <c r="N2017" s="434" t="s">
        <v>12142</v>
      </c>
      <c r="O2017" s="153">
        <v>5.0</v>
      </c>
      <c r="P2017" s="379" t="s">
        <v>12143</v>
      </c>
      <c r="Q2017" s="49" t="str">
        <f t="array" ref="Q2017"> if(iserror(MATCH(V2017, 'File Links'!C:C, 0)), "N/A", HYPERLINK(INDEX('File Links'!B:B, MATCH(P2017, 'File Links'!C:C, 0))))</f>
        <v>https://drive.google.com/file/d/1EGlmFl81-d1oxiKpGgGytIRbyZhEQLuV/view?usp=drivesdk</v>
      </c>
      <c r="R2017" s="156" t="s">
        <v>12144</v>
      </c>
      <c r="S2017" s="434" t="s">
        <v>10686</v>
      </c>
      <c r="T2017" s="65"/>
      <c r="U2017" s="333">
        <v>1.0</v>
      </c>
      <c r="V2017" s="195" t="str">
        <f t="shared" si="122"/>
        <v>10.1126--science.aac4716.pdf</v>
      </c>
      <c r="W2017" s="156" t="s">
        <v>3563</v>
      </c>
      <c r="X2017" s="51" t="str">
        <f t="array" ref="X2017"> if(iserror(MATCH(V2017, 'File Links'!C:C, 0)), "N/A", HYPERLINK(INDEX('File Links'!B:B, MATCH(V2017, 'File Links'!C:C, 0))))</f>
        <v>https://drive.google.com/file/d/1UMAh9VGta6ExS2-Lb6GkDF4fmnI2EMeM/view?usp=drivesdk</v>
      </c>
      <c r="Y2017" s="65"/>
      <c r="Z2017" s="156" t="s">
        <v>219</v>
      </c>
      <c r="AA2017" s="156" t="s">
        <v>12151</v>
      </c>
      <c r="AB2017" s="156" t="s">
        <v>12152</v>
      </c>
      <c r="AC2017" s="156" t="s">
        <v>12153</v>
      </c>
      <c r="AD2017" s="1903" t="s">
        <v>12148</v>
      </c>
      <c r="AE2017" s="333">
        <v>16.0</v>
      </c>
      <c r="AF2017" s="153">
        <v>186.0</v>
      </c>
      <c r="AG2017" s="333">
        <v>0.03</v>
      </c>
      <c r="AH2017" s="156" t="s">
        <v>132</v>
      </c>
      <c r="AI2017" s="65" t="s">
        <v>175</v>
      </c>
      <c r="AJ2017" s="334">
        <v>0.05</v>
      </c>
      <c r="AK2017" s="54" t="s">
        <v>128</v>
      </c>
      <c r="AL2017" s="54" t="s">
        <v>179</v>
      </c>
      <c r="AM2017" s="65" t="s">
        <v>134</v>
      </c>
      <c r="AN2017" s="1055" t="s">
        <v>131</v>
      </c>
      <c r="AO2017" s="333">
        <v>280.0</v>
      </c>
      <c r="AP2017" s="333">
        <v>0.001</v>
      </c>
      <c r="AQ2017" s="156" t="s">
        <v>132</v>
      </c>
      <c r="AR2017" s="156" t="s">
        <v>806</v>
      </c>
      <c r="AS2017" s="333">
        <v>0.54</v>
      </c>
      <c r="AT2017" s="156" t="s">
        <v>165</v>
      </c>
      <c r="AU2017" s="156" t="s">
        <v>179</v>
      </c>
      <c r="AV2017" s="65" t="s">
        <v>134</v>
      </c>
      <c r="AW2017" s="432" t="s">
        <v>12154</v>
      </c>
      <c r="AX2017" s="65" t="s">
        <v>136</v>
      </c>
      <c r="AZ2017" s="65" t="s">
        <v>1434</v>
      </c>
    </row>
    <row r="2018">
      <c r="A2018" s="41">
        <v>2018.0</v>
      </c>
      <c r="B2018" s="65" t="s">
        <v>145</v>
      </c>
      <c r="C2018" s="59" t="s">
        <v>108</v>
      </c>
      <c r="D2018" s="59" t="s">
        <v>1434</v>
      </c>
      <c r="F2018" s="156" t="s">
        <v>12155</v>
      </c>
      <c r="G2018" s="1441" t="s">
        <v>12156</v>
      </c>
      <c r="H2018" s="156" t="s">
        <v>12157</v>
      </c>
      <c r="I2018" s="526">
        <v>45690.0</v>
      </c>
      <c r="J2018" s="1368">
        <v>45693.0</v>
      </c>
      <c r="K2018" s="65"/>
      <c r="L2018" s="65"/>
      <c r="M2018" s="1902" t="s">
        <v>12158</v>
      </c>
      <c r="N2018" s="156" t="s">
        <v>12159</v>
      </c>
      <c r="O2018" s="333">
        <v>5.0</v>
      </c>
      <c r="P2018" s="379" t="s">
        <v>12160</v>
      </c>
      <c r="Q2018" s="49" t="str">
        <f t="array" ref="Q2018"> if(iserror(MATCH(V2018, 'File Links'!C:C, 0)), "N/A", HYPERLINK(INDEX('File Links'!B:B, MATCH(P2018, 'File Links'!C:C, 0))))</f>
        <v>https://drive.google.com/file/d/1y8mrTT7_nUvHiOOj_Est9-y7QPFPn7bM/view?usp=drivesdk</v>
      </c>
      <c r="R2018" s="156" t="s">
        <v>12161</v>
      </c>
      <c r="S2018" s="434" t="s">
        <v>10686</v>
      </c>
      <c r="T2018" s="126"/>
      <c r="U2018" s="333">
        <v>1.0</v>
      </c>
      <c r="V2018" s="195" t="str">
        <f t="shared" si="122"/>
        <v>10.1126--science.aac4716.pdf</v>
      </c>
      <c r="W2018" s="65" t="s">
        <v>3563</v>
      </c>
      <c r="X2018" s="51" t="str">
        <f t="array" ref="X2018"> if(iserror(MATCH(V2018, 'File Links'!C:C, 0)), "N/A", HYPERLINK(INDEX('File Links'!B:B, MATCH(V2018, 'File Links'!C:C, 0))))</f>
        <v>https://drive.google.com/file/d/1UMAh9VGta6ExS2-Lb6GkDF4fmnI2EMeM/view?usp=drivesdk</v>
      </c>
      <c r="Y2018" s="65"/>
      <c r="Z2018" s="65" t="s">
        <v>219</v>
      </c>
      <c r="AA2018" s="65" t="s">
        <v>12162</v>
      </c>
      <c r="AB2018" s="156" t="s">
        <v>12163</v>
      </c>
      <c r="AC2018" s="1907" t="s">
        <v>12164</v>
      </c>
      <c r="AD2018" s="65" t="s">
        <v>12165</v>
      </c>
      <c r="AE2018" s="333">
        <v>18.0</v>
      </c>
      <c r="AF2018" s="153">
        <v>153.0</v>
      </c>
      <c r="AG2018" s="333">
        <v>0.68</v>
      </c>
      <c r="AH2018" s="65" t="s">
        <v>980</v>
      </c>
      <c r="AI2018" s="65" t="s">
        <v>2805</v>
      </c>
      <c r="AJ2018" s="334">
        <v>0.001</v>
      </c>
      <c r="AK2018" s="58" t="s">
        <v>128</v>
      </c>
      <c r="AL2018" s="58" t="s">
        <v>129</v>
      </c>
      <c r="AM2018" s="65" t="s">
        <v>134</v>
      </c>
      <c r="AN2018" s="1055" t="s">
        <v>131</v>
      </c>
      <c r="AO2018" s="153">
        <v>216.0</v>
      </c>
      <c r="AP2018" s="333">
        <v>0.7</v>
      </c>
      <c r="AQ2018" s="65" t="s">
        <v>980</v>
      </c>
      <c r="AR2018" s="65" t="s">
        <v>806</v>
      </c>
      <c r="AS2018" s="333">
        <v>1.0E-4</v>
      </c>
      <c r="AT2018" s="65" t="s">
        <v>128</v>
      </c>
      <c r="AU2018" s="65" t="s">
        <v>179</v>
      </c>
      <c r="AV2018" s="65" t="s">
        <v>130</v>
      </c>
      <c r="AW2018" s="432" t="s">
        <v>12166</v>
      </c>
      <c r="AX2018" s="65" t="s">
        <v>136</v>
      </c>
      <c r="AZ2018" s="65" t="s">
        <v>1434</v>
      </c>
    </row>
    <row r="2019">
      <c r="A2019" s="41">
        <v>2019.0</v>
      </c>
      <c r="B2019" s="65" t="s">
        <v>107</v>
      </c>
      <c r="C2019" s="59" t="s">
        <v>108</v>
      </c>
      <c r="D2019" s="59" t="s">
        <v>146</v>
      </c>
      <c r="F2019" s="156" t="s">
        <v>12155</v>
      </c>
      <c r="G2019" s="1441" t="s">
        <v>12156</v>
      </c>
      <c r="H2019" s="156" t="s">
        <v>146</v>
      </c>
      <c r="I2019" s="526">
        <v>45690.0</v>
      </c>
      <c r="J2019" s="1368">
        <v>45693.0</v>
      </c>
      <c r="K2019" s="156" t="s">
        <v>12167</v>
      </c>
      <c r="L2019" s="65"/>
      <c r="M2019" s="1902" t="s">
        <v>12168</v>
      </c>
      <c r="N2019" s="156" t="s">
        <v>12159</v>
      </c>
      <c r="O2019" s="153">
        <v>5.0</v>
      </c>
      <c r="P2019" s="379" t="s">
        <v>12160</v>
      </c>
      <c r="Q2019" s="49" t="str">
        <f t="array" ref="Q2019"> if(iserror(MATCH(V2019, 'File Links'!C:C, 0)), "N/A", HYPERLINK(INDEX('File Links'!B:B, MATCH(P2019, 'File Links'!C:C, 0))))</f>
        <v>https://drive.google.com/file/d/1y8mrTT7_nUvHiOOj_Est9-y7QPFPn7bM/view?usp=drivesdk</v>
      </c>
      <c r="R2019" s="156" t="s">
        <v>12161</v>
      </c>
      <c r="S2019" s="434" t="s">
        <v>10686</v>
      </c>
      <c r="T2019" s="126"/>
      <c r="U2019" s="333">
        <v>1.0</v>
      </c>
      <c r="V2019" s="195" t="str">
        <f t="shared" si="122"/>
        <v>10.1126--science.aac4716.pdf</v>
      </c>
      <c r="W2019" s="156" t="s">
        <v>3563</v>
      </c>
      <c r="X2019" s="51" t="str">
        <f t="array" ref="X2019"> if(iserror(MATCH(V2019, 'File Links'!C:C, 0)), "N/A", HYPERLINK(INDEX('File Links'!B:B, MATCH(V2019, 'File Links'!C:C, 0))))</f>
        <v>https://drive.google.com/file/d/1UMAh9VGta6ExS2-Lb6GkDF4fmnI2EMeM/view?usp=drivesdk</v>
      </c>
      <c r="Y2019" s="65"/>
      <c r="Z2019" s="156" t="s">
        <v>219</v>
      </c>
      <c r="AA2019" s="156" t="s">
        <v>12169</v>
      </c>
      <c r="AB2019" s="156" t="s">
        <v>12170</v>
      </c>
      <c r="AC2019" s="156" t="s">
        <v>12164</v>
      </c>
      <c r="AD2019" s="156" t="s">
        <v>12171</v>
      </c>
      <c r="AE2019" s="153">
        <v>18.0</v>
      </c>
      <c r="AF2019" s="153">
        <v>153.0</v>
      </c>
      <c r="AG2019" s="153">
        <v>0.68</v>
      </c>
      <c r="AH2019" s="1910" t="s">
        <v>354</v>
      </c>
      <c r="AI2019" s="156" t="s">
        <v>2805</v>
      </c>
      <c r="AJ2019" s="334">
        <v>0.001</v>
      </c>
      <c r="AK2019" s="54" t="s">
        <v>128</v>
      </c>
      <c r="AL2019" s="54" t="s">
        <v>129</v>
      </c>
      <c r="AM2019" s="65" t="s">
        <v>134</v>
      </c>
      <c r="AN2019" s="1055" t="s">
        <v>131</v>
      </c>
      <c r="AO2019" s="153">
        <v>216.0</v>
      </c>
      <c r="AP2019" s="153">
        <v>0.7</v>
      </c>
      <c r="AQ2019" s="1910" t="s">
        <v>354</v>
      </c>
      <c r="AR2019" s="156" t="s">
        <v>806</v>
      </c>
      <c r="AS2019" s="153">
        <v>1.0E-4</v>
      </c>
      <c r="AT2019" s="156" t="s">
        <v>128</v>
      </c>
      <c r="AU2019" s="156" t="s">
        <v>179</v>
      </c>
      <c r="AV2019" s="65" t="s">
        <v>130</v>
      </c>
      <c r="AW2019" s="432" t="s">
        <v>12166</v>
      </c>
      <c r="AX2019" s="1908" t="s">
        <v>144</v>
      </c>
      <c r="AZ2019" s="65" t="s">
        <v>1434</v>
      </c>
    </row>
    <row r="2020">
      <c r="A2020" s="41">
        <v>2020.0</v>
      </c>
      <c r="B2020" s="65" t="s">
        <v>145</v>
      </c>
      <c r="C2020" s="59" t="s">
        <v>108</v>
      </c>
      <c r="D2020" s="59" t="s">
        <v>1434</v>
      </c>
      <c r="F2020" s="156" t="s">
        <v>12172</v>
      </c>
      <c r="G2020" s="1441" t="s">
        <v>12173</v>
      </c>
      <c r="H2020" s="156" t="s">
        <v>12174</v>
      </c>
      <c r="I2020" s="526">
        <v>45690.0</v>
      </c>
      <c r="J2020" s="1368">
        <v>45693.0</v>
      </c>
      <c r="K2020" s="65"/>
      <c r="L2020" s="65" t="s">
        <v>12175</v>
      </c>
      <c r="M2020" s="1902" t="s">
        <v>12176</v>
      </c>
      <c r="N2020" s="434" t="s">
        <v>12177</v>
      </c>
      <c r="O2020" s="333">
        <v>1.0</v>
      </c>
      <c r="P2020" s="379" t="s">
        <v>12178</v>
      </c>
      <c r="Q2020" s="49" t="str">
        <f t="array" ref="Q2020"> if(iserror(MATCH(V2020, 'File Links'!C:C, 0)), "N/A", HYPERLINK(INDEX('File Links'!B:B, MATCH(P2020, 'File Links'!C:C, 0))))</f>
        <v>https://drive.google.com/file/d/16CJXCd6Rzqik5rD_iyUPgxYh8MalzPm4/view?usp=drivesdk</v>
      </c>
      <c r="R2020" s="156" t="s">
        <v>12179</v>
      </c>
      <c r="S2020" s="434" t="s">
        <v>10686</v>
      </c>
      <c r="T2020" s="65"/>
      <c r="U2020" s="333">
        <v>1.0</v>
      </c>
      <c r="V2020" s="195" t="str">
        <f t="shared" si="122"/>
        <v>10.1126--science.aac4716.pdf</v>
      </c>
      <c r="W2020" s="65" t="s">
        <v>3563</v>
      </c>
      <c r="X2020" s="51" t="str">
        <f t="array" ref="X2020"> if(iserror(MATCH(V2020, 'File Links'!C:C, 0)), "N/A", HYPERLINK(INDEX('File Links'!B:B, MATCH(V2020, 'File Links'!C:C, 0))))</f>
        <v>https://drive.google.com/file/d/1UMAh9VGta6ExS2-Lb6GkDF4fmnI2EMeM/view?usp=drivesdk</v>
      </c>
      <c r="Y2020" s="65"/>
      <c r="Z2020" s="65" t="s">
        <v>141</v>
      </c>
      <c r="AA2020" s="65" t="s">
        <v>12180</v>
      </c>
      <c r="AB2020" s="156" t="s">
        <v>12181</v>
      </c>
      <c r="AC2020" s="156" t="s">
        <v>12182</v>
      </c>
      <c r="AD2020" s="65" t="s">
        <v>12183</v>
      </c>
      <c r="AE2020" s="333">
        <v>4.0</v>
      </c>
      <c r="AF2020" s="153">
        <v>24.0</v>
      </c>
      <c r="AG2020" s="65" t="s">
        <v>12184</v>
      </c>
      <c r="AH2020" s="65" t="s">
        <v>127</v>
      </c>
      <c r="AI2020" s="65" t="s">
        <v>843</v>
      </c>
      <c r="AJ2020" s="334">
        <v>0.002</v>
      </c>
      <c r="AK2020" s="58" t="s">
        <v>165</v>
      </c>
      <c r="AL2020" s="58" t="s">
        <v>129</v>
      </c>
      <c r="AM2020" s="65" t="s">
        <v>130</v>
      </c>
      <c r="AN2020" s="1055" t="s">
        <v>131</v>
      </c>
      <c r="AO2020" s="333">
        <v>32.0</v>
      </c>
      <c r="AP2020" s="65" t="s">
        <v>12185</v>
      </c>
      <c r="AQ2020" s="65" t="s">
        <v>127</v>
      </c>
      <c r="AR2020" s="65" t="s">
        <v>133</v>
      </c>
      <c r="AS2020" s="333">
        <v>0.023</v>
      </c>
      <c r="AT2020" s="65" t="s">
        <v>165</v>
      </c>
      <c r="AU2020" s="65" t="s">
        <v>129</v>
      </c>
      <c r="AV2020" s="65" t="s">
        <v>130</v>
      </c>
      <c r="AW2020" s="432" t="s">
        <v>12186</v>
      </c>
      <c r="AX2020" s="65" t="s">
        <v>136</v>
      </c>
      <c r="AZ2020" s="65" t="s">
        <v>1434</v>
      </c>
    </row>
    <row r="2021">
      <c r="A2021" s="41">
        <v>2021.0</v>
      </c>
      <c r="B2021" s="65" t="s">
        <v>107</v>
      </c>
      <c r="C2021" s="59" t="s">
        <v>108</v>
      </c>
      <c r="D2021" s="59" t="s">
        <v>146</v>
      </c>
      <c r="F2021" s="156" t="s">
        <v>12172</v>
      </c>
      <c r="G2021" s="1441" t="s">
        <v>12173</v>
      </c>
      <c r="H2021" s="156" t="s">
        <v>146</v>
      </c>
      <c r="I2021" s="526">
        <v>45690.0</v>
      </c>
      <c r="J2021" s="1368">
        <v>45693.0</v>
      </c>
      <c r="K2021" s="156" t="s">
        <v>12187</v>
      </c>
      <c r="L2021" s="65"/>
      <c r="M2021" s="1902" t="s">
        <v>12176</v>
      </c>
      <c r="N2021" s="434" t="s">
        <v>12177</v>
      </c>
      <c r="O2021" s="153">
        <v>1.0</v>
      </c>
      <c r="P2021" s="379" t="s">
        <v>12178</v>
      </c>
      <c r="Q2021" s="49" t="str">
        <f t="array" ref="Q2021"> if(iserror(MATCH(V2021, 'File Links'!C:C, 0)), "N/A", HYPERLINK(INDEX('File Links'!B:B, MATCH(P2021, 'File Links'!C:C, 0))))</f>
        <v>https://drive.google.com/file/d/16CJXCd6Rzqik5rD_iyUPgxYh8MalzPm4/view?usp=drivesdk</v>
      </c>
      <c r="R2021" s="156" t="s">
        <v>12179</v>
      </c>
      <c r="S2021" s="434" t="s">
        <v>10686</v>
      </c>
      <c r="T2021" s="65"/>
      <c r="U2021" s="333">
        <v>1.0</v>
      </c>
      <c r="V2021" s="195" t="str">
        <f t="shared" si="122"/>
        <v>10.1126--science.aac4716.pdf</v>
      </c>
      <c r="W2021" s="156" t="s">
        <v>157</v>
      </c>
      <c r="X2021" s="51" t="str">
        <f t="array" ref="X2021"> if(iserror(MATCH(V2021, 'File Links'!C:C, 0)), "N/A", HYPERLINK(INDEX('File Links'!B:B, MATCH(V2021, 'File Links'!C:C, 0))))</f>
        <v>https://drive.google.com/file/d/1UMAh9VGta6ExS2-Lb6GkDF4fmnI2EMeM/view?usp=drivesdk</v>
      </c>
      <c r="Y2021" s="65"/>
      <c r="Z2021" s="156" t="s">
        <v>141</v>
      </c>
      <c r="AA2021" s="156" t="s">
        <v>4045</v>
      </c>
      <c r="AB2021" s="156" t="s">
        <v>12188</v>
      </c>
      <c r="AC2021" s="156" t="s">
        <v>12189</v>
      </c>
      <c r="AD2021" s="156" t="s">
        <v>12190</v>
      </c>
      <c r="AE2021" s="153">
        <v>4.0</v>
      </c>
      <c r="AF2021" s="153">
        <v>24.0</v>
      </c>
      <c r="AG2021" s="153" t="s">
        <v>12184</v>
      </c>
      <c r="AH2021" s="156" t="s">
        <v>127</v>
      </c>
      <c r="AI2021" s="156" t="s">
        <v>843</v>
      </c>
      <c r="AJ2021" s="706">
        <v>0.002</v>
      </c>
      <c r="AK2021" s="54" t="s">
        <v>165</v>
      </c>
      <c r="AL2021" s="54" t="s">
        <v>129</v>
      </c>
      <c r="AM2021" s="65" t="s">
        <v>130</v>
      </c>
      <c r="AN2021" s="1055" t="s">
        <v>131</v>
      </c>
      <c r="AO2021" s="333">
        <v>32.0</v>
      </c>
      <c r="AP2021" s="333" t="s">
        <v>12185</v>
      </c>
      <c r="AQ2021" s="156" t="s">
        <v>127</v>
      </c>
      <c r="AR2021" s="156" t="s">
        <v>133</v>
      </c>
      <c r="AS2021" s="153">
        <v>0.023</v>
      </c>
      <c r="AT2021" s="156" t="s">
        <v>165</v>
      </c>
      <c r="AU2021" s="156" t="s">
        <v>129</v>
      </c>
      <c r="AV2021" s="65" t="s">
        <v>130</v>
      </c>
      <c r="AW2021" s="432" t="s">
        <v>12186</v>
      </c>
      <c r="AX2021" s="1908" t="s">
        <v>144</v>
      </c>
      <c r="AZ2021" s="65" t="s">
        <v>1434</v>
      </c>
    </row>
    <row r="2022">
      <c r="A2022" s="41">
        <v>2022.0</v>
      </c>
      <c r="B2022" s="65" t="s">
        <v>107</v>
      </c>
      <c r="C2022" s="59" t="s">
        <v>108</v>
      </c>
      <c r="D2022" s="59" t="s">
        <v>1434</v>
      </c>
      <c r="F2022" s="156" t="s">
        <v>12191</v>
      </c>
      <c r="G2022" s="1441" t="s">
        <v>12192</v>
      </c>
      <c r="H2022" s="156" t="s">
        <v>12193</v>
      </c>
      <c r="I2022" s="526">
        <v>45690.0</v>
      </c>
      <c r="J2022" s="1368">
        <v>45693.0</v>
      </c>
      <c r="K2022" s="65" t="s">
        <v>12194</v>
      </c>
      <c r="L2022" s="65"/>
      <c r="M2022" s="1902" t="s">
        <v>12195</v>
      </c>
      <c r="N2022" s="156" t="s">
        <v>12196</v>
      </c>
      <c r="O2022" s="333">
        <v>2.0</v>
      </c>
      <c r="P2022" s="379" t="s">
        <v>12197</v>
      </c>
      <c r="Q2022" s="49" t="str">
        <f t="array" ref="Q2022"> if(iserror(MATCH(V2022, 'File Links'!C:C, 0)), "N/A", HYPERLINK(INDEX('File Links'!B:B, MATCH(P2022, 'File Links'!C:C, 0))))</f>
        <v>https://drive.google.com/file/d/1FHV-u9hbFTbf5tQRw4AZBWXvlnvbsJuW/view?usp=drivesdk</v>
      </c>
      <c r="R2022" s="65" t="s">
        <v>12198</v>
      </c>
      <c r="S2022" s="434" t="s">
        <v>10686</v>
      </c>
      <c r="T2022" s="126"/>
      <c r="U2022" s="65"/>
      <c r="V2022" s="195" t="str">
        <f t="shared" si="122"/>
        <v>10.1126--science.aac4716.pdf</v>
      </c>
      <c r="W2022" s="65" t="s">
        <v>157</v>
      </c>
      <c r="X2022" s="51" t="str">
        <f t="array" ref="X2022"> if(iserror(MATCH(V2022, 'File Links'!C:C, 0)), "N/A", HYPERLINK(INDEX('File Links'!B:B, MATCH(V2022, 'File Links'!C:C, 0))))</f>
        <v>https://drive.google.com/file/d/1UMAh9VGta6ExS2-Lb6GkDF4fmnI2EMeM/view?usp=drivesdk</v>
      </c>
      <c r="Y2022" s="65"/>
      <c r="Z2022" s="65" t="s">
        <v>219</v>
      </c>
      <c r="AA2022" s="65" t="s">
        <v>12199</v>
      </c>
      <c r="AB2022" s="65" t="s">
        <v>12200</v>
      </c>
      <c r="AC2022" s="65" t="s">
        <v>12201</v>
      </c>
      <c r="AD2022" s="65" t="s">
        <v>12202</v>
      </c>
      <c r="AE2022" s="333">
        <v>7.0</v>
      </c>
      <c r="AF2022" s="333">
        <v>110.0</v>
      </c>
      <c r="AG2022" s="65" t="s">
        <v>12203</v>
      </c>
      <c r="AH2022" s="65" t="s">
        <v>127</v>
      </c>
      <c r="AI2022" s="65" t="s">
        <v>125</v>
      </c>
      <c r="AJ2022" s="334">
        <v>0.05</v>
      </c>
      <c r="AK2022" s="58" t="s">
        <v>128</v>
      </c>
      <c r="AL2022" s="58" t="s">
        <v>129</v>
      </c>
      <c r="AM2022" s="65" t="s">
        <v>130</v>
      </c>
      <c r="AN2022" s="1055" t="s">
        <v>131</v>
      </c>
      <c r="AO2022" s="333">
        <v>222.0</v>
      </c>
      <c r="AP2022" s="333">
        <v>0.01</v>
      </c>
      <c r="AQ2022" s="65" t="s">
        <v>166</v>
      </c>
      <c r="AR2022" s="65" t="s">
        <v>210</v>
      </c>
      <c r="AS2022" s="333">
        <v>0.94</v>
      </c>
      <c r="AT2022" s="65" t="s">
        <v>165</v>
      </c>
      <c r="AU2022" s="65" t="s">
        <v>129</v>
      </c>
      <c r="AV2022" s="65" t="s">
        <v>130</v>
      </c>
      <c r="AW2022" s="126" t="s">
        <v>131</v>
      </c>
      <c r="AX2022" s="65" t="s">
        <v>136</v>
      </c>
      <c r="AZ2022" s="65" t="s">
        <v>1434</v>
      </c>
    </row>
    <row r="2023">
      <c r="A2023" s="41">
        <v>2023.0</v>
      </c>
      <c r="B2023" s="65" t="s">
        <v>145</v>
      </c>
      <c r="C2023" s="59" t="s">
        <v>108</v>
      </c>
      <c r="D2023" s="59" t="s">
        <v>146</v>
      </c>
      <c r="F2023" s="156" t="s">
        <v>12191</v>
      </c>
      <c r="G2023" s="1441" t="s">
        <v>12204</v>
      </c>
      <c r="H2023" s="156" t="s">
        <v>146</v>
      </c>
      <c r="I2023" s="526">
        <v>45690.0</v>
      </c>
      <c r="J2023" s="1368">
        <v>45693.0</v>
      </c>
      <c r="K2023" s="156" t="s">
        <v>12205</v>
      </c>
      <c r="L2023" s="65" t="s">
        <v>12206</v>
      </c>
      <c r="M2023" s="1902" t="s">
        <v>12195</v>
      </c>
      <c r="N2023" s="156" t="s">
        <v>12196</v>
      </c>
      <c r="O2023" s="153">
        <v>2.0</v>
      </c>
      <c r="P2023" s="379" t="s">
        <v>12197</v>
      </c>
      <c r="Q2023" s="49" t="str">
        <f t="array" ref="Q2023"> if(iserror(MATCH(V2023, 'File Links'!C:C, 0)), "N/A", HYPERLINK(INDEX('File Links'!B:B, MATCH(P2023, 'File Links'!C:C, 0))))</f>
        <v>https://drive.google.com/file/d/1FHV-u9hbFTbf5tQRw4AZBWXvlnvbsJuW/view?usp=drivesdk</v>
      </c>
      <c r="R2023" s="156" t="s">
        <v>12198</v>
      </c>
      <c r="S2023" s="434" t="s">
        <v>10686</v>
      </c>
      <c r="T2023" s="126"/>
      <c r="U2023" s="333">
        <v>1.0</v>
      </c>
      <c r="V2023" s="195" t="str">
        <f t="shared" si="122"/>
        <v>10.1126--science.aac4716.pdf</v>
      </c>
      <c r="W2023" s="156" t="s">
        <v>157</v>
      </c>
      <c r="X2023" s="51" t="str">
        <f t="array" ref="X2023"> if(iserror(MATCH(V2023, 'File Links'!C:C, 0)), "N/A", HYPERLINK(INDEX('File Links'!B:B, MATCH(V2023, 'File Links'!C:C, 0))))</f>
        <v>https://drive.google.com/file/d/1UMAh9VGta6ExS2-Lb6GkDF4fmnI2EMeM/view?usp=drivesdk</v>
      </c>
      <c r="Y2023" s="65"/>
      <c r="Z2023" s="156" t="s">
        <v>219</v>
      </c>
      <c r="AA2023" s="1903" t="s">
        <v>12199</v>
      </c>
      <c r="AB2023" s="156" t="s">
        <v>12207</v>
      </c>
      <c r="AC2023" s="156" t="s">
        <v>12208</v>
      </c>
      <c r="AD2023" s="1903" t="s">
        <v>12202</v>
      </c>
      <c r="AE2023" s="153">
        <v>7.0</v>
      </c>
      <c r="AF2023" s="153">
        <v>110.0</v>
      </c>
      <c r="AG2023" s="156" t="s">
        <v>12203</v>
      </c>
      <c r="AH2023" s="156" t="s">
        <v>127</v>
      </c>
      <c r="AI2023" s="156" t="s">
        <v>125</v>
      </c>
      <c r="AJ2023" s="334">
        <v>0.05</v>
      </c>
      <c r="AK2023" s="54" t="s">
        <v>128</v>
      </c>
      <c r="AL2023" s="54" t="s">
        <v>129</v>
      </c>
      <c r="AM2023" s="65" t="s">
        <v>130</v>
      </c>
      <c r="AN2023" s="1055" t="s">
        <v>131</v>
      </c>
      <c r="AO2023" s="153">
        <v>222.0</v>
      </c>
      <c r="AP2023" s="153">
        <v>0.01</v>
      </c>
      <c r="AQ2023" s="156" t="s">
        <v>166</v>
      </c>
      <c r="AR2023" s="156" t="s">
        <v>210</v>
      </c>
      <c r="AS2023" s="153">
        <v>0.94</v>
      </c>
      <c r="AT2023" s="156" t="s">
        <v>165</v>
      </c>
      <c r="AU2023" s="156" t="s">
        <v>129</v>
      </c>
      <c r="AV2023" s="65" t="s">
        <v>130</v>
      </c>
      <c r="AW2023" s="432" t="s">
        <v>12209</v>
      </c>
      <c r="AX2023" s="65" t="s">
        <v>136</v>
      </c>
      <c r="AZ2023" s="65" t="s">
        <v>1434</v>
      </c>
    </row>
    <row r="2024">
      <c r="A2024" s="41">
        <v>2024.0</v>
      </c>
      <c r="B2024" s="65" t="s">
        <v>107</v>
      </c>
      <c r="C2024" s="59" t="s">
        <v>108</v>
      </c>
      <c r="D2024" s="59" t="s">
        <v>1434</v>
      </c>
      <c r="F2024" s="156" t="s">
        <v>12210</v>
      </c>
      <c r="G2024" s="1441" t="s">
        <v>12211</v>
      </c>
      <c r="H2024" s="156" t="s">
        <v>12212</v>
      </c>
      <c r="I2024" s="526">
        <v>45690.0</v>
      </c>
      <c r="J2024" s="1368">
        <v>45693.0</v>
      </c>
      <c r="K2024" s="65" t="s">
        <v>12213</v>
      </c>
      <c r="L2024" s="65"/>
      <c r="M2024" s="1902" t="s">
        <v>12214</v>
      </c>
      <c r="N2024" s="156" t="s">
        <v>7868</v>
      </c>
      <c r="O2024" s="333">
        <v>2.0</v>
      </c>
      <c r="P2024" s="379" t="s">
        <v>7869</v>
      </c>
      <c r="Q2024" s="49" t="str">
        <f t="array" ref="Q2024"> if(iserror(MATCH(V2024, 'File Links'!C:C, 0)), "N/A", HYPERLINK(INDEX('File Links'!B:B, MATCH(P2024, 'File Links'!C:C, 0))))</f>
        <v>https://drive.google.com/file/d/12hPE3_ROkrr-EwAg8DQR8e8OYrtwuoYT/view?usp=drivesdk</v>
      </c>
      <c r="R2024" s="156" t="s">
        <v>12215</v>
      </c>
      <c r="S2024" s="434" t="s">
        <v>10686</v>
      </c>
      <c r="T2024" s="126"/>
      <c r="U2024" s="65"/>
      <c r="V2024" s="195" t="str">
        <f t="shared" si="122"/>
        <v>10.1126--science.aac4716.pdf</v>
      </c>
      <c r="W2024" s="65" t="s">
        <v>3563</v>
      </c>
      <c r="X2024" s="51" t="str">
        <f t="array" ref="X2024"> if(iserror(MATCH(V2024, 'File Links'!C:C, 0)), "N/A", HYPERLINK(INDEX('File Links'!B:B, MATCH(V2024, 'File Links'!C:C, 0))))</f>
        <v>https://drive.google.com/file/d/1UMAh9VGta6ExS2-Lb6GkDF4fmnI2EMeM/view?usp=drivesdk</v>
      </c>
      <c r="Y2024" s="65"/>
      <c r="Z2024" s="65" t="s">
        <v>219</v>
      </c>
      <c r="AA2024" s="65" t="s">
        <v>12216</v>
      </c>
      <c r="AB2024" s="156" t="s">
        <v>12217</v>
      </c>
      <c r="AC2024" s="156" t="s">
        <v>12218</v>
      </c>
      <c r="AD2024" s="65" t="s">
        <v>12219</v>
      </c>
      <c r="AE2024" s="333">
        <v>9.0</v>
      </c>
      <c r="AF2024" s="153">
        <v>71.0</v>
      </c>
      <c r="AG2024" s="65" t="s">
        <v>7887</v>
      </c>
      <c r="AH2024" s="65" t="s">
        <v>127</v>
      </c>
      <c r="AI2024" s="65" t="s">
        <v>621</v>
      </c>
      <c r="AJ2024" s="334">
        <v>0.02</v>
      </c>
      <c r="AK2024" s="58" t="s">
        <v>128</v>
      </c>
      <c r="AL2024" s="58" t="s">
        <v>179</v>
      </c>
      <c r="AM2024" s="65" t="s">
        <v>130</v>
      </c>
      <c r="AN2024" s="1055" t="s">
        <v>131</v>
      </c>
      <c r="AO2024" s="153">
        <v>148.0</v>
      </c>
      <c r="AP2024" s="333">
        <v>0.15</v>
      </c>
      <c r="AQ2024" s="65" t="s">
        <v>166</v>
      </c>
      <c r="AR2024" s="65" t="s">
        <v>806</v>
      </c>
      <c r="AS2024" s="333">
        <v>0.37</v>
      </c>
      <c r="AT2024" s="65" t="s">
        <v>328</v>
      </c>
      <c r="AU2024" s="65" t="s">
        <v>179</v>
      </c>
      <c r="AV2024" s="65" t="s">
        <v>130</v>
      </c>
      <c r="AW2024" s="126" t="s">
        <v>131</v>
      </c>
      <c r="AX2024" s="65" t="s">
        <v>144</v>
      </c>
      <c r="AZ2024" s="65" t="s">
        <v>1434</v>
      </c>
    </row>
    <row r="2025">
      <c r="A2025" s="41">
        <v>2025.0</v>
      </c>
      <c r="B2025" s="65" t="s">
        <v>145</v>
      </c>
      <c r="C2025" s="59" t="s">
        <v>108</v>
      </c>
      <c r="D2025" s="59" t="s">
        <v>146</v>
      </c>
      <c r="F2025" s="156" t="s">
        <v>12210</v>
      </c>
      <c r="G2025" s="1441" t="s">
        <v>12220</v>
      </c>
      <c r="H2025" s="156" t="s">
        <v>146</v>
      </c>
      <c r="I2025" s="526">
        <v>45690.0</v>
      </c>
      <c r="J2025" s="1368">
        <v>45693.0</v>
      </c>
      <c r="K2025" s="156" t="s">
        <v>12221</v>
      </c>
      <c r="L2025" s="65"/>
      <c r="M2025" s="1902" t="s">
        <v>12214</v>
      </c>
      <c r="N2025" s="156" t="s">
        <v>7868</v>
      </c>
      <c r="O2025" s="153">
        <v>2.0</v>
      </c>
      <c r="P2025" s="379" t="s">
        <v>7869</v>
      </c>
      <c r="Q2025" s="49" t="str">
        <f t="array" ref="Q2025"> if(iserror(MATCH(V2025, 'File Links'!C:C, 0)), "N/A", HYPERLINK(INDEX('File Links'!B:B, MATCH(P2025, 'File Links'!C:C, 0))))</f>
        <v>https://drive.google.com/file/d/12hPE3_ROkrr-EwAg8DQR8e8OYrtwuoYT/view?usp=drivesdk</v>
      </c>
      <c r="R2025" s="156" t="s">
        <v>12215</v>
      </c>
      <c r="S2025" s="434" t="s">
        <v>10686</v>
      </c>
      <c r="T2025" s="126"/>
      <c r="U2025" s="333">
        <v>1.0</v>
      </c>
      <c r="V2025" s="195" t="str">
        <f t="shared" si="122"/>
        <v>10.1126--science.aac4716.pdf</v>
      </c>
      <c r="W2025" s="156" t="s">
        <v>3563</v>
      </c>
      <c r="X2025" s="51" t="str">
        <f t="array" ref="X2025"> if(iserror(MATCH(V2025, 'File Links'!C:C, 0)), "N/A", HYPERLINK(INDEX('File Links'!B:B, MATCH(V2025, 'File Links'!C:C, 0))))</f>
        <v>https://drive.google.com/file/d/1UMAh9VGta6ExS2-Lb6GkDF4fmnI2EMeM/view?usp=drivesdk</v>
      </c>
      <c r="Y2025" s="65"/>
      <c r="Z2025" s="156" t="s">
        <v>219</v>
      </c>
      <c r="AA2025" s="156" t="s">
        <v>12216</v>
      </c>
      <c r="AB2025" s="156" t="s">
        <v>12222</v>
      </c>
      <c r="AC2025" s="156" t="s">
        <v>12223</v>
      </c>
      <c r="AD2025" s="156" t="s">
        <v>12224</v>
      </c>
      <c r="AE2025" s="153">
        <v>9.0</v>
      </c>
      <c r="AF2025" s="153">
        <v>71.0</v>
      </c>
      <c r="AG2025" s="156" t="s">
        <v>7887</v>
      </c>
      <c r="AH2025" s="156" t="s">
        <v>127</v>
      </c>
      <c r="AI2025" s="156" t="s">
        <v>621</v>
      </c>
      <c r="AJ2025" s="334">
        <v>0.02</v>
      </c>
      <c r="AK2025" s="54" t="s">
        <v>128</v>
      </c>
      <c r="AL2025" s="54" t="s">
        <v>179</v>
      </c>
      <c r="AM2025" s="65" t="s">
        <v>130</v>
      </c>
      <c r="AN2025" s="1055" t="s">
        <v>131</v>
      </c>
      <c r="AO2025" s="153">
        <v>148.0</v>
      </c>
      <c r="AP2025" s="153">
        <v>0.15</v>
      </c>
      <c r="AQ2025" s="156" t="s">
        <v>166</v>
      </c>
      <c r="AR2025" s="156" t="s">
        <v>806</v>
      </c>
      <c r="AS2025" s="153">
        <v>0.37</v>
      </c>
      <c r="AT2025" s="156" t="s">
        <v>328</v>
      </c>
      <c r="AU2025" s="156" t="s">
        <v>179</v>
      </c>
      <c r="AV2025" s="65" t="s">
        <v>130</v>
      </c>
      <c r="AW2025" s="432" t="s">
        <v>12225</v>
      </c>
      <c r="AX2025" s="65" t="s">
        <v>144</v>
      </c>
      <c r="AZ2025" s="65" t="s">
        <v>1434</v>
      </c>
    </row>
    <row r="2026">
      <c r="A2026" s="41">
        <v>2026.0</v>
      </c>
      <c r="B2026" s="65" t="s">
        <v>145</v>
      </c>
      <c r="C2026" s="59" t="s">
        <v>108</v>
      </c>
      <c r="D2026" s="59" t="s">
        <v>1434</v>
      </c>
      <c r="F2026" s="156" t="s">
        <v>12226</v>
      </c>
      <c r="G2026" s="1441" t="s">
        <v>12227</v>
      </c>
      <c r="H2026" s="156" t="s">
        <v>12228</v>
      </c>
      <c r="I2026" s="526">
        <v>45690.0</v>
      </c>
      <c r="J2026" s="1368">
        <v>45693.0</v>
      </c>
      <c r="K2026" s="65"/>
      <c r="L2026" s="65"/>
      <c r="M2026" s="1902" t="s">
        <v>12229</v>
      </c>
      <c r="N2026" s="434" t="s">
        <v>12230</v>
      </c>
      <c r="O2026" s="333">
        <v>1.0</v>
      </c>
      <c r="P2026" s="379" t="s">
        <v>12231</v>
      </c>
      <c r="Q2026" s="49" t="str">
        <f t="array" ref="Q2026"> if(iserror(MATCH(V2026, 'File Links'!C:C, 0)), "N/A", HYPERLINK(INDEX('File Links'!B:B, MATCH(P2026, 'File Links'!C:C, 0))))</f>
        <v>https://drive.google.com/file/d/1TnJyaUoRrpzVV53y8GXds5wdlyuM-9mX/view?usp=drivesdk</v>
      </c>
      <c r="R2026" s="156" t="s">
        <v>12232</v>
      </c>
      <c r="S2026" s="434" t="s">
        <v>10686</v>
      </c>
      <c r="T2026" s="65"/>
      <c r="U2026" s="333">
        <v>1.0</v>
      </c>
      <c r="V2026" s="195" t="str">
        <f t="shared" si="122"/>
        <v>10.1126--science.aac4716.pdf</v>
      </c>
      <c r="W2026" s="65" t="s">
        <v>157</v>
      </c>
      <c r="X2026" s="51" t="str">
        <f t="array" ref="X2026"> if(iserror(MATCH(V2026, 'File Links'!C:C, 0)), "N/A", HYPERLINK(INDEX('File Links'!B:B, MATCH(V2026, 'File Links'!C:C, 0))))</f>
        <v>https://drive.google.com/file/d/1UMAh9VGta6ExS2-Lb6GkDF4fmnI2EMeM/view?usp=drivesdk</v>
      </c>
      <c r="Y2026" s="65"/>
      <c r="Z2026" s="65" t="s">
        <v>219</v>
      </c>
      <c r="AA2026" s="65" t="s">
        <v>12233</v>
      </c>
      <c r="AB2026" s="156" t="s">
        <v>12234</v>
      </c>
      <c r="AC2026" s="1907" t="s">
        <v>12235</v>
      </c>
      <c r="AD2026" s="65" t="s">
        <v>12236</v>
      </c>
      <c r="AE2026" s="333">
        <v>5.0</v>
      </c>
      <c r="AF2026" s="153">
        <v>82.0</v>
      </c>
      <c r="AG2026" s="65" t="s">
        <v>12237</v>
      </c>
      <c r="AH2026" s="65" t="s">
        <v>127</v>
      </c>
      <c r="AI2026" s="65" t="s">
        <v>806</v>
      </c>
      <c r="AJ2026" s="334">
        <v>1.0E-4</v>
      </c>
      <c r="AK2026" s="58" t="s">
        <v>128</v>
      </c>
      <c r="AL2026" s="58" t="s">
        <v>179</v>
      </c>
      <c r="AM2026" s="65" t="s">
        <v>134</v>
      </c>
      <c r="AN2026" s="1055" t="s">
        <v>131</v>
      </c>
      <c r="AO2026" s="333">
        <v>71.0</v>
      </c>
      <c r="AP2026" s="333">
        <v>0.0259</v>
      </c>
      <c r="AQ2026" s="65" t="s">
        <v>867</v>
      </c>
      <c r="AR2026" s="65" t="s">
        <v>806</v>
      </c>
      <c r="AS2026" s="333">
        <v>0.426</v>
      </c>
      <c r="AT2026" s="65" t="s">
        <v>165</v>
      </c>
      <c r="AU2026" s="65" t="s">
        <v>179</v>
      </c>
      <c r="AV2026" s="65" t="s">
        <v>134</v>
      </c>
      <c r="AW2026" s="432" t="s">
        <v>12238</v>
      </c>
      <c r="AX2026" s="65" t="s">
        <v>136</v>
      </c>
      <c r="AZ2026" s="65" t="s">
        <v>1434</v>
      </c>
    </row>
    <row r="2027">
      <c r="A2027" s="41">
        <v>2027.0</v>
      </c>
      <c r="B2027" s="65" t="s">
        <v>107</v>
      </c>
      <c r="C2027" s="59" t="s">
        <v>108</v>
      </c>
      <c r="D2027" s="59" t="s">
        <v>146</v>
      </c>
      <c r="F2027" s="156" t="s">
        <v>12226</v>
      </c>
      <c r="G2027" s="1441" t="s">
        <v>12239</v>
      </c>
      <c r="H2027" s="156" t="s">
        <v>146</v>
      </c>
      <c r="I2027" s="526">
        <v>45690.0</v>
      </c>
      <c r="J2027" s="1368">
        <v>45693.0</v>
      </c>
      <c r="K2027" s="65" t="s">
        <v>12240</v>
      </c>
      <c r="L2027" s="65"/>
      <c r="M2027" s="1902" t="s">
        <v>12229</v>
      </c>
      <c r="N2027" s="434" t="s">
        <v>12230</v>
      </c>
      <c r="O2027" s="153">
        <v>1.0</v>
      </c>
      <c r="P2027" s="379" t="s">
        <v>12231</v>
      </c>
      <c r="Q2027" s="49" t="str">
        <f t="array" ref="Q2027"> if(iserror(MATCH(V2027, 'File Links'!C:C, 0)), "N/A", HYPERLINK(INDEX('File Links'!B:B, MATCH(P2027, 'File Links'!C:C, 0))))</f>
        <v>https://drive.google.com/file/d/1TnJyaUoRrpzVV53y8GXds5wdlyuM-9mX/view?usp=drivesdk</v>
      </c>
      <c r="R2027" s="156" t="s">
        <v>12232</v>
      </c>
      <c r="S2027" s="434" t="s">
        <v>10686</v>
      </c>
      <c r="T2027" s="65"/>
      <c r="U2027" s="333">
        <v>1.0</v>
      </c>
      <c r="V2027" s="195" t="str">
        <f t="shared" si="122"/>
        <v>10.1126--science.aac4716.pdf</v>
      </c>
      <c r="W2027" s="156" t="s">
        <v>157</v>
      </c>
      <c r="X2027" s="51" t="str">
        <f t="array" ref="X2027"> if(iserror(MATCH(V2027, 'File Links'!C:C, 0)), "N/A", HYPERLINK(INDEX('File Links'!B:B, MATCH(V2027, 'File Links'!C:C, 0))))</f>
        <v>https://drive.google.com/file/d/1UMAh9VGta6ExS2-Lb6GkDF4fmnI2EMeM/view?usp=drivesdk</v>
      </c>
      <c r="Y2027" s="65"/>
      <c r="Z2027" s="156" t="s">
        <v>219</v>
      </c>
      <c r="AA2027" s="156" t="s">
        <v>12241</v>
      </c>
      <c r="AB2027" s="156" t="s">
        <v>12242</v>
      </c>
      <c r="AC2027" s="156" t="s">
        <v>12235</v>
      </c>
      <c r="AD2027" s="156" t="s">
        <v>12243</v>
      </c>
      <c r="AE2027" s="153">
        <v>5.0</v>
      </c>
      <c r="AF2027" s="153">
        <v>82.0</v>
      </c>
      <c r="AG2027" s="153" t="s">
        <v>12237</v>
      </c>
      <c r="AH2027" s="156" t="s">
        <v>127</v>
      </c>
      <c r="AI2027" s="156" t="s">
        <v>875</v>
      </c>
      <c r="AJ2027" s="706">
        <v>1.0E-4</v>
      </c>
      <c r="AK2027" s="54" t="s">
        <v>128</v>
      </c>
      <c r="AL2027" s="54" t="s">
        <v>179</v>
      </c>
      <c r="AM2027" s="65" t="s">
        <v>134</v>
      </c>
      <c r="AN2027" s="1055" t="s">
        <v>131</v>
      </c>
      <c r="AO2027" s="333">
        <v>71.0</v>
      </c>
      <c r="AP2027" s="333">
        <v>0.0259</v>
      </c>
      <c r="AQ2027" s="1910" t="s">
        <v>132</v>
      </c>
      <c r="AR2027" s="156" t="s">
        <v>806</v>
      </c>
      <c r="AS2027" s="153">
        <v>0.426</v>
      </c>
      <c r="AT2027" s="156" t="s">
        <v>165</v>
      </c>
      <c r="AU2027" s="156" t="s">
        <v>179</v>
      </c>
      <c r="AV2027" s="65" t="s">
        <v>134</v>
      </c>
      <c r="AW2027" s="432" t="s">
        <v>12238</v>
      </c>
      <c r="AX2027" s="65" t="s">
        <v>136</v>
      </c>
      <c r="AZ2027" s="65" t="s">
        <v>1434</v>
      </c>
    </row>
    <row r="2028">
      <c r="A2028" s="41">
        <v>2028.0</v>
      </c>
      <c r="B2028" s="65" t="s">
        <v>107</v>
      </c>
      <c r="C2028" s="59" t="s">
        <v>108</v>
      </c>
      <c r="D2028" s="59" t="s">
        <v>1434</v>
      </c>
      <c r="F2028" s="156" t="s">
        <v>12244</v>
      </c>
      <c r="G2028" s="1441" t="s">
        <v>12245</v>
      </c>
      <c r="H2028" s="156" t="s">
        <v>12246</v>
      </c>
      <c r="I2028" s="526">
        <v>45690.0</v>
      </c>
      <c r="J2028" s="1368">
        <v>45693.0</v>
      </c>
      <c r="K2028" s="65"/>
      <c r="L2028" s="65"/>
      <c r="M2028" s="1902" t="s">
        <v>12247</v>
      </c>
      <c r="N2028" s="156" t="s">
        <v>5694</v>
      </c>
      <c r="O2028" s="65"/>
      <c r="P2028" s="379" t="s">
        <v>12248</v>
      </c>
      <c r="Q2028" s="49" t="str">
        <f t="array" ref="Q2028"> if(iserror(MATCH(V2028, 'File Links'!C:C, 0)), "N/A", HYPERLINK(INDEX('File Links'!B:B, MATCH(P2028, 'File Links'!C:C, 0))))</f>
        <v>https://drive.google.com/file/d/1sVDcE0S8Au1V2yPyjhNJC-dbCas3mbhd/view?usp=drivesdk</v>
      </c>
      <c r="R2028" s="156" t="s">
        <v>12249</v>
      </c>
      <c r="S2028" s="434" t="s">
        <v>10686</v>
      </c>
      <c r="T2028" s="126"/>
      <c r="U2028" s="333">
        <v>1.0</v>
      </c>
      <c r="V2028" s="195" t="str">
        <f t="shared" si="122"/>
        <v>10.1126--science.aac4716.pdf</v>
      </c>
      <c r="W2028" s="65" t="s">
        <v>157</v>
      </c>
      <c r="X2028" s="51" t="str">
        <f t="array" ref="X2028"> if(iserror(MATCH(V2028, 'File Links'!C:C, 0)), "N/A", HYPERLINK(INDEX('File Links'!B:B, MATCH(V2028, 'File Links'!C:C, 0))))</f>
        <v>https://drive.google.com/file/d/1UMAh9VGta6ExS2-Lb6GkDF4fmnI2EMeM/view?usp=drivesdk</v>
      </c>
      <c r="Y2028" s="65"/>
      <c r="Z2028" s="65" t="s">
        <v>219</v>
      </c>
      <c r="AA2028" s="65" t="s">
        <v>12250</v>
      </c>
      <c r="AB2028" s="156" t="s">
        <v>12251</v>
      </c>
      <c r="AC2028" s="156" t="s">
        <v>12252</v>
      </c>
      <c r="AD2028" s="65" t="s">
        <v>12253</v>
      </c>
      <c r="AE2028" s="333">
        <v>12.0</v>
      </c>
      <c r="AF2028" s="153">
        <v>45.0</v>
      </c>
      <c r="AG2028" s="333">
        <v>0.06</v>
      </c>
      <c r="AH2028" s="65" t="s">
        <v>132</v>
      </c>
      <c r="AI2028" s="65" t="s">
        <v>605</v>
      </c>
      <c r="AJ2028" s="334">
        <v>0.01</v>
      </c>
      <c r="AK2028" s="58" t="s">
        <v>128</v>
      </c>
      <c r="AL2028" s="58" t="s">
        <v>179</v>
      </c>
      <c r="AM2028" s="65" t="s">
        <v>134</v>
      </c>
      <c r="AN2028" s="1055" t="s">
        <v>131</v>
      </c>
      <c r="AO2028" s="153">
        <v>135.0</v>
      </c>
      <c r="AP2028" s="333">
        <v>0.001</v>
      </c>
      <c r="AQ2028" s="65" t="s">
        <v>132</v>
      </c>
      <c r="AR2028" s="65" t="s">
        <v>843</v>
      </c>
      <c r="AS2028" s="333">
        <v>0.89</v>
      </c>
      <c r="AT2028" s="65" t="s">
        <v>165</v>
      </c>
      <c r="AU2028" s="65" t="s">
        <v>179</v>
      </c>
      <c r="AV2028" s="65" t="s">
        <v>134</v>
      </c>
      <c r="AW2028" s="126" t="s">
        <v>131</v>
      </c>
      <c r="AX2028" s="65" t="s">
        <v>136</v>
      </c>
      <c r="AZ2028" s="65" t="s">
        <v>1434</v>
      </c>
    </row>
    <row r="2029">
      <c r="A2029" s="41">
        <v>2029.0</v>
      </c>
      <c r="B2029" s="65" t="s">
        <v>145</v>
      </c>
      <c r="C2029" s="59" t="s">
        <v>108</v>
      </c>
      <c r="D2029" s="59" t="s">
        <v>146</v>
      </c>
      <c r="F2029" s="156" t="s">
        <v>12244</v>
      </c>
      <c r="G2029" s="1441" t="s">
        <v>12254</v>
      </c>
      <c r="H2029" s="156" t="s">
        <v>146</v>
      </c>
      <c r="I2029" s="526">
        <v>45690.0</v>
      </c>
      <c r="J2029" s="1368">
        <v>45693.0</v>
      </c>
      <c r="K2029" s="156" t="s">
        <v>12255</v>
      </c>
      <c r="L2029" s="65"/>
      <c r="M2029" s="1902" t="s">
        <v>12247</v>
      </c>
      <c r="N2029" s="156" t="s">
        <v>5694</v>
      </c>
      <c r="O2029" s="153">
        <v>7.0</v>
      </c>
      <c r="P2029" s="379" t="s">
        <v>12248</v>
      </c>
      <c r="Q2029" s="49" t="str">
        <f t="array" ref="Q2029"> if(iserror(MATCH(V2029, 'File Links'!C:C, 0)), "N/A", HYPERLINK(INDEX('File Links'!B:B, MATCH(P2029, 'File Links'!C:C, 0))))</f>
        <v>https://drive.google.com/file/d/1sVDcE0S8Au1V2yPyjhNJC-dbCas3mbhd/view?usp=drivesdk</v>
      </c>
      <c r="R2029" s="156" t="s">
        <v>12249</v>
      </c>
      <c r="S2029" s="434" t="s">
        <v>10686</v>
      </c>
      <c r="T2029" s="126"/>
      <c r="U2029" s="333">
        <v>1.0</v>
      </c>
      <c r="V2029" s="195" t="str">
        <f t="shared" si="122"/>
        <v>10.1126--science.aac4716.pdf</v>
      </c>
      <c r="W2029" s="156" t="s">
        <v>157</v>
      </c>
      <c r="X2029" s="51" t="str">
        <f t="array" ref="X2029"> if(iserror(MATCH(V2029, 'File Links'!C:C, 0)), "N/A", HYPERLINK(INDEX('File Links'!B:B, MATCH(V2029, 'File Links'!C:C, 0))))</f>
        <v>https://drive.google.com/file/d/1UMAh9VGta6ExS2-Lb6GkDF4fmnI2EMeM/view?usp=drivesdk</v>
      </c>
      <c r="Y2029" s="65"/>
      <c r="Z2029" s="156" t="s">
        <v>219</v>
      </c>
      <c r="AA2029" s="156" t="s">
        <v>12256</v>
      </c>
      <c r="AB2029" s="156" t="s">
        <v>12257</v>
      </c>
      <c r="AC2029" s="156" t="s">
        <v>12258</v>
      </c>
      <c r="AD2029" s="156" t="s">
        <v>12259</v>
      </c>
      <c r="AE2029" s="153">
        <v>17.0</v>
      </c>
      <c r="AF2029" s="153">
        <v>45.0</v>
      </c>
      <c r="AG2029" s="153">
        <v>0.06</v>
      </c>
      <c r="AH2029" s="156" t="s">
        <v>132</v>
      </c>
      <c r="AI2029" s="156" t="s">
        <v>605</v>
      </c>
      <c r="AJ2029" s="334">
        <v>0.01</v>
      </c>
      <c r="AK2029" s="54" t="s">
        <v>128</v>
      </c>
      <c r="AL2029" s="54" t="s">
        <v>179</v>
      </c>
      <c r="AM2029" s="65" t="s">
        <v>134</v>
      </c>
      <c r="AN2029" s="1055" t="s">
        <v>131</v>
      </c>
      <c r="AO2029" s="153">
        <v>135.0</v>
      </c>
      <c r="AP2029" s="153">
        <v>0.001</v>
      </c>
      <c r="AQ2029" s="156" t="s">
        <v>132</v>
      </c>
      <c r="AR2029" s="156" t="s">
        <v>843</v>
      </c>
      <c r="AS2029" s="153">
        <v>0.89</v>
      </c>
      <c r="AT2029" s="156" t="s">
        <v>165</v>
      </c>
      <c r="AU2029" s="156" t="s">
        <v>179</v>
      </c>
      <c r="AV2029" s="65" t="s">
        <v>134</v>
      </c>
      <c r="AW2029" s="432" t="s">
        <v>12260</v>
      </c>
      <c r="AX2029" s="65" t="s">
        <v>136</v>
      </c>
      <c r="AZ2029" s="65" t="s">
        <v>1434</v>
      </c>
    </row>
    <row r="2030">
      <c r="A2030" s="41">
        <v>2030.0</v>
      </c>
      <c r="B2030" s="65" t="s">
        <v>145</v>
      </c>
      <c r="C2030" s="59" t="s">
        <v>108</v>
      </c>
      <c r="D2030" s="59" t="s">
        <v>1434</v>
      </c>
      <c r="F2030" s="156" t="s">
        <v>12261</v>
      </c>
      <c r="G2030" s="1441" t="s">
        <v>12262</v>
      </c>
      <c r="H2030" s="156" t="s">
        <v>12263</v>
      </c>
      <c r="I2030" s="526">
        <v>45690.0</v>
      </c>
      <c r="J2030" s="1368">
        <v>45693.0</v>
      </c>
      <c r="K2030" s="591" t="s">
        <v>12264</v>
      </c>
      <c r="L2030" s="65" t="s">
        <v>12265</v>
      </c>
      <c r="M2030" s="1902" t="s">
        <v>12266</v>
      </c>
      <c r="N2030" s="434" t="s">
        <v>4304</v>
      </c>
      <c r="O2030" s="333">
        <v>6.0</v>
      </c>
      <c r="P2030" s="379" t="s">
        <v>12267</v>
      </c>
      <c r="Q2030" s="49" t="str">
        <f t="array" ref="Q2030"> if(iserror(MATCH(V2030, 'File Links'!C:C, 0)), "N/A", HYPERLINK(INDEX('File Links'!B:B, MATCH(P2030, 'File Links'!C:C, 0))))</f>
        <v>https://drive.google.com/file/d/1Gkz07e_5xnoHy7zdKAHfWY6layqbA2lX/view?usp=drivesdk</v>
      </c>
      <c r="R2030" s="65" t="s">
        <v>12268</v>
      </c>
      <c r="S2030" s="434" t="s">
        <v>10686</v>
      </c>
      <c r="T2030" s="65"/>
      <c r="U2030" s="333">
        <v>1.0</v>
      </c>
      <c r="V2030" s="195" t="str">
        <f t="shared" si="122"/>
        <v>10.1126--science.aac4716.pdf</v>
      </c>
      <c r="W2030" s="65" t="s">
        <v>157</v>
      </c>
      <c r="X2030" s="51" t="str">
        <f t="array" ref="X2030"> if(iserror(MATCH(V2030, 'File Links'!C:C, 0)), "N/A", HYPERLINK(INDEX('File Links'!B:B, MATCH(V2030, 'File Links'!C:C, 0))))</f>
        <v>https://drive.google.com/file/d/1UMAh9VGta6ExS2-Lb6GkDF4fmnI2EMeM/view?usp=drivesdk</v>
      </c>
      <c r="Y2030" s="65"/>
      <c r="Z2030" s="65" t="s">
        <v>219</v>
      </c>
      <c r="AA2030" s="65" t="s">
        <v>12269</v>
      </c>
      <c r="AB2030" s="65" t="s">
        <v>12270</v>
      </c>
      <c r="AC2030" s="1922" t="s">
        <v>12271</v>
      </c>
      <c r="AD2030" s="65" t="s">
        <v>12272</v>
      </c>
      <c r="AE2030" s="333">
        <v>10.0</v>
      </c>
      <c r="AF2030" s="333">
        <v>122.0</v>
      </c>
      <c r="AG2030" s="65" t="s">
        <v>12273</v>
      </c>
      <c r="AH2030" s="65" t="s">
        <v>127</v>
      </c>
      <c r="AI2030" s="65" t="s">
        <v>625</v>
      </c>
      <c r="AJ2030" s="334">
        <v>0.05</v>
      </c>
      <c r="AK2030" s="58" t="s">
        <v>128</v>
      </c>
      <c r="AL2030" s="58" t="s">
        <v>179</v>
      </c>
      <c r="AM2030" s="65" t="s">
        <v>130</v>
      </c>
      <c r="AN2030" s="1055" t="s">
        <v>131</v>
      </c>
      <c r="AO2030" s="333">
        <v>226.0</v>
      </c>
      <c r="AP2030" s="65" t="s">
        <v>12274</v>
      </c>
      <c r="AQ2030" s="65" t="s">
        <v>127</v>
      </c>
      <c r="AR2030" s="65" t="s">
        <v>133</v>
      </c>
      <c r="AS2030" s="333">
        <v>0.961</v>
      </c>
      <c r="AT2030" s="65" t="s">
        <v>165</v>
      </c>
      <c r="AU2030" s="65" t="s">
        <v>179</v>
      </c>
      <c r="AV2030" s="65" t="s">
        <v>130</v>
      </c>
      <c r="AW2030" s="432" t="s">
        <v>12275</v>
      </c>
      <c r="AX2030" s="65" t="s">
        <v>136</v>
      </c>
      <c r="AZ2030" s="65" t="s">
        <v>1434</v>
      </c>
    </row>
    <row r="2031">
      <c r="A2031" s="41">
        <v>2031.0</v>
      </c>
      <c r="B2031" s="65" t="s">
        <v>107</v>
      </c>
      <c r="C2031" s="59" t="s">
        <v>108</v>
      </c>
      <c r="D2031" s="59" t="s">
        <v>146</v>
      </c>
      <c r="F2031" s="156" t="s">
        <v>12261</v>
      </c>
      <c r="G2031" s="1441" t="s">
        <v>12262</v>
      </c>
      <c r="H2031" s="156" t="s">
        <v>146</v>
      </c>
      <c r="I2031" s="526">
        <v>45690.0</v>
      </c>
      <c r="J2031" s="1368">
        <v>45693.0</v>
      </c>
      <c r="K2031" s="156" t="s">
        <v>12276</v>
      </c>
      <c r="L2031" s="65"/>
      <c r="M2031" s="1902" t="s">
        <v>12266</v>
      </c>
      <c r="N2031" s="434" t="s">
        <v>4304</v>
      </c>
      <c r="O2031" s="153">
        <v>6.0</v>
      </c>
      <c r="P2031" s="379" t="s">
        <v>12267</v>
      </c>
      <c r="Q2031" s="49" t="str">
        <f t="array" ref="Q2031"> if(iserror(MATCH(V2031, 'File Links'!C:C, 0)), "N/A", HYPERLINK(INDEX('File Links'!B:B, MATCH(P2031, 'File Links'!C:C, 0))))</f>
        <v>https://drive.google.com/file/d/1Gkz07e_5xnoHy7zdKAHfWY6layqbA2lX/view?usp=drivesdk</v>
      </c>
      <c r="R2031" s="156" t="s">
        <v>12268</v>
      </c>
      <c r="S2031" s="434" t="s">
        <v>10686</v>
      </c>
      <c r="T2031" s="65"/>
      <c r="U2031" s="333">
        <v>1.0</v>
      </c>
      <c r="V2031" s="195" t="str">
        <f t="shared" si="122"/>
        <v>10.1126--science.aac4716.pdf</v>
      </c>
      <c r="W2031" s="156" t="s">
        <v>157</v>
      </c>
      <c r="X2031" s="51" t="str">
        <f t="array" ref="X2031"> if(iserror(MATCH(V2031, 'File Links'!C:C, 0)), "N/A", HYPERLINK(INDEX('File Links'!B:B, MATCH(V2031, 'File Links'!C:C, 0))))</f>
        <v>https://drive.google.com/file/d/1UMAh9VGta6ExS2-Lb6GkDF4fmnI2EMeM/view?usp=drivesdk</v>
      </c>
      <c r="Y2031" s="65"/>
      <c r="Z2031" s="156" t="s">
        <v>219</v>
      </c>
      <c r="AA2031" s="156" t="s">
        <v>12277</v>
      </c>
      <c r="AB2031" s="434" t="s">
        <v>4306</v>
      </c>
      <c r="AC2031" s="434" t="s">
        <v>12271</v>
      </c>
      <c r="AD2031" s="156" t="s">
        <v>12278</v>
      </c>
      <c r="AE2031" s="153">
        <v>10.0</v>
      </c>
      <c r="AF2031" s="153">
        <v>122.0</v>
      </c>
      <c r="AG2031" s="153" t="s">
        <v>12273</v>
      </c>
      <c r="AH2031" s="156" t="s">
        <v>127</v>
      </c>
      <c r="AI2031" s="156" t="s">
        <v>625</v>
      </c>
      <c r="AJ2031" s="334">
        <v>0.05</v>
      </c>
      <c r="AK2031" s="54" t="s">
        <v>128</v>
      </c>
      <c r="AL2031" s="54" t="s">
        <v>179</v>
      </c>
      <c r="AM2031" s="65" t="s">
        <v>134</v>
      </c>
      <c r="AN2031" s="1055" t="s">
        <v>131</v>
      </c>
      <c r="AO2031" s="333">
        <v>226.0</v>
      </c>
      <c r="AP2031" s="333" t="s">
        <v>12274</v>
      </c>
      <c r="AQ2031" s="156" t="s">
        <v>127</v>
      </c>
      <c r="AR2031" s="156" t="s">
        <v>133</v>
      </c>
      <c r="AS2031" s="153">
        <v>0.961</v>
      </c>
      <c r="AT2031" s="156" t="s">
        <v>165</v>
      </c>
      <c r="AU2031" s="156" t="s">
        <v>179</v>
      </c>
      <c r="AV2031" s="65" t="s">
        <v>134</v>
      </c>
      <c r="AW2031" s="432" t="s">
        <v>12279</v>
      </c>
      <c r="AX2031" s="65" t="s">
        <v>144</v>
      </c>
      <c r="AZ2031" s="65" t="s">
        <v>1434</v>
      </c>
    </row>
    <row r="2032">
      <c r="A2032" s="41">
        <v>2032.0</v>
      </c>
      <c r="B2032" s="65" t="s">
        <v>145</v>
      </c>
      <c r="C2032" s="59" t="s">
        <v>108</v>
      </c>
      <c r="D2032" s="59" t="s">
        <v>1434</v>
      </c>
      <c r="F2032" s="156" t="s">
        <v>12280</v>
      </c>
      <c r="G2032" s="1441" t="s">
        <v>12281</v>
      </c>
      <c r="H2032" s="156" t="s">
        <v>12282</v>
      </c>
      <c r="I2032" s="526">
        <v>45690.0</v>
      </c>
      <c r="J2032" s="1368">
        <v>45693.0</v>
      </c>
      <c r="K2032" s="65"/>
      <c r="L2032" s="126" t="s">
        <v>12283</v>
      </c>
      <c r="M2032" s="1902" t="s">
        <v>12284</v>
      </c>
      <c r="N2032" s="156" t="s">
        <v>12285</v>
      </c>
      <c r="O2032" s="333">
        <v>4.0</v>
      </c>
      <c r="P2032" s="379" t="s">
        <v>12286</v>
      </c>
      <c r="Q2032" s="49" t="str">
        <f t="array" ref="Q2032"> if(iserror(MATCH(V2032, 'File Links'!C:C, 0)), "N/A", HYPERLINK(INDEX('File Links'!B:B, MATCH(P2032, 'File Links'!C:C, 0))))</f>
        <v>https://drive.google.com/file/d/1IyaF2VJcgVfWLGGRX0Pw4RnInw7LvfCb/view?usp=drivesdk</v>
      </c>
      <c r="R2032" s="156" t="s">
        <v>12287</v>
      </c>
      <c r="S2032" s="434" t="s">
        <v>10686</v>
      </c>
      <c r="T2032" s="126"/>
      <c r="U2032" s="65"/>
      <c r="V2032" s="195" t="str">
        <f t="shared" si="122"/>
        <v>10.1126--science.aac4716.pdf</v>
      </c>
      <c r="W2032" s="65" t="s">
        <v>157</v>
      </c>
      <c r="X2032" s="51" t="str">
        <f t="array" ref="X2032"> if(iserror(MATCH(V2032, 'File Links'!C:C, 0)), "N/A", HYPERLINK(INDEX('File Links'!B:B, MATCH(V2032, 'File Links'!C:C, 0))))</f>
        <v>https://drive.google.com/file/d/1UMAh9VGta6ExS2-Lb6GkDF4fmnI2EMeM/view?usp=drivesdk</v>
      </c>
      <c r="Y2032" s="65"/>
      <c r="Z2032" s="65" t="s">
        <v>219</v>
      </c>
      <c r="AA2032" s="65" t="s">
        <v>12288</v>
      </c>
      <c r="AB2032" s="156" t="s">
        <v>12289</v>
      </c>
      <c r="AC2032" s="156" t="s">
        <v>12290</v>
      </c>
      <c r="AD2032" s="65" t="s">
        <v>12291</v>
      </c>
      <c r="AE2032" s="333">
        <v>11.0</v>
      </c>
      <c r="AF2032" s="153">
        <v>211.0</v>
      </c>
      <c r="AG2032" s="65" t="s">
        <v>12292</v>
      </c>
      <c r="AH2032" s="164" t="s">
        <v>131</v>
      </c>
      <c r="AI2032" s="65" t="s">
        <v>300</v>
      </c>
      <c r="AJ2032" s="334">
        <v>0.05</v>
      </c>
      <c r="AK2032" s="58" t="s">
        <v>128</v>
      </c>
      <c r="AL2032" s="58" t="s">
        <v>129</v>
      </c>
      <c r="AM2032" s="65" t="s">
        <v>130</v>
      </c>
      <c r="AN2032" s="1055" t="s">
        <v>131</v>
      </c>
      <c r="AO2032" s="153">
        <v>333.0</v>
      </c>
      <c r="AP2032" s="65" t="s">
        <v>12293</v>
      </c>
      <c r="AQ2032" s="126" t="s">
        <v>131</v>
      </c>
      <c r="AR2032" s="65" t="s">
        <v>806</v>
      </c>
      <c r="AS2032" s="333">
        <v>0.05</v>
      </c>
      <c r="AT2032" s="65" t="s">
        <v>165</v>
      </c>
      <c r="AU2032" s="65" t="s">
        <v>179</v>
      </c>
      <c r="AV2032" s="65" t="s">
        <v>130</v>
      </c>
      <c r="AW2032" s="1923" t="s">
        <v>12294</v>
      </c>
      <c r="AX2032" s="65" t="s">
        <v>136</v>
      </c>
      <c r="AZ2032" s="65" t="s">
        <v>1434</v>
      </c>
    </row>
    <row r="2033">
      <c r="A2033" s="41">
        <v>2033.0</v>
      </c>
      <c r="B2033" s="65" t="s">
        <v>107</v>
      </c>
      <c r="C2033" s="59" t="s">
        <v>108</v>
      </c>
      <c r="D2033" s="59" t="s">
        <v>146</v>
      </c>
      <c r="F2033" s="156" t="s">
        <v>12280</v>
      </c>
      <c r="G2033" s="1441" t="s">
        <v>12295</v>
      </c>
      <c r="H2033" s="156" t="s">
        <v>146</v>
      </c>
      <c r="I2033" s="526">
        <v>45690.0</v>
      </c>
      <c r="J2033" s="1368">
        <v>45693.0</v>
      </c>
      <c r="K2033" s="156" t="s">
        <v>12296</v>
      </c>
      <c r="L2033" s="65"/>
      <c r="M2033" s="1902" t="s">
        <v>12284</v>
      </c>
      <c r="N2033" s="156" t="s">
        <v>12285</v>
      </c>
      <c r="O2033" s="153">
        <v>4.0</v>
      </c>
      <c r="P2033" s="379" t="s">
        <v>12286</v>
      </c>
      <c r="Q2033" s="49" t="str">
        <f t="array" ref="Q2033"> if(iserror(MATCH(V2033, 'File Links'!C:C, 0)), "N/A", HYPERLINK(INDEX('File Links'!B:B, MATCH(P2033, 'File Links'!C:C, 0))))</f>
        <v>https://drive.google.com/file/d/1IyaF2VJcgVfWLGGRX0Pw4RnInw7LvfCb/view?usp=drivesdk</v>
      </c>
      <c r="R2033" s="156" t="s">
        <v>12287</v>
      </c>
      <c r="S2033" s="434" t="s">
        <v>10686</v>
      </c>
      <c r="T2033" s="126"/>
      <c r="U2033" s="333">
        <v>1.0</v>
      </c>
      <c r="V2033" s="195" t="str">
        <f t="shared" si="122"/>
        <v>10.1126--science.aac4716.pdf</v>
      </c>
      <c r="W2033" s="156" t="s">
        <v>157</v>
      </c>
      <c r="X2033" s="51" t="str">
        <f t="array" ref="X2033"> if(iserror(MATCH(V2033, 'File Links'!C:C, 0)), "N/A", HYPERLINK(INDEX('File Links'!B:B, MATCH(V2033, 'File Links'!C:C, 0))))</f>
        <v>https://drive.google.com/file/d/1UMAh9VGta6ExS2-Lb6GkDF4fmnI2EMeM/view?usp=drivesdk</v>
      </c>
      <c r="Y2033" s="65"/>
      <c r="Z2033" s="156" t="s">
        <v>219</v>
      </c>
      <c r="AA2033" s="156" t="s">
        <v>4716</v>
      </c>
      <c r="AB2033" s="156" t="s">
        <v>12297</v>
      </c>
      <c r="AC2033" s="156" t="s">
        <v>12298</v>
      </c>
      <c r="AD2033" s="156" t="s">
        <v>12299</v>
      </c>
      <c r="AE2033" s="1299">
        <v>11.0</v>
      </c>
      <c r="AF2033" s="153">
        <v>211.0</v>
      </c>
      <c r="AG2033" s="156" t="s">
        <v>12300</v>
      </c>
      <c r="AH2033" s="156" t="s">
        <v>127</v>
      </c>
      <c r="AI2033" s="156" t="s">
        <v>300</v>
      </c>
      <c r="AJ2033" s="334">
        <v>0.05</v>
      </c>
      <c r="AK2033" s="54" t="s">
        <v>128</v>
      </c>
      <c r="AL2033" s="54" t="s">
        <v>129</v>
      </c>
      <c r="AM2033" s="65" t="s">
        <v>130</v>
      </c>
      <c r="AN2033" s="1055" t="s">
        <v>131</v>
      </c>
      <c r="AO2033" s="153">
        <v>333.0</v>
      </c>
      <c r="AP2033" s="156" t="s">
        <v>12301</v>
      </c>
      <c r="AQ2033" s="156" t="s">
        <v>127</v>
      </c>
      <c r="AR2033" s="156" t="s">
        <v>806</v>
      </c>
      <c r="AS2033" s="153">
        <v>0.05</v>
      </c>
      <c r="AT2033" s="156" t="s">
        <v>165</v>
      </c>
      <c r="AU2033" s="156" t="s">
        <v>179</v>
      </c>
      <c r="AV2033" s="65" t="s">
        <v>130</v>
      </c>
      <c r="AW2033" s="432" t="s">
        <v>12294</v>
      </c>
      <c r="AX2033" s="65" t="s">
        <v>136</v>
      </c>
      <c r="AZ2033" s="65" t="s">
        <v>1434</v>
      </c>
    </row>
    <row r="2034">
      <c r="A2034" s="41">
        <v>2034.0</v>
      </c>
      <c r="B2034" s="65" t="s">
        <v>145</v>
      </c>
      <c r="C2034" s="59" t="s">
        <v>108</v>
      </c>
      <c r="D2034" s="59" t="s">
        <v>1434</v>
      </c>
      <c r="F2034" s="156" t="s">
        <v>12302</v>
      </c>
      <c r="G2034" s="1441" t="s">
        <v>12303</v>
      </c>
      <c r="H2034" s="156" t="s">
        <v>12304</v>
      </c>
      <c r="I2034" s="526">
        <v>45690.0</v>
      </c>
      <c r="J2034" s="1368">
        <v>45693.0</v>
      </c>
      <c r="K2034" s="65" t="s">
        <v>12305</v>
      </c>
      <c r="L2034" s="65"/>
      <c r="M2034" s="1902" t="s">
        <v>12306</v>
      </c>
      <c r="N2034" s="156" t="s">
        <v>12307</v>
      </c>
      <c r="O2034" s="333">
        <v>2.0</v>
      </c>
      <c r="P2034" s="379" t="s">
        <v>12308</v>
      </c>
      <c r="Q2034" s="49" t="str">
        <f t="array" ref="Q2034"> if(iserror(MATCH(V2034, 'File Links'!C:C, 0)), "N/A", HYPERLINK(INDEX('File Links'!B:B, MATCH(P2034, 'File Links'!C:C, 0))))</f>
        <v>https://drive.google.com/file/d/11evBHOPkYEq9tia_AUJzn9cHtIQOUcWa/view?usp=drivesdk</v>
      </c>
      <c r="R2034" s="156" t="s">
        <v>12309</v>
      </c>
      <c r="S2034" s="434" t="s">
        <v>10686</v>
      </c>
      <c r="T2034" s="126"/>
      <c r="U2034" s="333">
        <v>1.0</v>
      </c>
      <c r="V2034" s="195" t="str">
        <f t="shared" si="122"/>
        <v>10.1126--science.aac4716.pdf</v>
      </c>
      <c r="W2034" s="65" t="s">
        <v>157</v>
      </c>
      <c r="X2034" s="51" t="str">
        <f t="array" ref="X2034"> if(iserror(MATCH(V2034, 'File Links'!C:C, 0)), "N/A", HYPERLINK(INDEX('File Links'!B:B, MATCH(V2034, 'File Links'!C:C, 0))))</f>
        <v>https://drive.google.com/file/d/1UMAh9VGta6ExS2-Lb6GkDF4fmnI2EMeM/view?usp=drivesdk</v>
      </c>
      <c r="Y2034" s="65"/>
      <c r="Z2034" s="65" t="s">
        <v>141</v>
      </c>
      <c r="AA2034" s="65" t="s">
        <v>12310</v>
      </c>
      <c r="AB2034" s="156" t="s">
        <v>12311</v>
      </c>
      <c r="AC2034" s="1907" t="s">
        <v>12312</v>
      </c>
      <c r="AD2034" s="65" t="s">
        <v>12313</v>
      </c>
      <c r="AE2034" s="333">
        <v>5.0</v>
      </c>
      <c r="AF2034" s="153">
        <v>100.0</v>
      </c>
      <c r="AG2034" s="65" t="s">
        <v>12314</v>
      </c>
      <c r="AH2034" s="65" t="s">
        <v>127</v>
      </c>
      <c r="AI2034" s="65" t="s">
        <v>806</v>
      </c>
      <c r="AJ2034" s="334">
        <v>0.05</v>
      </c>
      <c r="AK2034" s="58" t="s">
        <v>128</v>
      </c>
      <c r="AL2034" s="58" t="s">
        <v>211</v>
      </c>
      <c r="AM2034" s="65" t="s">
        <v>130</v>
      </c>
      <c r="AN2034" s="1055" t="s">
        <v>131</v>
      </c>
      <c r="AO2034" s="153">
        <v>15.0</v>
      </c>
      <c r="AP2034" s="65" t="s">
        <v>12315</v>
      </c>
      <c r="AQ2034" s="65" t="s">
        <v>127</v>
      </c>
      <c r="AR2034" s="65" t="s">
        <v>843</v>
      </c>
      <c r="AS2034" s="333">
        <v>0.314</v>
      </c>
      <c r="AT2034" s="65" t="s">
        <v>165</v>
      </c>
      <c r="AU2034" s="65" t="s">
        <v>211</v>
      </c>
      <c r="AV2034" s="65" t="s">
        <v>130</v>
      </c>
      <c r="AW2034" s="432" t="s">
        <v>12316</v>
      </c>
      <c r="AX2034" s="65" t="s">
        <v>136</v>
      </c>
      <c r="AZ2034" s="65" t="s">
        <v>1434</v>
      </c>
    </row>
    <row r="2035">
      <c r="A2035" s="41">
        <v>2035.0</v>
      </c>
      <c r="B2035" s="65" t="s">
        <v>107</v>
      </c>
      <c r="C2035" s="59" t="s">
        <v>108</v>
      </c>
      <c r="D2035" s="59" t="s">
        <v>146</v>
      </c>
      <c r="F2035" s="156" t="s">
        <v>12302</v>
      </c>
      <c r="G2035" s="1441" t="s">
        <v>12303</v>
      </c>
      <c r="H2035" s="156" t="s">
        <v>146</v>
      </c>
      <c r="I2035" s="526">
        <v>45690.0</v>
      </c>
      <c r="J2035" s="1368">
        <v>45693.0</v>
      </c>
      <c r="K2035" s="156" t="s">
        <v>12317</v>
      </c>
      <c r="L2035" s="65" t="s">
        <v>12318</v>
      </c>
      <c r="M2035" s="1902" t="s">
        <v>12306</v>
      </c>
      <c r="N2035" s="434" t="s">
        <v>12307</v>
      </c>
      <c r="O2035" s="153">
        <v>2.0</v>
      </c>
      <c r="P2035" s="379" t="s">
        <v>12308</v>
      </c>
      <c r="Q2035" s="49" t="str">
        <f t="array" ref="Q2035"> if(iserror(MATCH(V2035, 'File Links'!C:C, 0)), "N/A", HYPERLINK(INDEX('File Links'!B:B, MATCH(P2035, 'File Links'!C:C, 0))))</f>
        <v>https://drive.google.com/file/d/11evBHOPkYEq9tia_AUJzn9cHtIQOUcWa/view?usp=drivesdk</v>
      </c>
      <c r="R2035" s="156" t="s">
        <v>12309</v>
      </c>
      <c r="S2035" s="434" t="s">
        <v>10686</v>
      </c>
      <c r="T2035" s="65"/>
      <c r="U2035" s="333">
        <v>1.0</v>
      </c>
      <c r="V2035" s="195" t="str">
        <f t="shared" si="122"/>
        <v>10.1126--science.aac4716.pdf</v>
      </c>
      <c r="W2035" s="156" t="s">
        <v>157</v>
      </c>
      <c r="X2035" s="51" t="str">
        <f t="array" ref="X2035"> if(iserror(MATCH(V2035, 'File Links'!C:C, 0)), "N/A", HYPERLINK(INDEX('File Links'!B:B, MATCH(V2035, 'File Links'!C:C, 0))))</f>
        <v>https://drive.google.com/file/d/1UMAh9VGta6ExS2-Lb6GkDF4fmnI2EMeM/view?usp=drivesdk</v>
      </c>
      <c r="Y2035" s="65"/>
      <c r="Z2035" s="156" t="s">
        <v>141</v>
      </c>
      <c r="AA2035" s="156" t="s">
        <v>5123</v>
      </c>
      <c r="AB2035" s="156" t="s">
        <v>12319</v>
      </c>
      <c r="AC2035" s="156" t="s">
        <v>12312</v>
      </c>
      <c r="AD2035" s="156" t="s">
        <v>12320</v>
      </c>
      <c r="AE2035" s="153">
        <v>5.0</v>
      </c>
      <c r="AF2035" s="153">
        <v>100.0</v>
      </c>
      <c r="AG2035" s="153" t="s">
        <v>12321</v>
      </c>
      <c r="AH2035" s="156" t="s">
        <v>127</v>
      </c>
      <c r="AI2035" s="156" t="s">
        <v>806</v>
      </c>
      <c r="AJ2035" s="706">
        <v>0.05</v>
      </c>
      <c r="AK2035" s="54" t="s">
        <v>128</v>
      </c>
      <c r="AL2035" s="54" t="s">
        <v>211</v>
      </c>
      <c r="AM2035" s="65" t="s">
        <v>130</v>
      </c>
      <c r="AN2035" s="1055" t="s">
        <v>131</v>
      </c>
      <c r="AO2035" s="333">
        <v>15.0</v>
      </c>
      <c r="AP2035" s="1924">
        <v>0.091</v>
      </c>
      <c r="AQ2035" s="478" t="s">
        <v>166</v>
      </c>
      <c r="AR2035" s="156" t="s">
        <v>843</v>
      </c>
      <c r="AS2035" s="153">
        <v>0.314</v>
      </c>
      <c r="AT2035" s="156" t="s">
        <v>165</v>
      </c>
      <c r="AU2035" s="156" t="s">
        <v>211</v>
      </c>
      <c r="AV2035" s="65" t="s">
        <v>130</v>
      </c>
      <c r="AW2035" s="432" t="s">
        <v>12322</v>
      </c>
      <c r="AX2035" s="65" t="s">
        <v>136</v>
      </c>
      <c r="AZ2035" s="65" t="s">
        <v>1434</v>
      </c>
    </row>
    <row r="2036">
      <c r="A2036" s="41">
        <v>2036.0</v>
      </c>
      <c r="B2036" s="65" t="s">
        <v>107</v>
      </c>
      <c r="C2036" s="59" t="s">
        <v>108</v>
      </c>
      <c r="D2036" s="59" t="s">
        <v>1434</v>
      </c>
      <c r="F2036" s="156" t="s">
        <v>12323</v>
      </c>
      <c r="G2036" s="1441" t="s">
        <v>12324</v>
      </c>
      <c r="H2036" s="156" t="s">
        <v>12140</v>
      </c>
      <c r="I2036" s="526">
        <v>45690.0</v>
      </c>
      <c r="J2036" s="1368">
        <v>45693.0</v>
      </c>
      <c r="K2036" s="65"/>
      <c r="L2036" s="65"/>
      <c r="M2036" s="1902" t="s">
        <v>12325</v>
      </c>
      <c r="N2036" s="434" t="s">
        <v>12326</v>
      </c>
      <c r="O2036" s="333">
        <v>8.0</v>
      </c>
      <c r="P2036" s="379" t="s">
        <v>12327</v>
      </c>
      <c r="Q2036" s="49" t="str">
        <f t="array" ref="Q2036"> if(iserror(MATCH(V2036, 'File Links'!C:C, 0)), "N/A", HYPERLINK(INDEX('File Links'!B:B, MATCH(P2036, 'File Links'!C:C, 0))))</f>
        <v>https://drive.google.com/file/d/1mE5XaAsbpzpaVByGMY_Y-yHafY0h2G_x/view?usp=drivesdk</v>
      </c>
      <c r="R2036" s="156" t="s">
        <v>12328</v>
      </c>
      <c r="S2036" s="434" t="s">
        <v>10686</v>
      </c>
      <c r="T2036" s="65"/>
      <c r="U2036" s="333"/>
      <c r="V2036" s="195" t="str">
        <f t="shared" si="122"/>
        <v>10.1126--science.aac4716.pdf</v>
      </c>
      <c r="W2036" s="65" t="s">
        <v>3563</v>
      </c>
      <c r="X2036" s="51" t="str">
        <f t="array" ref="X2036"> if(iserror(MATCH(V2036, 'File Links'!C:C, 0)), "N/A", HYPERLINK(INDEX('File Links'!B:B, MATCH(V2036, 'File Links'!C:C, 0))))</f>
        <v>https://drive.google.com/file/d/1UMAh9VGta6ExS2-Lb6GkDF4fmnI2EMeM/view?usp=drivesdk</v>
      </c>
      <c r="Y2036" s="65"/>
      <c r="Z2036" s="65" t="s">
        <v>219</v>
      </c>
      <c r="AA2036" s="65" t="s">
        <v>12329</v>
      </c>
      <c r="AB2036" s="156" t="s">
        <v>12330</v>
      </c>
      <c r="AC2036" s="1907" t="s">
        <v>12331</v>
      </c>
      <c r="AD2036" s="65" t="s">
        <v>12332</v>
      </c>
      <c r="AE2036" s="333">
        <v>14.0</v>
      </c>
      <c r="AF2036" s="153">
        <v>375.0</v>
      </c>
      <c r="AG2036" s="333">
        <v>0.493</v>
      </c>
      <c r="AH2036" s="65" t="s">
        <v>166</v>
      </c>
      <c r="AI2036" s="65" t="s">
        <v>2222</v>
      </c>
      <c r="AJ2036" s="334">
        <v>0.001</v>
      </c>
      <c r="AK2036" s="58" t="s">
        <v>128</v>
      </c>
      <c r="AL2036" s="58" t="s">
        <v>129</v>
      </c>
      <c r="AM2036" s="65" t="s">
        <v>130</v>
      </c>
      <c r="AN2036" s="1055" t="s">
        <v>131</v>
      </c>
      <c r="AO2036" s="333">
        <v>177.0</v>
      </c>
      <c r="AP2036" s="333">
        <v>0.15</v>
      </c>
      <c r="AQ2036" s="65" t="s">
        <v>166</v>
      </c>
      <c r="AR2036" s="65" t="s">
        <v>210</v>
      </c>
      <c r="AS2036" s="333">
        <v>0.332</v>
      </c>
      <c r="AT2036" s="65" t="s">
        <v>165</v>
      </c>
      <c r="AU2036" s="65" t="s">
        <v>129</v>
      </c>
      <c r="AV2036" s="65" t="s">
        <v>130</v>
      </c>
      <c r="AW2036" s="432" t="s">
        <v>12333</v>
      </c>
      <c r="AX2036" s="65" t="s">
        <v>136</v>
      </c>
      <c r="AZ2036" s="65" t="s">
        <v>1434</v>
      </c>
    </row>
    <row r="2037">
      <c r="A2037" s="41">
        <v>2037.0</v>
      </c>
      <c r="B2037" s="65" t="s">
        <v>145</v>
      </c>
      <c r="C2037" s="59" t="s">
        <v>108</v>
      </c>
      <c r="D2037" s="59" t="s">
        <v>146</v>
      </c>
      <c r="F2037" s="156" t="s">
        <v>12323</v>
      </c>
      <c r="G2037" s="1441" t="s">
        <v>12334</v>
      </c>
      <c r="H2037" s="156" t="s">
        <v>146</v>
      </c>
      <c r="I2037" s="526">
        <v>45690.0</v>
      </c>
      <c r="J2037" s="1368">
        <v>45693.0</v>
      </c>
      <c r="K2037" s="434" t="s">
        <v>12335</v>
      </c>
      <c r="L2037" s="65"/>
      <c r="M2037" s="1902" t="s">
        <v>12325</v>
      </c>
      <c r="N2037" s="434" t="s">
        <v>12326</v>
      </c>
      <c r="O2037" s="153">
        <v>8.0</v>
      </c>
      <c r="P2037" s="379" t="s">
        <v>12327</v>
      </c>
      <c r="Q2037" s="49" t="str">
        <f t="array" ref="Q2037"> if(iserror(MATCH(V2037, 'File Links'!C:C, 0)), "N/A", HYPERLINK(INDEX('File Links'!B:B, MATCH(P2037, 'File Links'!C:C, 0))))</f>
        <v>https://drive.google.com/file/d/1mE5XaAsbpzpaVByGMY_Y-yHafY0h2G_x/view?usp=drivesdk</v>
      </c>
      <c r="R2037" s="156" t="s">
        <v>12328</v>
      </c>
      <c r="S2037" s="434" t="s">
        <v>10686</v>
      </c>
      <c r="T2037" s="65"/>
      <c r="U2037" s="333">
        <v>1.0</v>
      </c>
      <c r="V2037" s="195" t="str">
        <f t="shared" si="122"/>
        <v>10.1126--science.aac4716.pdf</v>
      </c>
      <c r="W2037" s="156" t="s">
        <v>3563</v>
      </c>
      <c r="X2037" s="51" t="str">
        <f t="array" ref="X2037"> if(iserror(MATCH(V2037, 'File Links'!C:C, 0)), "N/A", HYPERLINK(INDEX('File Links'!B:B, MATCH(V2037, 'File Links'!C:C, 0))))</f>
        <v>https://drive.google.com/file/d/1UMAh9VGta6ExS2-Lb6GkDF4fmnI2EMeM/view?usp=drivesdk</v>
      </c>
      <c r="Y2037" s="65"/>
      <c r="Z2037" s="156" t="s">
        <v>219</v>
      </c>
      <c r="AA2037" s="156" t="s">
        <v>12329</v>
      </c>
      <c r="AB2037" s="434" t="s">
        <v>12336</v>
      </c>
      <c r="AC2037" s="156" t="s">
        <v>12331</v>
      </c>
      <c r="AD2037" s="1903" t="s">
        <v>12332</v>
      </c>
      <c r="AE2037" s="153">
        <v>14.0</v>
      </c>
      <c r="AF2037" s="153">
        <v>375.0</v>
      </c>
      <c r="AG2037" s="153">
        <v>0.493</v>
      </c>
      <c r="AH2037" s="156" t="s">
        <v>166</v>
      </c>
      <c r="AI2037" s="156" t="s">
        <v>2222</v>
      </c>
      <c r="AJ2037" s="334">
        <v>0.001</v>
      </c>
      <c r="AK2037" s="54" t="s">
        <v>128</v>
      </c>
      <c r="AL2037" s="54" t="s">
        <v>129</v>
      </c>
      <c r="AM2037" s="65" t="s">
        <v>130</v>
      </c>
      <c r="AN2037" s="1055" t="s">
        <v>131</v>
      </c>
      <c r="AO2037" s="333">
        <v>177.0</v>
      </c>
      <c r="AP2037" s="333">
        <v>0.15</v>
      </c>
      <c r="AQ2037" s="156" t="s">
        <v>166</v>
      </c>
      <c r="AR2037" s="65"/>
      <c r="AS2037" s="153">
        <v>0.332</v>
      </c>
      <c r="AT2037" s="156" t="s">
        <v>165</v>
      </c>
      <c r="AU2037" s="156" t="s">
        <v>129</v>
      </c>
      <c r="AV2037" s="65" t="s">
        <v>130</v>
      </c>
      <c r="AW2037" s="432" t="s">
        <v>12333</v>
      </c>
      <c r="AX2037" s="65" t="s">
        <v>136</v>
      </c>
      <c r="AZ2037" s="65" t="s">
        <v>1434</v>
      </c>
    </row>
    <row r="2038">
      <c r="A2038" s="41">
        <v>2038.0</v>
      </c>
      <c r="B2038" s="65" t="s">
        <v>145</v>
      </c>
      <c r="C2038" s="59" t="s">
        <v>108</v>
      </c>
      <c r="D2038" s="59" t="s">
        <v>1434</v>
      </c>
      <c r="F2038" s="156" t="s">
        <v>12337</v>
      </c>
      <c r="G2038" s="1441" t="s">
        <v>12338</v>
      </c>
      <c r="H2038" s="156" t="s">
        <v>12339</v>
      </c>
      <c r="I2038" s="526">
        <v>45690.0</v>
      </c>
      <c r="J2038" s="1368">
        <v>45693.0</v>
      </c>
      <c r="K2038" s="1907" t="s">
        <v>12340</v>
      </c>
      <c r="L2038" s="65"/>
      <c r="M2038" s="1902" t="s">
        <v>12341</v>
      </c>
      <c r="N2038" s="156" t="s">
        <v>3910</v>
      </c>
      <c r="O2038" s="65" t="s">
        <v>12342</v>
      </c>
      <c r="P2038" s="379" t="s">
        <v>12343</v>
      </c>
      <c r="Q2038" s="49" t="str">
        <f t="array" ref="Q2038"> if(iserror(MATCH(V2038, 'File Links'!C:C, 0)), "N/A", HYPERLINK(INDEX('File Links'!B:B, MATCH(P2038, 'File Links'!C:C, 0))))</f>
        <v>https://drive.google.com/file/d/1UKyZSyadeWWKlD03-UFjhlFvSy-jY0H-/view?usp=drivesdk</v>
      </c>
      <c r="R2038" s="156" t="s">
        <v>12344</v>
      </c>
      <c r="S2038" s="434" t="s">
        <v>10686</v>
      </c>
      <c r="T2038" s="126"/>
      <c r="U2038" s="333">
        <v>1.0</v>
      </c>
      <c r="V2038" s="195" t="str">
        <f t="shared" si="122"/>
        <v>10.1126--science.aac4716.pdf</v>
      </c>
      <c r="W2038" s="65" t="s">
        <v>157</v>
      </c>
      <c r="X2038" s="51" t="str">
        <f t="array" ref="X2038"> if(iserror(MATCH(V2038, 'File Links'!C:C, 0)), "N/A", HYPERLINK(INDEX('File Links'!B:B, MATCH(V2038, 'File Links'!C:C, 0))))</f>
        <v>https://drive.google.com/file/d/1UMAh9VGta6ExS2-Lb6GkDF4fmnI2EMeM/view?usp=drivesdk</v>
      </c>
      <c r="Y2038" s="65"/>
      <c r="Z2038" s="65" t="s">
        <v>219</v>
      </c>
      <c r="AA2038" s="65" t="s">
        <v>12345</v>
      </c>
      <c r="AB2038" s="156" t="s">
        <v>12346</v>
      </c>
      <c r="AC2038" s="1918" t="s">
        <v>12347</v>
      </c>
      <c r="AD2038" s="65" t="s">
        <v>12348</v>
      </c>
      <c r="AE2038" s="333">
        <v>13.0</v>
      </c>
      <c r="AF2038" s="153">
        <v>261.0</v>
      </c>
      <c r="AG2038" s="65" t="s">
        <v>3921</v>
      </c>
      <c r="AH2038" s="65" t="s">
        <v>127</v>
      </c>
      <c r="AI2038" s="65" t="s">
        <v>429</v>
      </c>
      <c r="AJ2038" s="334">
        <v>0.002</v>
      </c>
      <c r="AK2038" s="58" t="s">
        <v>165</v>
      </c>
      <c r="AL2038" s="58" t="s">
        <v>179</v>
      </c>
      <c r="AM2038" s="65" t="s">
        <v>134</v>
      </c>
      <c r="AN2038" s="1055" t="s">
        <v>131</v>
      </c>
      <c r="AO2038" s="153">
        <v>251.0</v>
      </c>
      <c r="AP2038" s="333">
        <v>0.002</v>
      </c>
      <c r="AQ2038" s="65" t="s">
        <v>867</v>
      </c>
      <c r="AR2038" s="65" t="s">
        <v>843</v>
      </c>
      <c r="AS2038" s="333">
        <v>0.49</v>
      </c>
      <c r="AT2038" s="65" t="s">
        <v>165</v>
      </c>
      <c r="AU2038" s="65" t="s">
        <v>179</v>
      </c>
      <c r="AV2038" s="65" t="s">
        <v>134</v>
      </c>
      <c r="AW2038" s="432" t="s">
        <v>12349</v>
      </c>
      <c r="AX2038" s="65" t="s">
        <v>136</v>
      </c>
      <c r="AZ2038" s="65" t="s">
        <v>1434</v>
      </c>
    </row>
    <row r="2039">
      <c r="A2039" s="41">
        <v>2039.0</v>
      </c>
      <c r="B2039" s="65" t="s">
        <v>107</v>
      </c>
      <c r="C2039" s="59" t="s">
        <v>108</v>
      </c>
      <c r="D2039" s="59" t="s">
        <v>146</v>
      </c>
      <c r="F2039" s="156" t="s">
        <v>12337</v>
      </c>
      <c r="G2039" s="1441" t="s">
        <v>12350</v>
      </c>
      <c r="H2039" s="156" t="s">
        <v>146</v>
      </c>
      <c r="I2039" s="526">
        <v>45690.0</v>
      </c>
      <c r="J2039" s="1368">
        <v>45693.0</v>
      </c>
      <c r="K2039" s="156" t="s">
        <v>12340</v>
      </c>
      <c r="L2039" s="65"/>
      <c r="M2039" s="1902" t="s">
        <v>12341</v>
      </c>
      <c r="N2039" s="156" t="s">
        <v>3910</v>
      </c>
      <c r="O2039" s="156" t="s">
        <v>12342</v>
      </c>
      <c r="P2039" s="379" t="s">
        <v>12343</v>
      </c>
      <c r="Q2039" s="49" t="str">
        <f t="array" ref="Q2039"> if(iserror(MATCH(V2039, 'File Links'!C:C, 0)), "N/A", HYPERLINK(INDEX('File Links'!B:B, MATCH(P2039, 'File Links'!C:C, 0))))</f>
        <v>https://drive.google.com/file/d/1UKyZSyadeWWKlD03-UFjhlFvSy-jY0H-/view?usp=drivesdk</v>
      </c>
      <c r="R2039" s="156" t="s">
        <v>12344</v>
      </c>
      <c r="S2039" s="434" t="s">
        <v>10686</v>
      </c>
      <c r="T2039" s="126"/>
      <c r="U2039" s="333">
        <v>1.0</v>
      </c>
      <c r="V2039" s="195" t="str">
        <f t="shared" si="122"/>
        <v>10.1126--science.aac4716.pdf</v>
      </c>
      <c r="W2039" s="156" t="s">
        <v>157</v>
      </c>
      <c r="X2039" s="51" t="str">
        <f t="array" ref="X2039"> if(iserror(MATCH(V2039, 'File Links'!C:C, 0)), "N/A", HYPERLINK(INDEX('File Links'!B:B, MATCH(V2039, 'File Links'!C:C, 0))))</f>
        <v>https://drive.google.com/file/d/1UMAh9VGta6ExS2-Lb6GkDF4fmnI2EMeM/view?usp=drivesdk</v>
      </c>
      <c r="Y2039" s="65"/>
      <c r="Z2039" s="156" t="s">
        <v>219</v>
      </c>
      <c r="AA2039" s="156" t="s">
        <v>3917</v>
      </c>
      <c r="AB2039" s="156" t="s">
        <v>12351</v>
      </c>
      <c r="AC2039" s="156" t="s">
        <v>12347</v>
      </c>
      <c r="AD2039" s="156" t="s">
        <v>12352</v>
      </c>
      <c r="AE2039" s="153">
        <v>14.0</v>
      </c>
      <c r="AF2039" s="153">
        <v>261.0</v>
      </c>
      <c r="AG2039" s="156" t="s">
        <v>3921</v>
      </c>
      <c r="AH2039" s="156" t="s">
        <v>127</v>
      </c>
      <c r="AI2039" s="156" t="s">
        <v>2222</v>
      </c>
      <c r="AJ2039" s="334">
        <v>0.002</v>
      </c>
      <c r="AK2039" s="54" t="s">
        <v>165</v>
      </c>
      <c r="AL2039" s="54" t="s">
        <v>179</v>
      </c>
      <c r="AM2039" s="65" t="s">
        <v>134</v>
      </c>
      <c r="AN2039" s="1055" t="s">
        <v>131</v>
      </c>
      <c r="AO2039" s="153">
        <v>251.0</v>
      </c>
      <c r="AP2039" s="153">
        <v>0.002</v>
      </c>
      <c r="AQ2039" s="1910" t="s">
        <v>132</v>
      </c>
      <c r="AR2039" s="156" t="s">
        <v>843</v>
      </c>
      <c r="AS2039" s="153">
        <v>0.49</v>
      </c>
      <c r="AT2039" s="156" t="s">
        <v>165</v>
      </c>
      <c r="AU2039" s="156" t="s">
        <v>179</v>
      </c>
      <c r="AV2039" s="65" t="s">
        <v>134</v>
      </c>
      <c r="AW2039" s="432" t="s">
        <v>12353</v>
      </c>
      <c r="AX2039" s="65" t="s">
        <v>136</v>
      </c>
      <c r="AZ2039" s="65" t="s">
        <v>1434</v>
      </c>
    </row>
    <row r="2040">
      <c r="A2040" s="41">
        <v>2040.0</v>
      </c>
      <c r="B2040" s="65" t="s">
        <v>107</v>
      </c>
      <c r="C2040" s="59" t="s">
        <v>108</v>
      </c>
      <c r="D2040" s="59" t="s">
        <v>1434</v>
      </c>
      <c r="F2040" s="156" t="s">
        <v>12354</v>
      </c>
      <c r="G2040" s="1441" t="s">
        <v>12355</v>
      </c>
      <c r="H2040" s="156" t="s">
        <v>12356</v>
      </c>
      <c r="I2040" s="526">
        <v>45690.0</v>
      </c>
      <c r="J2040" s="1368">
        <v>45693.0</v>
      </c>
      <c r="K2040" s="65" t="s">
        <v>12357</v>
      </c>
      <c r="L2040" s="65"/>
      <c r="M2040" s="1902" t="s">
        <v>12358</v>
      </c>
      <c r="N2040" s="434" t="s">
        <v>12359</v>
      </c>
      <c r="O2040" s="333">
        <v>3.0</v>
      </c>
      <c r="P2040" s="379" t="s">
        <v>12360</v>
      </c>
      <c r="Q2040" s="49" t="str">
        <f t="array" ref="Q2040"> if(iserror(MATCH(V2040, 'File Links'!C:C, 0)), "N/A", HYPERLINK(INDEX('File Links'!B:B, MATCH(P2040, 'File Links'!C:C, 0))))</f>
        <v>https://drive.google.com/file/d/1n-xkjkrGpKzc0Ew4FDfG-BXhbw4Koezu/view?usp=drivesdk</v>
      </c>
      <c r="R2040" s="65" t="s">
        <v>12361</v>
      </c>
      <c r="S2040" s="434" t="s">
        <v>10686</v>
      </c>
      <c r="T2040" s="65"/>
      <c r="U2040" s="333"/>
      <c r="V2040" s="195" t="str">
        <f t="shared" si="122"/>
        <v>10.1126--science.aac4716.pdf</v>
      </c>
      <c r="W2040" s="65" t="s">
        <v>157</v>
      </c>
      <c r="X2040" s="51" t="str">
        <f t="array" ref="X2040"> if(iserror(MATCH(V2040, 'File Links'!C:C, 0)), "N/A", HYPERLINK(INDEX('File Links'!B:B, MATCH(V2040, 'File Links'!C:C, 0))))</f>
        <v>https://drive.google.com/file/d/1UMAh9VGta6ExS2-Lb6GkDF4fmnI2EMeM/view?usp=drivesdk</v>
      </c>
      <c r="Y2040" s="65"/>
      <c r="Z2040" s="65" t="s">
        <v>219</v>
      </c>
      <c r="AA2040" s="65" t="s">
        <v>12362</v>
      </c>
      <c r="AB2040" s="156" t="s">
        <v>12363</v>
      </c>
      <c r="AC2040" s="156" t="s">
        <v>12364</v>
      </c>
      <c r="AD2040" s="65" t="s">
        <v>12365</v>
      </c>
      <c r="AE2040" s="333">
        <v>9.0</v>
      </c>
      <c r="AF2040" s="153">
        <v>37.0</v>
      </c>
      <c r="AG2040" s="65" t="s">
        <v>12366</v>
      </c>
      <c r="AH2040" s="65" t="s">
        <v>127</v>
      </c>
      <c r="AI2040" s="65" t="s">
        <v>621</v>
      </c>
      <c r="AJ2040" s="334">
        <v>0.05</v>
      </c>
      <c r="AK2040" s="58" t="s">
        <v>128</v>
      </c>
      <c r="AL2040" s="58" t="s">
        <v>179</v>
      </c>
      <c r="AM2040" s="65" t="s">
        <v>130</v>
      </c>
      <c r="AN2040" s="1055" t="s">
        <v>131</v>
      </c>
      <c r="AO2040" s="333">
        <v>120.0</v>
      </c>
      <c r="AP2040" s="333">
        <v>0.2</v>
      </c>
      <c r="AQ2040" s="65" t="s">
        <v>7758</v>
      </c>
      <c r="AR2040" s="65" t="s">
        <v>875</v>
      </c>
      <c r="AS2040" s="333">
        <v>0.028</v>
      </c>
      <c r="AT2040" s="65" t="s">
        <v>165</v>
      </c>
      <c r="AU2040" s="65" t="s">
        <v>179</v>
      </c>
      <c r="AV2040" s="65" t="s">
        <v>130</v>
      </c>
      <c r="AW2040" s="126" t="s">
        <v>131</v>
      </c>
      <c r="AX2040" s="65" t="s">
        <v>136</v>
      </c>
      <c r="AZ2040" s="65" t="s">
        <v>1434</v>
      </c>
    </row>
    <row r="2041">
      <c r="A2041" s="41">
        <v>2041.0</v>
      </c>
      <c r="B2041" s="65" t="s">
        <v>145</v>
      </c>
      <c r="C2041" s="59" t="s">
        <v>108</v>
      </c>
      <c r="D2041" s="59" t="s">
        <v>146</v>
      </c>
      <c r="F2041" s="156" t="s">
        <v>12354</v>
      </c>
      <c r="G2041" s="1441" t="s">
        <v>12355</v>
      </c>
      <c r="H2041" s="156" t="s">
        <v>146</v>
      </c>
      <c r="I2041" s="526">
        <v>45690.0</v>
      </c>
      <c r="J2041" s="1368">
        <v>45693.0</v>
      </c>
      <c r="K2041" s="156" t="s">
        <v>12367</v>
      </c>
      <c r="L2041" s="65"/>
      <c r="M2041" s="1902" t="s">
        <v>12358</v>
      </c>
      <c r="N2041" s="434" t="s">
        <v>12359</v>
      </c>
      <c r="O2041" s="153">
        <v>3.0</v>
      </c>
      <c r="P2041" s="379" t="s">
        <v>12360</v>
      </c>
      <c r="Q2041" s="49" t="str">
        <f t="array" ref="Q2041"> if(iserror(MATCH(V2041, 'File Links'!C:C, 0)), "N/A", HYPERLINK(INDEX('File Links'!B:B, MATCH(P2041, 'File Links'!C:C, 0))))</f>
        <v>https://drive.google.com/file/d/1n-xkjkrGpKzc0Ew4FDfG-BXhbw4Koezu/view?usp=drivesdk</v>
      </c>
      <c r="R2041" s="156" t="s">
        <v>12361</v>
      </c>
      <c r="S2041" s="434" t="s">
        <v>10686</v>
      </c>
      <c r="T2041" s="65"/>
      <c r="U2041" s="333">
        <v>1.0</v>
      </c>
      <c r="V2041" s="195" t="str">
        <f t="shared" si="122"/>
        <v>10.1126--science.aac4716.pdf</v>
      </c>
      <c r="W2041" s="434" t="s">
        <v>157</v>
      </c>
      <c r="X2041" s="51" t="str">
        <f t="array" ref="X2041"> if(iserror(MATCH(V2041, 'File Links'!C:C, 0)), "N/A", HYPERLINK(INDEX('File Links'!B:B, MATCH(V2041, 'File Links'!C:C, 0))))</f>
        <v>https://drive.google.com/file/d/1UMAh9VGta6ExS2-Lb6GkDF4fmnI2EMeM/view?usp=drivesdk</v>
      </c>
      <c r="Y2041" s="65"/>
      <c r="Z2041" s="156" t="s">
        <v>219</v>
      </c>
      <c r="AA2041" s="156" t="s">
        <v>12368</v>
      </c>
      <c r="AB2041" s="434" t="s">
        <v>12369</v>
      </c>
      <c r="AC2041" s="156" t="s">
        <v>12370</v>
      </c>
      <c r="AD2041" s="156" t="s">
        <v>12371</v>
      </c>
      <c r="AE2041" s="333">
        <v>9.0</v>
      </c>
      <c r="AF2041" s="333">
        <v>37.0</v>
      </c>
      <c r="AG2041" s="498" t="s">
        <v>12372</v>
      </c>
      <c r="AH2041" s="156" t="s">
        <v>127</v>
      </c>
      <c r="AI2041" s="65" t="s">
        <v>621</v>
      </c>
      <c r="AJ2041" s="334">
        <v>0.05</v>
      </c>
      <c r="AK2041" s="54" t="s">
        <v>128</v>
      </c>
      <c r="AL2041" s="54" t="s">
        <v>179</v>
      </c>
      <c r="AM2041" s="65" t="s">
        <v>130</v>
      </c>
      <c r="AN2041" s="1055" t="s">
        <v>131</v>
      </c>
      <c r="AO2041" s="333">
        <v>120.0</v>
      </c>
      <c r="AP2041" s="333">
        <v>0.2</v>
      </c>
      <c r="AQ2041" s="156" t="s">
        <v>7758</v>
      </c>
      <c r="AR2041" s="156" t="s">
        <v>806</v>
      </c>
      <c r="AS2041" s="333">
        <v>0.028</v>
      </c>
      <c r="AT2041" s="156" t="s">
        <v>165</v>
      </c>
      <c r="AU2041" s="156" t="s">
        <v>179</v>
      </c>
      <c r="AV2041" s="65" t="s">
        <v>130</v>
      </c>
      <c r="AW2041" s="432" t="s">
        <v>12373</v>
      </c>
      <c r="AX2041" s="65" t="s">
        <v>136</v>
      </c>
      <c r="AZ2041" s="65" t="s">
        <v>1434</v>
      </c>
    </row>
    <row r="2042">
      <c r="A2042" s="41">
        <v>2042.0</v>
      </c>
      <c r="B2042" s="65" t="s">
        <v>145</v>
      </c>
      <c r="C2042" s="59" t="s">
        <v>108</v>
      </c>
      <c r="D2042" s="59" t="s">
        <v>1434</v>
      </c>
      <c r="F2042" s="357" t="s">
        <v>12374</v>
      </c>
      <c r="G2042" s="44" t="s">
        <v>12375</v>
      </c>
      <c r="H2042" s="357" t="s">
        <v>12376</v>
      </c>
      <c r="I2042" s="526">
        <v>45690.0</v>
      </c>
      <c r="J2042" s="1368">
        <v>45693.0</v>
      </c>
      <c r="K2042" s="43" t="s">
        <v>12377</v>
      </c>
      <c r="L2042" s="43"/>
      <c r="M2042" s="1902" t="s">
        <v>12378</v>
      </c>
      <c r="N2042" s="357" t="s">
        <v>12379</v>
      </c>
      <c r="O2042" s="382">
        <v>4.0</v>
      </c>
      <c r="P2042" s="357" t="s">
        <v>12380</v>
      </c>
      <c r="Q2042" s="49" t="str">
        <f t="array" ref="Q2042"> if(iserror(MATCH(V2042, 'File Links'!C:C, 0)), "N/A", HYPERLINK(INDEX('File Links'!B:B, MATCH(P2042, 'File Links'!C:C, 0))))</f>
        <v>https://drive.google.com/file/d/19DaZ3U3kDTGt8DNgyBPYTrh0pbrw_vwe/view?usp=drivesdk</v>
      </c>
      <c r="R2042" s="357" t="s">
        <v>12381</v>
      </c>
      <c r="S2042" s="434" t="s">
        <v>10686</v>
      </c>
      <c r="T2042" s="126"/>
      <c r="U2042" s="43"/>
      <c r="V2042" s="340" t="s">
        <v>12382</v>
      </c>
      <c r="W2042" s="43" t="s">
        <v>3563</v>
      </c>
      <c r="X2042" s="51" t="str">
        <f t="array" ref="X2042"> if(iserror(MATCH(V2042, 'File Links'!C:C, 0)), "N/A", HYPERLINK(INDEX('File Links'!B:B, MATCH(V2042, 'File Links'!C:C, 0))))</f>
        <v>https://drive.google.com/file/d/1fXdEI1kl0lQt_4qWiP91lWgenOEsMrKg/view?usp=drivesdk</v>
      </c>
      <c r="Y2042" s="43" t="s">
        <v>12383</v>
      </c>
      <c r="Z2042" s="43" t="s">
        <v>219</v>
      </c>
      <c r="AA2042" s="43" t="s">
        <v>12384</v>
      </c>
      <c r="AB2042" s="357" t="s">
        <v>12385</v>
      </c>
      <c r="AC2042" s="1907" t="s">
        <v>12386</v>
      </c>
      <c r="AD2042" s="43" t="s">
        <v>12387</v>
      </c>
      <c r="AE2042" s="382">
        <v>10.0</v>
      </c>
      <c r="AF2042" s="354">
        <v>246.0</v>
      </c>
      <c r="AG2042" s="43" t="s">
        <v>12388</v>
      </c>
      <c r="AH2042" s="43" t="s">
        <v>127</v>
      </c>
      <c r="AI2042" s="43" t="s">
        <v>625</v>
      </c>
      <c r="AJ2042" s="50">
        <v>0.01</v>
      </c>
      <c r="AK2042" s="46" t="s">
        <v>128</v>
      </c>
      <c r="AL2042" s="46" t="s">
        <v>179</v>
      </c>
      <c r="AM2042" s="43" t="s">
        <v>130</v>
      </c>
      <c r="AN2042" s="1055" t="s">
        <v>131</v>
      </c>
      <c r="AO2042" s="354">
        <v>768703.0</v>
      </c>
      <c r="AP2042" s="382">
        <v>0.4695</v>
      </c>
      <c r="AQ2042" s="43" t="s">
        <v>354</v>
      </c>
      <c r="AR2042" s="43" t="s">
        <v>133</v>
      </c>
      <c r="AS2042" s="382">
        <v>0.758</v>
      </c>
      <c r="AT2042" s="43" t="s">
        <v>165</v>
      </c>
      <c r="AU2042" s="43" t="s">
        <v>179</v>
      </c>
      <c r="AV2042" s="43" t="s">
        <v>130</v>
      </c>
      <c r="AW2042" s="432" t="s">
        <v>12389</v>
      </c>
      <c r="AX2042" s="43" t="s">
        <v>136</v>
      </c>
      <c r="AZ2042" s="65" t="s">
        <v>1434</v>
      </c>
    </row>
    <row r="2043">
      <c r="A2043" s="41">
        <v>2043.0</v>
      </c>
      <c r="B2043" s="65" t="s">
        <v>107</v>
      </c>
      <c r="C2043" s="59" t="s">
        <v>108</v>
      </c>
      <c r="D2043" s="59" t="s">
        <v>146</v>
      </c>
      <c r="F2043" s="156" t="s">
        <v>12374</v>
      </c>
      <c r="G2043" s="1441" t="s">
        <v>12390</v>
      </c>
      <c r="H2043" s="156" t="s">
        <v>146</v>
      </c>
      <c r="I2043" s="526">
        <v>45690.0</v>
      </c>
      <c r="J2043" s="1368">
        <v>45693.0</v>
      </c>
      <c r="K2043" s="156" t="s">
        <v>12391</v>
      </c>
      <c r="L2043" s="65"/>
      <c r="M2043" s="1902" t="s">
        <v>12378</v>
      </c>
      <c r="N2043" s="156" t="s">
        <v>12379</v>
      </c>
      <c r="O2043" s="153">
        <v>4.0</v>
      </c>
      <c r="P2043" s="379" t="s">
        <v>12380</v>
      </c>
      <c r="Q2043" s="49" t="str">
        <f t="array" ref="Q2043"> if(iserror(MATCH(V2043, 'File Links'!C:C, 0)), "N/A", HYPERLINK(INDEX('File Links'!B:B, MATCH(P2043, 'File Links'!C:C, 0))))</f>
        <v>https://drive.google.com/file/d/19DaZ3U3kDTGt8DNgyBPYTrh0pbrw_vwe/view?usp=drivesdk</v>
      </c>
      <c r="R2043" s="156" t="s">
        <v>12381</v>
      </c>
      <c r="S2043" s="434" t="s">
        <v>10686</v>
      </c>
      <c r="T2043" s="126"/>
      <c r="U2043" s="333">
        <v>1.0</v>
      </c>
      <c r="V2043" s="379" t="s">
        <v>11219</v>
      </c>
      <c r="W2043" s="156" t="s">
        <v>3563</v>
      </c>
      <c r="X2043" s="51" t="str">
        <f t="array" ref="X2043"> if(iserror(MATCH(V2043, 'File Links'!C:C, 0)), "N/A", HYPERLINK(INDEX('File Links'!B:B, MATCH(V2043, 'File Links'!C:C, 0))))</f>
        <v>https://drive.google.com/file/d/1UMAh9VGta6ExS2-Lb6GkDF4fmnI2EMeM/view?usp=drivesdk</v>
      </c>
      <c r="Y2043" s="65" t="s">
        <v>12392</v>
      </c>
      <c r="Z2043" s="156" t="s">
        <v>219</v>
      </c>
      <c r="AA2043" s="65"/>
      <c r="AB2043" s="156" t="s">
        <v>12393</v>
      </c>
      <c r="AC2043" s="156" t="s">
        <v>12386</v>
      </c>
      <c r="AD2043" s="156" t="s">
        <v>12394</v>
      </c>
      <c r="AE2043" s="153">
        <v>10.0</v>
      </c>
      <c r="AF2043" s="153">
        <v>246.0</v>
      </c>
      <c r="AG2043" s="156" t="s">
        <v>12388</v>
      </c>
      <c r="AH2043" s="156" t="s">
        <v>127</v>
      </c>
      <c r="AI2043" s="156" t="s">
        <v>625</v>
      </c>
      <c r="AJ2043" s="334">
        <v>0.01</v>
      </c>
      <c r="AK2043" s="54" t="s">
        <v>128</v>
      </c>
      <c r="AL2043" s="54" t="s">
        <v>179</v>
      </c>
      <c r="AM2043" s="1908" t="s">
        <v>134</v>
      </c>
      <c r="AN2043" s="1055" t="s">
        <v>131</v>
      </c>
      <c r="AO2043" s="153">
        <v>768703.0</v>
      </c>
      <c r="AP2043" s="153">
        <v>0.4695</v>
      </c>
      <c r="AQ2043" s="156" t="s">
        <v>980</v>
      </c>
      <c r="AR2043" s="156" t="s">
        <v>133</v>
      </c>
      <c r="AS2043" s="153">
        <v>0.758</v>
      </c>
      <c r="AT2043" s="156" t="s">
        <v>165</v>
      </c>
      <c r="AU2043" s="156" t="s">
        <v>179</v>
      </c>
      <c r="AV2043" s="1908" t="s">
        <v>134</v>
      </c>
      <c r="AW2043" s="432" t="s">
        <v>12389</v>
      </c>
      <c r="AX2043" s="65" t="s">
        <v>136</v>
      </c>
      <c r="AZ2043" s="65" t="s">
        <v>1434</v>
      </c>
    </row>
    <row r="2044">
      <c r="A2044" s="41">
        <v>2044.0</v>
      </c>
      <c r="B2044" s="65" t="s">
        <v>145</v>
      </c>
      <c r="C2044" s="59" t="s">
        <v>108</v>
      </c>
      <c r="D2044" s="59" t="s">
        <v>1434</v>
      </c>
      <c r="F2044" s="156" t="s">
        <v>12395</v>
      </c>
      <c r="G2044" s="1441" t="s">
        <v>12396</v>
      </c>
      <c r="H2044" s="156" t="s">
        <v>12397</v>
      </c>
      <c r="I2044" s="526">
        <v>45690.0</v>
      </c>
      <c r="J2044" s="1368">
        <v>45693.0</v>
      </c>
      <c r="K2044" s="65"/>
      <c r="L2044" s="65"/>
      <c r="M2044" s="1902" t="s">
        <v>12398</v>
      </c>
      <c r="N2044" s="434" t="s">
        <v>12399</v>
      </c>
      <c r="O2044" s="333">
        <v>3.0</v>
      </c>
      <c r="P2044" s="379" t="s">
        <v>12400</v>
      </c>
      <c r="Q2044" s="49" t="str">
        <f t="array" ref="Q2044"> if(iserror(MATCH(V2044, 'File Links'!C:C, 0)), "N/A", HYPERLINK(INDEX('File Links'!B:B, MATCH(P2044, 'File Links'!C:C, 0))))</f>
        <v>https://drive.google.com/file/d/12RwvQLmV6wPAqPP_X6JgA8Qo27g_8SJK/view?usp=drivesdk</v>
      </c>
      <c r="R2044" s="156" t="s">
        <v>12401</v>
      </c>
      <c r="S2044" s="434" t="s">
        <v>10686</v>
      </c>
      <c r="T2044" s="65"/>
      <c r="U2044" s="333">
        <v>1.0</v>
      </c>
      <c r="V2044" s="195" t="str">
        <f t="shared" ref="V2044:V2059" si="123"> hyperlink(vlookup(lower(S2044),#REF!, 2, FALSE), SUBSTITUTE(lower(S2044), "/", "--") &amp;  ".pdf")</f>
        <v>10.1126--science.aac4716.pdf</v>
      </c>
      <c r="W2044" s="65" t="s">
        <v>3563</v>
      </c>
      <c r="X2044" s="51" t="str">
        <f t="array" ref="X2044"> if(iserror(MATCH(V2044, 'File Links'!C:C, 0)), "N/A", HYPERLINK(INDEX('File Links'!B:B, MATCH(V2044, 'File Links'!C:C, 0))))</f>
        <v>https://drive.google.com/file/d/1UMAh9VGta6ExS2-Lb6GkDF4fmnI2EMeM/view?usp=drivesdk</v>
      </c>
      <c r="Y2044" s="65"/>
      <c r="Z2044" s="65" t="s">
        <v>141</v>
      </c>
      <c r="AA2044" s="65" t="s">
        <v>12402</v>
      </c>
      <c r="AB2044" s="156" t="s">
        <v>12403</v>
      </c>
      <c r="AC2044" s="1925" t="s">
        <v>12404</v>
      </c>
      <c r="AD2044" s="65" t="s">
        <v>12405</v>
      </c>
      <c r="AE2044" s="333">
        <v>13.0</v>
      </c>
      <c r="AF2044" s="153">
        <v>39.0</v>
      </c>
      <c r="AG2044" s="333">
        <v>0.32</v>
      </c>
      <c r="AH2044" s="65" t="s">
        <v>132</v>
      </c>
      <c r="AI2044" s="65" t="s">
        <v>429</v>
      </c>
      <c r="AJ2044" s="334">
        <v>0.001</v>
      </c>
      <c r="AK2044" s="58" t="s">
        <v>128</v>
      </c>
      <c r="AL2044" s="58" t="s">
        <v>179</v>
      </c>
      <c r="AM2044" s="65" t="s">
        <v>130</v>
      </c>
      <c r="AN2044" s="1055" t="s">
        <v>131</v>
      </c>
      <c r="AO2044" s="333">
        <v>33.0</v>
      </c>
      <c r="AP2044" s="65" t="s">
        <v>12406</v>
      </c>
      <c r="AQ2044" s="65" t="s">
        <v>127</v>
      </c>
      <c r="AR2044" s="65" t="s">
        <v>806</v>
      </c>
      <c r="AS2044" s="333">
        <v>0.54</v>
      </c>
      <c r="AT2044" s="65" t="s">
        <v>165</v>
      </c>
      <c r="AU2044" s="65" t="s">
        <v>179</v>
      </c>
      <c r="AV2044" s="65" t="s">
        <v>130</v>
      </c>
      <c r="AW2044" s="432" t="s">
        <v>12407</v>
      </c>
      <c r="AX2044" s="65" t="s">
        <v>136</v>
      </c>
      <c r="AZ2044" s="65" t="s">
        <v>1434</v>
      </c>
    </row>
    <row r="2045">
      <c r="A2045" s="41">
        <v>2045.0</v>
      </c>
      <c r="B2045" s="65" t="s">
        <v>107</v>
      </c>
      <c r="C2045" s="59" t="s">
        <v>108</v>
      </c>
      <c r="D2045" s="59" t="s">
        <v>146</v>
      </c>
      <c r="F2045" s="156" t="s">
        <v>12395</v>
      </c>
      <c r="G2045" s="1441" t="s">
        <v>12396</v>
      </c>
      <c r="H2045" s="156" t="s">
        <v>146</v>
      </c>
      <c r="I2045" s="526">
        <v>45690.0</v>
      </c>
      <c r="J2045" s="1368">
        <v>45693.0</v>
      </c>
      <c r="K2045" s="65" t="s">
        <v>12408</v>
      </c>
      <c r="L2045" s="65"/>
      <c r="M2045" s="1902" t="s">
        <v>12398</v>
      </c>
      <c r="N2045" s="156" t="s">
        <v>12399</v>
      </c>
      <c r="O2045" s="333">
        <v>3.0</v>
      </c>
      <c r="P2045" s="379" t="s">
        <v>12400</v>
      </c>
      <c r="Q2045" s="49" t="str">
        <f t="array" ref="Q2045"> if(iserror(MATCH(V2045, 'File Links'!C:C, 0)), "N/A", HYPERLINK(INDEX('File Links'!B:B, MATCH(P2045, 'File Links'!C:C, 0))))</f>
        <v>https://drive.google.com/file/d/12RwvQLmV6wPAqPP_X6JgA8Qo27g_8SJK/view?usp=drivesdk</v>
      </c>
      <c r="R2045" s="156" t="s">
        <v>12401</v>
      </c>
      <c r="S2045" s="434" t="s">
        <v>10686</v>
      </c>
      <c r="T2045" s="126"/>
      <c r="U2045" s="333">
        <v>1.0</v>
      </c>
      <c r="V2045" s="195" t="str">
        <f t="shared" si="123"/>
        <v>10.1126--science.aac4716.pdf</v>
      </c>
      <c r="W2045" s="156" t="s">
        <v>3563</v>
      </c>
      <c r="X2045" s="51" t="str">
        <f t="array" ref="X2045"> if(iserror(MATCH(V2045, 'File Links'!C:C, 0)), "N/A", HYPERLINK(INDEX('File Links'!B:B, MATCH(V2045, 'File Links'!C:C, 0))))</f>
        <v>https://drive.google.com/file/d/1UMAh9VGta6ExS2-Lb6GkDF4fmnI2EMeM/view?usp=drivesdk</v>
      </c>
      <c r="Y2045" s="65"/>
      <c r="Z2045" s="156" t="s">
        <v>141</v>
      </c>
      <c r="AA2045" s="156" t="s">
        <v>12409</v>
      </c>
      <c r="AB2045" s="65" t="s">
        <v>12410</v>
      </c>
      <c r="AC2045" s="65" t="s">
        <v>12404</v>
      </c>
      <c r="AD2045" s="156" t="s">
        <v>12411</v>
      </c>
      <c r="AE2045" s="333">
        <v>13.0</v>
      </c>
      <c r="AF2045" s="333">
        <v>39.0</v>
      </c>
      <c r="AG2045" s="333">
        <v>0.32</v>
      </c>
      <c r="AH2045" s="156" t="s">
        <v>132</v>
      </c>
      <c r="AI2045" s="65" t="s">
        <v>429</v>
      </c>
      <c r="AJ2045" s="334">
        <v>0.001</v>
      </c>
      <c r="AK2045" s="58" t="s">
        <v>128</v>
      </c>
      <c r="AL2045" s="58" t="s">
        <v>179</v>
      </c>
      <c r="AM2045" s="1908" t="s">
        <v>134</v>
      </c>
      <c r="AN2045" s="1055" t="s">
        <v>131</v>
      </c>
      <c r="AO2045" s="333">
        <v>33.0</v>
      </c>
      <c r="AP2045" s="333" t="s">
        <v>12412</v>
      </c>
      <c r="AQ2045" s="65" t="s">
        <v>127</v>
      </c>
      <c r="AR2045" s="65" t="s">
        <v>806</v>
      </c>
      <c r="AS2045" s="333">
        <v>0.54</v>
      </c>
      <c r="AT2045" s="65" t="s">
        <v>165</v>
      </c>
      <c r="AU2045" s="65" t="s">
        <v>179</v>
      </c>
      <c r="AV2045" s="1908" t="s">
        <v>134</v>
      </c>
      <c r="AW2045" s="432" t="s">
        <v>12407</v>
      </c>
      <c r="AX2045" s="65" t="s">
        <v>136</v>
      </c>
      <c r="AZ2045" s="65" t="s">
        <v>1434</v>
      </c>
    </row>
    <row r="2046">
      <c r="A2046" s="41">
        <v>2046.0</v>
      </c>
      <c r="B2046" s="65" t="s">
        <v>145</v>
      </c>
      <c r="C2046" s="59" t="s">
        <v>108</v>
      </c>
      <c r="D2046" s="59" t="s">
        <v>1434</v>
      </c>
      <c r="F2046" s="156" t="s">
        <v>12413</v>
      </c>
      <c r="G2046" s="1441" t="s">
        <v>12414</v>
      </c>
      <c r="H2046" s="156" t="s">
        <v>12415</v>
      </c>
      <c r="I2046" s="526">
        <v>45690.0</v>
      </c>
      <c r="J2046" s="1368">
        <v>45693.0</v>
      </c>
      <c r="K2046" s="591" t="s">
        <v>12416</v>
      </c>
      <c r="L2046" s="65"/>
      <c r="M2046" s="1902" t="s">
        <v>12417</v>
      </c>
      <c r="N2046" s="434" t="s">
        <v>5998</v>
      </c>
      <c r="O2046" s="333">
        <v>5.0</v>
      </c>
      <c r="P2046" s="379" t="s">
        <v>12418</v>
      </c>
      <c r="Q2046" s="49" t="str">
        <f t="array" ref="Q2046"> if(iserror(MATCH(V2046, 'File Links'!C:C, 0)), "N/A", HYPERLINK(INDEX('File Links'!B:B, MATCH(P2046, 'File Links'!C:C, 0))))</f>
        <v>https://drive.google.com/file/d/11YlCMyN4uuL8Bm15aAIWE8inJeqhHaiW/view?usp=drivesdk</v>
      </c>
      <c r="R2046" s="156" t="s">
        <v>12419</v>
      </c>
      <c r="S2046" s="434" t="s">
        <v>10686</v>
      </c>
      <c r="T2046" s="65"/>
      <c r="U2046" s="333"/>
      <c r="V2046" s="195" t="str">
        <f t="shared" si="123"/>
        <v>10.1126--science.aac4716.pdf</v>
      </c>
      <c r="W2046" s="65" t="s">
        <v>157</v>
      </c>
      <c r="X2046" s="51" t="str">
        <f t="array" ref="X2046"> if(iserror(MATCH(V2046, 'File Links'!C:C, 0)), "N/A", HYPERLINK(INDEX('File Links'!B:B, MATCH(V2046, 'File Links'!C:C, 0))))</f>
        <v>https://drive.google.com/file/d/1UMAh9VGta6ExS2-Lb6GkDF4fmnI2EMeM/view?usp=drivesdk</v>
      </c>
      <c r="Y2046" s="65"/>
      <c r="Z2046" s="65" t="s">
        <v>219</v>
      </c>
      <c r="AA2046" s="65" t="s">
        <v>12420</v>
      </c>
      <c r="AB2046" s="156" t="s">
        <v>12421</v>
      </c>
      <c r="AC2046" s="1907" t="s">
        <v>12422</v>
      </c>
      <c r="AD2046" s="65" t="s">
        <v>12423</v>
      </c>
      <c r="AE2046" s="333">
        <v>11.0</v>
      </c>
      <c r="AF2046" s="153">
        <v>46.0</v>
      </c>
      <c r="AG2046" s="65" t="s">
        <v>12424</v>
      </c>
      <c r="AH2046" s="65" t="s">
        <v>127</v>
      </c>
      <c r="AI2046" s="65" t="s">
        <v>300</v>
      </c>
      <c r="AJ2046" s="334">
        <v>0.05</v>
      </c>
      <c r="AK2046" s="58" t="s">
        <v>128</v>
      </c>
      <c r="AL2046" s="58" t="s">
        <v>179</v>
      </c>
      <c r="AM2046" s="65" t="s">
        <v>134</v>
      </c>
      <c r="AN2046" s="1055" t="s">
        <v>131</v>
      </c>
      <c r="AO2046" s="333">
        <v>70.0</v>
      </c>
      <c r="AP2046" s="65" t="s">
        <v>12425</v>
      </c>
      <c r="AQ2046" s="65" t="s">
        <v>127</v>
      </c>
      <c r="AR2046" s="65" t="s">
        <v>843</v>
      </c>
      <c r="AS2046" s="333">
        <v>0.19</v>
      </c>
      <c r="AT2046" s="65" t="s">
        <v>165</v>
      </c>
      <c r="AU2046" s="65" t="s">
        <v>179</v>
      </c>
      <c r="AV2046" s="65" t="s">
        <v>134</v>
      </c>
      <c r="AW2046" s="432" t="s">
        <v>12426</v>
      </c>
      <c r="AX2046" s="65" t="s">
        <v>136</v>
      </c>
      <c r="AZ2046" s="65" t="s">
        <v>1434</v>
      </c>
    </row>
    <row r="2047">
      <c r="A2047" s="41">
        <v>2047.0</v>
      </c>
      <c r="B2047" s="65" t="s">
        <v>107</v>
      </c>
      <c r="C2047" s="59" t="s">
        <v>108</v>
      </c>
      <c r="D2047" s="59" t="s">
        <v>146</v>
      </c>
      <c r="F2047" s="156" t="s">
        <v>12413</v>
      </c>
      <c r="G2047" s="1441" t="s">
        <v>12427</v>
      </c>
      <c r="H2047" s="156" t="s">
        <v>146</v>
      </c>
      <c r="I2047" s="526">
        <v>45690.0</v>
      </c>
      <c r="J2047" s="1368">
        <v>45693.0</v>
      </c>
      <c r="K2047" s="156" t="s">
        <v>12428</v>
      </c>
      <c r="L2047" s="65"/>
      <c r="M2047" s="1878" t="s">
        <v>12417</v>
      </c>
      <c r="N2047" s="434" t="s">
        <v>5998</v>
      </c>
      <c r="O2047" s="153">
        <v>5.0</v>
      </c>
      <c r="P2047" s="156" t="s">
        <v>12418</v>
      </c>
      <c r="Q2047" s="49" t="str">
        <f t="array" ref="Q2047"> if(iserror(MATCH(V2047, 'File Links'!C:C, 0)), "N/A", HYPERLINK(INDEX('File Links'!B:B, MATCH(P2047, 'File Links'!C:C, 0))))</f>
        <v>https://drive.google.com/file/d/11YlCMyN4uuL8Bm15aAIWE8inJeqhHaiW/view?usp=drivesdk</v>
      </c>
      <c r="R2047" s="156" t="s">
        <v>12419</v>
      </c>
      <c r="S2047" s="434" t="s">
        <v>10686</v>
      </c>
      <c r="T2047" s="65"/>
      <c r="U2047" s="65"/>
      <c r="V2047" s="195" t="str">
        <f t="shared" si="123"/>
        <v>10.1126--science.aac4716.pdf</v>
      </c>
      <c r="W2047" s="156" t="s">
        <v>157</v>
      </c>
      <c r="X2047" s="51" t="str">
        <f t="array" ref="X2047"> if(iserror(MATCH(V2047, 'File Links'!C:C, 0)), "N/A", HYPERLINK(INDEX('File Links'!B:B, MATCH(V2047, 'File Links'!C:C, 0))))</f>
        <v>https://drive.google.com/file/d/1UMAh9VGta6ExS2-Lb6GkDF4fmnI2EMeM/view?usp=drivesdk</v>
      </c>
      <c r="Y2047" s="65"/>
      <c r="Z2047" s="156" t="s">
        <v>219</v>
      </c>
      <c r="AA2047" s="156" t="s">
        <v>12429</v>
      </c>
      <c r="AB2047" s="156" t="s">
        <v>12430</v>
      </c>
      <c r="AC2047" s="156" t="s">
        <v>12422</v>
      </c>
      <c r="AD2047" s="156" t="s">
        <v>12431</v>
      </c>
      <c r="AE2047" s="153">
        <v>11.0</v>
      </c>
      <c r="AF2047" s="153">
        <v>46.0</v>
      </c>
      <c r="AG2047" s="153" t="s">
        <v>12424</v>
      </c>
      <c r="AH2047" s="156" t="s">
        <v>127</v>
      </c>
      <c r="AI2047" s="156" t="s">
        <v>300</v>
      </c>
      <c r="AJ2047" s="706">
        <v>0.05</v>
      </c>
      <c r="AK2047" s="54" t="s">
        <v>128</v>
      </c>
      <c r="AL2047" s="54" t="s">
        <v>179</v>
      </c>
      <c r="AM2047" s="1908" t="s">
        <v>130</v>
      </c>
      <c r="AN2047" s="1055" t="s">
        <v>131</v>
      </c>
      <c r="AO2047" s="333">
        <v>70.0</v>
      </c>
      <c r="AP2047" s="333" t="s">
        <v>12425</v>
      </c>
      <c r="AQ2047" s="156" t="s">
        <v>127</v>
      </c>
      <c r="AR2047" s="156" t="s">
        <v>843</v>
      </c>
      <c r="AS2047" s="153">
        <v>0.19</v>
      </c>
      <c r="AT2047" s="156" t="s">
        <v>165</v>
      </c>
      <c r="AU2047" s="156" t="s">
        <v>179</v>
      </c>
      <c r="AV2047" s="1908" t="s">
        <v>130</v>
      </c>
      <c r="AW2047" s="432" t="s">
        <v>12426</v>
      </c>
      <c r="AX2047" s="65" t="s">
        <v>136</v>
      </c>
      <c r="AZ2047" s="65" t="s">
        <v>1434</v>
      </c>
    </row>
    <row r="2048">
      <c r="A2048" s="41">
        <v>2048.0</v>
      </c>
      <c r="B2048" s="65" t="s">
        <v>145</v>
      </c>
      <c r="C2048" s="59" t="s">
        <v>108</v>
      </c>
      <c r="D2048" s="59" t="s">
        <v>1434</v>
      </c>
      <c r="F2048" s="156" t="s">
        <v>12432</v>
      </c>
      <c r="G2048" s="1441" t="s">
        <v>12433</v>
      </c>
      <c r="H2048" s="156" t="s">
        <v>12434</v>
      </c>
      <c r="I2048" s="526">
        <v>45690.0</v>
      </c>
      <c r="J2048" s="1368">
        <v>45693.0</v>
      </c>
      <c r="K2048" s="65" t="s">
        <v>12435</v>
      </c>
      <c r="L2048" s="65"/>
      <c r="M2048" s="1902" t="s">
        <v>12436</v>
      </c>
      <c r="N2048" s="156" t="s">
        <v>12437</v>
      </c>
      <c r="O2048" s="333">
        <v>4.0</v>
      </c>
      <c r="P2048" s="379" t="s">
        <v>12438</v>
      </c>
      <c r="Q2048" s="49" t="str">
        <f t="array" ref="Q2048"> if(iserror(MATCH(V2048, 'File Links'!C:C, 0)), "N/A", HYPERLINK(INDEX('File Links'!B:B, MATCH(P2048, 'File Links'!C:C, 0))))</f>
        <v>https://drive.google.com/file/d/1je9cw-vS4o0h7s6-W5SXMCb_uEat2QOt/view?usp=drivesdk</v>
      </c>
      <c r="R2048" s="156" t="s">
        <v>12439</v>
      </c>
      <c r="S2048" s="434" t="s">
        <v>10686</v>
      </c>
      <c r="T2048" s="126"/>
      <c r="U2048" s="333">
        <v>1.0</v>
      </c>
      <c r="V2048" s="195" t="str">
        <f t="shared" si="123"/>
        <v>10.1126--science.aac4716.pdf</v>
      </c>
      <c r="W2048" s="65" t="s">
        <v>157</v>
      </c>
      <c r="X2048" s="51" t="str">
        <f t="array" ref="X2048"> if(iserror(MATCH(V2048, 'File Links'!C:C, 0)), "N/A", HYPERLINK(INDEX('File Links'!B:B, MATCH(V2048, 'File Links'!C:C, 0))))</f>
        <v>https://drive.google.com/file/d/1UMAh9VGta6ExS2-Lb6GkDF4fmnI2EMeM/view?usp=drivesdk</v>
      </c>
      <c r="Y2048" s="65"/>
      <c r="Z2048" s="65" t="s">
        <v>219</v>
      </c>
      <c r="AA2048" s="65" t="s">
        <v>12440</v>
      </c>
      <c r="AB2048" s="156" t="s">
        <v>12441</v>
      </c>
      <c r="AC2048" s="1903" t="s">
        <v>12442</v>
      </c>
      <c r="AD2048" s="65" t="s">
        <v>12443</v>
      </c>
      <c r="AE2048" s="333">
        <v>14.0</v>
      </c>
      <c r="AF2048" s="153">
        <v>94.0</v>
      </c>
      <c r="AG2048" s="333">
        <v>0.07</v>
      </c>
      <c r="AH2048" s="65" t="s">
        <v>132</v>
      </c>
      <c r="AI2048" s="65" t="s">
        <v>2222</v>
      </c>
      <c r="AJ2048" s="334">
        <v>0.01</v>
      </c>
      <c r="AK2048" s="58" t="s">
        <v>128</v>
      </c>
      <c r="AL2048" s="58" t="s">
        <v>179</v>
      </c>
      <c r="AM2048" s="65" t="s">
        <v>134</v>
      </c>
      <c r="AN2048" s="1055" t="s">
        <v>131</v>
      </c>
      <c r="AO2048" s="153">
        <v>141.0</v>
      </c>
      <c r="AP2048" s="65" t="s">
        <v>12444</v>
      </c>
      <c r="AQ2048" s="65" t="s">
        <v>127</v>
      </c>
      <c r="AR2048" s="65" t="s">
        <v>843</v>
      </c>
      <c r="AS2048" s="333">
        <v>0.235</v>
      </c>
      <c r="AT2048" s="65" t="s">
        <v>165</v>
      </c>
      <c r="AU2048" s="65" t="s">
        <v>179</v>
      </c>
      <c r="AV2048" s="65" t="s">
        <v>134</v>
      </c>
      <c r="AW2048" s="432" t="s">
        <v>12445</v>
      </c>
      <c r="AX2048" s="65" t="s">
        <v>144</v>
      </c>
      <c r="AZ2048" s="65" t="s">
        <v>1434</v>
      </c>
    </row>
    <row r="2049">
      <c r="A2049" s="41">
        <v>2049.0</v>
      </c>
      <c r="B2049" s="65" t="s">
        <v>107</v>
      </c>
      <c r="C2049" s="59" t="s">
        <v>108</v>
      </c>
      <c r="D2049" s="59" t="s">
        <v>146</v>
      </c>
      <c r="F2049" s="156" t="s">
        <v>12432</v>
      </c>
      <c r="G2049" s="1441" t="s">
        <v>12446</v>
      </c>
      <c r="H2049" s="156" t="s">
        <v>146</v>
      </c>
      <c r="I2049" s="526">
        <v>45690.0</v>
      </c>
      <c r="J2049" s="1368">
        <v>45693.0</v>
      </c>
      <c r="K2049" s="156" t="s">
        <v>12447</v>
      </c>
      <c r="L2049" s="65" t="s">
        <v>12448</v>
      </c>
      <c r="M2049" s="1902" t="s">
        <v>12436</v>
      </c>
      <c r="N2049" s="434" t="s">
        <v>12437</v>
      </c>
      <c r="O2049" s="153">
        <v>4.0</v>
      </c>
      <c r="P2049" s="379" t="s">
        <v>12438</v>
      </c>
      <c r="Q2049" s="49" t="str">
        <f t="array" ref="Q2049"> if(iserror(MATCH(V2049, 'File Links'!C:C, 0)), "N/A", HYPERLINK(INDEX('File Links'!B:B, MATCH(P2049, 'File Links'!C:C, 0))))</f>
        <v>https://drive.google.com/file/d/1je9cw-vS4o0h7s6-W5SXMCb_uEat2QOt/view?usp=drivesdk</v>
      </c>
      <c r="R2049" s="156" t="s">
        <v>12439</v>
      </c>
      <c r="S2049" s="434" t="s">
        <v>10686</v>
      </c>
      <c r="T2049" s="65"/>
      <c r="U2049" s="333">
        <v>1.0</v>
      </c>
      <c r="V2049" s="195" t="str">
        <f t="shared" si="123"/>
        <v>10.1126--science.aac4716.pdf</v>
      </c>
      <c r="W2049" s="156" t="s">
        <v>157</v>
      </c>
      <c r="X2049" s="51" t="str">
        <f t="array" ref="X2049"> if(iserror(MATCH(V2049, 'File Links'!C:C, 0)), "N/A", HYPERLINK(INDEX('File Links'!B:B, MATCH(V2049, 'File Links'!C:C, 0))))</f>
        <v>https://drive.google.com/file/d/1UMAh9VGta6ExS2-Lb6GkDF4fmnI2EMeM/view?usp=drivesdk</v>
      </c>
      <c r="Y2049" s="65"/>
      <c r="Z2049" s="156" t="s">
        <v>219</v>
      </c>
      <c r="AA2049" s="156" t="s">
        <v>12449</v>
      </c>
      <c r="AB2049" s="156" t="s">
        <v>12450</v>
      </c>
      <c r="AC2049" s="65" t="s">
        <v>12442</v>
      </c>
      <c r="AD2049" s="156" t="s">
        <v>12451</v>
      </c>
      <c r="AE2049" s="333">
        <v>14.0</v>
      </c>
      <c r="AF2049" s="333">
        <v>94.0</v>
      </c>
      <c r="AG2049" s="333">
        <v>0.07</v>
      </c>
      <c r="AH2049" s="156" t="s">
        <v>132</v>
      </c>
      <c r="AI2049" s="156" t="s">
        <v>2222</v>
      </c>
      <c r="AJ2049" s="334">
        <v>0.05</v>
      </c>
      <c r="AK2049" s="54" t="s">
        <v>128</v>
      </c>
      <c r="AL2049" s="54" t="s">
        <v>179</v>
      </c>
      <c r="AM2049" s="65" t="s">
        <v>134</v>
      </c>
      <c r="AN2049" s="1055" t="s">
        <v>131</v>
      </c>
      <c r="AO2049" s="333">
        <v>141.0</v>
      </c>
      <c r="AP2049" s="1926" t="s">
        <v>12452</v>
      </c>
      <c r="AQ2049" s="156" t="s">
        <v>127</v>
      </c>
      <c r="AR2049" s="65" t="s">
        <v>843</v>
      </c>
      <c r="AS2049" s="333">
        <v>0.235</v>
      </c>
      <c r="AT2049" s="156" t="s">
        <v>165</v>
      </c>
      <c r="AU2049" s="156" t="s">
        <v>179</v>
      </c>
      <c r="AV2049" s="65" t="s">
        <v>134</v>
      </c>
      <c r="AW2049" s="432" t="s">
        <v>12445</v>
      </c>
      <c r="AX2049" s="65" t="s">
        <v>144</v>
      </c>
      <c r="AZ2049" s="65" t="s">
        <v>1434</v>
      </c>
    </row>
    <row r="2050">
      <c r="A2050" s="41">
        <v>2050.0</v>
      </c>
      <c r="B2050" s="65" t="s">
        <v>145</v>
      </c>
      <c r="C2050" s="59" t="s">
        <v>108</v>
      </c>
      <c r="D2050" s="59" t="s">
        <v>1434</v>
      </c>
      <c r="F2050" s="156" t="s">
        <v>12453</v>
      </c>
      <c r="G2050" s="1441" t="s">
        <v>12454</v>
      </c>
      <c r="H2050" s="156" t="s">
        <v>12455</v>
      </c>
      <c r="I2050" s="526">
        <v>45690.0</v>
      </c>
      <c r="J2050" s="1368">
        <v>45693.0</v>
      </c>
      <c r="K2050" s="65"/>
      <c r="L2050" s="65" t="s">
        <v>12456</v>
      </c>
      <c r="M2050" s="1902" t="s">
        <v>12457</v>
      </c>
      <c r="N2050" s="156" t="s">
        <v>12458</v>
      </c>
      <c r="O2050" s="333">
        <v>1.0</v>
      </c>
      <c r="P2050" s="379" t="s">
        <v>12459</v>
      </c>
      <c r="Q2050" s="49" t="str">
        <f t="array" ref="Q2050"> if(iserror(MATCH(V2050, 'File Links'!C:C, 0)), "N/A", HYPERLINK(INDEX('File Links'!B:B, MATCH(P2050, 'File Links'!C:C, 0))))</f>
        <v>https://drive.google.com/file/d/1TOZ9euIliRhkN1zDzYb6v8ankkIXs-ya/view?usp=drivesdk</v>
      </c>
      <c r="R2050" s="156" t="s">
        <v>12460</v>
      </c>
      <c r="S2050" s="156" t="s">
        <v>10686</v>
      </c>
      <c r="T2050" s="65"/>
      <c r="U2050" s="333"/>
      <c r="V2050" s="195" t="str">
        <f t="shared" si="123"/>
        <v>10.1126--science.aac4716.pdf</v>
      </c>
      <c r="W2050" s="65" t="s">
        <v>157</v>
      </c>
      <c r="X2050" s="51" t="str">
        <f t="array" ref="X2050"> if(iserror(MATCH(V2050, 'File Links'!C:C, 0)), "N/A", HYPERLINK(INDEX('File Links'!B:B, MATCH(V2050, 'File Links'!C:C, 0))))</f>
        <v>https://drive.google.com/file/d/1UMAh9VGta6ExS2-Lb6GkDF4fmnI2EMeM/view?usp=drivesdk</v>
      </c>
      <c r="Y2050" s="65"/>
      <c r="Z2050" s="65" t="s">
        <v>219</v>
      </c>
      <c r="AA2050" s="65" t="s">
        <v>12461</v>
      </c>
      <c r="AB2050" s="65" t="s">
        <v>12462</v>
      </c>
      <c r="AC2050" s="1907" t="s">
        <v>12463</v>
      </c>
      <c r="AD2050" s="65" t="s">
        <v>12464</v>
      </c>
      <c r="AE2050" s="333">
        <v>2.0</v>
      </c>
      <c r="AF2050" s="333">
        <v>50.0</v>
      </c>
      <c r="AG2050" s="333">
        <v>0.3</v>
      </c>
      <c r="AH2050" s="65" t="s">
        <v>208</v>
      </c>
      <c r="AI2050" s="65" t="s">
        <v>868</v>
      </c>
      <c r="AJ2050" s="334">
        <v>0.05</v>
      </c>
      <c r="AK2050" s="58" t="s">
        <v>128</v>
      </c>
      <c r="AL2050" s="58" t="s">
        <v>179</v>
      </c>
      <c r="AM2050" s="65" t="s">
        <v>130</v>
      </c>
      <c r="AN2050" s="1055" t="s">
        <v>131</v>
      </c>
      <c r="AO2050" s="333">
        <v>50.0</v>
      </c>
      <c r="AP2050" s="333">
        <v>0.27</v>
      </c>
      <c r="AQ2050" s="65" t="s">
        <v>208</v>
      </c>
      <c r="AR2050" s="65" t="s">
        <v>806</v>
      </c>
      <c r="AS2050" s="333">
        <v>0.086</v>
      </c>
      <c r="AT2050" s="65" t="s">
        <v>165</v>
      </c>
      <c r="AU2050" s="65" t="s">
        <v>129</v>
      </c>
      <c r="AV2050" s="65" t="s">
        <v>134</v>
      </c>
      <c r="AW2050" s="432" t="s">
        <v>12465</v>
      </c>
      <c r="AX2050" s="65" t="s">
        <v>136</v>
      </c>
      <c r="AZ2050" s="65" t="s">
        <v>1434</v>
      </c>
    </row>
    <row r="2051">
      <c r="A2051" s="41">
        <v>2051.0</v>
      </c>
      <c r="B2051" s="65" t="s">
        <v>107</v>
      </c>
      <c r="C2051" s="59" t="s">
        <v>108</v>
      </c>
      <c r="D2051" s="59" t="s">
        <v>146</v>
      </c>
      <c r="F2051" s="156" t="s">
        <v>12453</v>
      </c>
      <c r="G2051" s="1441" t="s">
        <v>12454</v>
      </c>
      <c r="H2051" s="156" t="s">
        <v>146</v>
      </c>
      <c r="I2051" s="526">
        <v>45690.0</v>
      </c>
      <c r="J2051" s="1368">
        <v>45693.0</v>
      </c>
      <c r="K2051" s="65"/>
      <c r="L2051" s="65"/>
      <c r="M2051" s="1902" t="s">
        <v>12457</v>
      </c>
      <c r="N2051" s="434" t="s">
        <v>12458</v>
      </c>
      <c r="O2051" s="153">
        <v>1.0</v>
      </c>
      <c r="P2051" s="379" t="s">
        <v>12459</v>
      </c>
      <c r="Q2051" s="49" t="str">
        <f t="array" ref="Q2051"> if(iserror(MATCH(V2051, 'File Links'!C:C, 0)), "N/A", HYPERLINK(INDEX('File Links'!B:B, MATCH(P2051, 'File Links'!C:C, 0))))</f>
        <v>https://drive.google.com/file/d/1TOZ9euIliRhkN1zDzYb6v8ankkIXs-ya/view?usp=drivesdk</v>
      </c>
      <c r="R2051" s="156" t="s">
        <v>12460</v>
      </c>
      <c r="S2051" s="434" t="s">
        <v>10686</v>
      </c>
      <c r="T2051" s="65"/>
      <c r="U2051" s="333">
        <v>1.0</v>
      </c>
      <c r="V2051" s="195" t="str">
        <f t="shared" si="123"/>
        <v>10.1126--science.aac4716.pdf</v>
      </c>
      <c r="W2051" s="156" t="s">
        <v>157</v>
      </c>
      <c r="X2051" s="51" t="str">
        <f t="array" ref="X2051"> if(iserror(MATCH(V2051, 'File Links'!C:C, 0)), "N/A", HYPERLINK(INDEX('File Links'!B:B, MATCH(V2051, 'File Links'!C:C, 0))))</f>
        <v>https://drive.google.com/file/d/1UMAh9VGta6ExS2-Lb6GkDF4fmnI2EMeM/view?usp=drivesdk</v>
      </c>
      <c r="Y2051" s="65"/>
      <c r="Z2051" s="156" t="s">
        <v>219</v>
      </c>
      <c r="AA2051" s="156" t="s">
        <v>4024</v>
      </c>
      <c r="AB2051" s="156" t="s">
        <v>12466</v>
      </c>
      <c r="AC2051" s="156" t="s">
        <v>12463</v>
      </c>
      <c r="AD2051" s="156" t="s">
        <v>12467</v>
      </c>
      <c r="AE2051" s="153">
        <v>2.0</v>
      </c>
      <c r="AF2051" s="153">
        <v>50.0</v>
      </c>
      <c r="AG2051" s="153" t="s">
        <v>12468</v>
      </c>
      <c r="AH2051" s="156" t="s">
        <v>208</v>
      </c>
      <c r="AI2051" s="156" t="s">
        <v>868</v>
      </c>
      <c r="AJ2051" s="706">
        <v>0.025</v>
      </c>
      <c r="AK2051" s="54" t="s">
        <v>128</v>
      </c>
      <c r="AL2051" s="54" t="s">
        <v>179</v>
      </c>
      <c r="AM2051" s="1908" t="s">
        <v>130</v>
      </c>
      <c r="AN2051" s="1055" t="s">
        <v>131</v>
      </c>
      <c r="AO2051" s="333">
        <v>50.0</v>
      </c>
      <c r="AP2051" s="333" t="s">
        <v>12469</v>
      </c>
      <c r="AQ2051" s="156" t="s">
        <v>208</v>
      </c>
      <c r="AR2051" s="156" t="s">
        <v>806</v>
      </c>
      <c r="AS2051" s="153">
        <v>0.086</v>
      </c>
      <c r="AT2051" s="156" t="s">
        <v>165</v>
      </c>
      <c r="AU2051" s="156" t="s">
        <v>129</v>
      </c>
      <c r="AV2051" s="1908" t="s">
        <v>130</v>
      </c>
      <c r="AW2051" s="432" t="s">
        <v>12470</v>
      </c>
      <c r="AX2051" s="65" t="s">
        <v>136</v>
      </c>
      <c r="AZ2051" s="65" t="s">
        <v>1434</v>
      </c>
    </row>
    <row r="2052">
      <c r="A2052" s="41">
        <v>2052.0</v>
      </c>
      <c r="B2052" s="65" t="s">
        <v>145</v>
      </c>
      <c r="C2052" s="59" t="s">
        <v>108</v>
      </c>
      <c r="D2052" s="59" t="s">
        <v>1434</v>
      </c>
      <c r="F2052" s="156" t="s">
        <v>12471</v>
      </c>
      <c r="G2052" s="1441" t="s">
        <v>12472</v>
      </c>
      <c r="H2052" s="156" t="s">
        <v>12473</v>
      </c>
      <c r="I2052" s="526">
        <v>45690.0</v>
      </c>
      <c r="J2052" s="1368">
        <v>45693.0</v>
      </c>
      <c r="K2052" s="65"/>
      <c r="L2052" s="65" t="s">
        <v>12474</v>
      </c>
      <c r="M2052" s="1902" t="s">
        <v>12475</v>
      </c>
      <c r="N2052" s="156" t="s">
        <v>5725</v>
      </c>
      <c r="O2052" s="333">
        <v>4.0</v>
      </c>
      <c r="P2052" s="379" t="s">
        <v>12476</v>
      </c>
      <c r="Q2052" s="49" t="str">
        <f t="array" ref="Q2052"> if(iserror(MATCH(V2052, 'File Links'!C:C, 0)), "N/A", HYPERLINK(INDEX('File Links'!B:B, MATCH(P2052, 'File Links'!C:C, 0))))</f>
        <v>https://drive.google.com/file/d/15DQQpECVr9NdJZ7O7RNWRdNwXQ6KQeXe/view?usp=drivesdk</v>
      </c>
      <c r="R2052" s="156" t="s">
        <v>12477</v>
      </c>
      <c r="S2052" s="434" t="s">
        <v>10686</v>
      </c>
      <c r="T2052" s="126"/>
      <c r="U2052" s="333">
        <v>1.0</v>
      </c>
      <c r="V2052" s="195" t="str">
        <f t="shared" si="123"/>
        <v>10.1126--science.aac4716.pdf</v>
      </c>
      <c r="W2052" s="65" t="s">
        <v>157</v>
      </c>
      <c r="X2052" s="51" t="str">
        <f t="array" ref="X2052"> if(iserror(MATCH(V2052, 'File Links'!C:C, 0)), "N/A", HYPERLINK(INDEX('File Links'!B:B, MATCH(V2052, 'File Links'!C:C, 0))))</f>
        <v>https://drive.google.com/file/d/1UMAh9VGta6ExS2-Lb6GkDF4fmnI2EMeM/view?usp=drivesdk</v>
      </c>
      <c r="Y2052" s="65"/>
      <c r="Z2052" s="65" t="s">
        <v>219</v>
      </c>
      <c r="AA2052" s="65" t="s">
        <v>12478</v>
      </c>
      <c r="AB2052" s="156" t="s">
        <v>12479</v>
      </c>
      <c r="AC2052" s="1907" t="s">
        <v>12480</v>
      </c>
      <c r="AD2052" s="65" t="s">
        <v>12481</v>
      </c>
      <c r="AE2052" s="333">
        <v>11.0</v>
      </c>
      <c r="AF2052" s="153">
        <v>52.0</v>
      </c>
      <c r="AG2052" s="126" t="s">
        <v>12482</v>
      </c>
      <c r="AH2052" s="65" t="s">
        <v>127</v>
      </c>
      <c r="AI2052" s="65" t="s">
        <v>300</v>
      </c>
      <c r="AJ2052" s="334">
        <v>0.001</v>
      </c>
      <c r="AK2052" s="58" t="s">
        <v>165</v>
      </c>
      <c r="AL2052" s="58" t="s">
        <v>179</v>
      </c>
      <c r="AM2052" s="65" t="s">
        <v>134</v>
      </c>
      <c r="AN2052" s="1055" t="s">
        <v>131</v>
      </c>
      <c r="AO2052" s="153">
        <v>150.0</v>
      </c>
      <c r="AP2052" s="126" t="s">
        <v>12483</v>
      </c>
      <c r="AQ2052" s="65" t="s">
        <v>127</v>
      </c>
      <c r="AR2052" s="65" t="s">
        <v>843</v>
      </c>
      <c r="AS2052" s="333">
        <v>0.008</v>
      </c>
      <c r="AT2052" s="65" t="s">
        <v>165</v>
      </c>
      <c r="AU2052" s="65" t="s">
        <v>179</v>
      </c>
      <c r="AV2052" s="65" t="s">
        <v>134</v>
      </c>
      <c r="AW2052" s="432" t="s">
        <v>12484</v>
      </c>
      <c r="AX2052" s="65" t="s">
        <v>136</v>
      </c>
      <c r="AZ2052" s="65" t="s">
        <v>1434</v>
      </c>
    </row>
    <row r="2053">
      <c r="A2053" s="41">
        <v>2053.0</v>
      </c>
      <c r="B2053" s="65" t="s">
        <v>107</v>
      </c>
      <c r="C2053" s="59" t="s">
        <v>108</v>
      </c>
      <c r="D2053" s="59" t="s">
        <v>146</v>
      </c>
      <c r="F2053" s="156" t="s">
        <v>12471</v>
      </c>
      <c r="G2053" s="1441" t="s">
        <v>12472</v>
      </c>
      <c r="H2053" s="156" t="s">
        <v>12485</v>
      </c>
      <c r="I2053" s="526">
        <v>45690.0</v>
      </c>
      <c r="J2053" s="1368">
        <v>45693.0</v>
      </c>
      <c r="K2053" s="156" t="s">
        <v>12486</v>
      </c>
      <c r="L2053" s="65"/>
      <c r="M2053" s="1902" t="s">
        <v>12475</v>
      </c>
      <c r="N2053" s="156" t="s">
        <v>5725</v>
      </c>
      <c r="O2053" s="153">
        <v>4.0</v>
      </c>
      <c r="P2053" s="379" t="s">
        <v>12476</v>
      </c>
      <c r="Q2053" s="49" t="str">
        <f t="array" ref="Q2053"> if(iserror(MATCH(V2053, 'File Links'!C:C, 0)), "N/A", HYPERLINK(INDEX('File Links'!B:B, MATCH(P2053, 'File Links'!C:C, 0))))</f>
        <v>https://drive.google.com/file/d/15DQQpECVr9NdJZ7O7RNWRdNwXQ6KQeXe/view?usp=drivesdk</v>
      </c>
      <c r="R2053" s="156" t="s">
        <v>12477</v>
      </c>
      <c r="S2053" s="434" t="s">
        <v>10686</v>
      </c>
      <c r="T2053" s="126"/>
      <c r="U2053" s="333">
        <v>1.0</v>
      </c>
      <c r="V2053" s="195" t="str">
        <f t="shared" si="123"/>
        <v>10.1126--science.aac4716.pdf</v>
      </c>
      <c r="W2053" s="156" t="s">
        <v>157</v>
      </c>
      <c r="X2053" s="51" t="str">
        <f t="array" ref="X2053"> if(iserror(MATCH(V2053, 'File Links'!C:C, 0)), "N/A", HYPERLINK(INDEX('File Links'!B:B, MATCH(V2053, 'File Links'!C:C, 0))))</f>
        <v>https://drive.google.com/file/d/1UMAh9VGta6ExS2-Lb6GkDF4fmnI2EMeM/view?usp=drivesdk</v>
      </c>
      <c r="Y2053" s="65"/>
      <c r="Z2053" s="156" t="s">
        <v>219</v>
      </c>
      <c r="AA2053" s="156" t="s">
        <v>12487</v>
      </c>
      <c r="AB2053" s="156" t="s">
        <v>12488</v>
      </c>
      <c r="AC2053" s="156" t="s">
        <v>12480</v>
      </c>
      <c r="AD2053" s="148" t="s">
        <v>12489</v>
      </c>
      <c r="AE2053" s="153">
        <v>11.0</v>
      </c>
      <c r="AF2053" s="153">
        <v>52.0</v>
      </c>
      <c r="AG2053" s="148" t="s">
        <v>12482</v>
      </c>
      <c r="AH2053" s="156" t="s">
        <v>127</v>
      </c>
      <c r="AI2053" s="156" t="s">
        <v>300</v>
      </c>
      <c r="AJ2053" s="334">
        <v>0.001</v>
      </c>
      <c r="AK2053" s="54" t="s">
        <v>165</v>
      </c>
      <c r="AL2053" s="54" t="s">
        <v>179</v>
      </c>
      <c r="AM2053" s="1908" t="s">
        <v>130</v>
      </c>
      <c r="AN2053" s="1055" t="s">
        <v>131</v>
      </c>
      <c r="AO2053" s="153">
        <v>150.0</v>
      </c>
      <c r="AP2053" s="156" t="s">
        <v>12490</v>
      </c>
      <c r="AQ2053" s="156" t="s">
        <v>127</v>
      </c>
      <c r="AR2053" s="156" t="s">
        <v>843</v>
      </c>
      <c r="AS2053" s="153">
        <v>0.008</v>
      </c>
      <c r="AT2053" s="156" t="s">
        <v>165</v>
      </c>
      <c r="AU2053" s="156" t="s">
        <v>179</v>
      </c>
      <c r="AV2053" s="1908" t="s">
        <v>130</v>
      </c>
      <c r="AW2053" s="432" t="s">
        <v>12491</v>
      </c>
      <c r="AX2053" s="65" t="s">
        <v>144</v>
      </c>
      <c r="AZ2053" s="65" t="s">
        <v>1434</v>
      </c>
    </row>
    <row r="2054">
      <c r="A2054" s="41">
        <v>2054.0</v>
      </c>
      <c r="B2054" s="65" t="s">
        <v>107</v>
      </c>
      <c r="C2054" s="59" t="s">
        <v>108</v>
      </c>
      <c r="D2054" s="59" t="s">
        <v>1434</v>
      </c>
      <c r="F2054" s="156" t="s">
        <v>12492</v>
      </c>
      <c r="G2054" s="1441" t="s">
        <v>12493</v>
      </c>
      <c r="H2054" s="156" t="s">
        <v>12494</v>
      </c>
      <c r="I2054" s="526">
        <v>45690.0</v>
      </c>
      <c r="J2054" s="1368">
        <v>45693.0</v>
      </c>
      <c r="K2054" s="591" t="s">
        <v>12495</v>
      </c>
      <c r="L2054" s="65"/>
      <c r="M2054" s="1902" t="s">
        <v>12496</v>
      </c>
      <c r="N2054" s="434" t="s">
        <v>12497</v>
      </c>
      <c r="O2054" s="333">
        <v>2.0</v>
      </c>
      <c r="P2054" s="379" t="s">
        <v>12498</v>
      </c>
      <c r="Q2054" s="49" t="str">
        <f t="array" ref="Q2054"> if(iserror(MATCH(V2054, 'File Links'!C:C, 0)), "N/A", HYPERLINK(INDEX('File Links'!B:B, MATCH(P2054, 'File Links'!C:C, 0))))</f>
        <v>https://drive.google.com/file/d/1HdBN17kLB5Dti11EcyS-dTKrGQBVVhsc/view?usp=drivesdk</v>
      </c>
      <c r="R2054" s="156" t="s">
        <v>12499</v>
      </c>
      <c r="S2054" s="434" t="s">
        <v>10686</v>
      </c>
      <c r="T2054" s="65"/>
      <c r="U2054" s="333"/>
      <c r="V2054" s="195" t="str">
        <f t="shared" si="123"/>
        <v>10.1126--science.aac4716.pdf</v>
      </c>
      <c r="W2054" s="65" t="s">
        <v>157</v>
      </c>
      <c r="X2054" s="51" t="str">
        <f t="array" ref="X2054"> if(iserror(MATCH(V2054, 'File Links'!C:C, 0)), "N/A", HYPERLINK(INDEX('File Links'!B:B, MATCH(V2054, 'File Links'!C:C, 0))))</f>
        <v>https://drive.google.com/file/d/1UMAh9VGta6ExS2-Lb6GkDF4fmnI2EMeM/view?usp=drivesdk</v>
      </c>
      <c r="Y2054" s="65"/>
      <c r="Z2054" s="65" t="s">
        <v>219</v>
      </c>
      <c r="AA2054" s="65" t="s">
        <v>12500</v>
      </c>
      <c r="AB2054" s="156" t="s">
        <v>12501</v>
      </c>
      <c r="AC2054" s="156" t="s">
        <v>12502</v>
      </c>
      <c r="AD2054" s="65" t="s">
        <v>12503</v>
      </c>
      <c r="AE2054" s="333">
        <v>6.0</v>
      </c>
      <c r="AF2054" s="153">
        <v>85.0</v>
      </c>
      <c r="AG2054" s="333">
        <v>0.09</v>
      </c>
      <c r="AH2054" s="65" t="s">
        <v>132</v>
      </c>
      <c r="AI2054" s="65" t="s">
        <v>133</v>
      </c>
      <c r="AJ2054" s="334">
        <v>0.02</v>
      </c>
      <c r="AK2054" s="58" t="s">
        <v>128</v>
      </c>
      <c r="AL2054" s="58" t="s">
        <v>179</v>
      </c>
      <c r="AM2054" s="65" t="s">
        <v>130</v>
      </c>
      <c r="AN2054" s="1055" t="s">
        <v>131</v>
      </c>
      <c r="AO2054" s="333">
        <v>140.0</v>
      </c>
      <c r="AP2054" s="333">
        <v>0.01</v>
      </c>
      <c r="AQ2054" s="65" t="s">
        <v>132</v>
      </c>
      <c r="AR2054" s="65" t="s">
        <v>806</v>
      </c>
      <c r="AS2054" s="333">
        <v>0.7</v>
      </c>
      <c r="AT2054" s="65" t="s">
        <v>165</v>
      </c>
      <c r="AU2054" s="65" t="s">
        <v>179</v>
      </c>
      <c r="AV2054" s="65" t="s">
        <v>134</v>
      </c>
      <c r="AW2054" s="126" t="s">
        <v>131</v>
      </c>
      <c r="AX2054" s="65" t="s">
        <v>136</v>
      </c>
      <c r="AZ2054" s="65" t="s">
        <v>1434</v>
      </c>
    </row>
    <row r="2055">
      <c r="A2055" s="41">
        <v>2055.0</v>
      </c>
      <c r="B2055" s="65" t="s">
        <v>145</v>
      </c>
      <c r="C2055" s="59" t="s">
        <v>108</v>
      </c>
      <c r="D2055" s="59" t="s">
        <v>146</v>
      </c>
      <c r="F2055" s="156" t="s">
        <v>12492</v>
      </c>
      <c r="G2055" s="1441" t="s">
        <v>12504</v>
      </c>
      <c r="H2055" s="156" t="s">
        <v>146</v>
      </c>
      <c r="I2055" s="526">
        <v>45690.0</v>
      </c>
      <c r="J2055" s="1368">
        <v>45693.0</v>
      </c>
      <c r="K2055" s="156" t="s">
        <v>12505</v>
      </c>
      <c r="L2055" s="65"/>
      <c r="M2055" s="1902" t="s">
        <v>12496</v>
      </c>
      <c r="N2055" s="434" t="s">
        <v>12497</v>
      </c>
      <c r="O2055" s="153">
        <v>2.0</v>
      </c>
      <c r="P2055" s="379" t="s">
        <v>12498</v>
      </c>
      <c r="Q2055" s="49" t="str">
        <f t="array" ref="Q2055"> if(iserror(MATCH(V2055, 'File Links'!C:C, 0)), "N/A", HYPERLINK(INDEX('File Links'!B:B, MATCH(P2055, 'File Links'!C:C, 0))))</f>
        <v>https://drive.google.com/file/d/1HdBN17kLB5Dti11EcyS-dTKrGQBVVhsc/view?usp=drivesdk</v>
      </c>
      <c r="R2055" s="156" t="s">
        <v>12499</v>
      </c>
      <c r="S2055" s="434" t="s">
        <v>10686</v>
      </c>
      <c r="T2055" s="65"/>
      <c r="U2055" s="333">
        <v>1.0</v>
      </c>
      <c r="V2055" s="195" t="str">
        <f t="shared" si="123"/>
        <v>10.1126--science.aac4716.pdf</v>
      </c>
      <c r="W2055" s="156" t="s">
        <v>157</v>
      </c>
      <c r="X2055" s="51" t="str">
        <f t="array" ref="X2055"> if(iserror(MATCH(V2055, 'File Links'!C:C, 0)), "N/A", HYPERLINK(INDEX('File Links'!B:B, MATCH(V2055, 'File Links'!C:C, 0))))</f>
        <v>https://drive.google.com/file/d/1UMAh9VGta6ExS2-Lb6GkDF4fmnI2EMeM/view?usp=drivesdk</v>
      </c>
      <c r="Y2055" s="65"/>
      <c r="Z2055" s="156" t="s">
        <v>219</v>
      </c>
      <c r="AA2055" s="156" t="s">
        <v>12506</v>
      </c>
      <c r="AB2055" s="156" t="s">
        <v>12507</v>
      </c>
      <c r="AC2055" s="156" t="s">
        <v>12508</v>
      </c>
      <c r="AD2055" s="1903" t="s">
        <v>12503</v>
      </c>
      <c r="AE2055" s="333">
        <v>6.0</v>
      </c>
      <c r="AF2055" s="333">
        <v>85.0</v>
      </c>
      <c r="AG2055" s="333">
        <v>0.09</v>
      </c>
      <c r="AH2055" s="156" t="s">
        <v>132</v>
      </c>
      <c r="AI2055" s="65" t="s">
        <v>133</v>
      </c>
      <c r="AJ2055" s="334">
        <v>0.02</v>
      </c>
      <c r="AK2055" s="54" t="s">
        <v>128</v>
      </c>
      <c r="AL2055" s="54" t="s">
        <v>179</v>
      </c>
      <c r="AM2055" s="65" t="s">
        <v>130</v>
      </c>
      <c r="AN2055" s="1055" t="s">
        <v>131</v>
      </c>
      <c r="AO2055" s="333">
        <v>140.0</v>
      </c>
      <c r="AP2055" s="333">
        <v>0.01</v>
      </c>
      <c r="AQ2055" s="156" t="s">
        <v>132</v>
      </c>
      <c r="AR2055" s="65" t="s">
        <v>806</v>
      </c>
      <c r="AS2055" s="333">
        <v>0.7</v>
      </c>
      <c r="AT2055" s="156" t="s">
        <v>165</v>
      </c>
      <c r="AU2055" s="156" t="s">
        <v>179</v>
      </c>
      <c r="AV2055" s="65" t="s">
        <v>134</v>
      </c>
      <c r="AW2055" s="432" t="s">
        <v>12509</v>
      </c>
      <c r="AX2055" s="65" t="s">
        <v>136</v>
      </c>
      <c r="AZ2055" s="65" t="s">
        <v>1434</v>
      </c>
    </row>
    <row r="2056">
      <c r="A2056" s="41">
        <v>2056.0</v>
      </c>
      <c r="B2056" s="65" t="s">
        <v>145</v>
      </c>
      <c r="C2056" s="59" t="s">
        <v>108</v>
      </c>
      <c r="D2056" s="59" t="s">
        <v>1434</v>
      </c>
      <c r="F2056" s="156" t="s">
        <v>12510</v>
      </c>
      <c r="G2056" s="1441" t="s">
        <v>12511</v>
      </c>
      <c r="H2056" s="156" t="s">
        <v>12512</v>
      </c>
      <c r="I2056" s="526">
        <v>45690.0</v>
      </c>
      <c r="J2056" s="1368">
        <v>45693.0</v>
      </c>
      <c r="K2056" s="65" t="s">
        <v>12513</v>
      </c>
      <c r="L2056" s="65"/>
      <c r="M2056" s="1902" t="s">
        <v>12514</v>
      </c>
      <c r="N2056" s="156" t="s">
        <v>12515</v>
      </c>
      <c r="O2056" s="333">
        <v>4.0</v>
      </c>
      <c r="P2056" s="379" t="s">
        <v>12516</v>
      </c>
      <c r="Q2056" s="49" t="str">
        <f t="array" ref="Q2056"> if(iserror(MATCH(V2056, 'File Links'!C:C, 0)), "N/A", HYPERLINK(INDEX('File Links'!B:B, MATCH(P2056, 'File Links'!C:C, 0))))</f>
        <v>https://drive.google.com/file/d/1Ic6aADz9FFftbyqRAxUFmh-o53coOang/view?usp=drivesdk</v>
      </c>
      <c r="R2056" s="156" t="s">
        <v>12517</v>
      </c>
      <c r="S2056" s="434" t="s">
        <v>10686</v>
      </c>
      <c r="T2056" s="126"/>
      <c r="U2056" s="333">
        <v>1.0</v>
      </c>
      <c r="V2056" s="195" t="str">
        <f t="shared" si="123"/>
        <v>10.1126--science.aac4716.pdf</v>
      </c>
      <c r="W2056" s="65" t="s">
        <v>157</v>
      </c>
      <c r="X2056" s="51" t="str">
        <f t="array" ref="X2056"> if(iserror(MATCH(V2056, 'File Links'!C:C, 0)), "N/A", HYPERLINK(INDEX('File Links'!B:B, MATCH(V2056, 'File Links'!C:C, 0))))</f>
        <v>https://drive.google.com/file/d/1UMAh9VGta6ExS2-Lb6GkDF4fmnI2EMeM/view?usp=drivesdk</v>
      </c>
      <c r="Y2056" s="65"/>
      <c r="Z2056" s="65" t="s">
        <v>219</v>
      </c>
      <c r="AA2056" s="65" t="s">
        <v>12518</v>
      </c>
      <c r="AB2056" s="156" t="s">
        <v>12519</v>
      </c>
      <c r="AC2056" s="1927" t="s">
        <v>12520</v>
      </c>
      <c r="AD2056" s="65" t="s">
        <v>12521</v>
      </c>
      <c r="AE2056" s="333">
        <v>12.0</v>
      </c>
      <c r="AF2056" s="153">
        <v>55.0</v>
      </c>
      <c r="AG2056" s="333">
        <v>0.16</v>
      </c>
      <c r="AH2056" s="65" t="s">
        <v>132</v>
      </c>
      <c r="AI2056" s="65" t="s">
        <v>605</v>
      </c>
      <c r="AJ2056" s="334">
        <v>0.01</v>
      </c>
      <c r="AK2056" s="58" t="s">
        <v>128</v>
      </c>
      <c r="AL2056" s="58" t="s">
        <v>179</v>
      </c>
      <c r="AM2056" s="65" t="s">
        <v>130</v>
      </c>
      <c r="AN2056" s="1055" t="s">
        <v>131</v>
      </c>
      <c r="AO2056" s="153">
        <v>51.0</v>
      </c>
      <c r="AP2056" s="65" t="s">
        <v>12522</v>
      </c>
      <c r="AQ2056" s="65" t="s">
        <v>127</v>
      </c>
      <c r="AR2056" s="65" t="s">
        <v>133</v>
      </c>
      <c r="AS2056" s="333">
        <v>0.93</v>
      </c>
      <c r="AT2056" s="65" t="s">
        <v>165</v>
      </c>
      <c r="AU2056" s="65" t="s">
        <v>179</v>
      </c>
      <c r="AV2056" s="65" t="s">
        <v>130</v>
      </c>
      <c r="AW2056" s="432" t="s">
        <v>12523</v>
      </c>
      <c r="AX2056" s="65" t="s">
        <v>144</v>
      </c>
      <c r="AZ2056" s="65" t="s">
        <v>1434</v>
      </c>
    </row>
    <row r="2057">
      <c r="A2057" s="41">
        <v>2057.0</v>
      </c>
      <c r="B2057" s="65" t="s">
        <v>107</v>
      </c>
      <c r="C2057" s="59" t="s">
        <v>108</v>
      </c>
      <c r="D2057" s="59" t="s">
        <v>146</v>
      </c>
      <c r="F2057" s="156" t="s">
        <v>12510</v>
      </c>
      <c r="G2057" s="1441" t="s">
        <v>12524</v>
      </c>
      <c r="H2057" s="156" t="s">
        <v>146</v>
      </c>
      <c r="I2057" s="526">
        <v>45690.0</v>
      </c>
      <c r="J2057" s="1368">
        <v>45693.0</v>
      </c>
      <c r="K2057" s="156" t="s">
        <v>12525</v>
      </c>
      <c r="L2057" s="65"/>
      <c r="M2057" s="1902" t="s">
        <v>12514</v>
      </c>
      <c r="N2057" s="434" t="s">
        <v>12515</v>
      </c>
      <c r="O2057" s="153">
        <v>4.0</v>
      </c>
      <c r="P2057" s="379" t="s">
        <v>12516</v>
      </c>
      <c r="Q2057" s="49" t="str">
        <f t="array" ref="Q2057"> if(iserror(MATCH(V2057, 'File Links'!C:C, 0)), "N/A", HYPERLINK(INDEX('File Links'!B:B, MATCH(P2057, 'File Links'!C:C, 0))))</f>
        <v>https://drive.google.com/file/d/1Ic6aADz9FFftbyqRAxUFmh-o53coOang/view?usp=drivesdk</v>
      </c>
      <c r="R2057" s="156" t="s">
        <v>12517</v>
      </c>
      <c r="S2057" s="434" t="s">
        <v>10686</v>
      </c>
      <c r="T2057" s="65"/>
      <c r="U2057" s="333">
        <v>1.0</v>
      </c>
      <c r="V2057" s="195" t="str">
        <f t="shared" si="123"/>
        <v>10.1126--science.aac4716.pdf</v>
      </c>
      <c r="W2057" s="156" t="s">
        <v>157</v>
      </c>
      <c r="X2057" s="51" t="str">
        <f t="array" ref="X2057"> if(iserror(MATCH(V2057, 'File Links'!C:C, 0)), "N/A", HYPERLINK(INDEX('File Links'!B:B, MATCH(V2057, 'File Links'!C:C, 0))))</f>
        <v>https://drive.google.com/file/d/1UMAh9VGta6ExS2-Lb6GkDF4fmnI2EMeM/view?usp=drivesdk</v>
      </c>
      <c r="Y2057" s="65"/>
      <c r="Z2057" s="156" t="s">
        <v>219</v>
      </c>
      <c r="AA2057" s="156" t="s">
        <v>12526</v>
      </c>
      <c r="AB2057" s="434" t="s">
        <v>12527</v>
      </c>
      <c r="AC2057" s="434" t="s">
        <v>12520</v>
      </c>
      <c r="AD2057" s="156" t="s">
        <v>12528</v>
      </c>
      <c r="AE2057" s="153">
        <v>12.0</v>
      </c>
      <c r="AF2057" s="153">
        <v>55.0</v>
      </c>
      <c r="AG2057" s="153">
        <v>0.16</v>
      </c>
      <c r="AH2057" s="156" t="s">
        <v>132</v>
      </c>
      <c r="AI2057" s="156" t="s">
        <v>605</v>
      </c>
      <c r="AJ2057" s="334">
        <v>0.01</v>
      </c>
      <c r="AK2057" s="54" t="s">
        <v>128</v>
      </c>
      <c r="AL2057" s="54" t="s">
        <v>179</v>
      </c>
      <c r="AM2057" s="1908" t="s">
        <v>134</v>
      </c>
      <c r="AN2057" s="1055" t="s">
        <v>131</v>
      </c>
      <c r="AO2057" s="333">
        <v>51.0</v>
      </c>
      <c r="AP2057" s="333" t="s">
        <v>12529</v>
      </c>
      <c r="AQ2057" s="156" t="s">
        <v>127</v>
      </c>
      <c r="AR2057" s="156" t="s">
        <v>133</v>
      </c>
      <c r="AS2057" s="153">
        <v>0.93</v>
      </c>
      <c r="AT2057" s="156" t="s">
        <v>165</v>
      </c>
      <c r="AU2057" s="156" t="s">
        <v>179</v>
      </c>
      <c r="AV2057" s="1908" t="s">
        <v>134</v>
      </c>
      <c r="AW2057" s="432" t="s">
        <v>12523</v>
      </c>
      <c r="AX2057" s="65" t="s">
        <v>144</v>
      </c>
      <c r="AZ2057" s="65" t="s">
        <v>1434</v>
      </c>
    </row>
    <row r="2058">
      <c r="A2058" s="41">
        <v>2058.0</v>
      </c>
      <c r="B2058" s="65" t="s">
        <v>145</v>
      </c>
      <c r="C2058" s="185" t="s">
        <v>108</v>
      </c>
      <c r="D2058" s="185" t="s">
        <v>1434</v>
      </c>
      <c r="E2058" s="186"/>
      <c r="F2058" s="195" t="s">
        <v>12530</v>
      </c>
      <c r="G2058" s="55" t="s">
        <v>12531</v>
      </c>
      <c r="H2058" s="195" t="s">
        <v>12532</v>
      </c>
      <c r="I2058" s="1324">
        <v>45690.0</v>
      </c>
      <c r="J2058" s="1368">
        <v>45693.0</v>
      </c>
      <c r="K2058" s="187" t="s">
        <v>12533</v>
      </c>
      <c r="L2058" s="371" t="s">
        <v>12534</v>
      </c>
      <c r="M2058" s="1928" t="s">
        <v>12535</v>
      </c>
      <c r="N2058" s="366" t="s">
        <v>12536</v>
      </c>
      <c r="O2058" s="1093">
        <v>1.0</v>
      </c>
      <c r="P2058" s="195" t="s">
        <v>12537</v>
      </c>
      <c r="Q2058" s="49" t="str">
        <f t="array" ref="Q2058"> if(iserror(MATCH(V2058, 'File Links'!C:C, 0)), "N/A", HYPERLINK(INDEX('File Links'!B:B, MATCH(P2058, 'File Links'!C:C, 0))))</f>
        <v>https://drive.google.com/file/d/1eQcmhUZAM11qxH-mwM6jAouV_rCECXvM/view?usp=drivesdk</v>
      </c>
      <c r="R2058" s="195" t="s">
        <v>12538</v>
      </c>
      <c r="S2058" s="366" t="s">
        <v>10686</v>
      </c>
      <c r="T2058" s="187"/>
      <c r="U2058" s="747" t="s">
        <v>12538</v>
      </c>
      <c r="V2058" s="195" t="str">
        <f t="shared" si="123"/>
        <v>10.1126--science.aac4716.pdf</v>
      </c>
      <c r="W2058" s="187" t="s">
        <v>157</v>
      </c>
      <c r="X2058" s="51" t="str">
        <f t="array" ref="X2058"> if(iserror(MATCH(V2058, 'File Links'!C:C, 0)), "N/A", HYPERLINK(INDEX('File Links'!B:B, MATCH(V2058, 'File Links'!C:C, 0))))</f>
        <v>https://drive.google.com/file/d/1UMAh9VGta6ExS2-Lb6GkDF4fmnI2EMeM/view?usp=drivesdk</v>
      </c>
      <c r="Y2058" s="187"/>
      <c r="Z2058" s="187" t="s">
        <v>219</v>
      </c>
      <c r="AA2058" s="187" t="s">
        <v>12539</v>
      </c>
      <c r="AB2058" s="572" t="s">
        <v>12540</v>
      </c>
      <c r="AC2058" s="195" t="s">
        <v>12541</v>
      </c>
      <c r="AD2058" s="187" t="s">
        <v>12542</v>
      </c>
      <c r="AE2058" s="747">
        <v>9.0</v>
      </c>
      <c r="AF2058" s="755">
        <v>163.0</v>
      </c>
      <c r="AG2058" s="747">
        <v>-0.04</v>
      </c>
      <c r="AH2058" s="187" t="s">
        <v>208</v>
      </c>
      <c r="AI2058" s="187" t="s">
        <v>621</v>
      </c>
      <c r="AJ2058" s="1125">
        <v>0.48</v>
      </c>
      <c r="AK2058" s="190" t="s">
        <v>165</v>
      </c>
      <c r="AL2058" s="190" t="s">
        <v>179</v>
      </c>
      <c r="AM2058" s="187" t="s">
        <v>130</v>
      </c>
      <c r="AN2058" s="1091" t="s">
        <v>131</v>
      </c>
      <c r="AO2058" s="747">
        <v>304.0</v>
      </c>
      <c r="AP2058" s="1929" t="s">
        <v>12543</v>
      </c>
      <c r="AQ2058" s="187" t="s">
        <v>208</v>
      </c>
      <c r="AR2058" s="195" t="s">
        <v>620</v>
      </c>
      <c r="AS2058" s="1930">
        <v>0.42</v>
      </c>
      <c r="AT2058" s="187" t="s">
        <v>165</v>
      </c>
      <c r="AU2058" s="187" t="s">
        <v>179</v>
      </c>
      <c r="AV2058" s="187" t="s">
        <v>130</v>
      </c>
      <c r="AW2058" s="874" t="s">
        <v>12544</v>
      </c>
      <c r="AX2058" s="187" t="s">
        <v>136</v>
      </c>
      <c r="AY2058" s="186"/>
      <c r="AZ2058" s="371" t="s">
        <v>12545</v>
      </c>
    </row>
    <row r="2059">
      <c r="A2059" s="41">
        <v>2059.0</v>
      </c>
      <c r="B2059" s="65" t="s">
        <v>107</v>
      </c>
      <c r="C2059" s="185" t="s">
        <v>108</v>
      </c>
      <c r="D2059" s="185" t="s">
        <v>146</v>
      </c>
      <c r="E2059" s="186"/>
      <c r="F2059" s="195" t="s">
        <v>12530</v>
      </c>
      <c r="G2059" s="55" t="s">
        <v>12546</v>
      </c>
      <c r="H2059" s="195" t="s">
        <v>146</v>
      </c>
      <c r="I2059" s="1324">
        <v>45690.0</v>
      </c>
      <c r="J2059" s="1368">
        <v>45693.0</v>
      </c>
      <c r="K2059" s="187" t="s">
        <v>12547</v>
      </c>
      <c r="L2059" s="187" t="s">
        <v>12548</v>
      </c>
      <c r="M2059" s="1928" t="s">
        <v>12535</v>
      </c>
      <c r="N2059" s="366" t="s">
        <v>12536</v>
      </c>
      <c r="O2059" s="755">
        <v>1.0</v>
      </c>
      <c r="P2059" s="195" t="s">
        <v>12537</v>
      </c>
      <c r="Q2059" s="49" t="str">
        <f t="array" ref="Q2059"> if(iserror(MATCH(V2059, 'File Links'!C:C, 0)), "N/A", HYPERLINK(INDEX('File Links'!B:B, MATCH(P2059, 'File Links'!C:C, 0))))</f>
        <v>https://drive.google.com/file/d/1eQcmhUZAM11qxH-mwM6jAouV_rCECXvM/view?usp=drivesdk</v>
      </c>
      <c r="R2059" s="195" t="s">
        <v>12538</v>
      </c>
      <c r="S2059" s="366" t="s">
        <v>10686</v>
      </c>
      <c r="T2059" s="187"/>
      <c r="U2059" s="747" t="s">
        <v>12538</v>
      </c>
      <c r="V2059" s="195" t="str">
        <f t="shared" si="123"/>
        <v>10.1126--science.aac4716.pdf</v>
      </c>
      <c r="W2059" s="195" t="s">
        <v>157</v>
      </c>
      <c r="X2059" s="51" t="str">
        <f t="array" ref="X2059"> if(iserror(MATCH(V2059, 'File Links'!C:C, 0)), "N/A", HYPERLINK(INDEX('File Links'!B:B, MATCH(V2059, 'File Links'!C:C, 0))))</f>
        <v>https://drive.google.com/file/d/1UMAh9VGta6ExS2-Lb6GkDF4fmnI2EMeM/view?usp=drivesdk</v>
      </c>
      <c r="Y2059" s="187"/>
      <c r="Z2059" s="195" t="s">
        <v>219</v>
      </c>
      <c r="AA2059" s="195" t="s">
        <v>12549</v>
      </c>
      <c r="AB2059" s="195" t="s">
        <v>12550</v>
      </c>
      <c r="AC2059" s="195" t="s">
        <v>12551</v>
      </c>
      <c r="AD2059" s="195" t="s">
        <v>12552</v>
      </c>
      <c r="AE2059" s="755">
        <v>9.0</v>
      </c>
      <c r="AF2059" s="755">
        <v>163.0</v>
      </c>
      <c r="AG2059" s="755">
        <v>-0.04</v>
      </c>
      <c r="AH2059" s="195" t="s">
        <v>208</v>
      </c>
      <c r="AI2059" s="195" t="s">
        <v>621</v>
      </c>
      <c r="AJ2059" s="872">
        <v>0.48</v>
      </c>
      <c r="AK2059" s="55" t="s">
        <v>165</v>
      </c>
      <c r="AL2059" s="55" t="s">
        <v>179</v>
      </c>
      <c r="AM2059" s="187" t="s">
        <v>130</v>
      </c>
      <c r="AN2059" s="1091" t="s">
        <v>131</v>
      </c>
      <c r="AO2059" s="747">
        <v>304.0</v>
      </c>
      <c r="AP2059" s="1142">
        <v>0.19</v>
      </c>
      <c r="AQ2059" s="195" t="s">
        <v>208</v>
      </c>
      <c r="AR2059" s="195" t="s">
        <v>620</v>
      </c>
      <c r="AS2059" s="1134">
        <v>0.05</v>
      </c>
      <c r="AT2059" s="195" t="s">
        <v>328</v>
      </c>
      <c r="AU2059" s="195" t="s">
        <v>179</v>
      </c>
      <c r="AV2059" s="187" t="s">
        <v>130</v>
      </c>
      <c r="AW2059" s="874" t="s">
        <v>12544</v>
      </c>
      <c r="AX2059" s="187" t="s">
        <v>144</v>
      </c>
      <c r="AY2059" s="186"/>
      <c r="AZ2059" s="371" t="s">
        <v>12545</v>
      </c>
    </row>
    <row r="2060">
      <c r="A2060" s="41">
        <v>2060.0</v>
      </c>
      <c r="B2060" s="126" t="s">
        <v>107</v>
      </c>
      <c r="C2060" s="59" t="s">
        <v>108</v>
      </c>
      <c r="D2060" s="59" t="s">
        <v>1434</v>
      </c>
      <c r="F2060" s="357" t="s">
        <v>12553</v>
      </c>
      <c r="G2060" s="44" t="s">
        <v>12554</v>
      </c>
      <c r="H2060" s="357" t="s">
        <v>12555</v>
      </c>
      <c r="I2060" s="526">
        <v>45690.0</v>
      </c>
      <c r="J2060" s="1368">
        <v>45693.0</v>
      </c>
      <c r="K2060" s="43"/>
      <c r="L2060" s="357" t="s">
        <v>12556</v>
      </c>
      <c r="M2060" s="1902" t="s">
        <v>12557</v>
      </c>
      <c r="N2060" s="357" t="s">
        <v>12558</v>
      </c>
      <c r="O2060" s="43"/>
      <c r="P2060" s="357" t="s">
        <v>12559</v>
      </c>
      <c r="Q2060" s="49" t="str">
        <f t="array" ref="Q2060"> if(iserror(MATCH(V2060, 'File Links'!C:C, 0)), "N/A", HYPERLINK(INDEX('File Links'!B:B, MATCH(P2060, 'File Links'!C:C, 0))))</f>
        <v>https://drive.google.com/file/d/1ILNp7MaC4OusbPANu-7wOS3KK98RWdcz/view?usp=drivesdk</v>
      </c>
      <c r="R2060" s="357" t="s">
        <v>12560</v>
      </c>
      <c r="S2060" s="434" t="s">
        <v>10686</v>
      </c>
      <c r="T2060" s="126"/>
      <c r="U2060" s="43"/>
      <c r="V2060" s="357" t="s">
        <v>11219</v>
      </c>
      <c r="W2060" s="43"/>
      <c r="X2060" s="51" t="str">
        <f t="array" ref="X2060"> if(iserror(MATCH(V2060, 'File Links'!C:C, 0)), "N/A", HYPERLINK(INDEX('File Links'!B:B, MATCH(V2060, 'File Links'!C:C, 0))))</f>
        <v>https://drive.google.com/file/d/1UMAh9VGta6ExS2-Lb6GkDF4fmnI2EMeM/view?usp=drivesdk</v>
      </c>
      <c r="Y2060" s="43" t="s">
        <v>12561</v>
      </c>
      <c r="Z2060" s="43"/>
      <c r="AA2060" s="43"/>
      <c r="AB2060" s="357" t="s">
        <v>12562</v>
      </c>
      <c r="AC2060" s="357" t="s">
        <v>12563</v>
      </c>
      <c r="AD2060" s="43"/>
      <c r="AE2060" s="43"/>
      <c r="AF2060" s="354">
        <v>118.0</v>
      </c>
      <c r="AG2060" s="43"/>
      <c r="AH2060" s="43"/>
      <c r="AI2060" s="43"/>
      <c r="AJ2060" s="102"/>
      <c r="AK2060" s="46"/>
      <c r="AL2060" s="46"/>
      <c r="AM2060" s="43"/>
      <c r="AN2060" s="1055" t="s">
        <v>131</v>
      </c>
      <c r="AO2060" s="43"/>
      <c r="AP2060" s="43"/>
      <c r="AQ2060" s="43"/>
      <c r="AR2060" s="43"/>
      <c r="AS2060" s="43"/>
      <c r="AT2060" s="43"/>
      <c r="AU2060" s="43"/>
      <c r="AV2060" s="43"/>
      <c r="AW2060" s="53" t="s">
        <v>131</v>
      </c>
      <c r="AX2060" s="43"/>
      <c r="AZ2060" s="65" t="s">
        <v>1434</v>
      </c>
    </row>
    <row r="2061">
      <c r="A2061" s="41">
        <v>2061.0</v>
      </c>
      <c r="B2061" s="65" t="s">
        <v>107</v>
      </c>
      <c r="C2061" s="59" t="s">
        <v>108</v>
      </c>
      <c r="D2061" s="59" t="s">
        <v>146</v>
      </c>
      <c r="F2061" s="156" t="s">
        <v>12553</v>
      </c>
      <c r="G2061" s="1441" t="s">
        <v>12554</v>
      </c>
      <c r="H2061" s="156" t="s">
        <v>146</v>
      </c>
      <c r="I2061" s="526">
        <v>45690.0</v>
      </c>
      <c r="J2061" s="1368">
        <v>45693.0</v>
      </c>
      <c r="K2061" s="156" t="s">
        <v>12564</v>
      </c>
      <c r="L2061" s="156" t="s">
        <v>12556</v>
      </c>
      <c r="M2061" s="1902" t="s">
        <v>12557</v>
      </c>
      <c r="N2061" s="156" t="s">
        <v>12558</v>
      </c>
      <c r="O2061" s="153">
        <v>4.0</v>
      </c>
      <c r="P2061" s="379" t="s">
        <v>12559</v>
      </c>
      <c r="Q2061" s="49" t="str">
        <f t="array" ref="Q2061"> if(iserror(MATCH(V2061, 'File Links'!C:C, 0)), "N/A", HYPERLINK(INDEX('File Links'!B:B, MATCH(P2061, 'File Links'!C:C, 0))))</f>
        <v>https://drive.google.com/file/d/1ILNp7MaC4OusbPANu-7wOS3KK98RWdcz/view?usp=drivesdk</v>
      </c>
      <c r="R2061" s="156" t="s">
        <v>12560</v>
      </c>
      <c r="S2061" s="434" t="s">
        <v>10686</v>
      </c>
      <c r="T2061" s="126"/>
      <c r="U2061" s="333">
        <v>1.0</v>
      </c>
      <c r="V2061" s="379" t="s">
        <v>11219</v>
      </c>
      <c r="W2061" s="156" t="s">
        <v>157</v>
      </c>
      <c r="X2061" s="51" t="str">
        <f t="array" ref="X2061"> if(iserror(MATCH(V2061, 'File Links'!C:C, 0)), "N/A", HYPERLINK(INDEX('File Links'!B:B, MATCH(V2061, 'File Links'!C:C, 0))))</f>
        <v>https://drive.google.com/file/d/1UMAh9VGta6ExS2-Lb6GkDF4fmnI2EMeM/view?usp=drivesdk</v>
      </c>
      <c r="Y2061" s="65" t="s">
        <v>12565</v>
      </c>
      <c r="Z2061" s="65"/>
      <c r="AA2061" s="65"/>
      <c r="AB2061" s="65"/>
      <c r="AC2061" s="65"/>
      <c r="AD2061" s="65"/>
      <c r="AE2061" s="65"/>
      <c r="AF2061" s="65"/>
      <c r="AG2061" s="65"/>
      <c r="AH2061" s="65"/>
      <c r="AI2061" s="65"/>
      <c r="AJ2061" s="335"/>
      <c r="AK2061" s="58"/>
      <c r="AL2061" s="58"/>
      <c r="AM2061" s="65"/>
      <c r="AN2061" s="1055" t="s">
        <v>131</v>
      </c>
      <c r="AO2061" s="65"/>
      <c r="AP2061" s="65"/>
      <c r="AQ2061" s="65"/>
      <c r="AR2061" s="65"/>
      <c r="AS2061" s="65"/>
      <c r="AT2061" s="65"/>
      <c r="AU2061" s="65"/>
      <c r="AV2061" s="65"/>
      <c r="AW2061" s="126" t="s">
        <v>131</v>
      </c>
      <c r="AX2061" s="65" t="s">
        <v>136</v>
      </c>
      <c r="AZ2061" s="65" t="s">
        <v>1434</v>
      </c>
    </row>
    <row r="2062">
      <c r="A2062" s="41">
        <v>2062.0</v>
      </c>
      <c r="B2062" s="65" t="s">
        <v>145</v>
      </c>
      <c r="C2062" s="146" t="s">
        <v>108</v>
      </c>
      <c r="D2062" s="146" t="s">
        <v>1434</v>
      </c>
      <c r="E2062" s="69"/>
      <c r="F2062" s="119" t="s">
        <v>12566</v>
      </c>
      <c r="G2062" s="109" t="s">
        <v>12567</v>
      </c>
      <c r="H2062" s="119" t="s">
        <v>12568</v>
      </c>
      <c r="I2062" s="1326">
        <v>45690.0</v>
      </c>
      <c r="J2062" s="1368">
        <v>45693.0</v>
      </c>
      <c r="K2062" s="108" t="s">
        <v>12569</v>
      </c>
      <c r="L2062" s="144" t="s">
        <v>12570</v>
      </c>
      <c r="M2062" s="1883" t="s">
        <v>12571</v>
      </c>
      <c r="N2062" s="119" t="s">
        <v>12572</v>
      </c>
      <c r="O2062" s="108"/>
      <c r="P2062" s="119" t="s">
        <v>12573</v>
      </c>
      <c r="Q2062" s="49" t="str">
        <f t="array" ref="Q2062"> if(iserror(MATCH(V2062, 'File Links'!C:C, 0)), "N/A", HYPERLINK(INDEX('File Links'!B:B, MATCH(P2062, 'File Links'!C:C, 0))))</f>
        <v>https://drive.google.com/file/d/1oih40CT0uXiqw7e6vWDoDVi8-0MewGVn/view?usp=drivesdk</v>
      </c>
      <c r="R2062" s="119" t="s">
        <v>12574</v>
      </c>
      <c r="S2062" s="434" t="s">
        <v>10686</v>
      </c>
      <c r="T2062" s="126"/>
      <c r="U2062" s="108"/>
      <c r="V2062" s="195" t="str">
        <f t="shared" ref="V2062:V2074" si="124"> hyperlink(vlookup(lower(S2062),#REF!, 2, FALSE), SUBSTITUTE(lower(S2062), "/", "--") &amp;  ".pdf")</f>
        <v>10.1126--science.aac4716.pdf</v>
      </c>
      <c r="W2062" s="108" t="s">
        <v>3563</v>
      </c>
      <c r="X2062" s="51" t="str">
        <f t="array" ref="X2062"> if(iserror(MATCH(V2062, 'File Links'!C:C, 0)), "N/A", HYPERLINK(INDEX('File Links'!B:B, MATCH(V2062, 'File Links'!C:C, 0))))</f>
        <v>https://drive.google.com/file/d/1UMAh9VGta6ExS2-Lb6GkDF4fmnI2EMeM/view?usp=drivesdk</v>
      </c>
      <c r="Y2062" s="108"/>
      <c r="Z2062" s="108" t="s">
        <v>219</v>
      </c>
      <c r="AA2062" s="108" t="s">
        <v>12575</v>
      </c>
      <c r="AB2062" s="119" t="s">
        <v>12576</v>
      </c>
      <c r="AC2062" s="1931" t="s">
        <v>12577</v>
      </c>
      <c r="AD2062" s="108" t="s">
        <v>12578</v>
      </c>
      <c r="AE2062" s="1884">
        <v>24.0</v>
      </c>
      <c r="AF2062" s="534">
        <v>91.0</v>
      </c>
      <c r="AG2062" s="1106">
        <v>0.59</v>
      </c>
      <c r="AH2062" s="108" t="s">
        <v>354</v>
      </c>
      <c r="AI2062" s="108" t="s">
        <v>2288</v>
      </c>
      <c r="AJ2062" s="1107">
        <v>0.01</v>
      </c>
      <c r="AK2062" s="111" t="s">
        <v>128</v>
      </c>
      <c r="AL2062" s="111" t="s">
        <v>179</v>
      </c>
      <c r="AM2062" s="108" t="s">
        <v>134</v>
      </c>
      <c r="AN2062" s="455" t="s">
        <v>131</v>
      </c>
      <c r="AO2062" s="534">
        <v>76.0</v>
      </c>
      <c r="AP2062" s="144" t="s">
        <v>12579</v>
      </c>
      <c r="AQ2062" s="108" t="s">
        <v>127</v>
      </c>
      <c r="AR2062" s="144" t="s">
        <v>625</v>
      </c>
      <c r="AS2062" s="1161" t="s">
        <v>131</v>
      </c>
      <c r="AT2062" s="216" t="s">
        <v>131</v>
      </c>
      <c r="AU2062" s="108" t="s">
        <v>179</v>
      </c>
      <c r="AV2062" s="108" t="s">
        <v>134</v>
      </c>
      <c r="AW2062" s="653" t="s">
        <v>12580</v>
      </c>
      <c r="AX2062" s="108" t="s">
        <v>136</v>
      </c>
      <c r="AY2062" s="69"/>
      <c r="AZ2062" s="144" t="s">
        <v>12545</v>
      </c>
    </row>
    <row r="2063">
      <c r="A2063" s="41">
        <v>2063.0</v>
      </c>
      <c r="B2063" s="65" t="s">
        <v>145</v>
      </c>
      <c r="C2063" s="146" t="s">
        <v>108</v>
      </c>
      <c r="D2063" s="146" t="s">
        <v>146</v>
      </c>
      <c r="E2063" s="69"/>
      <c r="F2063" s="119" t="s">
        <v>12566</v>
      </c>
      <c r="G2063" s="109" t="s">
        <v>12581</v>
      </c>
      <c r="H2063" s="119" t="s">
        <v>146</v>
      </c>
      <c r="I2063" s="1326">
        <v>45690.0</v>
      </c>
      <c r="J2063" s="1368">
        <v>45693.0</v>
      </c>
      <c r="K2063" s="119" t="s">
        <v>12582</v>
      </c>
      <c r="L2063" s="108"/>
      <c r="M2063" s="1883" t="s">
        <v>12571</v>
      </c>
      <c r="N2063" s="215" t="s">
        <v>12572</v>
      </c>
      <c r="O2063" s="534">
        <v>8.0</v>
      </c>
      <c r="P2063" s="119" t="s">
        <v>12573</v>
      </c>
      <c r="Q2063" s="49" t="str">
        <f t="array" ref="Q2063"> if(iserror(MATCH(V2063, 'File Links'!C:C, 0)), "N/A", HYPERLINK(INDEX('File Links'!B:B, MATCH(P2063, 'File Links'!C:C, 0))))</f>
        <v>https://drive.google.com/file/d/1oih40CT0uXiqw7e6vWDoDVi8-0MewGVn/view?usp=drivesdk</v>
      </c>
      <c r="R2063" s="119" t="s">
        <v>12574</v>
      </c>
      <c r="S2063" s="215" t="s">
        <v>10686</v>
      </c>
      <c r="T2063" s="108"/>
      <c r="U2063" s="108"/>
      <c r="V2063" s="195" t="str">
        <f t="shared" si="124"/>
        <v>10.1126--science.aac4716.pdf</v>
      </c>
      <c r="W2063" s="119" t="s">
        <v>3563</v>
      </c>
      <c r="X2063" s="51" t="str">
        <f t="array" ref="X2063"> if(iserror(MATCH(V2063, 'File Links'!C:C, 0)), "N/A", HYPERLINK(INDEX('File Links'!B:B, MATCH(V2063, 'File Links'!C:C, 0))))</f>
        <v>https://drive.google.com/file/d/1UMAh9VGta6ExS2-Lb6GkDF4fmnI2EMeM/view?usp=drivesdk</v>
      </c>
      <c r="Y2063" s="108"/>
      <c r="Z2063" s="119" t="s">
        <v>219</v>
      </c>
      <c r="AA2063" s="119" t="s">
        <v>12583</v>
      </c>
      <c r="AB2063" s="215" t="s">
        <v>12584</v>
      </c>
      <c r="AC2063" s="119" t="s">
        <v>12577</v>
      </c>
      <c r="AD2063" s="119" t="s">
        <v>12585</v>
      </c>
      <c r="AE2063" s="1106">
        <v>24.0</v>
      </c>
      <c r="AF2063" s="1106">
        <v>91.0</v>
      </c>
      <c r="AG2063" s="1106">
        <v>0.59</v>
      </c>
      <c r="AH2063" s="1932" t="s">
        <v>354</v>
      </c>
      <c r="AI2063" s="108" t="s">
        <v>2288</v>
      </c>
      <c r="AJ2063" s="1107">
        <v>0.01</v>
      </c>
      <c r="AK2063" s="109" t="s">
        <v>128</v>
      </c>
      <c r="AL2063" s="109" t="s">
        <v>179</v>
      </c>
      <c r="AM2063" s="108" t="s">
        <v>134</v>
      </c>
      <c r="AN2063" s="455" t="s">
        <v>131</v>
      </c>
      <c r="AO2063" s="1106">
        <v>76.0</v>
      </c>
      <c r="AP2063" s="1106">
        <v>0.9</v>
      </c>
      <c r="AQ2063" s="1932" t="s">
        <v>980</v>
      </c>
      <c r="AR2063" s="108" t="s">
        <v>625</v>
      </c>
      <c r="AS2063" s="108"/>
      <c r="AT2063" s="216" t="s">
        <v>131</v>
      </c>
      <c r="AU2063" s="119" t="s">
        <v>179</v>
      </c>
      <c r="AV2063" s="108" t="s">
        <v>134</v>
      </c>
      <c r="AW2063" s="653" t="s">
        <v>12580</v>
      </c>
      <c r="AX2063" s="108" t="s">
        <v>136</v>
      </c>
      <c r="AY2063" s="69"/>
      <c r="AZ2063" s="108" t="s">
        <v>1434</v>
      </c>
    </row>
    <row r="2064">
      <c r="A2064" s="41">
        <v>2064.0</v>
      </c>
      <c r="B2064" s="65" t="s">
        <v>145</v>
      </c>
      <c r="C2064" s="59" t="s">
        <v>108</v>
      </c>
      <c r="D2064" s="59" t="s">
        <v>1434</v>
      </c>
      <c r="F2064" s="156" t="s">
        <v>12586</v>
      </c>
      <c r="G2064" s="1441" t="s">
        <v>12587</v>
      </c>
      <c r="H2064" s="156" t="s">
        <v>11762</v>
      </c>
      <c r="I2064" s="526">
        <v>45690.0</v>
      </c>
      <c r="J2064" s="1368">
        <v>45693.0</v>
      </c>
      <c r="K2064" s="65" t="s">
        <v>12588</v>
      </c>
      <c r="L2064" s="126" t="s">
        <v>12589</v>
      </c>
      <c r="M2064" s="1902" t="s">
        <v>12590</v>
      </c>
      <c r="N2064" s="434" t="s">
        <v>12591</v>
      </c>
      <c r="O2064" s="333">
        <v>5.0</v>
      </c>
      <c r="P2064" s="379" t="s">
        <v>12592</v>
      </c>
      <c r="Q2064" s="49" t="str">
        <f t="array" ref="Q2064"> if(iserror(MATCH(V2064, 'File Links'!C:C, 0)), "N/A", HYPERLINK(INDEX('File Links'!B:B, MATCH(P2064, 'File Links'!C:C, 0))))</f>
        <v>https://drive.google.com/file/d/1a05JoYmLdyaqZqx1lMlnobPSBoVtshdG/view?usp=drivesdk</v>
      </c>
      <c r="R2064" s="156" t="s">
        <v>12593</v>
      </c>
      <c r="S2064" s="434" t="s">
        <v>10686</v>
      </c>
      <c r="T2064" s="65"/>
      <c r="U2064" s="333"/>
      <c r="V2064" s="195" t="str">
        <f t="shared" si="124"/>
        <v>10.1126--science.aac4716.pdf</v>
      </c>
      <c r="W2064" s="65" t="s">
        <v>3563</v>
      </c>
      <c r="X2064" s="51" t="str">
        <f t="array" ref="X2064"> if(iserror(MATCH(V2064, 'File Links'!C:C, 0)), "N/A", HYPERLINK(INDEX('File Links'!B:B, MATCH(V2064, 'File Links'!C:C, 0))))</f>
        <v>https://drive.google.com/file/d/1UMAh9VGta6ExS2-Lb6GkDF4fmnI2EMeM/view?usp=drivesdk</v>
      </c>
      <c r="Y2064" s="65"/>
      <c r="Z2064" s="65" t="s">
        <v>219</v>
      </c>
      <c r="AA2064" s="65" t="s">
        <v>12594</v>
      </c>
      <c r="AB2064" s="156" t="s">
        <v>12595</v>
      </c>
      <c r="AC2064" s="1907" t="s">
        <v>12596</v>
      </c>
      <c r="AD2064" s="65" t="s">
        <v>12597</v>
      </c>
      <c r="AE2064" s="333">
        <v>14.0</v>
      </c>
      <c r="AF2064" s="153">
        <v>28.0</v>
      </c>
      <c r="AG2064" s="333">
        <v>0.12</v>
      </c>
      <c r="AH2064" s="65" t="s">
        <v>132</v>
      </c>
      <c r="AI2064" s="65" t="s">
        <v>620</v>
      </c>
      <c r="AJ2064" s="334">
        <v>0.05</v>
      </c>
      <c r="AK2064" s="58" t="s">
        <v>128</v>
      </c>
      <c r="AL2064" s="58" t="s">
        <v>211</v>
      </c>
      <c r="AM2064" s="65" t="s">
        <v>130</v>
      </c>
      <c r="AN2064" s="1055" t="s">
        <v>131</v>
      </c>
      <c r="AO2064" s="333">
        <v>61.0</v>
      </c>
      <c r="AP2064" s="65" t="s">
        <v>12598</v>
      </c>
      <c r="AQ2064" s="65" t="s">
        <v>127</v>
      </c>
      <c r="AR2064" s="156" t="s">
        <v>210</v>
      </c>
      <c r="AS2064" s="333">
        <v>0.01175</v>
      </c>
      <c r="AT2064" s="65" t="s">
        <v>165</v>
      </c>
      <c r="AU2064" s="65" t="s">
        <v>211</v>
      </c>
      <c r="AV2064" s="65" t="s">
        <v>130</v>
      </c>
      <c r="AW2064" s="432" t="s">
        <v>12599</v>
      </c>
      <c r="AX2064" s="65" t="s">
        <v>136</v>
      </c>
      <c r="AZ2064" s="65" t="s">
        <v>1434</v>
      </c>
    </row>
    <row r="2065">
      <c r="A2065" s="41">
        <v>2065.0</v>
      </c>
      <c r="B2065" s="65" t="s">
        <v>107</v>
      </c>
      <c r="C2065" s="59" t="s">
        <v>108</v>
      </c>
      <c r="D2065" s="59" t="s">
        <v>146</v>
      </c>
      <c r="F2065" s="156" t="s">
        <v>12586</v>
      </c>
      <c r="G2065" s="1441" t="s">
        <v>12587</v>
      </c>
      <c r="H2065" s="156" t="s">
        <v>146</v>
      </c>
      <c r="I2065" s="526">
        <v>45690.0</v>
      </c>
      <c r="J2065" s="1368">
        <v>45693.0</v>
      </c>
      <c r="K2065" s="65"/>
      <c r="L2065" s="65"/>
      <c r="M2065" s="1902" t="s">
        <v>12590</v>
      </c>
      <c r="N2065" s="156" t="s">
        <v>12591</v>
      </c>
      <c r="O2065" s="153">
        <v>5.0</v>
      </c>
      <c r="P2065" s="379" t="s">
        <v>12592</v>
      </c>
      <c r="Q2065" s="49" t="str">
        <f t="array" ref="Q2065"> if(iserror(MATCH(V2065, 'File Links'!C:C, 0)), "N/A", HYPERLINK(INDEX('File Links'!B:B, MATCH(P2065, 'File Links'!C:C, 0))))</f>
        <v>https://drive.google.com/file/d/1a05JoYmLdyaqZqx1lMlnobPSBoVtshdG/view?usp=drivesdk</v>
      </c>
      <c r="R2065" s="156" t="s">
        <v>12593</v>
      </c>
      <c r="S2065" s="156" t="s">
        <v>10686</v>
      </c>
      <c r="T2065" s="65"/>
      <c r="U2065" s="1933"/>
      <c r="V2065" s="195" t="str">
        <f t="shared" si="124"/>
        <v>10.1126--science.aac4716.pdf</v>
      </c>
      <c r="W2065" s="156" t="s">
        <v>12600</v>
      </c>
      <c r="X2065" s="51" t="str">
        <f t="array" ref="X2065"> if(iserror(MATCH(V2065, 'File Links'!C:C, 0)), "N/A", HYPERLINK(INDEX('File Links'!B:B, MATCH(V2065, 'File Links'!C:C, 0))))</f>
        <v>https://drive.google.com/file/d/1UMAh9VGta6ExS2-Lb6GkDF4fmnI2EMeM/view?usp=drivesdk</v>
      </c>
      <c r="Y2065" s="65"/>
      <c r="Z2065" s="156" t="s">
        <v>219</v>
      </c>
      <c r="AA2065" s="156" t="s">
        <v>12601</v>
      </c>
      <c r="AB2065" s="156" t="s">
        <v>12602</v>
      </c>
      <c r="AC2065" s="156" t="s">
        <v>12596</v>
      </c>
      <c r="AD2065" s="156" t="s">
        <v>12603</v>
      </c>
      <c r="AE2065" s="153">
        <v>14.0</v>
      </c>
      <c r="AF2065" s="153">
        <v>28.0</v>
      </c>
      <c r="AG2065" s="153">
        <v>0.12</v>
      </c>
      <c r="AH2065" s="156" t="s">
        <v>132</v>
      </c>
      <c r="AI2065" s="156" t="s">
        <v>620</v>
      </c>
      <c r="AJ2065" s="334">
        <v>0.05</v>
      </c>
      <c r="AK2065" s="54" t="s">
        <v>128</v>
      </c>
      <c r="AL2065" s="54" t="s">
        <v>211</v>
      </c>
      <c r="AM2065" s="65" t="s">
        <v>130</v>
      </c>
      <c r="AN2065" s="1055" t="s">
        <v>131</v>
      </c>
      <c r="AO2065" s="153">
        <v>61.0</v>
      </c>
      <c r="AP2065" s="156" t="s">
        <v>12604</v>
      </c>
      <c r="AQ2065" s="156" t="s">
        <v>127</v>
      </c>
      <c r="AR2065" s="156" t="s">
        <v>210</v>
      </c>
      <c r="AS2065" s="153">
        <v>0.01175</v>
      </c>
      <c r="AT2065" s="156" t="s">
        <v>165</v>
      </c>
      <c r="AU2065" s="156" t="s">
        <v>211</v>
      </c>
      <c r="AV2065" s="65" t="s">
        <v>130</v>
      </c>
      <c r="AW2065" s="432" t="s">
        <v>12599</v>
      </c>
      <c r="AX2065" s="65" t="s">
        <v>136</v>
      </c>
      <c r="AZ2065" s="65" t="s">
        <v>1434</v>
      </c>
    </row>
    <row r="2066">
      <c r="A2066" s="41">
        <v>2066.0</v>
      </c>
      <c r="B2066" s="65" t="s">
        <v>107</v>
      </c>
      <c r="C2066" s="59" t="s">
        <v>108</v>
      </c>
      <c r="D2066" s="59" t="s">
        <v>1434</v>
      </c>
      <c r="F2066" s="156" t="s">
        <v>12605</v>
      </c>
      <c r="G2066" s="1441" t="s">
        <v>12606</v>
      </c>
      <c r="H2066" s="156" t="s">
        <v>12607</v>
      </c>
      <c r="I2066" s="526">
        <v>45690.0</v>
      </c>
      <c r="J2066" s="1368">
        <v>45693.0</v>
      </c>
      <c r="K2066" s="65"/>
      <c r="L2066" s="65"/>
      <c r="M2066" s="1902" t="s">
        <v>12608</v>
      </c>
      <c r="N2066" s="156" t="s">
        <v>12609</v>
      </c>
      <c r="O2066" s="333">
        <v>3.0</v>
      </c>
      <c r="P2066" s="379" t="s">
        <v>12610</v>
      </c>
      <c r="Q2066" s="49" t="str">
        <f t="array" ref="Q2066"> if(iserror(MATCH(V2066, 'File Links'!C:C, 0)), "N/A", HYPERLINK(INDEX('File Links'!B:B, MATCH(P2066, 'File Links'!C:C, 0))))</f>
        <v>https://drive.google.com/file/d/1VyZodnC88TkBiX9hwQqLISstx0--OlF9/view?usp=drivesdk</v>
      </c>
      <c r="R2066" s="156" t="s">
        <v>12611</v>
      </c>
      <c r="S2066" s="156" t="s">
        <v>12612</v>
      </c>
      <c r="T2066" s="65"/>
      <c r="U2066" s="65"/>
      <c r="V2066" s="195" t="str">
        <f t="shared" si="124"/>
        <v>10.17605--osf.io--etg7c.pdf</v>
      </c>
      <c r="W2066" s="65" t="s">
        <v>5371</v>
      </c>
      <c r="X2066" s="51" t="str">
        <f t="array" ref="X2066"> if(iserror(MATCH(V2066, 'File Links'!C:C, 0)), "N/A", HYPERLINK(INDEX('File Links'!B:B, MATCH(V2066, 'File Links'!C:C, 0))))</f>
        <v>https://drive.google.com/file/d/1LNTqrRGiajQW8AmTfTYGS-EuhKSBbzXe/view?usp=drivesdk</v>
      </c>
      <c r="Y2066" s="65"/>
      <c r="Z2066" s="65" t="s">
        <v>219</v>
      </c>
      <c r="AA2066" s="65" t="s">
        <v>12613</v>
      </c>
      <c r="AB2066" s="156" t="s">
        <v>12614</v>
      </c>
      <c r="AC2066" s="156" t="s">
        <v>12615</v>
      </c>
      <c r="AD2066" s="65" t="s">
        <v>12616</v>
      </c>
      <c r="AE2066" s="333">
        <v>11.0</v>
      </c>
      <c r="AF2066" s="153">
        <v>90.0</v>
      </c>
      <c r="AG2066" s="65" t="s">
        <v>12617</v>
      </c>
      <c r="AH2066" s="65" t="s">
        <v>127</v>
      </c>
      <c r="AI2066" s="65" t="s">
        <v>300</v>
      </c>
      <c r="AJ2066" s="334">
        <v>0.001</v>
      </c>
      <c r="AK2066" s="58" t="s">
        <v>165</v>
      </c>
      <c r="AL2066" s="58" t="s">
        <v>179</v>
      </c>
      <c r="AM2066" s="65" t="s">
        <v>134</v>
      </c>
      <c r="AN2066" s="1055" t="s">
        <v>131</v>
      </c>
      <c r="AO2066" s="153">
        <v>1490.0</v>
      </c>
      <c r="AP2066" s="333">
        <v>0.001</v>
      </c>
      <c r="AQ2066" s="65" t="s">
        <v>867</v>
      </c>
      <c r="AR2066" s="65" t="s">
        <v>606</v>
      </c>
      <c r="AS2066" s="333">
        <v>0.154</v>
      </c>
      <c r="AT2066" s="65" t="s">
        <v>165</v>
      </c>
      <c r="AU2066" s="65" t="s">
        <v>129</v>
      </c>
      <c r="AV2066" s="65" t="s">
        <v>134</v>
      </c>
      <c r="AW2066" s="126" t="s">
        <v>131</v>
      </c>
      <c r="AX2066" s="65" t="s">
        <v>136</v>
      </c>
      <c r="AZ2066" s="65" t="s">
        <v>1434</v>
      </c>
    </row>
    <row r="2067">
      <c r="A2067" s="41">
        <v>2067.0</v>
      </c>
      <c r="B2067" s="65" t="s">
        <v>145</v>
      </c>
      <c r="C2067" s="59" t="s">
        <v>108</v>
      </c>
      <c r="D2067" s="59" t="s">
        <v>146</v>
      </c>
      <c r="F2067" s="156" t="s">
        <v>12605</v>
      </c>
      <c r="G2067" s="1441" t="s">
        <v>12618</v>
      </c>
      <c r="H2067" s="156" t="s">
        <v>146</v>
      </c>
      <c r="I2067" s="526">
        <v>45690.0</v>
      </c>
      <c r="J2067" s="1368">
        <v>45693.0</v>
      </c>
      <c r="K2067" s="65" t="s">
        <v>12619</v>
      </c>
      <c r="L2067" s="65" t="s">
        <v>12620</v>
      </c>
      <c r="M2067" s="357" t="s">
        <v>12608</v>
      </c>
      <c r="N2067" s="434" t="s">
        <v>12609</v>
      </c>
      <c r="O2067" s="153">
        <v>3.0</v>
      </c>
      <c r="P2067" s="379" t="s">
        <v>12610</v>
      </c>
      <c r="Q2067" s="49" t="str">
        <f t="array" ref="Q2067"> if(iserror(MATCH(V2067, 'File Links'!C:C, 0)), "N/A", HYPERLINK(INDEX('File Links'!B:B, MATCH(P2067, 'File Links'!C:C, 0))))</f>
        <v>https://drive.google.com/file/d/1VyZodnC88TkBiX9hwQqLISstx0--OlF9/view?usp=drivesdk</v>
      </c>
      <c r="R2067" s="156" t="s">
        <v>12611</v>
      </c>
      <c r="S2067" s="434" t="s">
        <v>12612</v>
      </c>
      <c r="T2067" s="65"/>
      <c r="U2067" s="333">
        <v>1.0</v>
      </c>
      <c r="V2067" s="195" t="str">
        <f t="shared" si="124"/>
        <v>10.17605--osf.io--etg7c.pdf</v>
      </c>
      <c r="W2067" s="156" t="s">
        <v>5371</v>
      </c>
      <c r="X2067" s="51" t="str">
        <f t="array" ref="X2067"> if(iserror(MATCH(V2067, 'File Links'!C:C, 0)), "N/A", HYPERLINK(INDEX('File Links'!B:B, MATCH(V2067, 'File Links'!C:C, 0))))</f>
        <v>https://drive.google.com/file/d/1LNTqrRGiajQW8AmTfTYGS-EuhKSBbzXe/view?usp=drivesdk</v>
      </c>
      <c r="Y2067" s="65"/>
      <c r="Z2067" s="156" t="s">
        <v>219</v>
      </c>
      <c r="AA2067" s="156" t="s">
        <v>12621</v>
      </c>
      <c r="AB2067" s="156" t="s">
        <v>12622</v>
      </c>
      <c r="AC2067" s="156" t="s">
        <v>12623</v>
      </c>
      <c r="AD2067" s="1903" t="s">
        <v>12616</v>
      </c>
      <c r="AE2067" s="333">
        <v>11.0</v>
      </c>
      <c r="AF2067" s="153">
        <v>90.0</v>
      </c>
      <c r="AG2067" s="153" t="s">
        <v>12617</v>
      </c>
      <c r="AH2067" s="156" t="s">
        <v>127</v>
      </c>
      <c r="AI2067" s="156" t="s">
        <v>300</v>
      </c>
      <c r="AJ2067" s="706">
        <v>0.001</v>
      </c>
      <c r="AK2067" s="54" t="s">
        <v>165</v>
      </c>
      <c r="AL2067" s="54" t="s">
        <v>179</v>
      </c>
      <c r="AM2067" s="65" t="s">
        <v>134</v>
      </c>
      <c r="AN2067" s="1055" t="s">
        <v>131</v>
      </c>
      <c r="AO2067" s="333">
        <v>1490.0</v>
      </c>
      <c r="AP2067" s="333">
        <v>0.001</v>
      </c>
      <c r="AQ2067" s="1934" t="s">
        <v>867</v>
      </c>
      <c r="AR2067" s="156" t="s">
        <v>606</v>
      </c>
      <c r="AS2067" s="153">
        <v>0.154</v>
      </c>
      <c r="AT2067" s="156" t="s">
        <v>165</v>
      </c>
      <c r="AU2067" s="156" t="s">
        <v>129</v>
      </c>
      <c r="AV2067" s="65" t="s">
        <v>134</v>
      </c>
      <c r="AW2067" s="432" t="s">
        <v>12624</v>
      </c>
      <c r="AX2067" s="65" t="s">
        <v>144</v>
      </c>
      <c r="AZ2067" s="65" t="s">
        <v>1434</v>
      </c>
    </row>
    <row r="2068">
      <c r="A2068" s="41">
        <v>2068.0</v>
      </c>
      <c r="B2068" s="365" t="s">
        <v>145</v>
      </c>
      <c r="C2068" s="365" t="s">
        <v>108</v>
      </c>
      <c r="D2068" s="365" t="s">
        <v>146</v>
      </c>
      <c r="E2068" s="686"/>
      <c r="F2068" s="187" t="s">
        <v>12625</v>
      </c>
      <c r="G2068" s="55" t="s">
        <v>12626</v>
      </c>
      <c r="H2068" s="55" t="s">
        <v>146</v>
      </c>
      <c r="I2068" s="682">
        <v>45638.0</v>
      </c>
      <c r="J2068" s="679">
        <v>45677.0</v>
      </c>
      <c r="K2068" s="189" t="s">
        <v>8627</v>
      </c>
      <c r="L2068" s="190"/>
      <c r="M2068" s="572" t="s">
        <v>8629</v>
      </c>
      <c r="N2068" s="55" t="s">
        <v>8630</v>
      </c>
      <c r="O2068" s="1935" t="s">
        <v>12627</v>
      </c>
      <c r="P2068" s="191" t="s">
        <v>8631</v>
      </c>
      <c r="Q2068" s="49" t="str">
        <f t="array" ref="Q2068"> if(iserror(MATCH(V2068, 'File Links'!C:C, 0)), "N/A", HYPERLINK(INDEX('File Links'!B:B, MATCH(P2068, 'File Links'!C:C, 0))))</f>
        <v>https://drive.google.com/file/d/1-8o-L3-LBDg-R5swBEF53YfzOD1dWuZJ/view?usp=drivesdk</v>
      </c>
      <c r="R2068" s="189" t="s">
        <v>12628</v>
      </c>
      <c r="S2068" s="572" t="s">
        <v>12629</v>
      </c>
      <c r="T2068" s="86" t="s">
        <v>12630</v>
      </c>
      <c r="U2068" s="1936">
        <v>2.0</v>
      </c>
      <c r="V2068" s="195" t="str">
        <f t="shared" si="124"/>
        <v>10.31234--osf.io--bgp3m.pdf</v>
      </c>
      <c r="W2068" s="55" t="s">
        <v>5371</v>
      </c>
      <c r="X2068" s="51" t="str">
        <f t="array" ref="X2068"> if(iserror(MATCH(V2068, 'File Links'!C:C, 0)), "N/A", HYPERLINK(INDEX('File Links'!B:B, MATCH(V2068, 'File Links'!C:C, 0))))</f>
        <v>https://drive.google.com/file/d/1hVwbIyW3epWRQsMMft62XMBr_6n68gLn/view?usp=drivesdk</v>
      </c>
      <c r="Y2068" s="190"/>
      <c r="Z2068" s="55" t="s">
        <v>219</v>
      </c>
      <c r="AA2068" s="189" t="s">
        <v>8634</v>
      </c>
      <c r="AB2068" s="189" t="s">
        <v>8635</v>
      </c>
      <c r="AC2068" s="55" t="s">
        <v>12631</v>
      </c>
      <c r="AD2068" s="55" t="s">
        <v>12632</v>
      </c>
      <c r="AE2068" s="194">
        <v>7.0</v>
      </c>
      <c r="AF2068" s="1937">
        <v>94.0</v>
      </c>
      <c r="AG2068" s="194">
        <v>0.66</v>
      </c>
      <c r="AH2068" s="191" t="s">
        <v>166</v>
      </c>
      <c r="AI2068" s="194">
        <v>7.0</v>
      </c>
      <c r="AJ2068" s="194">
        <v>0.01</v>
      </c>
      <c r="AK2068" s="195" t="s">
        <v>128</v>
      </c>
      <c r="AL2068" s="55" t="s">
        <v>129</v>
      </c>
      <c r="AM2068" s="190" t="s">
        <v>130</v>
      </c>
      <c r="AN2068" s="371" t="s">
        <v>131</v>
      </c>
      <c r="AO2068" s="194">
        <v>182.0</v>
      </c>
      <c r="AP2068" s="194">
        <v>0.215</v>
      </c>
      <c r="AQ2068" s="55" t="s">
        <v>166</v>
      </c>
      <c r="AR2068" s="55" t="s">
        <v>8493</v>
      </c>
      <c r="AS2068" s="194">
        <v>0.925</v>
      </c>
      <c r="AT2068" s="195" t="s">
        <v>165</v>
      </c>
      <c r="AU2068" s="195" t="s">
        <v>129</v>
      </c>
      <c r="AV2068" s="187" t="s">
        <v>130</v>
      </c>
      <c r="AW2068" s="874" t="s">
        <v>12633</v>
      </c>
      <c r="AX2068" s="1938" t="s">
        <v>144</v>
      </c>
      <c r="AY2068" s="186"/>
      <c r="AZ2068" s="185" t="s">
        <v>137</v>
      </c>
    </row>
    <row r="2069">
      <c r="A2069" s="41">
        <v>2069.0</v>
      </c>
      <c r="B2069" s="365" t="s">
        <v>145</v>
      </c>
      <c r="C2069" s="365" t="s">
        <v>108</v>
      </c>
      <c r="D2069" s="365" t="s">
        <v>146</v>
      </c>
      <c r="E2069" s="686"/>
      <c r="F2069" s="187" t="s">
        <v>12625</v>
      </c>
      <c r="G2069" s="55" t="s">
        <v>12626</v>
      </c>
      <c r="H2069" s="55" t="s">
        <v>146</v>
      </c>
      <c r="I2069" s="682">
        <v>45638.0</v>
      </c>
      <c r="J2069" s="679">
        <v>45677.0</v>
      </c>
      <c r="K2069" s="189" t="s">
        <v>8627</v>
      </c>
      <c r="L2069" s="190"/>
      <c r="M2069" s="572" t="s">
        <v>8629</v>
      </c>
      <c r="N2069" s="55" t="s">
        <v>8630</v>
      </c>
      <c r="O2069" s="1935" t="s">
        <v>12627</v>
      </c>
      <c r="P2069" s="191" t="s">
        <v>8631</v>
      </c>
      <c r="Q2069" s="49" t="str">
        <f t="array" ref="Q2069"> if(iserror(MATCH(V2069, 'File Links'!C:C, 0)), "N/A", HYPERLINK(INDEX('File Links'!B:B, MATCH(P2069, 'File Links'!C:C, 0))))</f>
        <v>https://drive.google.com/file/d/1-8o-L3-LBDg-R5swBEF53YfzOD1dWuZJ/view?usp=drivesdk</v>
      </c>
      <c r="R2069" s="189" t="s">
        <v>12628</v>
      </c>
      <c r="S2069" s="572" t="s">
        <v>12629</v>
      </c>
      <c r="T2069" s="94" t="s">
        <v>12634</v>
      </c>
      <c r="U2069" s="1936">
        <v>2.0</v>
      </c>
      <c r="V2069" s="195" t="str">
        <f t="shared" si="124"/>
        <v>10.31234--osf.io--bgp3m.pdf</v>
      </c>
      <c r="W2069" s="55" t="s">
        <v>5371</v>
      </c>
      <c r="X2069" s="51" t="str">
        <f t="array" ref="X2069"> if(iserror(MATCH(V2069, 'File Links'!C:C, 0)), "N/A", HYPERLINK(INDEX('File Links'!B:B, MATCH(V2069, 'File Links'!C:C, 0))))</f>
        <v>https://drive.google.com/file/d/1hVwbIyW3epWRQsMMft62XMBr_6n68gLn/view?usp=drivesdk</v>
      </c>
      <c r="Y2069" s="190"/>
      <c r="Z2069" s="55" t="s">
        <v>219</v>
      </c>
      <c r="AA2069" s="189" t="s">
        <v>8634</v>
      </c>
      <c r="AB2069" s="189" t="s">
        <v>8635</v>
      </c>
      <c r="AC2069" s="55" t="s">
        <v>12631</v>
      </c>
      <c r="AD2069" s="55" t="s">
        <v>12635</v>
      </c>
      <c r="AE2069" s="194">
        <v>7.0</v>
      </c>
      <c r="AF2069" s="1937">
        <v>94.0</v>
      </c>
      <c r="AG2069" s="194">
        <v>0.03</v>
      </c>
      <c r="AH2069" s="191" t="s">
        <v>132</v>
      </c>
      <c r="AI2069" s="194">
        <v>7.0</v>
      </c>
      <c r="AJ2069" s="194">
        <v>0.08</v>
      </c>
      <c r="AK2069" s="195" t="s">
        <v>165</v>
      </c>
      <c r="AL2069" s="55" t="s">
        <v>129</v>
      </c>
      <c r="AM2069" s="190" t="s">
        <v>134</v>
      </c>
      <c r="AN2069" s="371" t="s">
        <v>131</v>
      </c>
      <c r="AO2069" s="194">
        <v>182.0</v>
      </c>
      <c r="AP2069" s="194">
        <v>0.001</v>
      </c>
      <c r="AQ2069" s="55" t="s">
        <v>132</v>
      </c>
      <c r="AR2069" s="55" t="s">
        <v>8493</v>
      </c>
      <c r="AS2069" s="194">
        <v>0.216</v>
      </c>
      <c r="AT2069" s="195" t="s">
        <v>128</v>
      </c>
      <c r="AU2069" s="195" t="s">
        <v>129</v>
      </c>
      <c r="AV2069" s="187" t="s">
        <v>134</v>
      </c>
      <c r="AW2069" s="874" t="s">
        <v>12633</v>
      </c>
      <c r="AX2069" s="1938" t="s">
        <v>144</v>
      </c>
      <c r="AY2069" s="186"/>
      <c r="AZ2069" s="185" t="s">
        <v>137</v>
      </c>
    </row>
    <row r="2070">
      <c r="A2070" s="41">
        <v>2070.0</v>
      </c>
      <c r="B2070" s="185" t="s">
        <v>107</v>
      </c>
      <c r="C2070" s="185" t="s">
        <v>108</v>
      </c>
      <c r="D2070" s="185" t="s">
        <v>169</v>
      </c>
      <c r="E2070" s="186"/>
      <c r="F2070" s="187" t="s">
        <v>12625</v>
      </c>
      <c r="G2070" s="55" t="s">
        <v>12626</v>
      </c>
      <c r="H2070" s="195" t="s">
        <v>169</v>
      </c>
      <c r="I2070" s="678">
        <v>45637.0</v>
      </c>
      <c r="J2070" s="679">
        <v>45677.0</v>
      </c>
      <c r="K2070" s="195" t="s">
        <v>12636</v>
      </c>
      <c r="L2070" s="187"/>
      <c r="M2070" s="572" t="s">
        <v>8629</v>
      </c>
      <c r="N2070" s="195" t="s">
        <v>8630</v>
      </c>
      <c r="O2070" s="755" t="s">
        <v>12627</v>
      </c>
      <c r="P2070" s="195" t="s">
        <v>8631</v>
      </c>
      <c r="Q2070" s="49" t="str">
        <f t="array" ref="Q2070"> if(iserror(MATCH(V2070, 'File Links'!C:C, 0)), "N/A", HYPERLINK(INDEX('File Links'!B:B, MATCH(P2070, 'File Links'!C:C, 0))))</f>
        <v>https://drive.google.com/file/d/1-8o-L3-LBDg-R5swBEF53YfzOD1dWuZJ/view?usp=drivesdk</v>
      </c>
      <c r="R2070" s="195" t="s">
        <v>12628</v>
      </c>
      <c r="S2070" s="572" t="s">
        <v>12629</v>
      </c>
      <c r="T2070" s="94" t="s">
        <v>12637</v>
      </c>
      <c r="U2070" s="755">
        <v>2.0</v>
      </c>
      <c r="V2070" s="195" t="str">
        <f t="shared" si="124"/>
        <v>10.31234--osf.io--bgp3m.pdf</v>
      </c>
      <c r="W2070" s="195" t="s">
        <v>12638</v>
      </c>
      <c r="X2070" s="51" t="str">
        <f t="array" ref="X2070"> if(iserror(MATCH(V2070, 'File Links'!C:C, 0)), "N/A", HYPERLINK(INDEX('File Links'!B:B, MATCH(V2070, 'File Links'!C:C, 0))))</f>
        <v>https://drive.google.com/file/d/1hVwbIyW3epWRQsMMft62XMBr_6n68gLn/view?usp=drivesdk</v>
      </c>
      <c r="Y2070" s="187"/>
      <c r="Z2070" s="1939" t="s">
        <v>219</v>
      </c>
      <c r="AA2070" s="195" t="s">
        <v>8641</v>
      </c>
      <c r="AB2070" s="195" t="s">
        <v>8642</v>
      </c>
      <c r="AC2070" s="195" t="s">
        <v>12639</v>
      </c>
      <c r="AD2070" s="195" t="s">
        <v>12640</v>
      </c>
      <c r="AE2070" s="195" t="s">
        <v>125</v>
      </c>
      <c r="AF2070" s="755">
        <v>94.0</v>
      </c>
      <c r="AG2070" s="195" t="s">
        <v>12641</v>
      </c>
      <c r="AH2070" s="191" t="s">
        <v>166</v>
      </c>
      <c r="AI2070" s="55" t="s">
        <v>125</v>
      </c>
      <c r="AJ2070" s="55" t="s">
        <v>3612</v>
      </c>
      <c r="AK2070" s="195" t="s">
        <v>128</v>
      </c>
      <c r="AL2070" s="55" t="s">
        <v>179</v>
      </c>
      <c r="AM2070" s="187" t="s">
        <v>130</v>
      </c>
      <c r="AN2070" s="187"/>
      <c r="AO2070" s="755">
        <v>182.0</v>
      </c>
      <c r="AP2070" s="195" t="s">
        <v>12642</v>
      </c>
      <c r="AQ2070" s="195" t="s">
        <v>166</v>
      </c>
      <c r="AR2070" s="195" t="s">
        <v>3885</v>
      </c>
      <c r="AS2070" s="195" t="s">
        <v>12643</v>
      </c>
      <c r="AT2070" s="195" t="s">
        <v>165</v>
      </c>
      <c r="AU2070" s="195" t="s">
        <v>129</v>
      </c>
      <c r="AV2070" s="187" t="s">
        <v>134</v>
      </c>
      <c r="AW2070" s="874" t="s">
        <v>12644</v>
      </c>
      <c r="AX2070" s="1938" t="s">
        <v>136</v>
      </c>
      <c r="AY2070" s="186"/>
      <c r="AZ2070" s="185" t="s">
        <v>137</v>
      </c>
    </row>
    <row r="2071">
      <c r="A2071" s="41">
        <v>2071.0</v>
      </c>
      <c r="B2071" s="59" t="s">
        <v>107</v>
      </c>
      <c r="C2071" s="59" t="s">
        <v>108</v>
      </c>
      <c r="D2071" s="59" t="s">
        <v>2049</v>
      </c>
      <c r="F2071" s="65" t="s">
        <v>12645</v>
      </c>
      <c r="G2071" s="54" t="s">
        <v>12646</v>
      </c>
      <c r="H2071" s="156" t="s">
        <v>2052</v>
      </c>
      <c r="I2071" s="149">
        <v>45478.0</v>
      </c>
      <c r="J2071" s="149">
        <v>45634.0</v>
      </c>
      <c r="K2071" s="65"/>
      <c r="L2071" s="65"/>
      <c r="M2071" s="156" t="s">
        <v>12647</v>
      </c>
      <c r="N2071" s="156" t="s">
        <v>2056</v>
      </c>
      <c r="O2071" s="156" t="s">
        <v>2863</v>
      </c>
      <c r="P2071" s="379" t="s">
        <v>12648</v>
      </c>
      <c r="Q2071" s="49" t="str">
        <f t="array" ref="Q2071"> if(iserror(MATCH(V2071, 'File Links'!C:C, 0)), "N/A", HYPERLINK(INDEX('File Links'!B:B, MATCH(P2071, 'File Links'!C:C, 0))))</f>
        <v>https://drive.google.com/file/d/1jEnrVGc2PxWYnqqR5b5QggE9HgY-tjOC/view?usp=drivesdk</v>
      </c>
      <c r="R2071" s="156" t="s">
        <v>12649</v>
      </c>
      <c r="S2071" s="156" t="s">
        <v>2058</v>
      </c>
      <c r="T2071" s="65"/>
      <c r="U2071" s="148" t="s">
        <v>131</v>
      </c>
      <c r="V2071" s="195" t="str">
        <f t="shared" si="124"/>
        <v>10.5281--zenodo.6426882.pdf</v>
      </c>
      <c r="W2071" s="156" t="s">
        <v>12650</v>
      </c>
      <c r="X2071" s="51" t="str">
        <f t="array" ref="X2071"> if(iserror(MATCH(V2071, 'File Links'!C:C, 0)), "N/A", HYPERLINK(INDEX('File Links'!B:B, MATCH(V2071, 'File Links'!C:C, 0))))</f>
        <v>https://drive.google.com/file/d/1jvhXrkXP500Hc10PhmlgwF_pIcWK0diq/view?usp=drivesdk</v>
      </c>
      <c r="Y2071" s="65"/>
      <c r="Z2071" s="156" t="s">
        <v>234</v>
      </c>
      <c r="AA2071" s="65"/>
      <c r="AB2071" s="65"/>
      <c r="AC2071" s="156" t="s">
        <v>12651</v>
      </c>
      <c r="AD2071" s="65"/>
      <c r="AE2071" s="65"/>
      <c r="AF2071" s="65"/>
      <c r="AG2071" s="65"/>
      <c r="AH2071" s="335"/>
      <c r="AI2071" s="58"/>
      <c r="AJ2071" s="58"/>
      <c r="AK2071" s="65"/>
      <c r="AL2071" s="58"/>
      <c r="AM2071" s="65"/>
      <c r="AN2071" s="65"/>
      <c r="AO2071" s="65"/>
      <c r="AP2071" s="65"/>
      <c r="AQ2071" s="65"/>
      <c r="AR2071" s="65"/>
      <c r="AS2071" s="65"/>
      <c r="AT2071" s="65"/>
      <c r="AU2071" s="65"/>
      <c r="AV2071" s="65"/>
      <c r="AW2071" s="65"/>
      <c r="AX2071" s="65"/>
    </row>
    <row r="2072">
      <c r="A2072" s="41">
        <v>2072.0</v>
      </c>
      <c r="B2072" s="126" t="s">
        <v>107</v>
      </c>
      <c r="C2072" s="59" t="s">
        <v>108</v>
      </c>
      <c r="D2072" s="59" t="s">
        <v>1263</v>
      </c>
      <c r="F2072" s="65" t="s">
        <v>12645</v>
      </c>
      <c r="G2072" s="156" t="s">
        <v>12646</v>
      </c>
      <c r="H2072" s="156" t="s">
        <v>2060</v>
      </c>
      <c r="I2072" s="149">
        <v>45478.0</v>
      </c>
      <c r="J2072" s="149">
        <v>45695.0</v>
      </c>
      <c r="K2072" s="156" t="s">
        <v>12652</v>
      </c>
      <c r="L2072" s="65"/>
      <c r="M2072" s="156" t="s">
        <v>12647</v>
      </c>
      <c r="N2072" s="156" t="s">
        <v>2056</v>
      </c>
      <c r="O2072" s="65"/>
      <c r="P2072" s="156" t="str">
        <f>SUBSTITUTE(LOWER(N2072), "/", "--") &amp;  ".pdf"</f>
        <v>10.1016--j.econedurev.2005.05.008.pdf</v>
      </c>
      <c r="Q2072" s="49" t="str">
        <f t="array" ref="Q2072"> if(iserror(MATCH(V2072, 'File Links'!C:C, 0)), "N/A", HYPERLINK(INDEX('File Links'!B:B, MATCH(P2072, 'File Links'!C:C, 0))))</f>
        <v>https://drive.google.com/file/d/1jEnrVGc2PxWYnqqR5b5QggE9HgY-tjOC/view?usp=drivesdk</v>
      </c>
      <c r="R2072" s="156" t="s">
        <v>12649</v>
      </c>
      <c r="S2072" s="156" t="s">
        <v>2058</v>
      </c>
      <c r="T2072" s="65"/>
      <c r="U2072" s="65"/>
      <c r="V2072" s="195" t="str">
        <f t="shared" si="124"/>
        <v>10.5281--zenodo.6426882.pdf</v>
      </c>
      <c r="W2072" s="156" t="s">
        <v>202</v>
      </c>
      <c r="X2072" s="51" t="str">
        <f t="array" ref="X2072"> if(iserror(MATCH(V2072, 'File Links'!C:C, 0)), "N/A", HYPERLINK(INDEX('File Links'!B:B, MATCH(V2072, 'File Links'!C:C, 0))))</f>
        <v>https://drive.google.com/file/d/1jvhXrkXP500Hc10PhmlgwF_pIcWK0diq/view?usp=drivesdk</v>
      </c>
      <c r="Y2072" s="65"/>
      <c r="Z2072" s="156" t="s">
        <v>234</v>
      </c>
      <c r="AA2072" s="65"/>
      <c r="AB2072" s="156" t="s">
        <v>12653</v>
      </c>
      <c r="AC2072" s="65"/>
      <c r="AD2072" s="156" t="s">
        <v>12654</v>
      </c>
      <c r="AE2072" s="65"/>
      <c r="AF2072" s="153">
        <v>5167.0</v>
      </c>
      <c r="AG2072" s="156" t="s">
        <v>12655</v>
      </c>
      <c r="AH2072" s="156" t="s">
        <v>127</v>
      </c>
      <c r="AI2072" s="156" t="s">
        <v>621</v>
      </c>
      <c r="AJ2072" s="156" t="s">
        <v>131</v>
      </c>
      <c r="AK2072" s="65"/>
      <c r="AL2072" s="156" t="s">
        <v>179</v>
      </c>
      <c r="AM2072" s="65" t="s">
        <v>1898</v>
      </c>
      <c r="AN2072" s="65"/>
      <c r="AO2072" s="153">
        <v>2968.0</v>
      </c>
      <c r="AP2072" s="156" t="s">
        <v>12656</v>
      </c>
      <c r="AQ2072" s="156" t="s">
        <v>127</v>
      </c>
      <c r="AR2072" s="156" t="s">
        <v>606</v>
      </c>
      <c r="AS2072" s="153">
        <v>0.04</v>
      </c>
      <c r="AT2072" s="156" t="s">
        <v>165</v>
      </c>
      <c r="AU2072" s="156" t="s">
        <v>179</v>
      </c>
      <c r="AV2072" s="65" t="s">
        <v>1898</v>
      </c>
      <c r="AW2072" s="65"/>
      <c r="AX2072" s="65" t="s">
        <v>136</v>
      </c>
    </row>
    <row r="2073">
      <c r="A2073" s="41">
        <v>2073.0</v>
      </c>
      <c r="B2073" s="319" t="s">
        <v>145</v>
      </c>
      <c r="C2073" s="319" t="s">
        <v>108</v>
      </c>
      <c r="D2073" s="322" t="s">
        <v>138</v>
      </c>
      <c r="E2073" s="223"/>
      <c r="F2073" s="328" t="s">
        <v>12657</v>
      </c>
      <c r="G2073" s="409" t="s">
        <v>12658</v>
      </c>
      <c r="H2073" s="409" t="s">
        <v>12659</v>
      </c>
      <c r="I2073" s="1430">
        <v>45641.0</v>
      </c>
      <c r="J2073" s="679">
        <v>45677.0</v>
      </c>
      <c r="K2073" s="387"/>
      <c r="L2073" s="327" t="s">
        <v>12660</v>
      </c>
      <c r="M2073" s="409" t="s">
        <v>8031</v>
      </c>
      <c r="N2073" s="409" t="s">
        <v>8032</v>
      </c>
      <c r="O2073" s="1414">
        <v>2.0</v>
      </c>
      <c r="P2073" s="657" t="s">
        <v>12661</v>
      </c>
      <c r="Q2073" s="49" t="str">
        <f t="array" ref="Q2073"> if(iserror(MATCH(V2073, 'File Links'!C:C, 0)), "N/A", HYPERLINK(INDEX('File Links'!B:B, MATCH(P2073, 'File Links'!C:C, 0))))</f>
        <v>https://drive.google.com/file/d/1dqYztlMOBsUY1H2Tadvsh9mJOiZQ1nVh/view?usp=drivesdk</v>
      </c>
      <c r="R2073" s="1940" t="s">
        <v>12662</v>
      </c>
      <c r="S2073" s="321" t="s">
        <v>12663</v>
      </c>
      <c r="T2073" s="387"/>
      <c r="U2073" s="1179">
        <v>3.0</v>
      </c>
      <c r="V2073" s="195" t="str">
        <f t="shared" si="124"/>
        <v>10.2139--ssrn.2586261.pdf</v>
      </c>
      <c r="W2073" s="387"/>
      <c r="X2073" s="51" t="str">
        <f t="array" ref="X2073"> if(iserror(MATCH(V2073, 'File Links'!C:C, 0)), "N/A", HYPERLINK(INDEX('File Links'!B:B, MATCH(V2073, 'File Links'!C:C, 0))))</f>
        <v>https://drive.google.com/file/d/1H4h52o-2l4VeH6zifkEQWasrzj-Pi8k3/view?usp=drivesdk</v>
      </c>
      <c r="Y2073" s="387"/>
      <c r="Z2073" s="387" t="s">
        <v>203</v>
      </c>
      <c r="AA2073" s="327" t="s">
        <v>8043</v>
      </c>
      <c r="AB2073" s="387" t="s">
        <v>12664</v>
      </c>
      <c r="AC2073" s="387" t="s">
        <v>12665</v>
      </c>
      <c r="AD2073" s="327" t="s">
        <v>12666</v>
      </c>
      <c r="AE2073" s="387" t="s">
        <v>843</v>
      </c>
      <c r="AF2073" s="1414">
        <v>51.0</v>
      </c>
      <c r="AG2073" s="1414">
        <v>0.08</v>
      </c>
      <c r="AH2073" s="659" t="s">
        <v>132</v>
      </c>
      <c r="AI2073" s="387" t="s">
        <v>843</v>
      </c>
      <c r="AJ2073" s="1414">
        <v>0.05</v>
      </c>
      <c r="AK2073" s="328" t="s">
        <v>128</v>
      </c>
      <c r="AL2073" s="387" t="s">
        <v>211</v>
      </c>
      <c r="AM2073" s="387" t="s">
        <v>130</v>
      </c>
      <c r="AN2073" s="371" t="s">
        <v>131</v>
      </c>
      <c r="AO2073" s="1414">
        <v>698.0</v>
      </c>
      <c r="AP2073" s="1414">
        <v>0.02</v>
      </c>
      <c r="AQ2073" s="387" t="s">
        <v>166</v>
      </c>
      <c r="AR2073" s="387" t="s">
        <v>621</v>
      </c>
      <c r="AS2073" s="1414">
        <v>0.84</v>
      </c>
      <c r="AT2073" s="328" t="s">
        <v>165</v>
      </c>
      <c r="AU2073" s="328" t="s">
        <v>211</v>
      </c>
      <c r="AV2073" s="328" t="s">
        <v>130</v>
      </c>
      <c r="AW2073" s="1037" t="s">
        <v>12667</v>
      </c>
      <c r="AX2073" s="1038" t="s">
        <v>136</v>
      </c>
      <c r="AY2073" s="322" t="s">
        <v>12668</v>
      </c>
      <c r="AZ2073" s="378" t="s">
        <v>137</v>
      </c>
    </row>
    <row r="2074">
      <c r="A2074" s="41">
        <v>2074.0</v>
      </c>
      <c r="B2074" s="322" t="s">
        <v>107</v>
      </c>
      <c r="C2074" s="322" t="s">
        <v>108</v>
      </c>
      <c r="D2074" s="322" t="s">
        <v>188</v>
      </c>
      <c r="E2074" s="223"/>
      <c r="F2074" s="322" t="s">
        <v>12657</v>
      </c>
      <c r="G2074" s="319" t="s">
        <v>12658</v>
      </c>
      <c r="H2074" s="319" t="s">
        <v>12669</v>
      </c>
      <c r="I2074" s="324">
        <v>45644.0</v>
      </c>
      <c r="J2074" s="679">
        <v>45677.0</v>
      </c>
      <c r="K2074" s="325"/>
      <c r="L2074" s="325"/>
      <c r="M2074" s="319" t="s">
        <v>8031</v>
      </c>
      <c r="N2074" s="319" t="s">
        <v>8032</v>
      </c>
      <c r="O2074" s="325"/>
      <c r="P2074" s="319" t="s">
        <v>12661</v>
      </c>
      <c r="Q2074" s="49" t="str">
        <f t="array" ref="Q2074"> if(iserror(MATCH(V2074, 'File Links'!C:C, 0)), "N/A", HYPERLINK(INDEX('File Links'!B:B, MATCH(P2074, 'File Links'!C:C, 0))))</f>
        <v>https://drive.google.com/file/d/1dqYztlMOBsUY1H2Tadvsh9mJOiZQ1nVh/view?usp=drivesdk</v>
      </c>
      <c r="R2074" s="319" t="s">
        <v>12670</v>
      </c>
      <c r="S2074" s="321" t="s">
        <v>12663</v>
      </c>
      <c r="T2074" s="325"/>
      <c r="U2074" s="1179">
        <v>3.0</v>
      </c>
      <c r="V2074" s="195" t="str">
        <f t="shared" si="124"/>
        <v>10.2139--ssrn.2586261.pdf</v>
      </c>
      <c r="W2074" s="325"/>
      <c r="X2074" s="51" t="str">
        <f t="array" ref="X2074"> if(iserror(MATCH(V2074, 'File Links'!C:C, 0)), "N/A", HYPERLINK(INDEX('File Links'!B:B, MATCH(V2074, 'File Links'!C:C, 0))))</f>
        <v>https://drive.google.com/file/d/1H4h52o-2l4VeH6zifkEQWasrzj-Pi8k3/view?usp=drivesdk</v>
      </c>
      <c r="Y2074" s="319"/>
      <c r="Z2074" s="319" t="s">
        <v>141</v>
      </c>
      <c r="AA2074" s="325"/>
      <c r="AB2074" s="325"/>
      <c r="AC2074" s="325"/>
      <c r="AD2074" s="325"/>
      <c r="AE2074" s="325"/>
      <c r="AF2074" s="325"/>
      <c r="AG2074" s="325"/>
      <c r="AH2074" s="319"/>
      <c r="AI2074" s="325"/>
      <c r="AJ2074" s="325"/>
      <c r="AK2074" s="223"/>
      <c r="AL2074" s="325"/>
      <c r="AM2074" s="325"/>
      <c r="AN2074" s="325"/>
      <c r="AO2074" s="325"/>
      <c r="AP2074" s="319">
        <v>0.02</v>
      </c>
      <c r="AQ2074" s="319" t="s">
        <v>2798</v>
      </c>
      <c r="AR2074" s="325"/>
      <c r="AS2074" s="319" t="s">
        <v>143</v>
      </c>
      <c r="AT2074" s="223"/>
      <c r="AU2074" s="223"/>
      <c r="AV2074" s="328"/>
      <c r="AW2074" s="223"/>
      <c r="AX2074" s="322" t="s">
        <v>144</v>
      </c>
      <c r="AY2074" s="223"/>
      <c r="AZ2074" s="378" t="s">
        <v>137</v>
      </c>
    </row>
    <row r="2075">
      <c r="A2075" s="41">
        <v>2075.0</v>
      </c>
      <c r="B2075" s="126" t="s">
        <v>107</v>
      </c>
      <c r="C2075" s="59" t="s">
        <v>108</v>
      </c>
      <c r="D2075" s="59" t="s">
        <v>1434</v>
      </c>
      <c r="F2075" s="65" t="s">
        <v>12671</v>
      </c>
      <c r="G2075" s="156" t="s">
        <v>12672</v>
      </c>
      <c r="H2075" s="156" t="s">
        <v>12673</v>
      </c>
      <c r="I2075" s="1941">
        <v>44991.730891203704</v>
      </c>
      <c r="J2075" s="149">
        <v>45712.0</v>
      </c>
      <c r="K2075" s="65"/>
      <c r="L2075" s="126" t="s">
        <v>12674</v>
      </c>
      <c r="M2075" s="156" t="s">
        <v>12675</v>
      </c>
      <c r="N2075" s="156" t="s">
        <v>12676</v>
      </c>
      <c r="O2075" s="153">
        <v>3.0</v>
      </c>
      <c r="P2075" s="379" t="s">
        <v>12677</v>
      </c>
      <c r="Q2075" s="49" t="str">
        <f t="array" ref="Q2075"> if(iserror(MATCH(V2075, 'File Links'!C:C, 0)), "N/A", HYPERLINK(INDEX('File Links'!B:B, MATCH(P2075, 'File Links'!C:C, 0))))</f>
        <v>https://drive.google.com/file/d/1gzyiuMNHruki0iqw9ZPuG1ROg8sPoSnR/view?usp=drivesdk</v>
      </c>
      <c r="R2075" s="156" t="s">
        <v>12678</v>
      </c>
      <c r="S2075" s="156" t="s">
        <v>12679</v>
      </c>
      <c r="T2075" s="65"/>
      <c r="U2075" s="153">
        <v>3.0</v>
      </c>
      <c r="V2075" s="379" t="s">
        <v>12680</v>
      </c>
      <c r="W2075" s="156" t="s">
        <v>10960</v>
      </c>
      <c r="X2075" s="51" t="str">
        <f t="array" ref="X2075"> if(iserror(MATCH(V2075, 'File Links'!C:C, 0)), "N/A", HYPERLINK(INDEX('File Links'!B:B, MATCH(V2075, 'File Links'!C:C, 0))))</f>
        <v>https://drive.google.com/file/d/1FM8L4aEO4RUDs49kJAJIdOCQaOMgYN0P/view?usp=drivesdk</v>
      </c>
      <c r="Y2075" s="65"/>
      <c r="Z2075" s="156" t="s">
        <v>12681</v>
      </c>
      <c r="AA2075" s="156" t="s">
        <v>12682</v>
      </c>
      <c r="AB2075" s="156" t="s">
        <v>12683</v>
      </c>
      <c r="AC2075" s="156" t="s">
        <v>12682</v>
      </c>
      <c r="AD2075" s="1057" t="s">
        <v>12684</v>
      </c>
      <c r="AE2075" s="153">
        <v>9.0</v>
      </c>
      <c r="AF2075" s="153">
        <v>105.0</v>
      </c>
      <c r="AG2075" s="156" t="s">
        <v>12685</v>
      </c>
      <c r="AH2075" s="156" t="s">
        <v>127</v>
      </c>
      <c r="AI2075" s="156" t="s">
        <v>621</v>
      </c>
      <c r="AJ2075" s="153">
        <v>0.02</v>
      </c>
      <c r="AK2075" s="156" t="s">
        <v>128</v>
      </c>
      <c r="AL2075" s="156" t="s">
        <v>179</v>
      </c>
      <c r="AM2075" s="156" t="s">
        <v>134</v>
      </c>
      <c r="AN2075" s="65" t="s">
        <v>131</v>
      </c>
      <c r="AO2075" s="153">
        <v>144.0</v>
      </c>
      <c r="AP2075" s="1471">
        <v>0.114</v>
      </c>
      <c r="AQ2075" s="156" t="s">
        <v>166</v>
      </c>
      <c r="AR2075" s="156" t="s">
        <v>175</v>
      </c>
      <c r="AS2075" s="153">
        <v>0.172</v>
      </c>
      <c r="AT2075" s="156" t="s">
        <v>165</v>
      </c>
      <c r="AU2075" s="156" t="s">
        <v>129</v>
      </c>
      <c r="AV2075" s="156" t="s">
        <v>134</v>
      </c>
      <c r="AW2075" s="156" t="s">
        <v>131</v>
      </c>
      <c r="AX2075" s="156" t="s">
        <v>136</v>
      </c>
      <c r="AY2075" s="65"/>
      <c r="AZ2075" s="59" t="s">
        <v>5061</v>
      </c>
    </row>
    <row r="2076">
      <c r="A2076" s="41">
        <v>2076.0</v>
      </c>
      <c r="B2076" s="126" t="s">
        <v>145</v>
      </c>
      <c r="C2076" s="59" t="s">
        <v>108</v>
      </c>
      <c r="D2076" s="59" t="s">
        <v>146</v>
      </c>
      <c r="F2076" s="126" t="s">
        <v>12671</v>
      </c>
      <c r="G2076" s="126" t="s">
        <v>12686</v>
      </c>
      <c r="H2076" s="148" t="s">
        <v>8522</v>
      </c>
      <c r="I2076" s="158" t="s">
        <v>8523</v>
      </c>
      <c r="J2076" s="65"/>
      <c r="K2076" s="148" t="s">
        <v>12687</v>
      </c>
      <c r="L2076" s="65"/>
      <c r="M2076" s="126" t="s">
        <v>12675</v>
      </c>
      <c r="N2076" s="126" t="s">
        <v>12676</v>
      </c>
      <c r="O2076" s="498">
        <v>3.0</v>
      </c>
      <c r="P2076" s="306" t="s">
        <v>12677</v>
      </c>
      <c r="Q2076" s="49" t="str">
        <f t="array" ref="Q2076"> if(iserror(MATCH(V2076, 'File Links'!C:C, 0)), "N/A", HYPERLINK(INDEX('File Links'!B:B, MATCH(P2076, 'File Links'!C:C, 0))))</f>
        <v>https://drive.google.com/file/d/1gzyiuMNHruki0iqw9ZPuG1ROg8sPoSnR/view?usp=drivesdk</v>
      </c>
      <c r="R2076" s="1689" t="s">
        <v>12678</v>
      </c>
      <c r="S2076" s="126" t="s">
        <v>12679</v>
      </c>
      <c r="T2076" s="1371"/>
      <c r="U2076" s="498">
        <v>3.0</v>
      </c>
      <c r="V2076" s="148" t="s">
        <v>12680</v>
      </c>
      <c r="W2076" s="148" t="s">
        <v>2043</v>
      </c>
      <c r="X2076" s="51" t="str">
        <f t="array" ref="X2076"> if(iserror(MATCH(V2076, 'File Links'!C:C, 0)), "N/A", HYPERLINK(INDEX('File Links'!B:B, MATCH(V2076, 'File Links'!C:C, 0))))</f>
        <v>https://drive.google.com/file/d/1FM8L4aEO4RUDs49kJAJIdOCQaOMgYN0P/view?usp=drivesdk</v>
      </c>
      <c r="Y2076" s="65"/>
      <c r="Z2076" s="1112" t="s">
        <v>12681</v>
      </c>
      <c r="AA2076" s="126" t="s">
        <v>12688</v>
      </c>
      <c r="AB2076" s="148" t="s">
        <v>12689</v>
      </c>
      <c r="AC2076" s="148" t="s">
        <v>12690</v>
      </c>
      <c r="AD2076" s="148" t="s">
        <v>12691</v>
      </c>
      <c r="AE2076" s="148">
        <v>8.0</v>
      </c>
      <c r="AF2076" s="158">
        <v>104.0</v>
      </c>
      <c r="AG2076" s="158" t="s">
        <v>12692</v>
      </c>
      <c r="AH2076" s="156" t="s">
        <v>127</v>
      </c>
      <c r="AI2076" s="148" t="s">
        <v>606</v>
      </c>
      <c r="AJ2076" s="158">
        <v>0.05</v>
      </c>
      <c r="AK2076" s="148" t="s">
        <v>128</v>
      </c>
      <c r="AL2076" s="1113" t="s">
        <v>179</v>
      </c>
      <c r="AM2076" s="126" t="s">
        <v>130</v>
      </c>
      <c r="AN2076" s="1296" t="s">
        <v>131</v>
      </c>
      <c r="AO2076" s="158">
        <v>144.0</v>
      </c>
      <c r="AP2076" s="158">
        <v>0.114</v>
      </c>
      <c r="AQ2076" s="148" t="s">
        <v>166</v>
      </c>
      <c r="AR2076" s="148" t="s">
        <v>175</v>
      </c>
      <c r="AS2076" s="158">
        <v>0.172</v>
      </c>
      <c r="AT2076" s="148" t="s">
        <v>165</v>
      </c>
      <c r="AU2076" s="148" t="s">
        <v>129</v>
      </c>
      <c r="AV2076" s="126" t="s">
        <v>130</v>
      </c>
      <c r="AW2076" s="1112" t="s">
        <v>131</v>
      </c>
      <c r="AX2076" s="126" t="s">
        <v>144</v>
      </c>
      <c r="AZ2076" s="59" t="s">
        <v>5061</v>
      </c>
    </row>
    <row r="2077">
      <c r="A2077" s="41">
        <v>2077.0</v>
      </c>
      <c r="B2077" s="126" t="s">
        <v>107</v>
      </c>
      <c r="C2077" s="59" t="s">
        <v>108</v>
      </c>
      <c r="D2077" s="59" t="s">
        <v>241</v>
      </c>
      <c r="F2077" s="65" t="s">
        <v>12693</v>
      </c>
      <c r="G2077" s="65" t="s">
        <v>12694</v>
      </c>
      <c r="H2077" s="65" t="s">
        <v>242</v>
      </c>
      <c r="I2077" s="526">
        <v>45713.0</v>
      </c>
      <c r="J2077" s="537">
        <v>45762.0</v>
      </c>
      <c r="K2077" s="65" t="s">
        <v>12695</v>
      </c>
      <c r="L2077" s="126" t="s">
        <v>12696</v>
      </c>
      <c r="M2077" s="65" t="s">
        <v>12697</v>
      </c>
      <c r="N2077" s="65" t="s">
        <v>12698</v>
      </c>
      <c r="O2077" s="333">
        <v>2.0</v>
      </c>
      <c r="P2077" s="570" t="s">
        <v>12699</v>
      </c>
      <c r="Q2077" s="49" t="str">
        <f t="array" ref="Q2077"> if(iserror(MATCH(V2077, 'File Links'!C:C, 0)), "N/A", HYPERLINK(INDEX('File Links'!B:B, MATCH(P2077, 'File Links'!C:C, 0))))</f>
        <v>https://drive.google.com/file/d/1qBoMlGJSxfD9Le6GQLq29-E2xuX5NtUI/view?usp=drivesdk</v>
      </c>
      <c r="R2077" s="65" t="s">
        <v>12700</v>
      </c>
      <c r="S2077" s="65" t="s">
        <v>12701</v>
      </c>
      <c r="T2077" s="65"/>
      <c r="U2077" s="333">
        <v>2.0</v>
      </c>
      <c r="V2077" s="570" t="s">
        <v>12702</v>
      </c>
      <c r="W2077" s="65" t="s">
        <v>7816</v>
      </c>
      <c r="X2077" s="51" t="str">
        <f t="array" ref="X2077"> if(iserror(MATCH(V2077, 'File Links'!C:C, 0)), "N/A", HYPERLINK(INDEX('File Links'!B:B, MATCH(V2077, 'File Links'!C:C, 0))))</f>
        <v>https://drive.google.com/file/d/1gqkCLQ8YLn27JACJIv51ycR1U6cUfNAJ/view?usp=drivesdk</v>
      </c>
      <c r="Y2077" s="65"/>
      <c r="Z2077" s="65" t="s">
        <v>12703</v>
      </c>
      <c r="AA2077" s="126" t="s">
        <v>12704</v>
      </c>
      <c r="AB2077" s="65" t="s">
        <v>12705</v>
      </c>
      <c r="AC2077" s="65" t="s">
        <v>12706</v>
      </c>
      <c r="AD2077" s="65" t="s">
        <v>12707</v>
      </c>
      <c r="AE2077" s="333">
        <v>2.0</v>
      </c>
      <c r="AF2077" s="333">
        <v>44.0</v>
      </c>
      <c r="AG2077" s="333">
        <v>0.12</v>
      </c>
      <c r="AH2077" s="65" t="s">
        <v>867</v>
      </c>
      <c r="AI2077" s="65" t="s">
        <v>2764</v>
      </c>
      <c r="AJ2077" s="333">
        <v>0.05</v>
      </c>
      <c r="AK2077" s="65" t="s">
        <v>128</v>
      </c>
      <c r="AL2077" s="65" t="s">
        <v>179</v>
      </c>
      <c r="AM2077" s="65" t="s">
        <v>130</v>
      </c>
      <c r="AN2077" s="65" t="s">
        <v>131</v>
      </c>
      <c r="AO2077" s="333">
        <v>104.0</v>
      </c>
      <c r="AP2077" s="333">
        <v>-0.23</v>
      </c>
      <c r="AQ2077" s="65" t="s">
        <v>166</v>
      </c>
      <c r="AR2077" s="65" t="s">
        <v>606</v>
      </c>
      <c r="AS2077" s="333">
        <v>0.872</v>
      </c>
      <c r="AT2077" s="65" t="s">
        <v>165</v>
      </c>
      <c r="AU2077" s="65" t="s">
        <v>211</v>
      </c>
      <c r="AV2077" s="65" t="s">
        <v>130</v>
      </c>
      <c r="AW2077" s="65" t="s">
        <v>131</v>
      </c>
      <c r="AX2077" s="65" t="s">
        <v>136</v>
      </c>
      <c r="AZ2077" s="59" t="s">
        <v>5061</v>
      </c>
    </row>
    <row r="2078">
      <c r="A2078" s="41">
        <v>2078.0</v>
      </c>
      <c r="B2078" s="126" t="s">
        <v>145</v>
      </c>
      <c r="C2078" s="59" t="s">
        <v>108</v>
      </c>
      <c r="D2078" s="59" t="s">
        <v>138</v>
      </c>
      <c r="F2078" s="65" t="s">
        <v>12693</v>
      </c>
      <c r="G2078" s="65" t="s">
        <v>12694</v>
      </c>
      <c r="H2078" s="65" t="s">
        <v>12708</v>
      </c>
      <c r="I2078" s="526">
        <v>45713.0</v>
      </c>
      <c r="J2078" s="537">
        <v>45762.0</v>
      </c>
      <c r="K2078" s="65" t="s">
        <v>12709</v>
      </c>
      <c r="L2078" s="65"/>
      <c r="M2078" s="65" t="s">
        <v>12697</v>
      </c>
      <c r="N2078" s="65" t="s">
        <v>12698</v>
      </c>
      <c r="O2078" s="333">
        <v>2.0</v>
      </c>
      <c r="P2078" s="65" t="s">
        <v>12699</v>
      </c>
      <c r="Q2078" s="49" t="str">
        <f t="array" ref="Q2078"> if(iserror(MATCH(V2078, 'File Links'!C:C, 0)), "N/A", HYPERLINK(INDEX('File Links'!B:B, MATCH(P2078, 'File Links'!C:C, 0))))</f>
        <v>https://drive.google.com/file/d/1qBoMlGJSxfD9Le6GQLq29-E2xuX5NtUI/view?usp=drivesdk</v>
      </c>
      <c r="R2078" s="65" t="s">
        <v>12700</v>
      </c>
      <c r="S2078" s="65" t="s">
        <v>12701</v>
      </c>
      <c r="T2078" s="65"/>
      <c r="U2078" s="333">
        <v>2.0</v>
      </c>
      <c r="V2078" s="65" t="s">
        <v>12702</v>
      </c>
      <c r="W2078" s="65" t="s">
        <v>2118</v>
      </c>
      <c r="X2078" s="51" t="str">
        <f t="array" ref="X2078"> if(iserror(MATCH(V2078, 'File Links'!C:C, 0)), "N/A", HYPERLINK(INDEX('File Links'!B:B, MATCH(V2078, 'File Links'!C:C, 0))))</f>
        <v>https://drive.google.com/file/d/1gqkCLQ8YLn27JACJIv51ycR1U6cUfNAJ/view?usp=drivesdk</v>
      </c>
      <c r="Y2078" s="65"/>
      <c r="Z2078" s="65" t="s">
        <v>12703</v>
      </c>
      <c r="AA2078" s="126" t="s">
        <v>12710</v>
      </c>
      <c r="AB2078" s="126" t="s">
        <v>12711</v>
      </c>
      <c r="AC2078" s="65" t="s">
        <v>12706</v>
      </c>
      <c r="AD2078" s="65" t="s">
        <v>12712</v>
      </c>
      <c r="AE2078" s="65" t="s">
        <v>6297</v>
      </c>
      <c r="AF2078" s="333">
        <v>44.0</v>
      </c>
      <c r="AG2078" s="333">
        <v>0.12</v>
      </c>
      <c r="AH2078" s="65" t="s">
        <v>867</v>
      </c>
      <c r="AI2078" s="65" t="s">
        <v>868</v>
      </c>
      <c r="AJ2078" s="333">
        <v>0.05</v>
      </c>
      <c r="AK2078" s="65" t="s">
        <v>128</v>
      </c>
      <c r="AL2078" s="65" t="s">
        <v>179</v>
      </c>
      <c r="AM2078" s="65" t="s">
        <v>130</v>
      </c>
      <c r="AN2078" s="65" t="s">
        <v>131</v>
      </c>
      <c r="AO2078" s="333">
        <v>104.0</v>
      </c>
      <c r="AP2078" s="333">
        <v>-0.23</v>
      </c>
      <c r="AQ2078" s="65" t="s">
        <v>166</v>
      </c>
      <c r="AR2078" s="65" t="s">
        <v>606</v>
      </c>
      <c r="AS2078" s="333">
        <v>0.872</v>
      </c>
      <c r="AT2078" s="65" t="s">
        <v>165</v>
      </c>
      <c r="AU2078" s="65" t="s">
        <v>211</v>
      </c>
      <c r="AV2078" s="65" t="s">
        <v>130</v>
      </c>
      <c r="AW2078" s="65" t="s">
        <v>1528</v>
      </c>
      <c r="AX2078" s="65" t="s">
        <v>136</v>
      </c>
      <c r="AZ2078" s="59" t="s">
        <v>5061</v>
      </c>
    </row>
    <row r="2079">
      <c r="A2079" s="41">
        <v>2079.0</v>
      </c>
      <c r="B2079" s="126" t="s">
        <v>107</v>
      </c>
      <c r="C2079" s="59" t="s">
        <v>108</v>
      </c>
      <c r="D2079" s="59" t="s">
        <v>241</v>
      </c>
      <c r="F2079" s="65" t="s">
        <v>12713</v>
      </c>
      <c r="G2079" s="65" t="s">
        <v>12714</v>
      </c>
      <c r="H2079" s="65" t="s">
        <v>242</v>
      </c>
      <c r="I2079" s="526">
        <v>45713.0</v>
      </c>
      <c r="J2079" s="537">
        <v>45762.0</v>
      </c>
      <c r="K2079" s="65" t="s">
        <v>12715</v>
      </c>
      <c r="L2079" s="126" t="s">
        <v>12716</v>
      </c>
      <c r="M2079" s="65" t="s">
        <v>12717</v>
      </c>
      <c r="N2079" s="65" t="s">
        <v>12718</v>
      </c>
      <c r="O2079" s="65"/>
      <c r="P2079" s="65" t="s">
        <v>12719</v>
      </c>
      <c r="Q2079" s="105" t="str">
        <f t="array" ref="Q2079"> if(iserror(MATCH(V2079, 'File Links'!C:C, 0)), "N/A", HYPERLINK(INDEX('File Links'!B:B, MATCH(P2079, 'File Links'!C:C, 0))))</f>
        <v>N/A</v>
      </c>
      <c r="R2079" s="65" t="s">
        <v>12720</v>
      </c>
      <c r="S2079" s="65" t="s">
        <v>12721</v>
      </c>
      <c r="T2079" s="432" t="s">
        <v>12722</v>
      </c>
      <c r="U2079" s="126" t="s">
        <v>131</v>
      </c>
      <c r="V2079" s="65" t="s">
        <v>12723</v>
      </c>
      <c r="W2079" s="65" t="s">
        <v>2418</v>
      </c>
      <c r="X2079" s="46" t="str">
        <f t="array" ref="X2079"> if(iserror(MATCH(V2079, 'File Links'!C:C, 0)), "N/A", HYPERLINK(INDEX('File Links'!B:B, MATCH(V2079, 'File Links'!C:C, 0))))</f>
        <v>N/A</v>
      </c>
      <c r="Y2079" s="65" t="s">
        <v>12715</v>
      </c>
      <c r="Z2079" s="65" t="s">
        <v>12724</v>
      </c>
      <c r="AA2079" s="65"/>
      <c r="AB2079" s="65" t="s">
        <v>12725</v>
      </c>
      <c r="AC2079" s="65" t="s">
        <v>12726</v>
      </c>
      <c r="AD2079" s="65"/>
      <c r="AE2079" s="65"/>
      <c r="AF2079" s="333">
        <v>123.0</v>
      </c>
      <c r="AG2079" s="333">
        <v>0.81</v>
      </c>
      <c r="AH2079" s="65" t="s">
        <v>166</v>
      </c>
      <c r="AI2079" s="65"/>
      <c r="AJ2079" s="65"/>
      <c r="AK2079" s="65"/>
      <c r="AL2079" s="65"/>
      <c r="AM2079" s="65"/>
      <c r="AN2079" s="432" t="s">
        <v>12727</v>
      </c>
      <c r="AO2079" s="333">
        <v>277.0</v>
      </c>
      <c r="AP2079" s="333">
        <v>0.82</v>
      </c>
      <c r="AQ2079" s="65" t="s">
        <v>166</v>
      </c>
      <c r="AR2079" s="65"/>
      <c r="AS2079" s="65"/>
      <c r="AT2079" s="65"/>
      <c r="AU2079" s="65"/>
      <c r="AV2079" s="65"/>
      <c r="AW2079" s="432" t="s">
        <v>12728</v>
      </c>
      <c r="AX2079" s="65" t="s">
        <v>136</v>
      </c>
      <c r="AZ2079" s="59" t="s">
        <v>5061</v>
      </c>
    </row>
    <row r="2080">
      <c r="A2080" s="41">
        <v>2080.0</v>
      </c>
      <c r="B2080" s="126" t="s">
        <v>107</v>
      </c>
      <c r="C2080" s="59" t="s">
        <v>108</v>
      </c>
      <c r="D2080" s="59" t="s">
        <v>138</v>
      </c>
      <c r="F2080" s="65" t="s">
        <v>12713</v>
      </c>
      <c r="G2080" s="65" t="s">
        <v>12714</v>
      </c>
      <c r="H2080" s="65" t="s">
        <v>12729</v>
      </c>
      <c r="I2080" s="526">
        <v>45713.0</v>
      </c>
      <c r="J2080" s="537">
        <v>45762.0</v>
      </c>
      <c r="K2080" s="126" t="s">
        <v>12730</v>
      </c>
      <c r="L2080" s="65"/>
      <c r="M2080" s="591" t="s">
        <v>12731</v>
      </c>
      <c r="N2080" s="65" t="s">
        <v>12718</v>
      </c>
      <c r="O2080" s="333">
        <v>1.0</v>
      </c>
      <c r="P2080" s="65" t="s">
        <v>12719</v>
      </c>
      <c r="Q2080" s="105" t="str">
        <f t="array" ref="Q2080"> if(iserror(MATCH(V2080, 'File Links'!C:C, 0)), "N/A", HYPERLINK(INDEX('File Links'!B:B, MATCH(P2080, 'File Links'!C:C, 0))))</f>
        <v>N/A</v>
      </c>
      <c r="R2080" s="65" t="s">
        <v>12720</v>
      </c>
      <c r="S2080" s="65" t="s">
        <v>12721</v>
      </c>
      <c r="T2080" s="432" t="s">
        <v>12722</v>
      </c>
      <c r="U2080" s="126" t="s">
        <v>131</v>
      </c>
      <c r="V2080" s="65" t="s">
        <v>12723</v>
      </c>
      <c r="W2080" s="65"/>
      <c r="X2080" s="46" t="str">
        <f t="array" ref="X2080"> if(iserror(MATCH(V2080, 'File Links'!C:C, 0)), "N/A", HYPERLINK(INDEX('File Links'!B:B, MATCH(V2080, 'File Links'!C:C, 0))))</f>
        <v>N/A</v>
      </c>
      <c r="Y2080" s="65" t="s">
        <v>12732</v>
      </c>
      <c r="Z2080" s="65" t="s">
        <v>219</v>
      </c>
      <c r="AA2080" s="65" t="s">
        <v>1528</v>
      </c>
      <c r="AB2080" s="65" t="s">
        <v>12733</v>
      </c>
      <c r="AC2080" s="65" t="s">
        <v>12734</v>
      </c>
      <c r="AD2080" s="65"/>
      <c r="AE2080" s="65"/>
      <c r="AF2080" s="333">
        <v>123.0</v>
      </c>
      <c r="AG2080" s="333">
        <v>0.81</v>
      </c>
      <c r="AH2080" s="65" t="s">
        <v>166</v>
      </c>
      <c r="AI2080" s="65"/>
      <c r="AJ2080" s="65"/>
      <c r="AK2080" s="65"/>
      <c r="AL2080" s="65"/>
      <c r="AM2080" s="65"/>
      <c r="AN2080" s="432" t="s">
        <v>12735</v>
      </c>
      <c r="AO2080" s="333">
        <v>277.0</v>
      </c>
      <c r="AP2080" s="333">
        <v>0.82</v>
      </c>
      <c r="AQ2080" s="65" t="s">
        <v>166</v>
      </c>
      <c r="AR2080" s="65"/>
      <c r="AS2080" s="65"/>
      <c r="AT2080" s="65"/>
      <c r="AU2080" s="65" t="s">
        <v>179</v>
      </c>
      <c r="AV2080" s="65" t="s">
        <v>130</v>
      </c>
      <c r="AW2080" s="65" t="s">
        <v>1528</v>
      </c>
      <c r="AX2080" s="65" t="s">
        <v>136</v>
      </c>
      <c r="AZ2080" s="59" t="s">
        <v>5061</v>
      </c>
    </row>
    <row r="2081">
      <c r="A2081" s="41">
        <v>2081.0</v>
      </c>
      <c r="B2081" s="126" t="s">
        <v>145</v>
      </c>
      <c r="C2081" s="59" t="s">
        <v>108</v>
      </c>
      <c r="D2081" s="59" t="s">
        <v>241</v>
      </c>
      <c r="F2081" s="65" t="s">
        <v>12736</v>
      </c>
      <c r="G2081" s="65" t="s">
        <v>12737</v>
      </c>
      <c r="H2081" s="65" t="s">
        <v>242</v>
      </c>
      <c r="I2081" s="526">
        <v>45713.0</v>
      </c>
      <c r="J2081" s="537">
        <v>45762.0</v>
      </c>
      <c r="K2081" s="65" t="s">
        <v>12738</v>
      </c>
      <c r="L2081" s="126" t="s">
        <v>12739</v>
      </c>
      <c r="M2081" s="65" t="s">
        <v>12740</v>
      </c>
      <c r="N2081" s="65" t="s">
        <v>12741</v>
      </c>
      <c r="O2081" s="333">
        <v>3.0</v>
      </c>
      <c r="P2081" s="570" t="s">
        <v>12742</v>
      </c>
      <c r="Q2081" s="49" t="str">
        <f t="array" ref="Q2081"> if(iserror(MATCH(V2081, 'File Links'!C:C, 0)), "N/A", HYPERLINK(INDEX('File Links'!B:B, MATCH(P2081, 'File Links'!C:C, 0))))</f>
        <v>https://drive.google.com/file/d/1LFgNyzLqTELlP9tfS2pwZ6Egg431WCHQ/view?usp=drivesdk</v>
      </c>
      <c r="R2081" s="65" t="s">
        <v>12743</v>
      </c>
      <c r="S2081" s="65" t="s">
        <v>12744</v>
      </c>
      <c r="T2081" s="65"/>
      <c r="U2081" s="126">
        <v>1.0</v>
      </c>
      <c r="V2081" s="570" t="s">
        <v>12745</v>
      </c>
      <c r="W2081" s="65" t="s">
        <v>2118</v>
      </c>
      <c r="X2081" s="51" t="str">
        <f t="array" ref="X2081"> if(iserror(MATCH(V2081, 'File Links'!C:C, 0)), "N/A", HYPERLINK(INDEX('File Links'!B:B, MATCH(V2081, 'File Links'!C:C, 0))))</f>
        <v>https://drive.google.com/file/d/1yu5hD1Fq1gaQ5iAk9Sy1oujO3qnlBxsm/view?usp=drivesdk</v>
      </c>
      <c r="Y2081" s="65"/>
      <c r="Z2081" s="65" t="s">
        <v>12703</v>
      </c>
      <c r="AA2081" s="65" t="s">
        <v>12746</v>
      </c>
      <c r="AB2081" s="126" t="s">
        <v>12747</v>
      </c>
      <c r="AC2081" s="65" t="s">
        <v>12748</v>
      </c>
      <c r="AD2081" s="65" t="s">
        <v>12749</v>
      </c>
      <c r="AE2081" s="65" t="s">
        <v>5611</v>
      </c>
      <c r="AF2081" s="333">
        <v>72.0</v>
      </c>
      <c r="AG2081" s="126" t="s">
        <v>12750</v>
      </c>
      <c r="AH2081" s="65" t="s">
        <v>127</v>
      </c>
      <c r="AI2081" s="65" t="s">
        <v>125</v>
      </c>
      <c r="AJ2081" s="333">
        <v>0.091</v>
      </c>
      <c r="AK2081" s="65" t="s">
        <v>165</v>
      </c>
      <c r="AL2081" s="65" t="s">
        <v>129</v>
      </c>
      <c r="AM2081" s="65" t="s">
        <v>130</v>
      </c>
      <c r="AN2081" s="65" t="s">
        <v>131</v>
      </c>
      <c r="AO2081" s="333">
        <v>391.0</v>
      </c>
      <c r="AP2081" s="126" t="s">
        <v>12751</v>
      </c>
      <c r="AQ2081" s="65" t="s">
        <v>127</v>
      </c>
      <c r="AR2081" s="65" t="s">
        <v>9212</v>
      </c>
      <c r="AS2081" s="333">
        <v>0.001</v>
      </c>
      <c r="AT2081" s="65" t="s">
        <v>165</v>
      </c>
      <c r="AU2081" s="65" t="s">
        <v>129</v>
      </c>
      <c r="AV2081" s="65" t="s">
        <v>130</v>
      </c>
      <c r="AW2081" s="432" t="s">
        <v>12752</v>
      </c>
      <c r="AX2081" s="65" t="s">
        <v>136</v>
      </c>
      <c r="AZ2081" s="59" t="s">
        <v>5061</v>
      </c>
    </row>
    <row r="2082">
      <c r="A2082" s="41">
        <v>2082.0</v>
      </c>
      <c r="B2082" s="126" t="s">
        <v>107</v>
      </c>
      <c r="C2082" s="59" t="s">
        <v>108</v>
      </c>
      <c r="D2082" s="59" t="s">
        <v>138</v>
      </c>
      <c r="F2082" s="65" t="s">
        <v>12736</v>
      </c>
      <c r="G2082" s="65" t="s">
        <v>12737</v>
      </c>
      <c r="H2082" s="65" t="s">
        <v>12753</v>
      </c>
      <c r="I2082" s="526">
        <v>45713.0</v>
      </c>
      <c r="J2082" s="537">
        <v>45762.0</v>
      </c>
      <c r="K2082" s="65" t="s">
        <v>12754</v>
      </c>
      <c r="L2082" s="591" t="s">
        <v>12755</v>
      </c>
      <c r="M2082" s="591" t="s">
        <v>12756</v>
      </c>
      <c r="N2082" s="65" t="s">
        <v>12741</v>
      </c>
      <c r="O2082" s="333">
        <v>3.0</v>
      </c>
      <c r="P2082" s="65" t="s">
        <v>12742</v>
      </c>
      <c r="Q2082" s="49" t="str">
        <f t="array" ref="Q2082"> if(iserror(MATCH(V2082, 'File Links'!C:C, 0)), "N/A", HYPERLINK(INDEX('File Links'!B:B, MATCH(P2082, 'File Links'!C:C, 0))))</f>
        <v>https://drive.google.com/file/d/1LFgNyzLqTELlP9tfS2pwZ6Egg431WCHQ/view?usp=drivesdk</v>
      </c>
      <c r="R2082" s="65" t="s">
        <v>12743</v>
      </c>
      <c r="S2082" s="65" t="s">
        <v>12744</v>
      </c>
      <c r="T2082" s="65"/>
      <c r="U2082" s="126">
        <v>1.0</v>
      </c>
      <c r="V2082" s="65" t="s">
        <v>12745</v>
      </c>
      <c r="W2082" s="65" t="s">
        <v>2118</v>
      </c>
      <c r="X2082" s="51" t="str">
        <f t="array" ref="X2082"> if(iserror(MATCH(V2082, 'File Links'!C:C, 0)), "N/A", HYPERLINK(INDEX('File Links'!B:B, MATCH(V2082, 'File Links'!C:C, 0))))</f>
        <v>https://drive.google.com/file/d/1yu5hD1Fq1gaQ5iAk9Sy1oujO3qnlBxsm/view?usp=drivesdk</v>
      </c>
      <c r="Y2082" s="65"/>
      <c r="Z2082" s="65" t="s">
        <v>12703</v>
      </c>
      <c r="AA2082" s="65" t="s">
        <v>12746</v>
      </c>
      <c r="AB2082" s="65" t="s">
        <v>12757</v>
      </c>
      <c r="AC2082" s="65" t="s">
        <v>12758</v>
      </c>
      <c r="AD2082" s="65" t="s">
        <v>12759</v>
      </c>
      <c r="AE2082" s="333">
        <v>7.0</v>
      </c>
      <c r="AF2082" s="333">
        <v>72.0</v>
      </c>
      <c r="AG2082" s="320" t="s">
        <v>12760</v>
      </c>
      <c r="AH2082" s="65" t="s">
        <v>127</v>
      </c>
      <c r="AI2082" s="65" t="s">
        <v>125</v>
      </c>
      <c r="AJ2082" s="1942">
        <v>0.05</v>
      </c>
      <c r="AK2082" s="1384" t="s">
        <v>328</v>
      </c>
      <c r="AL2082" s="65" t="s">
        <v>129</v>
      </c>
      <c r="AM2082" s="65" t="s">
        <v>130</v>
      </c>
      <c r="AN2082" s="65" t="s">
        <v>131</v>
      </c>
      <c r="AO2082" s="333">
        <v>391.0</v>
      </c>
      <c r="AP2082" s="126" t="s">
        <v>12761</v>
      </c>
      <c r="AQ2082" s="65" t="s">
        <v>127</v>
      </c>
      <c r="AR2082" s="65" t="s">
        <v>2222</v>
      </c>
      <c r="AS2082" s="333">
        <v>0.146</v>
      </c>
      <c r="AT2082" s="65" t="s">
        <v>165</v>
      </c>
      <c r="AU2082" s="65" t="s">
        <v>179</v>
      </c>
      <c r="AV2082" s="65" t="s">
        <v>130</v>
      </c>
      <c r="AW2082" s="432" t="s">
        <v>12752</v>
      </c>
      <c r="AX2082" s="65" t="s">
        <v>136</v>
      </c>
      <c r="AZ2082" s="59" t="s">
        <v>5061</v>
      </c>
    </row>
    <row r="2083">
      <c r="A2083" s="41">
        <v>2083.0</v>
      </c>
      <c r="B2083" s="126" t="s">
        <v>145</v>
      </c>
      <c r="C2083" s="59" t="s">
        <v>108</v>
      </c>
      <c r="D2083" s="59" t="s">
        <v>241</v>
      </c>
      <c r="F2083" s="65" t="s">
        <v>12762</v>
      </c>
      <c r="G2083" s="65" t="s">
        <v>12763</v>
      </c>
      <c r="H2083" s="65" t="s">
        <v>242</v>
      </c>
      <c r="I2083" s="526">
        <v>45713.0</v>
      </c>
      <c r="J2083" s="537">
        <v>45762.0</v>
      </c>
      <c r="K2083" s="65" t="s">
        <v>12764</v>
      </c>
      <c r="L2083" s="126" t="s">
        <v>12765</v>
      </c>
      <c r="M2083" s="126" t="s">
        <v>12766</v>
      </c>
      <c r="N2083" s="65" t="s">
        <v>12767</v>
      </c>
      <c r="O2083" s="333">
        <v>1.0</v>
      </c>
      <c r="P2083" s="570" t="s">
        <v>12768</v>
      </c>
      <c r="Q2083" s="49" t="str">
        <f t="array" ref="Q2083"> if(iserror(MATCH(V2083, 'File Links'!C:C, 0)), "N/A", HYPERLINK(INDEX('File Links'!B:B, MATCH(P2083, 'File Links'!C:C, 0))))</f>
        <v>https://drive.google.com/file/d/1kMj9bYJrk8644y4gPjpgYXSikwfmuYTS/view?usp=drivesdk</v>
      </c>
      <c r="R2083" s="65" t="s">
        <v>12766</v>
      </c>
      <c r="S2083" s="65" t="s">
        <v>12767</v>
      </c>
      <c r="T2083" s="65"/>
      <c r="U2083" s="333">
        <v>2.0</v>
      </c>
      <c r="V2083" s="570" t="s">
        <v>12768</v>
      </c>
      <c r="W2083" s="65" t="s">
        <v>131</v>
      </c>
      <c r="X2083" s="51" t="str">
        <f t="array" ref="X2083"> if(iserror(MATCH(V2083, 'File Links'!C:C, 0)), "N/A", HYPERLINK(INDEX('File Links'!B:B, MATCH(V2083, 'File Links'!C:C, 0))))</f>
        <v>https://drive.google.com/file/d/1kMj9bYJrk8644y4gPjpgYXSikwfmuYTS/view?usp=drivesdk</v>
      </c>
      <c r="Y2083" s="65"/>
      <c r="Z2083" s="65" t="s">
        <v>12769</v>
      </c>
      <c r="AA2083" s="65" t="s">
        <v>12770</v>
      </c>
      <c r="AB2083" s="126" t="s">
        <v>12771</v>
      </c>
      <c r="AC2083" s="65" t="s">
        <v>12770</v>
      </c>
      <c r="AD2083" s="65" t="s">
        <v>12772</v>
      </c>
      <c r="AE2083" s="1943">
        <v>45750.0</v>
      </c>
      <c r="AF2083" s="333">
        <v>60.0</v>
      </c>
      <c r="AG2083" s="333">
        <v>0.29</v>
      </c>
      <c r="AH2083" s="65" t="s">
        <v>208</v>
      </c>
      <c r="AI2083" s="65" t="s">
        <v>210</v>
      </c>
      <c r="AJ2083" s="333">
        <v>0.023</v>
      </c>
      <c r="AK2083" s="65" t="s">
        <v>165</v>
      </c>
      <c r="AL2083" s="65" t="s">
        <v>179</v>
      </c>
      <c r="AM2083" s="65" t="s">
        <v>130</v>
      </c>
      <c r="AN2083" s="65" t="s">
        <v>131</v>
      </c>
      <c r="AO2083" s="333">
        <v>42.0</v>
      </c>
      <c r="AP2083" s="560">
        <v>0.32</v>
      </c>
      <c r="AQ2083" s="65" t="s">
        <v>208</v>
      </c>
      <c r="AR2083" s="65" t="s">
        <v>500</v>
      </c>
      <c r="AS2083" s="333">
        <v>0.039</v>
      </c>
      <c r="AT2083" s="65" t="s">
        <v>165</v>
      </c>
      <c r="AU2083" s="65" t="s">
        <v>179</v>
      </c>
      <c r="AV2083" s="65" t="s">
        <v>130</v>
      </c>
      <c r="AW2083" s="65" t="s">
        <v>131</v>
      </c>
      <c r="AX2083" s="65" t="s">
        <v>431</v>
      </c>
      <c r="AZ2083" s="59" t="s">
        <v>5061</v>
      </c>
    </row>
    <row r="2084">
      <c r="A2084" s="41">
        <v>2084.0</v>
      </c>
      <c r="B2084" s="126" t="s">
        <v>107</v>
      </c>
      <c r="C2084" s="59" t="s">
        <v>108</v>
      </c>
      <c r="D2084" s="59" t="s">
        <v>138</v>
      </c>
      <c r="F2084" s="65" t="s">
        <v>12762</v>
      </c>
      <c r="G2084" s="65" t="s">
        <v>12763</v>
      </c>
      <c r="H2084" s="65" t="s">
        <v>12773</v>
      </c>
      <c r="I2084" s="526">
        <v>45713.0</v>
      </c>
      <c r="J2084" s="537">
        <v>45762.0</v>
      </c>
      <c r="K2084" s="65"/>
      <c r="L2084" s="65"/>
      <c r="M2084" s="126" t="s">
        <v>12766</v>
      </c>
      <c r="N2084" s="65" t="s">
        <v>12767</v>
      </c>
      <c r="O2084" s="333">
        <v>1.0</v>
      </c>
      <c r="P2084" s="65" t="s">
        <v>12768</v>
      </c>
      <c r="Q2084" s="49" t="str">
        <f t="array" ref="Q2084"> if(iserror(MATCH(V2084, 'File Links'!C:C, 0)), "N/A", HYPERLINK(INDEX('File Links'!B:B, MATCH(P2084, 'File Links'!C:C, 0))))</f>
        <v>https://drive.google.com/file/d/1kMj9bYJrk8644y4gPjpgYXSikwfmuYTS/view?usp=drivesdk</v>
      </c>
      <c r="R2084" s="65" t="s">
        <v>12766</v>
      </c>
      <c r="S2084" s="65" t="s">
        <v>12767</v>
      </c>
      <c r="T2084" s="65"/>
      <c r="U2084" s="126">
        <v>1.0</v>
      </c>
      <c r="V2084" s="65" t="s">
        <v>12768</v>
      </c>
      <c r="W2084" s="65"/>
      <c r="X2084" s="51" t="str">
        <f t="array" ref="X2084"> if(iserror(MATCH(V2084, 'File Links'!C:C, 0)), "N/A", HYPERLINK(INDEX('File Links'!B:B, MATCH(V2084, 'File Links'!C:C, 0))))</f>
        <v>https://drive.google.com/file/d/1kMj9bYJrk8644y4gPjpgYXSikwfmuYTS/view?usp=drivesdk</v>
      </c>
      <c r="Y2084" s="65" t="s">
        <v>12774</v>
      </c>
      <c r="Z2084" s="65" t="s">
        <v>141</v>
      </c>
      <c r="AA2084" s="65" t="s">
        <v>12770</v>
      </c>
      <c r="AB2084" s="65" t="s">
        <v>12775</v>
      </c>
      <c r="AC2084" s="65" t="s">
        <v>12770</v>
      </c>
      <c r="AD2084" s="65"/>
      <c r="AE2084" s="65"/>
      <c r="AF2084" s="333"/>
      <c r="AG2084" s="333"/>
      <c r="AH2084" s="65"/>
      <c r="AI2084" s="65"/>
      <c r="AJ2084" s="65"/>
      <c r="AK2084" s="65"/>
      <c r="AL2084" s="65"/>
      <c r="AM2084" s="65"/>
      <c r="AN2084" s="65" t="s">
        <v>131</v>
      </c>
      <c r="AO2084" s="333"/>
      <c r="AP2084" s="560"/>
      <c r="AQ2084" s="65"/>
      <c r="AR2084" s="65"/>
      <c r="AS2084" s="65"/>
      <c r="AT2084" s="65"/>
      <c r="AU2084" s="65"/>
      <c r="AV2084" s="65"/>
      <c r="AW2084" s="65"/>
      <c r="AX2084" s="65"/>
      <c r="AZ2084" s="59" t="s">
        <v>5061</v>
      </c>
    </row>
    <row r="2085">
      <c r="A2085" s="41">
        <v>2085.0</v>
      </c>
      <c r="B2085" s="126" t="s">
        <v>145</v>
      </c>
      <c r="C2085" s="59" t="s">
        <v>108</v>
      </c>
      <c r="D2085" s="59" t="s">
        <v>241</v>
      </c>
      <c r="F2085" s="65" t="s">
        <v>12776</v>
      </c>
      <c r="G2085" s="65" t="s">
        <v>12777</v>
      </c>
      <c r="H2085" s="65" t="s">
        <v>242</v>
      </c>
      <c r="I2085" s="526">
        <v>45713.0</v>
      </c>
      <c r="J2085" s="537">
        <v>45763.0</v>
      </c>
      <c r="K2085" s="65" t="s">
        <v>12778</v>
      </c>
      <c r="L2085" s="126" t="s">
        <v>12779</v>
      </c>
      <c r="M2085" s="126" t="s">
        <v>12766</v>
      </c>
      <c r="N2085" s="65" t="s">
        <v>12767</v>
      </c>
      <c r="O2085" s="333">
        <v>1.0</v>
      </c>
      <c r="P2085" s="570" t="s">
        <v>12768</v>
      </c>
      <c r="Q2085" s="49" t="str">
        <f t="array" ref="Q2085"> if(iserror(MATCH(V2085, 'File Links'!C:C, 0)), "N/A", HYPERLINK(INDEX('File Links'!B:B, MATCH(P2085, 'File Links'!C:C, 0))))</f>
        <v>https://drive.google.com/file/d/1kMj9bYJrk8644y4gPjpgYXSikwfmuYTS/view?usp=drivesdk</v>
      </c>
      <c r="R2085" s="65" t="s">
        <v>12780</v>
      </c>
      <c r="S2085" s="65" t="s">
        <v>12781</v>
      </c>
      <c r="T2085" s="65"/>
      <c r="U2085" s="126">
        <v>1.0</v>
      </c>
      <c r="V2085" s="570" t="s">
        <v>12782</v>
      </c>
      <c r="W2085" s="65" t="s">
        <v>131</v>
      </c>
      <c r="X2085" s="51" t="str">
        <f t="array" ref="X2085"> if(iserror(MATCH(V2085, 'File Links'!C:C, 0)), "N/A", HYPERLINK(INDEX('File Links'!B:B, MATCH(V2085, 'File Links'!C:C, 0))))</f>
        <v>https://drive.google.com/file/d/1gdDOOMTIigM-6Ed3enxRZxDW_ycizIYq/view?usp=drivesdk</v>
      </c>
      <c r="Y2085" s="65"/>
      <c r="Z2085" s="65" t="s">
        <v>12769</v>
      </c>
      <c r="AA2085" s="65" t="s">
        <v>12770</v>
      </c>
      <c r="AB2085" s="126" t="s">
        <v>12783</v>
      </c>
      <c r="AC2085" s="65" t="s">
        <v>12770</v>
      </c>
      <c r="AD2085" s="65" t="s">
        <v>12772</v>
      </c>
      <c r="AE2085" s="1943">
        <v>45750.0</v>
      </c>
      <c r="AF2085" s="333">
        <v>60.0</v>
      </c>
      <c r="AG2085" s="333">
        <v>0.29</v>
      </c>
      <c r="AH2085" s="65" t="s">
        <v>208</v>
      </c>
      <c r="AI2085" s="65" t="s">
        <v>210</v>
      </c>
      <c r="AJ2085" s="333">
        <v>0.023</v>
      </c>
      <c r="AK2085" s="65" t="s">
        <v>165</v>
      </c>
      <c r="AL2085" s="65" t="s">
        <v>179</v>
      </c>
      <c r="AM2085" s="65" t="s">
        <v>130</v>
      </c>
      <c r="AN2085" s="65" t="s">
        <v>131</v>
      </c>
      <c r="AO2085" s="333">
        <v>48.0</v>
      </c>
      <c r="AP2085" s="1944">
        <v>1.0</v>
      </c>
      <c r="AQ2085" s="65" t="s">
        <v>715</v>
      </c>
      <c r="AR2085" s="126" t="s">
        <v>12784</v>
      </c>
      <c r="AS2085" s="64" t="str">
        <f> "=(" &amp; AS2082 &amp; "/" &amp; AT2082 &amp; ")/(" &amp; AS2083 &amp; "/" &amp; AT2083 &amp; ")"
</f>
        <v>=(0.146/e (=))/(0.039/e (=))</v>
      </c>
      <c r="AT2085" s="148" t="s">
        <v>131</v>
      </c>
      <c r="AU2085" s="65" t="s">
        <v>179</v>
      </c>
      <c r="AV2085" s="65" t="s">
        <v>134</v>
      </c>
      <c r="AW2085" s="65" t="s">
        <v>131</v>
      </c>
      <c r="AX2085" s="65" t="s">
        <v>136</v>
      </c>
      <c r="AZ2085" s="59" t="s">
        <v>5061</v>
      </c>
    </row>
    <row r="2086">
      <c r="A2086" s="41">
        <v>2086.0</v>
      </c>
      <c r="B2086" s="126" t="s">
        <v>107</v>
      </c>
      <c r="C2086" s="59" t="s">
        <v>108</v>
      </c>
      <c r="D2086" s="59" t="s">
        <v>138</v>
      </c>
      <c r="F2086" s="65" t="s">
        <v>12776</v>
      </c>
      <c r="G2086" s="65" t="s">
        <v>12777</v>
      </c>
      <c r="H2086" s="65" t="s">
        <v>12785</v>
      </c>
      <c r="I2086" s="526">
        <v>45713.0</v>
      </c>
      <c r="J2086" s="537">
        <v>45763.0</v>
      </c>
      <c r="K2086" s="65" t="s">
        <v>12786</v>
      </c>
      <c r="L2086" s="65"/>
      <c r="M2086" s="126" t="s">
        <v>12766</v>
      </c>
      <c r="N2086" s="65" t="s">
        <v>12767</v>
      </c>
      <c r="O2086" s="333">
        <v>1.0</v>
      </c>
      <c r="P2086" s="65" t="s">
        <v>12768</v>
      </c>
      <c r="Q2086" s="49" t="str">
        <f t="array" ref="Q2086"> if(iserror(MATCH(V2086, 'File Links'!C:C, 0)), "N/A", HYPERLINK(INDEX('File Links'!B:B, MATCH(P2086, 'File Links'!C:C, 0))))</f>
        <v>https://drive.google.com/file/d/1kMj9bYJrk8644y4gPjpgYXSikwfmuYTS/view?usp=drivesdk</v>
      </c>
      <c r="R2086" s="65" t="s">
        <v>12780</v>
      </c>
      <c r="S2086" s="65" t="s">
        <v>12781</v>
      </c>
      <c r="T2086" s="65"/>
      <c r="U2086" s="126">
        <v>1.0</v>
      </c>
      <c r="V2086" s="65" t="s">
        <v>12782</v>
      </c>
      <c r="W2086" s="65" t="s">
        <v>131</v>
      </c>
      <c r="X2086" s="51" t="str">
        <f t="array" ref="X2086"> if(iserror(MATCH(V2086, 'File Links'!C:C, 0)), "N/A", HYPERLINK(INDEX('File Links'!B:B, MATCH(V2086, 'File Links'!C:C, 0))))</f>
        <v>https://drive.google.com/file/d/1gdDOOMTIigM-6Ed3enxRZxDW_ycizIYq/view?usp=drivesdk</v>
      </c>
      <c r="Y2086" s="65"/>
      <c r="Z2086" s="65" t="s">
        <v>141</v>
      </c>
      <c r="AA2086" s="65" t="s">
        <v>12770</v>
      </c>
      <c r="AB2086" s="65" t="s">
        <v>12787</v>
      </c>
      <c r="AC2086" s="65" t="s">
        <v>12770</v>
      </c>
      <c r="AD2086" s="65" t="s">
        <v>12788</v>
      </c>
      <c r="AE2086" s="333">
        <v>3.0</v>
      </c>
      <c r="AF2086" s="333">
        <v>60.0</v>
      </c>
      <c r="AG2086" s="333">
        <v>0.29</v>
      </c>
      <c r="AH2086" s="65" t="s">
        <v>208</v>
      </c>
      <c r="AI2086" s="65" t="s">
        <v>210</v>
      </c>
      <c r="AJ2086" s="333">
        <v>0.023</v>
      </c>
      <c r="AK2086" s="65" t="s">
        <v>165</v>
      </c>
      <c r="AL2086" s="65" t="s">
        <v>179</v>
      </c>
      <c r="AM2086" s="65" t="s">
        <v>130</v>
      </c>
      <c r="AN2086" s="65" t="s">
        <v>131</v>
      </c>
      <c r="AO2086" s="333">
        <v>48.0</v>
      </c>
      <c r="AP2086" s="1945">
        <v>0.32</v>
      </c>
      <c r="AQ2086" s="1384" t="s">
        <v>166</v>
      </c>
      <c r="AR2086" s="1384" t="s">
        <v>606</v>
      </c>
      <c r="AS2086" s="1942">
        <v>0.004</v>
      </c>
      <c r="AT2086" s="65" t="s">
        <v>165</v>
      </c>
      <c r="AU2086" s="65" t="s">
        <v>179</v>
      </c>
      <c r="AV2086" s="65" t="s">
        <v>134</v>
      </c>
      <c r="AW2086" s="65" t="s">
        <v>1528</v>
      </c>
      <c r="AX2086" s="65" t="s">
        <v>136</v>
      </c>
      <c r="AZ2086" s="59" t="s">
        <v>5061</v>
      </c>
    </row>
    <row r="2087">
      <c r="A2087" s="41">
        <v>2087.0</v>
      </c>
      <c r="B2087" s="126" t="s">
        <v>145</v>
      </c>
      <c r="C2087" s="59" t="s">
        <v>108</v>
      </c>
      <c r="D2087" s="59" t="s">
        <v>241</v>
      </c>
      <c r="F2087" s="65" t="s">
        <v>12789</v>
      </c>
      <c r="G2087" s="65" t="s">
        <v>12790</v>
      </c>
      <c r="H2087" s="65" t="s">
        <v>242</v>
      </c>
      <c r="I2087" s="526">
        <v>45713.0</v>
      </c>
      <c r="J2087" s="537">
        <v>45763.0</v>
      </c>
      <c r="K2087" s="65" t="s">
        <v>12791</v>
      </c>
      <c r="L2087" s="126" t="s">
        <v>12792</v>
      </c>
      <c r="M2087" s="126" t="s">
        <v>12766</v>
      </c>
      <c r="N2087" s="65" t="s">
        <v>12767</v>
      </c>
      <c r="O2087" s="333">
        <v>1.0</v>
      </c>
      <c r="P2087" s="570" t="s">
        <v>12768</v>
      </c>
      <c r="Q2087" s="49" t="str">
        <f t="array" ref="Q2087"> if(iserror(MATCH(V2087, 'File Links'!C:C, 0)), "N/A", HYPERLINK(INDEX('File Links'!B:B, MATCH(P2087, 'File Links'!C:C, 0))))</f>
        <v>https://drive.google.com/file/d/1kMj9bYJrk8644y4gPjpgYXSikwfmuYTS/view?usp=drivesdk</v>
      </c>
      <c r="R2087" s="65" t="s">
        <v>12793</v>
      </c>
      <c r="S2087" s="65" t="s">
        <v>12794</v>
      </c>
      <c r="T2087" s="65"/>
      <c r="U2087" s="126">
        <v>1.0</v>
      </c>
      <c r="V2087" s="570" t="s">
        <v>12795</v>
      </c>
      <c r="W2087" s="65" t="s">
        <v>131</v>
      </c>
      <c r="X2087" s="51" t="str">
        <f t="array" ref="X2087"> if(iserror(MATCH(V2087, 'File Links'!C:C, 0)), "N/A", HYPERLINK(INDEX('File Links'!B:B, MATCH(V2087, 'File Links'!C:C, 0))))</f>
        <v>https://drive.google.com/file/d/1qykbPSroz40PGKkag9WEI54L9tC55d5r/view?usp=drivesdk</v>
      </c>
      <c r="Y2087" s="65"/>
      <c r="Z2087" s="65" t="s">
        <v>12769</v>
      </c>
      <c r="AA2087" s="65" t="s">
        <v>12770</v>
      </c>
      <c r="AB2087" s="126" t="s">
        <v>12796</v>
      </c>
      <c r="AC2087" s="65" t="s">
        <v>12770</v>
      </c>
      <c r="AD2087" s="65" t="s">
        <v>12772</v>
      </c>
      <c r="AE2087" s="1943">
        <v>45750.0</v>
      </c>
      <c r="AF2087" s="333">
        <v>60.0</v>
      </c>
      <c r="AG2087" s="333">
        <v>0.29</v>
      </c>
      <c r="AH2087" s="65" t="s">
        <v>208</v>
      </c>
      <c r="AI2087" s="65" t="s">
        <v>210</v>
      </c>
      <c r="AJ2087" s="333">
        <v>0.023</v>
      </c>
      <c r="AK2087" s="65" t="s">
        <v>165</v>
      </c>
      <c r="AL2087" s="65" t="s">
        <v>179</v>
      </c>
      <c r="AM2087" s="65" t="s">
        <v>130</v>
      </c>
      <c r="AN2087" s="65" t="s">
        <v>131</v>
      </c>
      <c r="AO2087" s="333">
        <v>329.0</v>
      </c>
      <c r="AP2087" s="560">
        <v>0.017</v>
      </c>
      <c r="AQ2087" s="65" t="s">
        <v>867</v>
      </c>
      <c r="AR2087" s="65" t="s">
        <v>125</v>
      </c>
      <c r="AS2087" s="333">
        <v>0.065</v>
      </c>
      <c r="AT2087" s="65" t="s">
        <v>165</v>
      </c>
      <c r="AU2087" s="65" t="s">
        <v>179</v>
      </c>
      <c r="AV2087" s="65" t="s">
        <v>134</v>
      </c>
      <c r="AW2087" s="432" t="s">
        <v>12797</v>
      </c>
      <c r="AX2087" s="65" t="s">
        <v>136</v>
      </c>
      <c r="AZ2087" s="59" t="s">
        <v>5061</v>
      </c>
    </row>
    <row r="2088">
      <c r="A2088" s="41">
        <v>2088.0</v>
      </c>
      <c r="B2088" s="126" t="s">
        <v>107</v>
      </c>
      <c r="C2088" s="59" t="s">
        <v>108</v>
      </c>
      <c r="D2088" s="59" t="s">
        <v>138</v>
      </c>
      <c r="F2088" s="65" t="s">
        <v>12789</v>
      </c>
      <c r="G2088" s="65" t="s">
        <v>12790</v>
      </c>
      <c r="H2088" s="65" t="s">
        <v>12773</v>
      </c>
      <c r="I2088" s="526">
        <v>45713.0</v>
      </c>
      <c r="J2088" s="537">
        <v>45763.0</v>
      </c>
      <c r="K2088" s="65" t="s">
        <v>12798</v>
      </c>
      <c r="L2088" s="65"/>
      <c r="M2088" s="126" t="s">
        <v>12766</v>
      </c>
      <c r="N2088" s="65" t="s">
        <v>12767</v>
      </c>
      <c r="O2088" s="333">
        <v>1.0</v>
      </c>
      <c r="P2088" s="65" t="s">
        <v>12768</v>
      </c>
      <c r="Q2088" s="49" t="str">
        <f t="array" ref="Q2088"> if(iserror(MATCH(V2088, 'File Links'!C:C, 0)), "N/A", HYPERLINK(INDEX('File Links'!B:B, MATCH(P2088, 'File Links'!C:C, 0))))</f>
        <v>https://drive.google.com/file/d/1kMj9bYJrk8644y4gPjpgYXSikwfmuYTS/view?usp=drivesdk</v>
      </c>
      <c r="R2088" s="65" t="s">
        <v>12793</v>
      </c>
      <c r="S2088" s="65" t="s">
        <v>12794</v>
      </c>
      <c r="T2088" s="65"/>
      <c r="U2088" s="126">
        <v>1.0</v>
      </c>
      <c r="V2088" s="65" t="s">
        <v>12795</v>
      </c>
      <c r="W2088" s="65" t="s">
        <v>131</v>
      </c>
      <c r="X2088" s="51" t="str">
        <f t="array" ref="X2088"> if(iserror(MATCH(V2088, 'File Links'!C:C, 0)), "N/A", HYPERLINK(INDEX('File Links'!B:B, MATCH(V2088, 'File Links'!C:C, 0))))</f>
        <v>https://drive.google.com/file/d/1qykbPSroz40PGKkag9WEI54L9tC55d5r/view?usp=drivesdk</v>
      </c>
      <c r="Y2088" s="65"/>
      <c r="Z2088" s="65" t="s">
        <v>219</v>
      </c>
      <c r="AA2088" s="65" t="s">
        <v>12770</v>
      </c>
      <c r="AB2088" s="65" t="s">
        <v>12799</v>
      </c>
      <c r="AC2088" s="65" t="s">
        <v>12800</v>
      </c>
      <c r="AD2088" s="65" t="s">
        <v>12788</v>
      </c>
      <c r="AE2088" s="333">
        <v>3.0</v>
      </c>
      <c r="AF2088" s="333">
        <v>60.0</v>
      </c>
      <c r="AG2088" s="333">
        <v>0.29</v>
      </c>
      <c r="AH2088" s="65" t="s">
        <v>208</v>
      </c>
      <c r="AI2088" s="65" t="s">
        <v>210</v>
      </c>
      <c r="AJ2088" s="333">
        <v>0.023</v>
      </c>
      <c r="AK2088" s="65" t="s">
        <v>165</v>
      </c>
      <c r="AL2088" s="65" t="s">
        <v>179</v>
      </c>
      <c r="AM2088" s="65" t="s">
        <v>130</v>
      </c>
      <c r="AN2088" s="65" t="s">
        <v>131</v>
      </c>
      <c r="AO2088" s="1942">
        <v>106.0</v>
      </c>
      <c r="AP2088" s="1945">
        <v>0.4</v>
      </c>
      <c r="AQ2088" s="1384" t="s">
        <v>208</v>
      </c>
      <c r="AR2088" s="1384" t="s">
        <v>12801</v>
      </c>
      <c r="AS2088" s="1942">
        <v>0.01</v>
      </c>
      <c r="AT2088" s="1384" t="s">
        <v>128</v>
      </c>
      <c r="AU2088" s="65" t="s">
        <v>179</v>
      </c>
      <c r="AV2088" s="65" t="s">
        <v>1898</v>
      </c>
      <c r="AW2088" s="432" t="s">
        <v>12797</v>
      </c>
      <c r="AX2088" s="65" t="s">
        <v>136</v>
      </c>
      <c r="AZ2088" s="59" t="s">
        <v>5061</v>
      </c>
    </row>
    <row r="2089">
      <c r="A2089" s="41">
        <v>2089.0</v>
      </c>
      <c r="B2089" s="126" t="s">
        <v>107</v>
      </c>
      <c r="C2089" s="59" t="s">
        <v>108</v>
      </c>
      <c r="D2089" s="59" t="s">
        <v>1434</v>
      </c>
      <c r="F2089" s="65" t="s">
        <v>12802</v>
      </c>
      <c r="G2089" s="156" t="s">
        <v>12803</v>
      </c>
      <c r="H2089" s="156" t="s">
        <v>12804</v>
      </c>
      <c r="I2089" s="1284" t="s">
        <v>12805</v>
      </c>
      <c r="J2089" s="150">
        <v>45764.0</v>
      </c>
      <c r="K2089" s="156" t="s">
        <v>12806</v>
      </c>
      <c r="L2089" s="156" t="s">
        <v>12807</v>
      </c>
      <c r="M2089" s="156" t="s">
        <v>12808</v>
      </c>
      <c r="N2089" s="156" t="s">
        <v>12809</v>
      </c>
      <c r="O2089" s="153">
        <v>1.0</v>
      </c>
      <c r="P2089" s="379" t="s">
        <v>12810</v>
      </c>
      <c r="Q2089" s="49" t="str">
        <f t="array" ref="Q2089"> if(iserror(MATCH(V2089, 'File Links'!C:C, 0)), "N/A", HYPERLINK(INDEX('File Links'!B:B, MATCH(P2089, 'File Links'!C:C, 0))))</f>
        <v>https://drive.google.com/file/d/1jS6-wcsNs2BINT3z4pARWRtZLYGXCQno/view?usp=drivesdk</v>
      </c>
      <c r="R2089" s="156" t="s">
        <v>12811</v>
      </c>
      <c r="S2089" s="156" t="s">
        <v>12812</v>
      </c>
      <c r="T2089" s="65"/>
      <c r="U2089" s="153">
        <v>1.0</v>
      </c>
      <c r="V2089" s="379" t="s">
        <v>12813</v>
      </c>
      <c r="W2089" s="156" t="s">
        <v>1258</v>
      </c>
      <c r="X2089" s="51" t="str">
        <f t="array" ref="X2089"> if(iserror(MATCH(V2089, 'File Links'!C:C, 0)), "N/A", HYPERLINK(INDEX('File Links'!B:B, MATCH(V2089, 'File Links'!C:C, 0))))</f>
        <v>https://drive.google.com/file/d/1M6Ltzqhoq6i38u_uKwWyzNhrrtQbazWq/view?usp=drivesdk</v>
      </c>
      <c r="Y2089" s="65"/>
      <c r="Z2089" s="156" t="s">
        <v>1004</v>
      </c>
      <c r="AA2089" s="156" t="s">
        <v>12814</v>
      </c>
      <c r="AB2089" s="156" t="s">
        <v>12815</v>
      </c>
      <c r="AC2089" s="156" t="s">
        <v>12816</v>
      </c>
      <c r="AD2089" s="156" t="s">
        <v>12817</v>
      </c>
      <c r="AE2089" s="153">
        <v>5.0</v>
      </c>
      <c r="AF2089" s="153">
        <v>16.0</v>
      </c>
      <c r="AG2089" s="1056">
        <v>-0.88</v>
      </c>
      <c r="AH2089" s="1057" t="s">
        <v>12818</v>
      </c>
      <c r="AI2089" s="156" t="s">
        <v>806</v>
      </c>
      <c r="AJ2089" s="153">
        <v>0.003</v>
      </c>
      <c r="AK2089" s="156" t="s">
        <v>165</v>
      </c>
      <c r="AL2089" s="156" t="s">
        <v>179</v>
      </c>
      <c r="AM2089" s="156" t="s">
        <v>134</v>
      </c>
      <c r="AN2089" s="65" t="s">
        <v>131</v>
      </c>
      <c r="AO2089" s="153">
        <v>30.0</v>
      </c>
      <c r="AP2089" s="1056">
        <v>0.19</v>
      </c>
      <c r="AQ2089" s="1057" t="s">
        <v>12818</v>
      </c>
      <c r="AR2089" s="156" t="s">
        <v>806</v>
      </c>
      <c r="AS2089" s="156" t="s">
        <v>131</v>
      </c>
      <c r="AT2089" s="156" t="s">
        <v>165</v>
      </c>
      <c r="AU2089" s="156" t="s">
        <v>179</v>
      </c>
      <c r="AV2089" s="156" t="s">
        <v>134</v>
      </c>
      <c r="AW2089" s="432" t="s">
        <v>12819</v>
      </c>
      <c r="AX2089" s="156" t="s">
        <v>136</v>
      </c>
      <c r="AY2089" s="65"/>
      <c r="AZ2089" s="59" t="s">
        <v>5061</v>
      </c>
    </row>
    <row r="2090">
      <c r="A2090" s="41">
        <v>2090.0</v>
      </c>
      <c r="B2090" s="126" t="s">
        <v>145</v>
      </c>
      <c r="C2090" s="59" t="s">
        <v>108</v>
      </c>
      <c r="D2090" s="59" t="s">
        <v>146</v>
      </c>
      <c r="F2090" s="126" t="s">
        <v>12802</v>
      </c>
      <c r="G2090" s="126" t="s">
        <v>12803</v>
      </c>
      <c r="H2090" s="148" t="s">
        <v>8522</v>
      </c>
      <c r="I2090" s="158" t="s">
        <v>8523</v>
      </c>
      <c r="J2090" s="150">
        <v>45764.0</v>
      </c>
      <c r="K2090" s="148" t="s">
        <v>12820</v>
      </c>
      <c r="L2090" s="65"/>
      <c r="M2090" s="126" t="s">
        <v>12808</v>
      </c>
      <c r="N2090" s="126" t="s">
        <v>12809</v>
      </c>
      <c r="O2090" s="333"/>
      <c r="P2090" s="306" t="s">
        <v>12810</v>
      </c>
      <c r="Q2090" s="49" t="str">
        <f t="array" ref="Q2090"> if(iserror(MATCH(V2090, 'File Links'!C:C, 0)), "N/A", HYPERLINK(INDEX('File Links'!B:B, MATCH(P2090, 'File Links'!C:C, 0))))</f>
        <v>https://drive.google.com/file/d/1jS6-wcsNs2BINT3z4pARWRtZLYGXCQno/view?usp=drivesdk</v>
      </c>
      <c r="R2090" s="1689" t="s">
        <v>12811</v>
      </c>
      <c r="S2090" s="126" t="s">
        <v>12812</v>
      </c>
      <c r="T2090" s="1371"/>
      <c r="U2090" s="1090">
        <v>1.0</v>
      </c>
      <c r="V2090" s="148" t="s">
        <v>12813</v>
      </c>
      <c r="W2090" s="148" t="s">
        <v>157</v>
      </c>
      <c r="X2090" s="51" t="str">
        <f t="array" ref="X2090"> if(iserror(MATCH(V2090, 'File Links'!C:C, 0)), "N/A", HYPERLINK(INDEX('File Links'!B:B, MATCH(V2090, 'File Links'!C:C, 0))))</f>
        <v>https://drive.google.com/file/d/1M6Ltzqhoq6i38u_uKwWyzNhrrtQbazWq/view?usp=drivesdk</v>
      </c>
      <c r="Y2090" s="65"/>
      <c r="Z2090" s="1112" t="s">
        <v>1004</v>
      </c>
      <c r="AA2090" s="126" t="s">
        <v>12821</v>
      </c>
      <c r="AB2090" s="148" t="s">
        <v>12815</v>
      </c>
      <c r="AC2090" s="1112" t="s">
        <v>12816</v>
      </c>
      <c r="AD2090" s="148" t="s">
        <v>12822</v>
      </c>
      <c r="AE2090" s="148">
        <v>5.0</v>
      </c>
      <c r="AF2090" s="158">
        <v>16.0</v>
      </c>
      <c r="AG2090" s="158">
        <v>0.348</v>
      </c>
      <c r="AH2090" s="148" t="s">
        <v>166</v>
      </c>
      <c r="AI2090" s="1113" t="s">
        <v>12823</v>
      </c>
      <c r="AJ2090" s="158">
        <v>0.003</v>
      </c>
      <c r="AK2090" s="148" t="s">
        <v>165</v>
      </c>
      <c r="AL2090" s="1112" t="s">
        <v>179</v>
      </c>
      <c r="AM2090" s="1112" t="s">
        <v>134</v>
      </c>
      <c r="AN2090" s="1296" t="s">
        <v>131</v>
      </c>
      <c r="AO2090" s="158">
        <v>30.0</v>
      </c>
      <c r="AP2090" s="158">
        <v>0.128</v>
      </c>
      <c r="AQ2090" s="148" t="s">
        <v>166</v>
      </c>
      <c r="AR2090" s="148" t="s">
        <v>12824</v>
      </c>
      <c r="AS2090" s="1112" t="s">
        <v>131</v>
      </c>
      <c r="AT2090" s="1112" t="s">
        <v>131</v>
      </c>
      <c r="AU2090" s="156" t="s">
        <v>179</v>
      </c>
      <c r="AV2090" s="126" t="s">
        <v>130</v>
      </c>
      <c r="AW2090" s="1790" t="s">
        <v>12825</v>
      </c>
      <c r="AX2090" s="126" t="s">
        <v>136</v>
      </c>
      <c r="AZ2090" s="59" t="s">
        <v>5061</v>
      </c>
    </row>
    <row r="2091">
      <c r="A2091" s="41">
        <v>2091.0</v>
      </c>
      <c r="B2091" s="126" t="s">
        <v>516</v>
      </c>
      <c r="C2091" s="59" t="s">
        <v>108</v>
      </c>
      <c r="D2091" s="59" t="s">
        <v>146</v>
      </c>
      <c r="F2091" s="126" t="s">
        <v>12802</v>
      </c>
      <c r="G2091" s="126" t="s">
        <v>12826</v>
      </c>
      <c r="H2091" s="148" t="s">
        <v>8522</v>
      </c>
      <c r="I2091" s="158" t="s">
        <v>8523</v>
      </c>
      <c r="J2091" s="65"/>
      <c r="K2091" s="148" t="s">
        <v>12827</v>
      </c>
      <c r="L2091" s="65"/>
      <c r="M2091" s="126" t="s">
        <v>12808</v>
      </c>
      <c r="N2091" s="126" t="s">
        <v>12809</v>
      </c>
      <c r="O2091" s="333"/>
      <c r="P2091" s="306" t="s">
        <v>12810</v>
      </c>
      <c r="Q2091" s="49" t="str">
        <f t="array" ref="Q2091"> if(iserror(MATCH(V2091, 'File Links'!C:C, 0)), "N/A", HYPERLINK(INDEX('File Links'!B:B, MATCH(P2091, 'File Links'!C:C, 0))))</f>
        <v>https://drive.google.com/file/d/1jS6-wcsNs2BINT3z4pARWRtZLYGXCQno/view?usp=drivesdk</v>
      </c>
      <c r="R2091" s="1689" t="s">
        <v>12811</v>
      </c>
      <c r="S2091" s="126" t="s">
        <v>12812</v>
      </c>
      <c r="T2091" s="1371"/>
      <c r="U2091" s="333"/>
      <c r="V2091" s="148" t="s">
        <v>12813</v>
      </c>
      <c r="W2091" s="148" t="s">
        <v>157</v>
      </c>
      <c r="X2091" s="51" t="str">
        <f t="array" ref="X2091"> if(iserror(MATCH(V2091, 'File Links'!C:C, 0)), "N/A", HYPERLINK(INDEX('File Links'!B:B, MATCH(V2091, 'File Links'!C:C, 0))))</f>
        <v>https://drive.google.com/file/d/1M6Ltzqhoq6i38u_uKwWyzNhrrtQbazWq/view?usp=drivesdk</v>
      </c>
      <c r="Y2091" s="65"/>
      <c r="Z2091" s="148" t="s">
        <v>496</v>
      </c>
      <c r="AA2091" s="126" t="s">
        <v>12821</v>
      </c>
      <c r="AB2091" s="148" t="s">
        <v>12815</v>
      </c>
      <c r="AC2091" s="148" t="s">
        <v>12828</v>
      </c>
      <c r="AD2091" s="148" t="s">
        <v>12829</v>
      </c>
      <c r="AE2091" s="156"/>
      <c r="AF2091" s="158" t="s">
        <v>12808</v>
      </c>
      <c r="AG2091" s="158" t="s">
        <v>12809</v>
      </c>
      <c r="AH2091" s="156"/>
      <c r="AI2091" s="148" t="s">
        <v>12810</v>
      </c>
      <c r="AJ2091" s="158" t="s">
        <v>7250</v>
      </c>
      <c r="AK2091" s="148" t="s">
        <v>12811</v>
      </c>
      <c r="AL2091" s="148" t="s">
        <v>12812</v>
      </c>
      <c r="AM2091" s="65"/>
      <c r="AN2091" s="65"/>
      <c r="AO2091" s="158" t="s">
        <v>12813</v>
      </c>
      <c r="AP2091" s="158" t="s">
        <v>157</v>
      </c>
      <c r="AQ2091" s="148"/>
      <c r="AR2091" s="156"/>
      <c r="AS2091" s="158" t="s">
        <v>496</v>
      </c>
      <c r="AT2091" s="148" t="s">
        <v>12821</v>
      </c>
      <c r="AU2091" s="148" t="s">
        <v>12815</v>
      </c>
      <c r="AV2091" s="126" t="s">
        <v>12830</v>
      </c>
      <c r="AW2091" s="1790" t="s">
        <v>12831</v>
      </c>
      <c r="AX2091" s="126">
        <v>4.0</v>
      </c>
      <c r="AY2091" s="59">
        <v>16.0</v>
      </c>
      <c r="AZ2091" s="59">
        <v>1.004</v>
      </c>
    </row>
    <row r="2092">
      <c r="A2092" s="351">
        <v>2092.0</v>
      </c>
      <c r="B2092" s="53" t="s">
        <v>516</v>
      </c>
      <c r="C2092" s="338" t="s">
        <v>108</v>
      </c>
      <c r="D2092" s="338" t="s">
        <v>146</v>
      </c>
      <c r="E2092" s="339"/>
      <c r="F2092" s="53" t="s">
        <v>12802</v>
      </c>
      <c r="G2092" s="53" t="s">
        <v>12832</v>
      </c>
      <c r="H2092" s="340" t="s">
        <v>8522</v>
      </c>
      <c r="I2092" s="344" t="s">
        <v>8523</v>
      </c>
      <c r="J2092" s="43"/>
      <c r="K2092" s="340" t="s">
        <v>12833</v>
      </c>
      <c r="L2092" s="43"/>
      <c r="M2092" s="53" t="s">
        <v>12808</v>
      </c>
      <c r="N2092" s="53" t="s">
        <v>12809</v>
      </c>
      <c r="O2092" s="382"/>
      <c r="P2092" s="340" t="s">
        <v>12810</v>
      </c>
      <c r="Q2092" s="101" t="str">
        <f t="array" ref="Q2092"> if(iserror(MATCH(V2092, 'File Links'!C:C, 0)), "N/A", HYPERLINK(INDEX('File Links'!B:B, MATCH(P2092, 'File Links'!C:C, 0))))</f>
        <v>https://drive.google.com/file/d/1jS6-wcsNs2BINT3z4pARWRtZLYGXCQno/view?usp=drivesdk</v>
      </c>
      <c r="R2092" s="1689" t="s">
        <v>12811</v>
      </c>
      <c r="S2092" s="53" t="s">
        <v>12812</v>
      </c>
      <c r="T2092" s="1791"/>
      <c r="U2092" s="382"/>
      <c r="V2092" s="340" t="s">
        <v>12813</v>
      </c>
      <c r="W2092" s="340" t="s">
        <v>157</v>
      </c>
      <c r="X2092" s="51" t="str">
        <f t="array" ref="X2092"> if(iserror(MATCH(V2092, 'File Links'!C:C, 0)), "N/A", HYPERLINK(INDEX('File Links'!B:B, MATCH(V2092, 'File Links'!C:C, 0))))</f>
        <v>https://drive.google.com/file/d/1M6Ltzqhoq6i38u_uKwWyzNhrrtQbazWq/view?usp=drivesdk</v>
      </c>
      <c r="Y2092" s="43"/>
      <c r="Z2092" s="340" t="s">
        <v>496</v>
      </c>
      <c r="AA2092" s="53" t="s">
        <v>12821</v>
      </c>
      <c r="AB2092" s="340" t="s">
        <v>12815</v>
      </c>
      <c r="AC2092" s="340" t="s">
        <v>12834</v>
      </c>
      <c r="AD2092" s="340" t="s">
        <v>12835</v>
      </c>
      <c r="AE2092" s="340">
        <v>4.0</v>
      </c>
      <c r="AF2092" s="344">
        <v>16.0</v>
      </c>
      <c r="AG2092" s="344">
        <v>0.375</v>
      </c>
      <c r="AH2092" s="340" t="s">
        <v>166</v>
      </c>
      <c r="AI2092" s="340" t="s">
        <v>843</v>
      </c>
      <c r="AJ2092" s="344">
        <v>0.046</v>
      </c>
      <c r="AK2092" s="340" t="s">
        <v>165</v>
      </c>
      <c r="AL2092" s="340" t="s">
        <v>129</v>
      </c>
      <c r="AM2092" s="53" t="s">
        <v>130</v>
      </c>
      <c r="AN2092" s="43"/>
      <c r="AO2092" s="344">
        <v>30.0</v>
      </c>
      <c r="AP2092" s="344">
        <v>0.467</v>
      </c>
      <c r="AQ2092" s="340" t="s">
        <v>166</v>
      </c>
      <c r="AR2092" s="340" t="s">
        <v>806</v>
      </c>
      <c r="AS2092" s="354"/>
      <c r="AT2092" s="357"/>
      <c r="AU2092" s="340" t="s">
        <v>211</v>
      </c>
      <c r="AV2092" s="53" t="s">
        <v>130</v>
      </c>
      <c r="AW2092" s="1691" t="s">
        <v>12825</v>
      </c>
      <c r="AX2092" s="53" t="s">
        <v>136</v>
      </c>
      <c r="AY2092" s="339"/>
      <c r="AZ2092" s="338" t="s">
        <v>3123</v>
      </c>
      <c r="BA2092" s="339"/>
      <c r="BB2092" s="339"/>
      <c r="BC2092" s="339"/>
      <c r="BD2092" s="339"/>
      <c r="BE2092" s="339"/>
      <c r="BF2092" s="339"/>
      <c r="BG2092" s="339"/>
      <c r="BH2092" s="339"/>
      <c r="BI2092" s="339"/>
      <c r="BJ2092" s="339"/>
      <c r="BK2092" s="339"/>
      <c r="BL2092" s="339"/>
      <c r="BM2092" s="339"/>
      <c r="BN2092" s="339"/>
      <c r="BO2092" s="339"/>
      <c r="BP2092" s="339"/>
      <c r="BQ2092" s="339"/>
      <c r="BR2092" s="339"/>
      <c r="BS2092" s="339"/>
      <c r="BT2092" s="339"/>
      <c r="BU2092" s="339"/>
      <c r="BV2092" s="339"/>
      <c r="BW2092" s="339"/>
      <c r="BX2092" s="339"/>
      <c r="BY2092" s="339"/>
      <c r="BZ2092" s="339"/>
      <c r="CA2092" s="339"/>
      <c r="CB2092" s="339"/>
      <c r="CC2092" s="339"/>
      <c r="CD2092" s="339"/>
      <c r="CE2092" s="339"/>
      <c r="CF2092" s="339"/>
      <c r="CG2092" s="339"/>
      <c r="CH2092" s="339"/>
      <c r="CI2092" s="339"/>
      <c r="CJ2092" s="339"/>
      <c r="CK2092" s="339"/>
      <c r="CL2092" s="339"/>
      <c r="CM2092" s="339"/>
      <c r="CN2092" s="339"/>
      <c r="CO2092" s="339"/>
      <c r="CP2092" s="339"/>
      <c r="CQ2092" s="339"/>
      <c r="CR2092" s="339"/>
      <c r="CS2092" s="339"/>
      <c r="CT2092" s="339"/>
      <c r="CU2092" s="339"/>
      <c r="CV2092" s="339"/>
      <c r="CW2092" s="339"/>
      <c r="CX2092" s="339"/>
      <c r="CY2092" s="339"/>
      <c r="CZ2092" s="339"/>
      <c r="DA2092" s="339"/>
      <c r="DB2092" s="339"/>
      <c r="DC2092" s="339"/>
      <c r="DD2092" s="339"/>
      <c r="DE2092" s="339"/>
      <c r="DF2092" s="339"/>
      <c r="DG2092" s="339"/>
      <c r="DH2092" s="339"/>
    </row>
    <row r="2093">
      <c r="A2093" s="1390">
        <v>2093.0</v>
      </c>
      <c r="B2093" s="692" t="s">
        <v>145</v>
      </c>
      <c r="C2093" s="224" t="s">
        <v>108</v>
      </c>
      <c r="D2093" s="224" t="s">
        <v>1451</v>
      </c>
      <c r="E2093" s="225"/>
      <c r="F2093" s="692" t="s">
        <v>12836</v>
      </c>
      <c r="G2093" s="692" t="s">
        <v>12837</v>
      </c>
      <c r="H2093" s="231" t="s">
        <v>12838</v>
      </c>
      <c r="I2093" s="695" t="s">
        <v>12839</v>
      </c>
      <c r="J2093" s="1946">
        <v>45747.0</v>
      </c>
      <c r="K2093" s="231" t="s">
        <v>12840</v>
      </c>
      <c r="L2093" s="234"/>
      <c r="M2093" s="692" t="s">
        <v>12841</v>
      </c>
      <c r="N2093" s="692" t="s">
        <v>12842</v>
      </c>
      <c r="O2093" s="1947">
        <v>1.0</v>
      </c>
      <c r="P2093" s="231" t="s">
        <v>12843</v>
      </c>
      <c r="Q2093" s="1401" t="str">
        <f t="array" ref="Q2093"> if(iserror(MATCH(V2093, 'File Links'!C:C, 0)), "N/A", HYPERLINK(INDEX('File Links'!B:B, MATCH(P2093, 'File Links'!C:C, 0))))</f>
        <v>https://drive.google.com/file/d/1bo9aASmCjIsAeU5__CNxEyKU60JbH_Oz/view?usp=drivesdk</v>
      </c>
      <c r="R2093" s="1948" t="s">
        <v>12844</v>
      </c>
      <c r="S2093" s="692" t="s">
        <v>12845</v>
      </c>
      <c r="T2093" s="1949" t="s">
        <v>131</v>
      </c>
      <c r="U2093" s="1947">
        <v>1.0</v>
      </c>
      <c r="V2093" s="231" t="s">
        <v>12846</v>
      </c>
      <c r="W2093" s="232"/>
      <c r="X2093" s="1402" t="str">
        <f t="array" ref="X2093"> if(iserror(MATCH(V2093, 'File Links'!C:C, 0)), "N/A", HYPERLINK(INDEX('File Links'!B:B, MATCH(V2093, 'File Links'!C:C, 0))))</f>
        <v>https://drive.google.com/file/d/15PNrZmOOUmljg2u3ulDQT64Zk426YNiM/view?usp=drivesdk</v>
      </c>
      <c r="Y2093" s="692" t="s">
        <v>131</v>
      </c>
      <c r="Z2093" s="231" t="s">
        <v>579</v>
      </c>
      <c r="AA2093" s="692" t="s">
        <v>12847</v>
      </c>
      <c r="AB2093" s="231" t="s">
        <v>12848</v>
      </c>
      <c r="AC2093" s="231" t="s">
        <v>12849</v>
      </c>
      <c r="AD2093" s="231" t="s">
        <v>12850</v>
      </c>
      <c r="AE2093" s="231">
        <v>6.0</v>
      </c>
      <c r="AF2093" s="695">
        <v>499.0</v>
      </c>
      <c r="AG2093" s="695">
        <v>0.65</v>
      </c>
      <c r="AH2093" s="231" t="s">
        <v>354</v>
      </c>
      <c r="AI2093" s="231" t="s">
        <v>1035</v>
      </c>
      <c r="AJ2093" s="695">
        <v>0.001</v>
      </c>
      <c r="AK2093" s="231" t="s">
        <v>128</v>
      </c>
      <c r="AL2093" s="231" t="s">
        <v>179</v>
      </c>
      <c r="AM2093" s="692" t="s">
        <v>134</v>
      </c>
      <c r="AN2093" s="692" t="s">
        <v>131</v>
      </c>
      <c r="AO2093" s="695">
        <v>668.0</v>
      </c>
      <c r="AP2093" s="695">
        <v>0.47</v>
      </c>
      <c r="AQ2093" s="231" t="s">
        <v>354</v>
      </c>
      <c r="AR2093" s="231" t="s">
        <v>2435</v>
      </c>
      <c r="AS2093" s="695">
        <v>0.001</v>
      </c>
      <c r="AT2093" s="231" t="s">
        <v>128</v>
      </c>
      <c r="AU2093" s="231" t="s">
        <v>179</v>
      </c>
      <c r="AV2093" s="692" t="s">
        <v>134</v>
      </c>
      <c r="AW2093" s="1950" t="s">
        <v>131</v>
      </c>
      <c r="AX2093" s="692" t="s">
        <v>136</v>
      </c>
      <c r="AY2093" s="225"/>
      <c r="AZ2093" s="224" t="s">
        <v>685</v>
      </c>
      <c r="BA2093" s="225"/>
      <c r="BB2093" s="225"/>
      <c r="BC2093" s="225"/>
      <c r="BD2093" s="225"/>
      <c r="BE2093" s="225"/>
      <c r="BF2093" s="225"/>
      <c r="BG2093" s="225"/>
      <c r="BH2093" s="225"/>
      <c r="BI2093" s="225"/>
      <c r="BJ2093" s="225"/>
      <c r="BK2093" s="225"/>
      <c r="BL2093" s="225"/>
      <c r="BM2093" s="225"/>
      <c r="BN2093" s="225"/>
      <c r="BO2093" s="225"/>
      <c r="BP2093" s="225"/>
      <c r="BQ2093" s="225"/>
      <c r="BR2093" s="225"/>
      <c r="BS2093" s="225"/>
      <c r="BT2093" s="225"/>
      <c r="BU2093" s="225"/>
      <c r="BV2093" s="225"/>
      <c r="BW2093" s="225"/>
      <c r="BX2093" s="225"/>
      <c r="BY2093" s="225"/>
      <c r="BZ2093" s="225"/>
      <c r="CA2093" s="225"/>
      <c r="CB2093" s="225"/>
      <c r="CC2093" s="225"/>
      <c r="CD2093" s="225"/>
      <c r="CE2093" s="225"/>
      <c r="CF2093" s="225"/>
      <c r="CG2093" s="225"/>
      <c r="CH2093" s="225"/>
      <c r="CI2093" s="225"/>
      <c r="CJ2093" s="225"/>
      <c r="CK2093" s="225"/>
      <c r="CL2093" s="225"/>
      <c r="CM2093" s="225"/>
      <c r="CN2093" s="225"/>
      <c r="CO2093" s="225"/>
      <c r="CP2093" s="225"/>
      <c r="CQ2093" s="225"/>
      <c r="CR2093" s="225"/>
      <c r="CS2093" s="225"/>
      <c r="CT2093" s="225"/>
      <c r="CU2093" s="225"/>
      <c r="CV2093" s="225"/>
      <c r="CW2093" s="225"/>
      <c r="CX2093" s="225"/>
      <c r="CY2093" s="225"/>
      <c r="CZ2093" s="225"/>
      <c r="DA2093" s="225"/>
      <c r="DB2093" s="225"/>
      <c r="DC2093" s="225"/>
      <c r="DD2093" s="225"/>
      <c r="DE2093" s="225"/>
      <c r="DF2093" s="225"/>
      <c r="DG2093" s="225"/>
      <c r="DH2093" s="225"/>
    </row>
    <row r="2094">
      <c r="A2094" s="1390">
        <v>2094.0</v>
      </c>
      <c r="B2094" s="692" t="s">
        <v>145</v>
      </c>
      <c r="C2094" s="224" t="s">
        <v>108</v>
      </c>
      <c r="D2094" s="224" t="s">
        <v>1451</v>
      </c>
      <c r="E2094" s="225"/>
      <c r="F2094" s="692" t="s">
        <v>12851</v>
      </c>
      <c r="G2094" s="692" t="s">
        <v>12837</v>
      </c>
      <c r="H2094" s="231" t="s">
        <v>12838</v>
      </c>
      <c r="I2094" s="695" t="s">
        <v>12839</v>
      </c>
      <c r="J2094" s="1946">
        <v>45747.0</v>
      </c>
      <c r="K2094" s="231" t="s">
        <v>131</v>
      </c>
      <c r="L2094" s="234"/>
      <c r="M2094" s="692" t="s">
        <v>12841</v>
      </c>
      <c r="N2094" s="692" t="s">
        <v>12842</v>
      </c>
      <c r="O2094" s="1947">
        <v>1.0</v>
      </c>
      <c r="P2094" s="231" t="s">
        <v>12843</v>
      </c>
      <c r="Q2094" s="1401" t="str">
        <f t="array" ref="Q2094"> if(iserror(MATCH(V2094, 'File Links'!C:C, 0)), "N/A", HYPERLINK(INDEX('File Links'!B:B, MATCH(P2094, 'File Links'!C:C, 0))))</f>
        <v>https://drive.google.com/file/d/1bo9aASmCjIsAeU5__CNxEyKU60JbH_Oz/view?usp=drivesdk</v>
      </c>
      <c r="R2094" s="1948" t="s">
        <v>12844</v>
      </c>
      <c r="S2094" s="692" t="s">
        <v>12845</v>
      </c>
      <c r="T2094" s="1949" t="s">
        <v>131</v>
      </c>
      <c r="U2094" s="1947">
        <v>1.0</v>
      </c>
      <c r="V2094" s="231" t="s">
        <v>12846</v>
      </c>
      <c r="W2094" s="232"/>
      <c r="X2094" s="1402" t="str">
        <f t="array" ref="X2094"> if(iserror(MATCH(V2094, 'File Links'!C:C, 0)), "N/A", HYPERLINK(INDEX('File Links'!B:B, MATCH(V2094, 'File Links'!C:C, 0))))</f>
        <v>https://drive.google.com/file/d/15PNrZmOOUmljg2u3ulDQT64Zk426YNiM/view?usp=drivesdk</v>
      </c>
      <c r="Y2094" s="692" t="s">
        <v>131</v>
      </c>
      <c r="Z2094" s="231" t="s">
        <v>579</v>
      </c>
      <c r="AA2094" s="692" t="s">
        <v>12847</v>
      </c>
      <c r="AB2094" s="231" t="s">
        <v>12848</v>
      </c>
      <c r="AC2094" s="231" t="s">
        <v>12852</v>
      </c>
      <c r="AD2094" s="231" t="s">
        <v>12853</v>
      </c>
      <c r="AE2094" s="231">
        <v>6.0</v>
      </c>
      <c r="AF2094" s="695">
        <v>499.0</v>
      </c>
      <c r="AG2094" s="695">
        <v>-0.04</v>
      </c>
      <c r="AH2094" s="231" t="s">
        <v>354</v>
      </c>
      <c r="AI2094" s="231" t="s">
        <v>12854</v>
      </c>
      <c r="AJ2094" s="695">
        <v>0.43</v>
      </c>
      <c r="AK2094" s="231" t="s">
        <v>165</v>
      </c>
      <c r="AL2094" s="231" t="s">
        <v>179</v>
      </c>
      <c r="AM2094" s="692" t="s">
        <v>134</v>
      </c>
      <c r="AN2094" s="692" t="s">
        <v>131</v>
      </c>
      <c r="AO2094" s="695">
        <v>668.0</v>
      </c>
      <c r="AP2094" s="695">
        <v>-0.09</v>
      </c>
      <c r="AQ2094" s="231" t="s">
        <v>354</v>
      </c>
      <c r="AR2094" s="231" t="s">
        <v>12855</v>
      </c>
      <c r="AS2094" s="695">
        <v>0.024</v>
      </c>
      <c r="AT2094" s="231" t="s">
        <v>128</v>
      </c>
      <c r="AU2094" s="231" t="s">
        <v>179</v>
      </c>
      <c r="AV2094" s="692" t="s">
        <v>134</v>
      </c>
      <c r="AW2094" s="1950" t="s">
        <v>131</v>
      </c>
      <c r="AX2094" s="692" t="s">
        <v>136</v>
      </c>
      <c r="AY2094" s="225"/>
      <c r="AZ2094" s="224" t="s">
        <v>685</v>
      </c>
      <c r="BA2094" s="225"/>
      <c r="BB2094" s="225"/>
      <c r="BC2094" s="225"/>
      <c r="BD2094" s="225"/>
      <c r="BE2094" s="225"/>
      <c r="BF2094" s="225"/>
      <c r="BG2094" s="225"/>
      <c r="BH2094" s="225"/>
      <c r="BI2094" s="225"/>
      <c r="BJ2094" s="225"/>
      <c r="BK2094" s="225"/>
      <c r="BL2094" s="225"/>
      <c r="BM2094" s="225"/>
      <c r="BN2094" s="225"/>
      <c r="BO2094" s="225"/>
      <c r="BP2094" s="225"/>
      <c r="BQ2094" s="225"/>
      <c r="BR2094" s="225"/>
      <c r="BS2094" s="225"/>
      <c r="BT2094" s="225"/>
      <c r="BU2094" s="225"/>
      <c r="BV2094" s="225"/>
      <c r="BW2094" s="225"/>
      <c r="BX2094" s="225"/>
      <c r="BY2094" s="225"/>
      <c r="BZ2094" s="225"/>
      <c r="CA2094" s="225"/>
      <c r="CB2094" s="225"/>
      <c r="CC2094" s="225"/>
      <c r="CD2094" s="225"/>
      <c r="CE2094" s="225"/>
      <c r="CF2094" s="225"/>
      <c r="CG2094" s="225"/>
      <c r="CH2094" s="225"/>
      <c r="CI2094" s="225"/>
      <c r="CJ2094" s="225"/>
      <c r="CK2094" s="225"/>
      <c r="CL2094" s="225"/>
      <c r="CM2094" s="225"/>
      <c r="CN2094" s="225"/>
      <c r="CO2094" s="225"/>
      <c r="CP2094" s="225"/>
      <c r="CQ2094" s="225"/>
      <c r="CR2094" s="225"/>
      <c r="CS2094" s="225"/>
      <c r="CT2094" s="225"/>
      <c r="CU2094" s="225"/>
      <c r="CV2094" s="225"/>
      <c r="CW2094" s="225"/>
      <c r="CX2094" s="225"/>
      <c r="CY2094" s="225"/>
      <c r="CZ2094" s="225"/>
      <c r="DA2094" s="225"/>
      <c r="DB2094" s="225"/>
      <c r="DC2094" s="225"/>
      <c r="DD2094" s="225"/>
      <c r="DE2094" s="225"/>
      <c r="DF2094" s="225"/>
      <c r="DG2094" s="225"/>
      <c r="DH2094" s="225"/>
    </row>
    <row r="2095">
      <c r="A2095" s="1390">
        <v>2095.0</v>
      </c>
      <c r="B2095" s="692" t="s">
        <v>145</v>
      </c>
      <c r="C2095" s="224" t="s">
        <v>108</v>
      </c>
      <c r="D2095" s="224" t="s">
        <v>1451</v>
      </c>
      <c r="E2095" s="225"/>
      <c r="F2095" s="692" t="s">
        <v>12856</v>
      </c>
      <c r="G2095" s="692" t="s">
        <v>12837</v>
      </c>
      <c r="H2095" s="231" t="s">
        <v>12838</v>
      </c>
      <c r="I2095" s="695" t="s">
        <v>12839</v>
      </c>
      <c r="J2095" s="1946">
        <v>45747.0</v>
      </c>
      <c r="K2095" s="231" t="s">
        <v>131</v>
      </c>
      <c r="L2095" s="234"/>
      <c r="M2095" s="692" t="s">
        <v>12841</v>
      </c>
      <c r="N2095" s="692" t="s">
        <v>12842</v>
      </c>
      <c r="O2095" s="1947">
        <v>1.0</v>
      </c>
      <c r="P2095" s="231" t="s">
        <v>12843</v>
      </c>
      <c r="Q2095" s="1401" t="str">
        <f t="array" ref="Q2095"> if(iserror(MATCH(V2095, 'File Links'!C:C, 0)), "N/A", HYPERLINK(INDEX('File Links'!B:B, MATCH(P2095, 'File Links'!C:C, 0))))</f>
        <v>https://drive.google.com/file/d/1bo9aASmCjIsAeU5__CNxEyKU60JbH_Oz/view?usp=drivesdk</v>
      </c>
      <c r="R2095" s="1948" t="s">
        <v>12844</v>
      </c>
      <c r="S2095" s="692" t="s">
        <v>12845</v>
      </c>
      <c r="T2095" s="1949" t="s">
        <v>131</v>
      </c>
      <c r="U2095" s="1947">
        <v>1.0</v>
      </c>
      <c r="V2095" s="231" t="s">
        <v>12846</v>
      </c>
      <c r="W2095" s="232"/>
      <c r="X2095" s="1402" t="str">
        <f t="array" ref="X2095"> if(iserror(MATCH(V2095, 'File Links'!C:C, 0)), "N/A", HYPERLINK(INDEX('File Links'!B:B, MATCH(V2095, 'File Links'!C:C, 0))))</f>
        <v>https://drive.google.com/file/d/15PNrZmOOUmljg2u3ulDQT64Zk426YNiM/view?usp=drivesdk</v>
      </c>
      <c r="Y2095" s="692" t="s">
        <v>131</v>
      </c>
      <c r="Z2095" s="231" t="s">
        <v>579</v>
      </c>
      <c r="AA2095" s="692" t="s">
        <v>12847</v>
      </c>
      <c r="AB2095" s="231" t="s">
        <v>12848</v>
      </c>
      <c r="AC2095" s="231" t="s">
        <v>12857</v>
      </c>
      <c r="AD2095" s="231" t="s">
        <v>12858</v>
      </c>
      <c r="AE2095" s="231">
        <v>7.0</v>
      </c>
      <c r="AF2095" s="695">
        <v>499.0</v>
      </c>
      <c r="AG2095" s="695">
        <v>0.29</v>
      </c>
      <c r="AH2095" s="231" t="s">
        <v>354</v>
      </c>
      <c r="AI2095" s="231" t="s">
        <v>12859</v>
      </c>
      <c r="AJ2095" s="695">
        <v>0.001</v>
      </c>
      <c r="AK2095" s="231" t="s">
        <v>128</v>
      </c>
      <c r="AL2095" s="231" t="s">
        <v>179</v>
      </c>
      <c r="AM2095" s="692" t="s">
        <v>134</v>
      </c>
      <c r="AN2095" s="692" t="s">
        <v>131</v>
      </c>
      <c r="AO2095" s="695">
        <v>668.0</v>
      </c>
      <c r="AP2095" s="695">
        <v>0.43</v>
      </c>
      <c r="AQ2095" s="231" t="s">
        <v>354</v>
      </c>
      <c r="AR2095" s="231" t="s">
        <v>12855</v>
      </c>
      <c r="AS2095" s="695">
        <v>0.001</v>
      </c>
      <c r="AT2095" s="231" t="s">
        <v>128</v>
      </c>
      <c r="AU2095" s="231" t="s">
        <v>179</v>
      </c>
      <c r="AV2095" s="692" t="s">
        <v>134</v>
      </c>
      <c r="AW2095" s="1950" t="s">
        <v>131</v>
      </c>
      <c r="AX2095" s="692" t="s">
        <v>136</v>
      </c>
      <c r="AY2095" s="225"/>
      <c r="AZ2095" s="224" t="s">
        <v>685</v>
      </c>
      <c r="BA2095" s="225"/>
      <c r="BB2095" s="225"/>
      <c r="BC2095" s="225"/>
      <c r="BD2095" s="225"/>
      <c r="BE2095" s="225"/>
      <c r="BF2095" s="225"/>
      <c r="BG2095" s="225"/>
      <c r="BH2095" s="225"/>
      <c r="BI2095" s="225"/>
      <c r="BJ2095" s="225"/>
      <c r="BK2095" s="225"/>
      <c r="BL2095" s="225"/>
      <c r="BM2095" s="225"/>
      <c r="BN2095" s="225"/>
      <c r="BO2095" s="225"/>
      <c r="BP2095" s="225"/>
      <c r="BQ2095" s="225"/>
      <c r="BR2095" s="225"/>
      <c r="BS2095" s="225"/>
      <c r="BT2095" s="225"/>
      <c r="BU2095" s="225"/>
      <c r="BV2095" s="225"/>
      <c r="BW2095" s="225"/>
      <c r="BX2095" s="225"/>
      <c r="BY2095" s="225"/>
      <c r="BZ2095" s="225"/>
      <c r="CA2095" s="225"/>
      <c r="CB2095" s="225"/>
      <c r="CC2095" s="225"/>
      <c r="CD2095" s="225"/>
      <c r="CE2095" s="225"/>
      <c r="CF2095" s="225"/>
      <c r="CG2095" s="225"/>
      <c r="CH2095" s="225"/>
      <c r="CI2095" s="225"/>
      <c r="CJ2095" s="225"/>
      <c r="CK2095" s="225"/>
      <c r="CL2095" s="225"/>
      <c r="CM2095" s="225"/>
      <c r="CN2095" s="225"/>
      <c r="CO2095" s="225"/>
      <c r="CP2095" s="225"/>
      <c r="CQ2095" s="225"/>
      <c r="CR2095" s="225"/>
      <c r="CS2095" s="225"/>
      <c r="CT2095" s="225"/>
      <c r="CU2095" s="225"/>
      <c r="CV2095" s="225"/>
      <c r="CW2095" s="225"/>
      <c r="CX2095" s="225"/>
      <c r="CY2095" s="225"/>
      <c r="CZ2095" s="225"/>
      <c r="DA2095" s="225"/>
      <c r="DB2095" s="225"/>
      <c r="DC2095" s="225"/>
      <c r="DD2095" s="225"/>
      <c r="DE2095" s="225"/>
      <c r="DF2095" s="225"/>
      <c r="DG2095" s="225"/>
      <c r="DH2095" s="225"/>
    </row>
    <row r="2096">
      <c r="A2096" s="1390">
        <v>2096.0</v>
      </c>
      <c r="B2096" s="692" t="s">
        <v>145</v>
      </c>
      <c r="C2096" s="224" t="s">
        <v>108</v>
      </c>
      <c r="D2096" s="224" t="s">
        <v>1451</v>
      </c>
      <c r="E2096" s="225"/>
      <c r="F2096" s="692" t="s">
        <v>12860</v>
      </c>
      <c r="G2096" s="692" t="s">
        <v>12837</v>
      </c>
      <c r="H2096" s="231" t="s">
        <v>12838</v>
      </c>
      <c r="I2096" s="695" t="s">
        <v>12839</v>
      </c>
      <c r="J2096" s="1946">
        <v>45747.0</v>
      </c>
      <c r="K2096" s="231" t="s">
        <v>131</v>
      </c>
      <c r="L2096" s="234"/>
      <c r="M2096" s="692" t="s">
        <v>12841</v>
      </c>
      <c r="N2096" s="692" t="s">
        <v>12842</v>
      </c>
      <c r="O2096" s="1947">
        <v>1.0</v>
      </c>
      <c r="P2096" s="231" t="s">
        <v>12843</v>
      </c>
      <c r="Q2096" s="1401" t="str">
        <f t="array" ref="Q2096"> if(iserror(MATCH(V2096, 'File Links'!C:C, 0)), "N/A", HYPERLINK(INDEX('File Links'!B:B, MATCH(P2096, 'File Links'!C:C, 0))))</f>
        <v>https://drive.google.com/file/d/1bo9aASmCjIsAeU5__CNxEyKU60JbH_Oz/view?usp=drivesdk</v>
      </c>
      <c r="R2096" s="1948" t="s">
        <v>12844</v>
      </c>
      <c r="S2096" s="692" t="s">
        <v>12845</v>
      </c>
      <c r="T2096" s="1949" t="s">
        <v>131</v>
      </c>
      <c r="U2096" s="1947">
        <v>1.0</v>
      </c>
      <c r="V2096" s="231" t="s">
        <v>12846</v>
      </c>
      <c r="W2096" s="232"/>
      <c r="X2096" s="1402" t="str">
        <f t="array" ref="X2096"> if(iserror(MATCH(V2096, 'File Links'!C:C, 0)), "N/A", HYPERLINK(INDEX('File Links'!B:B, MATCH(V2096, 'File Links'!C:C, 0))))</f>
        <v>https://drive.google.com/file/d/15PNrZmOOUmljg2u3ulDQT64Zk426YNiM/view?usp=drivesdk</v>
      </c>
      <c r="Y2096" s="692" t="s">
        <v>131</v>
      </c>
      <c r="Z2096" s="231" t="s">
        <v>579</v>
      </c>
      <c r="AA2096" s="692" t="s">
        <v>12847</v>
      </c>
      <c r="AB2096" s="231" t="s">
        <v>12848</v>
      </c>
      <c r="AC2096" s="231" t="s">
        <v>12861</v>
      </c>
      <c r="AD2096" s="231" t="s">
        <v>12862</v>
      </c>
      <c r="AE2096" s="231">
        <v>7.0</v>
      </c>
      <c r="AF2096" s="695">
        <v>499.0</v>
      </c>
      <c r="AG2096" s="695">
        <v>0.38</v>
      </c>
      <c r="AH2096" s="231" t="s">
        <v>354</v>
      </c>
      <c r="AI2096" s="231" t="s">
        <v>12859</v>
      </c>
      <c r="AJ2096" s="695">
        <v>0.001</v>
      </c>
      <c r="AK2096" s="231" t="s">
        <v>128</v>
      </c>
      <c r="AL2096" s="231" t="s">
        <v>179</v>
      </c>
      <c r="AM2096" s="692" t="s">
        <v>134</v>
      </c>
      <c r="AN2096" s="692" t="s">
        <v>131</v>
      </c>
      <c r="AO2096" s="695">
        <v>668.0</v>
      </c>
      <c r="AP2096" s="695">
        <v>0.22</v>
      </c>
      <c r="AQ2096" s="231" t="s">
        <v>354</v>
      </c>
      <c r="AR2096" s="231" t="s">
        <v>12855</v>
      </c>
      <c r="AS2096" s="695">
        <v>0.001</v>
      </c>
      <c r="AT2096" s="231" t="s">
        <v>128</v>
      </c>
      <c r="AU2096" s="231" t="s">
        <v>179</v>
      </c>
      <c r="AV2096" s="692" t="s">
        <v>134</v>
      </c>
      <c r="AW2096" s="1950" t="s">
        <v>131</v>
      </c>
      <c r="AX2096" s="692" t="s">
        <v>136</v>
      </c>
      <c r="AY2096" s="225"/>
      <c r="AZ2096" s="224" t="s">
        <v>685</v>
      </c>
      <c r="BA2096" s="225"/>
      <c r="BB2096" s="225"/>
      <c r="BC2096" s="225"/>
      <c r="BD2096" s="225"/>
      <c r="BE2096" s="225"/>
      <c r="BF2096" s="225"/>
      <c r="BG2096" s="225"/>
      <c r="BH2096" s="225"/>
      <c r="BI2096" s="225"/>
      <c r="BJ2096" s="225"/>
      <c r="BK2096" s="225"/>
      <c r="BL2096" s="225"/>
      <c r="BM2096" s="225"/>
      <c r="BN2096" s="225"/>
      <c r="BO2096" s="225"/>
      <c r="BP2096" s="225"/>
      <c r="BQ2096" s="225"/>
      <c r="BR2096" s="225"/>
      <c r="BS2096" s="225"/>
      <c r="BT2096" s="225"/>
      <c r="BU2096" s="225"/>
      <c r="BV2096" s="225"/>
      <c r="BW2096" s="225"/>
      <c r="BX2096" s="225"/>
      <c r="BY2096" s="225"/>
      <c r="BZ2096" s="225"/>
      <c r="CA2096" s="225"/>
      <c r="CB2096" s="225"/>
      <c r="CC2096" s="225"/>
      <c r="CD2096" s="225"/>
      <c r="CE2096" s="225"/>
      <c r="CF2096" s="225"/>
      <c r="CG2096" s="225"/>
      <c r="CH2096" s="225"/>
      <c r="CI2096" s="225"/>
      <c r="CJ2096" s="225"/>
      <c r="CK2096" s="225"/>
      <c r="CL2096" s="225"/>
      <c r="CM2096" s="225"/>
      <c r="CN2096" s="225"/>
      <c r="CO2096" s="225"/>
      <c r="CP2096" s="225"/>
      <c r="CQ2096" s="225"/>
      <c r="CR2096" s="225"/>
      <c r="CS2096" s="225"/>
      <c r="CT2096" s="225"/>
      <c r="CU2096" s="225"/>
      <c r="CV2096" s="225"/>
      <c r="CW2096" s="225"/>
      <c r="CX2096" s="225"/>
      <c r="CY2096" s="225"/>
      <c r="CZ2096" s="225"/>
      <c r="DA2096" s="225"/>
      <c r="DB2096" s="225"/>
      <c r="DC2096" s="225"/>
      <c r="DD2096" s="225"/>
      <c r="DE2096" s="225"/>
      <c r="DF2096" s="225"/>
      <c r="DG2096" s="225"/>
      <c r="DH2096" s="225"/>
    </row>
    <row r="2097">
      <c r="A2097" s="1390">
        <v>2097.0</v>
      </c>
      <c r="B2097" s="692" t="s">
        <v>145</v>
      </c>
      <c r="C2097" s="224" t="s">
        <v>108</v>
      </c>
      <c r="D2097" s="224" t="s">
        <v>1451</v>
      </c>
      <c r="E2097" s="225"/>
      <c r="F2097" s="692" t="s">
        <v>12863</v>
      </c>
      <c r="G2097" s="692" t="s">
        <v>12837</v>
      </c>
      <c r="H2097" s="231" t="s">
        <v>12838</v>
      </c>
      <c r="I2097" s="695" t="s">
        <v>12839</v>
      </c>
      <c r="J2097" s="1946">
        <v>45747.0</v>
      </c>
      <c r="K2097" s="231" t="s">
        <v>131</v>
      </c>
      <c r="L2097" s="234"/>
      <c r="M2097" s="692" t="s">
        <v>12841</v>
      </c>
      <c r="N2097" s="692" t="s">
        <v>12842</v>
      </c>
      <c r="O2097" s="1947">
        <v>1.0</v>
      </c>
      <c r="P2097" s="231" t="s">
        <v>12843</v>
      </c>
      <c r="Q2097" s="1401" t="str">
        <f t="array" ref="Q2097"> if(iserror(MATCH(V2097, 'File Links'!C:C, 0)), "N/A", HYPERLINK(INDEX('File Links'!B:B, MATCH(P2097, 'File Links'!C:C, 0))))</f>
        <v>https://drive.google.com/file/d/1bo9aASmCjIsAeU5__CNxEyKU60JbH_Oz/view?usp=drivesdk</v>
      </c>
      <c r="R2097" s="1948" t="s">
        <v>12844</v>
      </c>
      <c r="S2097" s="692" t="s">
        <v>12845</v>
      </c>
      <c r="T2097" s="1949" t="s">
        <v>131</v>
      </c>
      <c r="U2097" s="1947">
        <v>1.0</v>
      </c>
      <c r="V2097" s="231" t="s">
        <v>12846</v>
      </c>
      <c r="W2097" s="232"/>
      <c r="X2097" s="1402" t="str">
        <f t="array" ref="X2097"> if(iserror(MATCH(V2097, 'File Links'!C:C, 0)), "N/A", HYPERLINK(INDEX('File Links'!B:B, MATCH(V2097, 'File Links'!C:C, 0))))</f>
        <v>https://drive.google.com/file/d/15PNrZmOOUmljg2u3ulDQT64Zk426YNiM/view?usp=drivesdk</v>
      </c>
      <c r="Y2097" s="692" t="s">
        <v>131</v>
      </c>
      <c r="Z2097" s="231" t="s">
        <v>579</v>
      </c>
      <c r="AA2097" s="692" t="s">
        <v>12847</v>
      </c>
      <c r="AB2097" s="231" t="s">
        <v>12848</v>
      </c>
      <c r="AC2097" s="231" t="s">
        <v>12864</v>
      </c>
      <c r="AD2097" s="231" t="s">
        <v>12865</v>
      </c>
      <c r="AE2097" s="231">
        <v>7.0</v>
      </c>
      <c r="AF2097" s="695">
        <v>499.0</v>
      </c>
      <c r="AG2097" s="695">
        <v>0.15</v>
      </c>
      <c r="AH2097" s="231" t="s">
        <v>354</v>
      </c>
      <c r="AI2097" s="231" t="s">
        <v>4966</v>
      </c>
      <c r="AJ2097" s="695">
        <v>0.01</v>
      </c>
      <c r="AK2097" s="231" t="s">
        <v>128</v>
      </c>
      <c r="AL2097" s="231" t="s">
        <v>179</v>
      </c>
      <c r="AM2097" s="692" t="s">
        <v>134</v>
      </c>
      <c r="AN2097" s="692" t="s">
        <v>131</v>
      </c>
      <c r="AO2097" s="695">
        <v>668.0</v>
      </c>
      <c r="AP2097" s="695">
        <v>0.34</v>
      </c>
      <c r="AQ2097" s="231" t="s">
        <v>354</v>
      </c>
      <c r="AR2097" s="231" t="s">
        <v>2435</v>
      </c>
      <c r="AS2097" s="695">
        <v>0.001</v>
      </c>
      <c r="AT2097" s="231" t="s">
        <v>128</v>
      </c>
      <c r="AU2097" s="231" t="s">
        <v>179</v>
      </c>
      <c r="AV2097" s="692" t="s">
        <v>134</v>
      </c>
      <c r="AW2097" s="1950" t="s">
        <v>131</v>
      </c>
      <c r="AX2097" s="692" t="s">
        <v>136</v>
      </c>
      <c r="AY2097" s="225"/>
      <c r="AZ2097" s="224" t="s">
        <v>685</v>
      </c>
      <c r="BA2097" s="225"/>
      <c r="BB2097" s="225"/>
      <c r="BC2097" s="225"/>
      <c r="BD2097" s="225"/>
      <c r="BE2097" s="225"/>
      <c r="BF2097" s="225"/>
      <c r="BG2097" s="225"/>
      <c r="BH2097" s="225"/>
      <c r="BI2097" s="225"/>
      <c r="BJ2097" s="225"/>
      <c r="BK2097" s="225"/>
      <c r="BL2097" s="225"/>
      <c r="BM2097" s="225"/>
      <c r="BN2097" s="225"/>
      <c r="BO2097" s="225"/>
      <c r="BP2097" s="225"/>
      <c r="BQ2097" s="225"/>
      <c r="BR2097" s="225"/>
      <c r="BS2097" s="225"/>
      <c r="BT2097" s="225"/>
      <c r="BU2097" s="225"/>
      <c r="BV2097" s="225"/>
      <c r="BW2097" s="225"/>
      <c r="BX2097" s="225"/>
      <c r="BY2097" s="225"/>
      <c r="BZ2097" s="225"/>
      <c r="CA2097" s="225"/>
      <c r="CB2097" s="225"/>
      <c r="CC2097" s="225"/>
      <c r="CD2097" s="225"/>
      <c r="CE2097" s="225"/>
      <c r="CF2097" s="225"/>
      <c r="CG2097" s="225"/>
      <c r="CH2097" s="225"/>
      <c r="CI2097" s="225"/>
      <c r="CJ2097" s="225"/>
      <c r="CK2097" s="225"/>
      <c r="CL2097" s="225"/>
      <c r="CM2097" s="225"/>
      <c r="CN2097" s="225"/>
      <c r="CO2097" s="225"/>
      <c r="CP2097" s="225"/>
      <c r="CQ2097" s="225"/>
      <c r="CR2097" s="225"/>
      <c r="CS2097" s="225"/>
      <c r="CT2097" s="225"/>
      <c r="CU2097" s="225"/>
      <c r="CV2097" s="225"/>
      <c r="CW2097" s="225"/>
      <c r="CX2097" s="225"/>
      <c r="CY2097" s="225"/>
      <c r="CZ2097" s="225"/>
      <c r="DA2097" s="225"/>
      <c r="DB2097" s="225"/>
      <c r="DC2097" s="225"/>
      <c r="DD2097" s="225"/>
      <c r="DE2097" s="225"/>
      <c r="DF2097" s="225"/>
      <c r="DG2097" s="225"/>
      <c r="DH2097" s="225"/>
    </row>
    <row r="2098">
      <c r="A2098" s="1390">
        <v>2098.0</v>
      </c>
      <c r="B2098" s="692" t="s">
        <v>145</v>
      </c>
      <c r="C2098" s="224" t="s">
        <v>108</v>
      </c>
      <c r="D2098" s="224" t="s">
        <v>1451</v>
      </c>
      <c r="E2098" s="225"/>
      <c r="F2098" s="692" t="s">
        <v>12866</v>
      </c>
      <c r="G2098" s="692" t="s">
        <v>12837</v>
      </c>
      <c r="H2098" s="231" t="s">
        <v>12838</v>
      </c>
      <c r="I2098" s="695" t="s">
        <v>12839</v>
      </c>
      <c r="J2098" s="1946">
        <v>45747.0</v>
      </c>
      <c r="K2098" s="231" t="s">
        <v>131</v>
      </c>
      <c r="L2098" s="234"/>
      <c r="M2098" s="692" t="s">
        <v>12841</v>
      </c>
      <c r="N2098" s="692" t="s">
        <v>12842</v>
      </c>
      <c r="O2098" s="1947">
        <v>1.0</v>
      </c>
      <c r="P2098" s="231" t="s">
        <v>12843</v>
      </c>
      <c r="Q2098" s="1401" t="str">
        <f t="array" ref="Q2098"> if(iserror(MATCH(V2098, 'File Links'!C:C, 0)), "N/A", HYPERLINK(INDEX('File Links'!B:B, MATCH(P2098, 'File Links'!C:C, 0))))</f>
        <v>https://drive.google.com/file/d/1bo9aASmCjIsAeU5__CNxEyKU60JbH_Oz/view?usp=drivesdk</v>
      </c>
      <c r="R2098" s="1948" t="s">
        <v>12844</v>
      </c>
      <c r="S2098" s="692" t="s">
        <v>12845</v>
      </c>
      <c r="T2098" s="1949" t="s">
        <v>131</v>
      </c>
      <c r="U2098" s="1947">
        <v>1.0</v>
      </c>
      <c r="V2098" s="231" t="s">
        <v>12846</v>
      </c>
      <c r="W2098" s="232"/>
      <c r="X2098" s="1402" t="str">
        <f t="array" ref="X2098"> if(iserror(MATCH(V2098, 'File Links'!C:C, 0)), "N/A", HYPERLINK(INDEX('File Links'!B:B, MATCH(V2098, 'File Links'!C:C, 0))))</f>
        <v>https://drive.google.com/file/d/15PNrZmOOUmljg2u3ulDQT64Zk426YNiM/view?usp=drivesdk</v>
      </c>
      <c r="Y2098" s="692" t="s">
        <v>131</v>
      </c>
      <c r="Z2098" s="231" t="s">
        <v>579</v>
      </c>
      <c r="AA2098" s="692" t="s">
        <v>12847</v>
      </c>
      <c r="AB2098" s="231" t="s">
        <v>12848</v>
      </c>
      <c r="AC2098" s="231" t="s">
        <v>12867</v>
      </c>
      <c r="AD2098" s="231" t="s">
        <v>12868</v>
      </c>
      <c r="AE2098" s="231">
        <v>6.0</v>
      </c>
      <c r="AF2098" s="695">
        <v>499.0</v>
      </c>
      <c r="AG2098" s="695">
        <v>0.47</v>
      </c>
      <c r="AH2098" s="231" t="s">
        <v>354</v>
      </c>
      <c r="AI2098" s="231" t="s">
        <v>1035</v>
      </c>
      <c r="AJ2098" s="695">
        <v>0.001</v>
      </c>
      <c r="AK2098" s="231" t="s">
        <v>128</v>
      </c>
      <c r="AL2098" s="231" t="s">
        <v>179</v>
      </c>
      <c r="AM2098" s="692" t="s">
        <v>134</v>
      </c>
      <c r="AN2098" s="692" t="s">
        <v>131</v>
      </c>
      <c r="AO2098" s="695">
        <v>668.0</v>
      </c>
      <c r="AP2098" s="695">
        <v>0.19</v>
      </c>
      <c r="AQ2098" s="231" t="s">
        <v>354</v>
      </c>
      <c r="AR2098" s="231" t="s">
        <v>2435</v>
      </c>
      <c r="AS2098" s="695">
        <v>0.001</v>
      </c>
      <c r="AT2098" s="231" t="s">
        <v>128</v>
      </c>
      <c r="AU2098" s="231" t="s">
        <v>179</v>
      </c>
      <c r="AV2098" s="692" t="s">
        <v>134</v>
      </c>
      <c r="AW2098" s="1950" t="s">
        <v>131</v>
      </c>
      <c r="AX2098" s="692" t="s">
        <v>136</v>
      </c>
      <c r="AY2098" s="225"/>
      <c r="AZ2098" s="224" t="s">
        <v>685</v>
      </c>
      <c r="BA2098" s="225"/>
      <c r="BB2098" s="225"/>
      <c r="BC2098" s="225"/>
      <c r="BD2098" s="225"/>
      <c r="BE2098" s="225"/>
      <c r="BF2098" s="225"/>
      <c r="BG2098" s="225"/>
      <c r="BH2098" s="225"/>
      <c r="BI2098" s="225"/>
      <c r="BJ2098" s="225"/>
      <c r="BK2098" s="225"/>
      <c r="BL2098" s="225"/>
      <c r="BM2098" s="225"/>
      <c r="BN2098" s="225"/>
      <c r="BO2098" s="225"/>
      <c r="BP2098" s="225"/>
      <c r="BQ2098" s="225"/>
      <c r="BR2098" s="225"/>
      <c r="BS2098" s="225"/>
      <c r="BT2098" s="225"/>
      <c r="BU2098" s="225"/>
      <c r="BV2098" s="225"/>
      <c r="BW2098" s="225"/>
      <c r="BX2098" s="225"/>
      <c r="BY2098" s="225"/>
      <c r="BZ2098" s="225"/>
      <c r="CA2098" s="225"/>
      <c r="CB2098" s="225"/>
      <c r="CC2098" s="225"/>
      <c r="CD2098" s="225"/>
      <c r="CE2098" s="225"/>
      <c r="CF2098" s="225"/>
      <c r="CG2098" s="225"/>
      <c r="CH2098" s="225"/>
      <c r="CI2098" s="225"/>
      <c r="CJ2098" s="225"/>
      <c r="CK2098" s="225"/>
      <c r="CL2098" s="225"/>
      <c r="CM2098" s="225"/>
      <c r="CN2098" s="225"/>
      <c r="CO2098" s="225"/>
      <c r="CP2098" s="225"/>
      <c r="CQ2098" s="225"/>
      <c r="CR2098" s="225"/>
      <c r="CS2098" s="225"/>
      <c r="CT2098" s="225"/>
      <c r="CU2098" s="225"/>
      <c r="CV2098" s="225"/>
      <c r="CW2098" s="225"/>
      <c r="CX2098" s="225"/>
      <c r="CY2098" s="225"/>
      <c r="CZ2098" s="225"/>
      <c r="DA2098" s="225"/>
      <c r="DB2098" s="225"/>
      <c r="DC2098" s="225"/>
      <c r="DD2098" s="225"/>
      <c r="DE2098" s="225"/>
      <c r="DF2098" s="225"/>
      <c r="DG2098" s="225"/>
      <c r="DH2098" s="225"/>
    </row>
    <row r="2099">
      <c r="A2099" s="1390">
        <v>2099.0</v>
      </c>
      <c r="B2099" s="692" t="s">
        <v>145</v>
      </c>
      <c r="C2099" s="224" t="s">
        <v>108</v>
      </c>
      <c r="D2099" s="224" t="s">
        <v>1451</v>
      </c>
      <c r="E2099" s="225"/>
      <c r="F2099" s="692" t="s">
        <v>12869</v>
      </c>
      <c r="G2099" s="692" t="s">
        <v>12837</v>
      </c>
      <c r="H2099" s="231" t="s">
        <v>12838</v>
      </c>
      <c r="I2099" s="695" t="s">
        <v>12839</v>
      </c>
      <c r="J2099" s="1946">
        <v>45747.0</v>
      </c>
      <c r="K2099" s="231" t="s">
        <v>12870</v>
      </c>
      <c r="L2099" s="234"/>
      <c r="M2099" s="692" t="s">
        <v>12841</v>
      </c>
      <c r="N2099" s="692" t="s">
        <v>12842</v>
      </c>
      <c r="O2099" s="1947">
        <v>1.0</v>
      </c>
      <c r="P2099" s="231" t="s">
        <v>12843</v>
      </c>
      <c r="Q2099" s="1401" t="str">
        <f t="array" ref="Q2099"> if(iserror(MATCH(V2099, 'File Links'!C:C, 0)), "N/A", HYPERLINK(INDEX('File Links'!B:B, MATCH(P2099, 'File Links'!C:C, 0))))</f>
        <v>https://drive.google.com/file/d/1bo9aASmCjIsAeU5__CNxEyKU60JbH_Oz/view?usp=drivesdk</v>
      </c>
      <c r="R2099" s="1948" t="s">
        <v>12844</v>
      </c>
      <c r="S2099" s="692" t="s">
        <v>12845</v>
      </c>
      <c r="T2099" s="1949" t="s">
        <v>131</v>
      </c>
      <c r="U2099" s="1947">
        <v>1.0</v>
      </c>
      <c r="V2099" s="231" t="s">
        <v>12846</v>
      </c>
      <c r="W2099" s="232"/>
      <c r="X2099" s="1402" t="str">
        <f t="array" ref="X2099"> if(iserror(MATCH(V2099, 'File Links'!C:C, 0)), "N/A", HYPERLINK(INDEX('File Links'!B:B, MATCH(V2099, 'File Links'!C:C, 0))))</f>
        <v>https://drive.google.com/file/d/15PNrZmOOUmljg2u3ulDQT64Zk426YNiM/view?usp=drivesdk</v>
      </c>
      <c r="Y2099" s="692" t="s">
        <v>131</v>
      </c>
      <c r="Z2099" s="231" t="s">
        <v>579</v>
      </c>
      <c r="AA2099" s="692" t="s">
        <v>12847</v>
      </c>
      <c r="AB2099" s="231" t="s">
        <v>12848</v>
      </c>
      <c r="AC2099" s="231" t="s">
        <v>12871</v>
      </c>
      <c r="AD2099" s="231" t="s">
        <v>12872</v>
      </c>
      <c r="AE2099" s="231">
        <v>6.0</v>
      </c>
      <c r="AF2099" s="695">
        <v>499.0</v>
      </c>
      <c r="AG2099" s="695">
        <v>-0.11</v>
      </c>
      <c r="AH2099" s="231" t="s">
        <v>354</v>
      </c>
      <c r="AI2099" s="231" t="s">
        <v>1035</v>
      </c>
      <c r="AJ2099" s="695">
        <v>0.05</v>
      </c>
      <c r="AK2099" s="231" t="s">
        <v>128</v>
      </c>
      <c r="AL2099" s="231" t="s">
        <v>179</v>
      </c>
      <c r="AM2099" s="692" t="s">
        <v>134</v>
      </c>
      <c r="AN2099" s="692" t="s">
        <v>131</v>
      </c>
      <c r="AO2099" s="695">
        <v>668.0</v>
      </c>
      <c r="AP2099" s="695" t="s">
        <v>131</v>
      </c>
      <c r="AQ2099" s="692" t="s">
        <v>131</v>
      </c>
      <c r="AR2099" s="231" t="s">
        <v>131</v>
      </c>
      <c r="AS2099" s="695" t="s">
        <v>131</v>
      </c>
      <c r="AT2099" s="231" t="s">
        <v>131</v>
      </c>
      <c r="AU2099" s="231" t="s">
        <v>179</v>
      </c>
      <c r="AV2099" s="692" t="s">
        <v>131</v>
      </c>
      <c r="AW2099" s="1950" t="s">
        <v>131</v>
      </c>
      <c r="AX2099" s="692" t="s">
        <v>136</v>
      </c>
      <c r="AY2099" s="225"/>
      <c r="AZ2099" s="224" t="s">
        <v>685</v>
      </c>
      <c r="BA2099" s="225"/>
      <c r="BB2099" s="225"/>
      <c r="BC2099" s="225"/>
      <c r="BD2099" s="225"/>
      <c r="BE2099" s="225"/>
      <c r="BF2099" s="225"/>
      <c r="BG2099" s="225"/>
      <c r="BH2099" s="225"/>
      <c r="BI2099" s="225"/>
      <c r="BJ2099" s="225"/>
      <c r="BK2099" s="225"/>
      <c r="BL2099" s="225"/>
      <c r="BM2099" s="225"/>
      <c r="BN2099" s="225"/>
      <c r="BO2099" s="225"/>
      <c r="BP2099" s="225"/>
      <c r="BQ2099" s="225"/>
      <c r="BR2099" s="225"/>
      <c r="BS2099" s="225"/>
      <c r="BT2099" s="225"/>
      <c r="BU2099" s="225"/>
      <c r="BV2099" s="225"/>
      <c r="BW2099" s="225"/>
      <c r="BX2099" s="225"/>
      <c r="BY2099" s="225"/>
      <c r="BZ2099" s="225"/>
      <c r="CA2099" s="225"/>
      <c r="CB2099" s="225"/>
      <c r="CC2099" s="225"/>
      <c r="CD2099" s="225"/>
      <c r="CE2099" s="225"/>
      <c r="CF2099" s="225"/>
      <c r="CG2099" s="225"/>
      <c r="CH2099" s="225"/>
      <c r="CI2099" s="225"/>
      <c r="CJ2099" s="225"/>
      <c r="CK2099" s="225"/>
      <c r="CL2099" s="225"/>
      <c r="CM2099" s="225"/>
      <c r="CN2099" s="225"/>
      <c r="CO2099" s="225"/>
      <c r="CP2099" s="225"/>
      <c r="CQ2099" s="225"/>
      <c r="CR2099" s="225"/>
      <c r="CS2099" s="225"/>
      <c r="CT2099" s="225"/>
      <c r="CU2099" s="225"/>
      <c r="CV2099" s="225"/>
      <c r="CW2099" s="225"/>
      <c r="CX2099" s="225"/>
      <c r="CY2099" s="225"/>
      <c r="CZ2099" s="225"/>
      <c r="DA2099" s="225"/>
      <c r="DB2099" s="225"/>
      <c r="DC2099" s="225"/>
      <c r="DD2099" s="225"/>
      <c r="DE2099" s="225"/>
      <c r="DF2099" s="225"/>
      <c r="DG2099" s="225"/>
      <c r="DH2099" s="225"/>
    </row>
    <row r="2100">
      <c r="A2100" s="1390">
        <v>2100.0</v>
      </c>
      <c r="B2100" s="692" t="s">
        <v>145</v>
      </c>
      <c r="C2100" s="224" t="s">
        <v>108</v>
      </c>
      <c r="D2100" s="224" t="s">
        <v>1451</v>
      </c>
      <c r="E2100" s="225"/>
      <c r="F2100" s="692" t="s">
        <v>12873</v>
      </c>
      <c r="G2100" s="692" t="s">
        <v>12837</v>
      </c>
      <c r="H2100" s="231" t="s">
        <v>12838</v>
      </c>
      <c r="I2100" s="695" t="s">
        <v>12839</v>
      </c>
      <c r="J2100" s="1946">
        <v>45747.0</v>
      </c>
      <c r="K2100" s="231" t="s">
        <v>131</v>
      </c>
      <c r="L2100" s="234"/>
      <c r="M2100" s="692" t="s">
        <v>12841</v>
      </c>
      <c r="N2100" s="692" t="s">
        <v>12842</v>
      </c>
      <c r="O2100" s="1947">
        <v>1.0</v>
      </c>
      <c r="P2100" s="231" t="s">
        <v>12843</v>
      </c>
      <c r="Q2100" s="1401" t="str">
        <f t="array" ref="Q2100"> if(iserror(MATCH(V2100, 'File Links'!C:C, 0)), "N/A", HYPERLINK(INDEX('File Links'!B:B, MATCH(P2100, 'File Links'!C:C, 0))))</f>
        <v>https://drive.google.com/file/d/1bo9aASmCjIsAeU5__CNxEyKU60JbH_Oz/view?usp=drivesdk</v>
      </c>
      <c r="R2100" s="1948" t="s">
        <v>12844</v>
      </c>
      <c r="S2100" s="692" t="s">
        <v>12845</v>
      </c>
      <c r="T2100" s="1949" t="s">
        <v>131</v>
      </c>
      <c r="U2100" s="1947">
        <v>1.0</v>
      </c>
      <c r="V2100" s="231" t="s">
        <v>12846</v>
      </c>
      <c r="W2100" s="232"/>
      <c r="X2100" s="1402" t="str">
        <f t="array" ref="X2100"> if(iserror(MATCH(V2100, 'File Links'!C:C, 0)), "N/A", HYPERLINK(INDEX('File Links'!B:B, MATCH(V2100, 'File Links'!C:C, 0))))</f>
        <v>https://drive.google.com/file/d/15PNrZmOOUmljg2u3ulDQT64Zk426YNiM/view?usp=drivesdk</v>
      </c>
      <c r="Y2100" s="692" t="s">
        <v>131</v>
      </c>
      <c r="Z2100" s="231" t="s">
        <v>579</v>
      </c>
      <c r="AA2100" s="692" t="s">
        <v>12847</v>
      </c>
      <c r="AB2100" s="231" t="s">
        <v>12848</v>
      </c>
      <c r="AC2100" s="231" t="s">
        <v>12874</v>
      </c>
      <c r="AD2100" s="231" t="s">
        <v>12875</v>
      </c>
      <c r="AE2100" s="231">
        <v>7.0</v>
      </c>
      <c r="AF2100" s="695">
        <v>499.0</v>
      </c>
      <c r="AG2100" s="695">
        <v>0.27</v>
      </c>
      <c r="AH2100" s="231" t="s">
        <v>354</v>
      </c>
      <c r="AI2100" s="231" t="s">
        <v>12859</v>
      </c>
      <c r="AJ2100" s="695">
        <v>0.001</v>
      </c>
      <c r="AK2100" s="231" t="s">
        <v>128</v>
      </c>
      <c r="AL2100" s="231" t="s">
        <v>179</v>
      </c>
      <c r="AM2100" s="692" t="s">
        <v>134</v>
      </c>
      <c r="AN2100" s="692" t="s">
        <v>131</v>
      </c>
      <c r="AO2100" s="695">
        <v>668.0</v>
      </c>
      <c r="AP2100" s="695">
        <v>0.64</v>
      </c>
      <c r="AQ2100" s="231" t="s">
        <v>354</v>
      </c>
      <c r="AR2100" s="231" t="s">
        <v>12855</v>
      </c>
      <c r="AS2100" s="695">
        <v>0.001</v>
      </c>
      <c r="AT2100" s="231" t="s">
        <v>128</v>
      </c>
      <c r="AU2100" s="231" t="s">
        <v>179</v>
      </c>
      <c r="AV2100" s="692" t="s">
        <v>134</v>
      </c>
      <c r="AW2100" s="1950" t="s">
        <v>131</v>
      </c>
      <c r="AX2100" s="692" t="s">
        <v>136</v>
      </c>
      <c r="AY2100" s="225"/>
      <c r="AZ2100" s="224" t="s">
        <v>685</v>
      </c>
      <c r="BA2100" s="225"/>
      <c r="BB2100" s="225"/>
      <c r="BC2100" s="225"/>
      <c r="BD2100" s="225"/>
      <c r="BE2100" s="225"/>
      <c r="BF2100" s="225"/>
      <c r="BG2100" s="225"/>
      <c r="BH2100" s="225"/>
      <c r="BI2100" s="225"/>
      <c r="BJ2100" s="225"/>
      <c r="BK2100" s="225"/>
      <c r="BL2100" s="225"/>
      <c r="BM2100" s="225"/>
      <c r="BN2100" s="225"/>
      <c r="BO2100" s="225"/>
      <c r="BP2100" s="225"/>
      <c r="BQ2100" s="225"/>
      <c r="BR2100" s="225"/>
      <c r="BS2100" s="225"/>
      <c r="BT2100" s="225"/>
      <c r="BU2100" s="225"/>
      <c r="BV2100" s="225"/>
      <c r="BW2100" s="225"/>
      <c r="BX2100" s="225"/>
      <c r="BY2100" s="225"/>
      <c r="BZ2100" s="225"/>
      <c r="CA2100" s="225"/>
      <c r="CB2100" s="225"/>
      <c r="CC2100" s="225"/>
      <c r="CD2100" s="225"/>
      <c r="CE2100" s="225"/>
      <c r="CF2100" s="225"/>
      <c r="CG2100" s="225"/>
      <c r="CH2100" s="225"/>
      <c r="CI2100" s="225"/>
      <c r="CJ2100" s="225"/>
      <c r="CK2100" s="225"/>
      <c r="CL2100" s="225"/>
      <c r="CM2100" s="225"/>
      <c r="CN2100" s="225"/>
      <c r="CO2100" s="225"/>
      <c r="CP2100" s="225"/>
      <c r="CQ2100" s="225"/>
      <c r="CR2100" s="225"/>
      <c r="CS2100" s="225"/>
      <c r="CT2100" s="225"/>
      <c r="CU2100" s="225"/>
      <c r="CV2100" s="225"/>
      <c r="CW2100" s="225"/>
      <c r="CX2100" s="225"/>
      <c r="CY2100" s="225"/>
      <c r="CZ2100" s="225"/>
      <c r="DA2100" s="225"/>
      <c r="DB2100" s="225"/>
      <c r="DC2100" s="225"/>
      <c r="DD2100" s="225"/>
      <c r="DE2100" s="225"/>
      <c r="DF2100" s="225"/>
      <c r="DG2100" s="225"/>
      <c r="DH2100" s="225"/>
    </row>
    <row r="2101">
      <c r="A2101" s="1390">
        <v>2101.0</v>
      </c>
      <c r="B2101" s="692" t="s">
        <v>145</v>
      </c>
      <c r="C2101" s="224" t="s">
        <v>108</v>
      </c>
      <c r="D2101" s="224" t="s">
        <v>1451</v>
      </c>
      <c r="E2101" s="225"/>
      <c r="F2101" s="692" t="s">
        <v>12876</v>
      </c>
      <c r="G2101" s="692" t="s">
        <v>12837</v>
      </c>
      <c r="H2101" s="231" t="s">
        <v>12838</v>
      </c>
      <c r="I2101" s="695" t="s">
        <v>12839</v>
      </c>
      <c r="J2101" s="1946">
        <v>45747.0</v>
      </c>
      <c r="K2101" s="231" t="s">
        <v>12877</v>
      </c>
      <c r="L2101" s="234"/>
      <c r="M2101" s="692" t="s">
        <v>12841</v>
      </c>
      <c r="N2101" s="692" t="s">
        <v>12842</v>
      </c>
      <c r="O2101" s="1947">
        <v>1.0</v>
      </c>
      <c r="P2101" s="231" t="s">
        <v>12843</v>
      </c>
      <c r="Q2101" s="1401" t="str">
        <f t="array" ref="Q2101"> if(iserror(MATCH(V2101, 'File Links'!C:C, 0)), "N/A", HYPERLINK(INDEX('File Links'!B:B, MATCH(P2101, 'File Links'!C:C, 0))))</f>
        <v>https://drive.google.com/file/d/1bo9aASmCjIsAeU5__CNxEyKU60JbH_Oz/view?usp=drivesdk</v>
      </c>
      <c r="R2101" s="1948" t="s">
        <v>12844</v>
      </c>
      <c r="S2101" s="692" t="s">
        <v>12845</v>
      </c>
      <c r="T2101" s="1949" t="s">
        <v>131</v>
      </c>
      <c r="U2101" s="1947">
        <v>1.0</v>
      </c>
      <c r="V2101" s="231" t="s">
        <v>12846</v>
      </c>
      <c r="W2101" s="232"/>
      <c r="X2101" s="1402" t="str">
        <f t="array" ref="X2101"> if(iserror(MATCH(V2101, 'File Links'!C:C, 0)), "N/A", HYPERLINK(INDEX('File Links'!B:B, MATCH(V2101, 'File Links'!C:C, 0))))</f>
        <v>https://drive.google.com/file/d/15PNrZmOOUmljg2u3ulDQT64Zk426YNiM/view?usp=drivesdk</v>
      </c>
      <c r="Y2101" s="692" t="s">
        <v>131</v>
      </c>
      <c r="Z2101" s="231" t="s">
        <v>579</v>
      </c>
      <c r="AA2101" s="692" t="s">
        <v>12847</v>
      </c>
      <c r="AB2101" s="231" t="s">
        <v>12848</v>
      </c>
      <c r="AC2101" s="231" t="s">
        <v>12878</v>
      </c>
      <c r="AD2101" s="231" t="s">
        <v>12879</v>
      </c>
      <c r="AE2101" s="231">
        <v>7.0</v>
      </c>
      <c r="AF2101" s="695">
        <v>499.0</v>
      </c>
      <c r="AG2101" s="695">
        <v>0.08</v>
      </c>
      <c r="AH2101" s="231" t="s">
        <v>354</v>
      </c>
      <c r="AI2101" s="231" t="s">
        <v>4966</v>
      </c>
      <c r="AJ2101" s="695">
        <v>0.11</v>
      </c>
      <c r="AK2101" s="231" t="s">
        <v>165</v>
      </c>
      <c r="AL2101" s="231" t="s">
        <v>179</v>
      </c>
      <c r="AM2101" s="692" t="s">
        <v>134</v>
      </c>
      <c r="AN2101" s="692" t="s">
        <v>131</v>
      </c>
      <c r="AO2101" s="695">
        <v>668.0</v>
      </c>
      <c r="AP2101" s="695">
        <v>0.06</v>
      </c>
      <c r="AQ2101" s="231" t="s">
        <v>354</v>
      </c>
      <c r="AR2101" s="231" t="s">
        <v>131</v>
      </c>
      <c r="AS2101" s="695" t="s">
        <v>131</v>
      </c>
      <c r="AT2101" s="231" t="s">
        <v>131</v>
      </c>
      <c r="AU2101" s="231" t="s">
        <v>179</v>
      </c>
      <c r="AV2101" s="692" t="s">
        <v>131</v>
      </c>
      <c r="AW2101" s="1950" t="s">
        <v>131</v>
      </c>
      <c r="AX2101" s="692" t="s">
        <v>136</v>
      </c>
      <c r="AY2101" s="225"/>
      <c r="AZ2101" s="224" t="s">
        <v>685</v>
      </c>
      <c r="BA2101" s="225"/>
      <c r="BB2101" s="225"/>
      <c r="BC2101" s="225"/>
      <c r="BD2101" s="225"/>
      <c r="BE2101" s="225"/>
      <c r="BF2101" s="225"/>
      <c r="BG2101" s="225"/>
      <c r="BH2101" s="225"/>
      <c r="BI2101" s="225"/>
      <c r="BJ2101" s="225"/>
      <c r="BK2101" s="225"/>
      <c r="BL2101" s="225"/>
      <c r="BM2101" s="225"/>
      <c r="BN2101" s="225"/>
      <c r="BO2101" s="225"/>
      <c r="BP2101" s="225"/>
      <c r="BQ2101" s="225"/>
      <c r="BR2101" s="225"/>
      <c r="BS2101" s="225"/>
      <c r="BT2101" s="225"/>
      <c r="BU2101" s="225"/>
      <c r="BV2101" s="225"/>
      <c r="BW2101" s="225"/>
      <c r="BX2101" s="225"/>
      <c r="BY2101" s="225"/>
      <c r="BZ2101" s="225"/>
      <c r="CA2101" s="225"/>
      <c r="CB2101" s="225"/>
      <c r="CC2101" s="225"/>
      <c r="CD2101" s="225"/>
      <c r="CE2101" s="225"/>
      <c r="CF2101" s="225"/>
      <c r="CG2101" s="225"/>
      <c r="CH2101" s="225"/>
      <c r="CI2101" s="225"/>
      <c r="CJ2101" s="225"/>
      <c r="CK2101" s="225"/>
      <c r="CL2101" s="225"/>
      <c r="CM2101" s="225"/>
      <c r="CN2101" s="225"/>
      <c r="CO2101" s="225"/>
      <c r="CP2101" s="225"/>
      <c r="CQ2101" s="225"/>
      <c r="CR2101" s="225"/>
      <c r="CS2101" s="225"/>
      <c r="CT2101" s="225"/>
      <c r="CU2101" s="225"/>
      <c r="CV2101" s="225"/>
      <c r="CW2101" s="225"/>
      <c r="CX2101" s="225"/>
      <c r="CY2101" s="225"/>
      <c r="CZ2101" s="225"/>
      <c r="DA2101" s="225"/>
      <c r="DB2101" s="225"/>
      <c r="DC2101" s="225"/>
      <c r="DD2101" s="225"/>
      <c r="DE2101" s="225"/>
      <c r="DF2101" s="225"/>
      <c r="DG2101" s="225"/>
      <c r="DH2101" s="225"/>
    </row>
    <row r="2102">
      <c r="A2102" s="1390">
        <v>2102.0</v>
      </c>
      <c r="B2102" s="692" t="s">
        <v>145</v>
      </c>
      <c r="C2102" s="224" t="s">
        <v>108</v>
      </c>
      <c r="D2102" s="224" t="s">
        <v>1451</v>
      </c>
      <c r="E2102" s="225"/>
      <c r="F2102" s="692" t="s">
        <v>12880</v>
      </c>
      <c r="G2102" s="692" t="s">
        <v>12837</v>
      </c>
      <c r="H2102" s="231" t="s">
        <v>12838</v>
      </c>
      <c r="I2102" s="695" t="s">
        <v>12839</v>
      </c>
      <c r="J2102" s="1946">
        <v>45747.0</v>
      </c>
      <c r="K2102" s="231" t="s">
        <v>12870</v>
      </c>
      <c r="L2102" s="234"/>
      <c r="M2102" s="692" t="s">
        <v>12841</v>
      </c>
      <c r="N2102" s="692" t="s">
        <v>12842</v>
      </c>
      <c r="O2102" s="1947">
        <v>1.0</v>
      </c>
      <c r="P2102" s="231" t="s">
        <v>12843</v>
      </c>
      <c r="Q2102" s="1401" t="str">
        <f t="array" ref="Q2102"> if(iserror(MATCH(V2102, 'File Links'!C:C, 0)), "N/A", HYPERLINK(INDEX('File Links'!B:B, MATCH(P2102, 'File Links'!C:C, 0))))</f>
        <v>https://drive.google.com/file/d/1bo9aASmCjIsAeU5__CNxEyKU60JbH_Oz/view?usp=drivesdk</v>
      </c>
      <c r="R2102" s="1948" t="s">
        <v>12844</v>
      </c>
      <c r="S2102" s="692" t="s">
        <v>12845</v>
      </c>
      <c r="T2102" s="1949" t="s">
        <v>131</v>
      </c>
      <c r="U2102" s="1947">
        <v>1.0</v>
      </c>
      <c r="V2102" s="231" t="s">
        <v>12846</v>
      </c>
      <c r="W2102" s="232"/>
      <c r="X2102" s="1402" t="str">
        <f t="array" ref="X2102"> if(iserror(MATCH(V2102, 'File Links'!C:C, 0)), "N/A", HYPERLINK(INDEX('File Links'!B:B, MATCH(V2102, 'File Links'!C:C, 0))))</f>
        <v>https://drive.google.com/file/d/15PNrZmOOUmljg2u3ulDQT64Zk426YNiM/view?usp=drivesdk</v>
      </c>
      <c r="Y2102" s="692" t="s">
        <v>131</v>
      </c>
      <c r="Z2102" s="231" t="s">
        <v>579</v>
      </c>
      <c r="AA2102" s="692" t="s">
        <v>12847</v>
      </c>
      <c r="AB2102" s="231" t="s">
        <v>12848</v>
      </c>
      <c r="AC2102" s="231" t="s">
        <v>12881</v>
      </c>
      <c r="AD2102" s="231" t="s">
        <v>12882</v>
      </c>
      <c r="AE2102" s="231">
        <v>6.0</v>
      </c>
      <c r="AF2102" s="695">
        <v>499.0</v>
      </c>
      <c r="AG2102" s="695">
        <v>-0.15</v>
      </c>
      <c r="AH2102" s="231" t="s">
        <v>354</v>
      </c>
      <c r="AI2102" s="231" t="s">
        <v>1035</v>
      </c>
      <c r="AJ2102" s="695">
        <v>0.01</v>
      </c>
      <c r="AK2102" s="231" t="s">
        <v>128</v>
      </c>
      <c r="AL2102" s="231" t="s">
        <v>179</v>
      </c>
      <c r="AM2102" s="692" t="s">
        <v>134</v>
      </c>
      <c r="AN2102" s="692" t="s">
        <v>131</v>
      </c>
      <c r="AO2102" s="695">
        <v>668.0</v>
      </c>
      <c r="AP2102" s="695">
        <v>-0.07</v>
      </c>
      <c r="AQ2102" s="231" t="s">
        <v>354</v>
      </c>
      <c r="AR2102" s="231" t="s">
        <v>131</v>
      </c>
      <c r="AS2102" s="695" t="s">
        <v>131</v>
      </c>
      <c r="AT2102" s="231" t="s">
        <v>131</v>
      </c>
      <c r="AU2102" s="231" t="s">
        <v>179</v>
      </c>
      <c r="AV2102" s="692" t="s">
        <v>131</v>
      </c>
      <c r="AW2102" s="1950" t="s">
        <v>131</v>
      </c>
      <c r="AX2102" s="692" t="s">
        <v>136</v>
      </c>
      <c r="AY2102" s="225"/>
      <c r="AZ2102" s="224" t="s">
        <v>685</v>
      </c>
      <c r="BA2102" s="225"/>
      <c r="BB2102" s="225"/>
      <c r="BC2102" s="225"/>
      <c r="BD2102" s="225"/>
      <c r="BE2102" s="225"/>
      <c r="BF2102" s="225"/>
      <c r="BG2102" s="225"/>
      <c r="BH2102" s="225"/>
      <c r="BI2102" s="225"/>
      <c r="BJ2102" s="225"/>
      <c r="BK2102" s="225"/>
      <c r="BL2102" s="225"/>
      <c r="BM2102" s="225"/>
      <c r="BN2102" s="225"/>
      <c r="BO2102" s="225"/>
      <c r="BP2102" s="225"/>
      <c r="BQ2102" s="225"/>
      <c r="BR2102" s="225"/>
      <c r="BS2102" s="225"/>
      <c r="BT2102" s="225"/>
      <c r="BU2102" s="225"/>
      <c r="BV2102" s="225"/>
      <c r="BW2102" s="225"/>
      <c r="BX2102" s="225"/>
      <c r="BY2102" s="225"/>
      <c r="BZ2102" s="225"/>
      <c r="CA2102" s="225"/>
      <c r="CB2102" s="225"/>
      <c r="CC2102" s="225"/>
      <c r="CD2102" s="225"/>
      <c r="CE2102" s="225"/>
      <c r="CF2102" s="225"/>
      <c r="CG2102" s="225"/>
      <c r="CH2102" s="225"/>
      <c r="CI2102" s="225"/>
      <c r="CJ2102" s="225"/>
      <c r="CK2102" s="225"/>
      <c r="CL2102" s="225"/>
      <c r="CM2102" s="225"/>
      <c r="CN2102" s="225"/>
      <c r="CO2102" s="225"/>
      <c r="CP2102" s="225"/>
      <c r="CQ2102" s="225"/>
      <c r="CR2102" s="225"/>
      <c r="CS2102" s="225"/>
      <c r="CT2102" s="225"/>
      <c r="CU2102" s="225"/>
      <c r="CV2102" s="225"/>
      <c r="CW2102" s="225"/>
      <c r="CX2102" s="225"/>
      <c r="CY2102" s="225"/>
      <c r="CZ2102" s="225"/>
      <c r="DA2102" s="225"/>
      <c r="DB2102" s="225"/>
      <c r="DC2102" s="225"/>
      <c r="DD2102" s="225"/>
      <c r="DE2102" s="225"/>
      <c r="DF2102" s="225"/>
      <c r="DG2102" s="225"/>
      <c r="DH2102" s="225"/>
    </row>
    <row r="2103">
      <c r="A2103" s="1390">
        <v>2103.0</v>
      </c>
      <c r="B2103" s="692" t="s">
        <v>145</v>
      </c>
      <c r="C2103" s="224" t="s">
        <v>108</v>
      </c>
      <c r="D2103" s="224" t="s">
        <v>1451</v>
      </c>
      <c r="E2103" s="225"/>
      <c r="F2103" s="692" t="s">
        <v>12883</v>
      </c>
      <c r="G2103" s="692" t="s">
        <v>12837</v>
      </c>
      <c r="H2103" s="231" t="s">
        <v>12838</v>
      </c>
      <c r="I2103" s="695" t="s">
        <v>12839</v>
      </c>
      <c r="J2103" s="1946">
        <v>45747.0</v>
      </c>
      <c r="K2103" s="231" t="s">
        <v>131</v>
      </c>
      <c r="L2103" s="234"/>
      <c r="M2103" s="692" t="s">
        <v>12841</v>
      </c>
      <c r="N2103" s="692" t="s">
        <v>12842</v>
      </c>
      <c r="O2103" s="1947">
        <v>1.0</v>
      </c>
      <c r="P2103" s="231" t="s">
        <v>12843</v>
      </c>
      <c r="Q2103" s="1401" t="str">
        <f t="array" ref="Q2103"> if(iserror(MATCH(V2103, 'File Links'!C:C, 0)), "N/A", HYPERLINK(INDEX('File Links'!B:B, MATCH(P2103, 'File Links'!C:C, 0))))</f>
        <v>https://drive.google.com/file/d/1bo9aASmCjIsAeU5__CNxEyKU60JbH_Oz/view?usp=drivesdk</v>
      </c>
      <c r="R2103" s="1948" t="s">
        <v>12844</v>
      </c>
      <c r="S2103" s="692" t="s">
        <v>12845</v>
      </c>
      <c r="T2103" s="1949" t="s">
        <v>131</v>
      </c>
      <c r="U2103" s="1947">
        <v>1.0</v>
      </c>
      <c r="V2103" s="231" t="s">
        <v>12846</v>
      </c>
      <c r="W2103" s="232"/>
      <c r="X2103" s="1402" t="str">
        <f t="array" ref="X2103"> if(iserror(MATCH(V2103, 'File Links'!C:C, 0)), "N/A", HYPERLINK(INDEX('File Links'!B:B, MATCH(V2103, 'File Links'!C:C, 0))))</f>
        <v>https://drive.google.com/file/d/15PNrZmOOUmljg2u3ulDQT64Zk426YNiM/view?usp=drivesdk</v>
      </c>
      <c r="Y2103" s="692" t="s">
        <v>131</v>
      </c>
      <c r="Z2103" s="231" t="s">
        <v>579</v>
      </c>
      <c r="AA2103" s="692" t="s">
        <v>12847</v>
      </c>
      <c r="AB2103" s="231" t="s">
        <v>12848</v>
      </c>
      <c r="AC2103" s="231" t="s">
        <v>12884</v>
      </c>
      <c r="AD2103" s="231" t="s">
        <v>12885</v>
      </c>
      <c r="AE2103" s="231">
        <v>7.0</v>
      </c>
      <c r="AF2103" s="695">
        <v>499.0</v>
      </c>
      <c r="AG2103" s="695">
        <v>0.09</v>
      </c>
      <c r="AH2103" s="231" t="s">
        <v>354</v>
      </c>
      <c r="AI2103" s="231" t="s">
        <v>4966</v>
      </c>
      <c r="AJ2103" s="695">
        <v>0.11</v>
      </c>
      <c r="AK2103" s="231" t="s">
        <v>165</v>
      </c>
      <c r="AL2103" s="231" t="s">
        <v>179</v>
      </c>
      <c r="AM2103" s="692" t="s">
        <v>134</v>
      </c>
      <c r="AN2103" s="692" t="s">
        <v>131</v>
      </c>
      <c r="AO2103" s="695">
        <v>668.0</v>
      </c>
      <c r="AP2103" s="695">
        <v>0.16</v>
      </c>
      <c r="AQ2103" s="231" t="s">
        <v>354</v>
      </c>
      <c r="AR2103" s="231" t="s">
        <v>2435</v>
      </c>
      <c r="AS2103" s="695">
        <v>0.007</v>
      </c>
      <c r="AT2103" s="231" t="s">
        <v>165</v>
      </c>
      <c r="AU2103" s="231" t="s">
        <v>179</v>
      </c>
      <c r="AV2103" s="692" t="s">
        <v>134</v>
      </c>
      <c r="AW2103" s="1950" t="s">
        <v>131</v>
      </c>
      <c r="AX2103" s="692" t="s">
        <v>136</v>
      </c>
      <c r="AY2103" s="225"/>
      <c r="AZ2103" s="224" t="s">
        <v>685</v>
      </c>
      <c r="BA2103" s="225"/>
      <c r="BB2103" s="225"/>
      <c r="BC2103" s="225"/>
      <c r="BD2103" s="225"/>
      <c r="BE2103" s="225"/>
      <c r="BF2103" s="225"/>
      <c r="BG2103" s="225"/>
      <c r="BH2103" s="225"/>
      <c r="BI2103" s="225"/>
      <c r="BJ2103" s="225"/>
      <c r="BK2103" s="225"/>
      <c r="BL2103" s="225"/>
      <c r="BM2103" s="225"/>
      <c r="BN2103" s="225"/>
      <c r="BO2103" s="225"/>
      <c r="BP2103" s="225"/>
      <c r="BQ2103" s="225"/>
      <c r="BR2103" s="225"/>
      <c r="BS2103" s="225"/>
      <c r="BT2103" s="225"/>
      <c r="BU2103" s="225"/>
      <c r="BV2103" s="225"/>
      <c r="BW2103" s="225"/>
      <c r="BX2103" s="225"/>
      <c r="BY2103" s="225"/>
      <c r="BZ2103" s="225"/>
      <c r="CA2103" s="225"/>
      <c r="CB2103" s="225"/>
      <c r="CC2103" s="225"/>
      <c r="CD2103" s="225"/>
      <c r="CE2103" s="225"/>
      <c r="CF2103" s="225"/>
      <c r="CG2103" s="225"/>
      <c r="CH2103" s="225"/>
      <c r="CI2103" s="225"/>
      <c r="CJ2103" s="225"/>
      <c r="CK2103" s="225"/>
      <c r="CL2103" s="225"/>
      <c r="CM2103" s="225"/>
      <c r="CN2103" s="225"/>
      <c r="CO2103" s="225"/>
      <c r="CP2103" s="225"/>
      <c r="CQ2103" s="225"/>
      <c r="CR2103" s="225"/>
      <c r="CS2103" s="225"/>
      <c r="CT2103" s="225"/>
      <c r="CU2103" s="225"/>
      <c r="CV2103" s="225"/>
      <c r="CW2103" s="225"/>
      <c r="CX2103" s="225"/>
      <c r="CY2103" s="225"/>
      <c r="CZ2103" s="225"/>
      <c r="DA2103" s="225"/>
      <c r="DB2103" s="225"/>
      <c r="DC2103" s="225"/>
      <c r="DD2103" s="225"/>
      <c r="DE2103" s="225"/>
      <c r="DF2103" s="225"/>
      <c r="DG2103" s="225"/>
      <c r="DH2103" s="225"/>
    </row>
    <row r="2104">
      <c r="A2104" s="1390">
        <v>2104.0</v>
      </c>
      <c r="B2104" s="692" t="s">
        <v>145</v>
      </c>
      <c r="C2104" s="224" t="s">
        <v>108</v>
      </c>
      <c r="D2104" s="224" t="s">
        <v>1451</v>
      </c>
      <c r="E2104" s="225"/>
      <c r="F2104" s="692" t="s">
        <v>12886</v>
      </c>
      <c r="G2104" s="692" t="s">
        <v>12837</v>
      </c>
      <c r="H2104" s="231" t="s">
        <v>12838</v>
      </c>
      <c r="I2104" s="695" t="s">
        <v>12839</v>
      </c>
      <c r="J2104" s="1946">
        <v>45747.0</v>
      </c>
      <c r="K2104" s="231" t="s">
        <v>12877</v>
      </c>
      <c r="L2104" s="234"/>
      <c r="M2104" s="692" t="s">
        <v>12841</v>
      </c>
      <c r="N2104" s="692" t="s">
        <v>12842</v>
      </c>
      <c r="O2104" s="1947">
        <v>1.0</v>
      </c>
      <c r="P2104" s="231" t="s">
        <v>12843</v>
      </c>
      <c r="Q2104" s="1401" t="str">
        <f t="array" ref="Q2104"> if(iserror(MATCH(V2104, 'File Links'!C:C, 0)), "N/A", HYPERLINK(INDEX('File Links'!B:B, MATCH(P2104, 'File Links'!C:C, 0))))</f>
        <v>https://drive.google.com/file/d/1bo9aASmCjIsAeU5__CNxEyKU60JbH_Oz/view?usp=drivesdk</v>
      </c>
      <c r="R2104" s="1948" t="s">
        <v>12844</v>
      </c>
      <c r="S2104" s="692" t="s">
        <v>12845</v>
      </c>
      <c r="T2104" s="1949" t="s">
        <v>131</v>
      </c>
      <c r="U2104" s="1947">
        <v>1.0</v>
      </c>
      <c r="V2104" s="231" t="s">
        <v>12846</v>
      </c>
      <c r="W2104" s="232"/>
      <c r="X2104" s="1402" t="str">
        <f t="array" ref="X2104"> if(iserror(MATCH(V2104, 'File Links'!C:C, 0)), "N/A", HYPERLINK(INDEX('File Links'!B:B, MATCH(V2104, 'File Links'!C:C, 0))))</f>
        <v>https://drive.google.com/file/d/15PNrZmOOUmljg2u3ulDQT64Zk426YNiM/view?usp=drivesdk</v>
      </c>
      <c r="Y2104" s="692" t="s">
        <v>131</v>
      </c>
      <c r="Z2104" s="231" t="s">
        <v>579</v>
      </c>
      <c r="AA2104" s="692" t="s">
        <v>12847</v>
      </c>
      <c r="AB2104" s="231" t="s">
        <v>12848</v>
      </c>
      <c r="AC2104" s="231" t="s">
        <v>12887</v>
      </c>
      <c r="AD2104" s="231" t="s">
        <v>12888</v>
      </c>
      <c r="AE2104" s="231">
        <v>7.0</v>
      </c>
      <c r="AF2104" s="695">
        <v>499.0</v>
      </c>
      <c r="AG2104" s="695">
        <v>0.07</v>
      </c>
      <c r="AH2104" s="231" t="s">
        <v>354</v>
      </c>
      <c r="AI2104" s="231" t="s">
        <v>4966</v>
      </c>
      <c r="AJ2104" s="695">
        <v>0.55</v>
      </c>
      <c r="AK2104" s="231" t="s">
        <v>165</v>
      </c>
      <c r="AL2104" s="231" t="s">
        <v>179</v>
      </c>
      <c r="AM2104" s="692" t="s">
        <v>134</v>
      </c>
      <c r="AN2104" s="692" t="s">
        <v>131</v>
      </c>
      <c r="AO2104" s="695">
        <v>668.0</v>
      </c>
      <c r="AP2104" s="695" t="s">
        <v>131</v>
      </c>
      <c r="AQ2104" s="692" t="s">
        <v>131</v>
      </c>
      <c r="AR2104" s="231" t="s">
        <v>131</v>
      </c>
      <c r="AS2104" s="695" t="s">
        <v>131</v>
      </c>
      <c r="AT2104" s="231" t="s">
        <v>131</v>
      </c>
      <c r="AU2104" s="231" t="s">
        <v>179</v>
      </c>
      <c r="AV2104" s="692" t="s">
        <v>131</v>
      </c>
      <c r="AW2104" s="1950" t="s">
        <v>131</v>
      </c>
      <c r="AX2104" s="692" t="s">
        <v>136</v>
      </c>
      <c r="AY2104" s="225"/>
      <c r="AZ2104" s="224" t="s">
        <v>685</v>
      </c>
      <c r="BA2104" s="225"/>
      <c r="BB2104" s="225"/>
      <c r="BC2104" s="225"/>
      <c r="BD2104" s="225"/>
      <c r="BE2104" s="225"/>
      <c r="BF2104" s="225"/>
      <c r="BG2104" s="225"/>
      <c r="BH2104" s="225"/>
      <c r="BI2104" s="225"/>
      <c r="BJ2104" s="225"/>
      <c r="BK2104" s="225"/>
      <c r="BL2104" s="225"/>
      <c r="BM2104" s="225"/>
      <c r="BN2104" s="225"/>
      <c r="BO2104" s="225"/>
      <c r="BP2104" s="225"/>
      <c r="BQ2104" s="225"/>
      <c r="BR2104" s="225"/>
      <c r="BS2104" s="225"/>
      <c r="BT2104" s="225"/>
      <c r="BU2104" s="225"/>
      <c r="BV2104" s="225"/>
      <c r="BW2104" s="225"/>
      <c r="BX2104" s="225"/>
      <c r="BY2104" s="225"/>
      <c r="BZ2104" s="225"/>
      <c r="CA2104" s="225"/>
      <c r="CB2104" s="225"/>
      <c r="CC2104" s="225"/>
      <c r="CD2104" s="225"/>
      <c r="CE2104" s="225"/>
      <c r="CF2104" s="225"/>
      <c r="CG2104" s="225"/>
      <c r="CH2104" s="225"/>
      <c r="CI2104" s="225"/>
      <c r="CJ2104" s="225"/>
      <c r="CK2104" s="225"/>
      <c r="CL2104" s="225"/>
      <c r="CM2104" s="225"/>
      <c r="CN2104" s="225"/>
      <c r="CO2104" s="225"/>
      <c r="CP2104" s="225"/>
      <c r="CQ2104" s="225"/>
      <c r="CR2104" s="225"/>
      <c r="CS2104" s="225"/>
      <c r="CT2104" s="225"/>
      <c r="CU2104" s="225"/>
      <c r="CV2104" s="225"/>
      <c r="CW2104" s="225"/>
      <c r="CX2104" s="225"/>
      <c r="CY2104" s="225"/>
      <c r="CZ2104" s="225"/>
      <c r="DA2104" s="225"/>
      <c r="DB2104" s="225"/>
      <c r="DC2104" s="225"/>
      <c r="DD2104" s="225"/>
      <c r="DE2104" s="225"/>
      <c r="DF2104" s="225"/>
      <c r="DG2104" s="225"/>
      <c r="DH2104" s="225"/>
    </row>
    <row r="2105">
      <c r="A2105" s="41">
        <v>2105.0</v>
      </c>
      <c r="B2105" s="53" t="s">
        <v>107</v>
      </c>
      <c r="C2105" s="338" t="s">
        <v>108</v>
      </c>
      <c r="D2105" s="338" t="s">
        <v>1434</v>
      </c>
      <c r="E2105" s="339"/>
      <c r="F2105" s="43" t="s">
        <v>12889</v>
      </c>
      <c r="G2105" s="357" t="s">
        <v>12890</v>
      </c>
      <c r="H2105" s="357" t="s">
        <v>12891</v>
      </c>
      <c r="I2105" s="1951">
        <v>44991.734768518516</v>
      </c>
      <c r="J2105" s="341">
        <v>45712.0</v>
      </c>
      <c r="K2105" s="43"/>
      <c r="L2105" s="43"/>
      <c r="M2105" s="357" t="s">
        <v>12892</v>
      </c>
      <c r="N2105" s="357" t="s">
        <v>12676</v>
      </c>
      <c r="O2105" s="354">
        <v>1.0</v>
      </c>
      <c r="P2105" s="357" t="s">
        <v>12677</v>
      </c>
      <c r="Q2105" s="49" t="str">
        <f t="array" ref="Q2105"> if(iserror(MATCH(V2105, 'File Links'!C:C, 0)), "N/A", HYPERLINK(INDEX('File Links'!B:B, MATCH(P2105, 'File Links'!C:C, 0))))</f>
        <v>https://drive.google.com/file/d/1gzyiuMNHruki0iqw9ZPuG1ROg8sPoSnR/view?usp=drivesdk</v>
      </c>
      <c r="R2105" s="357" t="s">
        <v>12893</v>
      </c>
      <c r="S2105" s="357" t="s">
        <v>12679</v>
      </c>
      <c r="T2105" s="43"/>
      <c r="U2105" s="354">
        <v>4.0</v>
      </c>
      <c r="V2105" s="357" t="s">
        <v>12680</v>
      </c>
      <c r="W2105" s="357" t="s">
        <v>10960</v>
      </c>
      <c r="X2105" s="51" t="str">
        <f t="array" ref="X2105"> if(iserror(MATCH(V2105, 'File Links'!C:C, 0)), "N/A", HYPERLINK(INDEX('File Links'!B:B, MATCH(V2105, 'File Links'!C:C, 0))))</f>
        <v>https://drive.google.com/file/d/1FM8L4aEO4RUDs49kJAJIdOCQaOMgYN0P/view?usp=drivesdk</v>
      </c>
      <c r="Y2105" s="43"/>
      <c r="Z2105" s="357" t="s">
        <v>12681</v>
      </c>
      <c r="AA2105" s="357" t="s">
        <v>12682</v>
      </c>
      <c r="AB2105" s="357" t="s">
        <v>12683</v>
      </c>
      <c r="AC2105" s="357" t="s">
        <v>12682</v>
      </c>
      <c r="AD2105" s="357" t="s">
        <v>12894</v>
      </c>
      <c r="AE2105" s="354">
        <v>4.0</v>
      </c>
      <c r="AF2105" s="354">
        <v>80.0</v>
      </c>
      <c r="AG2105" s="43" t="s">
        <v>12895</v>
      </c>
      <c r="AH2105" s="357" t="s">
        <v>127</v>
      </c>
      <c r="AI2105" s="357" t="s">
        <v>843</v>
      </c>
      <c r="AJ2105" s="354">
        <v>1.0E-4</v>
      </c>
      <c r="AK2105" s="357" t="s">
        <v>128</v>
      </c>
      <c r="AL2105" s="357" t="s">
        <v>179</v>
      </c>
      <c r="AM2105" s="357" t="s">
        <v>134</v>
      </c>
      <c r="AN2105" s="43" t="s">
        <v>131</v>
      </c>
      <c r="AO2105" s="354">
        <v>82.0</v>
      </c>
      <c r="AP2105" s="354">
        <v>-0.039</v>
      </c>
      <c r="AQ2105" s="357" t="s">
        <v>166</v>
      </c>
      <c r="AR2105" s="357" t="s">
        <v>1250</v>
      </c>
      <c r="AS2105" s="354">
        <v>0.727</v>
      </c>
      <c r="AT2105" s="357" t="s">
        <v>165</v>
      </c>
      <c r="AU2105" s="357" t="s">
        <v>129</v>
      </c>
      <c r="AV2105" s="357" t="s">
        <v>134</v>
      </c>
      <c r="AW2105" s="357" t="s">
        <v>131</v>
      </c>
      <c r="AX2105" s="357" t="s">
        <v>136</v>
      </c>
      <c r="AY2105" s="43"/>
      <c r="AZ2105" s="338" t="s">
        <v>8392</v>
      </c>
      <c r="BA2105" s="339"/>
      <c r="BB2105" s="339"/>
      <c r="BC2105" s="339"/>
      <c r="BD2105" s="339"/>
      <c r="BE2105" s="339"/>
      <c r="BF2105" s="339"/>
      <c r="BG2105" s="339"/>
      <c r="BH2105" s="339"/>
      <c r="BI2105" s="339"/>
      <c r="BJ2105" s="339"/>
      <c r="BK2105" s="339"/>
      <c r="BL2105" s="339"/>
      <c r="BM2105" s="339"/>
      <c r="BN2105" s="339"/>
      <c r="BO2105" s="339"/>
      <c r="BP2105" s="339"/>
      <c r="BQ2105" s="339"/>
      <c r="BR2105" s="339"/>
      <c r="BS2105" s="339"/>
      <c r="BT2105" s="339"/>
      <c r="BU2105" s="339"/>
      <c r="BV2105" s="339"/>
      <c r="BW2105" s="339"/>
      <c r="BX2105" s="339"/>
      <c r="BY2105" s="339"/>
      <c r="BZ2105" s="339"/>
      <c r="CA2105" s="339"/>
      <c r="CB2105" s="339"/>
      <c r="CC2105" s="339"/>
      <c r="CD2105" s="339"/>
      <c r="CE2105" s="339"/>
      <c r="CF2105" s="339"/>
      <c r="CG2105" s="339"/>
      <c r="CH2105" s="339"/>
      <c r="CI2105" s="339"/>
      <c r="CJ2105" s="339"/>
      <c r="CK2105" s="339"/>
      <c r="CL2105" s="339"/>
      <c r="CM2105" s="339"/>
      <c r="CN2105" s="339"/>
      <c r="CO2105" s="339"/>
      <c r="CP2105" s="339"/>
      <c r="CQ2105" s="339"/>
      <c r="CR2105" s="339"/>
      <c r="CS2105" s="339"/>
      <c r="CT2105" s="339"/>
      <c r="CU2105" s="339"/>
      <c r="CV2105" s="339"/>
      <c r="CW2105" s="339"/>
      <c r="CX2105" s="339"/>
      <c r="CY2105" s="339"/>
      <c r="CZ2105" s="339"/>
      <c r="DA2105" s="339"/>
      <c r="DB2105" s="339"/>
      <c r="DC2105" s="339"/>
      <c r="DD2105" s="339"/>
      <c r="DE2105" s="339"/>
      <c r="DF2105" s="339"/>
      <c r="DG2105" s="339"/>
      <c r="DH2105" s="339"/>
    </row>
    <row r="2106">
      <c r="A2106" s="41">
        <v>2106.0</v>
      </c>
      <c r="B2106" s="53" t="s">
        <v>145</v>
      </c>
      <c r="C2106" s="338" t="s">
        <v>108</v>
      </c>
      <c r="D2106" s="338" t="s">
        <v>146</v>
      </c>
      <c r="E2106" s="339"/>
      <c r="F2106" s="53" t="s">
        <v>12889</v>
      </c>
      <c r="G2106" s="53" t="s">
        <v>12896</v>
      </c>
      <c r="H2106" s="340" t="s">
        <v>8522</v>
      </c>
      <c r="I2106" s="344" t="s">
        <v>8523</v>
      </c>
      <c r="J2106" s="43"/>
      <c r="K2106" s="340" t="s">
        <v>12897</v>
      </c>
      <c r="L2106" s="53" t="s">
        <v>12898</v>
      </c>
      <c r="M2106" s="53" t="s">
        <v>12892</v>
      </c>
      <c r="N2106" s="53" t="s">
        <v>12676</v>
      </c>
      <c r="O2106" s="52">
        <v>1.0</v>
      </c>
      <c r="P2106" s="340" t="s">
        <v>12677</v>
      </c>
      <c r="Q2106" s="49" t="str">
        <f t="array" ref="Q2106"> if(iserror(MATCH(V2106, 'File Links'!C:C, 0)), "N/A", HYPERLINK(INDEX('File Links'!B:B, MATCH(P2106, 'File Links'!C:C, 0))))</f>
        <v>https://drive.google.com/file/d/1gzyiuMNHruki0iqw9ZPuG1ROg8sPoSnR/view?usp=drivesdk</v>
      </c>
      <c r="R2106" s="1689" t="s">
        <v>12893</v>
      </c>
      <c r="S2106" s="53" t="s">
        <v>12679</v>
      </c>
      <c r="T2106" s="1791"/>
      <c r="U2106" s="52">
        <v>4.0</v>
      </c>
      <c r="V2106" s="340" t="s">
        <v>12680</v>
      </c>
      <c r="W2106" s="1702" t="s">
        <v>12899</v>
      </c>
      <c r="X2106" s="51" t="str">
        <f t="array" ref="X2106"> if(iserror(MATCH(V2106, 'File Links'!C:C, 0)), "N/A", HYPERLINK(INDEX('File Links'!B:B, MATCH(V2106, 'File Links'!C:C, 0))))</f>
        <v>https://drive.google.com/file/d/1FM8L4aEO4RUDs49kJAJIdOCQaOMgYN0P/view?usp=drivesdk</v>
      </c>
      <c r="Y2106" s="43"/>
      <c r="Z2106" s="340" t="s">
        <v>219</v>
      </c>
      <c r="AA2106" s="53" t="s">
        <v>12688</v>
      </c>
      <c r="AB2106" s="340" t="s">
        <v>12900</v>
      </c>
      <c r="AC2106" s="340" t="s">
        <v>12901</v>
      </c>
      <c r="AD2106" s="340" t="s">
        <v>12902</v>
      </c>
      <c r="AE2106" s="340">
        <v>4.0</v>
      </c>
      <c r="AF2106" s="344">
        <v>80.0</v>
      </c>
      <c r="AG2106" s="344" t="s">
        <v>12903</v>
      </c>
      <c r="AH2106" s="340" t="s">
        <v>127</v>
      </c>
      <c r="AI2106" s="340" t="s">
        <v>843</v>
      </c>
      <c r="AJ2106" s="344">
        <v>1.0E-4</v>
      </c>
      <c r="AK2106" s="340" t="s">
        <v>128</v>
      </c>
      <c r="AL2106" s="340" t="s">
        <v>211</v>
      </c>
      <c r="AM2106" s="53" t="s">
        <v>130</v>
      </c>
      <c r="AN2106" s="497" t="s">
        <v>131</v>
      </c>
      <c r="AO2106" s="344">
        <v>82.0</v>
      </c>
      <c r="AP2106" s="344">
        <v>-0.039</v>
      </c>
      <c r="AQ2106" s="340" t="s">
        <v>166</v>
      </c>
      <c r="AR2106" s="340" t="s">
        <v>1250</v>
      </c>
      <c r="AS2106" s="344">
        <v>0.727</v>
      </c>
      <c r="AT2106" s="340" t="s">
        <v>165</v>
      </c>
      <c r="AU2106" s="340" t="s">
        <v>129</v>
      </c>
      <c r="AV2106" s="53" t="s">
        <v>130</v>
      </c>
      <c r="AW2106" s="1952" t="s">
        <v>131</v>
      </c>
      <c r="AX2106" s="53" t="s">
        <v>144</v>
      </c>
      <c r="AY2106" s="339"/>
      <c r="AZ2106" s="338" t="s">
        <v>8392</v>
      </c>
      <c r="BA2106" s="339"/>
      <c r="BB2106" s="339"/>
      <c r="BC2106" s="339"/>
      <c r="BD2106" s="339"/>
      <c r="BE2106" s="339"/>
      <c r="BF2106" s="339"/>
      <c r="BG2106" s="339"/>
      <c r="BH2106" s="339"/>
      <c r="BI2106" s="339"/>
      <c r="BJ2106" s="339"/>
      <c r="BK2106" s="339"/>
      <c r="BL2106" s="339"/>
      <c r="BM2106" s="339"/>
      <c r="BN2106" s="339"/>
      <c r="BO2106" s="339"/>
      <c r="BP2106" s="339"/>
      <c r="BQ2106" s="339"/>
      <c r="BR2106" s="339"/>
      <c r="BS2106" s="339"/>
      <c r="BT2106" s="339"/>
      <c r="BU2106" s="339"/>
      <c r="BV2106" s="339"/>
      <c r="BW2106" s="339"/>
      <c r="BX2106" s="339"/>
      <c r="BY2106" s="339"/>
      <c r="BZ2106" s="339"/>
      <c r="CA2106" s="339"/>
      <c r="CB2106" s="339"/>
      <c r="CC2106" s="339"/>
      <c r="CD2106" s="339"/>
      <c r="CE2106" s="339"/>
      <c r="CF2106" s="339"/>
      <c r="CG2106" s="339"/>
      <c r="CH2106" s="339"/>
      <c r="CI2106" s="339"/>
      <c r="CJ2106" s="339"/>
      <c r="CK2106" s="339"/>
      <c r="CL2106" s="339"/>
      <c r="CM2106" s="339"/>
      <c r="CN2106" s="339"/>
      <c r="CO2106" s="339"/>
      <c r="CP2106" s="339"/>
      <c r="CQ2106" s="339"/>
      <c r="CR2106" s="339"/>
      <c r="CS2106" s="339"/>
      <c r="CT2106" s="339"/>
      <c r="CU2106" s="339"/>
      <c r="CV2106" s="339"/>
      <c r="CW2106" s="339"/>
      <c r="CX2106" s="339"/>
      <c r="CY2106" s="339"/>
      <c r="CZ2106" s="339"/>
      <c r="DA2106" s="339"/>
      <c r="DB2106" s="339"/>
      <c r="DC2106" s="339"/>
      <c r="DD2106" s="339"/>
      <c r="DE2106" s="339"/>
      <c r="DF2106" s="339"/>
      <c r="DG2106" s="339"/>
      <c r="DH2106" s="339"/>
    </row>
    <row r="2107">
      <c r="A2107" s="41">
        <v>2107.0</v>
      </c>
      <c r="B2107" s="53" t="s">
        <v>107</v>
      </c>
      <c r="C2107" s="338" t="s">
        <v>108</v>
      </c>
      <c r="D2107" s="338" t="s">
        <v>1434</v>
      </c>
      <c r="E2107" s="339"/>
      <c r="F2107" s="43" t="s">
        <v>12904</v>
      </c>
      <c r="G2107" s="357" t="s">
        <v>12905</v>
      </c>
      <c r="H2107" s="357" t="s">
        <v>12891</v>
      </c>
      <c r="I2107" s="1951">
        <v>44991.73814814815</v>
      </c>
      <c r="J2107" s="341">
        <v>45712.0</v>
      </c>
      <c r="K2107" s="43"/>
      <c r="L2107" s="43"/>
      <c r="M2107" s="357" t="s">
        <v>12892</v>
      </c>
      <c r="N2107" s="357" t="s">
        <v>12676</v>
      </c>
      <c r="O2107" s="354">
        <v>1.0</v>
      </c>
      <c r="P2107" s="357" t="s">
        <v>12677</v>
      </c>
      <c r="Q2107" s="49" t="str">
        <f t="array" ref="Q2107"> if(iserror(MATCH(V2107, 'File Links'!C:C, 0)), "N/A", HYPERLINK(INDEX('File Links'!B:B, MATCH(P2107, 'File Links'!C:C, 0))))</f>
        <v>https://drive.google.com/file/d/1gzyiuMNHruki0iqw9ZPuG1ROg8sPoSnR/view?usp=drivesdk</v>
      </c>
      <c r="R2107" s="357" t="s">
        <v>12906</v>
      </c>
      <c r="S2107" s="357" t="s">
        <v>12679</v>
      </c>
      <c r="T2107" s="43"/>
      <c r="U2107" s="354">
        <v>5.0</v>
      </c>
      <c r="V2107" s="357" t="s">
        <v>12680</v>
      </c>
      <c r="W2107" s="357" t="s">
        <v>10960</v>
      </c>
      <c r="X2107" s="51" t="str">
        <f t="array" ref="X2107"> if(iserror(MATCH(V2107, 'File Links'!C:C, 0)), "N/A", HYPERLINK(INDEX('File Links'!B:B, MATCH(V2107, 'File Links'!C:C, 0))))</f>
        <v>https://drive.google.com/file/d/1FM8L4aEO4RUDs49kJAJIdOCQaOMgYN0P/view?usp=drivesdk</v>
      </c>
      <c r="Y2107" s="43"/>
      <c r="Z2107" s="357" t="s">
        <v>12681</v>
      </c>
      <c r="AA2107" s="357" t="s">
        <v>12682</v>
      </c>
      <c r="AB2107" s="357" t="s">
        <v>12683</v>
      </c>
      <c r="AC2107" s="357" t="s">
        <v>12682</v>
      </c>
      <c r="AD2107" s="357" t="s">
        <v>12894</v>
      </c>
      <c r="AE2107" s="354">
        <v>4.0</v>
      </c>
      <c r="AF2107" s="354">
        <v>80.0</v>
      </c>
      <c r="AG2107" s="43" t="s">
        <v>12895</v>
      </c>
      <c r="AH2107" s="357" t="s">
        <v>127</v>
      </c>
      <c r="AI2107" s="357" t="s">
        <v>843</v>
      </c>
      <c r="AJ2107" s="354">
        <v>1.0E-4</v>
      </c>
      <c r="AK2107" s="357" t="s">
        <v>128</v>
      </c>
      <c r="AL2107" s="357" t="s">
        <v>179</v>
      </c>
      <c r="AM2107" s="357" t="s">
        <v>134</v>
      </c>
      <c r="AN2107" s="43" t="s">
        <v>131</v>
      </c>
      <c r="AO2107" s="354">
        <v>45.0</v>
      </c>
      <c r="AP2107" s="354">
        <v>0.3</v>
      </c>
      <c r="AQ2107" s="357" t="s">
        <v>132</v>
      </c>
      <c r="AR2107" s="357" t="s">
        <v>9287</v>
      </c>
      <c r="AS2107" s="354">
        <v>0.419</v>
      </c>
      <c r="AT2107" s="357" t="s">
        <v>165</v>
      </c>
      <c r="AU2107" s="357" t="s">
        <v>179</v>
      </c>
      <c r="AV2107" s="357" t="s">
        <v>134</v>
      </c>
      <c r="AW2107" s="357" t="s">
        <v>131</v>
      </c>
      <c r="AX2107" s="357" t="s">
        <v>136</v>
      </c>
      <c r="AY2107" s="43"/>
      <c r="AZ2107" s="338" t="s">
        <v>8392</v>
      </c>
      <c r="BA2107" s="339"/>
      <c r="BB2107" s="339"/>
      <c r="BC2107" s="339"/>
      <c r="BD2107" s="339"/>
      <c r="BE2107" s="339"/>
      <c r="BF2107" s="339"/>
      <c r="BG2107" s="339"/>
      <c r="BH2107" s="339"/>
      <c r="BI2107" s="339"/>
      <c r="BJ2107" s="339"/>
      <c r="BK2107" s="339"/>
      <c r="BL2107" s="339"/>
      <c r="BM2107" s="339"/>
      <c r="BN2107" s="339"/>
      <c r="BO2107" s="339"/>
      <c r="BP2107" s="339"/>
      <c r="BQ2107" s="339"/>
      <c r="BR2107" s="339"/>
      <c r="BS2107" s="339"/>
      <c r="BT2107" s="339"/>
      <c r="BU2107" s="339"/>
      <c r="BV2107" s="339"/>
      <c r="BW2107" s="339"/>
      <c r="BX2107" s="339"/>
      <c r="BY2107" s="339"/>
      <c r="BZ2107" s="339"/>
      <c r="CA2107" s="339"/>
      <c r="CB2107" s="339"/>
      <c r="CC2107" s="339"/>
      <c r="CD2107" s="339"/>
      <c r="CE2107" s="339"/>
      <c r="CF2107" s="339"/>
      <c r="CG2107" s="339"/>
      <c r="CH2107" s="339"/>
      <c r="CI2107" s="339"/>
      <c r="CJ2107" s="339"/>
      <c r="CK2107" s="339"/>
      <c r="CL2107" s="339"/>
      <c r="CM2107" s="339"/>
      <c r="CN2107" s="339"/>
      <c r="CO2107" s="339"/>
      <c r="CP2107" s="339"/>
      <c r="CQ2107" s="339"/>
      <c r="CR2107" s="339"/>
      <c r="CS2107" s="339"/>
      <c r="CT2107" s="339"/>
      <c r="CU2107" s="339"/>
      <c r="CV2107" s="339"/>
      <c r="CW2107" s="339"/>
      <c r="CX2107" s="339"/>
      <c r="CY2107" s="339"/>
      <c r="CZ2107" s="339"/>
      <c r="DA2107" s="339"/>
      <c r="DB2107" s="339"/>
      <c r="DC2107" s="339"/>
      <c r="DD2107" s="339"/>
      <c r="DE2107" s="339"/>
      <c r="DF2107" s="339"/>
      <c r="DG2107" s="339"/>
      <c r="DH2107" s="339"/>
    </row>
    <row r="2108">
      <c r="A2108" s="41">
        <v>2108.0</v>
      </c>
      <c r="B2108" s="53" t="s">
        <v>145</v>
      </c>
      <c r="C2108" s="338" t="s">
        <v>108</v>
      </c>
      <c r="D2108" s="338" t="s">
        <v>146</v>
      </c>
      <c r="E2108" s="339"/>
      <c r="F2108" s="53" t="s">
        <v>12904</v>
      </c>
      <c r="G2108" s="53" t="s">
        <v>12904</v>
      </c>
      <c r="H2108" s="340" t="s">
        <v>8522</v>
      </c>
      <c r="I2108" s="344" t="s">
        <v>8523</v>
      </c>
      <c r="J2108" s="43"/>
      <c r="K2108" s="340" t="s">
        <v>12907</v>
      </c>
      <c r="L2108" s="53" t="s">
        <v>12908</v>
      </c>
      <c r="M2108" s="53" t="s">
        <v>12892</v>
      </c>
      <c r="N2108" s="53" t="s">
        <v>12676</v>
      </c>
      <c r="O2108" s="52">
        <v>1.0</v>
      </c>
      <c r="P2108" s="340" t="s">
        <v>12677</v>
      </c>
      <c r="Q2108" s="49" t="str">
        <f t="array" ref="Q2108"> if(iserror(MATCH(V2108, 'File Links'!C:C, 0)), "N/A", HYPERLINK(INDEX('File Links'!B:B, MATCH(P2108, 'File Links'!C:C, 0))))</f>
        <v>https://drive.google.com/file/d/1gzyiuMNHruki0iqw9ZPuG1ROg8sPoSnR/view?usp=drivesdk</v>
      </c>
      <c r="R2108" s="1689" t="s">
        <v>12906</v>
      </c>
      <c r="S2108" s="53" t="s">
        <v>12679</v>
      </c>
      <c r="T2108" s="1791"/>
      <c r="U2108" s="52">
        <v>5.0</v>
      </c>
      <c r="V2108" s="340" t="s">
        <v>12680</v>
      </c>
      <c r="W2108" s="340" t="s">
        <v>3719</v>
      </c>
      <c r="X2108" s="51" t="str">
        <f t="array" ref="X2108"> if(iserror(MATCH(V2108, 'File Links'!C:C, 0)), "N/A", HYPERLINK(INDEX('File Links'!B:B, MATCH(V2108, 'File Links'!C:C, 0))))</f>
        <v>https://drive.google.com/file/d/1FM8L4aEO4RUDs49kJAJIdOCQaOMgYN0P/view?usp=drivesdk</v>
      </c>
      <c r="Y2108" s="43"/>
      <c r="Z2108" s="340" t="s">
        <v>219</v>
      </c>
      <c r="AA2108" s="53" t="s">
        <v>12688</v>
      </c>
      <c r="AB2108" s="340" t="s">
        <v>12900</v>
      </c>
      <c r="AC2108" s="340" t="s">
        <v>12901</v>
      </c>
      <c r="AD2108" s="340" t="s">
        <v>12902</v>
      </c>
      <c r="AE2108" s="340">
        <v>4.0</v>
      </c>
      <c r="AF2108" s="344">
        <v>80.0</v>
      </c>
      <c r="AG2108" s="344" t="s">
        <v>12903</v>
      </c>
      <c r="AH2108" s="340" t="s">
        <v>127</v>
      </c>
      <c r="AI2108" s="340" t="s">
        <v>843</v>
      </c>
      <c r="AJ2108" s="344">
        <v>1.0E-4</v>
      </c>
      <c r="AK2108" s="340" t="s">
        <v>128</v>
      </c>
      <c r="AL2108" s="340" t="s">
        <v>211</v>
      </c>
      <c r="AM2108" s="53" t="s">
        <v>130</v>
      </c>
      <c r="AN2108" s="497" t="s">
        <v>131</v>
      </c>
      <c r="AO2108" s="344">
        <v>45.0</v>
      </c>
      <c r="AP2108" s="344">
        <v>0.084</v>
      </c>
      <c r="AQ2108" s="340" t="s">
        <v>166</v>
      </c>
      <c r="AR2108" s="340" t="s">
        <v>2406</v>
      </c>
      <c r="AS2108" s="344">
        <v>0.574</v>
      </c>
      <c r="AT2108" s="340" t="s">
        <v>165</v>
      </c>
      <c r="AU2108" s="340" t="s">
        <v>129</v>
      </c>
      <c r="AV2108" s="53" t="s">
        <v>130</v>
      </c>
      <c r="AW2108" s="1952" t="s">
        <v>131</v>
      </c>
      <c r="AX2108" s="53" t="s">
        <v>144</v>
      </c>
      <c r="AY2108" s="339"/>
      <c r="AZ2108" s="338" t="s">
        <v>8392</v>
      </c>
      <c r="BA2108" s="339"/>
      <c r="BB2108" s="339"/>
      <c r="BC2108" s="339"/>
      <c r="BD2108" s="339"/>
      <c r="BE2108" s="339"/>
      <c r="BF2108" s="339"/>
      <c r="BG2108" s="339"/>
      <c r="BH2108" s="339"/>
      <c r="BI2108" s="339"/>
      <c r="BJ2108" s="339"/>
      <c r="BK2108" s="339"/>
      <c r="BL2108" s="339"/>
      <c r="BM2108" s="339"/>
      <c r="BN2108" s="339"/>
      <c r="BO2108" s="339"/>
      <c r="BP2108" s="339"/>
      <c r="BQ2108" s="339"/>
      <c r="BR2108" s="339"/>
      <c r="BS2108" s="339"/>
      <c r="BT2108" s="339"/>
      <c r="BU2108" s="339"/>
      <c r="BV2108" s="339"/>
      <c r="BW2108" s="339"/>
      <c r="BX2108" s="339"/>
      <c r="BY2108" s="339"/>
      <c r="BZ2108" s="339"/>
      <c r="CA2108" s="339"/>
      <c r="CB2108" s="339"/>
      <c r="CC2108" s="339"/>
      <c r="CD2108" s="339"/>
      <c r="CE2108" s="339"/>
      <c r="CF2108" s="339"/>
      <c r="CG2108" s="339"/>
      <c r="CH2108" s="339"/>
      <c r="CI2108" s="339"/>
      <c r="CJ2108" s="339"/>
      <c r="CK2108" s="339"/>
      <c r="CL2108" s="339"/>
      <c r="CM2108" s="339"/>
      <c r="CN2108" s="339"/>
      <c r="CO2108" s="339"/>
      <c r="CP2108" s="339"/>
      <c r="CQ2108" s="339"/>
      <c r="CR2108" s="339"/>
      <c r="CS2108" s="339"/>
      <c r="CT2108" s="339"/>
      <c r="CU2108" s="339"/>
      <c r="CV2108" s="339"/>
      <c r="CW2108" s="339"/>
      <c r="CX2108" s="339"/>
      <c r="CY2108" s="339"/>
      <c r="CZ2108" s="339"/>
      <c r="DA2108" s="339"/>
      <c r="DB2108" s="339"/>
      <c r="DC2108" s="339"/>
      <c r="DD2108" s="339"/>
      <c r="DE2108" s="339"/>
      <c r="DF2108" s="339"/>
      <c r="DG2108" s="339"/>
      <c r="DH2108" s="339"/>
    </row>
    <row r="2109">
      <c r="A2109" s="41">
        <v>2109.0</v>
      </c>
      <c r="B2109" s="53" t="s">
        <v>145</v>
      </c>
      <c r="C2109" s="338" t="s">
        <v>108</v>
      </c>
      <c r="D2109" s="338" t="s">
        <v>146</v>
      </c>
      <c r="E2109" s="339"/>
      <c r="F2109" s="53" t="s">
        <v>12904</v>
      </c>
      <c r="G2109" s="53" t="s">
        <v>12909</v>
      </c>
      <c r="H2109" s="340" t="s">
        <v>8522</v>
      </c>
      <c r="I2109" s="344" t="s">
        <v>8523</v>
      </c>
      <c r="J2109" s="43"/>
      <c r="K2109" s="340" t="s">
        <v>12907</v>
      </c>
      <c r="L2109" s="53" t="s">
        <v>12908</v>
      </c>
      <c r="M2109" s="53" t="s">
        <v>12892</v>
      </c>
      <c r="N2109" s="53" t="s">
        <v>12676</v>
      </c>
      <c r="O2109" s="52">
        <v>1.0</v>
      </c>
      <c r="P2109" s="340" t="s">
        <v>12677</v>
      </c>
      <c r="Q2109" s="49" t="str">
        <f t="array" ref="Q2109"> if(iserror(MATCH(V2109, 'File Links'!C:C, 0)), "N/A", HYPERLINK(INDEX('File Links'!B:B, MATCH(P2109, 'File Links'!C:C, 0))))</f>
        <v>https://drive.google.com/file/d/1gzyiuMNHruki0iqw9ZPuG1ROg8sPoSnR/view?usp=drivesdk</v>
      </c>
      <c r="R2109" s="1689" t="s">
        <v>12906</v>
      </c>
      <c r="S2109" s="53" t="s">
        <v>12679</v>
      </c>
      <c r="T2109" s="1791"/>
      <c r="U2109" s="52">
        <v>5.0</v>
      </c>
      <c r="V2109" s="340" t="s">
        <v>12680</v>
      </c>
      <c r="W2109" s="340" t="s">
        <v>3719</v>
      </c>
      <c r="X2109" s="51" t="str">
        <f t="array" ref="X2109"> if(iserror(MATCH(V2109, 'File Links'!C:C, 0)), "N/A", HYPERLINK(INDEX('File Links'!B:B, MATCH(V2109, 'File Links'!C:C, 0))))</f>
        <v>https://drive.google.com/file/d/1FM8L4aEO4RUDs49kJAJIdOCQaOMgYN0P/view?usp=drivesdk</v>
      </c>
      <c r="Y2109" s="43"/>
      <c r="Z2109" s="340" t="s">
        <v>219</v>
      </c>
      <c r="AA2109" s="53" t="s">
        <v>12688</v>
      </c>
      <c r="AB2109" s="340" t="s">
        <v>12900</v>
      </c>
      <c r="AC2109" s="340" t="s">
        <v>12910</v>
      </c>
      <c r="AD2109" s="340" t="s">
        <v>12911</v>
      </c>
      <c r="AE2109" s="340">
        <v>4.0</v>
      </c>
      <c r="AF2109" s="344">
        <v>80.0</v>
      </c>
      <c r="AG2109" s="344" t="s">
        <v>12912</v>
      </c>
      <c r="AH2109" s="340" t="s">
        <v>127</v>
      </c>
      <c r="AI2109" s="340" t="s">
        <v>843</v>
      </c>
      <c r="AJ2109" s="344">
        <v>1.0E-4</v>
      </c>
      <c r="AK2109" s="340" t="s">
        <v>128</v>
      </c>
      <c r="AL2109" s="340" t="s">
        <v>211</v>
      </c>
      <c r="AM2109" s="53" t="s">
        <v>130</v>
      </c>
      <c r="AN2109" s="497" t="s">
        <v>131</v>
      </c>
      <c r="AO2109" s="344">
        <v>45.0</v>
      </c>
      <c r="AP2109" s="344">
        <v>0.777</v>
      </c>
      <c r="AQ2109" s="340" t="s">
        <v>132</v>
      </c>
      <c r="AR2109" s="340" t="s">
        <v>9287</v>
      </c>
      <c r="AS2109" s="344">
        <v>0.001</v>
      </c>
      <c r="AT2109" s="340" t="s">
        <v>128</v>
      </c>
      <c r="AU2109" s="340" t="s">
        <v>211</v>
      </c>
      <c r="AV2109" s="53" t="s">
        <v>130</v>
      </c>
      <c r="AW2109" s="1952" t="s">
        <v>131</v>
      </c>
      <c r="AX2109" s="53" t="s">
        <v>144</v>
      </c>
      <c r="AY2109" s="339"/>
      <c r="AZ2109" s="338" t="s">
        <v>8392</v>
      </c>
      <c r="BA2109" s="339"/>
      <c r="BB2109" s="339"/>
      <c r="BC2109" s="339"/>
      <c r="BD2109" s="339"/>
      <c r="BE2109" s="339"/>
      <c r="BF2109" s="339"/>
      <c r="BG2109" s="339"/>
      <c r="BH2109" s="339"/>
      <c r="BI2109" s="339"/>
      <c r="BJ2109" s="339"/>
      <c r="BK2109" s="339"/>
      <c r="BL2109" s="339"/>
      <c r="BM2109" s="339"/>
      <c r="BN2109" s="339"/>
      <c r="BO2109" s="339"/>
      <c r="BP2109" s="339"/>
      <c r="BQ2109" s="339"/>
      <c r="BR2109" s="339"/>
      <c r="BS2109" s="339"/>
      <c r="BT2109" s="339"/>
      <c r="BU2109" s="339"/>
      <c r="BV2109" s="339"/>
      <c r="BW2109" s="339"/>
      <c r="BX2109" s="339"/>
      <c r="BY2109" s="339"/>
      <c r="BZ2109" s="339"/>
      <c r="CA2109" s="339"/>
      <c r="CB2109" s="339"/>
      <c r="CC2109" s="339"/>
      <c r="CD2109" s="339"/>
      <c r="CE2109" s="339"/>
      <c r="CF2109" s="339"/>
      <c r="CG2109" s="339"/>
      <c r="CH2109" s="339"/>
      <c r="CI2109" s="339"/>
      <c r="CJ2109" s="339"/>
      <c r="CK2109" s="339"/>
      <c r="CL2109" s="339"/>
      <c r="CM2109" s="339"/>
      <c r="CN2109" s="339"/>
      <c r="CO2109" s="339"/>
      <c r="CP2109" s="339"/>
      <c r="CQ2109" s="339"/>
      <c r="CR2109" s="339"/>
      <c r="CS2109" s="339"/>
      <c r="CT2109" s="339"/>
      <c r="CU2109" s="339"/>
      <c r="CV2109" s="339"/>
      <c r="CW2109" s="339"/>
      <c r="CX2109" s="339"/>
      <c r="CY2109" s="339"/>
      <c r="CZ2109" s="339"/>
      <c r="DA2109" s="339"/>
      <c r="DB2109" s="339"/>
      <c r="DC2109" s="339"/>
      <c r="DD2109" s="339"/>
      <c r="DE2109" s="339"/>
      <c r="DF2109" s="339"/>
      <c r="DG2109" s="339"/>
      <c r="DH2109" s="339"/>
    </row>
    <row r="2110">
      <c r="A2110" s="41">
        <v>2110.0</v>
      </c>
      <c r="B2110" s="53" t="s">
        <v>145</v>
      </c>
      <c r="C2110" s="338" t="s">
        <v>108</v>
      </c>
      <c r="D2110" s="338" t="s">
        <v>146</v>
      </c>
      <c r="E2110" s="339"/>
      <c r="F2110" s="53" t="s">
        <v>12904</v>
      </c>
      <c r="G2110" s="53" t="s">
        <v>12913</v>
      </c>
      <c r="H2110" s="340" t="s">
        <v>8522</v>
      </c>
      <c r="I2110" s="344" t="s">
        <v>8523</v>
      </c>
      <c r="J2110" s="43"/>
      <c r="K2110" s="340" t="s">
        <v>12907</v>
      </c>
      <c r="L2110" s="43"/>
      <c r="M2110" s="53" t="s">
        <v>12892</v>
      </c>
      <c r="N2110" s="53" t="s">
        <v>12676</v>
      </c>
      <c r="O2110" s="52">
        <v>1.0</v>
      </c>
      <c r="P2110" s="340" t="s">
        <v>12677</v>
      </c>
      <c r="Q2110" s="49" t="str">
        <f t="array" ref="Q2110"> if(iserror(MATCH(V2110, 'File Links'!C:C, 0)), "N/A", HYPERLINK(INDEX('File Links'!B:B, MATCH(P2110, 'File Links'!C:C, 0))))</f>
        <v>https://drive.google.com/file/d/1gzyiuMNHruki0iqw9ZPuG1ROg8sPoSnR/view?usp=drivesdk</v>
      </c>
      <c r="R2110" s="1689" t="s">
        <v>12906</v>
      </c>
      <c r="S2110" s="53" t="s">
        <v>12679</v>
      </c>
      <c r="T2110" s="1791"/>
      <c r="U2110" s="52">
        <v>5.0</v>
      </c>
      <c r="V2110" s="340" t="s">
        <v>12680</v>
      </c>
      <c r="W2110" s="340" t="s">
        <v>3719</v>
      </c>
      <c r="X2110" s="51" t="str">
        <f t="array" ref="X2110"> if(iserror(MATCH(V2110, 'File Links'!C:C, 0)), "N/A", HYPERLINK(INDEX('File Links'!B:B, MATCH(V2110, 'File Links'!C:C, 0))))</f>
        <v>https://drive.google.com/file/d/1FM8L4aEO4RUDs49kJAJIdOCQaOMgYN0P/view?usp=drivesdk</v>
      </c>
      <c r="Y2110" s="43"/>
      <c r="Z2110" s="340" t="s">
        <v>219</v>
      </c>
      <c r="AA2110" s="53" t="s">
        <v>12688</v>
      </c>
      <c r="AB2110" s="340" t="s">
        <v>12900</v>
      </c>
      <c r="AC2110" s="340" t="s">
        <v>12914</v>
      </c>
      <c r="AD2110" s="340" t="s">
        <v>12915</v>
      </c>
      <c r="AE2110" s="340">
        <v>4.0</v>
      </c>
      <c r="AF2110" s="344">
        <v>80.0</v>
      </c>
      <c r="AG2110" s="344" t="s">
        <v>12916</v>
      </c>
      <c r="AH2110" s="340" t="s">
        <v>127</v>
      </c>
      <c r="AI2110" s="340" t="s">
        <v>843</v>
      </c>
      <c r="AJ2110" s="344">
        <v>0.03</v>
      </c>
      <c r="AK2110" s="340" t="s">
        <v>128</v>
      </c>
      <c r="AL2110" s="340" t="s">
        <v>211</v>
      </c>
      <c r="AM2110" s="53" t="s">
        <v>130</v>
      </c>
      <c r="AN2110" s="497" t="s">
        <v>131</v>
      </c>
      <c r="AO2110" s="344">
        <v>45.0</v>
      </c>
      <c r="AP2110" s="344">
        <v>0.03</v>
      </c>
      <c r="AQ2110" s="340" t="s">
        <v>132</v>
      </c>
      <c r="AR2110" s="340" t="s">
        <v>9287</v>
      </c>
      <c r="AS2110" s="344">
        <v>0.419</v>
      </c>
      <c r="AT2110" s="340" t="s">
        <v>165</v>
      </c>
      <c r="AU2110" s="340" t="s">
        <v>211</v>
      </c>
      <c r="AV2110" s="53" t="s">
        <v>130</v>
      </c>
      <c r="AW2110" s="1952" t="s">
        <v>131</v>
      </c>
      <c r="AX2110" s="53" t="s">
        <v>144</v>
      </c>
      <c r="AY2110" s="339"/>
      <c r="AZ2110" s="338" t="s">
        <v>8392</v>
      </c>
      <c r="BA2110" s="339"/>
      <c r="BB2110" s="339"/>
      <c r="BC2110" s="339"/>
      <c r="BD2110" s="339"/>
      <c r="BE2110" s="339"/>
      <c r="BF2110" s="339"/>
      <c r="BG2110" s="339"/>
      <c r="BH2110" s="339"/>
      <c r="BI2110" s="339"/>
      <c r="BJ2110" s="339"/>
      <c r="BK2110" s="339"/>
      <c r="BL2110" s="339"/>
      <c r="BM2110" s="339"/>
      <c r="BN2110" s="339"/>
      <c r="BO2110" s="339"/>
      <c r="BP2110" s="339"/>
      <c r="BQ2110" s="339"/>
      <c r="BR2110" s="339"/>
      <c r="BS2110" s="339"/>
      <c r="BT2110" s="339"/>
      <c r="BU2110" s="339"/>
      <c r="BV2110" s="339"/>
      <c r="BW2110" s="339"/>
      <c r="BX2110" s="339"/>
      <c r="BY2110" s="339"/>
      <c r="BZ2110" s="339"/>
      <c r="CA2110" s="339"/>
      <c r="CB2110" s="339"/>
      <c r="CC2110" s="339"/>
      <c r="CD2110" s="339"/>
      <c r="CE2110" s="339"/>
      <c r="CF2110" s="339"/>
      <c r="CG2110" s="339"/>
      <c r="CH2110" s="339"/>
      <c r="CI2110" s="339"/>
      <c r="CJ2110" s="339"/>
      <c r="CK2110" s="339"/>
      <c r="CL2110" s="339"/>
      <c r="CM2110" s="339"/>
      <c r="CN2110" s="339"/>
      <c r="CO2110" s="339"/>
      <c r="CP2110" s="339"/>
      <c r="CQ2110" s="339"/>
      <c r="CR2110" s="339"/>
      <c r="CS2110" s="339"/>
      <c r="CT2110" s="339"/>
      <c r="CU2110" s="339"/>
      <c r="CV2110" s="339"/>
      <c r="CW2110" s="339"/>
      <c r="CX2110" s="339"/>
      <c r="CY2110" s="339"/>
      <c r="CZ2110" s="339"/>
      <c r="DA2110" s="339"/>
      <c r="DB2110" s="339"/>
      <c r="DC2110" s="339"/>
      <c r="DD2110" s="339"/>
      <c r="DE2110" s="339"/>
      <c r="DF2110" s="339"/>
      <c r="DG2110" s="339"/>
      <c r="DH2110" s="339"/>
    </row>
    <row r="2111">
      <c r="A2111" s="41">
        <v>2111.0</v>
      </c>
      <c r="B2111" s="53" t="s">
        <v>145</v>
      </c>
      <c r="C2111" s="338" t="s">
        <v>108</v>
      </c>
      <c r="D2111" s="338" t="s">
        <v>146</v>
      </c>
      <c r="E2111" s="339"/>
      <c r="F2111" s="53" t="s">
        <v>12904</v>
      </c>
      <c r="G2111" s="53" t="s">
        <v>12917</v>
      </c>
      <c r="H2111" s="340" t="s">
        <v>8522</v>
      </c>
      <c r="I2111" s="344" t="s">
        <v>8523</v>
      </c>
      <c r="J2111" s="43"/>
      <c r="K2111" s="340" t="s">
        <v>12907</v>
      </c>
      <c r="L2111" s="43"/>
      <c r="M2111" s="53" t="s">
        <v>12892</v>
      </c>
      <c r="N2111" s="53" t="s">
        <v>12676</v>
      </c>
      <c r="O2111" s="52">
        <v>1.0</v>
      </c>
      <c r="P2111" s="340" t="s">
        <v>12677</v>
      </c>
      <c r="Q2111" s="49" t="str">
        <f t="array" ref="Q2111"> if(iserror(MATCH(V2111, 'File Links'!C:C, 0)), "N/A", HYPERLINK(INDEX('File Links'!B:B, MATCH(P2111, 'File Links'!C:C, 0))))</f>
        <v>https://drive.google.com/file/d/1gzyiuMNHruki0iqw9ZPuG1ROg8sPoSnR/view?usp=drivesdk</v>
      </c>
      <c r="R2111" s="1689" t="s">
        <v>12906</v>
      </c>
      <c r="S2111" s="53" t="s">
        <v>12679</v>
      </c>
      <c r="T2111" s="1791"/>
      <c r="U2111" s="52">
        <v>5.0</v>
      </c>
      <c r="V2111" s="340" t="s">
        <v>12680</v>
      </c>
      <c r="W2111" s="340" t="s">
        <v>3719</v>
      </c>
      <c r="X2111" s="51" t="str">
        <f t="array" ref="X2111"> if(iserror(MATCH(V2111, 'File Links'!C:C, 0)), "N/A", HYPERLINK(INDEX('File Links'!B:B, MATCH(V2111, 'File Links'!C:C, 0))))</f>
        <v>https://drive.google.com/file/d/1FM8L4aEO4RUDs49kJAJIdOCQaOMgYN0P/view?usp=drivesdk</v>
      </c>
      <c r="Y2111" s="43"/>
      <c r="Z2111" s="340" t="s">
        <v>219</v>
      </c>
      <c r="AA2111" s="53" t="s">
        <v>12688</v>
      </c>
      <c r="AB2111" s="340" t="s">
        <v>12900</v>
      </c>
      <c r="AC2111" s="340" t="s">
        <v>12918</v>
      </c>
      <c r="AD2111" s="340" t="s">
        <v>12919</v>
      </c>
      <c r="AE2111" s="340">
        <v>4.0</v>
      </c>
      <c r="AF2111" s="344">
        <v>80.0</v>
      </c>
      <c r="AG2111" s="344" t="s">
        <v>12920</v>
      </c>
      <c r="AH2111" s="340" t="s">
        <v>127</v>
      </c>
      <c r="AI2111" s="340" t="s">
        <v>843</v>
      </c>
      <c r="AJ2111" s="344">
        <v>1.0E-4</v>
      </c>
      <c r="AK2111" s="340" t="s">
        <v>128</v>
      </c>
      <c r="AL2111" s="340" t="s">
        <v>211</v>
      </c>
      <c r="AM2111" s="53" t="s">
        <v>130</v>
      </c>
      <c r="AN2111" s="497" t="s">
        <v>131</v>
      </c>
      <c r="AO2111" s="344">
        <v>45.0</v>
      </c>
      <c r="AP2111" s="344">
        <v>0.091</v>
      </c>
      <c r="AQ2111" s="340" t="s">
        <v>132</v>
      </c>
      <c r="AR2111" s="340" t="s">
        <v>9287</v>
      </c>
      <c r="AS2111" s="344">
        <v>0.001</v>
      </c>
      <c r="AT2111" s="340" t="s">
        <v>165</v>
      </c>
      <c r="AU2111" s="340" t="s">
        <v>211</v>
      </c>
      <c r="AV2111" s="53" t="s">
        <v>130</v>
      </c>
      <c r="AW2111" s="1952" t="s">
        <v>131</v>
      </c>
      <c r="AX2111" s="53" t="s">
        <v>144</v>
      </c>
      <c r="AY2111" s="339"/>
      <c r="AZ2111" s="338" t="s">
        <v>8392</v>
      </c>
      <c r="BA2111" s="339"/>
      <c r="BB2111" s="339"/>
      <c r="BC2111" s="339"/>
      <c r="BD2111" s="339"/>
      <c r="BE2111" s="339"/>
      <c r="BF2111" s="339"/>
      <c r="BG2111" s="339"/>
      <c r="BH2111" s="339"/>
      <c r="BI2111" s="339"/>
      <c r="BJ2111" s="339"/>
      <c r="BK2111" s="339"/>
      <c r="BL2111" s="339"/>
      <c r="BM2111" s="339"/>
      <c r="BN2111" s="339"/>
      <c r="BO2111" s="339"/>
      <c r="BP2111" s="339"/>
      <c r="BQ2111" s="339"/>
      <c r="BR2111" s="339"/>
      <c r="BS2111" s="339"/>
      <c r="BT2111" s="339"/>
      <c r="BU2111" s="339"/>
      <c r="BV2111" s="339"/>
      <c r="BW2111" s="339"/>
      <c r="BX2111" s="339"/>
      <c r="BY2111" s="339"/>
      <c r="BZ2111" s="339"/>
      <c r="CA2111" s="339"/>
      <c r="CB2111" s="339"/>
      <c r="CC2111" s="339"/>
      <c r="CD2111" s="339"/>
      <c r="CE2111" s="339"/>
      <c r="CF2111" s="339"/>
      <c r="CG2111" s="339"/>
      <c r="CH2111" s="339"/>
      <c r="CI2111" s="339"/>
      <c r="CJ2111" s="339"/>
      <c r="CK2111" s="339"/>
      <c r="CL2111" s="339"/>
      <c r="CM2111" s="339"/>
      <c r="CN2111" s="339"/>
      <c r="CO2111" s="339"/>
      <c r="CP2111" s="339"/>
      <c r="CQ2111" s="339"/>
      <c r="CR2111" s="339"/>
      <c r="CS2111" s="339"/>
      <c r="CT2111" s="339"/>
      <c r="CU2111" s="339"/>
      <c r="CV2111" s="339"/>
      <c r="CW2111" s="339"/>
      <c r="CX2111" s="339"/>
      <c r="CY2111" s="339"/>
      <c r="CZ2111" s="339"/>
      <c r="DA2111" s="339"/>
      <c r="DB2111" s="339"/>
      <c r="DC2111" s="339"/>
      <c r="DD2111" s="339"/>
      <c r="DE2111" s="339"/>
      <c r="DF2111" s="339"/>
      <c r="DG2111" s="339"/>
      <c r="DH2111" s="339"/>
    </row>
    <row r="2112">
      <c r="A2112" s="41">
        <v>2112.0</v>
      </c>
      <c r="B2112" s="53" t="s">
        <v>145</v>
      </c>
      <c r="C2112" s="338" t="s">
        <v>108</v>
      </c>
      <c r="D2112" s="338" t="s">
        <v>1434</v>
      </c>
      <c r="E2112" s="339"/>
      <c r="F2112" s="43" t="s">
        <v>12921</v>
      </c>
      <c r="G2112" s="357" t="s">
        <v>12922</v>
      </c>
      <c r="H2112" s="357" t="s">
        <v>12923</v>
      </c>
      <c r="I2112" s="1684" t="s">
        <v>12924</v>
      </c>
      <c r="J2112" s="341">
        <v>45712.0</v>
      </c>
      <c r="K2112" s="357" t="s">
        <v>12925</v>
      </c>
      <c r="L2112" s="357" t="s">
        <v>12926</v>
      </c>
      <c r="M2112" s="357" t="s">
        <v>12927</v>
      </c>
      <c r="N2112" s="357" t="s">
        <v>12928</v>
      </c>
      <c r="O2112" s="354">
        <v>1.0</v>
      </c>
      <c r="P2112" s="357" t="s">
        <v>12929</v>
      </c>
      <c r="Q2112" s="49" t="str">
        <f t="array" ref="Q2112"> if(iserror(MATCH(V2112, 'File Links'!C:C, 0)), "N/A", HYPERLINK(INDEX('File Links'!B:B, MATCH(P2112, 'File Links'!C:C, 0))))</f>
        <v>https://drive.google.com/file/d/1vaJaM70la8WjjudMF5sP3NGFuj_0wy9h/view?usp=drivesdk</v>
      </c>
      <c r="R2112" s="357" t="s">
        <v>12930</v>
      </c>
      <c r="S2112" s="357" t="s">
        <v>12931</v>
      </c>
      <c r="T2112" s="43"/>
      <c r="U2112" s="354">
        <v>1.0</v>
      </c>
      <c r="V2112" s="357" t="s">
        <v>12932</v>
      </c>
      <c r="W2112" s="357" t="s">
        <v>12933</v>
      </c>
      <c r="X2112" s="51" t="str">
        <f t="array" ref="X2112"> if(iserror(MATCH(V2112, 'File Links'!C:C, 0)), "N/A", HYPERLINK(INDEX('File Links'!B:B, MATCH(V2112, 'File Links'!C:C, 0))))</f>
        <v>https://drive.google.com/file/d/1rBJAGWTtBimqdJkF-7AeLyVrGIG8EBnW/view?usp=drivesdk</v>
      </c>
      <c r="Y2112" s="43"/>
      <c r="Z2112" s="357" t="s">
        <v>12934</v>
      </c>
      <c r="AA2112" s="357" t="s">
        <v>12935</v>
      </c>
      <c r="AB2112" s="43" t="s">
        <v>12936</v>
      </c>
      <c r="AC2112" s="357" t="s">
        <v>12937</v>
      </c>
      <c r="AD2112" s="357" t="s">
        <v>12938</v>
      </c>
      <c r="AE2112" s="354">
        <v>5.0</v>
      </c>
      <c r="AF2112" s="354">
        <v>651.0</v>
      </c>
      <c r="AG2112" s="357" t="s">
        <v>131</v>
      </c>
      <c r="AH2112" s="164" t="s">
        <v>131</v>
      </c>
      <c r="AI2112" s="357" t="s">
        <v>806</v>
      </c>
      <c r="AJ2112" s="354">
        <v>0.01</v>
      </c>
      <c r="AK2112" s="357" t="s">
        <v>128</v>
      </c>
      <c r="AL2112" s="357" t="s">
        <v>179</v>
      </c>
      <c r="AM2112" s="357" t="s">
        <v>130</v>
      </c>
      <c r="AN2112" s="43" t="s">
        <v>131</v>
      </c>
      <c r="AO2112" s="354">
        <v>954.0</v>
      </c>
      <c r="AP2112" s="53" t="s">
        <v>12939</v>
      </c>
      <c r="AQ2112" s="357" t="s">
        <v>127</v>
      </c>
      <c r="AR2112" s="357" t="s">
        <v>843</v>
      </c>
      <c r="AS2112" s="354">
        <v>0.021</v>
      </c>
      <c r="AT2112" s="357" t="s">
        <v>165</v>
      </c>
      <c r="AU2112" s="357" t="s">
        <v>179</v>
      </c>
      <c r="AV2112" s="357" t="s">
        <v>130</v>
      </c>
      <c r="AW2112" s="353" t="s">
        <v>12940</v>
      </c>
      <c r="AX2112" s="357" t="s">
        <v>136</v>
      </c>
      <c r="AY2112" s="43"/>
      <c r="AZ2112" s="338" t="s">
        <v>685</v>
      </c>
      <c r="BA2112" s="339"/>
      <c r="BB2112" s="339"/>
      <c r="BC2112" s="339"/>
      <c r="BD2112" s="339"/>
      <c r="BE2112" s="339"/>
      <c r="BF2112" s="339"/>
      <c r="BG2112" s="339"/>
      <c r="BH2112" s="339"/>
      <c r="BI2112" s="339"/>
      <c r="BJ2112" s="339"/>
      <c r="BK2112" s="339"/>
      <c r="BL2112" s="339"/>
      <c r="BM2112" s="339"/>
      <c r="BN2112" s="339"/>
      <c r="BO2112" s="339"/>
      <c r="BP2112" s="339"/>
      <c r="BQ2112" s="339"/>
      <c r="BR2112" s="339"/>
      <c r="BS2112" s="339"/>
      <c r="BT2112" s="339"/>
      <c r="BU2112" s="339"/>
      <c r="BV2112" s="339"/>
      <c r="BW2112" s="339"/>
      <c r="BX2112" s="339"/>
      <c r="BY2112" s="339"/>
      <c r="BZ2112" s="339"/>
      <c r="CA2112" s="339"/>
      <c r="CB2112" s="339"/>
      <c r="CC2112" s="339"/>
      <c r="CD2112" s="339"/>
      <c r="CE2112" s="339"/>
      <c r="CF2112" s="339"/>
      <c r="CG2112" s="339"/>
      <c r="CH2112" s="339"/>
      <c r="CI2112" s="339"/>
      <c r="CJ2112" s="339"/>
      <c r="CK2112" s="339"/>
      <c r="CL2112" s="339"/>
      <c r="CM2112" s="339"/>
      <c r="CN2112" s="339"/>
      <c r="CO2112" s="339"/>
      <c r="CP2112" s="339"/>
      <c r="CQ2112" s="339"/>
      <c r="CR2112" s="339"/>
      <c r="CS2112" s="339"/>
      <c r="CT2112" s="339"/>
      <c r="CU2112" s="339"/>
      <c r="CV2112" s="339"/>
      <c r="CW2112" s="339"/>
      <c r="CX2112" s="339"/>
      <c r="CY2112" s="339"/>
      <c r="CZ2112" s="339"/>
      <c r="DA2112" s="339"/>
      <c r="DB2112" s="339"/>
      <c r="DC2112" s="339"/>
      <c r="DD2112" s="339"/>
      <c r="DE2112" s="339"/>
      <c r="DF2112" s="339"/>
      <c r="DG2112" s="339"/>
      <c r="DH2112" s="339"/>
    </row>
    <row r="2113">
      <c r="A2113" s="41">
        <v>2113.0</v>
      </c>
      <c r="B2113" s="53" t="s">
        <v>145</v>
      </c>
      <c r="C2113" s="338" t="s">
        <v>108</v>
      </c>
      <c r="D2113" s="338" t="s">
        <v>146</v>
      </c>
      <c r="E2113" s="339"/>
      <c r="F2113" s="53" t="s">
        <v>12921</v>
      </c>
      <c r="G2113" s="53" t="s">
        <v>12941</v>
      </c>
      <c r="H2113" s="340" t="s">
        <v>8522</v>
      </c>
      <c r="I2113" s="344" t="s">
        <v>8523</v>
      </c>
      <c r="J2113" s="43"/>
      <c r="K2113" s="340" t="s">
        <v>12942</v>
      </c>
      <c r="L2113" s="53" t="s">
        <v>12926</v>
      </c>
      <c r="M2113" s="53" t="s">
        <v>12927</v>
      </c>
      <c r="N2113" s="53" t="s">
        <v>12928</v>
      </c>
      <c r="O2113" s="382"/>
      <c r="P2113" s="340" t="s">
        <v>12929</v>
      </c>
      <c r="Q2113" s="49" t="str">
        <f t="array" ref="Q2113"> if(iserror(MATCH(V2113, 'File Links'!C:C, 0)), "N/A", HYPERLINK(INDEX('File Links'!B:B, MATCH(P2113, 'File Links'!C:C, 0))))</f>
        <v>https://drive.google.com/file/d/1vaJaM70la8WjjudMF5sP3NGFuj_0wy9h/view?usp=drivesdk</v>
      </c>
      <c r="R2113" s="1689" t="s">
        <v>12930</v>
      </c>
      <c r="S2113" s="53" t="s">
        <v>12931</v>
      </c>
      <c r="T2113" s="1791"/>
      <c r="U2113" s="382"/>
      <c r="V2113" s="340" t="s">
        <v>12932</v>
      </c>
      <c r="W2113" s="340" t="s">
        <v>12943</v>
      </c>
      <c r="X2113" s="51" t="str">
        <f t="array" ref="X2113"> if(iserror(MATCH(V2113, 'File Links'!C:C, 0)), "N/A", HYPERLINK(INDEX('File Links'!B:B, MATCH(V2113, 'File Links'!C:C, 0))))</f>
        <v>https://drive.google.com/file/d/1rBJAGWTtBimqdJkF-7AeLyVrGIG8EBnW/view?usp=drivesdk</v>
      </c>
      <c r="Y2113" s="43"/>
      <c r="Z2113" s="340" t="s">
        <v>12934</v>
      </c>
      <c r="AA2113" s="53" t="s">
        <v>12944</v>
      </c>
      <c r="AB2113" s="340" t="s">
        <v>12945</v>
      </c>
      <c r="AC2113" s="340" t="s">
        <v>12946</v>
      </c>
      <c r="AD2113" s="340" t="s">
        <v>12947</v>
      </c>
      <c r="AE2113" s="340">
        <v>6.0</v>
      </c>
      <c r="AF2113" s="344">
        <v>651.0</v>
      </c>
      <c r="AG2113" s="344">
        <v>0.352</v>
      </c>
      <c r="AH2113" s="156" t="s">
        <v>715</v>
      </c>
      <c r="AI2113" s="340" t="s">
        <v>133</v>
      </c>
      <c r="AJ2113" s="344">
        <v>0.054</v>
      </c>
      <c r="AK2113" s="340" t="s">
        <v>165</v>
      </c>
      <c r="AL2113" s="340" t="s">
        <v>129</v>
      </c>
      <c r="AM2113" s="53" t="s">
        <v>130</v>
      </c>
      <c r="AN2113" s="497" t="s">
        <v>131</v>
      </c>
      <c r="AO2113" s="344">
        <v>954.0</v>
      </c>
      <c r="AP2113" s="344" t="s">
        <v>12948</v>
      </c>
      <c r="AQ2113" s="340" t="s">
        <v>127</v>
      </c>
      <c r="AR2113" s="340" t="s">
        <v>133</v>
      </c>
      <c r="AS2113" s="344">
        <v>0.256</v>
      </c>
      <c r="AT2113" s="340" t="s">
        <v>165</v>
      </c>
      <c r="AU2113" s="340" t="s">
        <v>129</v>
      </c>
      <c r="AV2113" s="53" t="s">
        <v>130</v>
      </c>
      <c r="AW2113" s="1691" t="s">
        <v>12940</v>
      </c>
      <c r="AX2113" s="53" t="s">
        <v>136</v>
      </c>
      <c r="AY2113" s="338" t="s">
        <v>12949</v>
      </c>
      <c r="AZ2113" s="338" t="s">
        <v>8392</v>
      </c>
      <c r="BA2113" s="339"/>
      <c r="BB2113" s="339"/>
      <c r="BC2113" s="339"/>
      <c r="BD2113" s="339"/>
      <c r="BE2113" s="339"/>
      <c r="BF2113" s="339"/>
      <c r="BG2113" s="339"/>
      <c r="BH2113" s="339"/>
      <c r="BI2113" s="339"/>
      <c r="BJ2113" s="339"/>
      <c r="BK2113" s="339"/>
      <c r="BL2113" s="339"/>
      <c r="BM2113" s="339"/>
      <c r="BN2113" s="339"/>
      <c r="BO2113" s="339"/>
      <c r="BP2113" s="339"/>
      <c r="BQ2113" s="339"/>
      <c r="BR2113" s="339"/>
      <c r="BS2113" s="339"/>
      <c r="BT2113" s="339"/>
      <c r="BU2113" s="339"/>
      <c r="BV2113" s="339"/>
      <c r="BW2113" s="339"/>
      <c r="BX2113" s="339"/>
      <c r="BY2113" s="339"/>
      <c r="BZ2113" s="339"/>
      <c r="CA2113" s="339"/>
      <c r="CB2113" s="339"/>
      <c r="CC2113" s="339"/>
      <c r="CD2113" s="339"/>
      <c r="CE2113" s="339"/>
      <c r="CF2113" s="339"/>
      <c r="CG2113" s="339"/>
      <c r="CH2113" s="339"/>
      <c r="CI2113" s="339"/>
      <c r="CJ2113" s="339"/>
      <c r="CK2113" s="339"/>
      <c r="CL2113" s="339"/>
      <c r="CM2113" s="339"/>
      <c r="CN2113" s="339"/>
      <c r="CO2113" s="339"/>
      <c r="CP2113" s="339"/>
      <c r="CQ2113" s="339"/>
      <c r="CR2113" s="339"/>
      <c r="CS2113" s="339"/>
      <c r="CT2113" s="339"/>
      <c r="CU2113" s="339"/>
      <c r="CV2113" s="339"/>
      <c r="CW2113" s="339"/>
      <c r="CX2113" s="339"/>
      <c r="CY2113" s="339"/>
      <c r="CZ2113" s="339"/>
      <c r="DA2113" s="339"/>
      <c r="DB2113" s="339"/>
      <c r="DC2113" s="339"/>
      <c r="DD2113" s="339"/>
      <c r="DE2113" s="339"/>
      <c r="DF2113" s="339"/>
      <c r="DG2113" s="339"/>
      <c r="DH2113" s="339"/>
    </row>
    <row r="2114">
      <c r="A2114" s="41">
        <v>2114.0</v>
      </c>
      <c r="B2114" s="53" t="s">
        <v>145</v>
      </c>
      <c r="C2114" s="338" t="s">
        <v>108</v>
      </c>
      <c r="D2114" s="338" t="s">
        <v>146</v>
      </c>
      <c r="E2114" s="339"/>
      <c r="F2114" s="53" t="s">
        <v>12921</v>
      </c>
      <c r="G2114" s="53" t="s">
        <v>12950</v>
      </c>
      <c r="H2114" s="340" t="s">
        <v>8522</v>
      </c>
      <c r="I2114" s="344" t="s">
        <v>8523</v>
      </c>
      <c r="J2114" s="43"/>
      <c r="K2114" s="340" t="s">
        <v>12951</v>
      </c>
      <c r="L2114" s="53" t="s">
        <v>12926</v>
      </c>
      <c r="M2114" s="53" t="s">
        <v>12927</v>
      </c>
      <c r="N2114" s="53" t="s">
        <v>12928</v>
      </c>
      <c r="O2114" s="382"/>
      <c r="P2114" s="340" t="s">
        <v>12929</v>
      </c>
      <c r="Q2114" s="49" t="str">
        <f t="array" ref="Q2114"> if(iserror(MATCH(V2114, 'File Links'!C:C, 0)), "N/A", HYPERLINK(INDEX('File Links'!B:B, MATCH(P2114, 'File Links'!C:C, 0))))</f>
        <v>https://drive.google.com/file/d/1vaJaM70la8WjjudMF5sP3NGFuj_0wy9h/view?usp=drivesdk</v>
      </c>
      <c r="R2114" s="1689" t="s">
        <v>12930</v>
      </c>
      <c r="S2114" s="53" t="s">
        <v>12931</v>
      </c>
      <c r="T2114" s="1791"/>
      <c r="U2114" s="382"/>
      <c r="V2114" s="340" t="s">
        <v>12932</v>
      </c>
      <c r="W2114" s="340" t="s">
        <v>12943</v>
      </c>
      <c r="X2114" s="51" t="str">
        <f t="array" ref="X2114"> if(iserror(MATCH(V2114, 'File Links'!C:C, 0)), "N/A", HYPERLINK(INDEX('File Links'!B:B, MATCH(V2114, 'File Links'!C:C, 0))))</f>
        <v>https://drive.google.com/file/d/1rBJAGWTtBimqdJkF-7AeLyVrGIG8EBnW/view?usp=drivesdk</v>
      </c>
      <c r="Y2114" s="43"/>
      <c r="Z2114" s="340" t="s">
        <v>12934</v>
      </c>
      <c r="AA2114" s="53" t="s">
        <v>12944</v>
      </c>
      <c r="AB2114" s="340" t="s">
        <v>12945</v>
      </c>
      <c r="AC2114" s="340" t="s">
        <v>12952</v>
      </c>
      <c r="AD2114" s="340" t="s">
        <v>12953</v>
      </c>
      <c r="AE2114" s="340">
        <v>7.0</v>
      </c>
      <c r="AF2114" s="344">
        <v>651.0</v>
      </c>
      <c r="AG2114" s="344">
        <v>0.167</v>
      </c>
      <c r="AH2114" s="156" t="s">
        <v>715</v>
      </c>
      <c r="AI2114" s="340" t="s">
        <v>125</v>
      </c>
      <c r="AJ2114" s="344" t="s">
        <v>131</v>
      </c>
      <c r="AK2114" s="357"/>
      <c r="AL2114" s="357"/>
      <c r="AM2114" s="53" t="s">
        <v>130</v>
      </c>
      <c r="AN2114" s="497" t="s">
        <v>131</v>
      </c>
      <c r="AO2114" s="344">
        <v>954.0</v>
      </c>
      <c r="AP2114" s="344" t="s">
        <v>12954</v>
      </c>
      <c r="AQ2114" s="340" t="s">
        <v>127</v>
      </c>
      <c r="AR2114" s="340" t="s">
        <v>843</v>
      </c>
      <c r="AS2114" s="344">
        <v>0.033</v>
      </c>
      <c r="AT2114" s="340" t="s">
        <v>165</v>
      </c>
      <c r="AU2114" s="340" t="s">
        <v>129</v>
      </c>
      <c r="AV2114" s="53" t="s">
        <v>130</v>
      </c>
      <c r="AW2114" s="1691" t="s">
        <v>12940</v>
      </c>
      <c r="AX2114" s="53" t="s">
        <v>136</v>
      </c>
      <c r="AY2114" s="338" t="s">
        <v>12949</v>
      </c>
      <c r="AZ2114" s="338" t="s">
        <v>685</v>
      </c>
      <c r="BA2114" s="339"/>
      <c r="BB2114" s="339"/>
      <c r="BC2114" s="339"/>
      <c r="BD2114" s="339"/>
      <c r="BE2114" s="339"/>
      <c r="BF2114" s="339"/>
      <c r="BG2114" s="339"/>
      <c r="BH2114" s="339"/>
      <c r="BI2114" s="339"/>
      <c r="BJ2114" s="339"/>
      <c r="BK2114" s="339"/>
      <c r="BL2114" s="339"/>
      <c r="BM2114" s="339"/>
      <c r="BN2114" s="339"/>
      <c r="BO2114" s="339"/>
      <c r="BP2114" s="339"/>
      <c r="BQ2114" s="339"/>
      <c r="BR2114" s="339"/>
      <c r="BS2114" s="339"/>
      <c r="BT2114" s="339"/>
      <c r="BU2114" s="339"/>
      <c r="BV2114" s="339"/>
      <c r="BW2114" s="339"/>
      <c r="BX2114" s="339"/>
      <c r="BY2114" s="339"/>
      <c r="BZ2114" s="339"/>
      <c r="CA2114" s="339"/>
      <c r="CB2114" s="339"/>
      <c r="CC2114" s="339"/>
      <c r="CD2114" s="339"/>
      <c r="CE2114" s="339"/>
      <c r="CF2114" s="339"/>
      <c r="CG2114" s="339"/>
      <c r="CH2114" s="339"/>
      <c r="CI2114" s="339"/>
      <c r="CJ2114" s="339"/>
      <c r="CK2114" s="339"/>
      <c r="CL2114" s="339"/>
      <c r="CM2114" s="339"/>
      <c r="CN2114" s="339"/>
      <c r="CO2114" s="339"/>
      <c r="CP2114" s="339"/>
      <c r="CQ2114" s="339"/>
      <c r="CR2114" s="339"/>
      <c r="CS2114" s="339"/>
      <c r="CT2114" s="339"/>
      <c r="CU2114" s="339"/>
      <c r="CV2114" s="339"/>
      <c r="CW2114" s="339"/>
      <c r="CX2114" s="339"/>
      <c r="CY2114" s="339"/>
      <c r="CZ2114" s="339"/>
      <c r="DA2114" s="339"/>
      <c r="DB2114" s="339"/>
      <c r="DC2114" s="339"/>
      <c r="DD2114" s="339"/>
      <c r="DE2114" s="339"/>
      <c r="DF2114" s="339"/>
      <c r="DG2114" s="339"/>
      <c r="DH2114" s="339"/>
    </row>
    <row r="2115">
      <c r="A2115" s="41">
        <v>2115.0</v>
      </c>
      <c r="B2115" s="53" t="s">
        <v>107</v>
      </c>
      <c r="C2115" s="338" t="s">
        <v>108</v>
      </c>
      <c r="D2115" s="338" t="s">
        <v>1434</v>
      </c>
      <c r="E2115" s="339"/>
      <c r="F2115" s="43" t="s">
        <v>12955</v>
      </c>
      <c r="G2115" s="357" t="s">
        <v>12956</v>
      </c>
      <c r="H2115" s="357" t="s">
        <v>12957</v>
      </c>
      <c r="I2115" s="1684" t="s">
        <v>12958</v>
      </c>
      <c r="J2115" s="341">
        <v>45712.0</v>
      </c>
      <c r="K2115" s="357" t="s">
        <v>12959</v>
      </c>
      <c r="L2115" s="357" t="s">
        <v>12960</v>
      </c>
      <c r="M2115" s="357" t="s">
        <v>12961</v>
      </c>
      <c r="N2115" s="357" t="s">
        <v>12962</v>
      </c>
      <c r="O2115" s="354">
        <v>2.0</v>
      </c>
      <c r="P2115" s="357" t="s">
        <v>12963</v>
      </c>
      <c r="Q2115" s="49" t="str">
        <f t="array" ref="Q2115"> if(iserror(MATCH(V2115, 'File Links'!C:C, 0)), "N/A", HYPERLINK(INDEX('File Links'!B:B, MATCH(P2115, 'File Links'!C:C, 0))))</f>
        <v>https://drive.google.com/file/d/11jqeGWUpUh79pKFzwZ3T_bBagRuPGFCi/view?usp=drivesdk</v>
      </c>
      <c r="R2115" s="357" t="s">
        <v>12964</v>
      </c>
      <c r="S2115" s="357" t="s">
        <v>12965</v>
      </c>
      <c r="T2115" s="43"/>
      <c r="U2115" s="382">
        <v>1.0</v>
      </c>
      <c r="V2115" s="357" t="s">
        <v>12966</v>
      </c>
      <c r="W2115" s="357" t="s">
        <v>12967</v>
      </c>
      <c r="X2115" s="51" t="str">
        <f t="array" ref="X2115"> if(iserror(MATCH(V2115, 'File Links'!C:C, 0)), "N/A", HYPERLINK(INDEX('File Links'!B:B, MATCH(V2115, 'File Links'!C:C, 0))))</f>
        <v>https://drive.google.com/file/d/1tBea1xcrmrgSGVymZfDDDZH7SLB5aF-6/view?usp=drivesdk</v>
      </c>
      <c r="Y2115" s="43"/>
      <c r="Z2115" s="357" t="s">
        <v>12703</v>
      </c>
      <c r="AA2115" s="357" t="s">
        <v>12968</v>
      </c>
      <c r="AB2115" s="43" t="s">
        <v>12969</v>
      </c>
      <c r="AC2115" s="43" t="s">
        <v>12970</v>
      </c>
      <c r="AD2115" s="357" t="s">
        <v>12971</v>
      </c>
      <c r="AE2115" s="354">
        <v>4.0</v>
      </c>
      <c r="AF2115" s="354">
        <v>50.0</v>
      </c>
      <c r="AG2115" s="357" t="s">
        <v>12972</v>
      </c>
      <c r="AH2115" s="357" t="s">
        <v>127</v>
      </c>
      <c r="AI2115" s="357" t="s">
        <v>843</v>
      </c>
      <c r="AJ2115" s="354">
        <v>0.015</v>
      </c>
      <c r="AK2115" s="357" t="s">
        <v>165</v>
      </c>
      <c r="AL2115" s="357" t="s">
        <v>179</v>
      </c>
      <c r="AM2115" s="357" t="s">
        <v>134</v>
      </c>
      <c r="AN2115" s="43" t="s">
        <v>131</v>
      </c>
      <c r="AO2115" s="354">
        <v>1340.0</v>
      </c>
      <c r="AP2115" s="354">
        <v>0.12</v>
      </c>
      <c r="AQ2115" s="357" t="s">
        <v>595</v>
      </c>
      <c r="AR2115" s="357" t="s">
        <v>125</v>
      </c>
      <c r="AS2115" s="354">
        <v>0.002</v>
      </c>
      <c r="AT2115" s="357" t="s">
        <v>165</v>
      </c>
      <c r="AU2115" s="357" t="s">
        <v>129</v>
      </c>
      <c r="AV2115" s="357" t="s">
        <v>134</v>
      </c>
      <c r="AW2115" s="56" t="s">
        <v>12973</v>
      </c>
      <c r="AX2115" s="357" t="s">
        <v>431</v>
      </c>
      <c r="AY2115" s="43"/>
      <c r="AZ2115" s="338" t="s">
        <v>8392</v>
      </c>
      <c r="BA2115" s="339"/>
      <c r="BB2115" s="339"/>
      <c r="BC2115" s="339"/>
      <c r="BD2115" s="339"/>
      <c r="BE2115" s="339"/>
      <c r="BF2115" s="339"/>
      <c r="BG2115" s="339"/>
      <c r="BH2115" s="339"/>
      <c r="BI2115" s="339"/>
      <c r="BJ2115" s="339"/>
      <c r="BK2115" s="339"/>
      <c r="BL2115" s="339"/>
      <c r="BM2115" s="339"/>
      <c r="BN2115" s="339"/>
      <c r="BO2115" s="339"/>
      <c r="BP2115" s="339"/>
      <c r="BQ2115" s="339"/>
      <c r="BR2115" s="339"/>
      <c r="BS2115" s="339"/>
      <c r="BT2115" s="339"/>
      <c r="BU2115" s="339"/>
      <c r="BV2115" s="339"/>
      <c r="BW2115" s="339"/>
      <c r="BX2115" s="339"/>
      <c r="BY2115" s="339"/>
      <c r="BZ2115" s="339"/>
      <c r="CA2115" s="339"/>
      <c r="CB2115" s="339"/>
      <c r="CC2115" s="339"/>
      <c r="CD2115" s="339"/>
      <c r="CE2115" s="339"/>
      <c r="CF2115" s="339"/>
      <c r="CG2115" s="339"/>
      <c r="CH2115" s="339"/>
      <c r="CI2115" s="339"/>
      <c r="CJ2115" s="339"/>
      <c r="CK2115" s="339"/>
      <c r="CL2115" s="339"/>
      <c r="CM2115" s="339"/>
      <c r="CN2115" s="339"/>
      <c r="CO2115" s="339"/>
      <c r="CP2115" s="339"/>
      <c r="CQ2115" s="339"/>
      <c r="CR2115" s="339"/>
      <c r="CS2115" s="339"/>
      <c r="CT2115" s="339"/>
      <c r="CU2115" s="339"/>
      <c r="CV2115" s="339"/>
      <c r="CW2115" s="339"/>
      <c r="CX2115" s="339"/>
      <c r="CY2115" s="339"/>
      <c r="CZ2115" s="339"/>
      <c r="DA2115" s="339"/>
      <c r="DB2115" s="339"/>
      <c r="DC2115" s="339"/>
      <c r="DD2115" s="339"/>
      <c r="DE2115" s="339"/>
      <c r="DF2115" s="339"/>
      <c r="DG2115" s="339"/>
      <c r="DH2115" s="339"/>
    </row>
    <row r="2116">
      <c r="A2116" s="41">
        <v>2116.0</v>
      </c>
      <c r="B2116" s="53" t="s">
        <v>145</v>
      </c>
      <c r="C2116" s="338" t="s">
        <v>108</v>
      </c>
      <c r="D2116" s="338" t="s">
        <v>146</v>
      </c>
      <c r="E2116" s="339"/>
      <c r="F2116" s="53" t="s">
        <v>12955</v>
      </c>
      <c r="G2116" s="53" t="s">
        <v>12974</v>
      </c>
      <c r="H2116" s="340" t="s">
        <v>8522</v>
      </c>
      <c r="I2116" s="344" t="s">
        <v>8523</v>
      </c>
      <c r="J2116" s="43"/>
      <c r="K2116" s="340" t="s">
        <v>12975</v>
      </c>
      <c r="L2116" s="53" t="s">
        <v>12960</v>
      </c>
      <c r="M2116" s="53" t="s">
        <v>12961</v>
      </c>
      <c r="N2116" s="53" t="s">
        <v>12962</v>
      </c>
      <c r="O2116" s="52">
        <v>2.0</v>
      </c>
      <c r="P2116" s="340" t="s">
        <v>12963</v>
      </c>
      <c r="Q2116" s="49" t="str">
        <f t="array" ref="Q2116"> if(iserror(MATCH(V2116, 'File Links'!C:C, 0)), "N/A", HYPERLINK(INDEX('File Links'!B:B, MATCH(P2116, 'File Links'!C:C, 0))))</f>
        <v>https://drive.google.com/file/d/11jqeGWUpUh79pKFzwZ3T_bBagRuPGFCi/view?usp=drivesdk</v>
      </c>
      <c r="R2116" s="1689" t="s">
        <v>12964</v>
      </c>
      <c r="S2116" s="53" t="s">
        <v>12965</v>
      </c>
      <c r="T2116" s="1791"/>
      <c r="U2116" s="1953">
        <v>1.0</v>
      </c>
      <c r="V2116" s="340" t="s">
        <v>12966</v>
      </c>
      <c r="W2116" s="340" t="s">
        <v>3719</v>
      </c>
      <c r="X2116" s="51" t="str">
        <f t="array" ref="X2116"> if(iserror(MATCH(V2116, 'File Links'!C:C, 0)), "N/A", HYPERLINK(INDEX('File Links'!B:B, MATCH(V2116, 'File Links'!C:C, 0))))</f>
        <v>https://drive.google.com/file/d/1tBea1xcrmrgSGVymZfDDDZH7SLB5aF-6/view?usp=drivesdk</v>
      </c>
      <c r="Y2116" s="43"/>
      <c r="Z2116" s="340" t="s">
        <v>12703</v>
      </c>
      <c r="AA2116" s="53" t="s">
        <v>11973</v>
      </c>
      <c r="AB2116" s="340" t="s">
        <v>12976</v>
      </c>
      <c r="AC2116" s="340" t="s">
        <v>12977</v>
      </c>
      <c r="AD2116" s="340" t="s">
        <v>12978</v>
      </c>
      <c r="AE2116" s="340">
        <v>4.0</v>
      </c>
      <c r="AF2116" s="344">
        <v>50.0</v>
      </c>
      <c r="AG2116" s="344" t="s">
        <v>12979</v>
      </c>
      <c r="AH2116" s="340" t="s">
        <v>127</v>
      </c>
      <c r="AI2116" s="340" t="s">
        <v>843</v>
      </c>
      <c r="AJ2116" s="344">
        <v>0.03</v>
      </c>
      <c r="AK2116" s="340" t="s">
        <v>165</v>
      </c>
      <c r="AL2116" s="340" t="s">
        <v>179</v>
      </c>
      <c r="AM2116" s="53" t="s">
        <v>130</v>
      </c>
      <c r="AN2116" s="497" t="s">
        <v>131</v>
      </c>
      <c r="AO2116" s="344">
        <v>1340.0</v>
      </c>
      <c r="AP2116" s="344">
        <v>0.12</v>
      </c>
      <c r="AQ2116" s="340" t="s">
        <v>595</v>
      </c>
      <c r="AR2116" s="340" t="s">
        <v>125</v>
      </c>
      <c r="AS2116" s="344">
        <v>0.002</v>
      </c>
      <c r="AT2116" s="340" t="s">
        <v>165</v>
      </c>
      <c r="AU2116" s="340" t="s">
        <v>179</v>
      </c>
      <c r="AV2116" s="53" t="s">
        <v>130</v>
      </c>
      <c r="AW2116" s="1691" t="s">
        <v>12980</v>
      </c>
      <c r="AX2116" s="53" t="s">
        <v>136</v>
      </c>
      <c r="AY2116" s="339"/>
      <c r="AZ2116" s="338" t="s">
        <v>685</v>
      </c>
      <c r="BA2116" s="339"/>
      <c r="BB2116" s="339"/>
      <c r="BC2116" s="339"/>
      <c r="BD2116" s="339"/>
      <c r="BE2116" s="339"/>
      <c r="BF2116" s="339"/>
      <c r="BG2116" s="339"/>
      <c r="BH2116" s="339"/>
      <c r="BI2116" s="339"/>
      <c r="BJ2116" s="339"/>
      <c r="BK2116" s="339"/>
      <c r="BL2116" s="339"/>
      <c r="BM2116" s="339"/>
      <c r="BN2116" s="339"/>
      <c r="BO2116" s="339"/>
      <c r="BP2116" s="339"/>
      <c r="BQ2116" s="339"/>
      <c r="BR2116" s="339"/>
      <c r="BS2116" s="339"/>
      <c r="BT2116" s="339"/>
      <c r="BU2116" s="339"/>
      <c r="BV2116" s="339"/>
      <c r="BW2116" s="339"/>
      <c r="BX2116" s="339"/>
      <c r="BY2116" s="339"/>
      <c r="BZ2116" s="339"/>
      <c r="CA2116" s="339"/>
      <c r="CB2116" s="339"/>
      <c r="CC2116" s="339"/>
      <c r="CD2116" s="339"/>
      <c r="CE2116" s="339"/>
      <c r="CF2116" s="339"/>
      <c r="CG2116" s="339"/>
      <c r="CH2116" s="339"/>
      <c r="CI2116" s="339"/>
      <c r="CJ2116" s="339"/>
      <c r="CK2116" s="339"/>
      <c r="CL2116" s="339"/>
      <c r="CM2116" s="339"/>
      <c r="CN2116" s="339"/>
      <c r="CO2116" s="339"/>
      <c r="CP2116" s="339"/>
      <c r="CQ2116" s="339"/>
      <c r="CR2116" s="339"/>
      <c r="CS2116" s="339"/>
      <c r="CT2116" s="339"/>
      <c r="CU2116" s="339"/>
      <c r="CV2116" s="339"/>
      <c r="CW2116" s="339"/>
      <c r="CX2116" s="339"/>
      <c r="CY2116" s="339"/>
      <c r="CZ2116" s="339"/>
      <c r="DA2116" s="339"/>
      <c r="DB2116" s="339"/>
      <c r="DC2116" s="339"/>
      <c r="DD2116" s="339"/>
      <c r="DE2116" s="339"/>
      <c r="DF2116" s="339"/>
      <c r="DG2116" s="339"/>
      <c r="DH2116" s="339"/>
    </row>
    <row r="2117">
      <c r="A2117" s="41">
        <v>2117.0</v>
      </c>
      <c r="B2117" s="126" t="s">
        <v>107</v>
      </c>
      <c r="C2117" s="59" t="s">
        <v>108</v>
      </c>
      <c r="D2117" s="59" t="s">
        <v>1227</v>
      </c>
      <c r="F2117" s="65" t="s">
        <v>12981</v>
      </c>
      <c r="G2117" s="156" t="s">
        <v>12982</v>
      </c>
      <c r="H2117" s="156" t="s">
        <v>12983</v>
      </c>
      <c r="I2117" s="1284" t="s">
        <v>12958</v>
      </c>
      <c r="J2117" s="1534">
        <v>45762.0</v>
      </c>
      <c r="K2117" s="156" t="s">
        <v>12984</v>
      </c>
      <c r="L2117" s="126" t="s">
        <v>12985</v>
      </c>
      <c r="M2117" s="148" t="s">
        <v>12986</v>
      </c>
      <c r="N2117" s="156" t="s">
        <v>12987</v>
      </c>
      <c r="O2117" s="1348">
        <v>3.0</v>
      </c>
      <c r="P2117" s="379" t="s">
        <v>12988</v>
      </c>
      <c r="Q2117" s="49" t="str">
        <f t="array" ref="Q2117"> if(iserror(MATCH(V2117, 'File Links'!C:C, 0)), "N/A", HYPERLINK(INDEX('File Links'!B:B, MATCH(P2117, 'File Links'!C:C, 0))))</f>
        <v>https://drive.google.com/file/d/1xWbz_w1r9P1BGfJ_vctcFlsqK4cuVLq_/view?usp=drivesdk</v>
      </c>
      <c r="R2117" s="156" t="s">
        <v>12989</v>
      </c>
      <c r="S2117" s="156" t="s">
        <v>12990</v>
      </c>
      <c r="T2117" s="156" t="s">
        <v>131</v>
      </c>
      <c r="U2117" s="153">
        <v>1.0</v>
      </c>
      <c r="V2117" s="379" t="s">
        <v>12991</v>
      </c>
      <c r="W2117" s="156" t="s">
        <v>12992</v>
      </c>
      <c r="X2117" s="51" t="str">
        <f t="array" ref="X2117"> if(iserror(MATCH(V2117, 'File Links'!C:C, 0)), "N/A", HYPERLINK(INDEX('File Links'!B:B, MATCH(V2117, 'File Links'!C:C, 0))))</f>
        <v>https://drive.google.com/file/d/1yMYVS-DUlP_U3zcoWL7wKPwZrYzyiImV/view?usp=drivesdk</v>
      </c>
      <c r="Y2117" s="156"/>
      <c r="Z2117" s="156" t="s">
        <v>219</v>
      </c>
      <c r="AA2117" s="156" t="s">
        <v>12993</v>
      </c>
      <c r="AB2117" s="156" t="s">
        <v>12994</v>
      </c>
      <c r="AC2117" s="156" t="s">
        <v>12995</v>
      </c>
      <c r="AD2117" s="156" t="s">
        <v>12996</v>
      </c>
      <c r="AE2117" s="153">
        <v>9.0</v>
      </c>
      <c r="AF2117" s="153">
        <v>72.0</v>
      </c>
      <c r="AG2117" s="156" t="s">
        <v>131</v>
      </c>
      <c r="AH2117" s="164" t="s">
        <v>131</v>
      </c>
      <c r="AI2117" s="156" t="s">
        <v>131</v>
      </c>
      <c r="AJ2117" s="861">
        <v>0.001</v>
      </c>
      <c r="AK2117" s="156" t="s">
        <v>128</v>
      </c>
      <c r="AL2117" s="156" t="s">
        <v>129</v>
      </c>
      <c r="AM2117" s="156" t="s">
        <v>134</v>
      </c>
      <c r="AN2117" s="65" t="s">
        <v>131</v>
      </c>
      <c r="AO2117" s="153">
        <v>295.0</v>
      </c>
      <c r="AP2117" s="861">
        <v>0.96</v>
      </c>
      <c r="AQ2117" s="156" t="s">
        <v>166</v>
      </c>
      <c r="AR2117" s="156" t="s">
        <v>12997</v>
      </c>
      <c r="AS2117" s="861">
        <v>0.001</v>
      </c>
      <c r="AT2117" s="156" t="s">
        <v>128</v>
      </c>
      <c r="AU2117" s="156" t="s">
        <v>129</v>
      </c>
      <c r="AV2117" s="156" t="s">
        <v>134</v>
      </c>
      <c r="AW2117" s="1954" t="s">
        <v>12998</v>
      </c>
      <c r="AX2117" s="156" t="s">
        <v>144</v>
      </c>
      <c r="AY2117" s="65"/>
      <c r="AZ2117" s="59" t="s">
        <v>5061</v>
      </c>
    </row>
    <row r="2118">
      <c r="A2118" s="41">
        <v>2118.0</v>
      </c>
      <c r="B2118" s="126" t="s">
        <v>145</v>
      </c>
      <c r="C2118" s="59" t="s">
        <v>108</v>
      </c>
      <c r="D2118" s="59" t="s">
        <v>1451</v>
      </c>
      <c r="F2118" s="65" t="s">
        <v>12981</v>
      </c>
      <c r="G2118" s="156" t="s">
        <v>12982</v>
      </c>
      <c r="H2118" s="156" t="s">
        <v>1511</v>
      </c>
      <c r="I2118" s="1284" t="s">
        <v>12958</v>
      </c>
      <c r="J2118" s="1534">
        <v>45762.0</v>
      </c>
      <c r="K2118" s="156" t="s">
        <v>12999</v>
      </c>
      <c r="L2118" s="65"/>
      <c r="M2118" s="148" t="s">
        <v>12986</v>
      </c>
      <c r="N2118" s="156" t="s">
        <v>12987</v>
      </c>
      <c r="O2118" s="158">
        <v>3.0</v>
      </c>
      <c r="P2118" s="379" t="s">
        <v>12988</v>
      </c>
      <c r="Q2118" s="49" t="str">
        <f t="array" ref="Q2118"> if(iserror(MATCH(V2118, 'File Links'!C:C, 0)), "N/A", HYPERLINK(INDEX('File Links'!B:B, MATCH(P2118, 'File Links'!C:C, 0))))</f>
        <v>https://drive.google.com/file/d/1xWbz_w1r9P1BGfJ_vctcFlsqK4cuVLq_/view?usp=drivesdk</v>
      </c>
      <c r="R2118" s="156" t="s">
        <v>12989</v>
      </c>
      <c r="S2118" s="156" t="s">
        <v>12990</v>
      </c>
      <c r="T2118" s="156" t="s">
        <v>131</v>
      </c>
      <c r="U2118" s="153">
        <v>1.0</v>
      </c>
      <c r="V2118" s="379" t="s">
        <v>12991</v>
      </c>
      <c r="W2118" s="156" t="s">
        <v>2118</v>
      </c>
      <c r="X2118" s="51" t="str">
        <f t="array" ref="X2118"> if(iserror(MATCH(V2118, 'File Links'!C:C, 0)), "N/A", HYPERLINK(INDEX('File Links'!B:B, MATCH(V2118, 'File Links'!C:C, 0))))</f>
        <v>https://drive.google.com/file/d/1yMYVS-DUlP_U3zcoWL7wKPwZrYzyiImV/view?usp=drivesdk</v>
      </c>
      <c r="Y2118" s="156"/>
      <c r="Z2118" s="156" t="s">
        <v>219</v>
      </c>
      <c r="AA2118" s="156" t="s">
        <v>12993</v>
      </c>
      <c r="AB2118" s="148" t="s">
        <v>13000</v>
      </c>
      <c r="AC2118" s="156" t="s">
        <v>13001</v>
      </c>
      <c r="AD2118" s="148" t="s">
        <v>13002</v>
      </c>
      <c r="AE2118" s="153">
        <v>9.0</v>
      </c>
      <c r="AF2118" s="153">
        <v>72.0</v>
      </c>
      <c r="AG2118" s="1113" t="s">
        <v>13003</v>
      </c>
      <c r="AH2118" s="156" t="s">
        <v>127</v>
      </c>
      <c r="AI2118" s="156" t="s">
        <v>617</v>
      </c>
      <c r="AJ2118" s="1114">
        <v>0.55</v>
      </c>
      <c r="AK2118" s="65" t="s">
        <v>165</v>
      </c>
      <c r="AL2118" s="156" t="s">
        <v>179</v>
      </c>
      <c r="AM2118" s="156" t="s">
        <v>130</v>
      </c>
      <c r="AN2118" s="65" t="s">
        <v>131</v>
      </c>
      <c r="AO2118" s="153">
        <v>295.0</v>
      </c>
      <c r="AP2118" s="156" t="s">
        <v>13004</v>
      </c>
      <c r="AQ2118" s="156" t="s">
        <v>127</v>
      </c>
      <c r="AR2118" s="156" t="s">
        <v>4966</v>
      </c>
      <c r="AS2118" s="153">
        <v>0.001</v>
      </c>
      <c r="AT2118" s="156" t="s">
        <v>128</v>
      </c>
      <c r="AU2118" s="156" t="s">
        <v>179</v>
      </c>
      <c r="AV2118" s="156" t="s">
        <v>134</v>
      </c>
      <c r="AW2118" s="120" t="s">
        <v>13005</v>
      </c>
      <c r="AX2118" s="1112" t="s">
        <v>144</v>
      </c>
      <c r="AZ2118" s="59" t="s">
        <v>5061</v>
      </c>
    </row>
    <row r="2119">
      <c r="A2119" s="41">
        <v>2119.0</v>
      </c>
      <c r="B2119" s="126" t="s">
        <v>107</v>
      </c>
      <c r="C2119" s="59" t="s">
        <v>108</v>
      </c>
      <c r="D2119" s="59" t="s">
        <v>241</v>
      </c>
      <c r="F2119" s="65" t="s">
        <v>13006</v>
      </c>
      <c r="G2119" s="65" t="s">
        <v>13007</v>
      </c>
      <c r="H2119" s="65" t="s">
        <v>242</v>
      </c>
      <c r="I2119" s="526">
        <v>45714.0</v>
      </c>
      <c r="J2119" s="1534">
        <v>45762.0</v>
      </c>
      <c r="K2119" s="65" t="s">
        <v>13008</v>
      </c>
      <c r="L2119" s="126" t="s">
        <v>13009</v>
      </c>
      <c r="M2119" s="65" t="s">
        <v>13010</v>
      </c>
      <c r="N2119" s="65" t="s">
        <v>13011</v>
      </c>
      <c r="O2119" s="65" t="s">
        <v>13012</v>
      </c>
      <c r="P2119" s="570" t="s">
        <v>13013</v>
      </c>
      <c r="Q2119" s="49" t="str">
        <f t="array" ref="Q2119"> if(iserror(MATCH(V2119, 'File Links'!C:C, 0)), "N/A", HYPERLINK(INDEX('File Links'!B:B, MATCH(P2119, 'File Links'!C:C, 0))))</f>
        <v>https://drive.google.com/file/d/1OxFDVNyZI1frRjeq-YzZQaUFqgYur5QQ/view?usp=drivesdk</v>
      </c>
      <c r="R2119" s="65" t="s">
        <v>13014</v>
      </c>
      <c r="S2119" s="65" t="s">
        <v>13015</v>
      </c>
      <c r="T2119" s="65"/>
      <c r="U2119" s="333">
        <v>1.0</v>
      </c>
      <c r="V2119" s="570" t="s">
        <v>13016</v>
      </c>
      <c r="W2119" s="65" t="s">
        <v>131</v>
      </c>
      <c r="X2119" s="51" t="str">
        <f t="array" ref="X2119"> if(iserror(MATCH(V2119, 'File Links'!C:C, 0)), "N/A", HYPERLINK(INDEX('File Links'!B:B, MATCH(V2119, 'File Links'!C:C, 0))))</f>
        <v>https://drive.google.com/file/d/1Xoam7f13E5M2EddKf56QMnzGorZg_Rlu/view?usp=drivesdk</v>
      </c>
      <c r="Y2119" s="65"/>
      <c r="Z2119" s="65" t="s">
        <v>219</v>
      </c>
      <c r="AA2119" s="65" t="s">
        <v>131</v>
      </c>
      <c r="AB2119" s="65" t="s">
        <v>13017</v>
      </c>
      <c r="AC2119" s="65" t="s">
        <v>13018</v>
      </c>
      <c r="AD2119" s="65" t="s">
        <v>13019</v>
      </c>
      <c r="AE2119" s="333">
        <v>5.0</v>
      </c>
      <c r="AF2119" s="333">
        <v>601.0</v>
      </c>
      <c r="AG2119" s="333">
        <v>0.84</v>
      </c>
      <c r="AH2119" s="65" t="s">
        <v>166</v>
      </c>
      <c r="AI2119" s="65" t="s">
        <v>806</v>
      </c>
      <c r="AJ2119" s="333">
        <v>0.001</v>
      </c>
      <c r="AK2119" s="65" t="s">
        <v>128</v>
      </c>
      <c r="AL2119" s="65" t="s">
        <v>179</v>
      </c>
      <c r="AM2119" s="65" t="s">
        <v>134</v>
      </c>
      <c r="AN2119" s="65" t="s">
        <v>131</v>
      </c>
      <c r="AO2119" s="333">
        <v>446.0</v>
      </c>
      <c r="AP2119" s="333">
        <v>0.728</v>
      </c>
      <c r="AQ2119" s="65" t="s">
        <v>166</v>
      </c>
      <c r="AR2119" s="65" t="s">
        <v>298</v>
      </c>
      <c r="AS2119" s="333">
        <v>0.001</v>
      </c>
      <c r="AT2119" s="65" t="s">
        <v>128</v>
      </c>
      <c r="AU2119" s="65" t="s">
        <v>129</v>
      </c>
      <c r="AV2119" s="65" t="s">
        <v>134</v>
      </c>
      <c r="AW2119" s="1377" t="s">
        <v>13020</v>
      </c>
      <c r="AX2119" s="65" t="s">
        <v>431</v>
      </c>
      <c r="AZ2119" s="59" t="s">
        <v>5061</v>
      </c>
    </row>
    <row r="2120">
      <c r="A2120" s="41">
        <v>2120.0</v>
      </c>
      <c r="B2120" s="126" t="s">
        <v>145</v>
      </c>
      <c r="C2120" s="59" t="s">
        <v>108</v>
      </c>
      <c r="D2120" s="59" t="s">
        <v>138</v>
      </c>
      <c r="F2120" s="65" t="s">
        <v>13006</v>
      </c>
      <c r="G2120" s="65" t="s">
        <v>13007</v>
      </c>
      <c r="H2120" s="65" t="s">
        <v>13021</v>
      </c>
      <c r="I2120" s="526">
        <v>45713.0</v>
      </c>
      <c r="J2120" s="1534">
        <v>45762.0</v>
      </c>
      <c r="K2120" s="65"/>
      <c r="L2120" s="65" t="s">
        <v>13022</v>
      </c>
      <c r="M2120" s="65" t="s">
        <v>13010</v>
      </c>
      <c r="N2120" s="65" t="s">
        <v>13011</v>
      </c>
      <c r="O2120" s="65" t="s">
        <v>13023</v>
      </c>
      <c r="P2120" s="65" t="s">
        <v>13013</v>
      </c>
      <c r="Q2120" s="49" t="str">
        <f t="array" ref="Q2120"> if(iserror(MATCH(V2120, 'File Links'!C:C, 0)), "N/A", HYPERLINK(INDEX('File Links'!B:B, MATCH(P2120, 'File Links'!C:C, 0))))</f>
        <v>https://drive.google.com/file/d/1OxFDVNyZI1frRjeq-YzZQaUFqgYur5QQ/view?usp=drivesdk</v>
      </c>
      <c r="R2120" s="65" t="s">
        <v>13014</v>
      </c>
      <c r="S2120" s="65" t="s">
        <v>13015</v>
      </c>
      <c r="T2120" s="65"/>
      <c r="U2120" s="126">
        <v>2.0</v>
      </c>
      <c r="V2120" s="65" t="s">
        <v>13016</v>
      </c>
      <c r="W2120" s="65" t="s">
        <v>13024</v>
      </c>
      <c r="X2120" s="51" t="str">
        <f t="array" ref="X2120"> if(iserror(MATCH(V2120, 'File Links'!C:C, 0)), "N/A", HYPERLINK(INDEX('File Links'!B:B, MATCH(V2120, 'File Links'!C:C, 0))))</f>
        <v>https://drive.google.com/file/d/1Xoam7f13E5M2EddKf56QMnzGorZg_Rlu/view?usp=drivesdk</v>
      </c>
      <c r="Y2120" s="65"/>
      <c r="Z2120" s="65" t="s">
        <v>219</v>
      </c>
      <c r="AA2120" s="65" t="s">
        <v>13025</v>
      </c>
      <c r="AB2120" s="65" t="s">
        <v>13026</v>
      </c>
      <c r="AC2120" s="65" t="s">
        <v>13018</v>
      </c>
      <c r="AD2120" s="65" t="s">
        <v>13027</v>
      </c>
      <c r="AE2120" s="65" t="s">
        <v>5713</v>
      </c>
      <c r="AF2120" s="333">
        <v>601.0</v>
      </c>
      <c r="AG2120" s="333">
        <v>0.84</v>
      </c>
      <c r="AH2120" s="65" t="s">
        <v>166</v>
      </c>
      <c r="AI2120" s="1296" t="s">
        <v>806</v>
      </c>
      <c r="AJ2120" s="333">
        <v>0.001</v>
      </c>
      <c r="AK2120" s="65" t="s">
        <v>128</v>
      </c>
      <c r="AL2120" s="65" t="s">
        <v>179</v>
      </c>
      <c r="AM2120" s="65" t="s">
        <v>130</v>
      </c>
      <c r="AN2120" s="65" t="s">
        <v>131</v>
      </c>
      <c r="AO2120" s="333">
        <v>446.0</v>
      </c>
      <c r="AP2120" s="333">
        <v>0.728</v>
      </c>
      <c r="AQ2120" s="65" t="s">
        <v>166</v>
      </c>
      <c r="AR2120" s="65" t="s">
        <v>298</v>
      </c>
      <c r="AS2120" s="333">
        <v>0.001</v>
      </c>
      <c r="AT2120" s="65" t="s">
        <v>128</v>
      </c>
      <c r="AU2120" s="65" t="s">
        <v>179</v>
      </c>
      <c r="AV2120" s="65" t="s">
        <v>130</v>
      </c>
      <c r="AW2120" s="65" t="s">
        <v>1528</v>
      </c>
      <c r="AX2120" s="65" t="s">
        <v>431</v>
      </c>
      <c r="AZ2120" s="59" t="s">
        <v>5061</v>
      </c>
    </row>
    <row r="2121">
      <c r="A2121" s="41">
        <v>2121.0</v>
      </c>
      <c r="B2121" s="126" t="s">
        <v>516</v>
      </c>
      <c r="C2121" s="59" t="s">
        <v>108</v>
      </c>
      <c r="D2121" s="59" t="s">
        <v>241</v>
      </c>
      <c r="F2121" s="65" t="s">
        <v>13028</v>
      </c>
      <c r="G2121" s="65" t="s">
        <v>13007</v>
      </c>
      <c r="H2121" s="65" t="s">
        <v>242</v>
      </c>
      <c r="I2121" s="526">
        <v>45714.0</v>
      </c>
      <c r="J2121" s="65"/>
      <c r="K2121" s="65" t="s">
        <v>13008</v>
      </c>
      <c r="L2121" s="65" t="s">
        <v>13029</v>
      </c>
      <c r="M2121" s="65" t="s">
        <v>13010</v>
      </c>
      <c r="N2121" s="65" t="s">
        <v>13011</v>
      </c>
      <c r="O2121" s="65" t="s">
        <v>13012</v>
      </c>
      <c r="P2121" s="570" t="s">
        <v>13013</v>
      </c>
      <c r="Q2121" s="49" t="str">
        <f t="array" ref="Q2121"> if(iserror(MATCH(V2121, 'File Links'!C:C, 0)), "N/A", HYPERLINK(INDEX('File Links'!B:B, MATCH(P2121, 'File Links'!C:C, 0))))</f>
        <v>https://drive.google.com/file/d/1OxFDVNyZI1frRjeq-YzZQaUFqgYur5QQ/view?usp=drivesdk</v>
      </c>
      <c r="R2121" s="65" t="s">
        <v>13014</v>
      </c>
      <c r="S2121" s="65" t="s">
        <v>13015</v>
      </c>
      <c r="T2121" s="65"/>
      <c r="U2121" s="333">
        <v>1.0</v>
      </c>
      <c r="V2121" s="570" t="s">
        <v>13016</v>
      </c>
      <c r="W2121" s="65" t="s">
        <v>131</v>
      </c>
      <c r="X2121" s="51" t="str">
        <f t="array" ref="X2121"> if(iserror(MATCH(V2121, 'File Links'!C:C, 0)), "N/A", HYPERLINK(INDEX('File Links'!B:B, MATCH(V2121, 'File Links'!C:C, 0))))</f>
        <v>https://drive.google.com/file/d/1Xoam7f13E5M2EddKf56QMnzGorZg_Rlu/view?usp=drivesdk</v>
      </c>
      <c r="Y2121" s="65"/>
      <c r="Z2121" s="65" t="s">
        <v>219</v>
      </c>
      <c r="AA2121" s="65" t="s">
        <v>131</v>
      </c>
      <c r="AB2121" s="65" t="s">
        <v>13017</v>
      </c>
      <c r="AC2121" s="65" t="s">
        <v>13030</v>
      </c>
      <c r="AD2121" s="65" t="s">
        <v>13019</v>
      </c>
      <c r="AE2121" s="333">
        <v>5.0</v>
      </c>
      <c r="AF2121" s="333">
        <v>601.0</v>
      </c>
      <c r="AG2121" s="333">
        <v>0.35</v>
      </c>
      <c r="AH2121" s="65" t="s">
        <v>166</v>
      </c>
      <c r="AI2121" s="65" t="s">
        <v>806</v>
      </c>
      <c r="AJ2121" s="333">
        <v>0.001</v>
      </c>
      <c r="AK2121" s="65" t="s">
        <v>128</v>
      </c>
      <c r="AL2121" s="65" t="s">
        <v>179</v>
      </c>
      <c r="AM2121" s="65" t="s">
        <v>134</v>
      </c>
      <c r="AN2121" s="65" t="s">
        <v>131</v>
      </c>
      <c r="AO2121" s="333">
        <v>446.0</v>
      </c>
      <c r="AP2121" s="333">
        <v>0.365</v>
      </c>
      <c r="AQ2121" s="65" t="s">
        <v>166</v>
      </c>
      <c r="AR2121" s="65" t="s">
        <v>298</v>
      </c>
      <c r="AS2121" s="333">
        <v>0.001</v>
      </c>
      <c r="AT2121" s="65" t="s">
        <v>128</v>
      </c>
      <c r="AU2121" s="65" t="s">
        <v>129</v>
      </c>
      <c r="AV2121" s="65" t="s">
        <v>134</v>
      </c>
      <c r="AW2121" s="432" t="s">
        <v>13020</v>
      </c>
      <c r="AX2121" s="65" t="s">
        <v>431</v>
      </c>
    </row>
    <row r="2122">
      <c r="A2122" s="41">
        <v>2122.0</v>
      </c>
      <c r="B2122" s="126" t="s">
        <v>516</v>
      </c>
      <c r="C2122" s="59" t="s">
        <v>108</v>
      </c>
      <c r="D2122" s="59" t="s">
        <v>241</v>
      </c>
      <c r="F2122" s="65" t="s">
        <v>13031</v>
      </c>
      <c r="G2122" s="65" t="s">
        <v>13007</v>
      </c>
      <c r="H2122" s="65" t="s">
        <v>242</v>
      </c>
      <c r="I2122" s="526">
        <v>45714.0</v>
      </c>
      <c r="J2122" s="65"/>
      <c r="K2122" s="65" t="s">
        <v>13008</v>
      </c>
      <c r="L2122" s="65" t="s">
        <v>13032</v>
      </c>
      <c r="M2122" s="65" t="s">
        <v>13010</v>
      </c>
      <c r="N2122" s="65" t="s">
        <v>13011</v>
      </c>
      <c r="O2122" s="65" t="s">
        <v>13012</v>
      </c>
      <c r="P2122" s="570" t="s">
        <v>13013</v>
      </c>
      <c r="Q2122" s="49" t="str">
        <f t="array" ref="Q2122"> if(iserror(MATCH(V2122, 'File Links'!C:C, 0)), "N/A", HYPERLINK(INDEX('File Links'!B:B, MATCH(P2122, 'File Links'!C:C, 0))))</f>
        <v>https://drive.google.com/file/d/1OxFDVNyZI1frRjeq-YzZQaUFqgYur5QQ/view?usp=drivesdk</v>
      </c>
      <c r="R2122" s="65" t="s">
        <v>13014</v>
      </c>
      <c r="S2122" s="65" t="s">
        <v>13015</v>
      </c>
      <c r="T2122" s="65"/>
      <c r="U2122" s="333">
        <v>1.0</v>
      </c>
      <c r="V2122" s="570" t="s">
        <v>13016</v>
      </c>
      <c r="W2122" s="65" t="s">
        <v>131</v>
      </c>
      <c r="X2122" s="51" t="str">
        <f t="array" ref="X2122"> if(iserror(MATCH(V2122, 'File Links'!C:C, 0)), "N/A", HYPERLINK(INDEX('File Links'!B:B, MATCH(V2122, 'File Links'!C:C, 0))))</f>
        <v>https://drive.google.com/file/d/1Xoam7f13E5M2EddKf56QMnzGorZg_Rlu/view?usp=drivesdk</v>
      </c>
      <c r="Y2122" s="65"/>
      <c r="Z2122" s="65" t="s">
        <v>219</v>
      </c>
      <c r="AA2122" s="65" t="s">
        <v>131</v>
      </c>
      <c r="AB2122" s="65" t="s">
        <v>13017</v>
      </c>
      <c r="AC2122" s="65" t="s">
        <v>13033</v>
      </c>
      <c r="AD2122" s="65" t="s">
        <v>13019</v>
      </c>
      <c r="AE2122" s="333">
        <v>5.0</v>
      </c>
      <c r="AF2122" s="333">
        <v>601.0</v>
      </c>
      <c r="AG2122" s="333">
        <v>0.44</v>
      </c>
      <c r="AH2122" s="65" t="s">
        <v>166</v>
      </c>
      <c r="AI2122" s="65" t="s">
        <v>806</v>
      </c>
      <c r="AJ2122" s="333">
        <v>0.001</v>
      </c>
      <c r="AK2122" s="65" t="s">
        <v>128</v>
      </c>
      <c r="AL2122" s="65" t="s">
        <v>179</v>
      </c>
      <c r="AM2122" s="65" t="s">
        <v>134</v>
      </c>
      <c r="AN2122" s="65" t="s">
        <v>131</v>
      </c>
      <c r="AO2122" s="333">
        <v>446.0</v>
      </c>
      <c r="AP2122" s="333">
        <v>0.409</v>
      </c>
      <c r="AQ2122" s="65" t="s">
        <v>166</v>
      </c>
      <c r="AR2122" s="65" t="s">
        <v>298</v>
      </c>
      <c r="AS2122" s="333">
        <v>0.001</v>
      </c>
      <c r="AT2122" s="65" t="s">
        <v>128</v>
      </c>
      <c r="AU2122" s="65" t="s">
        <v>129</v>
      </c>
      <c r="AV2122" s="65" t="s">
        <v>134</v>
      </c>
      <c r="AW2122" s="432" t="s">
        <v>13020</v>
      </c>
      <c r="AX2122" s="65" t="s">
        <v>431</v>
      </c>
    </row>
    <row r="2123">
      <c r="A2123" s="41">
        <v>2123.0</v>
      </c>
      <c r="B2123" s="126" t="s">
        <v>145</v>
      </c>
      <c r="C2123" s="59" t="s">
        <v>108</v>
      </c>
      <c r="D2123" s="59" t="s">
        <v>241</v>
      </c>
      <c r="F2123" s="65" t="s">
        <v>13034</v>
      </c>
      <c r="G2123" s="65" t="s">
        <v>13035</v>
      </c>
      <c r="H2123" s="65" t="s">
        <v>242</v>
      </c>
      <c r="I2123" s="526">
        <v>45713.0</v>
      </c>
      <c r="J2123" s="1534">
        <v>45762.0</v>
      </c>
      <c r="K2123" s="65"/>
      <c r="L2123" s="126" t="s">
        <v>13036</v>
      </c>
      <c r="M2123" s="65" t="s">
        <v>13037</v>
      </c>
      <c r="N2123" s="65" t="s">
        <v>13038</v>
      </c>
      <c r="O2123" s="333">
        <v>3.0</v>
      </c>
      <c r="P2123" s="570" t="s">
        <v>13039</v>
      </c>
      <c r="Q2123" s="49" t="str">
        <f t="array" ref="Q2123"> if(iserror(MATCH(V2123, 'File Links'!C:C, 0)), "N/A", HYPERLINK(INDEX('File Links'!B:B, MATCH(P2123, 'File Links'!C:C, 0))))</f>
        <v>https://drive.google.com/file/d/13_FjItFP6GHekMwAss_IcUYD2Z-Q2DAK/view?usp=drivesdk</v>
      </c>
      <c r="R2123" s="65" t="s">
        <v>13040</v>
      </c>
      <c r="S2123" s="65" t="s">
        <v>13041</v>
      </c>
      <c r="T2123" s="65"/>
      <c r="U2123" s="65"/>
      <c r="V2123" s="570" t="s">
        <v>13042</v>
      </c>
      <c r="W2123" s="65" t="s">
        <v>131</v>
      </c>
      <c r="X2123" s="51" t="str">
        <f t="array" ref="X2123"> if(iserror(MATCH(V2123, 'File Links'!C:C, 0)), "N/A", HYPERLINK(INDEX('File Links'!B:B, MATCH(V2123, 'File Links'!C:C, 0))))</f>
        <v>https://drive.google.com/file/d/1d6qI-QqNlpjQgx9Vwa0NjPkDpYx45iMg/view?usp=drivesdk</v>
      </c>
      <c r="Y2123" s="65"/>
      <c r="Z2123" s="65" t="s">
        <v>219</v>
      </c>
      <c r="AA2123" s="65" t="s">
        <v>13043</v>
      </c>
      <c r="AB2123" s="65" t="s">
        <v>13044</v>
      </c>
      <c r="AC2123" s="65" t="s">
        <v>13045</v>
      </c>
      <c r="AD2123" s="65" t="s">
        <v>13046</v>
      </c>
      <c r="AE2123" s="333">
        <v>7.0</v>
      </c>
      <c r="AF2123" s="333">
        <v>135.0</v>
      </c>
      <c r="AG2123" s="333">
        <v>0.355</v>
      </c>
      <c r="AH2123" s="65" t="s">
        <v>166</v>
      </c>
      <c r="AI2123" s="65" t="s">
        <v>125</v>
      </c>
      <c r="AJ2123" s="333">
        <v>0.04</v>
      </c>
      <c r="AK2123" s="65" t="s">
        <v>165</v>
      </c>
      <c r="AL2123" s="65" t="s">
        <v>179</v>
      </c>
      <c r="AM2123" s="65" t="s">
        <v>130</v>
      </c>
      <c r="AN2123" s="65" t="s">
        <v>131</v>
      </c>
      <c r="AO2123" s="333">
        <v>740.0</v>
      </c>
      <c r="AP2123" s="498">
        <v>0.342</v>
      </c>
      <c r="AQ2123" s="126" t="s">
        <v>166</v>
      </c>
      <c r="AR2123" s="65" t="s">
        <v>1035</v>
      </c>
      <c r="AS2123" s="333">
        <v>0.001</v>
      </c>
      <c r="AT2123" s="65" t="s">
        <v>128</v>
      </c>
      <c r="AU2123" s="65" t="s">
        <v>179</v>
      </c>
      <c r="AV2123" s="65" t="s">
        <v>130</v>
      </c>
      <c r="AW2123" s="432" t="s">
        <v>13047</v>
      </c>
      <c r="AX2123" s="65" t="s">
        <v>431</v>
      </c>
      <c r="AZ2123" s="59" t="s">
        <v>5061</v>
      </c>
    </row>
    <row r="2124">
      <c r="A2124" s="41">
        <v>2124.0</v>
      </c>
      <c r="B2124" s="126" t="s">
        <v>107</v>
      </c>
      <c r="C2124" s="59" t="s">
        <v>108</v>
      </c>
      <c r="D2124" s="59" t="s">
        <v>138</v>
      </c>
      <c r="F2124" s="65" t="s">
        <v>13034</v>
      </c>
      <c r="G2124" s="65" t="s">
        <v>13035</v>
      </c>
      <c r="H2124" s="65" t="s">
        <v>13048</v>
      </c>
      <c r="I2124" s="526">
        <v>45713.0</v>
      </c>
      <c r="J2124" s="1534">
        <v>45762.0</v>
      </c>
      <c r="K2124" s="65" t="s">
        <v>13049</v>
      </c>
      <c r="L2124" s="65" t="s">
        <v>12807</v>
      </c>
      <c r="M2124" s="591" t="s">
        <v>13050</v>
      </c>
      <c r="N2124" s="65" t="s">
        <v>13038</v>
      </c>
      <c r="O2124" s="333">
        <v>3.0</v>
      </c>
      <c r="P2124" s="65" t="s">
        <v>13039</v>
      </c>
      <c r="Q2124" s="49" t="str">
        <f t="array" ref="Q2124"> if(iserror(MATCH(V2124, 'File Links'!C:C, 0)), "N/A", HYPERLINK(INDEX('File Links'!B:B, MATCH(P2124, 'File Links'!C:C, 0))))</f>
        <v>https://drive.google.com/file/d/13_FjItFP6GHekMwAss_IcUYD2Z-Q2DAK/view?usp=drivesdk</v>
      </c>
      <c r="R2124" s="65" t="s">
        <v>13040</v>
      </c>
      <c r="S2124" s="65" t="s">
        <v>13041</v>
      </c>
      <c r="T2124" s="65"/>
      <c r="U2124" s="65"/>
      <c r="V2124" s="65" t="s">
        <v>13042</v>
      </c>
      <c r="W2124" s="65" t="s">
        <v>13024</v>
      </c>
      <c r="X2124" s="51" t="str">
        <f t="array" ref="X2124"> if(iserror(MATCH(V2124, 'File Links'!C:C, 0)), "N/A", HYPERLINK(INDEX('File Links'!B:B, MATCH(V2124, 'File Links'!C:C, 0))))</f>
        <v>https://drive.google.com/file/d/1d6qI-QqNlpjQgx9Vwa0NjPkDpYx45iMg/view?usp=drivesdk</v>
      </c>
      <c r="Y2124" s="65"/>
      <c r="Z2124" s="65" t="s">
        <v>219</v>
      </c>
      <c r="AA2124" s="65" t="s">
        <v>13043</v>
      </c>
      <c r="AB2124" s="65" t="s">
        <v>13051</v>
      </c>
      <c r="AC2124" s="65" t="s">
        <v>13045</v>
      </c>
      <c r="AD2124" s="65" t="s">
        <v>13052</v>
      </c>
      <c r="AE2124" s="333">
        <v>7.0</v>
      </c>
      <c r="AF2124" s="333">
        <v>135.0</v>
      </c>
      <c r="AG2124" s="1384" t="s">
        <v>13053</v>
      </c>
      <c r="AH2124" s="65" t="s">
        <v>127</v>
      </c>
      <c r="AI2124" s="65" t="s">
        <v>125</v>
      </c>
      <c r="AJ2124" s="333">
        <v>0.777</v>
      </c>
      <c r="AK2124" s="65" t="s">
        <v>165</v>
      </c>
      <c r="AL2124" s="65" t="s">
        <v>179</v>
      </c>
      <c r="AM2124" s="65" t="s">
        <v>130</v>
      </c>
      <c r="AN2124" s="65" t="s">
        <v>131</v>
      </c>
      <c r="AO2124" s="1942">
        <v>457.0</v>
      </c>
      <c r="AP2124" s="1942">
        <v>0.117</v>
      </c>
      <c r="AQ2124" s="1384" t="s">
        <v>208</v>
      </c>
      <c r="AR2124" s="65" t="s">
        <v>133</v>
      </c>
      <c r="AS2124" s="333">
        <v>0.001</v>
      </c>
      <c r="AT2124" s="65" t="s">
        <v>128</v>
      </c>
      <c r="AU2124" s="65" t="s">
        <v>179</v>
      </c>
      <c r="AV2124" s="65" t="s">
        <v>130</v>
      </c>
      <c r="AW2124" s="432" t="s">
        <v>13047</v>
      </c>
      <c r="AX2124" s="65" t="s">
        <v>431</v>
      </c>
      <c r="AZ2124" s="59" t="s">
        <v>5061</v>
      </c>
    </row>
    <row r="2125">
      <c r="A2125" s="41">
        <v>2125.0</v>
      </c>
      <c r="B2125" s="126" t="s">
        <v>145</v>
      </c>
      <c r="C2125" s="59" t="s">
        <v>108</v>
      </c>
      <c r="D2125" s="59" t="s">
        <v>241</v>
      </c>
      <c r="F2125" s="65" t="s">
        <v>13054</v>
      </c>
      <c r="G2125" s="65" t="s">
        <v>13055</v>
      </c>
      <c r="H2125" s="65" t="s">
        <v>242</v>
      </c>
      <c r="I2125" s="526">
        <v>45713.0</v>
      </c>
      <c r="J2125" s="65"/>
      <c r="K2125" s="65" t="s">
        <v>13056</v>
      </c>
      <c r="L2125" s="126" t="s">
        <v>13057</v>
      </c>
      <c r="M2125" s="65" t="s">
        <v>13058</v>
      </c>
      <c r="N2125" s="65" t="s">
        <v>13059</v>
      </c>
      <c r="O2125" s="333">
        <v>2.0</v>
      </c>
      <c r="P2125" s="570" t="s">
        <v>13060</v>
      </c>
      <c r="Q2125" s="105" t="str">
        <f t="array" ref="Q2125"> if(iserror(MATCH(V2125, 'File Links'!C:C, 0)), "N/A", HYPERLINK(INDEX('File Links'!B:B, MATCH(P2125, 'File Links'!C:C, 0))))</f>
        <v>N/A</v>
      </c>
      <c r="R2125" s="65" t="s">
        <v>13061</v>
      </c>
      <c r="S2125" s="65" t="s">
        <v>131</v>
      </c>
      <c r="T2125" s="432" t="s">
        <v>13062</v>
      </c>
      <c r="U2125" s="65"/>
      <c r="V2125" s="1075" t="s">
        <v>131</v>
      </c>
      <c r="W2125" s="65" t="s">
        <v>202</v>
      </c>
      <c r="X2125" s="46" t="str">
        <f t="array" ref="X2125"> if(iserror(MATCH(V2125, 'File Links'!C:C, 0)), "N/A", HYPERLINK(INDEX('File Links'!B:B, MATCH(V2125, 'File Links'!C:C, 0))))</f>
        <v>N/A</v>
      </c>
      <c r="Y2125" s="65"/>
      <c r="Z2125" s="65" t="s">
        <v>141</v>
      </c>
      <c r="AA2125" s="65" t="s">
        <v>131</v>
      </c>
      <c r="AB2125" s="126" t="s">
        <v>13063</v>
      </c>
      <c r="AC2125" s="65" t="s">
        <v>13064</v>
      </c>
      <c r="AD2125" s="126" t="s">
        <v>13065</v>
      </c>
      <c r="AE2125" s="333">
        <v>6.0</v>
      </c>
      <c r="AF2125" s="333">
        <v>34.0</v>
      </c>
      <c r="AG2125" s="333">
        <v>0.57</v>
      </c>
      <c r="AH2125" s="65" t="s">
        <v>132</v>
      </c>
      <c r="AI2125" s="65" t="s">
        <v>133</v>
      </c>
      <c r="AJ2125" s="333">
        <v>0.01</v>
      </c>
      <c r="AK2125" s="65" t="s">
        <v>128</v>
      </c>
      <c r="AL2125" s="65" t="s">
        <v>179</v>
      </c>
      <c r="AM2125" s="1296" t="s">
        <v>130</v>
      </c>
      <c r="AN2125" s="65" t="s">
        <v>131</v>
      </c>
      <c r="AO2125" s="333">
        <v>147.0</v>
      </c>
      <c r="AP2125" s="333">
        <v>0.37</v>
      </c>
      <c r="AQ2125" s="65" t="s">
        <v>867</v>
      </c>
      <c r="AR2125" s="1116" t="s">
        <v>13066</v>
      </c>
      <c r="AS2125" s="333">
        <v>0.001</v>
      </c>
      <c r="AT2125" s="65" t="s">
        <v>128</v>
      </c>
      <c r="AU2125" s="65" t="s">
        <v>179</v>
      </c>
      <c r="AV2125" s="1296" t="s">
        <v>130</v>
      </c>
      <c r="AW2125" s="432" t="s">
        <v>13067</v>
      </c>
      <c r="AX2125" s="65" t="s">
        <v>136</v>
      </c>
      <c r="AZ2125" s="59" t="s">
        <v>5061</v>
      </c>
    </row>
    <row r="2126">
      <c r="A2126" s="41">
        <v>2126.0</v>
      </c>
      <c r="B2126" s="126" t="s">
        <v>107</v>
      </c>
      <c r="C2126" s="59" t="s">
        <v>108</v>
      </c>
      <c r="D2126" s="59" t="s">
        <v>138</v>
      </c>
      <c r="F2126" s="65" t="s">
        <v>13054</v>
      </c>
      <c r="G2126" s="65" t="s">
        <v>13055</v>
      </c>
      <c r="H2126" s="65" t="s">
        <v>13068</v>
      </c>
      <c r="I2126" s="526">
        <v>45713.0</v>
      </c>
      <c r="J2126" s="65"/>
      <c r="K2126" s="65" t="s">
        <v>13069</v>
      </c>
      <c r="L2126" s="65"/>
      <c r="M2126" s="65" t="s">
        <v>13058</v>
      </c>
      <c r="N2126" s="65" t="s">
        <v>13059</v>
      </c>
      <c r="O2126" s="333">
        <v>2.0</v>
      </c>
      <c r="P2126" s="65" t="s">
        <v>13060</v>
      </c>
      <c r="Q2126" s="105" t="str">
        <f t="array" ref="Q2126"> if(iserror(MATCH(V2126, 'File Links'!C:C, 0)), "N/A", HYPERLINK(INDEX('File Links'!B:B, MATCH(P2126, 'File Links'!C:C, 0))))</f>
        <v>N/A</v>
      </c>
      <c r="R2126" s="65" t="s">
        <v>13061</v>
      </c>
      <c r="S2126" s="65" t="s">
        <v>131</v>
      </c>
      <c r="T2126" s="432" t="s">
        <v>13062</v>
      </c>
      <c r="U2126" s="65"/>
      <c r="V2126" s="126" t="s">
        <v>131</v>
      </c>
      <c r="W2126" s="65" t="s">
        <v>202</v>
      </c>
      <c r="X2126" s="46" t="str">
        <f t="array" ref="X2126"> if(iserror(MATCH(V2126, 'File Links'!C:C, 0)), "N/A", HYPERLINK(INDEX('File Links'!B:B, MATCH(V2126, 'File Links'!C:C, 0))))</f>
        <v>N/A</v>
      </c>
      <c r="Y2126" s="65"/>
      <c r="Z2126" s="65" t="s">
        <v>219</v>
      </c>
      <c r="AA2126" s="65" t="s">
        <v>13070</v>
      </c>
      <c r="AB2126" s="65" t="s">
        <v>13071</v>
      </c>
      <c r="AC2126" s="65" t="s">
        <v>13072</v>
      </c>
      <c r="AD2126" s="1384" t="s">
        <v>13073</v>
      </c>
      <c r="AE2126" s="333">
        <v>6.0</v>
      </c>
      <c r="AF2126" s="333">
        <v>34.0</v>
      </c>
      <c r="AG2126" s="1942">
        <v>0.04</v>
      </c>
      <c r="AH2126" s="1384" t="s">
        <v>132</v>
      </c>
      <c r="AI2126" s="1384" t="s">
        <v>133</v>
      </c>
      <c r="AJ2126" s="1942">
        <v>0.24</v>
      </c>
      <c r="AK2126" s="1384" t="s">
        <v>165</v>
      </c>
      <c r="AL2126" s="65" t="s">
        <v>179</v>
      </c>
      <c r="AM2126" s="65" t="s">
        <v>130</v>
      </c>
      <c r="AN2126" s="65" t="s">
        <v>131</v>
      </c>
      <c r="AO2126" s="333">
        <v>147.0</v>
      </c>
      <c r="AP2126" s="333">
        <v>0.37</v>
      </c>
      <c r="AQ2126" s="1384" t="s">
        <v>132</v>
      </c>
      <c r="AR2126" s="432" t="s">
        <v>13066</v>
      </c>
      <c r="AS2126" s="333">
        <v>0.001</v>
      </c>
      <c r="AT2126" s="65" t="s">
        <v>128</v>
      </c>
      <c r="AU2126" s="65" t="s">
        <v>179</v>
      </c>
      <c r="AV2126" s="65" t="s">
        <v>130</v>
      </c>
      <c r="AW2126" s="432" t="s">
        <v>13067</v>
      </c>
      <c r="AX2126" s="65" t="s">
        <v>136</v>
      </c>
      <c r="AZ2126" s="59" t="s">
        <v>5061</v>
      </c>
    </row>
    <row r="2127">
      <c r="A2127" s="41">
        <v>2127.0</v>
      </c>
      <c r="B2127" s="126" t="s">
        <v>107</v>
      </c>
      <c r="C2127" s="59" t="s">
        <v>108</v>
      </c>
      <c r="D2127" s="59" t="s">
        <v>241</v>
      </c>
      <c r="F2127" s="65" t="s">
        <v>13074</v>
      </c>
      <c r="G2127" s="65" t="s">
        <v>13075</v>
      </c>
      <c r="H2127" s="65" t="s">
        <v>242</v>
      </c>
      <c r="I2127" s="526">
        <v>45714.0</v>
      </c>
      <c r="J2127" s="1534">
        <v>45762.0</v>
      </c>
      <c r="K2127" s="65"/>
      <c r="L2127" s="126" t="s">
        <v>13076</v>
      </c>
      <c r="M2127" s="65" t="s">
        <v>13077</v>
      </c>
      <c r="N2127" s="65" t="s">
        <v>13078</v>
      </c>
      <c r="O2127" s="1362">
        <v>1.0</v>
      </c>
      <c r="P2127" s="570" t="s">
        <v>13079</v>
      </c>
      <c r="Q2127" s="49" t="str">
        <f t="array" ref="Q2127"> if(iserror(MATCH(V2127, 'File Links'!C:C, 0)), "N/A", HYPERLINK(INDEX('File Links'!B:B, MATCH(P2127, 'File Links'!C:C, 0))))</f>
        <v>https://drive.google.com/file/d/1EZllPY8-yvLte77cCpv9UnSzrQEaA1l4/view?usp=drivesdk</v>
      </c>
      <c r="R2127" s="65" t="s">
        <v>13080</v>
      </c>
      <c r="S2127" s="65" t="s">
        <v>13081</v>
      </c>
      <c r="T2127" s="65"/>
      <c r="U2127" s="65"/>
      <c r="V2127" s="570" t="s">
        <v>13082</v>
      </c>
      <c r="W2127" s="65" t="s">
        <v>157</v>
      </c>
      <c r="X2127" s="51" t="str">
        <f t="array" ref="X2127"> if(iserror(MATCH(V2127, 'File Links'!C:C, 0)), "N/A", HYPERLINK(INDEX('File Links'!B:B, MATCH(V2127, 'File Links'!C:C, 0))))</f>
        <v>https://drive.google.com/file/d/1YzEqH7QTG95vm-E-CJt-CI-rq6sFA3bV/view?usp=drivesdk</v>
      </c>
      <c r="Y2127" s="65"/>
      <c r="Z2127" s="65" t="s">
        <v>219</v>
      </c>
      <c r="AA2127" s="65" t="s">
        <v>131</v>
      </c>
      <c r="AB2127" s="65" t="s">
        <v>13083</v>
      </c>
      <c r="AC2127" s="65" t="s">
        <v>13084</v>
      </c>
      <c r="AD2127" s="65" t="s">
        <v>13085</v>
      </c>
      <c r="AE2127" s="333">
        <v>2.0</v>
      </c>
      <c r="AF2127" s="333">
        <v>107.0</v>
      </c>
      <c r="AG2127" s="333">
        <v>0.55</v>
      </c>
      <c r="AH2127" s="65" t="s">
        <v>132</v>
      </c>
      <c r="AI2127" s="65" t="s">
        <v>868</v>
      </c>
      <c r="AJ2127" s="333">
        <v>0.001</v>
      </c>
      <c r="AK2127" s="65" t="s">
        <v>128</v>
      </c>
      <c r="AL2127" s="65" t="s">
        <v>129</v>
      </c>
      <c r="AM2127" s="65" t="s">
        <v>134</v>
      </c>
      <c r="AN2127" s="65" t="s">
        <v>131</v>
      </c>
      <c r="AO2127" s="333">
        <v>86.0</v>
      </c>
      <c r="AP2127" s="333">
        <v>0.562</v>
      </c>
      <c r="AQ2127" s="65" t="s">
        <v>132</v>
      </c>
      <c r="AR2127" s="65" t="s">
        <v>606</v>
      </c>
      <c r="AS2127" s="333">
        <v>0.001</v>
      </c>
      <c r="AT2127" s="65" t="s">
        <v>128</v>
      </c>
      <c r="AU2127" s="65" t="s">
        <v>129</v>
      </c>
      <c r="AV2127" s="65" t="s">
        <v>134</v>
      </c>
      <c r="AW2127" s="432" t="s">
        <v>13086</v>
      </c>
      <c r="AX2127" s="65" t="s">
        <v>136</v>
      </c>
      <c r="AZ2127" s="59" t="s">
        <v>5061</v>
      </c>
    </row>
    <row r="2128">
      <c r="A2128" s="41">
        <v>2128.0</v>
      </c>
      <c r="B2128" s="126" t="s">
        <v>145</v>
      </c>
      <c r="C2128" s="59" t="s">
        <v>108</v>
      </c>
      <c r="D2128" s="59" t="s">
        <v>138</v>
      </c>
      <c r="F2128" s="65" t="s">
        <v>13074</v>
      </c>
      <c r="G2128" s="65" t="s">
        <v>13075</v>
      </c>
      <c r="H2128" s="65" t="s">
        <v>5559</v>
      </c>
      <c r="I2128" s="526">
        <v>45713.0</v>
      </c>
      <c r="J2128" s="1534">
        <v>45762.0</v>
      </c>
      <c r="K2128" s="65" t="s">
        <v>13087</v>
      </c>
      <c r="L2128" s="65"/>
      <c r="M2128" s="591" t="s">
        <v>13088</v>
      </c>
      <c r="N2128" s="65" t="s">
        <v>13078</v>
      </c>
      <c r="O2128" s="333">
        <v>1.0</v>
      </c>
      <c r="P2128" s="65" t="s">
        <v>13079</v>
      </c>
      <c r="Q2128" s="49" t="str">
        <f t="array" ref="Q2128"> if(iserror(MATCH(V2128, 'File Links'!C:C, 0)), "N/A", HYPERLINK(INDEX('File Links'!B:B, MATCH(P2128, 'File Links'!C:C, 0))))</f>
        <v>https://drive.google.com/file/d/1EZllPY8-yvLte77cCpv9UnSzrQEaA1l4/view?usp=drivesdk</v>
      </c>
      <c r="R2128" s="591" t="s">
        <v>13089</v>
      </c>
      <c r="S2128" s="65" t="s">
        <v>13081</v>
      </c>
      <c r="T2128" s="65"/>
      <c r="U2128" s="65"/>
      <c r="V2128" s="65" t="s">
        <v>13082</v>
      </c>
      <c r="W2128" s="65" t="s">
        <v>202</v>
      </c>
      <c r="X2128" s="51" t="str">
        <f t="array" ref="X2128"> if(iserror(MATCH(V2128, 'File Links'!C:C, 0)), "N/A", HYPERLINK(INDEX('File Links'!B:B, MATCH(V2128, 'File Links'!C:C, 0))))</f>
        <v>https://drive.google.com/file/d/1YzEqH7QTG95vm-E-CJt-CI-rq6sFA3bV/view?usp=drivesdk</v>
      </c>
      <c r="Y2128" s="65"/>
      <c r="Z2128" s="65" t="s">
        <v>141</v>
      </c>
      <c r="AA2128" s="65" t="s">
        <v>1528</v>
      </c>
      <c r="AB2128" s="65" t="s">
        <v>13090</v>
      </c>
      <c r="AC2128" s="65" t="s">
        <v>13084</v>
      </c>
      <c r="AD2128" s="126" t="s">
        <v>13091</v>
      </c>
      <c r="AE2128" s="333">
        <v>2.0</v>
      </c>
      <c r="AF2128" s="333">
        <v>107.0</v>
      </c>
      <c r="AG2128" s="333">
        <v>0.55</v>
      </c>
      <c r="AH2128" s="65" t="s">
        <v>132</v>
      </c>
      <c r="AI2128" s="65" t="s">
        <v>868</v>
      </c>
      <c r="AJ2128" s="333">
        <v>0.001</v>
      </c>
      <c r="AK2128" s="65" t="s">
        <v>128</v>
      </c>
      <c r="AL2128" s="65" t="s">
        <v>179</v>
      </c>
      <c r="AM2128" s="1296" t="s">
        <v>134</v>
      </c>
      <c r="AN2128" s="65" t="s">
        <v>131</v>
      </c>
      <c r="AO2128" s="333">
        <v>86.0</v>
      </c>
      <c r="AP2128" s="333">
        <v>0.562</v>
      </c>
      <c r="AQ2128" s="65" t="s">
        <v>132</v>
      </c>
      <c r="AR2128" s="65" t="s">
        <v>606</v>
      </c>
      <c r="AS2128" s="333">
        <v>0.001</v>
      </c>
      <c r="AT2128" s="65" t="s">
        <v>128</v>
      </c>
      <c r="AU2128" s="65" t="s">
        <v>179</v>
      </c>
      <c r="AV2128" s="1296" t="s">
        <v>134</v>
      </c>
      <c r="AW2128" s="1116" t="s">
        <v>13086</v>
      </c>
      <c r="AX2128" s="65" t="s">
        <v>431</v>
      </c>
      <c r="AZ2128" s="59" t="s">
        <v>5061</v>
      </c>
    </row>
    <row r="2129">
      <c r="A2129" s="41">
        <v>2129.0</v>
      </c>
      <c r="B2129" s="126" t="s">
        <v>107</v>
      </c>
      <c r="C2129" s="59" t="s">
        <v>108</v>
      </c>
      <c r="D2129" s="59" t="s">
        <v>241</v>
      </c>
      <c r="F2129" s="65" t="s">
        <v>13074</v>
      </c>
      <c r="G2129" s="65" t="s">
        <v>13092</v>
      </c>
      <c r="H2129" s="65" t="s">
        <v>242</v>
      </c>
      <c r="I2129" s="526">
        <v>45714.0</v>
      </c>
      <c r="J2129" s="1534">
        <v>45762.0</v>
      </c>
      <c r="K2129" s="65"/>
      <c r="L2129" s="126" t="s">
        <v>13076</v>
      </c>
      <c r="M2129" s="65" t="s">
        <v>13093</v>
      </c>
      <c r="N2129" s="65" t="s">
        <v>13078</v>
      </c>
      <c r="O2129" s="65"/>
      <c r="P2129" s="570" t="s">
        <v>13079</v>
      </c>
      <c r="Q2129" s="49" t="str">
        <f t="array" ref="Q2129"> if(iserror(MATCH(V2129, 'File Links'!C:C, 0)), "N/A", HYPERLINK(INDEX('File Links'!B:B, MATCH(P2129, 'File Links'!C:C, 0))))</f>
        <v>https://drive.google.com/file/d/1EZllPY8-yvLte77cCpv9UnSzrQEaA1l4/view?usp=drivesdk</v>
      </c>
      <c r="R2129" s="65" t="s">
        <v>13080</v>
      </c>
      <c r="S2129" s="65" t="s">
        <v>13081</v>
      </c>
      <c r="T2129" s="65"/>
      <c r="U2129" s="65"/>
      <c r="V2129" s="570" t="s">
        <v>13082</v>
      </c>
      <c r="W2129" s="65" t="s">
        <v>157</v>
      </c>
      <c r="X2129" s="51" t="str">
        <f t="array" ref="X2129"> if(iserror(MATCH(V2129, 'File Links'!C:C, 0)), "N/A", HYPERLINK(INDEX('File Links'!B:B, MATCH(V2129, 'File Links'!C:C, 0))))</f>
        <v>https://drive.google.com/file/d/1YzEqH7QTG95vm-E-CJt-CI-rq6sFA3bV/view?usp=drivesdk</v>
      </c>
      <c r="Y2129" s="65"/>
      <c r="Z2129" s="65" t="s">
        <v>219</v>
      </c>
      <c r="AA2129" s="65" t="s">
        <v>131</v>
      </c>
      <c r="AB2129" s="65" t="s">
        <v>13094</v>
      </c>
      <c r="AC2129" s="65" t="s">
        <v>13095</v>
      </c>
      <c r="AD2129" s="65" t="s">
        <v>13096</v>
      </c>
      <c r="AE2129" s="333">
        <v>3.0</v>
      </c>
      <c r="AF2129" s="333">
        <v>107.0</v>
      </c>
      <c r="AG2129" s="333">
        <v>0.02</v>
      </c>
      <c r="AH2129" s="65" t="s">
        <v>132</v>
      </c>
      <c r="AI2129" s="65" t="s">
        <v>500</v>
      </c>
      <c r="AJ2129" s="333">
        <v>0.12</v>
      </c>
      <c r="AK2129" s="65" t="s">
        <v>165</v>
      </c>
      <c r="AL2129" s="65" t="s">
        <v>129</v>
      </c>
      <c r="AM2129" s="65" t="s">
        <v>134</v>
      </c>
      <c r="AN2129" s="65" t="s">
        <v>131</v>
      </c>
      <c r="AO2129" s="333">
        <v>83.0</v>
      </c>
      <c r="AP2129" s="333">
        <v>0.026</v>
      </c>
      <c r="AQ2129" s="65" t="s">
        <v>132</v>
      </c>
      <c r="AR2129" s="65" t="s">
        <v>125</v>
      </c>
      <c r="AS2129" s="333">
        <v>0.145</v>
      </c>
      <c r="AT2129" s="65" t="s">
        <v>165</v>
      </c>
      <c r="AU2129" s="65" t="s">
        <v>129</v>
      </c>
      <c r="AV2129" s="65" t="s">
        <v>134</v>
      </c>
      <c r="AW2129" s="432" t="s">
        <v>13086</v>
      </c>
      <c r="AX2129" s="65" t="s">
        <v>136</v>
      </c>
      <c r="AZ2129" s="59" t="s">
        <v>5061</v>
      </c>
    </row>
    <row r="2130">
      <c r="A2130" s="41">
        <v>2130.0</v>
      </c>
      <c r="B2130" s="126" t="s">
        <v>145</v>
      </c>
      <c r="C2130" s="59" t="s">
        <v>108</v>
      </c>
      <c r="D2130" s="59" t="s">
        <v>138</v>
      </c>
      <c r="F2130" s="65" t="s">
        <v>13074</v>
      </c>
      <c r="G2130" s="65" t="s">
        <v>13092</v>
      </c>
      <c r="H2130" s="65" t="s">
        <v>13097</v>
      </c>
      <c r="I2130" s="526">
        <v>45713.0</v>
      </c>
      <c r="J2130" s="1534">
        <v>45762.0</v>
      </c>
      <c r="K2130" s="65" t="s">
        <v>13098</v>
      </c>
      <c r="L2130" s="65"/>
      <c r="M2130" s="591" t="s">
        <v>13099</v>
      </c>
      <c r="N2130" s="65" t="s">
        <v>13078</v>
      </c>
      <c r="O2130" s="333">
        <v>1.0</v>
      </c>
      <c r="P2130" s="65" t="s">
        <v>13079</v>
      </c>
      <c r="Q2130" s="49" t="str">
        <f t="array" ref="Q2130"> if(iserror(MATCH(V2130, 'File Links'!C:C, 0)), "N/A", HYPERLINK(INDEX('File Links'!B:B, MATCH(P2130, 'File Links'!C:C, 0))))</f>
        <v>https://drive.google.com/file/d/1EZllPY8-yvLte77cCpv9UnSzrQEaA1l4/view?usp=drivesdk</v>
      </c>
      <c r="R2130" s="591" t="s">
        <v>13100</v>
      </c>
      <c r="S2130" s="65" t="s">
        <v>13081</v>
      </c>
      <c r="T2130" s="65"/>
      <c r="U2130" s="65"/>
      <c r="V2130" s="65" t="s">
        <v>13082</v>
      </c>
      <c r="W2130" s="65" t="s">
        <v>202</v>
      </c>
      <c r="X2130" s="51" t="str">
        <f t="array" ref="X2130"> if(iserror(MATCH(V2130, 'File Links'!C:C, 0)), "N/A", HYPERLINK(INDEX('File Links'!B:B, MATCH(V2130, 'File Links'!C:C, 0))))</f>
        <v>https://drive.google.com/file/d/1YzEqH7QTG95vm-E-CJt-CI-rq6sFA3bV/view?usp=drivesdk</v>
      </c>
      <c r="Y2130" s="65"/>
      <c r="Z2130" s="65" t="s">
        <v>141</v>
      </c>
      <c r="AA2130" s="65" t="s">
        <v>1528</v>
      </c>
      <c r="AB2130" s="65" t="s">
        <v>13090</v>
      </c>
      <c r="AC2130" s="65" t="s">
        <v>13095</v>
      </c>
      <c r="AD2130" s="65" t="s">
        <v>13101</v>
      </c>
      <c r="AE2130" s="333">
        <v>3.0</v>
      </c>
      <c r="AF2130" s="333">
        <v>107.0</v>
      </c>
      <c r="AG2130" s="333">
        <v>0.02</v>
      </c>
      <c r="AH2130" s="65" t="s">
        <v>132</v>
      </c>
      <c r="AI2130" s="65" t="s">
        <v>210</v>
      </c>
      <c r="AJ2130" s="333">
        <v>0.12</v>
      </c>
      <c r="AK2130" s="65" t="s">
        <v>165</v>
      </c>
      <c r="AL2130" s="65" t="s">
        <v>179</v>
      </c>
      <c r="AM2130" s="1296" t="s">
        <v>134</v>
      </c>
      <c r="AN2130" s="65" t="s">
        <v>131</v>
      </c>
      <c r="AO2130" s="333">
        <v>83.0</v>
      </c>
      <c r="AP2130" s="333">
        <v>0.026</v>
      </c>
      <c r="AQ2130" s="65" t="s">
        <v>132</v>
      </c>
      <c r="AR2130" s="65" t="s">
        <v>125</v>
      </c>
      <c r="AS2130" s="333">
        <v>0.145</v>
      </c>
      <c r="AT2130" s="65" t="s">
        <v>165</v>
      </c>
      <c r="AU2130" s="65" t="s">
        <v>179</v>
      </c>
      <c r="AV2130" s="1296" t="s">
        <v>134</v>
      </c>
      <c r="AW2130" s="1116" t="s">
        <v>13086</v>
      </c>
      <c r="AX2130" s="65" t="s">
        <v>431</v>
      </c>
      <c r="AZ2130" s="59" t="s">
        <v>5061</v>
      </c>
    </row>
    <row r="2131">
      <c r="A2131" s="41">
        <v>2131.0</v>
      </c>
      <c r="B2131" s="126" t="s">
        <v>107</v>
      </c>
      <c r="C2131" s="59" t="s">
        <v>108</v>
      </c>
      <c r="D2131" s="59" t="s">
        <v>241</v>
      </c>
      <c r="F2131" s="65" t="s">
        <v>13102</v>
      </c>
      <c r="G2131" s="65" t="s">
        <v>13103</v>
      </c>
      <c r="H2131" s="65" t="s">
        <v>242</v>
      </c>
      <c r="I2131" s="526">
        <v>45714.0</v>
      </c>
      <c r="J2131" s="1534">
        <v>45762.0</v>
      </c>
      <c r="K2131" s="65"/>
      <c r="L2131" s="126" t="s">
        <v>13104</v>
      </c>
      <c r="M2131" s="65" t="s">
        <v>13093</v>
      </c>
      <c r="N2131" s="65" t="s">
        <v>13078</v>
      </c>
      <c r="O2131" s="65"/>
      <c r="P2131" s="570" t="s">
        <v>13079</v>
      </c>
      <c r="Q2131" s="49" t="str">
        <f t="array" ref="Q2131"> if(iserror(MATCH(V2131, 'File Links'!C:C, 0)), "N/A", HYPERLINK(INDEX('File Links'!B:B, MATCH(P2131, 'File Links'!C:C, 0))))</f>
        <v>https://drive.google.com/file/d/1EZllPY8-yvLte77cCpv9UnSzrQEaA1l4/view?usp=drivesdk</v>
      </c>
      <c r="R2131" s="65" t="s">
        <v>13080</v>
      </c>
      <c r="S2131" s="65" t="s">
        <v>13081</v>
      </c>
      <c r="T2131" s="65"/>
      <c r="U2131" s="65"/>
      <c r="V2131" s="570" t="s">
        <v>13082</v>
      </c>
      <c r="W2131" s="65" t="s">
        <v>157</v>
      </c>
      <c r="X2131" s="51" t="str">
        <f t="array" ref="X2131"> if(iserror(MATCH(V2131, 'File Links'!C:C, 0)), "N/A", HYPERLINK(INDEX('File Links'!B:B, MATCH(V2131, 'File Links'!C:C, 0))))</f>
        <v>https://drive.google.com/file/d/1YzEqH7QTG95vm-E-CJt-CI-rq6sFA3bV/view?usp=drivesdk</v>
      </c>
      <c r="Y2131" s="65"/>
      <c r="Z2131" s="65" t="s">
        <v>219</v>
      </c>
      <c r="AA2131" s="65" t="s">
        <v>131</v>
      </c>
      <c r="AB2131" s="65" t="s">
        <v>13094</v>
      </c>
      <c r="AC2131" s="65" t="s">
        <v>13105</v>
      </c>
      <c r="AD2131" s="65" t="s">
        <v>13106</v>
      </c>
      <c r="AE2131" s="333">
        <v>3.0</v>
      </c>
      <c r="AF2131" s="333">
        <v>107.0</v>
      </c>
      <c r="AG2131" s="333">
        <v>0.99</v>
      </c>
      <c r="AH2131" s="65" t="s">
        <v>166</v>
      </c>
      <c r="AI2131" s="65" t="s">
        <v>500</v>
      </c>
      <c r="AJ2131" s="333">
        <v>0.001</v>
      </c>
      <c r="AK2131" s="65" t="s">
        <v>128</v>
      </c>
      <c r="AL2131" s="65" t="s">
        <v>129</v>
      </c>
      <c r="AM2131" s="65" t="s">
        <v>130</v>
      </c>
      <c r="AN2131" s="65" t="s">
        <v>131</v>
      </c>
      <c r="AO2131" s="333">
        <v>85.0</v>
      </c>
      <c r="AP2131" s="562">
        <v>1.55</v>
      </c>
      <c r="AQ2131" s="65" t="s">
        <v>166</v>
      </c>
      <c r="AR2131" s="65" t="s">
        <v>125</v>
      </c>
      <c r="AS2131" s="333">
        <v>0.001</v>
      </c>
      <c r="AT2131" s="65" t="s">
        <v>128</v>
      </c>
      <c r="AU2131" s="65" t="s">
        <v>129</v>
      </c>
      <c r="AV2131" s="65" t="s">
        <v>130</v>
      </c>
      <c r="AW2131" s="432" t="s">
        <v>13086</v>
      </c>
      <c r="AX2131" s="65" t="s">
        <v>136</v>
      </c>
      <c r="AZ2131" s="59" t="s">
        <v>5061</v>
      </c>
    </row>
    <row r="2132">
      <c r="A2132" s="41">
        <v>2132.0</v>
      </c>
      <c r="B2132" s="126" t="s">
        <v>145</v>
      </c>
      <c r="C2132" s="59" t="s">
        <v>108</v>
      </c>
      <c r="D2132" s="59" t="s">
        <v>138</v>
      </c>
      <c r="F2132" s="65" t="s">
        <v>13102</v>
      </c>
      <c r="G2132" s="65" t="s">
        <v>13107</v>
      </c>
      <c r="H2132" s="65" t="s">
        <v>13108</v>
      </c>
      <c r="I2132" s="526">
        <v>45713.0</v>
      </c>
      <c r="J2132" s="1534">
        <v>45762.0</v>
      </c>
      <c r="K2132" s="65" t="s">
        <v>13109</v>
      </c>
      <c r="L2132" s="65"/>
      <c r="M2132" s="591" t="s">
        <v>13110</v>
      </c>
      <c r="N2132" s="65" t="s">
        <v>13078</v>
      </c>
      <c r="O2132" s="333">
        <v>1.0</v>
      </c>
      <c r="P2132" s="65" t="s">
        <v>13079</v>
      </c>
      <c r="Q2132" s="49" t="str">
        <f t="array" ref="Q2132"> if(iserror(MATCH(V2132, 'File Links'!C:C, 0)), "N/A", HYPERLINK(INDEX('File Links'!B:B, MATCH(P2132, 'File Links'!C:C, 0))))</f>
        <v>https://drive.google.com/file/d/1EZllPY8-yvLte77cCpv9UnSzrQEaA1l4/view?usp=drivesdk</v>
      </c>
      <c r="R2132" s="591" t="s">
        <v>13111</v>
      </c>
      <c r="S2132" s="65" t="s">
        <v>13081</v>
      </c>
      <c r="T2132" s="65"/>
      <c r="U2132" s="65"/>
      <c r="V2132" s="65" t="s">
        <v>13082</v>
      </c>
      <c r="W2132" s="65" t="s">
        <v>202</v>
      </c>
      <c r="X2132" s="51" t="str">
        <f t="array" ref="X2132"> if(iserror(MATCH(V2132, 'File Links'!C:C, 0)), "N/A", HYPERLINK(INDEX('File Links'!B:B, MATCH(V2132, 'File Links'!C:C, 0))))</f>
        <v>https://drive.google.com/file/d/1YzEqH7QTG95vm-E-CJt-CI-rq6sFA3bV/view?usp=drivesdk</v>
      </c>
      <c r="Y2132" s="65"/>
      <c r="Z2132" s="65" t="s">
        <v>141</v>
      </c>
      <c r="AA2132" s="65" t="s">
        <v>1528</v>
      </c>
      <c r="AB2132" s="65" t="s">
        <v>13090</v>
      </c>
      <c r="AC2132" s="65" t="s">
        <v>13105</v>
      </c>
      <c r="AD2132" s="65" t="s">
        <v>13112</v>
      </c>
      <c r="AE2132" s="333">
        <v>3.0</v>
      </c>
      <c r="AF2132" s="333">
        <v>107.0</v>
      </c>
      <c r="AG2132" s="333">
        <v>0.99</v>
      </c>
      <c r="AH2132" s="65" t="s">
        <v>166</v>
      </c>
      <c r="AI2132" s="65" t="s">
        <v>210</v>
      </c>
      <c r="AJ2132" s="333">
        <v>0.001</v>
      </c>
      <c r="AK2132" s="65" t="s">
        <v>128</v>
      </c>
      <c r="AL2132" s="65" t="s">
        <v>179</v>
      </c>
      <c r="AM2132" s="1296" t="s">
        <v>130</v>
      </c>
      <c r="AN2132" s="65" t="s">
        <v>131</v>
      </c>
      <c r="AO2132" s="333">
        <v>74.0</v>
      </c>
      <c r="AP2132" s="562">
        <v>1.55</v>
      </c>
      <c r="AQ2132" s="65" t="s">
        <v>166</v>
      </c>
      <c r="AR2132" s="65" t="s">
        <v>125</v>
      </c>
      <c r="AS2132" s="333">
        <v>0.001</v>
      </c>
      <c r="AT2132" s="65" t="s">
        <v>128</v>
      </c>
      <c r="AU2132" s="65" t="s">
        <v>179</v>
      </c>
      <c r="AV2132" s="65" t="s">
        <v>130</v>
      </c>
      <c r="AW2132" s="1116" t="s">
        <v>13086</v>
      </c>
      <c r="AX2132" s="65" t="s">
        <v>431</v>
      </c>
      <c r="AZ2132" s="59" t="s">
        <v>5061</v>
      </c>
    </row>
    <row r="2133">
      <c r="A2133" s="41">
        <v>2133.0</v>
      </c>
      <c r="B2133" s="53" t="s">
        <v>145</v>
      </c>
      <c r="C2133" s="338" t="s">
        <v>108</v>
      </c>
      <c r="D2133" s="338" t="s">
        <v>1434</v>
      </c>
      <c r="E2133" s="339"/>
      <c r="F2133" s="357" t="s">
        <v>13113</v>
      </c>
      <c r="G2133" s="357" t="s">
        <v>13114</v>
      </c>
      <c r="H2133" s="357" t="s">
        <v>13115</v>
      </c>
      <c r="I2133" s="1684" t="s">
        <v>13116</v>
      </c>
      <c r="J2133" s="1955">
        <v>45710.0</v>
      </c>
      <c r="K2133" s="357" t="s">
        <v>13117</v>
      </c>
      <c r="L2133" s="43"/>
      <c r="M2133" s="357" t="s">
        <v>13118</v>
      </c>
      <c r="N2133" s="357" t="s">
        <v>13119</v>
      </c>
      <c r="O2133" s="354">
        <v>1.0</v>
      </c>
      <c r="P2133" s="357" t="s">
        <v>13120</v>
      </c>
      <c r="Q2133" s="105" t="str">
        <f t="array" ref="Q2133"> if(iserror(MATCH(V2133, 'File Links'!C:C, 0)), "N/A", HYPERLINK(INDEX('File Links'!B:B, MATCH(P2133, 'File Links'!C:C, 0))))</f>
        <v>N/A</v>
      </c>
      <c r="R2133" s="357" t="s">
        <v>13121</v>
      </c>
      <c r="S2133" s="357" t="s">
        <v>13122</v>
      </c>
      <c r="T2133" s="43"/>
      <c r="U2133" s="357" t="s">
        <v>9816</v>
      </c>
      <c r="V2133" s="357" t="s">
        <v>13123</v>
      </c>
      <c r="W2133" s="44" t="s">
        <v>13124</v>
      </c>
      <c r="X2133" s="46" t="str">
        <f t="array" ref="X2133"> if(iserror(MATCH(V2133, 'File Links'!C:C, 0)), "N/A", HYPERLINK(INDEX('File Links'!B:B, MATCH(V2133, 'File Links'!C:C, 0))))</f>
        <v>N/A</v>
      </c>
      <c r="Y2133" s="43"/>
      <c r="Z2133" s="357" t="s">
        <v>1593</v>
      </c>
      <c r="AA2133" s="357" t="s">
        <v>13125</v>
      </c>
      <c r="AB2133" s="357" t="s">
        <v>13126</v>
      </c>
      <c r="AC2133" s="357" t="s">
        <v>13127</v>
      </c>
      <c r="AD2133" s="357" t="s">
        <v>13128</v>
      </c>
      <c r="AE2133" s="1956" t="s">
        <v>13129</v>
      </c>
      <c r="AF2133" s="354">
        <v>44.0</v>
      </c>
      <c r="AG2133" s="43" t="s">
        <v>13130</v>
      </c>
      <c r="AH2133" s="357" t="s">
        <v>127</v>
      </c>
      <c r="AI2133" s="357" t="s">
        <v>13131</v>
      </c>
      <c r="AJ2133" s="354">
        <v>0.01</v>
      </c>
      <c r="AK2133" s="357" t="s">
        <v>128</v>
      </c>
      <c r="AL2133" s="357" t="s">
        <v>179</v>
      </c>
      <c r="AM2133" s="357" t="s">
        <v>134</v>
      </c>
      <c r="AN2133" s="43" t="s">
        <v>131</v>
      </c>
      <c r="AO2133" s="354">
        <v>96.0</v>
      </c>
      <c r="AP2133" s="1957" t="s">
        <v>13132</v>
      </c>
      <c r="AQ2133" s="357" t="s">
        <v>132</v>
      </c>
      <c r="AR2133" s="357" t="s">
        <v>133</v>
      </c>
      <c r="AS2133" s="354">
        <v>0.12</v>
      </c>
      <c r="AT2133" s="357" t="s">
        <v>165</v>
      </c>
      <c r="AU2133" s="357" t="s">
        <v>179</v>
      </c>
      <c r="AV2133" s="357" t="s">
        <v>134</v>
      </c>
      <c r="AW2133" s="357" t="s">
        <v>131</v>
      </c>
      <c r="AX2133" s="357" t="s">
        <v>136</v>
      </c>
      <c r="AY2133" s="43"/>
      <c r="AZ2133" s="338" t="s">
        <v>8392</v>
      </c>
      <c r="BA2133" s="339"/>
      <c r="BB2133" s="339"/>
      <c r="BC2133" s="339"/>
      <c r="BD2133" s="339"/>
      <c r="BE2133" s="339"/>
      <c r="BF2133" s="339"/>
      <c r="BG2133" s="339"/>
      <c r="BH2133" s="339"/>
      <c r="BI2133" s="339"/>
      <c r="BJ2133" s="339"/>
      <c r="BK2133" s="339"/>
      <c r="BL2133" s="339"/>
      <c r="BM2133" s="339"/>
      <c r="BN2133" s="339"/>
      <c r="BO2133" s="339"/>
      <c r="BP2133" s="339"/>
      <c r="BQ2133" s="339"/>
      <c r="BR2133" s="339"/>
      <c r="BS2133" s="339"/>
      <c r="BT2133" s="339"/>
      <c r="BU2133" s="339"/>
      <c r="BV2133" s="339"/>
      <c r="BW2133" s="339"/>
      <c r="BX2133" s="339"/>
      <c r="BY2133" s="339"/>
      <c r="BZ2133" s="339"/>
      <c r="CA2133" s="339"/>
      <c r="CB2133" s="339"/>
      <c r="CC2133" s="339"/>
      <c r="CD2133" s="339"/>
      <c r="CE2133" s="339"/>
      <c r="CF2133" s="339"/>
      <c r="CG2133" s="339"/>
      <c r="CH2133" s="339"/>
      <c r="CI2133" s="339"/>
      <c r="CJ2133" s="339"/>
      <c r="CK2133" s="339"/>
      <c r="CL2133" s="339"/>
      <c r="CM2133" s="339"/>
      <c r="CN2133" s="339"/>
      <c r="CO2133" s="339"/>
      <c r="CP2133" s="339"/>
      <c r="CQ2133" s="339"/>
      <c r="CR2133" s="339"/>
      <c r="CS2133" s="339"/>
      <c r="CT2133" s="339"/>
      <c r="CU2133" s="339"/>
      <c r="CV2133" s="339"/>
      <c r="CW2133" s="339"/>
      <c r="CX2133" s="339"/>
      <c r="CY2133" s="339"/>
      <c r="CZ2133" s="339"/>
      <c r="DA2133" s="339"/>
      <c r="DB2133" s="339"/>
      <c r="DC2133" s="339"/>
      <c r="DD2133" s="339"/>
      <c r="DE2133" s="339"/>
      <c r="DF2133" s="339"/>
      <c r="DG2133" s="339"/>
      <c r="DH2133" s="339"/>
    </row>
    <row r="2134">
      <c r="A2134" s="41">
        <v>2134.0</v>
      </c>
      <c r="B2134" s="53" t="s">
        <v>145</v>
      </c>
      <c r="C2134" s="338" t="s">
        <v>108</v>
      </c>
      <c r="D2134" s="338" t="s">
        <v>146</v>
      </c>
      <c r="E2134" s="339"/>
      <c r="F2134" s="53" t="s">
        <v>13113</v>
      </c>
      <c r="G2134" s="53" t="s">
        <v>13133</v>
      </c>
      <c r="H2134" s="340" t="s">
        <v>8522</v>
      </c>
      <c r="I2134" s="344" t="s">
        <v>8523</v>
      </c>
      <c r="J2134" s="43"/>
      <c r="K2134" s="340" t="s">
        <v>13134</v>
      </c>
      <c r="L2134" s="53" t="s">
        <v>13135</v>
      </c>
      <c r="M2134" s="53" t="s">
        <v>13118</v>
      </c>
      <c r="N2134" s="53" t="s">
        <v>13119</v>
      </c>
      <c r="O2134" s="1685">
        <v>1.0</v>
      </c>
      <c r="P2134" s="340" t="s">
        <v>13120</v>
      </c>
      <c r="Q2134" s="105" t="str">
        <f t="array" ref="Q2134"> if(iserror(MATCH(V2134, 'File Links'!C:C, 0)), "N/A", HYPERLINK(INDEX('File Links'!B:B, MATCH(P2134, 'File Links'!C:C, 0))))</f>
        <v>N/A</v>
      </c>
      <c r="R2134" s="1689" t="s">
        <v>13121</v>
      </c>
      <c r="S2134" s="53" t="s">
        <v>13122</v>
      </c>
      <c r="T2134" s="1690" t="s">
        <v>5504</v>
      </c>
      <c r="U2134" s="52" t="s">
        <v>13136</v>
      </c>
      <c r="V2134" s="340" t="s">
        <v>13123</v>
      </c>
      <c r="W2134" s="340" t="s">
        <v>13124</v>
      </c>
      <c r="X2134" s="46" t="str">
        <f t="array" ref="X2134"> if(iserror(MATCH(V2134, 'File Links'!C:C, 0)), "N/A", HYPERLINK(INDEX('File Links'!B:B, MATCH(V2134, 'File Links'!C:C, 0))))</f>
        <v>N/A</v>
      </c>
      <c r="Y2134" s="43"/>
      <c r="Z2134" s="340" t="s">
        <v>1593</v>
      </c>
      <c r="AA2134" s="53" t="s">
        <v>13137</v>
      </c>
      <c r="AB2134" s="340" t="s">
        <v>13138</v>
      </c>
      <c r="AC2134" s="340" t="s">
        <v>13139</v>
      </c>
      <c r="AD2134" s="340" t="s">
        <v>13140</v>
      </c>
      <c r="AE2134" s="340">
        <v>14.0</v>
      </c>
      <c r="AF2134" s="344">
        <v>44.0</v>
      </c>
      <c r="AG2134" s="344" t="s">
        <v>13141</v>
      </c>
      <c r="AH2134" s="340" t="s">
        <v>127</v>
      </c>
      <c r="AI2134" s="340" t="s">
        <v>2222</v>
      </c>
      <c r="AJ2134" s="344">
        <v>0.01</v>
      </c>
      <c r="AK2134" s="340" t="s">
        <v>128</v>
      </c>
      <c r="AL2134" s="340" t="s">
        <v>179</v>
      </c>
      <c r="AM2134" s="53" t="s">
        <v>130</v>
      </c>
      <c r="AN2134" s="43"/>
      <c r="AO2134" s="344">
        <v>96.0</v>
      </c>
      <c r="AP2134" s="344" t="s">
        <v>13142</v>
      </c>
      <c r="AQ2134" s="340" t="s">
        <v>127</v>
      </c>
      <c r="AR2134" s="340" t="s">
        <v>606</v>
      </c>
      <c r="AS2134" s="344">
        <v>0.001</v>
      </c>
      <c r="AT2134" s="340" t="s">
        <v>128</v>
      </c>
      <c r="AU2134" s="340" t="s">
        <v>129</v>
      </c>
      <c r="AV2134" s="53" t="s">
        <v>130</v>
      </c>
      <c r="AW2134" s="56"/>
      <c r="AX2134" s="53" t="s">
        <v>136</v>
      </c>
      <c r="AY2134" s="339"/>
      <c r="AZ2134" s="338" t="s">
        <v>8392</v>
      </c>
      <c r="BA2134" s="339"/>
      <c r="BB2134" s="339"/>
      <c r="BC2134" s="339"/>
      <c r="BD2134" s="339"/>
      <c r="BE2134" s="339"/>
      <c r="BF2134" s="339"/>
      <c r="BG2134" s="339"/>
      <c r="BH2134" s="339"/>
      <c r="BI2134" s="339"/>
      <c r="BJ2134" s="339"/>
      <c r="BK2134" s="339"/>
      <c r="BL2134" s="339"/>
      <c r="BM2134" s="339"/>
      <c r="BN2134" s="339"/>
      <c r="BO2134" s="339"/>
      <c r="BP2134" s="339"/>
      <c r="BQ2134" s="339"/>
      <c r="BR2134" s="339"/>
      <c r="BS2134" s="339"/>
      <c r="BT2134" s="339"/>
      <c r="BU2134" s="339"/>
      <c r="BV2134" s="339"/>
      <c r="BW2134" s="339"/>
      <c r="BX2134" s="339"/>
      <c r="BY2134" s="339"/>
      <c r="BZ2134" s="339"/>
      <c r="CA2134" s="339"/>
      <c r="CB2134" s="339"/>
      <c r="CC2134" s="339"/>
      <c r="CD2134" s="339"/>
      <c r="CE2134" s="339"/>
      <c r="CF2134" s="339"/>
      <c r="CG2134" s="339"/>
      <c r="CH2134" s="339"/>
      <c r="CI2134" s="339"/>
      <c r="CJ2134" s="339"/>
      <c r="CK2134" s="339"/>
      <c r="CL2134" s="339"/>
      <c r="CM2134" s="339"/>
      <c r="CN2134" s="339"/>
      <c r="CO2134" s="339"/>
      <c r="CP2134" s="339"/>
      <c r="CQ2134" s="339"/>
      <c r="CR2134" s="339"/>
      <c r="CS2134" s="339"/>
      <c r="CT2134" s="339"/>
      <c r="CU2134" s="339"/>
      <c r="CV2134" s="339"/>
      <c r="CW2134" s="339"/>
      <c r="CX2134" s="339"/>
      <c r="CY2134" s="339"/>
      <c r="CZ2134" s="339"/>
      <c r="DA2134" s="339"/>
      <c r="DB2134" s="339"/>
      <c r="DC2134" s="339"/>
      <c r="DD2134" s="339"/>
      <c r="DE2134" s="339"/>
      <c r="DF2134" s="339"/>
      <c r="DG2134" s="339"/>
      <c r="DH2134" s="339"/>
    </row>
    <row r="2135">
      <c r="A2135" s="41">
        <v>2135.0</v>
      </c>
      <c r="B2135" s="53" t="s">
        <v>145</v>
      </c>
      <c r="C2135" s="338" t="s">
        <v>108</v>
      </c>
      <c r="D2135" s="338" t="s">
        <v>1434</v>
      </c>
      <c r="E2135" s="339"/>
      <c r="F2135" s="357" t="s">
        <v>13143</v>
      </c>
      <c r="G2135" s="357" t="s">
        <v>13144</v>
      </c>
      <c r="H2135" s="357" t="s">
        <v>13115</v>
      </c>
      <c r="I2135" s="1684" t="s">
        <v>13116</v>
      </c>
      <c r="J2135" s="1955">
        <v>45710.0</v>
      </c>
      <c r="K2135" s="357" t="s">
        <v>13117</v>
      </c>
      <c r="L2135" s="43"/>
      <c r="M2135" s="357" t="s">
        <v>13118</v>
      </c>
      <c r="N2135" s="357" t="s">
        <v>13119</v>
      </c>
      <c r="O2135" s="354">
        <v>1.0</v>
      </c>
      <c r="P2135" s="357" t="s">
        <v>13120</v>
      </c>
      <c r="Q2135" s="105" t="str">
        <f t="array" ref="Q2135"> if(iserror(MATCH(V2135, 'File Links'!C:C, 0)), "N/A", HYPERLINK(INDEX('File Links'!B:B, MATCH(P2135, 'File Links'!C:C, 0))))</f>
        <v>N/A</v>
      </c>
      <c r="R2135" s="357" t="s">
        <v>13121</v>
      </c>
      <c r="S2135" s="357" t="s">
        <v>13122</v>
      </c>
      <c r="T2135" s="43"/>
      <c r="U2135" s="357" t="s">
        <v>3072</v>
      </c>
      <c r="V2135" s="357" t="s">
        <v>13123</v>
      </c>
      <c r="W2135" s="357" t="s">
        <v>13124</v>
      </c>
      <c r="X2135" s="46" t="str">
        <f t="array" ref="X2135"> if(iserror(MATCH(V2135, 'File Links'!C:C, 0)), "N/A", HYPERLINK(INDEX('File Links'!B:B, MATCH(V2135, 'File Links'!C:C, 0))))</f>
        <v>N/A</v>
      </c>
      <c r="Y2135" s="43"/>
      <c r="Z2135" s="357" t="s">
        <v>1593</v>
      </c>
      <c r="AA2135" s="357" t="s">
        <v>13125</v>
      </c>
      <c r="AB2135" s="148" t="s">
        <v>13145</v>
      </c>
      <c r="AC2135" s="357" t="s">
        <v>13127</v>
      </c>
      <c r="AD2135" s="357" t="s">
        <v>13128</v>
      </c>
      <c r="AE2135" s="1956" t="s">
        <v>13129</v>
      </c>
      <c r="AF2135" s="354">
        <v>44.0</v>
      </c>
      <c r="AG2135" s="43" t="s">
        <v>13130</v>
      </c>
      <c r="AH2135" s="357" t="s">
        <v>127</v>
      </c>
      <c r="AI2135" s="357" t="s">
        <v>13131</v>
      </c>
      <c r="AJ2135" s="354">
        <v>0.01</v>
      </c>
      <c r="AK2135" s="357" t="s">
        <v>128</v>
      </c>
      <c r="AL2135" s="357" t="s">
        <v>179</v>
      </c>
      <c r="AM2135" s="357" t="s">
        <v>134</v>
      </c>
      <c r="AN2135" s="43" t="s">
        <v>131</v>
      </c>
      <c r="AO2135" s="354">
        <v>96.0</v>
      </c>
      <c r="AP2135" s="1958" t="s">
        <v>13146</v>
      </c>
      <c r="AQ2135" s="357" t="s">
        <v>132</v>
      </c>
      <c r="AR2135" s="357" t="s">
        <v>133</v>
      </c>
      <c r="AS2135" s="354">
        <v>0.47</v>
      </c>
      <c r="AT2135" s="357" t="s">
        <v>165</v>
      </c>
      <c r="AU2135" s="357" t="s">
        <v>179</v>
      </c>
      <c r="AV2135" s="357" t="s">
        <v>134</v>
      </c>
      <c r="AW2135" s="357" t="s">
        <v>131</v>
      </c>
      <c r="AX2135" s="357" t="s">
        <v>136</v>
      </c>
      <c r="AY2135" s="43"/>
      <c r="AZ2135" s="338" t="s">
        <v>8392</v>
      </c>
      <c r="BA2135" s="339"/>
      <c r="BB2135" s="339"/>
      <c r="BC2135" s="339"/>
      <c r="BD2135" s="339"/>
      <c r="BE2135" s="339"/>
      <c r="BF2135" s="339"/>
      <c r="BG2135" s="339"/>
      <c r="BH2135" s="339"/>
      <c r="BI2135" s="339"/>
      <c r="BJ2135" s="339"/>
      <c r="BK2135" s="339"/>
      <c r="BL2135" s="339"/>
      <c r="BM2135" s="339"/>
      <c r="BN2135" s="339"/>
      <c r="BO2135" s="339"/>
      <c r="BP2135" s="339"/>
      <c r="BQ2135" s="339"/>
      <c r="BR2135" s="339"/>
      <c r="BS2135" s="339"/>
      <c r="BT2135" s="339"/>
      <c r="BU2135" s="339"/>
      <c r="BV2135" s="339"/>
      <c r="BW2135" s="339"/>
      <c r="BX2135" s="339"/>
      <c r="BY2135" s="339"/>
      <c r="BZ2135" s="339"/>
      <c r="CA2135" s="339"/>
      <c r="CB2135" s="339"/>
      <c r="CC2135" s="339"/>
      <c r="CD2135" s="339"/>
      <c r="CE2135" s="339"/>
      <c r="CF2135" s="339"/>
      <c r="CG2135" s="339"/>
      <c r="CH2135" s="339"/>
      <c r="CI2135" s="339"/>
      <c r="CJ2135" s="339"/>
      <c r="CK2135" s="339"/>
      <c r="CL2135" s="339"/>
      <c r="CM2135" s="339"/>
      <c r="CN2135" s="339"/>
      <c r="CO2135" s="339"/>
      <c r="CP2135" s="339"/>
      <c r="CQ2135" s="339"/>
      <c r="CR2135" s="339"/>
      <c r="CS2135" s="339"/>
      <c r="CT2135" s="339"/>
      <c r="CU2135" s="339"/>
      <c r="CV2135" s="339"/>
      <c r="CW2135" s="339"/>
      <c r="CX2135" s="339"/>
      <c r="CY2135" s="339"/>
      <c r="CZ2135" s="339"/>
      <c r="DA2135" s="339"/>
      <c r="DB2135" s="339"/>
      <c r="DC2135" s="339"/>
      <c r="DD2135" s="339"/>
      <c r="DE2135" s="339"/>
      <c r="DF2135" s="339"/>
      <c r="DG2135" s="339"/>
      <c r="DH2135" s="339"/>
    </row>
    <row r="2136">
      <c r="A2136" s="41">
        <v>2136.0</v>
      </c>
      <c r="B2136" s="53" t="s">
        <v>145</v>
      </c>
      <c r="C2136" s="338" t="s">
        <v>108</v>
      </c>
      <c r="D2136" s="338" t="s">
        <v>146</v>
      </c>
      <c r="E2136" s="339"/>
      <c r="F2136" s="53" t="s">
        <v>13143</v>
      </c>
      <c r="G2136" s="53" t="s">
        <v>13133</v>
      </c>
      <c r="H2136" s="340" t="s">
        <v>8522</v>
      </c>
      <c r="I2136" s="344" t="s">
        <v>8523</v>
      </c>
      <c r="J2136" s="43"/>
      <c r="K2136" s="357"/>
      <c r="L2136" s="53" t="s">
        <v>13147</v>
      </c>
      <c r="M2136" s="53" t="s">
        <v>13118</v>
      </c>
      <c r="N2136" s="53" t="s">
        <v>13119</v>
      </c>
      <c r="O2136" s="1685">
        <v>1.0</v>
      </c>
      <c r="P2136" s="340" t="s">
        <v>13120</v>
      </c>
      <c r="Q2136" s="105" t="str">
        <f t="array" ref="Q2136"> if(iserror(MATCH(V2136, 'File Links'!C:C, 0)), "N/A", HYPERLINK(INDEX('File Links'!B:B, MATCH(P2136, 'File Links'!C:C, 0))))</f>
        <v>N/A</v>
      </c>
      <c r="R2136" s="1689" t="s">
        <v>13121</v>
      </c>
      <c r="S2136" s="53" t="s">
        <v>13122</v>
      </c>
      <c r="T2136" s="1959" t="s">
        <v>131</v>
      </c>
      <c r="U2136" s="52" t="s">
        <v>13148</v>
      </c>
      <c r="V2136" s="340" t="s">
        <v>13123</v>
      </c>
      <c r="W2136" s="340" t="s">
        <v>13124</v>
      </c>
      <c r="X2136" s="46" t="str">
        <f t="array" ref="X2136"> if(iserror(MATCH(V2136, 'File Links'!C:C, 0)), "N/A", HYPERLINK(INDEX('File Links'!B:B, MATCH(V2136, 'File Links'!C:C, 0))))</f>
        <v>N/A</v>
      </c>
      <c r="Y2136" s="43"/>
      <c r="Z2136" s="340" t="s">
        <v>1593</v>
      </c>
      <c r="AA2136" s="53" t="s">
        <v>13137</v>
      </c>
      <c r="AB2136" s="340" t="s">
        <v>13138</v>
      </c>
      <c r="AC2136" s="340" t="s">
        <v>13149</v>
      </c>
      <c r="AD2136" s="340" t="s">
        <v>13150</v>
      </c>
      <c r="AE2136" s="340">
        <v>14.0</v>
      </c>
      <c r="AF2136" s="344">
        <v>44.0</v>
      </c>
      <c r="AG2136" s="344" t="s">
        <v>13151</v>
      </c>
      <c r="AH2136" s="340" t="s">
        <v>127</v>
      </c>
      <c r="AI2136" s="340" t="s">
        <v>2222</v>
      </c>
      <c r="AJ2136" s="344" t="s">
        <v>131</v>
      </c>
      <c r="AK2136" s="357"/>
      <c r="AL2136" s="340" t="s">
        <v>179</v>
      </c>
      <c r="AM2136" s="53" t="s">
        <v>130</v>
      </c>
      <c r="AN2136" s="43"/>
      <c r="AO2136" s="344">
        <v>96.0</v>
      </c>
      <c r="AP2136" s="348" t="s">
        <v>13152</v>
      </c>
      <c r="AQ2136" s="340" t="s">
        <v>127</v>
      </c>
      <c r="AR2136" s="340" t="s">
        <v>605</v>
      </c>
      <c r="AS2136" s="344">
        <v>0.51</v>
      </c>
      <c r="AT2136" s="340" t="s">
        <v>165</v>
      </c>
      <c r="AU2136" s="340" t="s">
        <v>129</v>
      </c>
      <c r="AV2136" s="53" t="s">
        <v>130</v>
      </c>
      <c r="AW2136" s="56"/>
      <c r="AX2136" s="53" t="s">
        <v>136</v>
      </c>
      <c r="AY2136" s="339"/>
      <c r="AZ2136" s="338" t="s">
        <v>8392</v>
      </c>
      <c r="BA2136" s="339"/>
      <c r="BB2136" s="339"/>
      <c r="BC2136" s="339"/>
      <c r="BD2136" s="339"/>
      <c r="BE2136" s="339"/>
      <c r="BF2136" s="339"/>
      <c r="BG2136" s="339"/>
      <c r="BH2136" s="339"/>
      <c r="BI2136" s="339"/>
      <c r="BJ2136" s="339"/>
      <c r="BK2136" s="339"/>
      <c r="BL2136" s="339"/>
      <c r="BM2136" s="339"/>
      <c r="BN2136" s="339"/>
      <c r="BO2136" s="339"/>
      <c r="BP2136" s="339"/>
      <c r="BQ2136" s="339"/>
      <c r="BR2136" s="339"/>
      <c r="BS2136" s="339"/>
      <c r="BT2136" s="339"/>
      <c r="BU2136" s="339"/>
      <c r="BV2136" s="339"/>
      <c r="BW2136" s="339"/>
      <c r="BX2136" s="339"/>
      <c r="BY2136" s="339"/>
      <c r="BZ2136" s="339"/>
      <c r="CA2136" s="339"/>
      <c r="CB2136" s="339"/>
      <c r="CC2136" s="339"/>
      <c r="CD2136" s="339"/>
      <c r="CE2136" s="339"/>
      <c r="CF2136" s="339"/>
      <c r="CG2136" s="339"/>
      <c r="CH2136" s="339"/>
      <c r="CI2136" s="339"/>
      <c r="CJ2136" s="339"/>
      <c r="CK2136" s="339"/>
      <c r="CL2136" s="339"/>
      <c r="CM2136" s="339"/>
      <c r="CN2136" s="339"/>
      <c r="CO2136" s="339"/>
      <c r="CP2136" s="339"/>
      <c r="CQ2136" s="339"/>
      <c r="CR2136" s="339"/>
      <c r="CS2136" s="339"/>
      <c r="CT2136" s="339"/>
      <c r="CU2136" s="339"/>
      <c r="CV2136" s="339"/>
      <c r="CW2136" s="339"/>
      <c r="CX2136" s="339"/>
      <c r="CY2136" s="339"/>
      <c r="CZ2136" s="339"/>
      <c r="DA2136" s="339"/>
      <c r="DB2136" s="339"/>
      <c r="DC2136" s="339"/>
      <c r="DD2136" s="339"/>
      <c r="DE2136" s="339"/>
      <c r="DF2136" s="339"/>
      <c r="DG2136" s="339"/>
      <c r="DH2136" s="339"/>
    </row>
    <row r="2137">
      <c r="A2137" s="41">
        <v>2137.0</v>
      </c>
      <c r="B2137" s="126" t="s">
        <v>107</v>
      </c>
      <c r="C2137" s="59" t="s">
        <v>108</v>
      </c>
      <c r="D2137" s="59" t="s">
        <v>1434</v>
      </c>
      <c r="F2137" s="65" t="s">
        <v>13153</v>
      </c>
      <c r="G2137" s="156" t="s">
        <v>13154</v>
      </c>
      <c r="H2137" s="156" t="s">
        <v>13155</v>
      </c>
      <c r="I2137" s="1284" t="s">
        <v>13156</v>
      </c>
      <c r="J2137" s="150">
        <v>45764.0</v>
      </c>
      <c r="K2137" s="65"/>
      <c r="L2137" s="126" t="s">
        <v>13157</v>
      </c>
      <c r="M2137" s="156" t="s">
        <v>13158</v>
      </c>
      <c r="N2137" s="156" t="s">
        <v>13159</v>
      </c>
      <c r="O2137" s="153">
        <v>1.0</v>
      </c>
      <c r="P2137" s="379" t="s">
        <v>13160</v>
      </c>
      <c r="Q2137" s="49" t="str">
        <f t="array" ref="Q2137"> if(iserror(MATCH(V2137, 'File Links'!C:C, 0)), "N/A", HYPERLINK(INDEX('File Links'!B:B, MATCH(P2137, 'File Links'!C:C, 0))))</f>
        <v>https://drive.google.com/file/d/1F6e63Lvx_picFSFjsYovkHAFanA2uAHa/view?usp=drivesdk</v>
      </c>
      <c r="R2137" s="156" t="s">
        <v>13161</v>
      </c>
      <c r="S2137" s="156" t="s">
        <v>13162</v>
      </c>
      <c r="T2137" s="65"/>
      <c r="U2137" s="153">
        <v>1.0</v>
      </c>
      <c r="V2137" s="379" t="s">
        <v>13163</v>
      </c>
      <c r="W2137" s="156" t="s">
        <v>13164</v>
      </c>
      <c r="X2137" s="51" t="str">
        <f t="array" ref="X2137"> if(iserror(MATCH(V2137, 'File Links'!C:C, 0)), "N/A", HYPERLINK(INDEX('File Links'!B:B, MATCH(V2137, 'File Links'!C:C, 0))))</f>
        <v>https://drive.google.com/file/d/1CVrT0V-MeqSfZShwoRY6MMjJJXISWk02/view?usp=drivesdk</v>
      </c>
      <c r="Y2137" s="65"/>
      <c r="Z2137" s="156" t="s">
        <v>12703</v>
      </c>
      <c r="AA2137" s="156" t="s">
        <v>7963</v>
      </c>
      <c r="AB2137" s="65" t="s">
        <v>13165</v>
      </c>
      <c r="AC2137" s="156" t="s">
        <v>13166</v>
      </c>
      <c r="AD2137" s="156" t="s">
        <v>13167</v>
      </c>
      <c r="AE2137" s="153">
        <v>4.0</v>
      </c>
      <c r="AF2137" s="153">
        <v>20.0</v>
      </c>
      <c r="AG2137" s="153">
        <v>0.22</v>
      </c>
      <c r="AH2137" s="156" t="s">
        <v>867</v>
      </c>
      <c r="AI2137" s="156" t="s">
        <v>843</v>
      </c>
      <c r="AJ2137" s="153">
        <v>0.035</v>
      </c>
      <c r="AK2137" s="156" t="s">
        <v>165</v>
      </c>
      <c r="AL2137" s="156" t="s">
        <v>179</v>
      </c>
      <c r="AM2137" s="156" t="s">
        <v>134</v>
      </c>
      <c r="AN2137" s="65" t="s">
        <v>131</v>
      </c>
      <c r="AO2137" s="153">
        <v>52.0</v>
      </c>
      <c r="AP2137" s="153">
        <v>0.25</v>
      </c>
      <c r="AQ2137" s="156" t="s">
        <v>166</v>
      </c>
      <c r="AR2137" s="156" t="s">
        <v>133</v>
      </c>
      <c r="AS2137" s="153">
        <v>0.083</v>
      </c>
      <c r="AT2137" s="156" t="s">
        <v>165</v>
      </c>
      <c r="AU2137" s="156" t="s">
        <v>179</v>
      </c>
      <c r="AV2137" s="1057" t="s">
        <v>134</v>
      </c>
      <c r="AW2137" s="432" t="s">
        <v>13168</v>
      </c>
      <c r="AX2137" s="156" t="s">
        <v>136</v>
      </c>
      <c r="AY2137" s="65"/>
      <c r="AZ2137" s="59" t="s">
        <v>5061</v>
      </c>
    </row>
    <row r="2138">
      <c r="A2138" s="41">
        <v>2138.0</v>
      </c>
      <c r="B2138" s="126" t="s">
        <v>145</v>
      </c>
      <c r="C2138" s="59" t="s">
        <v>108</v>
      </c>
      <c r="D2138" s="59" t="s">
        <v>146</v>
      </c>
      <c r="F2138" s="126" t="s">
        <v>13153</v>
      </c>
      <c r="G2138" s="126" t="s">
        <v>13169</v>
      </c>
      <c r="H2138" s="148" t="s">
        <v>8522</v>
      </c>
      <c r="I2138" s="158" t="s">
        <v>8523</v>
      </c>
      <c r="J2138" s="150">
        <v>45764.0</v>
      </c>
      <c r="K2138" s="148" t="s">
        <v>13170</v>
      </c>
      <c r="L2138" s="65"/>
      <c r="M2138" s="126" t="s">
        <v>13158</v>
      </c>
      <c r="N2138" s="126" t="s">
        <v>13159</v>
      </c>
      <c r="O2138" s="1090">
        <v>1.0</v>
      </c>
      <c r="P2138" s="306" t="s">
        <v>13160</v>
      </c>
      <c r="Q2138" s="49" t="str">
        <f t="array" ref="Q2138"> if(iserror(MATCH(V2138, 'File Links'!C:C, 0)), "N/A", HYPERLINK(INDEX('File Links'!B:B, MATCH(P2138, 'File Links'!C:C, 0))))</f>
        <v>https://drive.google.com/file/d/1F6e63Lvx_picFSFjsYovkHAFanA2uAHa/view?usp=drivesdk</v>
      </c>
      <c r="R2138" s="1689" t="s">
        <v>13161</v>
      </c>
      <c r="S2138" s="126" t="s">
        <v>13162</v>
      </c>
      <c r="T2138" s="1371"/>
      <c r="U2138" s="1090">
        <v>1.0</v>
      </c>
      <c r="V2138" s="148" t="s">
        <v>13163</v>
      </c>
      <c r="W2138" s="148" t="s">
        <v>917</v>
      </c>
      <c r="X2138" s="51" t="str">
        <f t="array" ref="X2138"> if(iserror(MATCH(V2138, 'File Links'!C:C, 0)), "N/A", HYPERLINK(INDEX('File Links'!B:B, MATCH(V2138, 'File Links'!C:C, 0))))</f>
        <v>https://drive.google.com/file/d/1CVrT0V-MeqSfZShwoRY6MMjJJXISWk02/view?usp=drivesdk</v>
      </c>
      <c r="Y2138" s="65"/>
      <c r="Z2138" s="148" t="s">
        <v>1593</v>
      </c>
      <c r="AA2138" s="126" t="s">
        <v>13171</v>
      </c>
      <c r="AB2138" s="148" t="s">
        <v>13172</v>
      </c>
      <c r="AC2138" s="148" t="s">
        <v>13173</v>
      </c>
      <c r="AD2138" s="148" t="s">
        <v>13174</v>
      </c>
      <c r="AE2138" s="148">
        <v>4.0</v>
      </c>
      <c r="AF2138" s="158">
        <v>20.0</v>
      </c>
      <c r="AG2138" s="158">
        <v>0.22</v>
      </c>
      <c r="AH2138" s="156" t="s">
        <v>867</v>
      </c>
      <c r="AI2138" s="148" t="s">
        <v>843</v>
      </c>
      <c r="AJ2138" s="158">
        <v>0.035</v>
      </c>
      <c r="AK2138" s="148" t="s">
        <v>165</v>
      </c>
      <c r="AL2138" s="1112" t="s">
        <v>179</v>
      </c>
      <c r="AM2138" s="1112" t="s">
        <v>134</v>
      </c>
      <c r="AN2138" s="1296" t="s">
        <v>131</v>
      </c>
      <c r="AO2138" s="158">
        <v>54.0</v>
      </c>
      <c r="AP2138" s="158">
        <v>0.25</v>
      </c>
      <c r="AQ2138" s="148" t="s">
        <v>166</v>
      </c>
      <c r="AR2138" s="148" t="s">
        <v>133</v>
      </c>
      <c r="AS2138" s="158">
        <v>0.083</v>
      </c>
      <c r="AT2138" s="148" t="s">
        <v>165</v>
      </c>
      <c r="AU2138" s="1112" t="s">
        <v>179</v>
      </c>
      <c r="AV2138" s="126" t="s">
        <v>130</v>
      </c>
      <c r="AW2138" s="1790" t="s">
        <v>13175</v>
      </c>
      <c r="AX2138" s="126" t="s">
        <v>136</v>
      </c>
      <c r="AZ2138" s="59" t="s">
        <v>5061</v>
      </c>
    </row>
    <row r="2139">
      <c r="A2139" s="41">
        <v>2139.0</v>
      </c>
      <c r="B2139" s="126" t="s">
        <v>516</v>
      </c>
      <c r="C2139" s="59" t="s">
        <v>108</v>
      </c>
      <c r="D2139" s="59" t="s">
        <v>146</v>
      </c>
      <c r="F2139" s="126" t="s">
        <v>13153</v>
      </c>
      <c r="G2139" s="126" t="s">
        <v>13176</v>
      </c>
      <c r="H2139" s="148" t="s">
        <v>8522</v>
      </c>
      <c r="I2139" s="158" t="s">
        <v>8523</v>
      </c>
      <c r="J2139" s="65"/>
      <c r="K2139" s="148" t="s">
        <v>13170</v>
      </c>
      <c r="L2139" s="65"/>
      <c r="M2139" s="126" t="s">
        <v>13158</v>
      </c>
      <c r="N2139" s="126" t="s">
        <v>13159</v>
      </c>
      <c r="O2139" s="333"/>
      <c r="P2139" s="306" t="s">
        <v>13160</v>
      </c>
      <c r="Q2139" s="49" t="str">
        <f t="array" ref="Q2139"> if(iserror(MATCH(V2139, 'File Links'!C:C, 0)), "N/A", HYPERLINK(INDEX('File Links'!B:B, MATCH(P2139, 'File Links'!C:C, 0))))</f>
        <v>https://drive.google.com/file/d/1F6e63Lvx_picFSFjsYovkHAFanA2uAHa/view?usp=drivesdk</v>
      </c>
      <c r="R2139" s="1689" t="s">
        <v>13161</v>
      </c>
      <c r="S2139" s="126" t="s">
        <v>13162</v>
      </c>
      <c r="T2139" s="1371"/>
      <c r="U2139" s="333"/>
      <c r="V2139" s="148" t="s">
        <v>13163</v>
      </c>
      <c r="W2139" s="148" t="s">
        <v>917</v>
      </c>
      <c r="X2139" s="51" t="str">
        <f t="array" ref="X2139"> if(iserror(MATCH(V2139, 'File Links'!C:C, 0)), "N/A", HYPERLINK(INDEX('File Links'!B:B, MATCH(V2139, 'File Links'!C:C, 0))))</f>
        <v>https://drive.google.com/file/d/1CVrT0V-MeqSfZShwoRY6MMjJJXISWk02/view?usp=drivesdk</v>
      </c>
      <c r="Y2139" s="65"/>
      <c r="Z2139" s="148" t="s">
        <v>1593</v>
      </c>
      <c r="AA2139" s="126" t="s">
        <v>13171</v>
      </c>
      <c r="AB2139" s="148" t="s">
        <v>13177</v>
      </c>
      <c r="AC2139" s="148" t="s">
        <v>13178</v>
      </c>
      <c r="AD2139" s="148" t="s">
        <v>13179</v>
      </c>
      <c r="AE2139" s="148">
        <v>4.0</v>
      </c>
      <c r="AF2139" s="158">
        <v>20.0</v>
      </c>
      <c r="AG2139" s="158" t="s">
        <v>131</v>
      </c>
      <c r="AH2139" s="156"/>
      <c r="AI2139" s="148" t="s">
        <v>843</v>
      </c>
      <c r="AJ2139" s="158">
        <v>0.05</v>
      </c>
      <c r="AK2139" s="148" t="s">
        <v>328</v>
      </c>
      <c r="AL2139" s="148" t="s">
        <v>129</v>
      </c>
      <c r="AM2139" s="126" t="s">
        <v>130</v>
      </c>
      <c r="AN2139" s="65"/>
      <c r="AO2139" s="158">
        <v>54.0</v>
      </c>
      <c r="AP2139" s="158">
        <v>1.515</v>
      </c>
      <c r="AQ2139" s="148" t="s">
        <v>166</v>
      </c>
      <c r="AR2139" s="148" t="s">
        <v>133</v>
      </c>
      <c r="AS2139" s="153"/>
      <c r="AT2139" s="156"/>
      <c r="AU2139" s="148" t="s">
        <v>129</v>
      </c>
      <c r="AV2139" s="126" t="s">
        <v>130</v>
      </c>
      <c r="AW2139" s="1790" t="s">
        <v>13175</v>
      </c>
      <c r="AX2139" s="126" t="s">
        <v>136</v>
      </c>
    </row>
    <row r="2140">
      <c r="A2140" s="41">
        <v>2140.0</v>
      </c>
      <c r="B2140" s="126" t="s">
        <v>516</v>
      </c>
      <c r="C2140" s="59" t="s">
        <v>108</v>
      </c>
      <c r="D2140" s="59" t="s">
        <v>146</v>
      </c>
      <c r="F2140" s="126" t="s">
        <v>13153</v>
      </c>
      <c r="G2140" s="126" t="s">
        <v>13180</v>
      </c>
      <c r="H2140" s="148" t="s">
        <v>8522</v>
      </c>
      <c r="I2140" s="158" t="s">
        <v>8523</v>
      </c>
      <c r="J2140" s="65"/>
      <c r="K2140" s="148" t="s">
        <v>13170</v>
      </c>
      <c r="L2140" s="65"/>
      <c r="M2140" s="126" t="s">
        <v>13158</v>
      </c>
      <c r="N2140" s="126" t="s">
        <v>13159</v>
      </c>
      <c r="O2140" s="333"/>
      <c r="P2140" s="306" t="s">
        <v>13160</v>
      </c>
      <c r="Q2140" s="49" t="str">
        <f t="array" ref="Q2140"> if(iserror(MATCH(V2140, 'File Links'!C:C, 0)), "N/A", HYPERLINK(INDEX('File Links'!B:B, MATCH(P2140, 'File Links'!C:C, 0))))</f>
        <v>https://drive.google.com/file/d/1F6e63Lvx_picFSFjsYovkHAFanA2uAHa/view?usp=drivesdk</v>
      </c>
      <c r="R2140" s="1689" t="s">
        <v>13161</v>
      </c>
      <c r="S2140" s="126" t="s">
        <v>13162</v>
      </c>
      <c r="T2140" s="1371"/>
      <c r="U2140" s="333"/>
      <c r="V2140" s="148" t="s">
        <v>13163</v>
      </c>
      <c r="W2140" s="148" t="s">
        <v>917</v>
      </c>
      <c r="X2140" s="51" t="str">
        <f t="array" ref="X2140"> if(iserror(MATCH(V2140, 'File Links'!C:C, 0)), "N/A", HYPERLINK(INDEX('File Links'!B:B, MATCH(V2140, 'File Links'!C:C, 0))))</f>
        <v>https://drive.google.com/file/d/1CVrT0V-MeqSfZShwoRY6MMjJJXISWk02/view?usp=drivesdk</v>
      </c>
      <c r="Y2140" s="65"/>
      <c r="Z2140" s="148" t="s">
        <v>1593</v>
      </c>
      <c r="AA2140" s="126" t="s">
        <v>13171</v>
      </c>
      <c r="AB2140" s="148" t="s">
        <v>13177</v>
      </c>
      <c r="AC2140" s="156"/>
      <c r="AD2140" s="156"/>
      <c r="AE2140" s="148">
        <v>4.0</v>
      </c>
      <c r="AF2140" s="158">
        <v>20.0</v>
      </c>
      <c r="AG2140" s="158" t="s">
        <v>131</v>
      </c>
      <c r="AH2140" s="156"/>
      <c r="AI2140" s="148" t="s">
        <v>843</v>
      </c>
      <c r="AJ2140" s="153"/>
      <c r="AK2140" s="156"/>
      <c r="AL2140" s="156"/>
      <c r="AM2140" s="65"/>
      <c r="AN2140" s="65"/>
      <c r="AO2140" s="158">
        <v>54.0</v>
      </c>
      <c r="AP2140" s="158">
        <v>0.95</v>
      </c>
      <c r="AQ2140" s="148" t="s">
        <v>166</v>
      </c>
      <c r="AR2140" s="148" t="s">
        <v>133</v>
      </c>
      <c r="AS2140" s="158">
        <v>0.001</v>
      </c>
      <c r="AT2140" s="148" t="s">
        <v>128</v>
      </c>
      <c r="AU2140" s="148" t="s">
        <v>129</v>
      </c>
      <c r="AV2140" s="126" t="s">
        <v>130</v>
      </c>
      <c r="AW2140" s="1790" t="s">
        <v>13175</v>
      </c>
      <c r="AX2140" s="126" t="s">
        <v>136</v>
      </c>
    </row>
    <row r="2141">
      <c r="A2141" s="41">
        <v>2141.0</v>
      </c>
      <c r="B2141" s="126" t="s">
        <v>516</v>
      </c>
      <c r="C2141" s="59" t="s">
        <v>108</v>
      </c>
      <c r="D2141" s="59" t="s">
        <v>146</v>
      </c>
      <c r="F2141" s="126" t="s">
        <v>13153</v>
      </c>
      <c r="G2141" s="126" t="s">
        <v>13181</v>
      </c>
      <c r="H2141" s="148" t="s">
        <v>8522</v>
      </c>
      <c r="I2141" s="158" t="s">
        <v>8523</v>
      </c>
      <c r="J2141" s="65"/>
      <c r="K2141" s="148" t="s">
        <v>13170</v>
      </c>
      <c r="L2141" s="65"/>
      <c r="M2141" s="126" t="s">
        <v>13158</v>
      </c>
      <c r="N2141" s="126" t="s">
        <v>13159</v>
      </c>
      <c r="O2141" s="333"/>
      <c r="P2141" s="306" t="s">
        <v>13160</v>
      </c>
      <c r="Q2141" s="49" t="str">
        <f t="array" ref="Q2141"> if(iserror(MATCH(V2141, 'File Links'!C:C, 0)), "N/A", HYPERLINK(INDEX('File Links'!B:B, MATCH(P2141, 'File Links'!C:C, 0))))</f>
        <v>https://drive.google.com/file/d/1F6e63Lvx_picFSFjsYovkHAFanA2uAHa/view?usp=drivesdk</v>
      </c>
      <c r="R2141" s="1689" t="s">
        <v>13161</v>
      </c>
      <c r="S2141" s="126" t="s">
        <v>13162</v>
      </c>
      <c r="T2141" s="1371"/>
      <c r="U2141" s="333"/>
      <c r="V2141" s="148" t="s">
        <v>13163</v>
      </c>
      <c r="W2141" s="148" t="s">
        <v>917</v>
      </c>
      <c r="X2141" s="51" t="str">
        <f t="array" ref="X2141"> if(iserror(MATCH(V2141, 'File Links'!C:C, 0)), "N/A", HYPERLINK(INDEX('File Links'!B:B, MATCH(V2141, 'File Links'!C:C, 0))))</f>
        <v>https://drive.google.com/file/d/1CVrT0V-MeqSfZShwoRY6MMjJJXISWk02/view?usp=drivesdk</v>
      </c>
      <c r="Y2141" s="65"/>
      <c r="Z2141" s="148" t="s">
        <v>1593</v>
      </c>
      <c r="AA2141" s="126" t="s">
        <v>13171</v>
      </c>
      <c r="AB2141" s="148" t="s">
        <v>13177</v>
      </c>
      <c r="AC2141" s="156"/>
      <c r="AD2141" s="156"/>
      <c r="AE2141" s="148">
        <v>4.0</v>
      </c>
      <c r="AF2141" s="158">
        <v>20.0</v>
      </c>
      <c r="AG2141" s="158" t="s">
        <v>131</v>
      </c>
      <c r="AH2141" s="156"/>
      <c r="AI2141" s="148" t="s">
        <v>843</v>
      </c>
      <c r="AJ2141" s="153"/>
      <c r="AK2141" s="156"/>
      <c r="AL2141" s="156"/>
      <c r="AM2141" s="65"/>
      <c r="AN2141" s="65"/>
      <c r="AO2141" s="158">
        <v>54.0</v>
      </c>
      <c r="AP2141" s="158">
        <v>-0.54</v>
      </c>
      <c r="AQ2141" s="148" t="s">
        <v>166</v>
      </c>
      <c r="AR2141" s="148" t="s">
        <v>133</v>
      </c>
      <c r="AS2141" s="158">
        <v>0.015</v>
      </c>
      <c r="AT2141" s="148" t="s">
        <v>165</v>
      </c>
      <c r="AU2141" s="148" t="s">
        <v>129</v>
      </c>
      <c r="AV2141" s="126" t="s">
        <v>130</v>
      </c>
      <c r="AW2141" s="1790" t="s">
        <v>13175</v>
      </c>
      <c r="AX2141" s="126" t="s">
        <v>136</v>
      </c>
    </row>
    <row r="2142">
      <c r="A2142" s="41">
        <v>2142.0</v>
      </c>
      <c r="B2142" s="144" t="s">
        <v>516</v>
      </c>
      <c r="C2142" s="146" t="s">
        <v>108</v>
      </c>
      <c r="D2142" s="146" t="s">
        <v>1434</v>
      </c>
      <c r="E2142" s="69"/>
      <c r="F2142" s="108" t="s">
        <v>13182</v>
      </c>
      <c r="G2142" s="119" t="s">
        <v>13183</v>
      </c>
      <c r="H2142" s="119" t="s">
        <v>13184</v>
      </c>
      <c r="I2142" s="1395" t="s">
        <v>13156</v>
      </c>
      <c r="J2142" s="414">
        <v>45712.0</v>
      </c>
      <c r="K2142" s="108"/>
      <c r="L2142" s="119" t="s">
        <v>13185</v>
      </c>
      <c r="M2142" s="119" t="s">
        <v>13186</v>
      </c>
      <c r="N2142" s="119" t="s">
        <v>13187</v>
      </c>
      <c r="O2142" s="534">
        <v>1.0</v>
      </c>
      <c r="P2142" s="119" t="s">
        <v>13188</v>
      </c>
      <c r="Q2142" s="49" t="str">
        <f t="array" ref="Q2142"> if(iserror(MATCH(V2142, 'File Links'!C:C, 0)), "N/A", HYPERLINK(INDEX('File Links'!B:B, MATCH(P2142, 'File Links'!C:C, 0))))</f>
        <v>https://drive.google.com/file/d/156tAE8v5cFhpA2JE6GA1a7Ktomq0eLYG/view?usp=drivesdk</v>
      </c>
      <c r="R2142" s="119" t="s">
        <v>13189</v>
      </c>
      <c r="S2142" s="119" t="s">
        <v>13190</v>
      </c>
      <c r="T2142" s="108"/>
      <c r="U2142" s="534">
        <v>2.0</v>
      </c>
      <c r="V2142" s="119" t="s">
        <v>13191</v>
      </c>
      <c r="W2142" s="119" t="s">
        <v>13192</v>
      </c>
      <c r="X2142" s="51" t="str">
        <f t="array" ref="X2142"> if(iserror(MATCH(V2142, 'File Links'!C:C, 0)), "N/A", HYPERLINK(INDEX('File Links'!B:B, MATCH(V2142, 'File Links'!C:C, 0))))</f>
        <v>https://drive.google.com/file/d/12vr4IdpuKGHum4clozdFiyxIbQP3jx5f/view?usp=drivesdk</v>
      </c>
      <c r="Y2142" s="108"/>
      <c r="Z2142" s="119" t="s">
        <v>12703</v>
      </c>
      <c r="AA2142" s="119" t="s">
        <v>13193</v>
      </c>
      <c r="AB2142" s="108" t="s">
        <v>13194</v>
      </c>
      <c r="AC2142" s="119" t="s">
        <v>13195</v>
      </c>
      <c r="AD2142" s="119" t="s">
        <v>13196</v>
      </c>
      <c r="AE2142" s="534">
        <v>6.0</v>
      </c>
      <c r="AF2142" s="534">
        <v>373.0</v>
      </c>
      <c r="AG2142" s="534">
        <v>0.53</v>
      </c>
      <c r="AH2142" s="119" t="s">
        <v>354</v>
      </c>
      <c r="AI2142" s="119" t="s">
        <v>133</v>
      </c>
      <c r="AJ2142" s="534">
        <v>0.05</v>
      </c>
      <c r="AK2142" s="119" t="s">
        <v>128</v>
      </c>
      <c r="AL2142" s="119" t="s">
        <v>179</v>
      </c>
      <c r="AM2142" s="119" t="s">
        <v>134</v>
      </c>
      <c r="AN2142" s="108" t="s">
        <v>131</v>
      </c>
      <c r="AO2142" s="534">
        <v>582.0</v>
      </c>
      <c r="AP2142" s="534">
        <v>-0.03</v>
      </c>
      <c r="AQ2142" s="119" t="s">
        <v>354</v>
      </c>
      <c r="AR2142" s="119" t="s">
        <v>133</v>
      </c>
      <c r="AS2142" s="534">
        <v>0.592</v>
      </c>
      <c r="AT2142" s="119" t="s">
        <v>165</v>
      </c>
      <c r="AU2142" s="119" t="s">
        <v>179</v>
      </c>
      <c r="AV2142" s="119" t="s">
        <v>134</v>
      </c>
      <c r="AW2142" s="108" t="s">
        <v>131</v>
      </c>
      <c r="AX2142" s="119" t="s">
        <v>136</v>
      </c>
      <c r="AY2142" s="108"/>
      <c r="AZ2142" s="1060" t="s">
        <v>13197</v>
      </c>
      <c r="BA2142" s="69"/>
      <c r="BB2142" s="69"/>
      <c r="BC2142" s="69"/>
      <c r="BD2142" s="69"/>
      <c r="BE2142" s="69"/>
      <c r="BF2142" s="69"/>
      <c r="BG2142" s="69"/>
      <c r="BH2142" s="69"/>
      <c r="BI2142" s="69"/>
      <c r="BJ2142" s="69"/>
      <c r="BK2142" s="69"/>
      <c r="BL2142" s="69"/>
      <c r="BM2142" s="69"/>
      <c r="BN2142" s="69"/>
      <c r="BO2142" s="69"/>
      <c r="BP2142" s="69"/>
      <c r="BQ2142" s="69"/>
      <c r="BR2142" s="69"/>
      <c r="BS2142" s="69"/>
      <c r="BT2142" s="69"/>
      <c r="BU2142" s="69"/>
      <c r="BV2142" s="69"/>
      <c r="BW2142" s="69"/>
      <c r="BX2142" s="69"/>
      <c r="BY2142" s="69"/>
      <c r="BZ2142" s="69"/>
      <c r="CA2142" s="69"/>
      <c r="CB2142" s="69"/>
      <c r="CC2142" s="69"/>
      <c r="CD2142" s="69"/>
      <c r="CE2142" s="69"/>
      <c r="CF2142" s="69"/>
      <c r="CG2142" s="69"/>
      <c r="CH2142" s="69"/>
      <c r="CI2142" s="69"/>
      <c r="CJ2142" s="69"/>
      <c r="CK2142" s="69"/>
      <c r="CL2142" s="69"/>
      <c r="CM2142" s="69"/>
      <c r="CN2142" s="69"/>
      <c r="CO2142" s="69"/>
      <c r="CP2142" s="69"/>
      <c r="CQ2142" s="69"/>
      <c r="CR2142" s="69"/>
      <c r="CS2142" s="69"/>
      <c r="CT2142" s="69"/>
      <c r="CU2142" s="69"/>
      <c r="CV2142" s="69"/>
      <c r="CW2142" s="69"/>
      <c r="CX2142" s="69"/>
      <c r="CY2142" s="69"/>
      <c r="CZ2142" s="69"/>
      <c r="DA2142" s="69"/>
      <c r="DB2142" s="69"/>
      <c r="DC2142" s="69"/>
      <c r="DD2142" s="69"/>
      <c r="DE2142" s="69"/>
      <c r="DF2142" s="69"/>
      <c r="DG2142" s="69"/>
      <c r="DH2142" s="69"/>
    </row>
    <row r="2143">
      <c r="A2143" s="41">
        <v>2143.0</v>
      </c>
      <c r="B2143" s="144" t="s">
        <v>516</v>
      </c>
      <c r="C2143" s="146" t="s">
        <v>108</v>
      </c>
      <c r="D2143" s="146" t="s">
        <v>146</v>
      </c>
      <c r="E2143" s="69"/>
      <c r="F2143" s="144" t="s">
        <v>13182</v>
      </c>
      <c r="G2143" s="144" t="s">
        <v>13198</v>
      </c>
      <c r="H2143" s="113" t="s">
        <v>8522</v>
      </c>
      <c r="I2143" s="680" t="s">
        <v>8523</v>
      </c>
      <c r="J2143" s="108"/>
      <c r="K2143" s="113" t="s">
        <v>13199</v>
      </c>
      <c r="L2143" s="144" t="s">
        <v>13185</v>
      </c>
      <c r="M2143" s="144" t="s">
        <v>13186</v>
      </c>
      <c r="N2143" s="144" t="s">
        <v>13187</v>
      </c>
      <c r="O2143" s="1161">
        <v>1.0</v>
      </c>
      <c r="P2143" s="113" t="s">
        <v>13188</v>
      </c>
      <c r="Q2143" s="49" t="str">
        <f t="array" ref="Q2143"> if(iserror(MATCH(V2143, 'File Links'!C:C, 0)), "N/A", HYPERLINK(INDEX('File Links'!B:B, MATCH(P2143, 'File Links'!C:C, 0))))</f>
        <v>https://drive.google.com/file/d/156tAE8v5cFhpA2JE6GA1a7Ktomq0eLYG/view?usp=drivesdk</v>
      </c>
      <c r="R2143" s="1753" t="s">
        <v>13189</v>
      </c>
      <c r="S2143" s="144" t="s">
        <v>13190</v>
      </c>
      <c r="T2143" s="1960"/>
      <c r="U2143" s="1161">
        <v>2.0</v>
      </c>
      <c r="V2143" s="113" t="s">
        <v>13191</v>
      </c>
      <c r="W2143" s="113" t="s">
        <v>13192</v>
      </c>
      <c r="X2143" s="51" t="str">
        <f t="array" ref="X2143"> if(iserror(MATCH(V2143, 'File Links'!C:C, 0)), "N/A", HYPERLINK(INDEX('File Links'!B:B, MATCH(V2143, 'File Links'!C:C, 0))))</f>
        <v>https://drive.google.com/file/d/12vr4IdpuKGHum4clozdFiyxIbQP3jx5f/view?usp=drivesdk</v>
      </c>
      <c r="Y2143" s="108"/>
      <c r="Z2143" s="113" t="s">
        <v>1593</v>
      </c>
      <c r="AA2143" s="144" t="s">
        <v>13200</v>
      </c>
      <c r="AB2143" s="113" t="s">
        <v>13201</v>
      </c>
      <c r="AC2143" s="113" t="s">
        <v>13202</v>
      </c>
      <c r="AD2143" s="113" t="s">
        <v>13203</v>
      </c>
      <c r="AE2143" s="113">
        <v>6.0</v>
      </c>
      <c r="AF2143" s="680">
        <v>373.0</v>
      </c>
      <c r="AG2143" s="680">
        <v>0.17</v>
      </c>
      <c r="AH2143" s="113" t="s">
        <v>980</v>
      </c>
      <c r="AI2143" s="113" t="s">
        <v>133</v>
      </c>
      <c r="AJ2143" s="680">
        <v>0.05</v>
      </c>
      <c r="AK2143" s="113" t="s">
        <v>128</v>
      </c>
      <c r="AL2143" s="113" t="s">
        <v>211</v>
      </c>
      <c r="AM2143" s="144" t="s">
        <v>130</v>
      </c>
      <c r="AN2143" s="108"/>
      <c r="AO2143" s="680">
        <v>582.0</v>
      </c>
      <c r="AP2143" s="680">
        <v>0.02</v>
      </c>
      <c r="AQ2143" s="113" t="s">
        <v>980</v>
      </c>
      <c r="AR2143" s="113" t="s">
        <v>133</v>
      </c>
      <c r="AS2143" s="680">
        <v>0.763</v>
      </c>
      <c r="AT2143" s="113" t="s">
        <v>165</v>
      </c>
      <c r="AU2143" s="113" t="s">
        <v>211</v>
      </c>
      <c r="AV2143" s="144" t="s">
        <v>130</v>
      </c>
      <c r="AW2143" s="1961" t="s">
        <v>131</v>
      </c>
      <c r="AX2143" s="144" t="s">
        <v>144</v>
      </c>
      <c r="AY2143" s="69"/>
      <c r="AZ2143" s="1060" t="s">
        <v>13197</v>
      </c>
      <c r="BA2143" s="69"/>
      <c r="BB2143" s="69"/>
      <c r="BC2143" s="69"/>
      <c r="BD2143" s="69"/>
      <c r="BE2143" s="69"/>
      <c r="BF2143" s="69"/>
      <c r="BG2143" s="69"/>
      <c r="BH2143" s="69"/>
      <c r="BI2143" s="69"/>
      <c r="BJ2143" s="69"/>
      <c r="BK2143" s="69"/>
      <c r="BL2143" s="69"/>
      <c r="BM2143" s="69"/>
      <c r="BN2143" s="69"/>
      <c r="BO2143" s="69"/>
      <c r="BP2143" s="69"/>
      <c r="BQ2143" s="69"/>
      <c r="BR2143" s="69"/>
      <c r="BS2143" s="69"/>
      <c r="BT2143" s="69"/>
      <c r="BU2143" s="69"/>
      <c r="BV2143" s="69"/>
      <c r="BW2143" s="69"/>
      <c r="BX2143" s="69"/>
      <c r="BY2143" s="69"/>
      <c r="BZ2143" s="69"/>
      <c r="CA2143" s="69"/>
      <c r="CB2143" s="69"/>
      <c r="CC2143" s="69"/>
      <c r="CD2143" s="69"/>
      <c r="CE2143" s="69"/>
      <c r="CF2143" s="69"/>
      <c r="CG2143" s="69"/>
      <c r="CH2143" s="69"/>
      <c r="CI2143" s="69"/>
      <c r="CJ2143" s="69"/>
      <c r="CK2143" s="69"/>
      <c r="CL2143" s="69"/>
      <c r="CM2143" s="69"/>
      <c r="CN2143" s="69"/>
      <c r="CO2143" s="69"/>
      <c r="CP2143" s="69"/>
      <c r="CQ2143" s="69"/>
      <c r="CR2143" s="69"/>
      <c r="CS2143" s="69"/>
      <c r="CT2143" s="69"/>
      <c r="CU2143" s="69"/>
      <c r="CV2143" s="69"/>
      <c r="CW2143" s="69"/>
      <c r="CX2143" s="69"/>
      <c r="CY2143" s="69"/>
      <c r="CZ2143" s="69"/>
      <c r="DA2143" s="69"/>
      <c r="DB2143" s="69"/>
      <c r="DC2143" s="69"/>
      <c r="DD2143" s="69"/>
      <c r="DE2143" s="69"/>
      <c r="DF2143" s="69"/>
      <c r="DG2143" s="69"/>
      <c r="DH2143" s="69"/>
    </row>
    <row r="2144">
      <c r="A2144" s="41">
        <v>2144.0</v>
      </c>
      <c r="B2144" s="126" t="s">
        <v>107</v>
      </c>
      <c r="C2144" s="59" t="s">
        <v>108</v>
      </c>
      <c r="D2144" s="59" t="s">
        <v>241</v>
      </c>
      <c r="F2144" s="65" t="s">
        <v>13204</v>
      </c>
      <c r="G2144" s="65" t="s">
        <v>13205</v>
      </c>
      <c r="H2144" s="65" t="s">
        <v>242</v>
      </c>
      <c r="I2144" s="526">
        <v>45713.0</v>
      </c>
      <c r="J2144" s="537">
        <v>45762.0</v>
      </c>
      <c r="K2144" s="65" t="s">
        <v>13206</v>
      </c>
      <c r="L2144" s="126" t="s">
        <v>13207</v>
      </c>
      <c r="M2144" s="65" t="s">
        <v>12697</v>
      </c>
      <c r="N2144" s="65" t="s">
        <v>12698</v>
      </c>
      <c r="O2144" s="333">
        <v>2.0</v>
      </c>
      <c r="P2144" s="570" t="s">
        <v>12699</v>
      </c>
      <c r="Q2144" s="49" t="str">
        <f t="array" ref="Q2144"> if(iserror(MATCH(V2144, 'File Links'!C:C, 0)), "N/A", HYPERLINK(INDEX('File Links'!B:B, MATCH(P2144, 'File Links'!C:C, 0))))</f>
        <v>https://drive.google.com/file/d/1qBoMlGJSxfD9Le6GQLq29-E2xuX5NtUI/view?usp=drivesdk</v>
      </c>
      <c r="R2144" s="65" t="s">
        <v>13208</v>
      </c>
      <c r="S2144" s="65" t="s">
        <v>12701</v>
      </c>
      <c r="T2144" s="65"/>
      <c r="U2144" s="333">
        <v>1.0</v>
      </c>
      <c r="V2144" s="570" t="s">
        <v>12702</v>
      </c>
      <c r="W2144" s="65" t="s">
        <v>7816</v>
      </c>
      <c r="X2144" s="51" t="str">
        <f t="array" ref="X2144"> if(iserror(MATCH(V2144, 'File Links'!C:C, 0)), "N/A", HYPERLINK(INDEX('File Links'!B:B, MATCH(V2144, 'File Links'!C:C, 0))))</f>
        <v>https://drive.google.com/file/d/1gqkCLQ8YLn27JACJIv51ycR1U6cUfNAJ/view?usp=drivesdk</v>
      </c>
      <c r="Y2144" s="65"/>
      <c r="Z2144" s="65" t="s">
        <v>12703</v>
      </c>
      <c r="AA2144" s="65" t="s">
        <v>13209</v>
      </c>
      <c r="AB2144" s="65" t="s">
        <v>13210</v>
      </c>
      <c r="AC2144" s="65" t="s">
        <v>12706</v>
      </c>
      <c r="AD2144" s="126" t="s">
        <v>13211</v>
      </c>
      <c r="AE2144" s="333">
        <v>2.0</v>
      </c>
      <c r="AF2144" s="333">
        <v>44.0</v>
      </c>
      <c r="AG2144" s="333">
        <v>0.12</v>
      </c>
      <c r="AH2144" s="65" t="s">
        <v>867</v>
      </c>
      <c r="AI2144" s="65" t="s">
        <v>2764</v>
      </c>
      <c r="AJ2144" s="333">
        <v>0.05</v>
      </c>
      <c r="AK2144" s="65" t="s">
        <v>128</v>
      </c>
      <c r="AL2144" s="65" t="s">
        <v>179</v>
      </c>
      <c r="AM2144" s="65" t="s">
        <v>130</v>
      </c>
      <c r="AN2144" s="65" t="s">
        <v>131</v>
      </c>
      <c r="AO2144" s="333">
        <v>69.0</v>
      </c>
      <c r="AP2144" s="333">
        <v>0.04</v>
      </c>
      <c r="AQ2144" s="65" t="s">
        <v>166</v>
      </c>
      <c r="AR2144" s="65" t="s">
        <v>125</v>
      </c>
      <c r="AS2144" s="333">
        <v>0.443</v>
      </c>
      <c r="AT2144" s="65" t="s">
        <v>165</v>
      </c>
      <c r="AU2144" s="65" t="s">
        <v>211</v>
      </c>
      <c r="AV2144" s="65" t="s">
        <v>130</v>
      </c>
      <c r="AW2144" s="65" t="s">
        <v>131</v>
      </c>
      <c r="AX2144" s="65" t="s">
        <v>136</v>
      </c>
      <c r="AZ2144" s="59" t="s">
        <v>5061</v>
      </c>
    </row>
    <row r="2145">
      <c r="A2145" s="41">
        <v>2145.0</v>
      </c>
      <c r="B2145" s="126" t="s">
        <v>145</v>
      </c>
      <c r="C2145" s="59" t="s">
        <v>108</v>
      </c>
      <c r="D2145" s="59" t="s">
        <v>138</v>
      </c>
      <c r="F2145" s="65" t="s">
        <v>13204</v>
      </c>
      <c r="G2145" s="65" t="s">
        <v>13205</v>
      </c>
      <c r="H2145" s="65" t="s">
        <v>12708</v>
      </c>
      <c r="I2145" s="526">
        <v>45713.0</v>
      </c>
      <c r="J2145" s="537">
        <v>45762.0</v>
      </c>
      <c r="K2145" s="65" t="s">
        <v>13212</v>
      </c>
      <c r="L2145" s="126" t="s">
        <v>13213</v>
      </c>
      <c r="M2145" s="65" t="s">
        <v>12697</v>
      </c>
      <c r="N2145" s="65" t="s">
        <v>12698</v>
      </c>
      <c r="O2145" s="333">
        <v>2.0</v>
      </c>
      <c r="P2145" s="65" t="s">
        <v>12699</v>
      </c>
      <c r="Q2145" s="49" t="str">
        <f t="array" ref="Q2145"> if(iserror(MATCH(V2145, 'File Links'!C:C, 0)), "N/A", HYPERLINK(INDEX('File Links'!B:B, MATCH(P2145, 'File Links'!C:C, 0))))</f>
        <v>https://drive.google.com/file/d/1qBoMlGJSxfD9Le6GQLq29-E2xuX5NtUI/view?usp=drivesdk</v>
      </c>
      <c r="R2145" s="65" t="s">
        <v>13208</v>
      </c>
      <c r="S2145" s="65" t="s">
        <v>12701</v>
      </c>
      <c r="T2145" s="65"/>
      <c r="U2145" s="333">
        <v>1.0</v>
      </c>
      <c r="V2145" s="65" t="s">
        <v>12702</v>
      </c>
      <c r="W2145" s="65" t="s">
        <v>2118</v>
      </c>
      <c r="X2145" s="51" t="str">
        <f t="array" ref="X2145"> if(iserror(MATCH(V2145, 'File Links'!C:C, 0)), "N/A", HYPERLINK(INDEX('File Links'!B:B, MATCH(V2145, 'File Links'!C:C, 0))))</f>
        <v>https://drive.google.com/file/d/1gqkCLQ8YLn27JACJIv51ycR1U6cUfNAJ/view?usp=drivesdk</v>
      </c>
      <c r="Y2145" s="65"/>
      <c r="Z2145" s="65" t="s">
        <v>12703</v>
      </c>
      <c r="AA2145" s="65" t="s">
        <v>13214</v>
      </c>
      <c r="AB2145" s="126" t="s">
        <v>13215</v>
      </c>
      <c r="AC2145" s="65" t="s">
        <v>12706</v>
      </c>
      <c r="AD2145" s="65" t="s">
        <v>12712</v>
      </c>
      <c r="AE2145" s="65" t="s">
        <v>6297</v>
      </c>
      <c r="AF2145" s="333">
        <v>44.0</v>
      </c>
      <c r="AG2145" s="333">
        <v>0.12</v>
      </c>
      <c r="AH2145" s="65" t="s">
        <v>867</v>
      </c>
      <c r="AI2145" s="65" t="s">
        <v>868</v>
      </c>
      <c r="AJ2145" s="333">
        <v>0.05</v>
      </c>
      <c r="AK2145" s="65" t="s">
        <v>128</v>
      </c>
      <c r="AL2145" s="65" t="s">
        <v>179</v>
      </c>
      <c r="AM2145" s="65" t="s">
        <v>130</v>
      </c>
      <c r="AN2145" s="65" t="s">
        <v>1528</v>
      </c>
      <c r="AO2145" s="333">
        <v>69.0</v>
      </c>
      <c r="AP2145" s="333">
        <v>0.04</v>
      </c>
      <c r="AQ2145" s="65" t="s">
        <v>166</v>
      </c>
      <c r="AR2145" s="65" t="s">
        <v>125</v>
      </c>
      <c r="AS2145" s="333">
        <v>0.443</v>
      </c>
      <c r="AT2145" s="65" t="s">
        <v>165</v>
      </c>
      <c r="AU2145" s="65" t="s">
        <v>211</v>
      </c>
      <c r="AV2145" s="65" t="s">
        <v>130</v>
      </c>
      <c r="AW2145" s="65" t="s">
        <v>1528</v>
      </c>
      <c r="AX2145" s="65" t="s">
        <v>136</v>
      </c>
      <c r="AZ2145" s="59" t="s">
        <v>5061</v>
      </c>
    </row>
    <row r="2146">
      <c r="A2146" s="41">
        <v>2146.0</v>
      </c>
      <c r="B2146" s="717" t="s">
        <v>107</v>
      </c>
      <c r="C2146" s="713" t="s">
        <v>108</v>
      </c>
      <c r="D2146" s="713" t="s">
        <v>214</v>
      </c>
      <c r="E2146" s="694"/>
      <c r="F2146" s="717" t="s">
        <v>13216</v>
      </c>
      <c r="G2146" s="717" t="s">
        <v>13217</v>
      </c>
      <c r="H2146" s="727" t="s">
        <v>215</v>
      </c>
      <c r="I2146" s="1497" t="s">
        <v>13218</v>
      </c>
      <c r="J2146" s="1498">
        <v>45827.0</v>
      </c>
      <c r="K2146" s="1962" t="s">
        <v>13219</v>
      </c>
      <c r="L2146" s="717" t="s">
        <v>13220</v>
      </c>
      <c r="M2146" s="717" t="s">
        <v>13221</v>
      </c>
      <c r="N2146" s="717" t="s">
        <v>9858</v>
      </c>
      <c r="O2146" s="1502">
        <v>1.0</v>
      </c>
      <c r="P2146" s="727" t="s">
        <v>13222</v>
      </c>
      <c r="Q2146" s="1499" t="str">
        <f t="array" ref="Q2146"> if(iserror(MATCH(V2146, 'File Links'!C:C, 0)), "N/A", HYPERLINK(INDEX('File Links'!B:B, MATCH(P2146, 'File Links'!C:C, 0))))</f>
        <v>https://drive.google.com/file/d/1FklynAHzflh7rbxQIU4qTxOz3VBhye8B/view?usp=drivesdk</v>
      </c>
      <c r="R2146" s="1500" t="s">
        <v>13223</v>
      </c>
      <c r="S2146" s="717" t="s">
        <v>13224</v>
      </c>
      <c r="T2146" s="1501"/>
      <c r="U2146" s="1963">
        <v>1.0</v>
      </c>
      <c r="V2146" s="727" t="s">
        <v>13225</v>
      </c>
      <c r="W2146" s="714"/>
      <c r="X2146" s="1503" t="str">
        <f t="array" ref="X2146"> if(iserror(MATCH(V2146, 'File Links'!C:C, 0)), "N/A", HYPERLINK(INDEX('File Links'!B:B, MATCH(V2146, 'File Links'!C:C, 0))))</f>
        <v>https://drive.google.com/file/d/1hYNUJrx3yjyMoTgcG7Qz4pix-8ruWFMC/view?usp=drivesdk</v>
      </c>
      <c r="Y2146" s="1420"/>
      <c r="Z2146" s="727" t="s">
        <v>219</v>
      </c>
      <c r="AA2146" s="717" t="s">
        <v>13226</v>
      </c>
      <c r="AB2146" s="727" t="s">
        <v>13227</v>
      </c>
      <c r="AC2146" s="727" t="s">
        <v>13228</v>
      </c>
      <c r="AD2146" s="714"/>
      <c r="AE2146" s="714"/>
      <c r="AF2146" s="1497">
        <v>573.0</v>
      </c>
      <c r="AG2146" s="1497">
        <v>0.23</v>
      </c>
      <c r="AH2146" s="727" t="s">
        <v>166</v>
      </c>
      <c r="AI2146" s="1964">
        <v>6.0</v>
      </c>
      <c r="AJ2146" s="1965">
        <v>0.02</v>
      </c>
      <c r="AK2146" s="1964" t="s">
        <v>128</v>
      </c>
      <c r="AL2146" s="1964" t="s">
        <v>129</v>
      </c>
      <c r="AM2146" s="717" t="s">
        <v>130</v>
      </c>
      <c r="AN2146" s="717" t="s">
        <v>131</v>
      </c>
      <c r="AO2146" s="1497">
        <v>1446.0</v>
      </c>
      <c r="AP2146" s="1497">
        <v>0.16</v>
      </c>
      <c r="AQ2146" s="727" t="s">
        <v>166</v>
      </c>
      <c r="AR2146" s="727">
        <v>7.0</v>
      </c>
      <c r="AS2146" s="1497">
        <v>0.001</v>
      </c>
      <c r="AT2146" s="727" t="s">
        <v>165</v>
      </c>
      <c r="AU2146" s="727" t="s">
        <v>129</v>
      </c>
      <c r="AV2146" s="717" t="s">
        <v>130</v>
      </c>
      <c r="AW2146" s="1966" t="s">
        <v>13229</v>
      </c>
      <c r="AX2146" s="717" t="s">
        <v>136</v>
      </c>
      <c r="AY2146" s="694"/>
      <c r="AZ2146" s="713" t="s">
        <v>13230</v>
      </c>
      <c r="BA2146" s="694"/>
      <c r="BB2146" s="694"/>
      <c r="BC2146" s="694"/>
      <c r="BD2146" s="694"/>
      <c r="BE2146" s="694"/>
      <c r="BF2146" s="694"/>
      <c r="BG2146" s="694"/>
      <c r="BH2146" s="694"/>
      <c r="BI2146" s="694"/>
      <c r="BJ2146" s="694"/>
      <c r="BK2146" s="694"/>
      <c r="BL2146" s="694"/>
      <c r="BM2146" s="694"/>
      <c r="BN2146" s="694"/>
      <c r="BO2146" s="694"/>
      <c r="BP2146" s="694"/>
      <c r="BQ2146" s="694"/>
      <c r="BR2146" s="694"/>
      <c r="BS2146" s="694"/>
      <c r="BT2146" s="694"/>
      <c r="BU2146" s="694"/>
      <c r="BV2146" s="694"/>
      <c r="BW2146" s="694"/>
      <c r="BX2146" s="694"/>
      <c r="BY2146" s="694"/>
      <c r="BZ2146" s="694"/>
      <c r="CA2146" s="694"/>
      <c r="CB2146" s="694"/>
      <c r="CC2146" s="694"/>
      <c r="CD2146" s="694"/>
      <c r="CE2146" s="694"/>
      <c r="CF2146" s="694"/>
      <c r="CG2146" s="694"/>
      <c r="CH2146" s="694"/>
      <c r="CI2146" s="694"/>
      <c r="CJ2146" s="694"/>
      <c r="CK2146" s="694"/>
      <c r="CL2146" s="694"/>
      <c r="CM2146" s="694"/>
      <c r="CN2146" s="694"/>
      <c r="CO2146" s="694"/>
      <c r="CP2146" s="694"/>
      <c r="CQ2146" s="694"/>
      <c r="CR2146" s="694"/>
      <c r="CS2146" s="694"/>
      <c r="CT2146" s="694"/>
      <c r="CU2146" s="694"/>
      <c r="CV2146" s="694"/>
      <c r="CW2146" s="694"/>
      <c r="CX2146" s="694"/>
      <c r="CY2146" s="694"/>
      <c r="CZ2146" s="694"/>
      <c r="DA2146" s="694"/>
      <c r="DB2146" s="694"/>
      <c r="DC2146" s="694"/>
      <c r="DD2146" s="694"/>
      <c r="DE2146" s="694"/>
      <c r="DF2146" s="694"/>
      <c r="DG2146" s="694"/>
      <c r="DH2146" s="694"/>
    </row>
    <row r="2147">
      <c r="A2147" s="41">
        <v>2147.0</v>
      </c>
      <c r="B2147" s="717" t="s">
        <v>583</v>
      </c>
      <c r="C2147" s="713" t="s">
        <v>108</v>
      </c>
      <c r="D2147" s="713" t="s">
        <v>2923</v>
      </c>
      <c r="E2147" s="694"/>
      <c r="F2147" s="717" t="s">
        <v>13216</v>
      </c>
      <c r="G2147" s="717" t="s">
        <v>13217</v>
      </c>
      <c r="H2147" s="727" t="s">
        <v>13231</v>
      </c>
      <c r="I2147" s="1497" t="s">
        <v>13232</v>
      </c>
      <c r="J2147" s="1498">
        <v>45827.0</v>
      </c>
      <c r="K2147" s="1962" t="s">
        <v>13233</v>
      </c>
      <c r="L2147" s="717" t="s">
        <v>13234</v>
      </c>
      <c r="M2147" s="717" t="s">
        <v>13221</v>
      </c>
      <c r="N2147" s="717" t="s">
        <v>9858</v>
      </c>
      <c r="O2147" s="1502">
        <v>1.0</v>
      </c>
      <c r="P2147" s="727" t="s">
        <v>13222</v>
      </c>
      <c r="Q2147" s="1499" t="str">
        <f t="array" ref="Q2147"> if(iserror(MATCH(V2147, 'File Links'!C:C, 0)), "N/A", HYPERLINK(INDEX('File Links'!B:B, MATCH(P2147, 'File Links'!C:C, 0))))</f>
        <v>https://drive.google.com/file/d/1FklynAHzflh7rbxQIU4qTxOz3VBhye8B/view?usp=drivesdk</v>
      </c>
      <c r="R2147" s="1500" t="s">
        <v>13223</v>
      </c>
      <c r="S2147" s="717" t="s">
        <v>13224</v>
      </c>
      <c r="T2147" s="1967" t="s">
        <v>131</v>
      </c>
      <c r="U2147" s="1502">
        <v>1.0</v>
      </c>
      <c r="V2147" s="727" t="s">
        <v>13225</v>
      </c>
      <c r="W2147" s="727" t="s">
        <v>202</v>
      </c>
      <c r="X2147" s="1503" t="str">
        <f t="array" ref="X2147"> if(iserror(MATCH(V2147, 'File Links'!C:C, 0)), "N/A", HYPERLINK(INDEX('File Links'!B:B, MATCH(V2147, 'File Links'!C:C, 0))))</f>
        <v>https://drive.google.com/file/d/1hYNUJrx3yjyMoTgcG7Qz4pix-8ruWFMC/view?usp=drivesdk</v>
      </c>
      <c r="Y2147" s="1420"/>
      <c r="Z2147" s="727" t="s">
        <v>219</v>
      </c>
      <c r="AA2147" s="717" t="s">
        <v>13226</v>
      </c>
      <c r="AB2147" s="727" t="s">
        <v>13235</v>
      </c>
      <c r="AC2147" s="727" t="s">
        <v>13228</v>
      </c>
      <c r="AD2147" s="727" t="s">
        <v>13236</v>
      </c>
      <c r="AE2147" s="727">
        <v>4.0</v>
      </c>
      <c r="AF2147" s="1497">
        <v>573.0</v>
      </c>
      <c r="AG2147" s="1497">
        <v>0.234</v>
      </c>
      <c r="AH2147" s="727" t="s">
        <v>166</v>
      </c>
      <c r="AI2147" s="727" t="s">
        <v>843</v>
      </c>
      <c r="AJ2147" s="1497" t="s">
        <v>131</v>
      </c>
      <c r="AK2147" s="714"/>
      <c r="AL2147" s="727" t="s">
        <v>179</v>
      </c>
      <c r="AM2147" s="717" t="s">
        <v>130</v>
      </c>
      <c r="AN2147" s="717" t="s">
        <v>131</v>
      </c>
      <c r="AO2147" s="1497">
        <v>1446.0</v>
      </c>
      <c r="AP2147" s="1497">
        <v>1.18</v>
      </c>
      <c r="AQ2147" s="727" t="s">
        <v>715</v>
      </c>
      <c r="AR2147" s="727" t="s">
        <v>13237</v>
      </c>
      <c r="AS2147" s="1968">
        <v>0.018</v>
      </c>
      <c r="AT2147" s="727" t="s">
        <v>165</v>
      </c>
      <c r="AU2147" s="727" t="s">
        <v>179</v>
      </c>
      <c r="AV2147" s="717" t="s">
        <v>130</v>
      </c>
      <c r="AW2147" s="1966" t="s">
        <v>13229</v>
      </c>
      <c r="AX2147" s="1112" t="s">
        <v>431</v>
      </c>
      <c r="AY2147" s="694"/>
      <c r="AZ2147" s="713" t="s">
        <v>13230</v>
      </c>
      <c r="BA2147" s="694"/>
      <c r="BB2147" s="694"/>
      <c r="BC2147" s="694"/>
      <c r="BD2147" s="694"/>
      <c r="BE2147" s="694"/>
      <c r="BF2147" s="694"/>
      <c r="BG2147" s="694"/>
      <c r="BH2147" s="694"/>
      <c r="BI2147" s="694"/>
      <c r="BJ2147" s="694"/>
      <c r="BK2147" s="694"/>
      <c r="BL2147" s="694"/>
      <c r="BM2147" s="694"/>
      <c r="BN2147" s="694"/>
      <c r="BO2147" s="694"/>
      <c r="BP2147" s="694"/>
      <c r="BQ2147" s="694"/>
      <c r="BR2147" s="694"/>
      <c r="BS2147" s="694"/>
      <c r="BT2147" s="694"/>
      <c r="BU2147" s="694"/>
      <c r="BV2147" s="694"/>
      <c r="BW2147" s="694"/>
      <c r="BX2147" s="694"/>
      <c r="BY2147" s="694"/>
      <c r="BZ2147" s="694"/>
      <c r="CA2147" s="694"/>
      <c r="CB2147" s="694"/>
      <c r="CC2147" s="694"/>
      <c r="CD2147" s="694"/>
      <c r="CE2147" s="694"/>
      <c r="CF2147" s="694"/>
      <c r="CG2147" s="694"/>
      <c r="CH2147" s="694"/>
      <c r="CI2147" s="694"/>
      <c r="CJ2147" s="694"/>
      <c r="CK2147" s="694"/>
      <c r="CL2147" s="694"/>
      <c r="CM2147" s="694"/>
      <c r="CN2147" s="694"/>
      <c r="CO2147" s="694"/>
      <c r="CP2147" s="694"/>
      <c r="CQ2147" s="694"/>
      <c r="CR2147" s="694"/>
      <c r="CS2147" s="694"/>
      <c r="CT2147" s="694"/>
      <c r="CU2147" s="694"/>
      <c r="CV2147" s="694"/>
      <c r="CW2147" s="694"/>
      <c r="CX2147" s="694"/>
      <c r="CY2147" s="694"/>
      <c r="CZ2147" s="694"/>
      <c r="DA2147" s="694"/>
      <c r="DB2147" s="694"/>
      <c r="DC2147" s="694"/>
      <c r="DD2147" s="694"/>
      <c r="DE2147" s="694"/>
      <c r="DF2147" s="694"/>
      <c r="DG2147" s="694"/>
      <c r="DH2147" s="694"/>
    </row>
    <row r="2148">
      <c r="A2148" s="41">
        <v>2148.0</v>
      </c>
      <c r="B2148" s="717" t="s">
        <v>107</v>
      </c>
      <c r="C2148" s="713" t="s">
        <v>108</v>
      </c>
      <c r="D2148" s="713" t="s">
        <v>214</v>
      </c>
      <c r="E2148" s="694"/>
      <c r="F2148" s="717" t="s">
        <v>13238</v>
      </c>
      <c r="G2148" s="717" t="s">
        <v>13217</v>
      </c>
      <c r="H2148" s="727" t="s">
        <v>215</v>
      </c>
      <c r="I2148" s="1497" t="s">
        <v>13218</v>
      </c>
      <c r="J2148" s="1498">
        <v>45828.0</v>
      </c>
      <c r="K2148" s="727" t="s">
        <v>13239</v>
      </c>
      <c r="L2148" s="717" t="s">
        <v>13240</v>
      </c>
      <c r="M2148" s="717" t="s">
        <v>13221</v>
      </c>
      <c r="N2148" s="717" t="s">
        <v>9858</v>
      </c>
      <c r="O2148" s="1502">
        <v>1.0</v>
      </c>
      <c r="P2148" s="727" t="s">
        <v>13222</v>
      </c>
      <c r="Q2148" s="1499" t="str">
        <f t="array" ref="Q2148"> if(iserror(MATCH(V2148, 'File Links'!C:C, 0)), "N/A", HYPERLINK(INDEX('File Links'!B:B, MATCH(P2148, 'File Links'!C:C, 0))))</f>
        <v>https://drive.google.com/file/d/1FklynAHzflh7rbxQIU4qTxOz3VBhye8B/view?usp=drivesdk</v>
      </c>
      <c r="R2148" s="1500" t="s">
        <v>13223</v>
      </c>
      <c r="S2148" s="717" t="s">
        <v>13224</v>
      </c>
      <c r="T2148" s="1501"/>
      <c r="U2148" s="1963">
        <v>1.0</v>
      </c>
      <c r="V2148" s="727" t="s">
        <v>13225</v>
      </c>
      <c r="W2148" s="714"/>
      <c r="X2148" s="1503" t="str">
        <f t="array" ref="X2148"> if(iserror(MATCH(V2148, 'File Links'!C:C, 0)), "N/A", HYPERLINK(INDEX('File Links'!B:B, MATCH(V2148, 'File Links'!C:C, 0))))</f>
        <v>https://drive.google.com/file/d/1hYNUJrx3yjyMoTgcG7Qz4pix-8ruWFMC/view?usp=drivesdk</v>
      </c>
      <c r="Y2148" s="1420"/>
      <c r="Z2148" s="727" t="s">
        <v>219</v>
      </c>
      <c r="AA2148" s="717" t="s">
        <v>13226</v>
      </c>
      <c r="AB2148" s="727" t="s">
        <v>13241</v>
      </c>
      <c r="AC2148" s="727" t="s">
        <v>13242</v>
      </c>
      <c r="AD2148" s="714"/>
      <c r="AE2148" s="714"/>
      <c r="AF2148" s="1497">
        <v>573.0</v>
      </c>
      <c r="AG2148" s="1497">
        <v>0.49</v>
      </c>
      <c r="AH2148" s="727" t="s">
        <v>166</v>
      </c>
      <c r="AI2148" s="1964">
        <v>6.0</v>
      </c>
      <c r="AJ2148" s="1965">
        <v>0.018</v>
      </c>
      <c r="AK2148" s="1964" t="s">
        <v>128</v>
      </c>
      <c r="AL2148" s="1964" t="s">
        <v>129</v>
      </c>
      <c r="AM2148" s="717" t="s">
        <v>130</v>
      </c>
      <c r="AN2148" s="717" t="s">
        <v>131</v>
      </c>
      <c r="AO2148" s="1497">
        <v>1446.0</v>
      </c>
      <c r="AP2148" s="1497">
        <v>0.09</v>
      </c>
      <c r="AQ2148" s="727" t="s">
        <v>166</v>
      </c>
      <c r="AR2148" s="727">
        <v>7.0</v>
      </c>
      <c r="AS2148" s="1497">
        <v>0.001</v>
      </c>
      <c r="AT2148" s="727" t="s">
        <v>165</v>
      </c>
      <c r="AU2148" s="727" t="s">
        <v>129</v>
      </c>
      <c r="AV2148" s="717" t="s">
        <v>130</v>
      </c>
      <c r="AW2148" s="1966" t="s">
        <v>13229</v>
      </c>
      <c r="AX2148" s="717" t="s">
        <v>144</v>
      </c>
      <c r="AY2148" s="694"/>
      <c r="AZ2148" s="713" t="s">
        <v>13230</v>
      </c>
      <c r="BA2148" s="694"/>
      <c r="BB2148" s="694"/>
      <c r="BC2148" s="694"/>
      <c r="BD2148" s="694"/>
      <c r="BE2148" s="694"/>
      <c r="BF2148" s="694"/>
      <c r="BG2148" s="694"/>
      <c r="BH2148" s="694"/>
      <c r="BI2148" s="694"/>
      <c r="BJ2148" s="694"/>
      <c r="BK2148" s="694"/>
      <c r="BL2148" s="694"/>
      <c r="BM2148" s="694"/>
      <c r="BN2148" s="694"/>
      <c r="BO2148" s="694"/>
      <c r="BP2148" s="694"/>
      <c r="BQ2148" s="694"/>
      <c r="BR2148" s="694"/>
      <c r="BS2148" s="694"/>
      <c r="BT2148" s="694"/>
      <c r="BU2148" s="694"/>
      <c r="BV2148" s="694"/>
      <c r="BW2148" s="694"/>
      <c r="BX2148" s="694"/>
      <c r="BY2148" s="694"/>
      <c r="BZ2148" s="694"/>
      <c r="CA2148" s="694"/>
      <c r="CB2148" s="694"/>
      <c r="CC2148" s="694"/>
      <c r="CD2148" s="694"/>
      <c r="CE2148" s="694"/>
      <c r="CF2148" s="694"/>
      <c r="CG2148" s="694"/>
      <c r="CH2148" s="694"/>
      <c r="CI2148" s="694"/>
      <c r="CJ2148" s="694"/>
      <c r="CK2148" s="694"/>
      <c r="CL2148" s="694"/>
      <c r="CM2148" s="694"/>
      <c r="CN2148" s="694"/>
      <c r="CO2148" s="694"/>
      <c r="CP2148" s="694"/>
      <c r="CQ2148" s="694"/>
      <c r="CR2148" s="694"/>
      <c r="CS2148" s="694"/>
      <c r="CT2148" s="694"/>
      <c r="CU2148" s="694"/>
      <c r="CV2148" s="694"/>
      <c r="CW2148" s="694"/>
      <c r="CX2148" s="694"/>
      <c r="CY2148" s="694"/>
      <c r="CZ2148" s="694"/>
      <c r="DA2148" s="694"/>
      <c r="DB2148" s="694"/>
      <c r="DC2148" s="694"/>
      <c r="DD2148" s="694"/>
      <c r="DE2148" s="694"/>
      <c r="DF2148" s="694"/>
      <c r="DG2148" s="694"/>
      <c r="DH2148" s="694"/>
    </row>
    <row r="2149">
      <c r="A2149" s="41">
        <v>2149.0</v>
      </c>
      <c r="B2149" s="717" t="s">
        <v>145</v>
      </c>
      <c r="C2149" s="713" t="s">
        <v>108</v>
      </c>
      <c r="D2149" s="713" t="s">
        <v>2923</v>
      </c>
      <c r="E2149" s="694"/>
      <c r="F2149" s="717" t="s">
        <v>13238</v>
      </c>
      <c r="G2149" s="717" t="s">
        <v>13217</v>
      </c>
      <c r="H2149" s="727" t="s">
        <v>13231</v>
      </c>
      <c r="I2149" s="1497" t="s">
        <v>13243</v>
      </c>
      <c r="J2149" s="1498">
        <v>45828.0</v>
      </c>
      <c r="K2149" s="727" t="s">
        <v>13244</v>
      </c>
      <c r="L2149" s="717" t="s">
        <v>13245</v>
      </c>
      <c r="M2149" s="717" t="s">
        <v>13221</v>
      </c>
      <c r="N2149" s="717" t="s">
        <v>9858</v>
      </c>
      <c r="O2149" s="1502">
        <v>1.0</v>
      </c>
      <c r="P2149" s="727" t="s">
        <v>13222</v>
      </c>
      <c r="Q2149" s="1499" t="str">
        <f t="array" ref="Q2149"> if(iserror(MATCH(V2149, 'File Links'!C:C, 0)), "N/A", HYPERLINK(INDEX('File Links'!B:B, MATCH(P2149, 'File Links'!C:C, 0))))</f>
        <v>https://drive.google.com/file/d/1FklynAHzflh7rbxQIU4qTxOz3VBhye8B/view?usp=drivesdk</v>
      </c>
      <c r="R2149" s="1500" t="s">
        <v>13223</v>
      </c>
      <c r="S2149" s="717" t="s">
        <v>13224</v>
      </c>
      <c r="T2149" s="1967" t="s">
        <v>131</v>
      </c>
      <c r="U2149" s="1502">
        <v>1.0</v>
      </c>
      <c r="V2149" s="727" t="s">
        <v>13225</v>
      </c>
      <c r="W2149" s="727" t="s">
        <v>202</v>
      </c>
      <c r="X2149" s="1503" t="str">
        <f t="array" ref="X2149"> if(iserror(MATCH(V2149, 'File Links'!C:C, 0)), "N/A", HYPERLINK(INDEX('File Links'!B:B, MATCH(V2149, 'File Links'!C:C, 0))))</f>
        <v>https://drive.google.com/file/d/1hYNUJrx3yjyMoTgcG7Qz4pix-8ruWFMC/view?usp=drivesdk</v>
      </c>
      <c r="Y2149" s="1420"/>
      <c r="Z2149" s="727" t="s">
        <v>219</v>
      </c>
      <c r="AA2149" s="717" t="s">
        <v>13226</v>
      </c>
      <c r="AB2149" s="727" t="s">
        <v>13246</v>
      </c>
      <c r="AC2149" s="727" t="s">
        <v>13242</v>
      </c>
      <c r="AD2149" s="727" t="s">
        <v>13247</v>
      </c>
      <c r="AE2149" s="727">
        <v>4.0</v>
      </c>
      <c r="AF2149" s="1497">
        <v>573.0</v>
      </c>
      <c r="AG2149" s="1497">
        <v>0.49</v>
      </c>
      <c r="AH2149" s="727" t="s">
        <v>166</v>
      </c>
      <c r="AI2149" s="727" t="s">
        <v>489</v>
      </c>
      <c r="AJ2149" s="1497" t="s">
        <v>131</v>
      </c>
      <c r="AK2149" s="714"/>
      <c r="AL2149" s="727" t="s">
        <v>179</v>
      </c>
      <c r="AM2149" s="717" t="s">
        <v>130</v>
      </c>
      <c r="AN2149" s="717" t="s">
        <v>131</v>
      </c>
      <c r="AO2149" s="1497">
        <v>1446.0</v>
      </c>
      <c r="AP2149" s="1497">
        <v>0.05</v>
      </c>
      <c r="AQ2149" s="727" t="s">
        <v>715</v>
      </c>
      <c r="AR2149" s="727" t="s">
        <v>13237</v>
      </c>
      <c r="AS2149" s="1497">
        <v>0.182</v>
      </c>
      <c r="AT2149" s="727" t="s">
        <v>165</v>
      </c>
      <c r="AU2149" s="727" t="s">
        <v>179</v>
      </c>
      <c r="AV2149" s="717" t="s">
        <v>130</v>
      </c>
      <c r="AW2149" s="1966" t="s">
        <v>13229</v>
      </c>
      <c r="AX2149" s="1112" t="s">
        <v>431</v>
      </c>
      <c r="AY2149" s="694"/>
      <c r="AZ2149" s="713" t="s">
        <v>13230</v>
      </c>
      <c r="BA2149" s="694"/>
      <c r="BB2149" s="694"/>
      <c r="BC2149" s="694"/>
      <c r="BD2149" s="694"/>
      <c r="BE2149" s="694"/>
      <c r="BF2149" s="694"/>
      <c r="BG2149" s="694"/>
      <c r="BH2149" s="694"/>
      <c r="BI2149" s="694"/>
      <c r="BJ2149" s="694"/>
      <c r="BK2149" s="694"/>
      <c r="BL2149" s="694"/>
      <c r="BM2149" s="694"/>
      <c r="BN2149" s="694"/>
      <c r="BO2149" s="694"/>
      <c r="BP2149" s="694"/>
      <c r="BQ2149" s="694"/>
      <c r="BR2149" s="694"/>
      <c r="BS2149" s="694"/>
      <c r="BT2149" s="694"/>
      <c r="BU2149" s="694"/>
      <c r="BV2149" s="694"/>
      <c r="BW2149" s="694"/>
      <c r="BX2149" s="694"/>
      <c r="BY2149" s="694"/>
      <c r="BZ2149" s="694"/>
      <c r="CA2149" s="694"/>
      <c r="CB2149" s="694"/>
      <c r="CC2149" s="694"/>
      <c r="CD2149" s="694"/>
      <c r="CE2149" s="694"/>
      <c r="CF2149" s="694"/>
      <c r="CG2149" s="694"/>
      <c r="CH2149" s="694"/>
      <c r="CI2149" s="694"/>
      <c r="CJ2149" s="694"/>
      <c r="CK2149" s="694"/>
      <c r="CL2149" s="694"/>
      <c r="CM2149" s="694"/>
      <c r="CN2149" s="694"/>
      <c r="CO2149" s="694"/>
      <c r="CP2149" s="694"/>
      <c r="CQ2149" s="694"/>
      <c r="CR2149" s="694"/>
      <c r="CS2149" s="694"/>
      <c r="CT2149" s="694"/>
      <c r="CU2149" s="694"/>
      <c r="CV2149" s="694"/>
      <c r="CW2149" s="694"/>
      <c r="CX2149" s="694"/>
      <c r="CY2149" s="694"/>
      <c r="CZ2149" s="694"/>
      <c r="DA2149" s="694"/>
      <c r="DB2149" s="694"/>
      <c r="DC2149" s="694"/>
      <c r="DD2149" s="694"/>
      <c r="DE2149" s="694"/>
      <c r="DF2149" s="694"/>
      <c r="DG2149" s="694"/>
      <c r="DH2149" s="694"/>
    </row>
    <row r="2150">
      <c r="A2150" s="41">
        <v>2150.0</v>
      </c>
      <c r="B2150" s="717" t="s">
        <v>107</v>
      </c>
      <c r="C2150" s="713" t="s">
        <v>108</v>
      </c>
      <c r="D2150" s="713" t="s">
        <v>214</v>
      </c>
      <c r="E2150" s="694"/>
      <c r="F2150" s="717" t="s">
        <v>13248</v>
      </c>
      <c r="G2150" s="717" t="s">
        <v>13217</v>
      </c>
      <c r="H2150" s="727" t="s">
        <v>215</v>
      </c>
      <c r="I2150" s="1497" t="s">
        <v>13218</v>
      </c>
      <c r="J2150" s="1498">
        <v>45828.0</v>
      </c>
      <c r="K2150" s="727" t="s">
        <v>13249</v>
      </c>
      <c r="L2150" s="717" t="s">
        <v>13220</v>
      </c>
      <c r="M2150" s="717" t="s">
        <v>13221</v>
      </c>
      <c r="N2150" s="717" t="s">
        <v>9858</v>
      </c>
      <c r="O2150" s="1502">
        <v>1.0</v>
      </c>
      <c r="P2150" s="727" t="s">
        <v>13222</v>
      </c>
      <c r="Q2150" s="1499" t="str">
        <f t="array" ref="Q2150"> if(iserror(MATCH(V2150, 'File Links'!C:C, 0)), "N/A", HYPERLINK(INDEX('File Links'!B:B, MATCH(P2150, 'File Links'!C:C, 0))))</f>
        <v>https://drive.google.com/file/d/1FklynAHzflh7rbxQIU4qTxOz3VBhye8B/view?usp=drivesdk</v>
      </c>
      <c r="R2150" s="1500" t="s">
        <v>13223</v>
      </c>
      <c r="S2150" s="717" t="s">
        <v>13224</v>
      </c>
      <c r="T2150" s="1501"/>
      <c r="U2150" s="1963">
        <v>1.0</v>
      </c>
      <c r="V2150" s="727" t="s">
        <v>13225</v>
      </c>
      <c r="W2150" s="714"/>
      <c r="X2150" s="1503" t="str">
        <f t="array" ref="X2150"> if(iserror(MATCH(V2150, 'File Links'!C:C, 0)), "N/A", HYPERLINK(INDEX('File Links'!B:B, MATCH(V2150, 'File Links'!C:C, 0))))</f>
        <v>https://drive.google.com/file/d/1hYNUJrx3yjyMoTgcG7Qz4pix-8ruWFMC/view?usp=drivesdk</v>
      </c>
      <c r="Y2150" s="1420"/>
      <c r="Z2150" s="727" t="s">
        <v>219</v>
      </c>
      <c r="AA2150" s="717" t="s">
        <v>13226</v>
      </c>
      <c r="AB2150" s="727" t="s">
        <v>13250</v>
      </c>
      <c r="AC2150" s="727" t="s">
        <v>13242</v>
      </c>
      <c r="AD2150" s="714"/>
      <c r="AE2150" s="714"/>
      <c r="AF2150" s="1497">
        <v>573.0</v>
      </c>
      <c r="AG2150" s="1497">
        <v>0.49</v>
      </c>
      <c r="AH2150" s="727" t="s">
        <v>166</v>
      </c>
      <c r="AI2150" s="1964">
        <v>6.0</v>
      </c>
      <c r="AJ2150" s="1965">
        <v>0.018</v>
      </c>
      <c r="AK2150" s="1964" t="s">
        <v>128</v>
      </c>
      <c r="AL2150" s="1964" t="s">
        <v>129</v>
      </c>
      <c r="AM2150" s="717" t="s">
        <v>130</v>
      </c>
      <c r="AN2150" s="717" t="s">
        <v>131</v>
      </c>
      <c r="AO2150" s="1497">
        <v>1446.0</v>
      </c>
      <c r="AP2150" s="1497">
        <v>0.13</v>
      </c>
      <c r="AQ2150" s="727" t="s">
        <v>166</v>
      </c>
      <c r="AR2150" s="727">
        <v>7.0</v>
      </c>
      <c r="AS2150" s="1497">
        <v>0.001</v>
      </c>
      <c r="AT2150" s="727" t="s">
        <v>165</v>
      </c>
      <c r="AU2150" s="727" t="s">
        <v>129</v>
      </c>
      <c r="AV2150" s="717" t="s">
        <v>130</v>
      </c>
      <c r="AW2150" s="1969" t="s">
        <v>13229</v>
      </c>
      <c r="AX2150" s="717" t="s">
        <v>144</v>
      </c>
      <c r="AY2150" s="694"/>
      <c r="AZ2150" s="713" t="s">
        <v>13230</v>
      </c>
      <c r="BA2150" s="694"/>
      <c r="BB2150" s="694"/>
      <c r="BC2150" s="694"/>
      <c r="BD2150" s="694"/>
      <c r="BE2150" s="694"/>
      <c r="BF2150" s="694"/>
      <c r="BG2150" s="694"/>
      <c r="BH2150" s="694"/>
      <c r="BI2150" s="694"/>
      <c r="BJ2150" s="694"/>
      <c r="BK2150" s="694"/>
      <c r="BL2150" s="694"/>
      <c r="BM2150" s="694"/>
      <c r="BN2150" s="694"/>
      <c r="BO2150" s="694"/>
      <c r="BP2150" s="694"/>
      <c r="BQ2150" s="694"/>
      <c r="BR2150" s="694"/>
      <c r="BS2150" s="694"/>
      <c r="BT2150" s="694"/>
      <c r="BU2150" s="694"/>
      <c r="BV2150" s="694"/>
      <c r="BW2150" s="694"/>
      <c r="BX2150" s="694"/>
      <c r="BY2150" s="694"/>
      <c r="BZ2150" s="694"/>
      <c r="CA2150" s="694"/>
      <c r="CB2150" s="694"/>
      <c r="CC2150" s="694"/>
      <c r="CD2150" s="694"/>
      <c r="CE2150" s="694"/>
      <c r="CF2150" s="694"/>
      <c r="CG2150" s="694"/>
      <c r="CH2150" s="694"/>
      <c r="CI2150" s="694"/>
      <c r="CJ2150" s="694"/>
      <c r="CK2150" s="694"/>
      <c r="CL2150" s="694"/>
      <c r="CM2150" s="694"/>
      <c r="CN2150" s="694"/>
      <c r="CO2150" s="694"/>
      <c r="CP2150" s="694"/>
      <c r="CQ2150" s="694"/>
      <c r="CR2150" s="694"/>
      <c r="CS2150" s="694"/>
      <c r="CT2150" s="694"/>
      <c r="CU2150" s="694"/>
      <c r="CV2150" s="694"/>
      <c r="CW2150" s="694"/>
      <c r="CX2150" s="694"/>
      <c r="CY2150" s="694"/>
      <c r="CZ2150" s="694"/>
      <c r="DA2150" s="694"/>
      <c r="DB2150" s="694"/>
      <c r="DC2150" s="694"/>
      <c r="DD2150" s="694"/>
      <c r="DE2150" s="694"/>
      <c r="DF2150" s="694"/>
      <c r="DG2150" s="694"/>
      <c r="DH2150" s="694"/>
    </row>
    <row r="2151">
      <c r="A2151" s="41">
        <v>2151.0</v>
      </c>
      <c r="B2151" s="717" t="s">
        <v>145</v>
      </c>
      <c r="C2151" s="713" t="s">
        <v>108</v>
      </c>
      <c r="D2151" s="713" t="s">
        <v>2923</v>
      </c>
      <c r="E2151" s="694"/>
      <c r="F2151" s="717" t="s">
        <v>13248</v>
      </c>
      <c r="G2151" s="717" t="s">
        <v>13217</v>
      </c>
      <c r="H2151" s="727" t="s">
        <v>13231</v>
      </c>
      <c r="I2151" s="1497" t="s">
        <v>13243</v>
      </c>
      <c r="J2151" s="1498">
        <v>45828.0</v>
      </c>
      <c r="K2151" s="727" t="s">
        <v>13244</v>
      </c>
      <c r="L2151" s="717" t="s">
        <v>13245</v>
      </c>
      <c r="M2151" s="717" t="s">
        <v>13221</v>
      </c>
      <c r="N2151" s="717" t="s">
        <v>9858</v>
      </c>
      <c r="O2151" s="1502">
        <v>1.0</v>
      </c>
      <c r="P2151" s="727" t="s">
        <v>13222</v>
      </c>
      <c r="Q2151" s="1499" t="str">
        <f t="array" ref="Q2151"> if(iserror(MATCH(V2151, 'File Links'!C:C, 0)), "N/A", HYPERLINK(INDEX('File Links'!B:B, MATCH(P2151, 'File Links'!C:C, 0))))</f>
        <v>https://drive.google.com/file/d/1FklynAHzflh7rbxQIU4qTxOz3VBhye8B/view?usp=drivesdk</v>
      </c>
      <c r="R2151" s="1500" t="s">
        <v>13223</v>
      </c>
      <c r="S2151" s="717" t="s">
        <v>13224</v>
      </c>
      <c r="T2151" s="1967" t="s">
        <v>131</v>
      </c>
      <c r="U2151" s="1502">
        <v>1.0</v>
      </c>
      <c r="V2151" s="727" t="s">
        <v>13225</v>
      </c>
      <c r="W2151" s="727" t="s">
        <v>202</v>
      </c>
      <c r="X2151" s="1503" t="str">
        <f t="array" ref="X2151"> if(iserror(MATCH(V2151, 'File Links'!C:C, 0)), "N/A", HYPERLINK(INDEX('File Links'!B:B, MATCH(V2151, 'File Links'!C:C, 0))))</f>
        <v>https://drive.google.com/file/d/1hYNUJrx3yjyMoTgcG7Qz4pix-8ruWFMC/view?usp=drivesdk</v>
      </c>
      <c r="Y2151" s="1420"/>
      <c r="Z2151" s="727" t="s">
        <v>219</v>
      </c>
      <c r="AA2151" s="717" t="s">
        <v>13226</v>
      </c>
      <c r="AB2151" s="727" t="s">
        <v>13251</v>
      </c>
      <c r="AC2151" s="727" t="s">
        <v>13242</v>
      </c>
      <c r="AD2151" s="727" t="s">
        <v>13247</v>
      </c>
      <c r="AE2151" s="727">
        <v>4.0</v>
      </c>
      <c r="AF2151" s="1497">
        <v>573.0</v>
      </c>
      <c r="AG2151" s="1497">
        <v>0.49</v>
      </c>
      <c r="AH2151" s="727" t="s">
        <v>166</v>
      </c>
      <c r="AI2151" s="727" t="s">
        <v>843</v>
      </c>
      <c r="AJ2151" s="1497" t="s">
        <v>131</v>
      </c>
      <c r="AK2151" s="714"/>
      <c r="AL2151" s="727" t="s">
        <v>179</v>
      </c>
      <c r="AM2151" s="717" t="s">
        <v>130</v>
      </c>
      <c r="AN2151" s="717" t="s">
        <v>131</v>
      </c>
      <c r="AO2151" s="1497">
        <v>1446.0</v>
      </c>
      <c r="AP2151" s="1497">
        <v>0.07</v>
      </c>
      <c r="AQ2151" s="727" t="s">
        <v>715</v>
      </c>
      <c r="AR2151" s="727" t="s">
        <v>13237</v>
      </c>
      <c r="AS2151" s="1968">
        <v>0.106</v>
      </c>
      <c r="AT2151" s="727" t="s">
        <v>165</v>
      </c>
      <c r="AU2151" s="727" t="s">
        <v>179</v>
      </c>
      <c r="AV2151" s="717" t="s">
        <v>130</v>
      </c>
      <c r="AW2151" s="1969" t="s">
        <v>13229</v>
      </c>
      <c r="AX2151" s="1112" t="s">
        <v>431</v>
      </c>
      <c r="AY2151" s="694"/>
      <c r="AZ2151" s="713" t="s">
        <v>13230</v>
      </c>
      <c r="BA2151" s="694"/>
      <c r="BB2151" s="694"/>
      <c r="BC2151" s="694"/>
      <c r="BD2151" s="694"/>
      <c r="BE2151" s="694"/>
      <c r="BF2151" s="694"/>
      <c r="BG2151" s="694"/>
      <c r="BH2151" s="694"/>
      <c r="BI2151" s="694"/>
      <c r="BJ2151" s="694"/>
      <c r="BK2151" s="694"/>
      <c r="BL2151" s="694"/>
      <c r="BM2151" s="694"/>
      <c r="BN2151" s="694"/>
      <c r="BO2151" s="694"/>
      <c r="BP2151" s="694"/>
      <c r="BQ2151" s="694"/>
      <c r="BR2151" s="694"/>
      <c r="BS2151" s="694"/>
      <c r="BT2151" s="694"/>
      <c r="BU2151" s="694"/>
      <c r="BV2151" s="694"/>
      <c r="BW2151" s="694"/>
      <c r="BX2151" s="694"/>
      <c r="BY2151" s="694"/>
      <c r="BZ2151" s="694"/>
      <c r="CA2151" s="694"/>
      <c r="CB2151" s="694"/>
      <c r="CC2151" s="694"/>
      <c r="CD2151" s="694"/>
      <c r="CE2151" s="694"/>
      <c r="CF2151" s="694"/>
      <c r="CG2151" s="694"/>
      <c r="CH2151" s="694"/>
      <c r="CI2151" s="694"/>
      <c r="CJ2151" s="694"/>
      <c r="CK2151" s="694"/>
      <c r="CL2151" s="694"/>
      <c r="CM2151" s="694"/>
      <c r="CN2151" s="694"/>
      <c r="CO2151" s="694"/>
      <c r="CP2151" s="694"/>
      <c r="CQ2151" s="694"/>
      <c r="CR2151" s="694"/>
      <c r="CS2151" s="694"/>
      <c r="CT2151" s="694"/>
      <c r="CU2151" s="694"/>
      <c r="CV2151" s="694"/>
      <c r="CW2151" s="694"/>
      <c r="CX2151" s="694"/>
      <c r="CY2151" s="694"/>
      <c r="CZ2151" s="694"/>
      <c r="DA2151" s="694"/>
      <c r="DB2151" s="694"/>
      <c r="DC2151" s="694"/>
      <c r="DD2151" s="694"/>
      <c r="DE2151" s="694"/>
      <c r="DF2151" s="694"/>
      <c r="DG2151" s="694"/>
      <c r="DH2151" s="694"/>
    </row>
    <row r="2152">
      <c r="A2152" s="41">
        <v>2152.0</v>
      </c>
      <c r="B2152" s="717" t="s">
        <v>107</v>
      </c>
      <c r="C2152" s="713" t="s">
        <v>108</v>
      </c>
      <c r="D2152" s="713" t="s">
        <v>214</v>
      </c>
      <c r="E2152" s="694"/>
      <c r="F2152" s="717" t="s">
        <v>13252</v>
      </c>
      <c r="G2152" s="717" t="s">
        <v>13217</v>
      </c>
      <c r="H2152" s="727" t="s">
        <v>215</v>
      </c>
      <c r="I2152" s="1497" t="s">
        <v>13218</v>
      </c>
      <c r="J2152" s="1498">
        <v>45828.0</v>
      </c>
      <c r="K2152" s="727" t="s">
        <v>13253</v>
      </c>
      <c r="L2152" s="717" t="s">
        <v>13254</v>
      </c>
      <c r="M2152" s="717" t="s">
        <v>13221</v>
      </c>
      <c r="N2152" s="717" t="s">
        <v>9858</v>
      </c>
      <c r="O2152" s="1502">
        <v>1.0</v>
      </c>
      <c r="P2152" s="727" t="s">
        <v>13222</v>
      </c>
      <c r="Q2152" s="1499" t="str">
        <f t="array" ref="Q2152"> if(iserror(MATCH(V2152, 'File Links'!C:C, 0)), "N/A", HYPERLINK(INDEX('File Links'!B:B, MATCH(P2152, 'File Links'!C:C, 0))))</f>
        <v>https://drive.google.com/file/d/1FklynAHzflh7rbxQIU4qTxOz3VBhye8B/view?usp=drivesdk</v>
      </c>
      <c r="R2152" s="1500" t="s">
        <v>13223</v>
      </c>
      <c r="S2152" s="717" t="s">
        <v>13224</v>
      </c>
      <c r="T2152" s="1501"/>
      <c r="U2152" s="1963">
        <v>1.0</v>
      </c>
      <c r="V2152" s="727" t="s">
        <v>13225</v>
      </c>
      <c r="W2152" s="714"/>
      <c r="X2152" s="1503" t="str">
        <f t="array" ref="X2152"> if(iserror(MATCH(V2152, 'File Links'!C:C, 0)), "N/A", HYPERLINK(INDEX('File Links'!B:B, MATCH(V2152, 'File Links'!C:C, 0))))</f>
        <v>https://drive.google.com/file/d/1hYNUJrx3yjyMoTgcG7Qz4pix-8ruWFMC/view?usp=drivesdk</v>
      </c>
      <c r="Y2152" s="1420"/>
      <c r="Z2152" s="727" t="s">
        <v>219</v>
      </c>
      <c r="AA2152" s="717" t="s">
        <v>13226</v>
      </c>
      <c r="AB2152" s="727" t="s">
        <v>13255</v>
      </c>
      <c r="AC2152" s="727" t="s">
        <v>13242</v>
      </c>
      <c r="AD2152" s="714"/>
      <c r="AE2152" s="714"/>
      <c r="AF2152" s="1497">
        <v>573.0</v>
      </c>
      <c r="AG2152" s="1497">
        <v>0.49</v>
      </c>
      <c r="AH2152" s="727" t="s">
        <v>166</v>
      </c>
      <c r="AI2152" s="1964">
        <v>6.0</v>
      </c>
      <c r="AJ2152" s="1965">
        <v>0.018</v>
      </c>
      <c r="AK2152" s="1964" t="s">
        <v>128</v>
      </c>
      <c r="AL2152" s="1964" t="s">
        <v>129</v>
      </c>
      <c r="AM2152" s="717" t="s">
        <v>130</v>
      </c>
      <c r="AN2152" s="717" t="s">
        <v>131</v>
      </c>
      <c r="AO2152" s="1497">
        <v>1446.0</v>
      </c>
      <c r="AP2152" s="1497">
        <v>0.26</v>
      </c>
      <c r="AQ2152" s="727" t="s">
        <v>166</v>
      </c>
      <c r="AR2152" s="727">
        <v>7.0</v>
      </c>
      <c r="AS2152" s="1497">
        <v>0.001</v>
      </c>
      <c r="AT2152" s="727" t="s">
        <v>165</v>
      </c>
      <c r="AU2152" s="727" t="s">
        <v>129</v>
      </c>
      <c r="AV2152" s="717" t="s">
        <v>130</v>
      </c>
      <c r="AW2152" s="1966" t="s">
        <v>13229</v>
      </c>
      <c r="AX2152" s="717" t="s">
        <v>144</v>
      </c>
      <c r="AY2152" s="694"/>
      <c r="AZ2152" s="713" t="s">
        <v>13230</v>
      </c>
      <c r="BA2152" s="694"/>
      <c r="BB2152" s="694"/>
      <c r="BC2152" s="694"/>
      <c r="BD2152" s="694"/>
      <c r="BE2152" s="694"/>
      <c r="BF2152" s="694"/>
      <c r="BG2152" s="694"/>
      <c r="BH2152" s="694"/>
      <c r="BI2152" s="694"/>
      <c r="BJ2152" s="694"/>
      <c r="BK2152" s="694"/>
      <c r="BL2152" s="694"/>
      <c r="BM2152" s="694"/>
      <c r="BN2152" s="694"/>
      <c r="BO2152" s="694"/>
      <c r="BP2152" s="694"/>
      <c r="BQ2152" s="694"/>
      <c r="BR2152" s="694"/>
      <c r="BS2152" s="694"/>
      <c r="BT2152" s="694"/>
      <c r="BU2152" s="694"/>
      <c r="BV2152" s="694"/>
      <c r="BW2152" s="694"/>
      <c r="BX2152" s="694"/>
      <c r="BY2152" s="694"/>
      <c r="BZ2152" s="694"/>
      <c r="CA2152" s="694"/>
      <c r="CB2152" s="694"/>
      <c r="CC2152" s="694"/>
      <c r="CD2152" s="694"/>
      <c r="CE2152" s="694"/>
      <c r="CF2152" s="694"/>
      <c r="CG2152" s="694"/>
      <c r="CH2152" s="694"/>
      <c r="CI2152" s="694"/>
      <c r="CJ2152" s="694"/>
      <c r="CK2152" s="694"/>
      <c r="CL2152" s="694"/>
      <c r="CM2152" s="694"/>
      <c r="CN2152" s="694"/>
      <c r="CO2152" s="694"/>
      <c r="CP2152" s="694"/>
      <c r="CQ2152" s="694"/>
      <c r="CR2152" s="694"/>
      <c r="CS2152" s="694"/>
      <c r="CT2152" s="694"/>
      <c r="CU2152" s="694"/>
      <c r="CV2152" s="694"/>
      <c r="CW2152" s="694"/>
      <c r="CX2152" s="694"/>
      <c r="CY2152" s="694"/>
      <c r="CZ2152" s="694"/>
      <c r="DA2152" s="694"/>
      <c r="DB2152" s="694"/>
      <c r="DC2152" s="694"/>
      <c r="DD2152" s="694"/>
      <c r="DE2152" s="694"/>
      <c r="DF2152" s="694"/>
      <c r="DG2152" s="694"/>
      <c r="DH2152" s="694"/>
    </row>
    <row r="2153">
      <c r="A2153" s="41">
        <v>2153.0</v>
      </c>
      <c r="B2153" s="717" t="s">
        <v>583</v>
      </c>
      <c r="C2153" s="713" t="s">
        <v>108</v>
      </c>
      <c r="D2153" s="713" t="s">
        <v>2923</v>
      </c>
      <c r="E2153" s="694"/>
      <c r="F2153" s="717" t="s">
        <v>13252</v>
      </c>
      <c r="G2153" s="717" t="s">
        <v>13217</v>
      </c>
      <c r="H2153" s="727" t="s">
        <v>13231</v>
      </c>
      <c r="I2153" s="1497" t="s">
        <v>13243</v>
      </c>
      <c r="J2153" s="1498">
        <v>45828.0</v>
      </c>
      <c r="K2153" s="727" t="s">
        <v>13244</v>
      </c>
      <c r="L2153" s="717" t="s">
        <v>13254</v>
      </c>
      <c r="M2153" s="717" t="s">
        <v>13221</v>
      </c>
      <c r="N2153" s="717" t="s">
        <v>9858</v>
      </c>
      <c r="O2153" s="1502">
        <v>1.0</v>
      </c>
      <c r="P2153" s="727" t="s">
        <v>13222</v>
      </c>
      <c r="Q2153" s="1499" t="str">
        <f t="array" ref="Q2153"> if(iserror(MATCH(V2153, 'File Links'!C:C, 0)), "N/A", HYPERLINK(INDEX('File Links'!B:B, MATCH(P2153, 'File Links'!C:C, 0))))</f>
        <v>https://drive.google.com/file/d/1FklynAHzflh7rbxQIU4qTxOz3VBhye8B/view?usp=drivesdk</v>
      </c>
      <c r="R2153" s="1500" t="s">
        <v>13223</v>
      </c>
      <c r="S2153" s="717" t="s">
        <v>13224</v>
      </c>
      <c r="T2153" s="1967" t="s">
        <v>131</v>
      </c>
      <c r="U2153" s="1502">
        <v>1.0</v>
      </c>
      <c r="V2153" s="727" t="s">
        <v>13225</v>
      </c>
      <c r="W2153" s="727" t="s">
        <v>202</v>
      </c>
      <c r="X2153" s="1503" t="str">
        <f t="array" ref="X2153"> if(iserror(MATCH(V2153, 'File Links'!C:C, 0)), "N/A", HYPERLINK(INDEX('File Links'!B:B, MATCH(V2153, 'File Links'!C:C, 0))))</f>
        <v>https://drive.google.com/file/d/1hYNUJrx3yjyMoTgcG7Qz4pix-8ruWFMC/view?usp=drivesdk</v>
      </c>
      <c r="Y2153" s="1420"/>
      <c r="Z2153" s="727" t="s">
        <v>219</v>
      </c>
      <c r="AA2153" s="717" t="s">
        <v>13226</v>
      </c>
      <c r="AB2153" s="727" t="s">
        <v>13256</v>
      </c>
      <c r="AC2153" s="727" t="s">
        <v>13242</v>
      </c>
      <c r="AD2153" s="727" t="s">
        <v>13247</v>
      </c>
      <c r="AE2153" s="727">
        <v>4.0</v>
      </c>
      <c r="AF2153" s="1497">
        <v>573.0</v>
      </c>
      <c r="AG2153" s="1497">
        <v>0.49</v>
      </c>
      <c r="AH2153" s="727" t="s">
        <v>166</v>
      </c>
      <c r="AI2153" s="727" t="s">
        <v>843</v>
      </c>
      <c r="AJ2153" s="1497" t="s">
        <v>131</v>
      </c>
      <c r="AK2153" s="714"/>
      <c r="AL2153" s="727" t="s">
        <v>179</v>
      </c>
      <c r="AM2153" s="717" t="s">
        <v>130</v>
      </c>
      <c r="AN2153" s="717" t="s">
        <v>131</v>
      </c>
      <c r="AO2153" s="1497">
        <v>1446.0</v>
      </c>
      <c r="AP2153" s="1497">
        <v>0.07</v>
      </c>
      <c r="AQ2153" s="727" t="s">
        <v>715</v>
      </c>
      <c r="AR2153" s="727" t="s">
        <v>13237</v>
      </c>
      <c r="AS2153" s="1497">
        <v>0.015</v>
      </c>
      <c r="AT2153" s="727" t="s">
        <v>165</v>
      </c>
      <c r="AU2153" s="727" t="s">
        <v>179</v>
      </c>
      <c r="AV2153" s="717" t="s">
        <v>130</v>
      </c>
      <c r="AW2153" s="1966" t="s">
        <v>13229</v>
      </c>
      <c r="AX2153" s="1112" t="s">
        <v>431</v>
      </c>
      <c r="AY2153" s="694"/>
      <c r="AZ2153" s="713" t="s">
        <v>13230</v>
      </c>
      <c r="BA2153" s="694"/>
      <c r="BB2153" s="694"/>
      <c r="BC2153" s="694"/>
      <c r="BD2153" s="694"/>
      <c r="BE2153" s="694"/>
      <c r="BF2153" s="694"/>
      <c r="BG2153" s="694"/>
      <c r="BH2153" s="694"/>
      <c r="BI2153" s="694"/>
      <c r="BJ2153" s="694"/>
      <c r="BK2153" s="694"/>
      <c r="BL2153" s="694"/>
      <c r="BM2153" s="694"/>
      <c r="BN2153" s="694"/>
      <c r="BO2153" s="694"/>
      <c r="BP2153" s="694"/>
      <c r="BQ2153" s="694"/>
      <c r="BR2153" s="694"/>
      <c r="BS2153" s="694"/>
      <c r="BT2153" s="694"/>
      <c r="BU2153" s="694"/>
      <c r="BV2153" s="694"/>
      <c r="BW2153" s="694"/>
      <c r="BX2153" s="694"/>
      <c r="BY2153" s="694"/>
      <c r="BZ2153" s="694"/>
      <c r="CA2153" s="694"/>
      <c r="CB2153" s="694"/>
      <c r="CC2153" s="694"/>
      <c r="CD2153" s="694"/>
      <c r="CE2153" s="694"/>
      <c r="CF2153" s="694"/>
      <c r="CG2153" s="694"/>
      <c r="CH2153" s="694"/>
      <c r="CI2153" s="694"/>
      <c r="CJ2153" s="694"/>
      <c r="CK2153" s="694"/>
      <c r="CL2153" s="694"/>
      <c r="CM2153" s="694"/>
      <c r="CN2153" s="694"/>
      <c r="CO2153" s="694"/>
      <c r="CP2153" s="694"/>
      <c r="CQ2153" s="694"/>
      <c r="CR2153" s="694"/>
      <c r="CS2153" s="694"/>
      <c r="CT2153" s="694"/>
      <c r="CU2153" s="694"/>
      <c r="CV2153" s="694"/>
      <c r="CW2153" s="694"/>
      <c r="CX2153" s="694"/>
      <c r="CY2153" s="694"/>
      <c r="CZ2153" s="694"/>
      <c r="DA2153" s="694"/>
      <c r="DB2153" s="694"/>
      <c r="DC2153" s="694"/>
      <c r="DD2153" s="694"/>
      <c r="DE2153" s="694"/>
      <c r="DF2153" s="694"/>
      <c r="DG2153" s="694"/>
      <c r="DH2153" s="694"/>
    </row>
    <row r="2154">
      <c r="A2154" s="41">
        <v>2154.0</v>
      </c>
      <c r="B2154" s="717" t="s">
        <v>107</v>
      </c>
      <c r="C2154" s="713" t="s">
        <v>108</v>
      </c>
      <c r="D2154" s="713" t="s">
        <v>214</v>
      </c>
      <c r="E2154" s="694"/>
      <c r="F2154" s="717" t="s">
        <v>13257</v>
      </c>
      <c r="G2154" s="717" t="s">
        <v>13217</v>
      </c>
      <c r="H2154" s="727" t="s">
        <v>215</v>
      </c>
      <c r="I2154" s="1497" t="s">
        <v>13218</v>
      </c>
      <c r="J2154" s="1498">
        <v>45828.0</v>
      </c>
      <c r="K2154" s="727" t="s">
        <v>13258</v>
      </c>
      <c r="L2154" s="717" t="s">
        <v>13254</v>
      </c>
      <c r="M2154" s="717" t="s">
        <v>13259</v>
      </c>
      <c r="N2154" s="717" t="s">
        <v>9858</v>
      </c>
      <c r="O2154" s="1502">
        <v>3.0</v>
      </c>
      <c r="P2154" s="727" t="s">
        <v>13222</v>
      </c>
      <c r="Q2154" s="1499" t="str">
        <f t="array" ref="Q2154"> if(iserror(MATCH(V2154, 'File Links'!C:C, 0)), "N/A", HYPERLINK(INDEX('File Links'!B:B, MATCH(P2154, 'File Links'!C:C, 0))))</f>
        <v>https://drive.google.com/file/d/1FklynAHzflh7rbxQIU4qTxOz3VBhye8B/view?usp=drivesdk</v>
      </c>
      <c r="R2154" s="1500" t="s">
        <v>13223</v>
      </c>
      <c r="S2154" s="717" t="s">
        <v>13224</v>
      </c>
      <c r="T2154" s="1501"/>
      <c r="U2154" s="1963">
        <v>1.0</v>
      </c>
      <c r="V2154" s="727" t="s">
        <v>13225</v>
      </c>
      <c r="W2154" s="714"/>
      <c r="X2154" s="1503" t="str">
        <f t="array" ref="X2154"> if(iserror(MATCH(V2154, 'File Links'!C:C, 0)), "N/A", HYPERLINK(INDEX('File Links'!B:B, MATCH(V2154, 'File Links'!C:C, 0))))</f>
        <v>https://drive.google.com/file/d/1hYNUJrx3yjyMoTgcG7Qz4pix-8ruWFMC/view?usp=drivesdk</v>
      </c>
      <c r="Y2154" s="1420"/>
      <c r="Z2154" s="727" t="s">
        <v>219</v>
      </c>
      <c r="AA2154" s="717" t="s">
        <v>13226</v>
      </c>
      <c r="AB2154" s="727" t="s">
        <v>13260</v>
      </c>
      <c r="AC2154" s="727" t="s">
        <v>13261</v>
      </c>
      <c r="AD2154" s="714"/>
      <c r="AE2154" s="714"/>
      <c r="AF2154" s="1497">
        <v>631.0</v>
      </c>
      <c r="AG2154" s="1497">
        <v>0.31</v>
      </c>
      <c r="AH2154" s="727" t="s">
        <v>166</v>
      </c>
      <c r="AI2154" s="1964">
        <v>9.0</v>
      </c>
      <c r="AJ2154" s="1965">
        <v>0.043</v>
      </c>
      <c r="AK2154" s="1964" t="s">
        <v>128</v>
      </c>
      <c r="AL2154" s="1964" t="s">
        <v>129</v>
      </c>
      <c r="AM2154" s="717" t="s">
        <v>130</v>
      </c>
      <c r="AN2154" s="717" t="s">
        <v>131</v>
      </c>
      <c r="AO2154" s="1497">
        <v>1446.0</v>
      </c>
      <c r="AP2154" s="1497">
        <v>0.12</v>
      </c>
      <c r="AQ2154" s="727" t="s">
        <v>166</v>
      </c>
      <c r="AR2154" s="727">
        <v>10.0</v>
      </c>
      <c r="AS2154" s="1497">
        <v>0.001</v>
      </c>
      <c r="AT2154" s="727" t="s">
        <v>165</v>
      </c>
      <c r="AU2154" s="727" t="s">
        <v>129</v>
      </c>
      <c r="AV2154" s="717" t="s">
        <v>130</v>
      </c>
      <c r="AW2154" s="1966" t="s">
        <v>13229</v>
      </c>
      <c r="AX2154" s="717" t="s">
        <v>136</v>
      </c>
      <c r="AY2154" s="694"/>
      <c r="AZ2154" s="713" t="s">
        <v>13230</v>
      </c>
      <c r="BA2154" s="694"/>
      <c r="BB2154" s="694"/>
      <c r="BC2154" s="694"/>
      <c r="BD2154" s="694"/>
      <c r="BE2154" s="694"/>
      <c r="BF2154" s="694"/>
      <c r="BG2154" s="694"/>
      <c r="BH2154" s="694"/>
      <c r="BI2154" s="694"/>
      <c r="BJ2154" s="694"/>
      <c r="BK2154" s="694"/>
      <c r="BL2154" s="694"/>
      <c r="BM2154" s="694"/>
      <c r="BN2154" s="694"/>
      <c r="BO2154" s="694"/>
      <c r="BP2154" s="694"/>
      <c r="BQ2154" s="694"/>
      <c r="BR2154" s="694"/>
      <c r="BS2154" s="694"/>
      <c r="BT2154" s="694"/>
      <c r="BU2154" s="694"/>
      <c r="BV2154" s="694"/>
      <c r="BW2154" s="694"/>
      <c r="BX2154" s="694"/>
      <c r="BY2154" s="694"/>
      <c r="BZ2154" s="694"/>
      <c r="CA2154" s="694"/>
      <c r="CB2154" s="694"/>
      <c r="CC2154" s="694"/>
      <c r="CD2154" s="694"/>
      <c r="CE2154" s="694"/>
      <c r="CF2154" s="694"/>
      <c r="CG2154" s="694"/>
      <c r="CH2154" s="694"/>
      <c r="CI2154" s="694"/>
      <c r="CJ2154" s="694"/>
      <c r="CK2154" s="694"/>
      <c r="CL2154" s="694"/>
      <c r="CM2154" s="694"/>
      <c r="CN2154" s="694"/>
      <c r="CO2154" s="694"/>
      <c r="CP2154" s="694"/>
      <c r="CQ2154" s="694"/>
      <c r="CR2154" s="694"/>
      <c r="CS2154" s="694"/>
      <c r="CT2154" s="694"/>
      <c r="CU2154" s="694"/>
      <c r="CV2154" s="694"/>
      <c r="CW2154" s="694"/>
      <c r="CX2154" s="694"/>
      <c r="CY2154" s="694"/>
      <c r="CZ2154" s="694"/>
      <c r="DA2154" s="694"/>
      <c r="DB2154" s="694"/>
      <c r="DC2154" s="694"/>
      <c r="DD2154" s="694"/>
      <c r="DE2154" s="694"/>
      <c r="DF2154" s="694"/>
      <c r="DG2154" s="694"/>
      <c r="DH2154" s="694"/>
    </row>
    <row r="2155">
      <c r="A2155" s="41">
        <v>2155.0</v>
      </c>
      <c r="B2155" s="717" t="s">
        <v>145</v>
      </c>
      <c r="C2155" s="713" t="s">
        <v>108</v>
      </c>
      <c r="D2155" s="713" t="s">
        <v>2923</v>
      </c>
      <c r="E2155" s="694"/>
      <c r="F2155" s="717" t="s">
        <v>13257</v>
      </c>
      <c r="G2155" s="717" t="s">
        <v>13217</v>
      </c>
      <c r="H2155" s="727" t="s">
        <v>13231</v>
      </c>
      <c r="I2155" s="1497" t="s">
        <v>13262</v>
      </c>
      <c r="J2155" s="1498">
        <v>45828.0</v>
      </c>
      <c r="K2155" s="727" t="s">
        <v>13244</v>
      </c>
      <c r="L2155" s="717" t="s">
        <v>13254</v>
      </c>
      <c r="M2155" s="717" t="s">
        <v>13259</v>
      </c>
      <c r="N2155" s="717" t="s">
        <v>9858</v>
      </c>
      <c r="O2155" s="1502">
        <v>3.0</v>
      </c>
      <c r="P2155" s="727" t="s">
        <v>13222</v>
      </c>
      <c r="Q2155" s="1499" t="str">
        <f t="array" ref="Q2155"> if(iserror(MATCH(V2155, 'File Links'!C:C, 0)), "N/A", HYPERLINK(INDEX('File Links'!B:B, MATCH(P2155, 'File Links'!C:C, 0))))</f>
        <v>https://drive.google.com/file/d/1FklynAHzflh7rbxQIU4qTxOz3VBhye8B/view?usp=drivesdk</v>
      </c>
      <c r="R2155" s="1500" t="s">
        <v>13223</v>
      </c>
      <c r="S2155" s="717" t="s">
        <v>13224</v>
      </c>
      <c r="T2155" s="1967" t="s">
        <v>131</v>
      </c>
      <c r="U2155" s="1502">
        <v>1.0</v>
      </c>
      <c r="V2155" s="727" t="s">
        <v>13225</v>
      </c>
      <c r="W2155" s="727" t="s">
        <v>202</v>
      </c>
      <c r="X2155" s="1503" t="str">
        <f t="array" ref="X2155"> if(iserror(MATCH(V2155, 'File Links'!C:C, 0)), "N/A", HYPERLINK(INDEX('File Links'!B:B, MATCH(V2155, 'File Links'!C:C, 0))))</f>
        <v>https://drive.google.com/file/d/1hYNUJrx3yjyMoTgcG7Qz4pix-8ruWFMC/view?usp=drivesdk</v>
      </c>
      <c r="Y2155" s="1420"/>
      <c r="Z2155" s="727" t="s">
        <v>219</v>
      </c>
      <c r="AA2155" s="717" t="s">
        <v>13226</v>
      </c>
      <c r="AB2155" s="727" t="s">
        <v>13263</v>
      </c>
      <c r="AC2155" s="727" t="s">
        <v>13261</v>
      </c>
      <c r="AD2155" s="727" t="s">
        <v>13264</v>
      </c>
      <c r="AE2155" s="727">
        <v>7.0</v>
      </c>
      <c r="AF2155" s="1497">
        <v>631.0</v>
      </c>
      <c r="AG2155" s="1497">
        <v>0.305</v>
      </c>
      <c r="AH2155" s="727" t="s">
        <v>166</v>
      </c>
      <c r="AI2155" s="727" t="s">
        <v>125</v>
      </c>
      <c r="AJ2155" s="1497" t="s">
        <v>131</v>
      </c>
      <c r="AK2155" s="714"/>
      <c r="AL2155" s="727" t="s">
        <v>179</v>
      </c>
      <c r="AM2155" s="717" t="s">
        <v>130</v>
      </c>
      <c r="AN2155" s="717" t="s">
        <v>131</v>
      </c>
      <c r="AO2155" s="1497">
        <v>1446.0</v>
      </c>
      <c r="AP2155" s="1497">
        <v>1.14</v>
      </c>
      <c r="AQ2155" s="727" t="s">
        <v>715</v>
      </c>
      <c r="AR2155" s="727" t="s">
        <v>13265</v>
      </c>
      <c r="AS2155" s="1497">
        <v>0.075</v>
      </c>
      <c r="AT2155" s="727" t="s">
        <v>165</v>
      </c>
      <c r="AU2155" s="727" t="s">
        <v>179</v>
      </c>
      <c r="AV2155" s="717" t="s">
        <v>130</v>
      </c>
      <c r="AW2155" s="1966" t="s">
        <v>13229</v>
      </c>
      <c r="AX2155" s="1112" t="s">
        <v>431</v>
      </c>
      <c r="AY2155" s="694"/>
      <c r="AZ2155" s="713" t="s">
        <v>13230</v>
      </c>
      <c r="BA2155" s="694"/>
      <c r="BB2155" s="694"/>
      <c r="BC2155" s="694"/>
      <c r="BD2155" s="694"/>
      <c r="BE2155" s="694"/>
      <c r="BF2155" s="694"/>
      <c r="BG2155" s="694"/>
      <c r="BH2155" s="694"/>
      <c r="BI2155" s="694"/>
      <c r="BJ2155" s="694"/>
      <c r="BK2155" s="694"/>
      <c r="BL2155" s="694"/>
      <c r="BM2155" s="694"/>
      <c r="BN2155" s="694"/>
      <c r="BO2155" s="694"/>
      <c r="BP2155" s="694"/>
      <c r="BQ2155" s="694"/>
      <c r="BR2155" s="694"/>
      <c r="BS2155" s="694"/>
      <c r="BT2155" s="694"/>
      <c r="BU2155" s="694"/>
      <c r="BV2155" s="694"/>
      <c r="BW2155" s="694"/>
      <c r="BX2155" s="694"/>
      <c r="BY2155" s="694"/>
      <c r="BZ2155" s="694"/>
      <c r="CA2155" s="694"/>
      <c r="CB2155" s="694"/>
      <c r="CC2155" s="694"/>
      <c r="CD2155" s="694"/>
      <c r="CE2155" s="694"/>
      <c r="CF2155" s="694"/>
      <c r="CG2155" s="694"/>
      <c r="CH2155" s="694"/>
      <c r="CI2155" s="694"/>
      <c r="CJ2155" s="694"/>
      <c r="CK2155" s="694"/>
      <c r="CL2155" s="694"/>
      <c r="CM2155" s="694"/>
      <c r="CN2155" s="694"/>
      <c r="CO2155" s="694"/>
      <c r="CP2155" s="694"/>
      <c r="CQ2155" s="694"/>
      <c r="CR2155" s="694"/>
      <c r="CS2155" s="694"/>
      <c r="CT2155" s="694"/>
      <c r="CU2155" s="694"/>
      <c r="CV2155" s="694"/>
      <c r="CW2155" s="694"/>
      <c r="CX2155" s="694"/>
      <c r="CY2155" s="694"/>
      <c r="CZ2155" s="694"/>
      <c r="DA2155" s="694"/>
      <c r="DB2155" s="694"/>
      <c r="DC2155" s="694"/>
      <c r="DD2155" s="694"/>
      <c r="DE2155" s="694"/>
      <c r="DF2155" s="694"/>
      <c r="DG2155" s="694"/>
      <c r="DH2155" s="694"/>
    </row>
    <row r="2156">
      <c r="A2156" s="41">
        <v>2156.0</v>
      </c>
      <c r="B2156" s="717" t="s">
        <v>107</v>
      </c>
      <c r="C2156" s="713" t="s">
        <v>108</v>
      </c>
      <c r="D2156" s="713" t="s">
        <v>214</v>
      </c>
      <c r="E2156" s="694"/>
      <c r="F2156" s="717" t="s">
        <v>13266</v>
      </c>
      <c r="G2156" s="717" t="s">
        <v>13217</v>
      </c>
      <c r="H2156" s="727" t="s">
        <v>215</v>
      </c>
      <c r="I2156" s="1497" t="s">
        <v>13218</v>
      </c>
      <c r="J2156" s="1498">
        <v>45828.0</v>
      </c>
      <c r="K2156" s="727" t="s">
        <v>13267</v>
      </c>
      <c r="L2156" s="717" t="s">
        <v>13254</v>
      </c>
      <c r="M2156" s="717" t="s">
        <v>13259</v>
      </c>
      <c r="N2156" s="717" t="s">
        <v>9858</v>
      </c>
      <c r="O2156" s="1502">
        <v>3.0</v>
      </c>
      <c r="P2156" s="727" t="s">
        <v>13222</v>
      </c>
      <c r="Q2156" s="1499" t="str">
        <f t="array" ref="Q2156"> if(iserror(MATCH(V2156, 'File Links'!C:C, 0)), "N/A", HYPERLINK(INDEX('File Links'!B:B, MATCH(P2156, 'File Links'!C:C, 0))))</f>
        <v>https://drive.google.com/file/d/1FklynAHzflh7rbxQIU4qTxOz3VBhye8B/view?usp=drivesdk</v>
      </c>
      <c r="R2156" s="1500" t="s">
        <v>13223</v>
      </c>
      <c r="S2156" s="717" t="s">
        <v>13224</v>
      </c>
      <c r="T2156" s="1501"/>
      <c r="U2156" s="1963">
        <v>1.0</v>
      </c>
      <c r="V2156" s="727" t="s">
        <v>13225</v>
      </c>
      <c r="W2156" s="714"/>
      <c r="X2156" s="1503" t="str">
        <f t="array" ref="X2156"> if(iserror(MATCH(V2156, 'File Links'!C:C, 0)), "N/A", HYPERLINK(INDEX('File Links'!B:B, MATCH(V2156, 'File Links'!C:C, 0))))</f>
        <v>https://drive.google.com/file/d/1hYNUJrx3yjyMoTgcG7Qz4pix-8ruWFMC/view?usp=drivesdk</v>
      </c>
      <c r="Y2156" s="1420"/>
      <c r="Z2156" s="727" t="s">
        <v>219</v>
      </c>
      <c r="AA2156" s="717" t="s">
        <v>13226</v>
      </c>
      <c r="AB2156" s="727" t="s">
        <v>13260</v>
      </c>
      <c r="AC2156" s="727" t="s">
        <v>13268</v>
      </c>
      <c r="AD2156" s="714"/>
      <c r="AE2156" s="714"/>
      <c r="AF2156" s="1497">
        <v>631.0</v>
      </c>
      <c r="AG2156" s="1497">
        <v>0.22</v>
      </c>
      <c r="AH2156" s="727" t="s">
        <v>166</v>
      </c>
      <c r="AI2156" s="727">
        <v>9.0</v>
      </c>
      <c r="AJ2156" s="1497">
        <v>0.043</v>
      </c>
      <c r="AK2156" s="727" t="s">
        <v>128</v>
      </c>
      <c r="AL2156" s="727" t="s">
        <v>129</v>
      </c>
      <c r="AM2156" s="717" t="s">
        <v>130</v>
      </c>
      <c r="AN2156" s="717" t="s">
        <v>131</v>
      </c>
      <c r="AO2156" s="1497">
        <v>1446.0</v>
      </c>
      <c r="AP2156" s="1497">
        <v>-0.45</v>
      </c>
      <c r="AQ2156" s="727" t="s">
        <v>166</v>
      </c>
      <c r="AR2156" s="727">
        <v>10.0</v>
      </c>
      <c r="AS2156" s="1497">
        <v>0.001</v>
      </c>
      <c r="AT2156" s="727" t="s">
        <v>165</v>
      </c>
      <c r="AU2156" s="727" t="s">
        <v>129</v>
      </c>
      <c r="AV2156" s="717" t="s">
        <v>130</v>
      </c>
      <c r="AW2156" s="1966" t="s">
        <v>13229</v>
      </c>
      <c r="AX2156" s="717" t="s">
        <v>136</v>
      </c>
      <c r="AY2156" s="694"/>
      <c r="AZ2156" s="713" t="s">
        <v>13230</v>
      </c>
      <c r="BA2156" s="694"/>
      <c r="BB2156" s="694"/>
      <c r="BC2156" s="694"/>
      <c r="BD2156" s="694"/>
      <c r="BE2156" s="694"/>
      <c r="BF2156" s="694"/>
      <c r="BG2156" s="694"/>
      <c r="BH2156" s="694"/>
      <c r="BI2156" s="694"/>
      <c r="BJ2156" s="694"/>
      <c r="BK2156" s="694"/>
      <c r="BL2156" s="694"/>
      <c r="BM2156" s="694"/>
      <c r="BN2156" s="694"/>
      <c r="BO2156" s="694"/>
      <c r="BP2156" s="694"/>
      <c r="BQ2156" s="694"/>
      <c r="BR2156" s="694"/>
      <c r="BS2156" s="694"/>
      <c r="BT2156" s="694"/>
      <c r="BU2156" s="694"/>
      <c r="BV2156" s="694"/>
      <c r="BW2156" s="694"/>
      <c r="BX2156" s="694"/>
      <c r="BY2156" s="694"/>
      <c r="BZ2156" s="694"/>
      <c r="CA2156" s="694"/>
      <c r="CB2156" s="694"/>
      <c r="CC2156" s="694"/>
      <c r="CD2156" s="694"/>
      <c r="CE2156" s="694"/>
      <c r="CF2156" s="694"/>
      <c r="CG2156" s="694"/>
      <c r="CH2156" s="694"/>
      <c r="CI2156" s="694"/>
      <c r="CJ2156" s="694"/>
      <c r="CK2156" s="694"/>
      <c r="CL2156" s="694"/>
      <c r="CM2156" s="694"/>
      <c r="CN2156" s="694"/>
      <c r="CO2156" s="694"/>
      <c r="CP2156" s="694"/>
      <c r="CQ2156" s="694"/>
      <c r="CR2156" s="694"/>
      <c r="CS2156" s="694"/>
      <c r="CT2156" s="694"/>
      <c r="CU2156" s="694"/>
      <c r="CV2156" s="694"/>
      <c r="CW2156" s="694"/>
      <c r="CX2156" s="694"/>
      <c r="CY2156" s="694"/>
      <c r="CZ2156" s="694"/>
      <c r="DA2156" s="694"/>
      <c r="DB2156" s="694"/>
      <c r="DC2156" s="694"/>
      <c r="DD2156" s="694"/>
      <c r="DE2156" s="694"/>
      <c r="DF2156" s="694"/>
      <c r="DG2156" s="694"/>
      <c r="DH2156" s="694"/>
    </row>
    <row r="2157">
      <c r="A2157" s="41">
        <v>2157.0</v>
      </c>
      <c r="B2157" s="717" t="s">
        <v>145</v>
      </c>
      <c r="C2157" s="713" t="s">
        <v>108</v>
      </c>
      <c r="D2157" s="713" t="s">
        <v>2923</v>
      </c>
      <c r="E2157" s="694"/>
      <c r="F2157" s="717" t="s">
        <v>13266</v>
      </c>
      <c r="G2157" s="717" t="s">
        <v>13217</v>
      </c>
      <c r="H2157" s="727" t="s">
        <v>13231</v>
      </c>
      <c r="I2157" s="1497" t="s">
        <v>13262</v>
      </c>
      <c r="J2157" s="1498">
        <v>45828.0</v>
      </c>
      <c r="K2157" s="727" t="s">
        <v>13244</v>
      </c>
      <c r="L2157" s="717" t="s">
        <v>13254</v>
      </c>
      <c r="M2157" s="717" t="s">
        <v>13259</v>
      </c>
      <c r="N2157" s="717" t="s">
        <v>9858</v>
      </c>
      <c r="O2157" s="1502">
        <v>3.0</v>
      </c>
      <c r="P2157" s="727" t="s">
        <v>13222</v>
      </c>
      <c r="Q2157" s="1499" t="str">
        <f t="array" ref="Q2157"> if(iserror(MATCH(V2157, 'File Links'!C:C, 0)), "N/A", HYPERLINK(INDEX('File Links'!B:B, MATCH(P2157, 'File Links'!C:C, 0))))</f>
        <v>https://drive.google.com/file/d/1FklynAHzflh7rbxQIU4qTxOz3VBhye8B/view?usp=drivesdk</v>
      </c>
      <c r="R2157" s="1500" t="s">
        <v>13223</v>
      </c>
      <c r="S2157" s="717" t="s">
        <v>13224</v>
      </c>
      <c r="T2157" s="1967" t="s">
        <v>131</v>
      </c>
      <c r="U2157" s="1502">
        <v>1.0</v>
      </c>
      <c r="V2157" s="727" t="s">
        <v>13225</v>
      </c>
      <c r="W2157" s="727" t="s">
        <v>202</v>
      </c>
      <c r="X2157" s="1503" t="str">
        <f t="array" ref="X2157"> if(iserror(MATCH(V2157, 'File Links'!C:C, 0)), "N/A", HYPERLINK(INDEX('File Links'!B:B, MATCH(V2157, 'File Links'!C:C, 0))))</f>
        <v>https://drive.google.com/file/d/1hYNUJrx3yjyMoTgcG7Qz4pix-8ruWFMC/view?usp=drivesdk</v>
      </c>
      <c r="Y2157" s="1420"/>
      <c r="Z2157" s="727" t="s">
        <v>219</v>
      </c>
      <c r="AA2157" s="717" t="s">
        <v>13226</v>
      </c>
      <c r="AB2157" s="727" t="s">
        <v>13263</v>
      </c>
      <c r="AC2157" s="727" t="s">
        <v>13268</v>
      </c>
      <c r="AD2157" s="727" t="s">
        <v>13269</v>
      </c>
      <c r="AE2157" s="727">
        <v>7.0</v>
      </c>
      <c r="AF2157" s="1497">
        <v>631.0</v>
      </c>
      <c r="AG2157" s="1497">
        <v>0.219</v>
      </c>
      <c r="AH2157" s="727" t="s">
        <v>166</v>
      </c>
      <c r="AI2157" s="727" t="s">
        <v>125</v>
      </c>
      <c r="AJ2157" s="1497" t="s">
        <v>131</v>
      </c>
      <c r="AK2157" s="714"/>
      <c r="AL2157" s="727" t="s">
        <v>179</v>
      </c>
      <c r="AM2157" s="717" t="s">
        <v>130</v>
      </c>
      <c r="AN2157" s="717" t="s">
        <v>131</v>
      </c>
      <c r="AO2157" s="1497">
        <v>1446.0</v>
      </c>
      <c r="AP2157" s="1497">
        <v>1.14</v>
      </c>
      <c r="AQ2157" s="727" t="s">
        <v>715</v>
      </c>
      <c r="AR2157" s="727" t="s">
        <v>13265</v>
      </c>
      <c r="AS2157" s="1497">
        <v>0.075</v>
      </c>
      <c r="AT2157" s="727" t="s">
        <v>165</v>
      </c>
      <c r="AU2157" s="727" t="s">
        <v>179</v>
      </c>
      <c r="AV2157" s="717" t="s">
        <v>130</v>
      </c>
      <c r="AW2157" s="1966" t="s">
        <v>13229</v>
      </c>
      <c r="AX2157" s="717" t="s">
        <v>136</v>
      </c>
      <c r="AY2157" s="694"/>
      <c r="AZ2157" s="713" t="s">
        <v>13230</v>
      </c>
      <c r="BA2157" s="694"/>
      <c r="BB2157" s="694"/>
      <c r="BC2157" s="694"/>
      <c r="BD2157" s="694"/>
      <c r="BE2157" s="694"/>
      <c r="BF2157" s="694"/>
      <c r="BG2157" s="694"/>
      <c r="BH2157" s="694"/>
      <c r="BI2157" s="694"/>
      <c r="BJ2157" s="694"/>
      <c r="BK2157" s="694"/>
      <c r="BL2157" s="694"/>
      <c r="BM2157" s="694"/>
      <c r="BN2157" s="694"/>
      <c r="BO2157" s="694"/>
      <c r="BP2157" s="694"/>
      <c r="BQ2157" s="694"/>
      <c r="BR2157" s="694"/>
      <c r="BS2157" s="694"/>
      <c r="BT2157" s="694"/>
      <c r="BU2157" s="694"/>
      <c r="BV2157" s="694"/>
      <c r="BW2157" s="694"/>
      <c r="BX2157" s="694"/>
      <c r="BY2157" s="694"/>
      <c r="BZ2157" s="694"/>
      <c r="CA2157" s="694"/>
      <c r="CB2157" s="694"/>
      <c r="CC2157" s="694"/>
      <c r="CD2157" s="694"/>
      <c r="CE2157" s="694"/>
      <c r="CF2157" s="694"/>
      <c r="CG2157" s="694"/>
      <c r="CH2157" s="694"/>
      <c r="CI2157" s="694"/>
      <c r="CJ2157" s="694"/>
      <c r="CK2157" s="694"/>
      <c r="CL2157" s="694"/>
      <c r="CM2157" s="694"/>
      <c r="CN2157" s="694"/>
      <c r="CO2157" s="694"/>
      <c r="CP2157" s="694"/>
      <c r="CQ2157" s="694"/>
      <c r="CR2157" s="694"/>
      <c r="CS2157" s="694"/>
      <c r="CT2157" s="694"/>
      <c r="CU2157" s="694"/>
      <c r="CV2157" s="694"/>
      <c r="CW2157" s="694"/>
      <c r="CX2157" s="694"/>
      <c r="CY2157" s="694"/>
      <c r="CZ2157" s="694"/>
      <c r="DA2157" s="694"/>
      <c r="DB2157" s="694"/>
      <c r="DC2157" s="694"/>
      <c r="DD2157" s="694"/>
      <c r="DE2157" s="694"/>
      <c r="DF2157" s="694"/>
      <c r="DG2157" s="694"/>
      <c r="DH2157" s="694"/>
    </row>
    <row r="2158">
      <c r="A2158" s="41">
        <v>2158.0</v>
      </c>
      <c r="B2158" s="717" t="s">
        <v>107</v>
      </c>
      <c r="C2158" s="713" t="s">
        <v>108</v>
      </c>
      <c r="D2158" s="713" t="s">
        <v>214</v>
      </c>
      <c r="E2158" s="694"/>
      <c r="F2158" s="717" t="s">
        <v>13270</v>
      </c>
      <c r="G2158" s="717" t="s">
        <v>13217</v>
      </c>
      <c r="H2158" s="727" t="s">
        <v>215</v>
      </c>
      <c r="I2158" s="1497" t="s">
        <v>13218</v>
      </c>
      <c r="J2158" s="1498">
        <v>45828.0</v>
      </c>
      <c r="K2158" s="727" t="s">
        <v>13271</v>
      </c>
      <c r="L2158" s="717" t="s">
        <v>13254</v>
      </c>
      <c r="M2158" s="717" t="s">
        <v>13259</v>
      </c>
      <c r="N2158" s="717" t="s">
        <v>9858</v>
      </c>
      <c r="O2158" s="1502">
        <v>3.0</v>
      </c>
      <c r="P2158" s="727" t="s">
        <v>13222</v>
      </c>
      <c r="Q2158" s="1499" t="str">
        <f t="array" ref="Q2158"> if(iserror(MATCH(V2158, 'File Links'!C:C, 0)), "N/A", HYPERLINK(INDEX('File Links'!B:B, MATCH(P2158, 'File Links'!C:C, 0))))</f>
        <v>https://drive.google.com/file/d/1FklynAHzflh7rbxQIU4qTxOz3VBhye8B/view?usp=drivesdk</v>
      </c>
      <c r="R2158" s="1500" t="s">
        <v>13223</v>
      </c>
      <c r="S2158" s="717" t="s">
        <v>13224</v>
      </c>
      <c r="T2158" s="1501"/>
      <c r="U2158" s="1963">
        <v>1.0</v>
      </c>
      <c r="V2158" s="727" t="s">
        <v>13225</v>
      </c>
      <c r="W2158" s="714"/>
      <c r="X2158" s="1503" t="str">
        <f t="array" ref="X2158"> if(iserror(MATCH(V2158, 'File Links'!C:C, 0)), "N/A", HYPERLINK(INDEX('File Links'!B:B, MATCH(V2158, 'File Links'!C:C, 0))))</f>
        <v>https://drive.google.com/file/d/1hYNUJrx3yjyMoTgcG7Qz4pix-8ruWFMC/view?usp=drivesdk</v>
      </c>
      <c r="Y2158" s="1420"/>
      <c r="Z2158" s="727" t="s">
        <v>219</v>
      </c>
      <c r="AA2158" s="717" t="s">
        <v>13226</v>
      </c>
      <c r="AB2158" s="727" t="s">
        <v>13272</v>
      </c>
      <c r="AC2158" s="727" t="s">
        <v>13273</v>
      </c>
      <c r="AD2158" s="714"/>
      <c r="AE2158" s="714"/>
      <c r="AF2158" s="1497">
        <v>631.0</v>
      </c>
      <c r="AG2158" s="1497">
        <v>0.32</v>
      </c>
      <c r="AH2158" s="727" t="s">
        <v>166</v>
      </c>
      <c r="AI2158" s="727">
        <v>9.0</v>
      </c>
      <c r="AJ2158" s="1497">
        <v>0.024</v>
      </c>
      <c r="AK2158" s="727" t="s">
        <v>128</v>
      </c>
      <c r="AL2158" s="727" t="s">
        <v>129</v>
      </c>
      <c r="AM2158" s="717" t="s">
        <v>130</v>
      </c>
      <c r="AN2158" s="717" t="s">
        <v>131</v>
      </c>
      <c r="AO2158" s="1497">
        <v>1446.0</v>
      </c>
      <c r="AP2158" s="1497">
        <v>0.12</v>
      </c>
      <c r="AQ2158" s="727" t="s">
        <v>166</v>
      </c>
      <c r="AR2158" s="727">
        <v>10.0</v>
      </c>
      <c r="AS2158" s="1497">
        <v>0.001</v>
      </c>
      <c r="AT2158" s="727" t="s">
        <v>165</v>
      </c>
      <c r="AU2158" s="727" t="s">
        <v>129</v>
      </c>
      <c r="AV2158" s="717" t="s">
        <v>130</v>
      </c>
      <c r="AW2158" s="1966" t="s">
        <v>13229</v>
      </c>
      <c r="AX2158" s="717" t="s">
        <v>136</v>
      </c>
      <c r="AY2158" s="694"/>
      <c r="AZ2158" s="713" t="s">
        <v>13230</v>
      </c>
      <c r="BA2158" s="694"/>
      <c r="BB2158" s="694"/>
      <c r="BC2158" s="694"/>
      <c r="BD2158" s="694"/>
      <c r="BE2158" s="694"/>
      <c r="BF2158" s="694"/>
      <c r="BG2158" s="694"/>
      <c r="BH2158" s="694"/>
      <c r="BI2158" s="694"/>
      <c r="BJ2158" s="694"/>
      <c r="BK2158" s="694"/>
      <c r="BL2158" s="694"/>
      <c r="BM2158" s="694"/>
      <c r="BN2158" s="694"/>
      <c r="BO2158" s="694"/>
      <c r="BP2158" s="694"/>
      <c r="BQ2158" s="694"/>
      <c r="BR2158" s="694"/>
      <c r="BS2158" s="694"/>
      <c r="BT2158" s="694"/>
      <c r="BU2158" s="694"/>
      <c r="BV2158" s="694"/>
      <c r="BW2158" s="694"/>
      <c r="BX2158" s="694"/>
      <c r="BY2158" s="694"/>
      <c r="BZ2158" s="694"/>
      <c r="CA2158" s="694"/>
      <c r="CB2158" s="694"/>
      <c r="CC2158" s="694"/>
      <c r="CD2158" s="694"/>
      <c r="CE2158" s="694"/>
      <c r="CF2158" s="694"/>
      <c r="CG2158" s="694"/>
      <c r="CH2158" s="694"/>
      <c r="CI2158" s="694"/>
      <c r="CJ2158" s="694"/>
      <c r="CK2158" s="694"/>
      <c r="CL2158" s="694"/>
      <c r="CM2158" s="694"/>
      <c r="CN2158" s="694"/>
      <c r="CO2158" s="694"/>
      <c r="CP2158" s="694"/>
      <c r="CQ2158" s="694"/>
      <c r="CR2158" s="694"/>
      <c r="CS2158" s="694"/>
      <c r="CT2158" s="694"/>
      <c r="CU2158" s="694"/>
      <c r="CV2158" s="694"/>
      <c r="CW2158" s="694"/>
      <c r="CX2158" s="694"/>
      <c r="CY2158" s="694"/>
      <c r="CZ2158" s="694"/>
      <c r="DA2158" s="694"/>
      <c r="DB2158" s="694"/>
      <c r="DC2158" s="694"/>
      <c r="DD2158" s="694"/>
      <c r="DE2158" s="694"/>
      <c r="DF2158" s="694"/>
      <c r="DG2158" s="694"/>
      <c r="DH2158" s="694"/>
    </row>
    <row r="2159">
      <c r="A2159" s="41">
        <v>2159.0</v>
      </c>
      <c r="B2159" s="717" t="s">
        <v>145</v>
      </c>
      <c r="C2159" s="713" t="s">
        <v>108</v>
      </c>
      <c r="D2159" s="713" t="s">
        <v>2923</v>
      </c>
      <c r="E2159" s="694"/>
      <c r="F2159" s="717" t="s">
        <v>13270</v>
      </c>
      <c r="G2159" s="717" t="s">
        <v>13217</v>
      </c>
      <c r="H2159" s="727" t="s">
        <v>13231</v>
      </c>
      <c r="I2159" s="1497" t="s">
        <v>13262</v>
      </c>
      <c r="J2159" s="1498">
        <v>45828.0</v>
      </c>
      <c r="K2159" s="727" t="s">
        <v>13244</v>
      </c>
      <c r="L2159" s="717" t="s">
        <v>13254</v>
      </c>
      <c r="M2159" s="717" t="s">
        <v>13259</v>
      </c>
      <c r="N2159" s="717" t="s">
        <v>9858</v>
      </c>
      <c r="O2159" s="1502">
        <v>3.0</v>
      </c>
      <c r="P2159" s="727" t="s">
        <v>13222</v>
      </c>
      <c r="Q2159" s="1499" t="str">
        <f t="array" ref="Q2159"> if(iserror(MATCH(V2159, 'File Links'!C:C, 0)), "N/A", HYPERLINK(INDEX('File Links'!B:B, MATCH(P2159, 'File Links'!C:C, 0))))</f>
        <v>https://drive.google.com/file/d/1FklynAHzflh7rbxQIU4qTxOz3VBhye8B/view?usp=drivesdk</v>
      </c>
      <c r="R2159" s="1500" t="s">
        <v>13223</v>
      </c>
      <c r="S2159" s="717" t="s">
        <v>13224</v>
      </c>
      <c r="T2159" s="1967" t="s">
        <v>131</v>
      </c>
      <c r="U2159" s="1502">
        <v>1.0</v>
      </c>
      <c r="V2159" s="727" t="s">
        <v>13225</v>
      </c>
      <c r="W2159" s="727" t="s">
        <v>202</v>
      </c>
      <c r="X2159" s="1503" t="str">
        <f t="array" ref="X2159"> if(iserror(MATCH(V2159, 'File Links'!C:C, 0)), "N/A", HYPERLINK(INDEX('File Links'!B:B, MATCH(V2159, 'File Links'!C:C, 0))))</f>
        <v>https://drive.google.com/file/d/1hYNUJrx3yjyMoTgcG7Qz4pix-8ruWFMC/view?usp=drivesdk</v>
      </c>
      <c r="Y2159" s="1420"/>
      <c r="Z2159" s="727" t="s">
        <v>219</v>
      </c>
      <c r="AA2159" s="717" t="s">
        <v>13226</v>
      </c>
      <c r="AB2159" s="727" t="s">
        <v>13274</v>
      </c>
      <c r="AC2159" s="727" t="s">
        <v>13273</v>
      </c>
      <c r="AD2159" s="727" t="s">
        <v>13275</v>
      </c>
      <c r="AE2159" s="727">
        <v>8.0</v>
      </c>
      <c r="AF2159" s="1497">
        <v>631.0</v>
      </c>
      <c r="AG2159" s="1497">
        <v>0.321</v>
      </c>
      <c r="AH2159" s="727" t="s">
        <v>166</v>
      </c>
      <c r="AI2159" s="727" t="s">
        <v>606</v>
      </c>
      <c r="AJ2159" s="1497" t="s">
        <v>131</v>
      </c>
      <c r="AK2159" s="714"/>
      <c r="AL2159" s="727" t="s">
        <v>179</v>
      </c>
      <c r="AM2159" s="717" t="s">
        <v>130</v>
      </c>
      <c r="AN2159" s="717" t="s">
        <v>131</v>
      </c>
      <c r="AO2159" s="1497">
        <v>1446.0</v>
      </c>
      <c r="AP2159" s="1497">
        <v>1.14</v>
      </c>
      <c r="AQ2159" s="727" t="s">
        <v>715</v>
      </c>
      <c r="AR2159" s="727" t="s">
        <v>13265</v>
      </c>
      <c r="AS2159" s="1497">
        <v>0.121</v>
      </c>
      <c r="AT2159" s="727" t="s">
        <v>165</v>
      </c>
      <c r="AU2159" s="727" t="s">
        <v>179</v>
      </c>
      <c r="AV2159" s="717" t="s">
        <v>130</v>
      </c>
      <c r="AW2159" s="1966" t="s">
        <v>13229</v>
      </c>
      <c r="AX2159" s="1112" t="s">
        <v>431</v>
      </c>
      <c r="AY2159" s="694"/>
      <c r="AZ2159" s="713" t="s">
        <v>13230</v>
      </c>
      <c r="BA2159" s="694"/>
      <c r="BB2159" s="694"/>
      <c r="BC2159" s="694"/>
      <c r="BD2159" s="694"/>
      <c r="BE2159" s="694"/>
      <c r="BF2159" s="694"/>
      <c r="BG2159" s="694"/>
      <c r="BH2159" s="694"/>
      <c r="BI2159" s="694"/>
      <c r="BJ2159" s="694"/>
      <c r="BK2159" s="694"/>
      <c r="BL2159" s="694"/>
      <c r="BM2159" s="694"/>
      <c r="BN2159" s="694"/>
      <c r="BO2159" s="694"/>
      <c r="BP2159" s="694"/>
      <c r="BQ2159" s="694"/>
      <c r="BR2159" s="694"/>
      <c r="BS2159" s="694"/>
      <c r="BT2159" s="694"/>
      <c r="BU2159" s="694"/>
      <c r="BV2159" s="694"/>
      <c r="BW2159" s="694"/>
      <c r="BX2159" s="694"/>
      <c r="BY2159" s="694"/>
      <c r="BZ2159" s="694"/>
      <c r="CA2159" s="694"/>
      <c r="CB2159" s="694"/>
      <c r="CC2159" s="694"/>
      <c r="CD2159" s="694"/>
      <c r="CE2159" s="694"/>
      <c r="CF2159" s="694"/>
      <c r="CG2159" s="694"/>
      <c r="CH2159" s="694"/>
      <c r="CI2159" s="694"/>
      <c r="CJ2159" s="694"/>
      <c r="CK2159" s="694"/>
      <c r="CL2159" s="694"/>
      <c r="CM2159" s="694"/>
      <c r="CN2159" s="694"/>
      <c r="CO2159" s="694"/>
      <c r="CP2159" s="694"/>
      <c r="CQ2159" s="694"/>
      <c r="CR2159" s="694"/>
      <c r="CS2159" s="694"/>
      <c r="CT2159" s="694"/>
      <c r="CU2159" s="694"/>
      <c r="CV2159" s="694"/>
      <c r="CW2159" s="694"/>
      <c r="CX2159" s="694"/>
      <c r="CY2159" s="694"/>
      <c r="CZ2159" s="694"/>
      <c r="DA2159" s="694"/>
      <c r="DB2159" s="694"/>
      <c r="DC2159" s="694"/>
      <c r="DD2159" s="694"/>
      <c r="DE2159" s="694"/>
      <c r="DF2159" s="694"/>
      <c r="DG2159" s="694"/>
      <c r="DH2159" s="694"/>
    </row>
    <row r="2160">
      <c r="A2160" s="41">
        <v>2160.0</v>
      </c>
      <c r="B2160" s="1970" t="s">
        <v>107</v>
      </c>
      <c r="C2160" s="1971" t="s">
        <v>108</v>
      </c>
      <c r="D2160" s="1971" t="s">
        <v>214</v>
      </c>
      <c r="E2160" s="1972"/>
      <c r="F2160" s="1970" t="s">
        <v>13276</v>
      </c>
      <c r="G2160" s="1970" t="s">
        <v>13217</v>
      </c>
      <c r="H2160" s="1973" t="s">
        <v>215</v>
      </c>
      <c r="I2160" s="1968" t="s">
        <v>13218</v>
      </c>
      <c r="J2160" s="1974">
        <v>45828.0</v>
      </c>
      <c r="K2160" s="1973" t="s">
        <v>13277</v>
      </c>
      <c r="L2160" s="1970" t="s">
        <v>13254</v>
      </c>
      <c r="M2160" s="1970" t="s">
        <v>13259</v>
      </c>
      <c r="N2160" s="1970" t="s">
        <v>9858</v>
      </c>
      <c r="O2160" s="1975">
        <v>3.0</v>
      </c>
      <c r="P2160" s="1973" t="s">
        <v>13222</v>
      </c>
      <c r="Q2160" s="1976" t="str">
        <f t="array" ref="Q2160"> if(iserror(MATCH(V2160, 'File Links'!C:C, 0)), "N/A", HYPERLINK(INDEX('File Links'!B:B, MATCH(P2160, 'File Links'!C:C, 0))))</f>
        <v>https://drive.google.com/file/d/1FklynAHzflh7rbxQIU4qTxOz3VBhye8B/view?usp=drivesdk</v>
      </c>
      <c r="R2160" s="1970" t="s">
        <v>13223</v>
      </c>
      <c r="S2160" s="1970" t="s">
        <v>13224</v>
      </c>
      <c r="T2160" s="1977"/>
      <c r="U2160" s="1975">
        <v>1.0</v>
      </c>
      <c r="V2160" s="1973" t="s">
        <v>13225</v>
      </c>
      <c r="W2160" s="1978"/>
      <c r="X2160" s="1979" t="str">
        <f t="array" ref="X2160"> if(iserror(MATCH(V2160, 'File Links'!C:C, 0)), "N/A", HYPERLINK(INDEX('File Links'!B:B, MATCH(V2160, 'File Links'!C:C, 0))))</f>
        <v>https://drive.google.com/file/d/1hYNUJrx3yjyMoTgcG7Qz4pix-8ruWFMC/view?usp=drivesdk</v>
      </c>
      <c r="Y2160" s="1980"/>
      <c r="Z2160" s="1973" t="s">
        <v>219</v>
      </c>
      <c r="AA2160" s="1970" t="s">
        <v>13226</v>
      </c>
      <c r="AB2160" s="1973" t="s">
        <v>13272</v>
      </c>
      <c r="AC2160" s="1973" t="s">
        <v>13278</v>
      </c>
      <c r="AD2160" s="1978"/>
      <c r="AE2160" s="1978"/>
      <c r="AF2160" s="1968">
        <v>631.0</v>
      </c>
      <c r="AG2160" s="1968">
        <v>0.28</v>
      </c>
      <c r="AH2160" s="1973" t="s">
        <v>166</v>
      </c>
      <c r="AI2160" s="1973">
        <v>9.0</v>
      </c>
      <c r="AJ2160" s="1968">
        <v>0.024</v>
      </c>
      <c r="AK2160" s="1973" t="s">
        <v>128</v>
      </c>
      <c r="AL2160" s="1973" t="s">
        <v>129</v>
      </c>
      <c r="AM2160" s="1970" t="s">
        <v>130</v>
      </c>
      <c r="AN2160" s="1970" t="s">
        <v>131</v>
      </c>
      <c r="AO2160" s="1968">
        <v>1446.0</v>
      </c>
      <c r="AP2160" s="1968">
        <v>-0.3</v>
      </c>
      <c r="AQ2160" s="1973" t="s">
        <v>166</v>
      </c>
      <c r="AR2160" s="1973">
        <v>10.0</v>
      </c>
      <c r="AS2160" s="1968">
        <v>0.001</v>
      </c>
      <c r="AT2160" s="1973" t="s">
        <v>165</v>
      </c>
      <c r="AU2160" s="1973" t="s">
        <v>129</v>
      </c>
      <c r="AV2160" s="1970" t="s">
        <v>130</v>
      </c>
      <c r="AW2160" s="1966" t="s">
        <v>13229</v>
      </c>
      <c r="AX2160" s="1970" t="s">
        <v>136</v>
      </c>
      <c r="AY2160" s="1972"/>
      <c r="AZ2160" s="1971" t="s">
        <v>13230</v>
      </c>
      <c r="BA2160" s="1972"/>
      <c r="BB2160" s="1972"/>
      <c r="BC2160" s="1972"/>
      <c r="BD2160" s="1972"/>
      <c r="BE2160" s="1972"/>
      <c r="BF2160" s="1972"/>
      <c r="BG2160" s="1972"/>
      <c r="BH2160" s="1972"/>
      <c r="BI2160" s="1972"/>
      <c r="BJ2160" s="1972"/>
      <c r="BK2160" s="1972"/>
      <c r="BL2160" s="1972"/>
      <c r="BM2160" s="1972"/>
      <c r="BN2160" s="1972"/>
      <c r="BO2160" s="1972"/>
      <c r="BP2160" s="1972"/>
      <c r="BQ2160" s="1972"/>
      <c r="BR2160" s="1972"/>
      <c r="BS2160" s="1972"/>
      <c r="BT2160" s="1972"/>
      <c r="BU2160" s="1972"/>
      <c r="BV2160" s="1972"/>
      <c r="BW2160" s="1972"/>
      <c r="BX2160" s="1972"/>
      <c r="BY2160" s="1972"/>
      <c r="BZ2160" s="1972"/>
      <c r="CA2160" s="1972"/>
      <c r="CB2160" s="1972"/>
      <c r="CC2160" s="1972"/>
      <c r="CD2160" s="1972"/>
      <c r="CE2160" s="1972"/>
      <c r="CF2160" s="1972"/>
      <c r="CG2160" s="1972"/>
      <c r="CH2160" s="1972"/>
      <c r="CI2160" s="1972"/>
      <c r="CJ2160" s="1972"/>
      <c r="CK2160" s="1972"/>
      <c r="CL2160" s="1972"/>
      <c r="CM2160" s="1972"/>
      <c r="CN2160" s="1972"/>
      <c r="CO2160" s="1972"/>
      <c r="CP2160" s="1972"/>
      <c r="CQ2160" s="1972"/>
      <c r="CR2160" s="1972"/>
      <c r="CS2160" s="1972"/>
      <c r="CT2160" s="1972"/>
      <c r="CU2160" s="1972"/>
      <c r="CV2160" s="1972"/>
      <c r="CW2160" s="1972"/>
      <c r="CX2160" s="1972"/>
      <c r="CY2160" s="1972"/>
      <c r="CZ2160" s="1972"/>
      <c r="DA2160" s="1972"/>
      <c r="DB2160" s="1972"/>
      <c r="DC2160" s="1972"/>
      <c r="DD2160" s="1972"/>
      <c r="DE2160" s="1972"/>
      <c r="DF2160" s="1972"/>
      <c r="DG2160" s="1972"/>
      <c r="DH2160" s="1972"/>
    </row>
    <row r="2161">
      <c r="A2161" s="41">
        <v>2161.0</v>
      </c>
      <c r="B2161" s="1970" t="s">
        <v>145</v>
      </c>
      <c r="C2161" s="1971" t="s">
        <v>108</v>
      </c>
      <c r="D2161" s="1971" t="s">
        <v>2923</v>
      </c>
      <c r="E2161" s="1972"/>
      <c r="F2161" s="1970" t="s">
        <v>13276</v>
      </c>
      <c r="G2161" s="1970" t="s">
        <v>13217</v>
      </c>
      <c r="H2161" s="1973" t="s">
        <v>13231</v>
      </c>
      <c r="I2161" s="1968" t="s">
        <v>13262</v>
      </c>
      <c r="J2161" s="1974">
        <v>45828.0</v>
      </c>
      <c r="K2161" s="1973" t="s">
        <v>13244</v>
      </c>
      <c r="L2161" s="1970" t="s">
        <v>13254</v>
      </c>
      <c r="M2161" s="1970" t="s">
        <v>13259</v>
      </c>
      <c r="N2161" s="1970" t="s">
        <v>9858</v>
      </c>
      <c r="O2161" s="1975">
        <v>3.0</v>
      </c>
      <c r="P2161" s="1973" t="s">
        <v>13222</v>
      </c>
      <c r="Q2161" s="1976" t="str">
        <f t="array" ref="Q2161"> if(iserror(MATCH(V2161, 'File Links'!C:C, 0)), "N/A", HYPERLINK(INDEX('File Links'!B:B, MATCH(P2161, 'File Links'!C:C, 0))))</f>
        <v>https://drive.google.com/file/d/1FklynAHzflh7rbxQIU4qTxOz3VBhye8B/view?usp=drivesdk</v>
      </c>
      <c r="R2161" s="1970" t="s">
        <v>13223</v>
      </c>
      <c r="S2161" s="1970" t="s">
        <v>13224</v>
      </c>
      <c r="T2161" s="1981" t="s">
        <v>131</v>
      </c>
      <c r="U2161" s="1975">
        <v>1.0</v>
      </c>
      <c r="V2161" s="1973" t="s">
        <v>13225</v>
      </c>
      <c r="W2161" s="1973" t="s">
        <v>202</v>
      </c>
      <c r="X2161" s="1979" t="str">
        <f t="array" ref="X2161"> if(iserror(MATCH(V2161, 'File Links'!C:C, 0)), "N/A", HYPERLINK(INDEX('File Links'!B:B, MATCH(V2161, 'File Links'!C:C, 0))))</f>
        <v>https://drive.google.com/file/d/1hYNUJrx3yjyMoTgcG7Qz4pix-8ruWFMC/view?usp=drivesdk</v>
      </c>
      <c r="Y2161" s="1980"/>
      <c r="Z2161" s="1973" t="s">
        <v>219</v>
      </c>
      <c r="AA2161" s="1970" t="s">
        <v>13226</v>
      </c>
      <c r="AB2161" s="1973" t="s">
        <v>13274</v>
      </c>
      <c r="AC2161" s="1973" t="s">
        <v>13278</v>
      </c>
      <c r="AD2161" s="1973" t="s">
        <v>13279</v>
      </c>
      <c r="AE2161" s="1973">
        <v>8.0</v>
      </c>
      <c r="AF2161" s="1968">
        <v>631.0</v>
      </c>
      <c r="AG2161" s="1968">
        <v>0.285</v>
      </c>
      <c r="AH2161" s="1973" t="s">
        <v>166</v>
      </c>
      <c r="AI2161" s="1973" t="s">
        <v>606</v>
      </c>
      <c r="AJ2161" s="1968" t="s">
        <v>131</v>
      </c>
      <c r="AK2161" s="1978"/>
      <c r="AL2161" s="1973" t="s">
        <v>179</v>
      </c>
      <c r="AM2161" s="1970" t="s">
        <v>130</v>
      </c>
      <c r="AN2161" s="1970" t="s">
        <v>131</v>
      </c>
      <c r="AO2161" s="1968">
        <v>1446.0</v>
      </c>
      <c r="AP2161" s="1968">
        <v>1.14</v>
      </c>
      <c r="AQ2161" s="1973" t="s">
        <v>715</v>
      </c>
      <c r="AR2161" s="1973" t="s">
        <v>13265</v>
      </c>
      <c r="AS2161" s="1968">
        <v>0.121</v>
      </c>
      <c r="AT2161" s="1973" t="s">
        <v>165</v>
      </c>
      <c r="AU2161" s="1973" t="s">
        <v>179</v>
      </c>
      <c r="AV2161" s="1970" t="s">
        <v>130</v>
      </c>
      <c r="AW2161" s="1966" t="s">
        <v>13229</v>
      </c>
      <c r="AX2161" s="1112" t="s">
        <v>431</v>
      </c>
      <c r="AY2161" s="1972"/>
      <c r="AZ2161" s="1971" t="s">
        <v>13230</v>
      </c>
      <c r="BA2161" s="1972"/>
      <c r="BB2161" s="1972"/>
      <c r="BC2161" s="1972"/>
      <c r="BD2161" s="1972"/>
      <c r="BE2161" s="1972"/>
      <c r="BF2161" s="1972"/>
      <c r="BG2161" s="1972"/>
      <c r="BH2161" s="1972"/>
      <c r="BI2161" s="1972"/>
      <c r="BJ2161" s="1972"/>
      <c r="BK2161" s="1972"/>
      <c r="BL2161" s="1972"/>
      <c r="BM2161" s="1972"/>
      <c r="BN2161" s="1972"/>
      <c r="BO2161" s="1972"/>
      <c r="BP2161" s="1972"/>
      <c r="BQ2161" s="1972"/>
      <c r="BR2161" s="1972"/>
      <c r="BS2161" s="1972"/>
      <c r="BT2161" s="1972"/>
      <c r="BU2161" s="1972"/>
      <c r="BV2161" s="1972"/>
      <c r="BW2161" s="1972"/>
      <c r="BX2161" s="1972"/>
      <c r="BY2161" s="1972"/>
      <c r="BZ2161" s="1972"/>
      <c r="CA2161" s="1972"/>
      <c r="CB2161" s="1972"/>
      <c r="CC2161" s="1972"/>
      <c r="CD2161" s="1972"/>
      <c r="CE2161" s="1972"/>
      <c r="CF2161" s="1972"/>
      <c r="CG2161" s="1972"/>
      <c r="CH2161" s="1972"/>
      <c r="CI2161" s="1972"/>
      <c r="CJ2161" s="1972"/>
      <c r="CK2161" s="1972"/>
      <c r="CL2161" s="1972"/>
      <c r="CM2161" s="1972"/>
      <c r="CN2161" s="1972"/>
      <c r="CO2161" s="1972"/>
      <c r="CP2161" s="1972"/>
      <c r="CQ2161" s="1972"/>
      <c r="CR2161" s="1972"/>
      <c r="CS2161" s="1972"/>
      <c r="CT2161" s="1972"/>
      <c r="CU2161" s="1972"/>
      <c r="CV2161" s="1972"/>
      <c r="CW2161" s="1972"/>
      <c r="CX2161" s="1972"/>
      <c r="CY2161" s="1972"/>
      <c r="CZ2161" s="1972"/>
      <c r="DA2161" s="1972"/>
      <c r="DB2161" s="1972"/>
      <c r="DC2161" s="1972"/>
      <c r="DD2161" s="1972"/>
      <c r="DE2161" s="1972"/>
      <c r="DF2161" s="1972"/>
      <c r="DG2161" s="1972"/>
      <c r="DH2161" s="1972"/>
    </row>
    <row r="2162">
      <c r="A2162" s="41">
        <v>2162.0</v>
      </c>
      <c r="B2162" s="717" t="s">
        <v>107</v>
      </c>
      <c r="C2162" s="713" t="s">
        <v>108</v>
      </c>
      <c r="D2162" s="713" t="s">
        <v>214</v>
      </c>
      <c r="E2162" s="694"/>
      <c r="F2162" s="717" t="s">
        <v>13280</v>
      </c>
      <c r="G2162" s="717" t="s">
        <v>13217</v>
      </c>
      <c r="H2162" s="727" t="s">
        <v>215</v>
      </c>
      <c r="I2162" s="1497" t="s">
        <v>13218</v>
      </c>
      <c r="J2162" s="1498">
        <v>45828.0</v>
      </c>
      <c r="K2162" s="727" t="s">
        <v>13281</v>
      </c>
      <c r="L2162" s="717" t="s">
        <v>13254</v>
      </c>
      <c r="M2162" s="717" t="s">
        <v>13259</v>
      </c>
      <c r="N2162" s="717" t="s">
        <v>9858</v>
      </c>
      <c r="O2162" s="1502">
        <v>3.0</v>
      </c>
      <c r="P2162" s="727" t="s">
        <v>13222</v>
      </c>
      <c r="Q2162" s="1499" t="str">
        <f t="array" ref="Q2162"> if(iserror(MATCH(V2162, 'File Links'!C:C, 0)), "N/A", HYPERLINK(INDEX('File Links'!B:B, MATCH(P2162, 'File Links'!C:C, 0))))</f>
        <v>https://drive.google.com/file/d/1FklynAHzflh7rbxQIU4qTxOz3VBhye8B/view?usp=drivesdk</v>
      </c>
      <c r="R2162" s="1500" t="s">
        <v>13223</v>
      </c>
      <c r="S2162" s="717" t="s">
        <v>13224</v>
      </c>
      <c r="T2162" s="1501"/>
      <c r="U2162" s="1963">
        <v>1.0</v>
      </c>
      <c r="V2162" s="727" t="s">
        <v>13225</v>
      </c>
      <c r="W2162" s="714"/>
      <c r="X2162" s="1503" t="str">
        <f t="array" ref="X2162"> if(iserror(MATCH(V2162, 'File Links'!C:C, 0)), "N/A", HYPERLINK(INDEX('File Links'!B:B, MATCH(V2162, 'File Links'!C:C, 0))))</f>
        <v>https://drive.google.com/file/d/1hYNUJrx3yjyMoTgcG7Qz4pix-8ruWFMC/view?usp=drivesdk</v>
      </c>
      <c r="Y2162" s="1420"/>
      <c r="Z2162" s="727" t="s">
        <v>219</v>
      </c>
      <c r="AA2162" s="717" t="s">
        <v>13226</v>
      </c>
      <c r="AB2162" s="727" t="s">
        <v>13145</v>
      </c>
      <c r="AC2162" s="727" t="s">
        <v>13282</v>
      </c>
      <c r="AD2162" s="714"/>
      <c r="AE2162" s="714"/>
      <c r="AF2162" s="1497">
        <v>631.0</v>
      </c>
      <c r="AG2162" s="1497">
        <v>0.28</v>
      </c>
      <c r="AH2162" s="727" t="s">
        <v>166</v>
      </c>
      <c r="AI2162" s="727">
        <v>9.0</v>
      </c>
      <c r="AJ2162" s="1497">
        <v>0.035</v>
      </c>
      <c r="AK2162" s="727" t="s">
        <v>128</v>
      </c>
      <c r="AL2162" s="727" t="s">
        <v>129</v>
      </c>
      <c r="AM2162" s="717" t="s">
        <v>130</v>
      </c>
      <c r="AN2162" s="717" t="s">
        <v>131</v>
      </c>
      <c r="AO2162" s="1497">
        <v>1446.0</v>
      </c>
      <c r="AP2162" s="1497">
        <v>0.05</v>
      </c>
      <c r="AQ2162" s="727" t="s">
        <v>166</v>
      </c>
      <c r="AR2162" s="727">
        <v>10.0</v>
      </c>
      <c r="AS2162" s="1497">
        <v>0.001</v>
      </c>
      <c r="AT2162" s="727" t="s">
        <v>165</v>
      </c>
      <c r="AU2162" s="727" t="s">
        <v>129</v>
      </c>
      <c r="AV2162" s="717" t="s">
        <v>130</v>
      </c>
      <c r="AW2162" s="1966" t="s">
        <v>13229</v>
      </c>
      <c r="AX2162" s="717" t="s">
        <v>136</v>
      </c>
      <c r="AY2162" s="694"/>
      <c r="AZ2162" s="713" t="s">
        <v>13230</v>
      </c>
      <c r="BA2162" s="694"/>
      <c r="BB2162" s="694"/>
      <c r="BC2162" s="694"/>
      <c r="BD2162" s="694"/>
      <c r="BE2162" s="694"/>
      <c r="BF2162" s="694"/>
      <c r="BG2162" s="694"/>
      <c r="BH2162" s="694"/>
      <c r="BI2162" s="694"/>
      <c r="BJ2162" s="694"/>
      <c r="BK2162" s="694"/>
      <c r="BL2162" s="694"/>
      <c r="BM2162" s="694"/>
      <c r="BN2162" s="694"/>
      <c r="BO2162" s="694"/>
      <c r="BP2162" s="694"/>
      <c r="BQ2162" s="694"/>
      <c r="BR2162" s="694"/>
      <c r="BS2162" s="694"/>
      <c r="BT2162" s="694"/>
      <c r="BU2162" s="694"/>
      <c r="BV2162" s="694"/>
      <c r="BW2162" s="694"/>
      <c r="BX2162" s="694"/>
      <c r="BY2162" s="694"/>
      <c r="BZ2162" s="694"/>
      <c r="CA2162" s="694"/>
      <c r="CB2162" s="694"/>
      <c r="CC2162" s="694"/>
      <c r="CD2162" s="694"/>
      <c r="CE2162" s="694"/>
      <c r="CF2162" s="694"/>
      <c r="CG2162" s="694"/>
      <c r="CH2162" s="694"/>
      <c r="CI2162" s="694"/>
      <c r="CJ2162" s="694"/>
      <c r="CK2162" s="694"/>
      <c r="CL2162" s="694"/>
      <c r="CM2162" s="694"/>
      <c r="CN2162" s="694"/>
      <c r="CO2162" s="694"/>
      <c r="CP2162" s="694"/>
      <c r="CQ2162" s="694"/>
      <c r="CR2162" s="694"/>
      <c r="CS2162" s="694"/>
      <c r="CT2162" s="694"/>
      <c r="CU2162" s="694"/>
      <c r="CV2162" s="694"/>
      <c r="CW2162" s="694"/>
      <c r="CX2162" s="694"/>
      <c r="CY2162" s="694"/>
      <c r="CZ2162" s="694"/>
      <c r="DA2162" s="694"/>
      <c r="DB2162" s="694"/>
      <c r="DC2162" s="694"/>
      <c r="DD2162" s="694"/>
      <c r="DE2162" s="694"/>
      <c r="DF2162" s="694"/>
      <c r="DG2162" s="694"/>
      <c r="DH2162" s="694"/>
    </row>
    <row r="2163">
      <c r="A2163" s="41">
        <v>2163.0</v>
      </c>
      <c r="B2163" s="717" t="s">
        <v>145</v>
      </c>
      <c r="C2163" s="713" t="s">
        <v>108</v>
      </c>
      <c r="D2163" s="713" t="s">
        <v>2923</v>
      </c>
      <c r="E2163" s="694"/>
      <c r="F2163" s="717" t="s">
        <v>13280</v>
      </c>
      <c r="G2163" s="717" t="s">
        <v>13217</v>
      </c>
      <c r="H2163" s="727" t="s">
        <v>13231</v>
      </c>
      <c r="I2163" s="1497" t="s">
        <v>13262</v>
      </c>
      <c r="J2163" s="1498">
        <v>45828.0</v>
      </c>
      <c r="K2163" s="727" t="s">
        <v>13244</v>
      </c>
      <c r="L2163" s="717" t="s">
        <v>13254</v>
      </c>
      <c r="M2163" s="717" t="s">
        <v>13259</v>
      </c>
      <c r="N2163" s="717" t="s">
        <v>9858</v>
      </c>
      <c r="O2163" s="1502">
        <v>3.0</v>
      </c>
      <c r="P2163" s="727" t="s">
        <v>13222</v>
      </c>
      <c r="Q2163" s="1499" t="str">
        <f t="array" ref="Q2163"> if(iserror(MATCH(V2163, 'File Links'!C:C, 0)), "N/A", HYPERLINK(INDEX('File Links'!B:B, MATCH(P2163, 'File Links'!C:C, 0))))</f>
        <v>https://drive.google.com/file/d/1FklynAHzflh7rbxQIU4qTxOz3VBhye8B/view?usp=drivesdk</v>
      </c>
      <c r="R2163" s="1500" t="s">
        <v>13223</v>
      </c>
      <c r="S2163" s="717" t="s">
        <v>13224</v>
      </c>
      <c r="T2163" s="1967" t="s">
        <v>131</v>
      </c>
      <c r="U2163" s="1502">
        <v>1.0</v>
      </c>
      <c r="V2163" s="727" t="s">
        <v>13225</v>
      </c>
      <c r="W2163" s="727" t="s">
        <v>202</v>
      </c>
      <c r="X2163" s="1503" t="str">
        <f t="array" ref="X2163"> if(iserror(MATCH(V2163, 'File Links'!C:C, 0)), "N/A", HYPERLINK(INDEX('File Links'!B:B, MATCH(V2163, 'File Links'!C:C, 0))))</f>
        <v>https://drive.google.com/file/d/1hYNUJrx3yjyMoTgcG7Qz4pix-8ruWFMC/view?usp=drivesdk</v>
      </c>
      <c r="Y2163" s="1420"/>
      <c r="Z2163" s="727" t="s">
        <v>219</v>
      </c>
      <c r="AA2163" s="717" t="s">
        <v>13226</v>
      </c>
      <c r="AB2163" s="727" t="s">
        <v>13283</v>
      </c>
      <c r="AC2163" s="727" t="s">
        <v>13282</v>
      </c>
      <c r="AD2163" s="727" t="s">
        <v>13284</v>
      </c>
      <c r="AE2163" s="727">
        <v>8.0</v>
      </c>
      <c r="AF2163" s="1497">
        <v>631.0</v>
      </c>
      <c r="AG2163" s="1497">
        <v>0.277</v>
      </c>
      <c r="AH2163" s="727" t="s">
        <v>166</v>
      </c>
      <c r="AI2163" s="727" t="s">
        <v>606</v>
      </c>
      <c r="AJ2163" s="1497" t="s">
        <v>131</v>
      </c>
      <c r="AK2163" s="714"/>
      <c r="AL2163" s="727" t="s">
        <v>179</v>
      </c>
      <c r="AM2163" s="717" t="s">
        <v>130</v>
      </c>
      <c r="AN2163" s="717" t="s">
        <v>131</v>
      </c>
      <c r="AO2163" s="1497">
        <v>1446.0</v>
      </c>
      <c r="AP2163" s="1497">
        <v>1.05</v>
      </c>
      <c r="AQ2163" s="727" t="s">
        <v>715</v>
      </c>
      <c r="AR2163" s="727" t="s">
        <v>13265</v>
      </c>
      <c r="AS2163" s="1497">
        <v>0.82</v>
      </c>
      <c r="AT2163" s="727" t="s">
        <v>165</v>
      </c>
      <c r="AU2163" s="727" t="s">
        <v>179</v>
      </c>
      <c r="AV2163" s="717" t="s">
        <v>130</v>
      </c>
      <c r="AW2163" s="1966" t="s">
        <v>13229</v>
      </c>
      <c r="AX2163" s="1112" t="s">
        <v>431</v>
      </c>
      <c r="AY2163" s="694"/>
      <c r="AZ2163" s="713" t="s">
        <v>13230</v>
      </c>
      <c r="BA2163" s="694"/>
      <c r="BB2163" s="694"/>
      <c r="BC2163" s="694"/>
      <c r="BD2163" s="694"/>
      <c r="BE2163" s="694"/>
      <c r="BF2163" s="694"/>
      <c r="BG2163" s="694"/>
      <c r="BH2163" s="694"/>
      <c r="BI2163" s="694"/>
      <c r="BJ2163" s="694"/>
      <c r="BK2163" s="694"/>
      <c r="BL2163" s="694"/>
      <c r="BM2163" s="694"/>
      <c r="BN2163" s="694"/>
      <c r="BO2163" s="694"/>
      <c r="BP2163" s="694"/>
      <c r="BQ2163" s="694"/>
      <c r="BR2163" s="694"/>
      <c r="BS2163" s="694"/>
      <c r="BT2163" s="694"/>
      <c r="BU2163" s="694"/>
      <c r="BV2163" s="694"/>
      <c r="BW2163" s="694"/>
      <c r="BX2163" s="694"/>
      <c r="BY2163" s="694"/>
      <c r="BZ2163" s="694"/>
      <c r="CA2163" s="694"/>
      <c r="CB2163" s="694"/>
      <c r="CC2163" s="694"/>
      <c r="CD2163" s="694"/>
      <c r="CE2163" s="694"/>
      <c r="CF2163" s="694"/>
      <c r="CG2163" s="694"/>
      <c r="CH2163" s="694"/>
      <c r="CI2163" s="694"/>
      <c r="CJ2163" s="694"/>
      <c r="CK2163" s="694"/>
      <c r="CL2163" s="694"/>
      <c r="CM2163" s="694"/>
      <c r="CN2163" s="694"/>
      <c r="CO2163" s="694"/>
      <c r="CP2163" s="694"/>
      <c r="CQ2163" s="694"/>
      <c r="CR2163" s="694"/>
      <c r="CS2163" s="694"/>
      <c r="CT2163" s="694"/>
      <c r="CU2163" s="694"/>
      <c r="CV2163" s="694"/>
      <c r="CW2163" s="694"/>
      <c r="CX2163" s="694"/>
      <c r="CY2163" s="694"/>
      <c r="CZ2163" s="694"/>
      <c r="DA2163" s="694"/>
      <c r="DB2163" s="694"/>
      <c r="DC2163" s="694"/>
      <c r="DD2163" s="694"/>
      <c r="DE2163" s="694"/>
      <c r="DF2163" s="694"/>
      <c r="DG2163" s="694"/>
      <c r="DH2163" s="694"/>
    </row>
    <row r="2164">
      <c r="A2164" s="41">
        <v>2164.0</v>
      </c>
      <c r="B2164" s="717" t="s">
        <v>107</v>
      </c>
      <c r="C2164" s="713" t="s">
        <v>108</v>
      </c>
      <c r="D2164" s="713" t="s">
        <v>214</v>
      </c>
      <c r="E2164" s="694"/>
      <c r="F2164" s="717" t="s">
        <v>13285</v>
      </c>
      <c r="G2164" s="717" t="s">
        <v>13217</v>
      </c>
      <c r="H2164" s="727" t="s">
        <v>215</v>
      </c>
      <c r="I2164" s="1497" t="s">
        <v>13218</v>
      </c>
      <c r="J2164" s="1498">
        <v>45833.0</v>
      </c>
      <c r="K2164" s="727" t="s">
        <v>13286</v>
      </c>
      <c r="L2164" s="717" t="s">
        <v>13287</v>
      </c>
      <c r="M2164" s="717" t="s">
        <v>13259</v>
      </c>
      <c r="N2164" s="717" t="s">
        <v>9858</v>
      </c>
      <c r="O2164" s="1502">
        <v>3.0</v>
      </c>
      <c r="P2164" s="727" t="s">
        <v>13222</v>
      </c>
      <c r="Q2164" s="1499" t="str">
        <f t="array" ref="Q2164"> if(iserror(MATCH(V2164, 'File Links'!C:C, 0)), "N/A", HYPERLINK(INDEX('File Links'!B:B, MATCH(P2164, 'File Links'!C:C, 0))))</f>
        <v>https://drive.google.com/file/d/1FklynAHzflh7rbxQIU4qTxOz3VBhye8B/view?usp=drivesdk</v>
      </c>
      <c r="R2164" s="1500" t="s">
        <v>13223</v>
      </c>
      <c r="S2164" s="717" t="s">
        <v>13224</v>
      </c>
      <c r="T2164" s="1501"/>
      <c r="U2164" s="1963">
        <v>1.0</v>
      </c>
      <c r="V2164" s="727" t="s">
        <v>13225</v>
      </c>
      <c r="W2164" s="714"/>
      <c r="X2164" s="1503" t="str">
        <f t="array" ref="X2164"> if(iserror(MATCH(V2164, 'File Links'!C:C, 0)), "N/A", HYPERLINK(INDEX('File Links'!B:B, MATCH(V2164, 'File Links'!C:C, 0))))</f>
        <v>https://drive.google.com/file/d/1hYNUJrx3yjyMoTgcG7Qz4pix-8ruWFMC/view?usp=drivesdk</v>
      </c>
      <c r="Y2164" s="1420"/>
      <c r="Z2164" s="727" t="s">
        <v>219</v>
      </c>
      <c r="AA2164" s="717" t="s">
        <v>13226</v>
      </c>
      <c r="AB2164" s="727" t="s">
        <v>13283</v>
      </c>
      <c r="AC2164" s="727" t="s">
        <v>13288</v>
      </c>
      <c r="AD2164" s="714"/>
      <c r="AE2164" s="714"/>
      <c r="AF2164" s="1497">
        <v>631.0</v>
      </c>
      <c r="AG2164" s="1497">
        <v>0.05</v>
      </c>
      <c r="AH2164" s="727" t="s">
        <v>166</v>
      </c>
      <c r="AI2164" s="727">
        <v>9.0</v>
      </c>
      <c r="AJ2164" s="1497">
        <v>0.035</v>
      </c>
      <c r="AK2164" s="727" t="s">
        <v>128</v>
      </c>
      <c r="AL2164" s="1964" t="s">
        <v>129</v>
      </c>
      <c r="AM2164" s="717" t="s">
        <v>130</v>
      </c>
      <c r="AN2164" s="717" t="s">
        <v>131</v>
      </c>
      <c r="AO2164" s="1497">
        <v>1446.0</v>
      </c>
      <c r="AP2164" s="1497">
        <v>-0.05</v>
      </c>
      <c r="AQ2164" s="727" t="s">
        <v>166</v>
      </c>
      <c r="AR2164" s="727">
        <v>10.0</v>
      </c>
      <c r="AS2164" s="1497">
        <v>0.001</v>
      </c>
      <c r="AT2164" s="727" t="s">
        <v>165</v>
      </c>
      <c r="AU2164" s="1964" t="s">
        <v>129</v>
      </c>
      <c r="AV2164" s="717" t="s">
        <v>130</v>
      </c>
      <c r="AW2164" s="1966" t="s">
        <v>13229</v>
      </c>
      <c r="AX2164" s="717" t="s">
        <v>136</v>
      </c>
      <c r="AY2164" s="694"/>
      <c r="AZ2164" s="713" t="s">
        <v>13230</v>
      </c>
      <c r="BA2164" s="694"/>
      <c r="BB2164" s="694"/>
      <c r="BC2164" s="694"/>
      <c r="BD2164" s="694"/>
      <c r="BE2164" s="694"/>
      <c r="BF2164" s="694"/>
      <c r="BG2164" s="694"/>
      <c r="BH2164" s="694"/>
      <c r="BI2164" s="694"/>
      <c r="BJ2164" s="694"/>
      <c r="BK2164" s="694"/>
      <c r="BL2164" s="694"/>
      <c r="BM2164" s="694"/>
      <c r="BN2164" s="694"/>
      <c r="BO2164" s="694"/>
      <c r="BP2164" s="694"/>
      <c r="BQ2164" s="694"/>
      <c r="BR2164" s="694"/>
      <c r="BS2164" s="694"/>
      <c r="BT2164" s="694"/>
      <c r="BU2164" s="694"/>
      <c r="BV2164" s="694"/>
      <c r="BW2164" s="694"/>
      <c r="BX2164" s="694"/>
      <c r="BY2164" s="694"/>
      <c r="BZ2164" s="694"/>
      <c r="CA2164" s="694"/>
      <c r="CB2164" s="694"/>
      <c r="CC2164" s="694"/>
      <c r="CD2164" s="694"/>
      <c r="CE2164" s="694"/>
      <c r="CF2164" s="694"/>
      <c r="CG2164" s="694"/>
      <c r="CH2164" s="694"/>
      <c r="CI2164" s="694"/>
      <c r="CJ2164" s="694"/>
      <c r="CK2164" s="694"/>
      <c r="CL2164" s="694"/>
      <c r="CM2164" s="694"/>
      <c r="CN2164" s="694"/>
      <c r="CO2164" s="694"/>
      <c r="CP2164" s="694"/>
      <c r="CQ2164" s="694"/>
      <c r="CR2164" s="694"/>
      <c r="CS2164" s="694"/>
      <c r="CT2164" s="694"/>
      <c r="CU2164" s="694"/>
      <c r="CV2164" s="694"/>
      <c r="CW2164" s="694"/>
      <c r="CX2164" s="694"/>
      <c r="CY2164" s="694"/>
      <c r="CZ2164" s="694"/>
      <c r="DA2164" s="694"/>
      <c r="DB2164" s="694"/>
      <c r="DC2164" s="694"/>
      <c r="DD2164" s="694"/>
      <c r="DE2164" s="694"/>
      <c r="DF2164" s="694"/>
      <c r="DG2164" s="694"/>
      <c r="DH2164" s="694"/>
    </row>
    <row r="2165">
      <c r="A2165" s="41">
        <v>2165.0</v>
      </c>
      <c r="B2165" s="717" t="s">
        <v>107</v>
      </c>
      <c r="C2165" s="713" t="s">
        <v>108</v>
      </c>
      <c r="D2165" s="713" t="s">
        <v>2923</v>
      </c>
      <c r="E2165" s="694"/>
      <c r="F2165" s="717" t="s">
        <v>13285</v>
      </c>
      <c r="G2165" s="717" t="s">
        <v>13217</v>
      </c>
      <c r="H2165" s="727" t="s">
        <v>13231</v>
      </c>
      <c r="I2165" s="1497" t="s">
        <v>13262</v>
      </c>
      <c r="J2165" s="1498">
        <v>45828.0</v>
      </c>
      <c r="K2165" s="727" t="s">
        <v>131</v>
      </c>
      <c r="L2165" s="717" t="s">
        <v>13289</v>
      </c>
      <c r="M2165" s="717" t="s">
        <v>13259</v>
      </c>
      <c r="N2165" s="717" t="s">
        <v>9858</v>
      </c>
      <c r="O2165" s="1963">
        <v>3.0</v>
      </c>
      <c r="P2165" s="727" t="s">
        <v>13222</v>
      </c>
      <c r="Q2165" s="1499" t="str">
        <f t="array" ref="Q2165"> if(iserror(MATCH(V2165, 'File Links'!C:C, 0)), "N/A", HYPERLINK(INDEX('File Links'!B:B, MATCH(P2165, 'File Links'!C:C, 0))))</f>
        <v>https://drive.google.com/file/d/1FklynAHzflh7rbxQIU4qTxOz3VBhye8B/view?usp=drivesdk</v>
      </c>
      <c r="R2165" s="1500" t="s">
        <v>13223</v>
      </c>
      <c r="S2165" s="717" t="s">
        <v>13224</v>
      </c>
      <c r="T2165" s="1967" t="s">
        <v>131</v>
      </c>
      <c r="U2165" s="1502" t="s">
        <v>131</v>
      </c>
      <c r="V2165" s="727" t="s">
        <v>13225</v>
      </c>
      <c r="W2165" s="727" t="s">
        <v>131</v>
      </c>
      <c r="X2165" s="1503" t="str">
        <f t="array" ref="X2165"> if(iserror(MATCH(V2165, 'File Links'!C:C, 0)), "N/A", HYPERLINK(INDEX('File Links'!B:B, MATCH(V2165, 'File Links'!C:C, 0))))</f>
        <v>https://drive.google.com/file/d/1hYNUJrx3yjyMoTgcG7Qz4pix-8ruWFMC/view?usp=drivesdk</v>
      </c>
      <c r="Y2165" s="717" t="s">
        <v>13290</v>
      </c>
      <c r="Z2165" s="727" t="s">
        <v>219</v>
      </c>
      <c r="AA2165" s="717" t="s">
        <v>13226</v>
      </c>
      <c r="AB2165" s="694"/>
      <c r="AC2165" s="727" t="s">
        <v>13288</v>
      </c>
      <c r="AD2165" s="727" t="s">
        <v>131</v>
      </c>
      <c r="AE2165" s="727" t="s">
        <v>131</v>
      </c>
      <c r="AF2165" s="1497" t="s">
        <v>131</v>
      </c>
      <c r="AG2165" s="1497" t="s">
        <v>131</v>
      </c>
      <c r="AH2165" s="714"/>
      <c r="AI2165" s="727" t="s">
        <v>131</v>
      </c>
      <c r="AJ2165" s="1497" t="s">
        <v>131</v>
      </c>
      <c r="AK2165" s="714"/>
      <c r="AL2165" s="714"/>
      <c r="AM2165" s="1420"/>
      <c r="AN2165" s="717" t="s">
        <v>131</v>
      </c>
      <c r="AO2165" s="1497" t="s">
        <v>131</v>
      </c>
      <c r="AP2165" s="1497" t="s">
        <v>131</v>
      </c>
      <c r="AQ2165" s="717" t="s">
        <v>131</v>
      </c>
      <c r="AR2165" s="727" t="s">
        <v>131</v>
      </c>
      <c r="AS2165" s="1497" t="s">
        <v>131</v>
      </c>
      <c r="AT2165" s="714"/>
      <c r="AU2165" s="714"/>
      <c r="AV2165" s="1420"/>
      <c r="AW2165" s="1504" t="s">
        <v>131</v>
      </c>
      <c r="AX2165" s="1420"/>
      <c r="AY2165" s="694"/>
      <c r="AZ2165" s="713" t="s">
        <v>13230</v>
      </c>
      <c r="BA2165" s="694"/>
      <c r="BB2165" s="694"/>
      <c r="BC2165" s="694"/>
      <c r="BD2165" s="694"/>
      <c r="BE2165" s="694"/>
      <c r="BF2165" s="694"/>
      <c r="BG2165" s="694"/>
      <c r="BH2165" s="694"/>
      <c r="BI2165" s="694"/>
      <c r="BJ2165" s="694"/>
      <c r="BK2165" s="694"/>
      <c r="BL2165" s="694"/>
      <c r="BM2165" s="694"/>
      <c r="BN2165" s="694"/>
      <c r="BO2165" s="694"/>
      <c r="BP2165" s="694"/>
      <c r="BQ2165" s="694"/>
      <c r="BR2165" s="694"/>
      <c r="BS2165" s="694"/>
      <c r="BT2165" s="694"/>
      <c r="BU2165" s="694"/>
      <c r="BV2165" s="694"/>
      <c r="BW2165" s="694"/>
      <c r="BX2165" s="694"/>
      <c r="BY2165" s="694"/>
      <c r="BZ2165" s="694"/>
      <c r="CA2165" s="694"/>
      <c r="CB2165" s="694"/>
      <c r="CC2165" s="694"/>
      <c r="CD2165" s="694"/>
      <c r="CE2165" s="694"/>
      <c r="CF2165" s="694"/>
      <c r="CG2165" s="694"/>
      <c r="CH2165" s="694"/>
      <c r="CI2165" s="694"/>
      <c r="CJ2165" s="694"/>
      <c r="CK2165" s="694"/>
      <c r="CL2165" s="694"/>
      <c r="CM2165" s="694"/>
      <c r="CN2165" s="694"/>
      <c r="CO2165" s="694"/>
      <c r="CP2165" s="694"/>
      <c r="CQ2165" s="694"/>
      <c r="CR2165" s="694"/>
      <c r="CS2165" s="694"/>
      <c r="CT2165" s="694"/>
      <c r="CU2165" s="694"/>
      <c r="CV2165" s="694"/>
      <c r="CW2165" s="694"/>
      <c r="CX2165" s="694"/>
      <c r="CY2165" s="694"/>
      <c r="CZ2165" s="694"/>
      <c r="DA2165" s="694"/>
      <c r="DB2165" s="694"/>
      <c r="DC2165" s="694"/>
      <c r="DD2165" s="694"/>
      <c r="DE2165" s="694"/>
      <c r="DF2165" s="694"/>
      <c r="DG2165" s="694"/>
      <c r="DH2165" s="694"/>
    </row>
    <row r="2166">
      <c r="A2166" s="41">
        <v>2166.0</v>
      </c>
      <c r="B2166" s="902" t="s">
        <v>107</v>
      </c>
      <c r="C2166" s="836" t="s">
        <v>108</v>
      </c>
      <c r="D2166" s="836" t="s">
        <v>214</v>
      </c>
      <c r="E2166" s="749"/>
      <c r="F2166" s="902" t="s">
        <v>13291</v>
      </c>
      <c r="G2166" s="902" t="s">
        <v>13217</v>
      </c>
      <c r="H2166" s="996" t="s">
        <v>215</v>
      </c>
      <c r="I2166" s="1982" t="s">
        <v>13218</v>
      </c>
      <c r="J2166" s="992">
        <v>45832.0</v>
      </c>
      <c r="K2166" s="996" t="s">
        <v>13292</v>
      </c>
      <c r="L2166" s="902" t="s">
        <v>13254</v>
      </c>
      <c r="M2166" s="902" t="s">
        <v>13259</v>
      </c>
      <c r="N2166" s="902" t="s">
        <v>9858</v>
      </c>
      <c r="O2166" s="1983">
        <v>3.0</v>
      </c>
      <c r="P2166" s="996" t="s">
        <v>13222</v>
      </c>
      <c r="Q2166" s="898" t="str">
        <f t="array" ref="Q2166"> if(iserror(MATCH(V2166, 'File Links'!C:C, 0)), "N/A", HYPERLINK(INDEX('File Links'!B:B, MATCH(P2166, 'File Links'!C:C, 0))))</f>
        <v>https://drive.google.com/file/d/1FklynAHzflh7rbxQIU4qTxOz3VBhye8B/view?usp=drivesdk</v>
      </c>
      <c r="R2166" s="1984" t="s">
        <v>13223</v>
      </c>
      <c r="S2166" s="902" t="s">
        <v>13224</v>
      </c>
      <c r="T2166" s="1985"/>
      <c r="U2166" s="1986">
        <v>1.0</v>
      </c>
      <c r="V2166" s="996" t="s">
        <v>13225</v>
      </c>
      <c r="W2166" s="837"/>
      <c r="X2166" s="900" t="str">
        <f t="array" ref="X2166"> if(iserror(MATCH(V2166, 'File Links'!C:C, 0)), "N/A", HYPERLINK(INDEX('File Links'!B:B, MATCH(V2166, 'File Links'!C:C, 0))))</f>
        <v>https://drive.google.com/file/d/1hYNUJrx3yjyMoTgcG7Qz4pix-8ruWFMC/view?usp=drivesdk</v>
      </c>
      <c r="Y2166" s="848"/>
      <c r="Z2166" s="996" t="s">
        <v>219</v>
      </c>
      <c r="AA2166" s="902" t="s">
        <v>13226</v>
      </c>
      <c r="AB2166" s="996" t="s">
        <v>13293</v>
      </c>
      <c r="AC2166" s="996" t="s">
        <v>13261</v>
      </c>
      <c r="AD2166" s="837"/>
      <c r="AE2166" s="837"/>
      <c r="AF2166" s="1982">
        <v>631.0</v>
      </c>
      <c r="AG2166" s="1982">
        <v>0.31</v>
      </c>
      <c r="AH2166" s="996" t="s">
        <v>166</v>
      </c>
      <c r="AI2166" s="996">
        <v>9.0</v>
      </c>
      <c r="AJ2166" s="1982">
        <v>0.043</v>
      </c>
      <c r="AK2166" s="996" t="s">
        <v>128</v>
      </c>
      <c r="AL2166" s="996" t="s">
        <v>129</v>
      </c>
      <c r="AM2166" s="902" t="s">
        <v>130</v>
      </c>
      <c r="AN2166" s="902" t="s">
        <v>131</v>
      </c>
      <c r="AO2166" s="1982">
        <v>1446.0</v>
      </c>
      <c r="AP2166" s="1982">
        <v>0.16</v>
      </c>
      <c r="AQ2166" s="996" t="s">
        <v>166</v>
      </c>
      <c r="AR2166" s="996">
        <v>10.0</v>
      </c>
      <c r="AS2166" s="1982">
        <v>0.001</v>
      </c>
      <c r="AT2166" s="996" t="s">
        <v>165</v>
      </c>
      <c r="AU2166" s="996" t="s">
        <v>129</v>
      </c>
      <c r="AV2166" s="902" t="s">
        <v>130</v>
      </c>
      <c r="AW2166" s="1987" t="s">
        <v>13229</v>
      </c>
      <c r="AX2166" s="902" t="s">
        <v>144</v>
      </c>
      <c r="AY2166" s="749"/>
      <c r="AZ2166" s="836" t="s">
        <v>13230</v>
      </c>
      <c r="BA2166" s="749"/>
      <c r="BB2166" s="749"/>
      <c r="BC2166" s="749"/>
      <c r="BD2166" s="749"/>
      <c r="BE2166" s="749"/>
      <c r="BF2166" s="749"/>
      <c r="BG2166" s="749"/>
      <c r="BH2166" s="749"/>
      <c r="BI2166" s="749"/>
      <c r="BJ2166" s="749"/>
      <c r="BK2166" s="749"/>
      <c r="BL2166" s="749"/>
      <c r="BM2166" s="749"/>
      <c r="BN2166" s="749"/>
      <c r="BO2166" s="749"/>
      <c r="BP2166" s="749"/>
      <c r="BQ2166" s="749"/>
      <c r="BR2166" s="749"/>
      <c r="BS2166" s="749"/>
      <c r="BT2166" s="749"/>
      <c r="BU2166" s="749"/>
      <c r="BV2166" s="749"/>
      <c r="BW2166" s="749"/>
      <c r="BX2166" s="749"/>
      <c r="BY2166" s="749"/>
      <c r="BZ2166" s="749"/>
      <c r="CA2166" s="749"/>
      <c r="CB2166" s="749"/>
      <c r="CC2166" s="749"/>
      <c r="CD2166" s="749"/>
      <c r="CE2166" s="749"/>
      <c r="CF2166" s="749"/>
      <c r="CG2166" s="749"/>
      <c r="CH2166" s="749"/>
      <c r="CI2166" s="749"/>
      <c r="CJ2166" s="749"/>
      <c r="CK2166" s="749"/>
      <c r="CL2166" s="749"/>
      <c r="CM2166" s="749"/>
      <c r="CN2166" s="749"/>
      <c r="CO2166" s="749"/>
      <c r="CP2166" s="749"/>
      <c r="CQ2166" s="749"/>
      <c r="CR2166" s="749"/>
      <c r="CS2166" s="749"/>
      <c r="CT2166" s="749"/>
      <c r="CU2166" s="749"/>
      <c r="CV2166" s="749"/>
      <c r="CW2166" s="749"/>
      <c r="CX2166" s="749"/>
      <c r="CY2166" s="749"/>
      <c r="CZ2166" s="749"/>
      <c r="DA2166" s="749"/>
      <c r="DB2166" s="749"/>
      <c r="DC2166" s="749"/>
      <c r="DD2166" s="749"/>
      <c r="DE2166" s="749"/>
      <c r="DF2166" s="749"/>
      <c r="DG2166" s="749"/>
      <c r="DH2166" s="749"/>
    </row>
    <row r="2167">
      <c r="A2167" s="41">
        <v>2167.0</v>
      </c>
      <c r="B2167" s="717" t="s">
        <v>145</v>
      </c>
      <c r="C2167" s="713" t="s">
        <v>108</v>
      </c>
      <c r="D2167" s="713" t="s">
        <v>2923</v>
      </c>
      <c r="E2167" s="694"/>
      <c r="F2167" s="717" t="s">
        <v>13291</v>
      </c>
      <c r="G2167" s="717" t="s">
        <v>13217</v>
      </c>
      <c r="H2167" s="727" t="s">
        <v>13231</v>
      </c>
      <c r="I2167" s="1497" t="s">
        <v>13262</v>
      </c>
      <c r="J2167" s="1498">
        <v>45832.0</v>
      </c>
      <c r="K2167" s="727" t="s">
        <v>13244</v>
      </c>
      <c r="L2167" s="717" t="s">
        <v>13254</v>
      </c>
      <c r="M2167" s="717" t="s">
        <v>13259</v>
      </c>
      <c r="N2167" s="717" t="s">
        <v>9858</v>
      </c>
      <c r="O2167" s="1502">
        <v>3.0</v>
      </c>
      <c r="P2167" s="727" t="s">
        <v>13222</v>
      </c>
      <c r="Q2167" s="1499" t="str">
        <f t="array" ref="Q2167"> if(iserror(MATCH(V2167, 'File Links'!C:C, 0)), "N/A", HYPERLINK(INDEX('File Links'!B:B, MATCH(P2167, 'File Links'!C:C, 0))))</f>
        <v>https://drive.google.com/file/d/1FklynAHzflh7rbxQIU4qTxOz3VBhye8B/view?usp=drivesdk</v>
      </c>
      <c r="R2167" s="1500" t="s">
        <v>13223</v>
      </c>
      <c r="S2167" s="717" t="s">
        <v>13224</v>
      </c>
      <c r="T2167" s="1967" t="s">
        <v>131</v>
      </c>
      <c r="U2167" s="1502">
        <v>1.0</v>
      </c>
      <c r="V2167" s="727" t="s">
        <v>13225</v>
      </c>
      <c r="W2167" s="727" t="s">
        <v>202</v>
      </c>
      <c r="X2167" s="1503" t="str">
        <f t="array" ref="X2167"> if(iserror(MATCH(V2167, 'File Links'!C:C, 0)), "N/A", HYPERLINK(INDEX('File Links'!B:B, MATCH(V2167, 'File Links'!C:C, 0))))</f>
        <v>https://drive.google.com/file/d/1hYNUJrx3yjyMoTgcG7Qz4pix-8ruWFMC/view?usp=drivesdk</v>
      </c>
      <c r="Y2167" s="1420"/>
      <c r="Z2167" s="727" t="s">
        <v>219</v>
      </c>
      <c r="AA2167" s="717" t="s">
        <v>13226</v>
      </c>
      <c r="AB2167" s="727" t="s">
        <v>13294</v>
      </c>
      <c r="AC2167" s="727" t="s">
        <v>13261</v>
      </c>
      <c r="AD2167" s="727" t="s">
        <v>13264</v>
      </c>
      <c r="AE2167" s="727">
        <v>7.0</v>
      </c>
      <c r="AF2167" s="1497">
        <v>631.0</v>
      </c>
      <c r="AG2167" s="1497">
        <v>0.305</v>
      </c>
      <c r="AH2167" s="727" t="s">
        <v>166</v>
      </c>
      <c r="AI2167" s="727" t="s">
        <v>125</v>
      </c>
      <c r="AJ2167" s="1497" t="s">
        <v>131</v>
      </c>
      <c r="AK2167" s="714"/>
      <c r="AL2167" s="727" t="s">
        <v>179</v>
      </c>
      <c r="AM2167" s="717" t="s">
        <v>130</v>
      </c>
      <c r="AN2167" s="717" t="s">
        <v>131</v>
      </c>
      <c r="AO2167" s="1497">
        <v>1446.0</v>
      </c>
      <c r="AP2167" s="1497">
        <v>0.11</v>
      </c>
      <c r="AQ2167" s="727" t="s">
        <v>715</v>
      </c>
      <c r="AR2167" s="727" t="s">
        <v>13265</v>
      </c>
      <c r="AS2167" s="1497">
        <v>0.001</v>
      </c>
      <c r="AT2167" s="727" t="s">
        <v>165</v>
      </c>
      <c r="AU2167" s="727" t="s">
        <v>179</v>
      </c>
      <c r="AV2167" s="717" t="s">
        <v>130</v>
      </c>
      <c r="AW2167" s="1966" t="s">
        <v>13229</v>
      </c>
      <c r="AX2167" s="1112" t="s">
        <v>431</v>
      </c>
      <c r="AY2167" s="694"/>
      <c r="AZ2167" s="713" t="s">
        <v>13230</v>
      </c>
      <c r="BA2167" s="694"/>
      <c r="BB2167" s="694"/>
      <c r="BC2167" s="694"/>
      <c r="BD2167" s="694"/>
      <c r="BE2167" s="694"/>
      <c r="BF2167" s="694"/>
      <c r="BG2167" s="694"/>
      <c r="BH2167" s="694"/>
      <c r="BI2167" s="694"/>
      <c r="BJ2167" s="694"/>
      <c r="BK2167" s="694"/>
      <c r="BL2167" s="694"/>
      <c r="BM2167" s="694"/>
      <c r="BN2167" s="694"/>
      <c r="BO2167" s="694"/>
      <c r="BP2167" s="694"/>
      <c r="BQ2167" s="694"/>
      <c r="BR2167" s="694"/>
      <c r="BS2167" s="694"/>
      <c r="BT2167" s="694"/>
      <c r="BU2167" s="694"/>
      <c r="BV2167" s="694"/>
      <c r="BW2167" s="694"/>
      <c r="BX2167" s="694"/>
      <c r="BY2167" s="694"/>
      <c r="BZ2167" s="694"/>
      <c r="CA2167" s="694"/>
      <c r="CB2167" s="694"/>
      <c r="CC2167" s="694"/>
      <c r="CD2167" s="694"/>
      <c r="CE2167" s="694"/>
      <c r="CF2167" s="694"/>
      <c r="CG2167" s="694"/>
      <c r="CH2167" s="694"/>
      <c r="CI2167" s="694"/>
      <c r="CJ2167" s="694"/>
      <c r="CK2167" s="694"/>
      <c r="CL2167" s="694"/>
      <c r="CM2167" s="694"/>
      <c r="CN2167" s="694"/>
      <c r="CO2167" s="694"/>
      <c r="CP2167" s="694"/>
      <c r="CQ2167" s="694"/>
      <c r="CR2167" s="694"/>
      <c r="CS2167" s="694"/>
      <c r="CT2167" s="694"/>
      <c r="CU2167" s="694"/>
      <c r="CV2167" s="694"/>
      <c r="CW2167" s="694"/>
      <c r="CX2167" s="694"/>
      <c r="CY2167" s="694"/>
      <c r="CZ2167" s="694"/>
      <c r="DA2167" s="694"/>
      <c r="DB2167" s="694"/>
      <c r="DC2167" s="694"/>
      <c r="DD2167" s="694"/>
      <c r="DE2167" s="694"/>
      <c r="DF2167" s="694"/>
      <c r="DG2167" s="694"/>
      <c r="DH2167" s="694"/>
    </row>
    <row r="2168">
      <c r="A2168" s="41">
        <v>2168.0</v>
      </c>
      <c r="B2168" s="717" t="s">
        <v>107</v>
      </c>
      <c r="C2168" s="713" t="s">
        <v>108</v>
      </c>
      <c r="D2168" s="713" t="s">
        <v>214</v>
      </c>
      <c r="E2168" s="694"/>
      <c r="F2168" s="717" t="s">
        <v>13295</v>
      </c>
      <c r="G2168" s="717" t="s">
        <v>13217</v>
      </c>
      <c r="H2168" s="727" t="s">
        <v>215</v>
      </c>
      <c r="I2168" s="1497" t="s">
        <v>13218</v>
      </c>
      <c r="J2168" s="1498">
        <v>45832.0</v>
      </c>
      <c r="K2168" s="727" t="s">
        <v>13296</v>
      </c>
      <c r="L2168" s="717" t="s">
        <v>13254</v>
      </c>
      <c r="M2168" s="717" t="s">
        <v>13221</v>
      </c>
      <c r="N2168" s="717" t="s">
        <v>9858</v>
      </c>
      <c r="O2168" s="1502">
        <v>1.0</v>
      </c>
      <c r="P2168" s="727" t="s">
        <v>13222</v>
      </c>
      <c r="Q2168" s="1499" t="str">
        <f t="array" ref="Q2168"> if(iserror(MATCH(V2168, 'File Links'!C:C, 0)), "N/A", HYPERLINK(INDEX('File Links'!B:B, MATCH(P2168, 'File Links'!C:C, 0))))</f>
        <v>https://drive.google.com/file/d/1FklynAHzflh7rbxQIU4qTxOz3VBhye8B/view?usp=drivesdk</v>
      </c>
      <c r="R2168" s="1500" t="s">
        <v>13223</v>
      </c>
      <c r="S2168" s="717" t="s">
        <v>13224</v>
      </c>
      <c r="T2168" s="1501"/>
      <c r="U2168" s="1963">
        <v>1.0</v>
      </c>
      <c r="V2168" s="727" t="s">
        <v>13225</v>
      </c>
      <c r="W2168" s="714"/>
      <c r="X2168" s="1503" t="str">
        <f t="array" ref="X2168"> if(iserror(MATCH(V2168, 'File Links'!C:C, 0)), "N/A", HYPERLINK(INDEX('File Links'!B:B, MATCH(V2168, 'File Links'!C:C, 0))))</f>
        <v>https://drive.google.com/file/d/1hYNUJrx3yjyMoTgcG7Qz4pix-8ruWFMC/view?usp=drivesdk</v>
      </c>
      <c r="Y2168" s="1420"/>
      <c r="Z2168" s="727" t="s">
        <v>219</v>
      </c>
      <c r="AA2168" s="717" t="s">
        <v>13226</v>
      </c>
      <c r="AB2168" s="727" t="s">
        <v>13297</v>
      </c>
      <c r="AC2168" s="727" t="s">
        <v>13228</v>
      </c>
      <c r="AD2168" s="714"/>
      <c r="AE2168" s="714"/>
      <c r="AF2168" s="1497">
        <v>573.0</v>
      </c>
      <c r="AG2168" s="1497">
        <v>0.23</v>
      </c>
      <c r="AH2168" s="727" t="s">
        <v>166</v>
      </c>
      <c r="AI2168" s="727">
        <v>6.0</v>
      </c>
      <c r="AJ2168" s="1497">
        <v>0.02</v>
      </c>
      <c r="AK2168" s="727" t="s">
        <v>128</v>
      </c>
      <c r="AL2168" s="727" t="s">
        <v>129</v>
      </c>
      <c r="AM2168" s="717" t="s">
        <v>130</v>
      </c>
      <c r="AN2168" s="717" t="s">
        <v>131</v>
      </c>
      <c r="AO2168" s="1497">
        <v>1446.0</v>
      </c>
      <c r="AP2168" s="1497">
        <v>0.18</v>
      </c>
      <c r="AQ2168" s="727" t="s">
        <v>166</v>
      </c>
      <c r="AR2168" s="727">
        <v>7.0</v>
      </c>
      <c r="AS2168" s="1497">
        <v>0.001</v>
      </c>
      <c r="AT2168" s="727" t="s">
        <v>165</v>
      </c>
      <c r="AU2168" s="727" t="s">
        <v>129</v>
      </c>
      <c r="AV2168" s="717" t="s">
        <v>130</v>
      </c>
      <c r="AW2168" s="1966" t="s">
        <v>13229</v>
      </c>
      <c r="AX2168" s="717" t="s">
        <v>136</v>
      </c>
      <c r="AY2168" s="694"/>
      <c r="AZ2168" s="713" t="s">
        <v>13230</v>
      </c>
      <c r="BA2168" s="694"/>
      <c r="BB2168" s="694"/>
      <c r="BC2168" s="694"/>
      <c r="BD2168" s="694"/>
      <c r="BE2168" s="694"/>
      <c r="BF2168" s="694"/>
      <c r="BG2168" s="694"/>
      <c r="BH2168" s="694"/>
      <c r="BI2168" s="694"/>
      <c r="BJ2168" s="694"/>
      <c r="BK2168" s="694"/>
      <c r="BL2168" s="694"/>
      <c r="BM2168" s="694"/>
      <c r="BN2168" s="694"/>
      <c r="BO2168" s="694"/>
      <c r="BP2168" s="694"/>
      <c r="BQ2168" s="694"/>
      <c r="BR2168" s="694"/>
      <c r="BS2168" s="694"/>
      <c r="BT2168" s="694"/>
      <c r="BU2168" s="694"/>
      <c r="BV2168" s="694"/>
      <c r="BW2168" s="694"/>
      <c r="BX2168" s="694"/>
      <c r="BY2168" s="694"/>
      <c r="BZ2168" s="694"/>
      <c r="CA2168" s="694"/>
      <c r="CB2168" s="694"/>
      <c r="CC2168" s="694"/>
      <c r="CD2168" s="694"/>
      <c r="CE2168" s="694"/>
      <c r="CF2168" s="694"/>
      <c r="CG2168" s="694"/>
      <c r="CH2168" s="694"/>
      <c r="CI2168" s="694"/>
      <c r="CJ2168" s="694"/>
      <c r="CK2168" s="694"/>
      <c r="CL2168" s="694"/>
      <c r="CM2168" s="694"/>
      <c r="CN2168" s="694"/>
      <c r="CO2168" s="694"/>
      <c r="CP2168" s="694"/>
      <c r="CQ2168" s="694"/>
      <c r="CR2168" s="694"/>
      <c r="CS2168" s="694"/>
      <c r="CT2168" s="694"/>
      <c r="CU2168" s="694"/>
      <c r="CV2168" s="694"/>
      <c r="CW2168" s="694"/>
      <c r="CX2168" s="694"/>
      <c r="CY2168" s="694"/>
      <c r="CZ2168" s="694"/>
      <c r="DA2168" s="694"/>
      <c r="DB2168" s="694"/>
      <c r="DC2168" s="694"/>
      <c r="DD2168" s="694"/>
      <c r="DE2168" s="694"/>
      <c r="DF2168" s="694"/>
      <c r="DG2168" s="694"/>
      <c r="DH2168" s="694"/>
    </row>
    <row r="2169">
      <c r="A2169" s="41">
        <v>2169.0</v>
      </c>
      <c r="B2169" s="717" t="s">
        <v>145</v>
      </c>
      <c r="C2169" s="713" t="s">
        <v>108</v>
      </c>
      <c r="D2169" s="713" t="s">
        <v>2923</v>
      </c>
      <c r="E2169" s="694"/>
      <c r="F2169" s="717" t="s">
        <v>13295</v>
      </c>
      <c r="G2169" s="717" t="s">
        <v>13217</v>
      </c>
      <c r="H2169" s="727" t="s">
        <v>13231</v>
      </c>
      <c r="I2169" s="1497" t="s">
        <v>13232</v>
      </c>
      <c r="J2169" s="1498">
        <v>45832.0</v>
      </c>
      <c r="K2169" s="727" t="s">
        <v>13298</v>
      </c>
      <c r="L2169" s="717" t="s">
        <v>13254</v>
      </c>
      <c r="M2169" s="717" t="s">
        <v>13221</v>
      </c>
      <c r="N2169" s="717" t="s">
        <v>9858</v>
      </c>
      <c r="O2169" s="1502">
        <v>1.0</v>
      </c>
      <c r="P2169" s="727" t="s">
        <v>13222</v>
      </c>
      <c r="Q2169" s="1499" t="str">
        <f t="array" ref="Q2169"> if(iserror(MATCH(V2169, 'File Links'!C:C, 0)), "N/A", HYPERLINK(INDEX('File Links'!B:B, MATCH(P2169, 'File Links'!C:C, 0))))</f>
        <v>https://drive.google.com/file/d/1FklynAHzflh7rbxQIU4qTxOz3VBhye8B/view?usp=drivesdk</v>
      </c>
      <c r="R2169" s="1500" t="s">
        <v>13223</v>
      </c>
      <c r="S2169" s="717" t="s">
        <v>13224</v>
      </c>
      <c r="T2169" s="1967" t="s">
        <v>131</v>
      </c>
      <c r="U2169" s="1502">
        <v>1.0</v>
      </c>
      <c r="V2169" s="727" t="s">
        <v>13225</v>
      </c>
      <c r="W2169" s="727" t="s">
        <v>202</v>
      </c>
      <c r="X2169" s="1503" t="str">
        <f t="array" ref="X2169"> if(iserror(MATCH(V2169, 'File Links'!C:C, 0)), "N/A", HYPERLINK(INDEX('File Links'!B:B, MATCH(V2169, 'File Links'!C:C, 0))))</f>
        <v>https://drive.google.com/file/d/1hYNUJrx3yjyMoTgcG7Qz4pix-8ruWFMC/view?usp=drivesdk</v>
      </c>
      <c r="Y2169" s="1420"/>
      <c r="Z2169" s="727" t="s">
        <v>219</v>
      </c>
      <c r="AA2169" s="717" t="s">
        <v>13226</v>
      </c>
      <c r="AB2169" s="727" t="s">
        <v>13299</v>
      </c>
      <c r="AC2169" s="727" t="s">
        <v>13228</v>
      </c>
      <c r="AD2169" s="727" t="s">
        <v>13236</v>
      </c>
      <c r="AE2169" s="727">
        <v>4.0</v>
      </c>
      <c r="AF2169" s="1497">
        <v>573.0</v>
      </c>
      <c r="AG2169" s="1497">
        <v>0.234</v>
      </c>
      <c r="AH2169" s="727" t="s">
        <v>166</v>
      </c>
      <c r="AI2169" s="727" t="s">
        <v>843</v>
      </c>
      <c r="AJ2169" s="1497" t="s">
        <v>131</v>
      </c>
      <c r="AK2169" s="714"/>
      <c r="AL2169" s="727" t="s">
        <v>179</v>
      </c>
      <c r="AM2169" s="717" t="s">
        <v>130</v>
      </c>
      <c r="AN2169" s="717" t="s">
        <v>131</v>
      </c>
      <c r="AO2169" s="1497">
        <v>1446.0</v>
      </c>
      <c r="AP2169" s="1497">
        <v>1.22</v>
      </c>
      <c r="AQ2169" s="727" t="s">
        <v>715</v>
      </c>
      <c r="AR2169" s="727" t="s">
        <v>13237</v>
      </c>
      <c r="AS2169" s="1497">
        <v>0.015</v>
      </c>
      <c r="AT2169" s="727" t="s">
        <v>165</v>
      </c>
      <c r="AU2169" s="727" t="s">
        <v>179</v>
      </c>
      <c r="AV2169" s="717" t="s">
        <v>130</v>
      </c>
      <c r="AW2169" s="1966" t="s">
        <v>13229</v>
      </c>
      <c r="AX2169" s="1112" t="s">
        <v>431</v>
      </c>
      <c r="AY2169" s="694"/>
      <c r="AZ2169" s="713" t="s">
        <v>13230</v>
      </c>
      <c r="BA2169" s="694"/>
      <c r="BB2169" s="694"/>
      <c r="BC2169" s="694"/>
      <c r="BD2169" s="694"/>
      <c r="BE2169" s="694"/>
      <c r="BF2169" s="694"/>
      <c r="BG2169" s="694"/>
      <c r="BH2169" s="694"/>
      <c r="BI2169" s="694"/>
      <c r="BJ2169" s="694"/>
      <c r="BK2169" s="694"/>
      <c r="BL2169" s="694"/>
      <c r="BM2169" s="694"/>
      <c r="BN2169" s="694"/>
      <c r="BO2169" s="694"/>
      <c r="BP2169" s="694"/>
      <c r="BQ2169" s="694"/>
      <c r="BR2169" s="694"/>
      <c r="BS2169" s="694"/>
      <c r="BT2169" s="694"/>
      <c r="BU2169" s="694"/>
      <c r="BV2169" s="694"/>
      <c r="BW2169" s="694"/>
      <c r="BX2169" s="694"/>
      <c r="BY2169" s="694"/>
      <c r="BZ2169" s="694"/>
      <c r="CA2169" s="694"/>
      <c r="CB2169" s="694"/>
      <c r="CC2169" s="694"/>
      <c r="CD2169" s="694"/>
      <c r="CE2169" s="694"/>
      <c r="CF2169" s="694"/>
      <c r="CG2169" s="694"/>
      <c r="CH2169" s="694"/>
      <c r="CI2169" s="694"/>
      <c r="CJ2169" s="694"/>
      <c r="CK2169" s="694"/>
      <c r="CL2169" s="694"/>
      <c r="CM2169" s="694"/>
      <c r="CN2169" s="694"/>
      <c r="CO2169" s="694"/>
      <c r="CP2169" s="694"/>
      <c r="CQ2169" s="694"/>
      <c r="CR2169" s="694"/>
      <c r="CS2169" s="694"/>
      <c r="CT2169" s="694"/>
      <c r="CU2169" s="694"/>
      <c r="CV2169" s="694"/>
      <c r="CW2169" s="694"/>
      <c r="CX2169" s="694"/>
      <c r="CY2169" s="694"/>
      <c r="CZ2169" s="694"/>
      <c r="DA2169" s="694"/>
      <c r="DB2169" s="694"/>
      <c r="DC2169" s="694"/>
      <c r="DD2169" s="694"/>
      <c r="DE2169" s="694"/>
      <c r="DF2169" s="694"/>
      <c r="DG2169" s="694"/>
      <c r="DH2169" s="694"/>
    </row>
    <row r="2170">
      <c r="A2170" s="41">
        <v>2170.0</v>
      </c>
      <c r="B2170" s="717" t="s">
        <v>107</v>
      </c>
      <c r="C2170" s="713" t="s">
        <v>108</v>
      </c>
      <c r="D2170" s="713" t="s">
        <v>214</v>
      </c>
      <c r="E2170" s="694"/>
      <c r="F2170" s="717" t="s">
        <v>13300</v>
      </c>
      <c r="G2170" s="717" t="s">
        <v>13217</v>
      </c>
      <c r="H2170" s="727" t="s">
        <v>215</v>
      </c>
      <c r="I2170" s="1497" t="s">
        <v>13218</v>
      </c>
      <c r="J2170" s="1498">
        <v>45832.0</v>
      </c>
      <c r="K2170" s="727" t="s">
        <v>13301</v>
      </c>
      <c r="L2170" s="717" t="s">
        <v>13254</v>
      </c>
      <c r="M2170" s="717" t="s">
        <v>13259</v>
      </c>
      <c r="N2170" s="717" t="s">
        <v>9858</v>
      </c>
      <c r="O2170" s="1502">
        <v>3.0</v>
      </c>
      <c r="P2170" s="727" t="s">
        <v>13222</v>
      </c>
      <c r="Q2170" s="1499" t="str">
        <f t="array" ref="Q2170"> if(iserror(MATCH(V2170, 'File Links'!C:C, 0)), "N/A", HYPERLINK(INDEX('File Links'!B:B, MATCH(P2170, 'File Links'!C:C, 0))))</f>
        <v>https://drive.google.com/file/d/1FklynAHzflh7rbxQIU4qTxOz3VBhye8B/view?usp=drivesdk</v>
      </c>
      <c r="R2170" s="1500" t="s">
        <v>13223</v>
      </c>
      <c r="S2170" s="717" t="s">
        <v>13224</v>
      </c>
      <c r="T2170" s="1501"/>
      <c r="U2170" s="1963">
        <v>1.0</v>
      </c>
      <c r="V2170" s="727" t="s">
        <v>13225</v>
      </c>
      <c r="W2170" s="714"/>
      <c r="X2170" s="1503" t="str">
        <f t="array" ref="X2170"> if(iserror(MATCH(V2170, 'File Links'!C:C, 0)), "N/A", HYPERLINK(INDEX('File Links'!B:B, MATCH(V2170, 'File Links'!C:C, 0))))</f>
        <v>https://drive.google.com/file/d/1hYNUJrx3yjyMoTgcG7Qz4pix-8ruWFMC/view?usp=drivesdk</v>
      </c>
      <c r="Y2170" s="1420"/>
      <c r="Z2170" s="727" t="s">
        <v>219</v>
      </c>
      <c r="AA2170" s="717" t="s">
        <v>13226</v>
      </c>
      <c r="AB2170" s="727" t="s">
        <v>13293</v>
      </c>
      <c r="AC2170" s="727" t="s">
        <v>13268</v>
      </c>
      <c r="AD2170" s="714"/>
      <c r="AE2170" s="714"/>
      <c r="AF2170" s="1497">
        <v>631.0</v>
      </c>
      <c r="AG2170" s="1497">
        <v>0.22</v>
      </c>
      <c r="AH2170" s="727" t="s">
        <v>166</v>
      </c>
      <c r="AI2170" s="727">
        <v>9.0</v>
      </c>
      <c r="AJ2170" s="1497">
        <v>0.043</v>
      </c>
      <c r="AK2170" s="727" t="s">
        <v>128</v>
      </c>
      <c r="AL2170" s="727" t="s">
        <v>129</v>
      </c>
      <c r="AM2170" s="717" t="s">
        <v>130</v>
      </c>
      <c r="AN2170" s="717" t="s">
        <v>131</v>
      </c>
      <c r="AO2170" s="1497">
        <v>1446.0</v>
      </c>
      <c r="AP2170" s="1497">
        <v>-0.88</v>
      </c>
      <c r="AQ2170" s="727" t="s">
        <v>166</v>
      </c>
      <c r="AR2170" s="727">
        <v>10.0</v>
      </c>
      <c r="AS2170" s="1497">
        <v>0.001</v>
      </c>
      <c r="AT2170" s="727" t="s">
        <v>165</v>
      </c>
      <c r="AU2170" s="727" t="s">
        <v>129</v>
      </c>
      <c r="AV2170" s="717" t="s">
        <v>130</v>
      </c>
      <c r="AW2170" s="1966" t="s">
        <v>13229</v>
      </c>
      <c r="AX2170" s="717" t="s">
        <v>144</v>
      </c>
      <c r="AY2170" s="694"/>
      <c r="AZ2170" s="713" t="s">
        <v>13230</v>
      </c>
      <c r="BA2170" s="694"/>
      <c r="BB2170" s="694"/>
      <c r="BC2170" s="694"/>
      <c r="BD2170" s="694"/>
      <c r="BE2170" s="694"/>
      <c r="BF2170" s="694"/>
      <c r="BG2170" s="694"/>
      <c r="BH2170" s="694"/>
      <c r="BI2170" s="694"/>
      <c r="BJ2170" s="694"/>
      <c r="BK2170" s="694"/>
      <c r="BL2170" s="694"/>
      <c r="BM2170" s="694"/>
      <c r="BN2170" s="694"/>
      <c r="BO2170" s="694"/>
      <c r="BP2170" s="694"/>
      <c r="BQ2170" s="694"/>
      <c r="BR2170" s="694"/>
      <c r="BS2170" s="694"/>
      <c r="BT2170" s="694"/>
      <c r="BU2170" s="694"/>
      <c r="BV2170" s="694"/>
      <c r="BW2170" s="694"/>
      <c r="BX2170" s="694"/>
      <c r="BY2170" s="694"/>
      <c r="BZ2170" s="694"/>
      <c r="CA2170" s="694"/>
      <c r="CB2170" s="694"/>
      <c r="CC2170" s="694"/>
      <c r="CD2170" s="694"/>
      <c r="CE2170" s="694"/>
      <c r="CF2170" s="694"/>
      <c r="CG2170" s="694"/>
      <c r="CH2170" s="694"/>
      <c r="CI2170" s="694"/>
      <c r="CJ2170" s="694"/>
      <c r="CK2170" s="694"/>
      <c r="CL2170" s="694"/>
      <c r="CM2170" s="694"/>
      <c r="CN2170" s="694"/>
      <c r="CO2170" s="694"/>
      <c r="CP2170" s="694"/>
      <c r="CQ2170" s="694"/>
      <c r="CR2170" s="694"/>
      <c r="CS2170" s="694"/>
      <c r="CT2170" s="694"/>
      <c r="CU2170" s="694"/>
      <c r="CV2170" s="694"/>
      <c r="CW2170" s="694"/>
      <c r="CX2170" s="694"/>
      <c r="CY2170" s="694"/>
      <c r="CZ2170" s="694"/>
      <c r="DA2170" s="694"/>
      <c r="DB2170" s="694"/>
      <c r="DC2170" s="694"/>
      <c r="DD2170" s="694"/>
      <c r="DE2170" s="694"/>
      <c r="DF2170" s="694"/>
      <c r="DG2170" s="694"/>
      <c r="DH2170" s="694"/>
    </row>
    <row r="2171">
      <c r="A2171" s="41">
        <v>2171.0</v>
      </c>
      <c r="B2171" s="717" t="s">
        <v>145</v>
      </c>
      <c r="C2171" s="713" t="s">
        <v>108</v>
      </c>
      <c r="D2171" s="713" t="s">
        <v>2923</v>
      </c>
      <c r="E2171" s="694"/>
      <c r="F2171" s="717" t="s">
        <v>13300</v>
      </c>
      <c r="G2171" s="717" t="s">
        <v>13217</v>
      </c>
      <c r="H2171" s="727" t="s">
        <v>13231</v>
      </c>
      <c r="I2171" s="1497" t="s">
        <v>13262</v>
      </c>
      <c r="J2171" s="1498">
        <v>45832.0</v>
      </c>
      <c r="K2171" s="727" t="s">
        <v>13244</v>
      </c>
      <c r="L2171" s="717" t="s">
        <v>13254</v>
      </c>
      <c r="M2171" s="717" t="s">
        <v>13259</v>
      </c>
      <c r="N2171" s="717" t="s">
        <v>9858</v>
      </c>
      <c r="O2171" s="1502">
        <v>3.0</v>
      </c>
      <c r="P2171" s="727" t="s">
        <v>13222</v>
      </c>
      <c r="Q2171" s="1499" t="str">
        <f t="array" ref="Q2171"> if(iserror(MATCH(V2171, 'File Links'!C:C, 0)), "N/A", HYPERLINK(INDEX('File Links'!B:B, MATCH(P2171, 'File Links'!C:C, 0))))</f>
        <v>https://drive.google.com/file/d/1FklynAHzflh7rbxQIU4qTxOz3VBhye8B/view?usp=drivesdk</v>
      </c>
      <c r="R2171" s="1500" t="s">
        <v>13223</v>
      </c>
      <c r="S2171" s="717" t="s">
        <v>13224</v>
      </c>
      <c r="T2171" s="1967" t="s">
        <v>131</v>
      </c>
      <c r="U2171" s="1502">
        <v>1.0</v>
      </c>
      <c r="V2171" s="727" t="s">
        <v>13225</v>
      </c>
      <c r="W2171" s="727" t="s">
        <v>202</v>
      </c>
      <c r="X2171" s="1503" t="str">
        <f t="array" ref="X2171"> if(iserror(MATCH(V2171, 'File Links'!C:C, 0)), "N/A", HYPERLINK(INDEX('File Links'!B:B, MATCH(V2171, 'File Links'!C:C, 0))))</f>
        <v>https://drive.google.com/file/d/1hYNUJrx3yjyMoTgcG7Qz4pix-8ruWFMC/view?usp=drivesdk</v>
      </c>
      <c r="Y2171" s="1420"/>
      <c r="Z2171" s="727" t="s">
        <v>219</v>
      </c>
      <c r="AA2171" s="717" t="s">
        <v>13226</v>
      </c>
      <c r="AB2171" s="727" t="s">
        <v>13294</v>
      </c>
      <c r="AC2171" s="727" t="s">
        <v>13268</v>
      </c>
      <c r="AD2171" s="727" t="s">
        <v>13269</v>
      </c>
      <c r="AE2171" s="727">
        <v>7.0</v>
      </c>
      <c r="AF2171" s="1497">
        <v>631.0</v>
      </c>
      <c r="AG2171" s="1497">
        <v>0.219</v>
      </c>
      <c r="AH2171" s="727" t="s">
        <v>166</v>
      </c>
      <c r="AI2171" s="727" t="s">
        <v>125</v>
      </c>
      <c r="AJ2171" s="1497" t="s">
        <v>131</v>
      </c>
      <c r="AK2171" s="714"/>
      <c r="AL2171" s="727" t="s">
        <v>179</v>
      </c>
      <c r="AM2171" s="717" t="s">
        <v>130</v>
      </c>
      <c r="AN2171" s="717" t="s">
        <v>131</v>
      </c>
      <c r="AO2171" s="1497">
        <v>1446.0</v>
      </c>
      <c r="AP2171" s="1497">
        <v>0.11</v>
      </c>
      <c r="AQ2171" s="727" t="s">
        <v>715</v>
      </c>
      <c r="AR2171" s="727" t="s">
        <v>13265</v>
      </c>
      <c r="AS2171" s="1497">
        <v>0.001</v>
      </c>
      <c r="AT2171" s="727" t="s">
        <v>165</v>
      </c>
      <c r="AU2171" s="727" t="s">
        <v>179</v>
      </c>
      <c r="AV2171" s="717" t="s">
        <v>130</v>
      </c>
      <c r="AW2171" s="1966" t="s">
        <v>13229</v>
      </c>
      <c r="AX2171" s="1112" t="s">
        <v>431</v>
      </c>
      <c r="AY2171" s="694"/>
      <c r="AZ2171" s="713" t="s">
        <v>13230</v>
      </c>
      <c r="BA2171" s="694"/>
      <c r="BB2171" s="694"/>
      <c r="BC2171" s="694"/>
      <c r="BD2171" s="694"/>
      <c r="BE2171" s="694"/>
      <c r="BF2171" s="694"/>
      <c r="BG2171" s="694"/>
      <c r="BH2171" s="694"/>
      <c r="BI2171" s="694"/>
      <c r="BJ2171" s="694"/>
      <c r="BK2171" s="694"/>
      <c r="BL2171" s="694"/>
      <c r="BM2171" s="694"/>
      <c r="BN2171" s="694"/>
      <c r="BO2171" s="694"/>
      <c r="BP2171" s="694"/>
      <c r="BQ2171" s="694"/>
      <c r="BR2171" s="694"/>
      <c r="BS2171" s="694"/>
      <c r="BT2171" s="694"/>
      <c r="BU2171" s="694"/>
      <c r="BV2171" s="694"/>
      <c r="BW2171" s="694"/>
      <c r="BX2171" s="694"/>
      <c r="BY2171" s="694"/>
      <c r="BZ2171" s="694"/>
      <c r="CA2171" s="694"/>
      <c r="CB2171" s="694"/>
      <c r="CC2171" s="694"/>
      <c r="CD2171" s="694"/>
      <c r="CE2171" s="694"/>
      <c r="CF2171" s="694"/>
      <c r="CG2171" s="694"/>
      <c r="CH2171" s="694"/>
      <c r="CI2171" s="694"/>
      <c r="CJ2171" s="694"/>
      <c r="CK2171" s="694"/>
      <c r="CL2171" s="694"/>
      <c r="CM2171" s="694"/>
      <c r="CN2171" s="694"/>
      <c r="CO2171" s="694"/>
      <c r="CP2171" s="694"/>
      <c r="CQ2171" s="694"/>
      <c r="CR2171" s="694"/>
      <c r="CS2171" s="694"/>
      <c r="CT2171" s="694"/>
      <c r="CU2171" s="694"/>
      <c r="CV2171" s="694"/>
      <c r="CW2171" s="694"/>
      <c r="CX2171" s="694"/>
      <c r="CY2171" s="694"/>
      <c r="CZ2171" s="694"/>
      <c r="DA2171" s="694"/>
      <c r="DB2171" s="694"/>
      <c r="DC2171" s="694"/>
      <c r="DD2171" s="694"/>
      <c r="DE2171" s="694"/>
      <c r="DF2171" s="694"/>
      <c r="DG2171" s="694"/>
      <c r="DH2171" s="694"/>
    </row>
    <row r="2172">
      <c r="A2172" s="41">
        <v>2172.0</v>
      </c>
      <c r="B2172" s="717" t="s">
        <v>107</v>
      </c>
      <c r="C2172" s="713" t="s">
        <v>108</v>
      </c>
      <c r="D2172" s="713" t="s">
        <v>214</v>
      </c>
      <c r="E2172" s="694"/>
      <c r="F2172" s="717" t="s">
        <v>13302</v>
      </c>
      <c r="G2172" s="717" t="s">
        <v>13217</v>
      </c>
      <c r="H2172" s="727" t="s">
        <v>215</v>
      </c>
      <c r="I2172" s="1497" t="s">
        <v>13218</v>
      </c>
      <c r="J2172" s="1498">
        <v>45832.0</v>
      </c>
      <c r="K2172" s="727" t="s">
        <v>13303</v>
      </c>
      <c r="L2172" s="717" t="s">
        <v>13254</v>
      </c>
      <c r="M2172" s="717" t="s">
        <v>13259</v>
      </c>
      <c r="N2172" s="717" t="s">
        <v>9858</v>
      </c>
      <c r="O2172" s="1502">
        <v>3.0</v>
      </c>
      <c r="P2172" s="727" t="s">
        <v>13222</v>
      </c>
      <c r="Q2172" s="1499" t="str">
        <f t="array" ref="Q2172"> if(iserror(MATCH(V2172, 'File Links'!C:C, 0)), "N/A", HYPERLINK(INDEX('File Links'!B:B, MATCH(P2172, 'File Links'!C:C, 0))))</f>
        <v>https://drive.google.com/file/d/1FklynAHzflh7rbxQIU4qTxOz3VBhye8B/view?usp=drivesdk</v>
      </c>
      <c r="R2172" s="1500" t="s">
        <v>13223</v>
      </c>
      <c r="S2172" s="717" t="s">
        <v>13224</v>
      </c>
      <c r="T2172" s="1501"/>
      <c r="U2172" s="1963">
        <v>1.0</v>
      </c>
      <c r="V2172" s="727" t="s">
        <v>13225</v>
      </c>
      <c r="W2172" s="714"/>
      <c r="X2172" s="1503" t="str">
        <f t="array" ref="X2172"> if(iserror(MATCH(V2172, 'File Links'!C:C, 0)), "N/A", HYPERLINK(INDEX('File Links'!B:B, MATCH(V2172, 'File Links'!C:C, 0))))</f>
        <v>https://drive.google.com/file/d/1hYNUJrx3yjyMoTgcG7Qz4pix-8ruWFMC/view?usp=drivesdk</v>
      </c>
      <c r="Y2172" s="1420"/>
      <c r="Z2172" s="727" t="s">
        <v>219</v>
      </c>
      <c r="AA2172" s="717" t="s">
        <v>13226</v>
      </c>
      <c r="AB2172" s="727" t="s">
        <v>13304</v>
      </c>
      <c r="AC2172" s="727" t="s">
        <v>13273</v>
      </c>
      <c r="AD2172" s="714"/>
      <c r="AE2172" s="714"/>
      <c r="AF2172" s="1497">
        <v>631.0</v>
      </c>
      <c r="AG2172" s="1497">
        <v>0.32</v>
      </c>
      <c r="AH2172" s="727" t="s">
        <v>166</v>
      </c>
      <c r="AI2172" s="727">
        <v>9.0</v>
      </c>
      <c r="AJ2172" s="1497">
        <v>0.024</v>
      </c>
      <c r="AK2172" s="727" t="s">
        <v>128</v>
      </c>
      <c r="AL2172" s="727" t="s">
        <v>129</v>
      </c>
      <c r="AM2172" s="717" t="s">
        <v>130</v>
      </c>
      <c r="AN2172" s="717" t="s">
        <v>131</v>
      </c>
      <c r="AO2172" s="1497">
        <v>1446.0</v>
      </c>
      <c r="AP2172" s="1497">
        <v>0.15</v>
      </c>
      <c r="AQ2172" s="727" t="s">
        <v>166</v>
      </c>
      <c r="AR2172" s="727">
        <v>10.0</v>
      </c>
      <c r="AS2172" s="1497">
        <v>0.001</v>
      </c>
      <c r="AT2172" s="727" t="s">
        <v>165</v>
      </c>
      <c r="AU2172" s="727" t="s">
        <v>129</v>
      </c>
      <c r="AV2172" s="717" t="s">
        <v>130</v>
      </c>
      <c r="AW2172" s="1966" t="s">
        <v>13229</v>
      </c>
      <c r="AX2172" s="717" t="s">
        <v>144</v>
      </c>
      <c r="AY2172" s="694"/>
      <c r="AZ2172" s="713" t="s">
        <v>13230</v>
      </c>
      <c r="BA2172" s="694"/>
      <c r="BB2172" s="694"/>
      <c r="BC2172" s="694"/>
      <c r="BD2172" s="694"/>
      <c r="BE2172" s="694"/>
      <c r="BF2172" s="694"/>
      <c r="BG2172" s="694"/>
      <c r="BH2172" s="694"/>
      <c r="BI2172" s="694"/>
      <c r="BJ2172" s="694"/>
      <c r="BK2172" s="694"/>
      <c r="BL2172" s="694"/>
      <c r="BM2172" s="694"/>
      <c r="BN2172" s="694"/>
      <c r="BO2172" s="694"/>
      <c r="BP2172" s="694"/>
      <c r="BQ2172" s="694"/>
      <c r="BR2172" s="694"/>
      <c r="BS2172" s="694"/>
      <c r="BT2172" s="694"/>
      <c r="BU2172" s="694"/>
      <c r="BV2172" s="694"/>
      <c r="BW2172" s="694"/>
      <c r="BX2172" s="694"/>
      <c r="BY2172" s="694"/>
      <c r="BZ2172" s="694"/>
      <c r="CA2172" s="694"/>
      <c r="CB2172" s="694"/>
      <c r="CC2172" s="694"/>
      <c r="CD2172" s="694"/>
      <c r="CE2172" s="694"/>
      <c r="CF2172" s="694"/>
      <c r="CG2172" s="694"/>
      <c r="CH2172" s="694"/>
      <c r="CI2172" s="694"/>
      <c r="CJ2172" s="694"/>
      <c r="CK2172" s="694"/>
      <c r="CL2172" s="694"/>
      <c r="CM2172" s="694"/>
      <c r="CN2172" s="694"/>
      <c r="CO2172" s="694"/>
      <c r="CP2172" s="694"/>
      <c r="CQ2172" s="694"/>
      <c r="CR2172" s="694"/>
      <c r="CS2172" s="694"/>
      <c r="CT2172" s="694"/>
      <c r="CU2172" s="694"/>
      <c r="CV2172" s="694"/>
      <c r="CW2172" s="694"/>
      <c r="CX2172" s="694"/>
      <c r="CY2172" s="694"/>
      <c r="CZ2172" s="694"/>
      <c r="DA2172" s="694"/>
      <c r="DB2172" s="694"/>
      <c r="DC2172" s="694"/>
      <c r="DD2172" s="694"/>
      <c r="DE2172" s="694"/>
      <c r="DF2172" s="694"/>
      <c r="DG2172" s="694"/>
      <c r="DH2172" s="694"/>
    </row>
    <row r="2173">
      <c r="A2173" s="41">
        <v>2173.0</v>
      </c>
      <c r="B2173" s="717" t="s">
        <v>145</v>
      </c>
      <c r="C2173" s="713" t="s">
        <v>108</v>
      </c>
      <c r="D2173" s="713" t="s">
        <v>2923</v>
      </c>
      <c r="E2173" s="694"/>
      <c r="F2173" s="717" t="s">
        <v>13302</v>
      </c>
      <c r="G2173" s="717" t="s">
        <v>13217</v>
      </c>
      <c r="H2173" s="727" t="s">
        <v>13231</v>
      </c>
      <c r="I2173" s="1497" t="s">
        <v>13262</v>
      </c>
      <c r="J2173" s="1498">
        <v>45832.0</v>
      </c>
      <c r="K2173" s="727" t="s">
        <v>13244</v>
      </c>
      <c r="L2173" s="717" t="s">
        <v>13254</v>
      </c>
      <c r="M2173" s="717" t="s">
        <v>13259</v>
      </c>
      <c r="N2173" s="717" t="s">
        <v>9858</v>
      </c>
      <c r="O2173" s="1502">
        <v>3.0</v>
      </c>
      <c r="P2173" s="727" t="s">
        <v>13222</v>
      </c>
      <c r="Q2173" s="1499" t="str">
        <f t="array" ref="Q2173"> if(iserror(MATCH(V2173, 'File Links'!C:C, 0)), "N/A", HYPERLINK(INDEX('File Links'!B:B, MATCH(P2173, 'File Links'!C:C, 0))))</f>
        <v>https://drive.google.com/file/d/1FklynAHzflh7rbxQIU4qTxOz3VBhye8B/view?usp=drivesdk</v>
      </c>
      <c r="R2173" s="1500" t="s">
        <v>13223</v>
      </c>
      <c r="S2173" s="717" t="s">
        <v>13224</v>
      </c>
      <c r="T2173" s="1967" t="s">
        <v>131</v>
      </c>
      <c r="U2173" s="1502">
        <v>1.0</v>
      </c>
      <c r="V2173" s="727" t="s">
        <v>13225</v>
      </c>
      <c r="W2173" s="727" t="s">
        <v>202</v>
      </c>
      <c r="X2173" s="1503" t="str">
        <f t="array" ref="X2173"> if(iserror(MATCH(V2173, 'File Links'!C:C, 0)), "N/A", HYPERLINK(INDEX('File Links'!B:B, MATCH(V2173, 'File Links'!C:C, 0))))</f>
        <v>https://drive.google.com/file/d/1hYNUJrx3yjyMoTgcG7Qz4pix-8ruWFMC/view?usp=drivesdk</v>
      </c>
      <c r="Y2173" s="1420"/>
      <c r="Z2173" s="727" t="s">
        <v>219</v>
      </c>
      <c r="AA2173" s="717" t="s">
        <v>13226</v>
      </c>
      <c r="AB2173" s="727" t="s">
        <v>13305</v>
      </c>
      <c r="AC2173" s="727" t="s">
        <v>13273</v>
      </c>
      <c r="AD2173" s="727" t="s">
        <v>13275</v>
      </c>
      <c r="AE2173" s="727">
        <v>8.0</v>
      </c>
      <c r="AF2173" s="1497">
        <v>631.0</v>
      </c>
      <c r="AG2173" s="1497">
        <v>0.321</v>
      </c>
      <c r="AH2173" s="727" t="s">
        <v>166</v>
      </c>
      <c r="AI2173" s="727" t="s">
        <v>606</v>
      </c>
      <c r="AJ2173" s="1497" t="s">
        <v>131</v>
      </c>
      <c r="AK2173" s="714"/>
      <c r="AL2173" s="727" t="s">
        <v>179</v>
      </c>
      <c r="AM2173" s="717" t="s">
        <v>130</v>
      </c>
      <c r="AN2173" s="717" t="s">
        <v>131</v>
      </c>
      <c r="AO2173" s="1497">
        <v>1446.0</v>
      </c>
      <c r="AP2173" s="1497">
        <v>0.1</v>
      </c>
      <c r="AQ2173" s="727" t="s">
        <v>715</v>
      </c>
      <c r="AR2173" s="727" t="s">
        <v>13265</v>
      </c>
      <c r="AS2173" s="1497">
        <v>0.005</v>
      </c>
      <c r="AT2173" s="727" t="s">
        <v>165</v>
      </c>
      <c r="AU2173" s="727" t="s">
        <v>179</v>
      </c>
      <c r="AV2173" s="717" t="s">
        <v>130</v>
      </c>
      <c r="AW2173" s="1966" t="s">
        <v>13229</v>
      </c>
      <c r="AX2173" s="1112" t="s">
        <v>431</v>
      </c>
      <c r="AY2173" s="694"/>
      <c r="AZ2173" s="713" t="s">
        <v>13230</v>
      </c>
      <c r="BA2173" s="694"/>
      <c r="BB2173" s="694"/>
      <c r="BC2173" s="694"/>
      <c r="BD2173" s="694"/>
      <c r="BE2173" s="694"/>
      <c r="BF2173" s="694"/>
      <c r="BG2173" s="694"/>
      <c r="BH2173" s="694"/>
      <c r="BI2173" s="694"/>
      <c r="BJ2173" s="694"/>
      <c r="BK2173" s="694"/>
      <c r="BL2173" s="694"/>
      <c r="BM2173" s="694"/>
      <c r="BN2173" s="694"/>
      <c r="BO2173" s="694"/>
      <c r="BP2173" s="694"/>
      <c r="BQ2173" s="694"/>
      <c r="BR2173" s="694"/>
      <c r="BS2173" s="694"/>
      <c r="BT2173" s="694"/>
      <c r="BU2173" s="694"/>
      <c r="BV2173" s="694"/>
      <c r="BW2173" s="694"/>
      <c r="BX2173" s="694"/>
      <c r="BY2173" s="694"/>
      <c r="BZ2173" s="694"/>
      <c r="CA2173" s="694"/>
      <c r="CB2173" s="694"/>
      <c r="CC2173" s="694"/>
      <c r="CD2173" s="694"/>
      <c r="CE2173" s="694"/>
      <c r="CF2173" s="694"/>
      <c r="CG2173" s="694"/>
      <c r="CH2173" s="694"/>
      <c r="CI2173" s="694"/>
      <c r="CJ2173" s="694"/>
      <c r="CK2173" s="694"/>
      <c r="CL2173" s="694"/>
      <c r="CM2173" s="694"/>
      <c r="CN2173" s="694"/>
      <c r="CO2173" s="694"/>
      <c r="CP2173" s="694"/>
      <c r="CQ2173" s="694"/>
      <c r="CR2173" s="694"/>
      <c r="CS2173" s="694"/>
      <c r="CT2173" s="694"/>
      <c r="CU2173" s="694"/>
      <c r="CV2173" s="694"/>
      <c r="CW2173" s="694"/>
      <c r="CX2173" s="694"/>
      <c r="CY2173" s="694"/>
      <c r="CZ2173" s="694"/>
      <c r="DA2173" s="694"/>
      <c r="DB2173" s="694"/>
      <c r="DC2173" s="694"/>
      <c r="DD2173" s="694"/>
      <c r="DE2173" s="694"/>
      <c r="DF2173" s="694"/>
      <c r="DG2173" s="694"/>
      <c r="DH2173" s="694"/>
    </row>
    <row r="2174">
      <c r="A2174" s="41">
        <v>2174.0</v>
      </c>
      <c r="B2174" s="717" t="s">
        <v>107</v>
      </c>
      <c r="C2174" s="713" t="s">
        <v>108</v>
      </c>
      <c r="D2174" s="713" t="s">
        <v>214</v>
      </c>
      <c r="E2174" s="694"/>
      <c r="F2174" s="717" t="s">
        <v>13306</v>
      </c>
      <c r="G2174" s="717" t="s">
        <v>13217</v>
      </c>
      <c r="H2174" s="727" t="s">
        <v>215</v>
      </c>
      <c r="I2174" s="1497" t="s">
        <v>13218</v>
      </c>
      <c r="J2174" s="1498">
        <v>45832.0</v>
      </c>
      <c r="K2174" s="727" t="s">
        <v>13307</v>
      </c>
      <c r="L2174" s="717" t="s">
        <v>13254</v>
      </c>
      <c r="M2174" s="717" t="s">
        <v>13259</v>
      </c>
      <c r="N2174" s="717" t="s">
        <v>9858</v>
      </c>
      <c r="O2174" s="1502">
        <v>3.0</v>
      </c>
      <c r="P2174" s="727" t="s">
        <v>13222</v>
      </c>
      <c r="Q2174" s="1499" t="str">
        <f t="array" ref="Q2174"> if(iserror(MATCH(V2174, 'File Links'!C:C, 0)), "N/A", HYPERLINK(INDEX('File Links'!B:B, MATCH(P2174, 'File Links'!C:C, 0))))</f>
        <v>https://drive.google.com/file/d/1FklynAHzflh7rbxQIU4qTxOz3VBhye8B/view?usp=drivesdk</v>
      </c>
      <c r="R2174" s="1500" t="s">
        <v>13223</v>
      </c>
      <c r="S2174" s="717" t="s">
        <v>13224</v>
      </c>
      <c r="T2174" s="1501"/>
      <c r="U2174" s="1963">
        <v>1.0</v>
      </c>
      <c r="V2174" s="727" t="s">
        <v>13225</v>
      </c>
      <c r="W2174" s="714"/>
      <c r="X2174" s="1503" t="str">
        <f t="array" ref="X2174"> if(iserror(MATCH(V2174, 'File Links'!C:C, 0)), "N/A", HYPERLINK(INDEX('File Links'!B:B, MATCH(V2174, 'File Links'!C:C, 0))))</f>
        <v>https://drive.google.com/file/d/1hYNUJrx3yjyMoTgcG7Qz4pix-8ruWFMC/view?usp=drivesdk</v>
      </c>
      <c r="Y2174" s="1420"/>
      <c r="Z2174" s="727" t="s">
        <v>219</v>
      </c>
      <c r="AA2174" s="717" t="s">
        <v>13226</v>
      </c>
      <c r="AB2174" s="727" t="s">
        <v>13304</v>
      </c>
      <c r="AC2174" s="727" t="s">
        <v>13278</v>
      </c>
      <c r="AD2174" s="714"/>
      <c r="AE2174" s="714"/>
      <c r="AF2174" s="1497">
        <v>631.0</v>
      </c>
      <c r="AG2174" s="1497">
        <v>0.28</v>
      </c>
      <c r="AH2174" s="727" t="s">
        <v>166</v>
      </c>
      <c r="AI2174" s="727">
        <v>9.0</v>
      </c>
      <c r="AJ2174" s="1497">
        <v>0.024</v>
      </c>
      <c r="AK2174" s="727" t="s">
        <v>128</v>
      </c>
      <c r="AL2174" s="727" t="s">
        <v>129</v>
      </c>
      <c r="AM2174" s="717" t="s">
        <v>130</v>
      </c>
      <c r="AN2174" s="717" t="s">
        <v>131</v>
      </c>
      <c r="AO2174" s="1497">
        <v>1446.0</v>
      </c>
      <c r="AP2174" s="1497">
        <v>-0.62</v>
      </c>
      <c r="AQ2174" s="727" t="s">
        <v>166</v>
      </c>
      <c r="AR2174" s="727">
        <v>10.0</v>
      </c>
      <c r="AS2174" s="1497">
        <v>0.001</v>
      </c>
      <c r="AT2174" s="727" t="s">
        <v>165</v>
      </c>
      <c r="AU2174" s="727" t="s">
        <v>129</v>
      </c>
      <c r="AV2174" s="717" t="s">
        <v>130</v>
      </c>
      <c r="AW2174" s="1966" t="s">
        <v>13229</v>
      </c>
      <c r="AX2174" s="717" t="s">
        <v>144</v>
      </c>
      <c r="AY2174" s="694"/>
      <c r="AZ2174" s="713" t="s">
        <v>13230</v>
      </c>
      <c r="BA2174" s="694"/>
      <c r="BB2174" s="694"/>
      <c r="BC2174" s="694"/>
      <c r="BD2174" s="694"/>
      <c r="BE2174" s="694"/>
      <c r="BF2174" s="694"/>
      <c r="BG2174" s="694"/>
      <c r="BH2174" s="694"/>
      <c r="BI2174" s="694"/>
      <c r="BJ2174" s="694"/>
      <c r="BK2174" s="694"/>
      <c r="BL2174" s="694"/>
      <c r="BM2174" s="694"/>
      <c r="BN2174" s="694"/>
      <c r="BO2174" s="694"/>
      <c r="BP2174" s="694"/>
      <c r="BQ2174" s="694"/>
      <c r="BR2174" s="694"/>
      <c r="BS2174" s="694"/>
      <c r="BT2174" s="694"/>
      <c r="BU2174" s="694"/>
      <c r="BV2174" s="694"/>
      <c r="BW2174" s="694"/>
      <c r="BX2174" s="694"/>
      <c r="BY2174" s="694"/>
      <c r="BZ2174" s="694"/>
      <c r="CA2174" s="694"/>
      <c r="CB2174" s="694"/>
      <c r="CC2174" s="694"/>
      <c r="CD2174" s="694"/>
      <c r="CE2174" s="694"/>
      <c r="CF2174" s="694"/>
      <c r="CG2174" s="694"/>
      <c r="CH2174" s="694"/>
      <c r="CI2174" s="694"/>
      <c r="CJ2174" s="694"/>
      <c r="CK2174" s="694"/>
      <c r="CL2174" s="694"/>
      <c r="CM2174" s="694"/>
      <c r="CN2174" s="694"/>
      <c r="CO2174" s="694"/>
      <c r="CP2174" s="694"/>
      <c r="CQ2174" s="694"/>
      <c r="CR2174" s="694"/>
      <c r="CS2174" s="694"/>
      <c r="CT2174" s="694"/>
      <c r="CU2174" s="694"/>
      <c r="CV2174" s="694"/>
      <c r="CW2174" s="694"/>
      <c r="CX2174" s="694"/>
      <c r="CY2174" s="694"/>
      <c r="CZ2174" s="694"/>
      <c r="DA2174" s="694"/>
      <c r="DB2174" s="694"/>
      <c r="DC2174" s="694"/>
      <c r="DD2174" s="694"/>
      <c r="DE2174" s="694"/>
      <c r="DF2174" s="694"/>
      <c r="DG2174" s="694"/>
      <c r="DH2174" s="694"/>
    </row>
    <row r="2175">
      <c r="A2175" s="41">
        <v>2175.0</v>
      </c>
      <c r="B2175" s="717" t="s">
        <v>145</v>
      </c>
      <c r="C2175" s="713" t="s">
        <v>108</v>
      </c>
      <c r="D2175" s="713" t="s">
        <v>2923</v>
      </c>
      <c r="E2175" s="694"/>
      <c r="F2175" s="717" t="s">
        <v>13306</v>
      </c>
      <c r="G2175" s="717" t="s">
        <v>13217</v>
      </c>
      <c r="H2175" s="727" t="s">
        <v>13231</v>
      </c>
      <c r="I2175" s="1497" t="s">
        <v>13262</v>
      </c>
      <c r="J2175" s="1498">
        <v>45832.0</v>
      </c>
      <c r="K2175" s="727" t="s">
        <v>13244</v>
      </c>
      <c r="L2175" s="717" t="s">
        <v>13254</v>
      </c>
      <c r="M2175" s="717" t="s">
        <v>13259</v>
      </c>
      <c r="N2175" s="717" t="s">
        <v>9858</v>
      </c>
      <c r="O2175" s="1502">
        <v>3.0</v>
      </c>
      <c r="P2175" s="727" t="s">
        <v>13222</v>
      </c>
      <c r="Q2175" s="1499" t="str">
        <f t="array" ref="Q2175"> if(iserror(MATCH(V2175, 'File Links'!C:C, 0)), "N/A", HYPERLINK(INDEX('File Links'!B:B, MATCH(P2175, 'File Links'!C:C, 0))))</f>
        <v>https://drive.google.com/file/d/1FklynAHzflh7rbxQIU4qTxOz3VBhye8B/view?usp=drivesdk</v>
      </c>
      <c r="R2175" s="1500" t="s">
        <v>13223</v>
      </c>
      <c r="S2175" s="717" t="s">
        <v>13224</v>
      </c>
      <c r="T2175" s="1967" t="s">
        <v>131</v>
      </c>
      <c r="U2175" s="1502">
        <v>1.0</v>
      </c>
      <c r="V2175" s="727" t="s">
        <v>13225</v>
      </c>
      <c r="W2175" s="727" t="s">
        <v>202</v>
      </c>
      <c r="X2175" s="1503" t="str">
        <f t="array" ref="X2175"> if(iserror(MATCH(V2175, 'File Links'!C:C, 0)), "N/A", HYPERLINK(INDEX('File Links'!B:B, MATCH(V2175, 'File Links'!C:C, 0))))</f>
        <v>https://drive.google.com/file/d/1hYNUJrx3yjyMoTgcG7Qz4pix-8ruWFMC/view?usp=drivesdk</v>
      </c>
      <c r="Y2175" s="1420"/>
      <c r="Z2175" s="727" t="s">
        <v>219</v>
      </c>
      <c r="AA2175" s="717" t="s">
        <v>13226</v>
      </c>
      <c r="AB2175" s="727" t="s">
        <v>13305</v>
      </c>
      <c r="AC2175" s="727" t="s">
        <v>13278</v>
      </c>
      <c r="AD2175" s="727" t="s">
        <v>13279</v>
      </c>
      <c r="AE2175" s="727">
        <v>8.0</v>
      </c>
      <c r="AF2175" s="1497">
        <v>631.0</v>
      </c>
      <c r="AG2175" s="1497">
        <v>0.285</v>
      </c>
      <c r="AH2175" s="727" t="s">
        <v>166</v>
      </c>
      <c r="AI2175" s="727" t="s">
        <v>606</v>
      </c>
      <c r="AJ2175" s="1497" t="s">
        <v>131</v>
      </c>
      <c r="AK2175" s="714"/>
      <c r="AL2175" s="727" t="s">
        <v>179</v>
      </c>
      <c r="AM2175" s="717" t="s">
        <v>130</v>
      </c>
      <c r="AN2175" s="717" t="s">
        <v>131</v>
      </c>
      <c r="AO2175" s="1497">
        <v>1446.0</v>
      </c>
      <c r="AP2175" s="1497">
        <v>0.1</v>
      </c>
      <c r="AQ2175" s="727" t="s">
        <v>715</v>
      </c>
      <c r="AR2175" s="727" t="s">
        <v>13265</v>
      </c>
      <c r="AS2175" s="1497">
        <v>0.005</v>
      </c>
      <c r="AT2175" s="727" t="s">
        <v>165</v>
      </c>
      <c r="AU2175" s="727" t="s">
        <v>179</v>
      </c>
      <c r="AV2175" s="717" t="s">
        <v>130</v>
      </c>
      <c r="AW2175" s="1966" t="s">
        <v>13229</v>
      </c>
      <c r="AX2175" s="1112" t="s">
        <v>431</v>
      </c>
      <c r="AY2175" s="694"/>
      <c r="AZ2175" s="713" t="s">
        <v>13230</v>
      </c>
      <c r="BA2175" s="694"/>
      <c r="BB2175" s="694"/>
      <c r="BC2175" s="694"/>
      <c r="BD2175" s="694"/>
      <c r="BE2175" s="694"/>
      <c r="BF2175" s="694"/>
      <c r="BG2175" s="694"/>
      <c r="BH2175" s="694"/>
      <c r="BI2175" s="694"/>
      <c r="BJ2175" s="694"/>
      <c r="BK2175" s="694"/>
      <c r="BL2175" s="694"/>
      <c r="BM2175" s="694"/>
      <c r="BN2175" s="694"/>
      <c r="BO2175" s="694"/>
      <c r="BP2175" s="694"/>
      <c r="BQ2175" s="694"/>
      <c r="BR2175" s="694"/>
      <c r="BS2175" s="694"/>
      <c r="BT2175" s="694"/>
      <c r="BU2175" s="694"/>
      <c r="BV2175" s="694"/>
      <c r="BW2175" s="694"/>
      <c r="BX2175" s="694"/>
      <c r="BY2175" s="694"/>
      <c r="BZ2175" s="694"/>
      <c r="CA2175" s="694"/>
      <c r="CB2175" s="694"/>
      <c r="CC2175" s="694"/>
      <c r="CD2175" s="694"/>
      <c r="CE2175" s="694"/>
      <c r="CF2175" s="694"/>
      <c r="CG2175" s="694"/>
      <c r="CH2175" s="694"/>
      <c r="CI2175" s="694"/>
      <c r="CJ2175" s="694"/>
      <c r="CK2175" s="694"/>
      <c r="CL2175" s="694"/>
      <c r="CM2175" s="694"/>
      <c r="CN2175" s="694"/>
      <c r="CO2175" s="694"/>
      <c r="CP2175" s="694"/>
      <c r="CQ2175" s="694"/>
      <c r="CR2175" s="694"/>
      <c r="CS2175" s="694"/>
      <c r="CT2175" s="694"/>
      <c r="CU2175" s="694"/>
      <c r="CV2175" s="694"/>
      <c r="CW2175" s="694"/>
      <c r="CX2175" s="694"/>
      <c r="CY2175" s="694"/>
      <c r="CZ2175" s="694"/>
      <c r="DA2175" s="694"/>
      <c r="DB2175" s="694"/>
      <c r="DC2175" s="694"/>
      <c r="DD2175" s="694"/>
      <c r="DE2175" s="694"/>
      <c r="DF2175" s="694"/>
      <c r="DG2175" s="694"/>
      <c r="DH2175" s="694"/>
    </row>
    <row r="2176">
      <c r="A2176" s="41">
        <v>2176.0</v>
      </c>
      <c r="B2176" s="717" t="s">
        <v>107</v>
      </c>
      <c r="C2176" s="713" t="s">
        <v>108</v>
      </c>
      <c r="D2176" s="713" t="s">
        <v>214</v>
      </c>
      <c r="E2176" s="694"/>
      <c r="F2176" s="717" t="s">
        <v>13308</v>
      </c>
      <c r="G2176" s="717" t="s">
        <v>13217</v>
      </c>
      <c r="H2176" s="727" t="s">
        <v>215</v>
      </c>
      <c r="I2176" s="1497" t="s">
        <v>13218</v>
      </c>
      <c r="J2176" s="1498">
        <v>45832.0</v>
      </c>
      <c r="K2176" s="727" t="s">
        <v>13309</v>
      </c>
      <c r="L2176" s="717" t="s">
        <v>13254</v>
      </c>
      <c r="M2176" s="717" t="s">
        <v>13259</v>
      </c>
      <c r="N2176" s="717" t="s">
        <v>9858</v>
      </c>
      <c r="O2176" s="1502">
        <v>3.0</v>
      </c>
      <c r="P2176" s="727" t="s">
        <v>13222</v>
      </c>
      <c r="Q2176" s="1499" t="str">
        <f t="array" ref="Q2176"> if(iserror(MATCH(V2176, 'File Links'!C:C, 0)), "N/A", HYPERLINK(INDEX('File Links'!B:B, MATCH(P2176, 'File Links'!C:C, 0))))</f>
        <v>https://drive.google.com/file/d/1FklynAHzflh7rbxQIU4qTxOz3VBhye8B/view?usp=drivesdk</v>
      </c>
      <c r="R2176" s="1500" t="s">
        <v>13223</v>
      </c>
      <c r="S2176" s="717" t="s">
        <v>13224</v>
      </c>
      <c r="T2176" s="1501"/>
      <c r="U2176" s="1963">
        <v>1.0</v>
      </c>
      <c r="V2176" s="727" t="s">
        <v>13225</v>
      </c>
      <c r="W2176" s="714"/>
      <c r="X2176" s="1503" t="str">
        <f t="array" ref="X2176"> if(iserror(MATCH(V2176, 'File Links'!C:C, 0)), "N/A", HYPERLINK(INDEX('File Links'!B:B, MATCH(V2176, 'File Links'!C:C, 0))))</f>
        <v>https://drive.google.com/file/d/1hYNUJrx3yjyMoTgcG7Qz4pix-8ruWFMC/view?usp=drivesdk</v>
      </c>
      <c r="Y2176" s="1420"/>
      <c r="Z2176" s="727" t="s">
        <v>219</v>
      </c>
      <c r="AA2176" s="717" t="s">
        <v>13226</v>
      </c>
      <c r="AB2176" s="727" t="s">
        <v>13310</v>
      </c>
      <c r="AC2176" s="727" t="s">
        <v>13282</v>
      </c>
      <c r="AD2176" s="714"/>
      <c r="AE2176" s="714"/>
      <c r="AF2176" s="1497">
        <v>631.0</v>
      </c>
      <c r="AG2176" s="1497">
        <v>0.28</v>
      </c>
      <c r="AH2176" s="727" t="s">
        <v>166</v>
      </c>
      <c r="AI2176" s="727">
        <v>9.0</v>
      </c>
      <c r="AJ2176" s="1497">
        <v>0.035</v>
      </c>
      <c r="AK2176" s="727" t="s">
        <v>128</v>
      </c>
      <c r="AL2176" s="727" t="s">
        <v>129</v>
      </c>
      <c r="AM2176" s="717" t="s">
        <v>130</v>
      </c>
      <c r="AN2176" s="717" t="s">
        <v>131</v>
      </c>
      <c r="AO2176" s="1497">
        <v>1446.0</v>
      </c>
      <c r="AP2176" s="1497">
        <v>0.08</v>
      </c>
      <c r="AQ2176" s="727" t="s">
        <v>166</v>
      </c>
      <c r="AR2176" s="727">
        <v>10.0</v>
      </c>
      <c r="AS2176" s="1497">
        <v>0.001</v>
      </c>
      <c r="AT2176" s="727" t="s">
        <v>165</v>
      </c>
      <c r="AU2176" s="727" t="s">
        <v>129</v>
      </c>
      <c r="AV2176" s="717" t="s">
        <v>130</v>
      </c>
      <c r="AW2176" s="1966" t="s">
        <v>13229</v>
      </c>
      <c r="AX2176" s="717" t="s">
        <v>144</v>
      </c>
      <c r="AY2176" s="694"/>
      <c r="AZ2176" s="713" t="s">
        <v>13230</v>
      </c>
      <c r="BA2176" s="694"/>
      <c r="BB2176" s="694"/>
      <c r="BC2176" s="694"/>
      <c r="BD2176" s="694"/>
      <c r="BE2176" s="694"/>
      <c r="BF2176" s="694"/>
      <c r="BG2176" s="694"/>
      <c r="BH2176" s="694"/>
      <c r="BI2176" s="694"/>
      <c r="BJ2176" s="694"/>
      <c r="BK2176" s="694"/>
      <c r="BL2176" s="694"/>
      <c r="BM2176" s="694"/>
      <c r="BN2176" s="694"/>
      <c r="BO2176" s="694"/>
      <c r="BP2176" s="694"/>
      <c r="BQ2176" s="694"/>
      <c r="BR2176" s="694"/>
      <c r="BS2176" s="694"/>
      <c r="BT2176" s="694"/>
      <c r="BU2176" s="694"/>
      <c r="BV2176" s="694"/>
      <c r="BW2176" s="694"/>
      <c r="BX2176" s="694"/>
      <c r="BY2176" s="694"/>
      <c r="BZ2176" s="694"/>
      <c r="CA2176" s="694"/>
      <c r="CB2176" s="694"/>
      <c r="CC2176" s="694"/>
      <c r="CD2176" s="694"/>
      <c r="CE2176" s="694"/>
      <c r="CF2176" s="694"/>
      <c r="CG2176" s="694"/>
      <c r="CH2176" s="694"/>
      <c r="CI2176" s="694"/>
      <c r="CJ2176" s="694"/>
      <c r="CK2176" s="694"/>
      <c r="CL2176" s="694"/>
      <c r="CM2176" s="694"/>
      <c r="CN2176" s="694"/>
      <c r="CO2176" s="694"/>
      <c r="CP2176" s="694"/>
      <c r="CQ2176" s="694"/>
      <c r="CR2176" s="694"/>
      <c r="CS2176" s="694"/>
      <c r="CT2176" s="694"/>
      <c r="CU2176" s="694"/>
      <c r="CV2176" s="694"/>
      <c r="CW2176" s="694"/>
      <c r="CX2176" s="694"/>
      <c r="CY2176" s="694"/>
      <c r="CZ2176" s="694"/>
      <c r="DA2176" s="694"/>
      <c r="DB2176" s="694"/>
      <c r="DC2176" s="694"/>
      <c r="DD2176" s="694"/>
      <c r="DE2176" s="694"/>
      <c r="DF2176" s="694"/>
      <c r="DG2176" s="694"/>
      <c r="DH2176" s="694"/>
    </row>
    <row r="2177">
      <c r="A2177" s="41">
        <v>2177.0</v>
      </c>
      <c r="B2177" s="717" t="s">
        <v>145</v>
      </c>
      <c r="C2177" s="713" t="s">
        <v>108</v>
      </c>
      <c r="D2177" s="713" t="s">
        <v>2923</v>
      </c>
      <c r="E2177" s="694"/>
      <c r="F2177" s="717" t="s">
        <v>13308</v>
      </c>
      <c r="G2177" s="717" t="s">
        <v>13217</v>
      </c>
      <c r="H2177" s="727" t="s">
        <v>13231</v>
      </c>
      <c r="I2177" s="1497" t="s">
        <v>13262</v>
      </c>
      <c r="J2177" s="1498">
        <v>45832.0</v>
      </c>
      <c r="K2177" s="727" t="s">
        <v>13244</v>
      </c>
      <c r="L2177" s="717" t="s">
        <v>13311</v>
      </c>
      <c r="M2177" s="717" t="s">
        <v>13259</v>
      </c>
      <c r="N2177" s="717" t="s">
        <v>9858</v>
      </c>
      <c r="O2177" s="1502">
        <v>3.0</v>
      </c>
      <c r="P2177" s="727" t="s">
        <v>13222</v>
      </c>
      <c r="Q2177" s="1499" t="str">
        <f t="array" ref="Q2177"> if(iserror(MATCH(V2177, 'File Links'!C:C, 0)), "N/A", HYPERLINK(INDEX('File Links'!B:B, MATCH(P2177, 'File Links'!C:C, 0))))</f>
        <v>https://drive.google.com/file/d/1FklynAHzflh7rbxQIU4qTxOz3VBhye8B/view?usp=drivesdk</v>
      </c>
      <c r="R2177" s="1500" t="s">
        <v>13223</v>
      </c>
      <c r="S2177" s="717" t="s">
        <v>13224</v>
      </c>
      <c r="T2177" s="1967" t="s">
        <v>131</v>
      </c>
      <c r="U2177" s="1502">
        <v>1.0</v>
      </c>
      <c r="V2177" s="727" t="s">
        <v>13225</v>
      </c>
      <c r="W2177" s="727" t="s">
        <v>202</v>
      </c>
      <c r="X2177" s="1503" t="str">
        <f t="array" ref="X2177"> if(iserror(MATCH(V2177, 'File Links'!C:C, 0)), "N/A", HYPERLINK(INDEX('File Links'!B:B, MATCH(V2177, 'File Links'!C:C, 0))))</f>
        <v>https://drive.google.com/file/d/1hYNUJrx3yjyMoTgcG7Qz4pix-8ruWFMC/view?usp=drivesdk</v>
      </c>
      <c r="Y2177" s="1420"/>
      <c r="Z2177" s="727" t="s">
        <v>219</v>
      </c>
      <c r="AA2177" s="717" t="s">
        <v>13226</v>
      </c>
      <c r="AB2177" s="727" t="s">
        <v>13312</v>
      </c>
      <c r="AC2177" s="727" t="s">
        <v>13282</v>
      </c>
      <c r="AD2177" s="1988" t="s">
        <v>13313</v>
      </c>
      <c r="AE2177" s="1988">
        <v>8.0</v>
      </c>
      <c r="AF2177" s="1497">
        <v>631.0</v>
      </c>
      <c r="AG2177" s="1497">
        <v>0.277</v>
      </c>
      <c r="AH2177" s="727" t="s">
        <v>166</v>
      </c>
      <c r="AI2177" s="727" t="s">
        <v>606</v>
      </c>
      <c r="AJ2177" s="1497" t="s">
        <v>131</v>
      </c>
      <c r="AK2177" s="714"/>
      <c r="AL2177" s="727" t="s">
        <v>179</v>
      </c>
      <c r="AM2177" s="717" t="s">
        <v>130</v>
      </c>
      <c r="AN2177" s="717" t="s">
        <v>131</v>
      </c>
      <c r="AO2177" s="1497">
        <v>1446.0</v>
      </c>
      <c r="AP2177" s="1497">
        <v>0.06</v>
      </c>
      <c r="AQ2177" s="727" t="s">
        <v>715</v>
      </c>
      <c r="AR2177" s="727" t="s">
        <v>13265</v>
      </c>
      <c r="AS2177" s="1497">
        <v>0.173</v>
      </c>
      <c r="AT2177" s="727" t="s">
        <v>165</v>
      </c>
      <c r="AU2177" s="727" t="s">
        <v>179</v>
      </c>
      <c r="AV2177" s="717" t="s">
        <v>130</v>
      </c>
      <c r="AW2177" s="1966" t="s">
        <v>13229</v>
      </c>
      <c r="AX2177" s="1112" t="s">
        <v>431</v>
      </c>
      <c r="AY2177" s="694"/>
      <c r="AZ2177" s="713" t="s">
        <v>13230</v>
      </c>
      <c r="BA2177" s="694"/>
      <c r="BB2177" s="694"/>
      <c r="BC2177" s="694"/>
      <c r="BD2177" s="694"/>
      <c r="BE2177" s="694"/>
      <c r="BF2177" s="694"/>
      <c r="BG2177" s="694"/>
      <c r="BH2177" s="694"/>
      <c r="BI2177" s="694"/>
      <c r="BJ2177" s="694"/>
      <c r="BK2177" s="694"/>
      <c r="BL2177" s="694"/>
      <c r="BM2177" s="694"/>
      <c r="BN2177" s="694"/>
      <c r="BO2177" s="694"/>
      <c r="BP2177" s="694"/>
      <c r="BQ2177" s="694"/>
      <c r="BR2177" s="694"/>
      <c r="BS2177" s="694"/>
      <c r="BT2177" s="694"/>
      <c r="BU2177" s="694"/>
      <c r="BV2177" s="694"/>
      <c r="BW2177" s="694"/>
      <c r="BX2177" s="694"/>
      <c r="BY2177" s="694"/>
      <c r="BZ2177" s="694"/>
      <c r="CA2177" s="694"/>
      <c r="CB2177" s="694"/>
      <c r="CC2177" s="694"/>
      <c r="CD2177" s="694"/>
      <c r="CE2177" s="694"/>
      <c r="CF2177" s="694"/>
      <c r="CG2177" s="694"/>
      <c r="CH2177" s="694"/>
      <c r="CI2177" s="694"/>
      <c r="CJ2177" s="694"/>
      <c r="CK2177" s="694"/>
      <c r="CL2177" s="694"/>
      <c r="CM2177" s="694"/>
      <c r="CN2177" s="694"/>
      <c r="CO2177" s="694"/>
      <c r="CP2177" s="694"/>
      <c r="CQ2177" s="694"/>
      <c r="CR2177" s="694"/>
      <c r="CS2177" s="694"/>
      <c r="CT2177" s="694"/>
      <c r="CU2177" s="694"/>
      <c r="CV2177" s="694"/>
      <c r="CW2177" s="694"/>
      <c r="CX2177" s="694"/>
      <c r="CY2177" s="694"/>
      <c r="CZ2177" s="694"/>
      <c r="DA2177" s="694"/>
      <c r="DB2177" s="694"/>
      <c r="DC2177" s="694"/>
      <c r="DD2177" s="694"/>
      <c r="DE2177" s="694"/>
      <c r="DF2177" s="694"/>
      <c r="DG2177" s="694"/>
      <c r="DH2177" s="694"/>
    </row>
    <row r="2178">
      <c r="A2178" s="41">
        <v>2178.0</v>
      </c>
      <c r="B2178" s="717" t="s">
        <v>107</v>
      </c>
      <c r="C2178" s="713" t="s">
        <v>108</v>
      </c>
      <c r="D2178" s="713" t="s">
        <v>214</v>
      </c>
      <c r="E2178" s="694"/>
      <c r="F2178" s="717" t="s">
        <v>13314</v>
      </c>
      <c r="G2178" s="717" t="s">
        <v>13217</v>
      </c>
      <c r="H2178" s="727" t="s">
        <v>215</v>
      </c>
      <c r="I2178" s="1497" t="s">
        <v>13218</v>
      </c>
      <c r="J2178" s="1498">
        <v>45833.0</v>
      </c>
      <c r="K2178" s="727" t="s">
        <v>13315</v>
      </c>
      <c r="L2178" s="717" t="s">
        <v>13287</v>
      </c>
      <c r="M2178" s="717" t="s">
        <v>13259</v>
      </c>
      <c r="N2178" s="717" t="s">
        <v>9858</v>
      </c>
      <c r="O2178" s="1502">
        <v>3.0</v>
      </c>
      <c r="P2178" s="727" t="s">
        <v>13222</v>
      </c>
      <c r="Q2178" s="1499" t="str">
        <f t="array" ref="Q2178"> if(iserror(MATCH(V2178, 'File Links'!C:C, 0)), "N/A", HYPERLINK(INDEX('File Links'!B:B, MATCH(P2178, 'File Links'!C:C, 0))))</f>
        <v>https://drive.google.com/file/d/1FklynAHzflh7rbxQIU4qTxOz3VBhye8B/view?usp=drivesdk</v>
      </c>
      <c r="R2178" s="1500" t="s">
        <v>13223</v>
      </c>
      <c r="S2178" s="717" t="s">
        <v>13224</v>
      </c>
      <c r="T2178" s="1501"/>
      <c r="U2178" s="1989"/>
      <c r="V2178" s="727" t="s">
        <v>13225</v>
      </c>
      <c r="W2178" s="714"/>
      <c r="X2178" s="1503" t="str">
        <f t="array" ref="X2178"> if(iserror(MATCH(V2178, 'File Links'!C:C, 0)), "N/A", HYPERLINK(INDEX('File Links'!B:B, MATCH(V2178, 'File Links'!C:C, 0))))</f>
        <v>https://drive.google.com/file/d/1hYNUJrx3yjyMoTgcG7Qz4pix-8ruWFMC/view?usp=drivesdk</v>
      </c>
      <c r="Y2178" s="1420"/>
      <c r="Z2178" s="727" t="s">
        <v>219</v>
      </c>
      <c r="AA2178" s="717" t="s">
        <v>13226</v>
      </c>
      <c r="AB2178" s="727" t="s">
        <v>13312</v>
      </c>
      <c r="AC2178" s="727" t="s">
        <v>13288</v>
      </c>
      <c r="AD2178" s="714"/>
      <c r="AE2178" s="714"/>
      <c r="AF2178" s="1497">
        <v>631.0</v>
      </c>
      <c r="AG2178" s="1497">
        <v>0.05</v>
      </c>
      <c r="AH2178" s="727" t="s">
        <v>166</v>
      </c>
      <c r="AI2178" s="727">
        <v>9.0</v>
      </c>
      <c r="AJ2178" s="1497">
        <v>0.035</v>
      </c>
      <c r="AK2178" s="727" t="s">
        <v>128</v>
      </c>
      <c r="AL2178" s="1964" t="s">
        <v>129</v>
      </c>
      <c r="AM2178" s="717" t="s">
        <v>130</v>
      </c>
      <c r="AN2178" s="717" t="s">
        <v>131</v>
      </c>
      <c r="AO2178" s="1497">
        <v>1446.0</v>
      </c>
      <c r="AP2178" s="1497">
        <v>-0.35</v>
      </c>
      <c r="AQ2178" s="727" t="s">
        <v>166</v>
      </c>
      <c r="AR2178" s="727">
        <v>10.0</v>
      </c>
      <c r="AS2178" s="1497">
        <v>0.001</v>
      </c>
      <c r="AT2178" s="727" t="s">
        <v>165</v>
      </c>
      <c r="AU2178" s="1964" t="s">
        <v>129</v>
      </c>
      <c r="AV2178" s="717" t="s">
        <v>130</v>
      </c>
      <c r="AW2178" s="1966" t="s">
        <v>13229</v>
      </c>
      <c r="AX2178" s="717" t="s">
        <v>144</v>
      </c>
      <c r="AY2178" s="694"/>
      <c r="AZ2178" s="713" t="s">
        <v>13230</v>
      </c>
      <c r="BA2178" s="694"/>
      <c r="BB2178" s="694"/>
      <c r="BC2178" s="694"/>
      <c r="BD2178" s="694"/>
      <c r="BE2178" s="694"/>
      <c r="BF2178" s="694"/>
      <c r="BG2178" s="694"/>
      <c r="BH2178" s="694"/>
      <c r="BI2178" s="694"/>
      <c r="BJ2178" s="694"/>
      <c r="BK2178" s="694"/>
      <c r="BL2178" s="694"/>
      <c r="BM2178" s="694"/>
      <c r="BN2178" s="694"/>
      <c r="BO2178" s="694"/>
      <c r="BP2178" s="694"/>
      <c r="BQ2178" s="694"/>
      <c r="BR2178" s="694"/>
      <c r="BS2178" s="694"/>
      <c r="BT2178" s="694"/>
      <c r="BU2178" s="694"/>
      <c r="BV2178" s="694"/>
      <c r="BW2178" s="694"/>
      <c r="BX2178" s="694"/>
      <c r="BY2178" s="694"/>
      <c r="BZ2178" s="694"/>
      <c r="CA2178" s="694"/>
      <c r="CB2178" s="694"/>
      <c r="CC2178" s="694"/>
      <c r="CD2178" s="694"/>
      <c r="CE2178" s="694"/>
      <c r="CF2178" s="694"/>
      <c r="CG2178" s="694"/>
      <c r="CH2178" s="694"/>
      <c r="CI2178" s="694"/>
      <c r="CJ2178" s="694"/>
      <c r="CK2178" s="694"/>
      <c r="CL2178" s="694"/>
      <c r="CM2178" s="694"/>
      <c r="CN2178" s="694"/>
      <c r="CO2178" s="694"/>
      <c r="CP2178" s="694"/>
      <c r="CQ2178" s="694"/>
      <c r="CR2178" s="694"/>
      <c r="CS2178" s="694"/>
      <c r="CT2178" s="694"/>
      <c r="CU2178" s="694"/>
      <c r="CV2178" s="694"/>
      <c r="CW2178" s="694"/>
      <c r="CX2178" s="694"/>
      <c r="CY2178" s="694"/>
      <c r="CZ2178" s="694"/>
      <c r="DA2178" s="694"/>
      <c r="DB2178" s="694"/>
      <c r="DC2178" s="694"/>
      <c r="DD2178" s="694"/>
      <c r="DE2178" s="694"/>
      <c r="DF2178" s="694"/>
      <c r="DG2178" s="694"/>
      <c r="DH2178" s="694"/>
    </row>
    <row r="2179">
      <c r="A2179" s="41">
        <v>2179.0</v>
      </c>
      <c r="B2179" s="717" t="s">
        <v>107</v>
      </c>
      <c r="C2179" s="713" t="s">
        <v>108</v>
      </c>
      <c r="D2179" s="713" t="s">
        <v>2923</v>
      </c>
      <c r="E2179" s="694"/>
      <c r="F2179" s="717" t="s">
        <v>13314</v>
      </c>
      <c r="G2179" s="717" t="s">
        <v>13217</v>
      </c>
      <c r="H2179" s="727" t="s">
        <v>13231</v>
      </c>
      <c r="I2179" s="1497" t="s">
        <v>13316</v>
      </c>
      <c r="J2179" s="1498">
        <v>45832.0</v>
      </c>
      <c r="K2179" s="727" t="s">
        <v>131</v>
      </c>
      <c r="L2179" s="717" t="s">
        <v>13289</v>
      </c>
      <c r="M2179" s="717" t="s">
        <v>13259</v>
      </c>
      <c r="N2179" s="717" t="s">
        <v>9858</v>
      </c>
      <c r="O2179" s="1502" t="s">
        <v>131</v>
      </c>
      <c r="P2179" s="727" t="s">
        <v>13222</v>
      </c>
      <c r="Q2179" s="1499" t="str">
        <f t="array" ref="Q2179"> if(iserror(MATCH(V2179, 'File Links'!C:C, 0)), "N/A", HYPERLINK(INDEX('File Links'!B:B, MATCH(P2179, 'File Links'!C:C, 0))))</f>
        <v>https://drive.google.com/file/d/1FklynAHzflh7rbxQIU4qTxOz3VBhye8B/view?usp=drivesdk</v>
      </c>
      <c r="R2179" s="1500" t="s">
        <v>13223</v>
      </c>
      <c r="S2179" s="717" t="s">
        <v>13224</v>
      </c>
      <c r="T2179" s="1967" t="s">
        <v>131</v>
      </c>
      <c r="U2179" s="1502" t="s">
        <v>131</v>
      </c>
      <c r="V2179" s="727" t="s">
        <v>13225</v>
      </c>
      <c r="W2179" s="727" t="s">
        <v>131</v>
      </c>
      <c r="X2179" s="1503" t="str">
        <f t="array" ref="X2179"> if(iserror(MATCH(V2179, 'File Links'!C:C, 0)), "N/A", HYPERLINK(INDEX('File Links'!B:B, MATCH(V2179, 'File Links'!C:C, 0))))</f>
        <v>https://drive.google.com/file/d/1hYNUJrx3yjyMoTgcG7Qz4pix-8ruWFMC/view?usp=drivesdk</v>
      </c>
      <c r="Y2179" s="717" t="s">
        <v>13290</v>
      </c>
      <c r="Z2179" s="727" t="s">
        <v>219</v>
      </c>
      <c r="AA2179" s="717" t="s">
        <v>13226</v>
      </c>
      <c r="AB2179" s="727" t="s">
        <v>13312</v>
      </c>
      <c r="AC2179" s="727" t="s">
        <v>13288</v>
      </c>
      <c r="AD2179" s="727" t="s">
        <v>131</v>
      </c>
      <c r="AE2179" s="727" t="s">
        <v>131</v>
      </c>
      <c r="AF2179" s="1497" t="s">
        <v>131</v>
      </c>
      <c r="AG2179" s="1497" t="s">
        <v>131</v>
      </c>
      <c r="AH2179" s="714"/>
      <c r="AI2179" s="727" t="s">
        <v>131</v>
      </c>
      <c r="AJ2179" s="1497" t="s">
        <v>131</v>
      </c>
      <c r="AK2179" s="714"/>
      <c r="AL2179" s="714"/>
      <c r="AM2179" s="1420"/>
      <c r="AN2179" s="717" t="s">
        <v>131</v>
      </c>
      <c r="AO2179" s="1497" t="s">
        <v>131</v>
      </c>
      <c r="AP2179" s="1497" t="s">
        <v>131</v>
      </c>
      <c r="AQ2179" s="717" t="s">
        <v>131</v>
      </c>
      <c r="AR2179" s="727" t="s">
        <v>131</v>
      </c>
      <c r="AS2179" s="1497" t="s">
        <v>131</v>
      </c>
      <c r="AT2179" s="714"/>
      <c r="AU2179" s="714"/>
      <c r="AV2179" s="1420"/>
      <c r="AW2179" s="1504" t="s">
        <v>131</v>
      </c>
      <c r="AX2179" s="1420"/>
      <c r="AY2179" s="694"/>
      <c r="AZ2179" s="713" t="s">
        <v>13230</v>
      </c>
      <c r="BA2179" s="694"/>
      <c r="BB2179" s="694"/>
      <c r="BC2179" s="694"/>
      <c r="BD2179" s="694"/>
      <c r="BE2179" s="694"/>
      <c r="BF2179" s="694"/>
      <c r="BG2179" s="694"/>
      <c r="BH2179" s="694"/>
      <c r="BI2179" s="694"/>
      <c r="BJ2179" s="694"/>
      <c r="BK2179" s="694"/>
      <c r="BL2179" s="694"/>
      <c r="BM2179" s="694"/>
      <c r="BN2179" s="694"/>
      <c r="BO2179" s="694"/>
      <c r="BP2179" s="694"/>
      <c r="BQ2179" s="694"/>
      <c r="BR2179" s="694"/>
      <c r="BS2179" s="694"/>
      <c r="BT2179" s="694"/>
      <c r="BU2179" s="694"/>
      <c r="BV2179" s="694"/>
      <c r="BW2179" s="694"/>
      <c r="BX2179" s="694"/>
      <c r="BY2179" s="694"/>
      <c r="BZ2179" s="694"/>
      <c r="CA2179" s="694"/>
      <c r="CB2179" s="694"/>
      <c r="CC2179" s="694"/>
      <c r="CD2179" s="694"/>
      <c r="CE2179" s="694"/>
      <c r="CF2179" s="694"/>
      <c r="CG2179" s="694"/>
      <c r="CH2179" s="694"/>
      <c r="CI2179" s="694"/>
      <c r="CJ2179" s="694"/>
      <c r="CK2179" s="694"/>
      <c r="CL2179" s="694"/>
      <c r="CM2179" s="694"/>
      <c r="CN2179" s="694"/>
      <c r="CO2179" s="694"/>
      <c r="CP2179" s="694"/>
      <c r="CQ2179" s="694"/>
      <c r="CR2179" s="694"/>
      <c r="CS2179" s="694"/>
      <c r="CT2179" s="694"/>
      <c r="CU2179" s="694"/>
      <c r="CV2179" s="694"/>
      <c r="CW2179" s="694"/>
      <c r="CX2179" s="694"/>
      <c r="CY2179" s="694"/>
      <c r="CZ2179" s="694"/>
      <c r="DA2179" s="694"/>
      <c r="DB2179" s="694"/>
      <c r="DC2179" s="694"/>
      <c r="DD2179" s="694"/>
      <c r="DE2179" s="694"/>
      <c r="DF2179" s="694"/>
      <c r="DG2179" s="694"/>
      <c r="DH2179" s="694"/>
    </row>
    <row r="2180">
      <c r="A2180" s="41">
        <v>2180.0</v>
      </c>
      <c r="B2180" s="717" t="s">
        <v>107</v>
      </c>
      <c r="C2180" s="713" t="s">
        <v>108</v>
      </c>
      <c r="D2180" s="713" t="s">
        <v>214</v>
      </c>
      <c r="E2180" s="694"/>
      <c r="F2180" s="717" t="s">
        <v>13317</v>
      </c>
      <c r="G2180" s="717" t="s">
        <v>13217</v>
      </c>
      <c r="H2180" s="727" t="s">
        <v>215</v>
      </c>
      <c r="I2180" s="1497" t="s">
        <v>13218</v>
      </c>
      <c r="J2180" s="1498">
        <v>45832.0</v>
      </c>
      <c r="K2180" s="727" t="s">
        <v>13318</v>
      </c>
      <c r="L2180" s="717" t="s">
        <v>13254</v>
      </c>
      <c r="M2180" s="717" t="s">
        <v>13319</v>
      </c>
      <c r="N2180" s="717" t="s">
        <v>9858</v>
      </c>
      <c r="O2180" s="1502">
        <v>4.0</v>
      </c>
      <c r="P2180" s="727" t="s">
        <v>13222</v>
      </c>
      <c r="Q2180" s="1499" t="str">
        <f t="array" ref="Q2180"> if(iserror(MATCH(V2180, 'File Links'!C:C, 0)), "N/A", HYPERLINK(INDEX('File Links'!B:B, MATCH(P2180, 'File Links'!C:C, 0))))</f>
        <v>https://drive.google.com/file/d/1FklynAHzflh7rbxQIU4qTxOz3VBhye8B/view?usp=drivesdk</v>
      </c>
      <c r="R2180" s="1500" t="s">
        <v>13223</v>
      </c>
      <c r="S2180" s="717" t="s">
        <v>13224</v>
      </c>
      <c r="T2180" s="1501"/>
      <c r="U2180" s="1963">
        <v>1.0</v>
      </c>
      <c r="V2180" s="727" t="s">
        <v>13225</v>
      </c>
      <c r="W2180" s="714"/>
      <c r="X2180" s="1503" t="str">
        <f t="array" ref="X2180"> if(iserror(MATCH(V2180, 'File Links'!C:C, 0)), "N/A", HYPERLINK(INDEX('File Links'!B:B, MATCH(V2180, 'File Links'!C:C, 0))))</f>
        <v>https://drive.google.com/file/d/1hYNUJrx3yjyMoTgcG7Qz4pix-8ruWFMC/view?usp=drivesdk</v>
      </c>
      <c r="Y2180" s="1420"/>
      <c r="Z2180" s="727" t="s">
        <v>219</v>
      </c>
      <c r="AA2180" s="717" t="s">
        <v>13226</v>
      </c>
      <c r="AB2180" s="727" t="s">
        <v>13320</v>
      </c>
      <c r="AC2180" s="727" t="s">
        <v>13321</v>
      </c>
      <c r="AD2180" s="714"/>
      <c r="AE2180" s="714"/>
      <c r="AF2180" s="1497">
        <v>1728.0</v>
      </c>
      <c r="AG2180" s="1497">
        <v>1.15</v>
      </c>
      <c r="AH2180" s="727" t="s">
        <v>1249</v>
      </c>
      <c r="AI2180" s="727">
        <v>9.0</v>
      </c>
      <c r="AJ2180" s="1497">
        <v>0.035</v>
      </c>
      <c r="AK2180" s="727" t="s">
        <v>128</v>
      </c>
      <c r="AL2180" s="727" t="s">
        <v>129</v>
      </c>
      <c r="AM2180" s="717" t="s">
        <v>130</v>
      </c>
      <c r="AN2180" s="717" t="s">
        <v>131</v>
      </c>
      <c r="AO2180" s="1497">
        <v>1446.0</v>
      </c>
      <c r="AP2180" s="1497">
        <v>1.07</v>
      </c>
      <c r="AQ2180" s="727" t="s">
        <v>715</v>
      </c>
      <c r="AR2180" s="727">
        <v>10.0</v>
      </c>
      <c r="AS2180" s="1497">
        <v>0.001</v>
      </c>
      <c r="AT2180" s="727" t="s">
        <v>165</v>
      </c>
      <c r="AU2180" s="727" t="s">
        <v>129</v>
      </c>
      <c r="AV2180" s="717" t="s">
        <v>130</v>
      </c>
      <c r="AW2180" s="1966" t="s">
        <v>13229</v>
      </c>
      <c r="AX2180" s="717" t="s">
        <v>136</v>
      </c>
      <c r="AY2180" s="694"/>
      <c r="AZ2180" s="713" t="s">
        <v>13230</v>
      </c>
      <c r="BA2180" s="694"/>
      <c r="BB2180" s="694"/>
      <c r="BC2180" s="694"/>
      <c r="BD2180" s="694"/>
      <c r="BE2180" s="694"/>
      <c r="BF2180" s="694"/>
      <c r="BG2180" s="694"/>
      <c r="BH2180" s="694"/>
      <c r="BI2180" s="694"/>
      <c r="BJ2180" s="694"/>
      <c r="BK2180" s="694"/>
      <c r="BL2180" s="694"/>
      <c r="BM2180" s="694"/>
      <c r="BN2180" s="694"/>
      <c r="BO2180" s="694"/>
      <c r="BP2180" s="694"/>
      <c r="BQ2180" s="694"/>
      <c r="BR2180" s="694"/>
      <c r="BS2180" s="694"/>
      <c r="BT2180" s="694"/>
      <c r="BU2180" s="694"/>
      <c r="BV2180" s="694"/>
      <c r="BW2180" s="694"/>
      <c r="BX2180" s="694"/>
      <c r="BY2180" s="694"/>
      <c r="BZ2180" s="694"/>
      <c r="CA2180" s="694"/>
      <c r="CB2180" s="694"/>
      <c r="CC2180" s="694"/>
      <c r="CD2180" s="694"/>
      <c r="CE2180" s="694"/>
      <c r="CF2180" s="694"/>
      <c r="CG2180" s="694"/>
      <c r="CH2180" s="694"/>
      <c r="CI2180" s="694"/>
      <c r="CJ2180" s="694"/>
      <c r="CK2180" s="694"/>
      <c r="CL2180" s="694"/>
      <c r="CM2180" s="694"/>
      <c r="CN2180" s="694"/>
      <c r="CO2180" s="694"/>
      <c r="CP2180" s="694"/>
      <c r="CQ2180" s="694"/>
      <c r="CR2180" s="694"/>
      <c r="CS2180" s="694"/>
      <c r="CT2180" s="694"/>
      <c r="CU2180" s="694"/>
      <c r="CV2180" s="694"/>
      <c r="CW2180" s="694"/>
      <c r="CX2180" s="694"/>
      <c r="CY2180" s="694"/>
      <c r="CZ2180" s="694"/>
      <c r="DA2180" s="694"/>
      <c r="DB2180" s="694"/>
      <c r="DC2180" s="694"/>
      <c r="DD2180" s="694"/>
      <c r="DE2180" s="694"/>
      <c r="DF2180" s="694"/>
      <c r="DG2180" s="694"/>
      <c r="DH2180" s="694"/>
    </row>
    <row r="2181">
      <c r="A2181" s="41">
        <v>2181.0</v>
      </c>
      <c r="B2181" s="717" t="s">
        <v>583</v>
      </c>
      <c r="C2181" s="713" t="s">
        <v>108</v>
      </c>
      <c r="D2181" s="713" t="s">
        <v>2923</v>
      </c>
      <c r="E2181" s="694"/>
      <c r="F2181" s="717" t="s">
        <v>13317</v>
      </c>
      <c r="G2181" s="717" t="s">
        <v>13217</v>
      </c>
      <c r="H2181" s="727" t="s">
        <v>13231</v>
      </c>
      <c r="I2181" s="1497" t="s">
        <v>13316</v>
      </c>
      <c r="J2181" s="1498">
        <v>45832.0</v>
      </c>
      <c r="K2181" s="727" t="s">
        <v>13322</v>
      </c>
      <c r="L2181" s="1990" t="s">
        <v>13323</v>
      </c>
      <c r="M2181" s="717" t="s">
        <v>13319</v>
      </c>
      <c r="N2181" s="717" t="s">
        <v>9858</v>
      </c>
      <c r="O2181" s="1502">
        <v>4.0</v>
      </c>
      <c r="P2181" s="727" t="s">
        <v>13222</v>
      </c>
      <c r="Q2181" s="1499" t="str">
        <f t="array" ref="Q2181"> if(iserror(MATCH(V2181, 'File Links'!C:C, 0)), "N/A", HYPERLINK(INDEX('File Links'!B:B, MATCH(P2181, 'File Links'!C:C, 0))))</f>
        <v>https://drive.google.com/file/d/1FklynAHzflh7rbxQIU4qTxOz3VBhye8B/view?usp=drivesdk</v>
      </c>
      <c r="R2181" s="1500" t="s">
        <v>13223</v>
      </c>
      <c r="S2181" s="717" t="s">
        <v>13224</v>
      </c>
      <c r="T2181" s="1967" t="s">
        <v>131</v>
      </c>
      <c r="U2181" s="1502">
        <v>1.0</v>
      </c>
      <c r="V2181" s="727" t="s">
        <v>13225</v>
      </c>
      <c r="W2181" s="727" t="s">
        <v>202</v>
      </c>
      <c r="X2181" s="1503" t="str">
        <f t="array" ref="X2181"> if(iserror(MATCH(V2181, 'File Links'!C:C, 0)), "N/A", HYPERLINK(INDEX('File Links'!B:B, MATCH(V2181, 'File Links'!C:C, 0))))</f>
        <v>https://drive.google.com/file/d/1hYNUJrx3yjyMoTgcG7Qz4pix-8ruWFMC/view?usp=drivesdk</v>
      </c>
      <c r="Y2181" s="1420"/>
      <c r="Z2181" s="727" t="s">
        <v>219</v>
      </c>
      <c r="AA2181" s="717" t="s">
        <v>13226</v>
      </c>
      <c r="AB2181" s="727" t="s">
        <v>13324</v>
      </c>
      <c r="AC2181" s="727" t="s">
        <v>13321</v>
      </c>
      <c r="AD2181" s="727" t="s">
        <v>13325</v>
      </c>
      <c r="AE2181" s="727">
        <v>9.0</v>
      </c>
      <c r="AF2181" s="1497">
        <v>1728.0</v>
      </c>
      <c r="AG2181" s="1497">
        <v>0.134</v>
      </c>
      <c r="AH2181" s="727" t="s">
        <v>1249</v>
      </c>
      <c r="AI2181" s="727" t="s">
        <v>621</v>
      </c>
      <c r="AJ2181" s="1497">
        <v>0.001</v>
      </c>
      <c r="AK2181" s="727" t="s">
        <v>128</v>
      </c>
      <c r="AL2181" s="727" t="s">
        <v>179</v>
      </c>
      <c r="AM2181" s="717" t="s">
        <v>130</v>
      </c>
      <c r="AN2181" s="717" t="s">
        <v>131</v>
      </c>
      <c r="AO2181" s="1497">
        <v>1446.0</v>
      </c>
      <c r="AP2181" s="1497">
        <v>1.07</v>
      </c>
      <c r="AQ2181" s="727" t="s">
        <v>715</v>
      </c>
      <c r="AR2181" s="727" t="s">
        <v>13265</v>
      </c>
      <c r="AS2181" s="1497">
        <v>0.287</v>
      </c>
      <c r="AT2181" s="727" t="s">
        <v>165</v>
      </c>
      <c r="AU2181" s="727" t="s">
        <v>179</v>
      </c>
      <c r="AV2181" s="717" t="s">
        <v>130</v>
      </c>
      <c r="AW2181" s="1966" t="s">
        <v>13229</v>
      </c>
      <c r="AX2181" s="717" t="s">
        <v>136</v>
      </c>
      <c r="AY2181" s="694"/>
      <c r="AZ2181" s="713" t="s">
        <v>13230</v>
      </c>
      <c r="BA2181" s="694"/>
      <c r="BB2181" s="694"/>
      <c r="BC2181" s="694"/>
      <c r="BD2181" s="694"/>
      <c r="BE2181" s="694"/>
      <c r="BF2181" s="694"/>
      <c r="BG2181" s="694"/>
      <c r="BH2181" s="694"/>
      <c r="BI2181" s="694"/>
      <c r="BJ2181" s="694"/>
      <c r="BK2181" s="694"/>
      <c r="BL2181" s="694"/>
      <c r="BM2181" s="694"/>
      <c r="BN2181" s="694"/>
      <c r="BO2181" s="694"/>
      <c r="BP2181" s="694"/>
      <c r="BQ2181" s="694"/>
      <c r="BR2181" s="694"/>
      <c r="BS2181" s="694"/>
      <c r="BT2181" s="694"/>
      <c r="BU2181" s="694"/>
      <c r="BV2181" s="694"/>
      <c r="BW2181" s="694"/>
      <c r="BX2181" s="694"/>
      <c r="BY2181" s="694"/>
      <c r="BZ2181" s="694"/>
      <c r="CA2181" s="694"/>
      <c r="CB2181" s="694"/>
      <c r="CC2181" s="694"/>
      <c r="CD2181" s="694"/>
      <c r="CE2181" s="694"/>
      <c r="CF2181" s="694"/>
      <c r="CG2181" s="694"/>
      <c r="CH2181" s="694"/>
      <c r="CI2181" s="694"/>
      <c r="CJ2181" s="694"/>
      <c r="CK2181" s="694"/>
      <c r="CL2181" s="694"/>
      <c r="CM2181" s="694"/>
      <c r="CN2181" s="694"/>
      <c r="CO2181" s="694"/>
      <c r="CP2181" s="694"/>
      <c r="CQ2181" s="694"/>
      <c r="CR2181" s="694"/>
      <c r="CS2181" s="694"/>
      <c r="CT2181" s="694"/>
      <c r="CU2181" s="694"/>
      <c r="CV2181" s="694"/>
      <c r="CW2181" s="694"/>
      <c r="CX2181" s="694"/>
      <c r="CY2181" s="694"/>
      <c r="CZ2181" s="694"/>
      <c r="DA2181" s="694"/>
      <c r="DB2181" s="694"/>
      <c r="DC2181" s="694"/>
      <c r="DD2181" s="694"/>
      <c r="DE2181" s="694"/>
      <c r="DF2181" s="694"/>
      <c r="DG2181" s="694"/>
      <c r="DH2181" s="694"/>
    </row>
    <row r="2182">
      <c r="A2182" s="41">
        <v>2182.0</v>
      </c>
      <c r="B2182" s="717" t="s">
        <v>107</v>
      </c>
      <c r="C2182" s="713" t="s">
        <v>108</v>
      </c>
      <c r="D2182" s="713" t="s">
        <v>214</v>
      </c>
      <c r="E2182" s="694"/>
      <c r="F2182" s="717" t="s">
        <v>13326</v>
      </c>
      <c r="G2182" s="717" t="s">
        <v>13217</v>
      </c>
      <c r="H2182" s="727" t="s">
        <v>215</v>
      </c>
      <c r="I2182" s="1497" t="s">
        <v>13218</v>
      </c>
      <c r="J2182" s="1498">
        <v>45833.0</v>
      </c>
      <c r="K2182" s="727" t="s">
        <v>13327</v>
      </c>
      <c r="L2182" s="717" t="s">
        <v>13328</v>
      </c>
      <c r="M2182" s="717" t="s">
        <v>13319</v>
      </c>
      <c r="N2182" s="717" t="s">
        <v>9858</v>
      </c>
      <c r="O2182" s="1502">
        <v>4.0</v>
      </c>
      <c r="P2182" s="727" t="s">
        <v>13222</v>
      </c>
      <c r="Q2182" s="1499" t="str">
        <f t="array" ref="Q2182"> if(iserror(MATCH(V2182, 'File Links'!C:C, 0)), "N/A", HYPERLINK(INDEX('File Links'!B:B, MATCH(P2182, 'File Links'!C:C, 0))))</f>
        <v>https://drive.google.com/file/d/1FklynAHzflh7rbxQIU4qTxOz3VBhye8B/view?usp=drivesdk</v>
      </c>
      <c r="R2182" s="1500" t="s">
        <v>13223</v>
      </c>
      <c r="S2182" s="717" t="s">
        <v>13224</v>
      </c>
      <c r="T2182" s="1501"/>
      <c r="U2182" s="1963">
        <v>1.0</v>
      </c>
      <c r="V2182" s="727" t="s">
        <v>13225</v>
      </c>
      <c r="W2182" s="714"/>
      <c r="X2182" s="1503" t="str">
        <f t="array" ref="X2182"> if(iserror(MATCH(V2182, 'File Links'!C:C, 0)), "N/A", HYPERLINK(INDEX('File Links'!B:B, MATCH(V2182, 'File Links'!C:C, 0))))</f>
        <v>https://drive.google.com/file/d/1hYNUJrx3yjyMoTgcG7Qz4pix-8ruWFMC/view?usp=drivesdk</v>
      </c>
      <c r="Y2182" s="1420"/>
      <c r="Z2182" s="727" t="s">
        <v>219</v>
      </c>
      <c r="AA2182" s="717" t="s">
        <v>13226</v>
      </c>
      <c r="AB2182" s="727" t="s">
        <v>13329</v>
      </c>
      <c r="AC2182" s="727" t="s">
        <v>13321</v>
      </c>
      <c r="AD2182" s="714"/>
      <c r="AE2182" s="714"/>
      <c r="AF2182" s="1497">
        <v>1728.0</v>
      </c>
      <c r="AG2182" s="1497">
        <v>1.15</v>
      </c>
      <c r="AH2182" s="727" t="s">
        <v>1249</v>
      </c>
      <c r="AI2182" s="727">
        <v>9.0</v>
      </c>
      <c r="AJ2182" s="1497">
        <v>0.031</v>
      </c>
      <c r="AK2182" s="727" t="s">
        <v>128</v>
      </c>
      <c r="AL2182" s="1964" t="s">
        <v>129</v>
      </c>
      <c r="AM2182" s="717" t="s">
        <v>130</v>
      </c>
      <c r="AN2182" s="717" t="s">
        <v>131</v>
      </c>
      <c r="AO2182" s="1497">
        <v>1446.0</v>
      </c>
      <c r="AP2182" s="1497">
        <v>0.04</v>
      </c>
      <c r="AQ2182" s="727" t="s">
        <v>208</v>
      </c>
      <c r="AR2182" s="727">
        <v>10.0</v>
      </c>
      <c r="AS2182" s="1497">
        <v>0.001</v>
      </c>
      <c r="AT2182" s="727" t="s">
        <v>165</v>
      </c>
      <c r="AU2182" s="1964" t="s">
        <v>129</v>
      </c>
      <c r="AV2182" s="717" t="s">
        <v>130</v>
      </c>
      <c r="AW2182" s="1991" t="s">
        <v>13229</v>
      </c>
      <c r="AX2182" s="717" t="s">
        <v>144</v>
      </c>
      <c r="AY2182" s="694"/>
      <c r="AZ2182" s="713" t="s">
        <v>13230</v>
      </c>
      <c r="BA2182" s="694"/>
      <c r="BB2182" s="694"/>
      <c r="BC2182" s="694"/>
      <c r="BD2182" s="694"/>
      <c r="BE2182" s="694"/>
      <c r="BF2182" s="694"/>
      <c r="BG2182" s="694"/>
      <c r="BH2182" s="694"/>
      <c r="BI2182" s="694"/>
      <c r="BJ2182" s="694"/>
      <c r="BK2182" s="694"/>
      <c r="BL2182" s="694"/>
      <c r="BM2182" s="694"/>
      <c r="BN2182" s="694"/>
      <c r="BO2182" s="694"/>
      <c r="BP2182" s="694"/>
      <c r="BQ2182" s="694"/>
      <c r="BR2182" s="694"/>
      <c r="BS2182" s="694"/>
      <c r="BT2182" s="694"/>
      <c r="BU2182" s="694"/>
      <c r="BV2182" s="694"/>
      <c r="BW2182" s="694"/>
      <c r="BX2182" s="694"/>
      <c r="BY2182" s="694"/>
      <c r="BZ2182" s="694"/>
      <c r="CA2182" s="694"/>
      <c r="CB2182" s="694"/>
      <c r="CC2182" s="694"/>
      <c r="CD2182" s="694"/>
      <c r="CE2182" s="694"/>
      <c r="CF2182" s="694"/>
      <c r="CG2182" s="694"/>
      <c r="CH2182" s="694"/>
      <c r="CI2182" s="694"/>
      <c r="CJ2182" s="694"/>
      <c r="CK2182" s="694"/>
      <c r="CL2182" s="694"/>
      <c r="CM2182" s="694"/>
      <c r="CN2182" s="694"/>
      <c r="CO2182" s="694"/>
      <c r="CP2182" s="694"/>
      <c r="CQ2182" s="694"/>
      <c r="CR2182" s="694"/>
      <c r="CS2182" s="694"/>
      <c r="CT2182" s="694"/>
      <c r="CU2182" s="694"/>
      <c r="CV2182" s="694"/>
      <c r="CW2182" s="694"/>
      <c r="CX2182" s="694"/>
      <c r="CY2182" s="694"/>
      <c r="CZ2182" s="694"/>
      <c r="DA2182" s="694"/>
      <c r="DB2182" s="694"/>
      <c r="DC2182" s="694"/>
      <c r="DD2182" s="694"/>
      <c r="DE2182" s="694"/>
      <c r="DF2182" s="694"/>
      <c r="DG2182" s="694"/>
      <c r="DH2182" s="694"/>
    </row>
    <row r="2183">
      <c r="A2183" s="41">
        <v>2183.0</v>
      </c>
      <c r="B2183" s="717" t="s">
        <v>107</v>
      </c>
      <c r="C2183" s="713" t="s">
        <v>108</v>
      </c>
      <c r="D2183" s="713" t="s">
        <v>2923</v>
      </c>
      <c r="E2183" s="694"/>
      <c r="F2183" s="717" t="s">
        <v>13326</v>
      </c>
      <c r="G2183" s="717" t="s">
        <v>13217</v>
      </c>
      <c r="H2183" s="727" t="s">
        <v>13231</v>
      </c>
      <c r="I2183" s="1497" t="s">
        <v>13316</v>
      </c>
      <c r="J2183" s="1498">
        <v>45833.0</v>
      </c>
      <c r="K2183" s="727" t="s">
        <v>131</v>
      </c>
      <c r="L2183" s="717" t="s">
        <v>13254</v>
      </c>
      <c r="M2183" s="717" t="s">
        <v>13319</v>
      </c>
      <c r="N2183" s="717" t="s">
        <v>9858</v>
      </c>
      <c r="O2183" s="1502" t="s">
        <v>131</v>
      </c>
      <c r="P2183" s="727" t="s">
        <v>13222</v>
      </c>
      <c r="Q2183" s="1499" t="str">
        <f t="array" ref="Q2183"> if(iserror(MATCH(V2183, 'File Links'!C:C, 0)), "N/A", HYPERLINK(INDEX('File Links'!B:B, MATCH(P2183, 'File Links'!C:C, 0))))</f>
        <v>https://drive.google.com/file/d/1FklynAHzflh7rbxQIU4qTxOz3VBhye8B/view?usp=drivesdk</v>
      </c>
      <c r="R2183" s="1500" t="s">
        <v>13223</v>
      </c>
      <c r="S2183" s="717" t="s">
        <v>13224</v>
      </c>
      <c r="T2183" s="1967" t="s">
        <v>131</v>
      </c>
      <c r="U2183" s="1502" t="s">
        <v>131</v>
      </c>
      <c r="V2183" s="727" t="s">
        <v>13225</v>
      </c>
      <c r="W2183" s="727" t="s">
        <v>131</v>
      </c>
      <c r="X2183" s="1503" t="str">
        <f t="array" ref="X2183"> if(iserror(MATCH(V2183, 'File Links'!C:C, 0)), "N/A", HYPERLINK(INDEX('File Links'!B:B, MATCH(V2183, 'File Links'!C:C, 0))))</f>
        <v>https://drive.google.com/file/d/1hYNUJrx3yjyMoTgcG7Qz4pix-8ruWFMC/view?usp=drivesdk</v>
      </c>
      <c r="Y2183" s="717" t="s">
        <v>13330</v>
      </c>
      <c r="Z2183" s="727" t="s">
        <v>219</v>
      </c>
      <c r="AA2183" s="717" t="s">
        <v>13226</v>
      </c>
      <c r="AB2183" s="727" t="s">
        <v>13329</v>
      </c>
      <c r="AC2183" s="727" t="s">
        <v>13321</v>
      </c>
      <c r="AD2183" s="727" t="s">
        <v>131</v>
      </c>
      <c r="AE2183" s="727" t="s">
        <v>131</v>
      </c>
      <c r="AF2183" s="1497" t="s">
        <v>131</v>
      </c>
      <c r="AG2183" s="1497" t="s">
        <v>131</v>
      </c>
      <c r="AH2183" s="714"/>
      <c r="AI2183" s="727" t="s">
        <v>131</v>
      </c>
      <c r="AJ2183" s="1497" t="s">
        <v>131</v>
      </c>
      <c r="AK2183" s="714"/>
      <c r="AL2183" s="714"/>
      <c r="AM2183" s="1420"/>
      <c r="AN2183" s="717" t="s">
        <v>131</v>
      </c>
      <c r="AO2183" s="1497" t="s">
        <v>131</v>
      </c>
      <c r="AP2183" s="1497" t="s">
        <v>131</v>
      </c>
      <c r="AQ2183" s="1992" t="s">
        <v>354</v>
      </c>
      <c r="AR2183" s="727" t="s">
        <v>131</v>
      </c>
      <c r="AS2183" s="1497" t="s">
        <v>131</v>
      </c>
      <c r="AT2183" s="714"/>
      <c r="AU2183" s="714"/>
      <c r="AV2183" s="1420"/>
      <c r="AW2183" s="1504" t="s">
        <v>131</v>
      </c>
      <c r="AX2183" s="1420"/>
      <c r="AY2183" s="694"/>
      <c r="AZ2183" s="713" t="s">
        <v>13230</v>
      </c>
      <c r="BA2183" s="694"/>
      <c r="BB2183" s="694"/>
      <c r="BC2183" s="694"/>
      <c r="BD2183" s="694"/>
      <c r="BE2183" s="694"/>
      <c r="BF2183" s="694"/>
      <c r="BG2183" s="694"/>
      <c r="BH2183" s="694"/>
      <c r="BI2183" s="694"/>
      <c r="BJ2183" s="694"/>
      <c r="BK2183" s="694"/>
      <c r="BL2183" s="694"/>
      <c r="BM2183" s="694"/>
      <c r="BN2183" s="694"/>
      <c r="BO2183" s="694"/>
      <c r="BP2183" s="694"/>
      <c r="BQ2183" s="694"/>
      <c r="BR2183" s="694"/>
      <c r="BS2183" s="694"/>
      <c r="BT2183" s="694"/>
      <c r="BU2183" s="694"/>
      <c r="BV2183" s="694"/>
      <c r="BW2183" s="694"/>
      <c r="BX2183" s="694"/>
      <c r="BY2183" s="694"/>
      <c r="BZ2183" s="694"/>
      <c r="CA2183" s="694"/>
      <c r="CB2183" s="694"/>
      <c r="CC2183" s="694"/>
      <c r="CD2183" s="694"/>
      <c r="CE2183" s="694"/>
      <c r="CF2183" s="694"/>
      <c r="CG2183" s="694"/>
      <c r="CH2183" s="694"/>
      <c r="CI2183" s="694"/>
      <c r="CJ2183" s="694"/>
      <c r="CK2183" s="694"/>
      <c r="CL2183" s="694"/>
      <c r="CM2183" s="694"/>
      <c r="CN2183" s="694"/>
      <c r="CO2183" s="694"/>
      <c r="CP2183" s="694"/>
      <c r="CQ2183" s="694"/>
      <c r="CR2183" s="694"/>
      <c r="CS2183" s="694"/>
      <c r="CT2183" s="694"/>
      <c r="CU2183" s="694"/>
      <c r="CV2183" s="694"/>
      <c r="CW2183" s="694"/>
      <c r="CX2183" s="694"/>
      <c r="CY2183" s="694"/>
      <c r="CZ2183" s="694"/>
      <c r="DA2183" s="694"/>
      <c r="DB2183" s="694"/>
      <c r="DC2183" s="694"/>
      <c r="DD2183" s="694"/>
      <c r="DE2183" s="694"/>
      <c r="DF2183" s="694"/>
      <c r="DG2183" s="694"/>
      <c r="DH2183" s="694"/>
    </row>
    <row r="2184">
      <c r="A2184" s="41">
        <v>2184.0</v>
      </c>
      <c r="B2184" s="717" t="s">
        <v>107</v>
      </c>
      <c r="C2184" s="713" t="s">
        <v>108</v>
      </c>
      <c r="D2184" s="713" t="s">
        <v>214</v>
      </c>
      <c r="E2184" s="694"/>
      <c r="F2184" s="717" t="s">
        <v>13331</v>
      </c>
      <c r="G2184" s="717" t="s">
        <v>13217</v>
      </c>
      <c r="H2184" s="727" t="s">
        <v>215</v>
      </c>
      <c r="I2184" s="1497" t="s">
        <v>13218</v>
      </c>
      <c r="J2184" s="1498">
        <v>45832.0</v>
      </c>
      <c r="K2184" s="727" t="s">
        <v>13332</v>
      </c>
      <c r="L2184" s="717" t="s">
        <v>13254</v>
      </c>
      <c r="M2184" s="717" t="s">
        <v>13221</v>
      </c>
      <c r="N2184" s="717" t="s">
        <v>9858</v>
      </c>
      <c r="O2184" s="1502">
        <v>1.0</v>
      </c>
      <c r="P2184" s="727" t="s">
        <v>13222</v>
      </c>
      <c r="Q2184" s="1499" t="str">
        <f t="array" ref="Q2184"> if(iserror(MATCH(V2184, 'File Links'!C:C, 0)), "N/A", HYPERLINK(INDEX('File Links'!B:B, MATCH(P2184, 'File Links'!C:C, 0))))</f>
        <v>https://drive.google.com/file/d/1FklynAHzflh7rbxQIU4qTxOz3VBhye8B/view?usp=drivesdk</v>
      </c>
      <c r="R2184" s="1500" t="s">
        <v>13223</v>
      </c>
      <c r="S2184" s="717" t="s">
        <v>13224</v>
      </c>
      <c r="T2184" s="1501"/>
      <c r="U2184" s="1963">
        <v>1.0</v>
      </c>
      <c r="V2184" s="727" t="s">
        <v>13225</v>
      </c>
      <c r="W2184" s="714"/>
      <c r="X2184" s="1503" t="str">
        <f t="array" ref="X2184"> if(iserror(MATCH(V2184, 'File Links'!C:C, 0)), "N/A", HYPERLINK(INDEX('File Links'!B:B, MATCH(V2184, 'File Links'!C:C, 0))))</f>
        <v>https://drive.google.com/file/d/1hYNUJrx3yjyMoTgcG7Qz4pix-8ruWFMC/view?usp=drivesdk</v>
      </c>
      <c r="Y2184" s="1420"/>
      <c r="Z2184" s="727" t="s">
        <v>219</v>
      </c>
      <c r="AA2184" s="717" t="s">
        <v>13226</v>
      </c>
      <c r="AB2184" s="727" t="s">
        <v>13333</v>
      </c>
      <c r="AC2184" s="727" t="s">
        <v>13228</v>
      </c>
      <c r="AD2184" s="714"/>
      <c r="AE2184" s="714"/>
      <c r="AF2184" s="1497">
        <v>573.0</v>
      </c>
      <c r="AG2184" s="1497">
        <v>0.23</v>
      </c>
      <c r="AH2184" s="727" t="s">
        <v>166</v>
      </c>
      <c r="AI2184" s="727">
        <v>6.0</v>
      </c>
      <c r="AJ2184" s="1497">
        <v>0.02</v>
      </c>
      <c r="AK2184" s="727" t="s">
        <v>128</v>
      </c>
      <c r="AL2184" s="727" t="s">
        <v>129</v>
      </c>
      <c r="AM2184" s="717" t="s">
        <v>130</v>
      </c>
      <c r="AN2184" s="717" t="s">
        <v>131</v>
      </c>
      <c r="AO2184" s="1497">
        <v>1446.0</v>
      </c>
      <c r="AP2184" s="1497">
        <v>0.19</v>
      </c>
      <c r="AQ2184" s="727" t="s">
        <v>166</v>
      </c>
      <c r="AR2184" s="727">
        <v>7.0</v>
      </c>
      <c r="AS2184" s="1497">
        <v>0.001</v>
      </c>
      <c r="AT2184" s="727" t="s">
        <v>165</v>
      </c>
      <c r="AU2184" s="727" t="s">
        <v>129</v>
      </c>
      <c r="AV2184" s="717" t="s">
        <v>130</v>
      </c>
      <c r="AW2184" s="1966" t="s">
        <v>13229</v>
      </c>
      <c r="AX2184" s="717" t="s">
        <v>144</v>
      </c>
      <c r="AY2184" s="694"/>
      <c r="AZ2184" s="713" t="s">
        <v>138</v>
      </c>
      <c r="BA2184" s="694"/>
      <c r="BB2184" s="694"/>
      <c r="BC2184" s="694"/>
      <c r="BD2184" s="694"/>
      <c r="BE2184" s="694"/>
      <c r="BF2184" s="694"/>
      <c r="BG2184" s="694"/>
      <c r="BH2184" s="694"/>
      <c r="BI2184" s="694"/>
      <c r="BJ2184" s="694"/>
      <c r="BK2184" s="694"/>
      <c r="BL2184" s="694"/>
      <c r="BM2184" s="694"/>
      <c r="BN2184" s="694"/>
      <c r="BO2184" s="694"/>
      <c r="BP2184" s="694"/>
      <c r="BQ2184" s="694"/>
      <c r="BR2184" s="694"/>
      <c r="BS2184" s="694"/>
      <c r="BT2184" s="694"/>
      <c r="BU2184" s="694"/>
      <c r="BV2184" s="694"/>
      <c r="BW2184" s="694"/>
      <c r="BX2184" s="694"/>
      <c r="BY2184" s="694"/>
      <c r="BZ2184" s="694"/>
      <c r="CA2184" s="694"/>
      <c r="CB2184" s="694"/>
      <c r="CC2184" s="694"/>
      <c r="CD2184" s="694"/>
      <c r="CE2184" s="694"/>
      <c r="CF2184" s="694"/>
      <c r="CG2184" s="694"/>
      <c r="CH2184" s="694"/>
      <c r="CI2184" s="694"/>
      <c r="CJ2184" s="694"/>
      <c r="CK2184" s="694"/>
      <c r="CL2184" s="694"/>
      <c r="CM2184" s="694"/>
      <c r="CN2184" s="694"/>
      <c r="CO2184" s="694"/>
      <c r="CP2184" s="694"/>
      <c r="CQ2184" s="694"/>
      <c r="CR2184" s="694"/>
      <c r="CS2184" s="694"/>
      <c r="CT2184" s="694"/>
      <c r="CU2184" s="694"/>
      <c r="CV2184" s="694"/>
      <c r="CW2184" s="694"/>
      <c r="CX2184" s="694"/>
      <c r="CY2184" s="694"/>
      <c r="CZ2184" s="694"/>
      <c r="DA2184" s="694"/>
      <c r="DB2184" s="694"/>
      <c r="DC2184" s="694"/>
      <c r="DD2184" s="694"/>
      <c r="DE2184" s="694"/>
      <c r="DF2184" s="694"/>
      <c r="DG2184" s="694"/>
      <c r="DH2184" s="694"/>
    </row>
    <row r="2185">
      <c r="A2185" s="41">
        <v>2185.0</v>
      </c>
      <c r="B2185" s="717" t="s">
        <v>145</v>
      </c>
      <c r="C2185" s="713" t="s">
        <v>108</v>
      </c>
      <c r="D2185" s="713" t="s">
        <v>2923</v>
      </c>
      <c r="E2185" s="694"/>
      <c r="F2185" s="717" t="s">
        <v>13331</v>
      </c>
      <c r="G2185" s="717" t="s">
        <v>13217</v>
      </c>
      <c r="H2185" s="727" t="s">
        <v>13231</v>
      </c>
      <c r="I2185" s="1497" t="s">
        <v>13334</v>
      </c>
      <c r="J2185" s="1498">
        <v>45832.0</v>
      </c>
      <c r="K2185" s="727" t="s">
        <v>13298</v>
      </c>
      <c r="L2185" s="717" t="s">
        <v>13254</v>
      </c>
      <c r="M2185" s="717" t="s">
        <v>13221</v>
      </c>
      <c r="N2185" s="717" t="s">
        <v>9858</v>
      </c>
      <c r="O2185" s="1502">
        <v>1.0</v>
      </c>
      <c r="P2185" s="727" t="s">
        <v>13222</v>
      </c>
      <c r="Q2185" s="1499" t="str">
        <f t="array" ref="Q2185"> if(iserror(MATCH(V2185, 'File Links'!C:C, 0)), "N/A", HYPERLINK(INDEX('File Links'!B:B, MATCH(P2185, 'File Links'!C:C, 0))))</f>
        <v>https://drive.google.com/file/d/1FklynAHzflh7rbxQIU4qTxOz3VBhye8B/view?usp=drivesdk</v>
      </c>
      <c r="R2185" s="1500" t="s">
        <v>13223</v>
      </c>
      <c r="S2185" s="717" t="s">
        <v>13224</v>
      </c>
      <c r="T2185" s="1967" t="s">
        <v>131</v>
      </c>
      <c r="U2185" s="1502">
        <v>1.0</v>
      </c>
      <c r="V2185" s="727" t="s">
        <v>13225</v>
      </c>
      <c r="W2185" s="727" t="s">
        <v>202</v>
      </c>
      <c r="X2185" s="1503" t="str">
        <f t="array" ref="X2185"> if(iserror(MATCH(V2185, 'File Links'!C:C, 0)), "N/A", HYPERLINK(INDEX('File Links'!B:B, MATCH(V2185, 'File Links'!C:C, 0))))</f>
        <v>https://drive.google.com/file/d/1hYNUJrx3yjyMoTgcG7Qz4pix-8ruWFMC/view?usp=drivesdk</v>
      </c>
      <c r="Y2185" s="1420"/>
      <c r="Z2185" s="727" t="s">
        <v>219</v>
      </c>
      <c r="AA2185" s="717" t="s">
        <v>13226</v>
      </c>
      <c r="AB2185" s="727" t="s">
        <v>13333</v>
      </c>
      <c r="AC2185" s="727" t="s">
        <v>13228</v>
      </c>
      <c r="AD2185" s="727" t="s">
        <v>13236</v>
      </c>
      <c r="AE2185" s="727">
        <v>4.0</v>
      </c>
      <c r="AF2185" s="1497">
        <v>573.0</v>
      </c>
      <c r="AG2185" s="1497">
        <v>0.234</v>
      </c>
      <c r="AH2185" s="727" t="s">
        <v>166</v>
      </c>
      <c r="AI2185" s="727" t="s">
        <v>843</v>
      </c>
      <c r="AJ2185" s="1497" t="s">
        <v>131</v>
      </c>
      <c r="AK2185" s="714"/>
      <c r="AL2185" s="727" t="s">
        <v>179</v>
      </c>
      <c r="AM2185" s="717" t="s">
        <v>130</v>
      </c>
      <c r="AN2185" s="717" t="s">
        <v>131</v>
      </c>
      <c r="AO2185" s="1497">
        <v>1446.0</v>
      </c>
      <c r="AP2185" s="1497">
        <v>1.25</v>
      </c>
      <c r="AQ2185" s="727" t="s">
        <v>715</v>
      </c>
      <c r="AR2185" s="727" t="s">
        <v>13237</v>
      </c>
      <c r="AS2185" s="1497">
        <v>0.002</v>
      </c>
      <c r="AT2185" s="727" t="s">
        <v>165</v>
      </c>
      <c r="AU2185" s="727" t="s">
        <v>179</v>
      </c>
      <c r="AV2185" s="717" t="s">
        <v>130</v>
      </c>
      <c r="AW2185" s="1966" t="s">
        <v>13229</v>
      </c>
      <c r="AX2185" s="1112" t="s">
        <v>431</v>
      </c>
      <c r="AY2185" s="694"/>
      <c r="AZ2185" s="713" t="s">
        <v>13230</v>
      </c>
      <c r="BA2185" s="694"/>
      <c r="BB2185" s="694"/>
      <c r="BC2185" s="694"/>
      <c r="BD2185" s="694"/>
      <c r="BE2185" s="694"/>
      <c r="BF2185" s="694"/>
      <c r="BG2185" s="694"/>
      <c r="BH2185" s="694"/>
      <c r="BI2185" s="694"/>
      <c r="BJ2185" s="694"/>
      <c r="BK2185" s="694"/>
      <c r="BL2185" s="694"/>
      <c r="BM2185" s="694"/>
      <c r="BN2185" s="694"/>
      <c r="BO2185" s="694"/>
      <c r="BP2185" s="694"/>
      <c r="BQ2185" s="694"/>
      <c r="BR2185" s="694"/>
      <c r="BS2185" s="694"/>
      <c r="BT2185" s="694"/>
      <c r="BU2185" s="694"/>
      <c r="BV2185" s="694"/>
      <c r="BW2185" s="694"/>
      <c r="BX2185" s="694"/>
      <c r="BY2185" s="694"/>
      <c r="BZ2185" s="694"/>
      <c r="CA2185" s="694"/>
      <c r="CB2185" s="694"/>
      <c r="CC2185" s="694"/>
      <c r="CD2185" s="694"/>
      <c r="CE2185" s="694"/>
      <c r="CF2185" s="694"/>
      <c r="CG2185" s="694"/>
      <c r="CH2185" s="694"/>
      <c r="CI2185" s="694"/>
      <c r="CJ2185" s="694"/>
      <c r="CK2185" s="694"/>
      <c r="CL2185" s="694"/>
      <c r="CM2185" s="694"/>
      <c r="CN2185" s="694"/>
      <c r="CO2185" s="694"/>
      <c r="CP2185" s="694"/>
      <c r="CQ2185" s="694"/>
      <c r="CR2185" s="694"/>
      <c r="CS2185" s="694"/>
      <c r="CT2185" s="694"/>
      <c r="CU2185" s="694"/>
      <c r="CV2185" s="694"/>
      <c r="CW2185" s="694"/>
      <c r="CX2185" s="694"/>
      <c r="CY2185" s="694"/>
      <c r="CZ2185" s="694"/>
      <c r="DA2185" s="694"/>
      <c r="DB2185" s="694"/>
      <c r="DC2185" s="694"/>
      <c r="DD2185" s="694"/>
      <c r="DE2185" s="694"/>
      <c r="DF2185" s="694"/>
      <c r="DG2185" s="694"/>
      <c r="DH2185" s="694"/>
    </row>
    <row r="2186">
      <c r="A2186" s="41">
        <v>2186.0</v>
      </c>
      <c r="B2186" s="717" t="s">
        <v>107</v>
      </c>
      <c r="C2186" s="713" t="s">
        <v>108</v>
      </c>
      <c r="D2186" s="713" t="s">
        <v>214</v>
      </c>
      <c r="E2186" s="694"/>
      <c r="F2186" s="717" t="s">
        <v>13335</v>
      </c>
      <c r="G2186" s="717" t="s">
        <v>13217</v>
      </c>
      <c r="H2186" s="727" t="s">
        <v>215</v>
      </c>
      <c r="I2186" s="1497" t="s">
        <v>13218</v>
      </c>
      <c r="J2186" s="1498">
        <v>45832.0</v>
      </c>
      <c r="K2186" s="727" t="s">
        <v>13336</v>
      </c>
      <c r="L2186" s="717" t="s">
        <v>13254</v>
      </c>
      <c r="M2186" s="717" t="s">
        <v>13221</v>
      </c>
      <c r="N2186" s="717" t="s">
        <v>9858</v>
      </c>
      <c r="O2186" s="1502">
        <v>1.0</v>
      </c>
      <c r="P2186" s="727" t="s">
        <v>13222</v>
      </c>
      <c r="Q2186" s="1499" t="str">
        <f t="array" ref="Q2186"> if(iserror(MATCH(V2186, 'File Links'!C:C, 0)), "N/A", HYPERLINK(INDEX('File Links'!B:B, MATCH(P2186, 'File Links'!C:C, 0))))</f>
        <v>https://drive.google.com/file/d/1FklynAHzflh7rbxQIU4qTxOz3VBhye8B/view?usp=drivesdk</v>
      </c>
      <c r="R2186" s="1500" t="s">
        <v>13223</v>
      </c>
      <c r="S2186" s="717" t="s">
        <v>13224</v>
      </c>
      <c r="T2186" s="1501"/>
      <c r="U2186" s="1963">
        <v>1.0</v>
      </c>
      <c r="V2186" s="727" t="s">
        <v>13225</v>
      </c>
      <c r="W2186" s="714"/>
      <c r="X2186" s="1503" t="str">
        <f t="array" ref="X2186"> if(iserror(MATCH(V2186, 'File Links'!C:C, 0)), "N/A", HYPERLINK(INDEX('File Links'!B:B, MATCH(V2186, 'File Links'!C:C, 0))))</f>
        <v>https://drive.google.com/file/d/1hYNUJrx3yjyMoTgcG7Qz4pix-8ruWFMC/view?usp=drivesdk</v>
      </c>
      <c r="Y2186" s="1420"/>
      <c r="Z2186" s="727" t="s">
        <v>219</v>
      </c>
      <c r="AA2186" s="717" t="s">
        <v>13226</v>
      </c>
      <c r="AB2186" s="727" t="s">
        <v>13337</v>
      </c>
      <c r="AC2186" s="727" t="s">
        <v>13242</v>
      </c>
      <c r="AD2186" s="714"/>
      <c r="AE2186" s="714"/>
      <c r="AF2186" s="1497">
        <v>573.0</v>
      </c>
      <c r="AG2186" s="1497">
        <v>0.49</v>
      </c>
      <c r="AH2186" s="727" t="s">
        <v>166</v>
      </c>
      <c r="AI2186" s="727">
        <v>6.0</v>
      </c>
      <c r="AJ2186" s="1497">
        <v>0.018</v>
      </c>
      <c r="AK2186" s="727" t="s">
        <v>128</v>
      </c>
      <c r="AL2186" s="727" t="s">
        <v>129</v>
      </c>
      <c r="AM2186" s="717" t="s">
        <v>130</v>
      </c>
      <c r="AN2186" s="717" t="s">
        <v>131</v>
      </c>
      <c r="AO2186" s="1497">
        <v>1446.0</v>
      </c>
      <c r="AP2186" s="1497">
        <v>0.13</v>
      </c>
      <c r="AQ2186" s="727" t="s">
        <v>166</v>
      </c>
      <c r="AR2186" s="727">
        <v>7.0</v>
      </c>
      <c r="AS2186" s="1497">
        <v>0.001</v>
      </c>
      <c r="AT2186" s="727" t="s">
        <v>165</v>
      </c>
      <c r="AU2186" s="727" t="s">
        <v>129</v>
      </c>
      <c r="AV2186" s="717" t="s">
        <v>130</v>
      </c>
      <c r="AW2186" s="1966" t="s">
        <v>13229</v>
      </c>
      <c r="AX2186" s="717" t="s">
        <v>136</v>
      </c>
      <c r="AY2186" s="694"/>
      <c r="AZ2186" s="713" t="s">
        <v>13230</v>
      </c>
      <c r="BA2186" s="694"/>
      <c r="BB2186" s="694"/>
      <c r="BC2186" s="694"/>
      <c r="BD2186" s="694"/>
      <c r="BE2186" s="694"/>
      <c r="BF2186" s="694"/>
      <c r="BG2186" s="694"/>
      <c r="BH2186" s="694"/>
      <c r="BI2186" s="694"/>
      <c r="BJ2186" s="694"/>
      <c r="BK2186" s="694"/>
      <c r="BL2186" s="694"/>
      <c r="BM2186" s="694"/>
      <c r="BN2186" s="694"/>
      <c r="BO2186" s="694"/>
      <c r="BP2186" s="694"/>
      <c r="BQ2186" s="694"/>
      <c r="BR2186" s="694"/>
      <c r="BS2186" s="694"/>
      <c r="BT2186" s="694"/>
      <c r="BU2186" s="694"/>
      <c r="BV2186" s="694"/>
      <c r="BW2186" s="694"/>
      <c r="BX2186" s="694"/>
      <c r="BY2186" s="694"/>
      <c r="BZ2186" s="694"/>
      <c r="CA2186" s="694"/>
      <c r="CB2186" s="694"/>
      <c r="CC2186" s="694"/>
      <c r="CD2186" s="694"/>
      <c r="CE2186" s="694"/>
      <c r="CF2186" s="694"/>
      <c r="CG2186" s="694"/>
      <c r="CH2186" s="694"/>
      <c r="CI2186" s="694"/>
      <c r="CJ2186" s="694"/>
      <c r="CK2186" s="694"/>
      <c r="CL2186" s="694"/>
      <c r="CM2186" s="694"/>
      <c r="CN2186" s="694"/>
      <c r="CO2186" s="694"/>
      <c r="CP2186" s="694"/>
      <c r="CQ2186" s="694"/>
      <c r="CR2186" s="694"/>
      <c r="CS2186" s="694"/>
      <c r="CT2186" s="694"/>
      <c r="CU2186" s="694"/>
      <c r="CV2186" s="694"/>
      <c r="CW2186" s="694"/>
      <c r="CX2186" s="694"/>
      <c r="CY2186" s="694"/>
      <c r="CZ2186" s="694"/>
      <c r="DA2186" s="694"/>
      <c r="DB2186" s="694"/>
      <c r="DC2186" s="694"/>
      <c r="DD2186" s="694"/>
      <c r="DE2186" s="694"/>
      <c r="DF2186" s="694"/>
      <c r="DG2186" s="694"/>
      <c r="DH2186" s="694"/>
    </row>
    <row r="2187">
      <c r="A2187" s="41">
        <v>2187.0</v>
      </c>
      <c r="B2187" s="717" t="s">
        <v>145</v>
      </c>
      <c r="C2187" s="713" t="s">
        <v>108</v>
      </c>
      <c r="D2187" s="713" t="s">
        <v>2923</v>
      </c>
      <c r="E2187" s="694"/>
      <c r="F2187" s="717" t="s">
        <v>13335</v>
      </c>
      <c r="G2187" s="717" t="s">
        <v>13217</v>
      </c>
      <c r="H2187" s="727" t="s">
        <v>13231</v>
      </c>
      <c r="I2187" s="1497" t="s">
        <v>13243</v>
      </c>
      <c r="J2187" s="1498">
        <v>45832.0</v>
      </c>
      <c r="K2187" s="727" t="s">
        <v>13244</v>
      </c>
      <c r="L2187" s="717" t="s">
        <v>13254</v>
      </c>
      <c r="M2187" s="717" t="s">
        <v>13221</v>
      </c>
      <c r="N2187" s="717" t="s">
        <v>9858</v>
      </c>
      <c r="O2187" s="1502">
        <v>1.0</v>
      </c>
      <c r="P2187" s="727" t="s">
        <v>13222</v>
      </c>
      <c r="Q2187" s="1499" t="str">
        <f t="array" ref="Q2187"> if(iserror(MATCH(V2187, 'File Links'!C:C, 0)), "N/A", HYPERLINK(INDEX('File Links'!B:B, MATCH(P2187, 'File Links'!C:C, 0))))</f>
        <v>https://drive.google.com/file/d/1FklynAHzflh7rbxQIU4qTxOz3VBhye8B/view?usp=drivesdk</v>
      </c>
      <c r="R2187" s="1500" t="s">
        <v>13223</v>
      </c>
      <c r="S2187" s="717" t="s">
        <v>13224</v>
      </c>
      <c r="T2187" s="1967" t="s">
        <v>131</v>
      </c>
      <c r="U2187" s="1502">
        <v>1.0</v>
      </c>
      <c r="V2187" s="727" t="s">
        <v>13225</v>
      </c>
      <c r="W2187" s="727" t="s">
        <v>202</v>
      </c>
      <c r="X2187" s="1503" t="str">
        <f t="array" ref="X2187"> if(iserror(MATCH(V2187, 'File Links'!C:C, 0)), "N/A", HYPERLINK(INDEX('File Links'!B:B, MATCH(V2187, 'File Links'!C:C, 0))))</f>
        <v>https://drive.google.com/file/d/1hYNUJrx3yjyMoTgcG7Qz4pix-8ruWFMC/view?usp=drivesdk</v>
      </c>
      <c r="Y2187" s="1420"/>
      <c r="Z2187" s="727" t="s">
        <v>219</v>
      </c>
      <c r="AA2187" s="717" t="s">
        <v>13226</v>
      </c>
      <c r="AB2187" s="727" t="s">
        <v>13337</v>
      </c>
      <c r="AC2187" s="727" t="s">
        <v>13242</v>
      </c>
      <c r="AD2187" s="727" t="s">
        <v>13247</v>
      </c>
      <c r="AE2187" s="727">
        <v>4.0</v>
      </c>
      <c r="AF2187" s="1497">
        <v>573.0</v>
      </c>
      <c r="AG2187" s="1497">
        <v>0.49</v>
      </c>
      <c r="AH2187" s="727" t="s">
        <v>166</v>
      </c>
      <c r="AI2187" s="727" t="s">
        <v>843</v>
      </c>
      <c r="AJ2187" s="1497" t="s">
        <v>131</v>
      </c>
      <c r="AK2187" s="714"/>
      <c r="AL2187" s="727" t="s">
        <v>179</v>
      </c>
      <c r="AM2187" s="717" t="s">
        <v>130</v>
      </c>
      <c r="AN2187" s="717" t="s">
        <v>131</v>
      </c>
      <c r="AO2187" s="1497">
        <v>1446.0</v>
      </c>
      <c r="AP2187" s="1497">
        <v>1.18</v>
      </c>
      <c r="AQ2187" s="727" t="s">
        <v>715</v>
      </c>
      <c r="AR2187" s="727" t="s">
        <v>13237</v>
      </c>
      <c r="AS2187" s="1497">
        <v>0.018</v>
      </c>
      <c r="AT2187" s="727" t="s">
        <v>165</v>
      </c>
      <c r="AU2187" s="727" t="s">
        <v>179</v>
      </c>
      <c r="AV2187" s="717" t="s">
        <v>130</v>
      </c>
      <c r="AW2187" s="1966" t="s">
        <v>13229</v>
      </c>
      <c r="AX2187" s="1112" t="s">
        <v>431</v>
      </c>
      <c r="AY2187" s="694"/>
      <c r="AZ2187" s="713" t="s">
        <v>13230</v>
      </c>
      <c r="BA2187" s="694"/>
      <c r="BB2187" s="694"/>
      <c r="BC2187" s="694"/>
      <c r="BD2187" s="694"/>
      <c r="BE2187" s="694"/>
      <c r="BF2187" s="694"/>
      <c r="BG2187" s="694"/>
      <c r="BH2187" s="694"/>
      <c r="BI2187" s="694"/>
      <c r="BJ2187" s="694"/>
      <c r="BK2187" s="694"/>
      <c r="BL2187" s="694"/>
      <c r="BM2187" s="694"/>
      <c r="BN2187" s="694"/>
      <c r="BO2187" s="694"/>
      <c r="BP2187" s="694"/>
      <c r="BQ2187" s="694"/>
      <c r="BR2187" s="694"/>
      <c r="BS2187" s="694"/>
      <c r="BT2187" s="694"/>
      <c r="BU2187" s="694"/>
      <c r="BV2187" s="694"/>
      <c r="BW2187" s="694"/>
      <c r="BX2187" s="694"/>
      <c r="BY2187" s="694"/>
      <c r="BZ2187" s="694"/>
      <c r="CA2187" s="694"/>
      <c r="CB2187" s="694"/>
      <c r="CC2187" s="694"/>
      <c r="CD2187" s="694"/>
      <c r="CE2187" s="694"/>
      <c r="CF2187" s="694"/>
      <c r="CG2187" s="694"/>
      <c r="CH2187" s="694"/>
      <c r="CI2187" s="694"/>
      <c r="CJ2187" s="694"/>
      <c r="CK2187" s="694"/>
      <c r="CL2187" s="694"/>
      <c r="CM2187" s="694"/>
      <c r="CN2187" s="694"/>
      <c r="CO2187" s="694"/>
      <c r="CP2187" s="694"/>
      <c r="CQ2187" s="694"/>
      <c r="CR2187" s="694"/>
      <c r="CS2187" s="694"/>
      <c r="CT2187" s="694"/>
      <c r="CU2187" s="694"/>
      <c r="CV2187" s="694"/>
      <c r="CW2187" s="694"/>
      <c r="CX2187" s="694"/>
      <c r="CY2187" s="694"/>
      <c r="CZ2187" s="694"/>
      <c r="DA2187" s="694"/>
      <c r="DB2187" s="694"/>
      <c r="DC2187" s="694"/>
      <c r="DD2187" s="694"/>
      <c r="DE2187" s="694"/>
      <c r="DF2187" s="694"/>
      <c r="DG2187" s="694"/>
      <c r="DH2187" s="694"/>
    </row>
    <row r="2188">
      <c r="A2188" s="41">
        <v>2188.0</v>
      </c>
      <c r="B2188" s="717" t="s">
        <v>107</v>
      </c>
      <c r="C2188" s="713" t="s">
        <v>108</v>
      </c>
      <c r="D2188" s="713" t="s">
        <v>214</v>
      </c>
      <c r="E2188" s="694"/>
      <c r="F2188" s="717" t="s">
        <v>13338</v>
      </c>
      <c r="G2188" s="717" t="s">
        <v>13217</v>
      </c>
      <c r="H2188" s="727" t="s">
        <v>215</v>
      </c>
      <c r="I2188" s="1497" t="s">
        <v>13218</v>
      </c>
      <c r="J2188" s="1498">
        <v>45832.0</v>
      </c>
      <c r="K2188" s="714"/>
      <c r="L2188" s="717" t="s">
        <v>13254</v>
      </c>
      <c r="M2188" s="717" t="s">
        <v>13221</v>
      </c>
      <c r="N2188" s="717" t="s">
        <v>9858</v>
      </c>
      <c r="O2188" s="1502">
        <v>1.0</v>
      </c>
      <c r="P2188" s="727" t="s">
        <v>13222</v>
      </c>
      <c r="Q2188" s="1499" t="str">
        <f t="array" ref="Q2188"> if(iserror(MATCH(V2188, 'File Links'!C:C, 0)), "N/A", HYPERLINK(INDEX('File Links'!B:B, MATCH(P2188, 'File Links'!C:C, 0))))</f>
        <v>https://drive.google.com/file/d/1FklynAHzflh7rbxQIU4qTxOz3VBhye8B/view?usp=drivesdk</v>
      </c>
      <c r="R2188" s="1500" t="s">
        <v>13223</v>
      </c>
      <c r="S2188" s="717" t="s">
        <v>13224</v>
      </c>
      <c r="T2188" s="1501"/>
      <c r="U2188" s="1963">
        <v>1.0</v>
      </c>
      <c r="V2188" s="727" t="s">
        <v>13225</v>
      </c>
      <c r="W2188" s="714"/>
      <c r="X2188" s="1503" t="str">
        <f t="array" ref="X2188"> if(iserror(MATCH(V2188, 'File Links'!C:C, 0)), "N/A", HYPERLINK(INDEX('File Links'!B:B, MATCH(V2188, 'File Links'!C:C, 0))))</f>
        <v>https://drive.google.com/file/d/1hYNUJrx3yjyMoTgcG7Qz4pix-8ruWFMC/view?usp=drivesdk</v>
      </c>
      <c r="Y2188" s="1420"/>
      <c r="Z2188" s="727" t="s">
        <v>219</v>
      </c>
      <c r="AA2188" s="717" t="s">
        <v>13226</v>
      </c>
      <c r="AB2188" s="727" t="s">
        <v>13299</v>
      </c>
      <c r="AC2188" s="727" t="s">
        <v>13242</v>
      </c>
      <c r="AD2188" s="714"/>
      <c r="AE2188" s="714"/>
      <c r="AF2188" s="1497">
        <v>573.0</v>
      </c>
      <c r="AG2188" s="1497">
        <v>0.49</v>
      </c>
      <c r="AH2188" s="727" t="s">
        <v>166</v>
      </c>
      <c r="AI2188" s="727">
        <v>6.0</v>
      </c>
      <c r="AJ2188" s="1497">
        <v>0.018</v>
      </c>
      <c r="AK2188" s="727" t="s">
        <v>128</v>
      </c>
      <c r="AL2188" s="727" t="s">
        <v>129</v>
      </c>
      <c r="AM2188" s="717" t="s">
        <v>130</v>
      </c>
      <c r="AN2188" s="717" t="s">
        <v>131</v>
      </c>
      <c r="AO2188" s="1497">
        <v>1446.0</v>
      </c>
      <c r="AP2188" s="1497">
        <v>0.1</v>
      </c>
      <c r="AQ2188" s="727" t="s">
        <v>166</v>
      </c>
      <c r="AR2188" s="727">
        <v>7.0</v>
      </c>
      <c r="AS2188" s="1497">
        <v>0.001</v>
      </c>
      <c r="AT2188" s="727" t="s">
        <v>165</v>
      </c>
      <c r="AU2188" s="727" t="s">
        <v>129</v>
      </c>
      <c r="AV2188" s="717" t="s">
        <v>130</v>
      </c>
      <c r="AW2188" s="1966" t="s">
        <v>13229</v>
      </c>
      <c r="AX2188" s="717" t="s">
        <v>136</v>
      </c>
      <c r="AY2188" s="694"/>
      <c r="AZ2188" s="713" t="s">
        <v>13230</v>
      </c>
      <c r="BA2188" s="694"/>
      <c r="BB2188" s="694"/>
      <c r="BC2188" s="694"/>
      <c r="BD2188" s="694"/>
      <c r="BE2188" s="694"/>
      <c r="BF2188" s="694"/>
      <c r="BG2188" s="694"/>
      <c r="BH2188" s="694"/>
      <c r="BI2188" s="694"/>
      <c r="BJ2188" s="694"/>
      <c r="BK2188" s="694"/>
      <c r="BL2188" s="694"/>
      <c r="BM2188" s="694"/>
      <c r="BN2188" s="694"/>
      <c r="BO2188" s="694"/>
      <c r="BP2188" s="694"/>
      <c r="BQ2188" s="694"/>
      <c r="BR2188" s="694"/>
      <c r="BS2188" s="694"/>
      <c r="BT2188" s="694"/>
      <c r="BU2188" s="694"/>
      <c r="BV2188" s="694"/>
      <c r="BW2188" s="694"/>
      <c r="BX2188" s="694"/>
      <c r="BY2188" s="694"/>
      <c r="BZ2188" s="694"/>
      <c r="CA2188" s="694"/>
      <c r="CB2188" s="694"/>
      <c r="CC2188" s="694"/>
      <c r="CD2188" s="694"/>
      <c r="CE2188" s="694"/>
      <c r="CF2188" s="694"/>
      <c r="CG2188" s="694"/>
      <c r="CH2188" s="694"/>
      <c r="CI2188" s="694"/>
      <c r="CJ2188" s="694"/>
      <c r="CK2188" s="694"/>
      <c r="CL2188" s="694"/>
      <c r="CM2188" s="694"/>
      <c r="CN2188" s="694"/>
      <c r="CO2188" s="694"/>
      <c r="CP2188" s="694"/>
      <c r="CQ2188" s="694"/>
      <c r="CR2188" s="694"/>
      <c r="CS2188" s="694"/>
      <c r="CT2188" s="694"/>
      <c r="CU2188" s="694"/>
      <c r="CV2188" s="694"/>
      <c r="CW2188" s="694"/>
      <c r="CX2188" s="694"/>
      <c r="CY2188" s="694"/>
      <c r="CZ2188" s="694"/>
      <c r="DA2188" s="694"/>
      <c r="DB2188" s="694"/>
      <c r="DC2188" s="694"/>
      <c r="DD2188" s="694"/>
      <c r="DE2188" s="694"/>
      <c r="DF2188" s="694"/>
      <c r="DG2188" s="694"/>
      <c r="DH2188" s="694"/>
    </row>
    <row r="2189">
      <c r="A2189" s="41">
        <v>2189.0</v>
      </c>
      <c r="B2189" s="717" t="s">
        <v>145</v>
      </c>
      <c r="C2189" s="713" t="s">
        <v>108</v>
      </c>
      <c r="D2189" s="713" t="s">
        <v>2923</v>
      </c>
      <c r="E2189" s="694"/>
      <c r="F2189" s="717" t="s">
        <v>13338</v>
      </c>
      <c r="G2189" s="717" t="s">
        <v>13217</v>
      </c>
      <c r="H2189" s="727" t="s">
        <v>13231</v>
      </c>
      <c r="I2189" s="1497" t="s">
        <v>13243</v>
      </c>
      <c r="J2189" s="1498">
        <v>45832.0</v>
      </c>
      <c r="K2189" s="727" t="s">
        <v>13244</v>
      </c>
      <c r="L2189" s="717" t="s">
        <v>13254</v>
      </c>
      <c r="M2189" s="717" t="s">
        <v>13221</v>
      </c>
      <c r="N2189" s="717" t="s">
        <v>9858</v>
      </c>
      <c r="O2189" s="1502">
        <v>1.0</v>
      </c>
      <c r="P2189" s="727" t="s">
        <v>13222</v>
      </c>
      <c r="Q2189" s="1499" t="str">
        <f t="array" ref="Q2189"> if(iserror(MATCH(V2189, 'File Links'!C:C, 0)), "N/A", HYPERLINK(INDEX('File Links'!B:B, MATCH(P2189, 'File Links'!C:C, 0))))</f>
        <v>https://drive.google.com/file/d/1FklynAHzflh7rbxQIU4qTxOz3VBhye8B/view?usp=drivesdk</v>
      </c>
      <c r="R2189" s="1500" t="s">
        <v>13223</v>
      </c>
      <c r="S2189" s="717" t="s">
        <v>13224</v>
      </c>
      <c r="T2189" s="1967" t="s">
        <v>131</v>
      </c>
      <c r="U2189" s="1502">
        <v>1.0</v>
      </c>
      <c r="V2189" s="727" t="s">
        <v>13225</v>
      </c>
      <c r="W2189" s="727" t="s">
        <v>202</v>
      </c>
      <c r="X2189" s="1503" t="str">
        <f t="array" ref="X2189"> if(iserror(MATCH(V2189, 'File Links'!C:C, 0)), "N/A", HYPERLINK(INDEX('File Links'!B:B, MATCH(V2189, 'File Links'!C:C, 0))))</f>
        <v>https://drive.google.com/file/d/1hYNUJrx3yjyMoTgcG7Qz4pix-8ruWFMC/view?usp=drivesdk</v>
      </c>
      <c r="Y2189" s="1420"/>
      <c r="Z2189" s="727" t="s">
        <v>219</v>
      </c>
      <c r="AA2189" s="717" t="s">
        <v>13226</v>
      </c>
      <c r="AB2189" s="727" t="s">
        <v>13299</v>
      </c>
      <c r="AC2189" s="727" t="s">
        <v>13242</v>
      </c>
      <c r="AD2189" s="727" t="s">
        <v>13247</v>
      </c>
      <c r="AE2189" s="727">
        <v>4.0</v>
      </c>
      <c r="AF2189" s="1497">
        <v>573.0</v>
      </c>
      <c r="AG2189" s="1497">
        <v>0.49</v>
      </c>
      <c r="AH2189" s="727" t="s">
        <v>166</v>
      </c>
      <c r="AI2189" s="727" t="s">
        <v>843</v>
      </c>
      <c r="AJ2189" s="1497" t="s">
        <v>131</v>
      </c>
      <c r="AK2189" s="714"/>
      <c r="AL2189" s="727" t="s">
        <v>179</v>
      </c>
      <c r="AM2189" s="717" t="s">
        <v>130</v>
      </c>
      <c r="AN2189" s="717" t="s">
        <v>131</v>
      </c>
      <c r="AO2189" s="1497">
        <v>1446.0</v>
      </c>
      <c r="AP2189" s="1497">
        <v>1.22</v>
      </c>
      <c r="AQ2189" s="727" t="s">
        <v>715</v>
      </c>
      <c r="AR2189" s="727" t="s">
        <v>13237</v>
      </c>
      <c r="AS2189" s="1497">
        <v>0.015</v>
      </c>
      <c r="AT2189" s="727" t="s">
        <v>165</v>
      </c>
      <c r="AU2189" s="727" t="s">
        <v>179</v>
      </c>
      <c r="AV2189" s="717" t="s">
        <v>130</v>
      </c>
      <c r="AW2189" s="1966" t="s">
        <v>13229</v>
      </c>
      <c r="AX2189" s="1112" t="s">
        <v>431</v>
      </c>
      <c r="AY2189" s="694"/>
      <c r="AZ2189" s="713" t="s">
        <v>13230</v>
      </c>
      <c r="BA2189" s="694"/>
      <c r="BB2189" s="694"/>
      <c r="BC2189" s="694"/>
      <c r="BD2189" s="694"/>
      <c r="BE2189" s="694"/>
      <c r="BF2189" s="694"/>
      <c r="BG2189" s="694"/>
      <c r="BH2189" s="694"/>
      <c r="BI2189" s="694"/>
      <c r="BJ2189" s="694"/>
      <c r="BK2189" s="694"/>
      <c r="BL2189" s="694"/>
      <c r="BM2189" s="694"/>
      <c r="BN2189" s="694"/>
      <c r="BO2189" s="694"/>
      <c r="BP2189" s="694"/>
      <c r="BQ2189" s="694"/>
      <c r="BR2189" s="694"/>
      <c r="BS2189" s="694"/>
      <c r="BT2189" s="694"/>
      <c r="BU2189" s="694"/>
      <c r="BV2189" s="694"/>
      <c r="BW2189" s="694"/>
      <c r="BX2189" s="694"/>
      <c r="BY2189" s="694"/>
      <c r="BZ2189" s="694"/>
      <c r="CA2189" s="694"/>
      <c r="CB2189" s="694"/>
      <c r="CC2189" s="694"/>
      <c r="CD2189" s="694"/>
      <c r="CE2189" s="694"/>
      <c r="CF2189" s="694"/>
      <c r="CG2189" s="694"/>
      <c r="CH2189" s="694"/>
      <c r="CI2189" s="694"/>
      <c r="CJ2189" s="694"/>
      <c r="CK2189" s="694"/>
      <c r="CL2189" s="694"/>
      <c r="CM2189" s="694"/>
      <c r="CN2189" s="694"/>
      <c r="CO2189" s="694"/>
      <c r="CP2189" s="694"/>
      <c r="CQ2189" s="694"/>
      <c r="CR2189" s="694"/>
      <c r="CS2189" s="694"/>
      <c r="CT2189" s="694"/>
      <c r="CU2189" s="694"/>
      <c r="CV2189" s="694"/>
      <c r="CW2189" s="694"/>
      <c r="CX2189" s="694"/>
      <c r="CY2189" s="694"/>
      <c r="CZ2189" s="694"/>
      <c r="DA2189" s="694"/>
      <c r="DB2189" s="694"/>
      <c r="DC2189" s="694"/>
      <c r="DD2189" s="694"/>
      <c r="DE2189" s="694"/>
      <c r="DF2189" s="694"/>
      <c r="DG2189" s="694"/>
      <c r="DH2189" s="694"/>
    </row>
    <row r="2190">
      <c r="A2190" s="41">
        <v>2190.0</v>
      </c>
      <c r="B2190" s="717" t="s">
        <v>107</v>
      </c>
      <c r="C2190" s="713" t="s">
        <v>108</v>
      </c>
      <c r="D2190" s="713" t="s">
        <v>214</v>
      </c>
      <c r="E2190" s="694"/>
      <c r="F2190" s="717" t="s">
        <v>13339</v>
      </c>
      <c r="G2190" s="717" t="s">
        <v>13217</v>
      </c>
      <c r="H2190" s="727" t="s">
        <v>215</v>
      </c>
      <c r="I2190" s="1497" t="s">
        <v>13218</v>
      </c>
      <c r="J2190" s="1498">
        <v>45832.0</v>
      </c>
      <c r="K2190" s="727" t="s">
        <v>13340</v>
      </c>
      <c r="L2190" s="717" t="s">
        <v>13254</v>
      </c>
      <c r="M2190" s="717" t="s">
        <v>13221</v>
      </c>
      <c r="N2190" s="717" t="s">
        <v>9858</v>
      </c>
      <c r="O2190" s="1502">
        <v>1.0</v>
      </c>
      <c r="P2190" s="727" t="s">
        <v>13222</v>
      </c>
      <c r="Q2190" s="1499" t="str">
        <f t="array" ref="Q2190"> if(iserror(MATCH(V2190, 'File Links'!C:C, 0)), "N/A", HYPERLINK(INDEX('File Links'!B:B, MATCH(P2190, 'File Links'!C:C, 0))))</f>
        <v>https://drive.google.com/file/d/1FklynAHzflh7rbxQIU4qTxOz3VBhye8B/view?usp=drivesdk</v>
      </c>
      <c r="R2190" s="1500" t="s">
        <v>13223</v>
      </c>
      <c r="S2190" s="717" t="s">
        <v>13224</v>
      </c>
      <c r="T2190" s="1501"/>
      <c r="U2190" s="1963">
        <v>1.0</v>
      </c>
      <c r="V2190" s="727" t="s">
        <v>13225</v>
      </c>
      <c r="W2190" s="714"/>
      <c r="X2190" s="1503" t="str">
        <f t="array" ref="X2190"> if(iserror(MATCH(V2190, 'File Links'!C:C, 0)), "N/A", HYPERLINK(INDEX('File Links'!B:B, MATCH(V2190, 'File Links'!C:C, 0))))</f>
        <v>https://drive.google.com/file/d/1hYNUJrx3yjyMoTgcG7Qz4pix-8ruWFMC/view?usp=drivesdk</v>
      </c>
      <c r="Y2190" s="1420"/>
      <c r="Z2190" s="727" t="s">
        <v>219</v>
      </c>
      <c r="AA2190" s="717" t="s">
        <v>13226</v>
      </c>
      <c r="AB2190" s="727" t="s">
        <v>13333</v>
      </c>
      <c r="AC2190" s="727" t="s">
        <v>13242</v>
      </c>
      <c r="AD2190" s="714"/>
      <c r="AE2190" s="714"/>
      <c r="AF2190" s="1497">
        <v>573.0</v>
      </c>
      <c r="AG2190" s="1497">
        <v>0.49</v>
      </c>
      <c r="AH2190" s="727" t="s">
        <v>166</v>
      </c>
      <c r="AI2190" s="727">
        <v>6.0</v>
      </c>
      <c r="AJ2190" s="1497">
        <v>0.018</v>
      </c>
      <c r="AK2190" s="727" t="s">
        <v>128</v>
      </c>
      <c r="AL2190" s="727" t="s">
        <v>129</v>
      </c>
      <c r="AM2190" s="717" t="s">
        <v>130</v>
      </c>
      <c r="AN2190" s="717" t="s">
        <v>131</v>
      </c>
      <c r="AO2190" s="1497">
        <v>1446.0</v>
      </c>
      <c r="AP2190" s="1497">
        <v>0.54</v>
      </c>
      <c r="AQ2190" s="727" t="s">
        <v>166</v>
      </c>
      <c r="AR2190" s="727">
        <v>7.0</v>
      </c>
      <c r="AS2190" s="1497">
        <v>0.001</v>
      </c>
      <c r="AT2190" s="727" t="s">
        <v>165</v>
      </c>
      <c r="AU2190" s="727" t="s">
        <v>129</v>
      </c>
      <c r="AV2190" s="717" t="s">
        <v>130</v>
      </c>
      <c r="AW2190" s="1966" t="s">
        <v>13229</v>
      </c>
      <c r="AX2190" s="717" t="s">
        <v>144</v>
      </c>
      <c r="AY2190" s="694"/>
      <c r="AZ2190" s="713" t="s">
        <v>13230</v>
      </c>
      <c r="BA2190" s="694"/>
      <c r="BB2190" s="694"/>
      <c r="BC2190" s="694"/>
      <c r="BD2190" s="694"/>
      <c r="BE2190" s="694"/>
      <c r="BF2190" s="694"/>
      <c r="BG2190" s="694"/>
      <c r="BH2190" s="694"/>
      <c r="BI2190" s="694"/>
      <c r="BJ2190" s="694"/>
      <c r="BK2190" s="694"/>
      <c r="BL2190" s="694"/>
      <c r="BM2190" s="694"/>
      <c r="BN2190" s="694"/>
      <c r="BO2190" s="694"/>
      <c r="BP2190" s="694"/>
      <c r="BQ2190" s="694"/>
      <c r="BR2190" s="694"/>
      <c r="BS2190" s="694"/>
      <c r="BT2190" s="694"/>
      <c r="BU2190" s="694"/>
      <c r="BV2190" s="694"/>
      <c r="BW2190" s="694"/>
      <c r="BX2190" s="694"/>
      <c r="BY2190" s="694"/>
      <c r="BZ2190" s="694"/>
      <c r="CA2190" s="694"/>
      <c r="CB2190" s="694"/>
      <c r="CC2190" s="694"/>
      <c r="CD2190" s="694"/>
      <c r="CE2190" s="694"/>
      <c r="CF2190" s="694"/>
      <c r="CG2190" s="694"/>
      <c r="CH2190" s="694"/>
      <c r="CI2190" s="694"/>
      <c r="CJ2190" s="694"/>
      <c r="CK2190" s="694"/>
      <c r="CL2190" s="694"/>
      <c r="CM2190" s="694"/>
      <c r="CN2190" s="694"/>
      <c r="CO2190" s="694"/>
      <c r="CP2190" s="694"/>
      <c r="CQ2190" s="694"/>
      <c r="CR2190" s="694"/>
      <c r="CS2190" s="694"/>
      <c r="CT2190" s="694"/>
      <c r="CU2190" s="694"/>
      <c r="CV2190" s="694"/>
      <c r="CW2190" s="694"/>
      <c r="CX2190" s="694"/>
      <c r="CY2190" s="694"/>
      <c r="CZ2190" s="694"/>
      <c r="DA2190" s="694"/>
      <c r="DB2190" s="694"/>
      <c r="DC2190" s="694"/>
      <c r="DD2190" s="694"/>
      <c r="DE2190" s="694"/>
      <c r="DF2190" s="694"/>
      <c r="DG2190" s="694"/>
      <c r="DH2190" s="694"/>
    </row>
    <row r="2191">
      <c r="A2191" s="41">
        <v>2191.0</v>
      </c>
      <c r="B2191" s="717" t="s">
        <v>145</v>
      </c>
      <c r="C2191" s="713" t="s">
        <v>108</v>
      </c>
      <c r="D2191" s="713" t="s">
        <v>2923</v>
      </c>
      <c r="E2191" s="694"/>
      <c r="F2191" s="717" t="s">
        <v>13339</v>
      </c>
      <c r="G2191" s="717" t="s">
        <v>13217</v>
      </c>
      <c r="H2191" s="727" t="s">
        <v>13231</v>
      </c>
      <c r="I2191" s="1497" t="s">
        <v>13243</v>
      </c>
      <c r="J2191" s="1498">
        <v>45832.0</v>
      </c>
      <c r="K2191" s="727" t="s">
        <v>13244</v>
      </c>
      <c r="L2191" s="717" t="s">
        <v>13254</v>
      </c>
      <c r="M2191" s="717" t="s">
        <v>13221</v>
      </c>
      <c r="N2191" s="717" t="s">
        <v>9858</v>
      </c>
      <c r="O2191" s="1502">
        <v>1.0</v>
      </c>
      <c r="P2191" s="727" t="s">
        <v>13222</v>
      </c>
      <c r="Q2191" s="1499" t="str">
        <f t="array" ref="Q2191"> if(iserror(MATCH(V2191, 'File Links'!C:C, 0)), "N/A", HYPERLINK(INDEX('File Links'!B:B, MATCH(P2191, 'File Links'!C:C, 0))))</f>
        <v>https://drive.google.com/file/d/1FklynAHzflh7rbxQIU4qTxOz3VBhye8B/view?usp=drivesdk</v>
      </c>
      <c r="R2191" s="1500" t="s">
        <v>13223</v>
      </c>
      <c r="S2191" s="717" t="s">
        <v>13224</v>
      </c>
      <c r="T2191" s="1967" t="s">
        <v>131</v>
      </c>
      <c r="U2191" s="1502">
        <v>1.0</v>
      </c>
      <c r="V2191" s="727" t="s">
        <v>13225</v>
      </c>
      <c r="W2191" s="727" t="s">
        <v>202</v>
      </c>
      <c r="X2191" s="1503" t="str">
        <f t="array" ref="X2191"> if(iserror(MATCH(V2191, 'File Links'!C:C, 0)), "N/A", HYPERLINK(INDEX('File Links'!B:B, MATCH(V2191, 'File Links'!C:C, 0))))</f>
        <v>https://drive.google.com/file/d/1hYNUJrx3yjyMoTgcG7Qz4pix-8ruWFMC/view?usp=drivesdk</v>
      </c>
      <c r="Y2191" s="1420"/>
      <c r="Z2191" s="727" t="s">
        <v>219</v>
      </c>
      <c r="AA2191" s="717" t="s">
        <v>13226</v>
      </c>
      <c r="AB2191" s="727" t="s">
        <v>13333</v>
      </c>
      <c r="AC2191" s="727" t="s">
        <v>13242</v>
      </c>
      <c r="AD2191" s="727" t="s">
        <v>13247</v>
      </c>
      <c r="AE2191" s="727">
        <v>4.0</v>
      </c>
      <c r="AF2191" s="1497">
        <v>573.0</v>
      </c>
      <c r="AG2191" s="1497">
        <v>0.49</v>
      </c>
      <c r="AH2191" s="727" t="s">
        <v>166</v>
      </c>
      <c r="AI2191" s="727" t="s">
        <v>843</v>
      </c>
      <c r="AJ2191" s="1497" t="s">
        <v>131</v>
      </c>
      <c r="AK2191" s="714"/>
      <c r="AL2191" s="727" t="s">
        <v>179</v>
      </c>
      <c r="AM2191" s="717" t="s">
        <v>130</v>
      </c>
      <c r="AN2191" s="717" t="s">
        <v>131</v>
      </c>
      <c r="AO2191" s="1497">
        <v>1446.0</v>
      </c>
      <c r="AP2191" s="1497">
        <v>1.25</v>
      </c>
      <c r="AQ2191" s="727" t="s">
        <v>715</v>
      </c>
      <c r="AR2191" s="727" t="s">
        <v>13237</v>
      </c>
      <c r="AS2191" s="1497">
        <v>0.002</v>
      </c>
      <c r="AT2191" s="727" t="s">
        <v>165</v>
      </c>
      <c r="AU2191" s="727" t="s">
        <v>179</v>
      </c>
      <c r="AV2191" s="717" t="s">
        <v>130</v>
      </c>
      <c r="AW2191" s="1966" t="s">
        <v>13229</v>
      </c>
      <c r="AX2191" s="1112" t="s">
        <v>431</v>
      </c>
      <c r="AY2191" s="694"/>
      <c r="AZ2191" s="713" t="s">
        <v>13230</v>
      </c>
      <c r="BA2191" s="694"/>
      <c r="BB2191" s="694"/>
      <c r="BC2191" s="694"/>
      <c r="BD2191" s="694"/>
      <c r="BE2191" s="694"/>
      <c r="BF2191" s="694"/>
      <c r="BG2191" s="694"/>
      <c r="BH2191" s="694"/>
      <c r="BI2191" s="694"/>
      <c r="BJ2191" s="694"/>
      <c r="BK2191" s="694"/>
      <c r="BL2191" s="694"/>
      <c r="BM2191" s="694"/>
      <c r="BN2191" s="694"/>
      <c r="BO2191" s="694"/>
      <c r="BP2191" s="694"/>
      <c r="BQ2191" s="694"/>
      <c r="BR2191" s="694"/>
      <c r="BS2191" s="694"/>
      <c r="BT2191" s="694"/>
      <c r="BU2191" s="694"/>
      <c r="BV2191" s="694"/>
      <c r="BW2191" s="694"/>
      <c r="BX2191" s="694"/>
      <c r="BY2191" s="694"/>
      <c r="BZ2191" s="694"/>
      <c r="CA2191" s="694"/>
      <c r="CB2191" s="694"/>
      <c r="CC2191" s="694"/>
      <c r="CD2191" s="694"/>
      <c r="CE2191" s="694"/>
      <c r="CF2191" s="694"/>
      <c r="CG2191" s="694"/>
      <c r="CH2191" s="694"/>
      <c r="CI2191" s="694"/>
      <c r="CJ2191" s="694"/>
      <c r="CK2191" s="694"/>
      <c r="CL2191" s="694"/>
      <c r="CM2191" s="694"/>
      <c r="CN2191" s="694"/>
      <c r="CO2191" s="694"/>
      <c r="CP2191" s="694"/>
      <c r="CQ2191" s="694"/>
      <c r="CR2191" s="694"/>
      <c r="CS2191" s="694"/>
      <c r="CT2191" s="694"/>
      <c r="CU2191" s="694"/>
      <c r="CV2191" s="694"/>
      <c r="CW2191" s="694"/>
      <c r="CX2191" s="694"/>
      <c r="CY2191" s="694"/>
      <c r="CZ2191" s="694"/>
      <c r="DA2191" s="694"/>
      <c r="DB2191" s="694"/>
      <c r="DC2191" s="694"/>
      <c r="DD2191" s="694"/>
      <c r="DE2191" s="694"/>
      <c r="DF2191" s="694"/>
      <c r="DG2191" s="694"/>
      <c r="DH2191" s="694"/>
    </row>
    <row r="2192">
      <c r="A2192" s="41">
        <v>2192.0</v>
      </c>
      <c r="B2192" s="717" t="s">
        <v>107</v>
      </c>
      <c r="C2192" s="713" t="s">
        <v>108</v>
      </c>
      <c r="D2192" s="713" t="s">
        <v>214</v>
      </c>
      <c r="E2192" s="694"/>
      <c r="F2192" s="717" t="s">
        <v>13341</v>
      </c>
      <c r="G2192" s="717" t="s">
        <v>13217</v>
      </c>
      <c r="H2192" s="727" t="s">
        <v>215</v>
      </c>
      <c r="I2192" s="1497" t="s">
        <v>13218</v>
      </c>
      <c r="J2192" s="1498">
        <v>45832.0</v>
      </c>
      <c r="K2192" s="727" t="s">
        <v>13342</v>
      </c>
      <c r="L2192" s="717" t="s">
        <v>13254</v>
      </c>
      <c r="M2192" s="717" t="s">
        <v>13221</v>
      </c>
      <c r="N2192" s="717" t="s">
        <v>9858</v>
      </c>
      <c r="O2192" s="1502">
        <v>1.0</v>
      </c>
      <c r="P2192" s="727" t="s">
        <v>13222</v>
      </c>
      <c r="Q2192" s="1499" t="str">
        <f t="array" ref="Q2192"> if(iserror(MATCH(V2192, 'File Links'!C:C, 0)), "N/A", HYPERLINK(INDEX('File Links'!B:B, MATCH(P2192, 'File Links'!C:C, 0))))</f>
        <v>https://drive.google.com/file/d/1FklynAHzflh7rbxQIU4qTxOz3VBhye8B/view?usp=drivesdk</v>
      </c>
      <c r="R2192" s="1500" t="s">
        <v>13223</v>
      </c>
      <c r="S2192" s="717" t="s">
        <v>13224</v>
      </c>
      <c r="T2192" s="1501"/>
      <c r="U2192" s="1963">
        <v>1.0</v>
      </c>
      <c r="V2192" s="727" t="s">
        <v>13225</v>
      </c>
      <c r="W2192" s="714"/>
      <c r="X2192" s="1503" t="str">
        <f t="array" ref="X2192"> if(iserror(MATCH(V2192, 'File Links'!C:C, 0)), "N/A", HYPERLINK(INDEX('File Links'!B:B, MATCH(V2192, 'File Links'!C:C, 0))))</f>
        <v>https://drive.google.com/file/d/1hYNUJrx3yjyMoTgcG7Qz4pix-8ruWFMC/view?usp=drivesdk</v>
      </c>
      <c r="Y2192" s="1420"/>
      <c r="Z2192" s="727" t="s">
        <v>219</v>
      </c>
      <c r="AA2192" s="717" t="s">
        <v>13226</v>
      </c>
      <c r="AB2192" s="727" t="s">
        <v>13343</v>
      </c>
      <c r="AC2192" s="727" t="s">
        <v>13228</v>
      </c>
      <c r="AD2192" s="714"/>
      <c r="AE2192" s="714"/>
      <c r="AF2192" s="1497">
        <v>573.0</v>
      </c>
      <c r="AG2192" s="1497">
        <v>0.23</v>
      </c>
      <c r="AH2192" s="727" t="s">
        <v>166</v>
      </c>
      <c r="AI2192" s="727">
        <v>6.0</v>
      </c>
      <c r="AJ2192" s="1497">
        <v>0.02</v>
      </c>
      <c r="AK2192" s="727" t="s">
        <v>128</v>
      </c>
      <c r="AL2192" s="727" t="s">
        <v>129</v>
      </c>
      <c r="AM2192" s="717" t="s">
        <v>130</v>
      </c>
      <c r="AN2192" s="717" t="s">
        <v>131</v>
      </c>
      <c r="AO2192" s="1497">
        <v>1446.0</v>
      </c>
      <c r="AP2192" s="1497">
        <v>0.05</v>
      </c>
      <c r="AQ2192" s="727" t="s">
        <v>166</v>
      </c>
      <c r="AR2192" s="727">
        <v>7.0</v>
      </c>
      <c r="AS2192" s="1497">
        <v>0.001</v>
      </c>
      <c r="AT2192" s="727" t="s">
        <v>165</v>
      </c>
      <c r="AU2192" s="727" t="s">
        <v>129</v>
      </c>
      <c r="AV2192" s="717" t="s">
        <v>130</v>
      </c>
      <c r="AW2192" s="1966" t="s">
        <v>13229</v>
      </c>
      <c r="AX2192" s="717" t="s">
        <v>144</v>
      </c>
      <c r="AY2192" s="694"/>
      <c r="AZ2192" s="713" t="s">
        <v>13230</v>
      </c>
      <c r="BA2192" s="694"/>
      <c r="BB2192" s="694"/>
      <c r="BC2192" s="694"/>
      <c r="BD2192" s="694"/>
      <c r="BE2192" s="694"/>
      <c r="BF2192" s="694"/>
      <c r="BG2192" s="694"/>
      <c r="BH2192" s="694"/>
      <c r="BI2192" s="694"/>
      <c r="BJ2192" s="694"/>
      <c r="BK2192" s="694"/>
      <c r="BL2192" s="694"/>
      <c r="BM2192" s="694"/>
      <c r="BN2192" s="694"/>
      <c r="BO2192" s="694"/>
      <c r="BP2192" s="694"/>
      <c r="BQ2192" s="694"/>
      <c r="BR2192" s="694"/>
      <c r="BS2192" s="694"/>
      <c r="BT2192" s="694"/>
      <c r="BU2192" s="694"/>
      <c r="BV2192" s="694"/>
      <c r="BW2192" s="694"/>
      <c r="BX2192" s="694"/>
      <c r="BY2192" s="694"/>
      <c r="BZ2192" s="694"/>
      <c r="CA2192" s="694"/>
      <c r="CB2192" s="694"/>
      <c r="CC2192" s="694"/>
      <c r="CD2192" s="694"/>
      <c r="CE2192" s="694"/>
      <c r="CF2192" s="694"/>
      <c r="CG2192" s="694"/>
      <c r="CH2192" s="694"/>
      <c r="CI2192" s="694"/>
      <c r="CJ2192" s="694"/>
      <c r="CK2192" s="694"/>
      <c r="CL2192" s="694"/>
      <c r="CM2192" s="694"/>
      <c r="CN2192" s="694"/>
      <c r="CO2192" s="694"/>
      <c r="CP2192" s="694"/>
      <c r="CQ2192" s="694"/>
      <c r="CR2192" s="694"/>
      <c r="CS2192" s="694"/>
      <c r="CT2192" s="694"/>
      <c r="CU2192" s="694"/>
      <c r="CV2192" s="694"/>
      <c r="CW2192" s="694"/>
      <c r="CX2192" s="694"/>
      <c r="CY2192" s="694"/>
      <c r="CZ2192" s="694"/>
      <c r="DA2192" s="694"/>
      <c r="DB2192" s="694"/>
      <c r="DC2192" s="694"/>
      <c r="DD2192" s="694"/>
      <c r="DE2192" s="694"/>
      <c r="DF2192" s="694"/>
      <c r="DG2192" s="694"/>
      <c r="DH2192" s="694"/>
    </row>
    <row r="2193">
      <c r="A2193" s="41">
        <v>2193.0</v>
      </c>
      <c r="B2193" s="717" t="s">
        <v>145</v>
      </c>
      <c r="C2193" s="713" t="s">
        <v>108</v>
      </c>
      <c r="D2193" s="713" t="s">
        <v>2923</v>
      </c>
      <c r="E2193" s="694"/>
      <c r="F2193" s="717" t="s">
        <v>13341</v>
      </c>
      <c r="G2193" s="717" t="s">
        <v>13217</v>
      </c>
      <c r="H2193" s="727" t="s">
        <v>13231</v>
      </c>
      <c r="I2193" s="1497" t="s">
        <v>13243</v>
      </c>
      <c r="J2193" s="1498">
        <v>45832.0</v>
      </c>
      <c r="K2193" s="727" t="s">
        <v>13244</v>
      </c>
      <c r="L2193" s="717" t="s">
        <v>13254</v>
      </c>
      <c r="M2193" s="717" t="s">
        <v>13221</v>
      </c>
      <c r="N2193" s="717" t="s">
        <v>9858</v>
      </c>
      <c r="O2193" s="1502">
        <v>1.0</v>
      </c>
      <c r="P2193" s="727" t="s">
        <v>13222</v>
      </c>
      <c r="Q2193" s="1499" t="str">
        <f t="array" ref="Q2193"> if(iserror(MATCH(V2193, 'File Links'!C:C, 0)), "N/A", HYPERLINK(INDEX('File Links'!B:B, MATCH(P2193, 'File Links'!C:C, 0))))</f>
        <v>https://drive.google.com/file/d/1FklynAHzflh7rbxQIU4qTxOz3VBhye8B/view?usp=drivesdk</v>
      </c>
      <c r="R2193" s="1500" t="s">
        <v>13223</v>
      </c>
      <c r="S2193" s="717" t="s">
        <v>13224</v>
      </c>
      <c r="T2193" s="1967" t="s">
        <v>131</v>
      </c>
      <c r="U2193" s="1502">
        <v>1.0</v>
      </c>
      <c r="V2193" s="727" t="s">
        <v>13225</v>
      </c>
      <c r="W2193" s="727" t="s">
        <v>202</v>
      </c>
      <c r="X2193" s="1503" t="str">
        <f t="array" ref="X2193"> if(iserror(MATCH(V2193, 'File Links'!C:C, 0)), "N/A", HYPERLINK(INDEX('File Links'!B:B, MATCH(V2193, 'File Links'!C:C, 0))))</f>
        <v>https://drive.google.com/file/d/1hYNUJrx3yjyMoTgcG7Qz4pix-8ruWFMC/view?usp=drivesdk</v>
      </c>
      <c r="Y2193" s="1420"/>
      <c r="Z2193" s="727" t="s">
        <v>219</v>
      </c>
      <c r="AA2193" s="717" t="s">
        <v>13226</v>
      </c>
      <c r="AB2193" s="727" t="s">
        <v>13343</v>
      </c>
      <c r="AC2193" s="727" t="s">
        <v>13228</v>
      </c>
      <c r="AD2193" s="727" t="s">
        <v>13236</v>
      </c>
      <c r="AE2193" s="727">
        <v>4.0</v>
      </c>
      <c r="AF2193" s="1497">
        <v>573.0</v>
      </c>
      <c r="AG2193" s="1497">
        <v>0.234</v>
      </c>
      <c r="AH2193" s="727" t="s">
        <v>166</v>
      </c>
      <c r="AI2193" s="727" t="s">
        <v>489</v>
      </c>
      <c r="AJ2193" s="1497" t="s">
        <v>131</v>
      </c>
      <c r="AK2193" s="714"/>
      <c r="AL2193" s="727" t="s">
        <v>179</v>
      </c>
      <c r="AM2193" s="717" t="s">
        <v>130</v>
      </c>
      <c r="AN2193" s="717" t="s">
        <v>131</v>
      </c>
      <c r="AO2193" s="1497">
        <v>1446.0</v>
      </c>
      <c r="AP2193" s="1497">
        <v>0.05</v>
      </c>
      <c r="AQ2193" s="727" t="s">
        <v>715</v>
      </c>
      <c r="AR2193" s="727" t="s">
        <v>13237</v>
      </c>
      <c r="AS2193" s="1497">
        <v>0.182</v>
      </c>
      <c r="AT2193" s="727" t="s">
        <v>165</v>
      </c>
      <c r="AU2193" s="727" t="s">
        <v>179</v>
      </c>
      <c r="AV2193" s="717" t="s">
        <v>130</v>
      </c>
      <c r="AW2193" s="1966" t="s">
        <v>13229</v>
      </c>
      <c r="AX2193" s="1992" t="s">
        <v>144</v>
      </c>
      <c r="AY2193" s="694"/>
      <c r="AZ2193" s="713" t="s">
        <v>13230</v>
      </c>
      <c r="BA2193" s="694"/>
      <c r="BB2193" s="694"/>
      <c r="BC2193" s="694"/>
      <c r="BD2193" s="694"/>
      <c r="BE2193" s="694"/>
      <c r="BF2193" s="694"/>
      <c r="BG2193" s="694"/>
      <c r="BH2193" s="694"/>
      <c r="BI2193" s="694"/>
      <c r="BJ2193" s="694"/>
      <c r="BK2193" s="694"/>
      <c r="BL2193" s="694"/>
      <c r="BM2193" s="694"/>
      <c r="BN2193" s="694"/>
      <c r="BO2193" s="694"/>
      <c r="BP2193" s="694"/>
      <c r="BQ2193" s="694"/>
      <c r="BR2193" s="694"/>
      <c r="BS2193" s="694"/>
      <c r="BT2193" s="694"/>
      <c r="BU2193" s="694"/>
      <c r="BV2193" s="694"/>
      <c r="BW2193" s="694"/>
      <c r="BX2193" s="694"/>
      <c r="BY2193" s="694"/>
      <c r="BZ2193" s="694"/>
      <c r="CA2193" s="694"/>
      <c r="CB2193" s="694"/>
      <c r="CC2193" s="694"/>
      <c r="CD2193" s="694"/>
      <c r="CE2193" s="694"/>
      <c r="CF2193" s="694"/>
      <c r="CG2193" s="694"/>
      <c r="CH2193" s="694"/>
      <c r="CI2193" s="694"/>
      <c r="CJ2193" s="694"/>
      <c r="CK2193" s="694"/>
      <c r="CL2193" s="694"/>
      <c r="CM2193" s="694"/>
      <c r="CN2193" s="694"/>
      <c r="CO2193" s="694"/>
      <c r="CP2193" s="694"/>
      <c r="CQ2193" s="694"/>
      <c r="CR2193" s="694"/>
      <c r="CS2193" s="694"/>
      <c r="CT2193" s="694"/>
      <c r="CU2193" s="694"/>
      <c r="CV2193" s="694"/>
      <c r="CW2193" s="694"/>
      <c r="CX2193" s="694"/>
      <c r="CY2193" s="694"/>
      <c r="CZ2193" s="694"/>
      <c r="DA2193" s="694"/>
      <c r="DB2193" s="694"/>
      <c r="DC2193" s="694"/>
      <c r="DD2193" s="694"/>
      <c r="DE2193" s="694"/>
      <c r="DF2193" s="694"/>
      <c r="DG2193" s="694"/>
      <c r="DH2193" s="694"/>
    </row>
    <row r="2194">
      <c r="A2194" s="41">
        <v>2194.0</v>
      </c>
      <c r="B2194" s="902" t="s">
        <v>107</v>
      </c>
      <c r="C2194" s="836" t="s">
        <v>108</v>
      </c>
      <c r="D2194" s="836" t="s">
        <v>214</v>
      </c>
      <c r="E2194" s="749"/>
      <c r="F2194" s="902" t="s">
        <v>13344</v>
      </c>
      <c r="G2194" s="902" t="s">
        <v>13217</v>
      </c>
      <c r="H2194" s="996" t="s">
        <v>215</v>
      </c>
      <c r="I2194" s="1982" t="s">
        <v>13218</v>
      </c>
      <c r="J2194" s="992">
        <v>45832.0</v>
      </c>
      <c r="K2194" s="837"/>
      <c r="L2194" s="902" t="s">
        <v>13345</v>
      </c>
      <c r="M2194" s="902" t="s">
        <v>13221</v>
      </c>
      <c r="N2194" s="902" t="s">
        <v>9858</v>
      </c>
      <c r="O2194" s="1983">
        <v>1.0</v>
      </c>
      <c r="P2194" s="996" t="s">
        <v>13222</v>
      </c>
      <c r="Q2194" s="898" t="str">
        <f t="array" ref="Q2194"> if(iserror(MATCH(V2194, 'File Links'!C:C, 0)), "N/A", HYPERLINK(INDEX('File Links'!B:B, MATCH(P2194, 'File Links'!C:C, 0))))</f>
        <v>https://drive.google.com/file/d/1FklynAHzflh7rbxQIU4qTxOz3VBhye8B/view?usp=drivesdk</v>
      </c>
      <c r="R2194" s="1984" t="s">
        <v>13223</v>
      </c>
      <c r="S2194" s="902" t="s">
        <v>13224</v>
      </c>
      <c r="T2194" s="1985"/>
      <c r="U2194" s="1986">
        <v>1.0</v>
      </c>
      <c r="V2194" s="996" t="s">
        <v>13225</v>
      </c>
      <c r="W2194" s="837"/>
      <c r="X2194" s="900" t="str">
        <f t="array" ref="X2194"> if(iserror(MATCH(V2194, 'File Links'!C:C, 0)), "N/A", HYPERLINK(INDEX('File Links'!B:B, MATCH(V2194, 'File Links'!C:C, 0))))</f>
        <v>https://drive.google.com/file/d/1hYNUJrx3yjyMoTgcG7Qz4pix-8ruWFMC/view?usp=drivesdk</v>
      </c>
      <c r="Y2194" s="848"/>
      <c r="Z2194" s="996" t="s">
        <v>219</v>
      </c>
      <c r="AA2194" s="902" t="s">
        <v>13226</v>
      </c>
      <c r="AB2194" s="996" t="s">
        <v>13346</v>
      </c>
      <c r="AC2194" s="996" t="s">
        <v>13228</v>
      </c>
      <c r="AD2194" s="837"/>
      <c r="AE2194" s="837"/>
      <c r="AF2194" s="1982">
        <v>573.0</v>
      </c>
      <c r="AG2194" s="1982">
        <v>0.23</v>
      </c>
      <c r="AH2194" s="996" t="s">
        <v>166</v>
      </c>
      <c r="AI2194" s="996">
        <v>6.0</v>
      </c>
      <c r="AJ2194" s="1982">
        <v>0.02</v>
      </c>
      <c r="AK2194" s="996" t="s">
        <v>128</v>
      </c>
      <c r="AL2194" s="996" t="s">
        <v>129</v>
      </c>
      <c r="AM2194" s="902" t="s">
        <v>130</v>
      </c>
      <c r="AN2194" s="902" t="s">
        <v>131</v>
      </c>
      <c r="AO2194" s="1982">
        <v>1446.0</v>
      </c>
      <c r="AP2194" s="1982">
        <v>0.07</v>
      </c>
      <c r="AQ2194" s="996" t="s">
        <v>166</v>
      </c>
      <c r="AR2194" s="996">
        <v>7.0</v>
      </c>
      <c r="AS2194" s="1982">
        <v>0.001</v>
      </c>
      <c r="AT2194" s="996" t="s">
        <v>165</v>
      </c>
      <c r="AU2194" s="996" t="s">
        <v>129</v>
      </c>
      <c r="AV2194" s="902" t="s">
        <v>130</v>
      </c>
      <c r="AW2194" s="1987" t="s">
        <v>13229</v>
      </c>
      <c r="AX2194" s="1993" t="s">
        <v>144</v>
      </c>
      <c r="AY2194" s="749"/>
      <c r="AZ2194" s="836" t="s">
        <v>13230</v>
      </c>
      <c r="BA2194" s="749"/>
      <c r="BB2194" s="749"/>
      <c r="BC2194" s="749"/>
      <c r="BD2194" s="749"/>
      <c r="BE2194" s="749"/>
      <c r="BF2194" s="749"/>
      <c r="BG2194" s="749"/>
      <c r="BH2194" s="749"/>
      <c r="BI2194" s="749"/>
      <c r="BJ2194" s="749"/>
      <c r="BK2194" s="749"/>
      <c r="BL2194" s="749"/>
      <c r="BM2194" s="749"/>
      <c r="BN2194" s="749"/>
      <c r="BO2194" s="749"/>
      <c r="BP2194" s="749"/>
      <c r="BQ2194" s="749"/>
      <c r="BR2194" s="749"/>
      <c r="BS2194" s="749"/>
      <c r="BT2194" s="749"/>
      <c r="BU2194" s="749"/>
      <c r="BV2194" s="749"/>
      <c r="BW2194" s="749"/>
      <c r="BX2194" s="749"/>
      <c r="BY2194" s="749"/>
      <c r="BZ2194" s="749"/>
      <c r="CA2194" s="749"/>
      <c r="CB2194" s="749"/>
      <c r="CC2194" s="749"/>
      <c r="CD2194" s="749"/>
      <c r="CE2194" s="749"/>
      <c r="CF2194" s="749"/>
      <c r="CG2194" s="749"/>
      <c r="CH2194" s="749"/>
      <c r="CI2194" s="749"/>
      <c r="CJ2194" s="749"/>
      <c r="CK2194" s="749"/>
      <c r="CL2194" s="749"/>
      <c r="CM2194" s="749"/>
      <c r="CN2194" s="749"/>
      <c r="CO2194" s="749"/>
      <c r="CP2194" s="749"/>
      <c r="CQ2194" s="749"/>
      <c r="CR2194" s="749"/>
      <c r="CS2194" s="749"/>
      <c r="CT2194" s="749"/>
      <c r="CU2194" s="749"/>
      <c r="CV2194" s="749"/>
      <c r="CW2194" s="749"/>
      <c r="CX2194" s="749"/>
      <c r="CY2194" s="749"/>
      <c r="CZ2194" s="749"/>
      <c r="DA2194" s="749"/>
      <c r="DB2194" s="749"/>
      <c r="DC2194" s="749"/>
      <c r="DD2194" s="749"/>
      <c r="DE2194" s="749"/>
      <c r="DF2194" s="749"/>
      <c r="DG2194" s="749"/>
      <c r="DH2194" s="749"/>
    </row>
    <row r="2195">
      <c r="A2195" s="41">
        <v>2195.0</v>
      </c>
      <c r="B2195" s="902" t="s">
        <v>145</v>
      </c>
      <c r="C2195" s="836" t="s">
        <v>108</v>
      </c>
      <c r="D2195" s="836" t="s">
        <v>2923</v>
      </c>
      <c r="E2195" s="749"/>
      <c r="F2195" s="902" t="s">
        <v>13344</v>
      </c>
      <c r="G2195" s="902" t="s">
        <v>13217</v>
      </c>
      <c r="H2195" s="996" t="s">
        <v>13231</v>
      </c>
      <c r="I2195" s="1982" t="s">
        <v>13243</v>
      </c>
      <c r="J2195" s="992">
        <v>45832.0</v>
      </c>
      <c r="K2195" s="996" t="s">
        <v>13244</v>
      </c>
      <c r="L2195" s="902" t="s">
        <v>13254</v>
      </c>
      <c r="M2195" s="902" t="s">
        <v>13221</v>
      </c>
      <c r="N2195" s="902" t="s">
        <v>9858</v>
      </c>
      <c r="O2195" s="1983">
        <v>1.0</v>
      </c>
      <c r="P2195" s="996" t="s">
        <v>13222</v>
      </c>
      <c r="Q2195" s="898" t="str">
        <f t="array" ref="Q2195"> if(iserror(MATCH(V2195, 'File Links'!C:C, 0)), "N/A", HYPERLINK(INDEX('File Links'!B:B, MATCH(P2195, 'File Links'!C:C, 0))))</f>
        <v>https://drive.google.com/file/d/1FklynAHzflh7rbxQIU4qTxOz3VBhye8B/view?usp=drivesdk</v>
      </c>
      <c r="R2195" s="1984" t="s">
        <v>13223</v>
      </c>
      <c r="S2195" s="902" t="s">
        <v>13224</v>
      </c>
      <c r="T2195" s="1994" t="s">
        <v>131</v>
      </c>
      <c r="U2195" s="1983">
        <v>1.0</v>
      </c>
      <c r="V2195" s="996" t="s">
        <v>13225</v>
      </c>
      <c r="W2195" s="996" t="s">
        <v>202</v>
      </c>
      <c r="X2195" s="900" t="str">
        <f t="array" ref="X2195"> if(iserror(MATCH(V2195, 'File Links'!C:C, 0)), "N/A", HYPERLINK(INDEX('File Links'!B:B, MATCH(V2195, 'File Links'!C:C, 0))))</f>
        <v>https://drive.google.com/file/d/1hYNUJrx3yjyMoTgcG7Qz4pix-8ruWFMC/view?usp=drivesdk</v>
      </c>
      <c r="Y2195" s="848"/>
      <c r="Z2195" s="996" t="s">
        <v>219</v>
      </c>
      <c r="AA2195" s="902" t="s">
        <v>13226</v>
      </c>
      <c r="AB2195" s="996" t="s">
        <v>13346</v>
      </c>
      <c r="AC2195" s="996" t="s">
        <v>13228</v>
      </c>
      <c r="AD2195" s="996" t="s">
        <v>13236</v>
      </c>
      <c r="AE2195" s="996">
        <v>4.0</v>
      </c>
      <c r="AF2195" s="1982">
        <v>573.0</v>
      </c>
      <c r="AG2195" s="1982">
        <v>0.234</v>
      </c>
      <c r="AH2195" s="996" t="s">
        <v>166</v>
      </c>
      <c r="AI2195" s="996" t="s">
        <v>843</v>
      </c>
      <c r="AJ2195" s="1982" t="s">
        <v>131</v>
      </c>
      <c r="AK2195" s="837"/>
      <c r="AL2195" s="996" t="s">
        <v>179</v>
      </c>
      <c r="AM2195" s="902" t="s">
        <v>130</v>
      </c>
      <c r="AN2195" s="902" t="s">
        <v>131</v>
      </c>
      <c r="AO2195" s="1982">
        <v>1446.0</v>
      </c>
      <c r="AP2195" s="1982">
        <v>0.07</v>
      </c>
      <c r="AQ2195" s="996" t="s">
        <v>715</v>
      </c>
      <c r="AR2195" s="996" t="s">
        <v>13237</v>
      </c>
      <c r="AS2195" s="1982">
        <v>0.106</v>
      </c>
      <c r="AT2195" s="996" t="s">
        <v>165</v>
      </c>
      <c r="AU2195" s="996" t="s">
        <v>179</v>
      </c>
      <c r="AV2195" s="902" t="s">
        <v>130</v>
      </c>
      <c r="AW2195" s="1987" t="s">
        <v>13229</v>
      </c>
      <c r="AX2195" s="1112" t="s">
        <v>431</v>
      </c>
      <c r="AY2195" s="749"/>
      <c r="AZ2195" s="836" t="s">
        <v>13230</v>
      </c>
      <c r="BA2195" s="749"/>
      <c r="BB2195" s="749"/>
      <c r="BC2195" s="749"/>
      <c r="BD2195" s="749"/>
      <c r="BE2195" s="749"/>
      <c r="BF2195" s="749"/>
      <c r="BG2195" s="749"/>
      <c r="BH2195" s="749"/>
      <c r="BI2195" s="749"/>
      <c r="BJ2195" s="749"/>
      <c r="BK2195" s="749"/>
      <c r="BL2195" s="749"/>
      <c r="BM2195" s="749"/>
      <c r="BN2195" s="749"/>
      <c r="BO2195" s="749"/>
      <c r="BP2195" s="749"/>
      <c r="BQ2195" s="749"/>
      <c r="BR2195" s="749"/>
      <c r="BS2195" s="749"/>
      <c r="BT2195" s="749"/>
      <c r="BU2195" s="749"/>
      <c r="BV2195" s="749"/>
      <c r="BW2195" s="749"/>
      <c r="BX2195" s="749"/>
      <c r="BY2195" s="749"/>
      <c r="BZ2195" s="749"/>
      <c r="CA2195" s="749"/>
      <c r="CB2195" s="749"/>
      <c r="CC2195" s="749"/>
      <c r="CD2195" s="749"/>
      <c r="CE2195" s="749"/>
      <c r="CF2195" s="749"/>
      <c r="CG2195" s="749"/>
      <c r="CH2195" s="749"/>
      <c r="CI2195" s="749"/>
      <c r="CJ2195" s="749"/>
      <c r="CK2195" s="749"/>
      <c r="CL2195" s="749"/>
      <c r="CM2195" s="749"/>
      <c r="CN2195" s="749"/>
      <c r="CO2195" s="749"/>
      <c r="CP2195" s="749"/>
      <c r="CQ2195" s="749"/>
      <c r="CR2195" s="749"/>
      <c r="CS2195" s="749"/>
      <c r="CT2195" s="749"/>
      <c r="CU2195" s="749"/>
      <c r="CV2195" s="749"/>
      <c r="CW2195" s="749"/>
      <c r="CX2195" s="749"/>
      <c r="CY2195" s="749"/>
      <c r="CZ2195" s="749"/>
      <c r="DA2195" s="749"/>
      <c r="DB2195" s="749"/>
      <c r="DC2195" s="749"/>
      <c r="DD2195" s="749"/>
      <c r="DE2195" s="749"/>
      <c r="DF2195" s="749"/>
      <c r="DG2195" s="749"/>
      <c r="DH2195" s="749"/>
    </row>
    <row r="2196">
      <c r="A2196" s="41">
        <v>2196.0</v>
      </c>
      <c r="B2196" s="717" t="s">
        <v>107</v>
      </c>
      <c r="C2196" s="713" t="s">
        <v>108</v>
      </c>
      <c r="D2196" s="713" t="s">
        <v>214</v>
      </c>
      <c r="E2196" s="694"/>
      <c r="F2196" s="717" t="s">
        <v>13347</v>
      </c>
      <c r="G2196" s="717" t="s">
        <v>13217</v>
      </c>
      <c r="H2196" s="727" t="s">
        <v>215</v>
      </c>
      <c r="I2196" s="1497" t="s">
        <v>13218</v>
      </c>
      <c r="J2196" s="1498">
        <v>45832.0</v>
      </c>
      <c r="K2196" s="727" t="s">
        <v>13348</v>
      </c>
      <c r="L2196" s="717" t="s">
        <v>13254</v>
      </c>
      <c r="M2196" s="717" t="s">
        <v>13221</v>
      </c>
      <c r="N2196" s="717" t="s">
        <v>9858</v>
      </c>
      <c r="O2196" s="1502">
        <v>1.0</v>
      </c>
      <c r="P2196" s="727" t="s">
        <v>13222</v>
      </c>
      <c r="Q2196" s="1499" t="str">
        <f t="array" ref="Q2196"> if(iserror(MATCH(V2196, 'File Links'!C:C, 0)), "N/A", HYPERLINK(INDEX('File Links'!B:B, MATCH(P2196, 'File Links'!C:C, 0))))</f>
        <v>https://drive.google.com/file/d/1FklynAHzflh7rbxQIU4qTxOz3VBhye8B/view?usp=drivesdk</v>
      </c>
      <c r="R2196" s="1500" t="s">
        <v>13223</v>
      </c>
      <c r="S2196" s="717" t="s">
        <v>13224</v>
      </c>
      <c r="T2196" s="1501"/>
      <c r="U2196" s="1963">
        <v>1.0</v>
      </c>
      <c r="V2196" s="727" t="s">
        <v>13225</v>
      </c>
      <c r="W2196" s="714"/>
      <c r="X2196" s="1503" t="str">
        <f t="array" ref="X2196"> if(iserror(MATCH(V2196, 'File Links'!C:C, 0)), "N/A", HYPERLINK(INDEX('File Links'!B:B, MATCH(V2196, 'File Links'!C:C, 0))))</f>
        <v>https://drive.google.com/file/d/1hYNUJrx3yjyMoTgcG7Qz4pix-8ruWFMC/view?usp=drivesdk</v>
      </c>
      <c r="Y2196" s="1420"/>
      <c r="Z2196" s="727" t="s">
        <v>219</v>
      </c>
      <c r="AA2196" s="717" t="s">
        <v>13226</v>
      </c>
      <c r="AB2196" s="727" t="s">
        <v>13349</v>
      </c>
      <c r="AC2196" s="727" t="s">
        <v>13228</v>
      </c>
      <c r="AD2196" s="714"/>
      <c r="AE2196" s="714"/>
      <c r="AF2196" s="1497">
        <v>573.0</v>
      </c>
      <c r="AG2196" s="1497">
        <v>0.23</v>
      </c>
      <c r="AH2196" s="727" t="s">
        <v>166</v>
      </c>
      <c r="AI2196" s="727">
        <v>6.0</v>
      </c>
      <c r="AJ2196" s="1497">
        <v>0.02</v>
      </c>
      <c r="AK2196" s="727" t="s">
        <v>128</v>
      </c>
      <c r="AL2196" s="727" t="s">
        <v>129</v>
      </c>
      <c r="AM2196" s="717" t="s">
        <v>130</v>
      </c>
      <c r="AN2196" s="717" t="s">
        <v>131</v>
      </c>
      <c r="AO2196" s="1497">
        <v>1446.0</v>
      </c>
      <c r="AP2196" s="1497">
        <v>0.14</v>
      </c>
      <c r="AQ2196" s="727" t="s">
        <v>166</v>
      </c>
      <c r="AR2196" s="727">
        <v>7.0</v>
      </c>
      <c r="AS2196" s="1497">
        <v>0.001</v>
      </c>
      <c r="AT2196" s="727" t="s">
        <v>165</v>
      </c>
      <c r="AU2196" s="727" t="s">
        <v>129</v>
      </c>
      <c r="AV2196" s="717" t="s">
        <v>130</v>
      </c>
      <c r="AW2196" s="1966" t="s">
        <v>13229</v>
      </c>
      <c r="AX2196" s="717" t="s">
        <v>144</v>
      </c>
      <c r="AY2196" s="694"/>
      <c r="AZ2196" s="713" t="s">
        <v>13230</v>
      </c>
      <c r="BA2196" s="694"/>
      <c r="BB2196" s="694"/>
      <c r="BC2196" s="694"/>
      <c r="BD2196" s="694"/>
      <c r="BE2196" s="694"/>
      <c r="BF2196" s="694"/>
      <c r="BG2196" s="694"/>
      <c r="BH2196" s="694"/>
      <c r="BI2196" s="694"/>
      <c r="BJ2196" s="694"/>
      <c r="BK2196" s="694"/>
      <c r="BL2196" s="694"/>
      <c r="BM2196" s="694"/>
      <c r="BN2196" s="694"/>
      <c r="BO2196" s="694"/>
      <c r="BP2196" s="694"/>
      <c r="BQ2196" s="694"/>
      <c r="BR2196" s="694"/>
      <c r="BS2196" s="694"/>
      <c r="BT2196" s="694"/>
      <c r="BU2196" s="694"/>
      <c r="BV2196" s="694"/>
      <c r="BW2196" s="694"/>
      <c r="BX2196" s="694"/>
      <c r="BY2196" s="694"/>
      <c r="BZ2196" s="694"/>
      <c r="CA2196" s="694"/>
      <c r="CB2196" s="694"/>
      <c r="CC2196" s="694"/>
      <c r="CD2196" s="694"/>
      <c r="CE2196" s="694"/>
      <c r="CF2196" s="694"/>
      <c r="CG2196" s="694"/>
      <c r="CH2196" s="694"/>
      <c r="CI2196" s="694"/>
      <c r="CJ2196" s="694"/>
      <c r="CK2196" s="694"/>
      <c r="CL2196" s="694"/>
      <c r="CM2196" s="694"/>
      <c r="CN2196" s="694"/>
      <c r="CO2196" s="694"/>
      <c r="CP2196" s="694"/>
      <c r="CQ2196" s="694"/>
      <c r="CR2196" s="694"/>
      <c r="CS2196" s="694"/>
      <c r="CT2196" s="694"/>
      <c r="CU2196" s="694"/>
      <c r="CV2196" s="694"/>
      <c r="CW2196" s="694"/>
      <c r="CX2196" s="694"/>
      <c r="CY2196" s="694"/>
      <c r="CZ2196" s="694"/>
      <c r="DA2196" s="694"/>
      <c r="DB2196" s="694"/>
      <c r="DC2196" s="694"/>
      <c r="DD2196" s="694"/>
      <c r="DE2196" s="694"/>
      <c r="DF2196" s="694"/>
      <c r="DG2196" s="694"/>
      <c r="DH2196" s="694"/>
    </row>
    <row r="2197">
      <c r="A2197" s="41">
        <v>2197.0</v>
      </c>
      <c r="B2197" s="717" t="s">
        <v>145</v>
      </c>
      <c r="C2197" s="713" t="s">
        <v>108</v>
      </c>
      <c r="D2197" s="713" t="s">
        <v>2923</v>
      </c>
      <c r="E2197" s="694"/>
      <c r="F2197" s="717" t="s">
        <v>13347</v>
      </c>
      <c r="G2197" s="717" t="s">
        <v>13217</v>
      </c>
      <c r="H2197" s="727" t="s">
        <v>13231</v>
      </c>
      <c r="I2197" s="1497" t="s">
        <v>13243</v>
      </c>
      <c r="J2197" s="1498">
        <v>45832.0</v>
      </c>
      <c r="K2197" s="727" t="s">
        <v>13244</v>
      </c>
      <c r="L2197" s="717" t="s">
        <v>13254</v>
      </c>
      <c r="M2197" s="717" t="s">
        <v>13221</v>
      </c>
      <c r="N2197" s="717" t="s">
        <v>9858</v>
      </c>
      <c r="O2197" s="1502">
        <v>1.0</v>
      </c>
      <c r="P2197" s="727" t="s">
        <v>13222</v>
      </c>
      <c r="Q2197" s="1499" t="str">
        <f t="array" ref="Q2197"> if(iserror(MATCH(V2197, 'File Links'!C:C, 0)), "N/A", HYPERLINK(INDEX('File Links'!B:B, MATCH(P2197, 'File Links'!C:C, 0))))</f>
        <v>https://drive.google.com/file/d/1FklynAHzflh7rbxQIU4qTxOz3VBhye8B/view?usp=drivesdk</v>
      </c>
      <c r="R2197" s="1500" t="s">
        <v>13223</v>
      </c>
      <c r="S2197" s="717" t="s">
        <v>13224</v>
      </c>
      <c r="T2197" s="1967" t="s">
        <v>131</v>
      </c>
      <c r="U2197" s="1502">
        <v>1.0</v>
      </c>
      <c r="V2197" s="727" t="s">
        <v>13225</v>
      </c>
      <c r="W2197" s="727" t="s">
        <v>202</v>
      </c>
      <c r="X2197" s="1503" t="str">
        <f t="array" ref="X2197"> if(iserror(MATCH(V2197, 'File Links'!C:C, 0)), "N/A", HYPERLINK(INDEX('File Links'!B:B, MATCH(V2197, 'File Links'!C:C, 0))))</f>
        <v>https://drive.google.com/file/d/1hYNUJrx3yjyMoTgcG7Qz4pix-8ruWFMC/view?usp=drivesdk</v>
      </c>
      <c r="Y2197" s="1420"/>
      <c r="Z2197" s="727" t="s">
        <v>219</v>
      </c>
      <c r="AA2197" s="717" t="s">
        <v>13226</v>
      </c>
      <c r="AB2197" s="727" t="s">
        <v>13349</v>
      </c>
      <c r="AC2197" s="727" t="s">
        <v>13228</v>
      </c>
      <c r="AD2197" s="727" t="s">
        <v>13236</v>
      </c>
      <c r="AE2197" s="727">
        <v>4.0</v>
      </c>
      <c r="AF2197" s="1497">
        <v>573.0</v>
      </c>
      <c r="AG2197" s="1497">
        <v>0.234</v>
      </c>
      <c r="AH2197" s="727" t="s">
        <v>166</v>
      </c>
      <c r="AI2197" s="727" t="s">
        <v>843</v>
      </c>
      <c r="AJ2197" s="1497" t="s">
        <v>131</v>
      </c>
      <c r="AK2197" s="714"/>
      <c r="AL2197" s="727" t="s">
        <v>179</v>
      </c>
      <c r="AM2197" s="717" t="s">
        <v>130</v>
      </c>
      <c r="AN2197" s="717" t="s">
        <v>131</v>
      </c>
      <c r="AO2197" s="1497">
        <v>1446.0</v>
      </c>
      <c r="AP2197" s="1497">
        <v>0.07</v>
      </c>
      <c r="AQ2197" s="727" t="s">
        <v>715</v>
      </c>
      <c r="AR2197" s="727" t="s">
        <v>13237</v>
      </c>
      <c r="AS2197" s="1497">
        <v>0.015</v>
      </c>
      <c r="AT2197" s="727" t="s">
        <v>165</v>
      </c>
      <c r="AU2197" s="727" t="s">
        <v>179</v>
      </c>
      <c r="AV2197" s="717" t="s">
        <v>130</v>
      </c>
      <c r="AW2197" s="1966" t="s">
        <v>13229</v>
      </c>
      <c r="AX2197" s="1992" t="s">
        <v>144</v>
      </c>
      <c r="AY2197" s="694"/>
      <c r="AZ2197" s="713" t="s">
        <v>13230</v>
      </c>
      <c r="BA2197" s="694"/>
      <c r="BB2197" s="694"/>
      <c r="BC2197" s="694"/>
      <c r="BD2197" s="694"/>
      <c r="BE2197" s="694"/>
      <c r="BF2197" s="694"/>
      <c r="BG2197" s="694"/>
      <c r="BH2197" s="694"/>
      <c r="BI2197" s="694"/>
      <c r="BJ2197" s="694"/>
      <c r="BK2197" s="694"/>
      <c r="BL2197" s="694"/>
      <c r="BM2197" s="694"/>
      <c r="BN2197" s="694"/>
      <c r="BO2197" s="694"/>
      <c r="BP2197" s="694"/>
      <c r="BQ2197" s="694"/>
      <c r="BR2197" s="694"/>
      <c r="BS2197" s="694"/>
      <c r="BT2197" s="694"/>
      <c r="BU2197" s="694"/>
      <c r="BV2197" s="694"/>
      <c r="BW2197" s="694"/>
      <c r="BX2197" s="694"/>
      <c r="BY2197" s="694"/>
      <c r="BZ2197" s="694"/>
      <c r="CA2197" s="694"/>
      <c r="CB2197" s="694"/>
      <c r="CC2197" s="694"/>
      <c r="CD2197" s="694"/>
      <c r="CE2197" s="694"/>
      <c r="CF2197" s="694"/>
      <c r="CG2197" s="694"/>
      <c r="CH2197" s="694"/>
      <c r="CI2197" s="694"/>
      <c r="CJ2197" s="694"/>
      <c r="CK2197" s="694"/>
      <c r="CL2197" s="694"/>
      <c r="CM2197" s="694"/>
      <c r="CN2197" s="694"/>
      <c r="CO2197" s="694"/>
      <c r="CP2197" s="694"/>
      <c r="CQ2197" s="694"/>
      <c r="CR2197" s="694"/>
      <c r="CS2197" s="694"/>
      <c r="CT2197" s="694"/>
      <c r="CU2197" s="694"/>
      <c r="CV2197" s="694"/>
      <c r="CW2197" s="694"/>
      <c r="CX2197" s="694"/>
      <c r="CY2197" s="694"/>
      <c r="CZ2197" s="694"/>
      <c r="DA2197" s="694"/>
      <c r="DB2197" s="694"/>
      <c r="DC2197" s="694"/>
      <c r="DD2197" s="694"/>
      <c r="DE2197" s="694"/>
      <c r="DF2197" s="694"/>
      <c r="DG2197" s="694"/>
      <c r="DH2197" s="694"/>
    </row>
    <row r="2198">
      <c r="A2198" s="41">
        <v>2198.0</v>
      </c>
      <c r="B2198" s="717" t="s">
        <v>107</v>
      </c>
      <c r="C2198" s="713" t="s">
        <v>108</v>
      </c>
      <c r="D2198" s="713" t="s">
        <v>983</v>
      </c>
      <c r="E2198" s="694"/>
      <c r="F2198" s="1420" t="s">
        <v>13350</v>
      </c>
      <c r="G2198" s="714" t="s">
        <v>13351</v>
      </c>
      <c r="H2198" s="714" t="s">
        <v>13352</v>
      </c>
      <c r="I2198" s="1995" t="s">
        <v>13353</v>
      </c>
      <c r="J2198" s="1498">
        <v>45833.0</v>
      </c>
      <c r="K2198" s="714" t="s">
        <v>131</v>
      </c>
      <c r="L2198" s="717" t="s">
        <v>13354</v>
      </c>
      <c r="M2198" s="714" t="s">
        <v>13221</v>
      </c>
      <c r="N2198" s="714" t="s">
        <v>9858</v>
      </c>
      <c r="O2198" s="1422">
        <v>1.0</v>
      </c>
      <c r="P2198" s="714" t="s">
        <v>13222</v>
      </c>
      <c r="Q2198" s="1499" t="str">
        <f t="array" ref="Q2198"> if(iserror(MATCH(V2198, 'File Links'!C:C, 0)), "N/A", HYPERLINK(INDEX('File Links'!B:B, MATCH(P2198, 'File Links'!C:C, 0))))</f>
        <v>https://drive.google.com/file/d/1FklynAHzflh7rbxQIU4qTxOz3VBhye8B/view?usp=drivesdk</v>
      </c>
      <c r="R2198" s="714" t="s">
        <v>13223</v>
      </c>
      <c r="S2198" s="714" t="s">
        <v>13224</v>
      </c>
      <c r="T2198" s="714" t="s">
        <v>131</v>
      </c>
      <c r="U2198" s="1422">
        <v>2.0</v>
      </c>
      <c r="V2198" s="714" t="s">
        <v>13225</v>
      </c>
      <c r="W2198" s="1420"/>
      <c r="X2198" s="1503" t="str">
        <f t="array" ref="X2198"> if(iserror(MATCH(V2198, 'File Links'!C:C, 0)), "N/A", HYPERLINK(INDEX('File Links'!B:B, MATCH(V2198, 'File Links'!C:C, 0))))</f>
        <v>https://drive.google.com/file/d/1hYNUJrx3yjyMoTgcG7Qz4pix-8ruWFMC/view?usp=drivesdk</v>
      </c>
      <c r="Y2198" s="714" t="s">
        <v>131</v>
      </c>
      <c r="Z2198" s="714" t="s">
        <v>219</v>
      </c>
      <c r="AA2198" s="714" t="s">
        <v>13226</v>
      </c>
      <c r="AB2198" s="714" t="s">
        <v>13355</v>
      </c>
      <c r="AC2198" s="714" t="s">
        <v>13356</v>
      </c>
      <c r="AD2198" s="714" t="s">
        <v>13357</v>
      </c>
      <c r="AE2198" s="1988">
        <v>6.0</v>
      </c>
      <c r="AF2198" s="1996">
        <v>101.0</v>
      </c>
      <c r="AG2198" s="1422">
        <v>0.183</v>
      </c>
      <c r="AH2198" s="714" t="s">
        <v>166</v>
      </c>
      <c r="AI2198" s="714" t="s">
        <v>1035</v>
      </c>
      <c r="AJ2198" s="1422">
        <v>0.05</v>
      </c>
      <c r="AK2198" s="714" t="s">
        <v>128</v>
      </c>
      <c r="AL2198" s="1997" t="s">
        <v>129</v>
      </c>
      <c r="AM2198" s="714" t="s">
        <v>130</v>
      </c>
      <c r="AN2198" s="714" t="s">
        <v>131</v>
      </c>
      <c r="AO2198" s="1422">
        <v>3762.0</v>
      </c>
      <c r="AP2198" s="1422">
        <v>1.12</v>
      </c>
      <c r="AQ2198" s="714" t="s">
        <v>715</v>
      </c>
      <c r="AR2198" s="714" t="s">
        <v>617</v>
      </c>
      <c r="AS2198" s="1422">
        <v>0.001</v>
      </c>
      <c r="AT2198" s="714" t="s">
        <v>165</v>
      </c>
      <c r="AU2198" s="1997" t="s">
        <v>129</v>
      </c>
      <c r="AV2198" s="714" t="s">
        <v>130</v>
      </c>
      <c r="AW2198" s="1966" t="s">
        <v>13229</v>
      </c>
      <c r="AX2198" s="714" t="s">
        <v>431</v>
      </c>
      <c r="AY2198" s="694"/>
      <c r="AZ2198" s="713" t="s">
        <v>13230</v>
      </c>
      <c r="BA2198" s="694"/>
      <c r="BB2198" s="694"/>
      <c r="BC2198" s="694"/>
      <c r="BD2198" s="694"/>
      <c r="BE2198" s="694"/>
      <c r="BF2198" s="694"/>
      <c r="BG2198" s="694"/>
      <c r="BH2198" s="694"/>
      <c r="BI2198" s="694"/>
      <c r="BJ2198" s="694"/>
      <c r="BK2198" s="694"/>
      <c r="BL2198" s="694"/>
      <c r="BM2198" s="694"/>
      <c r="BN2198" s="694"/>
      <c r="BO2198" s="694"/>
      <c r="BP2198" s="694"/>
      <c r="BQ2198" s="694"/>
      <c r="BR2198" s="694"/>
      <c r="BS2198" s="694"/>
      <c r="BT2198" s="694"/>
      <c r="BU2198" s="694"/>
      <c r="BV2198" s="694"/>
      <c r="BW2198" s="694"/>
      <c r="BX2198" s="694"/>
      <c r="BY2198" s="694"/>
      <c r="BZ2198" s="694"/>
      <c r="CA2198" s="694"/>
      <c r="CB2198" s="694"/>
      <c r="CC2198" s="694"/>
      <c r="CD2198" s="694"/>
      <c r="CE2198" s="694"/>
      <c r="CF2198" s="694"/>
      <c r="CG2198" s="694"/>
      <c r="CH2198" s="694"/>
      <c r="CI2198" s="694"/>
      <c r="CJ2198" s="694"/>
      <c r="CK2198" s="694"/>
      <c r="CL2198" s="694"/>
      <c r="CM2198" s="694"/>
      <c r="CN2198" s="694"/>
      <c r="CO2198" s="694"/>
      <c r="CP2198" s="694"/>
      <c r="CQ2198" s="694"/>
      <c r="CR2198" s="694"/>
      <c r="CS2198" s="694"/>
      <c r="CT2198" s="694"/>
      <c r="CU2198" s="694"/>
      <c r="CV2198" s="694"/>
      <c r="CW2198" s="694"/>
      <c r="CX2198" s="694"/>
      <c r="CY2198" s="694"/>
      <c r="CZ2198" s="694"/>
      <c r="DA2198" s="694"/>
      <c r="DB2198" s="694"/>
      <c r="DC2198" s="694"/>
      <c r="DD2198" s="694"/>
      <c r="DE2198" s="694"/>
      <c r="DF2198" s="694"/>
      <c r="DG2198" s="694"/>
      <c r="DH2198" s="694"/>
    </row>
    <row r="2199">
      <c r="A2199" s="41">
        <v>2199.0</v>
      </c>
      <c r="B2199" s="717" t="s">
        <v>583</v>
      </c>
      <c r="C2199" s="713" t="s">
        <v>108</v>
      </c>
      <c r="D2199" s="713" t="s">
        <v>169</v>
      </c>
      <c r="E2199" s="694"/>
      <c r="F2199" s="717" t="s">
        <v>13350</v>
      </c>
      <c r="G2199" s="717" t="s">
        <v>13351</v>
      </c>
      <c r="H2199" s="727" t="s">
        <v>7218</v>
      </c>
      <c r="I2199" s="1497" t="s">
        <v>13262</v>
      </c>
      <c r="J2199" s="1498">
        <v>45833.0</v>
      </c>
      <c r="K2199" s="714"/>
      <c r="L2199" s="717" t="s">
        <v>13358</v>
      </c>
      <c r="M2199" s="717" t="s">
        <v>13221</v>
      </c>
      <c r="N2199" s="717" t="s">
        <v>9858</v>
      </c>
      <c r="O2199" s="1502">
        <v>1.0</v>
      </c>
      <c r="P2199" s="727" t="s">
        <v>13222</v>
      </c>
      <c r="Q2199" s="1499" t="str">
        <f t="array" ref="Q2199"> if(iserror(MATCH(V2199, 'File Links'!C:C, 0)), "N/A", HYPERLINK(INDEX('File Links'!B:B, MATCH(P2199, 'File Links'!C:C, 0))))</f>
        <v>https://drive.google.com/file/d/1FklynAHzflh7rbxQIU4qTxOz3VBhye8B/view?usp=drivesdk</v>
      </c>
      <c r="R2199" s="1500" t="s">
        <v>13223</v>
      </c>
      <c r="S2199" s="717" t="s">
        <v>13224</v>
      </c>
      <c r="T2199" s="1501"/>
      <c r="U2199" s="1989"/>
      <c r="V2199" s="727" t="s">
        <v>13225</v>
      </c>
      <c r="W2199" s="727" t="s">
        <v>665</v>
      </c>
      <c r="X2199" s="1503" t="str">
        <f t="array" ref="X2199"> if(iserror(MATCH(V2199, 'File Links'!C:C, 0)), "N/A", HYPERLINK(INDEX('File Links'!B:B, MATCH(V2199, 'File Links'!C:C, 0))))</f>
        <v>https://drive.google.com/file/d/1hYNUJrx3yjyMoTgcG7Qz4pix-8ruWFMC/view?usp=drivesdk</v>
      </c>
      <c r="Y2199" s="1420"/>
      <c r="Z2199" s="727" t="s">
        <v>219</v>
      </c>
      <c r="AA2199" s="717" t="s">
        <v>13226</v>
      </c>
      <c r="AB2199" s="727" t="s">
        <v>13359</v>
      </c>
      <c r="AC2199" s="727" t="s">
        <v>13360</v>
      </c>
      <c r="AD2199" s="727" t="s">
        <v>13361</v>
      </c>
      <c r="AE2199" s="1988">
        <v>4.0</v>
      </c>
      <c r="AF2199" s="1965">
        <v>458.0</v>
      </c>
      <c r="AG2199" s="1497" t="s">
        <v>13362</v>
      </c>
      <c r="AH2199" s="727" t="s">
        <v>127</v>
      </c>
      <c r="AI2199" s="727" t="s">
        <v>489</v>
      </c>
      <c r="AJ2199" s="1497">
        <v>0.01</v>
      </c>
      <c r="AK2199" s="727" t="s">
        <v>128</v>
      </c>
      <c r="AL2199" s="727" t="s">
        <v>179</v>
      </c>
      <c r="AM2199" s="717" t="s">
        <v>134</v>
      </c>
      <c r="AN2199" s="1420"/>
      <c r="AO2199" s="1497">
        <v>2544.0</v>
      </c>
      <c r="AP2199" s="1422"/>
      <c r="AQ2199" s="714"/>
      <c r="AR2199" s="714"/>
      <c r="AS2199" s="1422"/>
      <c r="AT2199" s="714"/>
      <c r="AU2199" s="714"/>
      <c r="AV2199" s="1420"/>
      <c r="AW2199" s="1709"/>
      <c r="AX2199" s="717" t="s">
        <v>144</v>
      </c>
      <c r="AY2199" s="694"/>
      <c r="AZ2199" s="713" t="s">
        <v>13230</v>
      </c>
      <c r="BA2199" s="694"/>
      <c r="BB2199" s="694"/>
      <c r="BC2199" s="694"/>
      <c r="BD2199" s="694"/>
      <c r="BE2199" s="694"/>
      <c r="BF2199" s="694"/>
      <c r="BG2199" s="694"/>
      <c r="BH2199" s="694"/>
      <c r="BI2199" s="694"/>
      <c r="BJ2199" s="694"/>
      <c r="BK2199" s="694"/>
      <c r="BL2199" s="694"/>
      <c r="BM2199" s="694"/>
      <c r="BN2199" s="694"/>
      <c r="BO2199" s="694"/>
      <c r="BP2199" s="694"/>
      <c r="BQ2199" s="694"/>
      <c r="BR2199" s="694"/>
      <c r="BS2199" s="694"/>
      <c r="BT2199" s="694"/>
      <c r="BU2199" s="694"/>
      <c r="BV2199" s="694"/>
      <c r="BW2199" s="694"/>
      <c r="BX2199" s="694"/>
      <c r="BY2199" s="694"/>
      <c r="BZ2199" s="694"/>
      <c r="CA2199" s="694"/>
      <c r="CB2199" s="694"/>
      <c r="CC2199" s="694"/>
      <c r="CD2199" s="694"/>
      <c r="CE2199" s="694"/>
      <c r="CF2199" s="694"/>
      <c r="CG2199" s="694"/>
      <c r="CH2199" s="694"/>
      <c r="CI2199" s="694"/>
      <c r="CJ2199" s="694"/>
      <c r="CK2199" s="694"/>
      <c r="CL2199" s="694"/>
      <c r="CM2199" s="694"/>
      <c r="CN2199" s="694"/>
      <c r="CO2199" s="694"/>
      <c r="CP2199" s="694"/>
      <c r="CQ2199" s="694"/>
      <c r="CR2199" s="694"/>
      <c r="CS2199" s="694"/>
      <c r="CT2199" s="694"/>
      <c r="CU2199" s="694"/>
      <c r="CV2199" s="694"/>
      <c r="CW2199" s="694"/>
      <c r="CX2199" s="694"/>
      <c r="CY2199" s="694"/>
      <c r="CZ2199" s="694"/>
      <c r="DA2199" s="694"/>
      <c r="DB2199" s="694"/>
      <c r="DC2199" s="694"/>
      <c r="DD2199" s="694"/>
      <c r="DE2199" s="694"/>
      <c r="DF2199" s="694"/>
      <c r="DG2199" s="694"/>
      <c r="DH2199" s="694"/>
    </row>
    <row r="2200">
      <c r="A2200" s="41">
        <v>2200.0</v>
      </c>
      <c r="B2200" s="53" t="s">
        <v>516</v>
      </c>
      <c r="C2200" s="338" t="s">
        <v>108</v>
      </c>
      <c r="D2200" s="338" t="s">
        <v>983</v>
      </c>
      <c r="E2200" s="339"/>
      <c r="F2200" s="43" t="s">
        <v>13363</v>
      </c>
      <c r="G2200" s="357" t="s">
        <v>13351</v>
      </c>
      <c r="H2200" s="357" t="s">
        <v>13352</v>
      </c>
      <c r="I2200" s="1684" t="s">
        <v>13353</v>
      </c>
      <c r="J2200" s="1579"/>
      <c r="K2200" s="357" t="s">
        <v>131</v>
      </c>
      <c r="L2200" s="53" t="s">
        <v>13254</v>
      </c>
      <c r="M2200" s="357" t="s">
        <v>13221</v>
      </c>
      <c r="N2200" s="357" t="s">
        <v>9858</v>
      </c>
      <c r="O2200" s="354">
        <v>1.0</v>
      </c>
      <c r="P2200" s="357" t="s">
        <v>13222</v>
      </c>
      <c r="Q2200" s="101" t="str">
        <f t="array" ref="Q2200"> if(iserror(MATCH(V2200, 'File Links'!C:C, 0)), "N/A", HYPERLINK(INDEX('File Links'!B:B, MATCH(P2200, 'File Links'!C:C, 0))))</f>
        <v>https://drive.google.com/file/d/1FklynAHzflh7rbxQIU4qTxOz3VBhye8B/view?usp=drivesdk</v>
      </c>
      <c r="R2200" s="357" t="s">
        <v>13223</v>
      </c>
      <c r="S2200" s="357" t="s">
        <v>13224</v>
      </c>
      <c r="T2200" s="357" t="s">
        <v>131</v>
      </c>
      <c r="U2200" s="354">
        <v>2.0</v>
      </c>
      <c r="V2200" s="357" t="s">
        <v>13225</v>
      </c>
      <c r="W2200" s="43"/>
      <c r="X2200" s="51" t="str">
        <f t="array" ref="X2200"> if(iserror(MATCH(V2200, 'File Links'!C:C, 0)), "N/A", HYPERLINK(INDEX('File Links'!B:B, MATCH(V2200, 'File Links'!C:C, 0))))</f>
        <v>https://drive.google.com/file/d/1hYNUJrx3yjyMoTgcG7Qz4pix-8ruWFMC/view?usp=drivesdk</v>
      </c>
      <c r="Y2200" s="357" t="s">
        <v>131</v>
      </c>
      <c r="Z2200" s="357" t="s">
        <v>219</v>
      </c>
      <c r="AA2200" s="357" t="s">
        <v>13226</v>
      </c>
      <c r="AB2200" s="357" t="s">
        <v>13355</v>
      </c>
      <c r="AC2200" s="357" t="s">
        <v>13364</v>
      </c>
      <c r="AD2200" s="357" t="s">
        <v>13365</v>
      </c>
      <c r="AE2200" s="357" t="s">
        <v>1035</v>
      </c>
      <c r="AF2200" s="354">
        <v>85.0</v>
      </c>
      <c r="AG2200" s="354">
        <v>0.803</v>
      </c>
      <c r="AH2200" s="357" t="s">
        <v>166</v>
      </c>
      <c r="AI2200" s="357" t="s">
        <v>1035</v>
      </c>
      <c r="AJ2200" s="354">
        <v>0.05</v>
      </c>
      <c r="AK2200" s="357" t="s">
        <v>128</v>
      </c>
      <c r="AL2200" s="357" t="s">
        <v>129</v>
      </c>
      <c r="AM2200" s="357" t="s">
        <v>130</v>
      </c>
      <c r="AN2200" s="357" t="s">
        <v>131</v>
      </c>
      <c r="AO2200" s="354">
        <v>4090.0</v>
      </c>
      <c r="AP2200" s="354">
        <v>-0.04</v>
      </c>
      <c r="AQ2200" s="357" t="s">
        <v>715</v>
      </c>
      <c r="AR2200" s="357" t="s">
        <v>617</v>
      </c>
      <c r="AS2200" s="354">
        <v>0.02</v>
      </c>
      <c r="AT2200" s="357" t="s">
        <v>165</v>
      </c>
      <c r="AU2200" s="357" t="s">
        <v>129</v>
      </c>
      <c r="AV2200" s="357" t="s">
        <v>130</v>
      </c>
      <c r="AW2200" s="1998" t="s">
        <v>13229</v>
      </c>
      <c r="AX2200" s="357" t="s">
        <v>431</v>
      </c>
      <c r="AY2200" s="339"/>
      <c r="AZ2200" s="1432" t="s">
        <v>13366</v>
      </c>
      <c r="BA2200" s="339"/>
      <c r="BB2200" s="339"/>
      <c r="BC2200" s="339"/>
      <c r="BD2200" s="339"/>
      <c r="BE2200" s="339"/>
      <c r="BF2200" s="339"/>
      <c r="BG2200" s="339"/>
      <c r="BH2200" s="339"/>
      <c r="BI2200" s="339"/>
      <c r="BJ2200" s="339"/>
      <c r="BK2200" s="339"/>
      <c r="BL2200" s="339"/>
      <c r="BM2200" s="339"/>
      <c r="BN2200" s="339"/>
      <c r="BO2200" s="339"/>
      <c r="BP2200" s="339"/>
      <c r="BQ2200" s="339"/>
      <c r="BR2200" s="339"/>
      <c r="BS2200" s="339"/>
      <c r="BT2200" s="339"/>
      <c r="BU2200" s="339"/>
      <c r="BV2200" s="339"/>
      <c r="BW2200" s="339"/>
      <c r="BX2200" s="339"/>
      <c r="BY2200" s="339"/>
      <c r="BZ2200" s="339"/>
      <c r="CA2200" s="339"/>
      <c r="CB2200" s="339"/>
      <c r="CC2200" s="339"/>
      <c r="CD2200" s="339"/>
      <c r="CE2200" s="339"/>
      <c r="CF2200" s="339"/>
      <c r="CG2200" s="339"/>
      <c r="CH2200" s="339"/>
      <c r="CI2200" s="339"/>
      <c r="CJ2200" s="339"/>
      <c r="CK2200" s="339"/>
      <c r="CL2200" s="339"/>
      <c r="CM2200" s="339"/>
      <c r="CN2200" s="339"/>
      <c r="CO2200" s="339"/>
      <c r="CP2200" s="339"/>
      <c r="CQ2200" s="339"/>
      <c r="CR2200" s="339"/>
      <c r="CS2200" s="339"/>
      <c r="CT2200" s="339"/>
      <c r="CU2200" s="339"/>
      <c r="CV2200" s="339"/>
      <c r="CW2200" s="339"/>
      <c r="CX2200" s="339"/>
      <c r="CY2200" s="339"/>
      <c r="CZ2200" s="339"/>
      <c r="DA2200" s="339"/>
      <c r="DB2200" s="339"/>
      <c r="DC2200" s="339"/>
      <c r="DD2200" s="339"/>
      <c r="DE2200" s="339"/>
      <c r="DF2200" s="339"/>
      <c r="DG2200" s="339"/>
      <c r="DH2200" s="339"/>
    </row>
    <row r="2201">
      <c r="A2201" s="41">
        <v>2201.0</v>
      </c>
      <c r="B2201" s="126" t="s">
        <v>516</v>
      </c>
      <c r="C2201" s="59" t="s">
        <v>108</v>
      </c>
      <c r="D2201" s="59" t="s">
        <v>169</v>
      </c>
      <c r="F2201" s="126" t="s">
        <v>13363</v>
      </c>
      <c r="G2201" s="126" t="s">
        <v>13367</v>
      </c>
      <c r="H2201" s="148" t="s">
        <v>7218</v>
      </c>
      <c r="I2201" s="158" t="s">
        <v>13262</v>
      </c>
      <c r="J2201" s="1579"/>
      <c r="K2201" s="156"/>
      <c r="L2201" s="126" t="s">
        <v>13368</v>
      </c>
      <c r="M2201" s="126" t="s">
        <v>13221</v>
      </c>
      <c r="N2201" s="126" t="s">
        <v>9858</v>
      </c>
      <c r="O2201" s="498">
        <v>1.0</v>
      </c>
      <c r="P2201" s="306" t="s">
        <v>13222</v>
      </c>
      <c r="Q2201" s="49" t="str">
        <f t="array" ref="Q2201"> if(iserror(MATCH(V2201, 'File Links'!C:C, 0)), "N/A", HYPERLINK(INDEX('File Links'!B:B, MATCH(P2201, 'File Links'!C:C, 0))))</f>
        <v>https://drive.google.com/file/d/1FklynAHzflh7rbxQIU4qTxOz3VBhye8B/view?usp=drivesdk</v>
      </c>
      <c r="R2201" s="1689" t="s">
        <v>13223</v>
      </c>
      <c r="S2201" s="126" t="s">
        <v>13224</v>
      </c>
      <c r="T2201" s="1371"/>
      <c r="U2201" s="333"/>
      <c r="V2201" s="148" t="s">
        <v>13225</v>
      </c>
      <c r="W2201" s="148" t="s">
        <v>665</v>
      </c>
      <c r="X2201" s="51" t="str">
        <f t="array" ref="X2201"> if(iserror(MATCH(V2201, 'File Links'!C:C, 0)), "N/A", HYPERLINK(INDEX('File Links'!B:B, MATCH(V2201, 'File Links'!C:C, 0))))</f>
        <v>https://drive.google.com/file/d/1hYNUJrx3yjyMoTgcG7Qz4pix-8ruWFMC/view?usp=drivesdk</v>
      </c>
      <c r="Y2201" s="65"/>
      <c r="Z2201" s="148" t="s">
        <v>219</v>
      </c>
      <c r="AA2201" s="126" t="s">
        <v>13226</v>
      </c>
      <c r="AB2201" s="148" t="s">
        <v>13359</v>
      </c>
      <c r="AC2201" s="148" t="s">
        <v>13369</v>
      </c>
      <c r="AD2201" s="148" t="s">
        <v>13370</v>
      </c>
      <c r="AE2201" s="148" t="s">
        <v>875</v>
      </c>
      <c r="AF2201" s="158">
        <v>447.0</v>
      </c>
      <c r="AG2201" s="158" t="s">
        <v>13371</v>
      </c>
      <c r="AH2201" s="148" t="s">
        <v>127</v>
      </c>
      <c r="AI2201" s="148" t="s">
        <v>489</v>
      </c>
      <c r="AJ2201" s="158">
        <v>0.05</v>
      </c>
      <c r="AK2201" s="148" t="s">
        <v>128</v>
      </c>
      <c r="AL2201" s="148" t="s">
        <v>179</v>
      </c>
      <c r="AM2201" s="126" t="s">
        <v>130</v>
      </c>
      <c r="AN2201" s="65"/>
      <c r="AO2201" s="158">
        <v>2644.0</v>
      </c>
      <c r="AP2201" s="153"/>
      <c r="AQ2201" s="156"/>
      <c r="AR2201" s="148" t="s">
        <v>13372</v>
      </c>
      <c r="AS2201" s="153"/>
      <c r="AT2201" s="156"/>
      <c r="AU2201" s="156"/>
      <c r="AV2201" s="65"/>
      <c r="AW2201" s="432"/>
      <c r="AX2201" s="126" t="s">
        <v>144</v>
      </c>
      <c r="AZ2201" s="1432" t="s">
        <v>13366</v>
      </c>
    </row>
    <row r="2202">
      <c r="A2202" s="41">
        <v>2202.0</v>
      </c>
      <c r="B2202" s="126" t="s">
        <v>516</v>
      </c>
      <c r="C2202" s="59" t="s">
        <v>108</v>
      </c>
      <c r="D2202" s="59" t="s">
        <v>983</v>
      </c>
      <c r="F2202" s="65" t="s">
        <v>13373</v>
      </c>
      <c r="G2202" s="156" t="s">
        <v>13351</v>
      </c>
      <c r="H2202" s="156" t="s">
        <v>13352</v>
      </c>
      <c r="I2202" s="1284" t="s">
        <v>13353</v>
      </c>
      <c r="J2202" s="1579"/>
      <c r="K2202" s="156" t="s">
        <v>131</v>
      </c>
      <c r="L2202" s="53" t="s">
        <v>13254</v>
      </c>
      <c r="M2202" s="156" t="s">
        <v>13221</v>
      </c>
      <c r="N2202" s="156" t="s">
        <v>9858</v>
      </c>
      <c r="O2202" s="153">
        <v>1.0</v>
      </c>
      <c r="P2202" s="379" t="s">
        <v>13222</v>
      </c>
      <c r="Q2202" s="49" t="str">
        <f t="array" ref="Q2202"> if(iserror(MATCH(V2202, 'File Links'!C:C, 0)), "N/A", HYPERLINK(INDEX('File Links'!B:B, MATCH(P2202, 'File Links'!C:C, 0))))</f>
        <v>https://drive.google.com/file/d/1FklynAHzflh7rbxQIU4qTxOz3VBhye8B/view?usp=drivesdk</v>
      </c>
      <c r="R2202" s="156" t="s">
        <v>13223</v>
      </c>
      <c r="S2202" s="156" t="s">
        <v>13224</v>
      </c>
      <c r="T2202" s="156" t="s">
        <v>131</v>
      </c>
      <c r="U2202" s="153">
        <v>2.0</v>
      </c>
      <c r="V2202" s="379" t="s">
        <v>13225</v>
      </c>
      <c r="W2202" s="1225"/>
      <c r="X2202" s="51" t="str">
        <f t="array" ref="X2202"> if(iserror(MATCH(V2202, 'File Links'!C:C, 0)), "N/A", HYPERLINK(INDEX('File Links'!B:B, MATCH(V2202, 'File Links'!C:C, 0))))</f>
        <v>https://drive.google.com/file/d/1hYNUJrx3yjyMoTgcG7Qz4pix-8ruWFMC/view?usp=drivesdk</v>
      </c>
      <c r="Y2202" s="156" t="s">
        <v>131</v>
      </c>
      <c r="Z2202" s="156" t="s">
        <v>219</v>
      </c>
      <c r="AA2202" s="156" t="s">
        <v>13226</v>
      </c>
      <c r="AB2202" s="156" t="s">
        <v>13355</v>
      </c>
      <c r="AC2202" s="156" t="s">
        <v>13374</v>
      </c>
      <c r="AD2202" s="156" t="s">
        <v>13365</v>
      </c>
      <c r="AE2202" s="156" t="s">
        <v>1035</v>
      </c>
      <c r="AF2202" s="153">
        <v>85.0</v>
      </c>
      <c r="AG2202" s="153">
        <v>0.803</v>
      </c>
      <c r="AH2202" s="156" t="s">
        <v>166</v>
      </c>
      <c r="AI2202" s="156" t="s">
        <v>1035</v>
      </c>
      <c r="AJ2202" s="153">
        <v>0.05</v>
      </c>
      <c r="AK2202" s="156" t="s">
        <v>128</v>
      </c>
      <c r="AL2202" s="156" t="s">
        <v>129</v>
      </c>
      <c r="AM2202" s="156" t="s">
        <v>130</v>
      </c>
      <c r="AN2202" s="156" t="s">
        <v>131</v>
      </c>
      <c r="AO2202" s="153">
        <v>4090.0</v>
      </c>
      <c r="AP2202" s="153">
        <v>-0.2</v>
      </c>
      <c r="AQ2202" s="156" t="s">
        <v>715</v>
      </c>
      <c r="AR2202" s="156" t="s">
        <v>617</v>
      </c>
      <c r="AS2202" s="153">
        <v>0.259</v>
      </c>
      <c r="AT2202" s="156" t="s">
        <v>165</v>
      </c>
      <c r="AU2202" s="156" t="s">
        <v>129</v>
      </c>
      <c r="AV2202" s="156" t="s">
        <v>130</v>
      </c>
      <c r="AW2202" s="1999" t="s">
        <v>13229</v>
      </c>
      <c r="AX2202" s="156" t="s">
        <v>431</v>
      </c>
      <c r="AZ2202" s="1432" t="s">
        <v>13366</v>
      </c>
    </row>
    <row r="2203">
      <c r="A2203" s="41">
        <v>2203.0</v>
      </c>
      <c r="B2203" s="126" t="s">
        <v>516</v>
      </c>
      <c r="C2203" s="59" t="s">
        <v>108</v>
      </c>
      <c r="D2203" s="59" t="s">
        <v>169</v>
      </c>
      <c r="F2203" s="126" t="s">
        <v>13373</v>
      </c>
      <c r="G2203" s="126" t="s">
        <v>13375</v>
      </c>
      <c r="H2203" s="148" t="s">
        <v>7218</v>
      </c>
      <c r="I2203" s="158" t="s">
        <v>13262</v>
      </c>
      <c r="J2203" s="1579"/>
      <c r="K2203" s="156"/>
      <c r="L2203" s="126" t="s">
        <v>13376</v>
      </c>
      <c r="M2203" s="126" t="s">
        <v>13221</v>
      </c>
      <c r="N2203" s="126" t="s">
        <v>9858</v>
      </c>
      <c r="O2203" s="498">
        <v>1.0</v>
      </c>
      <c r="P2203" s="306" t="s">
        <v>13222</v>
      </c>
      <c r="Q2203" s="49" t="str">
        <f t="array" ref="Q2203"> if(iserror(MATCH(V2203, 'File Links'!C:C, 0)), "N/A", HYPERLINK(INDEX('File Links'!B:B, MATCH(P2203, 'File Links'!C:C, 0))))</f>
        <v>https://drive.google.com/file/d/1FklynAHzflh7rbxQIU4qTxOz3VBhye8B/view?usp=drivesdk</v>
      </c>
      <c r="R2203" s="1689" t="s">
        <v>13223</v>
      </c>
      <c r="S2203" s="126" t="s">
        <v>13224</v>
      </c>
      <c r="T2203" s="1371"/>
      <c r="U2203" s="333"/>
      <c r="V2203" s="148" t="s">
        <v>13225</v>
      </c>
      <c r="W2203" s="148" t="s">
        <v>665</v>
      </c>
      <c r="X2203" s="51" t="str">
        <f t="array" ref="X2203"> if(iserror(MATCH(V2203, 'File Links'!C:C, 0)), "N/A", HYPERLINK(INDEX('File Links'!B:B, MATCH(V2203, 'File Links'!C:C, 0))))</f>
        <v>https://drive.google.com/file/d/1hYNUJrx3yjyMoTgcG7Qz4pix-8ruWFMC/view?usp=drivesdk</v>
      </c>
      <c r="Y2203" s="65"/>
      <c r="Z2203" s="148" t="s">
        <v>219</v>
      </c>
      <c r="AA2203" s="126" t="s">
        <v>13226</v>
      </c>
      <c r="AB2203" s="148" t="s">
        <v>13359</v>
      </c>
      <c r="AC2203" s="148" t="s">
        <v>13377</v>
      </c>
      <c r="AD2203" s="148" t="s">
        <v>13378</v>
      </c>
      <c r="AE2203" s="148" t="s">
        <v>875</v>
      </c>
      <c r="AF2203" s="158">
        <v>447.0</v>
      </c>
      <c r="AG2203" s="153"/>
      <c r="AH2203" s="156"/>
      <c r="AI2203" s="148" t="s">
        <v>489</v>
      </c>
      <c r="AJ2203" s="153"/>
      <c r="AK2203" s="156"/>
      <c r="AL2203" s="156"/>
      <c r="AM2203" s="65"/>
      <c r="AN2203" s="65"/>
      <c r="AO2203" s="158">
        <v>2644.0</v>
      </c>
      <c r="AP2203" s="153"/>
      <c r="AQ2203" s="156"/>
      <c r="AR2203" s="148" t="s">
        <v>13372</v>
      </c>
      <c r="AS2203" s="153"/>
      <c r="AT2203" s="156"/>
      <c r="AU2203" s="156"/>
      <c r="AV2203" s="65"/>
      <c r="AW2203" s="432"/>
      <c r="AX2203" s="126" t="s">
        <v>144</v>
      </c>
      <c r="AZ2203" s="1432" t="s">
        <v>13366</v>
      </c>
    </row>
    <row r="2204">
      <c r="A2204" s="41">
        <v>2204.0</v>
      </c>
      <c r="B2204" s="126" t="s">
        <v>516</v>
      </c>
      <c r="C2204" s="59" t="s">
        <v>108</v>
      </c>
      <c r="D2204" s="59" t="s">
        <v>983</v>
      </c>
      <c r="F2204" s="65" t="s">
        <v>13379</v>
      </c>
      <c r="G2204" s="156" t="s">
        <v>13351</v>
      </c>
      <c r="H2204" s="156" t="s">
        <v>13352</v>
      </c>
      <c r="I2204" s="1284" t="s">
        <v>13353</v>
      </c>
      <c r="J2204" s="1579"/>
      <c r="K2204" s="156" t="s">
        <v>131</v>
      </c>
      <c r="L2204" s="53" t="s">
        <v>13254</v>
      </c>
      <c r="M2204" s="156" t="s">
        <v>13221</v>
      </c>
      <c r="N2204" s="156" t="s">
        <v>9858</v>
      </c>
      <c r="O2204" s="153">
        <v>1.0</v>
      </c>
      <c r="P2204" s="379" t="s">
        <v>13222</v>
      </c>
      <c r="Q2204" s="49" t="str">
        <f t="array" ref="Q2204"> if(iserror(MATCH(V2204, 'File Links'!C:C, 0)), "N/A", HYPERLINK(INDEX('File Links'!B:B, MATCH(P2204, 'File Links'!C:C, 0))))</f>
        <v>https://drive.google.com/file/d/1FklynAHzflh7rbxQIU4qTxOz3VBhye8B/view?usp=drivesdk</v>
      </c>
      <c r="R2204" s="156" t="s">
        <v>13223</v>
      </c>
      <c r="S2204" s="156" t="s">
        <v>13224</v>
      </c>
      <c r="T2204" s="156" t="s">
        <v>131</v>
      </c>
      <c r="U2204" s="153">
        <v>2.0</v>
      </c>
      <c r="V2204" s="379" t="s">
        <v>13225</v>
      </c>
      <c r="W2204" s="1225"/>
      <c r="X2204" s="51" t="str">
        <f t="array" ref="X2204"> if(iserror(MATCH(V2204, 'File Links'!C:C, 0)), "N/A", HYPERLINK(INDEX('File Links'!B:B, MATCH(V2204, 'File Links'!C:C, 0))))</f>
        <v>https://drive.google.com/file/d/1hYNUJrx3yjyMoTgcG7Qz4pix-8ruWFMC/view?usp=drivesdk</v>
      </c>
      <c r="Y2204" s="156" t="s">
        <v>131</v>
      </c>
      <c r="Z2204" s="156" t="s">
        <v>219</v>
      </c>
      <c r="AA2204" s="156" t="s">
        <v>13226</v>
      </c>
      <c r="AB2204" s="156" t="s">
        <v>13355</v>
      </c>
      <c r="AC2204" s="156" t="s">
        <v>13380</v>
      </c>
      <c r="AD2204" s="156" t="s">
        <v>13365</v>
      </c>
      <c r="AE2204" s="156" t="s">
        <v>1035</v>
      </c>
      <c r="AF2204" s="153">
        <v>85.0</v>
      </c>
      <c r="AG2204" s="153">
        <v>0.803</v>
      </c>
      <c r="AH2204" s="156" t="s">
        <v>166</v>
      </c>
      <c r="AI2204" s="156" t="s">
        <v>1035</v>
      </c>
      <c r="AJ2204" s="153">
        <v>0.05</v>
      </c>
      <c r="AK2204" s="156" t="s">
        <v>128</v>
      </c>
      <c r="AL2204" s="156" t="s">
        <v>129</v>
      </c>
      <c r="AM2204" s="156" t="s">
        <v>130</v>
      </c>
      <c r="AN2204" s="156" t="s">
        <v>131</v>
      </c>
      <c r="AO2204" s="153">
        <v>4090.0</v>
      </c>
      <c r="AP2204" s="153">
        <v>-0.02</v>
      </c>
      <c r="AQ2204" s="156" t="s">
        <v>715</v>
      </c>
      <c r="AR2204" s="156" t="s">
        <v>617</v>
      </c>
      <c r="AS2204" s="153">
        <v>0.162</v>
      </c>
      <c r="AT2204" s="156" t="s">
        <v>165</v>
      </c>
      <c r="AU2204" s="156" t="s">
        <v>129</v>
      </c>
      <c r="AV2204" s="156" t="s">
        <v>130</v>
      </c>
      <c r="AW2204" s="1999" t="s">
        <v>13229</v>
      </c>
      <c r="AX2204" s="156" t="s">
        <v>431</v>
      </c>
      <c r="AZ2204" s="1432" t="s">
        <v>13366</v>
      </c>
    </row>
    <row r="2205">
      <c r="A2205" s="41">
        <v>2205.0</v>
      </c>
      <c r="B2205" s="126" t="s">
        <v>516</v>
      </c>
      <c r="C2205" s="59" t="s">
        <v>108</v>
      </c>
      <c r="D2205" s="59" t="s">
        <v>169</v>
      </c>
      <c r="F2205" s="126" t="s">
        <v>13379</v>
      </c>
      <c r="G2205" s="126" t="s">
        <v>13381</v>
      </c>
      <c r="H2205" s="148" t="s">
        <v>7218</v>
      </c>
      <c r="I2205" s="158" t="s">
        <v>13262</v>
      </c>
      <c r="J2205" s="1579"/>
      <c r="K2205" s="156"/>
      <c r="L2205" s="126" t="s">
        <v>13376</v>
      </c>
      <c r="M2205" s="126" t="s">
        <v>13221</v>
      </c>
      <c r="N2205" s="126" t="s">
        <v>9858</v>
      </c>
      <c r="O2205" s="498">
        <v>3.0</v>
      </c>
      <c r="P2205" s="306" t="s">
        <v>13222</v>
      </c>
      <c r="Q2205" s="49" t="str">
        <f t="array" ref="Q2205"> if(iserror(MATCH(V2205, 'File Links'!C:C, 0)), "N/A", HYPERLINK(INDEX('File Links'!B:B, MATCH(P2205, 'File Links'!C:C, 0))))</f>
        <v>https://drive.google.com/file/d/1FklynAHzflh7rbxQIU4qTxOz3VBhye8B/view?usp=drivesdk</v>
      </c>
      <c r="R2205" s="1689" t="s">
        <v>13223</v>
      </c>
      <c r="S2205" s="126" t="s">
        <v>13224</v>
      </c>
      <c r="T2205" s="1371"/>
      <c r="U2205" s="333"/>
      <c r="V2205" s="148" t="s">
        <v>13225</v>
      </c>
      <c r="W2205" s="156"/>
      <c r="X2205" s="51" t="str">
        <f t="array" ref="X2205"> if(iserror(MATCH(V2205, 'File Links'!C:C, 0)), "N/A", HYPERLINK(INDEX('File Links'!B:B, MATCH(V2205, 'File Links'!C:C, 0))))</f>
        <v>https://drive.google.com/file/d/1hYNUJrx3yjyMoTgcG7Qz4pix-8ruWFMC/view?usp=drivesdk</v>
      </c>
      <c r="Y2205" s="65"/>
      <c r="Z2205" s="148" t="s">
        <v>219</v>
      </c>
      <c r="AA2205" s="126" t="s">
        <v>13226</v>
      </c>
      <c r="AB2205" s="148" t="s">
        <v>13359</v>
      </c>
      <c r="AC2205" s="148" t="s">
        <v>13382</v>
      </c>
      <c r="AD2205" s="148" t="s">
        <v>13383</v>
      </c>
      <c r="AE2205" s="148" t="s">
        <v>4966</v>
      </c>
      <c r="AF2205" s="158">
        <v>544.0</v>
      </c>
      <c r="AG2205" s="158" t="s">
        <v>9867</v>
      </c>
      <c r="AH2205" s="148" t="s">
        <v>127</v>
      </c>
      <c r="AI2205" s="148" t="s">
        <v>4966</v>
      </c>
      <c r="AJ2205" s="158">
        <v>0.01</v>
      </c>
      <c r="AK2205" s="148" t="s">
        <v>128</v>
      </c>
      <c r="AL2205" s="148" t="s">
        <v>179</v>
      </c>
      <c r="AM2205" s="126" t="s">
        <v>130</v>
      </c>
      <c r="AN2205" s="65"/>
      <c r="AO2205" s="158">
        <v>2644.0</v>
      </c>
      <c r="AP2205" s="158">
        <v>2.73</v>
      </c>
      <c r="AQ2205" s="148" t="s">
        <v>127</v>
      </c>
      <c r="AR2205" s="148" t="s">
        <v>13372</v>
      </c>
      <c r="AS2205" s="158">
        <v>0.006</v>
      </c>
      <c r="AT2205" s="148" t="s">
        <v>165</v>
      </c>
      <c r="AU2205" s="148" t="s">
        <v>179</v>
      </c>
      <c r="AV2205" s="126" t="s">
        <v>130</v>
      </c>
      <c r="AW2205" s="432"/>
      <c r="AX2205" s="126" t="s">
        <v>144</v>
      </c>
      <c r="AZ2205" s="1432" t="s">
        <v>13366</v>
      </c>
    </row>
    <row r="2206">
      <c r="A2206" s="41">
        <v>2206.0</v>
      </c>
      <c r="B2206" s="126" t="s">
        <v>516</v>
      </c>
      <c r="C2206" s="59" t="s">
        <v>108</v>
      </c>
      <c r="D2206" s="59" t="s">
        <v>983</v>
      </c>
      <c r="F2206" s="65" t="s">
        <v>13384</v>
      </c>
      <c r="G2206" s="156" t="s">
        <v>13351</v>
      </c>
      <c r="H2206" s="156" t="s">
        <v>13352</v>
      </c>
      <c r="I2206" s="1284" t="s">
        <v>13353</v>
      </c>
      <c r="J2206" s="1579"/>
      <c r="K2206" s="156" t="s">
        <v>131</v>
      </c>
      <c r="L2206" s="53" t="s">
        <v>13254</v>
      </c>
      <c r="M2206" s="156" t="s">
        <v>13259</v>
      </c>
      <c r="N2206" s="156" t="s">
        <v>9858</v>
      </c>
      <c r="O2206" s="153">
        <v>3.0</v>
      </c>
      <c r="P2206" s="379" t="s">
        <v>13222</v>
      </c>
      <c r="Q2206" s="49" t="str">
        <f t="array" ref="Q2206"> if(iserror(MATCH(V2206, 'File Links'!C:C, 0)), "N/A", HYPERLINK(INDEX('File Links'!B:B, MATCH(P2206, 'File Links'!C:C, 0))))</f>
        <v>https://drive.google.com/file/d/1FklynAHzflh7rbxQIU4qTxOz3VBhye8B/view?usp=drivesdk</v>
      </c>
      <c r="R2206" s="156" t="s">
        <v>13223</v>
      </c>
      <c r="S2206" s="156" t="s">
        <v>13224</v>
      </c>
      <c r="T2206" s="156" t="s">
        <v>131</v>
      </c>
      <c r="U2206" s="153">
        <v>2.0</v>
      </c>
      <c r="V2206" s="379" t="s">
        <v>13225</v>
      </c>
      <c r="W2206" s="1225"/>
      <c r="X2206" s="51" t="str">
        <f t="array" ref="X2206"> if(iserror(MATCH(V2206, 'File Links'!C:C, 0)), "N/A", HYPERLINK(INDEX('File Links'!B:B, MATCH(V2206, 'File Links'!C:C, 0))))</f>
        <v>https://drive.google.com/file/d/1hYNUJrx3yjyMoTgcG7Qz4pix-8ruWFMC/view?usp=drivesdk</v>
      </c>
      <c r="Y2206" s="156" t="s">
        <v>131</v>
      </c>
      <c r="Z2206" s="156" t="s">
        <v>219</v>
      </c>
      <c r="AA2206" s="156" t="s">
        <v>13226</v>
      </c>
      <c r="AB2206" s="156" t="s">
        <v>13355</v>
      </c>
      <c r="AC2206" s="156" t="s">
        <v>13385</v>
      </c>
      <c r="AD2206" s="156" t="s">
        <v>13386</v>
      </c>
      <c r="AE2206" s="156" t="s">
        <v>4966</v>
      </c>
      <c r="AF2206" s="153">
        <v>471.0</v>
      </c>
      <c r="AG2206" s="153">
        <v>0.287</v>
      </c>
      <c r="AH2206" s="156" t="s">
        <v>166</v>
      </c>
      <c r="AI2206" s="156" t="s">
        <v>4966</v>
      </c>
      <c r="AJ2206" s="153">
        <v>0.05</v>
      </c>
      <c r="AK2206" s="156" t="s">
        <v>128</v>
      </c>
      <c r="AL2206" s="156" t="s">
        <v>129</v>
      </c>
      <c r="AM2206" s="156" t="s">
        <v>130</v>
      </c>
      <c r="AN2206" s="156" t="s">
        <v>131</v>
      </c>
      <c r="AO2206" s="153">
        <v>3683.0</v>
      </c>
      <c r="AP2206" s="153">
        <v>1.12</v>
      </c>
      <c r="AQ2206" s="156" t="s">
        <v>715</v>
      </c>
      <c r="AR2206" s="156" t="s">
        <v>617</v>
      </c>
      <c r="AS2206" s="153">
        <v>0.003</v>
      </c>
      <c r="AT2206" s="156" t="s">
        <v>165</v>
      </c>
      <c r="AU2206" s="156" t="s">
        <v>129</v>
      </c>
      <c r="AV2206" s="156" t="s">
        <v>130</v>
      </c>
      <c r="AW2206" s="1999" t="s">
        <v>13229</v>
      </c>
      <c r="AX2206" s="156" t="s">
        <v>431</v>
      </c>
      <c r="AZ2206" s="1432" t="s">
        <v>13366</v>
      </c>
    </row>
    <row r="2207">
      <c r="A2207" s="41">
        <v>2207.0</v>
      </c>
      <c r="B2207" s="126" t="s">
        <v>516</v>
      </c>
      <c r="C2207" s="59" t="s">
        <v>108</v>
      </c>
      <c r="D2207" s="59" t="s">
        <v>169</v>
      </c>
      <c r="F2207" s="126" t="s">
        <v>13384</v>
      </c>
      <c r="G2207" s="126" t="s">
        <v>13387</v>
      </c>
      <c r="H2207" s="148" t="s">
        <v>7218</v>
      </c>
      <c r="I2207" s="158" t="s">
        <v>13262</v>
      </c>
      <c r="J2207" s="1579"/>
      <c r="K2207" s="156"/>
      <c r="L2207" s="126" t="s">
        <v>13368</v>
      </c>
      <c r="M2207" s="126" t="s">
        <v>13259</v>
      </c>
      <c r="N2207" s="126" t="s">
        <v>9858</v>
      </c>
      <c r="O2207" s="498">
        <v>3.0</v>
      </c>
      <c r="P2207" s="306" t="s">
        <v>13222</v>
      </c>
      <c r="Q2207" s="49" t="str">
        <f t="array" ref="Q2207"> if(iserror(MATCH(V2207, 'File Links'!C:C, 0)), "N/A", HYPERLINK(INDEX('File Links'!B:B, MATCH(P2207, 'File Links'!C:C, 0))))</f>
        <v>https://drive.google.com/file/d/1FklynAHzflh7rbxQIU4qTxOz3VBhye8B/view?usp=drivesdk</v>
      </c>
      <c r="R2207" s="1689" t="s">
        <v>13223</v>
      </c>
      <c r="S2207" s="126" t="s">
        <v>13224</v>
      </c>
      <c r="T2207" s="1371"/>
      <c r="U2207" s="333"/>
      <c r="V2207" s="148" t="s">
        <v>13225</v>
      </c>
      <c r="W2207" s="156"/>
      <c r="X2207" s="51" t="str">
        <f t="array" ref="X2207"> if(iserror(MATCH(V2207, 'File Links'!C:C, 0)), "N/A", HYPERLINK(INDEX('File Links'!B:B, MATCH(V2207, 'File Links'!C:C, 0))))</f>
        <v>https://drive.google.com/file/d/1hYNUJrx3yjyMoTgcG7Qz4pix-8ruWFMC/view?usp=drivesdk</v>
      </c>
      <c r="Y2207" s="65"/>
      <c r="Z2207" s="148" t="s">
        <v>219</v>
      </c>
      <c r="AA2207" s="126" t="s">
        <v>13226</v>
      </c>
      <c r="AB2207" s="148" t="s">
        <v>13359</v>
      </c>
      <c r="AC2207" s="148" t="s">
        <v>13388</v>
      </c>
      <c r="AD2207" s="148" t="s">
        <v>13389</v>
      </c>
      <c r="AE2207" s="148" t="s">
        <v>13390</v>
      </c>
      <c r="AF2207" s="158">
        <v>554.0</v>
      </c>
      <c r="AG2207" s="158" t="s">
        <v>13391</v>
      </c>
      <c r="AH2207" s="148" t="s">
        <v>127</v>
      </c>
      <c r="AI2207" s="148" t="s">
        <v>4966</v>
      </c>
      <c r="AJ2207" s="158">
        <v>0.005</v>
      </c>
      <c r="AK2207" s="148" t="s">
        <v>128</v>
      </c>
      <c r="AL2207" s="148" t="s">
        <v>179</v>
      </c>
      <c r="AM2207" s="126" t="s">
        <v>130</v>
      </c>
      <c r="AN2207" s="65"/>
      <c r="AO2207" s="158">
        <v>2644.0</v>
      </c>
      <c r="AP2207" s="153"/>
      <c r="AQ2207" s="156"/>
      <c r="AR2207" s="148" t="s">
        <v>13372</v>
      </c>
      <c r="AS2207" s="153"/>
      <c r="AT2207" s="156"/>
      <c r="AU2207" s="156"/>
      <c r="AV2207" s="65"/>
      <c r="AW2207" s="432"/>
      <c r="AX2207" s="126" t="s">
        <v>144</v>
      </c>
      <c r="AZ2207" s="1432" t="s">
        <v>13366</v>
      </c>
    </row>
    <row r="2208">
      <c r="A2208" s="41">
        <v>2208.0</v>
      </c>
      <c r="B2208" s="126" t="s">
        <v>516</v>
      </c>
      <c r="C2208" s="59" t="s">
        <v>108</v>
      </c>
      <c r="D2208" s="59" t="s">
        <v>983</v>
      </c>
      <c r="F2208" s="65" t="s">
        <v>13392</v>
      </c>
      <c r="G2208" s="156" t="s">
        <v>13351</v>
      </c>
      <c r="H2208" s="156" t="s">
        <v>13352</v>
      </c>
      <c r="I2208" s="1284" t="s">
        <v>13353</v>
      </c>
      <c r="J2208" s="1579"/>
      <c r="K2208" s="156" t="s">
        <v>131</v>
      </c>
      <c r="L2208" s="53" t="s">
        <v>13254</v>
      </c>
      <c r="M2208" s="156" t="s">
        <v>13259</v>
      </c>
      <c r="N2208" s="156" t="s">
        <v>9858</v>
      </c>
      <c r="O2208" s="153">
        <v>3.0</v>
      </c>
      <c r="P2208" s="379" t="s">
        <v>13222</v>
      </c>
      <c r="Q2208" s="49" t="str">
        <f t="array" ref="Q2208"> if(iserror(MATCH(V2208, 'File Links'!C:C, 0)), "N/A", HYPERLINK(INDEX('File Links'!B:B, MATCH(P2208, 'File Links'!C:C, 0))))</f>
        <v>https://drive.google.com/file/d/1FklynAHzflh7rbxQIU4qTxOz3VBhye8B/view?usp=drivesdk</v>
      </c>
      <c r="R2208" s="156" t="s">
        <v>13223</v>
      </c>
      <c r="S2208" s="156" t="s">
        <v>13224</v>
      </c>
      <c r="T2208" s="156" t="s">
        <v>131</v>
      </c>
      <c r="U2208" s="153">
        <v>2.0</v>
      </c>
      <c r="V2208" s="379" t="s">
        <v>13225</v>
      </c>
      <c r="W2208" s="1225"/>
      <c r="X2208" s="51" t="str">
        <f t="array" ref="X2208"> if(iserror(MATCH(V2208, 'File Links'!C:C, 0)), "N/A", HYPERLINK(INDEX('File Links'!B:B, MATCH(V2208, 'File Links'!C:C, 0))))</f>
        <v>https://drive.google.com/file/d/1hYNUJrx3yjyMoTgcG7Qz4pix-8ruWFMC/view?usp=drivesdk</v>
      </c>
      <c r="Y2208" s="156" t="s">
        <v>131</v>
      </c>
      <c r="Z2208" s="156" t="s">
        <v>219</v>
      </c>
      <c r="AA2208" s="156" t="s">
        <v>13226</v>
      </c>
      <c r="AB2208" s="156" t="s">
        <v>13355</v>
      </c>
      <c r="AC2208" s="156" t="s">
        <v>13393</v>
      </c>
      <c r="AD2208" s="156" t="s">
        <v>13386</v>
      </c>
      <c r="AE2208" s="156" t="s">
        <v>4966</v>
      </c>
      <c r="AF2208" s="153">
        <v>384.0</v>
      </c>
      <c r="AG2208" s="153">
        <v>0.21</v>
      </c>
      <c r="AH2208" s="156" t="s">
        <v>166</v>
      </c>
      <c r="AI2208" s="156" t="s">
        <v>4966</v>
      </c>
      <c r="AJ2208" s="153">
        <v>0.05</v>
      </c>
      <c r="AK2208" s="156" t="s">
        <v>128</v>
      </c>
      <c r="AL2208" s="156" t="s">
        <v>129</v>
      </c>
      <c r="AM2208" s="156" t="s">
        <v>130</v>
      </c>
      <c r="AN2208" s="156" t="s">
        <v>131</v>
      </c>
      <c r="AO2208" s="153">
        <v>3683.0</v>
      </c>
      <c r="AP2208" s="153">
        <v>1.12</v>
      </c>
      <c r="AQ2208" s="156" t="s">
        <v>715</v>
      </c>
      <c r="AR2208" s="156" t="s">
        <v>617</v>
      </c>
      <c r="AS2208" s="153">
        <v>0.003</v>
      </c>
      <c r="AT2208" s="156" t="s">
        <v>165</v>
      </c>
      <c r="AU2208" s="156" t="s">
        <v>129</v>
      </c>
      <c r="AV2208" s="156" t="s">
        <v>130</v>
      </c>
      <c r="AW2208" s="1999" t="s">
        <v>13229</v>
      </c>
      <c r="AX2208" s="156" t="s">
        <v>431</v>
      </c>
      <c r="AZ2208" s="1432" t="s">
        <v>13366</v>
      </c>
    </row>
    <row r="2209">
      <c r="A2209" s="41">
        <v>2209.0</v>
      </c>
      <c r="B2209" s="126" t="s">
        <v>516</v>
      </c>
      <c r="C2209" s="59" t="s">
        <v>108</v>
      </c>
      <c r="D2209" s="59" t="s">
        <v>169</v>
      </c>
      <c r="F2209" s="126" t="s">
        <v>13392</v>
      </c>
      <c r="G2209" s="126" t="s">
        <v>13394</v>
      </c>
      <c r="H2209" s="148" t="s">
        <v>7218</v>
      </c>
      <c r="I2209" s="158" t="s">
        <v>13262</v>
      </c>
      <c r="J2209" s="1579"/>
      <c r="K2209" s="156"/>
      <c r="L2209" s="126" t="s">
        <v>13395</v>
      </c>
      <c r="M2209" s="126" t="s">
        <v>13259</v>
      </c>
      <c r="N2209" s="126" t="s">
        <v>9858</v>
      </c>
      <c r="O2209" s="498">
        <v>3.0</v>
      </c>
      <c r="P2209" s="306" t="s">
        <v>13222</v>
      </c>
      <c r="Q2209" s="49" t="str">
        <f t="array" ref="Q2209"> if(iserror(MATCH(V2209, 'File Links'!C:C, 0)), "N/A", HYPERLINK(INDEX('File Links'!B:B, MATCH(P2209, 'File Links'!C:C, 0))))</f>
        <v>https://drive.google.com/file/d/1FklynAHzflh7rbxQIU4qTxOz3VBhye8B/view?usp=drivesdk</v>
      </c>
      <c r="R2209" s="1689" t="s">
        <v>13223</v>
      </c>
      <c r="S2209" s="126" t="s">
        <v>13224</v>
      </c>
      <c r="T2209" s="1371"/>
      <c r="U2209" s="333"/>
      <c r="V2209" s="148" t="s">
        <v>13225</v>
      </c>
      <c r="W2209" s="156"/>
      <c r="X2209" s="51" t="str">
        <f t="array" ref="X2209"> if(iserror(MATCH(V2209, 'File Links'!C:C, 0)), "N/A", HYPERLINK(INDEX('File Links'!B:B, MATCH(V2209, 'File Links'!C:C, 0))))</f>
        <v>https://drive.google.com/file/d/1hYNUJrx3yjyMoTgcG7Qz4pix-8ruWFMC/view?usp=drivesdk</v>
      </c>
      <c r="Y2209" s="65"/>
      <c r="Z2209" s="148" t="s">
        <v>219</v>
      </c>
      <c r="AA2209" s="126" t="s">
        <v>13226</v>
      </c>
      <c r="AB2209" s="148" t="s">
        <v>13359</v>
      </c>
      <c r="AC2209" s="148" t="s">
        <v>13396</v>
      </c>
      <c r="AD2209" s="148" t="s">
        <v>13397</v>
      </c>
      <c r="AE2209" s="148" t="s">
        <v>597</v>
      </c>
      <c r="AF2209" s="158">
        <v>554.0</v>
      </c>
      <c r="AG2209" s="153"/>
      <c r="AH2209" s="156"/>
      <c r="AI2209" s="148" t="s">
        <v>4966</v>
      </c>
      <c r="AJ2209" s="153"/>
      <c r="AK2209" s="156"/>
      <c r="AL2209" s="156"/>
      <c r="AM2209" s="65"/>
      <c r="AN2209" s="65"/>
      <c r="AO2209" s="158">
        <v>2644.0</v>
      </c>
      <c r="AP2209" s="153"/>
      <c r="AQ2209" s="156"/>
      <c r="AR2209" s="148" t="s">
        <v>13372</v>
      </c>
      <c r="AS2209" s="153"/>
      <c r="AT2209" s="156"/>
      <c r="AU2209" s="156"/>
      <c r="AV2209" s="65"/>
      <c r="AW2209" s="432"/>
      <c r="AX2209" s="126" t="s">
        <v>144</v>
      </c>
      <c r="AZ2209" s="1432" t="s">
        <v>13366</v>
      </c>
    </row>
    <row r="2210">
      <c r="A2210" s="41">
        <v>2210.0</v>
      </c>
      <c r="B2210" s="126" t="s">
        <v>516</v>
      </c>
      <c r="C2210" s="59" t="s">
        <v>108</v>
      </c>
      <c r="D2210" s="59" t="s">
        <v>983</v>
      </c>
      <c r="F2210" s="65" t="s">
        <v>13398</v>
      </c>
      <c r="G2210" s="156" t="s">
        <v>13351</v>
      </c>
      <c r="H2210" s="156" t="s">
        <v>13352</v>
      </c>
      <c r="I2210" s="1284" t="s">
        <v>13353</v>
      </c>
      <c r="J2210" s="1579"/>
      <c r="K2210" s="156" t="s">
        <v>131</v>
      </c>
      <c r="L2210" s="53" t="s">
        <v>13254</v>
      </c>
      <c r="M2210" s="156" t="s">
        <v>13259</v>
      </c>
      <c r="N2210" s="156" t="s">
        <v>9858</v>
      </c>
      <c r="O2210" s="153">
        <v>3.0</v>
      </c>
      <c r="P2210" s="379" t="s">
        <v>13222</v>
      </c>
      <c r="Q2210" s="49" t="str">
        <f t="array" ref="Q2210"> if(iserror(MATCH(V2210, 'File Links'!C:C, 0)), "N/A", HYPERLINK(INDEX('File Links'!B:B, MATCH(P2210, 'File Links'!C:C, 0))))</f>
        <v>https://drive.google.com/file/d/1FklynAHzflh7rbxQIU4qTxOz3VBhye8B/view?usp=drivesdk</v>
      </c>
      <c r="R2210" s="156" t="s">
        <v>13223</v>
      </c>
      <c r="S2210" s="156" t="s">
        <v>13224</v>
      </c>
      <c r="T2210" s="156" t="s">
        <v>131</v>
      </c>
      <c r="U2210" s="153">
        <v>2.0</v>
      </c>
      <c r="V2210" s="379" t="s">
        <v>13225</v>
      </c>
      <c r="W2210" s="1225"/>
      <c r="X2210" s="51" t="str">
        <f t="array" ref="X2210"> if(iserror(MATCH(V2210, 'File Links'!C:C, 0)), "N/A", HYPERLINK(INDEX('File Links'!B:B, MATCH(V2210, 'File Links'!C:C, 0))))</f>
        <v>https://drive.google.com/file/d/1hYNUJrx3yjyMoTgcG7Qz4pix-8ruWFMC/view?usp=drivesdk</v>
      </c>
      <c r="Y2210" s="156" t="s">
        <v>131</v>
      </c>
      <c r="Z2210" s="156" t="s">
        <v>219</v>
      </c>
      <c r="AA2210" s="156" t="s">
        <v>13226</v>
      </c>
      <c r="AB2210" s="156" t="s">
        <v>13355</v>
      </c>
      <c r="AC2210" s="156" t="s">
        <v>13399</v>
      </c>
      <c r="AD2210" s="156" t="s">
        <v>13400</v>
      </c>
      <c r="AE2210" s="156" t="s">
        <v>597</v>
      </c>
      <c r="AF2210" s="153">
        <v>471.0</v>
      </c>
      <c r="AG2210" s="153">
        <v>0.303</v>
      </c>
      <c r="AH2210" s="156" t="s">
        <v>166</v>
      </c>
      <c r="AI2210" s="156" t="s">
        <v>597</v>
      </c>
      <c r="AJ2210" s="153">
        <v>0.001</v>
      </c>
      <c r="AK2210" s="156" t="s">
        <v>128</v>
      </c>
      <c r="AL2210" s="156" t="s">
        <v>129</v>
      </c>
      <c r="AM2210" s="156" t="s">
        <v>130</v>
      </c>
      <c r="AN2210" s="156" t="s">
        <v>131</v>
      </c>
      <c r="AO2210" s="153">
        <v>3683.0</v>
      </c>
      <c r="AP2210" s="153">
        <v>1.11</v>
      </c>
      <c r="AQ2210" s="156" t="s">
        <v>715</v>
      </c>
      <c r="AR2210" s="156" t="s">
        <v>617</v>
      </c>
      <c r="AS2210" s="153">
        <v>0.004</v>
      </c>
      <c r="AT2210" s="156" t="s">
        <v>165</v>
      </c>
      <c r="AU2210" s="156" t="s">
        <v>129</v>
      </c>
      <c r="AV2210" s="156" t="s">
        <v>130</v>
      </c>
      <c r="AW2210" s="1999" t="s">
        <v>13229</v>
      </c>
      <c r="AX2210" s="156" t="s">
        <v>431</v>
      </c>
      <c r="AZ2210" s="1432" t="s">
        <v>13366</v>
      </c>
    </row>
    <row r="2211">
      <c r="A2211" s="41">
        <v>2211.0</v>
      </c>
      <c r="B2211" s="126" t="s">
        <v>516</v>
      </c>
      <c r="C2211" s="59" t="s">
        <v>108</v>
      </c>
      <c r="D2211" s="59" t="s">
        <v>169</v>
      </c>
      <c r="F2211" s="126" t="s">
        <v>13398</v>
      </c>
      <c r="G2211" s="126" t="s">
        <v>13401</v>
      </c>
      <c r="H2211" s="148" t="s">
        <v>7218</v>
      </c>
      <c r="I2211" s="158" t="s">
        <v>13262</v>
      </c>
      <c r="J2211" s="1579"/>
      <c r="K2211" s="156"/>
      <c r="L2211" s="126" t="s">
        <v>13368</v>
      </c>
      <c r="M2211" s="126" t="s">
        <v>13259</v>
      </c>
      <c r="N2211" s="126" t="s">
        <v>9858</v>
      </c>
      <c r="O2211" s="498">
        <v>3.0</v>
      </c>
      <c r="P2211" s="306" t="s">
        <v>13222</v>
      </c>
      <c r="Q2211" s="49" t="str">
        <f t="array" ref="Q2211"> if(iserror(MATCH(V2211, 'File Links'!C:C, 0)), "N/A", HYPERLINK(INDEX('File Links'!B:B, MATCH(P2211, 'File Links'!C:C, 0))))</f>
        <v>https://drive.google.com/file/d/1FklynAHzflh7rbxQIU4qTxOz3VBhye8B/view?usp=drivesdk</v>
      </c>
      <c r="R2211" s="1689" t="s">
        <v>13223</v>
      </c>
      <c r="S2211" s="126" t="s">
        <v>13224</v>
      </c>
      <c r="T2211" s="1371"/>
      <c r="U2211" s="333"/>
      <c r="V2211" s="148" t="s">
        <v>13225</v>
      </c>
      <c r="W2211" s="156"/>
      <c r="X2211" s="51" t="str">
        <f t="array" ref="X2211"> if(iserror(MATCH(V2211, 'File Links'!C:C, 0)), "N/A", HYPERLINK(INDEX('File Links'!B:B, MATCH(V2211, 'File Links'!C:C, 0))))</f>
        <v>https://drive.google.com/file/d/1hYNUJrx3yjyMoTgcG7Qz4pix-8ruWFMC/view?usp=drivesdk</v>
      </c>
      <c r="Y2211" s="65"/>
      <c r="Z2211" s="148" t="s">
        <v>219</v>
      </c>
      <c r="AA2211" s="126" t="s">
        <v>13226</v>
      </c>
      <c r="AB2211" s="148" t="s">
        <v>13359</v>
      </c>
      <c r="AC2211" s="148" t="s">
        <v>13402</v>
      </c>
      <c r="AD2211" s="148" t="s">
        <v>13403</v>
      </c>
      <c r="AE2211" s="148" t="s">
        <v>597</v>
      </c>
      <c r="AF2211" s="158">
        <v>554.0</v>
      </c>
      <c r="AG2211" s="158" t="s">
        <v>13404</v>
      </c>
      <c r="AH2211" s="148" t="s">
        <v>127</v>
      </c>
      <c r="AI2211" s="148" t="s">
        <v>4966</v>
      </c>
      <c r="AJ2211" s="158">
        <v>0.05</v>
      </c>
      <c r="AK2211" s="148" t="s">
        <v>128</v>
      </c>
      <c r="AL2211" s="148" t="s">
        <v>179</v>
      </c>
      <c r="AM2211" s="126" t="s">
        <v>130</v>
      </c>
      <c r="AN2211" s="65"/>
      <c r="AO2211" s="158">
        <v>2644.0</v>
      </c>
      <c r="AP2211" s="153"/>
      <c r="AQ2211" s="156"/>
      <c r="AR2211" s="148" t="s">
        <v>13372</v>
      </c>
      <c r="AS2211" s="153"/>
      <c r="AT2211" s="156"/>
      <c r="AU2211" s="156"/>
      <c r="AV2211" s="65"/>
      <c r="AW2211" s="432"/>
      <c r="AX2211" s="126" t="s">
        <v>144</v>
      </c>
      <c r="AZ2211" s="1432" t="s">
        <v>13366</v>
      </c>
    </row>
    <row r="2212">
      <c r="A2212" s="41">
        <v>2212.0</v>
      </c>
      <c r="B2212" s="126" t="s">
        <v>516</v>
      </c>
      <c r="C2212" s="59" t="s">
        <v>108</v>
      </c>
      <c r="D2212" s="59" t="s">
        <v>983</v>
      </c>
      <c r="F2212" s="65" t="s">
        <v>13405</v>
      </c>
      <c r="G2212" s="156" t="s">
        <v>13351</v>
      </c>
      <c r="H2212" s="156" t="s">
        <v>13352</v>
      </c>
      <c r="I2212" s="1284" t="s">
        <v>13353</v>
      </c>
      <c r="J2212" s="1579"/>
      <c r="K2212" s="156" t="s">
        <v>131</v>
      </c>
      <c r="L2212" s="53" t="s">
        <v>13254</v>
      </c>
      <c r="M2212" s="156" t="s">
        <v>13259</v>
      </c>
      <c r="N2212" s="156" t="s">
        <v>9858</v>
      </c>
      <c r="O2212" s="153">
        <v>3.0</v>
      </c>
      <c r="P2212" s="379" t="s">
        <v>13222</v>
      </c>
      <c r="Q2212" s="49" t="str">
        <f t="array" ref="Q2212"> if(iserror(MATCH(V2212, 'File Links'!C:C, 0)), "N/A", HYPERLINK(INDEX('File Links'!B:B, MATCH(P2212, 'File Links'!C:C, 0))))</f>
        <v>https://drive.google.com/file/d/1FklynAHzflh7rbxQIU4qTxOz3VBhye8B/view?usp=drivesdk</v>
      </c>
      <c r="R2212" s="156" t="s">
        <v>13223</v>
      </c>
      <c r="S2212" s="156" t="s">
        <v>13224</v>
      </c>
      <c r="T2212" s="156" t="s">
        <v>131</v>
      </c>
      <c r="U2212" s="153">
        <v>2.0</v>
      </c>
      <c r="V2212" s="379" t="s">
        <v>13225</v>
      </c>
      <c r="W2212" s="1225"/>
      <c r="X2212" s="51" t="str">
        <f t="array" ref="X2212"> if(iserror(MATCH(V2212, 'File Links'!C:C, 0)), "N/A", HYPERLINK(INDEX('File Links'!B:B, MATCH(V2212, 'File Links'!C:C, 0))))</f>
        <v>https://drive.google.com/file/d/1hYNUJrx3yjyMoTgcG7Qz4pix-8ruWFMC/view?usp=drivesdk</v>
      </c>
      <c r="Y2212" s="156" t="s">
        <v>131</v>
      </c>
      <c r="Z2212" s="156" t="s">
        <v>219</v>
      </c>
      <c r="AA2212" s="156" t="s">
        <v>13226</v>
      </c>
      <c r="AB2212" s="156" t="s">
        <v>13355</v>
      </c>
      <c r="AC2212" s="156" t="s">
        <v>13406</v>
      </c>
      <c r="AD2212" s="156" t="s">
        <v>13400</v>
      </c>
      <c r="AE2212" s="156" t="s">
        <v>597</v>
      </c>
      <c r="AF2212" s="153">
        <v>384.0</v>
      </c>
      <c r="AG2212" s="153">
        <v>0.265</v>
      </c>
      <c r="AH2212" s="156" t="s">
        <v>166</v>
      </c>
      <c r="AI2212" s="156" t="s">
        <v>597</v>
      </c>
      <c r="AJ2212" s="153">
        <v>0.001</v>
      </c>
      <c r="AK2212" s="156" t="s">
        <v>128</v>
      </c>
      <c r="AL2212" s="156" t="s">
        <v>129</v>
      </c>
      <c r="AM2212" s="156" t="s">
        <v>130</v>
      </c>
      <c r="AN2212" s="156" t="s">
        <v>131</v>
      </c>
      <c r="AO2212" s="153">
        <v>3683.0</v>
      </c>
      <c r="AP2212" s="153">
        <v>1.11</v>
      </c>
      <c r="AQ2212" s="156" t="s">
        <v>715</v>
      </c>
      <c r="AR2212" s="156" t="s">
        <v>617</v>
      </c>
      <c r="AS2212" s="153">
        <v>0.004</v>
      </c>
      <c r="AT2212" s="156" t="s">
        <v>165</v>
      </c>
      <c r="AU2212" s="156" t="s">
        <v>129</v>
      </c>
      <c r="AV2212" s="156" t="s">
        <v>130</v>
      </c>
      <c r="AW2212" s="1999" t="s">
        <v>13229</v>
      </c>
      <c r="AX2212" s="156" t="s">
        <v>431</v>
      </c>
      <c r="AZ2212" s="1432" t="s">
        <v>13366</v>
      </c>
    </row>
    <row r="2213">
      <c r="A2213" s="41">
        <v>2213.0</v>
      </c>
      <c r="B2213" s="126" t="s">
        <v>516</v>
      </c>
      <c r="C2213" s="59" t="s">
        <v>108</v>
      </c>
      <c r="D2213" s="59" t="s">
        <v>169</v>
      </c>
      <c r="F2213" s="126" t="s">
        <v>13405</v>
      </c>
      <c r="G2213" s="126" t="s">
        <v>13407</v>
      </c>
      <c r="H2213" s="148" t="s">
        <v>7218</v>
      </c>
      <c r="I2213" s="158" t="s">
        <v>13262</v>
      </c>
      <c r="J2213" s="1579"/>
      <c r="K2213" s="156"/>
      <c r="L2213" s="126" t="s">
        <v>13408</v>
      </c>
      <c r="M2213" s="126" t="s">
        <v>13259</v>
      </c>
      <c r="N2213" s="126" t="s">
        <v>9858</v>
      </c>
      <c r="O2213" s="498">
        <v>3.0</v>
      </c>
      <c r="P2213" s="306" t="s">
        <v>13222</v>
      </c>
      <c r="Q2213" s="49" t="str">
        <f t="array" ref="Q2213"> if(iserror(MATCH(V2213, 'File Links'!C:C, 0)), "N/A", HYPERLINK(INDEX('File Links'!B:B, MATCH(P2213, 'File Links'!C:C, 0))))</f>
        <v>https://drive.google.com/file/d/1FklynAHzflh7rbxQIU4qTxOz3VBhye8B/view?usp=drivesdk</v>
      </c>
      <c r="R2213" s="1689" t="s">
        <v>13223</v>
      </c>
      <c r="S2213" s="126" t="s">
        <v>13224</v>
      </c>
      <c r="T2213" s="1371"/>
      <c r="U2213" s="333"/>
      <c r="V2213" s="148" t="s">
        <v>13225</v>
      </c>
      <c r="W2213" s="156"/>
      <c r="X2213" s="51" t="str">
        <f t="array" ref="X2213"> if(iserror(MATCH(V2213, 'File Links'!C:C, 0)), "N/A", HYPERLINK(INDEX('File Links'!B:B, MATCH(V2213, 'File Links'!C:C, 0))))</f>
        <v>https://drive.google.com/file/d/1hYNUJrx3yjyMoTgcG7Qz4pix-8ruWFMC/view?usp=drivesdk</v>
      </c>
      <c r="Y2213" s="65"/>
      <c r="Z2213" s="148" t="s">
        <v>219</v>
      </c>
      <c r="AA2213" s="126" t="s">
        <v>13226</v>
      </c>
      <c r="AB2213" s="148" t="s">
        <v>13359</v>
      </c>
      <c r="AC2213" s="148" t="s">
        <v>13409</v>
      </c>
      <c r="AD2213" s="148" t="s">
        <v>13410</v>
      </c>
      <c r="AE2213" s="148" t="s">
        <v>597</v>
      </c>
      <c r="AF2213" s="158">
        <v>554.0</v>
      </c>
      <c r="AG2213" s="158" t="s">
        <v>13411</v>
      </c>
      <c r="AH2213" s="148" t="s">
        <v>127</v>
      </c>
      <c r="AI2213" s="148" t="s">
        <v>4966</v>
      </c>
      <c r="AJ2213" s="158">
        <v>0.05</v>
      </c>
      <c r="AK2213" s="148" t="s">
        <v>128</v>
      </c>
      <c r="AL2213" s="148" t="s">
        <v>179</v>
      </c>
      <c r="AM2213" s="126" t="s">
        <v>130</v>
      </c>
      <c r="AN2213" s="65"/>
      <c r="AO2213" s="158">
        <v>2644.0</v>
      </c>
      <c r="AP2213" s="158">
        <v>0.91</v>
      </c>
      <c r="AQ2213" s="148" t="s">
        <v>127</v>
      </c>
      <c r="AR2213" s="148" t="s">
        <v>13372</v>
      </c>
      <c r="AS2213" s="158">
        <v>0.363</v>
      </c>
      <c r="AT2213" s="148" t="s">
        <v>165</v>
      </c>
      <c r="AU2213" s="148" t="s">
        <v>179</v>
      </c>
      <c r="AV2213" s="126" t="s">
        <v>130</v>
      </c>
      <c r="AW2213" s="432"/>
      <c r="AX2213" s="126" t="s">
        <v>144</v>
      </c>
      <c r="AZ2213" s="1432" t="s">
        <v>13366</v>
      </c>
    </row>
    <row r="2214">
      <c r="A2214" s="41">
        <v>2214.0</v>
      </c>
      <c r="B2214" s="126" t="s">
        <v>516</v>
      </c>
      <c r="C2214" s="59" t="s">
        <v>108</v>
      </c>
      <c r="D2214" s="59" t="s">
        <v>983</v>
      </c>
      <c r="F2214" s="65" t="s">
        <v>13412</v>
      </c>
      <c r="G2214" s="156" t="s">
        <v>13351</v>
      </c>
      <c r="H2214" s="156" t="s">
        <v>13352</v>
      </c>
      <c r="I2214" s="1284" t="s">
        <v>13353</v>
      </c>
      <c r="J2214" s="1579"/>
      <c r="K2214" s="156" t="s">
        <v>131</v>
      </c>
      <c r="L2214" s="53" t="s">
        <v>13254</v>
      </c>
      <c r="M2214" s="156" t="s">
        <v>13259</v>
      </c>
      <c r="N2214" s="156" t="s">
        <v>9858</v>
      </c>
      <c r="O2214" s="153">
        <v>3.0</v>
      </c>
      <c r="P2214" s="379" t="s">
        <v>13222</v>
      </c>
      <c r="Q2214" s="49" t="str">
        <f t="array" ref="Q2214"> if(iserror(MATCH(V2214, 'File Links'!C:C, 0)), "N/A", HYPERLINK(INDEX('File Links'!B:B, MATCH(P2214, 'File Links'!C:C, 0))))</f>
        <v>https://drive.google.com/file/d/1FklynAHzflh7rbxQIU4qTxOz3VBhye8B/view?usp=drivesdk</v>
      </c>
      <c r="R2214" s="156" t="s">
        <v>13223</v>
      </c>
      <c r="S2214" s="156" t="s">
        <v>13224</v>
      </c>
      <c r="T2214" s="156" t="s">
        <v>131</v>
      </c>
      <c r="U2214" s="153">
        <v>2.0</v>
      </c>
      <c r="V2214" s="379" t="s">
        <v>13225</v>
      </c>
      <c r="W2214" s="1225"/>
      <c r="X2214" s="51" t="str">
        <f t="array" ref="X2214"> if(iserror(MATCH(V2214, 'File Links'!C:C, 0)), "N/A", HYPERLINK(INDEX('File Links'!B:B, MATCH(V2214, 'File Links'!C:C, 0))))</f>
        <v>https://drive.google.com/file/d/1hYNUJrx3yjyMoTgcG7Qz4pix-8ruWFMC/view?usp=drivesdk</v>
      </c>
      <c r="Y2214" s="156" t="s">
        <v>131</v>
      </c>
      <c r="Z2214" s="156" t="s">
        <v>219</v>
      </c>
      <c r="AA2214" s="156" t="s">
        <v>13226</v>
      </c>
      <c r="AB2214" s="156" t="s">
        <v>13355</v>
      </c>
      <c r="AC2214" s="156" t="s">
        <v>13413</v>
      </c>
      <c r="AD2214" s="156" t="s">
        <v>13414</v>
      </c>
      <c r="AE2214" s="156" t="s">
        <v>597</v>
      </c>
      <c r="AF2214" s="153">
        <v>471.0</v>
      </c>
      <c r="AG2214" s="153">
        <v>0.26</v>
      </c>
      <c r="AH2214" s="156" t="s">
        <v>166</v>
      </c>
      <c r="AI2214" s="156" t="s">
        <v>597</v>
      </c>
      <c r="AJ2214" s="153">
        <v>0.005</v>
      </c>
      <c r="AK2214" s="156" t="s">
        <v>128</v>
      </c>
      <c r="AL2214" s="156" t="s">
        <v>129</v>
      </c>
      <c r="AM2214" s="156" t="s">
        <v>130</v>
      </c>
      <c r="AN2214" s="156" t="s">
        <v>131</v>
      </c>
      <c r="AO2214" s="153">
        <v>3683.0</v>
      </c>
      <c r="AP2214" s="153">
        <v>1.05</v>
      </c>
      <c r="AQ2214" s="156" t="s">
        <v>715</v>
      </c>
      <c r="AR2214" s="156" t="s">
        <v>617</v>
      </c>
      <c r="AS2214" s="153">
        <v>0.219</v>
      </c>
      <c r="AT2214" s="156" t="s">
        <v>165</v>
      </c>
      <c r="AU2214" s="156" t="s">
        <v>129</v>
      </c>
      <c r="AV2214" s="156" t="s">
        <v>130</v>
      </c>
      <c r="AW2214" s="1999" t="s">
        <v>13229</v>
      </c>
      <c r="AX2214" s="156" t="s">
        <v>431</v>
      </c>
      <c r="AZ2214" s="1432" t="s">
        <v>13366</v>
      </c>
    </row>
    <row r="2215">
      <c r="A2215" s="41">
        <v>2215.0</v>
      </c>
      <c r="B2215" s="126" t="s">
        <v>516</v>
      </c>
      <c r="C2215" s="59" t="s">
        <v>108</v>
      </c>
      <c r="D2215" s="59" t="s">
        <v>169</v>
      </c>
      <c r="F2215" s="126" t="s">
        <v>13412</v>
      </c>
      <c r="G2215" s="126" t="s">
        <v>13415</v>
      </c>
      <c r="H2215" s="148" t="s">
        <v>7218</v>
      </c>
      <c r="I2215" s="158" t="s">
        <v>13262</v>
      </c>
      <c r="J2215" s="1579"/>
      <c r="K2215" s="156"/>
      <c r="L2215" s="126" t="s">
        <v>13408</v>
      </c>
      <c r="M2215" s="126" t="s">
        <v>13259</v>
      </c>
      <c r="N2215" s="126" t="s">
        <v>9858</v>
      </c>
      <c r="O2215" s="498">
        <v>3.0</v>
      </c>
      <c r="P2215" s="306" t="s">
        <v>13222</v>
      </c>
      <c r="Q2215" s="49" t="str">
        <f t="array" ref="Q2215"> if(iserror(MATCH(V2215, 'File Links'!C:C, 0)), "N/A", HYPERLINK(INDEX('File Links'!B:B, MATCH(P2215, 'File Links'!C:C, 0))))</f>
        <v>https://drive.google.com/file/d/1FklynAHzflh7rbxQIU4qTxOz3VBhye8B/view?usp=drivesdk</v>
      </c>
      <c r="R2215" s="1689" t="s">
        <v>13223</v>
      </c>
      <c r="S2215" s="126" t="s">
        <v>13224</v>
      </c>
      <c r="T2215" s="1371"/>
      <c r="U2215" s="333"/>
      <c r="V2215" s="148" t="s">
        <v>13225</v>
      </c>
      <c r="W2215" s="156"/>
      <c r="X2215" s="51" t="str">
        <f t="array" ref="X2215"> if(iserror(MATCH(V2215, 'File Links'!C:C, 0)), "N/A", HYPERLINK(INDEX('File Links'!B:B, MATCH(V2215, 'File Links'!C:C, 0))))</f>
        <v>https://drive.google.com/file/d/1hYNUJrx3yjyMoTgcG7Qz4pix-8ruWFMC/view?usp=drivesdk</v>
      </c>
      <c r="Y2215" s="65"/>
      <c r="Z2215" s="148" t="s">
        <v>219</v>
      </c>
      <c r="AA2215" s="126" t="s">
        <v>13226</v>
      </c>
      <c r="AB2215" s="148" t="s">
        <v>13359</v>
      </c>
      <c r="AC2215" s="148" t="s">
        <v>13416</v>
      </c>
      <c r="AD2215" s="148" t="s">
        <v>13417</v>
      </c>
      <c r="AE2215" s="148" t="s">
        <v>597</v>
      </c>
      <c r="AF2215" s="158">
        <v>554.0</v>
      </c>
      <c r="AG2215" s="158" t="s">
        <v>13418</v>
      </c>
      <c r="AH2215" s="148" t="s">
        <v>127</v>
      </c>
      <c r="AI2215" s="148" t="s">
        <v>4966</v>
      </c>
      <c r="AJ2215" s="158">
        <v>0.005</v>
      </c>
      <c r="AK2215" s="148" t="s">
        <v>128</v>
      </c>
      <c r="AL2215" s="148" t="s">
        <v>179</v>
      </c>
      <c r="AM2215" s="126" t="s">
        <v>130</v>
      </c>
      <c r="AN2215" s="65"/>
      <c r="AO2215" s="158">
        <v>2644.0</v>
      </c>
      <c r="AP2215" s="158">
        <v>1.91</v>
      </c>
      <c r="AQ2215" s="148" t="s">
        <v>127</v>
      </c>
      <c r="AR2215" s="148" t="s">
        <v>13372</v>
      </c>
      <c r="AS2215" s="158">
        <v>0.56</v>
      </c>
      <c r="AT2215" s="148" t="s">
        <v>165</v>
      </c>
      <c r="AU2215" s="148" t="s">
        <v>179</v>
      </c>
      <c r="AV2215" s="126" t="s">
        <v>130</v>
      </c>
      <c r="AW2215" s="432"/>
      <c r="AX2215" s="126" t="s">
        <v>144</v>
      </c>
      <c r="AZ2215" s="1432" t="s">
        <v>13366</v>
      </c>
    </row>
    <row r="2216">
      <c r="A2216" s="41">
        <v>2216.0</v>
      </c>
      <c r="B2216" s="126" t="s">
        <v>516</v>
      </c>
      <c r="C2216" s="59" t="s">
        <v>108</v>
      </c>
      <c r="D2216" s="59" t="s">
        <v>983</v>
      </c>
      <c r="F2216" s="65" t="s">
        <v>13419</v>
      </c>
      <c r="G2216" s="156" t="s">
        <v>13351</v>
      </c>
      <c r="H2216" s="156" t="s">
        <v>13352</v>
      </c>
      <c r="I2216" s="1284" t="s">
        <v>13353</v>
      </c>
      <c r="J2216" s="1579"/>
      <c r="K2216" s="156" t="s">
        <v>131</v>
      </c>
      <c r="L2216" s="53" t="s">
        <v>13254</v>
      </c>
      <c r="M2216" s="156" t="s">
        <v>13259</v>
      </c>
      <c r="N2216" s="156" t="s">
        <v>9858</v>
      </c>
      <c r="O2216" s="153">
        <v>3.0</v>
      </c>
      <c r="P2216" s="379" t="s">
        <v>13222</v>
      </c>
      <c r="Q2216" s="49" t="str">
        <f t="array" ref="Q2216"> if(iserror(MATCH(V2216, 'File Links'!C:C, 0)), "N/A", HYPERLINK(INDEX('File Links'!B:B, MATCH(P2216, 'File Links'!C:C, 0))))</f>
        <v>https://drive.google.com/file/d/1FklynAHzflh7rbxQIU4qTxOz3VBhye8B/view?usp=drivesdk</v>
      </c>
      <c r="R2216" s="156" t="s">
        <v>13223</v>
      </c>
      <c r="S2216" s="156" t="s">
        <v>13224</v>
      </c>
      <c r="T2216" s="156" t="s">
        <v>131</v>
      </c>
      <c r="U2216" s="153">
        <v>2.0</v>
      </c>
      <c r="V2216" s="379" t="s">
        <v>13225</v>
      </c>
      <c r="W2216" s="1225"/>
      <c r="X2216" s="51" t="str">
        <f t="array" ref="X2216"> if(iserror(MATCH(V2216, 'File Links'!C:C, 0)), "N/A", HYPERLINK(INDEX('File Links'!B:B, MATCH(V2216, 'File Links'!C:C, 0))))</f>
        <v>https://drive.google.com/file/d/1hYNUJrx3yjyMoTgcG7Qz4pix-8ruWFMC/view?usp=drivesdk</v>
      </c>
      <c r="Y2216" s="156" t="s">
        <v>131</v>
      </c>
      <c r="Z2216" s="156" t="s">
        <v>219</v>
      </c>
      <c r="AA2216" s="156" t="s">
        <v>13226</v>
      </c>
      <c r="AB2216" s="156" t="s">
        <v>13355</v>
      </c>
      <c r="AC2216" s="156" t="s">
        <v>13420</v>
      </c>
      <c r="AD2216" s="156" t="s">
        <v>13414</v>
      </c>
      <c r="AE2216" s="156" t="s">
        <v>597</v>
      </c>
      <c r="AF2216" s="153">
        <v>384.0</v>
      </c>
      <c r="AG2216" s="153">
        <v>0.05</v>
      </c>
      <c r="AH2216" s="156" t="s">
        <v>166</v>
      </c>
      <c r="AI2216" s="156" t="s">
        <v>597</v>
      </c>
      <c r="AJ2216" s="153">
        <v>0.05</v>
      </c>
      <c r="AK2216" s="156" t="s">
        <v>328</v>
      </c>
      <c r="AL2216" s="156" t="s">
        <v>129</v>
      </c>
      <c r="AM2216" s="156" t="s">
        <v>130</v>
      </c>
      <c r="AN2216" s="156" t="s">
        <v>131</v>
      </c>
      <c r="AO2216" s="153">
        <v>3683.0</v>
      </c>
      <c r="AP2216" s="153">
        <v>1.05</v>
      </c>
      <c r="AQ2216" s="156" t="s">
        <v>715</v>
      </c>
      <c r="AR2216" s="156" t="s">
        <v>617</v>
      </c>
      <c r="AS2216" s="153">
        <v>0.219</v>
      </c>
      <c r="AT2216" s="156" t="s">
        <v>165</v>
      </c>
      <c r="AU2216" s="156" t="s">
        <v>129</v>
      </c>
      <c r="AV2216" s="156" t="s">
        <v>130</v>
      </c>
      <c r="AW2216" s="1999" t="s">
        <v>13229</v>
      </c>
      <c r="AX2216" s="156" t="s">
        <v>431</v>
      </c>
      <c r="AZ2216" s="1432" t="s">
        <v>13366</v>
      </c>
    </row>
    <row r="2217">
      <c r="A2217" s="41">
        <v>2217.0</v>
      </c>
      <c r="B2217" s="126" t="s">
        <v>516</v>
      </c>
      <c r="C2217" s="59" t="s">
        <v>108</v>
      </c>
      <c r="D2217" s="59" t="s">
        <v>169</v>
      </c>
      <c r="F2217" s="126" t="s">
        <v>13419</v>
      </c>
      <c r="G2217" s="126" t="s">
        <v>13421</v>
      </c>
      <c r="H2217" s="148" t="s">
        <v>7218</v>
      </c>
      <c r="I2217" s="158" t="s">
        <v>13262</v>
      </c>
      <c r="J2217" s="1579"/>
      <c r="K2217" s="156"/>
      <c r="L2217" s="126" t="s">
        <v>13368</v>
      </c>
      <c r="M2217" s="126" t="s">
        <v>13259</v>
      </c>
      <c r="N2217" s="126" t="s">
        <v>9858</v>
      </c>
      <c r="O2217" s="498">
        <v>3.0</v>
      </c>
      <c r="P2217" s="306" t="s">
        <v>13222</v>
      </c>
      <c r="Q2217" s="49" t="str">
        <f t="array" ref="Q2217"> if(iserror(MATCH(V2217, 'File Links'!C:C, 0)), "N/A", HYPERLINK(INDEX('File Links'!B:B, MATCH(P2217, 'File Links'!C:C, 0))))</f>
        <v>https://drive.google.com/file/d/1FklynAHzflh7rbxQIU4qTxOz3VBhye8B/view?usp=drivesdk</v>
      </c>
      <c r="R2217" s="1689" t="s">
        <v>13223</v>
      </c>
      <c r="S2217" s="126" t="s">
        <v>13224</v>
      </c>
      <c r="T2217" s="1371"/>
      <c r="U2217" s="333"/>
      <c r="V2217" s="148" t="s">
        <v>13225</v>
      </c>
      <c r="W2217" s="156"/>
      <c r="X2217" s="51" t="str">
        <f t="array" ref="X2217"> if(iserror(MATCH(V2217, 'File Links'!C:C, 0)), "N/A", HYPERLINK(INDEX('File Links'!B:B, MATCH(V2217, 'File Links'!C:C, 0))))</f>
        <v>https://drive.google.com/file/d/1hYNUJrx3yjyMoTgcG7Qz4pix-8ruWFMC/view?usp=drivesdk</v>
      </c>
      <c r="Y2217" s="65"/>
      <c r="Z2217" s="148" t="s">
        <v>219</v>
      </c>
      <c r="AA2217" s="126" t="s">
        <v>13226</v>
      </c>
      <c r="AB2217" s="148" t="s">
        <v>13359</v>
      </c>
      <c r="AC2217" s="148" t="s">
        <v>13422</v>
      </c>
      <c r="AD2217" s="148" t="s">
        <v>13423</v>
      </c>
      <c r="AE2217" s="148" t="s">
        <v>597</v>
      </c>
      <c r="AF2217" s="158">
        <v>554.0</v>
      </c>
      <c r="AG2217" s="158" t="s">
        <v>13424</v>
      </c>
      <c r="AH2217" s="148" t="s">
        <v>127</v>
      </c>
      <c r="AI2217" s="148" t="s">
        <v>4966</v>
      </c>
      <c r="AJ2217" s="158">
        <v>0.05</v>
      </c>
      <c r="AK2217" s="148" t="s">
        <v>128</v>
      </c>
      <c r="AL2217" s="148" t="s">
        <v>179</v>
      </c>
      <c r="AM2217" s="126" t="s">
        <v>130</v>
      </c>
      <c r="AN2217" s="65"/>
      <c r="AO2217" s="158">
        <v>2644.0</v>
      </c>
      <c r="AP2217" s="153"/>
      <c r="AQ2217" s="156"/>
      <c r="AR2217" s="148" t="s">
        <v>13372</v>
      </c>
      <c r="AS2217" s="153"/>
      <c r="AT2217" s="156"/>
      <c r="AU2217" s="156"/>
      <c r="AV2217" s="65"/>
      <c r="AW2217" s="432"/>
      <c r="AX2217" s="126" t="s">
        <v>144</v>
      </c>
      <c r="AZ2217" s="1432" t="s">
        <v>13366</v>
      </c>
    </row>
    <row r="2218">
      <c r="A2218" s="41">
        <v>2218.0</v>
      </c>
      <c r="B2218" s="126" t="s">
        <v>516</v>
      </c>
      <c r="C2218" s="59" t="s">
        <v>108</v>
      </c>
      <c r="D2218" s="59" t="s">
        <v>983</v>
      </c>
      <c r="F2218" s="65" t="s">
        <v>13425</v>
      </c>
      <c r="G2218" s="156" t="s">
        <v>13351</v>
      </c>
      <c r="H2218" s="156" t="s">
        <v>13352</v>
      </c>
      <c r="I2218" s="1284" t="s">
        <v>13353</v>
      </c>
      <c r="J2218" s="1579"/>
      <c r="K2218" s="156" t="s">
        <v>131</v>
      </c>
      <c r="L2218" s="53" t="s">
        <v>13254</v>
      </c>
      <c r="M2218" s="156" t="s">
        <v>13259</v>
      </c>
      <c r="N2218" s="156" t="s">
        <v>9858</v>
      </c>
      <c r="O2218" s="153">
        <v>3.0</v>
      </c>
      <c r="P2218" s="379" t="s">
        <v>13222</v>
      </c>
      <c r="Q2218" s="49" t="str">
        <f t="array" ref="Q2218"> if(iserror(MATCH(V2218, 'File Links'!C:C, 0)), "N/A", HYPERLINK(INDEX('File Links'!B:B, MATCH(P2218, 'File Links'!C:C, 0))))</f>
        <v>https://drive.google.com/file/d/1FklynAHzflh7rbxQIU4qTxOz3VBhye8B/view?usp=drivesdk</v>
      </c>
      <c r="R2218" s="156" t="s">
        <v>13223</v>
      </c>
      <c r="S2218" s="156" t="s">
        <v>13224</v>
      </c>
      <c r="T2218" s="156" t="s">
        <v>131</v>
      </c>
      <c r="U2218" s="153">
        <v>2.0</v>
      </c>
      <c r="V2218" s="379" t="s">
        <v>13225</v>
      </c>
      <c r="W2218" s="1225"/>
      <c r="X2218" s="51" t="str">
        <f t="array" ref="X2218"> if(iserror(MATCH(V2218, 'File Links'!C:C, 0)), "N/A", HYPERLINK(INDEX('File Links'!B:B, MATCH(V2218, 'File Links'!C:C, 0))))</f>
        <v>https://drive.google.com/file/d/1hYNUJrx3yjyMoTgcG7Qz4pix-8ruWFMC/view?usp=drivesdk</v>
      </c>
      <c r="Y2218" s="156" t="s">
        <v>131</v>
      </c>
      <c r="Z2218" s="156" t="s">
        <v>219</v>
      </c>
      <c r="AA2218" s="156" t="s">
        <v>13226</v>
      </c>
      <c r="AB2218" s="156" t="s">
        <v>13355</v>
      </c>
      <c r="AC2218" s="156" t="s">
        <v>13426</v>
      </c>
      <c r="AD2218" s="156" t="s">
        <v>13386</v>
      </c>
      <c r="AE2218" s="156" t="s">
        <v>4966</v>
      </c>
      <c r="AF2218" s="153">
        <v>471.0</v>
      </c>
      <c r="AG2218" s="153">
        <v>0.287</v>
      </c>
      <c r="AH2218" s="156" t="s">
        <v>166</v>
      </c>
      <c r="AI2218" s="156" t="s">
        <v>4966</v>
      </c>
      <c r="AJ2218" s="153">
        <v>0.05</v>
      </c>
      <c r="AK2218" s="156" t="s">
        <v>128</v>
      </c>
      <c r="AL2218" s="156" t="s">
        <v>129</v>
      </c>
      <c r="AM2218" s="156" t="s">
        <v>130</v>
      </c>
      <c r="AN2218" s="156" t="s">
        <v>131</v>
      </c>
      <c r="AO2218" s="153">
        <v>3683.0</v>
      </c>
      <c r="AP2218" s="153">
        <v>0.07</v>
      </c>
      <c r="AQ2218" s="156" t="s">
        <v>715</v>
      </c>
      <c r="AR2218" s="156" t="s">
        <v>617</v>
      </c>
      <c r="AS2218" s="153">
        <v>0.001</v>
      </c>
      <c r="AT2218" s="156" t="s">
        <v>128</v>
      </c>
      <c r="AU2218" s="156" t="s">
        <v>129</v>
      </c>
      <c r="AV2218" s="156" t="s">
        <v>130</v>
      </c>
      <c r="AW2218" s="1999" t="s">
        <v>13229</v>
      </c>
      <c r="AX2218" s="156" t="s">
        <v>431</v>
      </c>
      <c r="AZ2218" s="1432" t="s">
        <v>13366</v>
      </c>
    </row>
    <row r="2219">
      <c r="A2219" s="41">
        <v>2219.0</v>
      </c>
      <c r="B2219" s="126" t="s">
        <v>516</v>
      </c>
      <c r="C2219" s="59" t="s">
        <v>108</v>
      </c>
      <c r="D2219" s="59" t="s">
        <v>169</v>
      </c>
      <c r="F2219" s="126" t="s">
        <v>13425</v>
      </c>
      <c r="G2219" s="126" t="s">
        <v>13427</v>
      </c>
      <c r="H2219" s="148" t="s">
        <v>7218</v>
      </c>
      <c r="I2219" s="158" t="s">
        <v>13262</v>
      </c>
      <c r="J2219" s="1579"/>
      <c r="K2219" s="156"/>
      <c r="L2219" s="126" t="s">
        <v>13376</v>
      </c>
      <c r="M2219" s="126" t="s">
        <v>13259</v>
      </c>
      <c r="N2219" s="126" t="s">
        <v>9858</v>
      </c>
      <c r="O2219" s="498">
        <v>3.0</v>
      </c>
      <c r="P2219" s="306" t="s">
        <v>13222</v>
      </c>
      <c r="Q2219" s="49" t="str">
        <f t="array" ref="Q2219"> if(iserror(MATCH(V2219, 'File Links'!C:C, 0)), "N/A", HYPERLINK(INDEX('File Links'!B:B, MATCH(P2219, 'File Links'!C:C, 0))))</f>
        <v>https://drive.google.com/file/d/1FklynAHzflh7rbxQIU4qTxOz3VBhye8B/view?usp=drivesdk</v>
      </c>
      <c r="R2219" s="1689" t="s">
        <v>13223</v>
      </c>
      <c r="S2219" s="126" t="s">
        <v>13224</v>
      </c>
      <c r="T2219" s="1371"/>
      <c r="U2219" s="333"/>
      <c r="V2219" s="148" t="s">
        <v>13225</v>
      </c>
      <c r="W2219" s="156"/>
      <c r="X2219" s="51" t="str">
        <f t="array" ref="X2219"> if(iserror(MATCH(V2219, 'File Links'!C:C, 0)), "N/A", HYPERLINK(INDEX('File Links'!B:B, MATCH(V2219, 'File Links'!C:C, 0))))</f>
        <v>https://drive.google.com/file/d/1hYNUJrx3yjyMoTgcG7Qz4pix-8ruWFMC/view?usp=drivesdk</v>
      </c>
      <c r="Y2219" s="65"/>
      <c r="Z2219" s="148" t="s">
        <v>219</v>
      </c>
      <c r="AA2219" s="126" t="s">
        <v>13226</v>
      </c>
      <c r="AB2219" s="148" t="s">
        <v>13359</v>
      </c>
      <c r="AC2219" s="148" t="s">
        <v>13428</v>
      </c>
      <c r="AD2219" s="148" t="s">
        <v>13429</v>
      </c>
      <c r="AE2219" s="148" t="s">
        <v>597</v>
      </c>
      <c r="AF2219" s="158">
        <v>554.0</v>
      </c>
      <c r="AG2219" s="153"/>
      <c r="AH2219" s="156"/>
      <c r="AI2219" s="148" t="s">
        <v>4966</v>
      </c>
      <c r="AJ2219" s="153"/>
      <c r="AK2219" s="156"/>
      <c r="AL2219" s="156"/>
      <c r="AM2219" s="65"/>
      <c r="AN2219" s="65"/>
      <c r="AO2219" s="158">
        <v>2644.0</v>
      </c>
      <c r="AP2219" s="153"/>
      <c r="AQ2219" s="156"/>
      <c r="AR2219" s="148" t="s">
        <v>13372</v>
      </c>
      <c r="AS2219" s="153"/>
      <c r="AT2219" s="156"/>
      <c r="AU2219" s="156"/>
      <c r="AV2219" s="65"/>
      <c r="AW2219" s="432"/>
      <c r="AX2219" s="126" t="s">
        <v>144</v>
      </c>
      <c r="AZ2219" s="1432" t="s">
        <v>13366</v>
      </c>
    </row>
    <row r="2220">
      <c r="A2220" s="41">
        <v>2220.0</v>
      </c>
      <c r="B2220" s="126" t="s">
        <v>516</v>
      </c>
      <c r="C2220" s="59" t="s">
        <v>108</v>
      </c>
      <c r="D2220" s="59" t="s">
        <v>983</v>
      </c>
      <c r="F2220" s="65" t="s">
        <v>13430</v>
      </c>
      <c r="G2220" s="156" t="s">
        <v>13351</v>
      </c>
      <c r="H2220" s="156" t="s">
        <v>13352</v>
      </c>
      <c r="I2220" s="1284" t="s">
        <v>13353</v>
      </c>
      <c r="J2220" s="1579"/>
      <c r="K2220" s="156" t="s">
        <v>131</v>
      </c>
      <c r="L2220" s="53" t="s">
        <v>13254</v>
      </c>
      <c r="M2220" s="156" t="s">
        <v>13221</v>
      </c>
      <c r="N2220" s="156" t="s">
        <v>9858</v>
      </c>
      <c r="O2220" s="153">
        <v>1.0</v>
      </c>
      <c r="P2220" s="379" t="s">
        <v>13222</v>
      </c>
      <c r="Q2220" s="49" t="str">
        <f t="array" ref="Q2220"> if(iserror(MATCH(V2220, 'File Links'!C:C, 0)), "N/A", HYPERLINK(INDEX('File Links'!B:B, MATCH(P2220, 'File Links'!C:C, 0))))</f>
        <v>https://drive.google.com/file/d/1FklynAHzflh7rbxQIU4qTxOz3VBhye8B/view?usp=drivesdk</v>
      </c>
      <c r="R2220" s="156" t="s">
        <v>13223</v>
      </c>
      <c r="S2220" s="156" t="s">
        <v>13224</v>
      </c>
      <c r="T2220" s="156" t="s">
        <v>131</v>
      </c>
      <c r="U2220" s="153">
        <v>2.0</v>
      </c>
      <c r="V2220" s="379" t="s">
        <v>13225</v>
      </c>
      <c r="W2220" s="1225"/>
      <c r="X2220" s="51" t="str">
        <f t="array" ref="X2220"> if(iserror(MATCH(V2220, 'File Links'!C:C, 0)), "N/A", HYPERLINK(INDEX('File Links'!B:B, MATCH(V2220, 'File Links'!C:C, 0))))</f>
        <v>https://drive.google.com/file/d/1hYNUJrx3yjyMoTgcG7Qz4pix-8ruWFMC/view?usp=drivesdk</v>
      </c>
      <c r="Y2220" s="156" t="s">
        <v>131</v>
      </c>
      <c r="Z2220" s="156" t="s">
        <v>219</v>
      </c>
      <c r="AA2220" s="156" t="s">
        <v>13226</v>
      </c>
      <c r="AB2220" s="156" t="s">
        <v>13355</v>
      </c>
      <c r="AC2220" s="156" t="s">
        <v>13431</v>
      </c>
      <c r="AD2220" s="156" t="s">
        <v>13357</v>
      </c>
      <c r="AE2220" s="156" t="s">
        <v>1035</v>
      </c>
      <c r="AF2220" s="153">
        <v>101.0</v>
      </c>
      <c r="AG2220" s="153">
        <v>0.183</v>
      </c>
      <c r="AH2220" s="156" t="s">
        <v>166</v>
      </c>
      <c r="AI2220" s="156" t="s">
        <v>1035</v>
      </c>
      <c r="AJ2220" s="153">
        <v>0.05</v>
      </c>
      <c r="AK2220" s="156" t="s">
        <v>128</v>
      </c>
      <c r="AL2220" s="156" t="s">
        <v>129</v>
      </c>
      <c r="AM2220" s="156" t="s">
        <v>130</v>
      </c>
      <c r="AN2220" s="156" t="s">
        <v>131</v>
      </c>
      <c r="AO2220" s="153">
        <v>3762.0</v>
      </c>
      <c r="AP2220" s="153">
        <v>1.14</v>
      </c>
      <c r="AQ2220" s="156" t="s">
        <v>715</v>
      </c>
      <c r="AR2220" s="156" t="s">
        <v>617</v>
      </c>
      <c r="AS2220" s="153">
        <v>0.001</v>
      </c>
      <c r="AT2220" s="156" t="s">
        <v>128</v>
      </c>
      <c r="AU2220" s="156" t="s">
        <v>129</v>
      </c>
      <c r="AV2220" s="156" t="s">
        <v>130</v>
      </c>
      <c r="AW2220" s="1999" t="s">
        <v>13229</v>
      </c>
      <c r="AX2220" s="156" t="s">
        <v>431</v>
      </c>
      <c r="AZ2220" s="1432" t="s">
        <v>13366</v>
      </c>
    </row>
    <row r="2221">
      <c r="A2221" s="41">
        <v>2221.0</v>
      </c>
      <c r="B2221" s="126" t="s">
        <v>516</v>
      </c>
      <c r="C2221" s="59" t="s">
        <v>108</v>
      </c>
      <c r="D2221" s="59" t="s">
        <v>169</v>
      </c>
      <c r="F2221" s="126" t="s">
        <v>13430</v>
      </c>
      <c r="G2221" s="126" t="s">
        <v>13432</v>
      </c>
      <c r="H2221" s="148" t="s">
        <v>7218</v>
      </c>
      <c r="I2221" s="158" t="s">
        <v>13262</v>
      </c>
      <c r="J2221" s="1579"/>
      <c r="K2221" s="156"/>
      <c r="L2221" s="126" t="s">
        <v>13433</v>
      </c>
      <c r="M2221" s="126" t="s">
        <v>13221</v>
      </c>
      <c r="N2221" s="126" t="s">
        <v>9858</v>
      </c>
      <c r="O2221" s="498">
        <v>1.0</v>
      </c>
      <c r="P2221" s="306" t="s">
        <v>13222</v>
      </c>
      <c r="Q2221" s="49" t="str">
        <f t="array" ref="Q2221"> if(iserror(MATCH(V2221, 'File Links'!C:C, 0)), "N/A", HYPERLINK(INDEX('File Links'!B:B, MATCH(P2221, 'File Links'!C:C, 0))))</f>
        <v>https://drive.google.com/file/d/1FklynAHzflh7rbxQIU4qTxOz3VBhye8B/view?usp=drivesdk</v>
      </c>
      <c r="R2221" s="1689" t="s">
        <v>13223</v>
      </c>
      <c r="S2221" s="126" t="s">
        <v>13224</v>
      </c>
      <c r="T2221" s="1371"/>
      <c r="U2221" s="333"/>
      <c r="V2221" s="148" t="s">
        <v>13225</v>
      </c>
      <c r="W2221" s="148" t="s">
        <v>665</v>
      </c>
      <c r="X2221" s="51" t="str">
        <f t="array" ref="X2221"> if(iserror(MATCH(V2221, 'File Links'!C:C, 0)), "N/A", HYPERLINK(INDEX('File Links'!B:B, MATCH(V2221, 'File Links'!C:C, 0))))</f>
        <v>https://drive.google.com/file/d/1hYNUJrx3yjyMoTgcG7Qz4pix-8ruWFMC/view?usp=drivesdk</v>
      </c>
      <c r="Y2221" s="65"/>
      <c r="Z2221" s="148" t="s">
        <v>219</v>
      </c>
      <c r="AA2221" s="126" t="s">
        <v>13226</v>
      </c>
      <c r="AB2221" s="148" t="s">
        <v>13359</v>
      </c>
      <c r="AC2221" s="148" t="s">
        <v>13434</v>
      </c>
      <c r="AD2221" s="148" t="s">
        <v>13435</v>
      </c>
      <c r="AE2221" s="148" t="s">
        <v>489</v>
      </c>
      <c r="AF2221" s="158">
        <v>447.0</v>
      </c>
      <c r="AG2221" s="158" t="s">
        <v>13436</v>
      </c>
      <c r="AH2221" s="148" t="s">
        <v>127</v>
      </c>
      <c r="AI2221" s="148" t="s">
        <v>489</v>
      </c>
      <c r="AJ2221" s="158">
        <v>0.001</v>
      </c>
      <c r="AK2221" s="148" t="s">
        <v>128</v>
      </c>
      <c r="AL2221" s="148" t="s">
        <v>179</v>
      </c>
      <c r="AM2221" s="126" t="s">
        <v>130</v>
      </c>
      <c r="AN2221" s="65"/>
      <c r="AO2221" s="158">
        <v>2644.0</v>
      </c>
      <c r="AP2221" s="158">
        <v>2.23</v>
      </c>
      <c r="AQ2221" s="148" t="s">
        <v>127</v>
      </c>
      <c r="AR2221" s="148" t="s">
        <v>13372</v>
      </c>
      <c r="AS2221" s="158">
        <v>0.026</v>
      </c>
      <c r="AT2221" s="148" t="s">
        <v>165</v>
      </c>
      <c r="AU2221" s="148" t="s">
        <v>179</v>
      </c>
      <c r="AV2221" s="126" t="s">
        <v>130</v>
      </c>
      <c r="AW2221" s="432"/>
      <c r="AX2221" s="126" t="s">
        <v>144</v>
      </c>
      <c r="AZ2221" s="1432" t="s">
        <v>13366</v>
      </c>
    </row>
    <row r="2222">
      <c r="A2222" s="41">
        <v>2222.0</v>
      </c>
      <c r="B2222" s="126" t="s">
        <v>516</v>
      </c>
      <c r="C2222" s="59" t="s">
        <v>108</v>
      </c>
      <c r="D2222" s="59" t="s">
        <v>983</v>
      </c>
      <c r="F2222" s="65" t="s">
        <v>13437</v>
      </c>
      <c r="G2222" s="156" t="s">
        <v>13351</v>
      </c>
      <c r="H2222" s="156" t="s">
        <v>13352</v>
      </c>
      <c r="I2222" s="1284" t="s">
        <v>13353</v>
      </c>
      <c r="J2222" s="1579"/>
      <c r="K2222" s="156" t="s">
        <v>131</v>
      </c>
      <c r="L2222" s="53" t="s">
        <v>13254</v>
      </c>
      <c r="M2222" s="156" t="s">
        <v>13259</v>
      </c>
      <c r="N2222" s="156" t="s">
        <v>9858</v>
      </c>
      <c r="O2222" s="153">
        <v>3.0</v>
      </c>
      <c r="P2222" s="379" t="s">
        <v>13222</v>
      </c>
      <c r="Q2222" s="49" t="str">
        <f t="array" ref="Q2222"> if(iserror(MATCH(V2222, 'File Links'!C:C, 0)), "N/A", HYPERLINK(INDEX('File Links'!B:B, MATCH(P2222, 'File Links'!C:C, 0))))</f>
        <v>https://drive.google.com/file/d/1FklynAHzflh7rbxQIU4qTxOz3VBhye8B/view?usp=drivesdk</v>
      </c>
      <c r="R2222" s="156" t="s">
        <v>13223</v>
      </c>
      <c r="S2222" s="156" t="s">
        <v>13224</v>
      </c>
      <c r="T2222" s="156" t="s">
        <v>131</v>
      </c>
      <c r="U2222" s="153">
        <v>2.0</v>
      </c>
      <c r="V2222" s="379" t="s">
        <v>13225</v>
      </c>
      <c r="W2222" s="1225"/>
      <c r="X2222" s="51" t="str">
        <f t="array" ref="X2222"> if(iserror(MATCH(V2222, 'File Links'!C:C, 0)), "N/A", HYPERLINK(INDEX('File Links'!B:B, MATCH(V2222, 'File Links'!C:C, 0))))</f>
        <v>https://drive.google.com/file/d/1hYNUJrx3yjyMoTgcG7Qz4pix-8ruWFMC/view?usp=drivesdk</v>
      </c>
      <c r="Y2222" s="156" t="s">
        <v>131</v>
      </c>
      <c r="Z2222" s="156" t="s">
        <v>219</v>
      </c>
      <c r="AA2222" s="156" t="s">
        <v>13226</v>
      </c>
      <c r="AB2222" s="156" t="s">
        <v>13355</v>
      </c>
      <c r="AC2222" s="156" t="s">
        <v>13438</v>
      </c>
      <c r="AD2222" s="156" t="s">
        <v>13386</v>
      </c>
      <c r="AE2222" s="156" t="s">
        <v>4966</v>
      </c>
      <c r="AF2222" s="153">
        <v>384.0</v>
      </c>
      <c r="AG2222" s="153">
        <v>0.21</v>
      </c>
      <c r="AH2222" s="156" t="s">
        <v>166</v>
      </c>
      <c r="AI2222" s="156" t="s">
        <v>4966</v>
      </c>
      <c r="AJ2222" s="153">
        <v>0.05</v>
      </c>
      <c r="AK2222" s="156" t="s">
        <v>128</v>
      </c>
      <c r="AL2222" s="156" t="s">
        <v>129</v>
      </c>
      <c r="AM2222" s="156" t="s">
        <v>130</v>
      </c>
      <c r="AN2222" s="156" t="s">
        <v>131</v>
      </c>
      <c r="AO2222" s="153">
        <v>3683.0</v>
      </c>
      <c r="AP2222" s="153">
        <v>0.07</v>
      </c>
      <c r="AQ2222" s="156" t="s">
        <v>715</v>
      </c>
      <c r="AR2222" s="156" t="s">
        <v>617</v>
      </c>
      <c r="AS2222" s="153">
        <v>0.001</v>
      </c>
      <c r="AT2222" s="156" t="s">
        <v>128</v>
      </c>
      <c r="AU2222" s="156" t="s">
        <v>129</v>
      </c>
      <c r="AV2222" s="156" t="s">
        <v>130</v>
      </c>
      <c r="AW2222" s="1999" t="s">
        <v>13229</v>
      </c>
      <c r="AX2222" s="156" t="s">
        <v>431</v>
      </c>
      <c r="AZ2222" s="1432" t="s">
        <v>13366</v>
      </c>
    </row>
    <row r="2223">
      <c r="A2223" s="41">
        <v>2223.0</v>
      </c>
      <c r="B2223" s="126" t="s">
        <v>516</v>
      </c>
      <c r="C2223" s="59" t="s">
        <v>108</v>
      </c>
      <c r="D2223" s="59" t="s">
        <v>169</v>
      </c>
      <c r="F2223" s="126" t="s">
        <v>13437</v>
      </c>
      <c r="G2223" s="126" t="s">
        <v>13439</v>
      </c>
      <c r="H2223" s="148" t="s">
        <v>7218</v>
      </c>
      <c r="I2223" s="158" t="s">
        <v>13262</v>
      </c>
      <c r="J2223" s="1579"/>
      <c r="K2223" s="156"/>
      <c r="L2223" s="126" t="s">
        <v>13368</v>
      </c>
      <c r="M2223" s="126" t="s">
        <v>13259</v>
      </c>
      <c r="N2223" s="126" t="s">
        <v>9858</v>
      </c>
      <c r="O2223" s="498">
        <v>3.0</v>
      </c>
      <c r="P2223" s="306" t="s">
        <v>13222</v>
      </c>
      <c r="Q2223" s="49" t="str">
        <f t="array" ref="Q2223"> if(iserror(MATCH(V2223, 'File Links'!C:C, 0)), "N/A", HYPERLINK(INDEX('File Links'!B:B, MATCH(P2223, 'File Links'!C:C, 0))))</f>
        <v>https://drive.google.com/file/d/1FklynAHzflh7rbxQIU4qTxOz3VBhye8B/view?usp=drivesdk</v>
      </c>
      <c r="R2223" s="1689" t="s">
        <v>13223</v>
      </c>
      <c r="S2223" s="126" t="s">
        <v>13224</v>
      </c>
      <c r="T2223" s="1371"/>
      <c r="U2223" s="333"/>
      <c r="V2223" s="148" t="s">
        <v>13225</v>
      </c>
      <c r="W2223" s="156"/>
      <c r="X2223" s="51" t="str">
        <f t="array" ref="X2223"> if(iserror(MATCH(V2223, 'File Links'!C:C, 0)), "N/A", HYPERLINK(INDEX('File Links'!B:B, MATCH(V2223, 'File Links'!C:C, 0))))</f>
        <v>https://drive.google.com/file/d/1hYNUJrx3yjyMoTgcG7Qz4pix-8ruWFMC/view?usp=drivesdk</v>
      </c>
      <c r="Y2223" s="65"/>
      <c r="Z2223" s="148" t="s">
        <v>219</v>
      </c>
      <c r="AA2223" s="126" t="s">
        <v>13226</v>
      </c>
      <c r="AB2223" s="148" t="s">
        <v>13359</v>
      </c>
      <c r="AC2223" s="148" t="s">
        <v>13440</v>
      </c>
      <c r="AD2223" s="148" t="s">
        <v>13441</v>
      </c>
      <c r="AE2223" s="148" t="s">
        <v>597</v>
      </c>
      <c r="AF2223" s="158">
        <v>554.0</v>
      </c>
      <c r="AG2223" s="158" t="s">
        <v>13442</v>
      </c>
      <c r="AH2223" s="148" t="s">
        <v>127</v>
      </c>
      <c r="AI2223" s="148" t="s">
        <v>4966</v>
      </c>
      <c r="AJ2223" s="158">
        <v>0.005</v>
      </c>
      <c r="AK2223" s="148" t="s">
        <v>128</v>
      </c>
      <c r="AL2223" s="148" t="s">
        <v>179</v>
      </c>
      <c r="AM2223" s="126" t="s">
        <v>130</v>
      </c>
      <c r="AN2223" s="65"/>
      <c r="AO2223" s="158">
        <v>2644.0</v>
      </c>
      <c r="AP2223" s="153"/>
      <c r="AQ2223" s="156"/>
      <c r="AR2223" s="148" t="s">
        <v>13372</v>
      </c>
      <c r="AS2223" s="153"/>
      <c r="AT2223" s="156"/>
      <c r="AU2223" s="156"/>
      <c r="AV2223" s="65"/>
      <c r="AW2223" s="432"/>
      <c r="AX2223" s="126" t="s">
        <v>144</v>
      </c>
      <c r="AZ2223" s="1432" t="s">
        <v>13366</v>
      </c>
    </row>
    <row r="2224">
      <c r="A2224" s="351">
        <v>2224.0</v>
      </c>
      <c r="B2224" s="53" t="s">
        <v>516</v>
      </c>
      <c r="C2224" s="338" t="s">
        <v>108</v>
      </c>
      <c r="D2224" s="338" t="s">
        <v>983</v>
      </c>
      <c r="E2224" s="339"/>
      <c r="F2224" s="43" t="s">
        <v>13443</v>
      </c>
      <c r="G2224" s="357" t="s">
        <v>13351</v>
      </c>
      <c r="H2224" s="357" t="s">
        <v>13352</v>
      </c>
      <c r="I2224" s="1684" t="s">
        <v>13353</v>
      </c>
      <c r="J2224" s="1579"/>
      <c r="K2224" s="357" t="s">
        <v>131</v>
      </c>
      <c r="L2224" s="53" t="s">
        <v>13254</v>
      </c>
      <c r="M2224" s="357" t="s">
        <v>13259</v>
      </c>
      <c r="N2224" s="357" t="s">
        <v>9858</v>
      </c>
      <c r="O2224" s="354">
        <v>3.0</v>
      </c>
      <c r="P2224" s="357" t="s">
        <v>13222</v>
      </c>
      <c r="Q2224" s="101" t="str">
        <f t="array" ref="Q2224"> if(iserror(MATCH(V2224, 'File Links'!C:C, 0)), "N/A", HYPERLINK(INDEX('File Links'!B:B, MATCH(P2224, 'File Links'!C:C, 0))))</f>
        <v>https://drive.google.com/file/d/1FklynAHzflh7rbxQIU4qTxOz3VBhye8B/view?usp=drivesdk</v>
      </c>
      <c r="R2224" s="357" t="s">
        <v>13223</v>
      </c>
      <c r="S2224" s="357" t="s">
        <v>13224</v>
      </c>
      <c r="T2224" s="357" t="s">
        <v>131</v>
      </c>
      <c r="U2224" s="354">
        <v>2.0</v>
      </c>
      <c r="V2224" s="357" t="s">
        <v>13225</v>
      </c>
      <c r="W2224" s="43"/>
      <c r="X2224" s="51" t="str">
        <f t="array" ref="X2224"> if(iserror(MATCH(V2224, 'File Links'!C:C, 0)), "N/A", HYPERLINK(INDEX('File Links'!B:B, MATCH(V2224, 'File Links'!C:C, 0))))</f>
        <v>https://drive.google.com/file/d/1hYNUJrx3yjyMoTgcG7Qz4pix-8ruWFMC/view?usp=drivesdk</v>
      </c>
      <c r="Y2224" s="357" t="s">
        <v>131</v>
      </c>
      <c r="Z2224" s="357" t="s">
        <v>219</v>
      </c>
      <c r="AA2224" s="357" t="s">
        <v>13226</v>
      </c>
      <c r="AB2224" s="357" t="s">
        <v>13355</v>
      </c>
      <c r="AC2224" s="357" t="s">
        <v>13444</v>
      </c>
      <c r="AD2224" s="357" t="s">
        <v>13400</v>
      </c>
      <c r="AE2224" s="357" t="s">
        <v>597</v>
      </c>
      <c r="AF2224" s="354">
        <v>471.0</v>
      </c>
      <c r="AG2224" s="354">
        <v>0.303</v>
      </c>
      <c r="AH2224" s="357" t="s">
        <v>166</v>
      </c>
      <c r="AI2224" s="357" t="s">
        <v>597</v>
      </c>
      <c r="AJ2224" s="354">
        <v>0.001</v>
      </c>
      <c r="AK2224" s="357" t="s">
        <v>128</v>
      </c>
      <c r="AL2224" s="357" t="s">
        <v>129</v>
      </c>
      <c r="AM2224" s="357" t="s">
        <v>130</v>
      </c>
      <c r="AN2224" s="357" t="s">
        <v>131</v>
      </c>
      <c r="AO2224" s="354">
        <v>3683.0</v>
      </c>
      <c r="AP2224" s="354">
        <v>0.05</v>
      </c>
      <c r="AQ2224" s="357" t="s">
        <v>715</v>
      </c>
      <c r="AR2224" s="357" t="s">
        <v>617</v>
      </c>
      <c r="AS2224" s="354">
        <v>0.002</v>
      </c>
      <c r="AT2224" s="357" t="s">
        <v>165</v>
      </c>
      <c r="AU2224" s="357" t="s">
        <v>129</v>
      </c>
      <c r="AV2224" s="357" t="s">
        <v>130</v>
      </c>
      <c r="AW2224" s="1998" t="s">
        <v>13229</v>
      </c>
      <c r="AX2224" s="357" t="s">
        <v>431</v>
      </c>
      <c r="AY2224" s="339"/>
      <c r="AZ2224" s="1432" t="s">
        <v>13366</v>
      </c>
      <c r="BA2224" s="339"/>
      <c r="BB2224" s="339"/>
      <c r="BC2224" s="339"/>
      <c r="BD2224" s="339"/>
      <c r="BE2224" s="339"/>
      <c r="BF2224" s="339"/>
      <c r="BG2224" s="339"/>
      <c r="BH2224" s="339"/>
      <c r="BI2224" s="339"/>
      <c r="BJ2224" s="339"/>
      <c r="BK2224" s="339"/>
      <c r="BL2224" s="339"/>
      <c r="BM2224" s="339"/>
      <c r="BN2224" s="339"/>
      <c r="BO2224" s="339"/>
      <c r="BP2224" s="339"/>
      <c r="BQ2224" s="339"/>
      <c r="BR2224" s="339"/>
      <c r="BS2224" s="339"/>
      <c r="BT2224" s="339"/>
      <c r="BU2224" s="339"/>
      <c r="BV2224" s="339"/>
      <c r="BW2224" s="339"/>
      <c r="BX2224" s="339"/>
      <c r="BY2224" s="339"/>
      <c r="BZ2224" s="339"/>
      <c r="CA2224" s="339"/>
      <c r="CB2224" s="339"/>
      <c r="CC2224" s="339"/>
      <c r="CD2224" s="339"/>
      <c r="CE2224" s="339"/>
      <c r="CF2224" s="339"/>
      <c r="CG2224" s="339"/>
      <c r="CH2224" s="339"/>
      <c r="CI2224" s="339"/>
      <c r="CJ2224" s="339"/>
      <c r="CK2224" s="339"/>
      <c r="CL2224" s="339"/>
      <c r="CM2224" s="339"/>
      <c r="CN2224" s="339"/>
      <c r="CO2224" s="339"/>
      <c r="CP2224" s="339"/>
      <c r="CQ2224" s="339"/>
      <c r="CR2224" s="339"/>
      <c r="CS2224" s="339"/>
      <c r="CT2224" s="339"/>
      <c r="CU2224" s="339"/>
      <c r="CV2224" s="339"/>
      <c r="CW2224" s="339"/>
      <c r="CX2224" s="339"/>
      <c r="CY2224" s="339"/>
      <c r="CZ2224" s="339"/>
      <c r="DA2224" s="339"/>
      <c r="DB2224" s="339"/>
      <c r="DC2224" s="339"/>
      <c r="DD2224" s="339"/>
      <c r="DE2224" s="339"/>
      <c r="DF2224" s="339"/>
      <c r="DG2224" s="339"/>
      <c r="DH2224" s="339"/>
    </row>
    <row r="2225">
      <c r="A2225" s="351">
        <v>2225.0</v>
      </c>
      <c r="B2225" s="53" t="s">
        <v>516</v>
      </c>
      <c r="C2225" s="338" t="s">
        <v>108</v>
      </c>
      <c r="D2225" s="338" t="s">
        <v>169</v>
      </c>
      <c r="E2225" s="339"/>
      <c r="F2225" s="53" t="s">
        <v>13443</v>
      </c>
      <c r="G2225" s="53" t="s">
        <v>13445</v>
      </c>
      <c r="H2225" s="340" t="s">
        <v>7218</v>
      </c>
      <c r="I2225" s="344" t="s">
        <v>13262</v>
      </c>
      <c r="J2225" s="1579"/>
      <c r="K2225" s="357"/>
      <c r="L2225" s="53" t="s">
        <v>13446</v>
      </c>
      <c r="M2225" s="53" t="s">
        <v>13259</v>
      </c>
      <c r="N2225" s="53" t="s">
        <v>9858</v>
      </c>
      <c r="O2225" s="52">
        <v>3.0</v>
      </c>
      <c r="P2225" s="340" t="s">
        <v>13222</v>
      </c>
      <c r="Q2225" s="101" t="str">
        <f t="array" ref="Q2225"> if(iserror(MATCH(V2225, 'File Links'!C:C, 0)), "N/A", HYPERLINK(INDEX('File Links'!B:B, MATCH(P2225, 'File Links'!C:C, 0))))</f>
        <v>https://drive.google.com/file/d/1FklynAHzflh7rbxQIU4qTxOz3VBhye8B/view?usp=drivesdk</v>
      </c>
      <c r="R2225" s="1689" t="s">
        <v>13223</v>
      </c>
      <c r="S2225" s="53" t="s">
        <v>13224</v>
      </c>
      <c r="T2225" s="1791"/>
      <c r="U2225" s="382"/>
      <c r="V2225" s="340" t="s">
        <v>13225</v>
      </c>
      <c r="W2225" s="357"/>
      <c r="X2225" s="51" t="str">
        <f t="array" ref="X2225"> if(iserror(MATCH(V2225, 'File Links'!C:C, 0)), "N/A", HYPERLINK(INDEX('File Links'!B:B, MATCH(V2225, 'File Links'!C:C, 0))))</f>
        <v>https://drive.google.com/file/d/1hYNUJrx3yjyMoTgcG7Qz4pix-8ruWFMC/view?usp=drivesdk</v>
      </c>
      <c r="Y2225" s="43"/>
      <c r="Z2225" s="340" t="s">
        <v>219</v>
      </c>
      <c r="AA2225" s="53" t="s">
        <v>13226</v>
      </c>
      <c r="AB2225" s="340" t="s">
        <v>13359</v>
      </c>
      <c r="AC2225" s="340" t="s">
        <v>13447</v>
      </c>
      <c r="AD2225" s="340" t="s">
        <v>13447</v>
      </c>
      <c r="AE2225" s="340" t="s">
        <v>597</v>
      </c>
      <c r="AF2225" s="344">
        <v>554.0</v>
      </c>
      <c r="AG2225" s="354"/>
      <c r="AH2225" s="357"/>
      <c r="AI2225" s="340" t="s">
        <v>4966</v>
      </c>
      <c r="AJ2225" s="354"/>
      <c r="AK2225" s="357"/>
      <c r="AL2225" s="357"/>
      <c r="AM2225" s="43"/>
      <c r="AN2225" s="43"/>
      <c r="AO2225" s="344">
        <v>2644.0</v>
      </c>
      <c r="AP2225" s="354"/>
      <c r="AQ2225" s="357"/>
      <c r="AR2225" s="340" t="s">
        <v>13372</v>
      </c>
      <c r="AS2225" s="354"/>
      <c r="AT2225" s="357"/>
      <c r="AU2225" s="357"/>
      <c r="AV2225" s="43"/>
      <c r="AW2225" s="56"/>
      <c r="AX2225" s="53" t="s">
        <v>144</v>
      </c>
      <c r="AY2225" s="339"/>
      <c r="AZ2225" s="1432" t="s">
        <v>13366</v>
      </c>
      <c r="BA2225" s="339"/>
      <c r="BB2225" s="339"/>
      <c r="BC2225" s="339"/>
      <c r="BD2225" s="339"/>
      <c r="BE2225" s="339"/>
      <c r="BF2225" s="339"/>
      <c r="BG2225" s="339"/>
      <c r="BH2225" s="339"/>
      <c r="BI2225" s="339"/>
      <c r="BJ2225" s="339"/>
      <c r="BK2225" s="339"/>
      <c r="BL2225" s="339"/>
      <c r="BM2225" s="339"/>
      <c r="BN2225" s="339"/>
      <c r="BO2225" s="339"/>
      <c r="BP2225" s="339"/>
      <c r="BQ2225" s="339"/>
      <c r="BR2225" s="339"/>
      <c r="BS2225" s="339"/>
      <c r="BT2225" s="339"/>
      <c r="BU2225" s="339"/>
      <c r="BV2225" s="339"/>
      <c r="BW2225" s="339"/>
      <c r="BX2225" s="339"/>
      <c r="BY2225" s="339"/>
      <c r="BZ2225" s="339"/>
      <c r="CA2225" s="339"/>
      <c r="CB2225" s="339"/>
      <c r="CC2225" s="339"/>
      <c r="CD2225" s="339"/>
      <c r="CE2225" s="339"/>
      <c r="CF2225" s="339"/>
      <c r="CG2225" s="339"/>
      <c r="CH2225" s="339"/>
      <c r="CI2225" s="339"/>
      <c r="CJ2225" s="339"/>
      <c r="CK2225" s="339"/>
      <c r="CL2225" s="339"/>
      <c r="CM2225" s="339"/>
      <c r="CN2225" s="339"/>
      <c r="CO2225" s="339"/>
      <c r="CP2225" s="339"/>
      <c r="CQ2225" s="339"/>
      <c r="CR2225" s="339"/>
      <c r="CS2225" s="339"/>
      <c r="CT2225" s="339"/>
      <c r="CU2225" s="339"/>
      <c r="CV2225" s="339"/>
      <c r="CW2225" s="339"/>
      <c r="CX2225" s="339"/>
      <c r="CY2225" s="339"/>
      <c r="CZ2225" s="339"/>
      <c r="DA2225" s="339"/>
      <c r="DB2225" s="339"/>
      <c r="DC2225" s="339"/>
      <c r="DD2225" s="339"/>
      <c r="DE2225" s="339"/>
      <c r="DF2225" s="339"/>
      <c r="DG2225" s="339"/>
      <c r="DH2225" s="339"/>
    </row>
    <row r="2226">
      <c r="A2226" s="41">
        <v>2226.0</v>
      </c>
      <c r="B2226" s="126" t="s">
        <v>516</v>
      </c>
      <c r="C2226" s="59" t="s">
        <v>108</v>
      </c>
      <c r="D2226" s="59" t="s">
        <v>983</v>
      </c>
      <c r="F2226" s="65" t="s">
        <v>13448</v>
      </c>
      <c r="G2226" s="156" t="s">
        <v>13351</v>
      </c>
      <c r="H2226" s="156" t="s">
        <v>13352</v>
      </c>
      <c r="I2226" s="1284" t="s">
        <v>13353</v>
      </c>
      <c r="J2226" s="156" t="s">
        <v>13449</v>
      </c>
      <c r="K2226" s="156" t="s">
        <v>131</v>
      </c>
      <c r="L2226" s="53" t="s">
        <v>13254</v>
      </c>
      <c r="M2226" s="156" t="s">
        <v>13259</v>
      </c>
      <c r="N2226" s="156" t="s">
        <v>9858</v>
      </c>
      <c r="O2226" s="153">
        <v>3.0</v>
      </c>
      <c r="P2226" s="379" t="s">
        <v>13222</v>
      </c>
      <c r="Q2226" s="49" t="str">
        <f t="array" ref="Q2226"> if(iserror(MATCH(V2226, 'File Links'!C:C, 0)), "N/A", HYPERLINK(INDEX('File Links'!B:B, MATCH(P2226, 'File Links'!C:C, 0))))</f>
        <v>https://drive.google.com/file/d/1FklynAHzflh7rbxQIU4qTxOz3VBhye8B/view?usp=drivesdk</v>
      </c>
      <c r="R2226" s="156" t="s">
        <v>13223</v>
      </c>
      <c r="S2226" s="156" t="s">
        <v>13224</v>
      </c>
      <c r="T2226" s="156" t="s">
        <v>131</v>
      </c>
      <c r="U2226" s="153">
        <v>2.0</v>
      </c>
      <c r="V2226" s="379" t="s">
        <v>13225</v>
      </c>
      <c r="W2226" s="1225"/>
      <c r="X2226" s="51" t="str">
        <f t="array" ref="X2226"> if(iserror(MATCH(V2226, 'File Links'!C:C, 0)), "N/A", HYPERLINK(INDEX('File Links'!B:B, MATCH(V2226, 'File Links'!C:C, 0))))</f>
        <v>https://drive.google.com/file/d/1hYNUJrx3yjyMoTgcG7Qz4pix-8ruWFMC/view?usp=drivesdk</v>
      </c>
      <c r="Y2226" s="156" t="s">
        <v>131</v>
      </c>
      <c r="Z2226" s="156" t="s">
        <v>219</v>
      </c>
      <c r="AA2226" s="156" t="s">
        <v>13226</v>
      </c>
      <c r="AB2226" s="156" t="s">
        <v>13355</v>
      </c>
      <c r="AC2226" s="156" t="s">
        <v>13450</v>
      </c>
      <c r="AD2226" s="156" t="s">
        <v>13400</v>
      </c>
      <c r="AE2226" s="156" t="s">
        <v>597</v>
      </c>
      <c r="AF2226" s="153">
        <v>384.0</v>
      </c>
      <c r="AG2226" s="153">
        <v>0.265</v>
      </c>
      <c r="AH2226" s="156" t="s">
        <v>166</v>
      </c>
      <c r="AI2226" s="156" t="s">
        <v>597</v>
      </c>
      <c r="AJ2226" s="153">
        <v>0.001</v>
      </c>
      <c r="AK2226" s="156" t="s">
        <v>128</v>
      </c>
      <c r="AL2226" s="156" t="s">
        <v>129</v>
      </c>
      <c r="AM2226" s="156" t="s">
        <v>130</v>
      </c>
      <c r="AN2226" s="156" t="s">
        <v>131</v>
      </c>
      <c r="AO2226" s="153">
        <v>3683.0</v>
      </c>
      <c r="AP2226" s="153">
        <v>0.05</v>
      </c>
      <c r="AQ2226" s="156" t="s">
        <v>715</v>
      </c>
      <c r="AR2226" s="156" t="s">
        <v>617</v>
      </c>
      <c r="AS2226" s="153">
        <v>0.002</v>
      </c>
      <c r="AT2226" s="156" t="s">
        <v>165</v>
      </c>
      <c r="AU2226" s="156" t="s">
        <v>129</v>
      </c>
      <c r="AV2226" s="156" t="s">
        <v>130</v>
      </c>
      <c r="AW2226" s="1999" t="s">
        <v>13229</v>
      </c>
      <c r="AX2226" s="156" t="s">
        <v>431</v>
      </c>
      <c r="AZ2226" s="1432" t="s">
        <v>13366</v>
      </c>
    </row>
    <row r="2227">
      <c r="A2227" s="41">
        <v>2227.0</v>
      </c>
      <c r="B2227" s="126" t="s">
        <v>516</v>
      </c>
      <c r="C2227" s="59" t="s">
        <v>108</v>
      </c>
      <c r="D2227" s="59" t="s">
        <v>169</v>
      </c>
      <c r="F2227" s="126" t="s">
        <v>13448</v>
      </c>
      <c r="G2227" s="126" t="s">
        <v>13451</v>
      </c>
      <c r="H2227" s="148" t="s">
        <v>7218</v>
      </c>
      <c r="I2227" s="158" t="s">
        <v>13262</v>
      </c>
      <c r="J2227" s="65"/>
      <c r="K2227" s="156"/>
      <c r="L2227" s="126" t="s">
        <v>13452</v>
      </c>
      <c r="M2227" s="126" t="s">
        <v>13259</v>
      </c>
      <c r="N2227" s="126" t="s">
        <v>9858</v>
      </c>
      <c r="O2227" s="498">
        <v>4.0</v>
      </c>
      <c r="P2227" s="306" t="s">
        <v>13222</v>
      </c>
      <c r="Q2227" s="49" t="str">
        <f t="array" ref="Q2227"> if(iserror(MATCH(V2227, 'File Links'!C:C, 0)), "N/A", HYPERLINK(INDEX('File Links'!B:B, MATCH(P2227, 'File Links'!C:C, 0))))</f>
        <v>https://drive.google.com/file/d/1FklynAHzflh7rbxQIU4qTxOz3VBhye8B/view?usp=drivesdk</v>
      </c>
      <c r="R2227" s="1689" t="s">
        <v>13223</v>
      </c>
      <c r="S2227" s="126" t="s">
        <v>13224</v>
      </c>
      <c r="T2227" s="1371"/>
      <c r="U2227" s="333"/>
      <c r="V2227" s="148" t="s">
        <v>13225</v>
      </c>
      <c r="W2227" s="156"/>
      <c r="X2227" s="51" t="str">
        <f t="array" ref="X2227"> if(iserror(MATCH(V2227, 'File Links'!C:C, 0)), "N/A", HYPERLINK(INDEX('File Links'!B:B, MATCH(V2227, 'File Links'!C:C, 0))))</f>
        <v>https://drive.google.com/file/d/1hYNUJrx3yjyMoTgcG7Qz4pix-8ruWFMC/view?usp=drivesdk</v>
      </c>
      <c r="Y2227" s="65"/>
      <c r="Z2227" s="148" t="s">
        <v>219</v>
      </c>
      <c r="AA2227" s="126" t="s">
        <v>13226</v>
      </c>
      <c r="AB2227" s="148" t="s">
        <v>13359</v>
      </c>
      <c r="AC2227" s="148" t="s">
        <v>13453</v>
      </c>
      <c r="AD2227" s="148" t="s">
        <v>13454</v>
      </c>
      <c r="AE2227" s="148" t="s">
        <v>617</v>
      </c>
      <c r="AF2227" s="158">
        <v>1593.0</v>
      </c>
      <c r="AG2227" s="158" t="s">
        <v>13455</v>
      </c>
      <c r="AH2227" s="148" t="s">
        <v>127</v>
      </c>
      <c r="AI2227" s="148" t="s">
        <v>617</v>
      </c>
      <c r="AJ2227" s="158">
        <v>0.001</v>
      </c>
      <c r="AK2227" s="148" t="s">
        <v>128</v>
      </c>
      <c r="AL2227" s="148" t="s">
        <v>179</v>
      </c>
      <c r="AM2227" s="126" t="s">
        <v>130</v>
      </c>
      <c r="AN2227" s="65"/>
      <c r="AO2227" s="158">
        <v>2644.0</v>
      </c>
      <c r="AP2227" s="153"/>
      <c r="AQ2227" s="156"/>
      <c r="AR2227" s="148" t="s">
        <v>13372</v>
      </c>
      <c r="AS2227" s="153"/>
      <c r="AT2227" s="156"/>
      <c r="AU2227" s="156"/>
      <c r="AV2227" s="65"/>
      <c r="AW2227" s="432"/>
      <c r="AX2227" s="126" t="s">
        <v>144</v>
      </c>
      <c r="AZ2227" s="1432" t="s">
        <v>13366</v>
      </c>
    </row>
    <row r="2228">
      <c r="A2228" s="41">
        <v>2228.0</v>
      </c>
      <c r="B2228" s="126" t="s">
        <v>516</v>
      </c>
      <c r="C2228" s="59" t="s">
        <v>108</v>
      </c>
      <c r="D2228" s="59" t="s">
        <v>983</v>
      </c>
      <c r="F2228" s="65" t="s">
        <v>13456</v>
      </c>
      <c r="G2228" s="156" t="s">
        <v>13351</v>
      </c>
      <c r="H2228" s="156" t="s">
        <v>13352</v>
      </c>
      <c r="I2228" s="1284" t="s">
        <v>13353</v>
      </c>
      <c r="J2228" s="156" t="s">
        <v>13449</v>
      </c>
      <c r="K2228" s="156" t="s">
        <v>131</v>
      </c>
      <c r="L2228" s="53" t="s">
        <v>13254</v>
      </c>
      <c r="M2228" s="156" t="s">
        <v>13259</v>
      </c>
      <c r="N2228" s="156" t="s">
        <v>9858</v>
      </c>
      <c r="O2228" s="153">
        <v>3.0</v>
      </c>
      <c r="P2228" s="379" t="s">
        <v>13222</v>
      </c>
      <c r="Q2228" s="49" t="str">
        <f t="array" ref="Q2228"> if(iserror(MATCH(V2228, 'File Links'!C:C, 0)), "N/A", HYPERLINK(INDEX('File Links'!B:B, MATCH(P2228, 'File Links'!C:C, 0))))</f>
        <v>https://drive.google.com/file/d/1FklynAHzflh7rbxQIU4qTxOz3VBhye8B/view?usp=drivesdk</v>
      </c>
      <c r="R2228" s="156" t="s">
        <v>13223</v>
      </c>
      <c r="S2228" s="156" t="s">
        <v>13224</v>
      </c>
      <c r="T2228" s="156" t="s">
        <v>131</v>
      </c>
      <c r="U2228" s="153">
        <v>2.0</v>
      </c>
      <c r="V2228" s="379" t="s">
        <v>13225</v>
      </c>
      <c r="W2228" s="1225"/>
      <c r="X2228" s="51" t="str">
        <f t="array" ref="X2228"> if(iserror(MATCH(V2228, 'File Links'!C:C, 0)), "N/A", HYPERLINK(INDEX('File Links'!B:B, MATCH(V2228, 'File Links'!C:C, 0))))</f>
        <v>https://drive.google.com/file/d/1hYNUJrx3yjyMoTgcG7Qz4pix-8ruWFMC/view?usp=drivesdk</v>
      </c>
      <c r="Y2228" s="156" t="s">
        <v>131</v>
      </c>
      <c r="Z2228" s="156" t="s">
        <v>219</v>
      </c>
      <c r="AA2228" s="156" t="s">
        <v>13226</v>
      </c>
      <c r="AB2228" s="156" t="s">
        <v>13355</v>
      </c>
      <c r="AC2228" s="156" t="s">
        <v>13457</v>
      </c>
      <c r="AD2228" s="156" t="s">
        <v>13414</v>
      </c>
      <c r="AE2228" s="156" t="s">
        <v>597</v>
      </c>
      <c r="AF2228" s="153">
        <v>471.0</v>
      </c>
      <c r="AG2228" s="153">
        <v>0.26</v>
      </c>
      <c r="AH2228" s="156" t="s">
        <v>166</v>
      </c>
      <c r="AI2228" s="156" t="s">
        <v>597</v>
      </c>
      <c r="AJ2228" s="153">
        <v>0.005</v>
      </c>
      <c r="AK2228" s="156" t="s">
        <v>128</v>
      </c>
      <c r="AL2228" s="156" t="s">
        <v>129</v>
      </c>
      <c r="AM2228" s="156" t="s">
        <v>130</v>
      </c>
      <c r="AN2228" s="156" t="s">
        <v>131</v>
      </c>
      <c r="AO2228" s="153">
        <v>3683.0</v>
      </c>
      <c r="AP2228" s="153">
        <v>0.04</v>
      </c>
      <c r="AQ2228" s="156" t="s">
        <v>715</v>
      </c>
      <c r="AR2228" s="156" t="s">
        <v>617</v>
      </c>
      <c r="AS2228" s="153">
        <v>0.011</v>
      </c>
      <c r="AT2228" s="156" t="s">
        <v>165</v>
      </c>
      <c r="AU2228" s="156" t="s">
        <v>129</v>
      </c>
      <c r="AV2228" s="156" t="s">
        <v>130</v>
      </c>
      <c r="AW2228" s="1999" t="s">
        <v>13229</v>
      </c>
      <c r="AX2228" s="156" t="s">
        <v>431</v>
      </c>
      <c r="AZ2228" s="1432" t="s">
        <v>13366</v>
      </c>
    </row>
    <row r="2229">
      <c r="A2229" s="41">
        <v>2229.0</v>
      </c>
      <c r="B2229" s="126" t="s">
        <v>516</v>
      </c>
      <c r="C2229" s="59" t="s">
        <v>108</v>
      </c>
      <c r="D2229" s="59" t="s">
        <v>169</v>
      </c>
      <c r="F2229" s="126" t="s">
        <v>13456</v>
      </c>
      <c r="G2229" s="126" t="s">
        <v>13458</v>
      </c>
      <c r="H2229" s="148" t="s">
        <v>7218</v>
      </c>
      <c r="I2229" s="158" t="s">
        <v>13262</v>
      </c>
      <c r="J2229" s="65"/>
      <c r="K2229" s="156"/>
      <c r="L2229" s="126" t="s">
        <v>13459</v>
      </c>
      <c r="M2229" s="126" t="s">
        <v>13259</v>
      </c>
      <c r="N2229" s="126" t="s">
        <v>9858</v>
      </c>
      <c r="O2229" s="498">
        <v>4.0</v>
      </c>
      <c r="P2229" s="306" t="s">
        <v>13222</v>
      </c>
      <c r="Q2229" s="49" t="str">
        <f t="array" ref="Q2229"> if(iserror(MATCH(V2229, 'File Links'!C:C, 0)), "N/A", HYPERLINK(INDEX('File Links'!B:B, MATCH(P2229, 'File Links'!C:C, 0))))</f>
        <v>https://drive.google.com/file/d/1FklynAHzflh7rbxQIU4qTxOz3VBhye8B/view?usp=drivesdk</v>
      </c>
      <c r="R2229" s="1689" t="s">
        <v>13223</v>
      </c>
      <c r="S2229" s="126" t="s">
        <v>13224</v>
      </c>
      <c r="T2229" s="1371"/>
      <c r="U2229" s="333"/>
      <c r="V2229" s="148" t="s">
        <v>13225</v>
      </c>
      <c r="W2229" s="156"/>
      <c r="X2229" s="51" t="str">
        <f t="array" ref="X2229"> if(iserror(MATCH(V2229, 'File Links'!C:C, 0)), "N/A", HYPERLINK(INDEX('File Links'!B:B, MATCH(V2229, 'File Links'!C:C, 0))))</f>
        <v>https://drive.google.com/file/d/1hYNUJrx3yjyMoTgcG7Qz4pix-8ruWFMC/view?usp=drivesdk</v>
      </c>
      <c r="Y2229" s="65"/>
      <c r="Z2229" s="148" t="s">
        <v>219</v>
      </c>
      <c r="AA2229" s="126" t="s">
        <v>13226</v>
      </c>
      <c r="AB2229" s="148" t="s">
        <v>13359</v>
      </c>
      <c r="AC2229" s="148" t="s">
        <v>13460</v>
      </c>
      <c r="AD2229" s="148" t="s">
        <v>13461</v>
      </c>
      <c r="AE2229" s="148" t="s">
        <v>617</v>
      </c>
      <c r="AF2229" s="158">
        <v>1593.0</v>
      </c>
      <c r="AG2229" s="158" t="s">
        <v>13462</v>
      </c>
      <c r="AH2229" s="148" t="s">
        <v>127</v>
      </c>
      <c r="AI2229" s="148" t="s">
        <v>617</v>
      </c>
      <c r="AJ2229" s="158">
        <v>0.001</v>
      </c>
      <c r="AK2229" s="148" t="s">
        <v>128</v>
      </c>
      <c r="AL2229" s="148" t="s">
        <v>179</v>
      </c>
      <c r="AM2229" s="126" t="s">
        <v>130</v>
      </c>
      <c r="AN2229" s="65"/>
      <c r="AO2229" s="158">
        <v>2644.0</v>
      </c>
      <c r="AP2229" s="153"/>
      <c r="AQ2229" s="156"/>
      <c r="AR2229" s="148" t="s">
        <v>13372</v>
      </c>
      <c r="AS2229" s="153"/>
      <c r="AT2229" s="156"/>
      <c r="AU2229" s="156"/>
      <c r="AV2229" s="65"/>
      <c r="AW2229" s="432"/>
      <c r="AX2229" s="65"/>
      <c r="AZ2229" s="1432" t="s">
        <v>13366</v>
      </c>
    </row>
    <row r="2230">
      <c r="A2230" s="41">
        <v>2230.0</v>
      </c>
      <c r="B2230" s="126" t="s">
        <v>516</v>
      </c>
      <c r="C2230" s="59" t="s">
        <v>108</v>
      </c>
      <c r="D2230" s="59" t="s">
        <v>983</v>
      </c>
      <c r="F2230" s="65" t="s">
        <v>13463</v>
      </c>
      <c r="G2230" s="156" t="s">
        <v>13351</v>
      </c>
      <c r="H2230" s="156" t="s">
        <v>13352</v>
      </c>
      <c r="I2230" s="1284" t="s">
        <v>13353</v>
      </c>
      <c r="J2230" s="156" t="s">
        <v>13449</v>
      </c>
      <c r="K2230" s="156" t="s">
        <v>131</v>
      </c>
      <c r="L2230" s="53" t="s">
        <v>13254</v>
      </c>
      <c r="M2230" s="156" t="s">
        <v>13259</v>
      </c>
      <c r="N2230" s="156" t="s">
        <v>9858</v>
      </c>
      <c r="O2230" s="153">
        <v>3.0</v>
      </c>
      <c r="P2230" s="379" t="s">
        <v>13222</v>
      </c>
      <c r="Q2230" s="49" t="str">
        <f t="array" ref="Q2230"> if(iserror(MATCH(V2230, 'File Links'!C:C, 0)), "N/A", HYPERLINK(INDEX('File Links'!B:B, MATCH(P2230, 'File Links'!C:C, 0))))</f>
        <v>https://drive.google.com/file/d/1FklynAHzflh7rbxQIU4qTxOz3VBhye8B/view?usp=drivesdk</v>
      </c>
      <c r="R2230" s="156" t="s">
        <v>13223</v>
      </c>
      <c r="S2230" s="156" t="s">
        <v>13224</v>
      </c>
      <c r="T2230" s="156" t="s">
        <v>131</v>
      </c>
      <c r="U2230" s="153">
        <v>2.0</v>
      </c>
      <c r="V2230" s="379" t="s">
        <v>13225</v>
      </c>
      <c r="W2230" s="1225"/>
      <c r="X2230" s="51" t="str">
        <f t="array" ref="X2230"> if(iserror(MATCH(V2230, 'File Links'!C:C, 0)), "N/A", HYPERLINK(INDEX('File Links'!B:B, MATCH(V2230, 'File Links'!C:C, 0))))</f>
        <v>https://drive.google.com/file/d/1hYNUJrx3yjyMoTgcG7Qz4pix-8ruWFMC/view?usp=drivesdk</v>
      </c>
      <c r="Y2230" s="156" t="s">
        <v>131</v>
      </c>
      <c r="Z2230" s="156" t="s">
        <v>219</v>
      </c>
      <c r="AA2230" s="156" t="s">
        <v>13226</v>
      </c>
      <c r="AB2230" s="156" t="s">
        <v>13355</v>
      </c>
      <c r="AC2230" s="156" t="s">
        <v>13464</v>
      </c>
      <c r="AD2230" s="156" t="s">
        <v>13414</v>
      </c>
      <c r="AE2230" s="156" t="s">
        <v>597</v>
      </c>
      <c r="AF2230" s="153">
        <v>384.0</v>
      </c>
      <c r="AG2230" s="153">
        <v>0.05</v>
      </c>
      <c r="AH2230" s="156" t="s">
        <v>166</v>
      </c>
      <c r="AI2230" s="156" t="s">
        <v>597</v>
      </c>
      <c r="AJ2230" s="153">
        <v>0.05</v>
      </c>
      <c r="AK2230" s="156" t="s">
        <v>328</v>
      </c>
      <c r="AL2230" s="156" t="s">
        <v>129</v>
      </c>
      <c r="AM2230" s="156" t="s">
        <v>130</v>
      </c>
      <c r="AN2230" s="156" t="s">
        <v>131</v>
      </c>
      <c r="AO2230" s="153">
        <v>3683.0</v>
      </c>
      <c r="AP2230" s="153">
        <v>0.04</v>
      </c>
      <c r="AQ2230" s="156" t="s">
        <v>715</v>
      </c>
      <c r="AR2230" s="156" t="s">
        <v>617</v>
      </c>
      <c r="AS2230" s="153">
        <v>0.011</v>
      </c>
      <c r="AT2230" s="156" t="s">
        <v>165</v>
      </c>
      <c r="AU2230" s="156" t="s">
        <v>129</v>
      </c>
      <c r="AV2230" s="156" t="s">
        <v>130</v>
      </c>
      <c r="AW2230" s="1999" t="s">
        <v>13229</v>
      </c>
      <c r="AX2230" s="156" t="s">
        <v>431</v>
      </c>
      <c r="AZ2230" s="1432" t="s">
        <v>13366</v>
      </c>
    </row>
    <row r="2231">
      <c r="A2231" s="351">
        <v>2231.0</v>
      </c>
      <c r="B2231" s="53" t="s">
        <v>516</v>
      </c>
      <c r="C2231" s="338" t="s">
        <v>108</v>
      </c>
      <c r="D2231" s="338" t="s">
        <v>169</v>
      </c>
      <c r="E2231" s="339"/>
      <c r="F2231" s="53" t="s">
        <v>13463</v>
      </c>
      <c r="G2231" s="53" t="s">
        <v>13465</v>
      </c>
      <c r="H2231" s="340" t="s">
        <v>7218</v>
      </c>
      <c r="I2231" s="344" t="s">
        <v>13262</v>
      </c>
      <c r="J2231" s="43"/>
      <c r="K2231" s="357"/>
      <c r="L2231" s="53" t="s">
        <v>13408</v>
      </c>
      <c r="M2231" s="53" t="s">
        <v>13319</v>
      </c>
      <c r="N2231" s="53" t="s">
        <v>9858</v>
      </c>
      <c r="O2231" s="52">
        <v>4.0</v>
      </c>
      <c r="P2231" s="340" t="s">
        <v>13222</v>
      </c>
      <c r="Q2231" s="101" t="str">
        <f t="array" ref="Q2231"> if(iserror(MATCH(V2231, 'File Links'!C:C, 0)), "N/A", HYPERLINK(INDEX('File Links'!B:B, MATCH(P2231, 'File Links'!C:C, 0))))</f>
        <v>https://drive.google.com/file/d/1FklynAHzflh7rbxQIU4qTxOz3VBhye8B/view?usp=drivesdk</v>
      </c>
      <c r="R2231" s="1689" t="s">
        <v>13223</v>
      </c>
      <c r="S2231" s="53" t="s">
        <v>13224</v>
      </c>
      <c r="T2231" s="1791"/>
      <c r="U2231" s="382"/>
      <c r="V2231" s="340" t="s">
        <v>13225</v>
      </c>
      <c r="W2231" s="357"/>
      <c r="X2231" s="51" t="str">
        <f t="array" ref="X2231"> if(iserror(MATCH(V2231, 'File Links'!C:C, 0)), "N/A", HYPERLINK(INDEX('File Links'!B:B, MATCH(V2231, 'File Links'!C:C, 0))))</f>
        <v>https://drive.google.com/file/d/1hYNUJrx3yjyMoTgcG7Qz4pix-8ruWFMC/view?usp=drivesdk</v>
      </c>
      <c r="Y2231" s="43"/>
      <c r="Z2231" s="340" t="s">
        <v>219</v>
      </c>
      <c r="AA2231" s="53" t="s">
        <v>13226</v>
      </c>
      <c r="AB2231" s="340" t="s">
        <v>13359</v>
      </c>
      <c r="AC2231" s="340" t="s">
        <v>13466</v>
      </c>
      <c r="AD2231" s="340" t="s">
        <v>13467</v>
      </c>
      <c r="AE2231" s="340" t="s">
        <v>617</v>
      </c>
      <c r="AF2231" s="344">
        <v>1593.0</v>
      </c>
      <c r="AG2231" s="344" t="s">
        <v>13468</v>
      </c>
      <c r="AH2231" s="340" t="s">
        <v>127</v>
      </c>
      <c r="AI2231" s="340" t="s">
        <v>617</v>
      </c>
      <c r="AJ2231" s="344">
        <v>0.001</v>
      </c>
      <c r="AK2231" s="340" t="s">
        <v>128</v>
      </c>
      <c r="AL2231" s="340" t="s">
        <v>179</v>
      </c>
      <c r="AM2231" s="53" t="s">
        <v>130</v>
      </c>
      <c r="AN2231" s="43"/>
      <c r="AO2231" s="344">
        <v>2644.0</v>
      </c>
      <c r="AP2231" s="344">
        <v>0.6</v>
      </c>
      <c r="AQ2231" s="340" t="s">
        <v>127</v>
      </c>
      <c r="AR2231" s="340" t="s">
        <v>13372</v>
      </c>
      <c r="AS2231" s="344">
        <v>0.551</v>
      </c>
      <c r="AT2231" s="340" t="s">
        <v>165</v>
      </c>
      <c r="AU2231" s="340" t="s">
        <v>179</v>
      </c>
      <c r="AV2231" s="53" t="s">
        <v>130</v>
      </c>
      <c r="AW2231" s="56"/>
      <c r="AX2231" s="43"/>
      <c r="AY2231" s="339"/>
      <c r="AZ2231" s="1432" t="s">
        <v>13366</v>
      </c>
      <c r="BA2231" s="339"/>
      <c r="BB2231" s="339"/>
      <c r="BC2231" s="339"/>
      <c r="BD2231" s="339"/>
      <c r="BE2231" s="339"/>
      <c r="BF2231" s="339"/>
      <c r="BG2231" s="339"/>
      <c r="BH2231" s="339"/>
      <c r="BI2231" s="339"/>
      <c r="BJ2231" s="339"/>
      <c r="BK2231" s="339"/>
      <c r="BL2231" s="339"/>
      <c r="BM2231" s="339"/>
      <c r="BN2231" s="339"/>
      <c r="BO2231" s="339"/>
      <c r="BP2231" s="339"/>
      <c r="BQ2231" s="339"/>
      <c r="BR2231" s="339"/>
      <c r="BS2231" s="339"/>
      <c r="BT2231" s="339"/>
      <c r="BU2231" s="339"/>
      <c r="BV2231" s="339"/>
      <c r="BW2231" s="339"/>
      <c r="BX2231" s="339"/>
      <c r="BY2231" s="339"/>
      <c r="BZ2231" s="339"/>
      <c r="CA2231" s="339"/>
      <c r="CB2231" s="339"/>
      <c r="CC2231" s="339"/>
      <c r="CD2231" s="339"/>
      <c r="CE2231" s="339"/>
      <c r="CF2231" s="339"/>
      <c r="CG2231" s="339"/>
      <c r="CH2231" s="339"/>
      <c r="CI2231" s="339"/>
      <c r="CJ2231" s="339"/>
      <c r="CK2231" s="339"/>
      <c r="CL2231" s="339"/>
      <c r="CM2231" s="339"/>
      <c r="CN2231" s="339"/>
      <c r="CO2231" s="339"/>
      <c r="CP2231" s="339"/>
      <c r="CQ2231" s="339"/>
      <c r="CR2231" s="339"/>
      <c r="CS2231" s="339"/>
      <c r="CT2231" s="339"/>
      <c r="CU2231" s="339"/>
      <c r="CV2231" s="339"/>
      <c r="CW2231" s="339"/>
      <c r="CX2231" s="339"/>
      <c r="CY2231" s="339"/>
      <c r="CZ2231" s="339"/>
      <c r="DA2231" s="339"/>
      <c r="DB2231" s="339"/>
      <c r="DC2231" s="339"/>
      <c r="DD2231" s="339"/>
      <c r="DE2231" s="339"/>
      <c r="DF2231" s="339"/>
      <c r="DG2231" s="339"/>
      <c r="DH2231" s="339"/>
    </row>
    <row r="2232">
      <c r="A2232" s="351">
        <v>2232.0</v>
      </c>
      <c r="B2232" s="53" t="s">
        <v>516</v>
      </c>
      <c r="C2232" s="338" t="s">
        <v>108</v>
      </c>
      <c r="D2232" s="338" t="s">
        <v>983</v>
      </c>
      <c r="E2232" s="339"/>
      <c r="F2232" s="43" t="s">
        <v>13469</v>
      </c>
      <c r="G2232" s="357" t="s">
        <v>13351</v>
      </c>
      <c r="H2232" s="357" t="s">
        <v>13352</v>
      </c>
      <c r="I2232" s="1684" t="s">
        <v>13353</v>
      </c>
      <c r="J2232" s="357" t="s">
        <v>13449</v>
      </c>
      <c r="K2232" s="357" t="s">
        <v>131</v>
      </c>
      <c r="L2232" s="53" t="s">
        <v>13254</v>
      </c>
      <c r="M2232" s="357" t="s">
        <v>13319</v>
      </c>
      <c r="N2232" s="357" t="s">
        <v>9858</v>
      </c>
      <c r="O2232" s="354">
        <v>4.0</v>
      </c>
      <c r="P2232" s="357" t="s">
        <v>13222</v>
      </c>
      <c r="Q2232" s="101" t="str">
        <f t="array" ref="Q2232"> if(iserror(MATCH(V2232, 'File Links'!C:C, 0)), "N/A", HYPERLINK(INDEX('File Links'!B:B, MATCH(P2232, 'File Links'!C:C, 0))))</f>
        <v>https://drive.google.com/file/d/1FklynAHzflh7rbxQIU4qTxOz3VBhye8B/view?usp=drivesdk</v>
      </c>
      <c r="R2232" s="357" t="s">
        <v>13223</v>
      </c>
      <c r="S2232" s="357" t="s">
        <v>13224</v>
      </c>
      <c r="T2232" s="357" t="s">
        <v>131</v>
      </c>
      <c r="U2232" s="354">
        <v>2.0</v>
      </c>
      <c r="V2232" s="357" t="s">
        <v>13225</v>
      </c>
      <c r="W2232" s="43"/>
      <c r="X2232" s="51" t="str">
        <f t="array" ref="X2232"> if(iserror(MATCH(V2232, 'File Links'!C:C, 0)), "N/A", HYPERLINK(INDEX('File Links'!B:B, MATCH(V2232, 'File Links'!C:C, 0))))</f>
        <v>https://drive.google.com/file/d/1hYNUJrx3yjyMoTgcG7Qz4pix-8ruWFMC/view?usp=drivesdk</v>
      </c>
      <c r="Y2232" s="357" t="s">
        <v>131</v>
      </c>
      <c r="Z2232" s="357" t="s">
        <v>219</v>
      </c>
      <c r="AA2232" s="357" t="s">
        <v>13226</v>
      </c>
      <c r="AB2232" s="357" t="s">
        <v>13355</v>
      </c>
      <c r="AC2232" s="357" t="s">
        <v>13470</v>
      </c>
      <c r="AD2232" s="357" t="s">
        <v>13471</v>
      </c>
      <c r="AE2232" s="357" t="s">
        <v>623</v>
      </c>
      <c r="AF2232" s="354">
        <v>1593.0</v>
      </c>
      <c r="AG2232" s="357" t="s">
        <v>13472</v>
      </c>
      <c r="AH2232" s="340" t="s">
        <v>127</v>
      </c>
      <c r="AI2232" s="357" t="s">
        <v>623</v>
      </c>
      <c r="AJ2232" s="354">
        <v>0.001</v>
      </c>
      <c r="AK2232" s="357" t="s">
        <v>128</v>
      </c>
      <c r="AL2232" s="357" t="s">
        <v>179</v>
      </c>
      <c r="AM2232" s="357" t="s">
        <v>130</v>
      </c>
      <c r="AN2232" s="357" t="s">
        <v>131</v>
      </c>
      <c r="AO2232" s="354">
        <v>3683.0</v>
      </c>
      <c r="AP2232" s="354">
        <v>1.04</v>
      </c>
      <c r="AQ2232" s="357" t="s">
        <v>715</v>
      </c>
      <c r="AR2232" s="357" t="s">
        <v>617</v>
      </c>
      <c r="AS2232" s="354">
        <v>0.241</v>
      </c>
      <c r="AT2232" s="357" t="s">
        <v>165</v>
      </c>
      <c r="AU2232" s="357" t="s">
        <v>129</v>
      </c>
      <c r="AV2232" s="357" t="s">
        <v>130</v>
      </c>
      <c r="AW2232" s="1998" t="s">
        <v>13229</v>
      </c>
      <c r="AX2232" s="357" t="s">
        <v>431</v>
      </c>
      <c r="AY2232" s="339"/>
      <c r="AZ2232" s="1432" t="s">
        <v>13366</v>
      </c>
      <c r="BA2232" s="339"/>
      <c r="BB2232" s="339"/>
      <c r="BC2232" s="339"/>
      <c r="BD2232" s="339"/>
      <c r="BE2232" s="339"/>
      <c r="BF2232" s="339"/>
      <c r="BG2232" s="339"/>
      <c r="BH2232" s="339"/>
      <c r="BI2232" s="339"/>
      <c r="BJ2232" s="339"/>
      <c r="BK2232" s="339"/>
      <c r="BL2232" s="339"/>
      <c r="BM2232" s="339"/>
      <c r="BN2232" s="339"/>
      <c r="BO2232" s="339"/>
      <c r="BP2232" s="339"/>
      <c r="BQ2232" s="339"/>
      <c r="BR2232" s="339"/>
      <c r="BS2232" s="339"/>
      <c r="BT2232" s="339"/>
      <c r="BU2232" s="339"/>
      <c r="BV2232" s="339"/>
      <c r="BW2232" s="339"/>
      <c r="BX2232" s="339"/>
      <c r="BY2232" s="339"/>
      <c r="BZ2232" s="339"/>
      <c r="CA2232" s="339"/>
      <c r="CB2232" s="339"/>
      <c r="CC2232" s="339"/>
      <c r="CD2232" s="339"/>
      <c r="CE2232" s="339"/>
      <c r="CF2232" s="339"/>
      <c r="CG2232" s="339"/>
      <c r="CH2232" s="339"/>
      <c r="CI2232" s="339"/>
      <c r="CJ2232" s="339"/>
      <c r="CK2232" s="339"/>
      <c r="CL2232" s="339"/>
      <c r="CM2232" s="339"/>
      <c r="CN2232" s="339"/>
      <c r="CO2232" s="339"/>
      <c r="CP2232" s="339"/>
      <c r="CQ2232" s="339"/>
      <c r="CR2232" s="339"/>
      <c r="CS2232" s="339"/>
      <c r="CT2232" s="339"/>
      <c r="CU2232" s="339"/>
      <c r="CV2232" s="339"/>
      <c r="CW2232" s="339"/>
      <c r="CX2232" s="339"/>
      <c r="CY2232" s="339"/>
      <c r="CZ2232" s="339"/>
      <c r="DA2232" s="339"/>
      <c r="DB2232" s="339"/>
      <c r="DC2232" s="339"/>
      <c r="DD2232" s="339"/>
      <c r="DE2232" s="339"/>
      <c r="DF2232" s="339"/>
      <c r="DG2232" s="339"/>
      <c r="DH2232" s="339"/>
    </row>
    <row r="2233">
      <c r="A2233" s="351">
        <v>2233.0</v>
      </c>
      <c r="B2233" s="53" t="s">
        <v>516</v>
      </c>
      <c r="C2233" s="338" t="s">
        <v>108</v>
      </c>
      <c r="D2233" s="338" t="s">
        <v>169</v>
      </c>
      <c r="E2233" s="339"/>
      <c r="F2233" s="53" t="s">
        <v>13469</v>
      </c>
      <c r="G2233" s="53" t="s">
        <v>13351</v>
      </c>
      <c r="H2233" s="340" t="s">
        <v>7218</v>
      </c>
      <c r="I2233" s="344" t="s">
        <v>13262</v>
      </c>
      <c r="J2233" s="43"/>
      <c r="K2233" s="357"/>
      <c r="L2233" s="43"/>
      <c r="M2233" s="53" t="s">
        <v>13259</v>
      </c>
      <c r="N2233" s="53" t="s">
        <v>9858</v>
      </c>
      <c r="O2233" s="382"/>
      <c r="P2233" s="340" t="s">
        <v>13222</v>
      </c>
      <c r="Q2233" s="101" t="str">
        <f t="array" ref="Q2233"> if(iserror(MATCH(V2233, 'File Links'!C:C, 0)), "N/A", HYPERLINK(INDEX('File Links'!B:B, MATCH(P2233, 'File Links'!C:C, 0))))</f>
        <v>https://drive.google.com/file/d/1FklynAHzflh7rbxQIU4qTxOz3VBhye8B/view?usp=drivesdk</v>
      </c>
      <c r="R2233" s="1689" t="s">
        <v>13223</v>
      </c>
      <c r="S2233" s="53" t="s">
        <v>13224</v>
      </c>
      <c r="T2233" s="1791"/>
      <c r="U2233" s="382"/>
      <c r="V2233" s="340" t="s">
        <v>13225</v>
      </c>
      <c r="W2233" s="357"/>
      <c r="X2233" s="51" t="str">
        <f t="array" ref="X2233"> if(iserror(MATCH(V2233, 'File Links'!C:C, 0)), "N/A", HYPERLINK(INDEX('File Links'!B:B, MATCH(V2233, 'File Links'!C:C, 0))))</f>
        <v>https://drive.google.com/file/d/1hYNUJrx3yjyMoTgcG7Qz4pix-8ruWFMC/view?usp=drivesdk</v>
      </c>
      <c r="Y2233" s="43"/>
      <c r="Z2233" s="340" t="s">
        <v>219</v>
      </c>
      <c r="AA2233" s="53" t="s">
        <v>13226</v>
      </c>
      <c r="AB2233" s="340" t="s">
        <v>13359</v>
      </c>
      <c r="AC2233" s="357"/>
      <c r="AD2233" s="357"/>
      <c r="AE2233" s="357"/>
      <c r="AF2233" s="354"/>
      <c r="AG2233" s="354"/>
      <c r="AH2233" s="357"/>
      <c r="AI2233" s="357"/>
      <c r="AJ2233" s="354"/>
      <c r="AK2233" s="357"/>
      <c r="AL2233" s="357"/>
      <c r="AM2233" s="43"/>
      <c r="AN2233" s="43"/>
      <c r="AO2233" s="354"/>
      <c r="AP2233" s="354"/>
      <c r="AQ2233" s="357"/>
      <c r="AR2233" s="357"/>
      <c r="AS2233" s="354"/>
      <c r="AT2233" s="357"/>
      <c r="AU2233" s="357"/>
      <c r="AV2233" s="43"/>
      <c r="AW2233" s="56"/>
      <c r="AX2233" s="43"/>
      <c r="AY2233" s="339"/>
      <c r="AZ2233" s="1432" t="s">
        <v>13366</v>
      </c>
      <c r="BA2233" s="339"/>
      <c r="BB2233" s="339"/>
      <c r="BC2233" s="339"/>
      <c r="BD2233" s="339"/>
      <c r="BE2233" s="339"/>
      <c r="BF2233" s="339"/>
      <c r="BG2233" s="339"/>
      <c r="BH2233" s="339"/>
      <c r="BI2233" s="339"/>
      <c r="BJ2233" s="339"/>
      <c r="BK2233" s="339"/>
      <c r="BL2233" s="339"/>
      <c r="BM2233" s="339"/>
      <c r="BN2233" s="339"/>
      <c r="BO2233" s="339"/>
      <c r="BP2233" s="339"/>
      <c r="BQ2233" s="339"/>
      <c r="BR2233" s="339"/>
      <c r="BS2233" s="339"/>
      <c r="BT2233" s="339"/>
      <c r="BU2233" s="339"/>
      <c r="BV2233" s="339"/>
      <c r="BW2233" s="339"/>
      <c r="BX2233" s="339"/>
      <c r="BY2233" s="339"/>
      <c r="BZ2233" s="339"/>
      <c r="CA2233" s="339"/>
      <c r="CB2233" s="339"/>
      <c r="CC2233" s="339"/>
      <c r="CD2233" s="339"/>
      <c r="CE2233" s="339"/>
      <c r="CF2233" s="339"/>
      <c r="CG2233" s="339"/>
      <c r="CH2233" s="339"/>
      <c r="CI2233" s="339"/>
      <c r="CJ2233" s="339"/>
      <c r="CK2233" s="339"/>
      <c r="CL2233" s="339"/>
      <c r="CM2233" s="339"/>
      <c r="CN2233" s="339"/>
      <c r="CO2233" s="339"/>
      <c r="CP2233" s="339"/>
      <c r="CQ2233" s="339"/>
      <c r="CR2233" s="339"/>
      <c r="CS2233" s="339"/>
      <c r="CT2233" s="339"/>
      <c r="CU2233" s="339"/>
      <c r="CV2233" s="339"/>
      <c r="CW2233" s="339"/>
      <c r="CX2233" s="339"/>
      <c r="CY2233" s="339"/>
      <c r="CZ2233" s="339"/>
      <c r="DA2233" s="339"/>
      <c r="DB2233" s="339"/>
      <c r="DC2233" s="339"/>
      <c r="DD2233" s="339"/>
      <c r="DE2233" s="339"/>
      <c r="DF2233" s="339"/>
      <c r="DG2233" s="339"/>
      <c r="DH2233" s="339"/>
    </row>
    <row r="2234">
      <c r="A2234" s="41">
        <v>2234.0</v>
      </c>
      <c r="B2234" s="126" t="s">
        <v>516</v>
      </c>
      <c r="C2234" s="59" t="s">
        <v>108</v>
      </c>
      <c r="D2234" s="59" t="s">
        <v>983</v>
      </c>
      <c r="F2234" s="65" t="s">
        <v>13473</v>
      </c>
      <c r="G2234" s="156" t="s">
        <v>13351</v>
      </c>
      <c r="H2234" s="156" t="s">
        <v>13352</v>
      </c>
      <c r="I2234" s="1284" t="s">
        <v>13353</v>
      </c>
      <c r="J2234" s="156" t="s">
        <v>13449</v>
      </c>
      <c r="K2234" s="156" t="s">
        <v>131</v>
      </c>
      <c r="L2234" s="53" t="s">
        <v>13254</v>
      </c>
      <c r="M2234" s="156" t="s">
        <v>13319</v>
      </c>
      <c r="N2234" s="156" t="s">
        <v>9858</v>
      </c>
      <c r="O2234" s="153">
        <v>4.0</v>
      </c>
      <c r="P2234" s="379" t="s">
        <v>13222</v>
      </c>
      <c r="Q2234" s="49" t="str">
        <f t="array" ref="Q2234"> if(iserror(MATCH(V2234, 'File Links'!C:C, 0)), "N/A", HYPERLINK(INDEX('File Links'!B:B, MATCH(P2234, 'File Links'!C:C, 0))))</f>
        <v>https://drive.google.com/file/d/1FklynAHzflh7rbxQIU4qTxOz3VBhye8B/view?usp=drivesdk</v>
      </c>
      <c r="R2234" s="156" t="s">
        <v>13223</v>
      </c>
      <c r="S2234" s="156" t="s">
        <v>13224</v>
      </c>
      <c r="T2234" s="156" t="s">
        <v>131</v>
      </c>
      <c r="U2234" s="153">
        <v>2.0</v>
      </c>
      <c r="V2234" s="379" t="s">
        <v>13225</v>
      </c>
      <c r="W2234" s="1225"/>
      <c r="X2234" s="51" t="str">
        <f t="array" ref="X2234"> if(iserror(MATCH(V2234, 'File Links'!C:C, 0)), "N/A", HYPERLINK(INDEX('File Links'!B:B, MATCH(V2234, 'File Links'!C:C, 0))))</f>
        <v>https://drive.google.com/file/d/1hYNUJrx3yjyMoTgcG7Qz4pix-8ruWFMC/view?usp=drivesdk</v>
      </c>
      <c r="Y2234" s="156" t="s">
        <v>131</v>
      </c>
      <c r="Z2234" s="156" t="s">
        <v>219</v>
      </c>
      <c r="AA2234" s="156" t="s">
        <v>13226</v>
      </c>
      <c r="AB2234" s="156" t="s">
        <v>13355</v>
      </c>
      <c r="AC2234" s="156" t="s">
        <v>13474</v>
      </c>
      <c r="AD2234" s="156" t="s">
        <v>13471</v>
      </c>
      <c r="AE2234" s="156" t="s">
        <v>623</v>
      </c>
      <c r="AF2234" s="153">
        <v>1593.0</v>
      </c>
      <c r="AG2234" s="156" t="s">
        <v>13472</v>
      </c>
      <c r="AH2234" s="346" t="s">
        <v>127</v>
      </c>
      <c r="AI2234" s="156" t="s">
        <v>623</v>
      </c>
      <c r="AJ2234" s="153">
        <v>0.001</v>
      </c>
      <c r="AK2234" s="156" t="s">
        <v>128</v>
      </c>
      <c r="AL2234" s="156" t="s">
        <v>179</v>
      </c>
      <c r="AM2234" s="156" t="s">
        <v>130</v>
      </c>
      <c r="AN2234" s="156" t="s">
        <v>131</v>
      </c>
      <c r="AO2234" s="153">
        <v>3683.0</v>
      </c>
      <c r="AP2234" s="153">
        <v>0.02</v>
      </c>
      <c r="AQ2234" s="156" t="s">
        <v>980</v>
      </c>
      <c r="AR2234" s="156" t="s">
        <v>617</v>
      </c>
      <c r="AS2234" s="153">
        <v>0.179</v>
      </c>
      <c r="AT2234" s="156" t="s">
        <v>165</v>
      </c>
      <c r="AU2234" s="156" t="s">
        <v>129</v>
      </c>
      <c r="AV2234" s="156" t="s">
        <v>130</v>
      </c>
      <c r="AW2234" s="1999" t="s">
        <v>13229</v>
      </c>
      <c r="AX2234" s="156" t="s">
        <v>431</v>
      </c>
      <c r="AZ2234" s="1432" t="s">
        <v>13366</v>
      </c>
    </row>
    <row r="2235">
      <c r="A2235" s="41">
        <v>2235.0</v>
      </c>
      <c r="B2235" s="126" t="s">
        <v>516</v>
      </c>
      <c r="C2235" s="59" t="s">
        <v>108</v>
      </c>
      <c r="D2235" s="59" t="s">
        <v>169</v>
      </c>
      <c r="F2235" s="126" t="s">
        <v>13473</v>
      </c>
      <c r="G2235" s="126" t="s">
        <v>13351</v>
      </c>
      <c r="H2235" s="148" t="s">
        <v>7218</v>
      </c>
      <c r="I2235" s="158" t="s">
        <v>13262</v>
      </c>
      <c r="J2235" s="65"/>
      <c r="K2235" s="156"/>
      <c r="L2235" s="65"/>
      <c r="M2235" s="126" t="s">
        <v>13319</v>
      </c>
      <c r="N2235" s="126" t="s">
        <v>9858</v>
      </c>
      <c r="O2235" s="333"/>
      <c r="P2235" s="306" t="s">
        <v>13222</v>
      </c>
      <c r="Q2235" s="49" t="str">
        <f t="array" ref="Q2235"> if(iserror(MATCH(V2235, 'File Links'!C:C, 0)), "N/A", HYPERLINK(INDEX('File Links'!B:B, MATCH(P2235, 'File Links'!C:C, 0))))</f>
        <v>https://drive.google.com/file/d/1FklynAHzflh7rbxQIU4qTxOz3VBhye8B/view?usp=drivesdk</v>
      </c>
      <c r="R2235" s="1689" t="s">
        <v>13223</v>
      </c>
      <c r="S2235" s="126" t="s">
        <v>13224</v>
      </c>
      <c r="T2235" s="1371"/>
      <c r="U2235" s="333"/>
      <c r="V2235" s="148" t="s">
        <v>13225</v>
      </c>
      <c r="W2235" s="156"/>
      <c r="X2235" s="51" t="str">
        <f t="array" ref="X2235"> if(iserror(MATCH(V2235, 'File Links'!C:C, 0)), "N/A", HYPERLINK(INDEX('File Links'!B:B, MATCH(V2235, 'File Links'!C:C, 0))))</f>
        <v>https://drive.google.com/file/d/1hYNUJrx3yjyMoTgcG7Qz4pix-8ruWFMC/view?usp=drivesdk</v>
      </c>
      <c r="Y2235" s="65"/>
      <c r="Z2235" s="148" t="s">
        <v>219</v>
      </c>
      <c r="AA2235" s="126" t="s">
        <v>13226</v>
      </c>
      <c r="AB2235" s="148" t="s">
        <v>13359</v>
      </c>
      <c r="AC2235" s="156"/>
      <c r="AD2235" s="156"/>
      <c r="AE2235" s="156"/>
      <c r="AF2235" s="153"/>
      <c r="AG2235" s="153"/>
      <c r="AH2235" s="156"/>
      <c r="AI2235" s="156"/>
      <c r="AJ2235" s="153"/>
      <c r="AK2235" s="156"/>
      <c r="AL2235" s="156"/>
      <c r="AM2235" s="65"/>
      <c r="AN2235" s="65"/>
      <c r="AO2235" s="153"/>
      <c r="AP2235" s="153"/>
      <c r="AQ2235" s="156"/>
      <c r="AR2235" s="156"/>
      <c r="AS2235" s="153"/>
      <c r="AT2235" s="156"/>
      <c r="AU2235" s="156"/>
      <c r="AV2235" s="65"/>
      <c r="AW2235" s="432"/>
      <c r="AX2235" s="65"/>
      <c r="AZ2235" s="1432" t="s">
        <v>13366</v>
      </c>
    </row>
    <row r="2236">
      <c r="A2236" s="41">
        <v>2236.0</v>
      </c>
      <c r="B2236" s="126" t="s">
        <v>516</v>
      </c>
      <c r="C2236" s="59" t="s">
        <v>108</v>
      </c>
      <c r="D2236" s="59" t="s">
        <v>983</v>
      </c>
      <c r="F2236" s="65" t="s">
        <v>13381</v>
      </c>
      <c r="G2236" s="156" t="s">
        <v>13351</v>
      </c>
      <c r="H2236" s="156" t="s">
        <v>13352</v>
      </c>
      <c r="I2236" s="1284" t="s">
        <v>13353</v>
      </c>
      <c r="J2236" s="156" t="s">
        <v>13449</v>
      </c>
      <c r="K2236" s="156" t="s">
        <v>131</v>
      </c>
      <c r="L2236" s="53" t="s">
        <v>13254</v>
      </c>
      <c r="M2236" s="156" t="s">
        <v>13221</v>
      </c>
      <c r="N2236" s="156" t="s">
        <v>9858</v>
      </c>
      <c r="O2236" s="153">
        <v>1.0</v>
      </c>
      <c r="P2236" s="379" t="s">
        <v>13222</v>
      </c>
      <c r="Q2236" s="49" t="str">
        <f t="array" ref="Q2236"> if(iserror(MATCH(V2236, 'File Links'!C:C, 0)), "N/A", HYPERLINK(INDEX('File Links'!B:B, MATCH(P2236, 'File Links'!C:C, 0))))</f>
        <v>https://drive.google.com/file/d/1FklynAHzflh7rbxQIU4qTxOz3VBhye8B/view?usp=drivesdk</v>
      </c>
      <c r="R2236" s="156" t="s">
        <v>13223</v>
      </c>
      <c r="S2236" s="156" t="s">
        <v>13224</v>
      </c>
      <c r="T2236" s="156" t="s">
        <v>131</v>
      </c>
      <c r="U2236" s="153">
        <v>2.0</v>
      </c>
      <c r="V2236" s="379" t="s">
        <v>13225</v>
      </c>
      <c r="W2236" s="1225"/>
      <c r="X2236" s="51" t="str">
        <f t="array" ref="X2236"> if(iserror(MATCH(V2236, 'File Links'!C:C, 0)), "N/A", HYPERLINK(INDEX('File Links'!B:B, MATCH(V2236, 'File Links'!C:C, 0))))</f>
        <v>https://drive.google.com/file/d/1hYNUJrx3yjyMoTgcG7Qz4pix-8ruWFMC/view?usp=drivesdk</v>
      </c>
      <c r="Y2236" s="156" t="s">
        <v>131</v>
      </c>
      <c r="Z2236" s="156" t="s">
        <v>219</v>
      </c>
      <c r="AA2236" s="156" t="s">
        <v>13226</v>
      </c>
      <c r="AB2236" s="156" t="s">
        <v>13355</v>
      </c>
      <c r="AC2236" s="156" t="s">
        <v>13475</v>
      </c>
      <c r="AD2236" s="156" t="s">
        <v>13357</v>
      </c>
      <c r="AE2236" s="156" t="s">
        <v>1035</v>
      </c>
      <c r="AF2236" s="153">
        <v>101.0</v>
      </c>
      <c r="AG2236" s="153">
        <v>0.183</v>
      </c>
      <c r="AH2236" s="156" t="s">
        <v>166</v>
      </c>
      <c r="AI2236" s="156" t="s">
        <v>1035</v>
      </c>
      <c r="AJ2236" s="153">
        <v>0.05</v>
      </c>
      <c r="AK2236" s="156" t="s">
        <v>128</v>
      </c>
      <c r="AL2236" s="156" t="s">
        <v>129</v>
      </c>
      <c r="AM2236" s="156" t="s">
        <v>130</v>
      </c>
      <c r="AN2236" s="156" t="s">
        <v>131</v>
      </c>
      <c r="AO2236" s="153">
        <v>3762.0</v>
      </c>
      <c r="AP2236" s="153">
        <v>1.11</v>
      </c>
      <c r="AQ2236" s="156" t="s">
        <v>715</v>
      </c>
      <c r="AR2236" s="156" t="s">
        <v>617</v>
      </c>
      <c r="AS2236" s="153">
        <v>0.002</v>
      </c>
      <c r="AT2236" s="156" t="s">
        <v>165</v>
      </c>
      <c r="AU2236" s="156" t="s">
        <v>129</v>
      </c>
      <c r="AV2236" s="156" t="s">
        <v>130</v>
      </c>
      <c r="AW2236" s="1999" t="s">
        <v>13229</v>
      </c>
      <c r="AX2236" s="156" t="s">
        <v>431</v>
      </c>
      <c r="AZ2236" s="1432" t="s">
        <v>13366</v>
      </c>
    </row>
    <row r="2237">
      <c r="A2237" s="41">
        <v>2237.0</v>
      </c>
      <c r="B2237" s="126" t="s">
        <v>516</v>
      </c>
      <c r="C2237" s="59" t="s">
        <v>108</v>
      </c>
      <c r="D2237" s="59" t="s">
        <v>169</v>
      </c>
      <c r="F2237" s="126" t="s">
        <v>13381</v>
      </c>
      <c r="G2237" s="126" t="s">
        <v>13476</v>
      </c>
      <c r="H2237" s="148" t="s">
        <v>7218</v>
      </c>
      <c r="I2237" s="158" t="s">
        <v>13262</v>
      </c>
      <c r="J2237" s="65"/>
      <c r="K2237" s="156"/>
      <c r="L2237" s="126" t="s">
        <v>13408</v>
      </c>
      <c r="M2237" s="126" t="s">
        <v>13221</v>
      </c>
      <c r="N2237" s="126" t="s">
        <v>9858</v>
      </c>
      <c r="O2237" s="498">
        <v>1.0</v>
      </c>
      <c r="P2237" s="306" t="s">
        <v>13222</v>
      </c>
      <c r="Q2237" s="49" t="str">
        <f t="array" ref="Q2237"> if(iserror(MATCH(V2237, 'File Links'!C:C, 0)), "N/A", HYPERLINK(INDEX('File Links'!B:B, MATCH(P2237, 'File Links'!C:C, 0))))</f>
        <v>https://drive.google.com/file/d/1FklynAHzflh7rbxQIU4qTxOz3VBhye8B/view?usp=drivesdk</v>
      </c>
      <c r="R2237" s="1689" t="s">
        <v>13223</v>
      </c>
      <c r="S2237" s="126" t="s">
        <v>13224</v>
      </c>
      <c r="T2237" s="1371"/>
      <c r="U2237" s="333"/>
      <c r="V2237" s="148" t="s">
        <v>13225</v>
      </c>
      <c r="W2237" s="148" t="s">
        <v>665</v>
      </c>
      <c r="X2237" s="51" t="str">
        <f t="array" ref="X2237"> if(iserror(MATCH(V2237, 'File Links'!C:C, 0)), "N/A", HYPERLINK(INDEX('File Links'!B:B, MATCH(V2237, 'File Links'!C:C, 0))))</f>
        <v>https://drive.google.com/file/d/1hYNUJrx3yjyMoTgcG7Qz4pix-8ruWFMC/view?usp=drivesdk</v>
      </c>
      <c r="Y2237" s="65"/>
      <c r="Z2237" s="148" t="s">
        <v>219</v>
      </c>
      <c r="AA2237" s="126" t="s">
        <v>13226</v>
      </c>
      <c r="AB2237" s="148" t="s">
        <v>13359</v>
      </c>
      <c r="AC2237" s="148" t="s">
        <v>13477</v>
      </c>
      <c r="AD2237" s="148" t="s">
        <v>13478</v>
      </c>
      <c r="AE2237" s="148" t="s">
        <v>489</v>
      </c>
      <c r="AF2237" s="158">
        <v>447.0</v>
      </c>
      <c r="AG2237" s="158" t="s">
        <v>13479</v>
      </c>
      <c r="AH2237" s="148" t="s">
        <v>127</v>
      </c>
      <c r="AI2237" s="148" t="s">
        <v>489</v>
      </c>
      <c r="AJ2237" s="158">
        <v>0.1</v>
      </c>
      <c r="AK2237" s="148" t="s">
        <v>128</v>
      </c>
      <c r="AL2237" s="148" t="s">
        <v>179</v>
      </c>
      <c r="AM2237" s="126" t="s">
        <v>130</v>
      </c>
      <c r="AN2237" s="65"/>
      <c r="AO2237" s="158">
        <v>2644.0</v>
      </c>
      <c r="AP2237" s="158">
        <v>-1.28</v>
      </c>
      <c r="AQ2237" s="148" t="s">
        <v>127</v>
      </c>
      <c r="AR2237" s="148" t="s">
        <v>13372</v>
      </c>
      <c r="AS2237" s="158">
        <v>0.201</v>
      </c>
      <c r="AT2237" s="148" t="s">
        <v>165</v>
      </c>
      <c r="AU2237" s="148" t="s">
        <v>179</v>
      </c>
      <c r="AV2237" s="126" t="s">
        <v>130</v>
      </c>
      <c r="AW2237" s="432"/>
      <c r="AX2237" s="126" t="s">
        <v>144</v>
      </c>
      <c r="AZ2237" s="1432" t="s">
        <v>13366</v>
      </c>
    </row>
    <row r="2238">
      <c r="A2238" s="41">
        <v>2238.0</v>
      </c>
      <c r="B2238" s="126" t="s">
        <v>516</v>
      </c>
      <c r="C2238" s="59" t="s">
        <v>108</v>
      </c>
      <c r="D2238" s="59" t="s">
        <v>983</v>
      </c>
      <c r="F2238" s="65" t="s">
        <v>13451</v>
      </c>
      <c r="G2238" s="156" t="s">
        <v>13351</v>
      </c>
      <c r="H2238" s="156" t="s">
        <v>13352</v>
      </c>
      <c r="I2238" s="1284" t="s">
        <v>13353</v>
      </c>
      <c r="J2238" s="156" t="s">
        <v>13449</v>
      </c>
      <c r="K2238" s="156" t="s">
        <v>131</v>
      </c>
      <c r="L2238" s="53" t="s">
        <v>13254</v>
      </c>
      <c r="M2238" s="156" t="s">
        <v>13221</v>
      </c>
      <c r="N2238" s="156" t="s">
        <v>9858</v>
      </c>
      <c r="O2238" s="153">
        <v>1.0</v>
      </c>
      <c r="P2238" s="379" t="s">
        <v>13222</v>
      </c>
      <c r="Q2238" s="49" t="str">
        <f t="array" ref="Q2238"> if(iserror(MATCH(V2238, 'File Links'!C:C, 0)), "N/A", HYPERLINK(INDEX('File Links'!B:B, MATCH(P2238, 'File Links'!C:C, 0))))</f>
        <v>https://drive.google.com/file/d/1FklynAHzflh7rbxQIU4qTxOz3VBhye8B/view?usp=drivesdk</v>
      </c>
      <c r="R2238" s="156" t="s">
        <v>13223</v>
      </c>
      <c r="S2238" s="156" t="s">
        <v>13224</v>
      </c>
      <c r="T2238" s="156" t="s">
        <v>131</v>
      </c>
      <c r="U2238" s="153">
        <v>2.0</v>
      </c>
      <c r="V2238" s="379" t="s">
        <v>13225</v>
      </c>
      <c r="W2238" s="1225"/>
      <c r="X2238" s="51" t="str">
        <f t="array" ref="X2238"> if(iserror(MATCH(V2238, 'File Links'!C:C, 0)), "N/A", HYPERLINK(INDEX('File Links'!B:B, MATCH(V2238, 'File Links'!C:C, 0))))</f>
        <v>https://drive.google.com/file/d/1hYNUJrx3yjyMoTgcG7Qz4pix-8ruWFMC/view?usp=drivesdk</v>
      </c>
      <c r="Y2238" s="156" t="s">
        <v>131</v>
      </c>
      <c r="Z2238" s="156" t="s">
        <v>219</v>
      </c>
      <c r="AA2238" s="156" t="s">
        <v>13226</v>
      </c>
      <c r="AB2238" s="156" t="s">
        <v>13355</v>
      </c>
      <c r="AC2238" s="156" t="s">
        <v>13480</v>
      </c>
      <c r="AD2238" s="156" t="s">
        <v>13365</v>
      </c>
      <c r="AE2238" s="156" t="s">
        <v>1035</v>
      </c>
      <c r="AF2238" s="153">
        <v>85.0</v>
      </c>
      <c r="AG2238" s="153">
        <v>0.803</v>
      </c>
      <c r="AH2238" s="156" t="s">
        <v>166</v>
      </c>
      <c r="AI2238" s="156" t="s">
        <v>1035</v>
      </c>
      <c r="AJ2238" s="153">
        <v>0.05</v>
      </c>
      <c r="AK2238" s="156" t="s">
        <v>128</v>
      </c>
      <c r="AL2238" s="156" t="s">
        <v>129</v>
      </c>
      <c r="AM2238" s="156" t="s">
        <v>130</v>
      </c>
      <c r="AN2238" s="156" t="s">
        <v>131</v>
      </c>
      <c r="AO2238" s="153">
        <v>3762.0</v>
      </c>
      <c r="AP2238" s="153">
        <v>0.9</v>
      </c>
      <c r="AQ2238" s="156" t="s">
        <v>715</v>
      </c>
      <c r="AR2238" s="156" t="s">
        <v>617</v>
      </c>
      <c r="AS2238" s="153">
        <v>0.003</v>
      </c>
      <c r="AT2238" s="156" t="s">
        <v>165</v>
      </c>
      <c r="AU2238" s="156" t="s">
        <v>129</v>
      </c>
      <c r="AV2238" s="156" t="s">
        <v>130</v>
      </c>
      <c r="AW2238" s="1999" t="s">
        <v>13229</v>
      </c>
      <c r="AX2238" s="156" t="s">
        <v>431</v>
      </c>
      <c r="AZ2238" s="1432" t="s">
        <v>13366</v>
      </c>
    </row>
    <row r="2239">
      <c r="A2239" s="41">
        <v>2239.0</v>
      </c>
      <c r="B2239" s="126" t="s">
        <v>516</v>
      </c>
      <c r="C2239" s="59" t="s">
        <v>108</v>
      </c>
      <c r="D2239" s="59" t="s">
        <v>169</v>
      </c>
      <c r="F2239" s="126" t="s">
        <v>13451</v>
      </c>
      <c r="G2239" s="126" t="s">
        <v>13481</v>
      </c>
      <c r="H2239" s="148" t="s">
        <v>7218</v>
      </c>
      <c r="I2239" s="158" t="s">
        <v>13262</v>
      </c>
      <c r="J2239" s="65"/>
      <c r="K2239" s="156"/>
      <c r="L2239" s="126" t="s">
        <v>13408</v>
      </c>
      <c r="M2239" s="126" t="s">
        <v>13221</v>
      </c>
      <c r="N2239" s="126" t="s">
        <v>9858</v>
      </c>
      <c r="O2239" s="498">
        <v>1.0</v>
      </c>
      <c r="P2239" s="306" t="s">
        <v>13222</v>
      </c>
      <c r="Q2239" s="49" t="str">
        <f t="array" ref="Q2239"> if(iserror(MATCH(V2239, 'File Links'!C:C, 0)), "N/A", HYPERLINK(INDEX('File Links'!B:B, MATCH(P2239, 'File Links'!C:C, 0))))</f>
        <v>https://drive.google.com/file/d/1FklynAHzflh7rbxQIU4qTxOz3VBhye8B/view?usp=drivesdk</v>
      </c>
      <c r="R2239" s="1689" t="s">
        <v>13223</v>
      </c>
      <c r="S2239" s="126" t="s">
        <v>13224</v>
      </c>
      <c r="T2239" s="1371"/>
      <c r="U2239" s="333"/>
      <c r="V2239" s="148" t="s">
        <v>13225</v>
      </c>
      <c r="W2239" s="148" t="s">
        <v>665</v>
      </c>
      <c r="X2239" s="51" t="str">
        <f t="array" ref="X2239"> if(iserror(MATCH(V2239, 'File Links'!C:C, 0)), "N/A", HYPERLINK(INDEX('File Links'!B:B, MATCH(V2239, 'File Links'!C:C, 0))))</f>
        <v>https://drive.google.com/file/d/1hYNUJrx3yjyMoTgcG7Qz4pix-8ruWFMC/view?usp=drivesdk</v>
      </c>
      <c r="Y2239" s="65"/>
      <c r="Z2239" s="148" t="s">
        <v>219</v>
      </c>
      <c r="AA2239" s="126" t="s">
        <v>13226</v>
      </c>
      <c r="AB2239" s="148" t="s">
        <v>13359</v>
      </c>
      <c r="AC2239" s="148" t="s">
        <v>13482</v>
      </c>
      <c r="AD2239" s="148" t="s">
        <v>13483</v>
      </c>
      <c r="AE2239" s="148" t="s">
        <v>489</v>
      </c>
      <c r="AF2239" s="158">
        <v>447.0</v>
      </c>
      <c r="AG2239" s="158" t="s">
        <v>13484</v>
      </c>
      <c r="AH2239" s="148" t="s">
        <v>127</v>
      </c>
      <c r="AI2239" s="148" t="s">
        <v>489</v>
      </c>
      <c r="AJ2239" s="158">
        <v>0.1</v>
      </c>
      <c r="AK2239" s="148" t="s">
        <v>128</v>
      </c>
      <c r="AL2239" s="148" t="s">
        <v>179</v>
      </c>
      <c r="AM2239" s="126" t="s">
        <v>130</v>
      </c>
      <c r="AN2239" s="65"/>
      <c r="AO2239" s="158">
        <v>2644.0</v>
      </c>
      <c r="AP2239" s="158">
        <v>0.76</v>
      </c>
      <c r="AQ2239" s="148" t="s">
        <v>127</v>
      </c>
      <c r="AR2239" s="148" t="s">
        <v>13372</v>
      </c>
      <c r="AS2239" s="158">
        <v>0.447</v>
      </c>
      <c r="AT2239" s="148" t="s">
        <v>165</v>
      </c>
      <c r="AU2239" s="148" t="s">
        <v>179</v>
      </c>
      <c r="AV2239" s="126" t="s">
        <v>130</v>
      </c>
      <c r="AW2239" s="432"/>
      <c r="AX2239" s="126" t="s">
        <v>144</v>
      </c>
      <c r="AZ2239" s="1432" t="s">
        <v>13366</v>
      </c>
    </row>
    <row r="2240">
      <c r="A2240" s="41">
        <v>2240.0</v>
      </c>
      <c r="B2240" s="126" t="s">
        <v>516</v>
      </c>
      <c r="C2240" s="59" t="s">
        <v>108</v>
      </c>
      <c r="D2240" s="59" t="s">
        <v>983</v>
      </c>
      <c r="F2240" s="65" t="s">
        <v>13485</v>
      </c>
      <c r="G2240" s="156" t="s">
        <v>13351</v>
      </c>
      <c r="H2240" s="156" t="s">
        <v>13352</v>
      </c>
      <c r="I2240" s="1284" t="s">
        <v>13353</v>
      </c>
      <c r="J2240" s="156" t="s">
        <v>13449</v>
      </c>
      <c r="K2240" s="156" t="s">
        <v>131</v>
      </c>
      <c r="L2240" s="53" t="s">
        <v>13254</v>
      </c>
      <c r="M2240" s="156" t="s">
        <v>13221</v>
      </c>
      <c r="N2240" s="156" t="s">
        <v>9858</v>
      </c>
      <c r="O2240" s="153">
        <v>1.0</v>
      </c>
      <c r="P2240" s="379" t="s">
        <v>13222</v>
      </c>
      <c r="Q2240" s="49" t="str">
        <f t="array" ref="Q2240"> if(iserror(MATCH(V2240, 'File Links'!C:C, 0)), "N/A", HYPERLINK(INDEX('File Links'!B:B, MATCH(P2240, 'File Links'!C:C, 0))))</f>
        <v>https://drive.google.com/file/d/1FklynAHzflh7rbxQIU4qTxOz3VBhye8B/view?usp=drivesdk</v>
      </c>
      <c r="R2240" s="156" t="s">
        <v>13223</v>
      </c>
      <c r="S2240" s="156" t="s">
        <v>13224</v>
      </c>
      <c r="T2240" s="156" t="s">
        <v>131</v>
      </c>
      <c r="U2240" s="153">
        <v>2.0</v>
      </c>
      <c r="V2240" s="379" t="s">
        <v>13225</v>
      </c>
      <c r="W2240" s="1225"/>
      <c r="X2240" s="51" t="str">
        <f t="array" ref="X2240"> if(iserror(MATCH(V2240, 'File Links'!C:C, 0)), "N/A", HYPERLINK(INDEX('File Links'!B:B, MATCH(V2240, 'File Links'!C:C, 0))))</f>
        <v>https://drive.google.com/file/d/1hYNUJrx3yjyMoTgcG7Qz4pix-8ruWFMC/view?usp=drivesdk</v>
      </c>
      <c r="Y2240" s="156" t="s">
        <v>131</v>
      </c>
      <c r="Z2240" s="156" t="s">
        <v>219</v>
      </c>
      <c r="AA2240" s="156" t="s">
        <v>13226</v>
      </c>
      <c r="AB2240" s="156" t="s">
        <v>13355</v>
      </c>
      <c r="AC2240" s="156" t="s">
        <v>13486</v>
      </c>
      <c r="AD2240" s="156" t="s">
        <v>13365</v>
      </c>
      <c r="AE2240" s="156" t="s">
        <v>1035</v>
      </c>
      <c r="AF2240" s="153">
        <v>85.0</v>
      </c>
      <c r="AG2240" s="153">
        <v>0.803</v>
      </c>
      <c r="AH2240" s="156" t="s">
        <v>166</v>
      </c>
      <c r="AI2240" s="156" t="s">
        <v>1035</v>
      </c>
      <c r="AJ2240" s="153">
        <v>0.05</v>
      </c>
      <c r="AK2240" s="156" t="s">
        <v>128</v>
      </c>
      <c r="AL2240" s="156" t="s">
        <v>129</v>
      </c>
      <c r="AM2240" s="156" t="s">
        <v>130</v>
      </c>
      <c r="AN2240" s="156" t="s">
        <v>131</v>
      </c>
      <c r="AO2240" s="153">
        <v>3762.0</v>
      </c>
      <c r="AP2240" s="153">
        <v>0.95</v>
      </c>
      <c r="AQ2240" s="156" t="s">
        <v>715</v>
      </c>
      <c r="AR2240" s="156" t="s">
        <v>617</v>
      </c>
      <c r="AS2240" s="153">
        <v>0.131</v>
      </c>
      <c r="AT2240" s="156" t="s">
        <v>165</v>
      </c>
      <c r="AU2240" s="156" t="s">
        <v>129</v>
      </c>
      <c r="AV2240" s="156" t="s">
        <v>130</v>
      </c>
      <c r="AW2240" s="1999" t="s">
        <v>13229</v>
      </c>
      <c r="AX2240" s="156" t="s">
        <v>431</v>
      </c>
      <c r="AZ2240" s="1432" t="s">
        <v>13366</v>
      </c>
    </row>
    <row r="2241">
      <c r="A2241" s="41">
        <v>2241.0</v>
      </c>
      <c r="B2241" s="126" t="s">
        <v>516</v>
      </c>
      <c r="C2241" s="59" t="s">
        <v>108</v>
      </c>
      <c r="D2241" s="59" t="s">
        <v>169</v>
      </c>
      <c r="F2241" s="126" t="s">
        <v>13485</v>
      </c>
      <c r="G2241" s="126" t="s">
        <v>13487</v>
      </c>
      <c r="H2241" s="148" t="s">
        <v>7218</v>
      </c>
      <c r="I2241" s="158" t="s">
        <v>13262</v>
      </c>
      <c r="J2241" s="65"/>
      <c r="K2241" s="156"/>
      <c r="L2241" s="126" t="s">
        <v>13488</v>
      </c>
      <c r="M2241" s="126" t="s">
        <v>13221</v>
      </c>
      <c r="N2241" s="126" t="s">
        <v>9858</v>
      </c>
      <c r="O2241" s="498">
        <v>1.0</v>
      </c>
      <c r="P2241" s="306" t="s">
        <v>13222</v>
      </c>
      <c r="Q2241" s="49" t="str">
        <f t="array" ref="Q2241"> if(iserror(MATCH(V2241, 'File Links'!C:C, 0)), "N/A", HYPERLINK(INDEX('File Links'!B:B, MATCH(P2241, 'File Links'!C:C, 0))))</f>
        <v>https://drive.google.com/file/d/1FklynAHzflh7rbxQIU4qTxOz3VBhye8B/view?usp=drivesdk</v>
      </c>
      <c r="R2241" s="1689" t="s">
        <v>13223</v>
      </c>
      <c r="S2241" s="126" t="s">
        <v>13224</v>
      </c>
      <c r="T2241" s="1371"/>
      <c r="U2241" s="333"/>
      <c r="V2241" s="148" t="s">
        <v>13225</v>
      </c>
      <c r="W2241" s="148" t="s">
        <v>665</v>
      </c>
      <c r="X2241" s="51" t="str">
        <f t="array" ref="X2241"> if(iserror(MATCH(V2241, 'File Links'!C:C, 0)), "N/A", HYPERLINK(INDEX('File Links'!B:B, MATCH(V2241, 'File Links'!C:C, 0))))</f>
        <v>https://drive.google.com/file/d/1hYNUJrx3yjyMoTgcG7Qz4pix-8ruWFMC/view?usp=drivesdk</v>
      </c>
      <c r="Y2241" s="65"/>
      <c r="Z2241" s="148" t="s">
        <v>219</v>
      </c>
      <c r="AA2241" s="126" t="s">
        <v>13226</v>
      </c>
      <c r="AB2241" s="148" t="s">
        <v>13359</v>
      </c>
      <c r="AC2241" s="148" t="s">
        <v>13489</v>
      </c>
      <c r="AD2241" s="148" t="s">
        <v>13490</v>
      </c>
      <c r="AE2241" s="148" t="s">
        <v>489</v>
      </c>
      <c r="AF2241" s="158">
        <v>447.0</v>
      </c>
      <c r="AG2241" s="153"/>
      <c r="AH2241" s="156"/>
      <c r="AI2241" s="148" t="s">
        <v>489</v>
      </c>
      <c r="AJ2241" s="153"/>
      <c r="AK2241" s="156"/>
      <c r="AL2241" s="156"/>
      <c r="AM2241" s="65"/>
      <c r="AN2241" s="65"/>
      <c r="AO2241" s="158">
        <v>2644.0</v>
      </c>
      <c r="AP2241" s="153"/>
      <c r="AQ2241" s="156"/>
      <c r="AR2241" s="148" t="s">
        <v>13372</v>
      </c>
      <c r="AS2241" s="153"/>
      <c r="AT2241" s="156"/>
      <c r="AU2241" s="156"/>
      <c r="AV2241" s="65"/>
      <c r="AW2241" s="432"/>
      <c r="AX2241" s="126" t="s">
        <v>144</v>
      </c>
      <c r="AZ2241" s="1432" t="s">
        <v>13366</v>
      </c>
    </row>
    <row r="2242">
      <c r="A2242" s="41">
        <v>2242.0</v>
      </c>
      <c r="B2242" s="126" t="s">
        <v>516</v>
      </c>
      <c r="C2242" s="59" t="s">
        <v>108</v>
      </c>
      <c r="D2242" s="59" t="s">
        <v>983</v>
      </c>
      <c r="F2242" s="65" t="s">
        <v>13491</v>
      </c>
      <c r="G2242" s="156" t="s">
        <v>13351</v>
      </c>
      <c r="H2242" s="156" t="s">
        <v>13352</v>
      </c>
      <c r="I2242" s="1284" t="s">
        <v>13353</v>
      </c>
      <c r="J2242" s="156" t="s">
        <v>13449</v>
      </c>
      <c r="K2242" s="156" t="s">
        <v>131</v>
      </c>
      <c r="L2242" s="53" t="s">
        <v>13254</v>
      </c>
      <c r="M2242" s="156" t="s">
        <v>13221</v>
      </c>
      <c r="N2242" s="156" t="s">
        <v>9858</v>
      </c>
      <c r="O2242" s="153">
        <v>1.0</v>
      </c>
      <c r="P2242" s="379" t="s">
        <v>13222</v>
      </c>
      <c r="Q2242" s="49" t="str">
        <f t="array" ref="Q2242"> if(iserror(MATCH(V2242, 'File Links'!C:C, 0)), "N/A", HYPERLINK(INDEX('File Links'!B:B, MATCH(P2242, 'File Links'!C:C, 0))))</f>
        <v>https://drive.google.com/file/d/1FklynAHzflh7rbxQIU4qTxOz3VBhye8B/view?usp=drivesdk</v>
      </c>
      <c r="R2242" s="156" t="s">
        <v>13223</v>
      </c>
      <c r="S2242" s="156" t="s">
        <v>13224</v>
      </c>
      <c r="T2242" s="156" t="s">
        <v>131</v>
      </c>
      <c r="U2242" s="153">
        <v>2.0</v>
      </c>
      <c r="V2242" s="379" t="s">
        <v>13225</v>
      </c>
      <c r="W2242" s="1225"/>
      <c r="X2242" s="51" t="str">
        <f t="array" ref="X2242"> if(iserror(MATCH(V2242, 'File Links'!C:C, 0)), "N/A", HYPERLINK(INDEX('File Links'!B:B, MATCH(V2242, 'File Links'!C:C, 0))))</f>
        <v>https://drive.google.com/file/d/1hYNUJrx3yjyMoTgcG7Qz4pix-8ruWFMC/view?usp=drivesdk</v>
      </c>
      <c r="Y2242" s="156" t="s">
        <v>131</v>
      </c>
      <c r="Z2242" s="156" t="s">
        <v>219</v>
      </c>
      <c r="AA2242" s="156" t="s">
        <v>13226</v>
      </c>
      <c r="AB2242" s="156" t="s">
        <v>13355</v>
      </c>
      <c r="AC2242" s="156" t="s">
        <v>13492</v>
      </c>
      <c r="AD2242" s="156" t="s">
        <v>13365</v>
      </c>
      <c r="AE2242" s="156" t="s">
        <v>1035</v>
      </c>
      <c r="AF2242" s="153">
        <v>85.0</v>
      </c>
      <c r="AG2242" s="153">
        <v>0.803</v>
      </c>
      <c r="AH2242" s="156" t="s">
        <v>166</v>
      </c>
      <c r="AI2242" s="156" t="s">
        <v>1035</v>
      </c>
      <c r="AJ2242" s="153">
        <v>0.05</v>
      </c>
      <c r="AK2242" s="156" t="s">
        <v>128</v>
      </c>
      <c r="AL2242" s="156" t="s">
        <v>129</v>
      </c>
      <c r="AM2242" s="156" t="s">
        <v>130</v>
      </c>
      <c r="AN2242" s="156" t="s">
        <v>131</v>
      </c>
      <c r="AO2242" s="153">
        <v>3762.0</v>
      </c>
      <c r="AP2242" s="153">
        <v>0.93</v>
      </c>
      <c r="AQ2242" s="156" t="s">
        <v>715</v>
      </c>
      <c r="AR2242" s="156" t="s">
        <v>617</v>
      </c>
      <c r="AS2242" s="153">
        <v>0.039</v>
      </c>
      <c r="AT2242" s="156" t="s">
        <v>165</v>
      </c>
      <c r="AU2242" s="156" t="s">
        <v>129</v>
      </c>
      <c r="AV2242" s="156" t="s">
        <v>130</v>
      </c>
      <c r="AW2242" s="1999" t="s">
        <v>13229</v>
      </c>
      <c r="AX2242" s="156" t="s">
        <v>431</v>
      </c>
      <c r="AZ2242" s="1432" t="s">
        <v>13366</v>
      </c>
    </row>
    <row r="2243">
      <c r="A2243" s="41">
        <v>2243.0</v>
      </c>
      <c r="B2243" s="126" t="s">
        <v>516</v>
      </c>
      <c r="C2243" s="59" t="s">
        <v>108</v>
      </c>
      <c r="D2243" s="59" t="s">
        <v>169</v>
      </c>
      <c r="F2243" s="126" t="s">
        <v>13491</v>
      </c>
      <c r="G2243" s="126" t="s">
        <v>13493</v>
      </c>
      <c r="H2243" s="148" t="s">
        <v>7218</v>
      </c>
      <c r="I2243" s="158" t="s">
        <v>13262</v>
      </c>
      <c r="J2243" s="65"/>
      <c r="K2243" s="156"/>
      <c r="L2243" s="126" t="s">
        <v>13368</v>
      </c>
      <c r="M2243" s="126" t="s">
        <v>13221</v>
      </c>
      <c r="N2243" s="126" t="s">
        <v>9858</v>
      </c>
      <c r="O2243" s="498">
        <v>1.0</v>
      </c>
      <c r="P2243" s="306" t="s">
        <v>13222</v>
      </c>
      <c r="Q2243" s="49" t="str">
        <f t="array" ref="Q2243"> if(iserror(MATCH(V2243, 'File Links'!C:C, 0)), "N/A", HYPERLINK(INDEX('File Links'!B:B, MATCH(P2243, 'File Links'!C:C, 0))))</f>
        <v>https://drive.google.com/file/d/1FklynAHzflh7rbxQIU4qTxOz3VBhye8B/view?usp=drivesdk</v>
      </c>
      <c r="R2243" s="1689" t="s">
        <v>13223</v>
      </c>
      <c r="S2243" s="126" t="s">
        <v>13224</v>
      </c>
      <c r="T2243" s="1371"/>
      <c r="U2243" s="333"/>
      <c r="V2243" s="148" t="s">
        <v>13225</v>
      </c>
      <c r="W2243" s="148" t="s">
        <v>665</v>
      </c>
      <c r="X2243" s="51" t="str">
        <f t="array" ref="X2243"> if(iserror(MATCH(V2243, 'File Links'!C:C, 0)), "N/A", HYPERLINK(INDEX('File Links'!B:B, MATCH(V2243, 'File Links'!C:C, 0))))</f>
        <v>https://drive.google.com/file/d/1hYNUJrx3yjyMoTgcG7Qz4pix-8ruWFMC/view?usp=drivesdk</v>
      </c>
      <c r="Y2243" s="65"/>
      <c r="Z2243" s="148" t="s">
        <v>219</v>
      </c>
      <c r="AA2243" s="126" t="s">
        <v>13226</v>
      </c>
      <c r="AB2243" s="148" t="s">
        <v>13359</v>
      </c>
      <c r="AC2243" s="148" t="s">
        <v>13494</v>
      </c>
      <c r="AD2243" s="148" t="s">
        <v>13495</v>
      </c>
      <c r="AE2243" s="148" t="s">
        <v>13496</v>
      </c>
      <c r="AF2243" s="158">
        <v>447.0</v>
      </c>
      <c r="AG2243" s="158" t="s">
        <v>13497</v>
      </c>
      <c r="AH2243" s="148" t="s">
        <v>127</v>
      </c>
      <c r="AI2243" s="148" t="s">
        <v>489</v>
      </c>
      <c r="AJ2243" s="158">
        <v>0.001</v>
      </c>
      <c r="AK2243" s="148" t="s">
        <v>128</v>
      </c>
      <c r="AL2243" s="148" t="s">
        <v>179</v>
      </c>
      <c r="AM2243" s="126" t="s">
        <v>130</v>
      </c>
      <c r="AN2243" s="65"/>
      <c r="AO2243" s="158">
        <v>2644.0</v>
      </c>
      <c r="AP2243" s="153"/>
      <c r="AQ2243" s="156"/>
      <c r="AR2243" s="148" t="s">
        <v>13372</v>
      </c>
      <c r="AS2243" s="153"/>
      <c r="AT2243" s="156"/>
      <c r="AU2243" s="156"/>
      <c r="AV2243" s="65"/>
      <c r="AW2243" s="432"/>
      <c r="AX2243" s="126" t="s">
        <v>144</v>
      </c>
      <c r="AZ2243" s="1432" t="s">
        <v>13366</v>
      </c>
    </row>
    <row r="2244">
      <c r="A2244" s="41">
        <v>2244.0</v>
      </c>
      <c r="B2244" s="126" t="s">
        <v>516</v>
      </c>
      <c r="C2244" s="59" t="s">
        <v>108</v>
      </c>
      <c r="D2244" s="59" t="s">
        <v>983</v>
      </c>
      <c r="F2244" s="65" t="s">
        <v>13498</v>
      </c>
      <c r="G2244" s="156" t="s">
        <v>13351</v>
      </c>
      <c r="H2244" s="156" t="s">
        <v>13352</v>
      </c>
      <c r="I2244" s="1284" t="s">
        <v>13353</v>
      </c>
      <c r="J2244" s="156" t="s">
        <v>13449</v>
      </c>
      <c r="K2244" s="156" t="s">
        <v>131</v>
      </c>
      <c r="L2244" s="53" t="s">
        <v>13254</v>
      </c>
      <c r="M2244" s="156" t="s">
        <v>13221</v>
      </c>
      <c r="N2244" s="156" t="s">
        <v>9858</v>
      </c>
      <c r="O2244" s="153">
        <v>1.0</v>
      </c>
      <c r="P2244" s="379" t="s">
        <v>13222</v>
      </c>
      <c r="Q2244" s="49" t="str">
        <f t="array" ref="Q2244"> if(iserror(MATCH(V2244, 'File Links'!C:C, 0)), "N/A", HYPERLINK(INDEX('File Links'!B:B, MATCH(P2244, 'File Links'!C:C, 0))))</f>
        <v>https://drive.google.com/file/d/1FklynAHzflh7rbxQIU4qTxOz3VBhye8B/view?usp=drivesdk</v>
      </c>
      <c r="R2244" s="156" t="s">
        <v>13223</v>
      </c>
      <c r="S2244" s="156" t="s">
        <v>13224</v>
      </c>
      <c r="T2244" s="156" t="s">
        <v>131</v>
      </c>
      <c r="U2244" s="153">
        <v>2.0</v>
      </c>
      <c r="V2244" s="379" t="s">
        <v>13225</v>
      </c>
      <c r="W2244" s="1225"/>
      <c r="X2244" s="51" t="str">
        <f t="array" ref="X2244"> if(iserror(MATCH(V2244, 'File Links'!C:C, 0)), "N/A", HYPERLINK(INDEX('File Links'!B:B, MATCH(V2244, 'File Links'!C:C, 0))))</f>
        <v>https://drive.google.com/file/d/1hYNUJrx3yjyMoTgcG7Qz4pix-8ruWFMC/view?usp=drivesdk</v>
      </c>
      <c r="Y2244" s="156" t="s">
        <v>131</v>
      </c>
      <c r="Z2244" s="156" t="s">
        <v>219</v>
      </c>
      <c r="AA2244" s="156" t="s">
        <v>13226</v>
      </c>
      <c r="AB2244" s="156" t="s">
        <v>13355</v>
      </c>
      <c r="AC2244" s="156" t="s">
        <v>13499</v>
      </c>
      <c r="AD2244" s="156" t="s">
        <v>13357</v>
      </c>
      <c r="AE2244" s="156" t="s">
        <v>1035</v>
      </c>
      <c r="AF2244" s="153">
        <v>101.0</v>
      </c>
      <c r="AG2244" s="153">
        <v>0.183</v>
      </c>
      <c r="AH2244" s="156" t="s">
        <v>166</v>
      </c>
      <c r="AI2244" s="156" t="s">
        <v>1035</v>
      </c>
      <c r="AJ2244" s="153">
        <v>0.05</v>
      </c>
      <c r="AK2244" s="156" t="s">
        <v>128</v>
      </c>
      <c r="AL2244" s="156" t="s">
        <v>129</v>
      </c>
      <c r="AM2244" s="156" t="s">
        <v>130</v>
      </c>
      <c r="AN2244" s="156" t="s">
        <v>131</v>
      </c>
      <c r="AO2244" s="153">
        <v>4090.0</v>
      </c>
      <c r="AP2244" s="153">
        <v>0.05</v>
      </c>
      <c r="AQ2244" s="156" t="s">
        <v>715</v>
      </c>
      <c r="AR2244" s="156" t="s">
        <v>617</v>
      </c>
      <c r="AS2244" s="153">
        <v>0.002</v>
      </c>
      <c r="AT2244" s="156" t="s">
        <v>165</v>
      </c>
      <c r="AU2244" s="156" t="s">
        <v>129</v>
      </c>
      <c r="AV2244" s="156" t="s">
        <v>130</v>
      </c>
      <c r="AW2244" s="1999" t="s">
        <v>13229</v>
      </c>
      <c r="AX2244" s="156" t="s">
        <v>431</v>
      </c>
      <c r="AZ2244" s="1432" t="s">
        <v>13366</v>
      </c>
    </row>
    <row r="2245">
      <c r="A2245" s="41">
        <v>2245.0</v>
      </c>
      <c r="B2245" s="126" t="s">
        <v>516</v>
      </c>
      <c r="C2245" s="59" t="s">
        <v>108</v>
      </c>
      <c r="D2245" s="59" t="s">
        <v>169</v>
      </c>
      <c r="F2245" s="126" t="s">
        <v>13498</v>
      </c>
      <c r="G2245" s="126" t="s">
        <v>13500</v>
      </c>
      <c r="H2245" s="148" t="s">
        <v>7218</v>
      </c>
      <c r="I2245" s="158" t="s">
        <v>13262</v>
      </c>
      <c r="J2245" s="65"/>
      <c r="K2245" s="156"/>
      <c r="L2245" s="126" t="s">
        <v>13368</v>
      </c>
      <c r="M2245" s="126" t="s">
        <v>13221</v>
      </c>
      <c r="N2245" s="126" t="s">
        <v>9858</v>
      </c>
      <c r="O2245" s="498">
        <v>1.0</v>
      </c>
      <c r="P2245" s="306" t="s">
        <v>13222</v>
      </c>
      <c r="Q2245" s="49" t="str">
        <f t="array" ref="Q2245"> if(iserror(MATCH(V2245, 'File Links'!C:C, 0)), "N/A", HYPERLINK(INDEX('File Links'!B:B, MATCH(P2245, 'File Links'!C:C, 0))))</f>
        <v>https://drive.google.com/file/d/1FklynAHzflh7rbxQIU4qTxOz3VBhye8B/view?usp=drivesdk</v>
      </c>
      <c r="R2245" s="1689" t="s">
        <v>13223</v>
      </c>
      <c r="S2245" s="126" t="s">
        <v>13224</v>
      </c>
      <c r="T2245" s="1371"/>
      <c r="U2245" s="333"/>
      <c r="V2245" s="148" t="s">
        <v>13225</v>
      </c>
      <c r="W2245" s="148" t="s">
        <v>665</v>
      </c>
      <c r="X2245" s="51" t="str">
        <f t="array" ref="X2245"> if(iserror(MATCH(V2245, 'File Links'!C:C, 0)), "N/A", HYPERLINK(INDEX('File Links'!B:B, MATCH(V2245, 'File Links'!C:C, 0))))</f>
        <v>https://drive.google.com/file/d/1hYNUJrx3yjyMoTgcG7Qz4pix-8ruWFMC/view?usp=drivesdk</v>
      </c>
      <c r="Y2245" s="65"/>
      <c r="Z2245" s="148" t="s">
        <v>219</v>
      </c>
      <c r="AA2245" s="126" t="s">
        <v>13226</v>
      </c>
      <c r="AB2245" s="148" t="s">
        <v>13359</v>
      </c>
      <c r="AC2245" s="148" t="s">
        <v>13501</v>
      </c>
      <c r="AD2245" s="148" t="s">
        <v>13502</v>
      </c>
      <c r="AE2245" s="148" t="s">
        <v>13496</v>
      </c>
      <c r="AF2245" s="158">
        <v>447.0</v>
      </c>
      <c r="AG2245" s="158" t="s">
        <v>13503</v>
      </c>
      <c r="AH2245" s="148" t="s">
        <v>127</v>
      </c>
      <c r="AI2245" s="148" t="s">
        <v>489</v>
      </c>
      <c r="AJ2245" s="158">
        <v>0.1</v>
      </c>
      <c r="AK2245" s="148" t="s">
        <v>128</v>
      </c>
      <c r="AL2245" s="148" t="s">
        <v>179</v>
      </c>
      <c r="AM2245" s="126" t="s">
        <v>130</v>
      </c>
      <c r="AN2245" s="65"/>
      <c r="AO2245" s="158">
        <v>2644.0</v>
      </c>
      <c r="AP2245" s="153"/>
      <c r="AQ2245" s="156"/>
      <c r="AR2245" s="148" t="s">
        <v>13372</v>
      </c>
      <c r="AS2245" s="153"/>
      <c r="AT2245" s="156"/>
      <c r="AU2245" s="156"/>
      <c r="AV2245" s="65"/>
      <c r="AW2245" s="432"/>
      <c r="AX2245" s="126" t="s">
        <v>144</v>
      </c>
      <c r="AZ2245" s="1432" t="s">
        <v>13366</v>
      </c>
    </row>
    <row r="2246">
      <c r="A2246" s="41">
        <v>2246.0</v>
      </c>
      <c r="B2246" s="126" t="s">
        <v>516</v>
      </c>
      <c r="C2246" s="59" t="s">
        <v>108</v>
      </c>
      <c r="D2246" s="59" t="s">
        <v>983</v>
      </c>
      <c r="F2246" s="65" t="s">
        <v>13504</v>
      </c>
      <c r="G2246" s="156" t="s">
        <v>13351</v>
      </c>
      <c r="H2246" s="156" t="s">
        <v>13352</v>
      </c>
      <c r="I2246" s="1284" t="s">
        <v>13353</v>
      </c>
      <c r="J2246" s="156" t="s">
        <v>13449</v>
      </c>
      <c r="K2246" s="156" t="s">
        <v>131</v>
      </c>
      <c r="L2246" s="53" t="s">
        <v>13254</v>
      </c>
      <c r="M2246" s="156" t="s">
        <v>13221</v>
      </c>
      <c r="N2246" s="156" t="s">
        <v>9858</v>
      </c>
      <c r="O2246" s="153">
        <v>1.0</v>
      </c>
      <c r="P2246" s="379" t="s">
        <v>13222</v>
      </c>
      <c r="Q2246" s="49" t="str">
        <f t="array" ref="Q2246"> if(iserror(MATCH(V2246, 'File Links'!C:C, 0)), "N/A", HYPERLINK(INDEX('File Links'!B:B, MATCH(P2246, 'File Links'!C:C, 0))))</f>
        <v>https://drive.google.com/file/d/1FklynAHzflh7rbxQIU4qTxOz3VBhye8B/view?usp=drivesdk</v>
      </c>
      <c r="R2246" s="156" t="s">
        <v>13223</v>
      </c>
      <c r="S2246" s="156" t="s">
        <v>13224</v>
      </c>
      <c r="T2246" s="156" t="s">
        <v>131</v>
      </c>
      <c r="U2246" s="153">
        <v>2.0</v>
      </c>
      <c r="V2246" s="379" t="s">
        <v>13225</v>
      </c>
      <c r="W2246" s="1225"/>
      <c r="X2246" s="51" t="str">
        <f t="array" ref="X2246"> if(iserror(MATCH(V2246, 'File Links'!C:C, 0)), "N/A", HYPERLINK(INDEX('File Links'!B:B, MATCH(V2246, 'File Links'!C:C, 0))))</f>
        <v>https://drive.google.com/file/d/1hYNUJrx3yjyMoTgcG7Qz4pix-8ruWFMC/view?usp=drivesdk</v>
      </c>
      <c r="Y2246" s="156" t="s">
        <v>131</v>
      </c>
      <c r="Z2246" s="156" t="s">
        <v>219</v>
      </c>
      <c r="AA2246" s="156" t="s">
        <v>13226</v>
      </c>
      <c r="AB2246" s="156" t="s">
        <v>13355</v>
      </c>
      <c r="AC2246" s="156" t="s">
        <v>13505</v>
      </c>
      <c r="AD2246" s="156" t="s">
        <v>13357</v>
      </c>
      <c r="AE2246" s="156" t="s">
        <v>1035</v>
      </c>
      <c r="AF2246" s="153">
        <v>101.0</v>
      </c>
      <c r="AG2246" s="153">
        <v>0.183</v>
      </c>
      <c r="AH2246" s="156" t="s">
        <v>166</v>
      </c>
      <c r="AI2246" s="156" t="s">
        <v>1035</v>
      </c>
      <c r="AJ2246" s="153">
        <v>0.05</v>
      </c>
      <c r="AK2246" s="156" t="s">
        <v>128</v>
      </c>
      <c r="AL2246" s="156" t="s">
        <v>129</v>
      </c>
      <c r="AM2246" s="156" t="s">
        <v>130</v>
      </c>
      <c r="AN2246" s="156" t="s">
        <v>131</v>
      </c>
      <c r="AO2246" s="153">
        <v>4090.0</v>
      </c>
      <c r="AP2246" s="153">
        <v>0.06</v>
      </c>
      <c r="AQ2246" s="156" t="s">
        <v>715</v>
      </c>
      <c r="AR2246" s="156" t="s">
        <v>617</v>
      </c>
      <c r="AS2246" s="153">
        <v>0.001</v>
      </c>
      <c r="AT2246" s="156" t="s">
        <v>128</v>
      </c>
      <c r="AU2246" s="156" t="s">
        <v>129</v>
      </c>
      <c r="AV2246" s="156" t="s">
        <v>130</v>
      </c>
      <c r="AW2246" s="1999" t="s">
        <v>13229</v>
      </c>
      <c r="AX2246" s="156" t="s">
        <v>431</v>
      </c>
      <c r="AZ2246" s="1432" t="s">
        <v>13366</v>
      </c>
    </row>
    <row r="2247">
      <c r="A2247" s="41">
        <v>2247.0</v>
      </c>
      <c r="B2247" s="126" t="s">
        <v>516</v>
      </c>
      <c r="C2247" s="59" t="s">
        <v>108</v>
      </c>
      <c r="D2247" s="59" t="s">
        <v>169</v>
      </c>
      <c r="F2247" s="126" t="s">
        <v>13504</v>
      </c>
      <c r="G2247" s="126" t="s">
        <v>13506</v>
      </c>
      <c r="H2247" s="148" t="s">
        <v>7218</v>
      </c>
      <c r="I2247" s="158" t="s">
        <v>13262</v>
      </c>
      <c r="J2247" s="65"/>
      <c r="K2247" s="156"/>
      <c r="L2247" s="126" t="s">
        <v>13368</v>
      </c>
      <c r="M2247" s="126" t="s">
        <v>13221</v>
      </c>
      <c r="N2247" s="126" t="s">
        <v>9858</v>
      </c>
      <c r="O2247" s="498">
        <v>1.0</v>
      </c>
      <c r="P2247" s="306" t="s">
        <v>13222</v>
      </c>
      <c r="Q2247" s="49" t="str">
        <f t="array" ref="Q2247"> if(iserror(MATCH(V2247, 'File Links'!C:C, 0)), "N/A", HYPERLINK(INDEX('File Links'!B:B, MATCH(P2247, 'File Links'!C:C, 0))))</f>
        <v>https://drive.google.com/file/d/1FklynAHzflh7rbxQIU4qTxOz3VBhye8B/view?usp=drivesdk</v>
      </c>
      <c r="R2247" s="1689" t="s">
        <v>13223</v>
      </c>
      <c r="S2247" s="126" t="s">
        <v>13224</v>
      </c>
      <c r="T2247" s="1371"/>
      <c r="U2247" s="333"/>
      <c r="V2247" s="148" t="s">
        <v>13225</v>
      </c>
      <c r="W2247" s="148" t="s">
        <v>665</v>
      </c>
      <c r="X2247" s="51" t="str">
        <f t="array" ref="X2247"> if(iserror(MATCH(V2247, 'File Links'!C:C, 0)), "N/A", HYPERLINK(INDEX('File Links'!B:B, MATCH(V2247, 'File Links'!C:C, 0))))</f>
        <v>https://drive.google.com/file/d/1hYNUJrx3yjyMoTgcG7Qz4pix-8ruWFMC/view?usp=drivesdk</v>
      </c>
      <c r="Y2247" s="65"/>
      <c r="Z2247" s="148" t="s">
        <v>219</v>
      </c>
      <c r="AA2247" s="126" t="s">
        <v>13226</v>
      </c>
      <c r="AB2247" s="148" t="s">
        <v>13359</v>
      </c>
      <c r="AC2247" s="148" t="s">
        <v>13507</v>
      </c>
      <c r="AD2247" s="148" t="s">
        <v>13508</v>
      </c>
      <c r="AE2247" s="148" t="s">
        <v>875</v>
      </c>
      <c r="AF2247" s="158">
        <v>447.0</v>
      </c>
      <c r="AG2247" s="158" t="s">
        <v>13509</v>
      </c>
      <c r="AH2247" s="148" t="s">
        <v>127</v>
      </c>
      <c r="AI2247" s="148" t="s">
        <v>489</v>
      </c>
      <c r="AJ2247" s="158">
        <v>0.05</v>
      </c>
      <c r="AK2247" s="148" t="s">
        <v>128</v>
      </c>
      <c r="AL2247" s="148" t="s">
        <v>179</v>
      </c>
      <c r="AM2247" s="126" t="s">
        <v>130</v>
      </c>
      <c r="AN2247" s="65"/>
      <c r="AO2247" s="158">
        <v>2644.0</v>
      </c>
      <c r="AP2247" s="153"/>
      <c r="AQ2247" s="156"/>
      <c r="AR2247" s="148" t="s">
        <v>13372</v>
      </c>
      <c r="AS2247" s="153"/>
      <c r="AT2247" s="156"/>
      <c r="AU2247" s="156"/>
      <c r="AV2247" s="65"/>
      <c r="AW2247" s="432"/>
      <c r="AX2247" s="126" t="s">
        <v>144</v>
      </c>
      <c r="AZ2247" s="1432" t="s">
        <v>13366</v>
      </c>
    </row>
    <row r="2248">
      <c r="A2248" s="41">
        <v>2248.0</v>
      </c>
      <c r="B2248" s="126" t="s">
        <v>516</v>
      </c>
      <c r="C2248" s="59" t="s">
        <v>108</v>
      </c>
      <c r="D2248" s="59" t="s">
        <v>983</v>
      </c>
      <c r="F2248" s="65" t="s">
        <v>13510</v>
      </c>
      <c r="G2248" s="156" t="s">
        <v>13351</v>
      </c>
      <c r="H2248" s="156" t="s">
        <v>13352</v>
      </c>
      <c r="I2248" s="1284" t="s">
        <v>13353</v>
      </c>
      <c r="J2248" s="156" t="s">
        <v>13449</v>
      </c>
      <c r="K2248" s="156" t="s">
        <v>131</v>
      </c>
      <c r="L2248" s="53" t="s">
        <v>13254</v>
      </c>
      <c r="M2248" s="156" t="s">
        <v>13221</v>
      </c>
      <c r="N2248" s="156" t="s">
        <v>9858</v>
      </c>
      <c r="O2248" s="153">
        <v>1.0</v>
      </c>
      <c r="P2248" s="379" t="s">
        <v>13222</v>
      </c>
      <c r="Q2248" s="49" t="str">
        <f t="array" ref="Q2248"> if(iserror(MATCH(V2248, 'File Links'!C:C, 0)), "N/A", HYPERLINK(INDEX('File Links'!B:B, MATCH(P2248, 'File Links'!C:C, 0))))</f>
        <v>https://drive.google.com/file/d/1FklynAHzflh7rbxQIU4qTxOz3VBhye8B/view?usp=drivesdk</v>
      </c>
      <c r="R2248" s="156" t="s">
        <v>13223</v>
      </c>
      <c r="S2248" s="156" t="s">
        <v>13224</v>
      </c>
      <c r="T2248" s="156" t="s">
        <v>131</v>
      </c>
      <c r="U2248" s="153">
        <v>2.0</v>
      </c>
      <c r="V2248" s="379" t="s">
        <v>13225</v>
      </c>
      <c r="W2248" s="1225"/>
      <c r="X2248" s="51" t="str">
        <f t="array" ref="X2248"> if(iserror(MATCH(V2248, 'File Links'!C:C, 0)), "N/A", HYPERLINK(INDEX('File Links'!B:B, MATCH(V2248, 'File Links'!C:C, 0))))</f>
        <v>https://drive.google.com/file/d/1hYNUJrx3yjyMoTgcG7Qz4pix-8ruWFMC/view?usp=drivesdk</v>
      </c>
      <c r="Y2248" s="156" t="s">
        <v>131</v>
      </c>
      <c r="Z2248" s="156" t="s">
        <v>219</v>
      </c>
      <c r="AA2248" s="156" t="s">
        <v>13226</v>
      </c>
      <c r="AB2248" s="156" t="s">
        <v>13355</v>
      </c>
      <c r="AC2248" s="156" t="s">
        <v>13511</v>
      </c>
      <c r="AD2248" s="156" t="s">
        <v>13357</v>
      </c>
      <c r="AE2248" s="156" t="s">
        <v>1035</v>
      </c>
      <c r="AF2248" s="153">
        <v>101.0</v>
      </c>
      <c r="AG2248" s="153">
        <v>0.183</v>
      </c>
      <c r="AH2248" s="156" t="s">
        <v>166</v>
      </c>
      <c r="AI2248" s="156" t="s">
        <v>1035</v>
      </c>
      <c r="AJ2248" s="153">
        <v>0.05</v>
      </c>
      <c r="AK2248" s="156" t="s">
        <v>128</v>
      </c>
      <c r="AL2248" s="156" t="s">
        <v>129</v>
      </c>
      <c r="AM2248" s="156" t="s">
        <v>130</v>
      </c>
      <c r="AN2248" s="156" t="s">
        <v>131</v>
      </c>
      <c r="AO2248" s="153">
        <v>4090.0</v>
      </c>
      <c r="AP2248" s="153">
        <v>0.04</v>
      </c>
      <c r="AQ2248" s="156" t="s">
        <v>715</v>
      </c>
      <c r="AR2248" s="156" t="s">
        <v>617</v>
      </c>
      <c r="AS2248" s="153">
        <v>0.008</v>
      </c>
      <c r="AT2248" s="156" t="s">
        <v>165</v>
      </c>
      <c r="AU2248" s="156" t="s">
        <v>129</v>
      </c>
      <c r="AV2248" s="156" t="s">
        <v>130</v>
      </c>
      <c r="AW2248" s="1999" t="s">
        <v>13229</v>
      </c>
      <c r="AX2248" s="156" t="s">
        <v>431</v>
      </c>
      <c r="AZ2248" s="1432" t="s">
        <v>13366</v>
      </c>
    </row>
    <row r="2249">
      <c r="A2249" s="41">
        <v>2249.0</v>
      </c>
      <c r="B2249" s="2000" t="s">
        <v>516</v>
      </c>
      <c r="C2249" s="2001" t="s">
        <v>108</v>
      </c>
      <c r="D2249" s="2001" t="s">
        <v>169</v>
      </c>
      <c r="E2249" s="2002"/>
      <c r="F2249" s="2000" t="s">
        <v>13510</v>
      </c>
      <c r="G2249" s="2000" t="s">
        <v>13512</v>
      </c>
      <c r="H2249" s="2003" t="s">
        <v>7218</v>
      </c>
      <c r="I2249" s="2004" t="s">
        <v>13262</v>
      </c>
      <c r="J2249" s="2005"/>
      <c r="K2249" s="2006"/>
      <c r="L2249" s="2000" t="s">
        <v>13376</v>
      </c>
      <c r="M2249" s="2000" t="s">
        <v>13221</v>
      </c>
      <c r="N2249" s="2000" t="s">
        <v>9858</v>
      </c>
      <c r="O2249" s="2007">
        <v>1.0</v>
      </c>
      <c r="P2249" s="2003" t="s">
        <v>13222</v>
      </c>
      <c r="Q2249" s="2008" t="str">
        <f t="array" ref="Q2249"> if(iserror(MATCH(V2249, 'File Links'!C:C, 0)), "N/A", HYPERLINK(INDEX('File Links'!B:B, MATCH(P2249, 'File Links'!C:C, 0))))</f>
        <v>https://drive.google.com/file/d/1FklynAHzflh7rbxQIU4qTxOz3VBhye8B/view?usp=drivesdk</v>
      </c>
      <c r="R2249" s="2009" t="s">
        <v>13223</v>
      </c>
      <c r="S2249" s="2000" t="s">
        <v>13224</v>
      </c>
      <c r="T2249" s="2010"/>
      <c r="U2249" s="2011"/>
      <c r="V2249" s="2003" t="s">
        <v>13225</v>
      </c>
      <c r="W2249" s="2003" t="s">
        <v>665</v>
      </c>
      <c r="X2249" s="2012" t="str">
        <f t="array" ref="X2249"> if(iserror(MATCH(V2249, 'File Links'!C:C, 0)), "N/A", HYPERLINK(INDEX('File Links'!B:B, MATCH(V2249, 'File Links'!C:C, 0))))</f>
        <v>https://drive.google.com/file/d/1hYNUJrx3yjyMoTgcG7Qz4pix-8ruWFMC/view?usp=drivesdk</v>
      </c>
      <c r="Y2249" s="2005"/>
      <c r="Z2249" s="2003" t="s">
        <v>219</v>
      </c>
      <c r="AA2249" s="2000" t="s">
        <v>13226</v>
      </c>
      <c r="AB2249" s="2003" t="s">
        <v>13359</v>
      </c>
      <c r="AC2249" s="2003" t="s">
        <v>13377</v>
      </c>
      <c r="AD2249" s="2003" t="s">
        <v>13513</v>
      </c>
      <c r="AE2249" s="2003" t="s">
        <v>875</v>
      </c>
      <c r="AF2249" s="2004">
        <v>447.0</v>
      </c>
      <c r="AG2249" s="2013"/>
      <c r="AH2249" s="2006"/>
      <c r="AI2249" s="2003" t="s">
        <v>489</v>
      </c>
      <c r="AJ2249" s="2013"/>
      <c r="AK2249" s="2006"/>
      <c r="AL2249" s="2006"/>
      <c r="AM2249" s="2005"/>
      <c r="AN2249" s="2005"/>
      <c r="AO2249" s="2004">
        <v>2644.0</v>
      </c>
      <c r="AP2249" s="2013"/>
      <c r="AQ2249" s="2006"/>
      <c r="AR2249" s="2003" t="s">
        <v>13372</v>
      </c>
      <c r="AS2249" s="2013"/>
      <c r="AT2249" s="2006"/>
      <c r="AU2249" s="2006"/>
      <c r="AV2249" s="2005"/>
      <c r="AW2249" s="2014"/>
      <c r="AX2249" s="2000" t="s">
        <v>144</v>
      </c>
      <c r="AY2249" s="2002"/>
      <c r="AZ2249" s="2001" t="s">
        <v>13366</v>
      </c>
      <c r="BA2249" s="2002"/>
      <c r="BB2249" s="2002"/>
      <c r="BC2249" s="2002"/>
      <c r="BD2249" s="2002"/>
      <c r="BE2249" s="2002"/>
      <c r="BF2249" s="2002"/>
      <c r="BG2249" s="2002"/>
      <c r="BH2249" s="2002"/>
      <c r="BI2249" s="2002"/>
      <c r="BJ2249" s="2002"/>
      <c r="BK2249" s="2002"/>
      <c r="BL2249" s="2002"/>
      <c r="BM2249" s="2002"/>
      <c r="BN2249" s="2002"/>
      <c r="BO2249" s="2002"/>
      <c r="BP2249" s="2002"/>
      <c r="BQ2249" s="2002"/>
      <c r="BR2249" s="2002"/>
      <c r="BS2249" s="2002"/>
      <c r="BT2249" s="2002"/>
      <c r="BU2249" s="2002"/>
      <c r="BV2249" s="2002"/>
      <c r="BW2249" s="2002"/>
      <c r="BX2249" s="2002"/>
      <c r="BY2249" s="2002"/>
      <c r="BZ2249" s="2002"/>
      <c r="CA2249" s="2002"/>
      <c r="CB2249" s="2002"/>
      <c r="CC2249" s="2002"/>
      <c r="CD2249" s="2002"/>
      <c r="CE2249" s="2002"/>
      <c r="CF2249" s="2002"/>
      <c r="CG2249" s="2002"/>
      <c r="CH2249" s="2002"/>
      <c r="CI2249" s="2002"/>
      <c r="CJ2249" s="2002"/>
      <c r="CK2249" s="2002"/>
      <c r="CL2249" s="2002"/>
      <c r="CM2249" s="2002"/>
      <c r="CN2249" s="2002"/>
      <c r="CO2249" s="2002"/>
      <c r="CP2249" s="2002"/>
      <c r="CQ2249" s="2002"/>
      <c r="CR2249" s="2002"/>
      <c r="CS2249" s="2002"/>
      <c r="CT2249" s="2002"/>
      <c r="CU2249" s="2002"/>
      <c r="CV2249" s="2002"/>
      <c r="CW2249" s="2002"/>
      <c r="CX2249" s="2002"/>
      <c r="CY2249" s="2002"/>
      <c r="CZ2249" s="2002"/>
      <c r="DA2249" s="2002"/>
      <c r="DB2249" s="2002"/>
      <c r="DC2249" s="2002"/>
      <c r="DD2249" s="2002"/>
      <c r="DE2249" s="2002"/>
      <c r="DF2249" s="2002"/>
      <c r="DG2249" s="2002"/>
      <c r="DH2249" s="2002"/>
    </row>
    <row r="2250">
      <c r="A2250" s="41">
        <v>2250.0</v>
      </c>
      <c r="B2250" s="319" t="s">
        <v>145</v>
      </c>
      <c r="C2250" s="487" t="s">
        <v>108</v>
      </c>
      <c r="D2250" s="487" t="s">
        <v>146</v>
      </c>
      <c r="E2250" s="800"/>
      <c r="F2250" s="486" t="s">
        <v>13514</v>
      </c>
      <c r="G2250" s="483" t="s">
        <v>13515</v>
      </c>
      <c r="H2250" s="483" t="s">
        <v>146</v>
      </c>
      <c r="I2250" s="1003">
        <v>45638.0</v>
      </c>
      <c r="J2250" s="679">
        <v>45677.0</v>
      </c>
      <c r="K2250" s="2015" t="s">
        <v>13516</v>
      </c>
      <c r="L2250" s="786"/>
      <c r="M2250" s="483" t="s">
        <v>9225</v>
      </c>
      <c r="N2250" s="483" t="s">
        <v>7239</v>
      </c>
      <c r="O2250" s="485">
        <v>1.0</v>
      </c>
      <c r="P2250" s="1010" t="s">
        <v>7240</v>
      </c>
      <c r="Q2250" s="105" t="str">
        <f t="array" ref="Q2250"> if(iserror(MATCH(V2250, 'File Links'!C:C, 0)), "N/A", HYPERLINK(INDEX('File Links'!B:B, MATCH(P2250, 'File Links'!C:C, 0))))</f>
        <v>N/A</v>
      </c>
      <c r="R2250" s="483" t="s">
        <v>13517</v>
      </c>
      <c r="S2250" s="483" t="s">
        <v>13518</v>
      </c>
      <c r="T2250" s="786"/>
      <c r="U2250" s="485">
        <v>1.0</v>
      </c>
      <c r="V2250" s="195" t="str">
        <f t="shared" ref="V2250:V2387" si="125"> hyperlink(vlookup(lower(S2250),#REF!, 2, FALSE), SUBSTITUTE(lower(S2250), "/", "--") &amp;  ".pdf")</f>
        <v>10.17605--osf.io--uxajg.pdf</v>
      </c>
      <c r="W2250" s="1005" t="s">
        <v>157</v>
      </c>
      <c r="X2250" s="46" t="str">
        <f t="array" ref="X2250"> if(iserror(MATCH(V2250, 'File Links'!C:C, 0)), "N/A", HYPERLINK(INDEX('File Links'!B:B, MATCH(V2250, 'File Links'!C:C, 0))))</f>
        <v>N/A</v>
      </c>
      <c r="Y2250" s="786"/>
      <c r="Z2250" s="483" t="s">
        <v>219</v>
      </c>
      <c r="AA2250" s="483" t="s">
        <v>9240</v>
      </c>
      <c r="AB2250" s="2016" t="s">
        <v>9241</v>
      </c>
      <c r="AC2250" s="786" t="s">
        <v>9242</v>
      </c>
      <c r="AD2250" s="786" t="s">
        <v>9243</v>
      </c>
      <c r="AE2250" s="2017">
        <v>5.0</v>
      </c>
      <c r="AF2250" s="789">
        <v>218.0</v>
      </c>
      <c r="AG2250" s="789">
        <v>-0.29</v>
      </c>
      <c r="AH2250" s="1010" t="s">
        <v>166</v>
      </c>
      <c r="AI2250" s="483" t="s">
        <v>1035</v>
      </c>
      <c r="AJ2250" s="789">
        <v>0.04</v>
      </c>
      <c r="AK2250" s="482" t="s">
        <v>165</v>
      </c>
      <c r="AL2250" s="483" t="s">
        <v>179</v>
      </c>
      <c r="AM2250" s="786" t="s">
        <v>130</v>
      </c>
      <c r="AN2250" s="371" t="s">
        <v>131</v>
      </c>
      <c r="AO2250" s="789">
        <v>387.0</v>
      </c>
      <c r="AP2250" s="789">
        <v>0.12375</v>
      </c>
      <c r="AQ2250" s="483" t="s">
        <v>166</v>
      </c>
      <c r="AR2250" s="485" t="s">
        <v>131</v>
      </c>
      <c r="AS2250" s="789">
        <v>0.05</v>
      </c>
      <c r="AT2250" s="482" t="s">
        <v>328</v>
      </c>
      <c r="AU2250" s="482" t="s">
        <v>179</v>
      </c>
      <c r="AV2250" s="486" t="s">
        <v>130</v>
      </c>
      <c r="AW2250" s="1013" t="s">
        <v>13519</v>
      </c>
      <c r="AX2250" s="1014" t="s">
        <v>144</v>
      </c>
      <c r="AY2250" s="481"/>
      <c r="AZ2250" s="378" t="s">
        <v>137</v>
      </c>
    </row>
    <row r="2251">
      <c r="A2251" s="41">
        <v>2251.0</v>
      </c>
      <c r="B2251" s="378" t="s">
        <v>107</v>
      </c>
      <c r="C2251" s="378" t="s">
        <v>108</v>
      </c>
      <c r="D2251" s="378" t="s">
        <v>169</v>
      </c>
      <c r="E2251" s="481"/>
      <c r="F2251" s="486" t="s">
        <v>13514</v>
      </c>
      <c r="G2251" s="483" t="s">
        <v>13515</v>
      </c>
      <c r="H2251" s="482" t="s">
        <v>169</v>
      </c>
      <c r="I2251" s="2018">
        <v>45651.0</v>
      </c>
      <c r="J2251" s="679">
        <v>45677.0</v>
      </c>
      <c r="K2251" s="482" t="s">
        <v>13520</v>
      </c>
      <c r="L2251" s="486"/>
      <c r="M2251" s="482" t="s">
        <v>9225</v>
      </c>
      <c r="N2251" s="482" t="s">
        <v>7239</v>
      </c>
      <c r="O2251" s="492">
        <v>2.0</v>
      </c>
      <c r="P2251" s="482" t="s">
        <v>7240</v>
      </c>
      <c r="Q2251" s="105" t="str">
        <f t="array" ref="Q2251"> if(iserror(MATCH(V2251, 'File Links'!C:C, 0)), "N/A", HYPERLINK(INDEX('File Links'!B:B, MATCH(P2251, 'File Links'!C:C, 0))))</f>
        <v>N/A</v>
      </c>
      <c r="R2251" s="482" t="s">
        <v>13517</v>
      </c>
      <c r="S2251" s="482" t="s">
        <v>13518</v>
      </c>
      <c r="T2251" s="486"/>
      <c r="U2251" s="486"/>
      <c r="V2251" s="195" t="str">
        <f t="shared" si="125"/>
        <v>10.17605--osf.io--uxajg.pdf</v>
      </c>
      <c r="W2251" s="482" t="s">
        <v>157</v>
      </c>
      <c r="X2251" s="46" t="str">
        <f t="array" ref="X2251"> if(iserror(MATCH(V2251, 'File Links'!C:C, 0)), "N/A", HYPERLINK(INDEX('File Links'!B:B, MATCH(V2251, 'File Links'!C:C, 0))))</f>
        <v>N/A</v>
      </c>
      <c r="Y2251" s="486"/>
      <c r="Z2251" s="482" t="s">
        <v>219</v>
      </c>
      <c r="AA2251" s="482" t="s">
        <v>8371</v>
      </c>
      <c r="AB2251" s="482" t="s">
        <v>9227</v>
      </c>
      <c r="AC2251" s="482" t="s">
        <v>13521</v>
      </c>
      <c r="AD2251" s="482" t="s">
        <v>9243</v>
      </c>
      <c r="AE2251" s="482" t="s">
        <v>806</v>
      </c>
      <c r="AF2251" s="492">
        <v>218.0</v>
      </c>
      <c r="AG2251" s="482" t="s">
        <v>13522</v>
      </c>
      <c r="AH2251" s="1010" t="s">
        <v>166</v>
      </c>
      <c r="AI2251" s="483" t="s">
        <v>806</v>
      </c>
      <c r="AJ2251" s="483" t="s">
        <v>13523</v>
      </c>
      <c r="AK2251" s="482" t="s">
        <v>165</v>
      </c>
      <c r="AL2251" s="483" t="s">
        <v>179</v>
      </c>
      <c r="AM2251" s="486" t="s">
        <v>130</v>
      </c>
      <c r="AN2251" s="486"/>
      <c r="AO2251" s="492">
        <v>387.0</v>
      </c>
      <c r="AP2251" s="486"/>
      <c r="AQ2251" s="486"/>
      <c r="AR2251" s="486"/>
      <c r="AS2251" s="486"/>
      <c r="AT2251" s="486"/>
      <c r="AU2251" s="486"/>
      <c r="AV2251" s="486"/>
      <c r="AW2251" s="1013" t="s">
        <v>13524</v>
      </c>
      <c r="AX2251" s="486"/>
      <c r="AY2251" s="481"/>
      <c r="AZ2251" s="378" t="s">
        <v>137</v>
      </c>
    </row>
    <row r="2252">
      <c r="A2252" s="41">
        <v>2252.0</v>
      </c>
      <c r="B2252" s="42" t="s">
        <v>583</v>
      </c>
      <c r="C2252" s="59" t="s">
        <v>108</v>
      </c>
      <c r="D2252" s="59" t="s">
        <v>241</v>
      </c>
      <c r="F2252" s="2019" t="s">
        <v>13525</v>
      </c>
      <c r="G2252" s="156" t="s">
        <v>13526</v>
      </c>
      <c r="H2252" s="1284" t="s">
        <v>242</v>
      </c>
      <c r="I2252" s="149">
        <v>45331.0</v>
      </c>
      <c r="J2252" s="1285">
        <v>45691.0</v>
      </c>
      <c r="K2252" s="156" t="s">
        <v>13527</v>
      </c>
      <c r="L2252" s="156" t="s">
        <v>13528</v>
      </c>
      <c r="M2252" s="156" t="s">
        <v>13529</v>
      </c>
      <c r="N2252" s="156" t="s">
        <v>13530</v>
      </c>
      <c r="O2252" s="126">
        <v>1.0</v>
      </c>
      <c r="P2252" s="156" t="s">
        <v>13531</v>
      </c>
      <c r="Q2252" s="49" t="str">
        <f t="array" ref="Q2252"> if(iserror(MATCH(V2252, 'File Links'!C:C, 0)), "N/A", HYPERLINK(INDEX('File Links'!B:B, MATCH(P2252, 'File Links'!C:C, 0))))</f>
        <v>https://drive.google.com/file/d/1tNde2WsKCKtTxCH7EfB-a1TjXERl50pJ/view?usp=drivesdk</v>
      </c>
      <c r="R2252" s="2020" t="s">
        <v>5015</v>
      </c>
      <c r="S2252" s="156" t="s">
        <v>5016</v>
      </c>
      <c r="T2252" s="65"/>
      <c r="U2252" s="65"/>
      <c r="V2252" s="156" t="str">
        <f t="shared" si="125"/>
        <v>10.1007--s13164-018-0400-9.pdf</v>
      </c>
      <c r="W2252" s="1287" t="s">
        <v>5018</v>
      </c>
      <c r="X2252" s="51" t="str">
        <f t="array" ref="X2252"> if(iserror(MATCH(V2252, 'File Links'!C:C, 0)), "N/A", HYPERLINK(INDEX('File Links'!B:B, MATCH(V2252, 'File Links'!C:C, 0))))</f>
        <v>https://drive.google.com/file/d/1hjI3aqifdfXjWhQAlvKCKKtvjuncAn5M/view?usp=drivesdk</v>
      </c>
      <c r="Y2252" s="65"/>
      <c r="Z2252" s="156" t="s">
        <v>158</v>
      </c>
      <c r="AA2252" s="126" t="s">
        <v>131</v>
      </c>
      <c r="AB2252" s="156" t="s">
        <v>5028</v>
      </c>
      <c r="AC2252" s="65"/>
      <c r="AD2252" s="156" t="s">
        <v>131</v>
      </c>
      <c r="AE2252" s="156" t="s">
        <v>131</v>
      </c>
      <c r="AF2252" s="153">
        <v>21.0</v>
      </c>
      <c r="AG2252" s="153">
        <v>0.32</v>
      </c>
      <c r="AH2252" s="156" t="s">
        <v>264</v>
      </c>
      <c r="AI2252" s="2021" t="s">
        <v>13532</v>
      </c>
      <c r="AJ2252" s="376">
        <v>0.004089</v>
      </c>
      <c r="AK2252" s="54" t="s">
        <v>165</v>
      </c>
      <c r="AL2252" s="156" t="s">
        <v>179</v>
      </c>
      <c r="AM2252" s="1283" t="s">
        <v>130</v>
      </c>
      <c r="AN2252" s="156" t="s">
        <v>130</v>
      </c>
      <c r="AO2252" s="1244">
        <v>161.0</v>
      </c>
      <c r="AP2252" s="1244">
        <v>0.12</v>
      </c>
      <c r="AQ2252" s="2022" t="s">
        <v>264</v>
      </c>
      <c r="AR2252" s="2022" t="s">
        <v>13533</v>
      </c>
      <c r="AS2252" s="153">
        <v>0.1343</v>
      </c>
      <c r="AT2252" s="156" t="s">
        <v>165</v>
      </c>
      <c r="AU2252" s="156" t="s">
        <v>179</v>
      </c>
      <c r="AV2252" s="151" t="s">
        <v>130</v>
      </c>
      <c r="AW2252" s="2023" t="s">
        <v>13534</v>
      </c>
      <c r="AX2252" s="151" t="s">
        <v>136</v>
      </c>
      <c r="AZ2252" s="65" t="s">
        <v>242</v>
      </c>
    </row>
    <row r="2253">
      <c r="A2253" s="41">
        <v>2253.0</v>
      </c>
      <c r="B2253" s="319" t="s">
        <v>583</v>
      </c>
      <c r="C2253" s="146" t="s">
        <v>108</v>
      </c>
      <c r="D2253" s="59" t="s">
        <v>1263</v>
      </c>
      <c r="F2253" s="126" t="s">
        <v>5038</v>
      </c>
      <c r="G2253" s="148" t="s">
        <v>13535</v>
      </c>
      <c r="H2253" s="1284" t="s">
        <v>5011</v>
      </c>
      <c r="I2253" s="149">
        <v>45667.0</v>
      </c>
      <c r="J2253" s="1285">
        <v>45691.0</v>
      </c>
      <c r="K2253" s="156" t="s">
        <v>13536</v>
      </c>
      <c r="L2253" s="320" t="s">
        <v>13537</v>
      </c>
      <c r="M2253" s="156" t="s">
        <v>13538</v>
      </c>
      <c r="N2253" s="156" t="s">
        <v>5041</v>
      </c>
      <c r="O2253" s="126">
        <v>1.0</v>
      </c>
      <c r="P2253" s="156" t="str">
        <f t="shared" ref="P2253:P2254" si="126">SUBSTITUTE(LOWER(N2253), "/", "--") &amp;  ".pdf"</f>
        <v>10.1163--156853706776931222.pdf</v>
      </c>
      <c r="Q2253" s="49" t="str">
        <f t="array" ref="Q2253"> if(iserror(MATCH(V2253, 'File Links'!C:C, 0)), "N/A", HYPERLINK(INDEX('File Links'!B:B, MATCH(P2253, 'File Links'!C:C, 0))))</f>
        <v>https://drive.google.com/file/d/1_KweoGhNrt_00Umu1vsjHfibTm4z9cNE/view?usp=drivesdk</v>
      </c>
      <c r="R2253" s="2020" t="s">
        <v>5015</v>
      </c>
      <c r="S2253" s="307" t="s">
        <v>5016</v>
      </c>
      <c r="T2253" s="307" t="s">
        <v>5017</v>
      </c>
      <c r="U2253" s="153">
        <v>11.0</v>
      </c>
      <c r="V2253" s="195" t="str">
        <f t="shared" si="125"/>
        <v>10.1007--s13164-018-0400-9.pdf</v>
      </c>
      <c r="W2253" s="1287" t="s">
        <v>5018</v>
      </c>
      <c r="X2253" s="51" t="str">
        <f t="array" ref="X2253"> if(iserror(MATCH(V2253, 'File Links'!C:C, 0)), "N/A", HYPERLINK(INDEX('File Links'!B:B, MATCH(V2253, 'File Links'!C:C, 0))))</f>
        <v>https://drive.google.com/file/d/1hjI3aqifdfXjWhQAlvKCKKtvjuncAn5M/view?usp=drivesdk</v>
      </c>
      <c r="Y2253" s="65"/>
      <c r="Z2253" s="156" t="s">
        <v>158</v>
      </c>
      <c r="AA2253" s="126" t="s">
        <v>131</v>
      </c>
      <c r="AB2253" s="156" t="s">
        <v>13539</v>
      </c>
      <c r="AC2253" s="65"/>
      <c r="AD2253" s="156" t="s">
        <v>13540</v>
      </c>
      <c r="AE2253" s="153">
        <v>19.0</v>
      </c>
      <c r="AF2253" s="153">
        <v>31.0</v>
      </c>
      <c r="AG2253" s="1288" t="s">
        <v>13541</v>
      </c>
      <c r="AH2253" s="156" t="s">
        <v>127</v>
      </c>
      <c r="AI2253" s="336" t="s">
        <v>3248</v>
      </c>
      <c r="AJ2253" s="376">
        <v>0.001</v>
      </c>
      <c r="AK2253" s="54" t="s">
        <v>128</v>
      </c>
      <c r="AL2253" s="156" t="s">
        <v>179</v>
      </c>
      <c r="AM2253" s="54" t="s">
        <v>130</v>
      </c>
      <c r="AN2253" s="65"/>
      <c r="AO2253" s="153">
        <v>47.0</v>
      </c>
      <c r="AP2253" s="1288" t="s">
        <v>13542</v>
      </c>
      <c r="AQ2253" s="156" t="s">
        <v>127</v>
      </c>
      <c r="AR2253" s="156" t="s">
        <v>13543</v>
      </c>
      <c r="AS2253" s="153">
        <v>0.002</v>
      </c>
      <c r="AT2253" s="156" t="s">
        <v>165</v>
      </c>
      <c r="AU2253" s="156" t="s">
        <v>179</v>
      </c>
      <c r="AV2253" s="156" t="s">
        <v>130</v>
      </c>
      <c r="AW2253" s="307" t="s">
        <v>5048</v>
      </c>
      <c r="AX2253" s="156" t="s">
        <v>136</v>
      </c>
      <c r="AZ2253" s="152" t="s">
        <v>13544</v>
      </c>
    </row>
    <row r="2254">
      <c r="A2254" s="41">
        <v>2254.0</v>
      </c>
      <c r="B2254" s="65" t="s">
        <v>107</v>
      </c>
      <c r="C2254" s="59" t="s">
        <v>108</v>
      </c>
      <c r="D2254" s="59" t="s">
        <v>1263</v>
      </c>
      <c r="F2254" s="2019" t="s">
        <v>13545</v>
      </c>
      <c r="G2254" s="156" t="s">
        <v>13546</v>
      </c>
      <c r="H2254" s="1284" t="s">
        <v>5011</v>
      </c>
      <c r="I2254" s="149">
        <v>45667.0</v>
      </c>
      <c r="J2254" s="150">
        <v>45716.0</v>
      </c>
      <c r="K2254" s="156" t="s">
        <v>13547</v>
      </c>
      <c r="L2254" s="126" t="s">
        <v>13548</v>
      </c>
      <c r="M2254" s="156" t="s">
        <v>13549</v>
      </c>
      <c r="N2254" s="156" t="s">
        <v>13550</v>
      </c>
      <c r="O2254" s="153">
        <v>3.0</v>
      </c>
      <c r="P2254" s="156" t="str">
        <f t="shared" si="126"/>
        <v>10.1163--156853706776931385.pdf</v>
      </c>
      <c r="Q2254" s="49" t="str">
        <f t="array" ref="Q2254"> if(iserror(MATCH(V2254, 'File Links'!C:C, 0)), "N/A", HYPERLINK(INDEX('File Links'!B:B, MATCH(P2254, 'File Links'!C:C, 0))))</f>
        <v>https://drive.google.com/file/d/1XAdHa8ntbQreOrtrubV-Qgfz8m_7szBt/view?usp=drivesdk</v>
      </c>
      <c r="R2254" s="2020" t="s">
        <v>5015</v>
      </c>
      <c r="S2254" s="307" t="s">
        <v>5016</v>
      </c>
      <c r="T2254" s="1382" t="s">
        <v>5017</v>
      </c>
      <c r="U2254" s="153">
        <v>12.0</v>
      </c>
      <c r="V2254" s="156" t="str">
        <f t="shared" si="125"/>
        <v>10.1007--s13164-018-0400-9.pdf</v>
      </c>
      <c r="W2254" s="1287" t="s">
        <v>5018</v>
      </c>
      <c r="X2254" s="51" t="str">
        <f t="array" ref="X2254"> if(iserror(MATCH(V2254, 'File Links'!C:C, 0)), "N/A", HYPERLINK(INDEX('File Links'!B:B, MATCH(V2254, 'File Links'!C:C, 0))))</f>
        <v>https://drive.google.com/file/d/1hjI3aqifdfXjWhQAlvKCKKtvjuncAn5M/view?usp=drivesdk</v>
      </c>
      <c r="Y2254" s="65"/>
      <c r="Z2254" s="156" t="s">
        <v>158</v>
      </c>
      <c r="AA2254" s="126" t="s">
        <v>131</v>
      </c>
      <c r="AB2254" s="156" t="s">
        <v>13551</v>
      </c>
      <c r="AC2254" s="65"/>
      <c r="AD2254" s="156" t="s">
        <v>13552</v>
      </c>
      <c r="AE2254" s="156" t="s">
        <v>10475</v>
      </c>
      <c r="AF2254" s="153">
        <v>8.0</v>
      </c>
      <c r="AG2254" s="1288" t="s">
        <v>13553</v>
      </c>
      <c r="AH2254" s="156" t="s">
        <v>127</v>
      </c>
      <c r="AI2254" s="336" t="s">
        <v>298</v>
      </c>
      <c r="AJ2254" s="376">
        <v>0.05</v>
      </c>
      <c r="AK2254" s="54" t="s">
        <v>128</v>
      </c>
      <c r="AL2254" s="156" t="s">
        <v>129</v>
      </c>
      <c r="AM2254" s="54" t="s">
        <v>130</v>
      </c>
      <c r="AN2254" s="65"/>
      <c r="AO2254" s="1289">
        <v>50.0</v>
      </c>
      <c r="AP2254" s="2024">
        <v>0.44</v>
      </c>
      <c r="AQ2254" s="156" t="s">
        <v>264</v>
      </c>
      <c r="AR2254" s="1057" t="s">
        <v>13543</v>
      </c>
      <c r="AS2254" s="1056">
        <v>0.002863</v>
      </c>
      <c r="AT2254" s="156" t="s">
        <v>165</v>
      </c>
      <c r="AU2254" s="156" t="s">
        <v>179</v>
      </c>
      <c r="AV2254" s="156" t="s">
        <v>130</v>
      </c>
      <c r="AW2254" s="1382" t="s">
        <v>13554</v>
      </c>
      <c r="AX2254" s="156" t="s">
        <v>136</v>
      </c>
      <c r="AZ2254" s="65" t="s">
        <v>242</v>
      </c>
    </row>
    <row r="2255">
      <c r="A2255" s="41">
        <v>2255.0</v>
      </c>
      <c r="B2255" s="42" t="s">
        <v>145</v>
      </c>
      <c r="C2255" s="59" t="s">
        <v>108</v>
      </c>
      <c r="D2255" s="59" t="s">
        <v>241</v>
      </c>
      <c r="F2255" s="2019" t="s">
        <v>13545</v>
      </c>
      <c r="G2255" s="156" t="s">
        <v>13546</v>
      </c>
      <c r="H2255" s="1284" t="s">
        <v>242</v>
      </c>
      <c r="I2255" s="149">
        <v>45331.0</v>
      </c>
      <c r="J2255" s="150">
        <v>45716.0</v>
      </c>
      <c r="K2255" s="151" t="s">
        <v>13555</v>
      </c>
      <c r="L2255" s="126" t="s">
        <v>13556</v>
      </c>
      <c r="M2255" s="156" t="s">
        <v>13549</v>
      </c>
      <c r="N2255" s="156" t="s">
        <v>13550</v>
      </c>
      <c r="O2255" s="126">
        <v>3.0</v>
      </c>
      <c r="P2255" s="156" t="s">
        <v>13557</v>
      </c>
      <c r="Q2255" s="49" t="str">
        <f t="array" ref="Q2255"> if(iserror(MATCH(V2255, 'File Links'!C:C, 0)), "N/A", HYPERLINK(INDEX('File Links'!B:B, MATCH(P2255, 'File Links'!C:C, 0))))</f>
        <v>https://drive.google.com/file/d/1XAdHa8ntbQreOrtrubV-Qgfz8m_7szBt/view?usp=drivesdk</v>
      </c>
      <c r="R2255" s="2020" t="s">
        <v>5015</v>
      </c>
      <c r="S2255" s="156" t="s">
        <v>5016</v>
      </c>
      <c r="T2255" s="1999" t="s">
        <v>13558</v>
      </c>
      <c r="U2255" s="1090">
        <v>12.0</v>
      </c>
      <c r="V2255" s="156" t="str">
        <f t="shared" si="125"/>
        <v>10.1007--s13164-018-0400-9.pdf</v>
      </c>
      <c r="W2255" s="1287" t="s">
        <v>5018</v>
      </c>
      <c r="X2255" s="51" t="str">
        <f t="array" ref="X2255"> if(iserror(MATCH(V2255, 'File Links'!C:C, 0)), "N/A", HYPERLINK(INDEX('File Links'!B:B, MATCH(V2255, 'File Links'!C:C, 0))))</f>
        <v>https://drive.google.com/file/d/1hjI3aqifdfXjWhQAlvKCKKtvjuncAn5M/view?usp=drivesdk</v>
      </c>
      <c r="Y2255" s="65"/>
      <c r="Z2255" s="156" t="s">
        <v>158</v>
      </c>
      <c r="AA2255" s="126" t="s">
        <v>131</v>
      </c>
      <c r="AB2255" s="148" t="s">
        <v>13559</v>
      </c>
      <c r="AC2255" s="1362" t="s">
        <v>13560</v>
      </c>
      <c r="AD2255" s="156" t="s">
        <v>13561</v>
      </c>
      <c r="AE2255" s="156" t="s">
        <v>298</v>
      </c>
      <c r="AF2255" s="153">
        <v>8.0</v>
      </c>
      <c r="AG2255" s="1288" t="s">
        <v>13553</v>
      </c>
      <c r="AH2255" s="156" t="s">
        <v>127</v>
      </c>
      <c r="AI2255" s="148" t="s">
        <v>298</v>
      </c>
      <c r="AJ2255" s="376">
        <v>0.05</v>
      </c>
      <c r="AK2255" s="54" t="s">
        <v>128</v>
      </c>
      <c r="AL2255" s="156" t="s">
        <v>129</v>
      </c>
      <c r="AM2255" s="1283" t="s">
        <v>130</v>
      </c>
      <c r="AN2255" s="148" t="s">
        <v>131</v>
      </c>
      <c r="AO2255" s="1289">
        <v>50.0</v>
      </c>
      <c r="AP2255" s="153">
        <v>0.44</v>
      </c>
      <c r="AQ2255" s="156" t="s">
        <v>264</v>
      </c>
      <c r="AR2255" s="156" t="s">
        <v>13562</v>
      </c>
      <c r="AS2255" s="153">
        <v>0.001863</v>
      </c>
      <c r="AT2255" s="156" t="s">
        <v>165</v>
      </c>
      <c r="AU2255" s="156" t="s">
        <v>179</v>
      </c>
      <c r="AV2255" s="151" t="s">
        <v>130</v>
      </c>
      <c r="AW2255" s="2025" t="s">
        <v>13563</v>
      </c>
      <c r="AX2255" s="151" t="s">
        <v>136</v>
      </c>
      <c r="AZ2255" s="126" t="s">
        <v>13564</v>
      </c>
    </row>
    <row r="2256">
      <c r="A2256" s="41">
        <v>2256.0</v>
      </c>
      <c r="B2256" s="42" t="s">
        <v>583</v>
      </c>
      <c r="C2256" s="59" t="s">
        <v>108</v>
      </c>
      <c r="D2256" s="59" t="s">
        <v>241</v>
      </c>
      <c r="F2256" s="2019" t="s">
        <v>13565</v>
      </c>
      <c r="G2256" s="156" t="s">
        <v>13566</v>
      </c>
      <c r="H2256" s="1284" t="s">
        <v>242</v>
      </c>
      <c r="I2256" s="149">
        <v>45331.0</v>
      </c>
      <c r="J2256" s="1285">
        <v>45691.0</v>
      </c>
      <c r="K2256" s="151" t="s">
        <v>13567</v>
      </c>
      <c r="L2256" s="156" t="s">
        <v>13528</v>
      </c>
      <c r="M2256" s="156" t="s">
        <v>13568</v>
      </c>
      <c r="N2256" s="156" t="s">
        <v>13569</v>
      </c>
      <c r="O2256" s="126">
        <v>1.0</v>
      </c>
      <c r="P2256" s="156" t="s">
        <v>13570</v>
      </c>
      <c r="Q2256" s="49" t="str">
        <f t="array" ref="Q2256"> if(iserror(MATCH(V2256, 'File Links'!C:C, 0)), "N/A", HYPERLINK(INDEX('File Links'!B:B, MATCH(P2256, 'File Links'!C:C, 0))))</f>
        <v>https://drive.google.com/file/d/1Y8W4Pu0XmqnQ5lA-X7ANKZNlSBzl4UGP/view?usp=drivesdk</v>
      </c>
      <c r="R2256" s="2020" t="s">
        <v>5015</v>
      </c>
      <c r="S2256" s="156" t="s">
        <v>5016</v>
      </c>
      <c r="T2256" s="65"/>
      <c r="U2256" s="65"/>
      <c r="V2256" s="156" t="str">
        <f t="shared" si="125"/>
        <v>10.1007--s13164-018-0400-9.pdf</v>
      </c>
      <c r="W2256" s="1287" t="s">
        <v>5018</v>
      </c>
      <c r="X2256" s="51" t="str">
        <f t="array" ref="X2256"> if(iserror(MATCH(V2256, 'File Links'!C:C, 0)), "N/A", HYPERLINK(INDEX('File Links'!B:B, MATCH(V2256, 'File Links'!C:C, 0))))</f>
        <v>https://drive.google.com/file/d/1hjI3aqifdfXjWhQAlvKCKKtvjuncAn5M/view?usp=drivesdk</v>
      </c>
      <c r="Y2256" s="65"/>
      <c r="Z2256" s="156" t="s">
        <v>158</v>
      </c>
      <c r="AA2256" s="126" t="s">
        <v>131</v>
      </c>
      <c r="AB2256" s="156" t="s">
        <v>5028</v>
      </c>
      <c r="AC2256" s="65"/>
      <c r="AD2256" s="156" t="s">
        <v>13571</v>
      </c>
      <c r="AE2256" s="156" t="s">
        <v>13572</v>
      </c>
      <c r="AF2256" s="153">
        <v>126.0</v>
      </c>
      <c r="AG2256" s="153">
        <v>0.25</v>
      </c>
      <c r="AH2256" s="156" t="s">
        <v>264</v>
      </c>
      <c r="AI2256" s="336" t="s">
        <v>13573</v>
      </c>
      <c r="AJ2256" s="376">
        <v>0.01</v>
      </c>
      <c r="AK2256" s="54" t="s">
        <v>128</v>
      </c>
      <c r="AL2256" s="156" t="s">
        <v>179</v>
      </c>
      <c r="AM2256" s="1283" t="s">
        <v>130</v>
      </c>
      <c r="AN2256" s="1362" t="s">
        <v>131</v>
      </c>
      <c r="AO2256" s="1289">
        <v>259.0</v>
      </c>
      <c r="AP2256" s="153">
        <v>0.41</v>
      </c>
      <c r="AQ2256" s="156" t="s">
        <v>264</v>
      </c>
      <c r="AR2256" s="148" t="s">
        <v>13574</v>
      </c>
      <c r="AS2256" s="153">
        <v>0.001</v>
      </c>
      <c r="AT2256" s="156" t="s">
        <v>128</v>
      </c>
      <c r="AU2256" s="156" t="s">
        <v>179</v>
      </c>
      <c r="AV2256" s="151" t="s">
        <v>130</v>
      </c>
      <c r="AW2256" s="1290" t="s">
        <v>13575</v>
      </c>
      <c r="AX2256" s="151" t="s">
        <v>136</v>
      </c>
      <c r="AZ2256" s="65" t="s">
        <v>242</v>
      </c>
    </row>
    <row r="2257">
      <c r="A2257" s="41">
        <v>2257.0</v>
      </c>
      <c r="B2257" s="42" t="s">
        <v>583</v>
      </c>
      <c r="C2257" s="59" t="s">
        <v>108</v>
      </c>
      <c r="D2257" s="59" t="s">
        <v>241</v>
      </c>
      <c r="F2257" s="2019" t="s">
        <v>13576</v>
      </c>
      <c r="G2257" s="156" t="s">
        <v>13577</v>
      </c>
      <c r="H2257" s="1284" t="s">
        <v>242</v>
      </c>
      <c r="I2257" s="149">
        <v>45331.0</v>
      </c>
      <c r="J2257" s="1285">
        <v>45691.0</v>
      </c>
      <c r="K2257" s="151" t="s">
        <v>13567</v>
      </c>
      <c r="L2257" s="156" t="s">
        <v>13528</v>
      </c>
      <c r="M2257" s="156" t="s">
        <v>13578</v>
      </c>
      <c r="N2257" s="156" t="s">
        <v>13579</v>
      </c>
      <c r="O2257" s="126">
        <v>1.0</v>
      </c>
      <c r="P2257" s="156" t="s">
        <v>13580</v>
      </c>
      <c r="Q2257" s="49" t="str">
        <f t="array" ref="Q2257"> if(iserror(MATCH(V2257, 'File Links'!C:C, 0)), "N/A", HYPERLINK(INDEX('File Links'!B:B, MATCH(P2257, 'File Links'!C:C, 0))))</f>
        <v>https://drive.google.com/file/d/1KGwRGETP91kM9JQ1Lkln3MN4JSxyj4OW/view?usp=drivesdk</v>
      </c>
      <c r="R2257" s="2020" t="s">
        <v>5015</v>
      </c>
      <c r="S2257" s="156" t="s">
        <v>5016</v>
      </c>
      <c r="T2257" s="65"/>
      <c r="U2257" s="65"/>
      <c r="V2257" s="156" t="str">
        <f t="shared" si="125"/>
        <v>10.1007--s13164-018-0400-9.pdf</v>
      </c>
      <c r="W2257" s="1287" t="s">
        <v>5018</v>
      </c>
      <c r="X2257" s="51" t="str">
        <f t="array" ref="X2257"> if(iserror(MATCH(V2257, 'File Links'!C:C, 0)), "N/A", HYPERLINK(INDEX('File Links'!B:B, MATCH(V2257, 'File Links'!C:C, 0))))</f>
        <v>https://drive.google.com/file/d/1hjI3aqifdfXjWhQAlvKCKKtvjuncAn5M/view?usp=drivesdk</v>
      </c>
      <c r="Y2257" s="65"/>
      <c r="Z2257" s="156" t="s">
        <v>158</v>
      </c>
      <c r="AA2257" s="126" t="s">
        <v>131</v>
      </c>
      <c r="AB2257" s="156" t="s">
        <v>13581</v>
      </c>
      <c r="AC2257" s="65"/>
      <c r="AD2257" s="156" t="s">
        <v>13582</v>
      </c>
      <c r="AE2257" s="156" t="s">
        <v>13583</v>
      </c>
      <c r="AF2257" s="153">
        <v>41.0</v>
      </c>
      <c r="AG2257" s="153">
        <v>0.38</v>
      </c>
      <c r="AH2257" s="156" t="s">
        <v>264</v>
      </c>
      <c r="AI2257" s="336" t="s">
        <v>13584</v>
      </c>
      <c r="AJ2257" s="376">
        <v>0.05</v>
      </c>
      <c r="AK2257" s="54" t="s">
        <v>128</v>
      </c>
      <c r="AL2257" s="156" t="s">
        <v>179</v>
      </c>
      <c r="AM2257" s="1283" t="s">
        <v>130</v>
      </c>
      <c r="AN2257" s="1362" t="s">
        <v>131</v>
      </c>
      <c r="AO2257" s="1289">
        <v>80.0</v>
      </c>
      <c r="AP2257" s="153">
        <v>0.73</v>
      </c>
      <c r="AQ2257" s="156" t="s">
        <v>264</v>
      </c>
      <c r="AR2257" s="148" t="s">
        <v>13585</v>
      </c>
      <c r="AS2257" s="153">
        <v>0.001</v>
      </c>
      <c r="AT2257" s="156" t="s">
        <v>128</v>
      </c>
      <c r="AU2257" s="156" t="s">
        <v>179</v>
      </c>
      <c r="AV2257" s="151" t="s">
        <v>130</v>
      </c>
      <c r="AW2257" s="1290" t="s">
        <v>13586</v>
      </c>
      <c r="AX2257" s="151" t="s">
        <v>136</v>
      </c>
      <c r="AZ2257" s="65" t="s">
        <v>242</v>
      </c>
    </row>
    <row r="2258">
      <c r="A2258" s="41">
        <v>2258.0</v>
      </c>
      <c r="B2258" s="151" t="s">
        <v>107</v>
      </c>
      <c r="C2258" s="59" t="s">
        <v>108</v>
      </c>
      <c r="D2258" s="59" t="s">
        <v>1263</v>
      </c>
      <c r="F2258" s="1283" t="s">
        <v>13587</v>
      </c>
      <c r="G2258" s="156" t="s">
        <v>13588</v>
      </c>
      <c r="H2258" s="1284" t="s">
        <v>5011</v>
      </c>
      <c r="I2258" s="149">
        <v>45670.0</v>
      </c>
      <c r="J2258" s="150">
        <v>45716.0</v>
      </c>
      <c r="K2258" s="156" t="s">
        <v>13589</v>
      </c>
      <c r="L2258" s="65"/>
      <c r="M2258" s="156" t="s">
        <v>13590</v>
      </c>
      <c r="N2258" s="156" t="s">
        <v>13591</v>
      </c>
      <c r="O2258" s="126">
        <v>1.0</v>
      </c>
      <c r="P2258" s="156" t="str">
        <f>SUBSTITUTE(LOWER(N2258), "/", "--") &amp;  ".pdf"</f>
        <v>10.1111--j.1475-4975.2007.00158.x.pdf</v>
      </c>
      <c r="Q2258" s="49" t="str">
        <f t="array" ref="Q2258"> if(iserror(MATCH(V2258, 'File Links'!C:C, 0)), "N/A", HYPERLINK(INDEX('File Links'!B:B, MATCH(P2258, 'File Links'!C:C, 0))))</f>
        <v>https://drive.google.com/file/d/1Mbtg5W4r7YUV6SqGN7Y6QssV1kBq9eYn/view?usp=drivesdk</v>
      </c>
      <c r="R2258" s="2020" t="s">
        <v>5015</v>
      </c>
      <c r="S2258" s="307" t="s">
        <v>5016</v>
      </c>
      <c r="T2258" s="1382" t="s">
        <v>5017</v>
      </c>
      <c r="U2258" s="153">
        <v>15.0</v>
      </c>
      <c r="V2258" s="156" t="str">
        <f t="shared" si="125"/>
        <v>10.1007--s13164-018-0400-9.pdf</v>
      </c>
      <c r="W2258" s="1287" t="s">
        <v>5018</v>
      </c>
      <c r="X2258" s="51" t="str">
        <f t="array" ref="X2258"> if(iserror(MATCH(V2258, 'File Links'!C:C, 0)), "N/A", HYPERLINK(INDEX('File Links'!B:B, MATCH(V2258, 'File Links'!C:C, 0))))</f>
        <v>https://drive.google.com/file/d/1hjI3aqifdfXjWhQAlvKCKKtvjuncAn5M/view?usp=drivesdk</v>
      </c>
      <c r="Y2258" s="65"/>
      <c r="Z2258" s="156" t="s">
        <v>158</v>
      </c>
      <c r="AA2258" s="126" t="s">
        <v>131</v>
      </c>
      <c r="AB2258" s="156" t="s">
        <v>13592</v>
      </c>
      <c r="AC2258" s="65"/>
      <c r="AD2258" s="156" t="s">
        <v>13593</v>
      </c>
      <c r="AE2258" s="156" t="s">
        <v>13594</v>
      </c>
      <c r="AF2258" s="153">
        <v>307.0</v>
      </c>
      <c r="AG2258" s="156" t="s">
        <v>13595</v>
      </c>
      <c r="AH2258" s="156" t="s">
        <v>127</v>
      </c>
      <c r="AI2258" s="336" t="s">
        <v>620</v>
      </c>
      <c r="AJ2258" s="376">
        <v>0.001</v>
      </c>
      <c r="AK2258" s="54" t="s">
        <v>128</v>
      </c>
      <c r="AL2258" s="156" t="s">
        <v>179</v>
      </c>
      <c r="AM2258" s="54" t="s">
        <v>130</v>
      </c>
      <c r="AN2258" s="148" t="s">
        <v>131</v>
      </c>
      <c r="AO2258" s="1289">
        <v>183.0</v>
      </c>
      <c r="AP2258" s="2026" t="s">
        <v>13596</v>
      </c>
      <c r="AQ2258" s="156" t="s">
        <v>127</v>
      </c>
      <c r="AR2258" s="156" t="s">
        <v>13597</v>
      </c>
      <c r="AS2258" s="153">
        <v>0.001</v>
      </c>
      <c r="AT2258" s="156" t="s">
        <v>128</v>
      </c>
      <c r="AU2258" s="156" t="s">
        <v>179</v>
      </c>
      <c r="AV2258" s="156" t="s">
        <v>130</v>
      </c>
      <c r="AW2258" s="307" t="s">
        <v>13598</v>
      </c>
      <c r="AX2258" s="156" t="s">
        <v>136</v>
      </c>
      <c r="AZ2258" s="65" t="s">
        <v>242</v>
      </c>
    </row>
    <row r="2259">
      <c r="A2259" s="41">
        <v>2259.0</v>
      </c>
      <c r="B2259" s="42" t="s">
        <v>145</v>
      </c>
      <c r="C2259" s="59" t="s">
        <v>108</v>
      </c>
      <c r="D2259" s="59" t="s">
        <v>241</v>
      </c>
      <c r="F2259" s="1283" t="s">
        <v>13587</v>
      </c>
      <c r="G2259" s="156" t="s">
        <v>13588</v>
      </c>
      <c r="H2259" s="1284" t="s">
        <v>242</v>
      </c>
      <c r="I2259" s="149">
        <v>45331.0</v>
      </c>
      <c r="J2259" s="150">
        <v>45716.0</v>
      </c>
      <c r="K2259" s="156" t="s">
        <v>13599</v>
      </c>
      <c r="L2259" s="126" t="s">
        <v>13600</v>
      </c>
      <c r="M2259" s="156" t="s">
        <v>13590</v>
      </c>
      <c r="N2259" s="156" t="s">
        <v>13591</v>
      </c>
      <c r="O2259" s="126">
        <v>1.0</v>
      </c>
      <c r="P2259" s="156" t="s">
        <v>13601</v>
      </c>
      <c r="Q2259" s="49" t="str">
        <f t="array" ref="Q2259"> if(iserror(MATCH(V2259, 'File Links'!C:C, 0)), "N/A", HYPERLINK(INDEX('File Links'!B:B, MATCH(P2259, 'File Links'!C:C, 0))))</f>
        <v>https://drive.google.com/file/d/1Mbtg5W4r7YUV6SqGN7Y6QssV1kBq9eYn/view?usp=drivesdk</v>
      </c>
      <c r="R2259" s="2020" t="s">
        <v>5015</v>
      </c>
      <c r="S2259" s="156" t="s">
        <v>5016</v>
      </c>
      <c r="T2259" s="1999" t="s">
        <v>13602</v>
      </c>
      <c r="U2259" s="1362">
        <v>15.0</v>
      </c>
      <c r="V2259" s="156" t="str">
        <f t="shared" si="125"/>
        <v>10.1007--s13164-018-0400-9.pdf</v>
      </c>
      <c r="W2259" s="1287" t="s">
        <v>5018</v>
      </c>
      <c r="X2259" s="51" t="str">
        <f t="array" ref="X2259"> if(iserror(MATCH(V2259, 'File Links'!C:C, 0)), "N/A", HYPERLINK(INDEX('File Links'!B:B, MATCH(V2259, 'File Links'!C:C, 0))))</f>
        <v>https://drive.google.com/file/d/1hjI3aqifdfXjWhQAlvKCKKtvjuncAn5M/view?usp=drivesdk</v>
      </c>
      <c r="Y2259" s="65"/>
      <c r="Z2259" s="156" t="s">
        <v>158</v>
      </c>
      <c r="AA2259" s="126" t="s">
        <v>131</v>
      </c>
      <c r="AB2259" s="156" t="s">
        <v>13592</v>
      </c>
      <c r="AC2259" s="1362" t="s">
        <v>13603</v>
      </c>
      <c r="AD2259" s="156" t="s">
        <v>13604</v>
      </c>
      <c r="AE2259" s="151" t="s">
        <v>620</v>
      </c>
      <c r="AF2259" s="153">
        <v>307.0</v>
      </c>
      <c r="AG2259" s="1112" t="s">
        <v>13595</v>
      </c>
      <c r="AH2259" s="148" t="s">
        <v>127</v>
      </c>
      <c r="AI2259" s="148" t="s">
        <v>620</v>
      </c>
      <c r="AJ2259" s="376">
        <v>0.001</v>
      </c>
      <c r="AK2259" s="54" t="s">
        <v>128</v>
      </c>
      <c r="AL2259" s="1113" t="s">
        <v>179</v>
      </c>
      <c r="AM2259" s="1283" t="s">
        <v>130</v>
      </c>
      <c r="AN2259" s="148" t="s">
        <v>131</v>
      </c>
      <c r="AO2259" s="153">
        <v>183.0</v>
      </c>
      <c r="AP2259" s="2027" t="s">
        <v>13596</v>
      </c>
      <c r="AQ2259" s="1113" t="s">
        <v>127</v>
      </c>
      <c r="AR2259" s="148" t="s">
        <v>210</v>
      </c>
      <c r="AS2259" s="153">
        <v>0.001</v>
      </c>
      <c r="AT2259" s="156" t="s">
        <v>128</v>
      </c>
      <c r="AU2259" s="1113" t="s">
        <v>179</v>
      </c>
      <c r="AV2259" s="151" t="s">
        <v>130</v>
      </c>
      <c r="AW2259" s="2025" t="s">
        <v>13605</v>
      </c>
      <c r="AX2259" s="151" t="s">
        <v>136</v>
      </c>
      <c r="AZ2259" s="126" t="s">
        <v>13564</v>
      </c>
    </row>
    <row r="2260">
      <c r="A2260" s="41">
        <v>2260.0</v>
      </c>
      <c r="B2260" s="319" t="s">
        <v>4516</v>
      </c>
      <c r="C2260" s="146" t="s">
        <v>108</v>
      </c>
      <c r="D2260" s="59" t="s">
        <v>241</v>
      </c>
      <c r="F2260" s="126" t="s">
        <v>13587</v>
      </c>
      <c r="G2260" s="156" t="s">
        <v>13606</v>
      </c>
      <c r="H2260" s="1284" t="s">
        <v>242</v>
      </c>
      <c r="I2260" s="149">
        <v>45331.0</v>
      </c>
      <c r="J2260" s="149">
        <v>45688.0</v>
      </c>
      <c r="K2260" s="65" t="s">
        <v>13607</v>
      </c>
      <c r="L2260" s="65" t="s">
        <v>13608</v>
      </c>
      <c r="M2260" s="156" t="s">
        <v>13590</v>
      </c>
      <c r="N2260" s="156" t="s">
        <v>13591</v>
      </c>
      <c r="O2260" s="126">
        <v>1.0</v>
      </c>
      <c r="P2260" s="156" t="str">
        <f t="shared" ref="P2260:P2267" si="127">SUBSTITUTE(LOWER(N2260), "/", "--") &amp;  ".pdf"</f>
        <v>10.1111--j.1475-4975.2007.00158.x.pdf</v>
      </c>
      <c r="Q2260" s="49" t="str">
        <f t="array" ref="Q2260"> if(iserror(MATCH(V2260, 'File Links'!C:C, 0)), "N/A", HYPERLINK(INDEX('File Links'!B:B, MATCH(P2260, 'File Links'!C:C, 0))))</f>
        <v>https://drive.google.com/file/d/1Mbtg5W4r7YUV6SqGN7Y6QssV1kBq9eYn/view?usp=drivesdk</v>
      </c>
      <c r="R2260" s="2020" t="s">
        <v>5015</v>
      </c>
      <c r="S2260" s="307" t="s">
        <v>5016</v>
      </c>
      <c r="T2260" s="307" t="s">
        <v>5017</v>
      </c>
      <c r="U2260" s="153">
        <v>15.0</v>
      </c>
      <c r="V2260" s="195" t="str">
        <f t="shared" si="125"/>
        <v>10.1007--s13164-018-0400-9.pdf</v>
      </c>
      <c r="W2260" s="1287" t="s">
        <v>5018</v>
      </c>
      <c r="X2260" s="51" t="str">
        <f t="array" ref="X2260"> if(iserror(MATCH(V2260, 'File Links'!C:C, 0)), "N/A", HYPERLINK(INDEX('File Links'!B:B, MATCH(V2260, 'File Links'!C:C, 0))))</f>
        <v>https://drive.google.com/file/d/1hjI3aqifdfXjWhQAlvKCKKtvjuncAn5M/view?usp=drivesdk</v>
      </c>
      <c r="Y2260" s="65"/>
      <c r="Z2260" s="156" t="s">
        <v>158</v>
      </c>
      <c r="AA2260" s="126" t="s">
        <v>131</v>
      </c>
      <c r="AB2260" s="156" t="s">
        <v>13609</v>
      </c>
      <c r="AC2260" s="65"/>
      <c r="AD2260" s="156" t="s">
        <v>13610</v>
      </c>
      <c r="AE2260" s="156" t="s">
        <v>13594</v>
      </c>
      <c r="AF2260" s="153">
        <v>307.0</v>
      </c>
      <c r="AG2260" s="156" t="s">
        <v>13611</v>
      </c>
      <c r="AH2260" s="156" t="s">
        <v>127</v>
      </c>
      <c r="AI2260" s="336" t="s">
        <v>620</v>
      </c>
      <c r="AJ2260" s="376">
        <v>0.001</v>
      </c>
      <c r="AK2260" s="54" t="s">
        <v>128</v>
      </c>
      <c r="AL2260" s="156" t="s">
        <v>179</v>
      </c>
      <c r="AM2260" s="54" t="s">
        <v>130</v>
      </c>
      <c r="AN2260" s="327" t="s">
        <v>131</v>
      </c>
      <c r="AO2260" s="153">
        <v>183.0</v>
      </c>
      <c r="AP2260" s="2026" t="s">
        <v>13612</v>
      </c>
      <c r="AQ2260" s="156" t="s">
        <v>127</v>
      </c>
      <c r="AR2260" s="156" t="s">
        <v>13597</v>
      </c>
      <c r="AS2260" s="153">
        <v>0.001</v>
      </c>
      <c r="AT2260" s="156" t="s">
        <v>128</v>
      </c>
      <c r="AU2260" s="156" t="s">
        <v>179</v>
      </c>
      <c r="AV2260" s="156" t="s">
        <v>130</v>
      </c>
      <c r="AW2260" s="1290" t="s">
        <v>13613</v>
      </c>
      <c r="AX2260" s="156" t="s">
        <v>136</v>
      </c>
      <c r="AZ2260" s="151" t="s">
        <v>242</v>
      </c>
    </row>
    <row r="2261">
      <c r="A2261" s="41">
        <v>2261.0</v>
      </c>
      <c r="B2261" s="65" t="s">
        <v>107</v>
      </c>
      <c r="C2261" s="146" t="s">
        <v>108</v>
      </c>
      <c r="D2261" s="59" t="s">
        <v>1263</v>
      </c>
      <c r="F2261" s="126" t="s">
        <v>13587</v>
      </c>
      <c r="G2261" s="148" t="s">
        <v>13606</v>
      </c>
      <c r="H2261" s="1284" t="s">
        <v>5011</v>
      </c>
      <c r="I2261" s="149">
        <v>45670.0</v>
      </c>
      <c r="J2261" s="149">
        <v>45688.0</v>
      </c>
      <c r="K2261" s="65"/>
      <c r="L2261" s="65" t="s">
        <v>13608</v>
      </c>
      <c r="M2261" s="156" t="s">
        <v>13590</v>
      </c>
      <c r="N2261" s="156" t="s">
        <v>13591</v>
      </c>
      <c r="O2261" s="126">
        <v>1.0</v>
      </c>
      <c r="P2261" s="156" t="str">
        <f t="shared" si="127"/>
        <v>10.1111--j.1475-4975.2007.00158.x.pdf</v>
      </c>
      <c r="Q2261" s="49" t="str">
        <f t="array" ref="Q2261"> if(iserror(MATCH(V2261, 'File Links'!C:C, 0)), "N/A", HYPERLINK(INDEX('File Links'!B:B, MATCH(P2261, 'File Links'!C:C, 0))))</f>
        <v>https://drive.google.com/file/d/1Mbtg5W4r7YUV6SqGN7Y6QssV1kBq9eYn/view?usp=drivesdk</v>
      </c>
      <c r="R2261" s="2020" t="s">
        <v>5015</v>
      </c>
      <c r="S2261" s="307" t="s">
        <v>5016</v>
      </c>
      <c r="T2261" s="307" t="s">
        <v>5017</v>
      </c>
      <c r="U2261" s="153">
        <v>15.0</v>
      </c>
      <c r="V2261" s="195" t="str">
        <f t="shared" si="125"/>
        <v>10.1007--s13164-018-0400-9.pdf</v>
      </c>
      <c r="W2261" s="1287" t="s">
        <v>5018</v>
      </c>
      <c r="X2261" s="51" t="str">
        <f t="array" ref="X2261"> if(iserror(MATCH(V2261, 'File Links'!C:C, 0)), "N/A", HYPERLINK(INDEX('File Links'!B:B, MATCH(V2261, 'File Links'!C:C, 0))))</f>
        <v>https://drive.google.com/file/d/1hjI3aqifdfXjWhQAlvKCKKtvjuncAn5M/view?usp=drivesdk</v>
      </c>
      <c r="Y2261" s="65"/>
      <c r="Z2261" s="156" t="s">
        <v>158</v>
      </c>
      <c r="AA2261" s="126" t="s">
        <v>131</v>
      </c>
      <c r="AB2261" s="156" t="s">
        <v>13592</v>
      </c>
      <c r="AC2261" s="65"/>
      <c r="AD2261" s="156" t="s">
        <v>13614</v>
      </c>
      <c r="AE2261" s="156" t="s">
        <v>13594</v>
      </c>
      <c r="AF2261" s="153">
        <v>307.0</v>
      </c>
      <c r="AG2261" s="156" t="s">
        <v>13611</v>
      </c>
      <c r="AH2261" s="156" t="s">
        <v>127</v>
      </c>
      <c r="AI2261" s="336" t="s">
        <v>620</v>
      </c>
      <c r="AJ2261" s="376">
        <v>0.001</v>
      </c>
      <c r="AK2261" s="54" t="s">
        <v>128</v>
      </c>
      <c r="AL2261" s="156" t="s">
        <v>179</v>
      </c>
      <c r="AM2261" s="54" t="s">
        <v>130</v>
      </c>
      <c r="AN2261" s="327" t="s">
        <v>131</v>
      </c>
      <c r="AO2261" s="153">
        <v>183.0</v>
      </c>
      <c r="AP2261" s="2026" t="s">
        <v>13612</v>
      </c>
      <c r="AQ2261" s="156" t="s">
        <v>127</v>
      </c>
      <c r="AR2261" s="156" t="s">
        <v>13597</v>
      </c>
      <c r="AS2261" s="153">
        <v>0.001</v>
      </c>
      <c r="AT2261" s="156" t="s">
        <v>128</v>
      </c>
      <c r="AU2261" s="156" t="s">
        <v>179</v>
      </c>
      <c r="AV2261" s="156" t="s">
        <v>130</v>
      </c>
      <c r="AW2261" s="307" t="s">
        <v>13598</v>
      </c>
      <c r="AX2261" s="156" t="s">
        <v>136</v>
      </c>
      <c r="AZ2261" s="151" t="s">
        <v>242</v>
      </c>
    </row>
    <row r="2262">
      <c r="A2262" s="41">
        <v>2262.0</v>
      </c>
      <c r="B2262" s="319" t="s">
        <v>4516</v>
      </c>
      <c r="C2262" s="146" t="s">
        <v>108</v>
      </c>
      <c r="D2262" s="59" t="s">
        <v>241</v>
      </c>
      <c r="F2262" s="126" t="s">
        <v>13587</v>
      </c>
      <c r="G2262" s="156" t="s">
        <v>13615</v>
      </c>
      <c r="H2262" s="1284" t="s">
        <v>242</v>
      </c>
      <c r="I2262" s="149">
        <v>45331.0</v>
      </c>
      <c r="J2262" s="149">
        <v>45688.0</v>
      </c>
      <c r="K2262" s="65" t="s">
        <v>13607</v>
      </c>
      <c r="L2262" s="65" t="s">
        <v>13608</v>
      </c>
      <c r="M2262" s="156" t="s">
        <v>13590</v>
      </c>
      <c r="N2262" s="156" t="s">
        <v>13591</v>
      </c>
      <c r="O2262" s="126">
        <v>1.0</v>
      </c>
      <c r="P2262" s="156" t="str">
        <f t="shared" si="127"/>
        <v>10.1111--j.1475-4975.2007.00158.x.pdf</v>
      </c>
      <c r="Q2262" s="49" t="str">
        <f t="array" ref="Q2262"> if(iserror(MATCH(V2262, 'File Links'!C:C, 0)), "N/A", HYPERLINK(INDEX('File Links'!B:B, MATCH(P2262, 'File Links'!C:C, 0))))</f>
        <v>https://drive.google.com/file/d/1Mbtg5W4r7YUV6SqGN7Y6QssV1kBq9eYn/view?usp=drivesdk</v>
      </c>
      <c r="R2262" s="2020" t="s">
        <v>5015</v>
      </c>
      <c r="S2262" s="307" t="s">
        <v>5016</v>
      </c>
      <c r="T2262" s="307" t="s">
        <v>5017</v>
      </c>
      <c r="U2262" s="153">
        <v>15.0</v>
      </c>
      <c r="V2262" s="195" t="str">
        <f t="shared" si="125"/>
        <v>10.1007--s13164-018-0400-9.pdf</v>
      </c>
      <c r="W2262" s="1287" t="s">
        <v>5018</v>
      </c>
      <c r="X2262" s="51" t="str">
        <f t="array" ref="X2262"> if(iserror(MATCH(V2262, 'File Links'!C:C, 0)), "N/A", HYPERLINK(INDEX('File Links'!B:B, MATCH(V2262, 'File Links'!C:C, 0))))</f>
        <v>https://drive.google.com/file/d/1hjI3aqifdfXjWhQAlvKCKKtvjuncAn5M/view?usp=drivesdk</v>
      </c>
      <c r="Y2262" s="65"/>
      <c r="Z2262" s="156" t="s">
        <v>158</v>
      </c>
      <c r="AA2262" s="126" t="s">
        <v>131</v>
      </c>
      <c r="AB2262" s="156" t="s">
        <v>13616</v>
      </c>
      <c r="AC2262" s="65"/>
      <c r="AD2262" s="156" t="s">
        <v>13617</v>
      </c>
      <c r="AE2262" s="156" t="s">
        <v>13594</v>
      </c>
      <c r="AF2262" s="153">
        <v>307.0</v>
      </c>
      <c r="AG2262" s="156" t="s">
        <v>13618</v>
      </c>
      <c r="AH2262" s="156" t="s">
        <v>127</v>
      </c>
      <c r="AI2262" s="336" t="s">
        <v>620</v>
      </c>
      <c r="AJ2262" s="376">
        <v>0.001</v>
      </c>
      <c r="AK2262" s="54" t="s">
        <v>128</v>
      </c>
      <c r="AL2262" s="156" t="s">
        <v>179</v>
      </c>
      <c r="AM2262" s="54" t="s">
        <v>130</v>
      </c>
      <c r="AN2262" s="327" t="s">
        <v>131</v>
      </c>
      <c r="AO2262" s="153">
        <v>183.0</v>
      </c>
      <c r="AP2262" s="2026" t="s">
        <v>13619</v>
      </c>
      <c r="AQ2262" s="156" t="s">
        <v>127</v>
      </c>
      <c r="AR2262" s="156" t="s">
        <v>13597</v>
      </c>
      <c r="AS2262" s="153">
        <v>0.004</v>
      </c>
      <c r="AT2262" s="156" t="s">
        <v>165</v>
      </c>
      <c r="AU2262" s="156" t="s">
        <v>179</v>
      </c>
      <c r="AV2262" s="156" t="s">
        <v>130</v>
      </c>
      <c r="AW2262" s="1290" t="s">
        <v>13620</v>
      </c>
      <c r="AX2262" s="156" t="s">
        <v>136</v>
      </c>
      <c r="AZ2262" s="151" t="s">
        <v>242</v>
      </c>
    </row>
    <row r="2263">
      <c r="A2263" s="41">
        <v>2263.0</v>
      </c>
      <c r="B2263" s="65" t="s">
        <v>107</v>
      </c>
      <c r="C2263" s="146" t="s">
        <v>108</v>
      </c>
      <c r="D2263" s="59" t="s">
        <v>1263</v>
      </c>
      <c r="F2263" s="126" t="s">
        <v>13587</v>
      </c>
      <c r="G2263" s="148" t="s">
        <v>13615</v>
      </c>
      <c r="H2263" s="1284" t="s">
        <v>5011</v>
      </c>
      <c r="I2263" s="149">
        <v>45670.0</v>
      </c>
      <c r="J2263" s="149">
        <v>45688.0</v>
      </c>
      <c r="K2263" s="65"/>
      <c r="L2263" s="65" t="s">
        <v>13608</v>
      </c>
      <c r="M2263" s="156" t="s">
        <v>13590</v>
      </c>
      <c r="N2263" s="156" t="s">
        <v>13591</v>
      </c>
      <c r="O2263" s="126">
        <v>1.0</v>
      </c>
      <c r="P2263" s="156" t="str">
        <f t="shared" si="127"/>
        <v>10.1111--j.1475-4975.2007.00158.x.pdf</v>
      </c>
      <c r="Q2263" s="49" t="str">
        <f t="array" ref="Q2263"> if(iserror(MATCH(V2263, 'File Links'!C:C, 0)), "N/A", HYPERLINK(INDEX('File Links'!B:B, MATCH(P2263, 'File Links'!C:C, 0))))</f>
        <v>https://drive.google.com/file/d/1Mbtg5W4r7YUV6SqGN7Y6QssV1kBq9eYn/view?usp=drivesdk</v>
      </c>
      <c r="R2263" s="2020" t="s">
        <v>5015</v>
      </c>
      <c r="S2263" s="307" t="s">
        <v>5016</v>
      </c>
      <c r="T2263" s="307" t="s">
        <v>5017</v>
      </c>
      <c r="U2263" s="153">
        <v>15.0</v>
      </c>
      <c r="V2263" s="195" t="str">
        <f t="shared" si="125"/>
        <v>10.1007--s13164-018-0400-9.pdf</v>
      </c>
      <c r="W2263" s="1287" t="s">
        <v>5018</v>
      </c>
      <c r="X2263" s="51" t="str">
        <f t="array" ref="X2263"> if(iserror(MATCH(V2263, 'File Links'!C:C, 0)), "N/A", HYPERLINK(INDEX('File Links'!B:B, MATCH(V2263, 'File Links'!C:C, 0))))</f>
        <v>https://drive.google.com/file/d/1hjI3aqifdfXjWhQAlvKCKKtvjuncAn5M/view?usp=drivesdk</v>
      </c>
      <c r="Y2263" s="65"/>
      <c r="Z2263" s="156" t="s">
        <v>158</v>
      </c>
      <c r="AA2263" s="126" t="s">
        <v>131</v>
      </c>
      <c r="AB2263" s="156" t="s">
        <v>13592</v>
      </c>
      <c r="AC2263" s="65"/>
      <c r="AD2263" s="156" t="s">
        <v>13621</v>
      </c>
      <c r="AE2263" s="156" t="s">
        <v>13594</v>
      </c>
      <c r="AF2263" s="153">
        <v>307.0</v>
      </c>
      <c r="AG2263" s="156" t="s">
        <v>13618</v>
      </c>
      <c r="AH2263" s="156" t="s">
        <v>127</v>
      </c>
      <c r="AI2263" s="336" t="s">
        <v>620</v>
      </c>
      <c r="AJ2263" s="376">
        <v>0.001</v>
      </c>
      <c r="AK2263" s="54" t="s">
        <v>128</v>
      </c>
      <c r="AL2263" s="156" t="s">
        <v>179</v>
      </c>
      <c r="AM2263" s="54" t="s">
        <v>130</v>
      </c>
      <c r="AN2263" s="327" t="s">
        <v>131</v>
      </c>
      <c r="AO2263" s="153">
        <v>183.0</v>
      </c>
      <c r="AP2263" s="2026" t="s">
        <v>13619</v>
      </c>
      <c r="AQ2263" s="156" t="s">
        <v>127</v>
      </c>
      <c r="AR2263" s="156" t="s">
        <v>13597</v>
      </c>
      <c r="AS2263" s="153">
        <v>0.004</v>
      </c>
      <c r="AT2263" s="156" t="s">
        <v>165</v>
      </c>
      <c r="AU2263" s="156" t="s">
        <v>179</v>
      </c>
      <c r="AV2263" s="156" t="s">
        <v>130</v>
      </c>
      <c r="AW2263" s="307" t="s">
        <v>13598</v>
      </c>
      <c r="AX2263" s="156" t="s">
        <v>136</v>
      </c>
      <c r="AZ2263" s="151" t="s">
        <v>242</v>
      </c>
    </row>
    <row r="2264">
      <c r="A2264" s="41">
        <v>2264.0</v>
      </c>
      <c r="B2264" s="319" t="s">
        <v>4516</v>
      </c>
      <c r="C2264" s="146" t="s">
        <v>108</v>
      </c>
      <c r="D2264" s="59" t="s">
        <v>241</v>
      </c>
      <c r="F2264" s="126" t="s">
        <v>13587</v>
      </c>
      <c r="G2264" s="156" t="s">
        <v>13622</v>
      </c>
      <c r="H2264" s="1284" t="s">
        <v>242</v>
      </c>
      <c r="I2264" s="149">
        <v>45331.0</v>
      </c>
      <c r="J2264" s="149">
        <v>45688.0</v>
      </c>
      <c r="K2264" s="65" t="s">
        <v>13607</v>
      </c>
      <c r="L2264" s="65" t="s">
        <v>13608</v>
      </c>
      <c r="M2264" s="156" t="s">
        <v>13590</v>
      </c>
      <c r="N2264" s="156" t="s">
        <v>13591</v>
      </c>
      <c r="O2264" s="126">
        <v>1.0</v>
      </c>
      <c r="P2264" s="156" t="str">
        <f t="shared" si="127"/>
        <v>10.1111--j.1475-4975.2007.00158.x.pdf</v>
      </c>
      <c r="Q2264" s="49" t="str">
        <f t="array" ref="Q2264"> if(iserror(MATCH(V2264, 'File Links'!C:C, 0)), "N/A", HYPERLINK(INDEX('File Links'!B:B, MATCH(P2264, 'File Links'!C:C, 0))))</f>
        <v>https://drive.google.com/file/d/1Mbtg5W4r7YUV6SqGN7Y6QssV1kBq9eYn/view?usp=drivesdk</v>
      </c>
      <c r="R2264" s="2020" t="s">
        <v>5015</v>
      </c>
      <c r="S2264" s="307" t="s">
        <v>5016</v>
      </c>
      <c r="T2264" s="307" t="s">
        <v>5017</v>
      </c>
      <c r="U2264" s="153">
        <v>15.0</v>
      </c>
      <c r="V2264" s="195" t="str">
        <f t="shared" si="125"/>
        <v>10.1007--s13164-018-0400-9.pdf</v>
      </c>
      <c r="W2264" s="1287" t="s">
        <v>5018</v>
      </c>
      <c r="X2264" s="51" t="str">
        <f t="array" ref="X2264"> if(iserror(MATCH(V2264, 'File Links'!C:C, 0)), "N/A", HYPERLINK(INDEX('File Links'!B:B, MATCH(V2264, 'File Links'!C:C, 0))))</f>
        <v>https://drive.google.com/file/d/1hjI3aqifdfXjWhQAlvKCKKtvjuncAn5M/view?usp=drivesdk</v>
      </c>
      <c r="Y2264" s="65"/>
      <c r="Z2264" s="156" t="s">
        <v>158</v>
      </c>
      <c r="AA2264" s="126" t="s">
        <v>131</v>
      </c>
      <c r="AB2264" s="156" t="s">
        <v>13623</v>
      </c>
      <c r="AC2264" s="65"/>
      <c r="AD2264" s="156" t="s">
        <v>13624</v>
      </c>
      <c r="AE2264" s="156" t="s">
        <v>13594</v>
      </c>
      <c r="AF2264" s="153">
        <v>307.0</v>
      </c>
      <c r="AG2264" s="156" t="s">
        <v>13625</v>
      </c>
      <c r="AH2264" s="156" t="s">
        <v>127</v>
      </c>
      <c r="AI2264" s="336" t="s">
        <v>620</v>
      </c>
      <c r="AJ2264" s="376">
        <v>0.001</v>
      </c>
      <c r="AK2264" s="54" t="s">
        <v>128</v>
      </c>
      <c r="AL2264" s="156" t="s">
        <v>179</v>
      </c>
      <c r="AM2264" s="54" t="s">
        <v>130</v>
      </c>
      <c r="AN2264" s="327" t="s">
        <v>131</v>
      </c>
      <c r="AO2264" s="153">
        <v>183.0</v>
      </c>
      <c r="AP2264" s="2026" t="s">
        <v>13626</v>
      </c>
      <c r="AQ2264" s="156" t="s">
        <v>127</v>
      </c>
      <c r="AR2264" s="156" t="s">
        <v>13597</v>
      </c>
      <c r="AS2264" s="153">
        <v>0.001</v>
      </c>
      <c r="AT2264" s="156" t="s">
        <v>128</v>
      </c>
      <c r="AU2264" s="156" t="s">
        <v>179</v>
      </c>
      <c r="AV2264" s="156" t="s">
        <v>130</v>
      </c>
      <c r="AW2264" s="1290" t="s">
        <v>13627</v>
      </c>
      <c r="AX2264" s="156" t="s">
        <v>136</v>
      </c>
      <c r="AZ2264" s="151" t="s">
        <v>242</v>
      </c>
    </row>
    <row r="2265">
      <c r="A2265" s="41">
        <v>2265.0</v>
      </c>
      <c r="B2265" s="151" t="s">
        <v>107</v>
      </c>
      <c r="C2265" s="146" t="s">
        <v>108</v>
      </c>
      <c r="D2265" s="59" t="s">
        <v>1263</v>
      </c>
      <c r="F2265" s="126" t="s">
        <v>13587</v>
      </c>
      <c r="G2265" s="148" t="s">
        <v>13622</v>
      </c>
      <c r="H2265" s="1284" t="s">
        <v>5011</v>
      </c>
      <c r="I2265" s="149">
        <v>45670.0</v>
      </c>
      <c r="J2265" s="149">
        <v>45688.0</v>
      </c>
      <c r="K2265" s="65"/>
      <c r="L2265" s="65" t="s">
        <v>13608</v>
      </c>
      <c r="M2265" s="156" t="s">
        <v>13590</v>
      </c>
      <c r="N2265" s="156" t="s">
        <v>13591</v>
      </c>
      <c r="O2265" s="126">
        <v>1.0</v>
      </c>
      <c r="P2265" s="156" t="str">
        <f t="shared" si="127"/>
        <v>10.1111--j.1475-4975.2007.00158.x.pdf</v>
      </c>
      <c r="Q2265" s="49" t="str">
        <f t="array" ref="Q2265"> if(iserror(MATCH(V2265, 'File Links'!C:C, 0)), "N/A", HYPERLINK(INDEX('File Links'!B:B, MATCH(P2265, 'File Links'!C:C, 0))))</f>
        <v>https://drive.google.com/file/d/1Mbtg5W4r7YUV6SqGN7Y6QssV1kBq9eYn/view?usp=drivesdk</v>
      </c>
      <c r="R2265" s="2020" t="s">
        <v>5015</v>
      </c>
      <c r="S2265" s="307" t="s">
        <v>5016</v>
      </c>
      <c r="T2265" s="307" t="s">
        <v>5017</v>
      </c>
      <c r="U2265" s="153">
        <v>15.0</v>
      </c>
      <c r="V2265" s="195" t="str">
        <f t="shared" si="125"/>
        <v>10.1007--s13164-018-0400-9.pdf</v>
      </c>
      <c r="W2265" s="1287" t="s">
        <v>5018</v>
      </c>
      <c r="X2265" s="51" t="str">
        <f t="array" ref="X2265"> if(iserror(MATCH(V2265, 'File Links'!C:C, 0)), "N/A", HYPERLINK(INDEX('File Links'!B:B, MATCH(V2265, 'File Links'!C:C, 0))))</f>
        <v>https://drive.google.com/file/d/1hjI3aqifdfXjWhQAlvKCKKtvjuncAn5M/view?usp=drivesdk</v>
      </c>
      <c r="Y2265" s="65"/>
      <c r="Z2265" s="156" t="s">
        <v>158</v>
      </c>
      <c r="AA2265" s="126" t="s">
        <v>131</v>
      </c>
      <c r="AB2265" s="156" t="s">
        <v>13592</v>
      </c>
      <c r="AC2265" s="65"/>
      <c r="AD2265" s="156" t="s">
        <v>13628</v>
      </c>
      <c r="AE2265" s="156" t="s">
        <v>13594</v>
      </c>
      <c r="AF2265" s="153">
        <v>307.0</v>
      </c>
      <c r="AG2265" s="156" t="s">
        <v>13625</v>
      </c>
      <c r="AH2265" s="156" t="s">
        <v>127</v>
      </c>
      <c r="AI2265" s="336" t="s">
        <v>620</v>
      </c>
      <c r="AJ2265" s="376">
        <v>0.001</v>
      </c>
      <c r="AK2265" s="54" t="s">
        <v>128</v>
      </c>
      <c r="AL2265" s="156" t="s">
        <v>179</v>
      </c>
      <c r="AM2265" s="54" t="s">
        <v>130</v>
      </c>
      <c r="AN2265" s="327" t="s">
        <v>131</v>
      </c>
      <c r="AO2265" s="153">
        <v>183.0</v>
      </c>
      <c r="AP2265" s="2026" t="s">
        <v>13626</v>
      </c>
      <c r="AQ2265" s="156" t="s">
        <v>127</v>
      </c>
      <c r="AR2265" s="156" t="s">
        <v>13597</v>
      </c>
      <c r="AS2265" s="153">
        <v>0.001</v>
      </c>
      <c r="AT2265" s="156" t="s">
        <v>128</v>
      </c>
      <c r="AU2265" s="156" t="s">
        <v>179</v>
      </c>
      <c r="AV2265" s="156" t="s">
        <v>130</v>
      </c>
      <c r="AW2265" s="307" t="s">
        <v>13598</v>
      </c>
      <c r="AX2265" s="156" t="s">
        <v>136</v>
      </c>
      <c r="AZ2265" s="151" t="s">
        <v>242</v>
      </c>
    </row>
    <row r="2266">
      <c r="A2266" s="41">
        <v>2266.0</v>
      </c>
      <c r="B2266" s="319" t="s">
        <v>4516</v>
      </c>
      <c r="C2266" s="146" t="s">
        <v>108</v>
      </c>
      <c r="D2266" s="59" t="s">
        <v>1263</v>
      </c>
      <c r="F2266" s="126" t="s">
        <v>13587</v>
      </c>
      <c r="G2266" s="148" t="s">
        <v>13629</v>
      </c>
      <c r="H2266" s="1284" t="s">
        <v>5011</v>
      </c>
      <c r="I2266" s="149">
        <v>45670.0</v>
      </c>
      <c r="J2266" s="149">
        <v>45688.0</v>
      </c>
      <c r="K2266" s="65"/>
      <c r="L2266" s="65" t="s">
        <v>13608</v>
      </c>
      <c r="M2266" s="156" t="s">
        <v>13590</v>
      </c>
      <c r="N2266" s="156" t="s">
        <v>13591</v>
      </c>
      <c r="O2266" s="126">
        <v>1.0</v>
      </c>
      <c r="P2266" s="156" t="str">
        <f t="shared" si="127"/>
        <v>10.1111--j.1475-4975.2007.00158.x.pdf</v>
      </c>
      <c r="Q2266" s="49" t="str">
        <f t="array" ref="Q2266"> if(iserror(MATCH(V2266, 'File Links'!C:C, 0)), "N/A", HYPERLINK(INDEX('File Links'!B:B, MATCH(P2266, 'File Links'!C:C, 0))))</f>
        <v>https://drive.google.com/file/d/1Mbtg5W4r7YUV6SqGN7Y6QssV1kBq9eYn/view?usp=drivesdk</v>
      </c>
      <c r="R2266" s="2020" t="s">
        <v>5015</v>
      </c>
      <c r="S2266" s="307" t="s">
        <v>5016</v>
      </c>
      <c r="T2266" s="307" t="s">
        <v>5017</v>
      </c>
      <c r="U2266" s="153">
        <v>15.0</v>
      </c>
      <c r="V2266" s="195" t="str">
        <f t="shared" si="125"/>
        <v>10.1007--s13164-018-0400-9.pdf</v>
      </c>
      <c r="W2266" s="1287" t="s">
        <v>5018</v>
      </c>
      <c r="X2266" s="51" t="str">
        <f t="array" ref="X2266"> if(iserror(MATCH(V2266, 'File Links'!C:C, 0)), "N/A", HYPERLINK(INDEX('File Links'!B:B, MATCH(V2266, 'File Links'!C:C, 0))))</f>
        <v>https://drive.google.com/file/d/1hjI3aqifdfXjWhQAlvKCKKtvjuncAn5M/view?usp=drivesdk</v>
      </c>
      <c r="Y2266" s="65"/>
      <c r="Z2266" s="156" t="s">
        <v>158</v>
      </c>
      <c r="AA2266" s="126" t="s">
        <v>131</v>
      </c>
      <c r="AB2266" s="156" t="s">
        <v>13592</v>
      </c>
      <c r="AC2266" s="65"/>
      <c r="AD2266" s="156" t="s">
        <v>13630</v>
      </c>
      <c r="AE2266" s="156" t="s">
        <v>13594</v>
      </c>
      <c r="AF2266" s="153">
        <v>307.0</v>
      </c>
      <c r="AG2266" s="156" t="s">
        <v>13631</v>
      </c>
      <c r="AH2266" s="156" t="s">
        <v>127</v>
      </c>
      <c r="AI2266" s="336" t="s">
        <v>620</v>
      </c>
      <c r="AJ2266" s="376">
        <v>0.001</v>
      </c>
      <c r="AK2266" s="54" t="s">
        <v>128</v>
      </c>
      <c r="AL2266" s="156" t="s">
        <v>179</v>
      </c>
      <c r="AM2266" s="54" t="s">
        <v>130</v>
      </c>
      <c r="AN2266" s="327" t="s">
        <v>131</v>
      </c>
      <c r="AO2266" s="153">
        <v>183.0</v>
      </c>
      <c r="AP2266" s="2026" t="s">
        <v>13632</v>
      </c>
      <c r="AQ2266" s="156" t="s">
        <v>127</v>
      </c>
      <c r="AR2266" s="156" t="s">
        <v>13597</v>
      </c>
      <c r="AS2266" s="153">
        <v>0.001</v>
      </c>
      <c r="AT2266" s="156" t="s">
        <v>128</v>
      </c>
      <c r="AU2266" s="156" t="s">
        <v>179</v>
      </c>
      <c r="AV2266" s="156" t="s">
        <v>130</v>
      </c>
      <c r="AW2266" s="307" t="s">
        <v>13598</v>
      </c>
      <c r="AX2266" s="156" t="s">
        <v>136</v>
      </c>
      <c r="AZ2266" s="151" t="s">
        <v>242</v>
      </c>
    </row>
    <row r="2267">
      <c r="A2267" s="41">
        <v>2267.0</v>
      </c>
      <c r="B2267" s="42" t="s">
        <v>145</v>
      </c>
      <c r="C2267" s="59" t="s">
        <v>108</v>
      </c>
      <c r="D2267" s="59" t="s">
        <v>1263</v>
      </c>
      <c r="F2267" s="1283" t="s">
        <v>13633</v>
      </c>
      <c r="G2267" s="156" t="s">
        <v>13634</v>
      </c>
      <c r="H2267" s="1284" t="s">
        <v>5011</v>
      </c>
      <c r="I2267" s="149">
        <v>45670.0</v>
      </c>
      <c r="J2267" s="150">
        <v>45716.0</v>
      </c>
      <c r="K2267" s="156" t="s">
        <v>13635</v>
      </c>
      <c r="L2267" s="126" t="s">
        <v>13636</v>
      </c>
      <c r="M2267" s="156" t="s">
        <v>13637</v>
      </c>
      <c r="N2267" s="156" t="s">
        <v>13638</v>
      </c>
      <c r="O2267" s="153">
        <v>1.0</v>
      </c>
      <c r="P2267" s="156" t="str">
        <f t="shared" si="127"/>
        <v>10.1111--j.1475-4975.2007.00150.x.pdf</v>
      </c>
      <c r="Q2267" s="49" t="str">
        <f t="array" ref="Q2267"> if(iserror(MATCH(V2267, 'File Links'!C:C, 0)), "N/A", HYPERLINK(INDEX('File Links'!B:B, MATCH(P2267, 'File Links'!C:C, 0))))</f>
        <v>https://drive.google.com/file/d/16qY0dLq9qys2p0JL-JepbP82uCNsmR0S/view?usp=drivesdk</v>
      </c>
      <c r="R2267" s="2020" t="s">
        <v>5015</v>
      </c>
      <c r="S2267" s="307" t="s">
        <v>5016</v>
      </c>
      <c r="T2267" s="2028" t="s">
        <v>13639</v>
      </c>
      <c r="U2267" s="153">
        <v>16.0</v>
      </c>
      <c r="V2267" s="156" t="str">
        <f t="shared" si="125"/>
        <v>10.1007--s13164-018-0400-9.pdf</v>
      </c>
      <c r="W2267" s="1287" t="s">
        <v>5018</v>
      </c>
      <c r="X2267" s="51" t="str">
        <f t="array" ref="X2267"> if(iserror(MATCH(V2267, 'File Links'!C:C, 0)), "N/A", HYPERLINK(INDEX('File Links'!B:B, MATCH(V2267, 'File Links'!C:C, 0))))</f>
        <v>https://drive.google.com/file/d/1hjI3aqifdfXjWhQAlvKCKKtvjuncAn5M/view?usp=drivesdk</v>
      </c>
      <c r="Y2267" s="65"/>
      <c r="Z2267" s="156" t="s">
        <v>158</v>
      </c>
      <c r="AA2267" s="126" t="s">
        <v>131</v>
      </c>
      <c r="AB2267" s="156" t="s">
        <v>13640</v>
      </c>
      <c r="AC2267" s="1362" t="s">
        <v>13641</v>
      </c>
      <c r="AD2267" s="156" t="s">
        <v>13642</v>
      </c>
      <c r="AE2267" s="156" t="s">
        <v>13643</v>
      </c>
      <c r="AF2267" s="153">
        <v>95.0</v>
      </c>
      <c r="AG2267" s="156" t="s">
        <v>13644</v>
      </c>
      <c r="AH2267" s="156" t="s">
        <v>166</v>
      </c>
      <c r="AI2267" s="148" t="s">
        <v>625</v>
      </c>
      <c r="AJ2267" s="376">
        <v>0.05</v>
      </c>
      <c r="AK2267" s="54" t="s">
        <v>128</v>
      </c>
      <c r="AL2267" s="156" t="s">
        <v>129</v>
      </c>
      <c r="AM2267" s="54" t="s">
        <v>130</v>
      </c>
      <c r="AN2267" s="148" t="s">
        <v>131</v>
      </c>
      <c r="AO2267" s="1289">
        <v>272.0</v>
      </c>
      <c r="AP2267" s="2026" t="s">
        <v>13645</v>
      </c>
      <c r="AQ2267" s="156" t="s">
        <v>166</v>
      </c>
      <c r="AR2267" s="687" t="s">
        <v>13646</v>
      </c>
      <c r="AS2267" s="153">
        <v>0.001</v>
      </c>
      <c r="AT2267" s="156" t="s">
        <v>128</v>
      </c>
      <c r="AU2267" s="1113" t="s">
        <v>211</v>
      </c>
      <c r="AV2267" s="156" t="s">
        <v>130</v>
      </c>
      <c r="AW2267" s="307" t="s">
        <v>13647</v>
      </c>
      <c r="AX2267" s="156" t="s">
        <v>136</v>
      </c>
      <c r="AZ2267" s="65" t="s">
        <v>242</v>
      </c>
    </row>
    <row r="2268">
      <c r="A2268" s="41">
        <v>2268.0</v>
      </c>
      <c r="B2268" s="65" t="s">
        <v>107</v>
      </c>
      <c r="C2268" s="59" t="s">
        <v>108</v>
      </c>
      <c r="D2268" s="59" t="s">
        <v>241</v>
      </c>
      <c r="F2268" s="1283" t="s">
        <v>13633</v>
      </c>
      <c r="G2268" s="156" t="s">
        <v>13634</v>
      </c>
      <c r="H2268" s="1284" t="s">
        <v>242</v>
      </c>
      <c r="I2268" s="149">
        <v>45331.0</v>
      </c>
      <c r="J2268" s="150">
        <v>45716.0</v>
      </c>
      <c r="K2268" s="65"/>
      <c r="L2268" s="65"/>
      <c r="M2268" s="156" t="s">
        <v>13637</v>
      </c>
      <c r="N2268" s="156" t="s">
        <v>13638</v>
      </c>
      <c r="O2268" s="126">
        <v>1.0</v>
      </c>
      <c r="P2268" s="156" t="s">
        <v>13648</v>
      </c>
      <c r="Q2268" s="49" t="str">
        <f t="array" ref="Q2268"> if(iserror(MATCH(V2268, 'File Links'!C:C, 0)), "N/A", HYPERLINK(INDEX('File Links'!B:B, MATCH(P2268, 'File Links'!C:C, 0))))</f>
        <v>https://drive.google.com/file/d/16qY0dLq9qys2p0JL-JepbP82uCNsmR0S/view?usp=drivesdk</v>
      </c>
      <c r="R2268" s="2020" t="s">
        <v>5015</v>
      </c>
      <c r="S2268" s="156" t="s">
        <v>5016</v>
      </c>
      <c r="T2268" s="65"/>
      <c r="U2268" s="65"/>
      <c r="V2268" s="156" t="str">
        <f t="shared" si="125"/>
        <v>10.1007--s13164-018-0400-9.pdf</v>
      </c>
      <c r="W2268" s="1287" t="s">
        <v>5018</v>
      </c>
      <c r="X2268" s="51" t="str">
        <f t="array" ref="X2268"> if(iserror(MATCH(V2268, 'File Links'!C:C, 0)), "N/A", HYPERLINK(INDEX('File Links'!B:B, MATCH(V2268, 'File Links'!C:C, 0))))</f>
        <v>https://drive.google.com/file/d/1hjI3aqifdfXjWhQAlvKCKKtvjuncAn5M/view?usp=drivesdk</v>
      </c>
      <c r="Y2268" s="65"/>
      <c r="Z2268" s="156" t="s">
        <v>158</v>
      </c>
      <c r="AA2268" s="126" t="s">
        <v>131</v>
      </c>
      <c r="AB2268" s="156" t="s">
        <v>13640</v>
      </c>
      <c r="AC2268" s="65"/>
      <c r="AD2268" s="156" t="s">
        <v>13649</v>
      </c>
      <c r="AE2268" s="156" t="s">
        <v>13650</v>
      </c>
      <c r="AF2268" s="153">
        <v>95.0</v>
      </c>
      <c r="AG2268" s="153">
        <v>0.43</v>
      </c>
      <c r="AH2268" s="156" t="s">
        <v>166</v>
      </c>
      <c r="AI2268" s="336" t="s">
        <v>13651</v>
      </c>
      <c r="AJ2268" s="376">
        <v>0.05</v>
      </c>
      <c r="AK2268" s="54" t="s">
        <v>128</v>
      </c>
      <c r="AL2268" s="156" t="s">
        <v>129</v>
      </c>
      <c r="AM2268" s="1283" t="s">
        <v>130</v>
      </c>
      <c r="AN2268" s="148" t="s">
        <v>131</v>
      </c>
      <c r="AO2268" s="1289">
        <v>272.0</v>
      </c>
      <c r="AP2268" s="153">
        <v>0.57</v>
      </c>
      <c r="AQ2268" s="156" t="s">
        <v>166</v>
      </c>
      <c r="AR2268" s="156" t="s">
        <v>13652</v>
      </c>
      <c r="AS2268" s="153">
        <v>0.001</v>
      </c>
      <c r="AT2268" s="156" t="s">
        <v>128</v>
      </c>
      <c r="AU2268" s="1057" t="s">
        <v>129</v>
      </c>
      <c r="AV2268" s="151" t="s">
        <v>130</v>
      </c>
      <c r="AW2268" s="1290" t="s">
        <v>13653</v>
      </c>
      <c r="AX2268" s="151" t="s">
        <v>136</v>
      </c>
      <c r="AZ2268" s="65" t="s">
        <v>242</v>
      </c>
    </row>
    <row r="2269">
      <c r="A2269" s="41">
        <v>2269.0</v>
      </c>
      <c r="B2269" s="65" t="s">
        <v>107</v>
      </c>
      <c r="C2269" s="59" t="s">
        <v>108</v>
      </c>
      <c r="D2269" s="59" t="s">
        <v>1263</v>
      </c>
      <c r="F2269" s="1283" t="s">
        <v>13654</v>
      </c>
      <c r="G2269" s="156" t="s">
        <v>13655</v>
      </c>
      <c r="H2269" s="1284" t="s">
        <v>5011</v>
      </c>
      <c r="I2269" s="149">
        <v>45674.0</v>
      </c>
      <c r="J2269" s="150">
        <v>45716.0</v>
      </c>
      <c r="K2269" s="156" t="s">
        <v>13656</v>
      </c>
      <c r="L2269" s="65"/>
      <c r="M2269" s="156" t="s">
        <v>5925</v>
      </c>
      <c r="N2269" s="156" t="s">
        <v>5926</v>
      </c>
      <c r="O2269" s="126">
        <v>1.0</v>
      </c>
      <c r="P2269" s="156" t="str">
        <f>SUBSTITUTE(LOWER(N2269), "/", "--") &amp;  ".pdf"</f>
        <v>10.1016--j.cognition.2007.11.004.pdf</v>
      </c>
      <c r="Q2269" s="49" t="str">
        <f t="array" ref="Q2269"> if(iserror(MATCH(V2269, 'File Links'!C:C, 0)), "N/A", HYPERLINK(INDEX('File Links'!B:B, MATCH(P2269, 'File Links'!C:C, 0))))</f>
        <v>https://drive.google.com/file/d/15WVNsHu4qw18Mufo3UCjKv6cq2gXORb0/view?usp=drivesdk</v>
      </c>
      <c r="R2269" s="2020" t="s">
        <v>5015</v>
      </c>
      <c r="S2269" s="307" t="s">
        <v>5016</v>
      </c>
      <c r="T2269" s="307" t="s">
        <v>5017</v>
      </c>
      <c r="U2269" s="153">
        <v>17.0</v>
      </c>
      <c r="V2269" s="156" t="str">
        <f t="shared" si="125"/>
        <v>10.1007--s13164-018-0400-9.pdf</v>
      </c>
      <c r="W2269" s="1287" t="s">
        <v>5018</v>
      </c>
      <c r="X2269" s="51" t="str">
        <f t="array" ref="X2269"> if(iserror(MATCH(V2269, 'File Links'!C:C, 0)), "N/A", HYPERLINK(INDEX('File Links'!B:B, MATCH(V2269, 'File Links'!C:C, 0))))</f>
        <v>https://drive.google.com/file/d/1hjI3aqifdfXjWhQAlvKCKKtvjuncAn5M/view?usp=drivesdk</v>
      </c>
      <c r="Y2269" s="65"/>
      <c r="Z2269" s="156" t="s">
        <v>158</v>
      </c>
      <c r="AA2269" s="126" t="s">
        <v>131</v>
      </c>
      <c r="AB2269" s="156" t="s">
        <v>13657</v>
      </c>
      <c r="AC2269" s="65"/>
      <c r="AD2269" s="156" t="s">
        <v>13658</v>
      </c>
      <c r="AE2269" s="156" t="s">
        <v>13659</v>
      </c>
      <c r="AF2269" s="153">
        <v>82.0</v>
      </c>
      <c r="AG2269" s="156" t="s">
        <v>5935</v>
      </c>
      <c r="AH2269" s="156" t="s">
        <v>127</v>
      </c>
      <c r="AI2269" s="336" t="s">
        <v>133</v>
      </c>
      <c r="AJ2269" s="376">
        <v>0.005</v>
      </c>
      <c r="AK2269" s="54" t="s">
        <v>165</v>
      </c>
      <c r="AL2269" s="156" t="s">
        <v>179</v>
      </c>
      <c r="AM2269" s="54" t="s">
        <v>130</v>
      </c>
      <c r="AN2269" s="148" t="s">
        <v>131</v>
      </c>
      <c r="AO2269" s="1289">
        <v>85.0</v>
      </c>
      <c r="AP2269" s="156" t="s">
        <v>13660</v>
      </c>
      <c r="AQ2269" s="156" t="s">
        <v>127</v>
      </c>
      <c r="AR2269" s="156" t="s">
        <v>5017</v>
      </c>
      <c r="AS2269" s="153">
        <v>0.27</v>
      </c>
      <c r="AT2269" s="156" t="s">
        <v>165</v>
      </c>
      <c r="AU2269" s="156" t="s">
        <v>179</v>
      </c>
      <c r="AV2269" s="156" t="s">
        <v>130</v>
      </c>
      <c r="AW2269" s="65"/>
      <c r="AX2269" s="156" t="s">
        <v>136</v>
      </c>
      <c r="AZ2269" s="65" t="s">
        <v>242</v>
      </c>
    </row>
    <row r="2270">
      <c r="A2270" s="41">
        <v>2270.0</v>
      </c>
      <c r="B2270" s="42" t="s">
        <v>145</v>
      </c>
      <c r="C2270" s="59" t="s">
        <v>108</v>
      </c>
      <c r="D2270" s="59" t="s">
        <v>241</v>
      </c>
      <c r="F2270" s="1283" t="s">
        <v>13654</v>
      </c>
      <c r="G2270" s="156" t="s">
        <v>13655</v>
      </c>
      <c r="H2270" s="1284" t="s">
        <v>242</v>
      </c>
      <c r="I2270" s="149">
        <v>45331.0</v>
      </c>
      <c r="J2270" s="150">
        <v>45716.0</v>
      </c>
      <c r="K2270" s="156" t="s">
        <v>13661</v>
      </c>
      <c r="L2270" s="65"/>
      <c r="M2270" s="156" t="s">
        <v>5925</v>
      </c>
      <c r="N2270" s="156" t="s">
        <v>5926</v>
      </c>
      <c r="O2270" s="126">
        <v>1.0</v>
      </c>
      <c r="P2270" s="156" t="s">
        <v>13662</v>
      </c>
      <c r="Q2270" s="49" t="str">
        <f t="array" ref="Q2270"> if(iserror(MATCH(V2270, 'File Links'!C:C, 0)), "N/A", HYPERLINK(INDEX('File Links'!B:B, MATCH(P2270, 'File Links'!C:C, 0))))</f>
        <v>https://drive.google.com/file/d/15WVNsHu4qw18Mufo3UCjKv6cq2gXORb0/view?usp=drivesdk</v>
      </c>
      <c r="R2270" s="2020" t="s">
        <v>5015</v>
      </c>
      <c r="S2270" s="156" t="s">
        <v>5016</v>
      </c>
      <c r="T2270" s="307" t="s">
        <v>5017</v>
      </c>
      <c r="U2270" s="153">
        <v>17.0</v>
      </c>
      <c r="V2270" s="156" t="str">
        <f t="shared" si="125"/>
        <v>10.1007--s13164-018-0400-9.pdf</v>
      </c>
      <c r="W2270" s="1287" t="s">
        <v>5018</v>
      </c>
      <c r="X2270" s="51" t="str">
        <f t="array" ref="X2270"> if(iserror(MATCH(V2270, 'File Links'!C:C, 0)), "N/A", HYPERLINK(INDEX('File Links'!B:B, MATCH(V2270, 'File Links'!C:C, 0))))</f>
        <v>https://drive.google.com/file/d/1hjI3aqifdfXjWhQAlvKCKKtvjuncAn5M/view?usp=drivesdk</v>
      </c>
      <c r="Y2270" s="65"/>
      <c r="Z2270" s="156" t="s">
        <v>158</v>
      </c>
      <c r="AA2270" s="126" t="s">
        <v>131</v>
      </c>
      <c r="AB2270" s="156" t="s">
        <v>13657</v>
      </c>
      <c r="AC2270" s="1055" t="s">
        <v>13663</v>
      </c>
      <c r="AD2270" s="156" t="s">
        <v>13664</v>
      </c>
      <c r="AE2270" s="156" t="s">
        <v>13665</v>
      </c>
      <c r="AF2270" s="153">
        <v>82.0</v>
      </c>
      <c r="AG2270" s="156" t="s">
        <v>5935</v>
      </c>
      <c r="AH2270" s="156" t="s">
        <v>127</v>
      </c>
      <c r="AI2270" s="336" t="s">
        <v>13666</v>
      </c>
      <c r="AJ2270" s="376">
        <v>0.005</v>
      </c>
      <c r="AK2270" s="54" t="s">
        <v>165</v>
      </c>
      <c r="AL2270" s="156" t="s">
        <v>179</v>
      </c>
      <c r="AM2270" s="1283" t="s">
        <v>130</v>
      </c>
      <c r="AN2270" s="148" t="s">
        <v>131</v>
      </c>
      <c r="AO2270" s="1289">
        <v>85.0</v>
      </c>
      <c r="AP2270" s="156" t="s">
        <v>13660</v>
      </c>
      <c r="AQ2270" s="156" t="s">
        <v>127</v>
      </c>
      <c r="AR2270" s="156" t="s">
        <v>13667</v>
      </c>
      <c r="AS2270" s="153">
        <v>0.27</v>
      </c>
      <c r="AT2270" s="156" t="s">
        <v>165</v>
      </c>
      <c r="AU2270" s="156" t="s">
        <v>179</v>
      </c>
      <c r="AV2270" s="151" t="s">
        <v>130</v>
      </c>
      <c r="AW2270" s="1290" t="s">
        <v>13668</v>
      </c>
      <c r="AX2270" s="151" t="s">
        <v>136</v>
      </c>
      <c r="AZ2270" s="65" t="s">
        <v>242</v>
      </c>
    </row>
    <row r="2271">
      <c r="A2271" s="41">
        <v>2271.0</v>
      </c>
      <c r="B2271" s="42" t="s">
        <v>145</v>
      </c>
      <c r="C2271" s="59" t="s">
        <v>108</v>
      </c>
      <c r="D2271" s="59" t="s">
        <v>1263</v>
      </c>
      <c r="F2271" s="1283" t="s">
        <v>13669</v>
      </c>
      <c r="G2271" s="156" t="s">
        <v>13670</v>
      </c>
      <c r="H2271" s="1284" t="s">
        <v>5011</v>
      </c>
      <c r="I2271" s="149">
        <v>45674.0</v>
      </c>
      <c r="J2271" s="150">
        <v>45716.0</v>
      </c>
      <c r="K2271" s="156" t="s">
        <v>13671</v>
      </c>
      <c r="L2271" s="65"/>
      <c r="M2271" s="156" t="s">
        <v>13672</v>
      </c>
      <c r="N2271" s="156" t="s">
        <v>13673</v>
      </c>
      <c r="O2271" s="126">
        <v>1.0</v>
      </c>
      <c r="P2271" s="156" t="str">
        <f>SUBSTITUTE(LOWER(N2271), "/", "--") &amp;  ".pdf"</f>
        <v>10.1080--09515080801978777.pdf</v>
      </c>
      <c r="Q2271" s="49" t="str">
        <f t="array" ref="Q2271"> if(iserror(MATCH(V2271, 'File Links'!C:C, 0)), "N/A", HYPERLINK(INDEX('File Links'!B:B, MATCH(P2271, 'File Links'!C:C, 0))))</f>
        <v>https://drive.google.com/file/d/1G4gv0ySakjef__T9l4MU6vM4mSqIKpQf/view?usp=drivesdk</v>
      </c>
      <c r="R2271" s="2020" t="s">
        <v>5015</v>
      </c>
      <c r="S2271" s="307" t="s">
        <v>5016</v>
      </c>
      <c r="T2271" s="307" t="s">
        <v>5017</v>
      </c>
      <c r="U2271" s="153">
        <v>18.0</v>
      </c>
      <c r="V2271" s="156" t="str">
        <f t="shared" si="125"/>
        <v>10.1007--s13164-018-0400-9.pdf</v>
      </c>
      <c r="W2271" s="1287" t="s">
        <v>5018</v>
      </c>
      <c r="X2271" s="51" t="str">
        <f t="array" ref="X2271"> if(iserror(MATCH(V2271, 'File Links'!C:C, 0)), "N/A", HYPERLINK(INDEX('File Links'!B:B, MATCH(V2271, 'File Links'!C:C, 0))))</f>
        <v>https://drive.google.com/file/d/1hjI3aqifdfXjWhQAlvKCKKtvjuncAn5M/view?usp=drivesdk</v>
      </c>
      <c r="Y2271" s="65"/>
      <c r="Z2271" s="156" t="s">
        <v>158</v>
      </c>
      <c r="AA2271" s="126" t="s">
        <v>131</v>
      </c>
      <c r="AB2271" s="156" t="s">
        <v>13674</v>
      </c>
      <c r="AC2271" s="1055" t="s">
        <v>13675</v>
      </c>
      <c r="AD2271" s="156" t="s">
        <v>13676</v>
      </c>
      <c r="AE2271" s="156" t="s">
        <v>13677</v>
      </c>
      <c r="AF2271" s="153">
        <v>44.0</v>
      </c>
      <c r="AG2271" s="126" t="s">
        <v>131</v>
      </c>
      <c r="AH2271" s="164" t="s">
        <v>131</v>
      </c>
      <c r="AI2271" s="148" t="s">
        <v>131</v>
      </c>
      <c r="AJ2271" s="376">
        <v>0.05</v>
      </c>
      <c r="AK2271" s="54" t="s">
        <v>128</v>
      </c>
      <c r="AL2271" s="156" t="s">
        <v>179</v>
      </c>
      <c r="AM2271" s="54" t="s">
        <v>130</v>
      </c>
      <c r="AN2271" s="148" t="s">
        <v>131</v>
      </c>
      <c r="AO2271" s="1289">
        <v>252.0</v>
      </c>
      <c r="AP2271" s="2026" t="s">
        <v>13678</v>
      </c>
      <c r="AQ2271" s="156" t="s">
        <v>166</v>
      </c>
      <c r="AR2271" s="156" t="s">
        <v>5017</v>
      </c>
      <c r="AS2271" s="153">
        <v>0.001</v>
      </c>
      <c r="AT2271" s="156" t="s">
        <v>128</v>
      </c>
      <c r="AU2271" s="156" t="s">
        <v>179</v>
      </c>
      <c r="AV2271" s="156" t="s">
        <v>130</v>
      </c>
      <c r="AW2271" s="307" t="s">
        <v>13679</v>
      </c>
      <c r="AX2271" s="156" t="s">
        <v>136</v>
      </c>
      <c r="AZ2271" s="65" t="s">
        <v>242</v>
      </c>
    </row>
    <row r="2272">
      <c r="A2272" s="41">
        <v>2272.0</v>
      </c>
      <c r="B2272" s="151" t="s">
        <v>107</v>
      </c>
      <c r="C2272" s="59" t="s">
        <v>108</v>
      </c>
      <c r="D2272" s="59" t="s">
        <v>241</v>
      </c>
      <c r="F2272" s="1283" t="s">
        <v>13669</v>
      </c>
      <c r="G2272" s="156" t="s">
        <v>13670</v>
      </c>
      <c r="H2272" s="1284" t="s">
        <v>242</v>
      </c>
      <c r="I2272" s="149">
        <v>45331.0</v>
      </c>
      <c r="J2272" s="150">
        <v>45716.0</v>
      </c>
      <c r="K2272" s="156" t="s">
        <v>13671</v>
      </c>
      <c r="L2272" s="65"/>
      <c r="M2272" s="156" t="s">
        <v>13672</v>
      </c>
      <c r="N2272" s="156" t="s">
        <v>13673</v>
      </c>
      <c r="O2272" s="126">
        <v>1.0</v>
      </c>
      <c r="P2272" s="156" t="s">
        <v>13680</v>
      </c>
      <c r="Q2272" s="49" t="str">
        <f t="array" ref="Q2272"> if(iserror(MATCH(V2272, 'File Links'!C:C, 0)), "N/A", HYPERLINK(INDEX('File Links'!B:B, MATCH(P2272, 'File Links'!C:C, 0))))</f>
        <v>https://drive.google.com/file/d/1G4gv0ySakjef__T9l4MU6vM4mSqIKpQf/view?usp=drivesdk</v>
      </c>
      <c r="R2272" s="2020" t="s">
        <v>5015</v>
      </c>
      <c r="S2272" s="156" t="s">
        <v>5016</v>
      </c>
      <c r="T2272" s="65"/>
      <c r="U2272" s="65"/>
      <c r="V2272" s="156" t="str">
        <f t="shared" si="125"/>
        <v>10.1007--s13164-018-0400-9.pdf</v>
      </c>
      <c r="W2272" s="1287" t="s">
        <v>5018</v>
      </c>
      <c r="X2272" s="51" t="str">
        <f t="array" ref="X2272"> if(iserror(MATCH(V2272, 'File Links'!C:C, 0)), "N/A", HYPERLINK(INDEX('File Links'!B:B, MATCH(V2272, 'File Links'!C:C, 0))))</f>
        <v>https://drive.google.com/file/d/1hjI3aqifdfXjWhQAlvKCKKtvjuncAn5M/view?usp=drivesdk</v>
      </c>
      <c r="Y2272" s="65"/>
      <c r="Z2272" s="156" t="s">
        <v>158</v>
      </c>
      <c r="AA2272" s="126" t="s">
        <v>131</v>
      </c>
      <c r="AB2272" s="156" t="s">
        <v>13681</v>
      </c>
      <c r="AC2272" s="65"/>
      <c r="AD2272" s="156" t="s">
        <v>13682</v>
      </c>
      <c r="AE2272" s="156" t="s">
        <v>13683</v>
      </c>
      <c r="AF2272" s="153">
        <v>44.0</v>
      </c>
      <c r="AG2272" s="156" t="s">
        <v>131</v>
      </c>
      <c r="AH2272" s="164" t="s">
        <v>131</v>
      </c>
      <c r="AI2272" s="336" t="s">
        <v>131</v>
      </c>
      <c r="AJ2272" s="376">
        <v>0.05</v>
      </c>
      <c r="AK2272" s="54" t="s">
        <v>128</v>
      </c>
      <c r="AL2272" s="156" t="s">
        <v>179</v>
      </c>
      <c r="AM2272" s="1283" t="s">
        <v>130</v>
      </c>
      <c r="AN2272" s="148" t="s">
        <v>131</v>
      </c>
      <c r="AO2272" s="1289">
        <v>252.0</v>
      </c>
      <c r="AP2272" s="153">
        <v>0.67</v>
      </c>
      <c r="AQ2272" s="156" t="s">
        <v>166</v>
      </c>
      <c r="AR2272" s="65"/>
      <c r="AS2272" s="153">
        <v>0.001</v>
      </c>
      <c r="AT2272" s="156" t="s">
        <v>128</v>
      </c>
      <c r="AU2272" s="156" t="s">
        <v>179</v>
      </c>
      <c r="AV2272" s="151" t="s">
        <v>130</v>
      </c>
      <c r="AW2272" s="1290" t="s">
        <v>13684</v>
      </c>
      <c r="AX2272" s="151" t="s">
        <v>136</v>
      </c>
      <c r="AZ2272" s="65" t="s">
        <v>242</v>
      </c>
    </row>
    <row r="2273">
      <c r="A2273" s="41">
        <v>2273.0</v>
      </c>
      <c r="B2273" s="42" t="s">
        <v>583</v>
      </c>
      <c r="C2273" s="59" t="s">
        <v>108</v>
      </c>
      <c r="D2273" s="59" t="s">
        <v>241</v>
      </c>
      <c r="F2273" s="1283" t="s">
        <v>13685</v>
      </c>
      <c r="G2273" s="156" t="s">
        <v>13686</v>
      </c>
      <c r="H2273" s="1284" t="s">
        <v>242</v>
      </c>
      <c r="I2273" s="149">
        <v>45331.0</v>
      </c>
      <c r="J2273" s="150">
        <v>45716.0</v>
      </c>
      <c r="K2273" s="151" t="s">
        <v>13567</v>
      </c>
      <c r="L2273" s="156" t="s">
        <v>13528</v>
      </c>
      <c r="M2273" s="156" t="s">
        <v>13687</v>
      </c>
      <c r="N2273" s="156" t="s">
        <v>13688</v>
      </c>
      <c r="O2273" s="126">
        <v>1.0</v>
      </c>
      <c r="P2273" s="156" t="s">
        <v>13689</v>
      </c>
      <c r="Q2273" s="49" t="str">
        <f t="array" ref="Q2273"> if(iserror(MATCH(V2273, 'File Links'!C:C, 0)), "N/A", HYPERLINK(INDEX('File Links'!B:B, MATCH(P2273, 'File Links'!C:C, 0))))</f>
        <v>https://drive.google.com/file/d/1esh5oqCpj4F374ZeOWGrHgAoZG4Cbaxf/view?usp=drivesdk</v>
      </c>
      <c r="R2273" s="2020" t="s">
        <v>5015</v>
      </c>
      <c r="S2273" s="156" t="s">
        <v>5016</v>
      </c>
      <c r="T2273" s="65"/>
      <c r="U2273" s="65"/>
      <c r="V2273" s="156" t="str">
        <f t="shared" si="125"/>
        <v>10.1007--s13164-018-0400-9.pdf</v>
      </c>
      <c r="W2273" s="1287" t="s">
        <v>5018</v>
      </c>
      <c r="X2273" s="51" t="str">
        <f t="array" ref="X2273"> if(iserror(MATCH(V2273, 'File Links'!C:C, 0)), "N/A", HYPERLINK(INDEX('File Links'!B:B, MATCH(V2273, 'File Links'!C:C, 0))))</f>
        <v>https://drive.google.com/file/d/1hjI3aqifdfXjWhQAlvKCKKtvjuncAn5M/view?usp=drivesdk</v>
      </c>
      <c r="Y2273" s="65"/>
      <c r="Z2273" s="156" t="s">
        <v>158</v>
      </c>
      <c r="AA2273" s="126" t="s">
        <v>131</v>
      </c>
      <c r="AB2273" s="156" t="s">
        <v>5028</v>
      </c>
      <c r="AC2273" s="65"/>
      <c r="AD2273" s="156" t="s">
        <v>13690</v>
      </c>
      <c r="AE2273" s="156" t="s">
        <v>13691</v>
      </c>
      <c r="AF2273" s="153">
        <v>85.0</v>
      </c>
      <c r="AG2273" s="153">
        <v>0.3</v>
      </c>
      <c r="AH2273" s="156" t="s">
        <v>264</v>
      </c>
      <c r="AI2273" s="336" t="s">
        <v>13692</v>
      </c>
      <c r="AJ2273" s="376">
        <v>0.005</v>
      </c>
      <c r="AK2273" s="54" t="s">
        <v>165</v>
      </c>
      <c r="AL2273" s="156" t="s">
        <v>179</v>
      </c>
      <c r="AM2273" s="1283" t="s">
        <v>130</v>
      </c>
      <c r="AN2273" s="148" t="s">
        <v>131</v>
      </c>
      <c r="AO2273" s="1289">
        <v>150.0</v>
      </c>
      <c r="AP2273" s="153">
        <v>0.002</v>
      </c>
      <c r="AQ2273" s="156" t="s">
        <v>264</v>
      </c>
      <c r="AR2273" s="156" t="s">
        <v>13693</v>
      </c>
      <c r="AS2273" s="153">
        <v>0.05</v>
      </c>
      <c r="AT2273" s="156" t="s">
        <v>165</v>
      </c>
      <c r="AU2273" s="156" t="s">
        <v>179</v>
      </c>
      <c r="AV2273" s="151" t="s">
        <v>130</v>
      </c>
      <c r="AW2273" s="1290" t="s">
        <v>13694</v>
      </c>
      <c r="AX2273" s="151" t="s">
        <v>136</v>
      </c>
      <c r="AZ2273" s="65" t="s">
        <v>242</v>
      </c>
      <c r="BA2273" s="1775"/>
      <c r="BB2273" s="1775"/>
      <c r="BC2273" s="1775"/>
      <c r="BD2273" s="1775"/>
      <c r="BE2273" s="1775"/>
      <c r="BF2273" s="1775"/>
      <c r="BG2273" s="1775"/>
      <c r="BH2273" s="1775"/>
      <c r="BI2273" s="1775"/>
      <c r="BJ2273" s="1775"/>
      <c r="BK2273" s="1775"/>
      <c r="BL2273" s="1775"/>
      <c r="BM2273" s="1775"/>
      <c r="BN2273" s="1775"/>
      <c r="BO2273" s="1775"/>
      <c r="BP2273" s="1775"/>
      <c r="BQ2273" s="1775"/>
      <c r="BR2273" s="1775"/>
      <c r="BS2273" s="1775"/>
      <c r="BT2273" s="1775"/>
      <c r="BU2273" s="1775"/>
      <c r="BV2273" s="1775"/>
      <c r="BW2273" s="1775"/>
      <c r="BX2273" s="1775"/>
      <c r="BY2273" s="1775"/>
      <c r="BZ2273" s="1775"/>
      <c r="CA2273" s="1775"/>
      <c r="CB2273" s="1775"/>
      <c r="CC2273" s="1775"/>
      <c r="CD2273" s="1775"/>
      <c r="CE2273" s="1775"/>
      <c r="CF2273" s="1775"/>
      <c r="CG2273" s="1775"/>
      <c r="CH2273" s="1775"/>
      <c r="CI2273" s="1775"/>
      <c r="CJ2273" s="1775"/>
      <c r="CK2273" s="1775"/>
      <c r="CL2273" s="1775"/>
      <c r="CM2273" s="1775"/>
      <c r="CN2273" s="1775"/>
      <c r="CO2273" s="1775"/>
      <c r="CP2273" s="1775"/>
      <c r="CQ2273" s="1775"/>
      <c r="CR2273" s="1775"/>
      <c r="CS2273" s="1775"/>
      <c r="CT2273" s="1775"/>
      <c r="CU2273" s="1775"/>
      <c r="CV2273" s="1775"/>
      <c r="CW2273" s="1775"/>
      <c r="CX2273" s="1775"/>
      <c r="CY2273" s="1775"/>
      <c r="CZ2273" s="1775"/>
      <c r="DA2273" s="1775"/>
      <c r="DB2273" s="1775"/>
      <c r="DC2273" s="1775"/>
      <c r="DD2273" s="1775"/>
      <c r="DE2273" s="1775"/>
      <c r="DF2273" s="1775"/>
      <c r="DG2273" s="1775"/>
      <c r="DH2273" s="1775"/>
    </row>
    <row r="2274">
      <c r="A2274" s="41">
        <v>2274.0</v>
      </c>
      <c r="B2274" s="42" t="s">
        <v>583</v>
      </c>
      <c r="C2274" s="59" t="s">
        <v>108</v>
      </c>
      <c r="D2274" s="59" t="s">
        <v>241</v>
      </c>
      <c r="F2274" s="1283" t="s">
        <v>13695</v>
      </c>
      <c r="G2274" s="156" t="s">
        <v>13696</v>
      </c>
      <c r="H2274" s="1284" t="s">
        <v>242</v>
      </c>
      <c r="I2274" s="149">
        <v>45331.0</v>
      </c>
      <c r="J2274" s="150">
        <v>45716.0</v>
      </c>
      <c r="K2274" s="151" t="s">
        <v>13567</v>
      </c>
      <c r="L2274" s="156" t="s">
        <v>13528</v>
      </c>
      <c r="M2274" s="156" t="s">
        <v>13697</v>
      </c>
      <c r="N2274" s="156" t="s">
        <v>13698</v>
      </c>
      <c r="O2274" s="153">
        <v>1.0</v>
      </c>
      <c r="P2274" s="156" t="s">
        <v>13699</v>
      </c>
      <c r="Q2274" s="49" t="str">
        <f t="array" ref="Q2274"> if(iserror(MATCH(V2274, 'File Links'!C:C, 0)), "N/A", HYPERLINK(INDEX('File Links'!B:B, MATCH(P2274, 'File Links'!C:C, 0))))</f>
        <v>https://drive.google.com/file/d/1NZ8v6491Ny_LbUh8osKtj88hF7RAiobW/view?usp=drivesdk</v>
      </c>
      <c r="R2274" s="2020" t="s">
        <v>5015</v>
      </c>
      <c r="S2274" s="156" t="s">
        <v>5016</v>
      </c>
      <c r="T2274" s="65"/>
      <c r="U2274" s="65"/>
      <c r="V2274" s="156" t="str">
        <f t="shared" si="125"/>
        <v>10.1007--s13164-018-0400-9.pdf</v>
      </c>
      <c r="W2274" s="1287" t="s">
        <v>5018</v>
      </c>
      <c r="X2274" s="51" t="str">
        <f t="array" ref="X2274"> if(iserror(MATCH(V2274, 'File Links'!C:C, 0)), "N/A", HYPERLINK(INDEX('File Links'!B:B, MATCH(V2274, 'File Links'!C:C, 0))))</f>
        <v>https://drive.google.com/file/d/1hjI3aqifdfXjWhQAlvKCKKtvjuncAn5M/view?usp=drivesdk</v>
      </c>
      <c r="Y2274" s="65"/>
      <c r="Z2274" s="156" t="s">
        <v>158</v>
      </c>
      <c r="AA2274" s="126" t="s">
        <v>131</v>
      </c>
      <c r="AB2274" s="156" t="s">
        <v>5028</v>
      </c>
      <c r="AC2274" s="156" t="s">
        <v>13700</v>
      </c>
      <c r="AD2274" s="151" t="s">
        <v>13701</v>
      </c>
      <c r="AE2274" s="156" t="s">
        <v>13702</v>
      </c>
      <c r="AF2274" s="153">
        <v>37.0</v>
      </c>
      <c r="AG2274" s="153">
        <v>0.46</v>
      </c>
      <c r="AH2274" s="156" t="s">
        <v>264</v>
      </c>
      <c r="AI2274" s="336" t="s">
        <v>13703</v>
      </c>
      <c r="AJ2274" s="376">
        <v>0.01</v>
      </c>
      <c r="AK2274" s="54" t="s">
        <v>128</v>
      </c>
      <c r="AL2274" s="156" t="s">
        <v>179</v>
      </c>
      <c r="AM2274" s="1283" t="s">
        <v>130</v>
      </c>
      <c r="AN2274" s="148" t="s">
        <v>131</v>
      </c>
      <c r="AO2274" s="1289">
        <v>145.0</v>
      </c>
      <c r="AP2274" s="153">
        <v>0.6</v>
      </c>
      <c r="AQ2274" s="156" t="s">
        <v>264</v>
      </c>
      <c r="AR2274" s="148" t="s">
        <v>13704</v>
      </c>
      <c r="AS2274" s="153">
        <v>0.001</v>
      </c>
      <c r="AT2274" s="156" t="s">
        <v>128</v>
      </c>
      <c r="AU2274" s="156" t="s">
        <v>179</v>
      </c>
      <c r="AV2274" s="151" t="s">
        <v>130</v>
      </c>
      <c r="AW2274" s="677" t="s">
        <v>13705</v>
      </c>
      <c r="AX2274" s="151" t="s">
        <v>136</v>
      </c>
      <c r="AZ2274" s="65" t="s">
        <v>242</v>
      </c>
    </row>
    <row r="2275">
      <c r="A2275" s="41">
        <v>2275.0</v>
      </c>
      <c r="B2275" s="65" t="s">
        <v>107</v>
      </c>
      <c r="C2275" s="59" t="s">
        <v>108</v>
      </c>
      <c r="D2275" s="59" t="s">
        <v>1263</v>
      </c>
      <c r="F2275" s="2019" t="s">
        <v>13706</v>
      </c>
      <c r="G2275" s="156" t="s">
        <v>13707</v>
      </c>
      <c r="H2275" s="1284" t="s">
        <v>5011</v>
      </c>
      <c r="I2275" s="149">
        <v>45674.0</v>
      </c>
      <c r="J2275" s="150">
        <v>45716.0</v>
      </c>
      <c r="K2275" s="156" t="s">
        <v>13708</v>
      </c>
      <c r="L2275" s="65" t="s">
        <v>13709</v>
      </c>
      <c r="M2275" s="677" t="s">
        <v>13710</v>
      </c>
      <c r="N2275" s="156" t="s">
        <v>13711</v>
      </c>
      <c r="O2275" s="126">
        <v>1.0</v>
      </c>
      <c r="P2275" s="156" t="str">
        <f>SUBSTITUTE(LOWER(N2275), "/", "--") &amp;  ".pdf"</f>
        <v>10.5840--jphil20091061128.pdf</v>
      </c>
      <c r="Q2275" s="49" t="str">
        <f t="array" ref="Q2275"> if(iserror(MATCH(V2275, 'File Links'!C:C, 0)), "N/A", HYPERLINK(INDEX('File Links'!B:B, MATCH(P2275, 'File Links'!C:C, 0))))</f>
        <v>https://drive.google.com/file/d/1iPMC-k9xrxfHtNZFhdKSSGpPAPPmY3J4/view?usp=drivesdk</v>
      </c>
      <c r="R2275" s="2020" t="s">
        <v>5015</v>
      </c>
      <c r="S2275" s="307" t="s">
        <v>5016</v>
      </c>
      <c r="T2275" s="307" t="s">
        <v>5017</v>
      </c>
      <c r="U2275" s="153">
        <v>20.0</v>
      </c>
      <c r="V2275" s="156" t="str">
        <f t="shared" si="125"/>
        <v>10.1007--s13164-018-0400-9.pdf</v>
      </c>
      <c r="W2275" s="1287" t="s">
        <v>5018</v>
      </c>
      <c r="X2275" s="51" t="str">
        <f t="array" ref="X2275"> if(iserror(MATCH(V2275, 'File Links'!C:C, 0)), "N/A", HYPERLINK(INDEX('File Links'!B:B, MATCH(V2275, 'File Links'!C:C, 0))))</f>
        <v>https://drive.google.com/file/d/1hjI3aqifdfXjWhQAlvKCKKtvjuncAn5M/view?usp=drivesdk</v>
      </c>
      <c r="Y2275" s="65"/>
      <c r="Z2275" s="156" t="s">
        <v>158</v>
      </c>
      <c r="AA2275" s="126" t="s">
        <v>131</v>
      </c>
      <c r="AB2275" s="156" t="s">
        <v>13712</v>
      </c>
      <c r="AC2275" s="65"/>
      <c r="AD2275" s="156" t="s">
        <v>13713</v>
      </c>
      <c r="AE2275" s="153">
        <v>18.0</v>
      </c>
      <c r="AF2275" s="65"/>
      <c r="AG2275" s="65"/>
      <c r="AH2275" s="65"/>
      <c r="AI2275" s="335"/>
      <c r="AJ2275" s="376">
        <v>0.001</v>
      </c>
      <c r="AK2275" s="54" t="s">
        <v>128</v>
      </c>
      <c r="AL2275" s="156" t="s">
        <v>179</v>
      </c>
      <c r="AM2275" s="54" t="s">
        <v>130</v>
      </c>
      <c r="AN2275" s="148" t="s">
        <v>131</v>
      </c>
      <c r="AO2275" s="2029">
        <v>3413.0</v>
      </c>
      <c r="AP2275" s="1057" t="s">
        <v>13714</v>
      </c>
      <c r="AQ2275" s="1057" t="s">
        <v>127</v>
      </c>
      <c r="AR2275" s="1057" t="s">
        <v>2805</v>
      </c>
      <c r="AS2275" s="1056">
        <v>0.001</v>
      </c>
      <c r="AT2275" s="1057" t="s">
        <v>128</v>
      </c>
      <c r="AU2275" s="156" t="s">
        <v>179</v>
      </c>
      <c r="AV2275" s="156" t="s">
        <v>130</v>
      </c>
      <c r="AW2275" s="307" t="s">
        <v>13715</v>
      </c>
      <c r="AX2275" s="156" t="s">
        <v>136</v>
      </c>
      <c r="AZ2275" s="126" t="s">
        <v>13716</v>
      </c>
    </row>
    <row r="2276">
      <c r="A2276" s="41">
        <v>2276.0</v>
      </c>
      <c r="B2276" s="42" t="s">
        <v>145</v>
      </c>
      <c r="C2276" s="59" t="s">
        <v>108</v>
      </c>
      <c r="D2276" s="59" t="s">
        <v>241</v>
      </c>
      <c r="F2276" s="2019" t="s">
        <v>13706</v>
      </c>
      <c r="G2276" s="156" t="s">
        <v>13707</v>
      </c>
      <c r="H2276" s="1284" t="s">
        <v>242</v>
      </c>
      <c r="I2276" s="149">
        <v>45331.0</v>
      </c>
      <c r="J2276" s="150">
        <v>45716.0</v>
      </c>
      <c r="K2276" s="151" t="s">
        <v>13567</v>
      </c>
      <c r="L2276" s="65"/>
      <c r="M2276" s="677" t="s">
        <v>13710</v>
      </c>
      <c r="N2276" s="156" t="s">
        <v>13711</v>
      </c>
      <c r="O2276" s="126">
        <v>1.0</v>
      </c>
      <c r="P2276" s="156" t="s">
        <v>13717</v>
      </c>
      <c r="Q2276" s="49" t="str">
        <f t="array" ref="Q2276"> if(iserror(MATCH(V2276, 'File Links'!C:C, 0)), "N/A", HYPERLINK(INDEX('File Links'!B:B, MATCH(P2276, 'File Links'!C:C, 0))))</f>
        <v>https://drive.google.com/file/d/1iPMC-k9xrxfHtNZFhdKSSGpPAPPmY3J4/view?usp=drivesdk</v>
      </c>
      <c r="R2276" s="2020" t="s">
        <v>5015</v>
      </c>
      <c r="S2276" s="156" t="s">
        <v>5016</v>
      </c>
      <c r="T2276" s="307" t="s">
        <v>5017</v>
      </c>
      <c r="U2276" s="1744">
        <v>20.0</v>
      </c>
      <c r="V2276" s="156" t="str">
        <f t="shared" si="125"/>
        <v>10.1007--s13164-018-0400-9.pdf</v>
      </c>
      <c r="W2276" s="1287" t="s">
        <v>5018</v>
      </c>
      <c r="X2276" s="51" t="str">
        <f t="array" ref="X2276"> if(iserror(MATCH(V2276, 'File Links'!C:C, 0)), "N/A", HYPERLINK(INDEX('File Links'!B:B, MATCH(V2276, 'File Links'!C:C, 0))))</f>
        <v>https://drive.google.com/file/d/1hjI3aqifdfXjWhQAlvKCKKtvjuncAn5M/view?usp=drivesdk</v>
      </c>
      <c r="Y2276" s="65"/>
      <c r="Z2276" s="156" t="s">
        <v>158</v>
      </c>
      <c r="AA2276" s="126" t="s">
        <v>131</v>
      </c>
      <c r="AB2276" s="156" t="s">
        <v>5028</v>
      </c>
      <c r="AC2276" s="1055" t="s">
        <v>13718</v>
      </c>
      <c r="AD2276" s="156" t="s">
        <v>13719</v>
      </c>
      <c r="AE2276" s="156" t="s">
        <v>2805</v>
      </c>
      <c r="AF2276" s="153">
        <v>3413.0</v>
      </c>
      <c r="AG2276" s="2030" t="s">
        <v>13714</v>
      </c>
      <c r="AH2276" s="1128" t="s">
        <v>127</v>
      </c>
      <c r="AI2276" s="336" t="s">
        <v>13720</v>
      </c>
      <c r="AJ2276" s="376">
        <v>0.001</v>
      </c>
      <c r="AK2276" s="54" t="s">
        <v>128</v>
      </c>
      <c r="AL2276" s="156" t="s">
        <v>179</v>
      </c>
      <c r="AM2276" s="1283" t="s">
        <v>130</v>
      </c>
      <c r="AN2276" s="148" t="s">
        <v>131</v>
      </c>
      <c r="AO2276" s="1289">
        <v>200.0</v>
      </c>
      <c r="AP2276" s="153">
        <v>0.63</v>
      </c>
      <c r="AQ2276" s="156" t="s">
        <v>166</v>
      </c>
      <c r="AR2276" s="2031" t="s">
        <v>13721</v>
      </c>
      <c r="AS2276" s="153">
        <v>0.001</v>
      </c>
      <c r="AT2276" s="156" t="s">
        <v>128</v>
      </c>
      <c r="AU2276" s="156" t="s">
        <v>179</v>
      </c>
      <c r="AV2276" s="151" t="s">
        <v>130</v>
      </c>
      <c r="AW2276" s="2032" t="s">
        <v>13715</v>
      </c>
      <c r="AX2276" s="151" t="s">
        <v>136</v>
      </c>
      <c r="AZ2276" s="126" t="s">
        <v>13716</v>
      </c>
    </row>
    <row r="2277">
      <c r="A2277" s="41">
        <v>2277.0</v>
      </c>
      <c r="B2277" s="42" t="s">
        <v>145</v>
      </c>
      <c r="C2277" s="59" t="s">
        <v>108</v>
      </c>
      <c r="D2277" s="59" t="s">
        <v>241</v>
      </c>
      <c r="F2277" s="2019" t="s">
        <v>13706</v>
      </c>
      <c r="G2277" s="156" t="s">
        <v>13707</v>
      </c>
      <c r="H2277" s="1284" t="s">
        <v>242</v>
      </c>
      <c r="I2277" s="149">
        <v>45331.0</v>
      </c>
      <c r="J2277" s="150">
        <v>45716.0</v>
      </c>
      <c r="K2277" s="151" t="s">
        <v>13567</v>
      </c>
      <c r="L2277" s="126" t="s">
        <v>13722</v>
      </c>
      <c r="M2277" s="677" t="s">
        <v>13710</v>
      </c>
      <c r="N2277" s="156" t="s">
        <v>13711</v>
      </c>
      <c r="O2277" s="126">
        <v>1.0</v>
      </c>
      <c r="P2277" s="156" t="s">
        <v>13717</v>
      </c>
      <c r="Q2277" s="49" t="str">
        <f t="array" ref="Q2277"> if(iserror(MATCH(V2277, 'File Links'!C:C, 0)), "N/A", HYPERLINK(INDEX('File Links'!B:B, MATCH(P2277, 'File Links'!C:C, 0))))</f>
        <v>https://drive.google.com/file/d/1iPMC-k9xrxfHtNZFhdKSSGpPAPPmY3J4/view?usp=drivesdk</v>
      </c>
      <c r="R2277" s="2020" t="s">
        <v>5015</v>
      </c>
      <c r="S2277" s="156" t="s">
        <v>5016</v>
      </c>
      <c r="T2277" s="307" t="s">
        <v>5017</v>
      </c>
      <c r="U2277" s="1744">
        <v>20.0</v>
      </c>
      <c r="V2277" s="156" t="str">
        <f t="shared" si="125"/>
        <v>10.1007--s13164-018-0400-9.pdf</v>
      </c>
      <c r="W2277" s="1287" t="s">
        <v>5018</v>
      </c>
      <c r="X2277" s="51" t="str">
        <f t="array" ref="X2277"> if(iserror(MATCH(V2277, 'File Links'!C:C, 0)), "N/A", HYPERLINK(INDEX('File Links'!B:B, MATCH(V2277, 'File Links'!C:C, 0))))</f>
        <v>https://drive.google.com/file/d/1hjI3aqifdfXjWhQAlvKCKKtvjuncAn5M/view?usp=drivesdk</v>
      </c>
      <c r="Y2277" s="65"/>
      <c r="Z2277" s="156" t="s">
        <v>158</v>
      </c>
      <c r="AA2277" s="126" t="s">
        <v>131</v>
      </c>
      <c r="AB2277" s="156" t="s">
        <v>5028</v>
      </c>
      <c r="AC2277" s="1055" t="s">
        <v>13723</v>
      </c>
      <c r="AD2277" s="156" t="s">
        <v>13719</v>
      </c>
      <c r="AE2277" s="156" t="s">
        <v>2805</v>
      </c>
      <c r="AF2277" s="153">
        <v>3413.0</v>
      </c>
      <c r="AG2277" s="2030" t="s">
        <v>13714</v>
      </c>
      <c r="AH2277" s="1128" t="s">
        <v>127</v>
      </c>
      <c r="AI2277" s="336" t="s">
        <v>13720</v>
      </c>
      <c r="AJ2277" s="376">
        <v>0.001</v>
      </c>
      <c r="AK2277" s="54" t="s">
        <v>128</v>
      </c>
      <c r="AL2277" s="156" t="s">
        <v>179</v>
      </c>
      <c r="AM2277" s="1283" t="s">
        <v>130</v>
      </c>
      <c r="AN2277" s="148" t="s">
        <v>131</v>
      </c>
      <c r="AO2277" s="1289">
        <v>200.0</v>
      </c>
      <c r="AP2277" s="158">
        <v>1.16</v>
      </c>
      <c r="AQ2277" s="156" t="s">
        <v>166</v>
      </c>
      <c r="AR2277" s="2031" t="s">
        <v>13724</v>
      </c>
      <c r="AS2277" s="153">
        <v>0.001</v>
      </c>
      <c r="AT2277" s="156" t="s">
        <v>128</v>
      </c>
      <c r="AU2277" s="156" t="s">
        <v>179</v>
      </c>
      <c r="AV2277" s="151" t="s">
        <v>130</v>
      </c>
      <c r="AW2277" s="2032" t="s">
        <v>13715</v>
      </c>
      <c r="AX2277" s="151" t="s">
        <v>136</v>
      </c>
      <c r="AZ2277" s="126" t="s">
        <v>13716</v>
      </c>
    </row>
    <row r="2278">
      <c r="A2278" s="41">
        <v>2278.0</v>
      </c>
      <c r="B2278" s="151" t="s">
        <v>107</v>
      </c>
      <c r="C2278" s="146" t="s">
        <v>108</v>
      </c>
      <c r="D2278" s="59" t="s">
        <v>1263</v>
      </c>
      <c r="F2278" s="126" t="s">
        <v>13706</v>
      </c>
      <c r="G2278" s="148" t="s">
        <v>13725</v>
      </c>
      <c r="H2278" s="1284" t="s">
        <v>5011</v>
      </c>
      <c r="I2278" s="149">
        <v>45674.0</v>
      </c>
      <c r="J2278" s="65"/>
      <c r="K2278" s="156" t="s">
        <v>13708</v>
      </c>
      <c r="L2278" s="65" t="s">
        <v>13726</v>
      </c>
      <c r="M2278" s="156" t="s">
        <v>13710</v>
      </c>
      <c r="N2278" s="156" t="s">
        <v>13711</v>
      </c>
      <c r="O2278" s="126">
        <v>1.0</v>
      </c>
      <c r="P2278" s="156" t="str">
        <f t="shared" ref="P2278:P2279" si="128">SUBSTITUTE(LOWER(N2278), "/", "--") &amp;  ".pdf"</f>
        <v>10.5840--jphil20091061128.pdf</v>
      </c>
      <c r="Q2278" s="49" t="str">
        <f t="array" ref="Q2278"> if(iserror(MATCH(V2278, 'File Links'!C:C, 0)), "N/A", HYPERLINK(INDEX('File Links'!B:B, MATCH(P2278, 'File Links'!C:C, 0))))</f>
        <v>https://drive.google.com/file/d/1iPMC-k9xrxfHtNZFhdKSSGpPAPPmY3J4/view?usp=drivesdk</v>
      </c>
      <c r="R2278" s="2020" t="s">
        <v>5015</v>
      </c>
      <c r="S2278" s="307" t="s">
        <v>5016</v>
      </c>
      <c r="T2278" s="307" t="s">
        <v>5017</v>
      </c>
      <c r="U2278" s="153">
        <v>20.0</v>
      </c>
      <c r="V2278" s="195" t="str">
        <f t="shared" si="125"/>
        <v>10.1007--s13164-018-0400-9.pdf</v>
      </c>
      <c r="W2278" s="1287" t="s">
        <v>5018</v>
      </c>
      <c r="X2278" s="51" t="str">
        <f t="array" ref="X2278"> if(iserror(MATCH(V2278, 'File Links'!C:C, 0)), "N/A", HYPERLINK(INDEX('File Links'!B:B, MATCH(V2278, 'File Links'!C:C, 0))))</f>
        <v>https://drive.google.com/file/d/1hjI3aqifdfXjWhQAlvKCKKtvjuncAn5M/view?usp=drivesdk</v>
      </c>
      <c r="Y2278" s="65"/>
      <c r="Z2278" s="156" t="s">
        <v>158</v>
      </c>
      <c r="AA2278" s="126" t="s">
        <v>131</v>
      </c>
      <c r="AB2278" s="156" t="s">
        <v>13712</v>
      </c>
      <c r="AC2278" s="65"/>
      <c r="AD2278" s="156" t="s">
        <v>13727</v>
      </c>
      <c r="AE2278" s="153">
        <v>19.0</v>
      </c>
      <c r="AF2278" s="65"/>
      <c r="AG2278" s="65"/>
      <c r="AH2278" s="65"/>
      <c r="AI2278" s="335"/>
      <c r="AJ2278" s="376">
        <v>0.001</v>
      </c>
      <c r="AK2278" s="54" t="s">
        <v>128</v>
      </c>
      <c r="AL2278" s="156" t="s">
        <v>179</v>
      </c>
      <c r="AM2278" s="54" t="s">
        <v>130</v>
      </c>
      <c r="AN2278" s="65"/>
      <c r="AO2278" s="1056">
        <v>3413.0</v>
      </c>
      <c r="AP2278" s="1057" t="s">
        <v>13728</v>
      </c>
      <c r="AQ2278" s="1057" t="s">
        <v>127</v>
      </c>
      <c r="AR2278" s="1057" t="s">
        <v>3248</v>
      </c>
      <c r="AS2278" s="1056">
        <v>0.001</v>
      </c>
      <c r="AT2278" s="1057" t="s">
        <v>128</v>
      </c>
      <c r="AU2278" s="156" t="s">
        <v>179</v>
      </c>
      <c r="AV2278" s="156" t="s">
        <v>130</v>
      </c>
      <c r="AW2278" s="307" t="s">
        <v>13715</v>
      </c>
      <c r="AX2278" s="156" t="s">
        <v>136</v>
      </c>
      <c r="AZ2278" s="151" t="s">
        <v>242</v>
      </c>
    </row>
    <row r="2279">
      <c r="A2279" s="41">
        <v>2279.0</v>
      </c>
      <c r="B2279" s="65" t="s">
        <v>107</v>
      </c>
      <c r="C2279" s="59" t="s">
        <v>108</v>
      </c>
      <c r="D2279" s="59" t="s">
        <v>1263</v>
      </c>
      <c r="F2279" s="2019" t="s">
        <v>13729</v>
      </c>
      <c r="G2279" s="156" t="s">
        <v>13730</v>
      </c>
      <c r="H2279" s="1284" t="s">
        <v>5011</v>
      </c>
      <c r="I2279" s="149">
        <v>45674.0</v>
      </c>
      <c r="J2279" s="150">
        <v>45716.0</v>
      </c>
      <c r="K2279" s="65"/>
      <c r="L2279" s="65" t="s">
        <v>13731</v>
      </c>
      <c r="M2279" s="677" t="s">
        <v>13732</v>
      </c>
      <c r="N2279" s="156" t="s">
        <v>13733</v>
      </c>
      <c r="O2279" s="126">
        <v>1.0</v>
      </c>
      <c r="P2279" s="156" t="str">
        <f t="shared" si="128"/>
        <v>10.1080--09515080902802769.pdf</v>
      </c>
      <c r="Q2279" s="49" t="str">
        <f t="array" ref="Q2279"> if(iserror(MATCH(V2279, 'File Links'!C:C, 0)), "N/A", HYPERLINK(INDEX('File Links'!B:B, MATCH(P2279, 'File Links'!C:C, 0))))</f>
        <v>https://drive.google.com/file/d/1FBVDq-txued5VjX89SxjAxiqVp_WzRYr/view?usp=drivesdk</v>
      </c>
      <c r="R2279" s="2020" t="s">
        <v>5015</v>
      </c>
      <c r="S2279" s="307" t="s">
        <v>5016</v>
      </c>
      <c r="T2279" s="307" t="s">
        <v>5017</v>
      </c>
      <c r="U2279" s="153">
        <v>21.0</v>
      </c>
      <c r="V2279" s="156" t="str">
        <f t="shared" si="125"/>
        <v>10.1007--s13164-018-0400-9.pdf</v>
      </c>
      <c r="W2279" s="1287" t="s">
        <v>5018</v>
      </c>
      <c r="X2279" s="51" t="str">
        <f t="array" ref="X2279"> if(iserror(MATCH(V2279, 'File Links'!C:C, 0)), "N/A", HYPERLINK(INDEX('File Links'!B:B, MATCH(V2279, 'File Links'!C:C, 0))))</f>
        <v>https://drive.google.com/file/d/1hjI3aqifdfXjWhQAlvKCKKtvjuncAn5M/view?usp=drivesdk</v>
      </c>
      <c r="Y2279" s="65"/>
      <c r="Z2279" s="156" t="s">
        <v>158</v>
      </c>
      <c r="AA2279" s="126" t="s">
        <v>131</v>
      </c>
      <c r="AB2279" s="156" t="s">
        <v>13734</v>
      </c>
      <c r="AC2279" s="65"/>
      <c r="AD2279" s="156" t="s">
        <v>13735</v>
      </c>
      <c r="AE2279" s="153">
        <v>8.0</v>
      </c>
      <c r="AF2279" s="65"/>
      <c r="AG2279" s="65"/>
      <c r="AH2279" s="65"/>
      <c r="AI2279" s="335"/>
      <c r="AJ2279" s="376">
        <v>0.001</v>
      </c>
      <c r="AK2279" s="54" t="s">
        <v>128</v>
      </c>
      <c r="AL2279" s="156" t="s">
        <v>179</v>
      </c>
      <c r="AM2279" s="54" t="s">
        <v>130</v>
      </c>
      <c r="AN2279" s="148" t="s">
        <v>131</v>
      </c>
      <c r="AO2279" s="1289">
        <v>118.0</v>
      </c>
      <c r="AP2279" s="156" t="s">
        <v>13736</v>
      </c>
      <c r="AQ2279" s="156" t="s">
        <v>127</v>
      </c>
      <c r="AR2279" s="148" t="s">
        <v>13737</v>
      </c>
      <c r="AS2279" s="153">
        <v>0.917</v>
      </c>
      <c r="AT2279" s="156" t="s">
        <v>165</v>
      </c>
      <c r="AU2279" s="156" t="s">
        <v>211</v>
      </c>
      <c r="AV2279" s="156" t="s">
        <v>130</v>
      </c>
      <c r="AW2279" s="307" t="s">
        <v>13738</v>
      </c>
      <c r="AX2279" s="156" t="s">
        <v>136</v>
      </c>
      <c r="AY2279" s="86" t="s">
        <v>13739</v>
      </c>
      <c r="AZ2279" s="126" t="s">
        <v>13716</v>
      </c>
    </row>
    <row r="2280">
      <c r="A2280" s="41">
        <v>2280.0</v>
      </c>
      <c r="B2280" s="42" t="s">
        <v>145</v>
      </c>
      <c r="C2280" s="59" t="s">
        <v>108</v>
      </c>
      <c r="D2280" s="59" t="s">
        <v>241</v>
      </c>
      <c r="F2280" s="2019" t="s">
        <v>13729</v>
      </c>
      <c r="G2280" s="156" t="s">
        <v>13730</v>
      </c>
      <c r="H2280" s="1284" t="s">
        <v>242</v>
      </c>
      <c r="I2280" s="149">
        <v>45331.0</v>
      </c>
      <c r="J2280" s="150">
        <v>45716.0</v>
      </c>
      <c r="K2280" s="151" t="s">
        <v>13567</v>
      </c>
      <c r="L2280" s="148" t="s">
        <v>13740</v>
      </c>
      <c r="M2280" s="156" t="s">
        <v>13732</v>
      </c>
      <c r="N2280" s="156" t="s">
        <v>13733</v>
      </c>
      <c r="O2280" s="126">
        <v>1.0</v>
      </c>
      <c r="P2280" s="156" t="s">
        <v>13741</v>
      </c>
      <c r="Q2280" s="49" t="str">
        <f t="array" ref="Q2280"> if(iserror(MATCH(V2280, 'File Links'!C:C, 0)), "N/A", HYPERLINK(INDEX('File Links'!B:B, MATCH(P2280, 'File Links'!C:C, 0))))</f>
        <v>https://drive.google.com/file/d/1FBVDq-txued5VjX89SxjAxiqVp_WzRYr/view?usp=drivesdk</v>
      </c>
      <c r="R2280" s="2020" t="s">
        <v>5015</v>
      </c>
      <c r="S2280" s="156" t="s">
        <v>5016</v>
      </c>
      <c r="T2280" s="307" t="s">
        <v>5017</v>
      </c>
      <c r="U2280" s="1055">
        <v>21.0</v>
      </c>
      <c r="V2280" s="156" t="str">
        <f t="shared" si="125"/>
        <v>10.1007--s13164-018-0400-9.pdf</v>
      </c>
      <c r="W2280" s="1287" t="s">
        <v>5018</v>
      </c>
      <c r="X2280" s="51" t="str">
        <f t="array" ref="X2280"> if(iserror(MATCH(V2280, 'File Links'!C:C, 0)), "N/A", HYPERLINK(INDEX('File Links'!B:B, MATCH(V2280, 'File Links'!C:C, 0))))</f>
        <v>https://drive.google.com/file/d/1hjI3aqifdfXjWhQAlvKCKKtvjuncAn5M/view?usp=drivesdk</v>
      </c>
      <c r="Y2280" s="65"/>
      <c r="Z2280" s="156" t="s">
        <v>158</v>
      </c>
      <c r="AA2280" s="126" t="s">
        <v>131</v>
      </c>
      <c r="AB2280" s="156" t="s">
        <v>13734</v>
      </c>
      <c r="AC2280" s="126" t="s">
        <v>13742</v>
      </c>
      <c r="AD2280" s="148" t="s">
        <v>13735</v>
      </c>
      <c r="AE2280" s="156" t="s">
        <v>13743</v>
      </c>
      <c r="AF2280" s="153">
        <v>118.0</v>
      </c>
      <c r="AG2280" s="2033">
        <v>0.6878307</v>
      </c>
      <c r="AH2280" s="156" t="s">
        <v>166</v>
      </c>
      <c r="AI2280" s="336" t="s">
        <v>13744</v>
      </c>
      <c r="AJ2280" s="376">
        <v>0.001</v>
      </c>
      <c r="AK2280" s="54" t="s">
        <v>128</v>
      </c>
      <c r="AL2280" s="156" t="s">
        <v>179</v>
      </c>
      <c r="AM2280" s="1283" t="s">
        <v>130</v>
      </c>
      <c r="AN2280" s="148" t="s">
        <v>131</v>
      </c>
      <c r="AO2280" s="2034">
        <v>206.0</v>
      </c>
      <c r="AP2280" s="158" t="s">
        <v>13745</v>
      </c>
      <c r="AQ2280" s="148" t="s">
        <v>127</v>
      </c>
      <c r="AR2280" s="687" t="s">
        <v>13746</v>
      </c>
      <c r="AS2280" s="153">
        <v>0.917</v>
      </c>
      <c r="AT2280" s="156" t="s">
        <v>165</v>
      </c>
      <c r="AU2280" s="156" t="s">
        <v>179</v>
      </c>
      <c r="AV2280" s="151" t="s">
        <v>130</v>
      </c>
      <c r="AW2280" s="2032" t="s">
        <v>13738</v>
      </c>
      <c r="AX2280" s="151" t="s">
        <v>136</v>
      </c>
      <c r="AZ2280" s="126" t="s">
        <v>13716</v>
      </c>
    </row>
    <row r="2281">
      <c r="A2281" s="41">
        <v>2281.0</v>
      </c>
      <c r="B2281" s="151" t="s">
        <v>107</v>
      </c>
      <c r="C2281" s="59" t="s">
        <v>108</v>
      </c>
      <c r="D2281" s="59" t="s">
        <v>1263</v>
      </c>
      <c r="F2281" s="2019" t="s">
        <v>13747</v>
      </c>
      <c r="G2281" s="156" t="s">
        <v>13748</v>
      </c>
      <c r="H2281" s="1284" t="s">
        <v>5011</v>
      </c>
      <c r="I2281" s="149">
        <v>45674.0</v>
      </c>
      <c r="J2281" s="150">
        <v>45716.0</v>
      </c>
      <c r="K2281" s="156" t="s">
        <v>13749</v>
      </c>
      <c r="L2281" s="65"/>
      <c r="M2281" s="156" t="s">
        <v>13750</v>
      </c>
      <c r="N2281" s="156" t="s">
        <v>13751</v>
      </c>
      <c r="O2281" s="126">
        <v>1.0</v>
      </c>
      <c r="P2281" s="156" t="str">
        <f>SUBSTITUTE(LOWER(N2281), "/", "--") &amp;  ".pdf"</f>
        <v>10.1016--j.concog.2008.11.006.pdf</v>
      </c>
      <c r="Q2281" s="49" t="str">
        <f t="array" ref="Q2281"> if(iserror(MATCH(V2281, 'File Links'!C:C, 0)), "N/A", HYPERLINK(INDEX('File Links'!B:B, MATCH(P2281, 'File Links'!C:C, 0))))</f>
        <v>https://drive.google.com/file/d/1jf3ctwxwUpc5AYKxlkNN-odE2ElrZuqN/view?usp=drivesdk</v>
      </c>
      <c r="R2281" s="2020" t="s">
        <v>5015</v>
      </c>
      <c r="S2281" s="307" t="s">
        <v>5016</v>
      </c>
      <c r="T2281" s="307" t="s">
        <v>5017</v>
      </c>
      <c r="U2281" s="1056">
        <v>22.0</v>
      </c>
      <c r="V2281" s="156" t="str">
        <f t="shared" si="125"/>
        <v>10.1007--s13164-018-0400-9.pdf</v>
      </c>
      <c r="W2281" s="1287" t="s">
        <v>5018</v>
      </c>
      <c r="X2281" s="51" t="str">
        <f t="array" ref="X2281"> if(iserror(MATCH(V2281, 'File Links'!C:C, 0)), "N/A", HYPERLINK(INDEX('File Links'!B:B, MATCH(V2281, 'File Links'!C:C, 0))))</f>
        <v>https://drive.google.com/file/d/1hjI3aqifdfXjWhQAlvKCKKtvjuncAn5M/view?usp=drivesdk</v>
      </c>
      <c r="Y2281" s="65"/>
      <c r="Z2281" s="156" t="s">
        <v>158</v>
      </c>
      <c r="AA2281" s="126" t="s">
        <v>131</v>
      </c>
      <c r="AB2281" s="156" t="s">
        <v>13752</v>
      </c>
      <c r="AC2281" s="65"/>
      <c r="AD2281" s="156" t="s">
        <v>13753</v>
      </c>
      <c r="AE2281" s="156" t="s">
        <v>5023</v>
      </c>
      <c r="AF2281" s="65"/>
      <c r="AG2281" s="65"/>
      <c r="AH2281" s="65"/>
      <c r="AI2281" s="335"/>
      <c r="AJ2281" s="58"/>
      <c r="AK2281" s="58"/>
      <c r="AL2281" s="65"/>
      <c r="AM2281" s="58"/>
      <c r="AN2281" s="148" t="s">
        <v>131</v>
      </c>
      <c r="AO2281" s="1289">
        <v>231.0</v>
      </c>
      <c r="AP2281" s="126" t="s">
        <v>13754</v>
      </c>
      <c r="AQ2281" s="65"/>
      <c r="AR2281" s="65"/>
      <c r="AS2281" s="153">
        <v>0.002</v>
      </c>
      <c r="AT2281" s="156" t="s">
        <v>165</v>
      </c>
      <c r="AU2281" s="156" t="s">
        <v>179</v>
      </c>
      <c r="AV2281" s="156" t="s">
        <v>130</v>
      </c>
      <c r="AW2281" s="65"/>
      <c r="AX2281" s="156" t="s">
        <v>136</v>
      </c>
      <c r="AZ2281" s="126" t="s">
        <v>13716</v>
      </c>
    </row>
    <row r="2282">
      <c r="A2282" s="41">
        <v>2282.0</v>
      </c>
      <c r="B2282" s="42" t="s">
        <v>145</v>
      </c>
      <c r="C2282" s="59" t="s">
        <v>108</v>
      </c>
      <c r="D2282" s="59" t="s">
        <v>241</v>
      </c>
      <c r="F2282" s="2019" t="s">
        <v>13747</v>
      </c>
      <c r="G2282" s="156" t="s">
        <v>13748</v>
      </c>
      <c r="H2282" s="1284" t="s">
        <v>242</v>
      </c>
      <c r="I2282" s="149">
        <v>45331.0</v>
      </c>
      <c r="J2282" s="150">
        <v>45716.0</v>
      </c>
      <c r="K2282" s="151" t="s">
        <v>13755</v>
      </c>
      <c r="L2282" s="126" t="s">
        <v>13756</v>
      </c>
      <c r="M2282" s="156" t="s">
        <v>13750</v>
      </c>
      <c r="N2282" s="156" t="s">
        <v>13751</v>
      </c>
      <c r="O2282" s="126">
        <v>1.0</v>
      </c>
      <c r="P2282" s="156" t="s">
        <v>13757</v>
      </c>
      <c r="Q2282" s="49" t="str">
        <f t="array" ref="Q2282"> if(iserror(MATCH(V2282, 'File Links'!C:C, 0)), "N/A", HYPERLINK(INDEX('File Links'!B:B, MATCH(P2282, 'File Links'!C:C, 0))))</f>
        <v>https://drive.google.com/file/d/1jf3ctwxwUpc5AYKxlkNN-odE2ElrZuqN/view?usp=drivesdk</v>
      </c>
      <c r="R2282" s="2020" t="s">
        <v>5015</v>
      </c>
      <c r="S2282" s="156" t="s">
        <v>5016</v>
      </c>
      <c r="T2282" s="307" t="s">
        <v>5017</v>
      </c>
      <c r="U2282" s="65"/>
      <c r="V2282" s="156" t="str">
        <f t="shared" si="125"/>
        <v>10.1007--s13164-018-0400-9.pdf</v>
      </c>
      <c r="W2282" s="1287" t="s">
        <v>5018</v>
      </c>
      <c r="X2282" s="51" t="str">
        <f t="array" ref="X2282"> if(iserror(MATCH(V2282, 'File Links'!C:C, 0)), "N/A", HYPERLINK(INDEX('File Links'!B:B, MATCH(V2282, 'File Links'!C:C, 0))))</f>
        <v>https://drive.google.com/file/d/1hjI3aqifdfXjWhQAlvKCKKtvjuncAn5M/view?usp=drivesdk</v>
      </c>
      <c r="Y2282" s="65"/>
      <c r="Z2282" s="156" t="s">
        <v>158</v>
      </c>
      <c r="AA2282" s="126" t="s">
        <v>131</v>
      </c>
      <c r="AB2282" s="1287" t="s">
        <v>13752</v>
      </c>
      <c r="AC2282" s="126" t="s">
        <v>13758</v>
      </c>
      <c r="AD2282" s="1128" t="s">
        <v>13759</v>
      </c>
      <c r="AE2282" s="1287" t="s">
        <v>5023</v>
      </c>
      <c r="AF2282" s="1348">
        <v>233.0</v>
      </c>
      <c r="AG2282" s="151" t="s">
        <v>131</v>
      </c>
      <c r="AH2282" s="65"/>
      <c r="AI2282" s="336" t="s">
        <v>131</v>
      </c>
      <c r="AJ2282" s="54" t="s">
        <v>131</v>
      </c>
      <c r="AK2282" s="58"/>
      <c r="AL2282" s="156" t="s">
        <v>179</v>
      </c>
      <c r="AM2282" s="1283" t="s">
        <v>130</v>
      </c>
      <c r="AN2282" s="148" t="s">
        <v>131</v>
      </c>
      <c r="AO2282" s="1289">
        <v>500.0</v>
      </c>
      <c r="AP2282" s="153">
        <v>0.139</v>
      </c>
      <c r="AQ2282" s="156" t="s">
        <v>208</v>
      </c>
      <c r="AR2282" s="687" t="s">
        <v>13760</v>
      </c>
      <c r="AS2282" s="153">
        <v>0.002</v>
      </c>
      <c r="AT2282" s="156" t="s">
        <v>165</v>
      </c>
      <c r="AU2282" s="156" t="s">
        <v>179</v>
      </c>
      <c r="AV2282" s="151" t="s">
        <v>130</v>
      </c>
      <c r="AW2282" s="677" t="s">
        <v>13761</v>
      </c>
      <c r="AX2282" s="151" t="s">
        <v>136</v>
      </c>
      <c r="AZ2282" s="126" t="s">
        <v>13716</v>
      </c>
    </row>
    <row r="2283">
      <c r="A2283" s="41">
        <v>2283.0</v>
      </c>
      <c r="B2283" s="65" t="s">
        <v>583</v>
      </c>
      <c r="C2283" s="59" t="s">
        <v>108</v>
      </c>
      <c r="D2283" s="59" t="s">
        <v>1263</v>
      </c>
      <c r="F2283" s="1283" t="s">
        <v>13762</v>
      </c>
      <c r="G2283" s="156" t="s">
        <v>13763</v>
      </c>
      <c r="H2283" s="1284" t="s">
        <v>5011</v>
      </c>
      <c r="I2283" s="149">
        <v>45674.0</v>
      </c>
      <c r="J2283" s="149">
        <v>45691.0</v>
      </c>
      <c r="K2283" s="156" t="s">
        <v>13764</v>
      </c>
      <c r="L2283" s="65" t="s">
        <v>13765</v>
      </c>
      <c r="M2283" s="156" t="s">
        <v>13766</v>
      </c>
      <c r="N2283" s="156" t="s">
        <v>13767</v>
      </c>
      <c r="O2283" s="126">
        <v>1.0</v>
      </c>
      <c r="P2283" s="156" t="str">
        <f>SUBSTITUTE(LOWER(N2283), "/", "--") &amp;  ".pdf"</f>
        <v>10.1080--09515080903532290.pdf</v>
      </c>
      <c r="Q2283" s="49" t="str">
        <f t="array" ref="Q2283"> if(iserror(MATCH(V2283, 'File Links'!C:C, 0)), "N/A", HYPERLINK(INDEX('File Links'!B:B, MATCH(P2283, 'File Links'!C:C, 0))))</f>
        <v>https://drive.google.com/file/d/1V4dif0GlZHpTSBPr0wrGGqKPzj36JjUm/view?usp=drivesdk</v>
      </c>
      <c r="R2283" s="2020" t="s">
        <v>5015</v>
      </c>
      <c r="S2283" s="307" t="s">
        <v>5016</v>
      </c>
      <c r="T2283" s="307" t="s">
        <v>5017</v>
      </c>
      <c r="U2283" s="153">
        <v>23.0</v>
      </c>
      <c r="V2283" s="156" t="str">
        <f t="shared" si="125"/>
        <v>10.1007--s13164-018-0400-9.pdf</v>
      </c>
      <c r="W2283" s="1287" t="s">
        <v>5018</v>
      </c>
      <c r="X2283" s="51" t="str">
        <f t="array" ref="X2283"> if(iserror(MATCH(V2283, 'File Links'!C:C, 0)), "N/A", HYPERLINK(INDEX('File Links'!B:B, MATCH(V2283, 'File Links'!C:C, 0))))</f>
        <v>https://drive.google.com/file/d/1hjI3aqifdfXjWhQAlvKCKKtvjuncAn5M/view?usp=drivesdk</v>
      </c>
      <c r="Y2283" s="65"/>
      <c r="Z2283" s="156" t="s">
        <v>158</v>
      </c>
      <c r="AA2283" s="126" t="s">
        <v>131</v>
      </c>
      <c r="AB2283" s="156" t="s">
        <v>13768</v>
      </c>
      <c r="AC2283" s="65"/>
      <c r="AD2283" s="156" t="s">
        <v>13769</v>
      </c>
      <c r="AE2283" s="156" t="s">
        <v>13770</v>
      </c>
      <c r="AF2283" s="65"/>
      <c r="AG2283" s="65"/>
      <c r="AH2283" s="65"/>
      <c r="AI2283" s="335"/>
      <c r="AJ2283" s="58"/>
      <c r="AK2283" s="58"/>
      <c r="AL2283" s="65"/>
      <c r="AM2283" s="54" t="s">
        <v>130</v>
      </c>
      <c r="AN2283" s="1362" t="s">
        <v>131</v>
      </c>
      <c r="AO2283" s="1289">
        <v>48.0</v>
      </c>
      <c r="AP2283" s="156" t="s">
        <v>13771</v>
      </c>
      <c r="AQ2283" s="156" t="s">
        <v>715</v>
      </c>
      <c r="AR2283" s="156" t="s">
        <v>13772</v>
      </c>
      <c r="AS2283" s="153">
        <v>0.03</v>
      </c>
      <c r="AT2283" s="156" t="s">
        <v>165</v>
      </c>
      <c r="AU2283" s="156" t="s">
        <v>179</v>
      </c>
      <c r="AV2283" s="156" t="s">
        <v>130</v>
      </c>
      <c r="AW2283" s="307" t="s">
        <v>13773</v>
      </c>
      <c r="AX2283" s="156" t="s">
        <v>136</v>
      </c>
      <c r="AZ2283" s="65" t="s">
        <v>242</v>
      </c>
    </row>
    <row r="2284">
      <c r="A2284" s="41">
        <v>2284.0</v>
      </c>
      <c r="B2284" s="65" t="s">
        <v>583</v>
      </c>
      <c r="C2284" s="59" t="s">
        <v>108</v>
      </c>
      <c r="D2284" s="59" t="s">
        <v>241</v>
      </c>
      <c r="F2284" s="1283" t="s">
        <v>13762</v>
      </c>
      <c r="G2284" s="156" t="s">
        <v>13763</v>
      </c>
      <c r="H2284" s="1284" t="s">
        <v>242</v>
      </c>
      <c r="I2284" s="149">
        <v>45331.0</v>
      </c>
      <c r="J2284" s="149">
        <v>45691.0</v>
      </c>
      <c r="K2284" s="156" t="s">
        <v>13774</v>
      </c>
      <c r="L2284" s="65" t="s">
        <v>13765</v>
      </c>
      <c r="M2284" s="156" t="s">
        <v>13766</v>
      </c>
      <c r="N2284" s="156" t="s">
        <v>13767</v>
      </c>
      <c r="O2284" s="126">
        <v>1.0</v>
      </c>
      <c r="P2284" s="156" t="s">
        <v>13775</v>
      </c>
      <c r="Q2284" s="49" t="str">
        <f t="array" ref="Q2284"> if(iserror(MATCH(V2284, 'File Links'!C:C, 0)), "N/A", HYPERLINK(INDEX('File Links'!B:B, MATCH(P2284, 'File Links'!C:C, 0))))</f>
        <v>https://drive.google.com/file/d/1V4dif0GlZHpTSBPr0wrGGqKPzj36JjUm/view?usp=drivesdk</v>
      </c>
      <c r="R2284" s="2020" t="s">
        <v>5015</v>
      </c>
      <c r="S2284" s="156" t="s">
        <v>5016</v>
      </c>
      <c r="T2284" s="65"/>
      <c r="U2284" s="65"/>
      <c r="V2284" s="156" t="str">
        <f t="shared" si="125"/>
        <v>10.1007--s13164-018-0400-9.pdf</v>
      </c>
      <c r="W2284" s="1287" t="s">
        <v>5018</v>
      </c>
      <c r="X2284" s="51" t="str">
        <f t="array" ref="X2284"> if(iserror(MATCH(V2284, 'File Links'!C:C, 0)), "N/A", HYPERLINK(INDEX('File Links'!B:B, MATCH(V2284, 'File Links'!C:C, 0))))</f>
        <v>https://drive.google.com/file/d/1hjI3aqifdfXjWhQAlvKCKKtvjuncAn5M/view?usp=drivesdk</v>
      </c>
      <c r="Y2284" s="65"/>
      <c r="Z2284" s="156" t="s">
        <v>158</v>
      </c>
      <c r="AA2284" s="126" t="s">
        <v>131</v>
      </c>
      <c r="AB2284" s="156" t="s">
        <v>5028</v>
      </c>
      <c r="AC2284" s="65"/>
      <c r="AD2284" s="65"/>
      <c r="AE2284" s="65"/>
      <c r="AF2284" s="153">
        <v>48.0</v>
      </c>
      <c r="AG2284" s="2035">
        <v>0.36</v>
      </c>
      <c r="AH2284" s="156" t="s">
        <v>264</v>
      </c>
      <c r="AI2284" s="336" t="s">
        <v>13776</v>
      </c>
      <c r="AJ2284" s="376">
        <v>0.05</v>
      </c>
      <c r="AK2284" s="54" t="s">
        <v>128</v>
      </c>
      <c r="AL2284" s="156" t="s">
        <v>179</v>
      </c>
      <c r="AM2284" s="1283" t="s">
        <v>130</v>
      </c>
      <c r="AN2284" s="1362" t="s">
        <v>131</v>
      </c>
      <c r="AO2284" s="1289">
        <v>60.0</v>
      </c>
      <c r="AP2284" s="153">
        <v>0.27</v>
      </c>
      <c r="AQ2284" s="156" t="s">
        <v>264</v>
      </c>
      <c r="AR2284" s="156" t="s">
        <v>13777</v>
      </c>
      <c r="AS2284" s="153">
        <v>0.04</v>
      </c>
      <c r="AT2284" s="156" t="s">
        <v>165</v>
      </c>
      <c r="AU2284" s="156" t="s">
        <v>179</v>
      </c>
      <c r="AV2284" s="151" t="s">
        <v>130</v>
      </c>
      <c r="AW2284" s="677" t="s">
        <v>13778</v>
      </c>
      <c r="AX2284" s="151" t="s">
        <v>136</v>
      </c>
      <c r="AZ2284" s="65" t="s">
        <v>242</v>
      </c>
    </row>
    <row r="2285">
      <c r="A2285" s="41">
        <v>2285.0</v>
      </c>
      <c r="B2285" s="151" t="s">
        <v>107</v>
      </c>
      <c r="C2285" s="59" t="s">
        <v>108</v>
      </c>
      <c r="D2285" s="59" t="s">
        <v>1263</v>
      </c>
      <c r="F2285" s="2019" t="s">
        <v>13779</v>
      </c>
      <c r="G2285" s="156" t="s">
        <v>13780</v>
      </c>
      <c r="H2285" s="1284" t="s">
        <v>5011</v>
      </c>
      <c r="I2285" s="149">
        <v>45674.0</v>
      </c>
      <c r="J2285" s="150">
        <v>45716.0</v>
      </c>
      <c r="K2285" s="156" t="s">
        <v>13781</v>
      </c>
      <c r="L2285" s="65"/>
      <c r="M2285" s="156" t="s">
        <v>13782</v>
      </c>
      <c r="N2285" s="156" t="s">
        <v>13783</v>
      </c>
      <c r="O2285" s="126">
        <v>1.0</v>
      </c>
      <c r="P2285" s="156" t="str">
        <f>SUBSTITUTE(LOWER(N2285), "/", "--") &amp;  ".pdf"</f>
        <v>10.1111--j.1468-0017.2010.01398.x.pdf</v>
      </c>
      <c r="Q2285" s="49" t="str">
        <f t="array" ref="Q2285"> if(iserror(MATCH(V2285, 'File Links'!C:C, 0)), "N/A", HYPERLINK(INDEX('File Links'!B:B, MATCH(P2285, 'File Links'!C:C, 0))))</f>
        <v>https://drive.google.com/file/d/1Q-7NFLR9V_1Z9QaSQGnQmRUgw6UigOsQ/view?usp=drivesdk</v>
      </c>
      <c r="R2285" s="2020" t="s">
        <v>5015</v>
      </c>
      <c r="S2285" s="307" t="s">
        <v>5016</v>
      </c>
      <c r="T2285" s="307" t="s">
        <v>5017</v>
      </c>
      <c r="U2285" s="153">
        <v>24.0</v>
      </c>
      <c r="V2285" s="156" t="str">
        <f t="shared" si="125"/>
        <v>10.1007--s13164-018-0400-9.pdf</v>
      </c>
      <c r="W2285" s="1287" t="s">
        <v>5018</v>
      </c>
      <c r="X2285" s="51" t="str">
        <f t="array" ref="X2285"> if(iserror(MATCH(V2285, 'File Links'!C:C, 0)), "N/A", HYPERLINK(INDEX('File Links'!B:B, MATCH(V2285, 'File Links'!C:C, 0))))</f>
        <v>https://drive.google.com/file/d/1hjI3aqifdfXjWhQAlvKCKKtvjuncAn5M/view?usp=drivesdk</v>
      </c>
      <c r="Y2285" s="65"/>
      <c r="Z2285" s="156" t="s">
        <v>158</v>
      </c>
      <c r="AA2285" s="126" t="s">
        <v>131</v>
      </c>
      <c r="AB2285" s="156" t="s">
        <v>13784</v>
      </c>
      <c r="AC2285" s="1287" t="s">
        <v>13784</v>
      </c>
      <c r="AD2285" s="156" t="s">
        <v>13785</v>
      </c>
      <c r="AE2285" s="156" t="s">
        <v>5023</v>
      </c>
      <c r="AF2285" s="65"/>
      <c r="AG2285" s="65"/>
      <c r="AH2285" s="65"/>
      <c r="AI2285" s="335"/>
      <c r="AJ2285" s="376">
        <v>0.001</v>
      </c>
      <c r="AK2285" s="54" t="s">
        <v>128</v>
      </c>
      <c r="AL2285" s="156" t="s">
        <v>179</v>
      </c>
      <c r="AM2285" s="54" t="s">
        <v>130</v>
      </c>
      <c r="AN2285" s="148" t="s">
        <v>131</v>
      </c>
      <c r="AO2285" s="2029">
        <v>749.0</v>
      </c>
      <c r="AP2285" s="1057" t="s">
        <v>13786</v>
      </c>
      <c r="AQ2285" s="156" t="s">
        <v>127</v>
      </c>
      <c r="AR2285" s="156" t="s">
        <v>210</v>
      </c>
      <c r="AS2285" s="153">
        <v>5.0E-4</v>
      </c>
      <c r="AT2285" s="156" t="s">
        <v>128</v>
      </c>
      <c r="AU2285" s="156" t="s">
        <v>179</v>
      </c>
      <c r="AV2285" s="156" t="s">
        <v>130</v>
      </c>
      <c r="AW2285" s="126" t="s">
        <v>131</v>
      </c>
      <c r="AX2285" s="156" t="s">
        <v>136</v>
      </c>
      <c r="AZ2285" s="126" t="s">
        <v>13716</v>
      </c>
    </row>
    <row r="2286">
      <c r="A2286" s="41">
        <v>2286.0</v>
      </c>
      <c r="B2286" s="42" t="s">
        <v>145</v>
      </c>
      <c r="C2286" s="59" t="s">
        <v>108</v>
      </c>
      <c r="D2286" s="59" t="s">
        <v>241</v>
      </c>
      <c r="F2286" s="2019" t="s">
        <v>13779</v>
      </c>
      <c r="G2286" s="156" t="s">
        <v>13780</v>
      </c>
      <c r="H2286" s="1284" t="s">
        <v>242</v>
      </c>
      <c r="I2286" s="149">
        <v>45331.0</v>
      </c>
      <c r="J2286" s="150">
        <v>45716.0</v>
      </c>
      <c r="K2286" s="151" t="s">
        <v>13567</v>
      </c>
      <c r="L2286" s="65"/>
      <c r="M2286" s="156" t="s">
        <v>13782</v>
      </c>
      <c r="N2286" s="156" t="s">
        <v>13783</v>
      </c>
      <c r="O2286" s="126">
        <v>1.0</v>
      </c>
      <c r="P2286" s="156" t="s">
        <v>13787</v>
      </c>
      <c r="Q2286" s="49" t="str">
        <f t="array" ref="Q2286"> if(iserror(MATCH(V2286, 'File Links'!C:C, 0)), "N/A", HYPERLINK(INDEX('File Links'!B:B, MATCH(P2286, 'File Links'!C:C, 0))))</f>
        <v>https://drive.google.com/file/d/1Q-7NFLR9V_1Z9QaSQGnQmRUgw6UigOsQ/view?usp=drivesdk</v>
      </c>
      <c r="R2286" s="2020" t="s">
        <v>5015</v>
      </c>
      <c r="S2286" s="156" t="s">
        <v>5016</v>
      </c>
      <c r="T2286" s="307" t="s">
        <v>5017</v>
      </c>
      <c r="U2286" s="65"/>
      <c r="V2286" s="156" t="str">
        <f t="shared" si="125"/>
        <v>10.1007--s13164-018-0400-9.pdf</v>
      </c>
      <c r="W2286" s="1287" t="s">
        <v>5018</v>
      </c>
      <c r="X2286" s="51" t="str">
        <f t="array" ref="X2286"> if(iserror(MATCH(V2286, 'File Links'!C:C, 0)), "N/A", HYPERLINK(INDEX('File Links'!B:B, MATCH(V2286, 'File Links'!C:C, 0))))</f>
        <v>https://drive.google.com/file/d/1hjI3aqifdfXjWhQAlvKCKKtvjuncAn5M/view?usp=drivesdk</v>
      </c>
      <c r="Y2286" s="65"/>
      <c r="Z2286" s="156" t="s">
        <v>158</v>
      </c>
      <c r="AA2286" s="126" t="s">
        <v>131</v>
      </c>
      <c r="AB2286" s="156" t="s">
        <v>5028</v>
      </c>
      <c r="AC2286" s="1287" t="s">
        <v>13784</v>
      </c>
      <c r="AD2286" s="1287" t="s">
        <v>13785</v>
      </c>
      <c r="AE2286" s="148" t="s">
        <v>13788</v>
      </c>
      <c r="AF2286" s="153">
        <v>749.0</v>
      </c>
      <c r="AG2286" s="2035">
        <v>0.74</v>
      </c>
      <c r="AH2286" s="156" t="s">
        <v>166</v>
      </c>
      <c r="AI2286" s="336" t="s">
        <v>13789</v>
      </c>
      <c r="AJ2286" s="376">
        <v>0.001</v>
      </c>
      <c r="AK2286" s="54" t="s">
        <v>128</v>
      </c>
      <c r="AL2286" s="156" t="s">
        <v>179</v>
      </c>
      <c r="AM2286" s="1283" t="s">
        <v>130</v>
      </c>
      <c r="AN2286" s="148" t="s">
        <v>131</v>
      </c>
      <c r="AO2286" s="1289">
        <v>514.0</v>
      </c>
      <c r="AP2286" s="153">
        <v>0.66</v>
      </c>
      <c r="AQ2286" s="156" t="s">
        <v>166</v>
      </c>
      <c r="AR2286" s="687" t="s">
        <v>13790</v>
      </c>
      <c r="AS2286" s="153">
        <v>0.001</v>
      </c>
      <c r="AT2286" s="156" t="s">
        <v>128</v>
      </c>
      <c r="AU2286" s="156" t="s">
        <v>179</v>
      </c>
      <c r="AV2286" s="151" t="s">
        <v>130</v>
      </c>
      <c r="AW2286" s="2036" t="s">
        <v>131</v>
      </c>
      <c r="AX2286" s="151" t="s">
        <v>136</v>
      </c>
      <c r="AZ2286" s="126" t="s">
        <v>13716</v>
      </c>
    </row>
    <row r="2287">
      <c r="A2287" s="41">
        <v>2287.0</v>
      </c>
      <c r="B2287" s="151" t="s">
        <v>107</v>
      </c>
      <c r="C2287" s="59" t="s">
        <v>108</v>
      </c>
      <c r="D2287" s="59" t="s">
        <v>1263</v>
      </c>
      <c r="F2287" s="1283" t="s">
        <v>13791</v>
      </c>
      <c r="G2287" s="156" t="s">
        <v>13792</v>
      </c>
      <c r="H2287" s="1284" t="s">
        <v>5011</v>
      </c>
      <c r="I2287" s="149">
        <v>45674.0</v>
      </c>
      <c r="J2287" s="150">
        <v>45716.0</v>
      </c>
      <c r="K2287" s="156" t="s">
        <v>13793</v>
      </c>
      <c r="L2287" s="65"/>
      <c r="M2287" s="156" t="s">
        <v>13794</v>
      </c>
      <c r="N2287" s="156" t="s">
        <v>13795</v>
      </c>
      <c r="O2287" s="153">
        <v>1.0</v>
      </c>
      <c r="P2287" s="156" t="str">
        <f>SUBSTITUTE(LOWER(N2287), "/", "--") &amp;  ".pdf"</f>
        <v>10.1007--s11098-009-9439-x.pdf</v>
      </c>
      <c r="Q2287" s="49" t="str">
        <f t="array" ref="Q2287"> if(iserror(MATCH(V2287, 'File Links'!C:C, 0)), "N/A", HYPERLINK(INDEX('File Links'!B:B, MATCH(P2287, 'File Links'!C:C, 0))))</f>
        <v>https://drive.google.com/file/d/1tY7SvX2n-lCVOB9eR5KtC31EmD0a4uX2/view?usp=drivesdk</v>
      </c>
      <c r="R2287" s="2020" t="s">
        <v>5015</v>
      </c>
      <c r="S2287" s="307" t="s">
        <v>5016</v>
      </c>
      <c r="T2287" s="307" t="s">
        <v>5017</v>
      </c>
      <c r="U2287" s="153">
        <v>25.0</v>
      </c>
      <c r="V2287" s="156" t="str">
        <f t="shared" si="125"/>
        <v>10.1007--s13164-018-0400-9.pdf</v>
      </c>
      <c r="W2287" s="1287" t="s">
        <v>5018</v>
      </c>
      <c r="X2287" s="51" t="str">
        <f t="array" ref="X2287"> if(iserror(MATCH(V2287, 'File Links'!C:C, 0)), "N/A", HYPERLINK(INDEX('File Links'!B:B, MATCH(V2287, 'File Links'!C:C, 0))))</f>
        <v>https://drive.google.com/file/d/1hjI3aqifdfXjWhQAlvKCKKtvjuncAn5M/view?usp=drivesdk</v>
      </c>
      <c r="Y2287" s="65"/>
      <c r="Z2287" s="156" t="s">
        <v>158</v>
      </c>
      <c r="AA2287" s="126" t="s">
        <v>131</v>
      </c>
      <c r="AB2287" s="148" t="s">
        <v>13796</v>
      </c>
      <c r="AC2287" s="1055" t="s">
        <v>13797</v>
      </c>
      <c r="AD2287" s="156" t="s">
        <v>13798</v>
      </c>
      <c r="AE2287" s="156" t="s">
        <v>13799</v>
      </c>
      <c r="AF2287" s="65"/>
      <c r="AG2287" s="65"/>
      <c r="AH2287" s="65"/>
      <c r="AI2287" s="335"/>
      <c r="AJ2287" s="58"/>
      <c r="AK2287" s="58"/>
      <c r="AL2287" s="65"/>
      <c r="AM2287" s="58"/>
      <c r="AN2287" s="65"/>
      <c r="AO2287" s="1289">
        <v>148.0</v>
      </c>
      <c r="AP2287" s="156" t="s">
        <v>13800</v>
      </c>
      <c r="AQ2287" s="156" t="s">
        <v>166</v>
      </c>
      <c r="AR2287" s="156" t="s">
        <v>621</v>
      </c>
      <c r="AS2287" s="153">
        <v>0.018</v>
      </c>
      <c r="AT2287" s="156" t="s">
        <v>165</v>
      </c>
      <c r="AU2287" s="156" t="s">
        <v>179</v>
      </c>
      <c r="AV2287" s="156" t="s">
        <v>130</v>
      </c>
      <c r="AW2287" s="65"/>
      <c r="AX2287" s="156" t="s">
        <v>136</v>
      </c>
      <c r="AZ2287" s="126" t="s">
        <v>13716</v>
      </c>
    </row>
    <row r="2288">
      <c r="A2288" s="41">
        <v>2288.0</v>
      </c>
      <c r="B2288" s="42" t="s">
        <v>145</v>
      </c>
      <c r="C2288" s="59" t="s">
        <v>108</v>
      </c>
      <c r="D2288" s="59" t="s">
        <v>241</v>
      </c>
      <c r="F2288" s="1283" t="s">
        <v>13791</v>
      </c>
      <c r="G2288" s="156" t="s">
        <v>13792</v>
      </c>
      <c r="H2288" s="1284" t="s">
        <v>242</v>
      </c>
      <c r="I2288" s="149">
        <v>45331.0</v>
      </c>
      <c r="J2288" s="150">
        <v>45716.0</v>
      </c>
      <c r="K2288" s="156" t="s">
        <v>13801</v>
      </c>
      <c r="L2288" s="126" t="s">
        <v>13802</v>
      </c>
      <c r="M2288" s="156" t="s">
        <v>13794</v>
      </c>
      <c r="N2288" s="156" t="s">
        <v>13795</v>
      </c>
      <c r="O2288" s="126">
        <v>1.0</v>
      </c>
      <c r="P2288" s="156" t="s">
        <v>13803</v>
      </c>
      <c r="Q2288" s="49" t="str">
        <f t="array" ref="Q2288"> if(iserror(MATCH(V2288, 'File Links'!C:C, 0)), "N/A", HYPERLINK(INDEX('File Links'!B:B, MATCH(P2288, 'File Links'!C:C, 0))))</f>
        <v>https://drive.google.com/file/d/1tY7SvX2n-lCVOB9eR5KtC31EmD0a4uX2/view?usp=drivesdk</v>
      </c>
      <c r="R2288" s="2020" t="s">
        <v>5015</v>
      </c>
      <c r="S2288" s="156" t="s">
        <v>5016</v>
      </c>
      <c r="T2288" s="307" t="s">
        <v>5017</v>
      </c>
      <c r="U2288" s="65"/>
      <c r="V2288" s="156" t="str">
        <f t="shared" si="125"/>
        <v>10.1007--s13164-018-0400-9.pdf</v>
      </c>
      <c r="W2288" s="1287" t="s">
        <v>5018</v>
      </c>
      <c r="X2288" s="51" t="str">
        <f t="array" ref="X2288"> if(iserror(MATCH(V2288, 'File Links'!C:C, 0)), "N/A", HYPERLINK(INDEX('File Links'!B:B, MATCH(V2288, 'File Links'!C:C, 0))))</f>
        <v>https://drive.google.com/file/d/1hjI3aqifdfXjWhQAlvKCKKtvjuncAn5M/view?usp=drivesdk</v>
      </c>
      <c r="Y2288" s="65"/>
      <c r="Z2288" s="156" t="s">
        <v>158</v>
      </c>
      <c r="AA2288" s="126" t="s">
        <v>131</v>
      </c>
      <c r="AB2288" s="156" t="s">
        <v>4180</v>
      </c>
      <c r="AC2288" s="1055" t="s">
        <v>13797</v>
      </c>
      <c r="AD2288" s="156" t="s">
        <v>13804</v>
      </c>
      <c r="AE2288" s="1287" t="s">
        <v>13799</v>
      </c>
      <c r="AF2288" s="1348">
        <v>111.0</v>
      </c>
      <c r="AG2288" s="2035">
        <v>0.87</v>
      </c>
      <c r="AH2288" s="156" t="s">
        <v>166</v>
      </c>
      <c r="AI2288" s="336" t="s">
        <v>13805</v>
      </c>
      <c r="AJ2288" s="376">
        <v>0.001</v>
      </c>
      <c r="AK2288" s="54" t="s">
        <v>128</v>
      </c>
      <c r="AL2288" s="156" t="s">
        <v>179</v>
      </c>
      <c r="AM2288" s="2037" t="s">
        <v>130</v>
      </c>
      <c r="AN2288" s="1128" t="s">
        <v>131</v>
      </c>
      <c r="AO2288" s="2038">
        <v>88.0</v>
      </c>
      <c r="AP2288" s="153">
        <v>0.52</v>
      </c>
      <c r="AQ2288" s="156" t="s">
        <v>166</v>
      </c>
      <c r="AR2288" s="687" t="s">
        <v>13806</v>
      </c>
      <c r="AS2288" s="153">
        <v>0.018</v>
      </c>
      <c r="AT2288" s="156" t="s">
        <v>165</v>
      </c>
      <c r="AU2288" s="156" t="s">
        <v>179</v>
      </c>
      <c r="AV2288" s="151" t="s">
        <v>130</v>
      </c>
      <c r="AW2288" s="2039" t="s">
        <v>131</v>
      </c>
      <c r="AX2288" s="151" t="s">
        <v>136</v>
      </c>
      <c r="AZ2288" s="126" t="s">
        <v>13716</v>
      </c>
    </row>
    <row r="2289">
      <c r="A2289" s="41">
        <v>2289.0</v>
      </c>
      <c r="B2289" s="152" t="s">
        <v>145</v>
      </c>
      <c r="C2289" s="59" t="s">
        <v>108</v>
      </c>
      <c r="D2289" s="59" t="s">
        <v>1263</v>
      </c>
      <c r="F2289" s="2019" t="s">
        <v>13807</v>
      </c>
      <c r="G2289" s="156" t="s">
        <v>13808</v>
      </c>
      <c r="H2289" s="1284" t="s">
        <v>5011</v>
      </c>
      <c r="I2289" s="149">
        <v>45674.0</v>
      </c>
      <c r="J2289" s="150">
        <v>45716.0</v>
      </c>
      <c r="K2289" s="156" t="s">
        <v>13809</v>
      </c>
      <c r="L2289" s="126" t="s">
        <v>4922</v>
      </c>
      <c r="M2289" s="156" t="s">
        <v>13810</v>
      </c>
      <c r="N2289" s="156" t="s">
        <v>13811</v>
      </c>
      <c r="O2289" s="153">
        <v>1.0</v>
      </c>
      <c r="P2289" s="156" t="str">
        <f>SUBSTITUTE(LOWER(N2289), "/", "--") &amp;  ".pdf"</f>
        <v>10.5840--jphil20111081238.pdf</v>
      </c>
      <c r="Q2289" s="49" t="str">
        <f t="array" ref="Q2289"> if(iserror(MATCH(V2289, 'File Links'!C:C, 0)), "N/A", HYPERLINK(INDEX('File Links'!B:B, MATCH(P2289, 'File Links'!C:C, 0))))</f>
        <v>https://drive.google.com/file/d/1-XMlXEjoIspJ3kqVPF-O6pr1PklAU4DF/view?usp=drivesdk</v>
      </c>
      <c r="R2289" s="2020" t="s">
        <v>5015</v>
      </c>
      <c r="S2289" s="307" t="s">
        <v>5016</v>
      </c>
      <c r="T2289" s="307" t="s">
        <v>5017</v>
      </c>
      <c r="U2289" s="153">
        <v>26.0</v>
      </c>
      <c r="V2289" s="156" t="str">
        <f t="shared" si="125"/>
        <v>10.1007--s13164-018-0400-9.pdf</v>
      </c>
      <c r="W2289" s="1287" t="s">
        <v>5018</v>
      </c>
      <c r="X2289" s="51" t="str">
        <f t="array" ref="X2289"> if(iserror(MATCH(V2289, 'File Links'!C:C, 0)), "N/A", HYPERLINK(INDEX('File Links'!B:B, MATCH(V2289, 'File Links'!C:C, 0))))</f>
        <v>https://drive.google.com/file/d/1hjI3aqifdfXjWhQAlvKCKKtvjuncAn5M/view?usp=drivesdk</v>
      </c>
      <c r="Y2289" s="65"/>
      <c r="Z2289" s="156" t="s">
        <v>158</v>
      </c>
      <c r="AA2289" s="126" t="s">
        <v>131</v>
      </c>
      <c r="AB2289" s="156" t="s">
        <v>13812</v>
      </c>
      <c r="AC2289" s="126" t="s">
        <v>13813</v>
      </c>
      <c r="AD2289" s="1287" t="s">
        <v>13814</v>
      </c>
      <c r="AE2289" s="2040" t="s">
        <v>13815</v>
      </c>
      <c r="AF2289" s="1744">
        <v>217.0</v>
      </c>
      <c r="AG2289" s="2030" t="s">
        <v>13816</v>
      </c>
      <c r="AH2289" s="1128" t="s">
        <v>127</v>
      </c>
      <c r="AI2289" s="1128" t="s">
        <v>13817</v>
      </c>
      <c r="AJ2289" s="376">
        <v>0.001</v>
      </c>
      <c r="AK2289" s="54" t="s">
        <v>128</v>
      </c>
      <c r="AL2289" s="156" t="s">
        <v>179</v>
      </c>
      <c r="AM2289" s="54" t="s">
        <v>130</v>
      </c>
      <c r="AN2289" s="1055" t="s">
        <v>131</v>
      </c>
      <c r="AO2289" s="1289">
        <v>217.0</v>
      </c>
      <c r="AP2289" s="156" t="s">
        <v>13818</v>
      </c>
      <c r="AQ2289" s="156" t="s">
        <v>127</v>
      </c>
      <c r="AR2289" s="687" t="s">
        <v>13819</v>
      </c>
      <c r="AS2289" s="153">
        <v>0.32</v>
      </c>
      <c r="AT2289" s="156" t="s">
        <v>165</v>
      </c>
      <c r="AU2289" s="156" t="s">
        <v>179</v>
      </c>
      <c r="AV2289" s="156" t="s">
        <v>130</v>
      </c>
      <c r="AW2289" s="307" t="s">
        <v>13820</v>
      </c>
      <c r="AX2289" s="156" t="s">
        <v>136</v>
      </c>
      <c r="AZ2289" s="126" t="s">
        <v>13716</v>
      </c>
      <c r="BA2289" s="1120"/>
      <c r="BB2289" s="1120"/>
      <c r="BC2289" s="1120"/>
      <c r="BD2289" s="1120"/>
      <c r="BE2289" s="1120"/>
      <c r="BF2289" s="1120"/>
      <c r="BG2289" s="1120"/>
      <c r="BH2289" s="1120"/>
      <c r="BI2289" s="1120"/>
      <c r="BJ2289" s="1120"/>
      <c r="BK2289" s="1120"/>
      <c r="BL2289" s="1120"/>
      <c r="BM2289" s="1120"/>
      <c r="BN2289" s="1120"/>
      <c r="BO2289" s="1120"/>
      <c r="BP2289" s="1120"/>
      <c r="BQ2289" s="1120"/>
      <c r="BR2289" s="1120"/>
      <c r="BS2289" s="1120"/>
      <c r="BT2289" s="1120"/>
      <c r="BU2289" s="1120"/>
      <c r="BV2289" s="1120"/>
      <c r="BW2289" s="1120"/>
      <c r="BX2289" s="1120"/>
      <c r="BY2289" s="1120"/>
      <c r="BZ2289" s="1120"/>
      <c r="CA2289" s="1120"/>
      <c r="CB2289" s="1120"/>
      <c r="CC2289" s="1120"/>
      <c r="CD2289" s="1120"/>
      <c r="CE2289" s="1120"/>
      <c r="CF2289" s="1120"/>
      <c r="CG2289" s="1120"/>
      <c r="CH2289" s="1120"/>
      <c r="CI2289" s="1120"/>
      <c r="CJ2289" s="1120"/>
      <c r="CK2289" s="1120"/>
      <c r="CL2289" s="1120"/>
      <c r="CM2289" s="1120"/>
      <c r="CN2289" s="1120"/>
      <c r="CO2289" s="1120"/>
      <c r="CP2289" s="1120"/>
      <c r="CQ2289" s="1120"/>
      <c r="CR2289" s="1120"/>
      <c r="CS2289" s="1120"/>
      <c r="CT2289" s="1120"/>
      <c r="CU2289" s="1120"/>
      <c r="CV2289" s="1120"/>
      <c r="CW2289" s="1120"/>
      <c r="CX2289" s="1120"/>
      <c r="CY2289" s="1120"/>
      <c r="CZ2289" s="1120"/>
      <c r="DA2289" s="1120"/>
      <c r="DB2289" s="1120"/>
      <c r="DC2289" s="1120"/>
      <c r="DD2289" s="1120"/>
      <c r="DE2289" s="1120"/>
      <c r="DF2289" s="1120"/>
      <c r="DG2289" s="1120"/>
      <c r="DH2289" s="1120"/>
    </row>
    <row r="2290">
      <c r="A2290" s="41">
        <v>2290.0</v>
      </c>
      <c r="B2290" s="42" t="s">
        <v>107</v>
      </c>
      <c r="C2290" s="59" t="s">
        <v>108</v>
      </c>
      <c r="D2290" s="59" t="s">
        <v>241</v>
      </c>
      <c r="F2290" s="2019" t="s">
        <v>13807</v>
      </c>
      <c r="G2290" s="156" t="s">
        <v>13808</v>
      </c>
      <c r="H2290" s="1284" t="s">
        <v>242</v>
      </c>
      <c r="I2290" s="149">
        <v>45331.0</v>
      </c>
      <c r="J2290" s="150">
        <v>45716.0</v>
      </c>
      <c r="K2290" s="65"/>
      <c r="L2290" s="65"/>
      <c r="M2290" s="156" t="s">
        <v>13810</v>
      </c>
      <c r="N2290" s="156" t="s">
        <v>13811</v>
      </c>
      <c r="O2290" s="126">
        <v>1.0</v>
      </c>
      <c r="P2290" s="156" t="s">
        <v>13821</v>
      </c>
      <c r="Q2290" s="49" t="str">
        <f t="array" ref="Q2290"> if(iserror(MATCH(V2290, 'File Links'!C:C, 0)), "N/A", HYPERLINK(INDEX('File Links'!B:B, MATCH(P2290, 'File Links'!C:C, 0))))</f>
        <v>https://drive.google.com/file/d/1-XMlXEjoIspJ3kqVPF-O6pr1PklAU4DF/view?usp=drivesdk</v>
      </c>
      <c r="R2290" s="2020" t="s">
        <v>5015</v>
      </c>
      <c r="S2290" s="156" t="s">
        <v>5016</v>
      </c>
      <c r="T2290" s="307" t="s">
        <v>5017</v>
      </c>
      <c r="U2290" s="65"/>
      <c r="V2290" s="156" t="str">
        <f t="shared" si="125"/>
        <v>10.1007--s13164-018-0400-9.pdf</v>
      </c>
      <c r="W2290" s="1287" t="s">
        <v>5018</v>
      </c>
      <c r="X2290" s="51" t="str">
        <f t="array" ref="X2290"> if(iserror(MATCH(V2290, 'File Links'!C:C, 0)), "N/A", HYPERLINK(INDEX('File Links'!B:B, MATCH(V2290, 'File Links'!C:C, 0))))</f>
        <v>https://drive.google.com/file/d/1hjI3aqifdfXjWhQAlvKCKKtvjuncAn5M/view?usp=drivesdk</v>
      </c>
      <c r="Y2290" s="65"/>
      <c r="Z2290" s="156" t="s">
        <v>158</v>
      </c>
      <c r="AA2290" s="126" t="s">
        <v>131</v>
      </c>
      <c r="AB2290" s="156" t="s">
        <v>5028</v>
      </c>
      <c r="AC2290" s="65"/>
      <c r="AD2290" s="148" t="s">
        <v>13822</v>
      </c>
      <c r="AE2290" s="1469" t="s">
        <v>13815</v>
      </c>
      <c r="AF2290" s="153">
        <v>217.0</v>
      </c>
      <c r="AG2290" s="2041" t="s">
        <v>13823</v>
      </c>
      <c r="AH2290" s="116" t="s">
        <v>127</v>
      </c>
      <c r="AI2290" s="336" t="s">
        <v>13824</v>
      </c>
      <c r="AJ2290" s="376">
        <v>0.001</v>
      </c>
      <c r="AK2290" s="54" t="s">
        <v>128</v>
      </c>
      <c r="AL2290" s="156" t="s">
        <v>179</v>
      </c>
      <c r="AM2290" s="1283" t="s">
        <v>130</v>
      </c>
      <c r="AN2290" s="1128" t="s">
        <v>131</v>
      </c>
      <c r="AO2290" s="1289">
        <v>217.0</v>
      </c>
      <c r="AP2290" s="158" t="s">
        <v>13825</v>
      </c>
      <c r="AQ2290" s="148" t="s">
        <v>127</v>
      </c>
      <c r="AR2290" s="156"/>
      <c r="AS2290" s="153">
        <v>0.032</v>
      </c>
      <c r="AT2290" s="156" t="s">
        <v>165</v>
      </c>
      <c r="AU2290" s="156" t="s">
        <v>179</v>
      </c>
      <c r="AV2290" s="65"/>
      <c r="AW2290" s="677" t="s">
        <v>13826</v>
      </c>
      <c r="AX2290" s="151" t="s">
        <v>136</v>
      </c>
      <c r="AZ2290" s="126" t="s">
        <v>13716</v>
      </c>
      <c r="BA2290" s="1120"/>
      <c r="BB2290" s="1120"/>
      <c r="BC2290" s="1120"/>
      <c r="BD2290" s="1120"/>
      <c r="BE2290" s="1120"/>
      <c r="BF2290" s="1120"/>
      <c r="BG2290" s="1120"/>
      <c r="BH2290" s="1120"/>
      <c r="BI2290" s="1120"/>
      <c r="BJ2290" s="1120"/>
      <c r="BK2290" s="1120"/>
      <c r="BL2290" s="1120"/>
      <c r="BM2290" s="1120"/>
      <c r="BN2290" s="1120"/>
      <c r="BO2290" s="1120"/>
      <c r="BP2290" s="1120"/>
      <c r="BQ2290" s="1120"/>
      <c r="BR2290" s="1120"/>
      <c r="BS2290" s="1120"/>
      <c r="BT2290" s="1120"/>
      <c r="BU2290" s="1120"/>
      <c r="BV2290" s="1120"/>
      <c r="BW2290" s="1120"/>
      <c r="BX2290" s="1120"/>
      <c r="BY2290" s="1120"/>
      <c r="BZ2290" s="1120"/>
      <c r="CA2290" s="1120"/>
      <c r="CB2290" s="1120"/>
      <c r="CC2290" s="1120"/>
      <c r="CD2290" s="1120"/>
      <c r="CE2290" s="1120"/>
      <c r="CF2290" s="1120"/>
      <c r="CG2290" s="1120"/>
      <c r="CH2290" s="1120"/>
      <c r="CI2290" s="1120"/>
      <c r="CJ2290" s="1120"/>
      <c r="CK2290" s="1120"/>
      <c r="CL2290" s="1120"/>
      <c r="CM2290" s="1120"/>
      <c r="CN2290" s="1120"/>
      <c r="CO2290" s="1120"/>
      <c r="CP2290" s="1120"/>
      <c r="CQ2290" s="1120"/>
      <c r="CR2290" s="1120"/>
      <c r="CS2290" s="1120"/>
      <c r="CT2290" s="1120"/>
      <c r="CU2290" s="1120"/>
      <c r="CV2290" s="1120"/>
      <c r="CW2290" s="1120"/>
      <c r="CX2290" s="1120"/>
      <c r="CY2290" s="1120"/>
      <c r="CZ2290" s="1120"/>
      <c r="DA2290" s="1120"/>
      <c r="DB2290" s="1120"/>
      <c r="DC2290" s="1120"/>
      <c r="DD2290" s="1120"/>
      <c r="DE2290" s="1120"/>
      <c r="DF2290" s="1120"/>
      <c r="DG2290" s="1120"/>
      <c r="DH2290" s="1120"/>
    </row>
    <row r="2291">
      <c r="A2291" s="41">
        <v>2291.0</v>
      </c>
      <c r="B2291" s="319" t="s">
        <v>516</v>
      </c>
      <c r="C2291" s="146" t="s">
        <v>108</v>
      </c>
      <c r="D2291" s="59" t="s">
        <v>1263</v>
      </c>
      <c r="F2291" s="126" t="s">
        <v>13807</v>
      </c>
      <c r="G2291" s="148" t="s">
        <v>13827</v>
      </c>
      <c r="H2291" s="1284" t="s">
        <v>5011</v>
      </c>
      <c r="I2291" s="149">
        <v>45674.0</v>
      </c>
      <c r="J2291" s="149">
        <v>45691.0</v>
      </c>
      <c r="K2291" s="156" t="s">
        <v>13828</v>
      </c>
      <c r="L2291" s="65" t="s">
        <v>13829</v>
      </c>
      <c r="M2291" s="156" t="s">
        <v>13810</v>
      </c>
      <c r="N2291" s="156" t="s">
        <v>13811</v>
      </c>
      <c r="O2291" s="153">
        <v>1.0</v>
      </c>
      <c r="P2291" s="156" t="str">
        <f t="shared" ref="P2291:P2298" si="129">SUBSTITUTE(LOWER(N2291), "/", "--") &amp;  ".pdf"</f>
        <v>10.5840--jphil20111081238.pdf</v>
      </c>
      <c r="Q2291" s="49" t="str">
        <f t="array" ref="Q2291"> if(iserror(MATCH(V2291, 'File Links'!C:C, 0)), "N/A", HYPERLINK(INDEX('File Links'!B:B, MATCH(P2291, 'File Links'!C:C, 0))))</f>
        <v>https://drive.google.com/file/d/1-XMlXEjoIspJ3kqVPF-O6pr1PklAU4DF/view?usp=drivesdk</v>
      </c>
      <c r="R2291" s="2020" t="s">
        <v>5015</v>
      </c>
      <c r="S2291" s="307" t="s">
        <v>5016</v>
      </c>
      <c r="T2291" s="307" t="s">
        <v>5017</v>
      </c>
      <c r="U2291" s="153">
        <v>26.0</v>
      </c>
      <c r="V2291" s="195" t="str">
        <f t="shared" si="125"/>
        <v>10.1007--s13164-018-0400-9.pdf</v>
      </c>
      <c r="W2291" s="1287" t="s">
        <v>5018</v>
      </c>
      <c r="X2291" s="51" t="str">
        <f t="array" ref="X2291"> if(iserror(MATCH(V2291, 'File Links'!C:C, 0)), "N/A", HYPERLINK(INDEX('File Links'!B:B, MATCH(V2291, 'File Links'!C:C, 0))))</f>
        <v>https://drive.google.com/file/d/1hjI3aqifdfXjWhQAlvKCKKtvjuncAn5M/view?usp=drivesdk</v>
      </c>
      <c r="Y2291" s="65"/>
      <c r="Z2291" s="156" t="s">
        <v>158</v>
      </c>
      <c r="AA2291" s="126" t="s">
        <v>131</v>
      </c>
      <c r="AB2291" s="156" t="s">
        <v>13812</v>
      </c>
      <c r="AC2291" s="65"/>
      <c r="AD2291" s="156" t="s">
        <v>13830</v>
      </c>
      <c r="AE2291" s="156" t="s">
        <v>13831</v>
      </c>
      <c r="AF2291" s="2042">
        <v>217.0</v>
      </c>
      <c r="AG2291" s="2043" t="s">
        <v>13832</v>
      </c>
      <c r="AH2291" s="116" t="s">
        <v>127</v>
      </c>
      <c r="AI2291" s="2044" t="s">
        <v>13833</v>
      </c>
      <c r="AJ2291" s="376">
        <v>0.001</v>
      </c>
      <c r="AK2291" s="54" t="s">
        <v>128</v>
      </c>
      <c r="AL2291" s="156" t="s">
        <v>179</v>
      </c>
      <c r="AM2291" s="54" t="s">
        <v>130</v>
      </c>
      <c r="AN2291" s="327" t="s">
        <v>131</v>
      </c>
      <c r="AO2291" s="153">
        <v>319.0</v>
      </c>
      <c r="AP2291" s="156" t="s">
        <v>13834</v>
      </c>
      <c r="AQ2291" s="156" t="s">
        <v>127</v>
      </c>
      <c r="AR2291" s="156" t="s">
        <v>625</v>
      </c>
      <c r="AS2291" s="153">
        <v>0.18</v>
      </c>
      <c r="AT2291" s="156" t="s">
        <v>165</v>
      </c>
      <c r="AU2291" s="156" t="s">
        <v>179</v>
      </c>
      <c r="AV2291" s="156" t="s">
        <v>130</v>
      </c>
      <c r="AW2291" s="307" t="s">
        <v>13820</v>
      </c>
      <c r="AX2291" s="156" t="s">
        <v>136</v>
      </c>
      <c r="AZ2291" s="151" t="s">
        <v>242</v>
      </c>
      <c r="BA2291" s="1120"/>
      <c r="BB2291" s="1120"/>
      <c r="BC2291" s="1120"/>
      <c r="BD2291" s="1120"/>
      <c r="BE2291" s="1120"/>
      <c r="BF2291" s="1120"/>
      <c r="BG2291" s="1120"/>
      <c r="BH2291" s="1120"/>
      <c r="BI2291" s="1120"/>
      <c r="BJ2291" s="1120"/>
      <c r="BK2291" s="1120"/>
      <c r="BL2291" s="1120"/>
      <c r="BM2291" s="1120"/>
      <c r="BN2291" s="1120"/>
      <c r="BO2291" s="1120"/>
      <c r="BP2291" s="1120"/>
      <c r="BQ2291" s="1120"/>
      <c r="BR2291" s="1120"/>
      <c r="BS2291" s="1120"/>
      <c r="BT2291" s="1120"/>
      <c r="BU2291" s="1120"/>
      <c r="BV2291" s="1120"/>
      <c r="BW2291" s="1120"/>
      <c r="BX2291" s="1120"/>
      <c r="BY2291" s="1120"/>
      <c r="BZ2291" s="1120"/>
      <c r="CA2291" s="1120"/>
      <c r="CB2291" s="1120"/>
      <c r="CC2291" s="1120"/>
      <c r="CD2291" s="1120"/>
      <c r="CE2291" s="1120"/>
      <c r="CF2291" s="1120"/>
      <c r="CG2291" s="1120"/>
      <c r="CH2291" s="1120"/>
      <c r="CI2291" s="1120"/>
      <c r="CJ2291" s="1120"/>
      <c r="CK2291" s="1120"/>
      <c r="CL2291" s="1120"/>
      <c r="CM2291" s="1120"/>
      <c r="CN2291" s="1120"/>
      <c r="CO2291" s="1120"/>
      <c r="CP2291" s="1120"/>
      <c r="CQ2291" s="1120"/>
      <c r="CR2291" s="1120"/>
      <c r="CS2291" s="1120"/>
      <c r="CT2291" s="1120"/>
      <c r="CU2291" s="1120"/>
      <c r="CV2291" s="1120"/>
      <c r="CW2291" s="1120"/>
      <c r="CX2291" s="1120"/>
      <c r="CY2291" s="1120"/>
      <c r="CZ2291" s="1120"/>
      <c r="DA2291" s="1120"/>
      <c r="DB2291" s="1120"/>
      <c r="DC2291" s="1120"/>
      <c r="DD2291" s="1120"/>
      <c r="DE2291" s="1120"/>
      <c r="DF2291" s="1120"/>
      <c r="DG2291" s="1120"/>
      <c r="DH2291" s="1120"/>
    </row>
    <row r="2292">
      <c r="A2292" s="41">
        <v>2292.0</v>
      </c>
      <c r="B2292" s="319" t="s">
        <v>516</v>
      </c>
      <c r="C2292" s="146" t="s">
        <v>108</v>
      </c>
      <c r="D2292" s="59" t="s">
        <v>1263</v>
      </c>
      <c r="F2292" s="126" t="s">
        <v>13807</v>
      </c>
      <c r="G2292" s="148" t="s">
        <v>13835</v>
      </c>
      <c r="H2292" s="1284" t="s">
        <v>5011</v>
      </c>
      <c r="I2292" s="149">
        <v>45674.0</v>
      </c>
      <c r="J2292" s="149">
        <v>45691.0</v>
      </c>
      <c r="K2292" s="677" t="s">
        <v>13828</v>
      </c>
      <c r="L2292" s="65" t="s">
        <v>13829</v>
      </c>
      <c r="M2292" s="156" t="s">
        <v>13810</v>
      </c>
      <c r="N2292" s="156" t="s">
        <v>13811</v>
      </c>
      <c r="O2292" s="153">
        <v>1.0</v>
      </c>
      <c r="P2292" s="156" t="str">
        <f t="shared" si="129"/>
        <v>10.5840--jphil20111081238.pdf</v>
      </c>
      <c r="Q2292" s="49" t="str">
        <f t="array" ref="Q2292"> if(iserror(MATCH(V2292, 'File Links'!C:C, 0)), "N/A", HYPERLINK(INDEX('File Links'!B:B, MATCH(P2292, 'File Links'!C:C, 0))))</f>
        <v>https://drive.google.com/file/d/1-XMlXEjoIspJ3kqVPF-O6pr1PklAU4DF/view?usp=drivesdk</v>
      </c>
      <c r="R2292" s="2020" t="s">
        <v>5015</v>
      </c>
      <c r="S2292" s="307" t="s">
        <v>5016</v>
      </c>
      <c r="T2292" s="307" t="s">
        <v>5017</v>
      </c>
      <c r="U2292" s="153">
        <v>26.0</v>
      </c>
      <c r="V2292" s="195" t="str">
        <f t="shared" si="125"/>
        <v>10.1007--s13164-018-0400-9.pdf</v>
      </c>
      <c r="W2292" s="1287" t="s">
        <v>5018</v>
      </c>
      <c r="X2292" s="51" t="str">
        <f t="array" ref="X2292"> if(iserror(MATCH(V2292, 'File Links'!C:C, 0)), "N/A", HYPERLINK(INDEX('File Links'!B:B, MATCH(V2292, 'File Links'!C:C, 0))))</f>
        <v>https://drive.google.com/file/d/1hjI3aqifdfXjWhQAlvKCKKtvjuncAn5M/view?usp=drivesdk</v>
      </c>
      <c r="Y2292" s="65"/>
      <c r="Z2292" s="156" t="s">
        <v>158</v>
      </c>
      <c r="AA2292" s="126" t="s">
        <v>131</v>
      </c>
      <c r="AB2292" s="156" t="s">
        <v>13812</v>
      </c>
      <c r="AC2292" s="65"/>
      <c r="AD2292" s="156" t="s">
        <v>13836</v>
      </c>
      <c r="AE2292" s="156" t="s">
        <v>13831</v>
      </c>
      <c r="AF2292" s="2042">
        <v>217.0</v>
      </c>
      <c r="AG2292" s="2043" t="s">
        <v>13837</v>
      </c>
      <c r="AH2292" s="116" t="s">
        <v>127</v>
      </c>
      <c r="AI2292" s="2044" t="s">
        <v>13833</v>
      </c>
      <c r="AJ2292" s="376">
        <v>0.001</v>
      </c>
      <c r="AK2292" s="54" t="s">
        <v>128</v>
      </c>
      <c r="AL2292" s="156" t="s">
        <v>179</v>
      </c>
      <c r="AM2292" s="54" t="s">
        <v>130</v>
      </c>
      <c r="AN2292" s="327" t="s">
        <v>131</v>
      </c>
      <c r="AO2292" s="153">
        <v>319.0</v>
      </c>
      <c r="AP2292" s="156" t="s">
        <v>13837</v>
      </c>
      <c r="AQ2292" s="156" t="s">
        <v>127</v>
      </c>
      <c r="AR2292" s="156" t="s">
        <v>625</v>
      </c>
      <c r="AS2292" s="153">
        <v>0.001</v>
      </c>
      <c r="AT2292" s="156" t="s">
        <v>128</v>
      </c>
      <c r="AU2292" s="156" t="s">
        <v>179</v>
      </c>
      <c r="AV2292" s="156" t="s">
        <v>130</v>
      </c>
      <c r="AW2292" s="307" t="s">
        <v>13820</v>
      </c>
      <c r="AX2292" s="156" t="s">
        <v>136</v>
      </c>
      <c r="AZ2292" s="151" t="s">
        <v>242</v>
      </c>
      <c r="BA2292" s="1120"/>
      <c r="BB2292" s="1120"/>
      <c r="BC2292" s="1120"/>
      <c r="BD2292" s="1120"/>
      <c r="BE2292" s="1120"/>
      <c r="BF2292" s="1120"/>
      <c r="BG2292" s="1120"/>
      <c r="BH2292" s="1120"/>
      <c r="BI2292" s="1120"/>
      <c r="BJ2292" s="1120"/>
      <c r="BK2292" s="1120"/>
      <c r="BL2292" s="1120"/>
      <c r="BM2292" s="1120"/>
      <c r="BN2292" s="1120"/>
      <c r="BO2292" s="1120"/>
      <c r="BP2292" s="1120"/>
      <c r="BQ2292" s="1120"/>
      <c r="BR2292" s="1120"/>
      <c r="BS2292" s="1120"/>
      <c r="BT2292" s="1120"/>
      <c r="BU2292" s="1120"/>
      <c r="BV2292" s="1120"/>
      <c r="BW2292" s="1120"/>
      <c r="BX2292" s="1120"/>
      <c r="BY2292" s="1120"/>
      <c r="BZ2292" s="1120"/>
      <c r="CA2292" s="1120"/>
      <c r="CB2292" s="1120"/>
      <c r="CC2292" s="1120"/>
      <c r="CD2292" s="1120"/>
      <c r="CE2292" s="1120"/>
      <c r="CF2292" s="1120"/>
      <c r="CG2292" s="1120"/>
      <c r="CH2292" s="1120"/>
      <c r="CI2292" s="1120"/>
      <c r="CJ2292" s="1120"/>
      <c r="CK2292" s="1120"/>
      <c r="CL2292" s="1120"/>
      <c r="CM2292" s="1120"/>
      <c r="CN2292" s="1120"/>
      <c r="CO2292" s="1120"/>
      <c r="CP2292" s="1120"/>
      <c r="CQ2292" s="1120"/>
      <c r="CR2292" s="1120"/>
      <c r="CS2292" s="1120"/>
      <c r="CT2292" s="1120"/>
      <c r="CU2292" s="1120"/>
      <c r="CV2292" s="1120"/>
      <c r="CW2292" s="1120"/>
      <c r="CX2292" s="1120"/>
      <c r="CY2292" s="1120"/>
      <c r="CZ2292" s="1120"/>
      <c r="DA2292" s="1120"/>
      <c r="DB2292" s="1120"/>
      <c r="DC2292" s="1120"/>
      <c r="DD2292" s="1120"/>
      <c r="DE2292" s="1120"/>
      <c r="DF2292" s="1120"/>
      <c r="DG2292" s="1120"/>
      <c r="DH2292" s="1120"/>
    </row>
    <row r="2293">
      <c r="A2293" s="41">
        <v>2293.0</v>
      </c>
      <c r="B2293" s="65" t="s">
        <v>145</v>
      </c>
      <c r="C2293" s="59" t="s">
        <v>108</v>
      </c>
      <c r="D2293" s="59" t="s">
        <v>1263</v>
      </c>
      <c r="F2293" s="126" t="s">
        <v>13807</v>
      </c>
      <c r="G2293" s="148" t="s">
        <v>13838</v>
      </c>
      <c r="H2293" s="1284" t="s">
        <v>5011</v>
      </c>
      <c r="I2293" s="149">
        <v>45674.0</v>
      </c>
      <c r="J2293" s="149">
        <v>45691.0</v>
      </c>
      <c r="K2293" s="156" t="s">
        <v>13828</v>
      </c>
      <c r="L2293" s="65" t="s">
        <v>13829</v>
      </c>
      <c r="M2293" s="156" t="s">
        <v>13810</v>
      </c>
      <c r="N2293" s="156" t="s">
        <v>13811</v>
      </c>
      <c r="O2293" s="153">
        <v>1.0</v>
      </c>
      <c r="P2293" s="156" t="str">
        <f t="shared" si="129"/>
        <v>10.5840--jphil20111081238.pdf</v>
      </c>
      <c r="Q2293" s="49" t="str">
        <f t="array" ref="Q2293"> if(iserror(MATCH(V2293, 'File Links'!C:C, 0)), "N/A", HYPERLINK(INDEX('File Links'!B:B, MATCH(P2293, 'File Links'!C:C, 0))))</f>
        <v>https://drive.google.com/file/d/1-XMlXEjoIspJ3kqVPF-O6pr1PklAU4DF/view?usp=drivesdk</v>
      </c>
      <c r="R2293" s="2020" t="s">
        <v>5015</v>
      </c>
      <c r="S2293" s="307" t="s">
        <v>5016</v>
      </c>
      <c r="T2293" s="307" t="s">
        <v>5017</v>
      </c>
      <c r="U2293" s="153">
        <v>26.0</v>
      </c>
      <c r="V2293" s="156" t="str">
        <f t="shared" si="125"/>
        <v>10.1007--s13164-018-0400-9.pdf</v>
      </c>
      <c r="W2293" s="1287" t="s">
        <v>5018</v>
      </c>
      <c r="X2293" s="51" t="str">
        <f t="array" ref="X2293"> if(iserror(MATCH(V2293, 'File Links'!C:C, 0)), "N/A", HYPERLINK(INDEX('File Links'!B:B, MATCH(V2293, 'File Links'!C:C, 0))))</f>
        <v>https://drive.google.com/file/d/1hjI3aqifdfXjWhQAlvKCKKtvjuncAn5M/view?usp=drivesdk</v>
      </c>
      <c r="Y2293" s="65"/>
      <c r="Z2293" s="156" t="s">
        <v>158</v>
      </c>
      <c r="AA2293" s="126" t="s">
        <v>131</v>
      </c>
      <c r="AB2293" s="156" t="s">
        <v>13812</v>
      </c>
      <c r="AC2293" s="156" t="s">
        <v>13812</v>
      </c>
      <c r="AD2293" s="156" t="s">
        <v>13839</v>
      </c>
      <c r="AE2293" s="156" t="s">
        <v>13831</v>
      </c>
      <c r="AF2293" s="2042">
        <v>217.0</v>
      </c>
      <c r="AG2293" s="2043" t="s">
        <v>13840</v>
      </c>
      <c r="AH2293" s="116" t="s">
        <v>127</v>
      </c>
      <c r="AI2293" s="2044" t="s">
        <v>13833</v>
      </c>
      <c r="AJ2293" s="376">
        <v>1.0E-4</v>
      </c>
      <c r="AK2293" s="54" t="s">
        <v>128</v>
      </c>
      <c r="AL2293" s="156" t="s">
        <v>179</v>
      </c>
      <c r="AM2293" s="54" t="s">
        <v>130</v>
      </c>
      <c r="AN2293" s="327" t="s">
        <v>131</v>
      </c>
      <c r="AO2293" s="153">
        <v>319.0</v>
      </c>
      <c r="AP2293" s="156" t="s">
        <v>13840</v>
      </c>
      <c r="AQ2293" s="156" t="s">
        <v>127</v>
      </c>
      <c r="AR2293" s="156" t="s">
        <v>625</v>
      </c>
      <c r="AS2293" s="153">
        <v>0.001</v>
      </c>
      <c r="AT2293" s="156" t="s">
        <v>128</v>
      </c>
      <c r="AU2293" s="156" t="s">
        <v>179</v>
      </c>
      <c r="AV2293" s="156" t="s">
        <v>130</v>
      </c>
      <c r="AW2293" s="307" t="s">
        <v>13820</v>
      </c>
      <c r="AX2293" s="156" t="s">
        <v>136</v>
      </c>
      <c r="AZ2293" s="151" t="s">
        <v>242</v>
      </c>
      <c r="BA2293" s="339"/>
      <c r="BB2293" s="339"/>
      <c r="BC2293" s="339"/>
      <c r="BD2293" s="339"/>
      <c r="BE2293" s="339"/>
      <c r="BF2293" s="339"/>
      <c r="BG2293" s="339"/>
      <c r="BH2293" s="339"/>
      <c r="BI2293" s="339"/>
      <c r="BJ2293" s="339"/>
      <c r="BK2293" s="339"/>
      <c r="BL2293" s="339"/>
      <c r="BM2293" s="339"/>
      <c r="BN2293" s="339"/>
      <c r="BO2293" s="339"/>
      <c r="BP2293" s="339"/>
      <c r="BQ2293" s="339"/>
      <c r="BR2293" s="339"/>
      <c r="BS2293" s="339"/>
      <c r="BT2293" s="339"/>
      <c r="BU2293" s="339"/>
      <c r="BV2293" s="339"/>
      <c r="BW2293" s="339"/>
      <c r="BX2293" s="339"/>
      <c r="BY2293" s="339"/>
      <c r="BZ2293" s="339"/>
      <c r="CA2293" s="339"/>
      <c r="CB2293" s="339"/>
      <c r="CC2293" s="339"/>
      <c r="CD2293" s="339"/>
      <c r="CE2293" s="339"/>
      <c r="CF2293" s="339"/>
      <c r="CG2293" s="339"/>
      <c r="CH2293" s="339"/>
      <c r="CI2293" s="339"/>
      <c r="CJ2293" s="339"/>
      <c r="CK2293" s="339"/>
      <c r="CL2293" s="339"/>
      <c r="CM2293" s="339"/>
      <c r="CN2293" s="339"/>
      <c r="CO2293" s="339"/>
      <c r="CP2293" s="339"/>
      <c r="CQ2293" s="339"/>
      <c r="CR2293" s="339"/>
      <c r="CS2293" s="339"/>
      <c r="CT2293" s="339"/>
      <c r="CU2293" s="339"/>
      <c r="CV2293" s="339"/>
      <c r="CW2293" s="339"/>
      <c r="CX2293" s="339"/>
      <c r="CY2293" s="339"/>
      <c r="CZ2293" s="339"/>
      <c r="DA2293" s="339"/>
      <c r="DB2293" s="339"/>
      <c r="DC2293" s="339"/>
      <c r="DD2293" s="339"/>
      <c r="DE2293" s="339"/>
      <c r="DF2293" s="339"/>
      <c r="DG2293" s="339"/>
      <c r="DH2293" s="339"/>
    </row>
    <row r="2294">
      <c r="A2294" s="41">
        <v>2294.0</v>
      </c>
      <c r="B2294" s="65" t="s">
        <v>145</v>
      </c>
      <c r="C2294" s="59" t="s">
        <v>108</v>
      </c>
      <c r="D2294" s="59" t="s">
        <v>1263</v>
      </c>
      <c r="F2294" s="126" t="s">
        <v>13807</v>
      </c>
      <c r="G2294" s="148" t="s">
        <v>13841</v>
      </c>
      <c r="H2294" s="1284" t="s">
        <v>5011</v>
      </c>
      <c r="I2294" s="149">
        <v>45674.0</v>
      </c>
      <c r="J2294" s="149">
        <v>45691.0</v>
      </c>
      <c r="K2294" s="677" t="s">
        <v>13828</v>
      </c>
      <c r="L2294" s="65" t="s">
        <v>13829</v>
      </c>
      <c r="M2294" s="156" t="s">
        <v>13810</v>
      </c>
      <c r="N2294" s="156" t="s">
        <v>13811</v>
      </c>
      <c r="O2294" s="153">
        <v>1.0</v>
      </c>
      <c r="P2294" s="156" t="str">
        <f t="shared" si="129"/>
        <v>10.5840--jphil20111081238.pdf</v>
      </c>
      <c r="Q2294" s="49" t="str">
        <f t="array" ref="Q2294"> if(iserror(MATCH(V2294, 'File Links'!C:C, 0)), "N/A", HYPERLINK(INDEX('File Links'!B:B, MATCH(P2294, 'File Links'!C:C, 0))))</f>
        <v>https://drive.google.com/file/d/1-XMlXEjoIspJ3kqVPF-O6pr1PklAU4DF/view?usp=drivesdk</v>
      </c>
      <c r="R2294" s="2020" t="s">
        <v>5015</v>
      </c>
      <c r="S2294" s="307" t="s">
        <v>5016</v>
      </c>
      <c r="T2294" s="307" t="s">
        <v>5017</v>
      </c>
      <c r="U2294" s="153">
        <v>26.0</v>
      </c>
      <c r="V2294" s="156" t="str">
        <f t="shared" si="125"/>
        <v>10.1007--s13164-018-0400-9.pdf</v>
      </c>
      <c r="W2294" s="1287" t="s">
        <v>5018</v>
      </c>
      <c r="X2294" s="51" t="str">
        <f t="array" ref="X2294"> if(iserror(MATCH(V2294, 'File Links'!C:C, 0)), "N/A", HYPERLINK(INDEX('File Links'!B:B, MATCH(V2294, 'File Links'!C:C, 0))))</f>
        <v>https://drive.google.com/file/d/1hjI3aqifdfXjWhQAlvKCKKtvjuncAn5M/view?usp=drivesdk</v>
      </c>
      <c r="Y2294" s="65"/>
      <c r="Z2294" s="156" t="s">
        <v>158</v>
      </c>
      <c r="AA2294" s="126" t="s">
        <v>131</v>
      </c>
      <c r="AB2294" s="156" t="s">
        <v>13812</v>
      </c>
      <c r="AC2294" s="156" t="s">
        <v>13812</v>
      </c>
      <c r="AD2294" s="156" t="s">
        <v>13842</v>
      </c>
      <c r="AE2294" s="156" t="s">
        <v>13831</v>
      </c>
      <c r="AF2294" s="2042">
        <v>217.0</v>
      </c>
      <c r="AG2294" s="2043" t="s">
        <v>13843</v>
      </c>
      <c r="AH2294" s="116" t="s">
        <v>127</v>
      </c>
      <c r="AI2294" s="2044" t="s">
        <v>13833</v>
      </c>
      <c r="AJ2294" s="376">
        <v>0.01</v>
      </c>
      <c r="AK2294" s="54" t="s">
        <v>128</v>
      </c>
      <c r="AL2294" s="156" t="s">
        <v>179</v>
      </c>
      <c r="AM2294" s="54" t="s">
        <v>130</v>
      </c>
      <c r="AN2294" s="327" t="s">
        <v>131</v>
      </c>
      <c r="AO2294" s="153">
        <v>319.0</v>
      </c>
      <c r="AP2294" s="156" t="s">
        <v>13843</v>
      </c>
      <c r="AQ2294" s="156" t="s">
        <v>127</v>
      </c>
      <c r="AR2294" s="156" t="s">
        <v>625</v>
      </c>
      <c r="AS2294" s="153">
        <v>0.46</v>
      </c>
      <c r="AT2294" s="156" t="s">
        <v>165</v>
      </c>
      <c r="AU2294" s="156" t="s">
        <v>179</v>
      </c>
      <c r="AV2294" s="156" t="s">
        <v>130</v>
      </c>
      <c r="AW2294" s="307" t="s">
        <v>13820</v>
      </c>
      <c r="AX2294" s="156" t="s">
        <v>136</v>
      </c>
      <c r="AZ2294" s="151" t="s">
        <v>242</v>
      </c>
    </row>
    <row r="2295">
      <c r="A2295" s="41">
        <v>2295.0</v>
      </c>
      <c r="B2295" s="151" t="s">
        <v>145</v>
      </c>
      <c r="C2295" s="59" t="s">
        <v>108</v>
      </c>
      <c r="D2295" s="59" t="s">
        <v>1263</v>
      </c>
      <c r="F2295" s="126" t="s">
        <v>13807</v>
      </c>
      <c r="G2295" s="148" t="s">
        <v>13844</v>
      </c>
      <c r="H2295" s="1284" t="s">
        <v>5011</v>
      </c>
      <c r="I2295" s="149">
        <v>45674.0</v>
      </c>
      <c r="J2295" s="149">
        <v>45691.0</v>
      </c>
      <c r="K2295" s="156" t="s">
        <v>13828</v>
      </c>
      <c r="L2295" s="65" t="s">
        <v>13829</v>
      </c>
      <c r="M2295" s="156" t="s">
        <v>13810</v>
      </c>
      <c r="N2295" s="156" t="s">
        <v>13811</v>
      </c>
      <c r="O2295" s="153">
        <v>1.0</v>
      </c>
      <c r="P2295" s="156" t="str">
        <f t="shared" si="129"/>
        <v>10.5840--jphil20111081238.pdf</v>
      </c>
      <c r="Q2295" s="49" t="str">
        <f t="array" ref="Q2295"> if(iserror(MATCH(V2295, 'File Links'!C:C, 0)), "N/A", HYPERLINK(INDEX('File Links'!B:B, MATCH(P2295, 'File Links'!C:C, 0))))</f>
        <v>https://drive.google.com/file/d/1-XMlXEjoIspJ3kqVPF-O6pr1PklAU4DF/view?usp=drivesdk</v>
      </c>
      <c r="R2295" s="2020" t="s">
        <v>5015</v>
      </c>
      <c r="S2295" s="307" t="s">
        <v>5016</v>
      </c>
      <c r="T2295" s="307" t="s">
        <v>5017</v>
      </c>
      <c r="U2295" s="153">
        <v>26.0</v>
      </c>
      <c r="V2295" s="156" t="str">
        <f t="shared" si="125"/>
        <v>10.1007--s13164-018-0400-9.pdf</v>
      </c>
      <c r="W2295" s="1287" t="s">
        <v>5018</v>
      </c>
      <c r="X2295" s="51" t="str">
        <f t="array" ref="X2295"> if(iserror(MATCH(V2295, 'File Links'!C:C, 0)), "N/A", HYPERLINK(INDEX('File Links'!B:B, MATCH(V2295, 'File Links'!C:C, 0))))</f>
        <v>https://drive.google.com/file/d/1hjI3aqifdfXjWhQAlvKCKKtvjuncAn5M/view?usp=drivesdk</v>
      </c>
      <c r="Y2295" s="65"/>
      <c r="Z2295" s="156" t="s">
        <v>158</v>
      </c>
      <c r="AA2295" s="126" t="s">
        <v>131</v>
      </c>
      <c r="AB2295" s="156" t="s">
        <v>13812</v>
      </c>
      <c r="AC2295" s="156" t="s">
        <v>13812</v>
      </c>
      <c r="AD2295" s="156" t="s">
        <v>13845</v>
      </c>
      <c r="AE2295" s="156" t="s">
        <v>13831</v>
      </c>
      <c r="AF2295" s="2042">
        <v>217.0</v>
      </c>
      <c r="AG2295" s="2043" t="s">
        <v>13846</v>
      </c>
      <c r="AH2295" s="116" t="s">
        <v>127</v>
      </c>
      <c r="AI2295" s="2044" t="s">
        <v>13833</v>
      </c>
      <c r="AJ2295" s="376">
        <v>1.0E-4</v>
      </c>
      <c r="AK2295" s="54" t="s">
        <v>128</v>
      </c>
      <c r="AL2295" s="156" t="s">
        <v>179</v>
      </c>
      <c r="AM2295" s="54" t="s">
        <v>130</v>
      </c>
      <c r="AN2295" s="327" t="s">
        <v>131</v>
      </c>
      <c r="AO2295" s="153">
        <v>319.0</v>
      </c>
      <c r="AP2295" s="156" t="s">
        <v>13846</v>
      </c>
      <c r="AQ2295" s="156" t="s">
        <v>127</v>
      </c>
      <c r="AR2295" s="156" t="s">
        <v>625</v>
      </c>
      <c r="AS2295" s="153">
        <v>0.001</v>
      </c>
      <c r="AT2295" s="156" t="s">
        <v>128</v>
      </c>
      <c r="AU2295" s="156" t="s">
        <v>179</v>
      </c>
      <c r="AV2295" s="156" t="s">
        <v>130</v>
      </c>
      <c r="AW2295" s="307" t="s">
        <v>13820</v>
      </c>
      <c r="AX2295" s="156" t="s">
        <v>136</v>
      </c>
      <c r="AZ2295" s="151" t="s">
        <v>242</v>
      </c>
    </row>
    <row r="2296">
      <c r="A2296" s="41">
        <v>2296.0</v>
      </c>
      <c r="B2296" s="65" t="s">
        <v>145</v>
      </c>
      <c r="C2296" s="59" t="s">
        <v>108</v>
      </c>
      <c r="D2296" s="59" t="s">
        <v>1263</v>
      </c>
      <c r="F2296" s="126" t="s">
        <v>13807</v>
      </c>
      <c r="G2296" s="148" t="s">
        <v>13847</v>
      </c>
      <c r="H2296" s="1284" t="s">
        <v>5011</v>
      </c>
      <c r="I2296" s="149">
        <v>45674.0</v>
      </c>
      <c r="J2296" s="149">
        <v>45691.0</v>
      </c>
      <c r="K2296" s="156" t="s">
        <v>13828</v>
      </c>
      <c r="L2296" s="65" t="s">
        <v>13829</v>
      </c>
      <c r="M2296" s="156" t="s">
        <v>13810</v>
      </c>
      <c r="N2296" s="156" t="s">
        <v>13811</v>
      </c>
      <c r="O2296" s="153">
        <v>1.0</v>
      </c>
      <c r="P2296" s="156" t="str">
        <f t="shared" si="129"/>
        <v>10.5840--jphil20111081238.pdf</v>
      </c>
      <c r="Q2296" s="49" t="str">
        <f t="array" ref="Q2296"> if(iserror(MATCH(V2296, 'File Links'!C:C, 0)), "N/A", HYPERLINK(INDEX('File Links'!B:B, MATCH(P2296, 'File Links'!C:C, 0))))</f>
        <v>https://drive.google.com/file/d/1-XMlXEjoIspJ3kqVPF-O6pr1PklAU4DF/view?usp=drivesdk</v>
      </c>
      <c r="R2296" s="2020" t="s">
        <v>5015</v>
      </c>
      <c r="S2296" s="307" t="s">
        <v>5016</v>
      </c>
      <c r="T2296" s="307" t="s">
        <v>5017</v>
      </c>
      <c r="U2296" s="153">
        <v>26.0</v>
      </c>
      <c r="V2296" s="156" t="str">
        <f t="shared" si="125"/>
        <v>10.1007--s13164-018-0400-9.pdf</v>
      </c>
      <c r="W2296" s="1287" t="s">
        <v>5018</v>
      </c>
      <c r="X2296" s="51" t="str">
        <f t="array" ref="X2296"> if(iserror(MATCH(V2296, 'File Links'!C:C, 0)), "N/A", HYPERLINK(INDEX('File Links'!B:B, MATCH(V2296, 'File Links'!C:C, 0))))</f>
        <v>https://drive.google.com/file/d/1hjI3aqifdfXjWhQAlvKCKKtvjuncAn5M/view?usp=drivesdk</v>
      </c>
      <c r="Y2296" s="65"/>
      <c r="Z2296" s="156" t="s">
        <v>158</v>
      </c>
      <c r="AA2296" s="126" t="s">
        <v>131</v>
      </c>
      <c r="AB2296" s="156" t="s">
        <v>13812</v>
      </c>
      <c r="AC2296" s="156" t="s">
        <v>13812</v>
      </c>
      <c r="AD2296" s="156" t="s">
        <v>13848</v>
      </c>
      <c r="AE2296" s="153">
        <v>11.0</v>
      </c>
      <c r="AF2296" s="2042">
        <v>217.0</v>
      </c>
      <c r="AG2296" s="2043" t="s">
        <v>13849</v>
      </c>
      <c r="AH2296" s="116" t="s">
        <v>127</v>
      </c>
      <c r="AI2296" s="2044" t="s">
        <v>13833</v>
      </c>
      <c r="AJ2296" s="376">
        <v>1.0E-4</v>
      </c>
      <c r="AK2296" s="54" t="s">
        <v>128</v>
      </c>
      <c r="AL2296" s="156" t="s">
        <v>179</v>
      </c>
      <c r="AM2296" s="54" t="s">
        <v>130</v>
      </c>
      <c r="AN2296" s="327" t="s">
        <v>131</v>
      </c>
      <c r="AO2296" s="153">
        <v>319.0</v>
      </c>
      <c r="AP2296" s="156" t="s">
        <v>13850</v>
      </c>
      <c r="AQ2296" s="156" t="s">
        <v>127</v>
      </c>
      <c r="AR2296" s="156" t="s">
        <v>625</v>
      </c>
      <c r="AS2296" s="153">
        <v>0.001</v>
      </c>
      <c r="AT2296" s="156" t="s">
        <v>128</v>
      </c>
      <c r="AU2296" s="156" t="s">
        <v>179</v>
      </c>
      <c r="AV2296" s="156" t="s">
        <v>130</v>
      </c>
      <c r="AW2296" s="307" t="s">
        <v>13820</v>
      </c>
      <c r="AX2296" s="156" t="s">
        <v>136</v>
      </c>
      <c r="AZ2296" s="151" t="s">
        <v>242</v>
      </c>
    </row>
    <row r="2297">
      <c r="A2297" s="41">
        <v>2297.0</v>
      </c>
      <c r="B2297" s="151" t="s">
        <v>107</v>
      </c>
      <c r="C2297" s="59" t="s">
        <v>108</v>
      </c>
      <c r="D2297" s="59" t="s">
        <v>1263</v>
      </c>
      <c r="F2297" s="2019" t="s">
        <v>13851</v>
      </c>
      <c r="G2297" s="156" t="s">
        <v>13852</v>
      </c>
      <c r="H2297" s="1284" t="s">
        <v>5011</v>
      </c>
      <c r="I2297" s="149">
        <v>45674.0</v>
      </c>
      <c r="J2297" s="149">
        <v>45691.0</v>
      </c>
      <c r="K2297" s="156" t="s">
        <v>13853</v>
      </c>
      <c r="L2297" s="65"/>
      <c r="M2297" s="156" t="s">
        <v>13854</v>
      </c>
      <c r="N2297" s="126" t="s">
        <v>13855</v>
      </c>
      <c r="O2297" s="126">
        <v>1.0</v>
      </c>
      <c r="P2297" s="156" t="str">
        <f t="shared" si="129"/>
        <v>art00005.pdf</v>
      </c>
      <c r="Q2297" s="49" t="str">
        <f t="array" ref="Q2297"> if(iserror(MATCH(V2297, 'File Links'!C:C, 0)), "N/A", HYPERLINK(INDEX('File Links'!B:B, MATCH(P2297, 'File Links'!C:C, 0))))</f>
        <v>https://drive.google.com/file/d/1_mm78I7fP7y2ESrJlwaIrN7h22W30B5K/view?usp=drivesdk</v>
      </c>
      <c r="R2297" s="2020" t="s">
        <v>5015</v>
      </c>
      <c r="S2297" s="307" t="s">
        <v>5016</v>
      </c>
      <c r="T2297" s="307" t="s">
        <v>5017</v>
      </c>
      <c r="U2297" s="153">
        <v>27.0</v>
      </c>
      <c r="V2297" s="156" t="str">
        <f t="shared" si="125"/>
        <v>10.1007--s13164-018-0400-9.pdf</v>
      </c>
      <c r="W2297" s="1287" t="s">
        <v>5018</v>
      </c>
      <c r="X2297" s="51" t="str">
        <f t="array" ref="X2297"> if(iserror(MATCH(V2297, 'File Links'!C:C, 0)), "N/A", HYPERLINK(INDEX('File Links'!B:B, MATCH(V2297, 'File Links'!C:C, 0))))</f>
        <v>https://drive.google.com/file/d/1hjI3aqifdfXjWhQAlvKCKKtvjuncAn5M/view?usp=drivesdk</v>
      </c>
      <c r="Y2297" s="65"/>
      <c r="Z2297" s="156" t="s">
        <v>158</v>
      </c>
      <c r="AA2297" s="126" t="s">
        <v>131</v>
      </c>
      <c r="AB2297" s="156" t="s">
        <v>13856</v>
      </c>
      <c r="AC2297" s="65"/>
      <c r="AD2297" s="156" t="s">
        <v>13857</v>
      </c>
      <c r="AE2297" s="153">
        <v>8.0</v>
      </c>
      <c r="AF2297" s="65"/>
      <c r="AG2297" s="65"/>
      <c r="AH2297" s="65"/>
      <c r="AI2297" s="335"/>
      <c r="AJ2297" s="58"/>
      <c r="AK2297" s="58"/>
      <c r="AL2297" s="65"/>
      <c r="AM2297" s="58"/>
      <c r="AN2297" s="327" t="s">
        <v>131</v>
      </c>
      <c r="AO2297" s="2045"/>
      <c r="AP2297" s="2026" t="s">
        <v>13858</v>
      </c>
      <c r="AQ2297" s="156" t="s">
        <v>264</v>
      </c>
      <c r="AR2297" s="156" t="s">
        <v>5017</v>
      </c>
      <c r="AS2297" s="153">
        <v>0.001</v>
      </c>
      <c r="AT2297" s="156" t="s">
        <v>128</v>
      </c>
      <c r="AU2297" s="156" t="s">
        <v>179</v>
      </c>
      <c r="AV2297" s="156" t="s">
        <v>130</v>
      </c>
      <c r="AW2297" s="1382" t="s">
        <v>13820</v>
      </c>
      <c r="AX2297" s="156" t="s">
        <v>136</v>
      </c>
      <c r="AZ2297" s="126" t="s">
        <v>13716</v>
      </c>
    </row>
    <row r="2298">
      <c r="A2298" s="41">
        <v>2298.0</v>
      </c>
      <c r="B2298" s="42" t="s">
        <v>145</v>
      </c>
      <c r="C2298" s="59" t="s">
        <v>108</v>
      </c>
      <c r="D2298" s="59" t="s">
        <v>241</v>
      </c>
      <c r="F2298" s="2019" t="s">
        <v>13851</v>
      </c>
      <c r="G2298" s="156" t="s">
        <v>13852</v>
      </c>
      <c r="H2298" s="1284" t="s">
        <v>242</v>
      </c>
      <c r="I2298" s="149">
        <v>45331.0</v>
      </c>
      <c r="J2298" s="149">
        <v>45691.0</v>
      </c>
      <c r="K2298" s="2046" t="s">
        <v>13859</v>
      </c>
      <c r="L2298" s="65"/>
      <c r="M2298" s="156" t="s">
        <v>13854</v>
      </c>
      <c r="N2298" s="126" t="s">
        <v>13855</v>
      </c>
      <c r="O2298" s="126">
        <v>1.0</v>
      </c>
      <c r="P2298" s="156" t="str">
        <f t="shared" si="129"/>
        <v>art00005.pdf</v>
      </c>
      <c r="Q2298" s="49" t="str">
        <f t="array" ref="Q2298"> if(iserror(MATCH(V2298, 'File Links'!C:C, 0)), "N/A", HYPERLINK(INDEX('File Links'!B:B, MATCH(P2298, 'File Links'!C:C, 0))))</f>
        <v>https://drive.google.com/file/d/1_mm78I7fP7y2ESrJlwaIrN7h22W30B5K/view?usp=drivesdk</v>
      </c>
      <c r="R2298" s="2020" t="s">
        <v>5015</v>
      </c>
      <c r="S2298" s="156" t="s">
        <v>5016</v>
      </c>
      <c r="T2298" s="307" t="s">
        <v>5017</v>
      </c>
      <c r="U2298" s="1744">
        <v>27.0</v>
      </c>
      <c r="V2298" s="156" t="str">
        <f t="shared" si="125"/>
        <v>10.1007--s13164-018-0400-9.pdf</v>
      </c>
      <c r="W2298" s="1287" t="s">
        <v>5018</v>
      </c>
      <c r="X2298" s="51" t="str">
        <f t="array" ref="X2298"> if(iserror(MATCH(V2298, 'File Links'!C:C, 0)), "N/A", HYPERLINK(INDEX('File Links'!B:B, MATCH(V2298, 'File Links'!C:C, 0))))</f>
        <v>https://drive.google.com/file/d/1hjI3aqifdfXjWhQAlvKCKKtvjuncAn5M/view?usp=drivesdk</v>
      </c>
      <c r="Y2298" s="65"/>
      <c r="Z2298" s="156" t="s">
        <v>158</v>
      </c>
      <c r="AA2298" s="126" t="s">
        <v>131</v>
      </c>
      <c r="AB2298" s="156" t="s">
        <v>5028</v>
      </c>
      <c r="AC2298" s="126" t="s">
        <v>13860</v>
      </c>
      <c r="AD2298" s="156" t="s">
        <v>13857</v>
      </c>
      <c r="AE2298" s="156" t="s">
        <v>131</v>
      </c>
      <c r="AF2298" s="153">
        <v>15664.0</v>
      </c>
      <c r="AG2298" s="2035">
        <v>0.31</v>
      </c>
      <c r="AH2298" s="156" t="s">
        <v>264</v>
      </c>
      <c r="AI2298" s="148" t="s">
        <v>13861</v>
      </c>
      <c r="AJ2298" s="376">
        <v>0.001</v>
      </c>
      <c r="AK2298" s="54" t="s">
        <v>128</v>
      </c>
      <c r="AL2298" s="156" t="s">
        <v>179</v>
      </c>
      <c r="AM2298" s="1283" t="s">
        <v>130</v>
      </c>
      <c r="AN2298" s="1128" t="s">
        <v>131</v>
      </c>
      <c r="AO2298" s="2047">
        <v>2211.0</v>
      </c>
      <c r="AP2298" s="153">
        <v>0.27</v>
      </c>
      <c r="AQ2298" s="156" t="s">
        <v>264</v>
      </c>
      <c r="AR2298" s="687" t="s">
        <v>13862</v>
      </c>
      <c r="AS2298" s="153">
        <v>0.001</v>
      </c>
      <c r="AT2298" s="156" t="s">
        <v>128</v>
      </c>
      <c r="AU2298" s="156" t="s">
        <v>179</v>
      </c>
      <c r="AV2298" s="151" t="s">
        <v>130</v>
      </c>
      <c r="AW2298" s="2048" t="s">
        <v>131</v>
      </c>
      <c r="AX2298" s="151" t="s">
        <v>136</v>
      </c>
      <c r="AZ2298" s="126" t="s">
        <v>13716</v>
      </c>
      <c r="BA2298" s="339"/>
      <c r="BB2298" s="339"/>
      <c r="BC2298" s="339"/>
      <c r="BD2298" s="339"/>
      <c r="BE2298" s="339"/>
      <c r="BF2298" s="339"/>
      <c r="BG2298" s="339"/>
      <c r="BH2298" s="339"/>
      <c r="BI2298" s="339"/>
      <c r="BJ2298" s="339"/>
      <c r="BK2298" s="339"/>
      <c r="BL2298" s="339"/>
      <c r="BM2298" s="339"/>
      <c r="BN2298" s="339"/>
      <c r="BO2298" s="339"/>
      <c r="BP2298" s="339"/>
      <c r="BQ2298" s="339"/>
      <c r="BR2298" s="339"/>
      <c r="BS2298" s="339"/>
      <c r="BT2298" s="339"/>
      <c r="BU2298" s="339"/>
      <c r="BV2298" s="339"/>
      <c r="BW2298" s="339"/>
      <c r="BX2298" s="339"/>
      <c r="BY2298" s="339"/>
      <c r="BZ2298" s="339"/>
      <c r="CA2298" s="339"/>
      <c r="CB2298" s="339"/>
      <c r="CC2298" s="339"/>
      <c r="CD2298" s="339"/>
      <c r="CE2298" s="339"/>
      <c r="CF2298" s="339"/>
      <c r="CG2298" s="339"/>
      <c r="CH2298" s="339"/>
      <c r="CI2298" s="339"/>
      <c r="CJ2298" s="339"/>
      <c r="CK2298" s="339"/>
      <c r="CL2298" s="339"/>
      <c r="CM2298" s="339"/>
      <c r="CN2298" s="339"/>
      <c r="CO2298" s="339"/>
      <c r="CP2298" s="339"/>
      <c r="CQ2298" s="339"/>
      <c r="CR2298" s="339"/>
      <c r="CS2298" s="339"/>
      <c r="CT2298" s="339"/>
      <c r="CU2298" s="339"/>
      <c r="CV2298" s="339"/>
      <c r="CW2298" s="339"/>
      <c r="CX2298" s="339"/>
      <c r="CY2298" s="339"/>
      <c r="CZ2298" s="339"/>
      <c r="DA2298" s="339"/>
      <c r="DB2298" s="339"/>
      <c r="DC2298" s="339"/>
      <c r="DD2298" s="339"/>
      <c r="DE2298" s="339"/>
      <c r="DF2298" s="339"/>
      <c r="DG2298" s="339"/>
      <c r="DH2298" s="339"/>
    </row>
    <row r="2299">
      <c r="A2299" s="41">
        <v>2299.0</v>
      </c>
      <c r="B2299" s="42" t="s">
        <v>583</v>
      </c>
      <c r="C2299" s="59" t="s">
        <v>108</v>
      </c>
      <c r="D2299" s="59" t="s">
        <v>241</v>
      </c>
      <c r="F2299" s="2019" t="s">
        <v>13863</v>
      </c>
      <c r="G2299" s="156" t="s">
        <v>13864</v>
      </c>
      <c r="H2299" s="1284" t="s">
        <v>242</v>
      </c>
      <c r="I2299" s="149">
        <v>45331.0</v>
      </c>
      <c r="J2299" s="149">
        <v>45686.0</v>
      </c>
      <c r="K2299" s="156" t="s">
        <v>13865</v>
      </c>
      <c r="L2299" s="478" t="s">
        <v>13528</v>
      </c>
      <c r="M2299" s="156" t="s">
        <v>13866</v>
      </c>
      <c r="N2299" s="156" t="s">
        <v>13867</v>
      </c>
      <c r="O2299" s="126">
        <v>1.0</v>
      </c>
      <c r="P2299" s="156" t="s">
        <v>13868</v>
      </c>
      <c r="Q2299" s="49" t="str">
        <f t="array" ref="Q2299"> if(iserror(MATCH(V2299, 'File Links'!C:C, 0)), "N/A", HYPERLINK(INDEX('File Links'!B:B, MATCH(P2299, 'File Links'!C:C, 0))))</f>
        <v>https://drive.google.com/file/d/1TdFZluOSkUInT8sXikux3vYR7IOX4RMk/view?usp=drivesdk</v>
      </c>
      <c r="R2299" s="2020" t="s">
        <v>5015</v>
      </c>
      <c r="S2299" s="156" t="s">
        <v>5016</v>
      </c>
      <c r="T2299" s="307" t="s">
        <v>5017</v>
      </c>
      <c r="U2299" s="1055">
        <v>29.0</v>
      </c>
      <c r="V2299" s="156" t="str">
        <f t="shared" si="125"/>
        <v>10.1007--s13164-018-0400-9.pdf</v>
      </c>
      <c r="W2299" s="1287" t="s">
        <v>5018</v>
      </c>
      <c r="X2299" s="51" t="str">
        <f t="array" ref="X2299"> if(iserror(MATCH(V2299, 'File Links'!C:C, 0)), "N/A", HYPERLINK(INDEX('File Links'!B:B, MATCH(V2299, 'File Links'!C:C, 0))))</f>
        <v>https://drive.google.com/file/d/1hjI3aqifdfXjWhQAlvKCKKtvjuncAn5M/view?usp=drivesdk</v>
      </c>
      <c r="Y2299" s="65"/>
      <c r="Z2299" s="156" t="s">
        <v>158</v>
      </c>
      <c r="AA2299" s="126" t="s">
        <v>131</v>
      </c>
      <c r="AB2299" s="1287" t="s">
        <v>13869</v>
      </c>
      <c r="AC2299" s="126" t="s">
        <v>13870</v>
      </c>
      <c r="AD2299" s="156" t="s">
        <v>13871</v>
      </c>
      <c r="AE2299" s="156" t="s">
        <v>13872</v>
      </c>
      <c r="AF2299" s="153">
        <v>223.0</v>
      </c>
      <c r="AG2299" s="2041" t="s">
        <v>13873</v>
      </c>
      <c r="AH2299" s="116" t="s">
        <v>127</v>
      </c>
      <c r="AI2299" s="2049" t="s">
        <v>13872</v>
      </c>
      <c r="AJ2299" s="376">
        <v>0.001</v>
      </c>
      <c r="AK2299" s="54" t="s">
        <v>128</v>
      </c>
      <c r="AL2299" s="156" t="s">
        <v>179</v>
      </c>
      <c r="AM2299" s="1283" t="s">
        <v>134</v>
      </c>
      <c r="AN2299" s="1128" t="s">
        <v>131</v>
      </c>
      <c r="AO2299" s="1289">
        <v>363.0</v>
      </c>
      <c r="AP2299" s="158" t="s">
        <v>13874</v>
      </c>
      <c r="AQ2299" s="148" t="s">
        <v>127</v>
      </c>
      <c r="AR2299" s="156"/>
      <c r="AS2299" s="153">
        <v>0.001</v>
      </c>
      <c r="AT2299" s="156" t="s">
        <v>128</v>
      </c>
      <c r="AU2299" s="156" t="s">
        <v>179</v>
      </c>
      <c r="AV2299" s="151" t="s">
        <v>134</v>
      </c>
      <c r="AW2299" s="1290" t="s">
        <v>13875</v>
      </c>
      <c r="AX2299" s="151" t="s">
        <v>136</v>
      </c>
      <c r="AZ2299" s="65" t="s">
        <v>242</v>
      </c>
      <c r="BA2299" s="339"/>
      <c r="BB2299" s="339"/>
      <c r="BC2299" s="339"/>
      <c r="BD2299" s="339"/>
      <c r="BE2299" s="339"/>
      <c r="BF2299" s="339"/>
      <c r="BG2299" s="339"/>
      <c r="BH2299" s="339"/>
      <c r="BI2299" s="339"/>
      <c r="BJ2299" s="339"/>
      <c r="BK2299" s="339"/>
      <c r="BL2299" s="339"/>
      <c r="BM2299" s="339"/>
      <c r="BN2299" s="339"/>
      <c r="BO2299" s="339"/>
      <c r="BP2299" s="339"/>
      <c r="BQ2299" s="339"/>
      <c r="BR2299" s="339"/>
      <c r="BS2299" s="339"/>
      <c r="BT2299" s="339"/>
      <c r="BU2299" s="339"/>
      <c r="BV2299" s="339"/>
      <c r="BW2299" s="339"/>
      <c r="BX2299" s="339"/>
      <c r="BY2299" s="339"/>
      <c r="BZ2299" s="339"/>
      <c r="CA2299" s="339"/>
      <c r="CB2299" s="339"/>
      <c r="CC2299" s="339"/>
      <c r="CD2299" s="339"/>
      <c r="CE2299" s="339"/>
      <c r="CF2299" s="339"/>
      <c r="CG2299" s="339"/>
      <c r="CH2299" s="339"/>
      <c r="CI2299" s="339"/>
      <c r="CJ2299" s="339"/>
      <c r="CK2299" s="339"/>
      <c r="CL2299" s="339"/>
      <c r="CM2299" s="339"/>
      <c r="CN2299" s="339"/>
      <c r="CO2299" s="339"/>
      <c r="CP2299" s="339"/>
      <c r="CQ2299" s="339"/>
      <c r="CR2299" s="339"/>
      <c r="CS2299" s="339"/>
      <c r="CT2299" s="339"/>
      <c r="CU2299" s="339"/>
      <c r="CV2299" s="339"/>
      <c r="CW2299" s="339"/>
      <c r="CX2299" s="339"/>
      <c r="CY2299" s="339"/>
      <c r="CZ2299" s="339"/>
      <c r="DA2299" s="339"/>
      <c r="DB2299" s="339"/>
      <c r="DC2299" s="339"/>
      <c r="DD2299" s="339"/>
      <c r="DE2299" s="339"/>
      <c r="DF2299" s="339"/>
      <c r="DG2299" s="339"/>
      <c r="DH2299" s="339"/>
    </row>
    <row r="2300">
      <c r="A2300" s="41">
        <v>2300.0</v>
      </c>
      <c r="B2300" s="126" t="s">
        <v>145</v>
      </c>
      <c r="C2300" s="59" t="s">
        <v>108</v>
      </c>
      <c r="D2300" s="59" t="s">
        <v>1263</v>
      </c>
      <c r="F2300" s="1283" t="s">
        <v>13876</v>
      </c>
      <c r="G2300" s="156" t="s">
        <v>13877</v>
      </c>
      <c r="H2300" s="1284" t="s">
        <v>5011</v>
      </c>
      <c r="I2300" s="149">
        <v>45674.0</v>
      </c>
      <c r="J2300" s="149">
        <v>45691.0</v>
      </c>
      <c r="K2300" s="156" t="s">
        <v>13878</v>
      </c>
      <c r="L2300" s="65"/>
      <c r="M2300" s="156" t="s">
        <v>3932</v>
      </c>
      <c r="N2300" s="156" t="s">
        <v>3933</v>
      </c>
      <c r="O2300" s="153">
        <v>1.0</v>
      </c>
      <c r="P2300" s="156" t="str">
        <f>SUBSTITUTE(LOWER(N2300), "/", "--") &amp;  ".pdf"</f>
        <v>10.1111--j.1551-6709.2011.01210.x.pdf</v>
      </c>
      <c r="Q2300" s="49" t="str">
        <f t="array" ref="Q2300"> if(iserror(MATCH(V2300, 'File Links'!C:C, 0)), "N/A", HYPERLINK(INDEX('File Links'!B:B, MATCH(P2300, 'File Links'!C:C, 0))))</f>
        <v>https://drive.google.com/file/d/1peHj2qn55XShERDto7FmUKmKRW04vw25/view?usp=drivesdk</v>
      </c>
      <c r="R2300" s="2020" t="s">
        <v>5015</v>
      </c>
      <c r="S2300" s="307" t="s">
        <v>5016</v>
      </c>
      <c r="T2300" s="307" t="s">
        <v>5017</v>
      </c>
      <c r="U2300" s="153">
        <v>29.0</v>
      </c>
      <c r="V2300" s="156" t="str">
        <f t="shared" si="125"/>
        <v>10.1007--s13164-018-0400-9.pdf</v>
      </c>
      <c r="W2300" s="1287" t="s">
        <v>5018</v>
      </c>
      <c r="X2300" s="51" t="str">
        <f t="array" ref="X2300"> if(iserror(MATCH(V2300, 'File Links'!C:C, 0)), "N/A", HYPERLINK(INDEX('File Links'!B:B, MATCH(V2300, 'File Links'!C:C, 0))))</f>
        <v>https://drive.google.com/file/d/1hjI3aqifdfXjWhQAlvKCKKtvjuncAn5M/view?usp=drivesdk</v>
      </c>
      <c r="Y2300" s="65"/>
      <c r="Z2300" s="156" t="s">
        <v>158</v>
      </c>
      <c r="AA2300" s="126" t="s">
        <v>131</v>
      </c>
      <c r="AB2300" s="156" t="s">
        <v>13869</v>
      </c>
      <c r="AC2300" s="1055" t="s">
        <v>13879</v>
      </c>
      <c r="AD2300" s="156" t="s">
        <v>13880</v>
      </c>
      <c r="AE2300" s="156" t="s">
        <v>13881</v>
      </c>
      <c r="AF2300" s="153">
        <v>92.0</v>
      </c>
      <c r="AG2300" s="156" t="s">
        <v>13644</v>
      </c>
      <c r="AH2300" s="156" t="s">
        <v>166</v>
      </c>
      <c r="AI2300" s="336" t="s">
        <v>843</v>
      </c>
      <c r="AJ2300" s="376">
        <v>0.05</v>
      </c>
      <c r="AK2300" s="54" t="s">
        <v>165</v>
      </c>
      <c r="AL2300" s="156" t="s">
        <v>179</v>
      </c>
      <c r="AM2300" s="54" t="s">
        <v>130</v>
      </c>
      <c r="AN2300" s="1880"/>
      <c r="AO2300" s="1289">
        <v>298.0</v>
      </c>
      <c r="AP2300" s="2026" t="s">
        <v>13882</v>
      </c>
      <c r="AQ2300" s="156" t="s">
        <v>166</v>
      </c>
      <c r="AR2300" s="156" t="s">
        <v>5017</v>
      </c>
      <c r="AS2300" s="153">
        <v>0.24</v>
      </c>
      <c r="AT2300" s="156" t="s">
        <v>165</v>
      </c>
      <c r="AU2300" s="156" t="s">
        <v>179</v>
      </c>
      <c r="AV2300" s="156" t="s">
        <v>130</v>
      </c>
      <c r="AW2300" s="307" t="s">
        <v>13883</v>
      </c>
      <c r="AX2300" s="156" t="s">
        <v>136</v>
      </c>
      <c r="AZ2300" s="126" t="s">
        <v>13716</v>
      </c>
      <c r="BA2300" s="339"/>
      <c r="BB2300" s="339"/>
      <c r="BC2300" s="339"/>
      <c r="BD2300" s="339"/>
      <c r="BE2300" s="339"/>
      <c r="BF2300" s="339"/>
      <c r="BG2300" s="339"/>
      <c r="BH2300" s="339"/>
      <c r="BI2300" s="339"/>
      <c r="BJ2300" s="339"/>
      <c r="BK2300" s="339"/>
      <c r="BL2300" s="339"/>
      <c r="BM2300" s="339"/>
      <c r="BN2300" s="339"/>
      <c r="BO2300" s="339"/>
      <c r="BP2300" s="339"/>
      <c r="BQ2300" s="339"/>
      <c r="BR2300" s="339"/>
      <c r="BS2300" s="339"/>
      <c r="BT2300" s="339"/>
      <c r="BU2300" s="339"/>
      <c r="BV2300" s="339"/>
      <c r="BW2300" s="339"/>
      <c r="BX2300" s="339"/>
      <c r="BY2300" s="339"/>
      <c r="BZ2300" s="339"/>
      <c r="CA2300" s="339"/>
      <c r="CB2300" s="339"/>
      <c r="CC2300" s="339"/>
      <c r="CD2300" s="339"/>
      <c r="CE2300" s="339"/>
      <c r="CF2300" s="339"/>
      <c r="CG2300" s="339"/>
      <c r="CH2300" s="339"/>
      <c r="CI2300" s="339"/>
      <c r="CJ2300" s="339"/>
      <c r="CK2300" s="339"/>
      <c r="CL2300" s="339"/>
      <c r="CM2300" s="339"/>
      <c r="CN2300" s="339"/>
      <c r="CO2300" s="339"/>
      <c r="CP2300" s="339"/>
      <c r="CQ2300" s="339"/>
      <c r="CR2300" s="339"/>
      <c r="CS2300" s="339"/>
      <c r="CT2300" s="339"/>
      <c r="CU2300" s="339"/>
      <c r="CV2300" s="339"/>
      <c r="CW2300" s="339"/>
      <c r="CX2300" s="339"/>
      <c r="CY2300" s="339"/>
      <c r="CZ2300" s="339"/>
      <c r="DA2300" s="339"/>
      <c r="DB2300" s="339"/>
      <c r="DC2300" s="339"/>
      <c r="DD2300" s="339"/>
      <c r="DE2300" s="339"/>
      <c r="DF2300" s="339"/>
      <c r="DG2300" s="339"/>
      <c r="DH2300" s="339"/>
    </row>
    <row r="2301">
      <c r="A2301" s="41">
        <v>2301.0</v>
      </c>
      <c r="B2301" s="42" t="s">
        <v>107</v>
      </c>
      <c r="C2301" s="59" t="s">
        <v>108</v>
      </c>
      <c r="D2301" s="59" t="s">
        <v>241</v>
      </c>
      <c r="F2301" s="1283" t="s">
        <v>13876</v>
      </c>
      <c r="G2301" s="156" t="s">
        <v>13877</v>
      </c>
      <c r="H2301" s="1284" t="s">
        <v>242</v>
      </c>
      <c r="I2301" s="149">
        <v>45331.0</v>
      </c>
      <c r="J2301" s="149">
        <v>45691.0</v>
      </c>
      <c r="K2301" s="2050" t="s">
        <v>13878</v>
      </c>
      <c r="L2301" s="65"/>
      <c r="M2301" s="156" t="s">
        <v>3932</v>
      </c>
      <c r="N2301" s="156" t="s">
        <v>3933</v>
      </c>
      <c r="O2301" s="126">
        <v>1.0</v>
      </c>
      <c r="P2301" s="156" t="s">
        <v>13884</v>
      </c>
      <c r="Q2301" s="49" t="str">
        <f t="array" ref="Q2301"> if(iserror(MATCH(V2301, 'File Links'!C:C, 0)), "N/A", HYPERLINK(INDEX('File Links'!B:B, MATCH(P2301, 'File Links'!C:C, 0))))</f>
        <v>https://drive.google.com/file/d/1peHj2qn55XShERDto7FmUKmKRW04vw25/view?usp=drivesdk</v>
      </c>
      <c r="R2301" s="2020" t="s">
        <v>5015</v>
      </c>
      <c r="S2301" s="156" t="s">
        <v>5016</v>
      </c>
      <c r="T2301" s="65"/>
      <c r="U2301" s="1744">
        <v>29.0</v>
      </c>
      <c r="V2301" s="156" t="str">
        <f t="shared" si="125"/>
        <v>10.1007--s13164-018-0400-9.pdf</v>
      </c>
      <c r="W2301" s="1287" t="s">
        <v>5018</v>
      </c>
      <c r="X2301" s="51" t="str">
        <f t="array" ref="X2301"> if(iserror(MATCH(V2301, 'File Links'!C:C, 0)), "N/A", HYPERLINK(INDEX('File Links'!B:B, MATCH(V2301, 'File Links'!C:C, 0))))</f>
        <v>https://drive.google.com/file/d/1hjI3aqifdfXjWhQAlvKCKKtvjuncAn5M/view?usp=drivesdk</v>
      </c>
      <c r="Y2301" s="65"/>
      <c r="Z2301" s="156" t="s">
        <v>158</v>
      </c>
      <c r="AA2301" s="126" t="s">
        <v>131</v>
      </c>
      <c r="AB2301" s="156" t="s">
        <v>13869</v>
      </c>
      <c r="AC2301" s="1055" t="s">
        <v>13879</v>
      </c>
      <c r="AD2301" s="156" t="s">
        <v>13885</v>
      </c>
      <c r="AE2301" s="156" t="s">
        <v>13886</v>
      </c>
      <c r="AF2301" s="153">
        <v>92.0</v>
      </c>
      <c r="AG2301" s="2035">
        <v>0.43</v>
      </c>
      <c r="AH2301" s="156" t="s">
        <v>166</v>
      </c>
      <c r="AI2301" s="2051" t="s">
        <v>13887</v>
      </c>
      <c r="AJ2301" s="376">
        <v>0.05</v>
      </c>
      <c r="AK2301" s="54" t="s">
        <v>165</v>
      </c>
      <c r="AL2301" s="156" t="s">
        <v>179</v>
      </c>
      <c r="AM2301" s="1283" t="s">
        <v>130</v>
      </c>
      <c r="AN2301" s="1128" t="s">
        <v>131</v>
      </c>
      <c r="AO2301" s="153">
        <v>298.0</v>
      </c>
      <c r="AP2301" s="153">
        <v>0.13</v>
      </c>
      <c r="AQ2301" s="156" t="s">
        <v>166</v>
      </c>
      <c r="AR2301" s="156" t="s">
        <v>13888</v>
      </c>
      <c r="AS2301" s="153">
        <v>0.24</v>
      </c>
      <c r="AT2301" s="156" t="s">
        <v>165</v>
      </c>
      <c r="AU2301" s="156" t="s">
        <v>179</v>
      </c>
      <c r="AV2301" s="151" t="s">
        <v>130</v>
      </c>
      <c r="AW2301" s="1290" t="s">
        <v>13889</v>
      </c>
      <c r="AX2301" s="151" t="s">
        <v>136</v>
      </c>
      <c r="AZ2301" s="126" t="s">
        <v>13716</v>
      </c>
      <c r="BA2301" s="339"/>
      <c r="BB2301" s="339"/>
      <c r="BC2301" s="339"/>
      <c r="BD2301" s="339"/>
      <c r="BE2301" s="339"/>
      <c r="BF2301" s="339"/>
      <c r="BG2301" s="339"/>
      <c r="BH2301" s="339"/>
      <c r="BI2301" s="339"/>
      <c r="BJ2301" s="339"/>
      <c r="BK2301" s="339"/>
      <c r="BL2301" s="339"/>
      <c r="BM2301" s="339"/>
      <c r="BN2301" s="339"/>
      <c r="BO2301" s="339"/>
      <c r="BP2301" s="339"/>
      <c r="BQ2301" s="339"/>
      <c r="BR2301" s="339"/>
      <c r="BS2301" s="339"/>
      <c r="BT2301" s="339"/>
      <c r="BU2301" s="339"/>
      <c r="BV2301" s="339"/>
      <c r="BW2301" s="339"/>
      <c r="BX2301" s="339"/>
      <c r="BY2301" s="339"/>
      <c r="BZ2301" s="339"/>
      <c r="CA2301" s="339"/>
      <c r="CB2301" s="339"/>
      <c r="CC2301" s="339"/>
      <c r="CD2301" s="339"/>
      <c r="CE2301" s="339"/>
      <c r="CF2301" s="339"/>
      <c r="CG2301" s="339"/>
      <c r="CH2301" s="339"/>
      <c r="CI2301" s="339"/>
      <c r="CJ2301" s="339"/>
      <c r="CK2301" s="339"/>
      <c r="CL2301" s="339"/>
      <c r="CM2301" s="339"/>
      <c r="CN2301" s="339"/>
      <c r="CO2301" s="339"/>
      <c r="CP2301" s="339"/>
      <c r="CQ2301" s="339"/>
      <c r="CR2301" s="339"/>
      <c r="CS2301" s="339"/>
      <c r="CT2301" s="339"/>
      <c r="CU2301" s="339"/>
      <c r="CV2301" s="339"/>
      <c r="CW2301" s="339"/>
      <c r="CX2301" s="339"/>
      <c r="CY2301" s="339"/>
      <c r="CZ2301" s="339"/>
      <c r="DA2301" s="339"/>
      <c r="DB2301" s="339"/>
      <c r="DC2301" s="339"/>
      <c r="DD2301" s="339"/>
      <c r="DE2301" s="339"/>
      <c r="DF2301" s="339"/>
      <c r="DG2301" s="339"/>
      <c r="DH2301" s="339"/>
    </row>
    <row r="2302">
      <c r="A2302" s="41">
        <v>2302.0</v>
      </c>
      <c r="B2302" s="65" t="s">
        <v>145</v>
      </c>
      <c r="C2302" s="59" t="s">
        <v>108</v>
      </c>
      <c r="D2302" s="59" t="s">
        <v>1263</v>
      </c>
      <c r="F2302" s="126" t="s">
        <v>13876</v>
      </c>
      <c r="G2302" s="148" t="s">
        <v>13890</v>
      </c>
      <c r="H2302" s="1284" t="s">
        <v>5011</v>
      </c>
      <c r="I2302" s="149">
        <v>45674.0</v>
      </c>
      <c r="J2302" s="149">
        <v>45691.0</v>
      </c>
      <c r="K2302" s="677" t="s">
        <v>13878</v>
      </c>
      <c r="L2302" s="65" t="s">
        <v>13608</v>
      </c>
      <c r="M2302" s="156" t="s">
        <v>3932</v>
      </c>
      <c r="N2302" s="156" t="s">
        <v>3933</v>
      </c>
      <c r="O2302" s="153">
        <v>1.0</v>
      </c>
      <c r="P2302" s="156" t="str">
        <f t="shared" ref="P2302:P2303" si="130">SUBSTITUTE(LOWER(N2302), "/", "--") &amp;  ".pdf"</f>
        <v>10.1111--j.1551-6709.2011.01210.x.pdf</v>
      </c>
      <c r="Q2302" s="49" t="str">
        <f t="array" ref="Q2302"> if(iserror(MATCH(V2302, 'File Links'!C:C, 0)), "N/A", HYPERLINK(INDEX('File Links'!B:B, MATCH(P2302, 'File Links'!C:C, 0))))</f>
        <v>https://drive.google.com/file/d/1peHj2qn55XShERDto7FmUKmKRW04vw25/view?usp=drivesdk</v>
      </c>
      <c r="R2302" s="2020" t="s">
        <v>5015</v>
      </c>
      <c r="S2302" s="307" t="s">
        <v>5016</v>
      </c>
      <c r="T2302" s="307" t="s">
        <v>5017</v>
      </c>
      <c r="U2302" s="153">
        <v>29.0</v>
      </c>
      <c r="V2302" s="156" t="str">
        <f t="shared" si="125"/>
        <v>10.1007--s13164-018-0400-9.pdf</v>
      </c>
      <c r="W2302" s="1287" t="s">
        <v>5018</v>
      </c>
      <c r="X2302" s="51" t="str">
        <f t="array" ref="X2302"> if(iserror(MATCH(V2302, 'File Links'!C:C, 0)), "N/A", HYPERLINK(INDEX('File Links'!B:B, MATCH(V2302, 'File Links'!C:C, 0))))</f>
        <v>https://drive.google.com/file/d/1hjI3aqifdfXjWhQAlvKCKKtvjuncAn5M/view?usp=drivesdk</v>
      </c>
      <c r="Y2302" s="65"/>
      <c r="Z2302" s="156" t="s">
        <v>158</v>
      </c>
      <c r="AA2302" s="126" t="s">
        <v>131</v>
      </c>
      <c r="AB2302" s="156" t="s">
        <v>13869</v>
      </c>
      <c r="AC2302" s="1055" t="s">
        <v>13879</v>
      </c>
      <c r="AD2302" s="156" t="s">
        <v>13891</v>
      </c>
      <c r="AE2302" s="156" t="s">
        <v>13881</v>
      </c>
      <c r="AF2302" s="153">
        <v>92.0</v>
      </c>
      <c r="AG2302" s="156" t="s">
        <v>13892</v>
      </c>
      <c r="AH2302" s="156" t="s">
        <v>208</v>
      </c>
      <c r="AI2302" s="336" t="s">
        <v>843</v>
      </c>
      <c r="AJ2302" s="376">
        <v>0.001</v>
      </c>
      <c r="AK2302" s="54" t="s">
        <v>165</v>
      </c>
      <c r="AL2302" s="156" t="s">
        <v>179</v>
      </c>
      <c r="AM2302" s="54" t="s">
        <v>130</v>
      </c>
      <c r="AN2302" s="65"/>
      <c r="AO2302" s="153">
        <v>316.0</v>
      </c>
      <c r="AP2302" s="2026" t="s">
        <v>13893</v>
      </c>
      <c r="AQ2302" s="156" t="s">
        <v>208</v>
      </c>
      <c r="AR2302" s="156" t="s">
        <v>13894</v>
      </c>
      <c r="AS2302" s="153">
        <v>0.11</v>
      </c>
      <c r="AT2302" s="156" t="s">
        <v>165</v>
      </c>
      <c r="AU2302" s="156" t="s">
        <v>179</v>
      </c>
      <c r="AV2302" s="156" t="s">
        <v>130</v>
      </c>
      <c r="AW2302" s="307" t="s">
        <v>13883</v>
      </c>
      <c r="AX2302" s="156" t="s">
        <v>136</v>
      </c>
      <c r="AZ2302" s="151" t="s">
        <v>242</v>
      </c>
    </row>
    <row r="2303">
      <c r="A2303" s="41">
        <v>2303.0</v>
      </c>
      <c r="B2303" s="65" t="s">
        <v>107</v>
      </c>
      <c r="C2303" s="59" t="s">
        <v>108</v>
      </c>
      <c r="D2303" s="59" t="s">
        <v>1263</v>
      </c>
      <c r="F2303" s="2019" t="s">
        <v>13895</v>
      </c>
      <c r="G2303" s="156" t="s">
        <v>13896</v>
      </c>
      <c r="H2303" s="1284" t="s">
        <v>5011</v>
      </c>
      <c r="I2303" s="149">
        <v>45667.0</v>
      </c>
      <c r="J2303" s="149">
        <v>45691.0</v>
      </c>
      <c r="K2303" s="65"/>
      <c r="L2303" s="65"/>
      <c r="M2303" s="156" t="s">
        <v>13897</v>
      </c>
      <c r="N2303" s="156" t="s">
        <v>13898</v>
      </c>
      <c r="O2303" s="126">
        <v>1.0</v>
      </c>
      <c r="P2303" s="156" t="str">
        <f t="shared" si="130"/>
        <v>10.1016--j.cognition.2003.10.003.pdf</v>
      </c>
      <c r="Q2303" s="49" t="str">
        <f t="array" ref="Q2303"> if(iserror(MATCH(V2303, 'File Links'!C:C, 0)), "N/A", HYPERLINK(INDEX('File Links'!B:B, MATCH(P2303, 'File Links'!C:C, 0))))</f>
        <v>https://drive.google.com/file/d/1iXbJmAfK9HnzZ8oDPYgQfHqZeVcgywaq/view?usp=drivesdk</v>
      </c>
      <c r="R2303" s="2020" t="s">
        <v>5015</v>
      </c>
      <c r="S2303" s="307" t="s">
        <v>5016</v>
      </c>
      <c r="T2303" s="307" t="s">
        <v>5017</v>
      </c>
      <c r="U2303" s="153">
        <v>3.0</v>
      </c>
      <c r="V2303" s="156" t="str">
        <f t="shared" si="125"/>
        <v>10.1007--s13164-018-0400-9.pdf</v>
      </c>
      <c r="W2303" s="1287" t="s">
        <v>5018</v>
      </c>
      <c r="X2303" s="51" t="str">
        <f t="array" ref="X2303"> if(iserror(MATCH(V2303, 'File Links'!C:C, 0)), "N/A", HYPERLINK(INDEX('File Links'!B:B, MATCH(V2303, 'File Links'!C:C, 0))))</f>
        <v>https://drive.google.com/file/d/1hjI3aqifdfXjWhQAlvKCKKtvjuncAn5M/view?usp=drivesdk</v>
      </c>
      <c r="Y2303" s="65"/>
      <c r="Z2303" s="156" t="s">
        <v>158</v>
      </c>
      <c r="AA2303" s="1287" t="s">
        <v>5028</v>
      </c>
      <c r="AB2303" s="1287" t="s">
        <v>13899</v>
      </c>
      <c r="AC2303" s="156" t="s">
        <v>13900</v>
      </c>
      <c r="AD2303" s="2052" t="s">
        <v>13901</v>
      </c>
      <c r="AE2303" s="156" t="s">
        <v>13677</v>
      </c>
      <c r="AF2303" s="1056">
        <v>41.0</v>
      </c>
      <c r="AG2303" s="156" t="s">
        <v>13902</v>
      </c>
      <c r="AH2303" s="156" t="s">
        <v>127</v>
      </c>
      <c r="AI2303" s="336" t="s">
        <v>125</v>
      </c>
      <c r="AJ2303" s="376">
        <v>0.05</v>
      </c>
      <c r="AK2303" s="54" t="s">
        <v>128</v>
      </c>
      <c r="AL2303" s="156" t="s">
        <v>129</v>
      </c>
      <c r="AM2303" s="54" t="s">
        <v>130</v>
      </c>
      <c r="AN2303" s="65"/>
      <c r="AO2303" s="153">
        <v>181.0</v>
      </c>
      <c r="AP2303" s="1289">
        <v>0.0</v>
      </c>
      <c r="AQ2303" s="156" t="s">
        <v>166</v>
      </c>
      <c r="AR2303" s="156" t="s">
        <v>5017</v>
      </c>
      <c r="AS2303" s="153">
        <v>0.99</v>
      </c>
      <c r="AT2303" s="156" t="s">
        <v>165</v>
      </c>
      <c r="AU2303" s="156" t="s">
        <v>129</v>
      </c>
      <c r="AV2303" s="156" t="s">
        <v>130</v>
      </c>
      <c r="AW2303" s="307" t="s">
        <v>13903</v>
      </c>
      <c r="AX2303" s="156" t="s">
        <v>136</v>
      </c>
      <c r="AZ2303" s="126" t="s">
        <v>13716</v>
      </c>
    </row>
    <row r="2304">
      <c r="A2304" s="41">
        <v>2304.0</v>
      </c>
      <c r="B2304" s="42" t="s">
        <v>145</v>
      </c>
      <c r="C2304" s="59" t="s">
        <v>108</v>
      </c>
      <c r="D2304" s="59" t="s">
        <v>241</v>
      </c>
      <c r="F2304" s="2019" t="s">
        <v>13895</v>
      </c>
      <c r="G2304" s="156" t="s">
        <v>13896</v>
      </c>
      <c r="H2304" s="1284" t="s">
        <v>242</v>
      </c>
      <c r="I2304" s="149">
        <v>45331.0</v>
      </c>
      <c r="J2304" s="149">
        <v>45691.0</v>
      </c>
      <c r="K2304" s="156" t="s">
        <v>13904</v>
      </c>
      <c r="L2304" s="156" t="s">
        <v>13905</v>
      </c>
      <c r="M2304" s="156" t="s">
        <v>13897</v>
      </c>
      <c r="N2304" s="156" t="s">
        <v>13898</v>
      </c>
      <c r="O2304" s="156" t="s">
        <v>13906</v>
      </c>
      <c r="P2304" s="156" t="s">
        <v>13907</v>
      </c>
      <c r="Q2304" s="49" t="str">
        <f t="array" ref="Q2304"> if(iserror(MATCH(V2304, 'File Links'!C:C, 0)), "N/A", HYPERLINK(INDEX('File Links'!B:B, MATCH(P2304, 'File Links'!C:C, 0))))</f>
        <v>https://drive.google.com/file/d/1iXbJmAfK9HnzZ8oDPYgQfHqZeVcgywaq/view?usp=drivesdk</v>
      </c>
      <c r="R2304" s="2020" t="s">
        <v>5015</v>
      </c>
      <c r="S2304" s="156" t="s">
        <v>5016</v>
      </c>
      <c r="T2304" s="65"/>
      <c r="U2304" s="1055">
        <v>3.0</v>
      </c>
      <c r="V2304" s="156" t="str">
        <f t="shared" si="125"/>
        <v>10.1007--s13164-018-0400-9.pdf</v>
      </c>
      <c r="W2304" s="1287" t="s">
        <v>5018</v>
      </c>
      <c r="X2304" s="51" t="str">
        <f t="array" ref="X2304"> if(iserror(MATCH(V2304, 'File Links'!C:C, 0)), "N/A", HYPERLINK(INDEX('File Links'!B:B, MATCH(V2304, 'File Links'!C:C, 0))))</f>
        <v>https://drive.google.com/file/d/1hjI3aqifdfXjWhQAlvKCKKtvjuncAn5M/view?usp=drivesdk</v>
      </c>
      <c r="Y2304" s="65"/>
      <c r="Z2304" s="156" t="s">
        <v>158</v>
      </c>
      <c r="AA2304" s="1287" t="s">
        <v>5028</v>
      </c>
      <c r="AB2304" s="1287" t="s">
        <v>13899</v>
      </c>
      <c r="AC2304" s="156" t="s">
        <v>13900</v>
      </c>
      <c r="AD2304" s="2053" t="s">
        <v>13901</v>
      </c>
      <c r="AE2304" s="156" t="s">
        <v>125</v>
      </c>
      <c r="AF2304" s="153">
        <v>72.0</v>
      </c>
      <c r="AG2304" s="156" t="s">
        <v>13902</v>
      </c>
      <c r="AH2304" s="156" t="s">
        <v>127</v>
      </c>
      <c r="AI2304" s="336" t="s">
        <v>13908</v>
      </c>
      <c r="AJ2304" s="376">
        <v>0.05</v>
      </c>
      <c r="AK2304" s="54" t="s">
        <v>128</v>
      </c>
      <c r="AL2304" s="156" t="s">
        <v>129</v>
      </c>
      <c r="AM2304" s="1283" t="s">
        <v>130</v>
      </c>
      <c r="AN2304" s="1362" t="s">
        <v>131</v>
      </c>
      <c r="AO2304" s="1348">
        <v>181.0</v>
      </c>
      <c r="AP2304" s="1348" t="s">
        <v>13909</v>
      </c>
      <c r="AQ2304" s="1128" t="s">
        <v>127</v>
      </c>
      <c r="AR2304" s="156" t="s">
        <v>13910</v>
      </c>
      <c r="AS2304" s="153">
        <v>0.99</v>
      </c>
      <c r="AT2304" s="156" t="s">
        <v>165</v>
      </c>
      <c r="AU2304" s="156" t="s">
        <v>179</v>
      </c>
      <c r="AV2304" s="151" t="s">
        <v>130</v>
      </c>
      <c r="AW2304" s="2054" t="s">
        <v>13911</v>
      </c>
      <c r="AX2304" s="151" t="s">
        <v>136</v>
      </c>
      <c r="AZ2304" s="126" t="s">
        <v>13716</v>
      </c>
      <c r="BA2304" s="339"/>
      <c r="BB2304" s="339"/>
      <c r="BC2304" s="339"/>
      <c r="BD2304" s="339"/>
      <c r="BE2304" s="339"/>
      <c r="BF2304" s="339"/>
      <c r="BG2304" s="339"/>
      <c r="BH2304" s="339"/>
      <c r="BI2304" s="339"/>
      <c r="BJ2304" s="339"/>
      <c r="BK2304" s="339"/>
      <c r="BL2304" s="339"/>
      <c r="BM2304" s="339"/>
      <c r="BN2304" s="339"/>
      <c r="BO2304" s="339"/>
      <c r="BP2304" s="339"/>
      <c r="BQ2304" s="339"/>
      <c r="BR2304" s="339"/>
      <c r="BS2304" s="339"/>
      <c r="BT2304" s="339"/>
      <c r="BU2304" s="339"/>
      <c r="BV2304" s="339"/>
      <c r="BW2304" s="339"/>
      <c r="BX2304" s="339"/>
      <c r="BY2304" s="339"/>
      <c r="BZ2304" s="339"/>
      <c r="CA2304" s="339"/>
      <c r="CB2304" s="339"/>
      <c r="CC2304" s="339"/>
      <c r="CD2304" s="339"/>
      <c r="CE2304" s="339"/>
      <c r="CF2304" s="339"/>
      <c r="CG2304" s="339"/>
      <c r="CH2304" s="339"/>
      <c r="CI2304" s="339"/>
      <c r="CJ2304" s="339"/>
      <c r="CK2304" s="339"/>
      <c r="CL2304" s="339"/>
      <c r="CM2304" s="339"/>
      <c r="CN2304" s="339"/>
      <c r="CO2304" s="339"/>
      <c r="CP2304" s="339"/>
      <c r="CQ2304" s="339"/>
      <c r="CR2304" s="339"/>
      <c r="CS2304" s="339"/>
      <c r="CT2304" s="339"/>
      <c r="CU2304" s="339"/>
      <c r="CV2304" s="339"/>
      <c r="CW2304" s="339"/>
      <c r="CX2304" s="339"/>
      <c r="CY2304" s="339"/>
      <c r="CZ2304" s="339"/>
      <c r="DA2304" s="339"/>
      <c r="DB2304" s="339"/>
      <c r="DC2304" s="339"/>
      <c r="DD2304" s="339"/>
      <c r="DE2304" s="339"/>
      <c r="DF2304" s="339"/>
      <c r="DG2304" s="339"/>
      <c r="DH2304" s="339"/>
    </row>
    <row r="2305">
      <c r="A2305" s="41">
        <v>2305.0</v>
      </c>
      <c r="B2305" s="42" t="s">
        <v>583</v>
      </c>
      <c r="C2305" s="59" t="s">
        <v>108</v>
      </c>
      <c r="D2305" s="59" t="s">
        <v>241</v>
      </c>
      <c r="F2305" s="2019" t="s">
        <v>13912</v>
      </c>
      <c r="G2305" s="156" t="s">
        <v>13913</v>
      </c>
      <c r="H2305" s="1284" t="s">
        <v>242</v>
      </c>
      <c r="I2305" s="149">
        <v>45331.0</v>
      </c>
      <c r="J2305" s="149">
        <v>45686.0</v>
      </c>
      <c r="K2305" s="65"/>
      <c r="L2305" s="478" t="s">
        <v>13528</v>
      </c>
      <c r="M2305" s="156" t="s">
        <v>151</v>
      </c>
      <c r="N2305" s="156" t="s">
        <v>152</v>
      </c>
      <c r="O2305" s="126">
        <v>1.0</v>
      </c>
      <c r="P2305" s="156" t="s">
        <v>153</v>
      </c>
      <c r="Q2305" s="49" t="str">
        <f t="array" ref="Q2305"> if(iserror(MATCH(V2305, 'File Links'!C:C, 0)), "N/A", HYPERLINK(INDEX('File Links'!B:B, MATCH(P2305, 'File Links'!C:C, 0))))</f>
        <v>https://drive.google.com/file/d/1O4mjB0-ZSujMTJYtaAoIsXTPuhxgEF-0/view?usp=drivesdk</v>
      </c>
      <c r="R2305" s="2020" t="s">
        <v>5015</v>
      </c>
      <c r="S2305" s="156" t="s">
        <v>5016</v>
      </c>
      <c r="T2305" s="65"/>
      <c r="U2305" s="65"/>
      <c r="V2305" s="156" t="str">
        <f t="shared" si="125"/>
        <v>10.1007--s13164-018-0400-9.pdf</v>
      </c>
      <c r="W2305" s="1287" t="s">
        <v>5018</v>
      </c>
      <c r="X2305" s="51" t="str">
        <f t="array" ref="X2305"> if(iserror(MATCH(V2305, 'File Links'!C:C, 0)), "N/A", HYPERLINK(INDEX('File Links'!B:B, MATCH(V2305, 'File Links'!C:C, 0))))</f>
        <v>https://drive.google.com/file/d/1hjI3aqifdfXjWhQAlvKCKKtvjuncAn5M/view?usp=drivesdk</v>
      </c>
      <c r="Y2305" s="65"/>
      <c r="Z2305" s="156" t="s">
        <v>158</v>
      </c>
      <c r="AA2305" s="126" t="s">
        <v>131</v>
      </c>
      <c r="AB2305" s="156" t="s">
        <v>5028</v>
      </c>
      <c r="AC2305" s="65"/>
      <c r="AD2305" s="156" t="s">
        <v>13914</v>
      </c>
      <c r="AE2305" s="156" t="s">
        <v>13915</v>
      </c>
      <c r="AF2305" s="153">
        <v>100.0</v>
      </c>
      <c r="AG2305" s="2035">
        <v>0.68</v>
      </c>
      <c r="AH2305" s="156" t="s">
        <v>166</v>
      </c>
      <c r="AI2305" s="2051" t="s">
        <v>13916</v>
      </c>
      <c r="AJ2305" s="376">
        <v>0.001</v>
      </c>
      <c r="AK2305" s="54" t="s">
        <v>165</v>
      </c>
      <c r="AL2305" s="156" t="s">
        <v>179</v>
      </c>
      <c r="AM2305" s="1283" t="s">
        <v>130</v>
      </c>
      <c r="AN2305" s="1362" t="s">
        <v>131</v>
      </c>
      <c r="AO2305" s="153">
        <v>150.0</v>
      </c>
      <c r="AP2305" s="153">
        <v>0.58</v>
      </c>
      <c r="AQ2305" s="156" t="s">
        <v>166</v>
      </c>
      <c r="AR2305" s="156" t="s">
        <v>13917</v>
      </c>
      <c r="AS2305" s="153">
        <v>0.001</v>
      </c>
      <c r="AT2305" s="156" t="s">
        <v>128</v>
      </c>
      <c r="AU2305" s="156" t="s">
        <v>179</v>
      </c>
      <c r="AV2305" s="151" t="s">
        <v>130</v>
      </c>
      <c r="AW2305" s="677" t="s">
        <v>13918</v>
      </c>
      <c r="AX2305" s="156" t="s">
        <v>136</v>
      </c>
      <c r="AZ2305" s="152" t="s">
        <v>13544</v>
      </c>
      <c r="BA2305" s="339"/>
      <c r="BB2305" s="339"/>
      <c r="BC2305" s="339"/>
      <c r="BD2305" s="339"/>
      <c r="BE2305" s="339"/>
      <c r="BF2305" s="339"/>
      <c r="BG2305" s="339"/>
      <c r="BH2305" s="339"/>
      <c r="BI2305" s="339"/>
      <c r="BJ2305" s="339"/>
      <c r="BK2305" s="339"/>
      <c r="BL2305" s="339"/>
      <c r="BM2305" s="339"/>
      <c r="BN2305" s="339"/>
      <c r="BO2305" s="339"/>
      <c r="BP2305" s="339"/>
      <c r="BQ2305" s="339"/>
      <c r="BR2305" s="339"/>
      <c r="BS2305" s="339"/>
      <c r="BT2305" s="339"/>
      <c r="BU2305" s="339"/>
      <c r="BV2305" s="339"/>
      <c r="BW2305" s="339"/>
      <c r="BX2305" s="339"/>
      <c r="BY2305" s="339"/>
      <c r="BZ2305" s="339"/>
      <c r="CA2305" s="339"/>
      <c r="CB2305" s="339"/>
      <c r="CC2305" s="339"/>
      <c r="CD2305" s="339"/>
      <c r="CE2305" s="339"/>
      <c r="CF2305" s="339"/>
      <c r="CG2305" s="339"/>
      <c r="CH2305" s="339"/>
      <c r="CI2305" s="339"/>
      <c r="CJ2305" s="339"/>
      <c r="CK2305" s="339"/>
      <c r="CL2305" s="339"/>
      <c r="CM2305" s="339"/>
      <c r="CN2305" s="339"/>
      <c r="CO2305" s="339"/>
      <c r="CP2305" s="339"/>
      <c r="CQ2305" s="339"/>
      <c r="CR2305" s="339"/>
      <c r="CS2305" s="339"/>
      <c r="CT2305" s="339"/>
      <c r="CU2305" s="339"/>
      <c r="CV2305" s="339"/>
      <c r="CW2305" s="339"/>
      <c r="CX2305" s="339"/>
      <c r="CY2305" s="339"/>
      <c r="CZ2305" s="339"/>
      <c r="DA2305" s="339"/>
      <c r="DB2305" s="339"/>
      <c r="DC2305" s="339"/>
      <c r="DD2305" s="339"/>
      <c r="DE2305" s="339"/>
      <c r="DF2305" s="339"/>
      <c r="DG2305" s="339"/>
      <c r="DH2305" s="339"/>
    </row>
    <row r="2306">
      <c r="A2306" s="41">
        <v>2306.0</v>
      </c>
      <c r="B2306" s="126" t="s">
        <v>145</v>
      </c>
      <c r="C2306" s="59" t="s">
        <v>108</v>
      </c>
      <c r="D2306" s="59" t="s">
        <v>1263</v>
      </c>
      <c r="F2306" s="1283" t="s">
        <v>13919</v>
      </c>
      <c r="G2306" s="156" t="s">
        <v>13920</v>
      </c>
      <c r="H2306" s="1284" t="s">
        <v>5011</v>
      </c>
      <c r="I2306" s="149">
        <v>45331.0</v>
      </c>
      <c r="J2306" s="150">
        <v>45727.0</v>
      </c>
      <c r="K2306" s="156" t="s">
        <v>13921</v>
      </c>
      <c r="L2306" s="126" t="s">
        <v>13922</v>
      </c>
      <c r="M2306" s="156" t="s">
        <v>13923</v>
      </c>
      <c r="N2306" s="156" t="s">
        <v>13924</v>
      </c>
      <c r="O2306" s="153">
        <v>3.0</v>
      </c>
      <c r="P2306" s="156" t="str">
        <f>SUBSTITUTE(LOWER(N2306), "/", "--") &amp;  ".pdf"</f>
        <v>10.1007--s11098-010-9651-8.pdf</v>
      </c>
      <c r="Q2306" s="49" t="str">
        <f t="array" ref="Q2306"> if(iserror(MATCH(V2306, 'File Links'!C:C, 0)), "N/A", HYPERLINK(INDEX('File Links'!B:B, MATCH(P2306, 'File Links'!C:C, 0))))</f>
        <v>https://drive.google.com/file/d/1pcJJj-dcZ2YUNw-3w1ykB27KPj9Bj-By/view?usp=drivesdk</v>
      </c>
      <c r="R2306" s="2020" t="s">
        <v>5015</v>
      </c>
      <c r="S2306" s="307" t="s">
        <v>5016</v>
      </c>
      <c r="T2306" s="2055" t="s">
        <v>13925</v>
      </c>
      <c r="U2306" s="153">
        <v>31.0</v>
      </c>
      <c r="V2306" s="156" t="str">
        <f t="shared" si="125"/>
        <v>10.1007--s13164-018-0400-9.pdf</v>
      </c>
      <c r="W2306" s="1287" t="s">
        <v>5018</v>
      </c>
      <c r="X2306" s="51" t="str">
        <f t="array" ref="X2306"> if(iserror(MATCH(V2306, 'File Links'!C:C, 0)), "N/A", HYPERLINK(INDEX('File Links'!B:B, MATCH(V2306, 'File Links'!C:C, 0))))</f>
        <v>https://drive.google.com/file/d/1hjI3aqifdfXjWhQAlvKCKKtvjuncAn5M/view?usp=drivesdk</v>
      </c>
      <c r="Y2306" s="65"/>
      <c r="Z2306" s="156" t="s">
        <v>158</v>
      </c>
      <c r="AA2306" s="126" t="s">
        <v>131</v>
      </c>
      <c r="AB2306" s="156" t="s">
        <v>13926</v>
      </c>
      <c r="AC2306" s="1362" t="s">
        <v>13927</v>
      </c>
      <c r="AD2306" s="156" t="s">
        <v>13928</v>
      </c>
      <c r="AE2306" s="156" t="s">
        <v>13929</v>
      </c>
      <c r="AF2306" s="153">
        <v>117.0</v>
      </c>
      <c r="AG2306" s="156" t="s">
        <v>13930</v>
      </c>
      <c r="AH2306" s="156" t="s">
        <v>127</v>
      </c>
      <c r="AI2306" s="336" t="s">
        <v>620</v>
      </c>
      <c r="AJ2306" s="376">
        <v>0.045</v>
      </c>
      <c r="AK2306" s="54" t="s">
        <v>165</v>
      </c>
      <c r="AL2306" s="156" t="s">
        <v>179</v>
      </c>
      <c r="AM2306" s="54" t="s">
        <v>130</v>
      </c>
      <c r="AN2306" s="1362" t="s">
        <v>131</v>
      </c>
      <c r="AO2306" s="153">
        <v>368.0</v>
      </c>
      <c r="AP2306" s="2026" t="s">
        <v>13931</v>
      </c>
      <c r="AQ2306" s="156" t="s">
        <v>127</v>
      </c>
      <c r="AR2306" s="156" t="s">
        <v>5017</v>
      </c>
      <c r="AS2306" s="153">
        <v>0.008</v>
      </c>
      <c r="AT2306" s="156" t="s">
        <v>165</v>
      </c>
      <c r="AU2306" s="156" t="s">
        <v>179</v>
      </c>
      <c r="AV2306" s="156" t="s">
        <v>130</v>
      </c>
      <c r="AW2306" s="126" t="s">
        <v>131</v>
      </c>
      <c r="AX2306" s="156" t="s">
        <v>136</v>
      </c>
      <c r="AZ2306" s="152" t="s">
        <v>13544</v>
      </c>
    </row>
    <row r="2307">
      <c r="A2307" s="41">
        <v>2307.0</v>
      </c>
      <c r="B2307" s="42" t="s">
        <v>107</v>
      </c>
      <c r="C2307" s="59" t="s">
        <v>108</v>
      </c>
      <c r="D2307" s="59" t="s">
        <v>241</v>
      </c>
      <c r="F2307" s="1283" t="s">
        <v>13919</v>
      </c>
      <c r="G2307" s="156" t="s">
        <v>13920</v>
      </c>
      <c r="H2307" s="1284" t="s">
        <v>242</v>
      </c>
      <c r="I2307" s="149">
        <v>45331.0</v>
      </c>
      <c r="J2307" s="150">
        <v>45727.0</v>
      </c>
      <c r="K2307" s="156" t="s">
        <v>13932</v>
      </c>
      <c r="L2307" s="65"/>
      <c r="M2307" s="156" t="s">
        <v>13923</v>
      </c>
      <c r="N2307" s="156" t="s">
        <v>13924</v>
      </c>
      <c r="O2307" s="320">
        <v>3.0</v>
      </c>
      <c r="P2307" s="156" t="s">
        <v>13933</v>
      </c>
      <c r="Q2307" s="49" t="str">
        <f t="array" ref="Q2307"> if(iserror(MATCH(V2307, 'File Links'!C:C, 0)), "N/A", HYPERLINK(INDEX('File Links'!B:B, MATCH(P2307, 'File Links'!C:C, 0))))</f>
        <v>https://drive.google.com/file/d/1pcJJj-dcZ2YUNw-3w1ykB27KPj9Bj-By/view?usp=drivesdk</v>
      </c>
      <c r="R2307" s="2020" t="s">
        <v>5015</v>
      </c>
      <c r="S2307" s="156" t="s">
        <v>5016</v>
      </c>
      <c r="T2307" s="2056" t="s">
        <v>13925</v>
      </c>
      <c r="U2307" s="320">
        <v>31.0</v>
      </c>
      <c r="V2307" s="156" t="str">
        <f t="shared" si="125"/>
        <v>10.1007--s13164-018-0400-9.pdf</v>
      </c>
      <c r="W2307" s="1287" t="s">
        <v>5018</v>
      </c>
      <c r="X2307" s="51" t="str">
        <f t="array" ref="X2307"> if(iserror(MATCH(V2307, 'File Links'!C:C, 0)), "N/A", HYPERLINK(INDEX('File Links'!B:B, MATCH(V2307, 'File Links'!C:C, 0))))</f>
        <v>https://drive.google.com/file/d/1hjI3aqifdfXjWhQAlvKCKKtvjuncAn5M/view?usp=drivesdk</v>
      </c>
      <c r="Y2307" s="65"/>
      <c r="Z2307" s="156" t="s">
        <v>158</v>
      </c>
      <c r="AA2307" s="126" t="s">
        <v>131</v>
      </c>
      <c r="AB2307" s="156" t="s">
        <v>5028</v>
      </c>
      <c r="AC2307" s="1362" t="s">
        <v>13927</v>
      </c>
      <c r="AD2307" s="156" t="s">
        <v>13934</v>
      </c>
      <c r="AE2307" s="156" t="s">
        <v>13935</v>
      </c>
      <c r="AF2307" s="153">
        <v>117.0</v>
      </c>
      <c r="AG2307" s="158" t="s">
        <v>13930</v>
      </c>
      <c r="AH2307" s="116" t="s">
        <v>127</v>
      </c>
      <c r="AI2307" s="2049" t="s">
        <v>13935</v>
      </c>
      <c r="AJ2307" s="376">
        <v>0.045</v>
      </c>
      <c r="AK2307" s="54" t="s">
        <v>165</v>
      </c>
      <c r="AL2307" s="156" t="s">
        <v>179</v>
      </c>
      <c r="AM2307" s="2057" t="s">
        <v>130</v>
      </c>
      <c r="AN2307" s="1362" t="s">
        <v>131</v>
      </c>
      <c r="AO2307" s="153">
        <v>368.0</v>
      </c>
      <c r="AP2307" s="158" t="s">
        <v>13931</v>
      </c>
      <c r="AQ2307" s="148" t="s">
        <v>127</v>
      </c>
      <c r="AR2307" s="156"/>
      <c r="AS2307" s="153">
        <v>0.008</v>
      </c>
      <c r="AT2307" s="156" t="s">
        <v>165</v>
      </c>
      <c r="AU2307" s="156" t="s">
        <v>179</v>
      </c>
      <c r="AV2307" s="2058" t="s">
        <v>134</v>
      </c>
      <c r="AW2307" s="1382" t="s">
        <v>13936</v>
      </c>
      <c r="AX2307" s="156" t="s">
        <v>136</v>
      </c>
      <c r="AZ2307" s="152" t="s">
        <v>13544</v>
      </c>
    </row>
    <row r="2308">
      <c r="A2308" s="41">
        <v>2308.0</v>
      </c>
      <c r="B2308" s="126" t="s">
        <v>145</v>
      </c>
      <c r="C2308" s="59" t="s">
        <v>108</v>
      </c>
      <c r="D2308" s="59" t="s">
        <v>1263</v>
      </c>
      <c r="F2308" s="2019" t="s">
        <v>13937</v>
      </c>
      <c r="G2308" s="156" t="s">
        <v>13938</v>
      </c>
      <c r="H2308" s="1284" t="s">
        <v>5011</v>
      </c>
      <c r="I2308" s="149">
        <v>45331.0</v>
      </c>
      <c r="J2308" s="150">
        <v>45727.0</v>
      </c>
      <c r="K2308" s="148" t="s">
        <v>13939</v>
      </c>
      <c r="L2308" s="126" t="s">
        <v>13940</v>
      </c>
      <c r="M2308" s="156" t="s">
        <v>13941</v>
      </c>
      <c r="N2308" s="156" t="s">
        <v>13942</v>
      </c>
      <c r="O2308" s="126">
        <v>1.0</v>
      </c>
      <c r="P2308" s="156" t="str">
        <f>SUBSTITUTE(LOWER(N2308), "/", "--") &amp;  ".pdf"</f>
        <v>10.1016--j.cognition.2013.02.008.pdf</v>
      </c>
      <c r="Q2308" s="49" t="str">
        <f t="array" ref="Q2308"> if(iserror(MATCH(V2308, 'File Links'!C:C, 0)), "N/A", HYPERLINK(INDEX('File Links'!B:B, MATCH(P2308, 'File Links'!C:C, 0))))</f>
        <v>https://drive.google.com/file/d/1kb4iozdFSFtKZKGvaK7sOkqlr4kI2jg5/view?usp=drivesdk</v>
      </c>
      <c r="R2308" s="2020" t="s">
        <v>5015</v>
      </c>
      <c r="S2308" s="307" t="s">
        <v>5016</v>
      </c>
      <c r="T2308" s="2056" t="s">
        <v>13943</v>
      </c>
      <c r="U2308" s="153">
        <v>32.0</v>
      </c>
      <c r="V2308" s="156" t="str">
        <f t="shared" si="125"/>
        <v>10.1007--s13164-018-0400-9.pdf</v>
      </c>
      <c r="W2308" s="1287" t="s">
        <v>5018</v>
      </c>
      <c r="X2308" s="51" t="str">
        <f t="array" ref="X2308"> if(iserror(MATCH(V2308, 'File Links'!C:C, 0)), "N/A", HYPERLINK(INDEX('File Links'!B:B, MATCH(V2308, 'File Links'!C:C, 0))))</f>
        <v>https://drive.google.com/file/d/1hjI3aqifdfXjWhQAlvKCKKtvjuncAn5M/view?usp=drivesdk</v>
      </c>
      <c r="Y2308" s="65"/>
      <c r="Z2308" s="156" t="s">
        <v>158</v>
      </c>
      <c r="AA2308" s="126" t="s">
        <v>131</v>
      </c>
      <c r="AB2308" s="156" t="s">
        <v>13944</v>
      </c>
      <c r="AC2308" s="1362" t="s">
        <v>13945</v>
      </c>
      <c r="AD2308" s="148" t="s">
        <v>13946</v>
      </c>
      <c r="AE2308" s="156" t="s">
        <v>13947</v>
      </c>
      <c r="AF2308" s="153">
        <v>202.0</v>
      </c>
      <c r="AG2308" s="148" t="s">
        <v>13948</v>
      </c>
      <c r="AH2308" s="156" t="s">
        <v>127</v>
      </c>
      <c r="AI2308" s="336" t="s">
        <v>133</v>
      </c>
      <c r="AJ2308" s="376">
        <v>0.001</v>
      </c>
      <c r="AK2308" s="54" t="s">
        <v>128</v>
      </c>
      <c r="AL2308" s="156" t="s">
        <v>179</v>
      </c>
      <c r="AM2308" s="1113" t="s">
        <v>130</v>
      </c>
      <c r="AN2308" s="1362" t="s">
        <v>131</v>
      </c>
      <c r="AO2308" s="153">
        <v>63.0</v>
      </c>
      <c r="AP2308" s="2047" t="s">
        <v>13949</v>
      </c>
      <c r="AQ2308" s="156" t="s">
        <v>127</v>
      </c>
      <c r="AR2308" s="156" t="s">
        <v>5017</v>
      </c>
      <c r="AS2308" s="153">
        <v>0.001</v>
      </c>
      <c r="AT2308" s="156" t="s">
        <v>128</v>
      </c>
      <c r="AU2308" s="156" t="s">
        <v>179</v>
      </c>
      <c r="AV2308" s="2059" t="s">
        <v>130</v>
      </c>
      <c r="AW2308" s="2060" t="s">
        <v>131</v>
      </c>
      <c r="AX2308" s="156" t="s">
        <v>136</v>
      </c>
      <c r="AZ2308" s="152" t="s">
        <v>13544</v>
      </c>
    </row>
    <row r="2309">
      <c r="A2309" s="41">
        <v>2309.0</v>
      </c>
      <c r="B2309" s="42" t="s">
        <v>107</v>
      </c>
      <c r="C2309" s="59" t="s">
        <v>108</v>
      </c>
      <c r="D2309" s="59" t="s">
        <v>241</v>
      </c>
      <c r="F2309" s="2019" t="s">
        <v>13937</v>
      </c>
      <c r="G2309" s="156" t="s">
        <v>13938</v>
      </c>
      <c r="H2309" s="1284" t="s">
        <v>242</v>
      </c>
      <c r="I2309" s="149">
        <v>45331.0</v>
      </c>
      <c r="J2309" s="150">
        <v>45727.0</v>
      </c>
      <c r="K2309" s="156" t="s">
        <v>13950</v>
      </c>
      <c r="L2309" s="65"/>
      <c r="M2309" s="156" t="s">
        <v>13941</v>
      </c>
      <c r="N2309" s="156" t="s">
        <v>13942</v>
      </c>
      <c r="O2309" s="126">
        <v>1.0</v>
      </c>
      <c r="P2309" s="156" t="s">
        <v>13951</v>
      </c>
      <c r="Q2309" s="49" t="str">
        <f t="array" ref="Q2309"> if(iserror(MATCH(V2309, 'File Links'!C:C, 0)), "N/A", HYPERLINK(INDEX('File Links'!B:B, MATCH(P2309, 'File Links'!C:C, 0))))</f>
        <v>https://drive.google.com/file/d/1kb4iozdFSFtKZKGvaK7sOkqlr4kI2jg5/view?usp=drivesdk</v>
      </c>
      <c r="R2309" s="2020" t="s">
        <v>5015</v>
      </c>
      <c r="S2309" s="156" t="s">
        <v>5016</v>
      </c>
      <c r="T2309" s="1999" t="s">
        <v>13943</v>
      </c>
      <c r="U2309" s="1362">
        <v>32.0</v>
      </c>
      <c r="V2309" s="156" t="str">
        <f t="shared" si="125"/>
        <v>10.1007--s13164-018-0400-9.pdf</v>
      </c>
      <c r="W2309" s="1287" t="s">
        <v>5018</v>
      </c>
      <c r="X2309" s="51" t="str">
        <f t="array" ref="X2309"> if(iserror(MATCH(V2309, 'File Links'!C:C, 0)), "N/A", HYPERLINK(INDEX('File Links'!B:B, MATCH(V2309, 'File Links'!C:C, 0))))</f>
        <v>https://drive.google.com/file/d/1hjI3aqifdfXjWhQAlvKCKKtvjuncAn5M/view?usp=drivesdk</v>
      </c>
      <c r="Y2309" s="65"/>
      <c r="Z2309" s="156" t="s">
        <v>158</v>
      </c>
      <c r="AA2309" s="126" t="s">
        <v>131</v>
      </c>
      <c r="AB2309" s="156" t="s">
        <v>13952</v>
      </c>
      <c r="AC2309" s="1362" t="s">
        <v>13945</v>
      </c>
      <c r="AD2309" s="156" t="s">
        <v>13953</v>
      </c>
      <c r="AE2309" s="156" t="s">
        <v>13954</v>
      </c>
      <c r="AF2309" s="153">
        <v>202.0</v>
      </c>
      <c r="AG2309" s="2035">
        <v>0.73</v>
      </c>
      <c r="AH2309" s="156" t="s">
        <v>1249</v>
      </c>
      <c r="AI2309" s="2049" t="s">
        <v>13955</v>
      </c>
      <c r="AJ2309" s="376">
        <v>0.001</v>
      </c>
      <c r="AK2309" s="54" t="s">
        <v>128</v>
      </c>
      <c r="AL2309" s="156" t="s">
        <v>179</v>
      </c>
      <c r="AM2309" s="1283" t="s">
        <v>130</v>
      </c>
      <c r="AN2309" s="1362" t="s">
        <v>131</v>
      </c>
      <c r="AO2309" s="153">
        <v>63.0</v>
      </c>
      <c r="AP2309" s="153">
        <v>0.96</v>
      </c>
      <c r="AQ2309" s="156" t="s">
        <v>1249</v>
      </c>
      <c r="AR2309" s="148" t="s">
        <v>13956</v>
      </c>
      <c r="AS2309" s="153">
        <v>0.001</v>
      </c>
      <c r="AT2309" s="156" t="s">
        <v>128</v>
      </c>
      <c r="AU2309" s="156" t="s">
        <v>179</v>
      </c>
      <c r="AV2309" s="151" t="s">
        <v>130</v>
      </c>
      <c r="AW2309" s="677" t="s">
        <v>13957</v>
      </c>
      <c r="AX2309" s="156" t="s">
        <v>136</v>
      </c>
      <c r="AZ2309" s="152" t="s">
        <v>13544</v>
      </c>
      <c r="BA2309" s="339"/>
      <c r="BB2309" s="339"/>
      <c r="BC2309" s="339"/>
      <c r="BD2309" s="339"/>
      <c r="BE2309" s="339"/>
      <c r="BF2309" s="339"/>
      <c r="BG2309" s="339"/>
      <c r="BH2309" s="339"/>
      <c r="BI2309" s="339"/>
      <c r="BJ2309" s="339"/>
      <c r="BK2309" s="339"/>
      <c r="BL2309" s="339"/>
      <c r="BM2309" s="339"/>
      <c r="BN2309" s="339"/>
      <c r="BO2309" s="339"/>
      <c r="BP2309" s="339"/>
      <c r="BQ2309" s="339"/>
      <c r="BR2309" s="339"/>
      <c r="BS2309" s="339"/>
      <c r="BT2309" s="339"/>
      <c r="BU2309" s="339"/>
      <c r="BV2309" s="339"/>
      <c r="BW2309" s="339"/>
      <c r="BX2309" s="339"/>
      <c r="BY2309" s="339"/>
      <c r="BZ2309" s="339"/>
      <c r="CA2309" s="339"/>
      <c r="CB2309" s="339"/>
      <c r="CC2309" s="339"/>
      <c r="CD2309" s="339"/>
      <c r="CE2309" s="339"/>
      <c r="CF2309" s="339"/>
      <c r="CG2309" s="339"/>
      <c r="CH2309" s="339"/>
      <c r="CI2309" s="339"/>
      <c r="CJ2309" s="339"/>
      <c r="CK2309" s="339"/>
      <c r="CL2309" s="339"/>
      <c r="CM2309" s="339"/>
      <c r="CN2309" s="339"/>
      <c r="CO2309" s="339"/>
      <c r="CP2309" s="339"/>
      <c r="CQ2309" s="339"/>
      <c r="CR2309" s="339"/>
      <c r="CS2309" s="339"/>
      <c r="CT2309" s="339"/>
      <c r="CU2309" s="339"/>
      <c r="CV2309" s="339"/>
      <c r="CW2309" s="339"/>
      <c r="CX2309" s="339"/>
      <c r="CY2309" s="339"/>
      <c r="CZ2309" s="339"/>
      <c r="DA2309" s="339"/>
      <c r="DB2309" s="339"/>
      <c r="DC2309" s="339"/>
      <c r="DD2309" s="339"/>
      <c r="DE2309" s="339"/>
      <c r="DF2309" s="339"/>
      <c r="DG2309" s="339"/>
      <c r="DH2309" s="339"/>
    </row>
    <row r="2310">
      <c r="A2310" s="41">
        <v>2310.0</v>
      </c>
      <c r="B2310" s="65" t="s">
        <v>583</v>
      </c>
      <c r="C2310" s="59" t="s">
        <v>108</v>
      </c>
      <c r="D2310" s="59" t="s">
        <v>241</v>
      </c>
      <c r="F2310" s="126" t="s">
        <v>13937</v>
      </c>
      <c r="G2310" s="156" t="s">
        <v>13958</v>
      </c>
      <c r="H2310" s="1284" t="s">
        <v>242</v>
      </c>
      <c r="I2310" s="149">
        <v>45691.0</v>
      </c>
      <c r="J2310" s="149">
        <v>45691.0</v>
      </c>
      <c r="K2310" s="65"/>
      <c r="L2310" s="65" t="s">
        <v>13959</v>
      </c>
      <c r="M2310" s="156" t="s">
        <v>13941</v>
      </c>
      <c r="N2310" s="156" t="s">
        <v>13942</v>
      </c>
      <c r="O2310" s="126">
        <v>1.0</v>
      </c>
      <c r="P2310" s="156" t="str">
        <f t="shared" ref="P2310:P2321" si="131">SUBSTITUTE(LOWER(N2310), "/", "--") &amp;  ".pdf"</f>
        <v>10.1016--j.cognition.2013.02.008.pdf</v>
      </c>
      <c r="Q2310" s="49" t="str">
        <f t="array" ref="Q2310"> if(iserror(MATCH(V2310, 'File Links'!C:C, 0)), "N/A", HYPERLINK(INDEX('File Links'!B:B, MATCH(P2310, 'File Links'!C:C, 0))))</f>
        <v>https://drive.google.com/file/d/1kb4iozdFSFtKZKGvaK7sOkqlr4kI2jg5/view?usp=drivesdk</v>
      </c>
      <c r="R2310" s="2020" t="s">
        <v>5015</v>
      </c>
      <c r="S2310" s="307" t="s">
        <v>5016</v>
      </c>
      <c r="T2310" s="307" t="s">
        <v>5017</v>
      </c>
      <c r="U2310" s="65"/>
      <c r="V2310" s="156" t="str">
        <f t="shared" si="125"/>
        <v>10.1007--s13164-018-0400-9.pdf</v>
      </c>
      <c r="W2310" s="1287" t="s">
        <v>5018</v>
      </c>
      <c r="X2310" s="51" t="str">
        <f t="array" ref="X2310"> if(iserror(MATCH(V2310, 'File Links'!C:C, 0)), "N/A", HYPERLINK(INDEX('File Links'!B:B, MATCH(V2310, 'File Links'!C:C, 0))))</f>
        <v>https://drive.google.com/file/d/1hjI3aqifdfXjWhQAlvKCKKtvjuncAn5M/view?usp=drivesdk</v>
      </c>
      <c r="Y2310" s="65"/>
      <c r="Z2310" s="156" t="s">
        <v>158</v>
      </c>
      <c r="AA2310" s="126" t="s">
        <v>131</v>
      </c>
      <c r="AB2310" s="156" t="s">
        <v>13960</v>
      </c>
      <c r="AC2310" s="65"/>
      <c r="AD2310" s="148" t="s">
        <v>13961</v>
      </c>
      <c r="AE2310" s="153" t="s">
        <v>1035</v>
      </c>
      <c r="AF2310" s="153">
        <v>207.0</v>
      </c>
      <c r="AG2310" s="148" t="s">
        <v>13962</v>
      </c>
      <c r="AH2310" s="156" t="s">
        <v>127</v>
      </c>
      <c r="AI2310" s="158" t="s">
        <v>1035</v>
      </c>
      <c r="AJ2310" s="376">
        <v>0.001</v>
      </c>
      <c r="AK2310" s="54" t="s">
        <v>128</v>
      </c>
      <c r="AL2310" s="156" t="s">
        <v>179</v>
      </c>
      <c r="AM2310" s="1283" t="s">
        <v>130</v>
      </c>
      <c r="AN2310" s="1362" t="s">
        <v>131</v>
      </c>
      <c r="AO2310" s="153">
        <v>63.0</v>
      </c>
      <c r="AP2310" s="2047" t="s">
        <v>13963</v>
      </c>
      <c r="AQ2310" s="156" t="s">
        <v>127</v>
      </c>
      <c r="AR2310" s="148" t="s">
        <v>13964</v>
      </c>
      <c r="AS2310" s="153">
        <v>0.001</v>
      </c>
      <c r="AT2310" s="156" t="s">
        <v>128</v>
      </c>
      <c r="AU2310" s="156" t="s">
        <v>179</v>
      </c>
      <c r="AV2310" s="151" t="s">
        <v>130</v>
      </c>
      <c r="AW2310" s="677" t="s">
        <v>13965</v>
      </c>
      <c r="AX2310" s="156" t="s">
        <v>136</v>
      </c>
      <c r="AZ2310" s="151" t="s">
        <v>242</v>
      </c>
      <c r="BA2310" s="1120"/>
      <c r="BB2310" s="1120"/>
      <c r="BC2310" s="1120"/>
      <c r="BD2310" s="1120"/>
      <c r="BE2310" s="1120"/>
      <c r="BF2310" s="1120"/>
      <c r="BG2310" s="1120"/>
      <c r="BH2310" s="1120"/>
      <c r="BI2310" s="1120"/>
      <c r="BJ2310" s="1120"/>
      <c r="BK2310" s="1120"/>
      <c r="BL2310" s="1120"/>
      <c r="BM2310" s="1120"/>
      <c r="BN2310" s="1120"/>
      <c r="BO2310" s="1120"/>
      <c r="BP2310" s="1120"/>
      <c r="BQ2310" s="1120"/>
      <c r="BR2310" s="1120"/>
      <c r="BS2310" s="1120"/>
      <c r="BT2310" s="1120"/>
      <c r="BU2310" s="1120"/>
      <c r="BV2310" s="1120"/>
      <c r="BW2310" s="1120"/>
      <c r="BX2310" s="1120"/>
      <c r="BY2310" s="1120"/>
      <c r="BZ2310" s="1120"/>
      <c r="CA2310" s="1120"/>
      <c r="CB2310" s="1120"/>
      <c r="CC2310" s="1120"/>
      <c r="CD2310" s="1120"/>
      <c r="CE2310" s="1120"/>
      <c r="CF2310" s="1120"/>
      <c r="CG2310" s="1120"/>
      <c r="CH2310" s="1120"/>
      <c r="CI2310" s="1120"/>
      <c r="CJ2310" s="1120"/>
      <c r="CK2310" s="1120"/>
      <c r="CL2310" s="1120"/>
      <c r="CM2310" s="1120"/>
      <c r="CN2310" s="1120"/>
      <c r="CO2310" s="1120"/>
      <c r="CP2310" s="1120"/>
      <c r="CQ2310" s="1120"/>
      <c r="CR2310" s="1120"/>
      <c r="CS2310" s="1120"/>
      <c r="CT2310" s="1120"/>
      <c r="CU2310" s="1120"/>
      <c r="CV2310" s="1120"/>
      <c r="CW2310" s="1120"/>
      <c r="CX2310" s="1120"/>
      <c r="CY2310" s="1120"/>
      <c r="CZ2310" s="1120"/>
      <c r="DA2310" s="1120"/>
      <c r="DB2310" s="1120"/>
      <c r="DC2310" s="1120"/>
      <c r="DD2310" s="1120"/>
      <c r="DE2310" s="1120"/>
      <c r="DF2310" s="1120"/>
      <c r="DG2310" s="1120"/>
      <c r="DH2310" s="1120"/>
    </row>
    <row r="2311">
      <c r="A2311" s="41">
        <v>2311.0</v>
      </c>
      <c r="B2311" s="65" t="s">
        <v>583</v>
      </c>
      <c r="C2311" s="59" t="s">
        <v>108</v>
      </c>
      <c r="D2311" s="59" t="s">
        <v>1263</v>
      </c>
      <c r="F2311" s="126" t="s">
        <v>13937</v>
      </c>
      <c r="G2311" s="148" t="s">
        <v>13958</v>
      </c>
      <c r="H2311" s="1284" t="s">
        <v>5011</v>
      </c>
      <c r="I2311" s="149">
        <v>45674.0</v>
      </c>
      <c r="J2311" s="149">
        <v>45691.0</v>
      </c>
      <c r="K2311" s="65"/>
      <c r="L2311" s="65" t="s">
        <v>13959</v>
      </c>
      <c r="M2311" s="156" t="s">
        <v>13941</v>
      </c>
      <c r="N2311" s="156" t="s">
        <v>13942</v>
      </c>
      <c r="O2311" s="126">
        <v>1.0</v>
      </c>
      <c r="P2311" s="156" t="str">
        <f t="shared" si="131"/>
        <v>10.1016--j.cognition.2013.02.008.pdf</v>
      </c>
      <c r="Q2311" s="49" t="str">
        <f t="array" ref="Q2311"> if(iserror(MATCH(V2311, 'File Links'!C:C, 0)), "N/A", HYPERLINK(INDEX('File Links'!B:B, MATCH(P2311, 'File Links'!C:C, 0))))</f>
        <v>https://drive.google.com/file/d/1kb4iozdFSFtKZKGvaK7sOkqlr4kI2jg5/view?usp=drivesdk</v>
      </c>
      <c r="R2311" s="2020" t="s">
        <v>5015</v>
      </c>
      <c r="S2311" s="307" t="s">
        <v>5016</v>
      </c>
      <c r="T2311" s="307" t="s">
        <v>5017</v>
      </c>
      <c r="U2311" s="153">
        <v>32.0</v>
      </c>
      <c r="V2311" s="156" t="str">
        <f t="shared" si="125"/>
        <v>10.1007--s13164-018-0400-9.pdf</v>
      </c>
      <c r="W2311" s="1287" t="s">
        <v>5018</v>
      </c>
      <c r="X2311" s="51" t="str">
        <f t="array" ref="X2311"> if(iserror(MATCH(V2311, 'File Links'!C:C, 0)), "N/A", HYPERLINK(INDEX('File Links'!B:B, MATCH(V2311, 'File Links'!C:C, 0))))</f>
        <v>https://drive.google.com/file/d/1hjI3aqifdfXjWhQAlvKCKKtvjuncAn5M/view?usp=drivesdk</v>
      </c>
      <c r="Y2311" s="65"/>
      <c r="Z2311" s="156" t="s">
        <v>158</v>
      </c>
      <c r="AA2311" s="126" t="s">
        <v>131</v>
      </c>
      <c r="AB2311" s="156" t="s">
        <v>13944</v>
      </c>
      <c r="AC2311" s="65"/>
      <c r="AD2311" s="148" t="s">
        <v>13966</v>
      </c>
      <c r="AE2311" s="153">
        <v>6.0</v>
      </c>
      <c r="AF2311" s="153">
        <v>207.0</v>
      </c>
      <c r="AG2311" s="148" t="s">
        <v>13962</v>
      </c>
      <c r="AH2311" s="156" t="s">
        <v>127</v>
      </c>
      <c r="AI2311" s="158" t="s">
        <v>1035</v>
      </c>
      <c r="AJ2311" s="376">
        <v>0.001</v>
      </c>
      <c r="AK2311" s="54" t="s">
        <v>128</v>
      </c>
      <c r="AL2311" s="156" t="s">
        <v>179</v>
      </c>
      <c r="AM2311" s="54" t="s">
        <v>1898</v>
      </c>
      <c r="AN2311" s="65"/>
      <c r="AO2311" s="153">
        <v>63.0</v>
      </c>
      <c r="AP2311" s="2047" t="s">
        <v>13963</v>
      </c>
      <c r="AQ2311" s="156" t="s">
        <v>127</v>
      </c>
      <c r="AR2311" s="156" t="s">
        <v>13967</v>
      </c>
      <c r="AS2311" s="153">
        <v>0.001</v>
      </c>
      <c r="AT2311" s="156" t="s">
        <v>128</v>
      </c>
      <c r="AU2311" s="156" t="s">
        <v>179</v>
      </c>
      <c r="AV2311" s="156" t="s">
        <v>1898</v>
      </c>
      <c r="AW2311" s="307" t="s">
        <v>13968</v>
      </c>
      <c r="AX2311" s="156" t="s">
        <v>136</v>
      </c>
      <c r="AZ2311" s="151" t="s">
        <v>242</v>
      </c>
      <c r="BA2311" s="339"/>
      <c r="BB2311" s="339"/>
      <c r="BC2311" s="339"/>
      <c r="BD2311" s="339"/>
      <c r="BE2311" s="339"/>
      <c r="BF2311" s="339"/>
      <c r="BG2311" s="339"/>
      <c r="BH2311" s="339"/>
      <c r="BI2311" s="339"/>
      <c r="BJ2311" s="339"/>
      <c r="BK2311" s="339"/>
      <c r="BL2311" s="339"/>
      <c r="BM2311" s="339"/>
      <c r="BN2311" s="339"/>
      <c r="BO2311" s="339"/>
      <c r="BP2311" s="339"/>
      <c r="BQ2311" s="339"/>
      <c r="BR2311" s="339"/>
      <c r="BS2311" s="339"/>
      <c r="BT2311" s="339"/>
      <c r="BU2311" s="339"/>
      <c r="BV2311" s="339"/>
      <c r="BW2311" s="339"/>
      <c r="BX2311" s="339"/>
      <c r="BY2311" s="339"/>
      <c r="BZ2311" s="339"/>
      <c r="CA2311" s="339"/>
      <c r="CB2311" s="339"/>
      <c r="CC2311" s="339"/>
      <c r="CD2311" s="339"/>
      <c r="CE2311" s="339"/>
      <c r="CF2311" s="339"/>
      <c r="CG2311" s="339"/>
      <c r="CH2311" s="339"/>
      <c r="CI2311" s="339"/>
      <c r="CJ2311" s="339"/>
      <c r="CK2311" s="339"/>
      <c r="CL2311" s="339"/>
      <c r="CM2311" s="339"/>
      <c r="CN2311" s="339"/>
      <c r="CO2311" s="339"/>
      <c r="CP2311" s="339"/>
      <c r="CQ2311" s="339"/>
      <c r="CR2311" s="339"/>
      <c r="CS2311" s="339"/>
      <c r="CT2311" s="339"/>
      <c r="CU2311" s="339"/>
      <c r="CV2311" s="339"/>
      <c r="CW2311" s="339"/>
      <c r="CX2311" s="339"/>
      <c r="CY2311" s="339"/>
      <c r="CZ2311" s="339"/>
      <c r="DA2311" s="339"/>
      <c r="DB2311" s="339"/>
      <c r="DC2311" s="339"/>
      <c r="DD2311" s="339"/>
      <c r="DE2311" s="339"/>
      <c r="DF2311" s="339"/>
      <c r="DG2311" s="339"/>
      <c r="DH2311" s="339"/>
    </row>
    <row r="2312">
      <c r="A2312" s="41">
        <v>2312.0</v>
      </c>
      <c r="B2312" s="151" t="s">
        <v>583</v>
      </c>
      <c r="C2312" s="59" t="s">
        <v>108</v>
      </c>
      <c r="D2312" s="59" t="s">
        <v>241</v>
      </c>
      <c r="F2312" s="126" t="s">
        <v>13937</v>
      </c>
      <c r="G2312" s="156" t="s">
        <v>13969</v>
      </c>
      <c r="H2312" s="1284" t="s">
        <v>242</v>
      </c>
      <c r="I2312" s="149">
        <v>45691.0</v>
      </c>
      <c r="J2312" s="149">
        <v>45691.0</v>
      </c>
      <c r="K2312" s="65"/>
      <c r="L2312" s="65" t="s">
        <v>13959</v>
      </c>
      <c r="M2312" s="156" t="s">
        <v>13941</v>
      </c>
      <c r="N2312" s="156" t="s">
        <v>13942</v>
      </c>
      <c r="O2312" s="126">
        <v>1.0</v>
      </c>
      <c r="P2312" s="156" t="str">
        <f t="shared" si="131"/>
        <v>10.1016--j.cognition.2013.02.008.pdf</v>
      </c>
      <c r="Q2312" s="49" t="str">
        <f t="array" ref="Q2312"> if(iserror(MATCH(V2312, 'File Links'!C:C, 0)), "N/A", HYPERLINK(INDEX('File Links'!B:B, MATCH(P2312, 'File Links'!C:C, 0))))</f>
        <v>https://drive.google.com/file/d/1kb4iozdFSFtKZKGvaK7sOkqlr4kI2jg5/view?usp=drivesdk</v>
      </c>
      <c r="R2312" s="2020" t="s">
        <v>5015</v>
      </c>
      <c r="S2312" s="307" t="s">
        <v>5016</v>
      </c>
      <c r="T2312" s="307" t="s">
        <v>5017</v>
      </c>
      <c r="U2312" s="65"/>
      <c r="V2312" s="156" t="str">
        <f t="shared" si="125"/>
        <v>10.1007--s13164-018-0400-9.pdf</v>
      </c>
      <c r="W2312" s="1287" t="s">
        <v>5018</v>
      </c>
      <c r="X2312" s="51" t="str">
        <f t="array" ref="X2312"> if(iserror(MATCH(V2312, 'File Links'!C:C, 0)), "N/A", HYPERLINK(INDEX('File Links'!B:B, MATCH(V2312, 'File Links'!C:C, 0))))</f>
        <v>https://drive.google.com/file/d/1hjI3aqifdfXjWhQAlvKCKKtvjuncAn5M/view?usp=drivesdk</v>
      </c>
      <c r="Y2312" s="65"/>
      <c r="Z2312" s="156" t="s">
        <v>158</v>
      </c>
      <c r="AA2312" s="126" t="s">
        <v>131</v>
      </c>
      <c r="AB2312" s="156" t="s">
        <v>13970</v>
      </c>
      <c r="AC2312" s="65"/>
      <c r="AD2312" s="148" t="s">
        <v>13971</v>
      </c>
      <c r="AE2312" s="153" t="s">
        <v>1035</v>
      </c>
      <c r="AF2312" s="153">
        <v>204.0</v>
      </c>
      <c r="AG2312" s="153">
        <v>1.35</v>
      </c>
      <c r="AH2312" s="156" t="s">
        <v>980</v>
      </c>
      <c r="AI2312" s="158" t="s">
        <v>1035</v>
      </c>
      <c r="AJ2312" s="376">
        <v>0.001</v>
      </c>
      <c r="AK2312" s="54" t="s">
        <v>128</v>
      </c>
      <c r="AL2312" s="156" t="s">
        <v>179</v>
      </c>
      <c r="AM2312" s="1283" t="s">
        <v>130</v>
      </c>
      <c r="AN2312" s="1362" t="s">
        <v>131</v>
      </c>
      <c r="AO2312" s="153">
        <v>63.0</v>
      </c>
      <c r="AP2312" s="1289">
        <v>0.87</v>
      </c>
      <c r="AQ2312" s="156" t="s">
        <v>980</v>
      </c>
      <c r="AR2312" s="2061" t="s">
        <v>13972</v>
      </c>
      <c r="AS2312" s="153">
        <v>0.001</v>
      </c>
      <c r="AT2312" s="156" t="s">
        <v>128</v>
      </c>
      <c r="AU2312" s="156" t="s">
        <v>179</v>
      </c>
      <c r="AV2312" s="151" t="s">
        <v>130</v>
      </c>
      <c r="AW2312" s="677" t="s">
        <v>13973</v>
      </c>
      <c r="AX2312" s="156" t="s">
        <v>136</v>
      </c>
      <c r="AZ2312" s="151" t="s">
        <v>242</v>
      </c>
    </row>
    <row r="2313">
      <c r="A2313" s="41">
        <v>2313.0</v>
      </c>
      <c r="B2313" s="151" t="s">
        <v>583</v>
      </c>
      <c r="C2313" s="59" t="s">
        <v>108</v>
      </c>
      <c r="D2313" s="59" t="s">
        <v>1263</v>
      </c>
      <c r="F2313" s="126" t="s">
        <v>13937</v>
      </c>
      <c r="G2313" s="148" t="s">
        <v>13969</v>
      </c>
      <c r="H2313" s="1284" t="s">
        <v>5011</v>
      </c>
      <c r="I2313" s="149">
        <v>45674.0</v>
      </c>
      <c r="J2313" s="149">
        <v>45691.0</v>
      </c>
      <c r="K2313" s="65"/>
      <c r="L2313" s="65" t="s">
        <v>13959</v>
      </c>
      <c r="M2313" s="156" t="s">
        <v>13941</v>
      </c>
      <c r="N2313" s="156" t="s">
        <v>13942</v>
      </c>
      <c r="O2313" s="126">
        <v>1.0</v>
      </c>
      <c r="P2313" s="156" t="str">
        <f t="shared" si="131"/>
        <v>10.1016--j.cognition.2013.02.008.pdf</v>
      </c>
      <c r="Q2313" s="49" t="str">
        <f t="array" ref="Q2313"> if(iserror(MATCH(V2313, 'File Links'!C:C, 0)), "N/A", HYPERLINK(INDEX('File Links'!B:B, MATCH(P2313, 'File Links'!C:C, 0))))</f>
        <v>https://drive.google.com/file/d/1kb4iozdFSFtKZKGvaK7sOkqlr4kI2jg5/view?usp=drivesdk</v>
      </c>
      <c r="R2313" s="2020" t="s">
        <v>5015</v>
      </c>
      <c r="S2313" s="307" t="s">
        <v>5016</v>
      </c>
      <c r="T2313" s="307" t="s">
        <v>5017</v>
      </c>
      <c r="U2313" s="153">
        <v>32.0</v>
      </c>
      <c r="V2313" s="156" t="str">
        <f t="shared" si="125"/>
        <v>10.1007--s13164-018-0400-9.pdf</v>
      </c>
      <c r="W2313" s="1287" t="s">
        <v>5018</v>
      </c>
      <c r="X2313" s="51" t="str">
        <f t="array" ref="X2313"> if(iserror(MATCH(V2313, 'File Links'!C:C, 0)), "N/A", HYPERLINK(INDEX('File Links'!B:B, MATCH(V2313, 'File Links'!C:C, 0))))</f>
        <v>https://drive.google.com/file/d/1hjI3aqifdfXjWhQAlvKCKKtvjuncAn5M/view?usp=drivesdk</v>
      </c>
      <c r="Y2313" s="65"/>
      <c r="Z2313" s="156" t="s">
        <v>158</v>
      </c>
      <c r="AA2313" s="126" t="s">
        <v>131</v>
      </c>
      <c r="AB2313" s="156" t="s">
        <v>13944</v>
      </c>
      <c r="AC2313" s="65"/>
      <c r="AD2313" s="148" t="s">
        <v>13974</v>
      </c>
      <c r="AE2313" s="153">
        <v>6.0</v>
      </c>
      <c r="AF2313" s="153">
        <v>204.0</v>
      </c>
      <c r="AG2313" s="148" t="s">
        <v>13975</v>
      </c>
      <c r="AH2313" s="156" t="s">
        <v>127</v>
      </c>
      <c r="AI2313" s="158" t="s">
        <v>1035</v>
      </c>
      <c r="AJ2313" s="376">
        <v>0.001</v>
      </c>
      <c r="AK2313" s="54" t="s">
        <v>128</v>
      </c>
      <c r="AL2313" s="156" t="s">
        <v>179</v>
      </c>
      <c r="AM2313" s="54" t="s">
        <v>1898</v>
      </c>
      <c r="AN2313" s="65"/>
      <c r="AO2313" s="153">
        <v>63.0</v>
      </c>
      <c r="AP2313" s="2047" t="s">
        <v>13976</v>
      </c>
      <c r="AQ2313" s="156" t="s">
        <v>127</v>
      </c>
      <c r="AR2313" s="307" t="s">
        <v>13967</v>
      </c>
      <c r="AS2313" s="153">
        <v>0.001</v>
      </c>
      <c r="AT2313" s="156" t="s">
        <v>128</v>
      </c>
      <c r="AU2313" s="156" t="s">
        <v>179</v>
      </c>
      <c r="AV2313" s="156" t="s">
        <v>1898</v>
      </c>
      <c r="AW2313" s="307" t="s">
        <v>13968</v>
      </c>
      <c r="AX2313" s="156" t="s">
        <v>136</v>
      </c>
      <c r="AZ2313" s="151" t="s">
        <v>242</v>
      </c>
    </row>
    <row r="2314">
      <c r="A2314" s="41">
        <v>2314.0</v>
      </c>
      <c r="B2314" s="65" t="s">
        <v>583</v>
      </c>
      <c r="C2314" s="59" t="s">
        <v>108</v>
      </c>
      <c r="D2314" s="59" t="s">
        <v>241</v>
      </c>
      <c r="F2314" s="126" t="s">
        <v>13937</v>
      </c>
      <c r="G2314" s="156" t="s">
        <v>13977</v>
      </c>
      <c r="H2314" s="1284" t="s">
        <v>242</v>
      </c>
      <c r="I2314" s="149">
        <v>45691.0</v>
      </c>
      <c r="J2314" s="149">
        <v>45691.0</v>
      </c>
      <c r="K2314" s="65"/>
      <c r="L2314" s="65" t="s">
        <v>13959</v>
      </c>
      <c r="M2314" s="156" t="s">
        <v>13941</v>
      </c>
      <c r="N2314" s="156" t="s">
        <v>13942</v>
      </c>
      <c r="O2314" s="126">
        <v>1.0</v>
      </c>
      <c r="P2314" s="156" t="str">
        <f t="shared" si="131"/>
        <v>10.1016--j.cognition.2013.02.008.pdf</v>
      </c>
      <c r="Q2314" s="49" t="str">
        <f t="array" ref="Q2314"> if(iserror(MATCH(V2314, 'File Links'!C:C, 0)), "N/A", HYPERLINK(INDEX('File Links'!B:B, MATCH(P2314, 'File Links'!C:C, 0))))</f>
        <v>https://drive.google.com/file/d/1kb4iozdFSFtKZKGvaK7sOkqlr4kI2jg5/view?usp=drivesdk</v>
      </c>
      <c r="R2314" s="2020" t="s">
        <v>5015</v>
      </c>
      <c r="S2314" s="307" t="s">
        <v>5016</v>
      </c>
      <c r="T2314" s="307" t="s">
        <v>5017</v>
      </c>
      <c r="U2314" s="65"/>
      <c r="V2314" s="156" t="str">
        <f t="shared" si="125"/>
        <v>10.1007--s13164-018-0400-9.pdf</v>
      </c>
      <c r="W2314" s="1287" t="s">
        <v>5018</v>
      </c>
      <c r="X2314" s="51" t="str">
        <f t="array" ref="X2314"> if(iserror(MATCH(V2314, 'File Links'!C:C, 0)), "N/A", HYPERLINK(INDEX('File Links'!B:B, MATCH(V2314, 'File Links'!C:C, 0))))</f>
        <v>https://drive.google.com/file/d/1hjI3aqifdfXjWhQAlvKCKKtvjuncAn5M/view?usp=drivesdk</v>
      </c>
      <c r="Y2314" s="65"/>
      <c r="Z2314" s="156" t="s">
        <v>158</v>
      </c>
      <c r="AA2314" s="126" t="s">
        <v>131</v>
      </c>
      <c r="AB2314" s="156" t="s">
        <v>13978</v>
      </c>
      <c r="AC2314" s="65"/>
      <c r="AD2314" s="156" t="s">
        <v>13979</v>
      </c>
      <c r="AE2314" s="153" t="s">
        <v>1035</v>
      </c>
      <c r="AF2314" s="153">
        <v>204.0</v>
      </c>
      <c r="AG2314" s="153">
        <v>2.71</v>
      </c>
      <c r="AH2314" s="156" t="s">
        <v>980</v>
      </c>
      <c r="AI2314" s="158" t="s">
        <v>1035</v>
      </c>
      <c r="AJ2314" s="376">
        <v>0.001</v>
      </c>
      <c r="AK2314" s="54" t="s">
        <v>128</v>
      </c>
      <c r="AL2314" s="156" t="s">
        <v>179</v>
      </c>
      <c r="AM2314" s="1283" t="s">
        <v>130</v>
      </c>
      <c r="AN2314" s="1362" t="s">
        <v>131</v>
      </c>
      <c r="AO2314" s="153">
        <v>63.0</v>
      </c>
      <c r="AP2314" s="1289">
        <v>2.3</v>
      </c>
      <c r="AQ2314" s="156" t="s">
        <v>980</v>
      </c>
      <c r="AR2314" s="148" t="s">
        <v>13980</v>
      </c>
      <c r="AS2314" s="153">
        <v>0.001</v>
      </c>
      <c r="AT2314" s="156" t="s">
        <v>128</v>
      </c>
      <c r="AU2314" s="156" t="s">
        <v>179</v>
      </c>
      <c r="AV2314" s="151" t="s">
        <v>130</v>
      </c>
      <c r="AW2314" s="677" t="s">
        <v>13981</v>
      </c>
      <c r="AX2314" s="156" t="s">
        <v>136</v>
      </c>
      <c r="AZ2314" s="151" t="s">
        <v>242</v>
      </c>
      <c r="BA2314" s="339"/>
      <c r="BB2314" s="339"/>
      <c r="BC2314" s="339"/>
      <c r="BD2314" s="339"/>
      <c r="BE2314" s="339"/>
      <c r="BF2314" s="339"/>
      <c r="BG2314" s="339"/>
      <c r="BH2314" s="339"/>
      <c r="BI2314" s="339"/>
      <c r="BJ2314" s="339"/>
      <c r="BK2314" s="339"/>
      <c r="BL2314" s="339"/>
      <c r="BM2314" s="339"/>
      <c r="BN2314" s="339"/>
      <c r="BO2314" s="339"/>
      <c r="BP2314" s="339"/>
      <c r="BQ2314" s="339"/>
      <c r="BR2314" s="339"/>
      <c r="BS2314" s="339"/>
      <c r="BT2314" s="339"/>
      <c r="BU2314" s="339"/>
      <c r="BV2314" s="339"/>
      <c r="BW2314" s="339"/>
      <c r="BX2314" s="339"/>
      <c r="BY2314" s="339"/>
      <c r="BZ2314" s="339"/>
      <c r="CA2314" s="339"/>
      <c r="CB2314" s="339"/>
      <c r="CC2314" s="339"/>
      <c r="CD2314" s="339"/>
      <c r="CE2314" s="339"/>
      <c r="CF2314" s="339"/>
      <c r="CG2314" s="339"/>
      <c r="CH2314" s="339"/>
      <c r="CI2314" s="339"/>
      <c r="CJ2314" s="339"/>
      <c r="CK2314" s="339"/>
      <c r="CL2314" s="339"/>
      <c r="CM2314" s="339"/>
      <c r="CN2314" s="339"/>
      <c r="CO2314" s="339"/>
      <c r="CP2314" s="339"/>
      <c r="CQ2314" s="339"/>
      <c r="CR2314" s="339"/>
      <c r="CS2314" s="339"/>
      <c r="CT2314" s="339"/>
      <c r="CU2314" s="339"/>
      <c r="CV2314" s="339"/>
      <c r="CW2314" s="339"/>
      <c r="CX2314" s="339"/>
      <c r="CY2314" s="339"/>
      <c r="CZ2314" s="339"/>
      <c r="DA2314" s="339"/>
      <c r="DB2314" s="339"/>
      <c r="DC2314" s="339"/>
      <c r="DD2314" s="339"/>
      <c r="DE2314" s="339"/>
      <c r="DF2314" s="339"/>
      <c r="DG2314" s="339"/>
      <c r="DH2314" s="339"/>
    </row>
    <row r="2315">
      <c r="A2315" s="41">
        <v>2315.0</v>
      </c>
      <c r="B2315" s="65" t="s">
        <v>583</v>
      </c>
      <c r="C2315" s="59" t="s">
        <v>108</v>
      </c>
      <c r="D2315" s="59" t="s">
        <v>1263</v>
      </c>
      <c r="F2315" s="126" t="s">
        <v>13937</v>
      </c>
      <c r="G2315" s="148" t="s">
        <v>13977</v>
      </c>
      <c r="H2315" s="1284" t="s">
        <v>5011</v>
      </c>
      <c r="I2315" s="149">
        <v>45674.0</v>
      </c>
      <c r="J2315" s="149">
        <v>45691.0</v>
      </c>
      <c r="K2315" s="65"/>
      <c r="L2315" s="65" t="s">
        <v>13959</v>
      </c>
      <c r="M2315" s="156" t="s">
        <v>13941</v>
      </c>
      <c r="N2315" s="156" t="s">
        <v>13942</v>
      </c>
      <c r="O2315" s="126">
        <v>1.0</v>
      </c>
      <c r="P2315" s="156" t="str">
        <f t="shared" si="131"/>
        <v>10.1016--j.cognition.2013.02.008.pdf</v>
      </c>
      <c r="Q2315" s="49" t="str">
        <f t="array" ref="Q2315"> if(iserror(MATCH(V2315, 'File Links'!C:C, 0)), "N/A", HYPERLINK(INDEX('File Links'!B:B, MATCH(P2315, 'File Links'!C:C, 0))))</f>
        <v>https://drive.google.com/file/d/1kb4iozdFSFtKZKGvaK7sOkqlr4kI2jg5/view?usp=drivesdk</v>
      </c>
      <c r="R2315" s="2020" t="s">
        <v>5015</v>
      </c>
      <c r="S2315" s="307" t="s">
        <v>5016</v>
      </c>
      <c r="T2315" s="307" t="s">
        <v>5017</v>
      </c>
      <c r="U2315" s="153">
        <v>32.0</v>
      </c>
      <c r="V2315" s="156" t="str">
        <f t="shared" si="125"/>
        <v>10.1007--s13164-018-0400-9.pdf</v>
      </c>
      <c r="W2315" s="1287" t="s">
        <v>5018</v>
      </c>
      <c r="X2315" s="51" t="str">
        <f t="array" ref="X2315"> if(iserror(MATCH(V2315, 'File Links'!C:C, 0)), "N/A", HYPERLINK(INDEX('File Links'!B:B, MATCH(V2315, 'File Links'!C:C, 0))))</f>
        <v>https://drive.google.com/file/d/1hjI3aqifdfXjWhQAlvKCKKtvjuncAn5M/view?usp=drivesdk</v>
      </c>
      <c r="Y2315" s="65"/>
      <c r="Z2315" s="156" t="s">
        <v>158</v>
      </c>
      <c r="AA2315" s="126" t="s">
        <v>131</v>
      </c>
      <c r="AB2315" s="156" t="s">
        <v>13944</v>
      </c>
      <c r="AC2315" s="65"/>
      <c r="AD2315" s="148" t="s">
        <v>13982</v>
      </c>
      <c r="AE2315" s="153">
        <v>6.0</v>
      </c>
      <c r="AF2315" s="153">
        <v>204.0</v>
      </c>
      <c r="AG2315" s="148" t="s">
        <v>13983</v>
      </c>
      <c r="AH2315" s="156" t="s">
        <v>127</v>
      </c>
      <c r="AI2315" s="158" t="s">
        <v>1035</v>
      </c>
      <c r="AJ2315" s="376">
        <v>0.001</v>
      </c>
      <c r="AK2315" s="54" t="s">
        <v>128</v>
      </c>
      <c r="AL2315" s="156" t="s">
        <v>179</v>
      </c>
      <c r="AM2315" s="54" t="s">
        <v>1898</v>
      </c>
      <c r="AN2315" s="65"/>
      <c r="AO2315" s="153">
        <v>63.0</v>
      </c>
      <c r="AP2315" s="2047" t="s">
        <v>13984</v>
      </c>
      <c r="AQ2315" s="156" t="s">
        <v>127</v>
      </c>
      <c r="AR2315" s="156" t="s">
        <v>13967</v>
      </c>
      <c r="AS2315" s="153">
        <v>0.001</v>
      </c>
      <c r="AT2315" s="156" t="s">
        <v>128</v>
      </c>
      <c r="AU2315" s="156" t="s">
        <v>179</v>
      </c>
      <c r="AV2315" s="156" t="s">
        <v>1898</v>
      </c>
      <c r="AW2315" s="307" t="s">
        <v>13968</v>
      </c>
      <c r="AX2315" s="156" t="s">
        <v>136</v>
      </c>
      <c r="AZ2315" s="151" t="s">
        <v>242</v>
      </c>
    </row>
    <row r="2316">
      <c r="A2316" s="41">
        <v>2316.0</v>
      </c>
      <c r="B2316" s="151" t="s">
        <v>583</v>
      </c>
      <c r="C2316" s="59" t="s">
        <v>108</v>
      </c>
      <c r="D2316" s="59" t="s">
        <v>241</v>
      </c>
      <c r="F2316" s="126" t="s">
        <v>13937</v>
      </c>
      <c r="G2316" s="156" t="s">
        <v>13985</v>
      </c>
      <c r="H2316" s="1284" t="s">
        <v>242</v>
      </c>
      <c r="I2316" s="149">
        <v>45691.0</v>
      </c>
      <c r="J2316" s="149">
        <v>45691.0</v>
      </c>
      <c r="K2316" s="65"/>
      <c r="L2316" s="65" t="s">
        <v>13959</v>
      </c>
      <c r="M2316" s="156" t="s">
        <v>13941</v>
      </c>
      <c r="N2316" s="156" t="s">
        <v>13942</v>
      </c>
      <c r="O2316" s="126">
        <v>1.0</v>
      </c>
      <c r="P2316" s="156" t="str">
        <f t="shared" si="131"/>
        <v>10.1016--j.cognition.2013.02.008.pdf</v>
      </c>
      <c r="Q2316" s="49" t="str">
        <f t="array" ref="Q2316"> if(iserror(MATCH(V2316, 'File Links'!C:C, 0)), "N/A", HYPERLINK(INDEX('File Links'!B:B, MATCH(P2316, 'File Links'!C:C, 0))))</f>
        <v>https://drive.google.com/file/d/1kb4iozdFSFtKZKGvaK7sOkqlr4kI2jg5/view?usp=drivesdk</v>
      </c>
      <c r="R2316" s="2020" t="s">
        <v>5015</v>
      </c>
      <c r="S2316" s="307" t="s">
        <v>5016</v>
      </c>
      <c r="T2316" s="307" t="s">
        <v>5017</v>
      </c>
      <c r="U2316" s="65"/>
      <c r="V2316" s="156" t="str">
        <f t="shared" si="125"/>
        <v>10.1007--s13164-018-0400-9.pdf</v>
      </c>
      <c r="W2316" s="1287" t="s">
        <v>5018</v>
      </c>
      <c r="X2316" s="51" t="str">
        <f t="array" ref="X2316"> if(iserror(MATCH(V2316, 'File Links'!C:C, 0)), "N/A", HYPERLINK(INDEX('File Links'!B:B, MATCH(V2316, 'File Links'!C:C, 0))))</f>
        <v>https://drive.google.com/file/d/1hjI3aqifdfXjWhQAlvKCKKtvjuncAn5M/view?usp=drivesdk</v>
      </c>
      <c r="Y2316" s="65"/>
      <c r="Z2316" s="156" t="s">
        <v>158</v>
      </c>
      <c r="AA2316" s="126" t="s">
        <v>131</v>
      </c>
      <c r="AB2316" s="156" t="s">
        <v>13986</v>
      </c>
      <c r="AC2316" s="65"/>
      <c r="AD2316" s="156" t="s">
        <v>13987</v>
      </c>
      <c r="AE2316" s="153" t="s">
        <v>1035</v>
      </c>
      <c r="AF2316" s="153">
        <v>197.0</v>
      </c>
      <c r="AG2316" s="153">
        <v>1.45</v>
      </c>
      <c r="AH2316" s="156" t="s">
        <v>980</v>
      </c>
      <c r="AI2316" s="158" t="s">
        <v>1035</v>
      </c>
      <c r="AJ2316" s="376">
        <v>0.001</v>
      </c>
      <c r="AK2316" s="54" t="s">
        <v>128</v>
      </c>
      <c r="AL2316" s="156" t="s">
        <v>179</v>
      </c>
      <c r="AM2316" s="1283" t="s">
        <v>130</v>
      </c>
      <c r="AN2316" s="1362" t="s">
        <v>131</v>
      </c>
      <c r="AO2316" s="153">
        <v>63.0</v>
      </c>
      <c r="AP2316" s="1289">
        <v>1.44</v>
      </c>
      <c r="AQ2316" s="156" t="s">
        <v>980</v>
      </c>
      <c r="AR2316" s="148" t="s">
        <v>13988</v>
      </c>
      <c r="AS2316" s="153">
        <v>0.001</v>
      </c>
      <c r="AT2316" s="156" t="s">
        <v>128</v>
      </c>
      <c r="AU2316" s="156" t="s">
        <v>179</v>
      </c>
      <c r="AV2316" s="151" t="s">
        <v>130</v>
      </c>
      <c r="AW2316" s="677" t="s">
        <v>13989</v>
      </c>
      <c r="AX2316" s="156" t="s">
        <v>136</v>
      </c>
      <c r="AZ2316" s="151" t="s">
        <v>242</v>
      </c>
    </row>
    <row r="2317">
      <c r="A2317" s="41">
        <v>2317.0</v>
      </c>
      <c r="B2317" s="151" t="s">
        <v>583</v>
      </c>
      <c r="C2317" s="59" t="s">
        <v>108</v>
      </c>
      <c r="D2317" s="59" t="s">
        <v>1263</v>
      </c>
      <c r="F2317" s="126" t="s">
        <v>13937</v>
      </c>
      <c r="G2317" s="148" t="s">
        <v>13985</v>
      </c>
      <c r="H2317" s="1284" t="s">
        <v>5011</v>
      </c>
      <c r="I2317" s="149">
        <v>45674.0</v>
      </c>
      <c r="J2317" s="149">
        <v>45691.0</v>
      </c>
      <c r="K2317" s="65"/>
      <c r="L2317" s="65" t="s">
        <v>13959</v>
      </c>
      <c r="M2317" s="156" t="s">
        <v>13941</v>
      </c>
      <c r="N2317" s="156" t="s">
        <v>13942</v>
      </c>
      <c r="O2317" s="126">
        <v>1.0</v>
      </c>
      <c r="P2317" s="156" t="str">
        <f t="shared" si="131"/>
        <v>10.1016--j.cognition.2013.02.008.pdf</v>
      </c>
      <c r="Q2317" s="49" t="str">
        <f t="array" ref="Q2317"> if(iserror(MATCH(V2317, 'File Links'!C:C, 0)), "N/A", HYPERLINK(INDEX('File Links'!B:B, MATCH(P2317, 'File Links'!C:C, 0))))</f>
        <v>https://drive.google.com/file/d/1kb4iozdFSFtKZKGvaK7sOkqlr4kI2jg5/view?usp=drivesdk</v>
      </c>
      <c r="R2317" s="2020" t="s">
        <v>5015</v>
      </c>
      <c r="S2317" s="307" t="s">
        <v>5016</v>
      </c>
      <c r="T2317" s="307" t="s">
        <v>5017</v>
      </c>
      <c r="U2317" s="153">
        <v>32.0</v>
      </c>
      <c r="V2317" s="156" t="str">
        <f t="shared" si="125"/>
        <v>10.1007--s13164-018-0400-9.pdf</v>
      </c>
      <c r="W2317" s="1287" t="s">
        <v>5018</v>
      </c>
      <c r="X2317" s="51" t="str">
        <f t="array" ref="X2317"> if(iserror(MATCH(V2317, 'File Links'!C:C, 0)), "N/A", HYPERLINK(INDEX('File Links'!B:B, MATCH(V2317, 'File Links'!C:C, 0))))</f>
        <v>https://drive.google.com/file/d/1hjI3aqifdfXjWhQAlvKCKKtvjuncAn5M/view?usp=drivesdk</v>
      </c>
      <c r="Y2317" s="65"/>
      <c r="Z2317" s="156" t="s">
        <v>158</v>
      </c>
      <c r="AA2317" s="126" t="s">
        <v>131</v>
      </c>
      <c r="AB2317" s="156" t="s">
        <v>13944</v>
      </c>
      <c r="AC2317" s="65"/>
      <c r="AD2317" s="148" t="s">
        <v>13990</v>
      </c>
      <c r="AE2317" s="153">
        <v>6.0</v>
      </c>
      <c r="AF2317" s="153">
        <v>197.0</v>
      </c>
      <c r="AG2317" s="148" t="s">
        <v>13991</v>
      </c>
      <c r="AH2317" s="156" t="s">
        <v>127</v>
      </c>
      <c r="AI2317" s="158" t="s">
        <v>1035</v>
      </c>
      <c r="AJ2317" s="376">
        <v>0.001</v>
      </c>
      <c r="AK2317" s="54" t="s">
        <v>128</v>
      </c>
      <c r="AL2317" s="156" t="s">
        <v>179</v>
      </c>
      <c r="AM2317" s="54" t="s">
        <v>1898</v>
      </c>
      <c r="AN2317" s="65"/>
      <c r="AO2317" s="153">
        <v>63.0</v>
      </c>
      <c r="AP2317" s="2047" t="s">
        <v>13992</v>
      </c>
      <c r="AQ2317" s="156" t="s">
        <v>127</v>
      </c>
      <c r="AR2317" s="156" t="s">
        <v>13967</v>
      </c>
      <c r="AS2317" s="153">
        <v>0.001</v>
      </c>
      <c r="AT2317" s="156" t="s">
        <v>128</v>
      </c>
      <c r="AU2317" s="156" t="s">
        <v>179</v>
      </c>
      <c r="AV2317" s="156" t="s">
        <v>1898</v>
      </c>
      <c r="AW2317" s="307" t="s">
        <v>13968</v>
      </c>
      <c r="AX2317" s="156" t="s">
        <v>136</v>
      </c>
      <c r="AZ2317" s="151" t="s">
        <v>242</v>
      </c>
    </row>
    <row r="2318">
      <c r="A2318" s="41">
        <v>2318.0</v>
      </c>
      <c r="B2318" s="65" t="s">
        <v>583</v>
      </c>
      <c r="C2318" s="59" t="s">
        <v>108</v>
      </c>
      <c r="D2318" s="59" t="s">
        <v>241</v>
      </c>
      <c r="F2318" s="126" t="s">
        <v>13937</v>
      </c>
      <c r="G2318" s="156" t="s">
        <v>13993</v>
      </c>
      <c r="H2318" s="1284" t="s">
        <v>242</v>
      </c>
      <c r="I2318" s="149">
        <v>45691.0</v>
      </c>
      <c r="J2318" s="149">
        <v>45691.0</v>
      </c>
      <c r="K2318" s="65"/>
      <c r="L2318" s="65" t="s">
        <v>13959</v>
      </c>
      <c r="M2318" s="156" t="s">
        <v>13941</v>
      </c>
      <c r="N2318" s="156" t="s">
        <v>13942</v>
      </c>
      <c r="O2318" s="126">
        <v>1.0</v>
      </c>
      <c r="P2318" s="156" t="str">
        <f t="shared" si="131"/>
        <v>10.1016--j.cognition.2013.02.008.pdf</v>
      </c>
      <c r="Q2318" s="49" t="str">
        <f t="array" ref="Q2318"> if(iserror(MATCH(V2318, 'File Links'!C:C, 0)), "N/A", HYPERLINK(INDEX('File Links'!B:B, MATCH(P2318, 'File Links'!C:C, 0))))</f>
        <v>https://drive.google.com/file/d/1kb4iozdFSFtKZKGvaK7sOkqlr4kI2jg5/view?usp=drivesdk</v>
      </c>
      <c r="R2318" s="2020" t="s">
        <v>5015</v>
      </c>
      <c r="S2318" s="307" t="s">
        <v>5016</v>
      </c>
      <c r="T2318" s="307" t="s">
        <v>5017</v>
      </c>
      <c r="U2318" s="65"/>
      <c r="V2318" s="156" t="str">
        <f t="shared" si="125"/>
        <v>10.1007--s13164-018-0400-9.pdf</v>
      </c>
      <c r="W2318" s="1287" t="s">
        <v>5018</v>
      </c>
      <c r="X2318" s="51" t="str">
        <f t="array" ref="X2318"> if(iserror(MATCH(V2318, 'File Links'!C:C, 0)), "N/A", HYPERLINK(INDEX('File Links'!B:B, MATCH(V2318, 'File Links'!C:C, 0))))</f>
        <v>https://drive.google.com/file/d/1hjI3aqifdfXjWhQAlvKCKKtvjuncAn5M/view?usp=drivesdk</v>
      </c>
      <c r="Y2318" s="65"/>
      <c r="Z2318" s="156" t="s">
        <v>158</v>
      </c>
      <c r="AA2318" s="126" t="s">
        <v>131</v>
      </c>
      <c r="AB2318" s="156" t="s">
        <v>13994</v>
      </c>
      <c r="AC2318" s="65"/>
      <c r="AD2318" s="148" t="s">
        <v>13995</v>
      </c>
      <c r="AE2318" s="153" t="s">
        <v>1035</v>
      </c>
      <c r="AF2318" s="153">
        <v>196.0</v>
      </c>
      <c r="AG2318" s="153">
        <v>1.13</v>
      </c>
      <c r="AH2318" s="156" t="s">
        <v>980</v>
      </c>
      <c r="AI2318" s="158" t="s">
        <v>1035</v>
      </c>
      <c r="AJ2318" s="376">
        <v>0.001</v>
      </c>
      <c r="AK2318" s="54" t="s">
        <v>128</v>
      </c>
      <c r="AL2318" s="156" t="s">
        <v>179</v>
      </c>
      <c r="AM2318" s="1283" t="s">
        <v>130</v>
      </c>
      <c r="AN2318" s="1362" t="s">
        <v>131</v>
      </c>
      <c r="AO2318" s="153">
        <v>63.0</v>
      </c>
      <c r="AP2318" s="1289">
        <v>1.07</v>
      </c>
      <c r="AQ2318" s="156" t="s">
        <v>980</v>
      </c>
      <c r="AR2318" s="148" t="s">
        <v>13996</v>
      </c>
      <c r="AS2318" s="153">
        <v>0.001</v>
      </c>
      <c r="AT2318" s="156" t="s">
        <v>128</v>
      </c>
      <c r="AU2318" s="156" t="s">
        <v>179</v>
      </c>
      <c r="AV2318" s="151" t="s">
        <v>130</v>
      </c>
      <c r="AW2318" s="677" t="s">
        <v>13997</v>
      </c>
      <c r="AX2318" s="156" t="s">
        <v>136</v>
      </c>
      <c r="AZ2318" s="151" t="s">
        <v>242</v>
      </c>
    </row>
    <row r="2319">
      <c r="A2319" s="41">
        <v>2319.0</v>
      </c>
      <c r="B2319" s="65" t="s">
        <v>583</v>
      </c>
      <c r="C2319" s="59" t="s">
        <v>108</v>
      </c>
      <c r="D2319" s="59" t="s">
        <v>1263</v>
      </c>
      <c r="F2319" s="126" t="s">
        <v>13937</v>
      </c>
      <c r="G2319" s="148" t="s">
        <v>13993</v>
      </c>
      <c r="H2319" s="1284" t="s">
        <v>5011</v>
      </c>
      <c r="I2319" s="149">
        <v>45674.0</v>
      </c>
      <c r="J2319" s="149">
        <v>45691.0</v>
      </c>
      <c r="K2319" s="65"/>
      <c r="L2319" s="65" t="s">
        <v>13959</v>
      </c>
      <c r="M2319" s="156" t="s">
        <v>13941</v>
      </c>
      <c r="N2319" s="156" t="s">
        <v>13942</v>
      </c>
      <c r="O2319" s="126">
        <v>1.0</v>
      </c>
      <c r="P2319" s="156" t="str">
        <f t="shared" si="131"/>
        <v>10.1016--j.cognition.2013.02.008.pdf</v>
      </c>
      <c r="Q2319" s="49" t="str">
        <f t="array" ref="Q2319"> if(iserror(MATCH(V2319, 'File Links'!C:C, 0)), "N/A", HYPERLINK(INDEX('File Links'!B:B, MATCH(P2319, 'File Links'!C:C, 0))))</f>
        <v>https://drive.google.com/file/d/1kb4iozdFSFtKZKGvaK7sOkqlr4kI2jg5/view?usp=drivesdk</v>
      </c>
      <c r="R2319" s="2020" t="s">
        <v>5015</v>
      </c>
      <c r="S2319" s="307" t="s">
        <v>5016</v>
      </c>
      <c r="T2319" s="307" t="s">
        <v>5017</v>
      </c>
      <c r="U2319" s="153">
        <v>32.0</v>
      </c>
      <c r="V2319" s="156" t="str">
        <f t="shared" si="125"/>
        <v>10.1007--s13164-018-0400-9.pdf</v>
      </c>
      <c r="W2319" s="1287" t="s">
        <v>5018</v>
      </c>
      <c r="X2319" s="51" t="str">
        <f t="array" ref="X2319"> if(iserror(MATCH(V2319, 'File Links'!C:C, 0)), "N/A", HYPERLINK(INDEX('File Links'!B:B, MATCH(V2319, 'File Links'!C:C, 0))))</f>
        <v>https://drive.google.com/file/d/1hjI3aqifdfXjWhQAlvKCKKtvjuncAn5M/view?usp=drivesdk</v>
      </c>
      <c r="Y2319" s="65"/>
      <c r="Z2319" s="156" t="s">
        <v>158</v>
      </c>
      <c r="AA2319" s="126" t="s">
        <v>131</v>
      </c>
      <c r="AB2319" s="156" t="s">
        <v>13944</v>
      </c>
      <c r="AC2319" s="65"/>
      <c r="AD2319" s="148" t="s">
        <v>13998</v>
      </c>
      <c r="AE2319" s="153">
        <v>6.0</v>
      </c>
      <c r="AF2319" s="153">
        <v>196.0</v>
      </c>
      <c r="AG2319" s="148" t="s">
        <v>13999</v>
      </c>
      <c r="AH2319" s="156" t="s">
        <v>127</v>
      </c>
      <c r="AI2319" s="158" t="s">
        <v>1035</v>
      </c>
      <c r="AJ2319" s="376">
        <v>0.001</v>
      </c>
      <c r="AK2319" s="54" t="s">
        <v>128</v>
      </c>
      <c r="AL2319" s="156" t="s">
        <v>179</v>
      </c>
      <c r="AM2319" s="54" t="s">
        <v>1898</v>
      </c>
      <c r="AN2319" s="65"/>
      <c r="AO2319" s="153">
        <v>63.0</v>
      </c>
      <c r="AP2319" s="2047" t="s">
        <v>14000</v>
      </c>
      <c r="AQ2319" s="156" t="s">
        <v>127</v>
      </c>
      <c r="AR2319" s="156" t="s">
        <v>13967</v>
      </c>
      <c r="AS2319" s="153">
        <v>0.001</v>
      </c>
      <c r="AT2319" s="156" t="s">
        <v>128</v>
      </c>
      <c r="AU2319" s="156" t="s">
        <v>179</v>
      </c>
      <c r="AV2319" s="156" t="s">
        <v>1898</v>
      </c>
      <c r="AW2319" s="307" t="s">
        <v>13968</v>
      </c>
      <c r="AX2319" s="156" t="s">
        <v>136</v>
      </c>
      <c r="AZ2319" s="151" t="s">
        <v>242</v>
      </c>
    </row>
    <row r="2320">
      <c r="A2320" s="41">
        <v>2320.0</v>
      </c>
      <c r="B2320" s="65" t="s">
        <v>145</v>
      </c>
      <c r="C2320" s="59" t="s">
        <v>108</v>
      </c>
      <c r="D2320" s="59" t="s">
        <v>241</v>
      </c>
      <c r="F2320" s="126" t="s">
        <v>13937</v>
      </c>
      <c r="G2320" s="156" t="s">
        <v>14001</v>
      </c>
      <c r="H2320" s="1284" t="s">
        <v>242</v>
      </c>
      <c r="I2320" s="149">
        <v>45691.0</v>
      </c>
      <c r="J2320" s="149">
        <v>45691.0</v>
      </c>
      <c r="K2320" s="65"/>
      <c r="L2320" s="65" t="s">
        <v>13608</v>
      </c>
      <c r="M2320" s="156" t="s">
        <v>13941</v>
      </c>
      <c r="N2320" s="156" t="s">
        <v>13942</v>
      </c>
      <c r="O2320" s="126">
        <v>1.0</v>
      </c>
      <c r="P2320" s="156" t="str">
        <f t="shared" si="131"/>
        <v>10.1016--j.cognition.2013.02.008.pdf</v>
      </c>
      <c r="Q2320" s="49" t="str">
        <f t="array" ref="Q2320"> if(iserror(MATCH(V2320, 'File Links'!C:C, 0)), "N/A", HYPERLINK(INDEX('File Links'!B:B, MATCH(P2320, 'File Links'!C:C, 0))))</f>
        <v>https://drive.google.com/file/d/1kb4iozdFSFtKZKGvaK7sOkqlr4kI2jg5/view?usp=drivesdk</v>
      </c>
      <c r="R2320" s="2020" t="s">
        <v>5015</v>
      </c>
      <c r="S2320" s="307" t="s">
        <v>5016</v>
      </c>
      <c r="T2320" s="307" t="s">
        <v>5017</v>
      </c>
      <c r="U2320" s="65"/>
      <c r="V2320" s="156" t="str">
        <f t="shared" si="125"/>
        <v>10.1007--s13164-018-0400-9.pdf</v>
      </c>
      <c r="W2320" s="1287" t="s">
        <v>5018</v>
      </c>
      <c r="X2320" s="51" t="str">
        <f t="array" ref="X2320"> if(iserror(MATCH(V2320, 'File Links'!C:C, 0)), "N/A", HYPERLINK(INDEX('File Links'!B:B, MATCH(V2320, 'File Links'!C:C, 0))))</f>
        <v>https://drive.google.com/file/d/1hjI3aqifdfXjWhQAlvKCKKtvjuncAn5M/view?usp=drivesdk</v>
      </c>
      <c r="Y2320" s="65"/>
      <c r="Z2320" s="156" t="s">
        <v>158</v>
      </c>
      <c r="AA2320" s="126" t="s">
        <v>131</v>
      </c>
      <c r="AB2320" s="156" t="s">
        <v>14002</v>
      </c>
      <c r="AC2320" s="126" t="s">
        <v>14003</v>
      </c>
      <c r="AD2320" s="156" t="s">
        <v>13979</v>
      </c>
      <c r="AE2320" s="153" t="s">
        <v>1035</v>
      </c>
      <c r="AF2320" s="153">
        <v>204.0</v>
      </c>
      <c r="AG2320" s="153">
        <v>1.62</v>
      </c>
      <c r="AH2320" s="156" t="s">
        <v>980</v>
      </c>
      <c r="AI2320" s="158" t="s">
        <v>1035</v>
      </c>
      <c r="AJ2320" s="376">
        <v>0.001</v>
      </c>
      <c r="AK2320" s="54" t="s">
        <v>128</v>
      </c>
      <c r="AL2320" s="156" t="s">
        <v>179</v>
      </c>
      <c r="AM2320" s="1283" t="s">
        <v>130</v>
      </c>
      <c r="AN2320" s="1362" t="s">
        <v>131</v>
      </c>
      <c r="AO2320" s="153">
        <v>63.0</v>
      </c>
      <c r="AP2320" s="1289">
        <v>1.32</v>
      </c>
      <c r="AQ2320" s="156" t="s">
        <v>980</v>
      </c>
      <c r="AR2320" s="148" t="s">
        <v>14004</v>
      </c>
      <c r="AS2320" s="153">
        <v>0.001</v>
      </c>
      <c r="AT2320" s="156" t="s">
        <v>128</v>
      </c>
      <c r="AU2320" s="156" t="s">
        <v>179</v>
      </c>
      <c r="AV2320" s="151" t="s">
        <v>130</v>
      </c>
      <c r="AW2320" s="677" t="s">
        <v>14005</v>
      </c>
      <c r="AX2320" s="156" t="s">
        <v>136</v>
      </c>
      <c r="AZ2320" s="151" t="s">
        <v>242</v>
      </c>
    </row>
    <row r="2321">
      <c r="A2321" s="41">
        <v>2321.0</v>
      </c>
      <c r="B2321" s="42" t="s">
        <v>145</v>
      </c>
      <c r="C2321" s="59" t="s">
        <v>108</v>
      </c>
      <c r="D2321" s="59" t="s">
        <v>1263</v>
      </c>
      <c r="F2321" s="1283" t="s">
        <v>14006</v>
      </c>
      <c r="G2321" s="156" t="s">
        <v>14007</v>
      </c>
      <c r="H2321" s="1284" t="s">
        <v>5011</v>
      </c>
      <c r="I2321" s="149">
        <v>45331.0</v>
      </c>
      <c r="J2321" s="150">
        <v>45727.0</v>
      </c>
      <c r="K2321" s="156" t="s">
        <v>14008</v>
      </c>
      <c r="L2321" s="126" t="s">
        <v>14009</v>
      </c>
      <c r="M2321" s="156" t="s">
        <v>14010</v>
      </c>
      <c r="N2321" s="156" t="s">
        <v>14011</v>
      </c>
      <c r="O2321" s="153">
        <v>1.0</v>
      </c>
      <c r="P2321" s="156" t="str">
        <f t="shared" si="131"/>
        <v>10.1017--epi.2013.23.pdf</v>
      </c>
      <c r="Q2321" s="49" t="str">
        <f t="array" ref="Q2321"> if(iserror(MATCH(V2321, 'File Links'!C:C, 0)), "N/A", HYPERLINK(INDEX('File Links'!B:B, MATCH(P2321, 'File Links'!C:C, 0))))</f>
        <v>https://drive.google.com/file/d/1xs7muWdyYdblxSMymp-O09c44czfutsh/view?usp=drivesdk</v>
      </c>
      <c r="R2321" s="2020" t="s">
        <v>5015</v>
      </c>
      <c r="S2321" s="307" t="s">
        <v>5016</v>
      </c>
      <c r="T2321" s="2056" t="s">
        <v>14012</v>
      </c>
      <c r="U2321" s="153">
        <v>33.0</v>
      </c>
      <c r="V2321" s="156" t="str">
        <f t="shared" si="125"/>
        <v>10.1007--s13164-018-0400-9.pdf</v>
      </c>
      <c r="W2321" s="1287" t="s">
        <v>5018</v>
      </c>
      <c r="X2321" s="51" t="str">
        <f t="array" ref="X2321"> if(iserror(MATCH(V2321, 'File Links'!C:C, 0)), "N/A", HYPERLINK(INDEX('File Links'!B:B, MATCH(V2321, 'File Links'!C:C, 0))))</f>
        <v>https://drive.google.com/file/d/1hjI3aqifdfXjWhQAlvKCKKtvjuncAn5M/view?usp=drivesdk</v>
      </c>
      <c r="Y2321" s="65"/>
      <c r="Z2321" s="156" t="s">
        <v>158</v>
      </c>
      <c r="AA2321" s="126" t="s">
        <v>131</v>
      </c>
      <c r="AB2321" s="148" t="s">
        <v>14013</v>
      </c>
      <c r="AC2321" s="1362" t="s">
        <v>14014</v>
      </c>
      <c r="AD2321" s="156" t="s">
        <v>14015</v>
      </c>
      <c r="AE2321" s="153">
        <v>9.0</v>
      </c>
      <c r="AF2321" s="153">
        <v>376.0</v>
      </c>
      <c r="AG2321" s="156" t="s">
        <v>14016</v>
      </c>
      <c r="AH2321" s="156" t="s">
        <v>208</v>
      </c>
      <c r="AI2321" s="148" t="s">
        <v>606</v>
      </c>
      <c r="AJ2321" s="376">
        <v>0.001</v>
      </c>
      <c r="AK2321" s="54" t="s">
        <v>128</v>
      </c>
      <c r="AL2321" s="156" t="s">
        <v>179</v>
      </c>
      <c r="AM2321" s="1362" t="s">
        <v>130</v>
      </c>
      <c r="AN2321" s="1362" t="s">
        <v>130</v>
      </c>
      <c r="AO2321" s="153">
        <v>418.0</v>
      </c>
      <c r="AP2321" s="156" t="s">
        <v>14017</v>
      </c>
      <c r="AQ2321" s="156" t="s">
        <v>127</v>
      </c>
      <c r="AR2321" s="156" t="s">
        <v>5017</v>
      </c>
      <c r="AS2321" s="153">
        <v>0.001</v>
      </c>
      <c r="AT2321" s="156" t="s">
        <v>128</v>
      </c>
      <c r="AU2321" s="156" t="s">
        <v>179</v>
      </c>
      <c r="AV2321" s="156" t="s">
        <v>130</v>
      </c>
      <c r="AW2321" s="2056" t="s">
        <v>14018</v>
      </c>
      <c r="AX2321" s="156" t="s">
        <v>136</v>
      </c>
      <c r="AZ2321" s="152" t="s">
        <v>13544</v>
      </c>
    </row>
    <row r="2322">
      <c r="A2322" s="41">
        <v>2322.0</v>
      </c>
      <c r="B2322" s="65" t="s">
        <v>107</v>
      </c>
      <c r="C2322" s="59" t="s">
        <v>108</v>
      </c>
      <c r="D2322" s="59" t="s">
        <v>241</v>
      </c>
      <c r="F2322" s="1283" t="s">
        <v>14006</v>
      </c>
      <c r="G2322" s="156" t="s">
        <v>14007</v>
      </c>
      <c r="H2322" s="1284" t="s">
        <v>242</v>
      </c>
      <c r="I2322" s="149">
        <v>45331.0</v>
      </c>
      <c r="J2322" s="150">
        <v>45727.0</v>
      </c>
      <c r="K2322" s="156" t="s">
        <v>14019</v>
      </c>
      <c r="L2322" s="65"/>
      <c r="M2322" s="156" t="s">
        <v>14010</v>
      </c>
      <c r="N2322" s="156" t="s">
        <v>14011</v>
      </c>
      <c r="O2322" s="126">
        <v>1.0</v>
      </c>
      <c r="P2322" s="156" t="s">
        <v>14020</v>
      </c>
      <c r="Q2322" s="49" t="str">
        <f t="array" ref="Q2322"> if(iserror(MATCH(V2322, 'File Links'!C:C, 0)), "N/A", HYPERLINK(INDEX('File Links'!B:B, MATCH(P2322, 'File Links'!C:C, 0))))</f>
        <v>https://drive.google.com/file/d/1xs7muWdyYdblxSMymp-O09c44czfutsh/view?usp=drivesdk</v>
      </c>
      <c r="R2322" s="2020" t="s">
        <v>5015</v>
      </c>
      <c r="S2322" s="156" t="s">
        <v>5016</v>
      </c>
      <c r="T2322" s="1999" t="s">
        <v>14012</v>
      </c>
      <c r="U2322" s="1362">
        <v>33.0</v>
      </c>
      <c r="V2322" s="156" t="str">
        <f t="shared" si="125"/>
        <v>10.1007--s13164-018-0400-9.pdf</v>
      </c>
      <c r="W2322" s="1287" t="s">
        <v>5018</v>
      </c>
      <c r="X2322" s="51" t="str">
        <f t="array" ref="X2322"> if(iserror(MATCH(V2322, 'File Links'!C:C, 0)), "N/A", HYPERLINK(INDEX('File Links'!B:B, MATCH(V2322, 'File Links'!C:C, 0))))</f>
        <v>https://drive.google.com/file/d/1hjI3aqifdfXjWhQAlvKCKKtvjuncAn5M/view?usp=drivesdk</v>
      </c>
      <c r="Y2322" s="65"/>
      <c r="Z2322" s="156" t="s">
        <v>158</v>
      </c>
      <c r="AA2322" s="126" t="s">
        <v>131</v>
      </c>
      <c r="AB2322" s="148" t="s">
        <v>14021</v>
      </c>
      <c r="AC2322" s="1362" t="s">
        <v>14014</v>
      </c>
      <c r="AD2322" s="156" t="s">
        <v>14022</v>
      </c>
      <c r="AE2322" s="156" t="s">
        <v>14023</v>
      </c>
      <c r="AF2322" s="153">
        <v>376.0</v>
      </c>
      <c r="AG2322" s="1053" t="s">
        <v>14024</v>
      </c>
      <c r="AH2322" s="116" t="s">
        <v>127</v>
      </c>
      <c r="AI2322" s="2062" t="s">
        <v>14025</v>
      </c>
      <c r="AJ2322" s="376">
        <v>0.001</v>
      </c>
      <c r="AK2322" s="54" t="s">
        <v>128</v>
      </c>
      <c r="AL2322" s="156" t="s">
        <v>179</v>
      </c>
      <c r="AM2322" s="2063" t="s">
        <v>1898</v>
      </c>
      <c r="AN2322" s="1362" t="s">
        <v>131</v>
      </c>
      <c r="AO2322" s="153">
        <v>418.0</v>
      </c>
      <c r="AP2322" s="158" t="s">
        <v>14017</v>
      </c>
      <c r="AQ2322" s="148" t="s">
        <v>127</v>
      </c>
      <c r="AR2322" s="156"/>
      <c r="AS2322" s="153">
        <v>0.001</v>
      </c>
      <c r="AT2322" s="156" t="s">
        <v>128</v>
      </c>
      <c r="AU2322" s="156" t="s">
        <v>179</v>
      </c>
      <c r="AV2322" s="2058" t="s">
        <v>1898</v>
      </c>
      <c r="AW2322" s="2056" t="s">
        <v>14018</v>
      </c>
      <c r="AX2322" s="156" t="s">
        <v>136</v>
      </c>
      <c r="AZ2322" s="152" t="s">
        <v>13544</v>
      </c>
    </row>
    <row r="2323">
      <c r="A2323" s="41">
        <v>2323.0</v>
      </c>
      <c r="B2323" s="65" t="s">
        <v>145</v>
      </c>
      <c r="C2323" s="59" t="s">
        <v>108</v>
      </c>
      <c r="D2323" s="59" t="s">
        <v>1263</v>
      </c>
      <c r="F2323" s="126" t="s">
        <v>14006</v>
      </c>
      <c r="G2323" s="148" t="s">
        <v>14026</v>
      </c>
      <c r="H2323" s="1284" t="s">
        <v>5011</v>
      </c>
      <c r="I2323" s="149">
        <v>45674.0</v>
      </c>
      <c r="J2323" s="149">
        <v>45691.0</v>
      </c>
      <c r="K2323" s="65"/>
      <c r="L2323" s="65" t="s">
        <v>13608</v>
      </c>
      <c r="M2323" s="156" t="s">
        <v>14010</v>
      </c>
      <c r="N2323" s="156" t="s">
        <v>14011</v>
      </c>
      <c r="O2323" s="153">
        <v>1.0</v>
      </c>
      <c r="P2323" s="156" t="str">
        <f t="shared" ref="P2323:P2327" si="132">SUBSTITUTE(LOWER(N2323), "/", "--") &amp;  ".pdf"</f>
        <v>10.1017--epi.2013.23.pdf</v>
      </c>
      <c r="Q2323" s="49" t="str">
        <f t="array" ref="Q2323"> if(iserror(MATCH(V2323, 'File Links'!C:C, 0)), "N/A", HYPERLINK(INDEX('File Links'!B:B, MATCH(P2323, 'File Links'!C:C, 0))))</f>
        <v>https://drive.google.com/file/d/1xs7muWdyYdblxSMymp-O09c44czfutsh/view?usp=drivesdk</v>
      </c>
      <c r="R2323" s="2020" t="s">
        <v>5015</v>
      </c>
      <c r="S2323" s="307" t="s">
        <v>5016</v>
      </c>
      <c r="T2323" s="307" t="s">
        <v>5017</v>
      </c>
      <c r="U2323" s="153">
        <v>33.0</v>
      </c>
      <c r="V2323" s="156" t="str">
        <f t="shared" si="125"/>
        <v>10.1007--s13164-018-0400-9.pdf</v>
      </c>
      <c r="W2323" s="1287" t="s">
        <v>5018</v>
      </c>
      <c r="X2323" s="51" t="str">
        <f t="array" ref="X2323"> if(iserror(MATCH(V2323, 'File Links'!C:C, 0)), "N/A", HYPERLINK(INDEX('File Links'!B:B, MATCH(V2323, 'File Links'!C:C, 0))))</f>
        <v>https://drive.google.com/file/d/1hjI3aqifdfXjWhQAlvKCKKtvjuncAn5M/view?usp=drivesdk</v>
      </c>
      <c r="Y2323" s="65"/>
      <c r="Z2323" s="156" t="s">
        <v>158</v>
      </c>
      <c r="AA2323" s="126" t="s">
        <v>131</v>
      </c>
      <c r="AB2323" s="156" t="s">
        <v>14027</v>
      </c>
      <c r="AC2323" s="1362" t="s">
        <v>14014</v>
      </c>
      <c r="AD2323" s="156" t="s">
        <v>14028</v>
      </c>
      <c r="AE2323" s="153">
        <v>9.0</v>
      </c>
      <c r="AF2323" s="153">
        <v>376.0</v>
      </c>
      <c r="AG2323" s="156" t="s">
        <v>14029</v>
      </c>
      <c r="AH2323" s="148" t="s">
        <v>208</v>
      </c>
      <c r="AI2323" s="336" t="s">
        <v>621</v>
      </c>
      <c r="AJ2323" s="376">
        <v>0.05</v>
      </c>
      <c r="AK2323" s="54" t="s">
        <v>128</v>
      </c>
      <c r="AL2323" s="156" t="s">
        <v>179</v>
      </c>
      <c r="AM2323" s="54" t="s">
        <v>130</v>
      </c>
      <c r="AN2323" s="65"/>
      <c r="AO2323" s="153">
        <v>418.0</v>
      </c>
      <c r="AP2323" s="156" t="s">
        <v>12641</v>
      </c>
      <c r="AQ2323" s="156" t="s">
        <v>166</v>
      </c>
      <c r="AR2323" s="156" t="s">
        <v>14030</v>
      </c>
      <c r="AS2323" s="153">
        <v>0.001</v>
      </c>
      <c r="AT2323" s="156" t="s">
        <v>128</v>
      </c>
      <c r="AU2323" s="156" t="s">
        <v>179</v>
      </c>
      <c r="AV2323" s="156" t="s">
        <v>130</v>
      </c>
      <c r="AW2323" s="307" t="s">
        <v>14031</v>
      </c>
      <c r="AX2323" s="156" t="s">
        <v>136</v>
      </c>
      <c r="AZ2323" s="151" t="s">
        <v>242</v>
      </c>
    </row>
    <row r="2324">
      <c r="A2324" s="41">
        <v>2324.0</v>
      </c>
      <c r="B2324" s="151" t="s">
        <v>145</v>
      </c>
      <c r="C2324" s="59" t="s">
        <v>108</v>
      </c>
      <c r="D2324" s="59" t="s">
        <v>1263</v>
      </c>
      <c r="F2324" s="126" t="s">
        <v>14006</v>
      </c>
      <c r="G2324" s="148" t="s">
        <v>14032</v>
      </c>
      <c r="H2324" s="1284" t="s">
        <v>5011</v>
      </c>
      <c r="I2324" s="149">
        <v>45674.0</v>
      </c>
      <c r="J2324" s="149">
        <v>45691.0</v>
      </c>
      <c r="K2324" s="65"/>
      <c r="L2324" s="65" t="s">
        <v>13608</v>
      </c>
      <c r="M2324" s="156" t="s">
        <v>14010</v>
      </c>
      <c r="N2324" s="156" t="s">
        <v>14011</v>
      </c>
      <c r="O2324" s="153">
        <v>1.0</v>
      </c>
      <c r="P2324" s="156" t="str">
        <f t="shared" si="132"/>
        <v>10.1017--epi.2013.23.pdf</v>
      </c>
      <c r="Q2324" s="49" t="str">
        <f t="array" ref="Q2324"> if(iserror(MATCH(V2324, 'File Links'!C:C, 0)), "N/A", HYPERLINK(INDEX('File Links'!B:B, MATCH(P2324, 'File Links'!C:C, 0))))</f>
        <v>https://drive.google.com/file/d/1xs7muWdyYdblxSMymp-O09c44czfutsh/view?usp=drivesdk</v>
      </c>
      <c r="R2324" s="2020" t="s">
        <v>5015</v>
      </c>
      <c r="S2324" s="307" t="s">
        <v>5016</v>
      </c>
      <c r="T2324" s="307" t="s">
        <v>5017</v>
      </c>
      <c r="U2324" s="153">
        <v>33.0</v>
      </c>
      <c r="V2324" s="156" t="str">
        <f t="shared" si="125"/>
        <v>10.1007--s13164-018-0400-9.pdf</v>
      </c>
      <c r="W2324" s="1287" t="s">
        <v>5018</v>
      </c>
      <c r="X2324" s="51" t="str">
        <f t="array" ref="X2324"> if(iserror(MATCH(V2324, 'File Links'!C:C, 0)), "N/A", HYPERLINK(INDEX('File Links'!B:B, MATCH(V2324, 'File Links'!C:C, 0))))</f>
        <v>https://drive.google.com/file/d/1hjI3aqifdfXjWhQAlvKCKKtvjuncAn5M/view?usp=drivesdk</v>
      </c>
      <c r="Y2324" s="65"/>
      <c r="Z2324" s="156" t="s">
        <v>158</v>
      </c>
      <c r="AA2324" s="126" t="s">
        <v>131</v>
      </c>
      <c r="AB2324" s="156" t="s">
        <v>14027</v>
      </c>
      <c r="AC2324" s="1362" t="s">
        <v>14014</v>
      </c>
      <c r="AD2324" s="156" t="s">
        <v>14033</v>
      </c>
      <c r="AE2324" s="153">
        <v>9.0</v>
      </c>
      <c r="AF2324" s="153">
        <v>376.0</v>
      </c>
      <c r="AG2324" s="156" t="s">
        <v>14034</v>
      </c>
      <c r="AH2324" s="148" t="s">
        <v>208</v>
      </c>
      <c r="AI2324" s="336" t="s">
        <v>621</v>
      </c>
      <c r="AJ2324" s="376">
        <v>0.05</v>
      </c>
      <c r="AK2324" s="54" t="s">
        <v>328</v>
      </c>
      <c r="AL2324" s="156" t="s">
        <v>179</v>
      </c>
      <c r="AM2324" s="54" t="s">
        <v>130</v>
      </c>
      <c r="AN2324" s="65"/>
      <c r="AO2324" s="153">
        <v>418.0</v>
      </c>
      <c r="AP2324" s="2064" t="s">
        <v>14035</v>
      </c>
      <c r="AQ2324" s="156" t="s">
        <v>166</v>
      </c>
      <c r="AR2324" s="156" t="s">
        <v>14030</v>
      </c>
      <c r="AS2324" s="153">
        <v>0.001</v>
      </c>
      <c r="AT2324" s="156" t="s">
        <v>128</v>
      </c>
      <c r="AU2324" s="156" t="s">
        <v>179</v>
      </c>
      <c r="AV2324" s="156" t="s">
        <v>130</v>
      </c>
      <c r="AW2324" s="307" t="s">
        <v>14031</v>
      </c>
      <c r="AX2324" s="156" t="s">
        <v>136</v>
      </c>
      <c r="AZ2324" s="151" t="s">
        <v>242</v>
      </c>
    </row>
    <row r="2325">
      <c r="A2325" s="41">
        <v>2325.0</v>
      </c>
      <c r="B2325" s="65" t="s">
        <v>145</v>
      </c>
      <c r="C2325" s="59" t="s">
        <v>108</v>
      </c>
      <c r="D2325" s="59" t="s">
        <v>1263</v>
      </c>
      <c r="F2325" s="126" t="s">
        <v>14006</v>
      </c>
      <c r="G2325" s="148" t="s">
        <v>14036</v>
      </c>
      <c r="H2325" s="1284" t="s">
        <v>5011</v>
      </c>
      <c r="I2325" s="149">
        <v>45674.0</v>
      </c>
      <c r="J2325" s="149">
        <v>45691.0</v>
      </c>
      <c r="K2325" s="65"/>
      <c r="L2325" s="65" t="s">
        <v>13608</v>
      </c>
      <c r="M2325" s="156" t="s">
        <v>14010</v>
      </c>
      <c r="N2325" s="156" t="s">
        <v>14011</v>
      </c>
      <c r="O2325" s="153">
        <v>1.0</v>
      </c>
      <c r="P2325" s="156" t="str">
        <f t="shared" si="132"/>
        <v>10.1017--epi.2013.23.pdf</v>
      </c>
      <c r="Q2325" s="49" t="str">
        <f t="array" ref="Q2325"> if(iserror(MATCH(V2325, 'File Links'!C:C, 0)), "N/A", HYPERLINK(INDEX('File Links'!B:B, MATCH(P2325, 'File Links'!C:C, 0))))</f>
        <v>https://drive.google.com/file/d/1xs7muWdyYdblxSMymp-O09c44czfutsh/view?usp=drivesdk</v>
      </c>
      <c r="R2325" s="2020" t="s">
        <v>5015</v>
      </c>
      <c r="S2325" s="307" t="s">
        <v>5016</v>
      </c>
      <c r="T2325" s="307" t="s">
        <v>5017</v>
      </c>
      <c r="U2325" s="153">
        <v>33.0</v>
      </c>
      <c r="V2325" s="156" t="str">
        <f t="shared" si="125"/>
        <v>10.1007--s13164-018-0400-9.pdf</v>
      </c>
      <c r="W2325" s="1287" t="s">
        <v>5018</v>
      </c>
      <c r="X2325" s="51" t="str">
        <f t="array" ref="X2325"> if(iserror(MATCH(V2325, 'File Links'!C:C, 0)), "N/A", HYPERLINK(INDEX('File Links'!B:B, MATCH(V2325, 'File Links'!C:C, 0))))</f>
        <v>https://drive.google.com/file/d/1hjI3aqifdfXjWhQAlvKCKKtvjuncAn5M/view?usp=drivesdk</v>
      </c>
      <c r="Y2325" s="65"/>
      <c r="Z2325" s="156" t="s">
        <v>158</v>
      </c>
      <c r="AA2325" s="126" t="s">
        <v>131</v>
      </c>
      <c r="AB2325" s="156" t="s">
        <v>14027</v>
      </c>
      <c r="AC2325" s="1362" t="s">
        <v>14014</v>
      </c>
      <c r="AD2325" s="156" t="s">
        <v>14037</v>
      </c>
      <c r="AE2325" s="153">
        <v>9.0</v>
      </c>
      <c r="AF2325" s="153">
        <v>376.0</v>
      </c>
      <c r="AG2325" s="156" t="s">
        <v>14038</v>
      </c>
      <c r="AH2325" s="148" t="s">
        <v>208</v>
      </c>
      <c r="AI2325" s="336" t="s">
        <v>621</v>
      </c>
      <c r="AJ2325" s="376">
        <v>0.05</v>
      </c>
      <c r="AK2325" s="54" t="s">
        <v>328</v>
      </c>
      <c r="AL2325" s="156" t="s">
        <v>179</v>
      </c>
      <c r="AM2325" s="54" t="s">
        <v>130</v>
      </c>
      <c r="AN2325" s="65"/>
      <c r="AO2325" s="153">
        <v>418.0</v>
      </c>
      <c r="AP2325" s="156" t="s">
        <v>14039</v>
      </c>
      <c r="AQ2325" s="156" t="s">
        <v>166</v>
      </c>
      <c r="AR2325" s="156" t="s">
        <v>14030</v>
      </c>
      <c r="AS2325" s="153">
        <v>0.001</v>
      </c>
      <c r="AT2325" s="156" t="s">
        <v>128</v>
      </c>
      <c r="AU2325" s="156" t="s">
        <v>179</v>
      </c>
      <c r="AV2325" s="156" t="s">
        <v>130</v>
      </c>
      <c r="AW2325" s="307" t="s">
        <v>14031</v>
      </c>
      <c r="AX2325" s="156" t="s">
        <v>136</v>
      </c>
      <c r="AZ2325" s="151" t="s">
        <v>242</v>
      </c>
    </row>
    <row r="2326">
      <c r="A2326" s="41">
        <v>2326.0</v>
      </c>
      <c r="B2326" s="65" t="s">
        <v>145</v>
      </c>
      <c r="C2326" s="59" t="s">
        <v>108</v>
      </c>
      <c r="D2326" s="59" t="s">
        <v>1263</v>
      </c>
      <c r="F2326" s="126" t="s">
        <v>14006</v>
      </c>
      <c r="G2326" s="148" t="s">
        <v>14040</v>
      </c>
      <c r="H2326" s="1284" t="s">
        <v>5011</v>
      </c>
      <c r="I2326" s="149">
        <v>45674.0</v>
      </c>
      <c r="J2326" s="149">
        <v>45691.0</v>
      </c>
      <c r="K2326" s="65"/>
      <c r="L2326" s="65" t="s">
        <v>13608</v>
      </c>
      <c r="M2326" s="156" t="s">
        <v>14010</v>
      </c>
      <c r="N2326" s="156" t="s">
        <v>14011</v>
      </c>
      <c r="O2326" s="153">
        <v>1.0</v>
      </c>
      <c r="P2326" s="156" t="str">
        <f t="shared" si="132"/>
        <v>10.1017--epi.2013.23.pdf</v>
      </c>
      <c r="Q2326" s="49" t="str">
        <f t="array" ref="Q2326"> if(iserror(MATCH(V2326, 'File Links'!C:C, 0)), "N/A", HYPERLINK(INDEX('File Links'!B:B, MATCH(P2326, 'File Links'!C:C, 0))))</f>
        <v>https://drive.google.com/file/d/1xs7muWdyYdblxSMymp-O09c44czfutsh/view?usp=drivesdk</v>
      </c>
      <c r="R2326" s="2020" t="s">
        <v>5015</v>
      </c>
      <c r="S2326" s="307" t="s">
        <v>5016</v>
      </c>
      <c r="T2326" s="307" t="s">
        <v>5017</v>
      </c>
      <c r="U2326" s="153">
        <v>33.0</v>
      </c>
      <c r="V2326" s="156" t="str">
        <f t="shared" si="125"/>
        <v>10.1007--s13164-018-0400-9.pdf</v>
      </c>
      <c r="W2326" s="1287" t="s">
        <v>5018</v>
      </c>
      <c r="X2326" s="51" t="str">
        <f t="array" ref="X2326"> if(iserror(MATCH(V2326, 'File Links'!C:C, 0)), "N/A", HYPERLINK(INDEX('File Links'!B:B, MATCH(V2326, 'File Links'!C:C, 0))))</f>
        <v>https://drive.google.com/file/d/1hjI3aqifdfXjWhQAlvKCKKtvjuncAn5M/view?usp=drivesdk</v>
      </c>
      <c r="Y2326" s="65"/>
      <c r="Z2326" s="156" t="s">
        <v>158</v>
      </c>
      <c r="AA2326" s="126" t="s">
        <v>131</v>
      </c>
      <c r="AB2326" s="156" t="s">
        <v>14027</v>
      </c>
      <c r="AC2326" s="1362" t="s">
        <v>14014</v>
      </c>
      <c r="AD2326" s="156" t="s">
        <v>14041</v>
      </c>
      <c r="AE2326" s="153">
        <v>9.0</v>
      </c>
      <c r="AF2326" s="153">
        <v>376.0</v>
      </c>
      <c r="AG2326" s="156" t="s">
        <v>14042</v>
      </c>
      <c r="AH2326" s="148" t="s">
        <v>208</v>
      </c>
      <c r="AI2326" s="336" t="s">
        <v>621</v>
      </c>
      <c r="AJ2326" s="376">
        <v>1.0E-4</v>
      </c>
      <c r="AK2326" s="54" t="s">
        <v>128</v>
      </c>
      <c r="AL2326" s="156" t="s">
        <v>179</v>
      </c>
      <c r="AM2326" s="54" t="s">
        <v>130</v>
      </c>
      <c r="AN2326" s="65"/>
      <c r="AO2326" s="153">
        <v>418.0</v>
      </c>
      <c r="AP2326" s="156" t="s">
        <v>14043</v>
      </c>
      <c r="AQ2326" s="156" t="s">
        <v>166</v>
      </c>
      <c r="AR2326" s="156" t="s">
        <v>14030</v>
      </c>
      <c r="AS2326" s="153">
        <v>0.04</v>
      </c>
      <c r="AT2326" s="156" t="s">
        <v>165</v>
      </c>
      <c r="AU2326" s="156" t="s">
        <v>179</v>
      </c>
      <c r="AV2326" s="156" t="s">
        <v>130</v>
      </c>
      <c r="AW2326" s="307" t="s">
        <v>14031</v>
      </c>
      <c r="AX2326" s="156" t="s">
        <v>136</v>
      </c>
      <c r="AZ2326" s="151" t="s">
        <v>242</v>
      </c>
    </row>
    <row r="2327">
      <c r="A2327" s="41">
        <v>2327.0</v>
      </c>
      <c r="B2327" s="42" t="s">
        <v>145</v>
      </c>
      <c r="C2327" s="59" t="s">
        <v>108</v>
      </c>
      <c r="D2327" s="59" t="s">
        <v>1263</v>
      </c>
      <c r="F2327" s="1283" t="s">
        <v>14044</v>
      </c>
      <c r="G2327" s="156" t="s">
        <v>14045</v>
      </c>
      <c r="H2327" s="1284" t="s">
        <v>5011</v>
      </c>
      <c r="I2327" s="149">
        <v>45331.0</v>
      </c>
      <c r="J2327" s="150">
        <v>45727.0</v>
      </c>
      <c r="K2327" s="156" t="s">
        <v>14046</v>
      </c>
      <c r="L2327" s="126" t="s">
        <v>14009</v>
      </c>
      <c r="M2327" s="156" t="s">
        <v>14047</v>
      </c>
      <c r="N2327" s="156" t="s">
        <v>14048</v>
      </c>
      <c r="O2327" s="153">
        <v>1.0</v>
      </c>
      <c r="P2327" s="156" t="str">
        <f t="shared" si="132"/>
        <v>10.1007--s13164-013-0154-3.pdf</v>
      </c>
      <c r="Q2327" s="49" t="str">
        <f t="array" ref="Q2327"> if(iserror(MATCH(V2327, 'File Links'!C:C, 0)), "N/A", HYPERLINK(INDEX('File Links'!B:B, MATCH(P2327, 'File Links'!C:C, 0))))</f>
        <v>https://drive.google.com/file/d/1sQtBrEeqN1XM_1Qv0mJvDeDfWVWHohWY/view?usp=drivesdk</v>
      </c>
      <c r="R2327" s="2020" t="s">
        <v>5015</v>
      </c>
      <c r="S2327" s="307" t="s">
        <v>5016</v>
      </c>
      <c r="T2327" s="2056" t="s">
        <v>14049</v>
      </c>
      <c r="U2327" s="153">
        <v>34.0</v>
      </c>
      <c r="V2327" s="156" t="str">
        <f t="shared" si="125"/>
        <v>10.1007--s13164-018-0400-9.pdf</v>
      </c>
      <c r="W2327" s="1287" t="s">
        <v>5018</v>
      </c>
      <c r="X2327" s="51" t="str">
        <f t="array" ref="X2327"> if(iserror(MATCH(V2327, 'File Links'!C:C, 0)), "N/A", HYPERLINK(INDEX('File Links'!B:B, MATCH(V2327, 'File Links'!C:C, 0))))</f>
        <v>https://drive.google.com/file/d/1hjI3aqifdfXjWhQAlvKCKKtvjuncAn5M/view?usp=drivesdk</v>
      </c>
      <c r="Y2327" s="65"/>
      <c r="Z2327" s="156" t="s">
        <v>158</v>
      </c>
      <c r="AA2327" s="126" t="s">
        <v>131</v>
      </c>
      <c r="AB2327" s="148" t="s">
        <v>14050</v>
      </c>
      <c r="AC2327" s="1362" t="s">
        <v>14051</v>
      </c>
      <c r="AD2327" s="148" t="s">
        <v>14052</v>
      </c>
      <c r="AE2327" s="153">
        <v>8.0</v>
      </c>
      <c r="AF2327" s="153">
        <v>60.0</v>
      </c>
      <c r="AG2327" s="148" t="s">
        <v>14053</v>
      </c>
      <c r="AH2327" s="156" t="s">
        <v>127</v>
      </c>
      <c r="AI2327" s="336" t="s">
        <v>606</v>
      </c>
      <c r="AJ2327" s="376">
        <v>0.3421</v>
      </c>
      <c r="AK2327" s="54" t="s">
        <v>165</v>
      </c>
      <c r="AL2327" s="156" t="s">
        <v>179</v>
      </c>
      <c r="AM2327" s="1113" t="s">
        <v>130</v>
      </c>
      <c r="AN2327" s="1362" t="s">
        <v>131</v>
      </c>
      <c r="AO2327" s="153">
        <v>155.0</v>
      </c>
      <c r="AP2327" s="148" t="s">
        <v>14054</v>
      </c>
      <c r="AQ2327" s="1362" t="s">
        <v>127</v>
      </c>
      <c r="AR2327" s="2065" t="s">
        <v>14055</v>
      </c>
      <c r="AS2327" s="153">
        <v>0.656</v>
      </c>
      <c r="AT2327" s="156" t="s">
        <v>165</v>
      </c>
      <c r="AU2327" s="156" t="s">
        <v>179</v>
      </c>
      <c r="AV2327" s="148" t="s">
        <v>130</v>
      </c>
      <c r="AW2327" s="2056" t="s">
        <v>14056</v>
      </c>
      <c r="AX2327" s="156" t="s">
        <v>136</v>
      </c>
      <c r="AZ2327" s="152" t="s">
        <v>13544</v>
      </c>
    </row>
    <row r="2328">
      <c r="A2328" s="41">
        <v>2328.0</v>
      </c>
      <c r="B2328" s="151" t="s">
        <v>107</v>
      </c>
      <c r="C2328" s="59" t="s">
        <v>108</v>
      </c>
      <c r="D2328" s="59" t="s">
        <v>241</v>
      </c>
      <c r="F2328" s="1283" t="s">
        <v>14044</v>
      </c>
      <c r="G2328" s="156" t="s">
        <v>14045</v>
      </c>
      <c r="H2328" s="1284" t="s">
        <v>242</v>
      </c>
      <c r="I2328" s="149">
        <v>45331.0</v>
      </c>
      <c r="J2328" s="150">
        <v>45727.0</v>
      </c>
      <c r="K2328" s="156" t="s">
        <v>14057</v>
      </c>
      <c r="M2328" s="156" t="s">
        <v>14047</v>
      </c>
      <c r="N2328" s="156" t="s">
        <v>14048</v>
      </c>
      <c r="O2328" s="153">
        <v>1.0</v>
      </c>
      <c r="P2328" s="156" t="s">
        <v>14058</v>
      </c>
      <c r="Q2328" s="49" t="str">
        <f t="array" ref="Q2328"> if(iserror(MATCH(V2328, 'File Links'!C:C, 0)), "N/A", HYPERLINK(INDEX('File Links'!B:B, MATCH(P2328, 'File Links'!C:C, 0))))</f>
        <v>https://drive.google.com/file/d/1sQtBrEeqN1XM_1Qv0mJvDeDfWVWHohWY/view?usp=drivesdk</v>
      </c>
      <c r="R2328" s="2020" t="s">
        <v>5015</v>
      </c>
      <c r="S2328" s="156" t="s">
        <v>5016</v>
      </c>
      <c r="T2328" s="1999" t="s">
        <v>14049</v>
      </c>
      <c r="U2328" s="1362">
        <v>34.0</v>
      </c>
      <c r="V2328" s="156" t="str">
        <f t="shared" si="125"/>
        <v>10.1007--s13164-018-0400-9.pdf</v>
      </c>
      <c r="W2328" s="1287" t="s">
        <v>5018</v>
      </c>
      <c r="X2328" s="51" t="str">
        <f t="array" ref="X2328"> if(iserror(MATCH(V2328, 'File Links'!C:C, 0)), "N/A", HYPERLINK(INDEX('File Links'!B:B, MATCH(V2328, 'File Links'!C:C, 0))))</f>
        <v>https://drive.google.com/file/d/1hjI3aqifdfXjWhQAlvKCKKtvjuncAn5M/view?usp=drivesdk</v>
      </c>
      <c r="Y2328" s="65"/>
      <c r="Z2328" s="156" t="s">
        <v>158</v>
      </c>
      <c r="AA2328" s="126" t="s">
        <v>131</v>
      </c>
      <c r="AB2328" s="148" t="s">
        <v>14059</v>
      </c>
      <c r="AC2328" s="1362" t="s">
        <v>14051</v>
      </c>
      <c r="AD2328" s="156" t="s">
        <v>14060</v>
      </c>
      <c r="AE2328" s="156" t="s">
        <v>125</v>
      </c>
      <c r="AF2328" s="861">
        <v>60.0</v>
      </c>
      <c r="AG2328" s="156" t="s">
        <v>131</v>
      </c>
      <c r="AH2328" s="65"/>
      <c r="AI2328" s="2049" t="s">
        <v>14061</v>
      </c>
      <c r="AJ2328" s="376">
        <v>0.3421</v>
      </c>
      <c r="AK2328" s="54" t="s">
        <v>165</v>
      </c>
      <c r="AL2328" s="156" t="s">
        <v>179</v>
      </c>
      <c r="AM2328" s="2063" t="s">
        <v>1898</v>
      </c>
      <c r="AN2328" s="1362" t="s">
        <v>131</v>
      </c>
      <c r="AO2328" s="153">
        <v>155.0</v>
      </c>
      <c r="AP2328" s="156" t="s">
        <v>131</v>
      </c>
      <c r="AQ2328" s="65"/>
      <c r="AR2328" s="148" t="s">
        <v>14062</v>
      </c>
      <c r="AS2328" s="153">
        <v>0.656</v>
      </c>
      <c r="AT2328" s="156" t="s">
        <v>165</v>
      </c>
      <c r="AU2328" s="156" t="s">
        <v>179</v>
      </c>
      <c r="AV2328" s="151" t="s">
        <v>1898</v>
      </c>
      <c r="AW2328" s="2056" t="s">
        <v>14056</v>
      </c>
      <c r="AX2328" s="151" t="s">
        <v>136</v>
      </c>
      <c r="AZ2328" s="152" t="s">
        <v>13544</v>
      </c>
    </row>
    <row r="2329">
      <c r="A2329" s="41">
        <v>2329.0</v>
      </c>
      <c r="B2329" s="42" t="s">
        <v>145</v>
      </c>
      <c r="C2329" s="59" t="s">
        <v>108</v>
      </c>
      <c r="D2329" s="59" t="s">
        <v>1263</v>
      </c>
      <c r="F2329" s="1283" t="s">
        <v>14063</v>
      </c>
      <c r="G2329" s="156" t="s">
        <v>14064</v>
      </c>
      <c r="H2329" s="1284" t="s">
        <v>5011</v>
      </c>
      <c r="I2329" s="149">
        <v>45331.0</v>
      </c>
      <c r="J2329" s="150">
        <v>45727.0</v>
      </c>
      <c r="K2329" s="156" t="s">
        <v>14065</v>
      </c>
      <c r="L2329" s="126" t="s">
        <v>14066</v>
      </c>
      <c r="M2329" s="156" t="s">
        <v>14067</v>
      </c>
      <c r="N2329" s="156" t="s">
        <v>14068</v>
      </c>
      <c r="O2329" s="153">
        <v>1.0</v>
      </c>
      <c r="P2329" s="156" t="str">
        <f>SUBSTITUTE(LOWER(N2329), "/", "--") &amp;  ".pdf"</f>
        <v>10.1111--j.1933-1592.2012.00609.x.pdf</v>
      </c>
      <c r="Q2329" s="49" t="str">
        <f t="array" ref="Q2329"> if(iserror(MATCH(V2329, 'File Links'!C:C, 0)), "N/A", HYPERLINK(INDEX('File Links'!B:B, MATCH(P2329, 'File Links'!C:C, 0))))</f>
        <v>https://drive.google.com/file/d/1vevfUy0iTc6NQfF1T-jwqjcTM_yHdsf0/view?usp=drivesdk</v>
      </c>
      <c r="R2329" s="2020" t="s">
        <v>5015</v>
      </c>
      <c r="S2329" s="307" t="s">
        <v>5016</v>
      </c>
      <c r="T2329" s="2056" t="s">
        <v>14069</v>
      </c>
      <c r="U2329" s="153">
        <v>35.0</v>
      </c>
      <c r="V2329" s="156" t="str">
        <f t="shared" si="125"/>
        <v>10.1007--s13164-018-0400-9.pdf</v>
      </c>
      <c r="W2329" s="1287" t="s">
        <v>5018</v>
      </c>
      <c r="X2329" s="51" t="str">
        <f t="array" ref="X2329"> if(iserror(MATCH(V2329, 'File Links'!C:C, 0)), "N/A", HYPERLINK(INDEX('File Links'!B:B, MATCH(V2329, 'File Links'!C:C, 0))))</f>
        <v>https://drive.google.com/file/d/1hjI3aqifdfXjWhQAlvKCKKtvjuncAn5M/view?usp=drivesdk</v>
      </c>
      <c r="Y2329" s="65"/>
      <c r="Z2329" s="156" t="s">
        <v>158</v>
      </c>
      <c r="AA2329" s="126" t="s">
        <v>131</v>
      </c>
      <c r="AB2329" s="156" t="s">
        <v>14070</v>
      </c>
      <c r="AC2329" s="2066" t="s">
        <v>14071</v>
      </c>
      <c r="AD2329" s="156" t="s">
        <v>14072</v>
      </c>
      <c r="AE2329" s="156" t="s">
        <v>13929</v>
      </c>
      <c r="AF2329" s="861">
        <v>249.0</v>
      </c>
      <c r="AG2329" s="1113" t="s">
        <v>14073</v>
      </c>
      <c r="AH2329" s="156" t="s">
        <v>127</v>
      </c>
      <c r="AI2329" s="336" t="s">
        <v>620</v>
      </c>
      <c r="AJ2329" s="1114">
        <v>0.022</v>
      </c>
      <c r="AK2329" s="54" t="s">
        <v>165</v>
      </c>
      <c r="AL2329" s="156" t="s">
        <v>179</v>
      </c>
      <c r="AM2329" s="1113" t="s">
        <v>130</v>
      </c>
      <c r="AN2329" s="65"/>
      <c r="AO2329" s="153">
        <v>335.0</v>
      </c>
      <c r="AP2329" s="1113" t="s">
        <v>14074</v>
      </c>
      <c r="AQ2329" s="126" t="s">
        <v>127</v>
      </c>
      <c r="AR2329" s="2065" t="s">
        <v>14075</v>
      </c>
      <c r="AS2329" s="153">
        <v>1.0E-4</v>
      </c>
      <c r="AT2329" s="156" t="s">
        <v>165</v>
      </c>
      <c r="AU2329" s="156" t="s">
        <v>179</v>
      </c>
      <c r="AV2329" s="1113" t="s">
        <v>130</v>
      </c>
      <c r="AW2329" s="2056" t="s">
        <v>14076</v>
      </c>
      <c r="AX2329" s="156" t="s">
        <v>136</v>
      </c>
      <c r="AZ2329" s="152" t="s">
        <v>13544</v>
      </c>
    </row>
    <row r="2330">
      <c r="A2330" s="41">
        <v>2330.0</v>
      </c>
      <c r="B2330" s="65" t="s">
        <v>107</v>
      </c>
      <c r="C2330" s="59" t="s">
        <v>108</v>
      </c>
      <c r="D2330" s="59" t="s">
        <v>241</v>
      </c>
      <c r="F2330" s="1283" t="s">
        <v>14063</v>
      </c>
      <c r="G2330" s="156" t="s">
        <v>14064</v>
      </c>
      <c r="H2330" s="1284" t="s">
        <v>242</v>
      </c>
      <c r="I2330" s="149">
        <v>45331.0</v>
      </c>
      <c r="J2330" s="150">
        <v>45727.0</v>
      </c>
      <c r="K2330" s="156" t="s">
        <v>14077</v>
      </c>
      <c r="L2330" s="65"/>
      <c r="M2330" s="156" t="s">
        <v>14067</v>
      </c>
      <c r="N2330" s="156" t="s">
        <v>14068</v>
      </c>
      <c r="O2330" s="126">
        <v>1.0</v>
      </c>
      <c r="P2330" s="156" t="s">
        <v>14078</v>
      </c>
      <c r="Q2330" s="49" t="str">
        <f t="array" ref="Q2330"> if(iserror(MATCH(V2330, 'File Links'!C:C, 0)), "N/A", HYPERLINK(INDEX('File Links'!B:B, MATCH(P2330, 'File Links'!C:C, 0))))</f>
        <v>https://drive.google.com/file/d/1vevfUy0iTc6NQfF1T-jwqjcTM_yHdsf0/view?usp=drivesdk</v>
      </c>
      <c r="R2330" s="2020" t="s">
        <v>5015</v>
      </c>
      <c r="S2330" s="156" t="s">
        <v>5016</v>
      </c>
      <c r="T2330" s="1999" t="s">
        <v>14069</v>
      </c>
      <c r="U2330" s="1362">
        <v>35.0</v>
      </c>
      <c r="V2330" s="156" t="str">
        <f t="shared" si="125"/>
        <v>10.1007--s13164-018-0400-9.pdf</v>
      </c>
      <c r="W2330" s="1287" t="s">
        <v>5018</v>
      </c>
      <c r="X2330" s="51" t="str">
        <f t="array" ref="X2330"> if(iserror(MATCH(V2330, 'File Links'!C:C, 0)), "N/A", HYPERLINK(INDEX('File Links'!B:B, MATCH(V2330, 'File Links'!C:C, 0))))</f>
        <v>https://drive.google.com/file/d/1hjI3aqifdfXjWhQAlvKCKKtvjuncAn5M/view?usp=drivesdk</v>
      </c>
      <c r="Y2330" s="65"/>
      <c r="Z2330" s="156" t="s">
        <v>158</v>
      </c>
      <c r="AA2330" s="126" t="s">
        <v>131</v>
      </c>
      <c r="AB2330" s="156" t="s">
        <v>5028</v>
      </c>
      <c r="AC2330" s="2066" t="s">
        <v>14071</v>
      </c>
      <c r="AD2330" s="156" t="s">
        <v>14079</v>
      </c>
      <c r="AE2330" s="156" t="s">
        <v>620</v>
      </c>
      <c r="AF2330" s="153">
        <v>249.0</v>
      </c>
      <c r="AG2330" s="65"/>
      <c r="AH2330" s="65"/>
      <c r="AI2330" s="2051" t="s">
        <v>14080</v>
      </c>
      <c r="AJ2330" s="376">
        <v>0.022</v>
      </c>
      <c r="AK2330" s="54" t="s">
        <v>165</v>
      </c>
      <c r="AL2330" s="156" t="s">
        <v>179</v>
      </c>
      <c r="AM2330" s="1113" t="s">
        <v>130</v>
      </c>
      <c r="AN2330" s="1362" t="s">
        <v>131</v>
      </c>
      <c r="AO2330" s="153">
        <v>335.0</v>
      </c>
      <c r="AP2330" s="156" t="s">
        <v>131</v>
      </c>
      <c r="AQ2330" s="65"/>
      <c r="AR2330" s="156" t="s">
        <v>14081</v>
      </c>
      <c r="AS2330" s="153">
        <v>1.0E-4</v>
      </c>
      <c r="AT2330" s="156" t="s">
        <v>165</v>
      </c>
      <c r="AU2330" s="156" t="s">
        <v>179</v>
      </c>
      <c r="AV2330" s="151" t="s">
        <v>1898</v>
      </c>
      <c r="AW2330" s="2056" t="s">
        <v>14076</v>
      </c>
      <c r="AX2330" s="151" t="s">
        <v>136</v>
      </c>
      <c r="AZ2330" s="152" t="s">
        <v>13544</v>
      </c>
    </row>
    <row r="2331">
      <c r="A2331" s="41">
        <v>2331.0</v>
      </c>
      <c r="B2331" s="65" t="s">
        <v>145</v>
      </c>
      <c r="C2331" s="59" t="s">
        <v>108</v>
      </c>
      <c r="D2331" s="59" t="s">
        <v>1263</v>
      </c>
      <c r="F2331" s="58" t="s">
        <v>14063</v>
      </c>
      <c r="G2331" s="148" t="s">
        <v>14082</v>
      </c>
      <c r="H2331" s="1284" t="s">
        <v>5011</v>
      </c>
      <c r="I2331" s="149">
        <v>45674.0</v>
      </c>
      <c r="J2331" s="65"/>
      <c r="K2331" s="156" t="s">
        <v>14083</v>
      </c>
      <c r="L2331" s="65" t="s">
        <v>14084</v>
      </c>
      <c r="M2331" s="156" t="s">
        <v>14067</v>
      </c>
      <c r="N2331" s="156" t="s">
        <v>14068</v>
      </c>
      <c r="O2331" s="153">
        <v>1.0</v>
      </c>
      <c r="P2331" s="156" t="str">
        <f t="shared" ref="P2331:P2333" si="133">SUBSTITUTE(LOWER(N2331), "/", "--") &amp;  ".pdf"</f>
        <v>10.1111--j.1933-1592.2012.00609.x.pdf</v>
      </c>
      <c r="Q2331" s="49" t="str">
        <f t="array" ref="Q2331"> if(iserror(MATCH(V2331, 'File Links'!C:C, 0)), "N/A", HYPERLINK(INDEX('File Links'!B:B, MATCH(P2331, 'File Links'!C:C, 0))))</f>
        <v>https://drive.google.com/file/d/1vevfUy0iTc6NQfF1T-jwqjcTM_yHdsf0/view?usp=drivesdk</v>
      </c>
      <c r="R2331" s="2020" t="s">
        <v>5015</v>
      </c>
      <c r="S2331" s="307" t="s">
        <v>5016</v>
      </c>
      <c r="T2331" s="307" t="s">
        <v>5017</v>
      </c>
      <c r="U2331" s="153">
        <v>35.0</v>
      </c>
      <c r="V2331" s="156" t="str">
        <f t="shared" si="125"/>
        <v>10.1007--s13164-018-0400-9.pdf</v>
      </c>
      <c r="W2331" s="1287" t="s">
        <v>5018</v>
      </c>
      <c r="X2331" s="51" t="str">
        <f t="array" ref="X2331"> if(iserror(MATCH(V2331, 'File Links'!C:C, 0)), "N/A", HYPERLINK(INDEX('File Links'!B:B, MATCH(V2331, 'File Links'!C:C, 0))))</f>
        <v>https://drive.google.com/file/d/1hjI3aqifdfXjWhQAlvKCKKtvjuncAn5M/view?usp=drivesdk</v>
      </c>
      <c r="Y2331" s="65"/>
      <c r="Z2331" s="156" t="s">
        <v>158</v>
      </c>
      <c r="AA2331" s="126" t="s">
        <v>131</v>
      </c>
      <c r="AB2331" s="156" t="s">
        <v>14070</v>
      </c>
      <c r="AC2331" s="2066" t="s">
        <v>14071</v>
      </c>
      <c r="AD2331" s="156" t="s">
        <v>14085</v>
      </c>
      <c r="AE2331" s="153">
        <v>16.0</v>
      </c>
      <c r="AF2331" s="153">
        <v>134.0</v>
      </c>
      <c r="AG2331" s="156" t="s">
        <v>14086</v>
      </c>
      <c r="AH2331" s="156" t="s">
        <v>127</v>
      </c>
      <c r="AI2331" s="336" t="s">
        <v>175</v>
      </c>
      <c r="AJ2331" s="376">
        <v>0.004</v>
      </c>
      <c r="AK2331" s="54" t="s">
        <v>165</v>
      </c>
      <c r="AL2331" s="156" t="s">
        <v>179</v>
      </c>
      <c r="AM2331" s="54" t="s">
        <v>130</v>
      </c>
      <c r="AN2331" s="65"/>
      <c r="AO2331" s="153">
        <v>335.0</v>
      </c>
      <c r="AP2331" s="156" t="s">
        <v>14087</v>
      </c>
      <c r="AQ2331" s="2067" t="s">
        <v>208</v>
      </c>
      <c r="AR2331" s="2068" t="s">
        <v>2764</v>
      </c>
      <c r="AS2331" s="153">
        <v>0.001</v>
      </c>
      <c r="AT2331" s="156" t="s">
        <v>128</v>
      </c>
      <c r="AU2331" s="156" t="s">
        <v>179</v>
      </c>
      <c r="AV2331" s="156" t="s">
        <v>130</v>
      </c>
      <c r="AW2331" s="307" t="s">
        <v>14088</v>
      </c>
      <c r="AX2331" s="156" t="s">
        <v>136</v>
      </c>
      <c r="AZ2331" s="151" t="s">
        <v>242</v>
      </c>
    </row>
    <row r="2332">
      <c r="A2332" s="41">
        <v>2332.0</v>
      </c>
      <c r="B2332" s="65" t="s">
        <v>145</v>
      </c>
      <c r="C2332" s="59" t="s">
        <v>108</v>
      </c>
      <c r="D2332" s="59" t="s">
        <v>1263</v>
      </c>
      <c r="F2332" s="58" t="s">
        <v>14063</v>
      </c>
      <c r="G2332" s="148" t="s">
        <v>14089</v>
      </c>
      <c r="H2332" s="1284" t="s">
        <v>5011</v>
      </c>
      <c r="I2332" s="149">
        <v>45674.0</v>
      </c>
      <c r="J2332" s="65"/>
      <c r="K2332" s="156" t="s">
        <v>14083</v>
      </c>
      <c r="L2332" s="65" t="s">
        <v>14084</v>
      </c>
      <c r="M2332" s="156" t="s">
        <v>14067</v>
      </c>
      <c r="N2332" s="156" t="s">
        <v>14068</v>
      </c>
      <c r="O2332" s="153">
        <v>1.0</v>
      </c>
      <c r="P2332" s="156" t="str">
        <f t="shared" si="133"/>
        <v>10.1111--j.1933-1592.2012.00609.x.pdf</v>
      </c>
      <c r="Q2332" s="49" t="str">
        <f t="array" ref="Q2332"> if(iserror(MATCH(V2332, 'File Links'!C:C, 0)), "N/A", HYPERLINK(INDEX('File Links'!B:B, MATCH(P2332, 'File Links'!C:C, 0))))</f>
        <v>https://drive.google.com/file/d/1vevfUy0iTc6NQfF1T-jwqjcTM_yHdsf0/view?usp=drivesdk</v>
      </c>
      <c r="R2332" s="2020" t="s">
        <v>5015</v>
      </c>
      <c r="S2332" s="307" t="s">
        <v>5016</v>
      </c>
      <c r="T2332" s="307" t="s">
        <v>5017</v>
      </c>
      <c r="U2332" s="153">
        <v>35.0</v>
      </c>
      <c r="V2332" s="156" t="str">
        <f t="shared" si="125"/>
        <v>10.1007--s13164-018-0400-9.pdf</v>
      </c>
      <c r="W2332" s="1287" t="s">
        <v>5018</v>
      </c>
      <c r="X2332" s="51" t="str">
        <f t="array" ref="X2332"> if(iserror(MATCH(V2332, 'File Links'!C:C, 0)), "N/A", HYPERLINK(INDEX('File Links'!B:B, MATCH(V2332, 'File Links'!C:C, 0))))</f>
        <v>https://drive.google.com/file/d/1hjI3aqifdfXjWhQAlvKCKKtvjuncAn5M/view?usp=drivesdk</v>
      </c>
      <c r="Y2332" s="65"/>
      <c r="Z2332" s="156" t="s">
        <v>158</v>
      </c>
      <c r="AA2332" s="126" t="s">
        <v>131</v>
      </c>
      <c r="AB2332" s="156" t="s">
        <v>14070</v>
      </c>
      <c r="AC2332" s="2066" t="s">
        <v>14071</v>
      </c>
      <c r="AD2332" s="156" t="s">
        <v>14090</v>
      </c>
      <c r="AE2332" s="153">
        <v>16.0</v>
      </c>
      <c r="AF2332" s="153">
        <v>134.0</v>
      </c>
      <c r="AG2332" s="156" t="s">
        <v>14091</v>
      </c>
      <c r="AH2332" s="156" t="s">
        <v>127</v>
      </c>
      <c r="AI2332" s="336" t="s">
        <v>175</v>
      </c>
      <c r="AJ2332" s="376">
        <v>0.022</v>
      </c>
      <c r="AK2332" s="54" t="s">
        <v>165</v>
      </c>
      <c r="AL2332" s="156" t="s">
        <v>179</v>
      </c>
      <c r="AM2332" s="54" t="s">
        <v>130</v>
      </c>
      <c r="AN2332" s="65"/>
      <c r="AO2332" s="153">
        <v>335.0</v>
      </c>
      <c r="AP2332" s="156" t="s">
        <v>14092</v>
      </c>
      <c r="AQ2332" s="2067" t="s">
        <v>208</v>
      </c>
      <c r="AR2332" s="2068" t="s">
        <v>500</v>
      </c>
      <c r="AS2332" s="153">
        <v>0.001</v>
      </c>
      <c r="AT2332" s="156" t="s">
        <v>128</v>
      </c>
      <c r="AU2332" s="156" t="s">
        <v>179</v>
      </c>
      <c r="AV2332" s="156" t="s">
        <v>130</v>
      </c>
      <c r="AW2332" s="307" t="s">
        <v>14088</v>
      </c>
      <c r="AX2332" s="156" t="s">
        <v>136</v>
      </c>
      <c r="AZ2332" s="151" t="s">
        <v>242</v>
      </c>
    </row>
    <row r="2333">
      <c r="A2333" s="41">
        <v>2333.0</v>
      </c>
      <c r="B2333" s="152" t="s">
        <v>145</v>
      </c>
      <c r="C2333" s="59" t="s">
        <v>108</v>
      </c>
      <c r="D2333" s="59" t="s">
        <v>1263</v>
      </c>
      <c r="F2333" s="2019" t="s">
        <v>14093</v>
      </c>
      <c r="G2333" s="156" t="s">
        <v>14094</v>
      </c>
      <c r="H2333" s="1284" t="s">
        <v>5011</v>
      </c>
      <c r="I2333" s="149">
        <v>45674.0</v>
      </c>
      <c r="J2333" s="150">
        <v>45727.0</v>
      </c>
      <c r="K2333" s="65"/>
      <c r="L2333" s="126" t="s">
        <v>14095</v>
      </c>
      <c r="M2333" s="156" t="s">
        <v>14096</v>
      </c>
      <c r="N2333" s="156" t="s">
        <v>14097</v>
      </c>
      <c r="O2333" s="126">
        <v>1.0</v>
      </c>
      <c r="P2333" s="156" t="str">
        <f t="shared" si="133"/>
        <v>10.1007--s13164-013-0162-3.pdf</v>
      </c>
      <c r="Q2333" s="49" t="str">
        <f t="array" ref="Q2333"> if(iserror(MATCH(V2333, 'File Links'!C:C, 0)), "N/A", HYPERLINK(INDEX('File Links'!B:B, MATCH(P2333, 'File Links'!C:C, 0))))</f>
        <v>https://drive.google.com/file/d/1_iGxIOrj5vzUvhOaCiFYGOOkUVaaRx4p/view?usp=drivesdk</v>
      </c>
      <c r="R2333" s="2020" t="s">
        <v>5015</v>
      </c>
      <c r="S2333" s="307" t="s">
        <v>5016</v>
      </c>
      <c r="T2333" s="2056" t="s">
        <v>14098</v>
      </c>
      <c r="U2333" s="153">
        <v>36.0</v>
      </c>
      <c r="V2333" s="156" t="str">
        <f t="shared" si="125"/>
        <v>10.1007--s13164-018-0400-9.pdf</v>
      </c>
      <c r="W2333" s="1287" t="s">
        <v>5018</v>
      </c>
      <c r="X2333" s="51" t="str">
        <f t="array" ref="X2333"> if(iserror(MATCH(V2333, 'File Links'!C:C, 0)), "N/A", HYPERLINK(INDEX('File Links'!B:B, MATCH(V2333, 'File Links'!C:C, 0))))</f>
        <v>https://drive.google.com/file/d/1hjI3aqifdfXjWhQAlvKCKKtvjuncAn5M/view?usp=drivesdk</v>
      </c>
      <c r="Y2333" s="65"/>
      <c r="Z2333" s="156" t="s">
        <v>158</v>
      </c>
      <c r="AA2333" s="126" t="s">
        <v>131</v>
      </c>
      <c r="AB2333" s="156" t="s">
        <v>14099</v>
      </c>
      <c r="AC2333" s="1362" t="s">
        <v>14100</v>
      </c>
      <c r="AD2333" s="148" t="s">
        <v>14101</v>
      </c>
      <c r="AE2333" s="153">
        <v>9.0</v>
      </c>
      <c r="AF2333" s="153">
        <v>162.0</v>
      </c>
      <c r="AG2333" s="148">
        <v>0.04</v>
      </c>
      <c r="AH2333" s="148" t="s">
        <v>132</v>
      </c>
      <c r="AI2333" s="336" t="s">
        <v>625</v>
      </c>
      <c r="AJ2333" s="376">
        <v>0.01</v>
      </c>
      <c r="AK2333" s="54" t="s">
        <v>165</v>
      </c>
      <c r="AL2333" s="156" t="s">
        <v>179</v>
      </c>
      <c r="AM2333" s="54" t="s">
        <v>130</v>
      </c>
      <c r="AN2333" s="1362" t="s">
        <v>131</v>
      </c>
      <c r="AO2333" s="153">
        <v>387.0</v>
      </c>
      <c r="AP2333" s="59">
        <v>0.196</v>
      </c>
      <c r="AQ2333" s="156" t="s">
        <v>166</v>
      </c>
      <c r="AR2333" s="94" t="s">
        <v>14098</v>
      </c>
      <c r="AS2333" s="153">
        <v>0.092</v>
      </c>
      <c r="AT2333" s="156" t="s">
        <v>165</v>
      </c>
      <c r="AU2333" s="156" t="s">
        <v>129</v>
      </c>
      <c r="AV2333" s="156" t="s">
        <v>130</v>
      </c>
      <c r="AW2333" s="2056" t="s">
        <v>14102</v>
      </c>
      <c r="AX2333" s="156" t="s">
        <v>136</v>
      </c>
      <c r="AZ2333" s="152" t="s">
        <v>13544</v>
      </c>
    </row>
    <row r="2334">
      <c r="A2334" s="41">
        <v>2334.0</v>
      </c>
      <c r="B2334" s="42" t="s">
        <v>107</v>
      </c>
      <c r="C2334" s="59" t="s">
        <v>108</v>
      </c>
      <c r="D2334" s="59" t="s">
        <v>241</v>
      </c>
      <c r="F2334" s="2019" t="s">
        <v>14093</v>
      </c>
      <c r="G2334" s="156" t="s">
        <v>14094</v>
      </c>
      <c r="H2334" s="1284" t="s">
        <v>242</v>
      </c>
      <c r="I2334" s="149">
        <v>45331.0</v>
      </c>
      <c r="J2334" s="150">
        <v>45727.0</v>
      </c>
      <c r="K2334" s="156" t="s">
        <v>14103</v>
      </c>
      <c r="L2334" s="65"/>
      <c r="M2334" s="156" t="s">
        <v>14096</v>
      </c>
      <c r="N2334" s="156" t="s">
        <v>14097</v>
      </c>
      <c r="O2334" s="126">
        <v>1.0</v>
      </c>
      <c r="P2334" s="156" t="s">
        <v>14104</v>
      </c>
      <c r="Q2334" s="49" t="str">
        <f t="array" ref="Q2334"> if(iserror(MATCH(V2334, 'File Links'!C:C, 0)), "N/A", HYPERLINK(INDEX('File Links'!B:B, MATCH(P2334, 'File Links'!C:C, 0))))</f>
        <v>https://drive.google.com/file/d/1_iGxIOrj5vzUvhOaCiFYGOOkUVaaRx4p/view?usp=drivesdk</v>
      </c>
      <c r="R2334" s="2020" t="s">
        <v>5015</v>
      </c>
      <c r="S2334" s="156" t="s">
        <v>5016</v>
      </c>
      <c r="T2334" s="1999" t="s">
        <v>14098</v>
      </c>
      <c r="U2334" s="1362">
        <v>36.0</v>
      </c>
      <c r="V2334" s="156" t="str">
        <f t="shared" si="125"/>
        <v>10.1007--s13164-018-0400-9.pdf</v>
      </c>
      <c r="W2334" s="1287" t="s">
        <v>5018</v>
      </c>
      <c r="X2334" s="51" t="str">
        <f t="array" ref="X2334"> if(iserror(MATCH(V2334, 'File Links'!C:C, 0)), "N/A", HYPERLINK(INDEX('File Links'!B:B, MATCH(V2334, 'File Links'!C:C, 0))))</f>
        <v>https://drive.google.com/file/d/1hjI3aqifdfXjWhQAlvKCKKtvjuncAn5M/view?usp=drivesdk</v>
      </c>
      <c r="Y2334" s="65"/>
      <c r="Z2334" s="156" t="s">
        <v>158</v>
      </c>
      <c r="AA2334" s="126" t="s">
        <v>131</v>
      </c>
      <c r="AB2334" s="156" t="s">
        <v>5028</v>
      </c>
      <c r="AC2334" s="1362" t="s">
        <v>14100</v>
      </c>
      <c r="AD2334" s="156" t="s">
        <v>14105</v>
      </c>
      <c r="AE2334" s="156" t="s">
        <v>621</v>
      </c>
      <c r="AF2334" s="153">
        <v>162.0</v>
      </c>
      <c r="AG2334" s="156" t="s">
        <v>14106</v>
      </c>
      <c r="AH2334" s="156" t="s">
        <v>127</v>
      </c>
      <c r="AI2334" s="2051" t="s">
        <v>14107</v>
      </c>
      <c r="AJ2334" s="376">
        <v>0.01</v>
      </c>
      <c r="AK2334" s="54" t="s">
        <v>165</v>
      </c>
      <c r="AL2334" s="156" t="s">
        <v>179</v>
      </c>
      <c r="AM2334" s="1283" t="s">
        <v>130</v>
      </c>
      <c r="AN2334" s="1362" t="s">
        <v>131</v>
      </c>
      <c r="AO2334" s="153">
        <v>387.0</v>
      </c>
      <c r="AP2334" s="153">
        <v>0.2</v>
      </c>
      <c r="AQ2334" s="156" t="s">
        <v>166</v>
      </c>
      <c r="AR2334" s="156" t="s">
        <v>14108</v>
      </c>
      <c r="AS2334" s="1056">
        <v>0.007</v>
      </c>
      <c r="AT2334" s="156" t="s">
        <v>165</v>
      </c>
      <c r="AU2334" s="156" t="s">
        <v>179</v>
      </c>
      <c r="AV2334" s="151" t="s">
        <v>130</v>
      </c>
      <c r="AW2334" s="2056" t="s">
        <v>14102</v>
      </c>
      <c r="AX2334" s="151" t="s">
        <v>136</v>
      </c>
      <c r="AZ2334" s="152" t="s">
        <v>13544</v>
      </c>
    </row>
    <row r="2335">
      <c r="A2335" s="41">
        <v>2335.0</v>
      </c>
      <c r="B2335" s="42" t="s">
        <v>145</v>
      </c>
      <c r="C2335" s="59" t="s">
        <v>108</v>
      </c>
      <c r="D2335" s="59" t="s">
        <v>1263</v>
      </c>
      <c r="F2335" s="1283" t="s">
        <v>14109</v>
      </c>
      <c r="G2335" s="156" t="s">
        <v>14110</v>
      </c>
      <c r="H2335" s="1284" t="s">
        <v>5011</v>
      </c>
      <c r="I2335" s="149">
        <v>45674.0</v>
      </c>
      <c r="J2335" s="150">
        <v>45727.0</v>
      </c>
      <c r="K2335" s="65"/>
      <c r="L2335" s="126" t="s">
        <v>14111</v>
      </c>
      <c r="M2335" s="156" t="s">
        <v>14112</v>
      </c>
      <c r="N2335" s="156" t="s">
        <v>14113</v>
      </c>
      <c r="O2335" s="126">
        <v>1.0</v>
      </c>
      <c r="P2335" s="156" t="str">
        <f>SUBSTITUTE(LOWER(N2335), "/", "--") &amp;  ".pdf"</f>
        <v>10.1093--aesthj--ayu027.pdf</v>
      </c>
      <c r="Q2335" s="49" t="str">
        <f t="array" ref="Q2335"> if(iserror(MATCH(V2335, 'File Links'!C:C, 0)), "N/A", HYPERLINK(INDEX('File Links'!B:B, MATCH(P2335, 'File Links'!C:C, 0))))</f>
        <v>https://drive.google.com/file/d/17zk5ntmJwRuglkdI2KDBsmDyHp9ZT9nk/view?usp=drivesdk</v>
      </c>
      <c r="R2335" s="2020" t="s">
        <v>5015</v>
      </c>
      <c r="S2335" s="307" t="s">
        <v>5016</v>
      </c>
      <c r="T2335" s="2056" t="s">
        <v>14114</v>
      </c>
      <c r="U2335" s="153">
        <v>37.0</v>
      </c>
      <c r="V2335" s="156" t="str">
        <f t="shared" si="125"/>
        <v>10.1007--s13164-018-0400-9.pdf</v>
      </c>
      <c r="W2335" s="1287" t="s">
        <v>5018</v>
      </c>
      <c r="X2335" s="51" t="str">
        <f t="array" ref="X2335"> if(iserror(MATCH(V2335, 'File Links'!C:C, 0)), "N/A", HYPERLINK(INDEX('File Links'!B:B, MATCH(V2335, 'File Links'!C:C, 0))))</f>
        <v>https://drive.google.com/file/d/1hjI3aqifdfXjWhQAlvKCKKtvjuncAn5M/view?usp=drivesdk</v>
      </c>
      <c r="Y2335" s="65"/>
      <c r="Z2335" s="156" t="s">
        <v>158</v>
      </c>
      <c r="AA2335" s="156" t="s">
        <v>14115</v>
      </c>
      <c r="AB2335" s="148" t="s">
        <v>14116</v>
      </c>
      <c r="AC2335" s="156" t="s">
        <v>14117</v>
      </c>
      <c r="AD2335" s="156" t="s">
        <v>14118</v>
      </c>
      <c r="AE2335" s="156" t="s">
        <v>14119</v>
      </c>
      <c r="AF2335" s="153">
        <v>30.0</v>
      </c>
      <c r="AG2335" s="153">
        <v>0.54</v>
      </c>
      <c r="AH2335" s="156" t="s">
        <v>208</v>
      </c>
      <c r="AI2335" s="336" t="s">
        <v>2222</v>
      </c>
      <c r="AJ2335" s="376">
        <v>0.002</v>
      </c>
      <c r="AK2335" s="54" t="s">
        <v>165</v>
      </c>
      <c r="AL2335" s="156" t="s">
        <v>179</v>
      </c>
      <c r="AM2335" s="54" t="s">
        <v>130</v>
      </c>
      <c r="AN2335" s="1362" t="s">
        <v>131</v>
      </c>
      <c r="AO2335" s="153">
        <v>99.0</v>
      </c>
      <c r="AP2335" s="153">
        <v>0.55</v>
      </c>
      <c r="AQ2335" s="156" t="s">
        <v>208</v>
      </c>
      <c r="AR2335" s="156" t="s">
        <v>5017</v>
      </c>
      <c r="AS2335" s="153">
        <v>0.001</v>
      </c>
      <c r="AT2335" s="156" t="s">
        <v>128</v>
      </c>
      <c r="AU2335" s="156" t="s">
        <v>179</v>
      </c>
      <c r="AV2335" s="156" t="s">
        <v>130</v>
      </c>
      <c r="AW2335" s="2056" t="s">
        <v>14120</v>
      </c>
      <c r="AX2335" s="156" t="s">
        <v>136</v>
      </c>
      <c r="AZ2335" s="152" t="s">
        <v>13544</v>
      </c>
    </row>
    <row r="2336">
      <c r="A2336" s="41">
        <v>2336.0</v>
      </c>
      <c r="B2336" s="151" t="s">
        <v>107</v>
      </c>
      <c r="C2336" s="59" t="s">
        <v>108</v>
      </c>
      <c r="D2336" s="59" t="s">
        <v>241</v>
      </c>
      <c r="F2336" s="1283" t="s">
        <v>14109</v>
      </c>
      <c r="G2336" s="156" t="s">
        <v>14110</v>
      </c>
      <c r="H2336" s="1284" t="s">
        <v>242</v>
      </c>
      <c r="I2336" s="149">
        <v>45331.0</v>
      </c>
      <c r="J2336" s="150">
        <v>45727.0</v>
      </c>
      <c r="K2336" s="65"/>
      <c r="L2336" s="65"/>
      <c r="M2336" s="156" t="s">
        <v>14112</v>
      </c>
      <c r="N2336" s="156" t="s">
        <v>14113</v>
      </c>
      <c r="O2336" s="126">
        <v>1.0</v>
      </c>
      <c r="P2336" s="156" t="s">
        <v>14121</v>
      </c>
      <c r="Q2336" s="49" t="str">
        <f t="array" ref="Q2336"> if(iserror(MATCH(V2336, 'File Links'!C:C, 0)), "N/A", HYPERLINK(INDEX('File Links'!B:B, MATCH(P2336, 'File Links'!C:C, 0))))</f>
        <v>https://drive.google.com/file/d/17zk5ntmJwRuglkdI2KDBsmDyHp9ZT9nk/view?usp=drivesdk</v>
      </c>
      <c r="R2336" s="2020" t="s">
        <v>5015</v>
      </c>
      <c r="S2336" s="156" t="s">
        <v>5016</v>
      </c>
      <c r="T2336" s="1999" t="s">
        <v>14114</v>
      </c>
      <c r="U2336" s="1362">
        <v>37.0</v>
      </c>
      <c r="V2336" s="156" t="str">
        <f t="shared" si="125"/>
        <v>10.1007--s13164-018-0400-9.pdf</v>
      </c>
      <c r="W2336" s="1287" t="s">
        <v>5018</v>
      </c>
      <c r="X2336" s="51" t="str">
        <f t="array" ref="X2336"> if(iserror(MATCH(V2336, 'File Links'!C:C, 0)), "N/A", HYPERLINK(INDEX('File Links'!B:B, MATCH(V2336, 'File Links'!C:C, 0))))</f>
        <v>https://drive.google.com/file/d/1hjI3aqifdfXjWhQAlvKCKKtvjuncAn5M/view?usp=drivesdk</v>
      </c>
      <c r="Y2336" s="65"/>
      <c r="Z2336" s="156" t="s">
        <v>158</v>
      </c>
      <c r="AA2336" s="1112" t="s">
        <v>14115</v>
      </c>
      <c r="AB2336" s="148" t="s">
        <v>14122</v>
      </c>
      <c r="AC2336" s="1112" t="s">
        <v>14117</v>
      </c>
      <c r="AD2336" s="156" t="s">
        <v>14123</v>
      </c>
      <c r="AE2336" s="156" t="s">
        <v>14124</v>
      </c>
      <c r="AF2336" s="153">
        <v>30.0</v>
      </c>
      <c r="AG2336" s="153">
        <v>0.54</v>
      </c>
      <c r="AH2336" s="156" t="s">
        <v>208</v>
      </c>
      <c r="AI2336" s="2051" t="s">
        <v>14125</v>
      </c>
      <c r="AJ2336" s="376">
        <v>0.002</v>
      </c>
      <c r="AK2336" s="54" t="s">
        <v>165</v>
      </c>
      <c r="AL2336" s="156" t="s">
        <v>179</v>
      </c>
      <c r="AM2336" s="1283" t="s">
        <v>130</v>
      </c>
      <c r="AN2336" s="1362" t="s">
        <v>131</v>
      </c>
      <c r="AO2336" s="153">
        <v>99.0</v>
      </c>
      <c r="AP2336" s="153">
        <v>0.55</v>
      </c>
      <c r="AQ2336" s="156" t="s">
        <v>208</v>
      </c>
      <c r="AR2336" s="156" t="s">
        <v>14126</v>
      </c>
      <c r="AS2336" s="153">
        <v>0.001</v>
      </c>
      <c r="AT2336" s="156" t="s">
        <v>128</v>
      </c>
      <c r="AU2336" s="156" t="s">
        <v>179</v>
      </c>
      <c r="AV2336" s="151" t="s">
        <v>130</v>
      </c>
      <c r="AW2336" s="2056" t="s">
        <v>14120</v>
      </c>
      <c r="AX2336" s="151" t="s">
        <v>136</v>
      </c>
      <c r="AZ2336" s="152" t="s">
        <v>13544</v>
      </c>
    </row>
    <row r="2337">
      <c r="A2337" s="41">
        <v>2337.0</v>
      </c>
      <c r="B2337" s="126" t="s">
        <v>145</v>
      </c>
      <c r="C2337" s="59" t="s">
        <v>108</v>
      </c>
      <c r="D2337" s="59" t="s">
        <v>1263</v>
      </c>
      <c r="F2337" s="1283" t="s">
        <v>14127</v>
      </c>
      <c r="G2337" s="156" t="s">
        <v>14128</v>
      </c>
      <c r="H2337" s="1284" t="s">
        <v>5011</v>
      </c>
      <c r="I2337" s="149">
        <v>45675.0</v>
      </c>
      <c r="J2337" s="150">
        <v>45727.0</v>
      </c>
      <c r="K2337" s="156" t="s">
        <v>14129</v>
      </c>
      <c r="L2337" s="126" t="s">
        <v>14130</v>
      </c>
      <c r="M2337" s="156" t="s">
        <v>14131</v>
      </c>
      <c r="N2337" s="156" t="s">
        <v>14132</v>
      </c>
      <c r="O2337" s="126">
        <v>1.0</v>
      </c>
      <c r="P2337" s="156" t="str">
        <f>SUBSTITUTE(LOWER(N2337), "/", "--") &amp;  ".pdf"</f>
        <v>10.1080--09515089.2014.894431.pdf</v>
      </c>
      <c r="Q2337" s="49" t="str">
        <f t="array" ref="Q2337"> if(iserror(MATCH(V2337, 'File Links'!C:C, 0)), "N/A", HYPERLINK(INDEX('File Links'!B:B, MATCH(P2337, 'File Links'!C:C, 0))))</f>
        <v>https://drive.google.com/file/d/1zG4Fc_IEv6joOTyPj0JeBdLMNt-6vqsC/view?usp=drivesdk</v>
      </c>
      <c r="R2337" s="2020" t="s">
        <v>5015</v>
      </c>
      <c r="S2337" s="307" t="s">
        <v>5016</v>
      </c>
      <c r="T2337" s="2056" t="s">
        <v>14133</v>
      </c>
      <c r="U2337" s="153">
        <v>38.0</v>
      </c>
      <c r="V2337" s="156" t="str">
        <f t="shared" si="125"/>
        <v>10.1007--s13164-018-0400-9.pdf</v>
      </c>
      <c r="W2337" s="1287" t="s">
        <v>5018</v>
      </c>
      <c r="X2337" s="51" t="str">
        <f t="array" ref="X2337"> if(iserror(MATCH(V2337, 'File Links'!C:C, 0)), "N/A", HYPERLINK(INDEX('File Links'!B:B, MATCH(V2337, 'File Links'!C:C, 0))))</f>
        <v>https://drive.google.com/file/d/1hjI3aqifdfXjWhQAlvKCKKtvjuncAn5M/view?usp=drivesdk</v>
      </c>
      <c r="Y2337" s="65"/>
      <c r="Z2337" s="156" t="s">
        <v>158</v>
      </c>
      <c r="AA2337" s="126" t="s">
        <v>131</v>
      </c>
      <c r="AB2337" s="148" t="s">
        <v>14134</v>
      </c>
      <c r="AC2337" s="1362" t="s">
        <v>14135</v>
      </c>
      <c r="AD2337" s="156" t="s">
        <v>14136</v>
      </c>
      <c r="AE2337" s="156" t="s">
        <v>13799</v>
      </c>
      <c r="AF2337" s="153">
        <v>162.0</v>
      </c>
      <c r="AG2337" s="1090">
        <v>0.3</v>
      </c>
      <c r="AH2337" s="1112" t="s">
        <v>264</v>
      </c>
      <c r="AI2337" s="2069" t="s">
        <v>14137</v>
      </c>
      <c r="AJ2337" s="126">
        <v>0.001</v>
      </c>
      <c r="AK2337" s="126" t="s">
        <v>128</v>
      </c>
      <c r="AL2337" s="126" t="s">
        <v>179</v>
      </c>
      <c r="AM2337" s="126" t="s">
        <v>130</v>
      </c>
      <c r="AN2337" s="1362" t="s">
        <v>131</v>
      </c>
      <c r="AO2337" s="153">
        <v>302.0</v>
      </c>
      <c r="AP2337" s="153">
        <v>0.26</v>
      </c>
      <c r="AQ2337" s="156" t="s">
        <v>264</v>
      </c>
      <c r="AR2337" s="156" t="s">
        <v>5017</v>
      </c>
      <c r="AS2337" s="153">
        <v>0.001</v>
      </c>
      <c r="AT2337" s="156" t="s">
        <v>128</v>
      </c>
      <c r="AU2337" s="156" t="s">
        <v>179</v>
      </c>
      <c r="AV2337" s="156" t="s">
        <v>130</v>
      </c>
      <c r="AW2337" s="307" t="s">
        <v>14138</v>
      </c>
      <c r="AX2337" s="156" t="s">
        <v>136</v>
      </c>
      <c r="AZ2337" s="152" t="s">
        <v>13544</v>
      </c>
    </row>
    <row r="2338">
      <c r="A2338" s="41">
        <v>2338.0</v>
      </c>
      <c r="B2338" s="42" t="s">
        <v>107</v>
      </c>
      <c r="C2338" s="59" t="s">
        <v>108</v>
      </c>
      <c r="D2338" s="59" t="s">
        <v>241</v>
      </c>
      <c r="F2338" s="1283" t="s">
        <v>14127</v>
      </c>
      <c r="G2338" s="156" t="s">
        <v>14128</v>
      </c>
      <c r="H2338" s="1284" t="s">
        <v>242</v>
      </c>
      <c r="I2338" s="149">
        <v>45331.0</v>
      </c>
      <c r="J2338" s="150">
        <v>45727.0</v>
      </c>
      <c r="K2338" s="151" t="s">
        <v>14139</v>
      </c>
      <c r="L2338" s="65"/>
      <c r="M2338" s="156" t="s">
        <v>14140</v>
      </c>
      <c r="N2338" s="156" t="s">
        <v>14132</v>
      </c>
      <c r="O2338" s="126">
        <v>1.0</v>
      </c>
      <c r="P2338" s="156" t="s">
        <v>14141</v>
      </c>
      <c r="Q2338" s="49" t="str">
        <f t="array" ref="Q2338"> if(iserror(MATCH(V2338, 'File Links'!C:C, 0)), "N/A", HYPERLINK(INDEX('File Links'!B:B, MATCH(P2338, 'File Links'!C:C, 0))))</f>
        <v>https://drive.google.com/file/d/1zG4Fc_IEv6joOTyPj0JeBdLMNt-6vqsC/view?usp=drivesdk</v>
      </c>
      <c r="R2338" s="2020" t="s">
        <v>5015</v>
      </c>
      <c r="S2338" s="156" t="s">
        <v>5016</v>
      </c>
      <c r="T2338" s="1999" t="s">
        <v>14133</v>
      </c>
      <c r="U2338" s="1362">
        <v>38.0</v>
      </c>
      <c r="V2338" s="156" t="str">
        <f t="shared" si="125"/>
        <v>10.1007--s13164-018-0400-9.pdf</v>
      </c>
      <c r="W2338" s="1287" t="s">
        <v>5018</v>
      </c>
      <c r="X2338" s="51" t="str">
        <f t="array" ref="X2338"> if(iserror(MATCH(V2338, 'File Links'!C:C, 0)), "N/A", HYPERLINK(INDEX('File Links'!B:B, MATCH(V2338, 'File Links'!C:C, 0))))</f>
        <v>https://drive.google.com/file/d/1hjI3aqifdfXjWhQAlvKCKKtvjuncAn5M/view?usp=drivesdk</v>
      </c>
      <c r="Y2338" s="65"/>
      <c r="Z2338" s="156" t="s">
        <v>158</v>
      </c>
      <c r="AA2338" s="126" t="s">
        <v>131</v>
      </c>
      <c r="AB2338" s="148" t="s">
        <v>14142</v>
      </c>
      <c r="AC2338" s="1362" t="s">
        <v>14135</v>
      </c>
      <c r="AD2338" s="156" t="s">
        <v>14143</v>
      </c>
      <c r="AE2338" s="156" t="s">
        <v>14144</v>
      </c>
      <c r="AF2338" s="153">
        <v>162.0</v>
      </c>
      <c r="AG2338" s="153">
        <v>0.3</v>
      </c>
      <c r="AH2338" s="156" t="s">
        <v>264</v>
      </c>
      <c r="AI2338" s="2051" t="s">
        <v>14137</v>
      </c>
      <c r="AJ2338" s="376">
        <v>0.001</v>
      </c>
      <c r="AK2338" s="54" t="s">
        <v>128</v>
      </c>
      <c r="AL2338" s="156" t="s">
        <v>179</v>
      </c>
      <c r="AM2338" s="1283" t="s">
        <v>130</v>
      </c>
      <c r="AN2338" s="1362" t="s">
        <v>131</v>
      </c>
      <c r="AO2338" s="153">
        <v>302.0</v>
      </c>
      <c r="AP2338" s="153">
        <v>0.26</v>
      </c>
      <c r="AQ2338" s="156" t="s">
        <v>264</v>
      </c>
      <c r="AR2338" s="156" t="s">
        <v>14145</v>
      </c>
      <c r="AS2338" s="153">
        <v>0.001</v>
      </c>
      <c r="AT2338" s="156" t="s">
        <v>128</v>
      </c>
      <c r="AU2338" s="156" t="s">
        <v>179</v>
      </c>
      <c r="AV2338" s="151" t="s">
        <v>130</v>
      </c>
      <c r="AW2338" s="1381" t="s">
        <v>14138</v>
      </c>
      <c r="AX2338" s="151" t="s">
        <v>136</v>
      </c>
      <c r="AZ2338" s="152" t="s">
        <v>13544</v>
      </c>
    </row>
    <row r="2339">
      <c r="A2339" s="41">
        <v>2339.0</v>
      </c>
      <c r="B2339" s="151" t="s">
        <v>145</v>
      </c>
      <c r="C2339" s="59" t="s">
        <v>108</v>
      </c>
      <c r="D2339" s="59" t="s">
        <v>1263</v>
      </c>
      <c r="F2339" s="58" t="s">
        <v>14127</v>
      </c>
      <c r="G2339" s="148" t="s">
        <v>14146</v>
      </c>
      <c r="H2339" s="1284" t="s">
        <v>5011</v>
      </c>
      <c r="I2339" s="149">
        <v>45675.0</v>
      </c>
      <c r="J2339" s="149">
        <v>45691.0</v>
      </c>
      <c r="K2339" s="677" t="s">
        <v>14129</v>
      </c>
      <c r="L2339" s="65" t="s">
        <v>13608</v>
      </c>
      <c r="M2339" s="156" t="s">
        <v>14131</v>
      </c>
      <c r="N2339" s="156" t="s">
        <v>14132</v>
      </c>
      <c r="O2339" s="126">
        <v>1.0</v>
      </c>
      <c r="P2339" s="156" t="str">
        <f t="shared" ref="P2339:P2340" si="134">SUBSTITUTE(LOWER(N2339), "/", "--") &amp;  ".pdf"</f>
        <v>10.1080--09515089.2014.894431.pdf</v>
      </c>
      <c r="Q2339" s="49" t="str">
        <f t="array" ref="Q2339"> if(iserror(MATCH(V2339, 'File Links'!C:C, 0)), "N/A", HYPERLINK(INDEX('File Links'!B:B, MATCH(P2339, 'File Links'!C:C, 0))))</f>
        <v>https://drive.google.com/file/d/1zG4Fc_IEv6joOTyPj0JeBdLMNt-6vqsC/view?usp=drivesdk</v>
      </c>
      <c r="R2339" s="2020" t="s">
        <v>5015</v>
      </c>
      <c r="S2339" s="307" t="s">
        <v>5016</v>
      </c>
      <c r="T2339" s="307" t="s">
        <v>5017</v>
      </c>
      <c r="U2339" s="153">
        <v>38.0</v>
      </c>
      <c r="V2339" s="156" t="str">
        <f t="shared" si="125"/>
        <v>10.1007--s13164-018-0400-9.pdf</v>
      </c>
      <c r="W2339" s="1287" t="s">
        <v>5018</v>
      </c>
      <c r="X2339" s="51" t="str">
        <f t="array" ref="X2339"> if(iserror(MATCH(V2339, 'File Links'!C:C, 0)), "N/A", HYPERLINK(INDEX('File Links'!B:B, MATCH(V2339, 'File Links'!C:C, 0))))</f>
        <v>https://drive.google.com/file/d/1hjI3aqifdfXjWhQAlvKCKKtvjuncAn5M/view?usp=drivesdk</v>
      </c>
      <c r="Y2339" s="65"/>
      <c r="Z2339" s="156" t="s">
        <v>158</v>
      </c>
      <c r="AA2339" s="126" t="s">
        <v>131</v>
      </c>
      <c r="AB2339" s="156" t="s">
        <v>14147</v>
      </c>
      <c r="AC2339" s="1362" t="s">
        <v>14135</v>
      </c>
      <c r="AD2339" s="156" t="s">
        <v>14148</v>
      </c>
      <c r="AE2339" s="156" t="s">
        <v>13799</v>
      </c>
      <c r="AF2339" s="153">
        <v>169.0</v>
      </c>
      <c r="AG2339" s="861">
        <v>3296.0</v>
      </c>
      <c r="AH2339" s="156" t="s">
        <v>715</v>
      </c>
      <c r="AI2339" s="336" t="s">
        <v>621</v>
      </c>
      <c r="AJ2339" s="126" t="s">
        <v>131</v>
      </c>
      <c r="AK2339" s="126" t="s">
        <v>131</v>
      </c>
      <c r="AL2339" s="156" t="s">
        <v>179</v>
      </c>
      <c r="AM2339" s="126" t="s">
        <v>130</v>
      </c>
      <c r="AN2339" s="126" t="s">
        <v>131</v>
      </c>
      <c r="AO2339" s="153">
        <v>304.0</v>
      </c>
      <c r="AP2339" s="148" t="s">
        <v>14149</v>
      </c>
      <c r="AQ2339" s="156" t="s">
        <v>127</v>
      </c>
      <c r="AR2339" s="156" t="s">
        <v>14150</v>
      </c>
      <c r="AS2339" s="153">
        <v>0.001</v>
      </c>
      <c r="AT2339" s="156" t="s">
        <v>128</v>
      </c>
      <c r="AU2339" s="156" t="s">
        <v>179</v>
      </c>
      <c r="AV2339" s="156" t="s">
        <v>130</v>
      </c>
      <c r="AW2339" s="307" t="s">
        <v>14138</v>
      </c>
      <c r="AX2339" s="156" t="s">
        <v>136</v>
      </c>
      <c r="AZ2339" s="151" t="s">
        <v>242</v>
      </c>
    </row>
    <row r="2340">
      <c r="A2340" s="41">
        <v>2340.0</v>
      </c>
      <c r="B2340" s="126" t="s">
        <v>145</v>
      </c>
      <c r="C2340" s="59" t="s">
        <v>108</v>
      </c>
      <c r="D2340" s="59" t="s">
        <v>1263</v>
      </c>
      <c r="F2340" s="2019" t="s">
        <v>14151</v>
      </c>
      <c r="G2340" s="156" t="s">
        <v>14152</v>
      </c>
      <c r="H2340" s="1284" t="s">
        <v>5011</v>
      </c>
      <c r="I2340" s="149">
        <v>45675.0</v>
      </c>
      <c r="J2340" s="150">
        <v>45727.0</v>
      </c>
      <c r="K2340" s="65"/>
      <c r="L2340" s="126" t="s">
        <v>14153</v>
      </c>
      <c r="M2340" s="156" t="s">
        <v>14154</v>
      </c>
      <c r="N2340" s="156" t="s">
        <v>14155</v>
      </c>
      <c r="O2340" s="126">
        <v>1.0</v>
      </c>
      <c r="P2340" s="156" t="str">
        <f t="shared" si="134"/>
        <v>10.1111--nous.12017.pdf</v>
      </c>
      <c r="Q2340" s="49" t="str">
        <f t="array" ref="Q2340"> if(iserror(MATCH(V2340, 'File Links'!C:C, 0)), "N/A", HYPERLINK(INDEX('File Links'!B:B, MATCH(P2340, 'File Links'!C:C, 0))))</f>
        <v>https://drive.google.com/file/d/1siDzTCg5TAqWvx1F7jfvqWF5y01jo9l6/view?usp=drivesdk</v>
      </c>
      <c r="R2340" s="2020" t="s">
        <v>5015</v>
      </c>
      <c r="S2340" s="307" t="s">
        <v>5016</v>
      </c>
      <c r="T2340" s="2056" t="s">
        <v>14156</v>
      </c>
      <c r="U2340" s="153">
        <v>39.0</v>
      </c>
      <c r="V2340" s="156" t="str">
        <f t="shared" si="125"/>
        <v>10.1007--s13164-018-0400-9.pdf</v>
      </c>
      <c r="W2340" s="1287" t="s">
        <v>5018</v>
      </c>
      <c r="X2340" s="51" t="str">
        <f t="array" ref="X2340"> if(iserror(MATCH(V2340, 'File Links'!C:C, 0)), "N/A", HYPERLINK(INDEX('File Links'!B:B, MATCH(V2340, 'File Links'!C:C, 0))))</f>
        <v>https://drive.google.com/file/d/1hjI3aqifdfXjWhQAlvKCKKtvjuncAn5M/view?usp=drivesdk</v>
      </c>
      <c r="Y2340" s="65"/>
      <c r="Z2340" s="156" t="s">
        <v>158</v>
      </c>
      <c r="AA2340" s="126" t="s">
        <v>131</v>
      </c>
      <c r="AB2340" s="156" t="s">
        <v>14157</v>
      </c>
      <c r="AC2340" s="1362" t="s">
        <v>14158</v>
      </c>
      <c r="AD2340" s="156" t="s">
        <v>14159</v>
      </c>
      <c r="AE2340" s="156" t="s">
        <v>14160</v>
      </c>
      <c r="AF2340" s="153">
        <v>264.0</v>
      </c>
      <c r="AG2340" s="156" t="s">
        <v>14161</v>
      </c>
      <c r="AH2340" s="156" t="s">
        <v>127</v>
      </c>
      <c r="AI2340" s="336" t="s">
        <v>14162</v>
      </c>
      <c r="AJ2340" s="376">
        <v>0.001</v>
      </c>
      <c r="AK2340" s="54" t="s">
        <v>128</v>
      </c>
      <c r="AL2340" s="156" t="s">
        <v>179</v>
      </c>
      <c r="AM2340" s="54" t="s">
        <v>130</v>
      </c>
      <c r="AN2340" s="1362" t="s">
        <v>131</v>
      </c>
      <c r="AO2340" s="1289">
        <v>442.0</v>
      </c>
      <c r="AP2340" s="156" t="s">
        <v>14163</v>
      </c>
      <c r="AQ2340" s="156" t="s">
        <v>127</v>
      </c>
      <c r="AR2340" s="156" t="s">
        <v>5017</v>
      </c>
      <c r="AS2340" s="153">
        <v>0.001</v>
      </c>
      <c r="AT2340" s="156" t="s">
        <v>128</v>
      </c>
      <c r="AU2340" s="156" t="s">
        <v>179</v>
      </c>
      <c r="AV2340" s="156" t="s">
        <v>130</v>
      </c>
      <c r="AW2340" s="307" t="s">
        <v>14164</v>
      </c>
      <c r="AX2340" s="156" t="s">
        <v>136</v>
      </c>
      <c r="AZ2340" s="152" t="s">
        <v>13544</v>
      </c>
    </row>
    <row r="2341">
      <c r="A2341" s="41">
        <v>2341.0</v>
      </c>
      <c r="B2341" s="42" t="s">
        <v>107</v>
      </c>
      <c r="C2341" s="59" t="s">
        <v>108</v>
      </c>
      <c r="D2341" s="59" t="s">
        <v>241</v>
      </c>
      <c r="F2341" s="2019" t="s">
        <v>14151</v>
      </c>
      <c r="G2341" s="156" t="s">
        <v>14152</v>
      </c>
      <c r="H2341" s="1284" t="s">
        <v>242</v>
      </c>
      <c r="I2341" s="149">
        <v>45331.0</v>
      </c>
      <c r="J2341" s="150">
        <v>45727.0</v>
      </c>
      <c r="K2341" s="65"/>
      <c r="L2341" s="65"/>
      <c r="M2341" s="156" t="s">
        <v>14154</v>
      </c>
      <c r="N2341" s="156" t="s">
        <v>14155</v>
      </c>
      <c r="O2341" s="126">
        <v>1.0</v>
      </c>
      <c r="P2341" s="156" t="s">
        <v>14165</v>
      </c>
      <c r="Q2341" s="49" t="str">
        <f t="array" ref="Q2341"> if(iserror(MATCH(V2341, 'File Links'!C:C, 0)), "N/A", HYPERLINK(INDEX('File Links'!B:B, MATCH(P2341, 'File Links'!C:C, 0))))</f>
        <v>https://drive.google.com/file/d/1siDzTCg5TAqWvx1F7jfvqWF5y01jo9l6/view?usp=drivesdk</v>
      </c>
      <c r="R2341" s="2020" t="s">
        <v>5015</v>
      </c>
      <c r="S2341" s="156" t="s">
        <v>5016</v>
      </c>
      <c r="T2341" s="1999" t="s">
        <v>14156</v>
      </c>
      <c r="U2341" s="1362">
        <v>39.0</v>
      </c>
      <c r="V2341" s="156" t="str">
        <f t="shared" si="125"/>
        <v>10.1007--s13164-018-0400-9.pdf</v>
      </c>
      <c r="W2341" s="1287" t="s">
        <v>5018</v>
      </c>
      <c r="X2341" s="51" t="str">
        <f t="array" ref="X2341"> if(iserror(MATCH(V2341, 'File Links'!C:C, 0)), "N/A", HYPERLINK(INDEX('File Links'!B:B, MATCH(V2341, 'File Links'!C:C, 0))))</f>
        <v>https://drive.google.com/file/d/1hjI3aqifdfXjWhQAlvKCKKtvjuncAn5M/view?usp=drivesdk</v>
      </c>
      <c r="Y2341" s="65"/>
      <c r="Z2341" s="156" t="s">
        <v>158</v>
      </c>
      <c r="AA2341" s="126" t="s">
        <v>131</v>
      </c>
      <c r="AB2341" s="1057" t="s">
        <v>14166</v>
      </c>
      <c r="AC2341" s="1362" t="s">
        <v>14158</v>
      </c>
      <c r="AD2341" s="156" t="s">
        <v>14167</v>
      </c>
      <c r="AE2341" s="156" t="s">
        <v>14168</v>
      </c>
      <c r="AF2341" s="153">
        <v>264.0</v>
      </c>
      <c r="AG2341" s="1053" t="s">
        <v>14169</v>
      </c>
      <c r="AH2341" s="116" t="s">
        <v>127</v>
      </c>
      <c r="AI2341" s="2049" t="s">
        <v>14162</v>
      </c>
      <c r="AJ2341" s="376">
        <v>0.001</v>
      </c>
      <c r="AK2341" s="54" t="s">
        <v>128</v>
      </c>
      <c r="AL2341" s="156" t="s">
        <v>179</v>
      </c>
      <c r="AM2341" s="1283" t="s">
        <v>134</v>
      </c>
      <c r="AN2341" s="1362" t="s">
        <v>131</v>
      </c>
      <c r="AO2341" s="1289">
        <v>442.0</v>
      </c>
      <c r="AP2341" s="1053" t="s">
        <v>14170</v>
      </c>
      <c r="AQ2341" s="148" t="s">
        <v>127</v>
      </c>
      <c r="AR2341" s="156"/>
      <c r="AS2341" s="153">
        <v>0.001</v>
      </c>
      <c r="AT2341" s="156" t="s">
        <v>128</v>
      </c>
      <c r="AU2341" s="156" t="s">
        <v>179</v>
      </c>
      <c r="AV2341" s="151" t="s">
        <v>134</v>
      </c>
      <c r="AW2341" s="1381" t="s">
        <v>14164</v>
      </c>
      <c r="AX2341" s="151" t="s">
        <v>136</v>
      </c>
      <c r="AZ2341" s="152" t="s">
        <v>13544</v>
      </c>
    </row>
    <row r="2342">
      <c r="A2342" s="41">
        <v>2342.0</v>
      </c>
      <c r="B2342" s="65" t="s">
        <v>145</v>
      </c>
      <c r="C2342" s="59" t="s">
        <v>108</v>
      </c>
      <c r="D2342" s="59" t="s">
        <v>241</v>
      </c>
      <c r="F2342" s="58" t="s">
        <v>14151</v>
      </c>
      <c r="G2342" s="156" t="s">
        <v>14171</v>
      </c>
      <c r="H2342" s="1284" t="s">
        <v>242</v>
      </c>
      <c r="I2342" s="149">
        <v>45331.0</v>
      </c>
      <c r="J2342" s="149">
        <v>45691.0</v>
      </c>
      <c r="K2342" s="65"/>
      <c r="L2342" s="65" t="s">
        <v>13608</v>
      </c>
      <c r="M2342" s="156" t="s">
        <v>14154</v>
      </c>
      <c r="N2342" s="156" t="s">
        <v>14155</v>
      </c>
      <c r="O2342" s="126">
        <v>1.0</v>
      </c>
      <c r="P2342" s="156" t="s">
        <v>14165</v>
      </c>
      <c r="Q2342" s="49" t="str">
        <f t="array" ref="Q2342"> if(iserror(MATCH(V2342, 'File Links'!C:C, 0)), "N/A", HYPERLINK(INDEX('File Links'!B:B, MATCH(P2342, 'File Links'!C:C, 0))))</f>
        <v>https://drive.google.com/file/d/1siDzTCg5TAqWvx1F7jfvqWF5y01jo9l6/view?usp=drivesdk</v>
      </c>
      <c r="R2342" s="2020" t="s">
        <v>5015</v>
      </c>
      <c r="S2342" s="677" t="s">
        <v>5016</v>
      </c>
      <c r="T2342" s="2070" t="s">
        <v>5017</v>
      </c>
      <c r="U2342" s="153">
        <v>39.0</v>
      </c>
      <c r="V2342" s="156" t="str">
        <f t="shared" si="125"/>
        <v>10.1007--s13164-018-0400-9.pdf</v>
      </c>
      <c r="W2342" s="1287" t="s">
        <v>5018</v>
      </c>
      <c r="X2342" s="51" t="str">
        <f t="array" ref="X2342"> if(iserror(MATCH(V2342, 'File Links'!C:C, 0)), "N/A", HYPERLINK(INDEX('File Links'!B:B, MATCH(V2342, 'File Links'!C:C, 0))))</f>
        <v>https://drive.google.com/file/d/1hjI3aqifdfXjWhQAlvKCKKtvjuncAn5M/view?usp=drivesdk</v>
      </c>
      <c r="Y2342" s="65"/>
      <c r="Z2342" s="156" t="s">
        <v>158</v>
      </c>
      <c r="AA2342" s="126" t="s">
        <v>131</v>
      </c>
      <c r="AB2342" s="156" t="s">
        <v>14172</v>
      </c>
      <c r="AC2342" s="65"/>
      <c r="AD2342" s="156" t="s">
        <v>14173</v>
      </c>
      <c r="AE2342" s="156" t="s">
        <v>164</v>
      </c>
      <c r="AF2342" s="153">
        <v>264.0</v>
      </c>
      <c r="AG2342" s="158" t="s">
        <v>14174</v>
      </c>
      <c r="AH2342" s="116" t="s">
        <v>127</v>
      </c>
      <c r="AI2342" s="148" t="s">
        <v>14162</v>
      </c>
      <c r="AJ2342" s="376">
        <v>0.24</v>
      </c>
      <c r="AK2342" s="54" t="s">
        <v>165</v>
      </c>
      <c r="AL2342" s="156" t="s">
        <v>179</v>
      </c>
      <c r="AM2342" s="54" t="s">
        <v>130</v>
      </c>
      <c r="AN2342" s="65"/>
      <c r="AO2342" s="153">
        <v>442.0</v>
      </c>
      <c r="AP2342" s="156" t="s">
        <v>14175</v>
      </c>
      <c r="AQ2342" s="148" t="s">
        <v>127</v>
      </c>
      <c r="AS2342" s="153">
        <v>0.64</v>
      </c>
      <c r="AT2342" s="156" t="s">
        <v>165</v>
      </c>
      <c r="AU2342" s="156" t="s">
        <v>179</v>
      </c>
      <c r="AV2342" s="156" t="s">
        <v>130</v>
      </c>
      <c r="AW2342" s="677" t="s">
        <v>14176</v>
      </c>
      <c r="AX2342" s="156" t="s">
        <v>136</v>
      </c>
      <c r="AZ2342" s="151" t="s">
        <v>242</v>
      </c>
    </row>
    <row r="2343">
      <c r="A2343" s="41">
        <v>2343.0</v>
      </c>
      <c r="B2343" s="65" t="s">
        <v>107</v>
      </c>
      <c r="C2343" s="59" t="s">
        <v>108</v>
      </c>
      <c r="D2343" s="59" t="s">
        <v>1263</v>
      </c>
      <c r="F2343" s="58" t="s">
        <v>14151</v>
      </c>
      <c r="G2343" s="148" t="s">
        <v>14171</v>
      </c>
      <c r="H2343" s="1284" t="s">
        <v>5011</v>
      </c>
      <c r="I2343" s="149">
        <v>45675.0</v>
      </c>
      <c r="J2343" s="149">
        <v>45691.0</v>
      </c>
      <c r="K2343" s="65"/>
      <c r="L2343" s="65" t="s">
        <v>13608</v>
      </c>
      <c r="M2343" s="156" t="s">
        <v>14154</v>
      </c>
      <c r="N2343" s="156" t="s">
        <v>14155</v>
      </c>
      <c r="O2343" s="126">
        <v>1.0</v>
      </c>
      <c r="P2343" s="156" t="s">
        <v>14165</v>
      </c>
      <c r="Q2343" s="49" t="str">
        <f t="array" ref="Q2343"> if(iserror(MATCH(V2343, 'File Links'!C:C, 0)), "N/A", HYPERLINK(INDEX('File Links'!B:B, MATCH(P2343, 'File Links'!C:C, 0))))</f>
        <v>https://drive.google.com/file/d/1siDzTCg5TAqWvx1F7jfvqWF5y01jo9l6/view?usp=drivesdk</v>
      </c>
      <c r="R2343" s="2020" t="s">
        <v>5015</v>
      </c>
      <c r="S2343" s="2070" t="s">
        <v>5016</v>
      </c>
      <c r="T2343" s="2070" t="s">
        <v>5017</v>
      </c>
      <c r="U2343" s="153">
        <v>39.0</v>
      </c>
      <c r="V2343" s="156" t="str">
        <f t="shared" si="125"/>
        <v>10.1007--s13164-018-0400-9.pdf</v>
      </c>
      <c r="W2343" s="1287" t="s">
        <v>5018</v>
      </c>
      <c r="X2343" s="51" t="str">
        <f t="array" ref="X2343"> if(iserror(MATCH(V2343, 'File Links'!C:C, 0)), "N/A", HYPERLINK(INDEX('File Links'!B:B, MATCH(V2343, 'File Links'!C:C, 0))))</f>
        <v>https://drive.google.com/file/d/1hjI3aqifdfXjWhQAlvKCKKtvjuncAn5M/view?usp=drivesdk</v>
      </c>
      <c r="Y2343" s="65"/>
      <c r="Z2343" s="156" t="s">
        <v>158</v>
      </c>
      <c r="AA2343" s="126" t="s">
        <v>131</v>
      </c>
      <c r="AB2343" s="156" t="s">
        <v>14157</v>
      </c>
      <c r="AC2343" s="65"/>
      <c r="AD2343" s="156" t="s">
        <v>14177</v>
      </c>
      <c r="AE2343" s="156" t="s">
        <v>14160</v>
      </c>
      <c r="AF2343" s="153">
        <v>264.0</v>
      </c>
      <c r="AG2343" s="156" t="s">
        <v>14178</v>
      </c>
      <c r="AH2343" s="156" t="s">
        <v>127</v>
      </c>
      <c r="AI2343" s="336" t="s">
        <v>14162</v>
      </c>
      <c r="AJ2343" s="376">
        <v>0.24</v>
      </c>
      <c r="AK2343" s="54" t="s">
        <v>165</v>
      </c>
      <c r="AL2343" s="156" t="s">
        <v>179</v>
      </c>
      <c r="AM2343" s="54" t="s">
        <v>130</v>
      </c>
      <c r="AN2343" s="65"/>
      <c r="AO2343" s="153">
        <v>442.0</v>
      </c>
      <c r="AP2343" s="156" t="s">
        <v>14175</v>
      </c>
      <c r="AQ2343" s="156" t="s">
        <v>127</v>
      </c>
      <c r="AR2343" s="156" t="s">
        <v>14179</v>
      </c>
      <c r="AS2343" s="153">
        <v>0.64</v>
      </c>
      <c r="AT2343" s="156" t="s">
        <v>165</v>
      </c>
      <c r="AU2343" s="156" t="s">
        <v>179</v>
      </c>
      <c r="AV2343" s="156" t="s">
        <v>130</v>
      </c>
      <c r="AW2343" s="307" t="s">
        <v>14164</v>
      </c>
      <c r="AX2343" s="156" t="s">
        <v>136</v>
      </c>
      <c r="AZ2343" s="151" t="s">
        <v>242</v>
      </c>
    </row>
    <row r="2344">
      <c r="A2344" s="41">
        <v>2344.0</v>
      </c>
      <c r="B2344" s="151" t="s">
        <v>145</v>
      </c>
      <c r="C2344" s="59" t="s">
        <v>108</v>
      </c>
      <c r="D2344" s="59" t="s">
        <v>241</v>
      </c>
      <c r="F2344" s="58" t="s">
        <v>14151</v>
      </c>
      <c r="G2344" s="156" t="s">
        <v>14180</v>
      </c>
      <c r="H2344" s="1284" t="s">
        <v>242</v>
      </c>
      <c r="I2344" s="149">
        <v>45331.0</v>
      </c>
      <c r="J2344" s="149">
        <v>45691.0</v>
      </c>
      <c r="K2344" s="65"/>
      <c r="L2344" s="65" t="s">
        <v>13608</v>
      </c>
      <c r="M2344" s="156" t="s">
        <v>14154</v>
      </c>
      <c r="N2344" s="156" t="s">
        <v>14155</v>
      </c>
      <c r="O2344" s="126">
        <v>1.0</v>
      </c>
      <c r="P2344" s="156" t="s">
        <v>14165</v>
      </c>
      <c r="Q2344" s="49" t="str">
        <f t="array" ref="Q2344"> if(iserror(MATCH(V2344, 'File Links'!C:C, 0)), "N/A", HYPERLINK(INDEX('File Links'!B:B, MATCH(P2344, 'File Links'!C:C, 0))))</f>
        <v>https://drive.google.com/file/d/1siDzTCg5TAqWvx1F7jfvqWF5y01jo9l6/view?usp=drivesdk</v>
      </c>
      <c r="R2344" s="2020" t="s">
        <v>5015</v>
      </c>
      <c r="S2344" s="2070" t="s">
        <v>5016</v>
      </c>
      <c r="T2344" s="2070" t="s">
        <v>5017</v>
      </c>
      <c r="U2344" s="153">
        <v>39.0</v>
      </c>
      <c r="V2344" s="156" t="str">
        <f t="shared" si="125"/>
        <v>10.1007--s13164-018-0400-9.pdf</v>
      </c>
      <c r="W2344" s="1287" t="s">
        <v>5018</v>
      </c>
      <c r="X2344" s="51" t="str">
        <f t="array" ref="X2344"> if(iserror(MATCH(V2344, 'File Links'!C:C, 0)), "N/A", HYPERLINK(INDEX('File Links'!B:B, MATCH(V2344, 'File Links'!C:C, 0))))</f>
        <v>https://drive.google.com/file/d/1hjI3aqifdfXjWhQAlvKCKKtvjuncAn5M/view?usp=drivesdk</v>
      </c>
      <c r="Y2344" s="65"/>
      <c r="Z2344" s="156" t="s">
        <v>158</v>
      </c>
      <c r="AA2344" s="126" t="s">
        <v>131</v>
      </c>
      <c r="AB2344" s="156" t="s">
        <v>14181</v>
      </c>
      <c r="AC2344" s="65"/>
      <c r="AD2344" s="156" t="s">
        <v>14173</v>
      </c>
      <c r="AE2344" s="156" t="s">
        <v>164</v>
      </c>
      <c r="AF2344" s="153">
        <v>264.0</v>
      </c>
      <c r="AG2344" s="158" t="s">
        <v>14182</v>
      </c>
      <c r="AH2344" s="116" t="s">
        <v>127</v>
      </c>
      <c r="AI2344" s="148" t="s">
        <v>14162</v>
      </c>
      <c r="AJ2344" s="376">
        <v>0.83</v>
      </c>
      <c r="AK2344" s="54" t="s">
        <v>165</v>
      </c>
      <c r="AL2344" s="156" t="s">
        <v>179</v>
      </c>
      <c r="AM2344" s="54" t="s">
        <v>130</v>
      </c>
      <c r="AN2344" s="65"/>
      <c r="AO2344" s="153">
        <v>442.0</v>
      </c>
      <c r="AP2344" s="156" t="s">
        <v>14183</v>
      </c>
      <c r="AQ2344" s="148" t="s">
        <v>127</v>
      </c>
      <c r="AS2344" s="153">
        <v>0.35</v>
      </c>
      <c r="AT2344" s="156" t="s">
        <v>165</v>
      </c>
      <c r="AU2344" s="156" t="s">
        <v>179</v>
      </c>
      <c r="AV2344" s="156" t="s">
        <v>130</v>
      </c>
      <c r="AW2344" s="677" t="s">
        <v>14184</v>
      </c>
      <c r="AX2344" s="156" t="s">
        <v>136</v>
      </c>
      <c r="AZ2344" s="151" t="s">
        <v>242</v>
      </c>
    </row>
    <row r="2345">
      <c r="A2345" s="41">
        <v>2345.0</v>
      </c>
      <c r="B2345" s="151" t="s">
        <v>107</v>
      </c>
      <c r="C2345" s="59" t="s">
        <v>108</v>
      </c>
      <c r="D2345" s="59" t="s">
        <v>1263</v>
      </c>
      <c r="F2345" s="58" t="s">
        <v>14151</v>
      </c>
      <c r="G2345" s="148" t="s">
        <v>14180</v>
      </c>
      <c r="H2345" s="1284" t="s">
        <v>5011</v>
      </c>
      <c r="I2345" s="149">
        <v>45675.0</v>
      </c>
      <c r="J2345" s="149">
        <v>45691.0</v>
      </c>
      <c r="K2345" s="65"/>
      <c r="L2345" s="65" t="s">
        <v>13608</v>
      </c>
      <c r="M2345" s="156" t="s">
        <v>14154</v>
      </c>
      <c r="N2345" s="156" t="s">
        <v>14155</v>
      </c>
      <c r="O2345" s="126">
        <v>1.0</v>
      </c>
      <c r="P2345" s="156" t="s">
        <v>14165</v>
      </c>
      <c r="Q2345" s="49" t="str">
        <f t="array" ref="Q2345"> if(iserror(MATCH(V2345, 'File Links'!C:C, 0)), "N/A", HYPERLINK(INDEX('File Links'!B:B, MATCH(P2345, 'File Links'!C:C, 0))))</f>
        <v>https://drive.google.com/file/d/1siDzTCg5TAqWvx1F7jfvqWF5y01jo9l6/view?usp=drivesdk</v>
      </c>
      <c r="R2345" s="2020" t="s">
        <v>5015</v>
      </c>
      <c r="S2345" s="2070" t="s">
        <v>5016</v>
      </c>
      <c r="T2345" s="2070" t="s">
        <v>5017</v>
      </c>
      <c r="U2345" s="153">
        <v>39.0</v>
      </c>
      <c r="V2345" s="156" t="str">
        <f t="shared" si="125"/>
        <v>10.1007--s13164-018-0400-9.pdf</v>
      </c>
      <c r="W2345" s="1287" t="s">
        <v>5018</v>
      </c>
      <c r="X2345" s="51" t="str">
        <f t="array" ref="X2345"> if(iserror(MATCH(V2345, 'File Links'!C:C, 0)), "N/A", HYPERLINK(INDEX('File Links'!B:B, MATCH(V2345, 'File Links'!C:C, 0))))</f>
        <v>https://drive.google.com/file/d/1hjI3aqifdfXjWhQAlvKCKKtvjuncAn5M/view?usp=drivesdk</v>
      </c>
      <c r="Y2345" s="65"/>
      <c r="Z2345" s="156" t="s">
        <v>158</v>
      </c>
      <c r="AA2345" s="126" t="s">
        <v>131</v>
      </c>
      <c r="AB2345" s="156" t="s">
        <v>14157</v>
      </c>
      <c r="AC2345" s="65"/>
      <c r="AD2345" s="156" t="s">
        <v>14185</v>
      </c>
      <c r="AE2345" s="156" t="s">
        <v>14160</v>
      </c>
      <c r="AF2345" s="153">
        <v>264.0</v>
      </c>
      <c r="AG2345" s="156" t="s">
        <v>14186</v>
      </c>
      <c r="AH2345" s="156" t="s">
        <v>127</v>
      </c>
      <c r="AI2345" s="336" t="s">
        <v>14162</v>
      </c>
      <c r="AJ2345" s="376">
        <v>0.83</v>
      </c>
      <c r="AK2345" s="54" t="s">
        <v>165</v>
      </c>
      <c r="AL2345" s="156" t="s">
        <v>179</v>
      </c>
      <c r="AM2345" s="54" t="s">
        <v>130</v>
      </c>
      <c r="AN2345" s="65"/>
      <c r="AO2345" s="153">
        <v>442.0</v>
      </c>
      <c r="AP2345" s="156" t="s">
        <v>14183</v>
      </c>
      <c r="AQ2345" s="156" t="s">
        <v>127</v>
      </c>
      <c r="AR2345" s="156" t="s">
        <v>14179</v>
      </c>
      <c r="AS2345" s="153">
        <v>0.35</v>
      </c>
      <c r="AT2345" s="156" t="s">
        <v>165</v>
      </c>
      <c r="AU2345" s="156" t="s">
        <v>179</v>
      </c>
      <c r="AV2345" s="156" t="s">
        <v>130</v>
      </c>
      <c r="AW2345" s="307" t="s">
        <v>14164</v>
      </c>
      <c r="AX2345" s="156" t="s">
        <v>136</v>
      </c>
      <c r="AZ2345" s="151" t="s">
        <v>242</v>
      </c>
    </row>
    <row r="2346">
      <c r="A2346" s="41">
        <v>2346.0</v>
      </c>
      <c r="B2346" s="126" t="s">
        <v>145</v>
      </c>
      <c r="C2346" s="59" t="s">
        <v>108</v>
      </c>
      <c r="D2346" s="59" t="s">
        <v>1263</v>
      </c>
      <c r="F2346" s="1283" t="s">
        <v>14187</v>
      </c>
      <c r="G2346" s="156" t="s">
        <v>14188</v>
      </c>
      <c r="H2346" s="1284" t="s">
        <v>5011</v>
      </c>
      <c r="I2346" s="149">
        <v>45667.0</v>
      </c>
      <c r="J2346" s="150">
        <v>45727.0</v>
      </c>
      <c r="K2346" s="156" t="s">
        <v>14189</v>
      </c>
      <c r="L2346" s="126" t="s">
        <v>14190</v>
      </c>
      <c r="M2346" s="156" t="s">
        <v>14191</v>
      </c>
      <c r="N2346" s="156" t="s">
        <v>14192</v>
      </c>
      <c r="O2346" s="126">
        <v>1.0</v>
      </c>
      <c r="P2346" s="156" t="str">
        <f>SUBSTITUTE(LOWER(N2346), "/", "--") &amp;  ".pdf"</f>
        <v>10.1111--j.1467-8284.2004.00481.x.pdf</v>
      </c>
      <c r="Q2346" s="49" t="str">
        <f t="array" ref="Q2346"> if(iserror(MATCH(V2346, 'File Links'!C:C, 0)), "N/A", HYPERLINK(INDEX('File Links'!B:B, MATCH(P2346, 'File Links'!C:C, 0))))</f>
        <v>https://drive.google.com/file/d/1KEBKYl19fq4HtJxW3DL6KczxjYJ94hp2/view?usp=drivesdk</v>
      </c>
      <c r="R2346" s="2020" t="s">
        <v>5015</v>
      </c>
      <c r="S2346" s="307" t="s">
        <v>5016</v>
      </c>
      <c r="T2346" s="2056" t="s">
        <v>14193</v>
      </c>
      <c r="U2346" s="153">
        <v>4.0</v>
      </c>
      <c r="V2346" s="156" t="str">
        <f t="shared" si="125"/>
        <v>10.1007--s13164-018-0400-9.pdf</v>
      </c>
      <c r="W2346" s="1287" t="s">
        <v>5018</v>
      </c>
      <c r="X2346" s="51" t="str">
        <f t="array" ref="X2346"> if(iserror(MATCH(V2346, 'File Links'!C:C, 0)), "N/A", HYPERLINK(INDEX('File Links'!B:B, MATCH(V2346, 'File Links'!C:C, 0))))</f>
        <v>https://drive.google.com/file/d/1hjI3aqifdfXjWhQAlvKCKKtvjuncAn5M/view?usp=drivesdk</v>
      </c>
      <c r="Y2346" s="65"/>
      <c r="Z2346" s="156" t="s">
        <v>158</v>
      </c>
      <c r="AA2346" s="126" t="s">
        <v>131</v>
      </c>
      <c r="AB2346" s="148" t="s">
        <v>14194</v>
      </c>
      <c r="AC2346" s="1362" t="s">
        <v>14195</v>
      </c>
      <c r="AD2346" s="156" t="s">
        <v>14196</v>
      </c>
      <c r="AE2346" s="153">
        <v>4.0</v>
      </c>
      <c r="AF2346" s="153">
        <v>77.0</v>
      </c>
      <c r="AG2346" s="156" t="s">
        <v>14197</v>
      </c>
      <c r="AH2346" s="156" t="s">
        <v>127</v>
      </c>
      <c r="AI2346" s="336" t="s">
        <v>843</v>
      </c>
      <c r="AJ2346" s="376">
        <v>0.01</v>
      </c>
      <c r="AK2346" s="54" t="s">
        <v>165</v>
      </c>
      <c r="AL2346" s="156" t="s">
        <v>179</v>
      </c>
      <c r="AM2346" s="54" t="s">
        <v>130</v>
      </c>
      <c r="AN2346" s="126" t="s">
        <v>131</v>
      </c>
      <c r="AO2346" s="1289">
        <v>127.0</v>
      </c>
      <c r="AP2346" s="1289">
        <v>1.27</v>
      </c>
      <c r="AQ2346" s="156" t="s">
        <v>166</v>
      </c>
      <c r="AR2346" s="2056" t="s">
        <v>14193</v>
      </c>
      <c r="AS2346" s="153">
        <v>0.001</v>
      </c>
      <c r="AT2346" s="156" t="s">
        <v>128</v>
      </c>
      <c r="AU2346" s="156" t="s">
        <v>179</v>
      </c>
      <c r="AV2346" s="156" t="s">
        <v>130</v>
      </c>
      <c r="AW2346" s="1381" t="s">
        <v>14198</v>
      </c>
      <c r="AX2346" s="156" t="s">
        <v>136</v>
      </c>
      <c r="AZ2346" s="152" t="s">
        <v>13544</v>
      </c>
    </row>
    <row r="2347">
      <c r="A2347" s="41">
        <v>2347.0</v>
      </c>
      <c r="B2347" s="42" t="s">
        <v>107</v>
      </c>
      <c r="C2347" s="59" t="s">
        <v>108</v>
      </c>
      <c r="D2347" s="59" t="s">
        <v>241</v>
      </c>
      <c r="F2347" s="1283" t="s">
        <v>14187</v>
      </c>
      <c r="G2347" s="156" t="s">
        <v>14188</v>
      </c>
      <c r="H2347" s="1284" t="s">
        <v>242</v>
      </c>
      <c r="I2347" s="149">
        <v>45331.0</v>
      </c>
      <c r="J2347" s="150">
        <v>45727.0</v>
      </c>
      <c r="K2347" s="156" t="s">
        <v>14199</v>
      </c>
      <c r="L2347" s="156" t="s">
        <v>14200</v>
      </c>
      <c r="M2347" s="156" t="s">
        <v>14191</v>
      </c>
      <c r="N2347" s="156" t="s">
        <v>14192</v>
      </c>
      <c r="O2347" s="126">
        <v>1.0</v>
      </c>
      <c r="P2347" s="156" t="s">
        <v>14201</v>
      </c>
      <c r="Q2347" s="49" t="str">
        <f t="array" ref="Q2347"> if(iserror(MATCH(V2347, 'File Links'!C:C, 0)), "N/A", HYPERLINK(INDEX('File Links'!B:B, MATCH(P2347, 'File Links'!C:C, 0))))</f>
        <v>https://drive.google.com/file/d/1KEBKYl19fq4HtJxW3DL6KczxjYJ94hp2/view?usp=drivesdk</v>
      </c>
      <c r="R2347" s="2020" t="s">
        <v>5015</v>
      </c>
      <c r="S2347" s="156" t="s">
        <v>5016</v>
      </c>
      <c r="T2347" s="1999" t="s">
        <v>14193</v>
      </c>
      <c r="U2347" s="1362">
        <v>4.0</v>
      </c>
      <c r="V2347" s="156" t="str">
        <f t="shared" si="125"/>
        <v>10.1007--s13164-018-0400-9.pdf</v>
      </c>
      <c r="W2347" s="1287" t="s">
        <v>5018</v>
      </c>
      <c r="X2347" s="51" t="str">
        <f t="array" ref="X2347"> if(iserror(MATCH(V2347, 'File Links'!C:C, 0)), "N/A", HYPERLINK(INDEX('File Links'!B:B, MATCH(V2347, 'File Links'!C:C, 0))))</f>
        <v>https://drive.google.com/file/d/1hjI3aqifdfXjWhQAlvKCKKtvjuncAn5M/view?usp=drivesdk</v>
      </c>
      <c r="Y2347" s="65"/>
      <c r="Z2347" s="156" t="s">
        <v>158</v>
      </c>
      <c r="AA2347" s="126" t="s">
        <v>131</v>
      </c>
      <c r="AB2347" s="148" t="s">
        <v>14202</v>
      </c>
      <c r="AC2347" s="1362" t="s">
        <v>14195</v>
      </c>
      <c r="AD2347" s="156" t="s">
        <v>14203</v>
      </c>
      <c r="AE2347" s="156" t="s">
        <v>489</v>
      </c>
      <c r="AF2347" s="153">
        <v>77.0</v>
      </c>
      <c r="AG2347" s="156" t="s">
        <v>14197</v>
      </c>
      <c r="AH2347" s="156" t="s">
        <v>127</v>
      </c>
      <c r="AI2347" s="2021" t="s">
        <v>14204</v>
      </c>
      <c r="AJ2347" s="376">
        <v>0.01</v>
      </c>
      <c r="AK2347" s="54" t="s">
        <v>165</v>
      </c>
      <c r="AL2347" s="156" t="s">
        <v>179</v>
      </c>
      <c r="AM2347" s="1283" t="s">
        <v>130</v>
      </c>
      <c r="AN2347" s="1362" t="s">
        <v>131</v>
      </c>
      <c r="AO2347" s="1289">
        <v>127.0</v>
      </c>
      <c r="AP2347" s="153">
        <v>1.27</v>
      </c>
      <c r="AQ2347" s="156" t="s">
        <v>166</v>
      </c>
      <c r="AR2347" s="156" t="s">
        <v>14205</v>
      </c>
      <c r="AS2347" s="153">
        <v>0.001</v>
      </c>
      <c r="AT2347" s="156" t="s">
        <v>128</v>
      </c>
      <c r="AU2347" s="156" t="s">
        <v>179</v>
      </c>
      <c r="AV2347" s="151" t="s">
        <v>130</v>
      </c>
      <c r="AW2347" s="307" t="s">
        <v>14198</v>
      </c>
      <c r="AX2347" s="151" t="s">
        <v>136</v>
      </c>
      <c r="AZ2347" s="152" t="s">
        <v>13544</v>
      </c>
    </row>
    <row r="2348">
      <c r="A2348" s="41">
        <v>2348.0</v>
      </c>
      <c r="B2348" s="126" t="s">
        <v>145</v>
      </c>
      <c r="C2348" s="59" t="s">
        <v>108</v>
      </c>
      <c r="D2348" s="59" t="s">
        <v>1263</v>
      </c>
      <c r="F2348" s="1283" t="s">
        <v>14206</v>
      </c>
      <c r="G2348" s="156" t="s">
        <v>14207</v>
      </c>
      <c r="H2348" s="1284" t="s">
        <v>5011</v>
      </c>
      <c r="I2348" s="149">
        <v>45675.0</v>
      </c>
      <c r="J2348" s="149">
        <v>45691.0</v>
      </c>
      <c r="K2348" s="65"/>
      <c r="L2348" s="126" t="s">
        <v>14208</v>
      </c>
      <c r="M2348" s="156" t="s">
        <v>14209</v>
      </c>
      <c r="N2348" s="156" t="s">
        <v>14210</v>
      </c>
      <c r="O2348" s="153">
        <v>1.0</v>
      </c>
      <c r="P2348" s="156" t="str">
        <f>SUBSTITUTE(LOWER(N2348), "/", "--") &amp;  ".pdf"</f>
        <v>10.1016--j.cognition.2015.01.013.pdf</v>
      </c>
      <c r="Q2348" s="49" t="str">
        <f t="array" ref="Q2348"> if(iserror(MATCH(V2348, 'File Links'!C:C, 0)), "N/A", HYPERLINK(INDEX('File Links'!B:B, MATCH(P2348, 'File Links'!C:C, 0))))</f>
        <v>https://drive.google.com/file/d/15kuHQf8erGaSOBxt1lOz994u1DIsHk_v/view?usp=drivesdk</v>
      </c>
      <c r="R2348" s="2020" t="s">
        <v>5015</v>
      </c>
      <c r="S2348" s="307" t="s">
        <v>5016</v>
      </c>
      <c r="T2348" s="2056" t="s">
        <v>14211</v>
      </c>
      <c r="U2348" s="153">
        <v>40.0</v>
      </c>
      <c r="V2348" s="156" t="str">
        <f t="shared" si="125"/>
        <v>10.1007--s13164-018-0400-9.pdf</v>
      </c>
      <c r="W2348" s="1287" t="s">
        <v>5018</v>
      </c>
      <c r="X2348" s="51" t="str">
        <f t="array" ref="X2348"> if(iserror(MATCH(V2348, 'File Links'!C:C, 0)), "N/A", HYPERLINK(INDEX('File Links'!B:B, MATCH(V2348, 'File Links'!C:C, 0))))</f>
        <v>https://drive.google.com/file/d/1hjI3aqifdfXjWhQAlvKCKKtvjuncAn5M/view?usp=drivesdk</v>
      </c>
      <c r="Y2348" s="65"/>
      <c r="Z2348" s="156" t="s">
        <v>158</v>
      </c>
      <c r="AA2348" s="126" t="s">
        <v>131</v>
      </c>
      <c r="AB2348" s="156" t="s">
        <v>14212</v>
      </c>
      <c r="AC2348" s="1362" t="s">
        <v>14213</v>
      </c>
      <c r="AD2348" s="156" t="s">
        <v>14214</v>
      </c>
      <c r="AE2348" s="156" t="s">
        <v>14215</v>
      </c>
      <c r="AF2348" s="153">
        <v>60.0</v>
      </c>
      <c r="AG2348" s="156" t="s">
        <v>14216</v>
      </c>
      <c r="AH2348" s="156" t="s">
        <v>166</v>
      </c>
      <c r="AI2348" s="336" t="s">
        <v>133</v>
      </c>
      <c r="AJ2348" s="376">
        <v>0.031</v>
      </c>
      <c r="AK2348" s="54" t="s">
        <v>165</v>
      </c>
      <c r="AL2348" s="156" t="s">
        <v>179</v>
      </c>
      <c r="AM2348" s="54" t="s">
        <v>130</v>
      </c>
      <c r="AN2348" s="126" t="s">
        <v>131</v>
      </c>
      <c r="AO2348" s="1289">
        <v>200.0</v>
      </c>
      <c r="AP2348" s="156" t="s">
        <v>14217</v>
      </c>
      <c r="AQ2348" s="156" t="s">
        <v>166</v>
      </c>
      <c r="AR2348" s="49" t="s">
        <v>14211</v>
      </c>
      <c r="AS2348" s="153">
        <v>0.001</v>
      </c>
      <c r="AT2348" s="156" t="s">
        <v>128</v>
      </c>
      <c r="AU2348" s="156" t="s">
        <v>179</v>
      </c>
      <c r="AV2348" s="156" t="s">
        <v>130</v>
      </c>
      <c r="AW2348" s="307" t="s">
        <v>14218</v>
      </c>
      <c r="AX2348" s="156" t="s">
        <v>136</v>
      </c>
      <c r="AZ2348" s="152" t="s">
        <v>13544</v>
      </c>
    </row>
    <row r="2349">
      <c r="A2349" s="41">
        <v>2349.0</v>
      </c>
      <c r="B2349" s="42" t="s">
        <v>107</v>
      </c>
      <c r="C2349" s="59" t="s">
        <v>108</v>
      </c>
      <c r="D2349" s="59" t="s">
        <v>241</v>
      </c>
      <c r="F2349" s="1283" t="s">
        <v>14206</v>
      </c>
      <c r="G2349" s="156" t="s">
        <v>14207</v>
      </c>
      <c r="H2349" s="1284" t="s">
        <v>242</v>
      </c>
      <c r="I2349" s="149">
        <v>45331.0</v>
      </c>
      <c r="J2349" s="149">
        <v>45691.0</v>
      </c>
      <c r="K2349" s="65"/>
      <c r="L2349" s="65"/>
      <c r="M2349" s="156" t="s">
        <v>14209</v>
      </c>
      <c r="N2349" s="156" t="s">
        <v>14210</v>
      </c>
      <c r="O2349" s="126">
        <v>1.0</v>
      </c>
      <c r="P2349" s="156" t="s">
        <v>14219</v>
      </c>
      <c r="Q2349" s="49" t="str">
        <f t="array" ref="Q2349"> if(iserror(MATCH(V2349, 'File Links'!C:C, 0)), "N/A", HYPERLINK(INDEX('File Links'!B:B, MATCH(P2349, 'File Links'!C:C, 0))))</f>
        <v>https://drive.google.com/file/d/15kuHQf8erGaSOBxt1lOz994u1DIsHk_v/view?usp=drivesdk</v>
      </c>
      <c r="R2349" s="2020" t="s">
        <v>5015</v>
      </c>
      <c r="S2349" s="156" t="s">
        <v>5016</v>
      </c>
      <c r="T2349" s="65"/>
      <c r="U2349" s="1362">
        <v>40.0</v>
      </c>
      <c r="V2349" s="156" t="str">
        <f t="shared" si="125"/>
        <v>10.1007--s13164-018-0400-9.pdf</v>
      </c>
      <c r="W2349" s="1287" t="s">
        <v>5018</v>
      </c>
      <c r="X2349" s="51" t="str">
        <f t="array" ref="X2349"> if(iserror(MATCH(V2349, 'File Links'!C:C, 0)), "N/A", HYPERLINK(INDEX('File Links'!B:B, MATCH(V2349, 'File Links'!C:C, 0))))</f>
        <v>https://drive.google.com/file/d/1hjI3aqifdfXjWhQAlvKCKKtvjuncAn5M/view?usp=drivesdk</v>
      </c>
      <c r="Y2349" s="65"/>
      <c r="Z2349" s="156" t="s">
        <v>158</v>
      </c>
      <c r="AA2349" s="126" t="s">
        <v>131</v>
      </c>
      <c r="AB2349" s="156" t="s">
        <v>14212</v>
      </c>
      <c r="AC2349" s="1362" t="s">
        <v>14213</v>
      </c>
      <c r="AD2349" s="1057" t="s">
        <v>14220</v>
      </c>
      <c r="AE2349" s="156" t="s">
        <v>133</v>
      </c>
      <c r="AF2349" s="153">
        <v>60.0</v>
      </c>
      <c r="AG2349" s="153">
        <v>0.568</v>
      </c>
      <c r="AH2349" s="156" t="s">
        <v>166</v>
      </c>
      <c r="AI2349" s="2021" t="s">
        <v>14221</v>
      </c>
      <c r="AJ2349" s="376">
        <v>0.031</v>
      </c>
      <c r="AK2349" s="54" t="s">
        <v>165</v>
      </c>
      <c r="AL2349" s="156" t="s">
        <v>179</v>
      </c>
      <c r="AM2349" s="1283" t="s">
        <v>130</v>
      </c>
      <c r="AN2349" s="1362" t="s">
        <v>131</v>
      </c>
      <c r="AO2349" s="1289">
        <v>200.0</v>
      </c>
      <c r="AP2349" s="153">
        <v>0.58</v>
      </c>
      <c r="AQ2349" s="156" t="s">
        <v>166</v>
      </c>
      <c r="AR2349" s="156" t="s">
        <v>14222</v>
      </c>
      <c r="AS2349" s="153">
        <v>0.001</v>
      </c>
      <c r="AT2349" s="156" t="s">
        <v>128</v>
      </c>
      <c r="AU2349" s="156" t="s">
        <v>179</v>
      </c>
      <c r="AV2349" s="151" t="s">
        <v>130</v>
      </c>
      <c r="AW2349" s="677" t="s">
        <v>14223</v>
      </c>
      <c r="AX2349" s="151" t="s">
        <v>136</v>
      </c>
      <c r="AZ2349" s="152" t="s">
        <v>13544</v>
      </c>
    </row>
    <row r="2350">
      <c r="A2350" s="41">
        <v>2350.0</v>
      </c>
      <c r="B2350" s="65" t="s">
        <v>145</v>
      </c>
      <c r="C2350" s="59" t="s">
        <v>108</v>
      </c>
      <c r="D2350" s="59" t="s">
        <v>1263</v>
      </c>
      <c r="F2350" s="58" t="s">
        <v>14206</v>
      </c>
      <c r="G2350" s="148" t="s">
        <v>14224</v>
      </c>
      <c r="H2350" s="1284" t="s">
        <v>5011</v>
      </c>
      <c r="I2350" s="149">
        <v>45675.0</v>
      </c>
      <c r="J2350" s="149">
        <v>45691.0</v>
      </c>
      <c r="K2350" s="65"/>
      <c r="L2350" s="65" t="s">
        <v>13608</v>
      </c>
      <c r="M2350" s="156" t="s">
        <v>14209</v>
      </c>
      <c r="N2350" s="156" t="s">
        <v>14210</v>
      </c>
      <c r="O2350" s="153">
        <v>1.0</v>
      </c>
      <c r="P2350" s="156" t="str">
        <f t="shared" ref="P2350:P2351" si="135">SUBSTITUTE(LOWER(N2350), "/", "--") &amp;  ".pdf"</f>
        <v>10.1016--j.cognition.2015.01.013.pdf</v>
      </c>
      <c r="Q2350" s="49" t="str">
        <f t="array" ref="Q2350"> if(iserror(MATCH(V2350, 'File Links'!C:C, 0)), "N/A", HYPERLINK(INDEX('File Links'!B:B, MATCH(P2350, 'File Links'!C:C, 0))))</f>
        <v>https://drive.google.com/file/d/15kuHQf8erGaSOBxt1lOz994u1DIsHk_v/view?usp=drivesdk</v>
      </c>
      <c r="R2350" s="2020" t="s">
        <v>5015</v>
      </c>
      <c r="S2350" s="307" t="s">
        <v>5016</v>
      </c>
      <c r="T2350" s="307" t="s">
        <v>5017</v>
      </c>
      <c r="U2350" s="153">
        <v>40.0</v>
      </c>
      <c r="V2350" s="156" t="str">
        <f t="shared" si="125"/>
        <v>10.1007--s13164-018-0400-9.pdf</v>
      </c>
      <c r="W2350" s="1287" t="s">
        <v>5018</v>
      </c>
      <c r="X2350" s="51" t="str">
        <f t="array" ref="X2350"> if(iserror(MATCH(V2350, 'File Links'!C:C, 0)), "N/A", HYPERLINK(INDEX('File Links'!B:B, MATCH(V2350, 'File Links'!C:C, 0))))</f>
        <v>https://drive.google.com/file/d/1hjI3aqifdfXjWhQAlvKCKKtvjuncAn5M/view?usp=drivesdk</v>
      </c>
      <c r="Y2350" s="65"/>
      <c r="Z2350" s="156" t="s">
        <v>158</v>
      </c>
      <c r="AA2350" s="126" t="s">
        <v>131</v>
      </c>
      <c r="AB2350" s="156" t="s">
        <v>14212</v>
      </c>
      <c r="AC2350" s="1362" t="s">
        <v>14213</v>
      </c>
      <c r="AD2350" s="156" t="s">
        <v>14225</v>
      </c>
      <c r="AE2350" s="153">
        <v>6.0</v>
      </c>
      <c r="AF2350" s="153">
        <v>60.0</v>
      </c>
      <c r="AG2350" s="156" t="s">
        <v>14226</v>
      </c>
      <c r="AH2350" s="156" t="s">
        <v>166</v>
      </c>
      <c r="AI2350" s="336" t="s">
        <v>133</v>
      </c>
      <c r="AJ2350" s="376">
        <v>0.005</v>
      </c>
      <c r="AK2350" s="54" t="s">
        <v>165</v>
      </c>
      <c r="AL2350" s="156" t="s">
        <v>179</v>
      </c>
      <c r="AM2350" s="54" t="s">
        <v>130</v>
      </c>
      <c r="AN2350" s="65"/>
      <c r="AO2350" s="153">
        <v>200.0</v>
      </c>
      <c r="AP2350" s="156" t="s">
        <v>14227</v>
      </c>
      <c r="AQ2350" s="156" t="s">
        <v>127</v>
      </c>
      <c r="AR2350" s="156" t="s">
        <v>14228</v>
      </c>
      <c r="AS2350" s="153">
        <v>0.1647</v>
      </c>
      <c r="AT2350" s="156" t="s">
        <v>165</v>
      </c>
      <c r="AU2350" s="156" t="s">
        <v>179</v>
      </c>
      <c r="AV2350" s="156" t="s">
        <v>130</v>
      </c>
      <c r="AW2350" s="307" t="s">
        <v>14218</v>
      </c>
      <c r="AX2350" s="156" t="s">
        <v>136</v>
      </c>
      <c r="AZ2350" s="151" t="s">
        <v>242</v>
      </c>
    </row>
    <row r="2351">
      <c r="A2351" s="41">
        <v>2351.0</v>
      </c>
      <c r="B2351" s="42" t="s">
        <v>107</v>
      </c>
      <c r="C2351" s="59" t="s">
        <v>108</v>
      </c>
      <c r="D2351" s="59" t="s">
        <v>1263</v>
      </c>
      <c r="F2351" s="1283" t="s">
        <v>14229</v>
      </c>
      <c r="G2351" s="156" t="s">
        <v>14230</v>
      </c>
      <c r="H2351" s="1284" t="s">
        <v>5011</v>
      </c>
      <c r="I2351" s="149">
        <v>45667.0</v>
      </c>
      <c r="J2351" s="149">
        <v>45691.0</v>
      </c>
      <c r="K2351" s="65"/>
      <c r="L2351" s="1384" t="s">
        <v>14231</v>
      </c>
      <c r="M2351" s="156" t="s">
        <v>14232</v>
      </c>
      <c r="N2351" s="156" t="s">
        <v>14233</v>
      </c>
      <c r="O2351" s="153">
        <v>3.0</v>
      </c>
      <c r="P2351" s="156" t="str">
        <f t="shared" si="135"/>
        <v>10.1080--0951508042000202354.pdf</v>
      </c>
      <c r="Q2351" s="49" t="str">
        <f t="array" ref="Q2351"> if(iserror(MATCH(V2351, 'File Links'!C:C, 0)), "N/A", HYPERLINK(INDEX('File Links'!B:B, MATCH(P2351, 'File Links'!C:C, 0))))</f>
        <v>https://drive.google.com/file/d/1kCe7dne_GNfNSHLYlAzOzBcQn9yFuOr2/view?usp=drivesdk</v>
      </c>
      <c r="R2351" s="2020" t="s">
        <v>5015</v>
      </c>
      <c r="S2351" s="307" t="s">
        <v>5016</v>
      </c>
      <c r="T2351" s="2056" t="s">
        <v>14234</v>
      </c>
      <c r="U2351" s="1056">
        <v>5.0</v>
      </c>
      <c r="V2351" s="156" t="str">
        <f t="shared" si="125"/>
        <v>10.1007--s13164-018-0400-9.pdf</v>
      </c>
      <c r="W2351" s="1287" t="s">
        <v>5018</v>
      </c>
      <c r="X2351" s="51" t="str">
        <f t="array" ref="X2351"> if(iserror(MATCH(V2351, 'File Links'!C:C, 0)), "N/A", HYPERLINK(INDEX('File Links'!B:B, MATCH(V2351, 'File Links'!C:C, 0))))</f>
        <v>https://drive.google.com/file/d/1hjI3aqifdfXjWhQAlvKCKKtvjuncAn5M/view?usp=drivesdk</v>
      </c>
      <c r="Y2351" s="65"/>
      <c r="Z2351" s="156" t="s">
        <v>158</v>
      </c>
      <c r="AA2351" s="126" t="s">
        <v>131</v>
      </c>
      <c r="AB2351" s="148" t="s">
        <v>14235</v>
      </c>
      <c r="AC2351" s="156" t="s">
        <v>14236</v>
      </c>
      <c r="AD2351" s="1057" t="s">
        <v>14237</v>
      </c>
      <c r="AE2351" s="153">
        <v>15.0</v>
      </c>
      <c r="AF2351" s="153">
        <v>10.0</v>
      </c>
      <c r="AG2351" s="1057" t="s">
        <v>14238</v>
      </c>
      <c r="AH2351" s="1057" t="s">
        <v>127</v>
      </c>
      <c r="AI2351" s="336" t="s">
        <v>620</v>
      </c>
      <c r="AJ2351" s="376">
        <v>0.347</v>
      </c>
      <c r="AK2351" s="54" t="s">
        <v>165</v>
      </c>
      <c r="AL2351" s="156" t="s">
        <v>179</v>
      </c>
      <c r="AM2351" s="54" t="s">
        <v>134</v>
      </c>
      <c r="AN2351" s="126" t="s">
        <v>131</v>
      </c>
      <c r="AO2351" s="153">
        <v>9.0</v>
      </c>
      <c r="AP2351" s="1289">
        <v>0.06</v>
      </c>
      <c r="AQ2351" s="156" t="s">
        <v>132</v>
      </c>
      <c r="AR2351" s="160" t="s">
        <v>14234</v>
      </c>
      <c r="AS2351" s="1056">
        <v>0.08</v>
      </c>
      <c r="AT2351" s="156" t="s">
        <v>165</v>
      </c>
      <c r="AU2351" s="156" t="s">
        <v>179</v>
      </c>
      <c r="AV2351" s="156" t="s">
        <v>134</v>
      </c>
      <c r="AW2351" s="307" t="s">
        <v>14239</v>
      </c>
      <c r="AX2351" s="156" t="s">
        <v>136</v>
      </c>
      <c r="AZ2351" s="152" t="s">
        <v>13544</v>
      </c>
    </row>
    <row r="2352">
      <c r="A2352" s="41">
        <v>2352.0</v>
      </c>
      <c r="B2352" s="42" t="s">
        <v>145</v>
      </c>
      <c r="C2352" s="59" t="s">
        <v>108</v>
      </c>
      <c r="D2352" s="59" t="s">
        <v>241</v>
      </c>
      <c r="F2352" s="1283" t="s">
        <v>14229</v>
      </c>
      <c r="G2352" s="156" t="s">
        <v>14230</v>
      </c>
      <c r="H2352" s="1284" t="s">
        <v>242</v>
      </c>
      <c r="I2352" s="149">
        <v>45331.0</v>
      </c>
      <c r="J2352" s="149">
        <v>45691.0</v>
      </c>
      <c r="K2352" s="65"/>
      <c r="L2352" s="126" t="s">
        <v>14240</v>
      </c>
      <c r="M2352" s="156" t="s">
        <v>14232</v>
      </c>
      <c r="N2352" s="156" t="s">
        <v>14233</v>
      </c>
      <c r="O2352" s="153">
        <v>3.0</v>
      </c>
      <c r="P2352" s="156" t="s">
        <v>14241</v>
      </c>
      <c r="Q2352" s="49" t="str">
        <f t="array" ref="Q2352"> if(iserror(MATCH(V2352, 'File Links'!C:C, 0)), "N/A", HYPERLINK(INDEX('File Links'!B:B, MATCH(P2352, 'File Links'!C:C, 0))))</f>
        <v>https://drive.google.com/file/d/1kCe7dne_GNfNSHLYlAzOzBcQn9yFuOr2/view?usp=drivesdk</v>
      </c>
      <c r="R2352" s="2020" t="s">
        <v>5015</v>
      </c>
      <c r="S2352" s="156" t="s">
        <v>5016</v>
      </c>
      <c r="T2352" s="2056" t="s">
        <v>14234</v>
      </c>
      <c r="U2352" s="1362">
        <v>5.0</v>
      </c>
      <c r="V2352" s="156" t="str">
        <f t="shared" si="125"/>
        <v>10.1007--s13164-018-0400-9.pdf</v>
      </c>
      <c r="W2352" s="1287" t="s">
        <v>5018</v>
      </c>
      <c r="X2352" s="51" t="str">
        <f t="array" ref="X2352"> if(iserror(MATCH(V2352, 'File Links'!C:C, 0)), "N/A", HYPERLINK(INDEX('File Links'!B:B, MATCH(V2352, 'File Links'!C:C, 0))))</f>
        <v>https://drive.google.com/file/d/1hjI3aqifdfXjWhQAlvKCKKtvjuncAn5M/view?usp=drivesdk</v>
      </c>
      <c r="Y2352" s="65"/>
      <c r="Z2352" s="156" t="s">
        <v>158</v>
      </c>
      <c r="AA2352" s="126" t="s">
        <v>131</v>
      </c>
      <c r="AB2352" s="148" t="s">
        <v>14242</v>
      </c>
      <c r="AC2352" s="156" t="s">
        <v>14236</v>
      </c>
      <c r="AD2352" s="148" t="s">
        <v>14243</v>
      </c>
      <c r="AE2352" s="156" t="s">
        <v>175</v>
      </c>
      <c r="AF2352" s="153">
        <v>10.0</v>
      </c>
      <c r="AG2352" s="1114" t="s">
        <v>14244</v>
      </c>
      <c r="AH2352" s="1113" t="s">
        <v>127</v>
      </c>
      <c r="AI2352" s="148" t="s">
        <v>175</v>
      </c>
      <c r="AJ2352" s="376">
        <v>0.01</v>
      </c>
      <c r="AK2352" s="54" t="s">
        <v>165</v>
      </c>
      <c r="AL2352" s="148" t="s">
        <v>179</v>
      </c>
      <c r="AM2352" s="2057" t="s">
        <v>134</v>
      </c>
      <c r="AN2352" s="148" t="s">
        <v>131</v>
      </c>
      <c r="AO2352" s="153">
        <v>9.0</v>
      </c>
      <c r="AP2352" s="148" t="s">
        <v>14245</v>
      </c>
      <c r="AQ2352" s="148" t="s">
        <v>127</v>
      </c>
      <c r="AR2352" s="2056" t="s">
        <v>14234</v>
      </c>
      <c r="AS2352" s="153">
        <v>0.008</v>
      </c>
      <c r="AT2352" s="156" t="s">
        <v>165</v>
      </c>
      <c r="AU2352" s="148" t="s">
        <v>179</v>
      </c>
      <c r="AV2352" s="2057" t="s">
        <v>134</v>
      </c>
      <c r="AW2352" s="1381" t="s">
        <v>14239</v>
      </c>
      <c r="AX2352" s="151" t="s">
        <v>136</v>
      </c>
      <c r="AZ2352" s="152" t="s">
        <v>13544</v>
      </c>
    </row>
    <row r="2353">
      <c r="A2353" s="41">
        <v>2353.0</v>
      </c>
      <c r="B2353" s="151" t="s">
        <v>145</v>
      </c>
      <c r="C2353" s="59" t="s">
        <v>108</v>
      </c>
      <c r="D2353" s="59" t="s">
        <v>1263</v>
      </c>
      <c r="F2353" s="58" t="s">
        <v>14229</v>
      </c>
      <c r="G2353" s="148" t="s">
        <v>14246</v>
      </c>
      <c r="H2353" s="1284" t="s">
        <v>5011</v>
      </c>
      <c r="I2353" s="149">
        <v>45667.0</v>
      </c>
      <c r="J2353" s="149">
        <v>45691.0</v>
      </c>
      <c r="K2353" s="65"/>
      <c r="L2353" s="65" t="s">
        <v>13608</v>
      </c>
      <c r="M2353" s="156" t="s">
        <v>14232</v>
      </c>
      <c r="N2353" s="156" t="s">
        <v>14233</v>
      </c>
      <c r="O2353" s="153">
        <v>3.0</v>
      </c>
      <c r="P2353" s="156" t="str">
        <f t="shared" ref="P2353:P2356" si="136">SUBSTITUTE(LOWER(N2353), "/", "--") &amp;  ".pdf"</f>
        <v>10.1080--0951508042000202354.pdf</v>
      </c>
      <c r="Q2353" s="49" t="str">
        <f t="array" ref="Q2353"> if(iserror(MATCH(V2353, 'File Links'!C:C, 0)), "N/A", HYPERLINK(INDEX('File Links'!B:B, MATCH(P2353, 'File Links'!C:C, 0))))</f>
        <v>https://drive.google.com/file/d/1kCe7dne_GNfNSHLYlAzOzBcQn9yFuOr2/view?usp=drivesdk</v>
      </c>
      <c r="R2353" s="2020" t="s">
        <v>5015</v>
      </c>
      <c r="S2353" s="307" t="s">
        <v>5016</v>
      </c>
      <c r="T2353" s="307" t="s">
        <v>5017</v>
      </c>
      <c r="U2353" s="153">
        <v>5.0</v>
      </c>
      <c r="V2353" s="156" t="str">
        <f t="shared" si="125"/>
        <v>10.1007--s13164-018-0400-9.pdf</v>
      </c>
      <c r="W2353" s="1287" t="s">
        <v>5018</v>
      </c>
      <c r="X2353" s="51" t="str">
        <f t="array" ref="X2353"> if(iserror(MATCH(V2353, 'File Links'!C:C, 0)), "N/A", HYPERLINK(INDEX('File Links'!B:B, MATCH(V2353, 'File Links'!C:C, 0))))</f>
        <v>https://drive.google.com/file/d/1hjI3aqifdfXjWhQAlvKCKKtvjuncAn5M/view?usp=drivesdk</v>
      </c>
      <c r="Y2353" s="65"/>
      <c r="Z2353" s="156" t="s">
        <v>158</v>
      </c>
      <c r="AA2353" s="126" t="s">
        <v>131</v>
      </c>
      <c r="AB2353" s="156" t="s">
        <v>14247</v>
      </c>
      <c r="AC2353" s="126" t="s">
        <v>14248</v>
      </c>
      <c r="AD2353" s="156" t="s">
        <v>14249</v>
      </c>
      <c r="AE2353" s="153">
        <v>15.0</v>
      </c>
      <c r="AF2353" s="153">
        <v>10.0</v>
      </c>
      <c r="AG2353" s="156" t="s">
        <v>14250</v>
      </c>
      <c r="AH2353" s="156" t="s">
        <v>127</v>
      </c>
      <c r="AI2353" s="336" t="s">
        <v>620</v>
      </c>
      <c r="AJ2353" s="376">
        <v>0.001</v>
      </c>
      <c r="AK2353" s="54" t="s">
        <v>128</v>
      </c>
      <c r="AL2353" s="156" t="s">
        <v>179</v>
      </c>
      <c r="AM2353" s="54" t="s">
        <v>134</v>
      </c>
      <c r="AN2353" s="65"/>
      <c r="AO2353" s="153">
        <v>9.0</v>
      </c>
      <c r="AP2353" s="1289">
        <v>0.24</v>
      </c>
      <c r="AQ2353" s="156" t="s">
        <v>132</v>
      </c>
      <c r="AR2353" s="156" t="s">
        <v>14251</v>
      </c>
      <c r="AS2353" s="153">
        <v>0.009</v>
      </c>
      <c r="AT2353" s="156" t="s">
        <v>165</v>
      </c>
      <c r="AU2353" s="156" t="s">
        <v>179</v>
      </c>
      <c r="AV2353" s="156" t="s">
        <v>134</v>
      </c>
      <c r="AW2353" s="307" t="s">
        <v>14239</v>
      </c>
      <c r="AX2353" s="156" t="s">
        <v>136</v>
      </c>
      <c r="AZ2353" s="151" t="s">
        <v>242</v>
      </c>
    </row>
    <row r="2354">
      <c r="A2354" s="41">
        <v>2354.0</v>
      </c>
      <c r="B2354" s="151" t="s">
        <v>145</v>
      </c>
      <c r="C2354" s="59" t="s">
        <v>108</v>
      </c>
      <c r="D2354" s="59" t="s">
        <v>1263</v>
      </c>
      <c r="F2354" s="58" t="s">
        <v>14229</v>
      </c>
      <c r="G2354" s="148" t="s">
        <v>14252</v>
      </c>
      <c r="H2354" s="1284" t="s">
        <v>5011</v>
      </c>
      <c r="I2354" s="149">
        <v>45667.0</v>
      </c>
      <c r="J2354" s="149">
        <v>45691.0</v>
      </c>
      <c r="K2354" s="65"/>
      <c r="L2354" s="65" t="s">
        <v>13608</v>
      </c>
      <c r="M2354" s="156" t="s">
        <v>14232</v>
      </c>
      <c r="N2354" s="156" t="s">
        <v>14233</v>
      </c>
      <c r="O2354" s="153">
        <v>3.0</v>
      </c>
      <c r="P2354" s="156" t="str">
        <f t="shared" si="136"/>
        <v>10.1080--0951508042000202354.pdf</v>
      </c>
      <c r="Q2354" s="49" t="str">
        <f t="array" ref="Q2354"> if(iserror(MATCH(V2354, 'File Links'!C:C, 0)), "N/A", HYPERLINK(INDEX('File Links'!B:B, MATCH(P2354, 'File Links'!C:C, 0))))</f>
        <v>https://drive.google.com/file/d/1kCe7dne_GNfNSHLYlAzOzBcQn9yFuOr2/view?usp=drivesdk</v>
      </c>
      <c r="R2354" s="2020" t="s">
        <v>5015</v>
      </c>
      <c r="S2354" s="307" t="s">
        <v>5016</v>
      </c>
      <c r="T2354" s="307" t="s">
        <v>5017</v>
      </c>
      <c r="U2354" s="153">
        <v>5.0</v>
      </c>
      <c r="V2354" s="156" t="str">
        <f t="shared" si="125"/>
        <v>10.1007--s13164-018-0400-9.pdf</v>
      </c>
      <c r="W2354" s="1287" t="s">
        <v>5018</v>
      </c>
      <c r="X2354" s="51" t="str">
        <f t="array" ref="X2354"> if(iserror(MATCH(V2354, 'File Links'!C:C, 0)), "N/A", HYPERLINK(INDEX('File Links'!B:B, MATCH(V2354, 'File Links'!C:C, 0))))</f>
        <v>https://drive.google.com/file/d/1hjI3aqifdfXjWhQAlvKCKKtvjuncAn5M/view?usp=drivesdk</v>
      </c>
      <c r="Y2354" s="65"/>
      <c r="Z2354" s="156" t="s">
        <v>158</v>
      </c>
      <c r="AA2354" s="126" t="s">
        <v>131</v>
      </c>
      <c r="AB2354" s="156" t="s">
        <v>14247</v>
      </c>
      <c r="AC2354" s="126" t="s">
        <v>14248</v>
      </c>
      <c r="AD2354" s="156" t="s">
        <v>14253</v>
      </c>
      <c r="AE2354" s="153">
        <v>15.0</v>
      </c>
      <c r="AF2354" s="153">
        <v>10.0</v>
      </c>
      <c r="AG2354" s="156" t="s">
        <v>14254</v>
      </c>
      <c r="AH2354" s="156" t="s">
        <v>127</v>
      </c>
      <c r="AI2354" s="336" t="s">
        <v>620</v>
      </c>
      <c r="AJ2354" s="376">
        <v>0.01</v>
      </c>
      <c r="AK2354" s="54" t="s">
        <v>128</v>
      </c>
      <c r="AL2354" s="156" t="s">
        <v>179</v>
      </c>
      <c r="AM2354" s="54" t="s">
        <v>134</v>
      </c>
      <c r="AN2354" s="65"/>
      <c r="AO2354" s="153">
        <v>9.0</v>
      </c>
      <c r="AP2354" s="1289">
        <v>0.53</v>
      </c>
      <c r="AQ2354" s="156" t="s">
        <v>132</v>
      </c>
      <c r="AR2354" s="156" t="s">
        <v>14251</v>
      </c>
      <c r="AS2354" s="153">
        <v>0.03</v>
      </c>
      <c r="AT2354" s="156" t="s">
        <v>165</v>
      </c>
      <c r="AU2354" s="156" t="s">
        <v>179</v>
      </c>
      <c r="AV2354" s="156" t="s">
        <v>134</v>
      </c>
      <c r="AW2354" s="307" t="s">
        <v>14239</v>
      </c>
      <c r="AX2354" s="156" t="s">
        <v>136</v>
      </c>
      <c r="AZ2354" s="151" t="s">
        <v>242</v>
      </c>
    </row>
    <row r="2355">
      <c r="A2355" s="41">
        <v>2355.0</v>
      </c>
      <c r="B2355" s="65" t="s">
        <v>107</v>
      </c>
      <c r="C2355" s="59" t="s">
        <v>108</v>
      </c>
      <c r="D2355" s="59" t="s">
        <v>1263</v>
      </c>
      <c r="F2355" s="58" t="s">
        <v>14229</v>
      </c>
      <c r="G2355" s="148" t="s">
        <v>14255</v>
      </c>
      <c r="H2355" s="1284" t="s">
        <v>5011</v>
      </c>
      <c r="I2355" s="149">
        <v>45667.0</v>
      </c>
      <c r="J2355" s="149">
        <v>45691.0</v>
      </c>
      <c r="K2355" s="65"/>
      <c r="L2355" s="65"/>
      <c r="M2355" s="156" t="s">
        <v>14232</v>
      </c>
      <c r="N2355" s="156" t="s">
        <v>14233</v>
      </c>
      <c r="O2355" s="153">
        <v>3.0</v>
      </c>
      <c r="P2355" s="156" t="str">
        <f t="shared" si="136"/>
        <v>10.1080--0951508042000202354.pdf</v>
      </c>
      <c r="Q2355" s="49" t="str">
        <f t="array" ref="Q2355"> if(iserror(MATCH(V2355, 'File Links'!C:C, 0)), "N/A", HYPERLINK(INDEX('File Links'!B:B, MATCH(P2355, 'File Links'!C:C, 0))))</f>
        <v>https://drive.google.com/file/d/1kCe7dne_GNfNSHLYlAzOzBcQn9yFuOr2/view?usp=drivesdk</v>
      </c>
      <c r="R2355" s="2020" t="s">
        <v>5015</v>
      </c>
      <c r="S2355" s="307" t="s">
        <v>5016</v>
      </c>
      <c r="T2355" s="307" t="s">
        <v>5017</v>
      </c>
      <c r="U2355" s="153">
        <v>5.0</v>
      </c>
      <c r="V2355" s="156" t="str">
        <f t="shared" si="125"/>
        <v>10.1007--s13164-018-0400-9.pdf</v>
      </c>
      <c r="W2355" s="1287" t="s">
        <v>5018</v>
      </c>
      <c r="X2355" s="51" t="str">
        <f t="array" ref="X2355"> if(iserror(MATCH(V2355, 'File Links'!C:C, 0)), "N/A", HYPERLINK(INDEX('File Links'!B:B, MATCH(V2355, 'File Links'!C:C, 0))))</f>
        <v>https://drive.google.com/file/d/1hjI3aqifdfXjWhQAlvKCKKtvjuncAn5M/view?usp=drivesdk</v>
      </c>
      <c r="Y2355" s="65"/>
      <c r="Z2355" s="156" t="s">
        <v>158</v>
      </c>
      <c r="AA2355" s="126" t="s">
        <v>131</v>
      </c>
      <c r="AB2355" s="156" t="s">
        <v>14247</v>
      </c>
      <c r="AC2355" s="126" t="s">
        <v>14248</v>
      </c>
      <c r="AD2355" s="156" t="s">
        <v>14256</v>
      </c>
      <c r="AE2355" s="153">
        <v>15.0</v>
      </c>
      <c r="AF2355" s="153">
        <v>10.0</v>
      </c>
      <c r="AG2355" s="156" t="s">
        <v>14257</v>
      </c>
      <c r="AH2355" s="156" t="s">
        <v>127</v>
      </c>
      <c r="AI2355" s="336" t="s">
        <v>620</v>
      </c>
      <c r="AJ2355" s="376">
        <v>0.01</v>
      </c>
      <c r="AK2355" s="54" t="s">
        <v>128</v>
      </c>
      <c r="AL2355" s="156" t="s">
        <v>179</v>
      </c>
      <c r="AM2355" s="54" t="s">
        <v>134</v>
      </c>
      <c r="AN2355" s="65"/>
      <c r="AO2355" s="153">
        <v>9.0</v>
      </c>
      <c r="AP2355" s="1289">
        <v>0.31</v>
      </c>
      <c r="AQ2355" s="156" t="s">
        <v>132</v>
      </c>
      <c r="AR2355" s="307" t="s">
        <v>14251</v>
      </c>
      <c r="AS2355" s="153">
        <v>0.008</v>
      </c>
      <c r="AT2355" s="156" t="s">
        <v>165</v>
      </c>
      <c r="AU2355" s="156" t="s">
        <v>179</v>
      </c>
      <c r="AV2355" s="156" t="s">
        <v>134</v>
      </c>
      <c r="AW2355" s="307" t="s">
        <v>14239</v>
      </c>
      <c r="AX2355" s="156" t="s">
        <v>136</v>
      </c>
      <c r="AZ2355" s="151" t="s">
        <v>242</v>
      </c>
    </row>
    <row r="2356">
      <c r="A2356" s="41">
        <v>2356.0</v>
      </c>
      <c r="B2356" s="126" t="s">
        <v>145</v>
      </c>
      <c r="C2356" s="59" t="s">
        <v>108</v>
      </c>
      <c r="D2356" s="59" t="s">
        <v>1263</v>
      </c>
      <c r="F2356" s="1283" t="s">
        <v>14258</v>
      </c>
      <c r="G2356" s="156" t="s">
        <v>14259</v>
      </c>
      <c r="H2356" s="1284" t="s">
        <v>5011</v>
      </c>
      <c r="I2356" s="149">
        <v>45667.0</v>
      </c>
      <c r="J2356" s="149">
        <v>45691.0</v>
      </c>
      <c r="K2356" s="148" t="s">
        <v>14260</v>
      </c>
      <c r="L2356" s="126" t="s">
        <v>14261</v>
      </c>
      <c r="M2356" s="156" t="s">
        <v>14262</v>
      </c>
      <c r="N2356" s="156" t="s">
        <v>14263</v>
      </c>
      <c r="O2356" s="126">
        <v>1.0</v>
      </c>
      <c r="P2356" s="156" t="str">
        <f t="shared" si="136"/>
        <v>10.1037--h0091247.pdf</v>
      </c>
      <c r="Q2356" s="49" t="str">
        <f t="array" ref="Q2356"> if(iserror(MATCH(V2356, 'File Links'!C:C, 0)), "N/A", HYPERLINK(INDEX('File Links'!B:B, MATCH(P2356, 'File Links'!C:C, 0))))</f>
        <v>https://drive.google.com/file/d/1awPCjIHvs8ahIhOincmP_HaNxC6Wg3ei/view?usp=drivesdk</v>
      </c>
      <c r="R2356" s="2020" t="s">
        <v>5015</v>
      </c>
      <c r="S2356" s="307" t="s">
        <v>5016</v>
      </c>
      <c r="T2356" s="2056" t="s">
        <v>14264</v>
      </c>
      <c r="U2356" s="153">
        <v>6.0</v>
      </c>
      <c r="V2356" s="156" t="str">
        <f t="shared" si="125"/>
        <v>10.1007--s13164-018-0400-9.pdf</v>
      </c>
      <c r="W2356" s="1287" t="s">
        <v>5018</v>
      </c>
      <c r="X2356" s="51" t="str">
        <f t="array" ref="X2356"> if(iserror(MATCH(V2356, 'File Links'!C:C, 0)), "N/A", HYPERLINK(INDEX('File Links'!B:B, MATCH(V2356, 'File Links'!C:C, 0))))</f>
        <v>https://drive.google.com/file/d/1hjI3aqifdfXjWhQAlvKCKKtvjuncAn5M/view?usp=drivesdk</v>
      </c>
      <c r="Y2356" s="65"/>
      <c r="Z2356" s="156" t="s">
        <v>158</v>
      </c>
      <c r="AA2356" s="126" t="s">
        <v>131</v>
      </c>
      <c r="AB2356" s="148" t="s">
        <v>14265</v>
      </c>
      <c r="AC2356" s="1362" t="s">
        <v>14266</v>
      </c>
      <c r="AD2356" s="156" t="s">
        <v>14267</v>
      </c>
      <c r="AE2356" s="156" t="s">
        <v>13799</v>
      </c>
      <c r="AF2356" s="153">
        <v>44.0</v>
      </c>
      <c r="AG2356" s="1090">
        <v>0.69</v>
      </c>
      <c r="AH2356" s="1112" t="s">
        <v>264</v>
      </c>
      <c r="AI2356" s="148" t="s">
        <v>14268</v>
      </c>
      <c r="AJ2356" s="2071">
        <v>0.001</v>
      </c>
      <c r="AK2356" s="2072" t="s">
        <v>128</v>
      </c>
      <c r="AL2356" s="1112" t="s">
        <v>179</v>
      </c>
      <c r="AM2356" s="2073" t="s">
        <v>130</v>
      </c>
      <c r="AN2356" s="1362" t="s">
        <v>131</v>
      </c>
      <c r="AO2356" s="153">
        <v>47.0</v>
      </c>
      <c r="AP2356" s="1289">
        <v>0.83</v>
      </c>
      <c r="AQ2356" s="156" t="s">
        <v>264</v>
      </c>
      <c r="AR2356" s="2028" t="s">
        <v>14269</v>
      </c>
      <c r="AS2356" s="153">
        <v>0.001</v>
      </c>
      <c r="AT2356" s="156" t="s">
        <v>128</v>
      </c>
      <c r="AU2356" s="156" t="s">
        <v>179</v>
      </c>
      <c r="AV2356" s="156" t="s">
        <v>130</v>
      </c>
      <c r="AW2356" s="307" t="s">
        <v>14270</v>
      </c>
      <c r="AX2356" s="156" t="s">
        <v>136</v>
      </c>
      <c r="AZ2356" s="152" t="s">
        <v>13544</v>
      </c>
    </row>
    <row r="2357" ht="15.75" customHeight="1">
      <c r="A2357" s="41">
        <v>2357.0</v>
      </c>
      <c r="B2357" s="42" t="s">
        <v>107</v>
      </c>
      <c r="C2357" s="59" t="s">
        <v>108</v>
      </c>
      <c r="D2357" s="59" t="s">
        <v>241</v>
      </c>
      <c r="F2357" s="1283" t="s">
        <v>14258</v>
      </c>
      <c r="G2357" s="156" t="s">
        <v>14259</v>
      </c>
      <c r="H2357" s="1284" t="s">
        <v>242</v>
      </c>
      <c r="I2357" s="149">
        <v>45331.0</v>
      </c>
      <c r="J2357" s="149">
        <v>45691.0</v>
      </c>
      <c r="K2357" s="156" t="s">
        <v>14271</v>
      </c>
      <c r="L2357" s="65"/>
      <c r="M2357" s="156" t="s">
        <v>14262</v>
      </c>
      <c r="N2357" s="156" t="s">
        <v>14263</v>
      </c>
      <c r="O2357" s="126">
        <v>1.0</v>
      </c>
      <c r="P2357" s="156" t="s">
        <v>14272</v>
      </c>
      <c r="Q2357" s="49" t="str">
        <f t="array" ref="Q2357"> if(iserror(MATCH(V2357, 'File Links'!C:C, 0)), "N/A", HYPERLINK(INDEX('File Links'!B:B, MATCH(P2357, 'File Links'!C:C, 0))))</f>
        <v>https://drive.google.com/file/d/1awPCjIHvs8ahIhOincmP_HaNxC6Wg3ei/view?usp=drivesdk</v>
      </c>
      <c r="R2357" s="2020" t="s">
        <v>5015</v>
      </c>
      <c r="S2357" s="156" t="s">
        <v>5016</v>
      </c>
      <c r="T2357" s="1999" t="s">
        <v>14264</v>
      </c>
      <c r="U2357" s="1362">
        <v>6.0</v>
      </c>
      <c r="V2357" s="156" t="str">
        <f t="shared" si="125"/>
        <v>10.1007--s13164-018-0400-9.pdf</v>
      </c>
      <c r="W2357" s="1287" t="s">
        <v>5018</v>
      </c>
      <c r="X2357" s="51" t="str">
        <f t="array" ref="X2357"> if(iserror(MATCH(V2357, 'File Links'!C:C, 0)), "N/A", HYPERLINK(INDEX('File Links'!B:B, MATCH(V2357, 'File Links'!C:C, 0))))</f>
        <v>https://drive.google.com/file/d/1hjI3aqifdfXjWhQAlvKCKKtvjuncAn5M/view?usp=drivesdk</v>
      </c>
      <c r="Y2357" s="65"/>
      <c r="Z2357" s="156" t="s">
        <v>158</v>
      </c>
      <c r="AA2357" s="126" t="s">
        <v>131</v>
      </c>
      <c r="AB2357" s="148" t="s">
        <v>14273</v>
      </c>
      <c r="AC2357" s="1362" t="s">
        <v>14266</v>
      </c>
      <c r="AD2357" s="156" t="s">
        <v>131</v>
      </c>
      <c r="AE2357" s="156" t="s">
        <v>131</v>
      </c>
      <c r="AF2357" s="153">
        <v>44.0</v>
      </c>
      <c r="AG2357" s="153">
        <v>0.69</v>
      </c>
      <c r="AH2357" s="156" t="s">
        <v>264</v>
      </c>
      <c r="AI2357" s="336" t="s">
        <v>14274</v>
      </c>
      <c r="AJ2357" s="376">
        <v>0.001</v>
      </c>
      <c r="AK2357" s="54" t="s">
        <v>128</v>
      </c>
      <c r="AL2357" s="156" t="s">
        <v>179</v>
      </c>
      <c r="AM2357" s="1283" t="s">
        <v>130</v>
      </c>
      <c r="AN2357" s="1362" t="s">
        <v>131</v>
      </c>
      <c r="AO2357" s="153">
        <v>47.0</v>
      </c>
      <c r="AP2357" s="153">
        <v>0.83</v>
      </c>
      <c r="AQ2357" s="156" t="s">
        <v>264</v>
      </c>
      <c r="AR2357" s="156" t="s">
        <v>14275</v>
      </c>
      <c r="AS2357" s="153">
        <v>0.001</v>
      </c>
      <c r="AT2357" s="156" t="s">
        <v>128</v>
      </c>
      <c r="AU2357" s="156" t="s">
        <v>179</v>
      </c>
      <c r="AV2357" s="151" t="s">
        <v>130</v>
      </c>
      <c r="AW2357" s="677" t="s">
        <v>14276</v>
      </c>
      <c r="AX2357" s="151" t="s">
        <v>136</v>
      </c>
      <c r="AZ2357" s="152" t="s">
        <v>13544</v>
      </c>
    </row>
    <row r="2358">
      <c r="A2358" s="41">
        <v>2358.0</v>
      </c>
      <c r="B2358" s="65" t="s">
        <v>107</v>
      </c>
      <c r="C2358" s="146" t="s">
        <v>108</v>
      </c>
      <c r="D2358" s="59" t="s">
        <v>1263</v>
      </c>
      <c r="F2358" s="1283" t="s">
        <v>14277</v>
      </c>
      <c r="G2358" s="156" t="s">
        <v>14278</v>
      </c>
      <c r="H2358" s="1284" t="s">
        <v>5011</v>
      </c>
      <c r="I2358" s="149">
        <v>45667.0</v>
      </c>
      <c r="J2358" s="150">
        <v>45734.0</v>
      </c>
      <c r="K2358" s="65"/>
      <c r="L2358" s="65"/>
      <c r="M2358" s="156" t="s">
        <v>14279</v>
      </c>
      <c r="N2358" s="156" t="s">
        <v>14280</v>
      </c>
      <c r="O2358" s="153">
        <v>1.0</v>
      </c>
      <c r="P2358" s="156" t="str">
        <f>SUBSTITUTE(LOWER(N2358), "/", "--") &amp;  ".pdf"</f>
        <v>10.1080--09515080500264180.pdf</v>
      </c>
      <c r="Q2358" s="49" t="str">
        <f t="array" ref="Q2358"> if(iserror(MATCH(V2358, 'File Links'!C:C, 0)), "N/A", HYPERLINK(INDEX('File Links'!B:B, MATCH(P2358, 'File Links'!C:C, 0))))</f>
        <v>https://drive.google.com/file/d/1yWq9VA17bviusA1-gmEWYWL7w6FHKyMI/view?usp=drivesdk</v>
      </c>
      <c r="R2358" s="2020" t="s">
        <v>5015</v>
      </c>
      <c r="S2358" s="307" t="s">
        <v>5016</v>
      </c>
      <c r="T2358" s="2056" t="s">
        <v>14281</v>
      </c>
      <c r="U2358" s="153">
        <v>7.0</v>
      </c>
      <c r="V2358" s="195" t="str">
        <f t="shared" si="125"/>
        <v>10.1007--s13164-018-0400-9.pdf</v>
      </c>
      <c r="W2358" s="1287" t="s">
        <v>5018</v>
      </c>
      <c r="X2358" s="51" t="str">
        <f t="array" ref="X2358"> if(iserror(MATCH(V2358, 'File Links'!C:C, 0)), "N/A", HYPERLINK(INDEX('File Links'!B:B, MATCH(V2358, 'File Links'!C:C, 0))))</f>
        <v>https://drive.google.com/file/d/1hjI3aqifdfXjWhQAlvKCKKtvjuncAn5M/view?usp=drivesdk</v>
      </c>
      <c r="Y2358" s="65"/>
      <c r="Z2358" s="156" t="s">
        <v>158</v>
      </c>
      <c r="AA2358" s="126" t="s">
        <v>131</v>
      </c>
      <c r="AB2358" s="148" t="s">
        <v>14282</v>
      </c>
      <c r="AC2358" s="1362" t="s">
        <v>14283</v>
      </c>
      <c r="AD2358" s="156" t="s">
        <v>14284</v>
      </c>
      <c r="AE2358" s="156" t="s">
        <v>14285</v>
      </c>
      <c r="AF2358" s="153">
        <v>21.0</v>
      </c>
      <c r="AG2358" s="1288" t="s">
        <v>14286</v>
      </c>
      <c r="AH2358" s="156" t="s">
        <v>127</v>
      </c>
      <c r="AI2358" s="336" t="s">
        <v>2406</v>
      </c>
      <c r="AJ2358" s="376">
        <v>0.016</v>
      </c>
      <c r="AK2358" s="54" t="s">
        <v>165</v>
      </c>
      <c r="AL2358" s="156" t="s">
        <v>179</v>
      </c>
      <c r="AM2358" s="2073" t="s">
        <v>130</v>
      </c>
      <c r="AN2358" s="1362" t="s">
        <v>131</v>
      </c>
      <c r="AO2358" s="153">
        <v>186.0</v>
      </c>
      <c r="AP2358" s="1289">
        <v>0.602</v>
      </c>
      <c r="AQ2358" s="156" t="s">
        <v>264</v>
      </c>
      <c r="AR2358" s="156" t="s">
        <v>5017</v>
      </c>
      <c r="AS2358" s="153">
        <v>0.001</v>
      </c>
      <c r="AT2358" s="156" t="s">
        <v>128</v>
      </c>
      <c r="AU2358" s="156" t="s">
        <v>179</v>
      </c>
      <c r="AV2358" s="1113" t="s">
        <v>130</v>
      </c>
      <c r="AW2358" s="307" t="s">
        <v>14287</v>
      </c>
      <c r="AX2358" s="156" t="s">
        <v>136</v>
      </c>
      <c r="AZ2358" s="152" t="s">
        <v>13544</v>
      </c>
      <c r="BA2358" s="1775"/>
      <c r="BB2358" s="1775"/>
      <c r="BC2358" s="1775"/>
      <c r="BD2358" s="1775"/>
      <c r="BE2358" s="1775"/>
      <c r="BF2358" s="1775"/>
      <c r="BG2358" s="1775"/>
      <c r="BH2358" s="1775"/>
      <c r="BI2358" s="1775"/>
      <c r="BJ2358" s="1775"/>
      <c r="BK2358" s="1775"/>
      <c r="BL2358" s="1775"/>
      <c r="BM2358" s="1775"/>
      <c r="BN2358" s="1775"/>
      <c r="BO2358" s="1775"/>
      <c r="BP2358" s="1775"/>
      <c r="BQ2358" s="1775"/>
      <c r="BR2358" s="1775"/>
      <c r="BS2358" s="1775"/>
      <c r="BT2358" s="1775"/>
      <c r="BU2358" s="1775"/>
      <c r="BV2358" s="1775"/>
      <c r="BW2358" s="1775"/>
      <c r="BX2358" s="1775"/>
      <c r="BY2358" s="1775"/>
      <c r="BZ2358" s="1775"/>
      <c r="CA2358" s="1775"/>
      <c r="CB2358" s="1775"/>
      <c r="CC2358" s="1775"/>
      <c r="CD2358" s="1775"/>
      <c r="CE2358" s="1775"/>
      <c r="CF2358" s="1775"/>
      <c r="CG2358" s="1775"/>
      <c r="CH2358" s="1775"/>
      <c r="CI2358" s="1775"/>
      <c r="CJ2358" s="1775"/>
      <c r="CK2358" s="1775"/>
      <c r="CL2358" s="1775"/>
      <c r="CM2358" s="1775"/>
      <c r="CN2358" s="1775"/>
      <c r="CO2358" s="1775"/>
      <c r="CP2358" s="1775"/>
      <c r="CQ2358" s="1775"/>
      <c r="CR2358" s="1775"/>
      <c r="CS2358" s="1775"/>
      <c r="CT2358" s="1775"/>
      <c r="CU2358" s="1775"/>
      <c r="CV2358" s="1775"/>
      <c r="CW2358" s="1775"/>
      <c r="CX2358" s="1775"/>
      <c r="CY2358" s="1775"/>
      <c r="CZ2358" s="1775"/>
      <c r="DA2358" s="1775"/>
      <c r="DB2358" s="1775"/>
      <c r="DC2358" s="1775"/>
      <c r="DD2358" s="1775"/>
      <c r="DE2358" s="1775"/>
      <c r="DF2358" s="1775"/>
      <c r="DG2358" s="1775"/>
      <c r="DH2358" s="1775"/>
    </row>
    <row r="2359">
      <c r="A2359" s="41">
        <v>2359.0</v>
      </c>
      <c r="B2359" s="319" t="s">
        <v>145</v>
      </c>
      <c r="C2359" s="146" t="s">
        <v>108</v>
      </c>
      <c r="D2359" s="59" t="s">
        <v>241</v>
      </c>
      <c r="F2359" s="1283" t="s">
        <v>14277</v>
      </c>
      <c r="G2359" s="156" t="s">
        <v>14278</v>
      </c>
      <c r="H2359" s="1284" t="s">
        <v>242</v>
      </c>
      <c r="I2359" s="149">
        <v>45331.0</v>
      </c>
      <c r="J2359" s="150">
        <v>45734.0</v>
      </c>
      <c r="K2359" s="156" t="s">
        <v>14288</v>
      </c>
      <c r="L2359" s="126" t="s">
        <v>14289</v>
      </c>
      <c r="M2359" s="156" t="s">
        <v>14279</v>
      </c>
      <c r="N2359" s="156" t="s">
        <v>14280</v>
      </c>
      <c r="O2359" s="126">
        <v>1.0</v>
      </c>
      <c r="P2359" s="156" t="s">
        <v>14290</v>
      </c>
      <c r="Q2359" s="49" t="str">
        <f t="array" ref="Q2359"> if(iserror(MATCH(V2359, 'File Links'!C:C, 0)), "N/A", HYPERLINK(INDEX('File Links'!B:B, MATCH(P2359, 'File Links'!C:C, 0))))</f>
        <v>https://drive.google.com/file/d/1yWq9VA17bviusA1-gmEWYWL7w6FHKyMI/view?usp=drivesdk</v>
      </c>
      <c r="R2359" s="2020" t="s">
        <v>5015</v>
      </c>
      <c r="S2359" s="156" t="s">
        <v>5016</v>
      </c>
      <c r="T2359" s="1999" t="s">
        <v>14281</v>
      </c>
      <c r="U2359" s="1362">
        <v>7.0</v>
      </c>
      <c r="V2359" s="195" t="str">
        <f t="shared" si="125"/>
        <v>10.1007--s13164-018-0400-9.pdf</v>
      </c>
      <c r="W2359" s="1287" t="s">
        <v>5018</v>
      </c>
      <c r="X2359" s="51" t="str">
        <f t="array" ref="X2359"> if(iserror(MATCH(V2359, 'File Links'!C:C, 0)), "N/A", HYPERLINK(INDEX('File Links'!B:B, MATCH(V2359, 'File Links'!C:C, 0))))</f>
        <v>https://drive.google.com/file/d/1hjI3aqifdfXjWhQAlvKCKKtvjuncAn5M/view?usp=drivesdk</v>
      </c>
      <c r="Y2359" s="65"/>
      <c r="Z2359" s="156" t="s">
        <v>158</v>
      </c>
      <c r="AA2359" s="126" t="s">
        <v>131</v>
      </c>
      <c r="AB2359" s="148" t="s">
        <v>14291</v>
      </c>
      <c r="AC2359" s="1362" t="s">
        <v>14283</v>
      </c>
      <c r="AD2359" s="156" t="s">
        <v>14292</v>
      </c>
      <c r="AE2359" s="156" t="s">
        <v>4966</v>
      </c>
      <c r="AF2359" s="153">
        <v>21.0</v>
      </c>
      <c r="AG2359" s="1288" t="s">
        <v>14286</v>
      </c>
      <c r="AH2359" s="156" t="s">
        <v>127</v>
      </c>
      <c r="AI2359" s="148" t="s">
        <v>2406</v>
      </c>
      <c r="AJ2359" s="376">
        <v>0.016</v>
      </c>
      <c r="AK2359" s="54" t="s">
        <v>165</v>
      </c>
      <c r="AL2359" s="156" t="s">
        <v>179</v>
      </c>
      <c r="AM2359" s="1283" t="s">
        <v>130</v>
      </c>
      <c r="AN2359" s="1362" t="s">
        <v>131</v>
      </c>
      <c r="AO2359" s="153">
        <v>186.0</v>
      </c>
      <c r="AP2359" s="153">
        <v>0.602</v>
      </c>
      <c r="AQ2359" s="156" t="s">
        <v>264</v>
      </c>
      <c r="AR2359" s="148" t="s">
        <v>14293</v>
      </c>
      <c r="AS2359" s="153">
        <v>0.001</v>
      </c>
      <c r="AT2359" s="156" t="s">
        <v>128</v>
      </c>
      <c r="AU2359" s="156" t="s">
        <v>179</v>
      </c>
      <c r="AV2359" s="151" t="s">
        <v>130</v>
      </c>
      <c r="AW2359" s="1381" t="s">
        <v>14287</v>
      </c>
      <c r="AX2359" s="126" t="s">
        <v>136</v>
      </c>
      <c r="AZ2359" s="152" t="s">
        <v>13544</v>
      </c>
    </row>
    <row r="2360">
      <c r="A2360" s="41">
        <v>2360.0</v>
      </c>
      <c r="B2360" s="42" t="s">
        <v>583</v>
      </c>
      <c r="C2360" s="59" t="s">
        <v>108</v>
      </c>
      <c r="D2360" s="59" t="s">
        <v>241</v>
      </c>
      <c r="F2360" s="1283" t="s">
        <v>14294</v>
      </c>
      <c r="G2360" s="156" t="s">
        <v>14295</v>
      </c>
      <c r="H2360" s="1284" t="s">
        <v>242</v>
      </c>
      <c r="I2360" s="149">
        <v>45331.0</v>
      </c>
      <c r="J2360" s="150">
        <v>45734.0</v>
      </c>
      <c r="K2360" s="156" t="s">
        <v>13527</v>
      </c>
      <c r="L2360" s="1057" t="s">
        <v>13528</v>
      </c>
      <c r="M2360" s="156" t="s">
        <v>14296</v>
      </c>
      <c r="N2360" s="156" t="s">
        <v>14297</v>
      </c>
      <c r="O2360" s="126">
        <v>1.0</v>
      </c>
      <c r="P2360" s="156" t="s">
        <v>14298</v>
      </c>
      <c r="Q2360" s="49" t="str">
        <f t="array" ref="Q2360"> if(iserror(MATCH(V2360, 'File Links'!C:C, 0)), "N/A", HYPERLINK(INDEX('File Links'!B:B, MATCH(P2360, 'File Links'!C:C, 0))))</f>
        <v>https://drive.google.com/file/d/1Dc0I6mdR5VNlZdfy9Q6SxLCujdERpq1s/view?usp=drivesdk</v>
      </c>
      <c r="R2360" s="2020" t="s">
        <v>5015</v>
      </c>
      <c r="S2360" s="156" t="s">
        <v>5016</v>
      </c>
      <c r="T2360" s="65"/>
      <c r="U2360" s="65"/>
      <c r="V2360" s="156" t="str">
        <f t="shared" si="125"/>
        <v>10.1007--s13164-018-0400-9.pdf</v>
      </c>
      <c r="W2360" s="1287" t="s">
        <v>5018</v>
      </c>
      <c r="X2360" s="51" t="str">
        <f t="array" ref="X2360"> if(iserror(MATCH(V2360, 'File Links'!C:C, 0)), "N/A", HYPERLINK(INDEX('File Links'!B:B, MATCH(V2360, 'File Links'!C:C, 0))))</f>
        <v>https://drive.google.com/file/d/1hjI3aqifdfXjWhQAlvKCKKtvjuncAn5M/view?usp=drivesdk</v>
      </c>
      <c r="Y2360" s="65"/>
      <c r="Z2360" s="156" t="s">
        <v>158</v>
      </c>
      <c r="AA2360" s="126" t="s">
        <v>131</v>
      </c>
      <c r="AB2360" s="156" t="s">
        <v>5028</v>
      </c>
      <c r="AC2360" s="65"/>
      <c r="AD2360" s="156" t="s">
        <v>131</v>
      </c>
      <c r="AE2360" s="156" t="s">
        <v>131</v>
      </c>
      <c r="AF2360" s="153">
        <v>77.0</v>
      </c>
      <c r="AG2360" s="153">
        <v>0.15</v>
      </c>
      <c r="AH2360" s="156" t="s">
        <v>264</v>
      </c>
      <c r="AI2360" s="336" t="s">
        <v>14299</v>
      </c>
      <c r="AJ2360" s="376">
        <v>0.1756</v>
      </c>
      <c r="AK2360" s="54" t="s">
        <v>165</v>
      </c>
      <c r="AL2360" s="156" t="s">
        <v>179</v>
      </c>
      <c r="AM2360" s="1283" t="s">
        <v>130</v>
      </c>
      <c r="AN2360" s="1362" t="s">
        <v>131</v>
      </c>
      <c r="AO2360" s="153">
        <v>221.0</v>
      </c>
      <c r="AP2360" s="153">
        <v>-0.04</v>
      </c>
      <c r="AQ2360" s="156" t="s">
        <v>264</v>
      </c>
      <c r="AR2360" s="156" t="s">
        <v>14300</v>
      </c>
      <c r="AS2360" s="153">
        <v>0.5151</v>
      </c>
      <c r="AT2360" s="156" t="s">
        <v>165</v>
      </c>
      <c r="AU2360" s="156" t="s">
        <v>179</v>
      </c>
      <c r="AV2360" s="151" t="s">
        <v>130</v>
      </c>
      <c r="AW2360" s="677" t="s">
        <v>14301</v>
      </c>
      <c r="AX2360" s="65"/>
      <c r="AZ2360" s="152" t="s">
        <v>13544</v>
      </c>
    </row>
    <row r="2361">
      <c r="A2361" s="41">
        <v>2361.0</v>
      </c>
      <c r="B2361" s="126" t="s">
        <v>145</v>
      </c>
      <c r="C2361" s="146" t="s">
        <v>108</v>
      </c>
      <c r="D2361" s="59" t="s">
        <v>1263</v>
      </c>
      <c r="F2361" s="1283" t="s">
        <v>14302</v>
      </c>
      <c r="G2361" s="156" t="s">
        <v>14303</v>
      </c>
      <c r="H2361" s="1284" t="s">
        <v>5011</v>
      </c>
      <c r="I2361" s="149">
        <v>45667.0</v>
      </c>
      <c r="J2361" s="150">
        <v>45734.0</v>
      </c>
      <c r="K2361" s="1057" t="s">
        <v>14304</v>
      </c>
      <c r="L2361" s="126" t="s">
        <v>14305</v>
      </c>
      <c r="M2361" s="156" t="s">
        <v>14306</v>
      </c>
      <c r="N2361" s="156" t="s">
        <v>14307</v>
      </c>
      <c r="O2361" s="126">
        <v>1.0</v>
      </c>
      <c r="P2361" s="156" t="str">
        <f>SUBSTITUTE(LOWER(N2361), "/", "--") &amp;  ".pdf"</f>
        <v>10.1080--09515080500177309.pdf</v>
      </c>
      <c r="Q2361" s="49" t="str">
        <f t="array" ref="Q2361"> if(iserror(MATCH(V2361, 'File Links'!C:C, 0)), "N/A", HYPERLINK(INDEX('File Links'!B:B, MATCH(P2361, 'File Links'!C:C, 0))))</f>
        <v>https://drive.google.com/file/d/1wEFZG_VXnD2cJrOMtVKNCAqucbV5WQV9/view?usp=drivesdk</v>
      </c>
      <c r="R2361" s="2020" t="s">
        <v>5015</v>
      </c>
      <c r="S2361" s="307" t="s">
        <v>5016</v>
      </c>
      <c r="T2361" s="307" t="s">
        <v>5017</v>
      </c>
      <c r="U2361" s="153">
        <v>9.0</v>
      </c>
      <c r="V2361" s="195" t="str">
        <f t="shared" si="125"/>
        <v>10.1007--s13164-018-0400-9.pdf</v>
      </c>
      <c r="W2361" s="1287" t="s">
        <v>5018</v>
      </c>
      <c r="X2361" s="51" t="str">
        <f t="array" ref="X2361"> if(iserror(MATCH(V2361, 'File Links'!C:C, 0)), "N/A", HYPERLINK(INDEX('File Links'!B:B, MATCH(V2361, 'File Links'!C:C, 0))))</f>
        <v>https://drive.google.com/file/d/1hjI3aqifdfXjWhQAlvKCKKtvjuncAn5M/view?usp=drivesdk</v>
      </c>
      <c r="Y2361" s="65"/>
      <c r="Z2361" s="156" t="s">
        <v>158</v>
      </c>
      <c r="AA2361" s="126" t="s">
        <v>131</v>
      </c>
      <c r="AB2361" s="148" t="s">
        <v>14308</v>
      </c>
      <c r="AC2361" s="1362" t="s">
        <v>14309</v>
      </c>
      <c r="AD2361" s="156" t="s">
        <v>14310</v>
      </c>
      <c r="AE2361" s="156" t="s">
        <v>14311</v>
      </c>
      <c r="AF2361" s="153">
        <v>40.0</v>
      </c>
      <c r="AG2361" s="1362">
        <v>0.45</v>
      </c>
      <c r="AH2361" s="1362" t="s">
        <v>264</v>
      </c>
      <c r="AI2361" s="1113" t="s">
        <v>14312</v>
      </c>
      <c r="AJ2361" s="2071">
        <v>0.004</v>
      </c>
      <c r="AK2361" s="2072" t="s">
        <v>165</v>
      </c>
      <c r="AL2361" s="1112" t="s">
        <v>179</v>
      </c>
      <c r="AM2361" s="2073" t="s">
        <v>130</v>
      </c>
      <c r="AN2361" s="1362" t="s">
        <v>131</v>
      </c>
      <c r="AO2361" s="153">
        <v>123.0</v>
      </c>
      <c r="AP2361" s="1289">
        <v>0.38</v>
      </c>
      <c r="AQ2361" s="156" t="s">
        <v>264</v>
      </c>
      <c r="AR2361" s="1113" t="s">
        <v>14313</v>
      </c>
      <c r="AS2361" s="1114">
        <v>2.3E-5</v>
      </c>
      <c r="AT2361" s="1113" t="s">
        <v>165</v>
      </c>
      <c r="AU2361" s="1113" t="s">
        <v>179</v>
      </c>
      <c r="AV2361" s="156" t="s">
        <v>130</v>
      </c>
      <c r="AW2361" s="307" t="s">
        <v>14314</v>
      </c>
      <c r="AX2361" s="156" t="s">
        <v>136</v>
      </c>
      <c r="AZ2361" s="152" t="s">
        <v>13544</v>
      </c>
    </row>
    <row r="2362">
      <c r="A2362" s="41">
        <v>2362.0</v>
      </c>
      <c r="B2362" s="319" t="s">
        <v>107</v>
      </c>
      <c r="C2362" s="146" t="s">
        <v>108</v>
      </c>
      <c r="D2362" s="59" t="s">
        <v>241</v>
      </c>
      <c r="F2362" s="1283" t="s">
        <v>14302</v>
      </c>
      <c r="G2362" s="156" t="s">
        <v>14303</v>
      </c>
      <c r="H2362" s="1284" t="s">
        <v>242</v>
      </c>
      <c r="I2362" s="149">
        <v>45331.0</v>
      </c>
      <c r="J2362" s="150">
        <v>45734.0</v>
      </c>
      <c r="K2362" s="156" t="s">
        <v>14315</v>
      </c>
      <c r="L2362" s="2074" t="s">
        <v>14316</v>
      </c>
      <c r="M2362" s="156" t="s">
        <v>14306</v>
      </c>
      <c r="N2362" s="156" t="s">
        <v>14307</v>
      </c>
      <c r="O2362" s="126">
        <v>1.0</v>
      </c>
      <c r="P2362" s="156" t="s">
        <v>14317</v>
      </c>
      <c r="Q2362" s="49" t="str">
        <f t="array" ref="Q2362"> if(iserror(MATCH(V2362, 'File Links'!C:C, 0)), "N/A", HYPERLINK(INDEX('File Links'!B:B, MATCH(P2362, 'File Links'!C:C, 0))))</f>
        <v>https://drive.google.com/file/d/1wEFZG_VXnD2cJrOMtVKNCAqucbV5WQV9/view?usp=drivesdk</v>
      </c>
      <c r="R2362" s="2020" t="s">
        <v>5015</v>
      </c>
      <c r="S2362" s="156" t="s">
        <v>5016</v>
      </c>
      <c r="T2362" s="65"/>
      <c r="U2362" s="1090">
        <v>9.0</v>
      </c>
      <c r="V2362" s="195" t="str">
        <f t="shared" si="125"/>
        <v>10.1007--s13164-018-0400-9.pdf</v>
      </c>
      <c r="W2362" s="1287" t="s">
        <v>5018</v>
      </c>
      <c r="X2362" s="51" t="str">
        <f t="array" ref="X2362"> if(iserror(MATCH(V2362, 'File Links'!C:C, 0)), "N/A", HYPERLINK(INDEX('File Links'!B:B, MATCH(V2362, 'File Links'!C:C, 0))))</f>
        <v>https://drive.google.com/file/d/1hjI3aqifdfXjWhQAlvKCKKtvjuncAn5M/view?usp=drivesdk</v>
      </c>
      <c r="Y2362" s="65"/>
      <c r="Z2362" s="156" t="s">
        <v>158</v>
      </c>
      <c r="AA2362" s="126" t="s">
        <v>131</v>
      </c>
      <c r="AB2362" s="148" t="s">
        <v>14318</v>
      </c>
      <c r="AC2362" s="1362" t="s">
        <v>14309</v>
      </c>
      <c r="AD2362" s="1112" t="s">
        <v>14310</v>
      </c>
      <c r="AE2362" s="1112" t="s">
        <v>14311</v>
      </c>
      <c r="AF2362" s="153">
        <v>40.0</v>
      </c>
      <c r="AG2362" s="153">
        <v>0.45</v>
      </c>
      <c r="AH2362" s="156" t="s">
        <v>264</v>
      </c>
      <c r="AI2362" s="1113" t="s">
        <v>14312</v>
      </c>
      <c r="AJ2362" s="376">
        <v>0.004</v>
      </c>
      <c r="AK2362" s="54" t="s">
        <v>165</v>
      </c>
      <c r="AL2362" s="156" t="s">
        <v>179</v>
      </c>
      <c r="AM2362" s="1283" t="s">
        <v>130</v>
      </c>
      <c r="AN2362" s="1113" t="s">
        <v>131</v>
      </c>
      <c r="AO2362" s="1056">
        <v>128.0</v>
      </c>
      <c r="AP2362" s="153">
        <v>0.38</v>
      </c>
      <c r="AQ2362" s="156" t="s">
        <v>264</v>
      </c>
      <c r="AR2362" s="1113" t="s">
        <v>14313</v>
      </c>
      <c r="AS2362" s="1114">
        <v>2.3E-5</v>
      </c>
      <c r="AT2362" s="1113" t="s">
        <v>165</v>
      </c>
      <c r="AU2362" s="156" t="s">
        <v>179</v>
      </c>
      <c r="AV2362" s="151" t="s">
        <v>130</v>
      </c>
      <c r="AW2362" s="1381" t="s">
        <v>14314</v>
      </c>
      <c r="AX2362" s="1362" t="s">
        <v>136</v>
      </c>
      <c r="AZ2362" s="152" t="s">
        <v>13544</v>
      </c>
    </row>
    <row r="2363">
      <c r="A2363" s="41">
        <v>2363.0</v>
      </c>
      <c r="B2363" s="126" t="s">
        <v>516</v>
      </c>
      <c r="C2363" s="59" t="s">
        <v>108</v>
      </c>
      <c r="D2363" s="59" t="s">
        <v>1263</v>
      </c>
      <c r="F2363" s="43"/>
      <c r="G2363" s="357" t="s">
        <v>2888</v>
      </c>
      <c r="H2363" s="357" t="s">
        <v>2060</v>
      </c>
      <c r="I2363" s="341">
        <v>45473.0</v>
      </c>
      <c r="J2363" s="341">
        <v>45695.0</v>
      </c>
      <c r="K2363" s="357" t="s">
        <v>2913</v>
      </c>
      <c r="L2363" s="43"/>
      <c r="M2363" s="357" t="s">
        <v>2890</v>
      </c>
      <c r="N2363" s="357" t="s">
        <v>2891</v>
      </c>
      <c r="O2363" s="43"/>
      <c r="P2363" s="156" t="str">
        <f t="shared" ref="P2363:P2387" si="137">SUBSTITUTE(LOWER(N2363), "/", "--") &amp;  ".pdf"</f>
        <v>10.1017--s0007123421000557.pdf</v>
      </c>
      <c r="Q2363" s="49" t="str">
        <f t="array" ref="Q2363"> if(iserror(MATCH(V2363, 'File Links'!C:C, 0)), "N/A", HYPERLINK(INDEX('File Links'!B:B, MATCH(P2363, 'File Links'!C:C, 0))))</f>
        <v>https://drive.google.com/file/d/1YQ1rwTK8fHHydlCOqvw62rr4BQnhJ7v4/view?usp=drivesdk</v>
      </c>
      <c r="R2363" s="357" t="s">
        <v>2893</v>
      </c>
      <c r="S2363" s="357" t="s">
        <v>2894</v>
      </c>
      <c r="T2363" s="43"/>
      <c r="U2363" s="43"/>
      <c r="V2363" s="195" t="str">
        <f t="shared" si="125"/>
        <v>10.1080--15614263.2023.2185241.pdf</v>
      </c>
      <c r="W2363" s="357" t="s">
        <v>202</v>
      </c>
      <c r="X2363" s="51" t="str">
        <f t="array" ref="X2363"> if(iserror(MATCH(V2363, 'File Links'!C:C, 0)), "N/A", HYPERLINK(INDEX('File Links'!B:B, MATCH(V2363, 'File Links'!C:C, 0))))</f>
        <v>https://drive.google.com/file/d/15ZlJQ8dYoTyaoh7HgVjWxbumKbhPC9XU/view?usp=drivesdk</v>
      </c>
      <c r="Y2363" s="43"/>
      <c r="Z2363" s="357" t="s">
        <v>121</v>
      </c>
      <c r="AA2363" s="357" t="s">
        <v>2914</v>
      </c>
      <c r="AB2363" s="357" t="s">
        <v>2915</v>
      </c>
      <c r="AC2363" s="357" t="s">
        <v>2916</v>
      </c>
      <c r="AD2363" s="357" t="s">
        <v>14319</v>
      </c>
      <c r="AE2363" s="357" t="s">
        <v>2918</v>
      </c>
      <c r="AF2363" s="354">
        <v>47.0</v>
      </c>
      <c r="AG2363" s="357" t="s">
        <v>14320</v>
      </c>
      <c r="AH2363" s="43"/>
      <c r="AI2363" s="357" t="s">
        <v>429</v>
      </c>
      <c r="AJ2363" s="354">
        <v>0.05</v>
      </c>
      <c r="AK2363" s="357" t="s">
        <v>165</v>
      </c>
      <c r="AL2363" s="357" t="s">
        <v>179</v>
      </c>
      <c r="AM2363" s="43" t="s">
        <v>134</v>
      </c>
      <c r="AN2363" s="43"/>
      <c r="AO2363" s="354">
        <v>132.0</v>
      </c>
      <c r="AP2363" s="357" t="s">
        <v>14321</v>
      </c>
      <c r="AQ2363" s="357" t="s">
        <v>127</v>
      </c>
      <c r="AR2363" s="357" t="s">
        <v>2921</v>
      </c>
      <c r="AS2363" s="354">
        <v>0.422</v>
      </c>
      <c r="AT2363" s="357" t="s">
        <v>165</v>
      </c>
      <c r="AU2363" s="357" t="s">
        <v>179</v>
      </c>
      <c r="AV2363" s="43" t="s">
        <v>134</v>
      </c>
      <c r="AW2363" s="56" t="s">
        <v>2922</v>
      </c>
      <c r="AX2363" s="43" t="s">
        <v>144</v>
      </c>
    </row>
    <row r="2364">
      <c r="A2364" s="41">
        <v>2364.0</v>
      </c>
      <c r="B2364" s="126" t="s">
        <v>516</v>
      </c>
      <c r="C2364" s="59" t="s">
        <v>108</v>
      </c>
      <c r="D2364" s="59" t="s">
        <v>1263</v>
      </c>
      <c r="F2364" s="43"/>
      <c r="G2364" s="357" t="s">
        <v>2888</v>
      </c>
      <c r="H2364" s="357" t="s">
        <v>2060</v>
      </c>
      <c r="I2364" s="341">
        <v>45473.0</v>
      </c>
      <c r="J2364" s="341">
        <v>45695.0</v>
      </c>
      <c r="K2364" s="357" t="s">
        <v>2913</v>
      </c>
      <c r="L2364" s="43"/>
      <c r="M2364" s="357" t="s">
        <v>2890</v>
      </c>
      <c r="N2364" s="357" t="s">
        <v>2891</v>
      </c>
      <c r="O2364" s="43"/>
      <c r="P2364" s="156" t="str">
        <f t="shared" si="137"/>
        <v>10.1017--s0007123421000557.pdf</v>
      </c>
      <c r="Q2364" s="49" t="str">
        <f t="array" ref="Q2364"> if(iserror(MATCH(V2364, 'File Links'!C:C, 0)), "N/A", HYPERLINK(INDEX('File Links'!B:B, MATCH(P2364, 'File Links'!C:C, 0))))</f>
        <v>https://drive.google.com/file/d/1YQ1rwTK8fHHydlCOqvw62rr4BQnhJ7v4/view?usp=drivesdk</v>
      </c>
      <c r="R2364" s="357" t="s">
        <v>2893</v>
      </c>
      <c r="S2364" s="357" t="s">
        <v>2894</v>
      </c>
      <c r="T2364" s="43"/>
      <c r="U2364" s="43"/>
      <c r="V2364" s="195" t="str">
        <f t="shared" si="125"/>
        <v>10.1080--15614263.2023.2185241.pdf</v>
      </c>
      <c r="W2364" s="357" t="s">
        <v>202</v>
      </c>
      <c r="X2364" s="51" t="str">
        <f t="array" ref="X2364"> if(iserror(MATCH(V2364, 'File Links'!C:C, 0)), "N/A", HYPERLINK(INDEX('File Links'!B:B, MATCH(V2364, 'File Links'!C:C, 0))))</f>
        <v>https://drive.google.com/file/d/15ZlJQ8dYoTyaoh7HgVjWxbumKbhPC9XU/view?usp=drivesdk</v>
      </c>
      <c r="Y2364" s="43"/>
      <c r="Z2364" s="357" t="s">
        <v>121</v>
      </c>
      <c r="AA2364" s="357" t="s">
        <v>2914</v>
      </c>
      <c r="AB2364" s="357" t="s">
        <v>2915</v>
      </c>
      <c r="AC2364" s="357" t="s">
        <v>2916</v>
      </c>
      <c r="AD2364" s="357" t="s">
        <v>14322</v>
      </c>
      <c r="AE2364" s="357" t="s">
        <v>2918</v>
      </c>
      <c r="AF2364" s="354">
        <v>47.0</v>
      </c>
      <c r="AG2364" s="357" t="s">
        <v>14323</v>
      </c>
      <c r="AH2364" s="43"/>
      <c r="AI2364" s="357" t="s">
        <v>429</v>
      </c>
      <c r="AJ2364" s="354">
        <v>0.004</v>
      </c>
      <c r="AK2364" s="357" t="s">
        <v>165</v>
      </c>
      <c r="AL2364" s="357" t="s">
        <v>179</v>
      </c>
      <c r="AM2364" s="43" t="s">
        <v>134</v>
      </c>
      <c r="AN2364" s="43"/>
      <c r="AO2364" s="354">
        <v>143.0</v>
      </c>
      <c r="AP2364" s="357" t="s">
        <v>14324</v>
      </c>
      <c r="AQ2364" s="357" t="s">
        <v>127</v>
      </c>
      <c r="AR2364" s="357" t="s">
        <v>2921</v>
      </c>
      <c r="AS2364" s="354">
        <v>0.908</v>
      </c>
      <c r="AT2364" s="357" t="s">
        <v>165</v>
      </c>
      <c r="AU2364" s="357" t="s">
        <v>179</v>
      </c>
      <c r="AV2364" s="43" t="s">
        <v>134</v>
      </c>
      <c r="AW2364" s="56" t="s">
        <v>2922</v>
      </c>
      <c r="AX2364" s="43" t="s">
        <v>144</v>
      </c>
    </row>
    <row r="2365">
      <c r="A2365" s="41">
        <v>2365.0</v>
      </c>
      <c r="B2365" s="126" t="s">
        <v>516</v>
      </c>
      <c r="C2365" s="59" t="s">
        <v>108</v>
      </c>
      <c r="D2365" s="59" t="s">
        <v>1263</v>
      </c>
      <c r="F2365" s="65"/>
      <c r="G2365" s="156" t="s">
        <v>9486</v>
      </c>
      <c r="H2365" s="156" t="s">
        <v>5011</v>
      </c>
      <c r="I2365" s="149">
        <v>45478.0</v>
      </c>
      <c r="J2365" s="149">
        <v>45681.0</v>
      </c>
      <c r="K2365" s="156" t="s">
        <v>9502</v>
      </c>
      <c r="L2365" s="65"/>
      <c r="M2365" s="156" t="s">
        <v>9487</v>
      </c>
      <c r="N2365" s="156" t="s">
        <v>9488</v>
      </c>
      <c r="O2365" s="65"/>
      <c r="P2365" s="156" t="str">
        <f t="shared" si="137"/>
        <v>10.1002--soej.12223.pdf</v>
      </c>
      <c r="Q2365" s="49" t="str">
        <f t="array" ref="Q2365"> if(iserror(MATCH(V2365, 'File Links'!C:C, 0)), "N/A", HYPERLINK(INDEX('File Links'!B:B, MATCH(P2365, 'File Links'!C:C, 0))))</f>
        <v>https://drive.google.com/file/d/1MSm1yoidPn8M-5atsMIFyyg354c4jcsA/view?usp=drivesdk</v>
      </c>
      <c r="R2365" s="156" t="s">
        <v>9490</v>
      </c>
      <c r="S2365" s="156" t="s">
        <v>9491</v>
      </c>
      <c r="T2365" s="65"/>
      <c r="U2365" s="65"/>
      <c r="V2365" s="195" t="str">
        <f t="shared" si="125"/>
        <v>10.18718--81781.27.pdf</v>
      </c>
      <c r="W2365" s="156" t="s">
        <v>6603</v>
      </c>
      <c r="X2365" s="51" t="str">
        <f t="array" ref="X2365"> if(iserror(MATCH(V2365, 'File Links'!C:C, 0)), "N/A", HYPERLINK(INDEX('File Links'!B:B, MATCH(V2365, 'File Links'!C:C, 0))))</f>
        <v>https://drive.google.com/file/d/1B0bpIVPknZVh5AfVAO6FnFkgh37GF9dx/view?usp=drivesdk</v>
      </c>
      <c r="Y2365" s="65"/>
      <c r="Z2365" s="156" t="s">
        <v>1802</v>
      </c>
      <c r="AA2365" s="65"/>
      <c r="AB2365" s="156" t="s">
        <v>9503</v>
      </c>
      <c r="AC2365" s="1062"/>
      <c r="AD2365" s="156" t="s">
        <v>14325</v>
      </c>
      <c r="AE2365" s="156" t="s">
        <v>9505</v>
      </c>
      <c r="AF2365" s="153">
        <v>70.0</v>
      </c>
      <c r="AG2365" s="153">
        <v>0.718</v>
      </c>
      <c r="AH2365" s="156" t="s">
        <v>166</v>
      </c>
      <c r="AI2365" s="156" t="s">
        <v>843</v>
      </c>
      <c r="AJ2365" s="153">
        <v>0.001</v>
      </c>
      <c r="AK2365" s="156" t="s">
        <v>165</v>
      </c>
      <c r="AL2365" s="156" t="s">
        <v>179</v>
      </c>
      <c r="AM2365" s="65" t="s">
        <v>130</v>
      </c>
      <c r="AN2365" s="327" t="s">
        <v>131</v>
      </c>
      <c r="AO2365" s="153">
        <v>74.0</v>
      </c>
      <c r="AP2365" s="153">
        <v>0.212</v>
      </c>
      <c r="AQ2365" s="156" t="s">
        <v>166</v>
      </c>
      <c r="AR2365" s="156" t="s">
        <v>843</v>
      </c>
      <c r="AS2365" s="153">
        <v>0.725</v>
      </c>
      <c r="AT2365" s="156" t="s">
        <v>165</v>
      </c>
      <c r="AU2365" s="156" t="s">
        <v>179</v>
      </c>
      <c r="AV2365" s="65" t="s">
        <v>130</v>
      </c>
      <c r="AW2365" s="65"/>
      <c r="AX2365" s="65" t="s">
        <v>136</v>
      </c>
    </row>
    <row r="2366">
      <c r="A2366" s="41">
        <v>2366.0</v>
      </c>
      <c r="B2366" s="126" t="s">
        <v>516</v>
      </c>
      <c r="C2366" s="59" t="s">
        <v>108</v>
      </c>
      <c r="D2366" s="59" t="s">
        <v>1263</v>
      </c>
      <c r="F2366" s="65"/>
      <c r="G2366" s="156" t="s">
        <v>9486</v>
      </c>
      <c r="H2366" s="156" t="s">
        <v>5011</v>
      </c>
      <c r="I2366" s="149">
        <v>45478.0</v>
      </c>
      <c r="J2366" s="149">
        <v>45681.0</v>
      </c>
      <c r="K2366" s="156" t="s">
        <v>9502</v>
      </c>
      <c r="L2366" s="65"/>
      <c r="M2366" s="156" t="s">
        <v>9487</v>
      </c>
      <c r="N2366" s="156" t="s">
        <v>9488</v>
      </c>
      <c r="O2366" s="65"/>
      <c r="P2366" s="156" t="str">
        <f t="shared" si="137"/>
        <v>10.1002--soej.12223.pdf</v>
      </c>
      <c r="Q2366" s="49" t="str">
        <f t="array" ref="Q2366"> if(iserror(MATCH(V2366, 'File Links'!C:C, 0)), "N/A", HYPERLINK(INDEX('File Links'!B:B, MATCH(P2366, 'File Links'!C:C, 0))))</f>
        <v>https://drive.google.com/file/d/1MSm1yoidPn8M-5atsMIFyyg354c4jcsA/view?usp=drivesdk</v>
      </c>
      <c r="R2366" s="156" t="s">
        <v>9490</v>
      </c>
      <c r="S2366" s="156" t="s">
        <v>9491</v>
      </c>
      <c r="T2366" s="65"/>
      <c r="U2366" s="65"/>
      <c r="V2366" s="195" t="str">
        <f t="shared" si="125"/>
        <v>10.18718--81781.27.pdf</v>
      </c>
      <c r="W2366" s="156" t="s">
        <v>6603</v>
      </c>
      <c r="X2366" s="51" t="str">
        <f t="array" ref="X2366"> if(iserror(MATCH(V2366, 'File Links'!C:C, 0)), "N/A", HYPERLINK(INDEX('File Links'!B:B, MATCH(V2366, 'File Links'!C:C, 0))))</f>
        <v>https://drive.google.com/file/d/1B0bpIVPknZVh5AfVAO6FnFkgh37GF9dx/view?usp=drivesdk</v>
      </c>
      <c r="Y2366" s="65"/>
      <c r="Z2366" s="156" t="s">
        <v>1802</v>
      </c>
      <c r="AA2366" s="65"/>
      <c r="AB2366" s="156" t="s">
        <v>9503</v>
      </c>
      <c r="AC2366" s="1062"/>
      <c r="AD2366" s="156" t="s">
        <v>14326</v>
      </c>
      <c r="AE2366" s="156" t="s">
        <v>9505</v>
      </c>
      <c r="AF2366" s="153">
        <v>70.0</v>
      </c>
      <c r="AG2366" s="153">
        <v>0.552</v>
      </c>
      <c r="AH2366" s="156" t="s">
        <v>166</v>
      </c>
      <c r="AI2366" s="156" t="s">
        <v>843</v>
      </c>
      <c r="AJ2366" s="153">
        <v>0.039</v>
      </c>
      <c r="AK2366" s="156" t="s">
        <v>165</v>
      </c>
      <c r="AL2366" s="156" t="s">
        <v>179</v>
      </c>
      <c r="AM2366" s="65" t="s">
        <v>130</v>
      </c>
      <c r="AN2366" s="327" t="s">
        <v>131</v>
      </c>
      <c r="AO2366" s="153">
        <v>63.0</v>
      </c>
      <c r="AP2366" s="153">
        <v>0.031</v>
      </c>
      <c r="AQ2366" s="156" t="s">
        <v>166</v>
      </c>
      <c r="AR2366" s="156" t="s">
        <v>843</v>
      </c>
      <c r="AS2366" s="153">
        <v>0.927</v>
      </c>
      <c r="AT2366" s="156" t="s">
        <v>165</v>
      </c>
      <c r="AU2366" s="156" t="s">
        <v>179</v>
      </c>
      <c r="AV2366" s="65" t="s">
        <v>130</v>
      </c>
      <c r="AW2366" s="65"/>
      <c r="AX2366" s="65" t="s">
        <v>136</v>
      </c>
    </row>
    <row r="2367">
      <c r="A2367" s="41">
        <v>2367.0</v>
      </c>
      <c r="B2367" s="126" t="s">
        <v>516</v>
      </c>
      <c r="C2367" s="59" t="s">
        <v>108</v>
      </c>
      <c r="D2367" s="59" t="s">
        <v>1263</v>
      </c>
      <c r="F2367" s="65"/>
      <c r="G2367" s="156" t="s">
        <v>9486</v>
      </c>
      <c r="H2367" s="156" t="s">
        <v>5011</v>
      </c>
      <c r="I2367" s="149">
        <v>45478.0</v>
      </c>
      <c r="J2367" s="149">
        <v>45681.0</v>
      </c>
      <c r="K2367" s="156" t="s">
        <v>9502</v>
      </c>
      <c r="L2367" s="65"/>
      <c r="M2367" s="156" t="s">
        <v>9487</v>
      </c>
      <c r="N2367" s="156" t="s">
        <v>9488</v>
      </c>
      <c r="O2367" s="65"/>
      <c r="P2367" s="156" t="str">
        <f t="shared" si="137"/>
        <v>10.1002--soej.12223.pdf</v>
      </c>
      <c r="Q2367" s="49" t="str">
        <f t="array" ref="Q2367"> if(iserror(MATCH(V2367, 'File Links'!C:C, 0)), "N/A", HYPERLINK(INDEX('File Links'!B:B, MATCH(P2367, 'File Links'!C:C, 0))))</f>
        <v>https://drive.google.com/file/d/1MSm1yoidPn8M-5atsMIFyyg354c4jcsA/view?usp=drivesdk</v>
      </c>
      <c r="R2367" s="156" t="s">
        <v>9490</v>
      </c>
      <c r="S2367" s="156" t="s">
        <v>9491</v>
      </c>
      <c r="T2367" s="65"/>
      <c r="U2367" s="65"/>
      <c r="V2367" s="195" t="str">
        <f t="shared" si="125"/>
        <v>10.18718--81781.27.pdf</v>
      </c>
      <c r="W2367" s="156" t="s">
        <v>6603</v>
      </c>
      <c r="X2367" s="51" t="str">
        <f t="array" ref="X2367"> if(iserror(MATCH(V2367, 'File Links'!C:C, 0)), "N/A", HYPERLINK(INDEX('File Links'!B:B, MATCH(V2367, 'File Links'!C:C, 0))))</f>
        <v>https://drive.google.com/file/d/1B0bpIVPknZVh5AfVAO6FnFkgh37GF9dx/view?usp=drivesdk</v>
      </c>
      <c r="Y2367" s="65"/>
      <c r="Z2367" s="156" t="s">
        <v>1802</v>
      </c>
      <c r="AA2367" s="65"/>
      <c r="AB2367" s="156" t="s">
        <v>9503</v>
      </c>
      <c r="AC2367" s="1062"/>
      <c r="AD2367" s="156" t="s">
        <v>14327</v>
      </c>
      <c r="AE2367" s="156" t="s">
        <v>9505</v>
      </c>
      <c r="AF2367" s="153">
        <v>70.0</v>
      </c>
      <c r="AG2367" s="153">
        <v>0.059</v>
      </c>
      <c r="AH2367" s="156" t="s">
        <v>166</v>
      </c>
      <c r="AI2367" s="156" t="s">
        <v>843</v>
      </c>
      <c r="AJ2367" s="153">
        <v>0.594</v>
      </c>
      <c r="AK2367" s="156" t="s">
        <v>165</v>
      </c>
      <c r="AL2367" s="156" t="s">
        <v>179</v>
      </c>
      <c r="AM2367" s="65" t="s">
        <v>130</v>
      </c>
      <c r="AN2367" s="327" t="s">
        <v>131</v>
      </c>
      <c r="AO2367" s="153">
        <v>69.0</v>
      </c>
      <c r="AP2367" s="2075" t="s">
        <v>14328</v>
      </c>
      <c r="AQ2367" s="156" t="s">
        <v>166</v>
      </c>
      <c r="AR2367" s="156" t="s">
        <v>843</v>
      </c>
      <c r="AS2367" s="153">
        <v>0.699</v>
      </c>
      <c r="AT2367" s="156" t="s">
        <v>165</v>
      </c>
      <c r="AU2367" s="156" t="s">
        <v>179</v>
      </c>
      <c r="AV2367" s="65" t="s">
        <v>130</v>
      </c>
      <c r="AW2367" s="65"/>
      <c r="AX2367" s="65" t="s">
        <v>136</v>
      </c>
    </row>
    <row r="2368">
      <c r="A2368" s="41">
        <v>2368.0</v>
      </c>
      <c r="B2368" s="126" t="s">
        <v>516</v>
      </c>
      <c r="C2368" s="59" t="s">
        <v>108</v>
      </c>
      <c r="D2368" s="59" t="s">
        <v>1263</v>
      </c>
      <c r="F2368" s="65"/>
      <c r="G2368" s="156" t="s">
        <v>9486</v>
      </c>
      <c r="H2368" s="156" t="s">
        <v>5011</v>
      </c>
      <c r="I2368" s="149">
        <v>45478.0</v>
      </c>
      <c r="J2368" s="149">
        <v>45681.0</v>
      </c>
      <c r="K2368" s="156" t="s">
        <v>9502</v>
      </c>
      <c r="L2368" s="65"/>
      <c r="M2368" s="156" t="s">
        <v>9487</v>
      </c>
      <c r="N2368" s="156" t="s">
        <v>9488</v>
      </c>
      <c r="O2368" s="65"/>
      <c r="P2368" s="156" t="str">
        <f t="shared" si="137"/>
        <v>10.1002--soej.12223.pdf</v>
      </c>
      <c r="Q2368" s="49" t="str">
        <f t="array" ref="Q2368"> if(iserror(MATCH(V2368, 'File Links'!C:C, 0)), "N/A", HYPERLINK(INDEX('File Links'!B:B, MATCH(P2368, 'File Links'!C:C, 0))))</f>
        <v>https://drive.google.com/file/d/1MSm1yoidPn8M-5atsMIFyyg354c4jcsA/view?usp=drivesdk</v>
      </c>
      <c r="R2368" s="156" t="s">
        <v>9490</v>
      </c>
      <c r="S2368" s="156" t="s">
        <v>9491</v>
      </c>
      <c r="T2368" s="65"/>
      <c r="U2368" s="65"/>
      <c r="V2368" s="195" t="str">
        <f t="shared" si="125"/>
        <v>10.18718--81781.27.pdf</v>
      </c>
      <c r="W2368" s="156" t="s">
        <v>6603</v>
      </c>
      <c r="X2368" s="51" t="str">
        <f t="array" ref="X2368"> if(iserror(MATCH(V2368, 'File Links'!C:C, 0)), "N/A", HYPERLINK(INDEX('File Links'!B:B, MATCH(V2368, 'File Links'!C:C, 0))))</f>
        <v>https://drive.google.com/file/d/1B0bpIVPknZVh5AfVAO6FnFkgh37GF9dx/view?usp=drivesdk</v>
      </c>
      <c r="Y2368" s="65"/>
      <c r="Z2368" s="156" t="s">
        <v>1802</v>
      </c>
      <c r="AA2368" s="65"/>
      <c r="AB2368" s="156" t="s">
        <v>9503</v>
      </c>
      <c r="AC2368" s="1062"/>
      <c r="AD2368" s="156" t="s">
        <v>14329</v>
      </c>
      <c r="AE2368" s="156" t="s">
        <v>9505</v>
      </c>
      <c r="AF2368" s="153">
        <v>70.0</v>
      </c>
      <c r="AG2368" s="2075" t="s">
        <v>14330</v>
      </c>
      <c r="AH2368" s="156" t="s">
        <v>166</v>
      </c>
      <c r="AI2368" s="156" t="s">
        <v>843</v>
      </c>
      <c r="AJ2368" s="153">
        <v>1.0E-4</v>
      </c>
      <c r="AK2368" s="156" t="s">
        <v>165</v>
      </c>
      <c r="AL2368" s="156" t="s">
        <v>179</v>
      </c>
      <c r="AM2368" s="65" t="s">
        <v>130</v>
      </c>
      <c r="AN2368" s="327" t="s">
        <v>131</v>
      </c>
      <c r="AO2368" s="153">
        <v>67.0</v>
      </c>
      <c r="AP2368" s="2075" t="s">
        <v>14331</v>
      </c>
      <c r="AQ2368" s="156" t="s">
        <v>166</v>
      </c>
      <c r="AR2368" s="156" t="s">
        <v>843</v>
      </c>
      <c r="AS2368" s="153">
        <v>0.655</v>
      </c>
      <c r="AT2368" s="156" t="s">
        <v>165</v>
      </c>
      <c r="AU2368" s="156" t="s">
        <v>179</v>
      </c>
      <c r="AV2368" s="65" t="s">
        <v>130</v>
      </c>
      <c r="AW2368" s="65"/>
      <c r="AX2368" s="65" t="s">
        <v>136</v>
      </c>
    </row>
    <row r="2369">
      <c r="A2369" s="41">
        <v>2369.0</v>
      </c>
      <c r="B2369" s="126" t="s">
        <v>516</v>
      </c>
      <c r="C2369" s="59" t="s">
        <v>108</v>
      </c>
      <c r="D2369" s="59" t="s">
        <v>1263</v>
      </c>
      <c r="F2369" s="65"/>
      <c r="G2369" s="156" t="s">
        <v>9516</v>
      </c>
      <c r="H2369" s="156" t="s">
        <v>5011</v>
      </c>
      <c r="I2369" s="859"/>
      <c r="J2369" s="149">
        <v>45681.0</v>
      </c>
      <c r="K2369" s="156" t="s">
        <v>14332</v>
      </c>
      <c r="L2369" s="65"/>
      <c r="M2369" s="156" t="s">
        <v>9517</v>
      </c>
      <c r="N2369" s="156" t="s">
        <v>9518</v>
      </c>
      <c r="O2369" s="65"/>
      <c r="P2369" s="156" t="str">
        <f t="shared" si="137"/>
        <v>10.1162--rest_a_00258.pdf</v>
      </c>
      <c r="Q2369" s="49" t="str">
        <f t="array" ref="Q2369"> if(iserror(MATCH(V2369, 'File Links'!C:C, 0)), "N/A", HYPERLINK(INDEX('File Links'!B:B, MATCH(P2369, 'File Links'!C:C, 0))))</f>
        <v>https://drive.google.com/file/d/11AH2LlIZsd9ZFfFjWFxFf5MBHzmbtt8i/view?usp=drivesdk</v>
      </c>
      <c r="R2369" s="156" t="s">
        <v>9520</v>
      </c>
      <c r="S2369" s="156" t="s">
        <v>9521</v>
      </c>
      <c r="T2369" s="65"/>
      <c r="U2369" s="65"/>
      <c r="V2369" s="195" t="str">
        <f t="shared" si="125"/>
        <v>10.18718--81781.29.pdf</v>
      </c>
      <c r="W2369" s="156" t="s">
        <v>202</v>
      </c>
      <c r="X2369" s="51" t="str">
        <f t="array" ref="X2369"> if(iserror(MATCH(V2369, 'File Links'!C:C, 0)), "N/A", HYPERLINK(INDEX('File Links'!B:B, MATCH(V2369, 'File Links'!C:C, 0))))</f>
        <v>https://drive.google.com/file/d/1al8eDyU6ngpVrQ3pelC_b0wECY353CCu/view?usp=drivesdk</v>
      </c>
      <c r="Y2369" s="65"/>
      <c r="Z2369" s="156" t="s">
        <v>1802</v>
      </c>
      <c r="AA2369" s="65"/>
      <c r="AB2369" s="156" t="s">
        <v>9525</v>
      </c>
      <c r="AC2369" s="1062"/>
      <c r="AD2369" s="156" t="s">
        <v>9526</v>
      </c>
      <c r="AE2369" s="65"/>
      <c r="AF2369" s="153">
        <v>96560.0</v>
      </c>
      <c r="AG2369" s="1057" t="s">
        <v>9527</v>
      </c>
      <c r="AH2369" s="156" t="s">
        <v>127</v>
      </c>
      <c r="AI2369" s="156" t="s">
        <v>125</v>
      </c>
      <c r="AJ2369" s="153">
        <v>0.001</v>
      </c>
      <c r="AK2369" s="156" t="s">
        <v>128</v>
      </c>
      <c r="AL2369" s="156" t="s">
        <v>179</v>
      </c>
      <c r="AM2369" s="65" t="s">
        <v>1898</v>
      </c>
      <c r="AN2369" s="327" t="s">
        <v>131</v>
      </c>
      <c r="AO2369" s="153">
        <v>1396050.0</v>
      </c>
      <c r="AP2369" s="156" t="s">
        <v>131</v>
      </c>
      <c r="AQ2369" s="65"/>
      <c r="AR2369" s="65"/>
      <c r="AS2369" s="153">
        <v>0.001</v>
      </c>
      <c r="AT2369" s="156" t="s">
        <v>128</v>
      </c>
      <c r="AU2369" s="156" t="s">
        <v>179</v>
      </c>
      <c r="AV2369" s="65" t="s">
        <v>1898</v>
      </c>
      <c r="AW2369" s="65"/>
      <c r="AX2369" s="65" t="s">
        <v>136</v>
      </c>
    </row>
    <row r="2370">
      <c r="A2370" s="41">
        <v>2370.0</v>
      </c>
      <c r="B2370" s="126" t="s">
        <v>516</v>
      </c>
      <c r="C2370" s="59" t="s">
        <v>108</v>
      </c>
      <c r="D2370" s="59" t="s">
        <v>1263</v>
      </c>
      <c r="F2370" s="65"/>
      <c r="G2370" s="156" t="s">
        <v>9516</v>
      </c>
      <c r="H2370" s="156" t="s">
        <v>5011</v>
      </c>
      <c r="I2370" s="859"/>
      <c r="J2370" s="149">
        <v>45681.0</v>
      </c>
      <c r="K2370" s="156" t="s">
        <v>14333</v>
      </c>
      <c r="L2370" s="65"/>
      <c r="M2370" s="156" t="s">
        <v>9517</v>
      </c>
      <c r="N2370" s="156" t="s">
        <v>9518</v>
      </c>
      <c r="O2370" s="65"/>
      <c r="P2370" s="156" t="str">
        <f t="shared" si="137"/>
        <v>10.1162--rest_a_00258.pdf</v>
      </c>
      <c r="Q2370" s="49" t="str">
        <f t="array" ref="Q2370"> if(iserror(MATCH(V2370, 'File Links'!C:C, 0)), "N/A", HYPERLINK(INDEX('File Links'!B:B, MATCH(P2370, 'File Links'!C:C, 0))))</f>
        <v>https://drive.google.com/file/d/11AH2LlIZsd9ZFfFjWFxFf5MBHzmbtt8i/view?usp=drivesdk</v>
      </c>
      <c r="R2370" s="156" t="s">
        <v>9520</v>
      </c>
      <c r="S2370" s="156" t="s">
        <v>9521</v>
      </c>
      <c r="T2370" s="65"/>
      <c r="U2370" s="65"/>
      <c r="V2370" s="195" t="str">
        <f t="shared" si="125"/>
        <v>10.18718--81781.29.pdf</v>
      </c>
      <c r="W2370" s="156" t="s">
        <v>202</v>
      </c>
      <c r="X2370" s="51" t="str">
        <f t="array" ref="X2370"> if(iserror(MATCH(V2370, 'File Links'!C:C, 0)), "N/A", HYPERLINK(INDEX('File Links'!B:B, MATCH(V2370, 'File Links'!C:C, 0))))</f>
        <v>https://drive.google.com/file/d/1al8eDyU6ngpVrQ3pelC_b0wECY353CCu/view?usp=drivesdk</v>
      </c>
      <c r="Y2370" s="65"/>
      <c r="Z2370" s="156" t="s">
        <v>1802</v>
      </c>
      <c r="AA2370" s="65"/>
      <c r="AB2370" s="156" t="s">
        <v>9525</v>
      </c>
      <c r="AC2370" s="1062"/>
      <c r="AD2370" s="156" t="s">
        <v>9526</v>
      </c>
      <c r="AE2370" s="65"/>
      <c r="AF2370" s="153">
        <v>96560.0</v>
      </c>
      <c r="AG2370" s="1057" t="s">
        <v>9527</v>
      </c>
      <c r="AH2370" s="156" t="s">
        <v>127</v>
      </c>
      <c r="AI2370" s="156" t="s">
        <v>125</v>
      </c>
      <c r="AJ2370" s="153">
        <v>0.001</v>
      </c>
      <c r="AK2370" s="156" t="s">
        <v>128</v>
      </c>
      <c r="AL2370" s="156" t="s">
        <v>179</v>
      </c>
      <c r="AM2370" s="65" t="s">
        <v>1898</v>
      </c>
      <c r="AN2370" s="327" t="s">
        <v>131</v>
      </c>
      <c r="AO2370" s="153">
        <v>1697752.0</v>
      </c>
      <c r="AP2370" s="156" t="s">
        <v>131</v>
      </c>
      <c r="AQ2370" s="65"/>
      <c r="AR2370" s="65"/>
      <c r="AS2370" s="153">
        <v>0.001</v>
      </c>
      <c r="AT2370" s="156" t="s">
        <v>128</v>
      </c>
      <c r="AU2370" s="156" t="s">
        <v>179</v>
      </c>
      <c r="AV2370" s="65" t="s">
        <v>1898</v>
      </c>
      <c r="AW2370" s="65"/>
      <c r="AX2370" s="65" t="s">
        <v>136</v>
      </c>
    </row>
    <row r="2371">
      <c r="A2371" s="41">
        <v>2371.0</v>
      </c>
      <c r="B2371" s="126" t="s">
        <v>516</v>
      </c>
      <c r="C2371" s="59" t="s">
        <v>108</v>
      </c>
      <c r="D2371" s="59" t="s">
        <v>1263</v>
      </c>
      <c r="F2371" s="65"/>
      <c r="G2371" s="156" t="s">
        <v>9516</v>
      </c>
      <c r="H2371" s="156" t="s">
        <v>5011</v>
      </c>
      <c r="I2371" s="859"/>
      <c r="J2371" s="149">
        <v>45681.0</v>
      </c>
      <c r="K2371" s="156" t="s">
        <v>14334</v>
      </c>
      <c r="L2371" s="65"/>
      <c r="M2371" s="156" t="s">
        <v>9517</v>
      </c>
      <c r="N2371" s="156" t="s">
        <v>9518</v>
      </c>
      <c r="O2371" s="65"/>
      <c r="P2371" s="156" t="str">
        <f t="shared" si="137"/>
        <v>10.1162--rest_a_00258.pdf</v>
      </c>
      <c r="Q2371" s="49" t="str">
        <f t="array" ref="Q2371"> if(iserror(MATCH(V2371, 'File Links'!C:C, 0)), "N/A", HYPERLINK(INDEX('File Links'!B:B, MATCH(P2371, 'File Links'!C:C, 0))))</f>
        <v>https://drive.google.com/file/d/11AH2LlIZsd9ZFfFjWFxFf5MBHzmbtt8i/view?usp=drivesdk</v>
      </c>
      <c r="R2371" s="156" t="s">
        <v>9520</v>
      </c>
      <c r="S2371" s="156" t="s">
        <v>9521</v>
      </c>
      <c r="T2371" s="65"/>
      <c r="U2371" s="65"/>
      <c r="V2371" s="195" t="str">
        <f t="shared" si="125"/>
        <v>10.18718--81781.29.pdf</v>
      </c>
      <c r="W2371" s="156" t="s">
        <v>202</v>
      </c>
      <c r="X2371" s="51" t="str">
        <f t="array" ref="X2371"> if(iserror(MATCH(V2371, 'File Links'!C:C, 0)), "N/A", HYPERLINK(INDEX('File Links'!B:B, MATCH(V2371, 'File Links'!C:C, 0))))</f>
        <v>https://drive.google.com/file/d/1al8eDyU6ngpVrQ3pelC_b0wECY353CCu/view?usp=drivesdk</v>
      </c>
      <c r="Y2371" s="65"/>
      <c r="Z2371" s="156" t="s">
        <v>1802</v>
      </c>
      <c r="AA2371" s="65"/>
      <c r="AB2371" s="156" t="s">
        <v>9525</v>
      </c>
      <c r="AC2371" s="1062"/>
      <c r="AD2371" s="156" t="s">
        <v>14335</v>
      </c>
      <c r="AE2371" s="65"/>
      <c r="AF2371" s="153">
        <v>96560.0</v>
      </c>
      <c r="AG2371" s="1057" t="s">
        <v>14336</v>
      </c>
      <c r="AH2371" s="156" t="s">
        <v>127</v>
      </c>
      <c r="AI2371" s="156" t="s">
        <v>125</v>
      </c>
      <c r="AJ2371" s="153">
        <v>0.001</v>
      </c>
      <c r="AK2371" s="156" t="s">
        <v>128</v>
      </c>
      <c r="AL2371" s="156" t="s">
        <v>179</v>
      </c>
      <c r="AM2371" s="65" t="s">
        <v>1898</v>
      </c>
      <c r="AN2371" s="327" t="s">
        <v>131</v>
      </c>
      <c r="AO2371" s="153">
        <v>1212558.0</v>
      </c>
      <c r="AP2371" s="156" t="s">
        <v>131</v>
      </c>
      <c r="AQ2371" s="65"/>
      <c r="AR2371" s="65"/>
      <c r="AS2371" s="153">
        <v>0.001</v>
      </c>
      <c r="AT2371" s="156" t="s">
        <v>128</v>
      </c>
      <c r="AU2371" s="156" t="s">
        <v>179</v>
      </c>
      <c r="AV2371" s="65" t="s">
        <v>1898</v>
      </c>
      <c r="AW2371" s="65"/>
      <c r="AX2371" s="65" t="s">
        <v>136</v>
      </c>
    </row>
    <row r="2372">
      <c r="A2372" s="41">
        <v>2372.0</v>
      </c>
      <c r="B2372" s="126" t="s">
        <v>516</v>
      </c>
      <c r="C2372" s="59" t="s">
        <v>108</v>
      </c>
      <c r="D2372" s="59" t="s">
        <v>1263</v>
      </c>
      <c r="F2372" s="65"/>
      <c r="G2372" s="156" t="s">
        <v>9516</v>
      </c>
      <c r="H2372" s="156" t="s">
        <v>5011</v>
      </c>
      <c r="I2372" s="859"/>
      <c r="J2372" s="149">
        <v>45681.0</v>
      </c>
      <c r="K2372" s="156" t="s">
        <v>14332</v>
      </c>
      <c r="L2372" s="65"/>
      <c r="M2372" s="156" t="s">
        <v>9517</v>
      </c>
      <c r="N2372" s="156" t="s">
        <v>9518</v>
      </c>
      <c r="O2372" s="65"/>
      <c r="P2372" s="156" t="str">
        <f t="shared" si="137"/>
        <v>10.1162--rest_a_00258.pdf</v>
      </c>
      <c r="Q2372" s="49" t="str">
        <f t="array" ref="Q2372"> if(iserror(MATCH(V2372, 'File Links'!C:C, 0)), "N/A", HYPERLINK(INDEX('File Links'!B:B, MATCH(P2372, 'File Links'!C:C, 0))))</f>
        <v>https://drive.google.com/file/d/11AH2LlIZsd9ZFfFjWFxFf5MBHzmbtt8i/view?usp=drivesdk</v>
      </c>
      <c r="R2372" s="156" t="s">
        <v>9520</v>
      </c>
      <c r="S2372" s="156" t="s">
        <v>9521</v>
      </c>
      <c r="T2372" s="65"/>
      <c r="U2372" s="65"/>
      <c r="V2372" s="195" t="str">
        <f t="shared" si="125"/>
        <v>10.18718--81781.29.pdf</v>
      </c>
      <c r="W2372" s="156" t="s">
        <v>202</v>
      </c>
      <c r="X2372" s="51" t="str">
        <f t="array" ref="X2372"> if(iserror(MATCH(V2372, 'File Links'!C:C, 0)), "N/A", HYPERLINK(INDEX('File Links'!B:B, MATCH(V2372, 'File Links'!C:C, 0))))</f>
        <v>https://drive.google.com/file/d/1al8eDyU6ngpVrQ3pelC_b0wECY353CCu/view?usp=drivesdk</v>
      </c>
      <c r="Y2372" s="65"/>
      <c r="Z2372" s="156" t="s">
        <v>1802</v>
      </c>
      <c r="AA2372" s="65"/>
      <c r="AB2372" s="156" t="s">
        <v>9525</v>
      </c>
      <c r="AC2372" s="1062"/>
      <c r="AD2372" s="156" t="s">
        <v>14335</v>
      </c>
      <c r="AE2372" s="65"/>
      <c r="AF2372" s="153">
        <v>96560.0</v>
      </c>
      <c r="AG2372" s="1057" t="s">
        <v>14336</v>
      </c>
      <c r="AH2372" s="156" t="s">
        <v>127</v>
      </c>
      <c r="AI2372" s="156" t="s">
        <v>125</v>
      </c>
      <c r="AJ2372" s="153">
        <v>0.001</v>
      </c>
      <c r="AK2372" s="156" t="s">
        <v>128</v>
      </c>
      <c r="AL2372" s="156" t="s">
        <v>179</v>
      </c>
      <c r="AM2372" s="65" t="s">
        <v>1898</v>
      </c>
      <c r="AN2372" s="327" t="s">
        <v>131</v>
      </c>
      <c r="AO2372" s="153">
        <v>1396050.0</v>
      </c>
      <c r="AP2372" s="156" t="s">
        <v>131</v>
      </c>
      <c r="AQ2372" s="65"/>
      <c r="AR2372" s="65"/>
      <c r="AS2372" s="153">
        <v>0.001</v>
      </c>
      <c r="AT2372" s="156" t="s">
        <v>128</v>
      </c>
      <c r="AU2372" s="156" t="s">
        <v>179</v>
      </c>
      <c r="AV2372" s="65" t="s">
        <v>1898</v>
      </c>
      <c r="AW2372" s="65"/>
      <c r="AX2372" s="65" t="s">
        <v>136</v>
      </c>
    </row>
    <row r="2373">
      <c r="A2373" s="41">
        <v>2373.0</v>
      </c>
      <c r="B2373" s="126" t="s">
        <v>516</v>
      </c>
      <c r="C2373" s="59" t="s">
        <v>108</v>
      </c>
      <c r="D2373" s="59" t="s">
        <v>1263</v>
      </c>
      <c r="F2373" s="65"/>
      <c r="G2373" s="156" t="s">
        <v>9516</v>
      </c>
      <c r="H2373" s="156" t="s">
        <v>5011</v>
      </c>
      <c r="I2373" s="859"/>
      <c r="J2373" s="149">
        <v>45681.0</v>
      </c>
      <c r="K2373" s="156" t="s">
        <v>14333</v>
      </c>
      <c r="L2373" s="65"/>
      <c r="M2373" s="156" t="s">
        <v>9517</v>
      </c>
      <c r="N2373" s="156" t="s">
        <v>9518</v>
      </c>
      <c r="O2373" s="65"/>
      <c r="P2373" s="156" t="str">
        <f t="shared" si="137"/>
        <v>10.1162--rest_a_00258.pdf</v>
      </c>
      <c r="Q2373" s="49" t="str">
        <f t="array" ref="Q2373"> if(iserror(MATCH(V2373, 'File Links'!C:C, 0)), "N/A", HYPERLINK(INDEX('File Links'!B:B, MATCH(P2373, 'File Links'!C:C, 0))))</f>
        <v>https://drive.google.com/file/d/11AH2LlIZsd9ZFfFjWFxFf5MBHzmbtt8i/view?usp=drivesdk</v>
      </c>
      <c r="R2373" s="156" t="s">
        <v>9520</v>
      </c>
      <c r="S2373" s="156" t="s">
        <v>9521</v>
      </c>
      <c r="T2373" s="65"/>
      <c r="U2373" s="65"/>
      <c r="V2373" s="195" t="str">
        <f t="shared" si="125"/>
        <v>10.18718--81781.29.pdf</v>
      </c>
      <c r="W2373" s="156" t="s">
        <v>202</v>
      </c>
      <c r="X2373" s="51" t="str">
        <f t="array" ref="X2373"> if(iserror(MATCH(V2373, 'File Links'!C:C, 0)), "N/A", HYPERLINK(INDEX('File Links'!B:B, MATCH(V2373, 'File Links'!C:C, 0))))</f>
        <v>https://drive.google.com/file/d/1al8eDyU6ngpVrQ3pelC_b0wECY353CCu/view?usp=drivesdk</v>
      </c>
      <c r="Y2373" s="65"/>
      <c r="Z2373" s="156" t="s">
        <v>1802</v>
      </c>
      <c r="AA2373" s="65"/>
      <c r="AB2373" s="156" t="s">
        <v>9525</v>
      </c>
      <c r="AC2373" s="1062"/>
      <c r="AD2373" s="156" t="s">
        <v>14335</v>
      </c>
      <c r="AE2373" s="65"/>
      <c r="AF2373" s="153">
        <v>96560.0</v>
      </c>
      <c r="AG2373" s="1057" t="s">
        <v>14336</v>
      </c>
      <c r="AH2373" s="156" t="s">
        <v>127</v>
      </c>
      <c r="AI2373" s="156" t="s">
        <v>125</v>
      </c>
      <c r="AJ2373" s="153">
        <v>0.001</v>
      </c>
      <c r="AK2373" s="156" t="s">
        <v>128</v>
      </c>
      <c r="AL2373" s="156" t="s">
        <v>179</v>
      </c>
      <c r="AM2373" s="65" t="s">
        <v>1898</v>
      </c>
      <c r="AN2373" s="327" t="s">
        <v>131</v>
      </c>
      <c r="AO2373" s="153">
        <v>1697752.0</v>
      </c>
      <c r="AP2373" s="156" t="s">
        <v>131</v>
      </c>
      <c r="AQ2373" s="65"/>
      <c r="AR2373" s="65"/>
      <c r="AS2373" s="153">
        <v>0.001</v>
      </c>
      <c r="AT2373" s="156" t="s">
        <v>128</v>
      </c>
      <c r="AU2373" s="156" t="s">
        <v>179</v>
      </c>
      <c r="AV2373" s="65" t="s">
        <v>1898</v>
      </c>
      <c r="AW2373" s="65"/>
      <c r="AX2373" s="65" t="s">
        <v>136</v>
      </c>
    </row>
    <row r="2374">
      <c r="A2374" s="41">
        <v>2374.0</v>
      </c>
      <c r="B2374" s="126" t="s">
        <v>516</v>
      </c>
      <c r="C2374" s="59" t="s">
        <v>108</v>
      </c>
      <c r="D2374" s="59" t="s">
        <v>1263</v>
      </c>
      <c r="F2374" s="65"/>
      <c r="G2374" s="156" t="s">
        <v>9516</v>
      </c>
      <c r="H2374" s="156" t="s">
        <v>5011</v>
      </c>
      <c r="I2374" s="859"/>
      <c r="J2374" s="149">
        <v>45681.0</v>
      </c>
      <c r="K2374" s="156" t="s">
        <v>14334</v>
      </c>
      <c r="L2374" s="65"/>
      <c r="M2374" s="156" t="s">
        <v>9517</v>
      </c>
      <c r="N2374" s="156" t="s">
        <v>9518</v>
      </c>
      <c r="O2374" s="65"/>
      <c r="P2374" s="156" t="str">
        <f t="shared" si="137"/>
        <v>10.1162--rest_a_00258.pdf</v>
      </c>
      <c r="Q2374" s="49" t="str">
        <f t="array" ref="Q2374"> if(iserror(MATCH(V2374, 'File Links'!C:C, 0)), "N/A", HYPERLINK(INDEX('File Links'!B:B, MATCH(P2374, 'File Links'!C:C, 0))))</f>
        <v>https://drive.google.com/file/d/11AH2LlIZsd9ZFfFjWFxFf5MBHzmbtt8i/view?usp=drivesdk</v>
      </c>
      <c r="R2374" s="156" t="s">
        <v>9520</v>
      </c>
      <c r="S2374" s="156" t="s">
        <v>9521</v>
      </c>
      <c r="T2374" s="65"/>
      <c r="U2374" s="65"/>
      <c r="V2374" s="195" t="str">
        <f t="shared" si="125"/>
        <v>10.18718--81781.29.pdf</v>
      </c>
      <c r="W2374" s="156" t="s">
        <v>202</v>
      </c>
      <c r="X2374" s="51" t="str">
        <f t="array" ref="X2374"> if(iserror(MATCH(V2374, 'File Links'!C:C, 0)), "N/A", HYPERLINK(INDEX('File Links'!B:B, MATCH(V2374, 'File Links'!C:C, 0))))</f>
        <v>https://drive.google.com/file/d/1al8eDyU6ngpVrQ3pelC_b0wECY353CCu/view?usp=drivesdk</v>
      </c>
      <c r="Y2374" s="65"/>
      <c r="Z2374" s="156" t="s">
        <v>1802</v>
      </c>
      <c r="AA2374" s="65"/>
      <c r="AB2374" s="156" t="s">
        <v>9525</v>
      </c>
      <c r="AC2374" s="1062"/>
      <c r="AD2374" s="156" t="s">
        <v>14337</v>
      </c>
      <c r="AE2374" s="65"/>
      <c r="AF2374" s="153">
        <v>96560.0</v>
      </c>
      <c r="AG2374" s="1057" t="s">
        <v>14338</v>
      </c>
      <c r="AH2374" s="156" t="s">
        <v>127</v>
      </c>
      <c r="AI2374" s="156" t="s">
        <v>125</v>
      </c>
      <c r="AJ2374" s="153">
        <v>0.07</v>
      </c>
      <c r="AK2374" s="156" t="s">
        <v>165</v>
      </c>
      <c r="AL2374" s="156" t="s">
        <v>179</v>
      </c>
      <c r="AM2374" s="65" t="s">
        <v>1898</v>
      </c>
      <c r="AN2374" s="327" t="s">
        <v>131</v>
      </c>
      <c r="AO2374" s="153">
        <v>1212558.0</v>
      </c>
      <c r="AP2374" s="156" t="s">
        <v>131</v>
      </c>
      <c r="AQ2374" s="65"/>
      <c r="AR2374" s="65"/>
      <c r="AS2374" s="153">
        <v>0.018</v>
      </c>
      <c r="AT2374" s="156" t="s">
        <v>165</v>
      </c>
      <c r="AU2374" s="156" t="s">
        <v>179</v>
      </c>
      <c r="AV2374" s="65" t="s">
        <v>1898</v>
      </c>
      <c r="AW2374" s="65"/>
      <c r="AX2374" s="65" t="s">
        <v>136</v>
      </c>
      <c r="BA2374" s="339"/>
      <c r="BB2374" s="339"/>
      <c r="BC2374" s="339"/>
      <c r="BD2374" s="339"/>
      <c r="BE2374" s="339"/>
      <c r="BF2374" s="339"/>
      <c r="BG2374" s="339"/>
      <c r="BH2374" s="339"/>
      <c r="BI2374" s="339"/>
      <c r="BJ2374" s="339"/>
      <c r="BK2374" s="339"/>
      <c r="BL2374" s="339"/>
      <c r="BM2374" s="339"/>
      <c r="BN2374" s="339"/>
      <c r="BO2374" s="339"/>
      <c r="BP2374" s="339"/>
      <c r="BQ2374" s="339"/>
      <c r="BR2374" s="339"/>
      <c r="BS2374" s="339"/>
      <c r="BT2374" s="339"/>
      <c r="BU2374" s="339"/>
      <c r="BV2374" s="339"/>
      <c r="BW2374" s="339"/>
      <c r="BX2374" s="339"/>
      <c r="BY2374" s="339"/>
      <c r="BZ2374" s="339"/>
      <c r="CA2374" s="339"/>
      <c r="CB2374" s="339"/>
      <c r="CC2374" s="339"/>
      <c r="CD2374" s="339"/>
      <c r="CE2374" s="339"/>
      <c r="CF2374" s="339"/>
      <c r="CG2374" s="339"/>
      <c r="CH2374" s="339"/>
      <c r="CI2374" s="339"/>
      <c r="CJ2374" s="339"/>
      <c r="CK2374" s="339"/>
      <c r="CL2374" s="339"/>
      <c r="CM2374" s="339"/>
      <c r="CN2374" s="339"/>
      <c r="CO2374" s="339"/>
      <c r="CP2374" s="339"/>
      <c r="CQ2374" s="339"/>
      <c r="CR2374" s="339"/>
      <c r="CS2374" s="339"/>
      <c r="CT2374" s="339"/>
      <c r="CU2374" s="339"/>
      <c r="CV2374" s="339"/>
      <c r="CW2374" s="339"/>
      <c r="CX2374" s="339"/>
      <c r="CY2374" s="339"/>
      <c r="CZ2374" s="339"/>
      <c r="DA2374" s="339"/>
      <c r="DB2374" s="339"/>
      <c r="DC2374" s="339"/>
      <c r="DD2374" s="339"/>
      <c r="DE2374" s="339"/>
      <c r="DF2374" s="339"/>
      <c r="DG2374" s="339"/>
      <c r="DH2374" s="339"/>
    </row>
    <row r="2375">
      <c r="A2375" s="41">
        <v>2375.0</v>
      </c>
      <c r="B2375" s="126" t="s">
        <v>516</v>
      </c>
      <c r="C2375" s="59" t="s">
        <v>108</v>
      </c>
      <c r="D2375" s="59" t="s">
        <v>1263</v>
      </c>
      <c r="F2375" s="65"/>
      <c r="G2375" s="156" t="s">
        <v>9516</v>
      </c>
      <c r="H2375" s="156" t="s">
        <v>5011</v>
      </c>
      <c r="I2375" s="859"/>
      <c r="J2375" s="149">
        <v>45681.0</v>
      </c>
      <c r="K2375" s="156" t="s">
        <v>14332</v>
      </c>
      <c r="L2375" s="65"/>
      <c r="M2375" s="156" t="s">
        <v>9517</v>
      </c>
      <c r="N2375" s="156" t="s">
        <v>9518</v>
      </c>
      <c r="O2375" s="65"/>
      <c r="P2375" s="156" t="str">
        <f t="shared" si="137"/>
        <v>10.1162--rest_a_00258.pdf</v>
      </c>
      <c r="Q2375" s="49" t="str">
        <f t="array" ref="Q2375"> if(iserror(MATCH(V2375, 'File Links'!C:C, 0)), "N/A", HYPERLINK(INDEX('File Links'!B:B, MATCH(P2375, 'File Links'!C:C, 0))))</f>
        <v>https://drive.google.com/file/d/11AH2LlIZsd9ZFfFjWFxFf5MBHzmbtt8i/view?usp=drivesdk</v>
      </c>
      <c r="R2375" s="156" t="s">
        <v>9520</v>
      </c>
      <c r="S2375" s="156" t="s">
        <v>9521</v>
      </c>
      <c r="T2375" s="65"/>
      <c r="U2375" s="65"/>
      <c r="V2375" s="195" t="str">
        <f t="shared" si="125"/>
        <v>10.18718--81781.29.pdf</v>
      </c>
      <c r="W2375" s="156" t="s">
        <v>202</v>
      </c>
      <c r="X2375" s="51" t="str">
        <f t="array" ref="X2375"> if(iserror(MATCH(V2375, 'File Links'!C:C, 0)), "N/A", HYPERLINK(INDEX('File Links'!B:B, MATCH(V2375, 'File Links'!C:C, 0))))</f>
        <v>https://drive.google.com/file/d/1al8eDyU6ngpVrQ3pelC_b0wECY353CCu/view?usp=drivesdk</v>
      </c>
      <c r="Y2375" s="65"/>
      <c r="Z2375" s="156" t="s">
        <v>1802</v>
      </c>
      <c r="AA2375" s="65"/>
      <c r="AB2375" s="156" t="s">
        <v>9525</v>
      </c>
      <c r="AC2375" s="1062"/>
      <c r="AD2375" s="156" t="s">
        <v>14337</v>
      </c>
      <c r="AE2375" s="65"/>
      <c r="AF2375" s="153">
        <v>96560.0</v>
      </c>
      <c r="AG2375" s="1057" t="s">
        <v>14338</v>
      </c>
      <c r="AH2375" s="156" t="s">
        <v>127</v>
      </c>
      <c r="AI2375" s="156" t="s">
        <v>125</v>
      </c>
      <c r="AJ2375" s="153">
        <v>0.07</v>
      </c>
      <c r="AK2375" s="156" t="s">
        <v>165</v>
      </c>
      <c r="AL2375" s="156" t="s">
        <v>179</v>
      </c>
      <c r="AM2375" s="65" t="s">
        <v>1898</v>
      </c>
      <c r="AN2375" s="327" t="s">
        <v>131</v>
      </c>
      <c r="AO2375" s="153">
        <v>1396050.0</v>
      </c>
      <c r="AP2375" s="156" t="s">
        <v>131</v>
      </c>
      <c r="AQ2375" s="65"/>
      <c r="AR2375" s="65"/>
      <c r="AS2375" s="153">
        <v>0.001</v>
      </c>
      <c r="AT2375" s="156" t="s">
        <v>128</v>
      </c>
      <c r="AU2375" s="156" t="s">
        <v>179</v>
      </c>
      <c r="AV2375" s="65" t="s">
        <v>1898</v>
      </c>
      <c r="AW2375" s="65"/>
      <c r="AX2375" s="65" t="s">
        <v>136</v>
      </c>
    </row>
    <row r="2376">
      <c r="A2376" s="41">
        <v>2376.0</v>
      </c>
      <c r="B2376" s="126" t="s">
        <v>516</v>
      </c>
      <c r="C2376" s="59" t="s">
        <v>108</v>
      </c>
      <c r="D2376" s="59" t="s">
        <v>1263</v>
      </c>
      <c r="F2376" s="65"/>
      <c r="G2376" s="156" t="s">
        <v>9516</v>
      </c>
      <c r="H2376" s="156" t="s">
        <v>5011</v>
      </c>
      <c r="I2376" s="859"/>
      <c r="J2376" s="149">
        <v>45681.0</v>
      </c>
      <c r="K2376" s="156" t="s">
        <v>14333</v>
      </c>
      <c r="L2376" s="65"/>
      <c r="M2376" s="156" t="s">
        <v>9517</v>
      </c>
      <c r="N2376" s="156" t="s">
        <v>9518</v>
      </c>
      <c r="O2376" s="65"/>
      <c r="P2376" s="156" t="str">
        <f t="shared" si="137"/>
        <v>10.1162--rest_a_00258.pdf</v>
      </c>
      <c r="Q2376" s="49" t="str">
        <f t="array" ref="Q2376"> if(iserror(MATCH(V2376, 'File Links'!C:C, 0)), "N/A", HYPERLINK(INDEX('File Links'!B:B, MATCH(P2376, 'File Links'!C:C, 0))))</f>
        <v>https://drive.google.com/file/d/11AH2LlIZsd9ZFfFjWFxFf5MBHzmbtt8i/view?usp=drivesdk</v>
      </c>
      <c r="R2376" s="156" t="s">
        <v>9520</v>
      </c>
      <c r="S2376" s="156" t="s">
        <v>9521</v>
      </c>
      <c r="T2376" s="65"/>
      <c r="U2376" s="65"/>
      <c r="V2376" s="195" t="str">
        <f t="shared" si="125"/>
        <v>10.18718--81781.29.pdf</v>
      </c>
      <c r="W2376" s="156" t="s">
        <v>202</v>
      </c>
      <c r="X2376" s="51" t="str">
        <f t="array" ref="X2376"> if(iserror(MATCH(V2376, 'File Links'!C:C, 0)), "N/A", HYPERLINK(INDEX('File Links'!B:B, MATCH(V2376, 'File Links'!C:C, 0))))</f>
        <v>https://drive.google.com/file/d/1al8eDyU6ngpVrQ3pelC_b0wECY353CCu/view?usp=drivesdk</v>
      </c>
      <c r="Y2376" s="65"/>
      <c r="Z2376" s="156" t="s">
        <v>1802</v>
      </c>
      <c r="AA2376" s="65"/>
      <c r="AB2376" s="156" t="s">
        <v>9525</v>
      </c>
      <c r="AC2376" s="1062"/>
      <c r="AD2376" s="156" t="s">
        <v>14337</v>
      </c>
      <c r="AE2376" s="65"/>
      <c r="AF2376" s="153">
        <v>96560.0</v>
      </c>
      <c r="AG2376" s="1057" t="s">
        <v>14338</v>
      </c>
      <c r="AH2376" s="156" t="s">
        <v>127</v>
      </c>
      <c r="AI2376" s="156" t="s">
        <v>125</v>
      </c>
      <c r="AJ2376" s="153">
        <v>0.07</v>
      </c>
      <c r="AK2376" s="156" t="s">
        <v>165</v>
      </c>
      <c r="AL2376" s="156" t="s">
        <v>179</v>
      </c>
      <c r="AM2376" s="65" t="s">
        <v>1898</v>
      </c>
      <c r="AN2376" s="327" t="s">
        <v>131</v>
      </c>
      <c r="AO2376" s="153">
        <v>1697752.0</v>
      </c>
      <c r="AP2376" s="156" t="s">
        <v>131</v>
      </c>
      <c r="AQ2376" s="65"/>
      <c r="AR2376" s="65"/>
      <c r="AS2376" s="153">
        <v>0.001</v>
      </c>
      <c r="AT2376" s="156" t="s">
        <v>128</v>
      </c>
      <c r="AU2376" s="156" t="s">
        <v>179</v>
      </c>
      <c r="AV2376" s="65" t="s">
        <v>1898</v>
      </c>
      <c r="AW2376" s="65"/>
      <c r="AX2376" s="65" t="s">
        <v>136</v>
      </c>
    </row>
    <row r="2377">
      <c r="A2377" s="41">
        <v>2377.0</v>
      </c>
      <c r="B2377" s="126" t="s">
        <v>516</v>
      </c>
      <c r="C2377" s="59" t="s">
        <v>108</v>
      </c>
      <c r="D2377" s="59" t="s">
        <v>1263</v>
      </c>
      <c r="F2377" s="65"/>
      <c r="G2377" s="156" t="s">
        <v>9516</v>
      </c>
      <c r="H2377" s="156" t="s">
        <v>5011</v>
      </c>
      <c r="I2377" s="859"/>
      <c r="J2377" s="149">
        <v>45681.0</v>
      </c>
      <c r="K2377" s="156" t="s">
        <v>14334</v>
      </c>
      <c r="L2377" s="65"/>
      <c r="M2377" s="156" t="s">
        <v>9517</v>
      </c>
      <c r="N2377" s="156" t="s">
        <v>9518</v>
      </c>
      <c r="O2377" s="65"/>
      <c r="P2377" s="156" t="str">
        <f t="shared" si="137"/>
        <v>10.1162--rest_a_00258.pdf</v>
      </c>
      <c r="Q2377" s="49" t="str">
        <f t="array" ref="Q2377"> if(iserror(MATCH(V2377, 'File Links'!C:C, 0)), "N/A", HYPERLINK(INDEX('File Links'!B:B, MATCH(P2377, 'File Links'!C:C, 0))))</f>
        <v>https://drive.google.com/file/d/11AH2LlIZsd9ZFfFjWFxFf5MBHzmbtt8i/view?usp=drivesdk</v>
      </c>
      <c r="R2377" s="156" t="s">
        <v>9520</v>
      </c>
      <c r="S2377" s="156" t="s">
        <v>9521</v>
      </c>
      <c r="T2377" s="65"/>
      <c r="U2377" s="65"/>
      <c r="V2377" s="195" t="str">
        <f t="shared" si="125"/>
        <v>10.18718--81781.29.pdf</v>
      </c>
      <c r="W2377" s="156" t="s">
        <v>202</v>
      </c>
      <c r="X2377" s="51" t="str">
        <f t="array" ref="X2377"> if(iserror(MATCH(V2377, 'File Links'!C:C, 0)), "N/A", HYPERLINK(INDEX('File Links'!B:B, MATCH(V2377, 'File Links'!C:C, 0))))</f>
        <v>https://drive.google.com/file/d/1al8eDyU6ngpVrQ3pelC_b0wECY353CCu/view?usp=drivesdk</v>
      </c>
      <c r="Y2377" s="65"/>
      <c r="Z2377" s="156" t="s">
        <v>1802</v>
      </c>
      <c r="AA2377" s="65"/>
      <c r="AB2377" s="156" t="s">
        <v>9525</v>
      </c>
      <c r="AC2377" s="1062"/>
      <c r="AD2377" s="156" t="s">
        <v>14339</v>
      </c>
      <c r="AE2377" s="65"/>
      <c r="AF2377" s="153">
        <v>96560.0</v>
      </c>
      <c r="AG2377" s="1057" t="s">
        <v>14340</v>
      </c>
      <c r="AH2377" s="156" t="s">
        <v>127</v>
      </c>
      <c r="AI2377" s="156" t="s">
        <v>125</v>
      </c>
      <c r="AJ2377" s="153">
        <v>0.04</v>
      </c>
      <c r="AK2377" s="156" t="s">
        <v>165</v>
      </c>
      <c r="AL2377" s="156" t="s">
        <v>179</v>
      </c>
      <c r="AM2377" s="65" t="s">
        <v>1898</v>
      </c>
      <c r="AN2377" s="327" t="s">
        <v>131</v>
      </c>
      <c r="AO2377" s="153">
        <v>1212558.0</v>
      </c>
      <c r="AP2377" s="156" t="s">
        <v>131</v>
      </c>
      <c r="AQ2377" s="65"/>
      <c r="AR2377" s="65"/>
      <c r="AS2377" s="153">
        <v>0.032</v>
      </c>
      <c r="AT2377" s="156" t="s">
        <v>165</v>
      </c>
      <c r="AU2377" s="156" t="s">
        <v>179</v>
      </c>
      <c r="AV2377" s="65" t="s">
        <v>1898</v>
      </c>
      <c r="AW2377" s="65"/>
      <c r="AX2377" s="65" t="s">
        <v>136</v>
      </c>
      <c r="BA2377" s="339"/>
      <c r="BB2377" s="339"/>
      <c r="BC2377" s="339"/>
      <c r="BD2377" s="339"/>
      <c r="BE2377" s="339"/>
      <c r="BF2377" s="339"/>
      <c r="BG2377" s="339"/>
      <c r="BH2377" s="339"/>
      <c r="BI2377" s="339"/>
      <c r="BJ2377" s="339"/>
      <c r="BK2377" s="339"/>
      <c r="BL2377" s="339"/>
      <c r="BM2377" s="339"/>
      <c r="BN2377" s="339"/>
      <c r="BO2377" s="339"/>
      <c r="BP2377" s="339"/>
      <c r="BQ2377" s="339"/>
      <c r="BR2377" s="339"/>
      <c r="BS2377" s="339"/>
      <c r="BT2377" s="339"/>
      <c r="BU2377" s="339"/>
      <c r="BV2377" s="339"/>
      <c r="BW2377" s="339"/>
      <c r="BX2377" s="339"/>
      <c r="BY2377" s="339"/>
      <c r="BZ2377" s="339"/>
      <c r="CA2377" s="339"/>
      <c r="CB2377" s="339"/>
      <c r="CC2377" s="339"/>
      <c r="CD2377" s="339"/>
      <c r="CE2377" s="339"/>
      <c r="CF2377" s="339"/>
      <c r="CG2377" s="339"/>
      <c r="CH2377" s="339"/>
      <c r="CI2377" s="339"/>
      <c r="CJ2377" s="339"/>
      <c r="CK2377" s="339"/>
      <c r="CL2377" s="339"/>
      <c r="CM2377" s="339"/>
      <c r="CN2377" s="339"/>
      <c r="CO2377" s="339"/>
      <c r="CP2377" s="339"/>
      <c r="CQ2377" s="339"/>
      <c r="CR2377" s="339"/>
      <c r="CS2377" s="339"/>
      <c r="CT2377" s="339"/>
      <c r="CU2377" s="339"/>
      <c r="CV2377" s="339"/>
      <c r="CW2377" s="339"/>
      <c r="CX2377" s="339"/>
      <c r="CY2377" s="339"/>
      <c r="CZ2377" s="339"/>
      <c r="DA2377" s="339"/>
      <c r="DB2377" s="339"/>
      <c r="DC2377" s="339"/>
      <c r="DD2377" s="339"/>
      <c r="DE2377" s="339"/>
      <c r="DF2377" s="339"/>
      <c r="DG2377" s="339"/>
      <c r="DH2377" s="339"/>
    </row>
    <row r="2378">
      <c r="A2378" s="41">
        <v>2378.0</v>
      </c>
      <c r="B2378" s="126" t="s">
        <v>516</v>
      </c>
      <c r="C2378" s="59" t="s">
        <v>108</v>
      </c>
      <c r="D2378" s="59" t="s">
        <v>1263</v>
      </c>
      <c r="F2378" s="65"/>
      <c r="G2378" s="156" t="s">
        <v>9516</v>
      </c>
      <c r="H2378" s="156" t="s">
        <v>5011</v>
      </c>
      <c r="I2378" s="859"/>
      <c r="J2378" s="149">
        <v>45681.0</v>
      </c>
      <c r="K2378" s="156" t="s">
        <v>14332</v>
      </c>
      <c r="L2378" s="65"/>
      <c r="M2378" s="156" t="s">
        <v>9517</v>
      </c>
      <c r="N2378" s="156" t="s">
        <v>9518</v>
      </c>
      <c r="O2378" s="65"/>
      <c r="P2378" s="156" t="str">
        <f t="shared" si="137"/>
        <v>10.1162--rest_a_00258.pdf</v>
      </c>
      <c r="Q2378" s="49" t="str">
        <f t="array" ref="Q2378"> if(iserror(MATCH(V2378, 'File Links'!C:C, 0)), "N/A", HYPERLINK(INDEX('File Links'!B:B, MATCH(P2378, 'File Links'!C:C, 0))))</f>
        <v>https://drive.google.com/file/d/11AH2LlIZsd9ZFfFjWFxFf5MBHzmbtt8i/view?usp=drivesdk</v>
      </c>
      <c r="R2378" s="156" t="s">
        <v>9520</v>
      </c>
      <c r="S2378" s="156" t="s">
        <v>9521</v>
      </c>
      <c r="T2378" s="65"/>
      <c r="U2378" s="65"/>
      <c r="V2378" s="195" t="str">
        <f t="shared" si="125"/>
        <v>10.18718--81781.29.pdf</v>
      </c>
      <c r="W2378" s="156" t="s">
        <v>202</v>
      </c>
      <c r="X2378" s="51" t="str">
        <f t="array" ref="X2378"> if(iserror(MATCH(V2378, 'File Links'!C:C, 0)), "N/A", HYPERLINK(INDEX('File Links'!B:B, MATCH(V2378, 'File Links'!C:C, 0))))</f>
        <v>https://drive.google.com/file/d/1al8eDyU6ngpVrQ3pelC_b0wECY353CCu/view?usp=drivesdk</v>
      </c>
      <c r="Y2378" s="65"/>
      <c r="Z2378" s="156" t="s">
        <v>1802</v>
      </c>
      <c r="AA2378" s="65"/>
      <c r="AB2378" s="156" t="s">
        <v>9525</v>
      </c>
      <c r="AC2378" s="1062"/>
      <c r="AD2378" s="156" t="s">
        <v>14339</v>
      </c>
      <c r="AE2378" s="65"/>
      <c r="AF2378" s="153">
        <v>96560.0</v>
      </c>
      <c r="AG2378" s="1057" t="s">
        <v>14340</v>
      </c>
      <c r="AH2378" s="156" t="s">
        <v>127</v>
      </c>
      <c r="AI2378" s="156" t="s">
        <v>125</v>
      </c>
      <c r="AJ2378" s="153">
        <v>0.04</v>
      </c>
      <c r="AK2378" s="156" t="s">
        <v>165</v>
      </c>
      <c r="AL2378" s="156" t="s">
        <v>179</v>
      </c>
      <c r="AM2378" s="65" t="s">
        <v>1898</v>
      </c>
      <c r="AN2378" s="327" t="s">
        <v>131</v>
      </c>
      <c r="AO2378" s="153">
        <v>1396050.0</v>
      </c>
      <c r="AP2378" s="156" t="s">
        <v>131</v>
      </c>
      <c r="AQ2378" s="65"/>
      <c r="AR2378" s="65"/>
      <c r="AS2378" s="153">
        <v>0.001</v>
      </c>
      <c r="AT2378" s="156" t="s">
        <v>128</v>
      </c>
      <c r="AU2378" s="156" t="s">
        <v>179</v>
      </c>
      <c r="AV2378" s="65" t="s">
        <v>1898</v>
      </c>
      <c r="AW2378" s="65"/>
      <c r="AX2378" s="65" t="s">
        <v>136</v>
      </c>
      <c r="BA2378" s="339"/>
      <c r="BB2378" s="339"/>
      <c r="BC2378" s="339"/>
      <c r="BD2378" s="339"/>
      <c r="BE2378" s="339"/>
      <c r="BF2378" s="339"/>
      <c r="BG2378" s="339"/>
      <c r="BH2378" s="339"/>
      <c r="BI2378" s="339"/>
      <c r="BJ2378" s="339"/>
      <c r="BK2378" s="339"/>
      <c r="BL2378" s="339"/>
      <c r="BM2378" s="339"/>
      <c r="BN2378" s="339"/>
      <c r="BO2378" s="339"/>
      <c r="BP2378" s="339"/>
      <c r="BQ2378" s="339"/>
      <c r="BR2378" s="339"/>
      <c r="BS2378" s="339"/>
      <c r="BT2378" s="339"/>
      <c r="BU2378" s="339"/>
      <c r="BV2378" s="339"/>
      <c r="BW2378" s="339"/>
      <c r="BX2378" s="339"/>
      <c r="BY2378" s="339"/>
      <c r="BZ2378" s="339"/>
      <c r="CA2378" s="339"/>
      <c r="CB2378" s="339"/>
      <c r="CC2378" s="339"/>
      <c r="CD2378" s="339"/>
      <c r="CE2378" s="339"/>
      <c r="CF2378" s="339"/>
      <c r="CG2378" s="339"/>
      <c r="CH2378" s="339"/>
      <c r="CI2378" s="339"/>
      <c r="CJ2378" s="339"/>
      <c r="CK2378" s="339"/>
      <c r="CL2378" s="339"/>
      <c r="CM2378" s="339"/>
      <c r="CN2378" s="339"/>
      <c r="CO2378" s="339"/>
      <c r="CP2378" s="339"/>
      <c r="CQ2378" s="339"/>
      <c r="CR2378" s="339"/>
      <c r="CS2378" s="339"/>
      <c r="CT2378" s="339"/>
      <c r="CU2378" s="339"/>
      <c r="CV2378" s="339"/>
      <c r="CW2378" s="339"/>
      <c r="CX2378" s="339"/>
      <c r="CY2378" s="339"/>
      <c r="CZ2378" s="339"/>
      <c r="DA2378" s="339"/>
      <c r="DB2378" s="339"/>
      <c r="DC2378" s="339"/>
      <c r="DD2378" s="339"/>
      <c r="DE2378" s="339"/>
      <c r="DF2378" s="339"/>
      <c r="DG2378" s="339"/>
      <c r="DH2378" s="339"/>
    </row>
    <row r="2379">
      <c r="A2379" s="41">
        <v>2379.0</v>
      </c>
      <c r="B2379" s="126" t="s">
        <v>516</v>
      </c>
      <c r="C2379" s="59" t="s">
        <v>108</v>
      </c>
      <c r="D2379" s="59" t="s">
        <v>1263</v>
      </c>
      <c r="F2379" s="65"/>
      <c r="G2379" s="156" t="s">
        <v>9516</v>
      </c>
      <c r="H2379" s="156" t="s">
        <v>5011</v>
      </c>
      <c r="I2379" s="859"/>
      <c r="J2379" s="149">
        <v>45681.0</v>
      </c>
      <c r="K2379" s="156" t="s">
        <v>14333</v>
      </c>
      <c r="L2379" s="65"/>
      <c r="M2379" s="156" t="s">
        <v>9517</v>
      </c>
      <c r="N2379" s="156" t="s">
        <v>9518</v>
      </c>
      <c r="O2379" s="65"/>
      <c r="P2379" s="156" t="str">
        <f t="shared" si="137"/>
        <v>10.1162--rest_a_00258.pdf</v>
      </c>
      <c r="Q2379" s="49" t="str">
        <f t="array" ref="Q2379"> if(iserror(MATCH(V2379, 'File Links'!C:C, 0)), "N/A", HYPERLINK(INDEX('File Links'!B:B, MATCH(P2379, 'File Links'!C:C, 0))))</f>
        <v>https://drive.google.com/file/d/11AH2LlIZsd9ZFfFjWFxFf5MBHzmbtt8i/view?usp=drivesdk</v>
      </c>
      <c r="R2379" s="156" t="s">
        <v>9520</v>
      </c>
      <c r="S2379" s="156" t="s">
        <v>9521</v>
      </c>
      <c r="T2379" s="65"/>
      <c r="U2379" s="65"/>
      <c r="V2379" s="195" t="str">
        <f t="shared" si="125"/>
        <v>10.18718--81781.29.pdf</v>
      </c>
      <c r="W2379" s="156" t="s">
        <v>202</v>
      </c>
      <c r="X2379" s="51" t="str">
        <f t="array" ref="X2379"> if(iserror(MATCH(V2379, 'File Links'!C:C, 0)), "N/A", HYPERLINK(INDEX('File Links'!B:B, MATCH(V2379, 'File Links'!C:C, 0))))</f>
        <v>https://drive.google.com/file/d/1al8eDyU6ngpVrQ3pelC_b0wECY353CCu/view?usp=drivesdk</v>
      </c>
      <c r="Y2379" s="65"/>
      <c r="Z2379" s="156" t="s">
        <v>1802</v>
      </c>
      <c r="AA2379" s="65"/>
      <c r="AB2379" s="156" t="s">
        <v>9525</v>
      </c>
      <c r="AC2379" s="1062"/>
      <c r="AD2379" s="156" t="s">
        <v>14339</v>
      </c>
      <c r="AE2379" s="65"/>
      <c r="AF2379" s="153">
        <v>96560.0</v>
      </c>
      <c r="AG2379" s="1057" t="s">
        <v>14340</v>
      </c>
      <c r="AH2379" s="156" t="s">
        <v>127</v>
      </c>
      <c r="AI2379" s="156" t="s">
        <v>125</v>
      </c>
      <c r="AJ2379" s="153">
        <v>0.04</v>
      </c>
      <c r="AK2379" s="156" t="s">
        <v>165</v>
      </c>
      <c r="AL2379" s="156" t="s">
        <v>179</v>
      </c>
      <c r="AM2379" s="65" t="s">
        <v>1898</v>
      </c>
      <c r="AN2379" s="327" t="s">
        <v>131</v>
      </c>
      <c r="AO2379" s="153">
        <v>1697752.0</v>
      </c>
      <c r="AP2379" s="156" t="s">
        <v>131</v>
      </c>
      <c r="AQ2379" s="65"/>
      <c r="AR2379" s="65"/>
      <c r="AS2379" s="153">
        <v>0.001</v>
      </c>
      <c r="AT2379" s="156" t="s">
        <v>128</v>
      </c>
      <c r="AU2379" s="156" t="s">
        <v>179</v>
      </c>
      <c r="AV2379" s="65" t="s">
        <v>1898</v>
      </c>
      <c r="AW2379" s="65"/>
      <c r="AX2379" s="65" t="s">
        <v>136</v>
      </c>
    </row>
    <row r="2380">
      <c r="A2380" s="41">
        <v>2380.0</v>
      </c>
      <c r="B2380" s="126" t="s">
        <v>516</v>
      </c>
      <c r="C2380" s="59" t="s">
        <v>108</v>
      </c>
      <c r="D2380" s="59" t="s">
        <v>1263</v>
      </c>
      <c r="F2380" s="65"/>
      <c r="G2380" s="156" t="s">
        <v>12646</v>
      </c>
      <c r="H2380" s="156" t="s">
        <v>2060</v>
      </c>
      <c r="I2380" s="149">
        <v>45478.0</v>
      </c>
      <c r="J2380" s="149">
        <v>45695.0</v>
      </c>
      <c r="K2380" s="156" t="s">
        <v>12652</v>
      </c>
      <c r="L2380" s="65"/>
      <c r="M2380" s="156" t="s">
        <v>12647</v>
      </c>
      <c r="N2380" s="156" t="s">
        <v>2056</v>
      </c>
      <c r="O2380" s="65"/>
      <c r="P2380" s="156" t="str">
        <f t="shared" si="137"/>
        <v>10.1016--j.econedurev.2005.05.008.pdf</v>
      </c>
      <c r="Q2380" s="49" t="str">
        <f t="array" ref="Q2380"> if(iserror(MATCH(V2380, 'File Links'!C:C, 0)), "N/A", HYPERLINK(INDEX('File Links'!B:B, MATCH(P2380, 'File Links'!C:C, 0))))</f>
        <v>https://drive.google.com/file/d/1jEnrVGc2PxWYnqqR5b5QggE9HgY-tjOC/view?usp=drivesdk</v>
      </c>
      <c r="R2380" s="156" t="s">
        <v>12649</v>
      </c>
      <c r="S2380" s="156" t="s">
        <v>2058</v>
      </c>
      <c r="T2380" s="65"/>
      <c r="U2380" s="65"/>
      <c r="V2380" s="195" t="str">
        <f t="shared" si="125"/>
        <v>10.5281--zenodo.6426882.pdf</v>
      </c>
      <c r="W2380" s="156" t="s">
        <v>202</v>
      </c>
      <c r="X2380" s="51" t="str">
        <f t="array" ref="X2380"> if(iserror(MATCH(V2380, 'File Links'!C:C, 0)), "N/A", HYPERLINK(INDEX('File Links'!B:B, MATCH(V2380, 'File Links'!C:C, 0))))</f>
        <v>https://drive.google.com/file/d/1jvhXrkXP500Hc10PhmlgwF_pIcWK0diq/view?usp=drivesdk</v>
      </c>
      <c r="Y2380" s="65"/>
      <c r="Z2380" s="156" t="s">
        <v>234</v>
      </c>
      <c r="AA2380" s="65"/>
      <c r="AB2380" s="156" t="s">
        <v>12653</v>
      </c>
      <c r="AC2380" s="1062"/>
      <c r="AD2380" s="156" t="s">
        <v>14341</v>
      </c>
      <c r="AE2380" s="65"/>
      <c r="AF2380" s="153">
        <v>5167.0</v>
      </c>
      <c r="AG2380" s="1057" t="s">
        <v>14342</v>
      </c>
      <c r="AH2380" s="156" t="s">
        <v>127</v>
      </c>
      <c r="AI2380" s="156" t="s">
        <v>621</v>
      </c>
      <c r="AJ2380" s="153">
        <v>0.001</v>
      </c>
      <c r="AK2380" s="156" t="s">
        <v>128</v>
      </c>
      <c r="AL2380" s="156" t="s">
        <v>179</v>
      </c>
      <c r="AM2380" s="65" t="s">
        <v>1898</v>
      </c>
      <c r="AN2380" s="327" t="s">
        <v>131</v>
      </c>
      <c r="AO2380" s="153">
        <v>2968.0</v>
      </c>
      <c r="AP2380" s="156" t="s">
        <v>14343</v>
      </c>
      <c r="AQ2380" s="156" t="s">
        <v>127</v>
      </c>
      <c r="AR2380" s="156" t="s">
        <v>606</v>
      </c>
      <c r="AS2380" s="153">
        <v>0.05</v>
      </c>
      <c r="AT2380" s="156" t="s">
        <v>165</v>
      </c>
      <c r="AU2380" s="156" t="s">
        <v>179</v>
      </c>
      <c r="AV2380" s="65" t="s">
        <v>1898</v>
      </c>
      <c r="AW2380" s="65"/>
      <c r="AX2380" s="65" t="s">
        <v>136</v>
      </c>
    </row>
    <row r="2381">
      <c r="A2381" s="41">
        <v>2381.0</v>
      </c>
      <c r="B2381" s="126" t="s">
        <v>516</v>
      </c>
      <c r="C2381" s="59" t="s">
        <v>108</v>
      </c>
      <c r="D2381" s="59" t="s">
        <v>1263</v>
      </c>
      <c r="F2381" s="65"/>
      <c r="G2381" s="156" t="s">
        <v>12646</v>
      </c>
      <c r="H2381" s="156" t="s">
        <v>2060</v>
      </c>
      <c r="I2381" s="149">
        <v>45478.0</v>
      </c>
      <c r="J2381" s="149">
        <v>45695.0</v>
      </c>
      <c r="K2381" s="156" t="s">
        <v>12652</v>
      </c>
      <c r="L2381" s="65"/>
      <c r="M2381" s="156" t="s">
        <v>12647</v>
      </c>
      <c r="N2381" s="156" t="s">
        <v>2056</v>
      </c>
      <c r="O2381" s="65"/>
      <c r="P2381" s="156" t="str">
        <f t="shared" si="137"/>
        <v>10.1016--j.econedurev.2005.05.008.pdf</v>
      </c>
      <c r="Q2381" s="49" t="str">
        <f t="array" ref="Q2381"> if(iserror(MATCH(V2381, 'File Links'!C:C, 0)), "N/A", HYPERLINK(INDEX('File Links'!B:B, MATCH(P2381, 'File Links'!C:C, 0))))</f>
        <v>https://drive.google.com/file/d/1jEnrVGc2PxWYnqqR5b5QggE9HgY-tjOC/view?usp=drivesdk</v>
      </c>
      <c r="R2381" s="156" t="s">
        <v>12649</v>
      </c>
      <c r="S2381" s="156" t="s">
        <v>2058</v>
      </c>
      <c r="T2381" s="65"/>
      <c r="U2381" s="65"/>
      <c r="V2381" s="195" t="str">
        <f t="shared" si="125"/>
        <v>10.5281--zenodo.6426882.pdf</v>
      </c>
      <c r="W2381" s="156" t="s">
        <v>202</v>
      </c>
      <c r="X2381" s="51" t="str">
        <f t="array" ref="X2381"> if(iserror(MATCH(V2381, 'File Links'!C:C, 0)), "N/A", HYPERLINK(INDEX('File Links'!B:B, MATCH(V2381, 'File Links'!C:C, 0))))</f>
        <v>https://drive.google.com/file/d/1jvhXrkXP500Hc10PhmlgwF_pIcWK0diq/view?usp=drivesdk</v>
      </c>
      <c r="Y2381" s="65"/>
      <c r="Z2381" s="156" t="s">
        <v>234</v>
      </c>
      <c r="AA2381" s="65"/>
      <c r="AB2381" s="156" t="s">
        <v>12653</v>
      </c>
      <c r="AC2381" s="1062"/>
      <c r="AD2381" s="65" t="s">
        <v>14344</v>
      </c>
      <c r="AE2381" s="65"/>
      <c r="AF2381" s="153">
        <v>5167.0</v>
      </c>
      <c r="AG2381" s="1384" t="s">
        <v>14345</v>
      </c>
      <c r="AH2381" s="156" t="s">
        <v>127</v>
      </c>
      <c r="AI2381" s="156" t="s">
        <v>621</v>
      </c>
      <c r="AJ2381" s="333">
        <v>0.001</v>
      </c>
      <c r="AK2381" s="65" t="s">
        <v>128</v>
      </c>
      <c r="AL2381" s="156" t="s">
        <v>179</v>
      </c>
      <c r="AM2381" s="65" t="s">
        <v>1898</v>
      </c>
      <c r="AN2381" s="327" t="s">
        <v>131</v>
      </c>
      <c r="AO2381" s="153">
        <v>2968.0</v>
      </c>
      <c r="AP2381" s="65" t="s">
        <v>14346</v>
      </c>
      <c r="AQ2381" s="65" t="s">
        <v>127</v>
      </c>
      <c r="AR2381" s="156" t="s">
        <v>606</v>
      </c>
      <c r="AS2381" s="333">
        <v>0.001</v>
      </c>
      <c r="AT2381" s="156" t="s">
        <v>128</v>
      </c>
      <c r="AU2381" s="156" t="s">
        <v>179</v>
      </c>
      <c r="AV2381" s="65" t="s">
        <v>1898</v>
      </c>
      <c r="AW2381" s="65"/>
      <c r="AX2381" s="65" t="s">
        <v>136</v>
      </c>
    </row>
    <row r="2382">
      <c r="A2382" s="41">
        <v>2382.0</v>
      </c>
      <c r="B2382" s="126" t="s">
        <v>516</v>
      </c>
      <c r="C2382" s="59" t="s">
        <v>108</v>
      </c>
      <c r="D2382" s="59" t="s">
        <v>1263</v>
      </c>
      <c r="F2382" s="65"/>
      <c r="G2382" s="156" t="s">
        <v>12646</v>
      </c>
      <c r="H2382" s="156" t="s">
        <v>2060</v>
      </c>
      <c r="I2382" s="149">
        <v>45478.0</v>
      </c>
      <c r="J2382" s="149">
        <v>45695.0</v>
      </c>
      <c r="K2382" s="156" t="s">
        <v>12652</v>
      </c>
      <c r="L2382" s="65"/>
      <c r="M2382" s="156" t="s">
        <v>12647</v>
      </c>
      <c r="N2382" s="156" t="s">
        <v>2056</v>
      </c>
      <c r="O2382" s="65"/>
      <c r="P2382" s="156" t="str">
        <f t="shared" si="137"/>
        <v>10.1016--j.econedurev.2005.05.008.pdf</v>
      </c>
      <c r="Q2382" s="49" t="str">
        <f t="array" ref="Q2382"> if(iserror(MATCH(V2382, 'File Links'!C:C, 0)), "N/A", HYPERLINK(INDEX('File Links'!B:B, MATCH(P2382, 'File Links'!C:C, 0))))</f>
        <v>https://drive.google.com/file/d/1jEnrVGc2PxWYnqqR5b5QggE9HgY-tjOC/view?usp=drivesdk</v>
      </c>
      <c r="R2382" s="156" t="s">
        <v>12649</v>
      </c>
      <c r="S2382" s="156" t="s">
        <v>2058</v>
      </c>
      <c r="T2382" s="65"/>
      <c r="U2382" s="65"/>
      <c r="V2382" s="195" t="str">
        <f t="shared" si="125"/>
        <v>10.5281--zenodo.6426882.pdf</v>
      </c>
      <c r="W2382" s="156" t="s">
        <v>202</v>
      </c>
      <c r="X2382" s="51" t="str">
        <f t="array" ref="X2382"> if(iserror(MATCH(V2382, 'File Links'!C:C, 0)), "N/A", HYPERLINK(INDEX('File Links'!B:B, MATCH(V2382, 'File Links'!C:C, 0))))</f>
        <v>https://drive.google.com/file/d/1jvhXrkXP500Hc10PhmlgwF_pIcWK0diq/view?usp=drivesdk</v>
      </c>
      <c r="Y2382" s="65"/>
      <c r="Z2382" s="156" t="s">
        <v>234</v>
      </c>
      <c r="AA2382" s="65"/>
      <c r="AB2382" s="156" t="s">
        <v>12653</v>
      </c>
      <c r="AC2382" s="1062"/>
      <c r="AD2382" s="65" t="s">
        <v>14347</v>
      </c>
      <c r="AE2382" s="65"/>
      <c r="AF2382" s="153">
        <v>5167.0</v>
      </c>
      <c r="AG2382" s="1057" t="s">
        <v>14348</v>
      </c>
      <c r="AH2382" s="156" t="s">
        <v>127</v>
      </c>
      <c r="AI2382" s="156" t="s">
        <v>621</v>
      </c>
      <c r="AJ2382" s="153">
        <v>0.001</v>
      </c>
      <c r="AK2382" s="156" t="s">
        <v>128</v>
      </c>
      <c r="AL2382" s="156" t="s">
        <v>179</v>
      </c>
      <c r="AM2382" s="65" t="s">
        <v>1898</v>
      </c>
      <c r="AN2382" s="327" t="s">
        <v>131</v>
      </c>
      <c r="AO2382" s="153">
        <v>2968.0</v>
      </c>
      <c r="AP2382" s="65" t="s">
        <v>14349</v>
      </c>
      <c r="AQ2382" s="156" t="s">
        <v>127</v>
      </c>
      <c r="AR2382" s="156" t="s">
        <v>606</v>
      </c>
      <c r="AS2382" s="153">
        <v>0.001</v>
      </c>
      <c r="AT2382" s="156" t="s">
        <v>128</v>
      </c>
      <c r="AU2382" s="156" t="s">
        <v>179</v>
      </c>
      <c r="AV2382" s="65" t="s">
        <v>1898</v>
      </c>
      <c r="AW2382" s="65"/>
      <c r="AX2382" s="65" t="s">
        <v>136</v>
      </c>
    </row>
    <row r="2383">
      <c r="A2383" s="41">
        <v>2383.0</v>
      </c>
      <c r="B2383" s="126" t="s">
        <v>516</v>
      </c>
      <c r="C2383" s="59" t="s">
        <v>108</v>
      </c>
      <c r="D2383" s="59" t="s">
        <v>1263</v>
      </c>
      <c r="F2383" s="65"/>
      <c r="G2383" s="156" t="s">
        <v>12646</v>
      </c>
      <c r="H2383" s="156" t="s">
        <v>2060</v>
      </c>
      <c r="I2383" s="149">
        <v>45478.0</v>
      </c>
      <c r="J2383" s="149">
        <v>45695.0</v>
      </c>
      <c r="K2383" s="156" t="s">
        <v>12652</v>
      </c>
      <c r="L2383" s="65"/>
      <c r="M2383" s="156" t="s">
        <v>12647</v>
      </c>
      <c r="N2383" s="156" t="s">
        <v>2056</v>
      </c>
      <c r="O2383" s="65"/>
      <c r="P2383" s="156" t="str">
        <f t="shared" si="137"/>
        <v>10.1016--j.econedurev.2005.05.008.pdf</v>
      </c>
      <c r="Q2383" s="49" t="str">
        <f t="array" ref="Q2383"> if(iserror(MATCH(V2383, 'File Links'!C:C, 0)), "N/A", HYPERLINK(INDEX('File Links'!B:B, MATCH(P2383, 'File Links'!C:C, 0))))</f>
        <v>https://drive.google.com/file/d/1jEnrVGc2PxWYnqqR5b5QggE9HgY-tjOC/view?usp=drivesdk</v>
      </c>
      <c r="R2383" s="156" t="s">
        <v>12649</v>
      </c>
      <c r="S2383" s="156" t="s">
        <v>2058</v>
      </c>
      <c r="T2383" s="65"/>
      <c r="U2383" s="65"/>
      <c r="V2383" s="195" t="str">
        <f t="shared" si="125"/>
        <v>10.5281--zenodo.6426882.pdf</v>
      </c>
      <c r="W2383" s="156" t="s">
        <v>202</v>
      </c>
      <c r="X2383" s="51" t="str">
        <f t="array" ref="X2383"> if(iserror(MATCH(V2383, 'File Links'!C:C, 0)), "N/A", HYPERLINK(INDEX('File Links'!B:B, MATCH(V2383, 'File Links'!C:C, 0))))</f>
        <v>https://drive.google.com/file/d/1jvhXrkXP500Hc10PhmlgwF_pIcWK0diq/view?usp=drivesdk</v>
      </c>
      <c r="Y2383" s="65"/>
      <c r="Z2383" s="156" t="s">
        <v>234</v>
      </c>
      <c r="AA2383" s="65"/>
      <c r="AB2383" s="156" t="s">
        <v>12653</v>
      </c>
      <c r="AC2383" s="1062"/>
      <c r="AD2383" s="156" t="s">
        <v>14350</v>
      </c>
      <c r="AE2383" s="65"/>
      <c r="AF2383" s="153">
        <v>5167.0</v>
      </c>
      <c r="AG2383" s="1057" t="s">
        <v>14351</v>
      </c>
      <c r="AH2383" s="156" t="s">
        <v>127</v>
      </c>
      <c r="AI2383" s="156" t="s">
        <v>621</v>
      </c>
      <c r="AJ2383" s="153">
        <v>0.001</v>
      </c>
      <c r="AK2383" s="156" t="s">
        <v>128</v>
      </c>
      <c r="AL2383" s="156" t="s">
        <v>179</v>
      </c>
      <c r="AM2383" s="65" t="s">
        <v>1898</v>
      </c>
      <c r="AN2383" s="327" t="s">
        <v>131</v>
      </c>
      <c r="AO2383" s="153">
        <v>2968.0</v>
      </c>
      <c r="AP2383" s="65" t="s">
        <v>14352</v>
      </c>
      <c r="AQ2383" s="156" t="s">
        <v>127</v>
      </c>
      <c r="AR2383" s="156" t="s">
        <v>606</v>
      </c>
      <c r="AS2383" s="153">
        <v>0.006</v>
      </c>
      <c r="AT2383" s="156" t="s">
        <v>165</v>
      </c>
      <c r="AU2383" s="156" t="s">
        <v>179</v>
      </c>
      <c r="AV2383" s="65" t="s">
        <v>1898</v>
      </c>
      <c r="AW2383" s="65"/>
      <c r="AX2383" s="65" t="s">
        <v>136</v>
      </c>
      <c r="BA2383" s="339"/>
      <c r="BB2383" s="339"/>
      <c r="BC2383" s="339"/>
      <c r="BD2383" s="339"/>
      <c r="BE2383" s="339"/>
      <c r="BF2383" s="339"/>
      <c r="BG2383" s="339"/>
      <c r="BH2383" s="339"/>
      <c r="BI2383" s="339"/>
      <c r="BJ2383" s="339"/>
      <c r="BK2383" s="339"/>
      <c r="BL2383" s="339"/>
      <c r="BM2383" s="339"/>
      <c r="BN2383" s="339"/>
      <c r="BO2383" s="339"/>
      <c r="BP2383" s="339"/>
      <c r="BQ2383" s="339"/>
      <c r="BR2383" s="339"/>
      <c r="BS2383" s="339"/>
      <c r="BT2383" s="339"/>
      <c r="BU2383" s="339"/>
      <c r="BV2383" s="339"/>
      <c r="BW2383" s="339"/>
      <c r="BX2383" s="339"/>
      <c r="BY2383" s="339"/>
      <c r="BZ2383" s="339"/>
      <c r="CA2383" s="339"/>
      <c r="CB2383" s="339"/>
      <c r="CC2383" s="339"/>
      <c r="CD2383" s="339"/>
      <c r="CE2383" s="339"/>
      <c r="CF2383" s="339"/>
      <c r="CG2383" s="339"/>
      <c r="CH2383" s="339"/>
      <c r="CI2383" s="339"/>
      <c r="CJ2383" s="339"/>
      <c r="CK2383" s="339"/>
      <c r="CL2383" s="339"/>
      <c r="CM2383" s="339"/>
      <c r="CN2383" s="339"/>
      <c r="CO2383" s="339"/>
      <c r="CP2383" s="339"/>
      <c r="CQ2383" s="339"/>
      <c r="CR2383" s="339"/>
      <c r="CS2383" s="339"/>
      <c r="CT2383" s="339"/>
      <c r="CU2383" s="339"/>
      <c r="CV2383" s="339"/>
      <c r="CW2383" s="339"/>
      <c r="CX2383" s="339"/>
      <c r="CY2383" s="339"/>
      <c r="CZ2383" s="339"/>
      <c r="DA2383" s="339"/>
      <c r="DB2383" s="339"/>
      <c r="DC2383" s="339"/>
      <c r="DD2383" s="339"/>
      <c r="DE2383" s="339"/>
      <c r="DF2383" s="339"/>
      <c r="DG2383" s="339"/>
      <c r="DH2383" s="339"/>
    </row>
    <row r="2384">
      <c r="A2384" s="41">
        <v>2384.0</v>
      </c>
      <c r="B2384" s="126" t="s">
        <v>516</v>
      </c>
      <c r="C2384" s="59" t="s">
        <v>108</v>
      </c>
      <c r="D2384" s="59" t="s">
        <v>1263</v>
      </c>
      <c r="F2384" s="65"/>
      <c r="G2384" s="156" t="s">
        <v>12646</v>
      </c>
      <c r="H2384" s="156" t="s">
        <v>2060</v>
      </c>
      <c r="I2384" s="149">
        <v>45478.0</v>
      </c>
      <c r="J2384" s="149">
        <v>45695.0</v>
      </c>
      <c r="K2384" s="156" t="s">
        <v>12652</v>
      </c>
      <c r="L2384" s="65"/>
      <c r="M2384" s="156" t="s">
        <v>12647</v>
      </c>
      <c r="N2384" s="156" t="s">
        <v>2056</v>
      </c>
      <c r="O2384" s="65"/>
      <c r="P2384" s="156" t="str">
        <f t="shared" si="137"/>
        <v>10.1016--j.econedurev.2005.05.008.pdf</v>
      </c>
      <c r="Q2384" s="49" t="str">
        <f t="array" ref="Q2384"> if(iserror(MATCH(V2384, 'File Links'!C:C, 0)), "N/A", HYPERLINK(INDEX('File Links'!B:B, MATCH(P2384, 'File Links'!C:C, 0))))</f>
        <v>https://drive.google.com/file/d/1jEnrVGc2PxWYnqqR5b5QggE9HgY-tjOC/view?usp=drivesdk</v>
      </c>
      <c r="R2384" s="156" t="s">
        <v>12649</v>
      </c>
      <c r="S2384" s="156" t="s">
        <v>2058</v>
      </c>
      <c r="T2384" s="65"/>
      <c r="U2384" s="65"/>
      <c r="V2384" s="195" t="str">
        <f t="shared" si="125"/>
        <v>10.5281--zenodo.6426882.pdf</v>
      </c>
      <c r="W2384" s="156" t="s">
        <v>202</v>
      </c>
      <c r="X2384" s="51" t="str">
        <f t="array" ref="X2384"> if(iserror(MATCH(V2384, 'File Links'!C:C, 0)), "N/A", HYPERLINK(INDEX('File Links'!B:B, MATCH(V2384, 'File Links'!C:C, 0))))</f>
        <v>https://drive.google.com/file/d/1jvhXrkXP500Hc10PhmlgwF_pIcWK0diq/view?usp=drivesdk</v>
      </c>
      <c r="Y2384" s="65"/>
      <c r="Z2384" s="156" t="s">
        <v>234</v>
      </c>
      <c r="AA2384" s="65"/>
      <c r="AB2384" s="156" t="s">
        <v>12653</v>
      </c>
      <c r="AC2384" s="1062"/>
      <c r="AD2384" s="156" t="s">
        <v>14353</v>
      </c>
      <c r="AE2384" s="65"/>
      <c r="AF2384" s="153">
        <v>5167.0</v>
      </c>
      <c r="AG2384" s="1057" t="s">
        <v>14354</v>
      </c>
      <c r="AH2384" s="156" t="s">
        <v>127</v>
      </c>
      <c r="AI2384" s="156" t="s">
        <v>621</v>
      </c>
      <c r="AJ2384" s="153">
        <v>0.05</v>
      </c>
      <c r="AK2384" s="156" t="s">
        <v>128</v>
      </c>
      <c r="AL2384" s="156" t="s">
        <v>179</v>
      </c>
      <c r="AM2384" s="65" t="s">
        <v>1898</v>
      </c>
      <c r="AN2384" s="327" t="s">
        <v>131</v>
      </c>
      <c r="AO2384" s="153">
        <v>2968.0</v>
      </c>
      <c r="AP2384" s="65" t="s">
        <v>14355</v>
      </c>
      <c r="AQ2384" s="156" t="s">
        <v>127</v>
      </c>
      <c r="AR2384" s="156" t="s">
        <v>606</v>
      </c>
      <c r="AS2384" s="153">
        <v>0.001</v>
      </c>
      <c r="AT2384" s="156" t="s">
        <v>128</v>
      </c>
      <c r="AU2384" s="156" t="s">
        <v>179</v>
      </c>
      <c r="AV2384" s="65" t="s">
        <v>1898</v>
      </c>
      <c r="AW2384" s="65"/>
      <c r="AX2384" s="65" t="s">
        <v>136</v>
      </c>
      <c r="BA2384" s="339"/>
      <c r="BB2384" s="339"/>
      <c r="BC2384" s="339"/>
      <c r="BD2384" s="339"/>
      <c r="BE2384" s="339"/>
      <c r="BF2384" s="339"/>
      <c r="BG2384" s="339"/>
      <c r="BH2384" s="339"/>
      <c r="BI2384" s="339"/>
      <c r="BJ2384" s="339"/>
      <c r="BK2384" s="339"/>
      <c r="BL2384" s="339"/>
      <c r="BM2384" s="339"/>
      <c r="BN2384" s="339"/>
      <c r="BO2384" s="339"/>
      <c r="BP2384" s="339"/>
      <c r="BQ2384" s="339"/>
      <c r="BR2384" s="339"/>
      <c r="BS2384" s="339"/>
      <c r="BT2384" s="339"/>
      <c r="BU2384" s="339"/>
      <c r="BV2384" s="339"/>
      <c r="BW2384" s="339"/>
      <c r="BX2384" s="339"/>
      <c r="BY2384" s="339"/>
      <c r="BZ2384" s="339"/>
      <c r="CA2384" s="339"/>
      <c r="CB2384" s="339"/>
      <c r="CC2384" s="339"/>
      <c r="CD2384" s="339"/>
      <c r="CE2384" s="339"/>
      <c r="CF2384" s="339"/>
      <c r="CG2384" s="339"/>
      <c r="CH2384" s="339"/>
      <c r="CI2384" s="339"/>
      <c r="CJ2384" s="339"/>
      <c r="CK2384" s="339"/>
      <c r="CL2384" s="339"/>
      <c r="CM2384" s="339"/>
      <c r="CN2384" s="339"/>
      <c r="CO2384" s="339"/>
      <c r="CP2384" s="339"/>
      <c r="CQ2384" s="339"/>
      <c r="CR2384" s="339"/>
      <c r="CS2384" s="339"/>
      <c r="CT2384" s="339"/>
      <c r="CU2384" s="339"/>
      <c r="CV2384" s="339"/>
      <c r="CW2384" s="339"/>
      <c r="CX2384" s="339"/>
      <c r="CY2384" s="339"/>
      <c r="CZ2384" s="339"/>
      <c r="DA2384" s="339"/>
      <c r="DB2384" s="339"/>
      <c r="DC2384" s="339"/>
      <c r="DD2384" s="339"/>
      <c r="DE2384" s="339"/>
      <c r="DF2384" s="339"/>
      <c r="DG2384" s="339"/>
      <c r="DH2384" s="339"/>
    </row>
    <row r="2385">
      <c r="A2385" s="41">
        <v>2385.0</v>
      </c>
      <c r="B2385" s="126" t="s">
        <v>516</v>
      </c>
      <c r="C2385" s="59" t="s">
        <v>108</v>
      </c>
      <c r="D2385" s="59" t="s">
        <v>1263</v>
      </c>
      <c r="F2385" s="65"/>
      <c r="G2385" s="156" t="s">
        <v>12646</v>
      </c>
      <c r="H2385" s="156" t="s">
        <v>2060</v>
      </c>
      <c r="I2385" s="149">
        <v>45478.0</v>
      </c>
      <c r="J2385" s="149">
        <v>45695.0</v>
      </c>
      <c r="K2385" s="156" t="s">
        <v>12652</v>
      </c>
      <c r="L2385" s="65"/>
      <c r="M2385" s="156" t="s">
        <v>12647</v>
      </c>
      <c r="N2385" s="156" t="s">
        <v>2056</v>
      </c>
      <c r="O2385" s="65"/>
      <c r="P2385" s="156" t="str">
        <f t="shared" si="137"/>
        <v>10.1016--j.econedurev.2005.05.008.pdf</v>
      </c>
      <c r="Q2385" s="49" t="str">
        <f t="array" ref="Q2385"> if(iserror(MATCH(V2385, 'File Links'!C:C, 0)), "N/A", HYPERLINK(INDEX('File Links'!B:B, MATCH(P2385, 'File Links'!C:C, 0))))</f>
        <v>https://drive.google.com/file/d/1jEnrVGc2PxWYnqqR5b5QggE9HgY-tjOC/view?usp=drivesdk</v>
      </c>
      <c r="R2385" s="156" t="s">
        <v>12649</v>
      </c>
      <c r="S2385" s="156" t="s">
        <v>2058</v>
      </c>
      <c r="T2385" s="65"/>
      <c r="U2385" s="65"/>
      <c r="V2385" s="195" t="str">
        <f t="shared" si="125"/>
        <v>10.5281--zenodo.6426882.pdf</v>
      </c>
      <c r="W2385" s="156" t="s">
        <v>202</v>
      </c>
      <c r="X2385" s="51" t="str">
        <f t="array" ref="X2385"> if(iserror(MATCH(V2385, 'File Links'!C:C, 0)), "N/A", HYPERLINK(INDEX('File Links'!B:B, MATCH(V2385, 'File Links'!C:C, 0))))</f>
        <v>https://drive.google.com/file/d/1jvhXrkXP500Hc10PhmlgwF_pIcWK0diq/view?usp=drivesdk</v>
      </c>
      <c r="Y2385" s="65"/>
      <c r="Z2385" s="156" t="s">
        <v>234</v>
      </c>
      <c r="AA2385" s="65"/>
      <c r="AB2385" s="156" t="s">
        <v>12653</v>
      </c>
      <c r="AC2385" s="1062"/>
      <c r="AD2385" s="156" t="s">
        <v>14356</v>
      </c>
      <c r="AE2385" s="65"/>
      <c r="AF2385" s="153">
        <v>5167.0</v>
      </c>
      <c r="AG2385" s="1057" t="s">
        <v>14357</v>
      </c>
      <c r="AH2385" s="156" t="s">
        <v>127</v>
      </c>
      <c r="AI2385" s="156" t="s">
        <v>621</v>
      </c>
      <c r="AJ2385" s="153">
        <v>0.001</v>
      </c>
      <c r="AK2385" s="156" t="s">
        <v>128</v>
      </c>
      <c r="AL2385" s="156" t="s">
        <v>179</v>
      </c>
      <c r="AM2385" s="65" t="s">
        <v>1898</v>
      </c>
      <c r="AN2385" s="327" t="s">
        <v>131</v>
      </c>
      <c r="AO2385" s="153">
        <v>2968.0</v>
      </c>
      <c r="AP2385" s="65" t="s">
        <v>14358</v>
      </c>
      <c r="AQ2385" s="156" t="s">
        <v>127</v>
      </c>
      <c r="AR2385" s="156" t="s">
        <v>621</v>
      </c>
      <c r="AS2385" s="153">
        <v>0.001</v>
      </c>
      <c r="AT2385" s="156" t="s">
        <v>128</v>
      </c>
      <c r="AU2385" s="156" t="s">
        <v>179</v>
      </c>
      <c r="AV2385" s="65" t="s">
        <v>1898</v>
      </c>
      <c r="AW2385" s="65"/>
      <c r="AX2385" s="65" t="s">
        <v>136</v>
      </c>
      <c r="BA2385" s="339"/>
      <c r="BB2385" s="339"/>
      <c r="BC2385" s="339"/>
      <c r="BD2385" s="339"/>
      <c r="BE2385" s="339"/>
      <c r="BF2385" s="339"/>
      <c r="BG2385" s="339"/>
      <c r="BH2385" s="339"/>
      <c r="BI2385" s="339"/>
      <c r="BJ2385" s="339"/>
      <c r="BK2385" s="339"/>
      <c r="BL2385" s="339"/>
      <c r="BM2385" s="339"/>
      <c r="BN2385" s="339"/>
      <c r="BO2385" s="339"/>
      <c r="BP2385" s="339"/>
      <c r="BQ2385" s="339"/>
      <c r="BR2385" s="339"/>
      <c r="BS2385" s="339"/>
      <c r="BT2385" s="339"/>
      <c r="BU2385" s="339"/>
      <c r="BV2385" s="339"/>
      <c r="BW2385" s="339"/>
      <c r="BX2385" s="339"/>
      <c r="BY2385" s="339"/>
      <c r="BZ2385" s="339"/>
      <c r="CA2385" s="339"/>
      <c r="CB2385" s="339"/>
      <c r="CC2385" s="339"/>
      <c r="CD2385" s="339"/>
      <c r="CE2385" s="339"/>
      <c r="CF2385" s="339"/>
      <c r="CG2385" s="339"/>
      <c r="CH2385" s="339"/>
      <c r="CI2385" s="339"/>
      <c r="CJ2385" s="339"/>
      <c r="CK2385" s="339"/>
      <c r="CL2385" s="339"/>
      <c r="CM2385" s="339"/>
      <c r="CN2385" s="339"/>
      <c r="CO2385" s="339"/>
      <c r="CP2385" s="339"/>
      <c r="CQ2385" s="339"/>
      <c r="CR2385" s="339"/>
      <c r="CS2385" s="339"/>
      <c r="CT2385" s="339"/>
      <c r="CU2385" s="339"/>
      <c r="CV2385" s="339"/>
      <c r="CW2385" s="339"/>
      <c r="CX2385" s="339"/>
      <c r="CY2385" s="339"/>
      <c r="CZ2385" s="339"/>
      <c r="DA2385" s="339"/>
      <c r="DB2385" s="339"/>
      <c r="DC2385" s="339"/>
      <c r="DD2385" s="339"/>
      <c r="DE2385" s="339"/>
      <c r="DF2385" s="339"/>
      <c r="DG2385" s="339"/>
      <c r="DH2385" s="339"/>
    </row>
    <row r="2386">
      <c r="A2386" s="41">
        <v>2386.0</v>
      </c>
      <c r="B2386" s="126" t="s">
        <v>516</v>
      </c>
      <c r="C2386" s="59" t="s">
        <v>108</v>
      </c>
      <c r="D2386" s="59" t="s">
        <v>1263</v>
      </c>
      <c r="F2386" s="65"/>
      <c r="G2386" s="156" t="s">
        <v>12646</v>
      </c>
      <c r="H2386" s="156" t="s">
        <v>2060</v>
      </c>
      <c r="I2386" s="149">
        <v>45478.0</v>
      </c>
      <c r="J2386" s="149">
        <v>45695.0</v>
      </c>
      <c r="K2386" s="156" t="s">
        <v>12652</v>
      </c>
      <c r="L2386" s="65"/>
      <c r="M2386" s="156" t="s">
        <v>12647</v>
      </c>
      <c r="N2386" s="156" t="s">
        <v>2056</v>
      </c>
      <c r="O2386" s="65"/>
      <c r="P2386" s="156" t="str">
        <f t="shared" si="137"/>
        <v>10.1016--j.econedurev.2005.05.008.pdf</v>
      </c>
      <c r="Q2386" s="49" t="str">
        <f t="array" ref="Q2386"> if(iserror(MATCH(V2386, 'File Links'!C:C, 0)), "N/A", HYPERLINK(INDEX('File Links'!B:B, MATCH(P2386, 'File Links'!C:C, 0))))</f>
        <v>https://drive.google.com/file/d/1jEnrVGc2PxWYnqqR5b5QggE9HgY-tjOC/view?usp=drivesdk</v>
      </c>
      <c r="R2386" s="156" t="s">
        <v>12649</v>
      </c>
      <c r="S2386" s="156" t="s">
        <v>2058</v>
      </c>
      <c r="T2386" s="65"/>
      <c r="U2386" s="65"/>
      <c r="V2386" s="195" t="str">
        <f t="shared" si="125"/>
        <v>10.5281--zenodo.6426882.pdf</v>
      </c>
      <c r="W2386" s="156" t="s">
        <v>202</v>
      </c>
      <c r="X2386" s="51" t="str">
        <f t="array" ref="X2386"> if(iserror(MATCH(V2386, 'File Links'!C:C, 0)), "N/A", HYPERLINK(INDEX('File Links'!B:B, MATCH(V2386, 'File Links'!C:C, 0))))</f>
        <v>https://drive.google.com/file/d/1jvhXrkXP500Hc10PhmlgwF_pIcWK0diq/view?usp=drivesdk</v>
      </c>
      <c r="Y2386" s="65"/>
      <c r="Z2386" s="156" t="s">
        <v>234</v>
      </c>
      <c r="AA2386" s="65"/>
      <c r="AB2386" s="156" t="s">
        <v>12653</v>
      </c>
      <c r="AC2386" s="1062"/>
      <c r="AD2386" s="156" t="s">
        <v>14359</v>
      </c>
      <c r="AE2386" s="65"/>
      <c r="AF2386" s="153">
        <v>5167.0</v>
      </c>
      <c r="AG2386" s="1057" t="s">
        <v>14360</v>
      </c>
      <c r="AH2386" s="156" t="s">
        <v>127</v>
      </c>
      <c r="AI2386" s="156" t="s">
        <v>621</v>
      </c>
      <c r="AJ2386" s="153">
        <v>0.001</v>
      </c>
      <c r="AK2386" s="156" t="s">
        <v>128</v>
      </c>
      <c r="AL2386" s="156" t="s">
        <v>179</v>
      </c>
      <c r="AM2386" s="65" t="s">
        <v>1898</v>
      </c>
      <c r="AN2386" s="327" t="s">
        <v>131</v>
      </c>
      <c r="AO2386" s="153">
        <v>2968.0</v>
      </c>
      <c r="AP2386" s="65" t="s">
        <v>14361</v>
      </c>
      <c r="AQ2386" s="156" t="s">
        <v>127</v>
      </c>
      <c r="AR2386" s="156" t="s">
        <v>621</v>
      </c>
      <c r="AS2386" s="153">
        <v>0.004</v>
      </c>
      <c r="AT2386" s="156" t="s">
        <v>165</v>
      </c>
      <c r="AU2386" s="156" t="s">
        <v>179</v>
      </c>
      <c r="AV2386" s="65" t="s">
        <v>1898</v>
      </c>
      <c r="AW2386" s="65"/>
      <c r="AX2386" s="65" t="s">
        <v>136</v>
      </c>
      <c r="BA2386" s="339"/>
      <c r="BB2386" s="339"/>
      <c r="BC2386" s="339"/>
      <c r="BD2386" s="339"/>
      <c r="BE2386" s="339"/>
      <c r="BF2386" s="339"/>
      <c r="BG2386" s="339"/>
      <c r="BH2386" s="339"/>
      <c r="BI2386" s="339"/>
      <c r="BJ2386" s="339"/>
      <c r="BK2386" s="339"/>
      <c r="BL2386" s="339"/>
      <c r="BM2386" s="339"/>
      <c r="BN2386" s="339"/>
      <c r="BO2386" s="339"/>
      <c r="BP2386" s="339"/>
      <c r="BQ2386" s="339"/>
      <c r="BR2386" s="339"/>
      <c r="BS2386" s="339"/>
      <c r="BT2386" s="339"/>
      <c r="BU2386" s="339"/>
      <c r="BV2386" s="339"/>
      <c r="BW2386" s="339"/>
      <c r="BX2386" s="339"/>
      <c r="BY2386" s="339"/>
      <c r="BZ2386" s="339"/>
      <c r="CA2386" s="339"/>
      <c r="CB2386" s="339"/>
      <c r="CC2386" s="339"/>
      <c r="CD2386" s="339"/>
      <c r="CE2386" s="339"/>
      <c r="CF2386" s="339"/>
      <c r="CG2386" s="339"/>
      <c r="CH2386" s="339"/>
      <c r="CI2386" s="339"/>
      <c r="CJ2386" s="339"/>
      <c r="CK2386" s="339"/>
      <c r="CL2386" s="339"/>
      <c r="CM2386" s="339"/>
      <c r="CN2386" s="339"/>
      <c r="CO2386" s="339"/>
      <c r="CP2386" s="339"/>
      <c r="CQ2386" s="339"/>
      <c r="CR2386" s="339"/>
      <c r="CS2386" s="339"/>
      <c r="CT2386" s="339"/>
      <c r="CU2386" s="339"/>
      <c r="CV2386" s="339"/>
      <c r="CW2386" s="339"/>
      <c r="CX2386" s="339"/>
      <c r="CY2386" s="339"/>
      <c r="CZ2386" s="339"/>
      <c r="DA2386" s="339"/>
      <c r="DB2386" s="339"/>
      <c r="DC2386" s="339"/>
      <c r="DD2386" s="339"/>
      <c r="DE2386" s="339"/>
      <c r="DF2386" s="339"/>
      <c r="DG2386" s="339"/>
      <c r="DH2386" s="339"/>
    </row>
    <row r="2387">
      <c r="A2387" s="41">
        <v>2387.0</v>
      </c>
      <c r="B2387" s="126" t="s">
        <v>516</v>
      </c>
      <c r="C2387" s="59" t="s">
        <v>108</v>
      </c>
      <c r="D2387" s="59" t="s">
        <v>1263</v>
      </c>
      <c r="F2387" s="65"/>
      <c r="G2387" s="156" t="s">
        <v>12646</v>
      </c>
      <c r="H2387" s="156" t="s">
        <v>2060</v>
      </c>
      <c r="I2387" s="149">
        <v>45478.0</v>
      </c>
      <c r="J2387" s="149">
        <v>45695.0</v>
      </c>
      <c r="K2387" s="156" t="s">
        <v>12652</v>
      </c>
      <c r="L2387" s="65"/>
      <c r="M2387" s="156" t="s">
        <v>12647</v>
      </c>
      <c r="N2387" s="156" t="s">
        <v>2056</v>
      </c>
      <c r="O2387" s="65"/>
      <c r="P2387" s="156" t="str">
        <f t="shared" si="137"/>
        <v>10.1016--j.econedurev.2005.05.008.pdf</v>
      </c>
      <c r="Q2387" s="49" t="str">
        <f t="array" ref="Q2387"> if(iserror(MATCH(V2387, 'File Links'!C:C, 0)), "N/A", HYPERLINK(INDEX('File Links'!B:B, MATCH(P2387, 'File Links'!C:C, 0))))</f>
        <v>https://drive.google.com/file/d/1jEnrVGc2PxWYnqqR5b5QggE9HgY-tjOC/view?usp=drivesdk</v>
      </c>
      <c r="R2387" s="156" t="s">
        <v>12649</v>
      </c>
      <c r="S2387" s="156" t="s">
        <v>2058</v>
      </c>
      <c r="T2387" s="65"/>
      <c r="U2387" s="65"/>
      <c r="V2387" s="195" t="str">
        <f t="shared" si="125"/>
        <v>10.5281--zenodo.6426882.pdf</v>
      </c>
      <c r="W2387" s="156" t="s">
        <v>202</v>
      </c>
      <c r="X2387" s="51" t="str">
        <f t="array" ref="X2387"> if(iserror(MATCH(V2387, 'File Links'!C:C, 0)), "N/A", HYPERLINK(INDEX('File Links'!B:B, MATCH(V2387, 'File Links'!C:C, 0))))</f>
        <v>https://drive.google.com/file/d/1jvhXrkXP500Hc10PhmlgwF_pIcWK0diq/view?usp=drivesdk</v>
      </c>
      <c r="Y2387" s="65"/>
      <c r="Z2387" s="156" t="s">
        <v>234</v>
      </c>
      <c r="AA2387" s="65"/>
      <c r="AB2387" s="156" t="s">
        <v>12653</v>
      </c>
      <c r="AC2387" s="1062"/>
      <c r="AD2387" s="156" t="s">
        <v>14362</v>
      </c>
      <c r="AE2387" s="65"/>
      <c r="AF2387" s="153">
        <v>5167.0</v>
      </c>
      <c r="AG2387" s="1057" t="s">
        <v>14363</v>
      </c>
      <c r="AH2387" s="156" t="s">
        <v>127</v>
      </c>
      <c r="AI2387" s="156" t="s">
        <v>621</v>
      </c>
      <c r="AJ2387" s="156" t="s">
        <v>131</v>
      </c>
      <c r="AK2387" s="65"/>
      <c r="AL2387" s="156" t="s">
        <v>179</v>
      </c>
      <c r="AM2387" s="65" t="s">
        <v>1898</v>
      </c>
      <c r="AN2387" s="327" t="s">
        <v>131</v>
      </c>
      <c r="AO2387" s="153">
        <v>2968.0</v>
      </c>
      <c r="AP2387" s="65" t="s">
        <v>14364</v>
      </c>
      <c r="AQ2387" s="156" t="s">
        <v>127</v>
      </c>
      <c r="AR2387" s="156" t="s">
        <v>621</v>
      </c>
      <c r="AS2387" s="153">
        <v>0.001</v>
      </c>
      <c r="AT2387" s="156" t="s">
        <v>128</v>
      </c>
      <c r="AU2387" s="156" t="s">
        <v>179</v>
      </c>
      <c r="AV2387" s="65" t="s">
        <v>1898</v>
      </c>
      <c r="AW2387" s="65"/>
      <c r="AX2387" s="65" t="s">
        <v>136</v>
      </c>
    </row>
    <row r="2388">
      <c r="A2388" s="41">
        <v>2388.0</v>
      </c>
      <c r="B2388" s="126" t="s">
        <v>516</v>
      </c>
      <c r="C2388" s="59" t="s">
        <v>108</v>
      </c>
      <c r="D2388" s="59" t="s">
        <v>138</v>
      </c>
      <c r="F2388" s="65"/>
      <c r="G2388" s="65" t="s">
        <v>14365</v>
      </c>
      <c r="H2388" s="65" t="s">
        <v>12773</v>
      </c>
      <c r="I2388" s="526">
        <v>45713.0</v>
      </c>
      <c r="J2388" s="65"/>
      <c r="K2388" s="65"/>
      <c r="L2388" s="65"/>
      <c r="M2388" s="126" t="s">
        <v>12766</v>
      </c>
      <c r="N2388" s="65" t="s">
        <v>12767</v>
      </c>
      <c r="O2388" s="333">
        <v>1.0</v>
      </c>
      <c r="P2388" s="65" t="s">
        <v>12768</v>
      </c>
      <c r="Q2388" s="49" t="str">
        <f t="array" ref="Q2388"> if(iserror(MATCH(V2388, 'File Links'!C:C, 0)), "N/A", HYPERLINK(INDEX('File Links'!B:B, MATCH(P2388, 'File Links'!C:C, 0))))</f>
        <v>https://drive.google.com/file/d/1kMj9bYJrk8644y4gPjpgYXSikwfmuYTS/view?usp=drivesdk</v>
      </c>
      <c r="R2388" s="65" t="s">
        <v>12793</v>
      </c>
      <c r="S2388" s="65" t="s">
        <v>12794</v>
      </c>
      <c r="T2388" s="65"/>
      <c r="U2388" s="65"/>
      <c r="V2388" s="65" t="s">
        <v>12795</v>
      </c>
      <c r="W2388" s="65" t="s">
        <v>1528</v>
      </c>
      <c r="X2388" s="51" t="str">
        <f t="array" ref="X2388"> if(iserror(MATCH(V2388, 'File Links'!C:C, 0)), "N/A", HYPERLINK(INDEX('File Links'!B:B, MATCH(V2388, 'File Links'!C:C, 0))))</f>
        <v>https://drive.google.com/file/d/1qykbPSroz40PGKkag9WEI54L9tC55d5r/view?usp=drivesdk</v>
      </c>
      <c r="Y2388" s="65"/>
      <c r="Z2388" s="65" t="s">
        <v>219</v>
      </c>
      <c r="AA2388" s="65" t="s">
        <v>12770</v>
      </c>
      <c r="AB2388" s="65" t="s">
        <v>12799</v>
      </c>
      <c r="AC2388" s="65" t="s">
        <v>14366</v>
      </c>
      <c r="AD2388" s="65" t="s">
        <v>12788</v>
      </c>
      <c r="AE2388" s="333">
        <v>3.0</v>
      </c>
      <c r="AF2388" s="333">
        <v>60.0</v>
      </c>
      <c r="AG2388" s="333">
        <v>0.29</v>
      </c>
      <c r="AH2388" s="65" t="s">
        <v>208</v>
      </c>
      <c r="AI2388" s="65" t="s">
        <v>210</v>
      </c>
      <c r="AJ2388" s="333">
        <v>0.023</v>
      </c>
      <c r="AK2388" s="65" t="s">
        <v>165</v>
      </c>
      <c r="AL2388" s="65" t="s">
        <v>179</v>
      </c>
      <c r="AM2388" s="65" t="s">
        <v>130</v>
      </c>
      <c r="AN2388" s="1362" t="s">
        <v>131</v>
      </c>
      <c r="AO2388" s="333">
        <v>114.0</v>
      </c>
      <c r="AP2388" s="560">
        <v>0.0</v>
      </c>
      <c r="AQ2388" s="65" t="s">
        <v>208</v>
      </c>
      <c r="AR2388" s="65" t="s">
        <v>12801</v>
      </c>
      <c r="AS2388" s="65" t="s">
        <v>1528</v>
      </c>
      <c r="AT2388" s="65" t="s">
        <v>1528</v>
      </c>
      <c r="AU2388" s="65" t="s">
        <v>179</v>
      </c>
      <c r="AV2388" s="65" t="s">
        <v>1898</v>
      </c>
      <c r="AW2388" s="432" t="s">
        <v>12797</v>
      </c>
      <c r="AX2388" s="65" t="s">
        <v>136</v>
      </c>
      <c r="BA2388" s="339"/>
      <c r="BB2388" s="339"/>
      <c r="BC2388" s="339"/>
      <c r="BD2388" s="339"/>
      <c r="BE2388" s="339"/>
      <c r="BF2388" s="339"/>
      <c r="BG2388" s="339"/>
      <c r="BH2388" s="339"/>
      <c r="BI2388" s="339"/>
      <c r="BJ2388" s="339"/>
      <c r="BK2388" s="339"/>
      <c r="BL2388" s="339"/>
      <c r="BM2388" s="339"/>
      <c r="BN2388" s="339"/>
      <c r="BO2388" s="339"/>
      <c r="BP2388" s="339"/>
      <c r="BQ2388" s="339"/>
      <c r="BR2388" s="339"/>
      <c r="BS2388" s="339"/>
      <c r="BT2388" s="339"/>
      <c r="BU2388" s="339"/>
      <c r="BV2388" s="339"/>
      <c r="BW2388" s="339"/>
      <c r="BX2388" s="339"/>
      <c r="BY2388" s="339"/>
      <c r="BZ2388" s="339"/>
      <c r="CA2388" s="339"/>
      <c r="CB2388" s="339"/>
      <c r="CC2388" s="339"/>
      <c r="CD2388" s="339"/>
      <c r="CE2388" s="339"/>
      <c r="CF2388" s="339"/>
      <c r="CG2388" s="339"/>
      <c r="CH2388" s="339"/>
      <c r="CI2388" s="339"/>
      <c r="CJ2388" s="339"/>
      <c r="CK2388" s="339"/>
      <c r="CL2388" s="339"/>
      <c r="CM2388" s="339"/>
      <c r="CN2388" s="339"/>
      <c r="CO2388" s="339"/>
      <c r="CP2388" s="339"/>
      <c r="CQ2388" s="339"/>
      <c r="CR2388" s="339"/>
      <c r="CS2388" s="339"/>
      <c r="CT2388" s="339"/>
      <c r="CU2388" s="339"/>
      <c r="CV2388" s="339"/>
      <c r="CW2388" s="339"/>
      <c r="CX2388" s="339"/>
      <c r="CY2388" s="339"/>
      <c r="CZ2388" s="339"/>
      <c r="DA2388" s="339"/>
      <c r="DB2388" s="339"/>
      <c r="DC2388" s="339"/>
      <c r="DD2388" s="339"/>
      <c r="DE2388" s="339"/>
      <c r="DF2388" s="339"/>
      <c r="DG2388" s="339"/>
      <c r="DH2388" s="339"/>
    </row>
    <row r="2389">
      <c r="A2389" s="41">
        <v>2389.0</v>
      </c>
      <c r="B2389" s="126" t="s">
        <v>516</v>
      </c>
      <c r="C2389" s="59" t="s">
        <v>108</v>
      </c>
      <c r="D2389" s="59" t="s">
        <v>138</v>
      </c>
      <c r="F2389" s="65"/>
      <c r="G2389" s="65" t="s">
        <v>14367</v>
      </c>
      <c r="H2389" s="65" t="s">
        <v>12773</v>
      </c>
      <c r="I2389" s="526">
        <v>45713.0</v>
      </c>
      <c r="J2389" s="65"/>
      <c r="K2389" s="65"/>
      <c r="L2389" s="65"/>
      <c r="M2389" s="126" t="s">
        <v>12766</v>
      </c>
      <c r="N2389" s="65" t="s">
        <v>12767</v>
      </c>
      <c r="O2389" s="333">
        <v>1.0</v>
      </c>
      <c r="P2389" s="65" t="s">
        <v>12768</v>
      </c>
      <c r="Q2389" s="49" t="str">
        <f t="array" ref="Q2389"> if(iserror(MATCH(V2389, 'File Links'!C:C, 0)), "N/A", HYPERLINK(INDEX('File Links'!B:B, MATCH(P2389, 'File Links'!C:C, 0))))</f>
        <v>https://drive.google.com/file/d/1kMj9bYJrk8644y4gPjpgYXSikwfmuYTS/view?usp=drivesdk</v>
      </c>
      <c r="R2389" s="65" t="s">
        <v>12793</v>
      </c>
      <c r="S2389" s="65" t="s">
        <v>12794</v>
      </c>
      <c r="T2389" s="65"/>
      <c r="U2389" s="65"/>
      <c r="V2389" s="65" t="s">
        <v>12795</v>
      </c>
      <c r="W2389" s="65" t="s">
        <v>1528</v>
      </c>
      <c r="X2389" s="51" t="str">
        <f t="array" ref="X2389"> if(iserror(MATCH(V2389, 'File Links'!C:C, 0)), "N/A", HYPERLINK(INDEX('File Links'!B:B, MATCH(V2389, 'File Links'!C:C, 0))))</f>
        <v>https://drive.google.com/file/d/1qykbPSroz40PGKkag9WEI54L9tC55d5r/view?usp=drivesdk</v>
      </c>
      <c r="Y2389" s="65"/>
      <c r="Z2389" s="65" t="s">
        <v>219</v>
      </c>
      <c r="AA2389" s="65" t="s">
        <v>12770</v>
      </c>
      <c r="AB2389" s="65" t="s">
        <v>12799</v>
      </c>
      <c r="AC2389" s="65" t="s">
        <v>14368</v>
      </c>
      <c r="AD2389" s="65" t="s">
        <v>12788</v>
      </c>
      <c r="AE2389" s="333">
        <v>3.0</v>
      </c>
      <c r="AF2389" s="333">
        <v>60.0</v>
      </c>
      <c r="AG2389" s="333">
        <v>0.29</v>
      </c>
      <c r="AH2389" s="65" t="s">
        <v>208</v>
      </c>
      <c r="AI2389" s="65" t="s">
        <v>210</v>
      </c>
      <c r="AJ2389" s="333">
        <v>0.023</v>
      </c>
      <c r="AK2389" s="65" t="s">
        <v>165</v>
      </c>
      <c r="AL2389" s="65" t="s">
        <v>179</v>
      </c>
      <c r="AM2389" s="65" t="s">
        <v>130</v>
      </c>
      <c r="AN2389" s="1362" t="s">
        <v>131</v>
      </c>
      <c r="AO2389" s="333">
        <v>109.0</v>
      </c>
      <c r="AP2389" s="560">
        <v>0.0</v>
      </c>
      <c r="AQ2389" s="65" t="s">
        <v>208</v>
      </c>
      <c r="AR2389" s="65" t="s">
        <v>12801</v>
      </c>
      <c r="AS2389" s="65" t="s">
        <v>1528</v>
      </c>
      <c r="AT2389" s="65" t="s">
        <v>1528</v>
      </c>
      <c r="AU2389" s="65" t="s">
        <v>179</v>
      </c>
      <c r="AV2389" s="65" t="s">
        <v>1898</v>
      </c>
      <c r="AW2389" s="432" t="s">
        <v>12797</v>
      </c>
      <c r="AX2389" s="65" t="s">
        <v>136</v>
      </c>
      <c r="BA2389" s="339"/>
      <c r="BB2389" s="339"/>
      <c r="BC2389" s="339"/>
      <c r="BD2389" s="339"/>
      <c r="BE2389" s="339"/>
      <c r="BF2389" s="339"/>
      <c r="BG2389" s="339"/>
      <c r="BH2389" s="339"/>
      <c r="BI2389" s="339"/>
      <c r="BJ2389" s="339"/>
      <c r="BK2389" s="339"/>
      <c r="BL2389" s="339"/>
      <c r="BM2389" s="339"/>
      <c r="BN2389" s="339"/>
      <c r="BO2389" s="339"/>
      <c r="BP2389" s="339"/>
      <c r="BQ2389" s="339"/>
      <c r="BR2389" s="339"/>
      <c r="BS2389" s="339"/>
      <c r="BT2389" s="339"/>
      <c r="BU2389" s="339"/>
      <c r="BV2389" s="339"/>
      <c r="BW2389" s="339"/>
      <c r="BX2389" s="339"/>
      <c r="BY2389" s="339"/>
      <c r="BZ2389" s="339"/>
      <c r="CA2389" s="339"/>
      <c r="CB2389" s="339"/>
      <c r="CC2389" s="339"/>
      <c r="CD2389" s="339"/>
      <c r="CE2389" s="339"/>
      <c r="CF2389" s="339"/>
      <c r="CG2389" s="339"/>
      <c r="CH2389" s="339"/>
      <c r="CI2389" s="339"/>
      <c r="CJ2389" s="339"/>
      <c r="CK2389" s="339"/>
      <c r="CL2389" s="339"/>
      <c r="CM2389" s="339"/>
      <c r="CN2389" s="339"/>
      <c r="CO2389" s="339"/>
      <c r="CP2389" s="339"/>
      <c r="CQ2389" s="339"/>
      <c r="CR2389" s="339"/>
      <c r="CS2389" s="339"/>
      <c r="CT2389" s="339"/>
      <c r="CU2389" s="339"/>
      <c r="CV2389" s="339"/>
      <c r="CW2389" s="339"/>
      <c r="CX2389" s="339"/>
      <c r="CY2389" s="339"/>
      <c r="CZ2389" s="339"/>
      <c r="DA2389" s="339"/>
      <c r="DB2389" s="339"/>
      <c r="DC2389" s="339"/>
      <c r="DD2389" s="339"/>
      <c r="DE2389" s="339"/>
      <c r="DF2389" s="339"/>
      <c r="DG2389" s="339"/>
      <c r="DH2389" s="339"/>
    </row>
    <row r="2390">
      <c r="A2390" s="41">
        <v>2390.0</v>
      </c>
      <c r="B2390" s="126" t="s">
        <v>516</v>
      </c>
      <c r="C2390" s="59" t="s">
        <v>108</v>
      </c>
      <c r="D2390" s="59" t="s">
        <v>138</v>
      </c>
      <c r="F2390" s="65"/>
      <c r="G2390" s="65" t="s">
        <v>14369</v>
      </c>
      <c r="H2390" s="65" t="s">
        <v>12753</v>
      </c>
      <c r="I2390" s="526">
        <v>45713.0</v>
      </c>
      <c r="J2390" s="65"/>
      <c r="K2390" s="65"/>
      <c r="L2390" s="591" t="s">
        <v>14370</v>
      </c>
      <c r="M2390" s="591" t="s">
        <v>14371</v>
      </c>
      <c r="N2390" s="65" t="s">
        <v>12741</v>
      </c>
      <c r="O2390" s="333">
        <v>3.0</v>
      </c>
      <c r="P2390" s="65" t="s">
        <v>12742</v>
      </c>
      <c r="Q2390" s="49" t="str">
        <f t="array" ref="Q2390"> if(iserror(MATCH(V2390, 'File Links'!C:C, 0)), "N/A", HYPERLINK(INDEX('File Links'!B:B, MATCH(P2390, 'File Links'!C:C, 0))))</f>
        <v>https://drive.google.com/file/d/1LFgNyzLqTELlP9tfS2pwZ6Egg431WCHQ/view?usp=drivesdk</v>
      </c>
      <c r="R2390" s="65" t="s">
        <v>12743</v>
      </c>
      <c r="S2390" s="65" t="s">
        <v>12744</v>
      </c>
      <c r="T2390" s="65"/>
      <c r="U2390" s="65"/>
      <c r="V2390" s="65" t="s">
        <v>12745</v>
      </c>
      <c r="W2390" s="65" t="s">
        <v>2118</v>
      </c>
      <c r="X2390" s="51" t="str">
        <f t="array" ref="X2390"> if(iserror(MATCH(V2390, 'File Links'!C:C, 0)), "N/A", HYPERLINK(INDEX('File Links'!B:B, MATCH(V2390, 'File Links'!C:C, 0))))</f>
        <v>https://drive.google.com/file/d/1yu5hD1Fq1gaQ5iAk9Sy1oujO3qnlBxsm/view?usp=drivesdk</v>
      </c>
      <c r="Y2390" s="65"/>
      <c r="Z2390" s="65" t="s">
        <v>12703</v>
      </c>
      <c r="AA2390" s="65" t="s">
        <v>12746</v>
      </c>
      <c r="AB2390" s="65" t="s">
        <v>12757</v>
      </c>
      <c r="AC2390" s="65" t="s">
        <v>14372</v>
      </c>
      <c r="AD2390" s="65" t="s">
        <v>14373</v>
      </c>
      <c r="AE2390" s="333">
        <v>7.0</v>
      </c>
      <c r="AF2390" s="333">
        <v>72.0</v>
      </c>
      <c r="AG2390" s="126" t="s">
        <v>12750</v>
      </c>
      <c r="AH2390" s="65" t="s">
        <v>127</v>
      </c>
      <c r="AI2390" s="65" t="s">
        <v>125</v>
      </c>
      <c r="AJ2390" s="333">
        <v>0.091</v>
      </c>
      <c r="AK2390" s="65" t="s">
        <v>165</v>
      </c>
      <c r="AL2390" s="65" t="s">
        <v>129</v>
      </c>
      <c r="AM2390" s="65" t="s">
        <v>130</v>
      </c>
      <c r="AN2390" s="1362" t="s">
        <v>131</v>
      </c>
      <c r="AO2390" s="333">
        <v>391.0</v>
      </c>
      <c r="AP2390" s="126" t="s">
        <v>12751</v>
      </c>
      <c r="AQ2390" s="65" t="s">
        <v>127</v>
      </c>
      <c r="AR2390" s="65" t="s">
        <v>2222</v>
      </c>
      <c r="AS2390" s="333">
        <v>0.001</v>
      </c>
      <c r="AT2390" s="65" t="s">
        <v>165</v>
      </c>
      <c r="AU2390" s="65" t="s">
        <v>179</v>
      </c>
      <c r="AV2390" s="65" t="s">
        <v>130</v>
      </c>
      <c r="AW2390" s="432" t="s">
        <v>12752</v>
      </c>
      <c r="AX2390" s="65" t="s">
        <v>136</v>
      </c>
    </row>
    <row r="2391">
      <c r="A2391" s="41">
        <v>2391.0</v>
      </c>
      <c r="B2391" s="126" t="s">
        <v>516</v>
      </c>
      <c r="C2391" s="59" t="s">
        <v>108</v>
      </c>
      <c r="D2391" s="59" t="s">
        <v>138</v>
      </c>
      <c r="F2391" s="65"/>
      <c r="G2391" s="65" t="s">
        <v>14374</v>
      </c>
      <c r="H2391" s="65" t="s">
        <v>13021</v>
      </c>
      <c r="I2391" s="526">
        <v>45713.0</v>
      </c>
      <c r="J2391" s="859"/>
      <c r="K2391" s="65"/>
      <c r="L2391" s="65" t="s">
        <v>13029</v>
      </c>
      <c r="M2391" s="65" t="s">
        <v>13010</v>
      </c>
      <c r="N2391" s="65" t="s">
        <v>13011</v>
      </c>
      <c r="O2391" s="65" t="s">
        <v>13023</v>
      </c>
      <c r="P2391" s="65" t="s">
        <v>13013</v>
      </c>
      <c r="Q2391" s="49" t="str">
        <f t="array" ref="Q2391"> if(iserror(MATCH(V2391, 'File Links'!C:C, 0)), "N/A", HYPERLINK(INDEX('File Links'!B:B, MATCH(P2391, 'File Links'!C:C, 0))))</f>
        <v>https://drive.google.com/file/d/1OxFDVNyZI1frRjeq-YzZQaUFqgYur5QQ/view?usp=drivesdk</v>
      </c>
      <c r="R2391" s="65" t="s">
        <v>13014</v>
      </c>
      <c r="S2391" s="65" t="s">
        <v>13015</v>
      </c>
      <c r="T2391" s="65"/>
      <c r="U2391" s="65" t="s">
        <v>14375</v>
      </c>
      <c r="V2391" s="65" t="s">
        <v>13016</v>
      </c>
      <c r="W2391" s="65" t="s">
        <v>13024</v>
      </c>
      <c r="X2391" s="51" t="str">
        <f t="array" ref="X2391"> if(iserror(MATCH(V2391, 'File Links'!C:C, 0)), "N/A", HYPERLINK(INDEX('File Links'!B:B, MATCH(V2391, 'File Links'!C:C, 0))))</f>
        <v>https://drive.google.com/file/d/1Xoam7f13E5M2EddKf56QMnzGorZg_Rlu/view?usp=drivesdk</v>
      </c>
      <c r="Y2391" s="65"/>
      <c r="Z2391" s="65" t="s">
        <v>219</v>
      </c>
      <c r="AA2391" s="65" t="s">
        <v>13025</v>
      </c>
      <c r="AB2391" s="65" t="s">
        <v>13026</v>
      </c>
      <c r="AC2391" s="65" t="s">
        <v>13030</v>
      </c>
      <c r="AD2391" s="65"/>
      <c r="AE2391" s="65" t="s">
        <v>5713</v>
      </c>
      <c r="AF2391" s="333">
        <v>601.0</v>
      </c>
      <c r="AG2391" s="333">
        <v>0.35</v>
      </c>
      <c r="AH2391" s="65" t="s">
        <v>166</v>
      </c>
      <c r="AI2391" s="65" t="s">
        <v>14376</v>
      </c>
      <c r="AJ2391" s="333">
        <v>0.001</v>
      </c>
      <c r="AK2391" s="65" t="s">
        <v>128</v>
      </c>
      <c r="AL2391" s="65" t="s">
        <v>179</v>
      </c>
      <c r="AM2391" s="65" t="s">
        <v>130</v>
      </c>
      <c r="AN2391" s="1362" t="s">
        <v>131</v>
      </c>
      <c r="AO2391" s="333">
        <v>446.0</v>
      </c>
      <c r="AP2391" s="333">
        <v>0.365</v>
      </c>
      <c r="AQ2391" s="65" t="s">
        <v>166</v>
      </c>
      <c r="AR2391" s="65" t="s">
        <v>298</v>
      </c>
      <c r="AS2391" s="333">
        <v>0.001</v>
      </c>
      <c r="AT2391" s="65" t="s">
        <v>128</v>
      </c>
      <c r="AU2391" s="65" t="s">
        <v>179</v>
      </c>
      <c r="AV2391" s="65" t="s">
        <v>130</v>
      </c>
      <c r="AW2391" s="65" t="s">
        <v>1528</v>
      </c>
      <c r="AX2391" s="65" t="s">
        <v>431</v>
      </c>
      <c r="BA2391" s="339"/>
      <c r="BB2391" s="339"/>
      <c r="BC2391" s="339"/>
      <c r="BD2391" s="339"/>
      <c r="BE2391" s="339"/>
      <c r="BF2391" s="339"/>
      <c r="BG2391" s="339"/>
      <c r="BH2391" s="339"/>
      <c r="BI2391" s="339"/>
      <c r="BJ2391" s="339"/>
      <c r="BK2391" s="339"/>
      <c r="BL2391" s="339"/>
      <c r="BM2391" s="339"/>
      <c r="BN2391" s="339"/>
      <c r="BO2391" s="339"/>
      <c r="BP2391" s="339"/>
      <c r="BQ2391" s="339"/>
      <c r="BR2391" s="339"/>
      <c r="BS2391" s="339"/>
      <c r="BT2391" s="339"/>
      <c r="BU2391" s="339"/>
      <c r="BV2391" s="339"/>
      <c r="BW2391" s="339"/>
      <c r="BX2391" s="339"/>
      <c r="BY2391" s="339"/>
      <c r="BZ2391" s="339"/>
      <c r="CA2391" s="339"/>
      <c r="CB2391" s="339"/>
      <c r="CC2391" s="339"/>
      <c r="CD2391" s="339"/>
      <c r="CE2391" s="339"/>
      <c r="CF2391" s="339"/>
      <c r="CG2391" s="339"/>
      <c r="CH2391" s="339"/>
      <c r="CI2391" s="339"/>
      <c r="CJ2391" s="339"/>
      <c r="CK2391" s="339"/>
      <c r="CL2391" s="339"/>
      <c r="CM2391" s="339"/>
      <c r="CN2391" s="339"/>
      <c r="CO2391" s="339"/>
      <c r="CP2391" s="339"/>
      <c r="CQ2391" s="339"/>
      <c r="CR2391" s="339"/>
      <c r="CS2391" s="339"/>
      <c r="CT2391" s="339"/>
      <c r="CU2391" s="339"/>
      <c r="CV2391" s="339"/>
      <c r="CW2391" s="339"/>
      <c r="CX2391" s="339"/>
      <c r="CY2391" s="339"/>
      <c r="CZ2391" s="339"/>
      <c r="DA2391" s="339"/>
      <c r="DB2391" s="339"/>
      <c r="DC2391" s="339"/>
      <c r="DD2391" s="339"/>
      <c r="DE2391" s="339"/>
      <c r="DF2391" s="339"/>
      <c r="DG2391" s="339"/>
      <c r="DH2391" s="339"/>
    </row>
    <row r="2392">
      <c r="A2392" s="41">
        <v>2392.0</v>
      </c>
      <c r="B2392" s="126" t="s">
        <v>516</v>
      </c>
      <c r="C2392" s="59" t="s">
        <v>108</v>
      </c>
      <c r="D2392" s="59" t="s">
        <v>138</v>
      </c>
      <c r="F2392" s="65"/>
      <c r="G2392" s="65" t="s">
        <v>14377</v>
      </c>
      <c r="H2392" s="65" t="s">
        <v>13021</v>
      </c>
      <c r="I2392" s="526">
        <v>45713.0</v>
      </c>
      <c r="J2392" s="859"/>
      <c r="K2392" s="65"/>
      <c r="L2392" s="65" t="s">
        <v>13032</v>
      </c>
      <c r="M2392" s="65" t="s">
        <v>13010</v>
      </c>
      <c r="N2392" s="65" t="s">
        <v>13011</v>
      </c>
      <c r="O2392" s="65" t="s">
        <v>13023</v>
      </c>
      <c r="P2392" s="65" t="s">
        <v>13013</v>
      </c>
      <c r="Q2392" s="49" t="str">
        <f t="array" ref="Q2392"> if(iserror(MATCH(V2392, 'File Links'!C:C, 0)), "N/A", HYPERLINK(INDEX('File Links'!B:B, MATCH(P2392, 'File Links'!C:C, 0))))</f>
        <v>https://drive.google.com/file/d/1OxFDVNyZI1frRjeq-YzZQaUFqgYur5QQ/view?usp=drivesdk</v>
      </c>
      <c r="R2392" s="65" t="s">
        <v>13014</v>
      </c>
      <c r="S2392" s="65" t="s">
        <v>13015</v>
      </c>
      <c r="T2392" s="65"/>
      <c r="U2392" s="65" t="s">
        <v>14375</v>
      </c>
      <c r="V2392" s="65" t="s">
        <v>13016</v>
      </c>
      <c r="W2392" s="65" t="s">
        <v>13024</v>
      </c>
      <c r="X2392" s="51" t="str">
        <f t="array" ref="X2392"> if(iserror(MATCH(V2392, 'File Links'!C:C, 0)), "N/A", HYPERLINK(INDEX('File Links'!B:B, MATCH(V2392, 'File Links'!C:C, 0))))</f>
        <v>https://drive.google.com/file/d/1Xoam7f13E5M2EddKf56QMnzGorZg_Rlu/view?usp=drivesdk</v>
      </c>
      <c r="Y2392" s="65"/>
      <c r="Z2392" s="65" t="s">
        <v>219</v>
      </c>
      <c r="AA2392" s="65" t="s">
        <v>13025</v>
      </c>
      <c r="AB2392" s="65" t="s">
        <v>13026</v>
      </c>
      <c r="AC2392" s="65" t="s">
        <v>13033</v>
      </c>
      <c r="AD2392" s="65"/>
      <c r="AE2392" s="65" t="s">
        <v>5713</v>
      </c>
      <c r="AF2392" s="333">
        <v>601.0</v>
      </c>
      <c r="AG2392" s="333">
        <v>0.44</v>
      </c>
      <c r="AH2392" s="65" t="s">
        <v>166</v>
      </c>
      <c r="AI2392" s="65" t="s">
        <v>14376</v>
      </c>
      <c r="AJ2392" s="333">
        <v>0.001</v>
      </c>
      <c r="AK2392" s="65" t="s">
        <v>128</v>
      </c>
      <c r="AL2392" s="65" t="s">
        <v>179</v>
      </c>
      <c r="AM2392" s="65" t="s">
        <v>130</v>
      </c>
      <c r="AN2392" s="1362" t="s">
        <v>131</v>
      </c>
      <c r="AO2392" s="333">
        <v>446.0</v>
      </c>
      <c r="AP2392" s="333">
        <v>0.409</v>
      </c>
      <c r="AQ2392" s="65" t="s">
        <v>166</v>
      </c>
      <c r="AR2392" s="65" t="s">
        <v>298</v>
      </c>
      <c r="AS2392" s="333">
        <v>0.001</v>
      </c>
      <c r="AT2392" s="65" t="s">
        <v>128</v>
      </c>
      <c r="AU2392" s="65" t="s">
        <v>179</v>
      </c>
      <c r="AV2392" s="65" t="s">
        <v>130</v>
      </c>
      <c r="AW2392" s="65" t="s">
        <v>1528</v>
      </c>
      <c r="AX2392" s="65" t="s">
        <v>431</v>
      </c>
      <c r="BA2392" s="1120"/>
      <c r="BB2392" s="1120"/>
      <c r="BC2392" s="1120"/>
      <c r="BD2392" s="1120"/>
      <c r="BE2392" s="1120"/>
      <c r="BF2392" s="1120"/>
      <c r="BG2392" s="1120"/>
      <c r="BH2392" s="1120"/>
      <c r="BI2392" s="1120"/>
      <c r="BJ2392" s="1120"/>
      <c r="BK2392" s="1120"/>
      <c r="BL2392" s="1120"/>
      <c r="BM2392" s="1120"/>
      <c r="BN2392" s="1120"/>
      <c r="BO2392" s="1120"/>
      <c r="BP2392" s="1120"/>
      <c r="BQ2392" s="1120"/>
      <c r="BR2392" s="1120"/>
      <c r="BS2392" s="1120"/>
      <c r="BT2392" s="1120"/>
      <c r="BU2392" s="1120"/>
      <c r="BV2392" s="1120"/>
      <c r="BW2392" s="1120"/>
      <c r="BX2392" s="1120"/>
      <c r="BY2392" s="1120"/>
      <c r="BZ2392" s="1120"/>
      <c r="CA2392" s="1120"/>
      <c r="CB2392" s="1120"/>
      <c r="CC2392" s="1120"/>
      <c r="CD2392" s="1120"/>
      <c r="CE2392" s="1120"/>
      <c r="CF2392" s="1120"/>
      <c r="CG2392" s="1120"/>
      <c r="CH2392" s="1120"/>
      <c r="CI2392" s="1120"/>
      <c r="CJ2392" s="1120"/>
      <c r="CK2392" s="1120"/>
      <c r="CL2392" s="1120"/>
      <c r="CM2392" s="1120"/>
      <c r="CN2392" s="1120"/>
      <c r="CO2392" s="1120"/>
      <c r="CP2392" s="1120"/>
      <c r="CQ2392" s="1120"/>
      <c r="CR2392" s="1120"/>
      <c r="CS2392" s="1120"/>
      <c r="CT2392" s="1120"/>
      <c r="CU2392" s="1120"/>
      <c r="CV2392" s="1120"/>
      <c r="CW2392" s="1120"/>
      <c r="CX2392" s="1120"/>
      <c r="CY2392" s="1120"/>
      <c r="CZ2392" s="1120"/>
      <c r="DA2392" s="1120"/>
      <c r="DB2392" s="1120"/>
      <c r="DC2392" s="1120"/>
      <c r="DD2392" s="1120"/>
      <c r="DE2392" s="1120"/>
      <c r="DF2392" s="1120"/>
      <c r="DG2392" s="1120"/>
      <c r="DH2392" s="1120"/>
    </row>
    <row r="2393">
      <c r="A2393" s="41">
        <v>2393.0</v>
      </c>
      <c r="B2393" s="126" t="s">
        <v>516</v>
      </c>
      <c r="C2393" s="59" t="s">
        <v>108</v>
      </c>
      <c r="D2393" s="59" t="s">
        <v>138</v>
      </c>
      <c r="F2393" s="65"/>
      <c r="G2393" s="65" t="s">
        <v>14378</v>
      </c>
      <c r="H2393" s="65" t="s">
        <v>12729</v>
      </c>
      <c r="I2393" s="526">
        <v>45713.0</v>
      </c>
      <c r="J2393" s="65"/>
      <c r="K2393" s="126" t="s">
        <v>12730</v>
      </c>
      <c r="L2393" s="65"/>
      <c r="M2393" s="591" t="s">
        <v>14379</v>
      </c>
      <c r="N2393" s="65" t="s">
        <v>12718</v>
      </c>
      <c r="O2393" s="333">
        <v>1.0</v>
      </c>
      <c r="P2393" s="65" t="s">
        <v>12719</v>
      </c>
      <c r="Q2393" s="105" t="str">
        <f t="array" ref="Q2393"> if(iserror(MATCH(V2393, 'File Links'!C:C, 0)), "N/A", HYPERLINK(INDEX('File Links'!B:B, MATCH(P2393, 'File Links'!C:C, 0))))</f>
        <v>N/A</v>
      </c>
      <c r="R2393" s="65" t="s">
        <v>12720</v>
      </c>
      <c r="S2393" s="65" t="s">
        <v>12721</v>
      </c>
      <c r="T2393" s="432" t="s">
        <v>12722</v>
      </c>
      <c r="U2393" s="65"/>
      <c r="V2393" s="65" t="s">
        <v>12723</v>
      </c>
      <c r="W2393" s="65"/>
      <c r="X2393" s="46" t="str">
        <f t="array" ref="X2393"> if(iserror(MATCH(V2393, 'File Links'!C:C, 0)), "N/A", HYPERLINK(INDEX('File Links'!B:B, MATCH(V2393, 'File Links'!C:C, 0))))</f>
        <v>N/A</v>
      </c>
      <c r="Y2393" s="65" t="s">
        <v>12732</v>
      </c>
      <c r="Z2393" s="65" t="s">
        <v>219</v>
      </c>
      <c r="AA2393" s="65" t="s">
        <v>1528</v>
      </c>
      <c r="AB2393" s="65" t="s">
        <v>12733</v>
      </c>
      <c r="AC2393" s="65" t="s">
        <v>14380</v>
      </c>
      <c r="AD2393" s="65"/>
      <c r="AE2393" s="65"/>
      <c r="AF2393" s="333">
        <v>110.0</v>
      </c>
      <c r="AG2393" s="333">
        <v>0.81</v>
      </c>
      <c r="AH2393" s="65" t="s">
        <v>166</v>
      </c>
      <c r="AI2393" s="65"/>
      <c r="AJ2393" s="65"/>
      <c r="AK2393" s="65"/>
      <c r="AL2393" s="65"/>
      <c r="AM2393" s="65"/>
      <c r="AN2393" s="432" t="s">
        <v>12735</v>
      </c>
      <c r="AO2393" s="333">
        <v>277.0</v>
      </c>
      <c r="AP2393" s="333">
        <v>0.82</v>
      </c>
      <c r="AQ2393" s="65" t="s">
        <v>166</v>
      </c>
      <c r="AR2393" s="65"/>
      <c r="AS2393" s="65"/>
      <c r="AT2393" s="65"/>
      <c r="AU2393" s="65" t="s">
        <v>179</v>
      </c>
      <c r="AV2393" s="65" t="s">
        <v>130</v>
      </c>
      <c r="AW2393" s="65" t="s">
        <v>1528</v>
      </c>
      <c r="AX2393" s="65" t="s">
        <v>136</v>
      </c>
      <c r="BA2393" s="339"/>
      <c r="BB2393" s="339"/>
      <c r="BC2393" s="339"/>
      <c r="BD2393" s="339"/>
      <c r="BE2393" s="339"/>
      <c r="BF2393" s="339"/>
      <c r="BG2393" s="339"/>
      <c r="BH2393" s="339"/>
      <c r="BI2393" s="339"/>
      <c r="BJ2393" s="339"/>
      <c r="BK2393" s="339"/>
      <c r="BL2393" s="339"/>
      <c r="BM2393" s="339"/>
      <c r="BN2393" s="339"/>
      <c r="BO2393" s="339"/>
      <c r="BP2393" s="339"/>
      <c r="BQ2393" s="339"/>
      <c r="BR2393" s="339"/>
      <c r="BS2393" s="339"/>
      <c r="BT2393" s="339"/>
      <c r="BU2393" s="339"/>
      <c r="BV2393" s="339"/>
      <c r="BW2393" s="339"/>
      <c r="BX2393" s="339"/>
      <c r="BY2393" s="339"/>
      <c r="BZ2393" s="339"/>
      <c r="CA2393" s="339"/>
      <c r="CB2393" s="339"/>
      <c r="CC2393" s="339"/>
      <c r="CD2393" s="339"/>
      <c r="CE2393" s="339"/>
      <c r="CF2393" s="339"/>
      <c r="CG2393" s="339"/>
      <c r="CH2393" s="339"/>
      <c r="CI2393" s="339"/>
      <c r="CJ2393" s="339"/>
      <c r="CK2393" s="339"/>
      <c r="CL2393" s="339"/>
      <c r="CM2393" s="339"/>
      <c r="CN2393" s="339"/>
      <c r="CO2393" s="339"/>
      <c r="CP2393" s="339"/>
      <c r="CQ2393" s="339"/>
      <c r="CR2393" s="339"/>
      <c r="CS2393" s="339"/>
      <c r="CT2393" s="339"/>
      <c r="CU2393" s="339"/>
      <c r="CV2393" s="339"/>
      <c r="CW2393" s="339"/>
      <c r="CX2393" s="339"/>
      <c r="CY2393" s="339"/>
      <c r="CZ2393" s="339"/>
      <c r="DA2393" s="339"/>
      <c r="DB2393" s="339"/>
      <c r="DC2393" s="339"/>
      <c r="DD2393" s="339"/>
      <c r="DE2393" s="339"/>
      <c r="DF2393" s="339"/>
      <c r="DG2393" s="339"/>
      <c r="DH2393" s="339"/>
    </row>
    <row r="2394">
      <c r="A2394" s="41">
        <v>2394.0</v>
      </c>
      <c r="B2394" s="126" t="s">
        <v>516</v>
      </c>
      <c r="C2394" s="59" t="s">
        <v>108</v>
      </c>
      <c r="D2394" s="59" t="s">
        <v>138</v>
      </c>
      <c r="F2394" s="65"/>
      <c r="G2394" s="65" t="s">
        <v>14381</v>
      </c>
      <c r="H2394" s="65" t="s">
        <v>14382</v>
      </c>
      <c r="I2394" s="526">
        <v>45713.0</v>
      </c>
      <c r="J2394" s="65"/>
      <c r="K2394" s="65"/>
      <c r="L2394" s="65"/>
      <c r="M2394" s="65" t="s">
        <v>13058</v>
      </c>
      <c r="N2394" s="65" t="s">
        <v>13059</v>
      </c>
      <c r="O2394" s="333">
        <v>2.0</v>
      </c>
      <c r="P2394" s="65" t="s">
        <v>13060</v>
      </c>
      <c r="Q2394" s="105" t="str">
        <f t="array" ref="Q2394"> if(iserror(MATCH(V2394, 'File Links'!C:C, 0)), "N/A", HYPERLINK(INDEX('File Links'!B:B, MATCH(P2394, 'File Links'!C:C, 0))))</f>
        <v>N/A</v>
      </c>
      <c r="R2394" s="65" t="s">
        <v>13061</v>
      </c>
      <c r="S2394" s="65" t="s">
        <v>131</v>
      </c>
      <c r="T2394" s="432" t="s">
        <v>13062</v>
      </c>
      <c r="U2394" s="65"/>
      <c r="V2394" s="65" t="s">
        <v>8433</v>
      </c>
      <c r="W2394" s="65" t="s">
        <v>202</v>
      </c>
      <c r="X2394" s="46" t="str">
        <f t="array" ref="X2394"> if(iserror(MATCH(V2394, 'File Links'!C:C, 0)), "N/A", HYPERLINK(INDEX('File Links'!B:B, MATCH(V2394, 'File Links'!C:C, 0))))</f>
        <v>N/A</v>
      </c>
      <c r="Y2394" s="65"/>
      <c r="Z2394" s="65" t="s">
        <v>219</v>
      </c>
      <c r="AA2394" s="65" t="s">
        <v>13070</v>
      </c>
      <c r="AB2394" s="65" t="s">
        <v>13071</v>
      </c>
      <c r="AC2394" s="65" t="s">
        <v>14383</v>
      </c>
      <c r="AD2394" s="65" t="s">
        <v>14384</v>
      </c>
      <c r="AE2394" s="333">
        <v>6.0</v>
      </c>
      <c r="AF2394" s="333">
        <v>34.0</v>
      </c>
      <c r="AG2394" s="333">
        <v>0.57</v>
      </c>
      <c r="AH2394" s="65" t="s">
        <v>132</v>
      </c>
      <c r="AI2394" s="65" t="s">
        <v>133</v>
      </c>
      <c r="AJ2394" s="333">
        <v>0.01</v>
      </c>
      <c r="AK2394" s="65" t="s">
        <v>128</v>
      </c>
      <c r="AL2394" s="65" t="s">
        <v>179</v>
      </c>
      <c r="AM2394" s="65" t="s">
        <v>130</v>
      </c>
      <c r="AN2394" s="1362" t="s">
        <v>131</v>
      </c>
      <c r="AO2394" s="333">
        <v>147.0</v>
      </c>
      <c r="AP2394" s="333">
        <v>0.03</v>
      </c>
      <c r="AQ2394" s="65" t="s">
        <v>132</v>
      </c>
      <c r="AR2394" s="432" t="s">
        <v>13066</v>
      </c>
      <c r="AS2394" s="333">
        <v>0.015</v>
      </c>
      <c r="AT2394" s="65" t="s">
        <v>165</v>
      </c>
      <c r="AU2394" s="65" t="s">
        <v>179</v>
      </c>
      <c r="AV2394" s="65" t="s">
        <v>130</v>
      </c>
      <c r="AW2394" s="432" t="s">
        <v>13067</v>
      </c>
      <c r="AX2394" s="65" t="s">
        <v>136</v>
      </c>
    </row>
    <row r="2395">
      <c r="A2395" s="41">
        <v>2395.0</v>
      </c>
      <c r="B2395" s="126" t="s">
        <v>516</v>
      </c>
      <c r="C2395" s="59" t="s">
        <v>108</v>
      </c>
      <c r="D2395" s="59" t="s">
        <v>1227</v>
      </c>
      <c r="F2395" s="65"/>
      <c r="G2395" s="156" t="s">
        <v>14385</v>
      </c>
      <c r="H2395" s="156" t="s">
        <v>7727</v>
      </c>
      <c r="I2395" s="1284" t="s">
        <v>14386</v>
      </c>
      <c r="J2395" s="156" t="s">
        <v>14386</v>
      </c>
      <c r="K2395" s="156" t="s">
        <v>131</v>
      </c>
      <c r="L2395" s="156" t="s">
        <v>7316</v>
      </c>
      <c r="M2395" s="148" t="s">
        <v>7791</v>
      </c>
      <c r="N2395" s="156" t="s">
        <v>7732</v>
      </c>
      <c r="O2395" s="153">
        <v>4.0</v>
      </c>
      <c r="P2395" s="379" t="s">
        <v>7733</v>
      </c>
      <c r="Q2395" s="49" t="str">
        <f t="array" ref="Q2395"> if(iserror(MATCH(V2395, 'File Links'!C:C, 0)), "N/A", HYPERLINK(INDEX('File Links'!B:B, MATCH(P2395, 'File Links'!C:C, 0))))</f>
        <v>https://drive.google.com/file/d/1w2KBBoT3U7JrwQsTrJduC-AS9fihTDq0/view?usp=drivesdk</v>
      </c>
      <c r="R2395" s="156" t="s">
        <v>7751</v>
      </c>
      <c r="S2395" s="156" t="s">
        <v>7752</v>
      </c>
      <c r="T2395" s="156" t="s">
        <v>131</v>
      </c>
      <c r="U2395" s="153">
        <v>4.0</v>
      </c>
      <c r="V2395" s="379" t="s">
        <v>7753</v>
      </c>
      <c r="W2395" s="156" t="s">
        <v>7754</v>
      </c>
      <c r="X2395" s="51" t="str">
        <f t="array" ref="X2395"> if(iserror(MATCH(V2395, 'File Links'!C:C, 0)), "N/A", HYPERLINK(INDEX('File Links'!B:B, MATCH(V2395, 'File Links'!C:C, 0))))</f>
        <v>https://drive.google.com/file/d/1G4tP3z0FT61HHKi1B51ImyPr28TywEAv/view?usp=drivesdk</v>
      </c>
      <c r="Y2395" s="156" t="s">
        <v>131</v>
      </c>
      <c r="Z2395" s="156" t="s">
        <v>219</v>
      </c>
      <c r="AA2395" s="156" t="s">
        <v>7737</v>
      </c>
      <c r="AB2395" s="156" t="s">
        <v>7755</v>
      </c>
      <c r="AC2395" s="156" t="s">
        <v>14387</v>
      </c>
      <c r="AD2395" s="156" t="s">
        <v>14388</v>
      </c>
      <c r="AE2395" s="153">
        <v>2.0</v>
      </c>
      <c r="AF2395" s="153">
        <v>45.0</v>
      </c>
      <c r="AG2395" s="153">
        <v>0.6814</v>
      </c>
      <c r="AH2395" s="156" t="s">
        <v>2798</v>
      </c>
      <c r="AI2395" s="156" t="s">
        <v>14389</v>
      </c>
      <c r="AJ2395" s="153">
        <v>0.025</v>
      </c>
      <c r="AK2395" s="156" t="s">
        <v>165</v>
      </c>
      <c r="AL2395" s="156" t="s">
        <v>179</v>
      </c>
      <c r="AM2395" s="156" t="s">
        <v>130</v>
      </c>
      <c r="AN2395" s="156" t="s">
        <v>131</v>
      </c>
      <c r="AO2395" s="153">
        <v>28.0</v>
      </c>
      <c r="AP2395" s="153">
        <v>0.2</v>
      </c>
      <c r="AQ2395" s="156" t="s">
        <v>7758</v>
      </c>
      <c r="AR2395" s="156" t="s">
        <v>12997</v>
      </c>
      <c r="AS2395" s="156" t="s">
        <v>131</v>
      </c>
      <c r="AT2395" s="156" t="s">
        <v>165</v>
      </c>
      <c r="AU2395" s="156" t="s">
        <v>179</v>
      </c>
      <c r="AV2395" s="156" t="s">
        <v>130</v>
      </c>
      <c r="AW2395" s="156" t="s">
        <v>131</v>
      </c>
      <c r="AX2395" s="156" t="s">
        <v>136</v>
      </c>
      <c r="AY2395" s="65"/>
      <c r="BA2395" s="339"/>
      <c r="BB2395" s="339"/>
      <c r="BC2395" s="339"/>
      <c r="BD2395" s="339"/>
      <c r="BE2395" s="339"/>
      <c r="BF2395" s="339"/>
      <c r="BG2395" s="339"/>
      <c r="BH2395" s="339"/>
      <c r="BI2395" s="339"/>
      <c r="BJ2395" s="339"/>
      <c r="BK2395" s="339"/>
      <c r="BL2395" s="339"/>
      <c r="BM2395" s="339"/>
      <c r="BN2395" s="339"/>
      <c r="BO2395" s="339"/>
      <c r="BP2395" s="339"/>
      <c r="BQ2395" s="339"/>
      <c r="BR2395" s="339"/>
      <c r="BS2395" s="339"/>
      <c r="BT2395" s="339"/>
      <c r="BU2395" s="339"/>
      <c r="BV2395" s="339"/>
      <c r="BW2395" s="339"/>
      <c r="BX2395" s="339"/>
      <c r="BY2395" s="339"/>
      <c r="BZ2395" s="339"/>
      <c r="CA2395" s="339"/>
      <c r="CB2395" s="339"/>
      <c r="CC2395" s="339"/>
      <c r="CD2395" s="339"/>
      <c r="CE2395" s="339"/>
      <c r="CF2395" s="339"/>
      <c r="CG2395" s="339"/>
      <c r="CH2395" s="339"/>
      <c r="CI2395" s="339"/>
      <c r="CJ2395" s="339"/>
      <c r="CK2395" s="339"/>
      <c r="CL2395" s="339"/>
      <c r="CM2395" s="339"/>
      <c r="CN2395" s="339"/>
      <c r="CO2395" s="339"/>
      <c r="CP2395" s="339"/>
      <c r="CQ2395" s="339"/>
      <c r="CR2395" s="339"/>
      <c r="CS2395" s="339"/>
      <c r="CT2395" s="339"/>
      <c r="CU2395" s="339"/>
      <c r="CV2395" s="339"/>
      <c r="CW2395" s="339"/>
      <c r="CX2395" s="339"/>
      <c r="CY2395" s="339"/>
      <c r="CZ2395" s="339"/>
      <c r="DA2395" s="339"/>
      <c r="DB2395" s="339"/>
      <c r="DC2395" s="339"/>
      <c r="DD2395" s="339"/>
      <c r="DE2395" s="339"/>
      <c r="DF2395" s="339"/>
      <c r="DG2395" s="339"/>
      <c r="DH2395" s="339"/>
    </row>
    <row r="2396">
      <c r="A2396" s="41">
        <v>2396.0</v>
      </c>
      <c r="B2396" s="2076" t="s">
        <v>107</v>
      </c>
      <c r="C2396" s="284" t="s">
        <v>108</v>
      </c>
      <c r="D2396" s="284" t="s">
        <v>2623</v>
      </c>
      <c r="E2396" s="305"/>
      <c r="F2396" s="287" t="s">
        <v>14390</v>
      </c>
      <c r="G2396" s="287" t="s">
        <v>14391</v>
      </c>
      <c r="H2396" s="287" t="s">
        <v>14392</v>
      </c>
      <c r="I2396" s="2077" t="s">
        <v>14393</v>
      </c>
      <c r="J2396" s="1802">
        <v>45777.0</v>
      </c>
      <c r="K2396" s="302"/>
      <c r="L2396" s="292" t="s">
        <v>14394</v>
      </c>
      <c r="M2396" s="287" t="s">
        <v>14395</v>
      </c>
      <c r="N2396" s="287" t="s">
        <v>14396</v>
      </c>
      <c r="O2396" s="292">
        <v>2.0</v>
      </c>
      <c r="P2396" s="287" t="s">
        <v>14397</v>
      </c>
      <c r="Q2396" s="1809" t="str">
        <f t="array" ref="Q2396"> if(iserror(MATCH(V2396, 'File Links'!C:C, 0)), "N/A", HYPERLINK(INDEX('File Links'!B:B, MATCH(P2396, 'File Links'!C:C, 0))))</f>
        <v>https://drive.google.com/file/d/1yjVvr6RWduwEsSlj1T5hWk4kZsgSpX7e/view?usp=drivesdk</v>
      </c>
      <c r="R2396" s="287" t="s">
        <v>14398</v>
      </c>
      <c r="S2396" s="287" t="s">
        <v>14399</v>
      </c>
      <c r="T2396" s="302"/>
      <c r="U2396" s="292">
        <v>1.0</v>
      </c>
      <c r="V2396" s="287" t="s">
        <v>14400</v>
      </c>
      <c r="W2396" s="292" t="s">
        <v>202</v>
      </c>
      <c r="X2396" s="1810" t="str">
        <f t="array" ref="X2396"> if(iserror(MATCH(V2396, 'File Links'!C:C, 0)), "N/A", HYPERLINK(INDEX('File Links'!B:B, MATCH(V2396, 'File Links'!C:C, 0))))</f>
        <v>https://drive.google.com/file/d/17mZvRs3ue7pXwqu8bmIDvgNdc95PGEcV/view?usp=drivesdk</v>
      </c>
      <c r="Y2396" s="287" t="s">
        <v>131</v>
      </c>
      <c r="Z2396" s="287" t="s">
        <v>1072</v>
      </c>
      <c r="AA2396" s="287" t="s">
        <v>14401</v>
      </c>
      <c r="AB2396" s="287" t="s">
        <v>14402</v>
      </c>
      <c r="AC2396" s="377" t="s">
        <v>14403</v>
      </c>
      <c r="AD2396" s="287" t="s">
        <v>14404</v>
      </c>
      <c r="AE2396" s="1555">
        <v>30.0</v>
      </c>
      <c r="AF2396" s="1555">
        <v>595.0</v>
      </c>
      <c r="AG2396" s="1555">
        <v>0.25</v>
      </c>
      <c r="AH2396" s="287" t="s">
        <v>208</v>
      </c>
      <c r="AI2396" s="377" t="s">
        <v>14405</v>
      </c>
      <c r="AJ2396" s="375">
        <v>0.001</v>
      </c>
      <c r="AK2396" s="478" t="s">
        <v>128</v>
      </c>
      <c r="AL2396" s="478" t="s">
        <v>179</v>
      </c>
      <c r="AM2396" s="287" t="s">
        <v>130</v>
      </c>
      <c r="AN2396" s="287" t="s">
        <v>131</v>
      </c>
      <c r="AO2396" s="1555">
        <v>1550.0</v>
      </c>
      <c r="AP2396" s="2078">
        <v>0.19</v>
      </c>
      <c r="AQ2396" s="287" t="s">
        <v>208</v>
      </c>
      <c r="AR2396" s="287" t="s">
        <v>14406</v>
      </c>
      <c r="AS2396" s="1786" t="s">
        <v>131</v>
      </c>
      <c r="AT2396" s="1786" t="s">
        <v>131</v>
      </c>
      <c r="AU2396" s="65" t="s">
        <v>179</v>
      </c>
      <c r="AV2396" s="287" t="s">
        <v>130</v>
      </c>
      <c r="AW2396" s="303" t="s">
        <v>14407</v>
      </c>
      <c r="AX2396" s="287" t="s">
        <v>136</v>
      </c>
      <c r="AY2396" s="305"/>
      <c r="AZ2396" s="284" t="s">
        <v>1263</v>
      </c>
      <c r="BA2396" s="305"/>
      <c r="BB2396" s="305"/>
      <c r="BC2396" s="305"/>
      <c r="BD2396" s="305"/>
      <c r="BE2396" s="305"/>
      <c r="BF2396" s="305"/>
      <c r="BG2396" s="305"/>
      <c r="BH2396" s="305"/>
      <c r="BI2396" s="305"/>
      <c r="BJ2396" s="305"/>
      <c r="BK2396" s="305"/>
      <c r="BL2396" s="305"/>
      <c r="BM2396" s="305"/>
      <c r="BN2396" s="305"/>
      <c r="BO2396" s="305"/>
      <c r="BP2396" s="305"/>
      <c r="BQ2396" s="305"/>
      <c r="BR2396" s="305"/>
      <c r="BS2396" s="305"/>
      <c r="BT2396" s="305"/>
      <c r="BU2396" s="305"/>
      <c r="BV2396" s="305"/>
      <c r="BW2396" s="305"/>
      <c r="BX2396" s="305"/>
      <c r="BY2396" s="305"/>
      <c r="BZ2396" s="305"/>
      <c r="CA2396" s="305"/>
      <c r="CB2396" s="305"/>
      <c r="CC2396" s="305"/>
      <c r="CD2396" s="305"/>
      <c r="CE2396" s="305"/>
      <c r="CF2396" s="305"/>
      <c r="CG2396" s="305"/>
      <c r="CH2396" s="305"/>
      <c r="CI2396" s="305"/>
      <c r="CJ2396" s="305"/>
      <c r="CK2396" s="305"/>
      <c r="CL2396" s="305"/>
      <c r="CM2396" s="305"/>
      <c r="CN2396" s="305"/>
      <c r="CO2396" s="305"/>
      <c r="CP2396" s="305"/>
      <c r="CQ2396" s="305"/>
      <c r="CR2396" s="305"/>
      <c r="CS2396" s="305"/>
      <c r="CT2396" s="305"/>
      <c r="CU2396" s="305"/>
      <c r="CV2396" s="305"/>
      <c r="CW2396" s="305"/>
      <c r="CX2396" s="305"/>
      <c r="CY2396" s="305"/>
      <c r="CZ2396" s="305"/>
      <c r="DA2396" s="305"/>
      <c r="DB2396" s="305"/>
      <c r="DC2396" s="305"/>
      <c r="DD2396" s="305"/>
      <c r="DE2396" s="305"/>
      <c r="DF2396" s="305"/>
      <c r="DG2396" s="305"/>
      <c r="DH2396" s="305"/>
    </row>
    <row r="2397">
      <c r="A2397" s="41">
        <v>2397.0</v>
      </c>
      <c r="B2397" s="2076" t="s">
        <v>107</v>
      </c>
      <c r="C2397" s="59" t="s">
        <v>108</v>
      </c>
      <c r="D2397" s="59" t="s">
        <v>2623</v>
      </c>
      <c r="F2397" s="156" t="s">
        <v>14408</v>
      </c>
      <c r="G2397" s="156" t="s">
        <v>14391</v>
      </c>
      <c r="H2397" s="156" t="s">
        <v>14392</v>
      </c>
      <c r="I2397" s="1284" t="s">
        <v>14393</v>
      </c>
      <c r="J2397" s="150">
        <v>45807.0</v>
      </c>
      <c r="K2397" s="65"/>
      <c r="L2397" s="292" t="s">
        <v>14409</v>
      </c>
      <c r="M2397" s="156" t="s">
        <v>14395</v>
      </c>
      <c r="N2397" s="156" t="s">
        <v>14396</v>
      </c>
      <c r="O2397" s="126">
        <v>2.0</v>
      </c>
      <c r="P2397" s="379" t="s">
        <v>14397</v>
      </c>
      <c r="Q2397" s="49" t="str">
        <f t="array" ref="Q2397"> if(iserror(MATCH(V2397, 'File Links'!C:C, 0)), "N/A", HYPERLINK(INDEX('File Links'!B:B, MATCH(P2397, 'File Links'!C:C, 0))))</f>
        <v>https://drive.google.com/file/d/1yjVvr6RWduwEsSlj1T5hWk4kZsgSpX7e/view?usp=drivesdk</v>
      </c>
      <c r="R2397" s="156" t="s">
        <v>14398</v>
      </c>
      <c r="S2397" s="156" t="s">
        <v>14399</v>
      </c>
      <c r="T2397" s="65"/>
      <c r="U2397" s="126">
        <v>1.0</v>
      </c>
      <c r="V2397" s="379" t="s">
        <v>14400</v>
      </c>
      <c r="W2397" s="292" t="s">
        <v>202</v>
      </c>
      <c r="X2397" s="51" t="str">
        <f t="array" ref="X2397"> if(iserror(MATCH(V2397, 'File Links'!C:C, 0)), "N/A", HYPERLINK(INDEX('File Links'!B:B, MATCH(V2397, 'File Links'!C:C, 0))))</f>
        <v>https://drive.google.com/file/d/17mZvRs3ue7pXwqu8bmIDvgNdc95PGEcV/view?usp=drivesdk</v>
      </c>
      <c r="Y2397" s="156" t="s">
        <v>131</v>
      </c>
      <c r="Z2397" s="156" t="s">
        <v>1072</v>
      </c>
      <c r="AA2397" s="156" t="s">
        <v>14410</v>
      </c>
      <c r="AB2397" s="156" t="s">
        <v>14402</v>
      </c>
      <c r="AC2397" s="377" t="s">
        <v>14411</v>
      </c>
      <c r="AD2397" s="156" t="s">
        <v>14404</v>
      </c>
      <c r="AE2397" s="153">
        <v>30.0</v>
      </c>
      <c r="AF2397" s="153">
        <v>595.0</v>
      </c>
      <c r="AG2397" s="153">
        <v>0.21</v>
      </c>
      <c r="AH2397" s="156" t="s">
        <v>208</v>
      </c>
      <c r="AI2397" s="377" t="s">
        <v>14405</v>
      </c>
      <c r="AJ2397" s="375">
        <v>0.001</v>
      </c>
      <c r="AK2397" s="478" t="s">
        <v>128</v>
      </c>
      <c r="AL2397" s="478" t="s">
        <v>179</v>
      </c>
      <c r="AM2397" s="156" t="s">
        <v>130</v>
      </c>
      <c r="AN2397" s="156" t="s">
        <v>131</v>
      </c>
      <c r="AO2397" s="153">
        <v>1550.0</v>
      </c>
      <c r="AP2397" s="1520">
        <v>0.15</v>
      </c>
      <c r="AQ2397" s="156" t="s">
        <v>208</v>
      </c>
      <c r="AR2397" s="156" t="s">
        <v>14406</v>
      </c>
      <c r="AS2397" s="1786" t="s">
        <v>131</v>
      </c>
      <c r="AT2397" s="1786" t="s">
        <v>131</v>
      </c>
      <c r="AU2397" s="65" t="s">
        <v>179</v>
      </c>
      <c r="AV2397" s="156" t="s">
        <v>130</v>
      </c>
      <c r="AW2397" s="432" t="s">
        <v>14407</v>
      </c>
      <c r="AX2397" s="156" t="s">
        <v>136</v>
      </c>
      <c r="AZ2397" s="284" t="s">
        <v>1263</v>
      </c>
    </row>
    <row r="2398">
      <c r="A2398" s="41">
        <v>2398.0</v>
      </c>
      <c r="B2398" s="2076" t="s">
        <v>107</v>
      </c>
      <c r="C2398" s="59" t="s">
        <v>108</v>
      </c>
      <c r="D2398" s="59" t="s">
        <v>2623</v>
      </c>
      <c r="F2398" s="65" t="s">
        <v>14412</v>
      </c>
      <c r="G2398" s="156" t="s">
        <v>14391</v>
      </c>
      <c r="H2398" s="156" t="s">
        <v>14392</v>
      </c>
      <c r="I2398" s="1284" t="s">
        <v>14393</v>
      </c>
      <c r="J2398" s="150">
        <v>45807.0</v>
      </c>
      <c r="K2398" s="65"/>
      <c r="L2398" s="126" t="s">
        <v>14413</v>
      </c>
      <c r="M2398" s="156" t="s">
        <v>14395</v>
      </c>
      <c r="N2398" s="156" t="s">
        <v>14396</v>
      </c>
      <c r="O2398" s="126">
        <v>2.0</v>
      </c>
      <c r="P2398" s="379" t="s">
        <v>14397</v>
      </c>
      <c r="Q2398" s="49" t="str">
        <f t="array" ref="Q2398"> if(iserror(MATCH(V2398, 'File Links'!C:C, 0)), "N/A", HYPERLINK(INDEX('File Links'!B:B, MATCH(P2398, 'File Links'!C:C, 0))))</f>
        <v>https://drive.google.com/file/d/1yjVvr6RWduwEsSlj1T5hWk4kZsgSpX7e/view?usp=drivesdk</v>
      </c>
      <c r="R2398" s="156" t="s">
        <v>14398</v>
      </c>
      <c r="S2398" s="156" t="s">
        <v>14399</v>
      </c>
      <c r="T2398" s="65"/>
      <c r="U2398" s="126">
        <v>1.0</v>
      </c>
      <c r="V2398" s="379" t="s">
        <v>14400</v>
      </c>
      <c r="W2398" s="292" t="s">
        <v>202</v>
      </c>
      <c r="X2398" s="51" t="str">
        <f t="array" ref="X2398"> if(iserror(MATCH(V2398, 'File Links'!C:C, 0)), "N/A", HYPERLINK(INDEX('File Links'!B:B, MATCH(V2398, 'File Links'!C:C, 0))))</f>
        <v>https://drive.google.com/file/d/17mZvRs3ue7pXwqu8bmIDvgNdc95PGEcV/view?usp=drivesdk</v>
      </c>
      <c r="Y2398" s="156" t="s">
        <v>131</v>
      </c>
      <c r="Z2398" s="156" t="s">
        <v>1072</v>
      </c>
      <c r="AA2398" s="156" t="s">
        <v>14414</v>
      </c>
      <c r="AB2398" s="156" t="s">
        <v>14402</v>
      </c>
      <c r="AC2398" s="156" t="s">
        <v>14415</v>
      </c>
      <c r="AD2398" s="148" t="s">
        <v>14416</v>
      </c>
      <c r="AE2398" s="153">
        <v>30.0</v>
      </c>
      <c r="AF2398" s="153">
        <v>595.0</v>
      </c>
      <c r="AG2398" s="153">
        <v>0.33</v>
      </c>
      <c r="AH2398" s="156" t="s">
        <v>208</v>
      </c>
      <c r="AI2398" s="377" t="s">
        <v>14405</v>
      </c>
      <c r="AJ2398" s="375">
        <v>0.001</v>
      </c>
      <c r="AK2398" s="478" t="s">
        <v>128</v>
      </c>
      <c r="AL2398" s="478" t="s">
        <v>179</v>
      </c>
      <c r="AM2398" s="156" t="s">
        <v>130</v>
      </c>
      <c r="AN2398" s="156" t="s">
        <v>131</v>
      </c>
      <c r="AO2398" s="153">
        <v>1550.0</v>
      </c>
      <c r="AP2398" s="1519">
        <v>0.2</v>
      </c>
      <c r="AQ2398" s="156" t="s">
        <v>208</v>
      </c>
      <c r="AR2398" s="156" t="s">
        <v>14406</v>
      </c>
      <c r="AS2398" s="1786" t="s">
        <v>131</v>
      </c>
      <c r="AT2398" s="1786" t="s">
        <v>131</v>
      </c>
      <c r="AU2398" s="65" t="s">
        <v>179</v>
      </c>
      <c r="AV2398" s="156" t="s">
        <v>130</v>
      </c>
      <c r="AW2398" s="432" t="s">
        <v>14407</v>
      </c>
      <c r="AX2398" s="156" t="s">
        <v>136</v>
      </c>
      <c r="AZ2398" s="284" t="s">
        <v>1263</v>
      </c>
    </row>
    <row r="2399">
      <c r="A2399" s="41">
        <v>2399.0</v>
      </c>
      <c r="B2399" s="2076" t="s">
        <v>107</v>
      </c>
      <c r="C2399" s="59" t="s">
        <v>108</v>
      </c>
      <c r="D2399" s="59" t="s">
        <v>2623</v>
      </c>
      <c r="F2399" s="65" t="s">
        <v>14417</v>
      </c>
      <c r="G2399" s="156" t="s">
        <v>14391</v>
      </c>
      <c r="H2399" s="156" t="s">
        <v>14392</v>
      </c>
      <c r="I2399" s="1284" t="s">
        <v>14393</v>
      </c>
      <c r="J2399" s="150">
        <v>45807.0</v>
      </c>
      <c r="K2399" s="65"/>
      <c r="L2399" s="126" t="s">
        <v>14418</v>
      </c>
      <c r="M2399" s="156" t="s">
        <v>14395</v>
      </c>
      <c r="N2399" s="156" t="s">
        <v>14396</v>
      </c>
      <c r="O2399" s="126">
        <v>2.0</v>
      </c>
      <c r="P2399" s="379" t="s">
        <v>14397</v>
      </c>
      <c r="Q2399" s="49" t="str">
        <f t="array" ref="Q2399"> if(iserror(MATCH(V2399, 'File Links'!C:C, 0)), "N/A", HYPERLINK(INDEX('File Links'!B:B, MATCH(P2399, 'File Links'!C:C, 0))))</f>
        <v>https://drive.google.com/file/d/1yjVvr6RWduwEsSlj1T5hWk4kZsgSpX7e/view?usp=drivesdk</v>
      </c>
      <c r="R2399" s="156" t="s">
        <v>14398</v>
      </c>
      <c r="S2399" s="156" t="s">
        <v>14399</v>
      </c>
      <c r="T2399" s="65"/>
      <c r="U2399" s="126">
        <v>1.0</v>
      </c>
      <c r="V2399" s="379" t="s">
        <v>14400</v>
      </c>
      <c r="W2399" s="292" t="s">
        <v>202</v>
      </c>
      <c r="X2399" s="51" t="str">
        <f t="array" ref="X2399"> if(iserror(MATCH(V2399, 'File Links'!C:C, 0)), "N/A", HYPERLINK(INDEX('File Links'!B:B, MATCH(V2399, 'File Links'!C:C, 0))))</f>
        <v>https://drive.google.com/file/d/17mZvRs3ue7pXwqu8bmIDvgNdc95PGEcV/view?usp=drivesdk</v>
      </c>
      <c r="Y2399" s="156" t="s">
        <v>131</v>
      </c>
      <c r="Z2399" s="156" t="s">
        <v>1072</v>
      </c>
      <c r="AA2399" s="156" t="s">
        <v>14419</v>
      </c>
      <c r="AB2399" s="156" t="s">
        <v>14402</v>
      </c>
      <c r="AC2399" s="156" t="s">
        <v>14420</v>
      </c>
      <c r="AD2399" s="148" t="s">
        <v>14421</v>
      </c>
      <c r="AE2399" s="153">
        <v>33.0</v>
      </c>
      <c r="AF2399" s="153">
        <v>595.0</v>
      </c>
      <c r="AG2399" s="153">
        <v>0.32</v>
      </c>
      <c r="AH2399" s="156" t="s">
        <v>208</v>
      </c>
      <c r="AI2399" s="377" t="s">
        <v>14405</v>
      </c>
      <c r="AJ2399" s="375">
        <v>0.001</v>
      </c>
      <c r="AK2399" s="478" t="s">
        <v>128</v>
      </c>
      <c r="AL2399" s="478" t="s">
        <v>179</v>
      </c>
      <c r="AM2399" s="156" t="s">
        <v>130</v>
      </c>
      <c r="AN2399" s="156" t="s">
        <v>131</v>
      </c>
      <c r="AO2399" s="153">
        <v>1550.0</v>
      </c>
      <c r="AP2399" s="148">
        <v>0.37</v>
      </c>
      <c r="AQ2399" s="156" t="s">
        <v>208</v>
      </c>
      <c r="AR2399" s="156" t="s">
        <v>14406</v>
      </c>
      <c r="AS2399" s="1786" t="s">
        <v>131</v>
      </c>
      <c r="AT2399" s="1786" t="s">
        <v>131</v>
      </c>
      <c r="AU2399" s="65" t="s">
        <v>179</v>
      </c>
      <c r="AV2399" s="156" t="s">
        <v>130</v>
      </c>
      <c r="AW2399" s="432" t="s">
        <v>14407</v>
      </c>
      <c r="AX2399" s="156" t="s">
        <v>136</v>
      </c>
      <c r="AZ2399" s="284" t="s">
        <v>1263</v>
      </c>
    </row>
    <row r="2400">
      <c r="A2400" s="41">
        <v>2400.0</v>
      </c>
      <c r="B2400" s="2076" t="s">
        <v>107</v>
      </c>
      <c r="C2400" s="59" t="s">
        <v>108</v>
      </c>
      <c r="D2400" s="59" t="s">
        <v>2623</v>
      </c>
      <c r="F2400" s="65" t="s">
        <v>14422</v>
      </c>
      <c r="G2400" s="156" t="s">
        <v>14391</v>
      </c>
      <c r="H2400" s="156" t="s">
        <v>14392</v>
      </c>
      <c r="I2400" s="1284" t="s">
        <v>14393</v>
      </c>
      <c r="J2400" s="150">
        <v>45807.0</v>
      </c>
      <c r="K2400" s="65"/>
      <c r="L2400" s="126" t="s">
        <v>14413</v>
      </c>
      <c r="M2400" s="156" t="s">
        <v>14395</v>
      </c>
      <c r="N2400" s="156" t="s">
        <v>14396</v>
      </c>
      <c r="O2400" s="126">
        <v>2.0</v>
      </c>
      <c r="P2400" s="379" t="s">
        <v>14397</v>
      </c>
      <c r="Q2400" s="49" t="str">
        <f t="array" ref="Q2400"> if(iserror(MATCH(V2400, 'File Links'!C:C, 0)), "N/A", HYPERLINK(INDEX('File Links'!B:B, MATCH(P2400, 'File Links'!C:C, 0))))</f>
        <v>https://drive.google.com/file/d/1yjVvr6RWduwEsSlj1T5hWk4kZsgSpX7e/view?usp=drivesdk</v>
      </c>
      <c r="R2400" s="156" t="s">
        <v>14398</v>
      </c>
      <c r="S2400" s="156" t="s">
        <v>14399</v>
      </c>
      <c r="T2400" s="65"/>
      <c r="U2400" s="126">
        <v>1.0</v>
      </c>
      <c r="V2400" s="379" t="s">
        <v>14400</v>
      </c>
      <c r="W2400" s="292" t="s">
        <v>202</v>
      </c>
      <c r="X2400" s="51" t="str">
        <f t="array" ref="X2400"> if(iserror(MATCH(V2400, 'File Links'!C:C, 0)), "N/A", HYPERLINK(INDEX('File Links'!B:B, MATCH(V2400, 'File Links'!C:C, 0))))</f>
        <v>https://drive.google.com/file/d/17mZvRs3ue7pXwqu8bmIDvgNdc95PGEcV/view?usp=drivesdk</v>
      </c>
      <c r="Y2400" s="156" t="s">
        <v>131</v>
      </c>
      <c r="Z2400" s="156" t="s">
        <v>1072</v>
      </c>
      <c r="AA2400" s="156" t="s">
        <v>14423</v>
      </c>
      <c r="AB2400" s="156" t="s">
        <v>14402</v>
      </c>
      <c r="AC2400" s="156" t="s">
        <v>14424</v>
      </c>
      <c r="AD2400" s="300" t="s">
        <v>14425</v>
      </c>
      <c r="AE2400" s="1555">
        <v>33.0</v>
      </c>
      <c r="AF2400" s="153">
        <v>595.0</v>
      </c>
      <c r="AG2400" s="153">
        <v>-0.66</v>
      </c>
      <c r="AH2400" s="156" t="s">
        <v>208</v>
      </c>
      <c r="AI2400" s="377" t="s">
        <v>14405</v>
      </c>
      <c r="AJ2400" s="375">
        <v>0.001</v>
      </c>
      <c r="AK2400" s="478" t="s">
        <v>128</v>
      </c>
      <c r="AL2400" s="478" t="s">
        <v>179</v>
      </c>
      <c r="AM2400" s="156" t="s">
        <v>130</v>
      </c>
      <c r="AN2400" s="156" t="s">
        <v>131</v>
      </c>
      <c r="AO2400" s="153">
        <v>1550.0</v>
      </c>
      <c r="AP2400" s="300">
        <v>-0.63</v>
      </c>
      <c r="AQ2400" s="156" t="s">
        <v>208</v>
      </c>
      <c r="AR2400" s="156" t="s">
        <v>14406</v>
      </c>
      <c r="AS2400" s="1786" t="s">
        <v>131</v>
      </c>
      <c r="AT2400" s="1786" t="s">
        <v>131</v>
      </c>
      <c r="AU2400" s="65" t="s">
        <v>179</v>
      </c>
      <c r="AV2400" s="156" t="s">
        <v>130</v>
      </c>
      <c r="AW2400" s="432" t="s">
        <v>14407</v>
      </c>
      <c r="AX2400" s="156" t="s">
        <v>136</v>
      </c>
      <c r="AZ2400" s="284" t="s">
        <v>1263</v>
      </c>
    </row>
    <row r="2401">
      <c r="A2401" s="41">
        <v>2401.0</v>
      </c>
      <c r="B2401" s="292" t="s">
        <v>145</v>
      </c>
      <c r="C2401" s="284" t="s">
        <v>108</v>
      </c>
      <c r="D2401" s="284" t="s">
        <v>2623</v>
      </c>
      <c r="E2401" s="305"/>
      <c r="F2401" s="302" t="s">
        <v>14426</v>
      </c>
      <c r="G2401" s="287" t="s">
        <v>14391</v>
      </c>
      <c r="H2401" s="287" t="s">
        <v>14392</v>
      </c>
      <c r="I2401" s="2077" t="s">
        <v>14393</v>
      </c>
      <c r="J2401" s="150">
        <v>45807.0</v>
      </c>
      <c r="K2401" s="302"/>
      <c r="L2401" s="292" t="s">
        <v>14427</v>
      </c>
      <c r="M2401" s="287" t="s">
        <v>14428</v>
      </c>
      <c r="N2401" s="287" t="s">
        <v>14429</v>
      </c>
      <c r="O2401" s="292" t="s">
        <v>3573</v>
      </c>
      <c r="P2401" s="287" t="s">
        <v>14430</v>
      </c>
      <c r="Q2401" s="1809" t="str">
        <f t="array" ref="Q2401"> if(iserror(MATCH(V2401, 'File Links'!C:C, 0)), "N/A", HYPERLINK(INDEX('File Links'!B:B, MATCH(P2401, 'File Links'!C:C, 0))))</f>
        <v>https://drive.google.com/file/d/1bdWCubONzotNyzQtyNAEPIstDQkJSEwL/view?usp=drivesdk</v>
      </c>
      <c r="R2401" s="287" t="s">
        <v>14398</v>
      </c>
      <c r="S2401" s="287" t="s">
        <v>14399</v>
      </c>
      <c r="T2401" s="302"/>
      <c r="U2401" s="292">
        <v>1.0</v>
      </c>
      <c r="V2401" s="287" t="s">
        <v>14400</v>
      </c>
      <c r="W2401" s="292" t="s">
        <v>202</v>
      </c>
      <c r="X2401" s="1810" t="str">
        <f t="array" ref="X2401"> if(iserror(MATCH(V2401, 'File Links'!C:C, 0)), "N/A", HYPERLINK(INDEX('File Links'!B:B, MATCH(V2401, 'File Links'!C:C, 0))))</f>
        <v>https://drive.google.com/file/d/17mZvRs3ue7pXwqu8bmIDvgNdc95PGEcV/view?usp=drivesdk</v>
      </c>
      <c r="Y2401" s="287" t="s">
        <v>131</v>
      </c>
      <c r="Z2401" s="287" t="s">
        <v>1072</v>
      </c>
      <c r="AA2401" s="287" t="s">
        <v>14431</v>
      </c>
      <c r="AB2401" s="287" t="s">
        <v>14402</v>
      </c>
      <c r="AC2401" s="287" t="s">
        <v>14432</v>
      </c>
      <c r="AD2401" s="148" t="s">
        <v>14433</v>
      </c>
      <c r="AE2401" s="153">
        <v>7.0</v>
      </c>
      <c r="AF2401" s="1555">
        <v>152.0</v>
      </c>
      <c r="AG2401" s="2079">
        <v>0.2</v>
      </c>
      <c r="AH2401" s="287" t="s">
        <v>208</v>
      </c>
      <c r="AI2401" s="300" t="s">
        <v>14434</v>
      </c>
      <c r="AJ2401" s="1555">
        <v>0.05</v>
      </c>
      <c r="AK2401" s="287" t="s">
        <v>128</v>
      </c>
      <c r="AL2401" s="478" t="s">
        <v>179</v>
      </c>
      <c r="AM2401" s="287" t="s">
        <v>130</v>
      </c>
      <c r="AN2401" s="287" t="s">
        <v>131</v>
      </c>
      <c r="AO2401" s="1555">
        <v>1514.0</v>
      </c>
      <c r="AP2401" s="1555">
        <v>0.39</v>
      </c>
      <c r="AQ2401" s="287" t="s">
        <v>208</v>
      </c>
      <c r="AR2401" s="287" t="s">
        <v>14406</v>
      </c>
      <c r="AS2401" s="2080">
        <v>1.32505878875791E-42</v>
      </c>
      <c r="AT2401" s="1785" t="s">
        <v>165</v>
      </c>
      <c r="AU2401" s="287" t="s">
        <v>129</v>
      </c>
      <c r="AV2401" s="287" t="s">
        <v>130</v>
      </c>
      <c r="AW2401" s="303" t="s">
        <v>14407</v>
      </c>
      <c r="AX2401" s="287" t="s">
        <v>136</v>
      </c>
      <c r="AY2401" s="305"/>
      <c r="AZ2401" s="284" t="s">
        <v>1263</v>
      </c>
      <c r="BA2401" s="305"/>
      <c r="BB2401" s="305"/>
      <c r="BC2401" s="305"/>
      <c r="BD2401" s="305"/>
      <c r="BE2401" s="305"/>
      <c r="BF2401" s="305"/>
      <c r="BG2401" s="305"/>
      <c r="BH2401" s="305"/>
      <c r="BI2401" s="305"/>
      <c r="BJ2401" s="305"/>
      <c r="BK2401" s="305"/>
      <c r="BL2401" s="305"/>
      <c r="BM2401" s="305"/>
      <c r="BN2401" s="305"/>
      <c r="BO2401" s="305"/>
      <c r="BP2401" s="305"/>
      <c r="BQ2401" s="305"/>
      <c r="BR2401" s="305"/>
      <c r="BS2401" s="305"/>
      <c r="BT2401" s="305"/>
      <c r="BU2401" s="305"/>
      <c r="BV2401" s="305"/>
      <c r="BW2401" s="305"/>
      <c r="BX2401" s="305"/>
      <c r="BY2401" s="305"/>
      <c r="BZ2401" s="305"/>
      <c r="CA2401" s="305"/>
      <c r="CB2401" s="305"/>
      <c r="CC2401" s="305"/>
      <c r="CD2401" s="305"/>
      <c r="CE2401" s="305"/>
      <c r="CF2401" s="305"/>
      <c r="CG2401" s="305"/>
      <c r="CH2401" s="305"/>
      <c r="CI2401" s="305"/>
      <c r="CJ2401" s="305"/>
      <c r="CK2401" s="305"/>
      <c r="CL2401" s="305"/>
      <c r="CM2401" s="305"/>
      <c r="CN2401" s="305"/>
      <c r="CO2401" s="305"/>
      <c r="CP2401" s="305"/>
      <c r="CQ2401" s="305"/>
      <c r="CR2401" s="305"/>
      <c r="CS2401" s="305"/>
      <c r="CT2401" s="305"/>
      <c r="CU2401" s="305"/>
      <c r="CV2401" s="305"/>
      <c r="CW2401" s="305"/>
      <c r="CX2401" s="305"/>
      <c r="CY2401" s="305"/>
      <c r="CZ2401" s="305"/>
      <c r="DA2401" s="305"/>
      <c r="DB2401" s="305"/>
      <c r="DC2401" s="305"/>
      <c r="DD2401" s="305"/>
      <c r="DE2401" s="305"/>
      <c r="DF2401" s="305"/>
      <c r="DG2401" s="305"/>
      <c r="DH2401" s="305"/>
    </row>
    <row r="2402">
      <c r="A2402" s="41">
        <v>2402.0</v>
      </c>
      <c r="B2402" s="292" t="s">
        <v>145</v>
      </c>
      <c r="C2402" s="284" t="s">
        <v>108</v>
      </c>
      <c r="D2402" s="284" t="s">
        <v>2623</v>
      </c>
      <c r="E2402" s="305"/>
      <c r="F2402" s="302" t="s">
        <v>14435</v>
      </c>
      <c r="G2402" s="287" t="s">
        <v>14391</v>
      </c>
      <c r="H2402" s="287" t="s">
        <v>14392</v>
      </c>
      <c r="I2402" s="2077" t="s">
        <v>14393</v>
      </c>
      <c r="J2402" s="150">
        <v>45807.0</v>
      </c>
      <c r="K2402" s="302"/>
      <c r="L2402" s="292" t="s">
        <v>14427</v>
      </c>
      <c r="M2402" s="287" t="s">
        <v>14428</v>
      </c>
      <c r="N2402" s="287" t="s">
        <v>14429</v>
      </c>
      <c r="O2402" s="292" t="s">
        <v>3573</v>
      </c>
      <c r="P2402" s="287" t="s">
        <v>14430</v>
      </c>
      <c r="Q2402" s="1809" t="str">
        <f t="array" ref="Q2402"> if(iserror(MATCH(V2402, 'File Links'!C:C, 0)), "N/A", HYPERLINK(INDEX('File Links'!B:B, MATCH(P2402, 'File Links'!C:C, 0))))</f>
        <v>https://drive.google.com/file/d/1bdWCubONzotNyzQtyNAEPIstDQkJSEwL/view?usp=drivesdk</v>
      </c>
      <c r="R2402" s="287" t="s">
        <v>14398</v>
      </c>
      <c r="S2402" s="287" t="s">
        <v>14399</v>
      </c>
      <c r="T2402" s="302"/>
      <c r="U2402" s="292">
        <v>1.0</v>
      </c>
      <c r="V2402" s="287" t="s">
        <v>14400</v>
      </c>
      <c r="W2402" s="292" t="s">
        <v>202</v>
      </c>
      <c r="X2402" s="1810" t="str">
        <f t="array" ref="X2402"> if(iserror(MATCH(V2402, 'File Links'!C:C, 0)), "N/A", HYPERLINK(INDEX('File Links'!B:B, MATCH(V2402, 'File Links'!C:C, 0))))</f>
        <v>https://drive.google.com/file/d/17mZvRs3ue7pXwqu8bmIDvgNdc95PGEcV/view?usp=drivesdk</v>
      </c>
      <c r="Y2402" s="287" t="s">
        <v>131</v>
      </c>
      <c r="Z2402" s="287" t="s">
        <v>1072</v>
      </c>
      <c r="AA2402" s="287" t="s">
        <v>14436</v>
      </c>
      <c r="AB2402" s="287" t="s">
        <v>14402</v>
      </c>
      <c r="AC2402" s="287" t="s">
        <v>14437</v>
      </c>
      <c r="AD2402" s="156" t="s">
        <v>14438</v>
      </c>
      <c r="AE2402" s="153">
        <v>7.0</v>
      </c>
      <c r="AF2402" s="1555">
        <v>152.0</v>
      </c>
      <c r="AG2402" s="1555">
        <v>0.43</v>
      </c>
      <c r="AH2402" s="287" t="s">
        <v>208</v>
      </c>
      <c r="AI2402" s="300" t="s">
        <v>14434</v>
      </c>
      <c r="AJ2402" s="1555">
        <v>0.001</v>
      </c>
      <c r="AK2402" s="287" t="s">
        <v>128</v>
      </c>
      <c r="AL2402" s="478" t="s">
        <v>179</v>
      </c>
      <c r="AM2402" s="287" t="s">
        <v>130</v>
      </c>
      <c r="AN2402" s="287" t="s">
        <v>131</v>
      </c>
      <c r="AO2402" s="1555">
        <v>1514.0</v>
      </c>
      <c r="AP2402" s="1555">
        <v>0.35</v>
      </c>
      <c r="AQ2402" s="287" t="s">
        <v>208</v>
      </c>
      <c r="AR2402" s="287" t="s">
        <v>14406</v>
      </c>
      <c r="AS2402" s="2080">
        <v>3.19985052214498E-31</v>
      </c>
      <c r="AT2402" s="1785" t="s">
        <v>165</v>
      </c>
      <c r="AU2402" s="287" t="s">
        <v>129</v>
      </c>
      <c r="AV2402" s="287" t="s">
        <v>130</v>
      </c>
      <c r="AW2402" s="303" t="s">
        <v>14407</v>
      </c>
      <c r="AX2402" s="287" t="s">
        <v>136</v>
      </c>
      <c r="AY2402" s="305"/>
      <c r="AZ2402" s="284" t="s">
        <v>1263</v>
      </c>
      <c r="BA2402" s="305"/>
      <c r="BB2402" s="305"/>
      <c r="BC2402" s="305"/>
      <c r="BD2402" s="305"/>
      <c r="BE2402" s="305"/>
      <c r="BF2402" s="305"/>
      <c r="BG2402" s="305"/>
      <c r="BH2402" s="305"/>
      <c r="BI2402" s="305"/>
      <c r="BJ2402" s="305"/>
      <c r="BK2402" s="305"/>
      <c r="BL2402" s="305"/>
      <c r="BM2402" s="305"/>
      <c r="BN2402" s="305"/>
      <c r="BO2402" s="305"/>
      <c r="BP2402" s="305"/>
      <c r="BQ2402" s="305"/>
      <c r="BR2402" s="305"/>
      <c r="BS2402" s="305"/>
      <c r="BT2402" s="305"/>
      <c r="BU2402" s="305"/>
      <c r="BV2402" s="305"/>
      <c r="BW2402" s="305"/>
      <c r="BX2402" s="305"/>
      <c r="BY2402" s="305"/>
      <c r="BZ2402" s="305"/>
      <c r="CA2402" s="305"/>
      <c r="CB2402" s="305"/>
      <c r="CC2402" s="305"/>
      <c r="CD2402" s="305"/>
      <c r="CE2402" s="305"/>
      <c r="CF2402" s="305"/>
      <c r="CG2402" s="305"/>
      <c r="CH2402" s="305"/>
      <c r="CI2402" s="305"/>
      <c r="CJ2402" s="305"/>
      <c r="CK2402" s="305"/>
      <c r="CL2402" s="305"/>
      <c r="CM2402" s="305"/>
      <c r="CN2402" s="305"/>
      <c r="CO2402" s="305"/>
      <c r="CP2402" s="305"/>
      <c r="CQ2402" s="305"/>
      <c r="CR2402" s="305"/>
      <c r="CS2402" s="305"/>
      <c r="CT2402" s="305"/>
      <c r="CU2402" s="305"/>
      <c r="CV2402" s="305"/>
      <c r="CW2402" s="305"/>
      <c r="CX2402" s="305"/>
      <c r="CY2402" s="305"/>
      <c r="CZ2402" s="305"/>
      <c r="DA2402" s="305"/>
      <c r="DB2402" s="305"/>
      <c r="DC2402" s="305"/>
      <c r="DD2402" s="305"/>
      <c r="DE2402" s="305"/>
      <c r="DF2402" s="305"/>
      <c r="DG2402" s="305"/>
      <c r="DH2402" s="305"/>
    </row>
    <row r="2403">
      <c r="A2403" s="41">
        <v>2403.0</v>
      </c>
      <c r="B2403" s="126" t="s">
        <v>107</v>
      </c>
      <c r="C2403" s="59" t="s">
        <v>108</v>
      </c>
      <c r="D2403" s="59" t="s">
        <v>2623</v>
      </c>
      <c r="F2403" s="65" t="s">
        <v>14439</v>
      </c>
      <c r="G2403" s="156" t="s">
        <v>14391</v>
      </c>
      <c r="H2403" s="156" t="s">
        <v>14392</v>
      </c>
      <c r="I2403" s="1284" t="s">
        <v>14393</v>
      </c>
      <c r="J2403" s="150">
        <v>45807.0</v>
      </c>
      <c r="K2403" s="65"/>
      <c r="L2403" s="126" t="s">
        <v>14440</v>
      </c>
      <c r="M2403" s="156" t="s">
        <v>14441</v>
      </c>
      <c r="N2403" s="156" t="s">
        <v>14442</v>
      </c>
      <c r="O2403" s="153">
        <v>2.0</v>
      </c>
      <c r="P2403" s="379" t="s">
        <v>14443</v>
      </c>
      <c r="Q2403" s="49" t="str">
        <f t="array" ref="Q2403"> if(iserror(MATCH(V2403, 'File Links'!C:C, 0)), "N/A", HYPERLINK(INDEX('File Links'!B:B, MATCH(P2403, 'File Links'!C:C, 0))))</f>
        <v>https://drive.google.com/file/d/18vVvJw5Qn9GaYfqwRHjMPOAAO8-20yq0/view?usp=drivesdk</v>
      </c>
      <c r="R2403" s="156" t="s">
        <v>14398</v>
      </c>
      <c r="S2403" s="156" t="s">
        <v>14399</v>
      </c>
      <c r="T2403" s="65"/>
      <c r="U2403" s="65"/>
      <c r="V2403" s="379" t="s">
        <v>14400</v>
      </c>
      <c r="W2403" s="292" t="s">
        <v>202</v>
      </c>
      <c r="X2403" s="51" t="str">
        <f t="array" ref="X2403"> if(iserror(MATCH(V2403, 'File Links'!C:C, 0)), "N/A", HYPERLINK(INDEX('File Links'!B:B, MATCH(V2403, 'File Links'!C:C, 0))))</f>
        <v>https://drive.google.com/file/d/17mZvRs3ue7pXwqu8bmIDvgNdc95PGEcV/view?usp=drivesdk</v>
      </c>
      <c r="Y2403" s="148" t="s">
        <v>134</v>
      </c>
      <c r="Z2403" s="156" t="s">
        <v>1072</v>
      </c>
      <c r="AA2403" s="156" t="s">
        <v>14444</v>
      </c>
      <c r="AB2403" s="156" t="s">
        <v>14402</v>
      </c>
      <c r="AC2403" s="156" t="s">
        <v>14445</v>
      </c>
      <c r="AD2403" s="65"/>
      <c r="AE2403" s="65"/>
      <c r="AF2403" s="153">
        <v>169.0</v>
      </c>
      <c r="AG2403" s="493">
        <v>0.94</v>
      </c>
      <c r="AH2403" s="478" t="s">
        <v>166</v>
      </c>
      <c r="AI2403" s="478" t="s">
        <v>14446</v>
      </c>
      <c r="AJ2403" s="493">
        <v>0.001</v>
      </c>
      <c r="AK2403" s="478" t="s">
        <v>128</v>
      </c>
      <c r="AL2403" s="478" t="s">
        <v>129</v>
      </c>
      <c r="AM2403" s="156" t="s">
        <v>130</v>
      </c>
      <c r="AN2403" s="156" t="s">
        <v>131</v>
      </c>
      <c r="AO2403" s="153">
        <v>1550.0</v>
      </c>
      <c r="AP2403" s="153">
        <v>0.16</v>
      </c>
      <c r="AQ2403" s="156" t="s">
        <v>208</v>
      </c>
      <c r="AR2403" s="156" t="s">
        <v>14406</v>
      </c>
      <c r="AS2403" s="2081">
        <v>0.001</v>
      </c>
      <c r="AT2403" s="1784" t="s">
        <v>128</v>
      </c>
      <c r="AU2403" s="1784" t="s">
        <v>129</v>
      </c>
      <c r="AV2403" s="156" t="s">
        <v>130</v>
      </c>
      <c r="AW2403" s="432" t="s">
        <v>14407</v>
      </c>
      <c r="AX2403" s="156" t="s">
        <v>136</v>
      </c>
      <c r="AZ2403" s="284" t="s">
        <v>1263</v>
      </c>
    </row>
    <row r="2404">
      <c r="A2404" s="41">
        <v>2404.0</v>
      </c>
      <c r="B2404" s="126" t="s">
        <v>107</v>
      </c>
      <c r="C2404" s="59" t="s">
        <v>108</v>
      </c>
      <c r="D2404" s="59" t="s">
        <v>2623</v>
      </c>
      <c r="F2404" s="65" t="s">
        <v>14447</v>
      </c>
      <c r="G2404" s="156" t="s">
        <v>14391</v>
      </c>
      <c r="H2404" s="156" t="s">
        <v>14392</v>
      </c>
      <c r="I2404" s="1284" t="s">
        <v>14393</v>
      </c>
      <c r="J2404" s="150">
        <v>45807.0</v>
      </c>
      <c r="K2404" s="65"/>
      <c r="L2404" s="126" t="s">
        <v>14440</v>
      </c>
      <c r="M2404" s="156" t="s">
        <v>14441</v>
      </c>
      <c r="N2404" s="156" t="s">
        <v>14442</v>
      </c>
      <c r="O2404" s="153">
        <v>2.0</v>
      </c>
      <c r="P2404" s="379" t="s">
        <v>14443</v>
      </c>
      <c r="Q2404" s="49" t="str">
        <f t="array" ref="Q2404"> if(iserror(MATCH(V2404, 'File Links'!C:C, 0)), "N/A", HYPERLINK(INDEX('File Links'!B:B, MATCH(P2404, 'File Links'!C:C, 0))))</f>
        <v>https://drive.google.com/file/d/18vVvJw5Qn9GaYfqwRHjMPOAAO8-20yq0/view?usp=drivesdk</v>
      </c>
      <c r="R2404" s="156" t="s">
        <v>14398</v>
      </c>
      <c r="S2404" s="156" t="s">
        <v>14399</v>
      </c>
      <c r="T2404" s="65"/>
      <c r="U2404" s="65"/>
      <c r="V2404" s="379" t="s">
        <v>14400</v>
      </c>
      <c r="W2404" s="292" t="s">
        <v>202</v>
      </c>
      <c r="X2404" s="51" t="str">
        <f t="array" ref="X2404"> if(iserror(MATCH(V2404, 'File Links'!C:C, 0)), "N/A", HYPERLINK(INDEX('File Links'!B:B, MATCH(V2404, 'File Links'!C:C, 0))))</f>
        <v>https://drive.google.com/file/d/17mZvRs3ue7pXwqu8bmIDvgNdc95PGEcV/view?usp=drivesdk</v>
      </c>
      <c r="Y2404" s="148" t="s">
        <v>134</v>
      </c>
      <c r="Z2404" s="156" t="s">
        <v>1072</v>
      </c>
      <c r="AA2404" s="156" t="s">
        <v>14448</v>
      </c>
      <c r="AB2404" s="156" t="s">
        <v>14402</v>
      </c>
      <c r="AC2404" s="156" t="s">
        <v>14449</v>
      </c>
      <c r="AD2404" s="65"/>
      <c r="AE2404" s="65"/>
      <c r="AF2404" s="153">
        <v>169.0</v>
      </c>
      <c r="AG2404" s="2082">
        <v>-1.42</v>
      </c>
      <c r="AH2404" s="478" t="s">
        <v>166</v>
      </c>
      <c r="AI2404" s="478" t="s">
        <v>14446</v>
      </c>
      <c r="AJ2404" s="493">
        <v>0.001</v>
      </c>
      <c r="AK2404" s="478" t="s">
        <v>128</v>
      </c>
      <c r="AL2404" s="478" t="s">
        <v>129</v>
      </c>
      <c r="AM2404" s="156" t="s">
        <v>130</v>
      </c>
      <c r="AN2404" s="156" t="s">
        <v>131</v>
      </c>
      <c r="AO2404" s="153">
        <v>1550.0</v>
      </c>
      <c r="AP2404" s="153">
        <v>-0.13</v>
      </c>
      <c r="AQ2404" s="156" t="s">
        <v>208</v>
      </c>
      <c r="AR2404" s="156" t="s">
        <v>14406</v>
      </c>
      <c r="AS2404" s="2081">
        <v>0.001</v>
      </c>
      <c r="AT2404" s="1784" t="s">
        <v>128</v>
      </c>
      <c r="AU2404" s="1784" t="s">
        <v>129</v>
      </c>
      <c r="AV2404" s="156" t="s">
        <v>130</v>
      </c>
      <c r="AW2404" s="432" t="s">
        <v>14407</v>
      </c>
      <c r="AX2404" s="156" t="s">
        <v>136</v>
      </c>
      <c r="AZ2404" s="284" t="s">
        <v>1263</v>
      </c>
    </row>
    <row r="2405">
      <c r="A2405" s="41">
        <v>2405.0</v>
      </c>
      <c r="B2405" s="126" t="s">
        <v>107</v>
      </c>
      <c r="C2405" s="59" t="s">
        <v>108</v>
      </c>
      <c r="D2405" s="59" t="s">
        <v>2623</v>
      </c>
      <c r="F2405" s="65" t="s">
        <v>14450</v>
      </c>
      <c r="G2405" s="156" t="s">
        <v>14391</v>
      </c>
      <c r="H2405" s="156" t="s">
        <v>14392</v>
      </c>
      <c r="I2405" s="1284" t="s">
        <v>14393</v>
      </c>
      <c r="J2405" s="150">
        <v>45807.0</v>
      </c>
      <c r="K2405" s="65"/>
      <c r="L2405" s="126" t="s">
        <v>14451</v>
      </c>
      <c r="M2405" s="156" t="s">
        <v>14452</v>
      </c>
      <c r="N2405" s="156" t="s">
        <v>14453</v>
      </c>
      <c r="O2405" s="126">
        <v>1.0</v>
      </c>
      <c r="P2405" s="379" t="s">
        <v>14454</v>
      </c>
      <c r="Q2405" s="49" t="str">
        <f t="array" ref="Q2405"> if(iserror(MATCH(V2405, 'File Links'!C:C, 0)), "N/A", HYPERLINK(INDEX('File Links'!B:B, MATCH(P2405, 'File Links'!C:C, 0))))</f>
        <v>https://drive.google.com/file/d/1gqSNC7SSmFXr_f_6y6GPvT5XVE36ywaR/view?usp=drivesdk</v>
      </c>
      <c r="R2405" s="156" t="s">
        <v>14398</v>
      </c>
      <c r="S2405" s="156" t="s">
        <v>14399</v>
      </c>
      <c r="T2405" s="65"/>
      <c r="U2405" s="126">
        <v>1.0</v>
      </c>
      <c r="V2405" s="379" t="s">
        <v>14400</v>
      </c>
      <c r="W2405" s="292" t="s">
        <v>202</v>
      </c>
      <c r="X2405" s="51" t="str">
        <f t="array" ref="X2405"> if(iserror(MATCH(V2405, 'File Links'!C:C, 0)), "N/A", HYPERLINK(INDEX('File Links'!B:B, MATCH(V2405, 'File Links'!C:C, 0))))</f>
        <v>https://drive.google.com/file/d/17mZvRs3ue7pXwqu8bmIDvgNdc95PGEcV/view?usp=drivesdk</v>
      </c>
      <c r="Y2405" s="156" t="s">
        <v>131</v>
      </c>
      <c r="Z2405" s="156" t="s">
        <v>1072</v>
      </c>
      <c r="AA2405" s="156" t="s">
        <v>14455</v>
      </c>
      <c r="AB2405" s="156" t="s">
        <v>14402</v>
      </c>
      <c r="AC2405" s="156" t="s">
        <v>14456</v>
      </c>
      <c r="AD2405" s="126" t="s">
        <v>14457</v>
      </c>
      <c r="AE2405" s="126" t="s">
        <v>125</v>
      </c>
      <c r="AF2405" s="153">
        <v>672.0</v>
      </c>
      <c r="AG2405" s="375">
        <v>0.19</v>
      </c>
      <c r="AH2405" s="478" t="s">
        <v>208</v>
      </c>
      <c r="AI2405" s="148" t="s">
        <v>14458</v>
      </c>
      <c r="AJ2405" s="375">
        <v>0.01</v>
      </c>
      <c r="AK2405" s="156" t="s">
        <v>128</v>
      </c>
      <c r="AL2405" s="478" t="s">
        <v>179</v>
      </c>
      <c r="AM2405" s="156" t="s">
        <v>130</v>
      </c>
      <c r="AN2405" s="156" t="s">
        <v>131</v>
      </c>
      <c r="AO2405" s="153">
        <v>1505.0</v>
      </c>
      <c r="AP2405" s="158">
        <v>0.19</v>
      </c>
      <c r="AQ2405" s="156" t="s">
        <v>208</v>
      </c>
      <c r="AR2405" s="156" t="s">
        <v>14406</v>
      </c>
      <c r="AS2405" s="1786" t="s">
        <v>131</v>
      </c>
      <c r="AT2405" s="1786" t="s">
        <v>131</v>
      </c>
      <c r="AU2405" s="65" t="s">
        <v>179</v>
      </c>
      <c r="AV2405" s="156" t="s">
        <v>130</v>
      </c>
      <c r="AW2405" s="432" t="s">
        <v>14407</v>
      </c>
      <c r="AX2405" s="156" t="s">
        <v>136</v>
      </c>
      <c r="AZ2405" s="284" t="s">
        <v>1263</v>
      </c>
    </row>
    <row r="2406">
      <c r="A2406" s="41">
        <v>2406.0</v>
      </c>
      <c r="B2406" s="126" t="s">
        <v>107</v>
      </c>
      <c r="C2406" s="59" t="s">
        <v>108</v>
      </c>
      <c r="D2406" s="59" t="s">
        <v>2623</v>
      </c>
      <c r="F2406" s="65" t="s">
        <v>14459</v>
      </c>
      <c r="G2406" s="156" t="s">
        <v>14391</v>
      </c>
      <c r="H2406" s="156" t="s">
        <v>14392</v>
      </c>
      <c r="I2406" s="1284" t="s">
        <v>14393</v>
      </c>
      <c r="J2406" s="150">
        <v>45807.0</v>
      </c>
      <c r="K2406" s="65"/>
      <c r="L2406" s="126" t="s">
        <v>14460</v>
      </c>
      <c r="M2406" s="156" t="s">
        <v>14452</v>
      </c>
      <c r="N2406" s="156" t="s">
        <v>14453</v>
      </c>
      <c r="O2406" s="126">
        <v>1.0</v>
      </c>
      <c r="P2406" s="379" t="s">
        <v>14454</v>
      </c>
      <c r="Q2406" s="49" t="str">
        <f t="array" ref="Q2406"> if(iserror(MATCH(V2406, 'File Links'!C:C, 0)), "N/A", HYPERLINK(INDEX('File Links'!B:B, MATCH(P2406, 'File Links'!C:C, 0))))</f>
        <v>https://drive.google.com/file/d/1gqSNC7SSmFXr_f_6y6GPvT5XVE36ywaR/view?usp=drivesdk</v>
      </c>
      <c r="R2406" s="156" t="s">
        <v>14398</v>
      </c>
      <c r="S2406" s="156" t="s">
        <v>14399</v>
      </c>
      <c r="T2406" s="65"/>
      <c r="U2406" s="126">
        <v>1.0</v>
      </c>
      <c r="V2406" s="379" t="s">
        <v>14400</v>
      </c>
      <c r="W2406" s="292" t="s">
        <v>202</v>
      </c>
      <c r="X2406" s="51" t="str">
        <f t="array" ref="X2406"> if(iserror(MATCH(V2406, 'File Links'!C:C, 0)), "N/A", HYPERLINK(INDEX('File Links'!B:B, MATCH(V2406, 'File Links'!C:C, 0))))</f>
        <v>https://drive.google.com/file/d/17mZvRs3ue7pXwqu8bmIDvgNdc95PGEcV/view?usp=drivesdk</v>
      </c>
      <c r="Y2406" s="156" t="s">
        <v>131</v>
      </c>
      <c r="Z2406" s="156" t="s">
        <v>1072</v>
      </c>
      <c r="AA2406" s="156" t="s">
        <v>14461</v>
      </c>
      <c r="AB2406" s="156" t="s">
        <v>14402</v>
      </c>
      <c r="AC2406" s="156" t="s">
        <v>14462</v>
      </c>
      <c r="AD2406" s="126" t="s">
        <v>14463</v>
      </c>
      <c r="AE2406" s="126" t="s">
        <v>125</v>
      </c>
      <c r="AF2406" s="153">
        <v>672.0</v>
      </c>
      <c r="AG2406" s="158">
        <v>0.16</v>
      </c>
      <c r="AH2406" s="156" t="s">
        <v>208</v>
      </c>
      <c r="AI2406" s="148" t="s">
        <v>14458</v>
      </c>
      <c r="AJ2406" s="333">
        <v>0.01</v>
      </c>
      <c r="AK2406" s="156" t="s">
        <v>128</v>
      </c>
      <c r="AL2406" s="478" t="s">
        <v>179</v>
      </c>
      <c r="AM2406" s="156" t="s">
        <v>130</v>
      </c>
      <c r="AN2406" s="156" t="s">
        <v>131</v>
      </c>
      <c r="AO2406" s="153">
        <v>1505.0</v>
      </c>
      <c r="AP2406" s="158">
        <v>0.24</v>
      </c>
      <c r="AQ2406" s="156" t="s">
        <v>208</v>
      </c>
      <c r="AR2406" s="156" t="s">
        <v>14406</v>
      </c>
      <c r="AS2406" s="1786" t="s">
        <v>131</v>
      </c>
      <c r="AT2406" s="1786" t="s">
        <v>131</v>
      </c>
      <c r="AU2406" s="65" t="s">
        <v>179</v>
      </c>
      <c r="AV2406" s="156" t="s">
        <v>130</v>
      </c>
      <c r="AW2406" s="432" t="s">
        <v>14407</v>
      </c>
      <c r="AX2406" s="156" t="s">
        <v>136</v>
      </c>
      <c r="AZ2406" s="284" t="s">
        <v>1263</v>
      </c>
    </row>
    <row r="2407">
      <c r="A2407" s="41">
        <v>2407.0</v>
      </c>
      <c r="B2407" s="53" t="s">
        <v>145</v>
      </c>
      <c r="C2407" s="338" t="s">
        <v>108</v>
      </c>
      <c r="D2407" s="338" t="s">
        <v>2623</v>
      </c>
      <c r="E2407" s="339"/>
      <c r="F2407" s="43" t="s">
        <v>14464</v>
      </c>
      <c r="G2407" s="357" t="s">
        <v>14391</v>
      </c>
      <c r="H2407" s="357" t="s">
        <v>14392</v>
      </c>
      <c r="I2407" s="1684" t="s">
        <v>14393</v>
      </c>
      <c r="J2407" s="342">
        <v>45807.0</v>
      </c>
      <c r="K2407" s="43"/>
      <c r="L2407" s="53" t="s">
        <v>14465</v>
      </c>
      <c r="M2407" s="357" t="s">
        <v>14466</v>
      </c>
      <c r="N2407" s="357" t="s">
        <v>14467</v>
      </c>
      <c r="O2407" s="53">
        <v>1.0</v>
      </c>
      <c r="P2407" s="357" t="s">
        <v>14468</v>
      </c>
      <c r="Q2407" s="101" t="str">
        <f t="array" ref="Q2407"> if(iserror(MATCH(V2407, 'File Links'!C:C, 0)), "N/A", HYPERLINK(INDEX('File Links'!B:B, MATCH(P2407, 'File Links'!C:C, 0))))</f>
        <v>https://drive.google.com/file/d/1JU5kJv0kHYoKBDth2j7wQsjJ1BK_HiIh/view?usp=drivesdk</v>
      </c>
      <c r="R2407" s="357" t="s">
        <v>14398</v>
      </c>
      <c r="S2407" s="357" t="s">
        <v>14399</v>
      </c>
      <c r="T2407" s="43"/>
      <c r="U2407" s="53">
        <v>1.0</v>
      </c>
      <c r="V2407" s="357" t="s">
        <v>14400</v>
      </c>
      <c r="W2407" s="53" t="s">
        <v>202</v>
      </c>
      <c r="X2407" s="51" t="str">
        <f t="array" ref="X2407"> if(iserror(MATCH(V2407, 'File Links'!C:C, 0)), "N/A", HYPERLINK(INDEX('File Links'!B:B, MATCH(V2407, 'File Links'!C:C, 0))))</f>
        <v>https://drive.google.com/file/d/17mZvRs3ue7pXwqu8bmIDvgNdc95PGEcV/view?usp=drivesdk</v>
      </c>
      <c r="Y2407" s="357" t="s">
        <v>131</v>
      </c>
      <c r="Z2407" s="357" t="s">
        <v>1072</v>
      </c>
      <c r="AA2407" s="357" t="s">
        <v>14469</v>
      </c>
      <c r="AB2407" s="357" t="s">
        <v>14402</v>
      </c>
      <c r="AC2407" s="357" t="s">
        <v>14469</v>
      </c>
      <c r="AD2407" s="53" t="s">
        <v>131</v>
      </c>
      <c r="AE2407" s="53" t="s">
        <v>131</v>
      </c>
      <c r="AF2407" s="354">
        <v>194.0</v>
      </c>
      <c r="AG2407" s="2083" t="s">
        <v>14470</v>
      </c>
      <c r="AH2407" s="357" t="s">
        <v>208</v>
      </c>
      <c r="AI2407" s="340" t="s">
        <v>620</v>
      </c>
      <c r="AJ2407" s="344" t="s">
        <v>131</v>
      </c>
      <c r="AK2407" s="344" t="s">
        <v>131</v>
      </c>
      <c r="AL2407" s="357" t="s">
        <v>179</v>
      </c>
      <c r="AM2407" s="357" t="s">
        <v>131</v>
      </c>
      <c r="AN2407" s="357" t="s">
        <v>131</v>
      </c>
      <c r="AO2407" s="354">
        <v>1505.0</v>
      </c>
      <c r="AP2407" s="2084">
        <v>0.3</v>
      </c>
      <c r="AQ2407" s="357" t="s">
        <v>208</v>
      </c>
      <c r="AR2407" s="357" t="s">
        <v>14406</v>
      </c>
      <c r="AS2407" s="344" t="s">
        <v>131</v>
      </c>
      <c r="AT2407" s="344" t="s">
        <v>131</v>
      </c>
      <c r="AU2407" s="43" t="s">
        <v>179</v>
      </c>
      <c r="AV2407" s="357" t="s">
        <v>130</v>
      </c>
      <c r="AW2407" s="56" t="s">
        <v>14407</v>
      </c>
      <c r="AX2407" s="357" t="s">
        <v>136</v>
      </c>
      <c r="AY2407" s="339"/>
      <c r="AZ2407" s="338" t="s">
        <v>1263</v>
      </c>
      <c r="BA2407" s="339"/>
      <c r="BB2407" s="339"/>
      <c r="BC2407" s="339"/>
      <c r="BD2407" s="339"/>
      <c r="BE2407" s="339"/>
      <c r="BF2407" s="339"/>
      <c r="BG2407" s="339"/>
      <c r="BH2407" s="339"/>
      <c r="BI2407" s="339"/>
      <c r="BJ2407" s="339"/>
      <c r="BK2407" s="339"/>
      <c r="BL2407" s="339"/>
      <c r="BM2407" s="339"/>
      <c r="BN2407" s="339"/>
      <c r="BO2407" s="339"/>
      <c r="BP2407" s="339"/>
      <c r="BQ2407" s="339"/>
      <c r="BR2407" s="339"/>
      <c r="BS2407" s="339"/>
      <c r="BT2407" s="339"/>
      <c r="BU2407" s="339"/>
      <c r="BV2407" s="339"/>
      <c r="BW2407" s="339"/>
      <c r="BX2407" s="339"/>
      <c r="BY2407" s="339"/>
      <c r="BZ2407" s="339"/>
      <c r="CA2407" s="339"/>
      <c r="CB2407" s="339"/>
      <c r="CC2407" s="339"/>
      <c r="CD2407" s="339"/>
      <c r="CE2407" s="339"/>
      <c r="CF2407" s="339"/>
      <c r="CG2407" s="339"/>
      <c r="CH2407" s="339"/>
      <c r="CI2407" s="339"/>
      <c r="CJ2407" s="339"/>
      <c r="CK2407" s="339"/>
      <c r="CL2407" s="339"/>
      <c r="CM2407" s="339"/>
      <c r="CN2407" s="339"/>
      <c r="CO2407" s="339"/>
      <c r="CP2407" s="339"/>
      <c r="CQ2407" s="339"/>
      <c r="CR2407" s="339"/>
      <c r="CS2407" s="339"/>
      <c r="CT2407" s="339"/>
      <c r="CU2407" s="339"/>
      <c r="CV2407" s="339"/>
      <c r="CW2407" s="339"/>
      <c r="CX2407" s="339"/>
      <c r="CY2407" s="339"/>
      <c r="CZ2407" s="339"/>
      <c r="DA2407" s="339"/>
      <c r="DB2407" s="339"/>
      <c r="DC2407" s="339"/>
      <c r="DD2407" s="339"/>
      <c r="DE2407" s="339"/>
      <c r="DF2407" s="339"/>
      <c r="DG2407" s="339"/>
      <c r="DH2407" s="339"/>
    </row>
    <row r="2408">
      <c r="A2408" s="41">
        <v>2408.0</v>
      </c>
      <c r="B2408" s="53" t="s">
        <v>145</v>
      </c>
      <c r="C2408" s="338" t="s">
        <v>108</v>
      </c>
      <c r="D2408" s="338" t="s">
        <v>2623</v>
      </c>
      <c r="E2408" s="339"/>
      <c r="F2408" s="43" t="s">
        <v>14471</v>
      </c>
      <c r="G2408" s="357" t="s">
        <v>14391</v>
      </c>
      <c r="H2408" s="357" t="s">
        <v>14392</v>
      </c>
      <c r="I2408" s="1684" t="s">
        <v>14393</v>
      </c>
      <c r="J2408" s="342">
        <v>45807.0</v>
      </c>
      <c r="K2408" s="43"/>
      <c r="L2408" s="53" t="s">
        <v>14465</v>
      </c>
      <c r="M2408" s="357" t="s">
        <v>14466</v>
      </c>
      <c r="N2408" s="357" t="s">
        <v>14467</v>
      </c>
      <c r="O2408" s="53">
        <v>1.0</v>
      </c>
      <c r="P2408" s="357" t="s">
        <v>14468</v>
      </c>
      <c r="Q2408" s="101" t="str">
        <f t="array" ref="Q2408"> if(iserror(MATCH(V2408, 'File Links'!C:C, 0)), "N/A", HYPERLINK(INDEX('File Links'!B:B, MATCH(P2408, 'File Links'!C:C, 0))))</f>
        <v>https://drive.google.com/file/d/1JU5kJv0kHYoKBDth2j7wQsjJ1BK_HiIh/view?usp=drivesdk</v>
      </c>
      <c r="R2408" s="357" t="s">
        <v>14398</v>
      </c>
      <c r="S2408" s="357" t="s">
        <v>14399</v>
      </c>
      <c r="T2408" s="43"/>
      <c r="U2408" s="53">
        <v>1.0</v>
      </c>
      <c r="V2408" s="357" t="s">
        <v>14400</v>
      </c>
      <c r="W2408" s="53" t="s">
        <v>202</v>
      </c>
      <c r="X2408" s="51" t="str">
        <f t="array" ref="X2408"> if(iserror(MATCH(V2408, 'File Links'!C:C, 0)), "N/A", HYPERLINK(INDEX('File Links'!B:B, MATCH(V2408, 'File Links'!C:C, 0))))</f>
        <v>https://drive.google.com/file/d/17mZvRs3ue7pXwqu8bmIDvgNdc95PGEcV/view?usp=drivesdk</v>
      </c>
      <c r="Y2408" s="357" t="s">
        <v>131</v>
      </c>
      <c r="Z2408" s="357" t="s">
        <v>1072</v>
      </c>
      <c r="AA2408" s="357" t="s">
        <v>14472</v>
      </c>
      <c r="AB2408" s="357" t="s">
        <v>14402</v>
      </c>
      <c r="AC2408" s="357" t="s">
        <v>14472</v>
      </c>
      <c r="AD2408" s="53" t="s">
        <v>131</v>
      </c>
      <c r="AE2408" s="53" t="s">
        <v>131</v>
      </c>
      <c r="AF2408" s="354">
        <v>194.0</v>
      </c>
      <c r="AG2408" s="354">
        <v>-0.44</v>
      </c>
      <c r="AH2408" s="357" t="s">
        <v>208</v>
      </c>
      <c r="AI2408" s="340" t="s">
        <v>620</v>
      </c>
      <c r="AJ2408" s="344" t="s">
        <v>131</v>
      </c>
      <c r="AK2408" s="344" t="s">
        <v>131</v>
      </c>
      <c r="AL2408" s="357" t="s">
        <v>179</v>
      </c>
      <c r="AM2408" s="357" t="s">
        <v>131</v>
      </c>
      <c r="AN2408" s="357" t="s">
        <v>131</v>
      </c>
      <c r="AO2408" s="354">
        <v>1505.0</v>
      </c>
      <c r="AP2408" s="2084">
        <v>0.42</v>
      </c>
      <c r="AQ2408" s="357" t="s">
        <v>208</v>
      </c>
      <c r="AR2408" s="357" t="s">
        <v>14406</v>
      </c>
      <c r="AS2408" s="344" t="s">
        <v>131</v>
      </c>
      <c r="AT2408" s="344" t="s">
        <v>131</v>
      </c>
      <c r="AU2408" s="43" t="s">
        <v>179</v>
      </c>
      <c r="AV2408" s="357" t="s">
        <v>130</v>
      </c>
      <c r="AW2408" s="56" t="s">
        <v>14407</v>
      </c>
      <c r="AX2408" s="357" t="s">
        <v>136</v>
      </c>
      <c r="AY2408" s="339"/>
      <c r="AZ2408" s="338" t="s">
        <v>1263</v>
      </c>
      <c r="BA2408" s="339"/>
      <c r="BB2408" s="339"/>
      <c r="BC2408" s="339"/>
      <c r="BD2408" s="339"/>
      <c r="BE2408" s="339"/>
      <c r="BF2408" s="339"/>
      <c r="BG2408" s="339"/>
      <c r="BH2408" s="339"/>
      <c r="BI2408" s="339"/>
      <c r="BJ2408" s="339"/>
      <c r="BK2408" s="339"/>
      <c r="BL2408" s="339"/>
      <c r="BM2408" s="339"/>
      <c r="BN2408" s="339"/>
      <c r="BO2408" s="339"/>
      <c r="BP2408" s="339"/>
      <c r="BQ2408" s="339"/>
      <c r="BR2408" s="339"/>
      <c r="BS2408" s="339"/>
      <c r="BT2408" s="339"/>
      <c r="BU2408" s="339"/>
      <c r="BV2408" s="339"/>
      <c r="BW2408" s="339"/>
      <c r="BX2408" s="339"/>
      <c r="BY2408" s="339"/>
      <c r="BZ2408" s="339"/>
      <c r="CA2408" s="339"/>
      <c r="CB2408" s="339"/>
      <c r="CC2408" s="339"/>
      <c r="CD2408" s="339"/>
      <c r="CE2408" s="339"/>
      <c r="CF2408" s="339"/>
      <c r="CG2408" s="339"/>
      <c r="CH2408" s="339"/>
      <c r="CI2408" s="339"/>
      <c r="CJ2408" s="339"/>
      <c r="CK2408" s="339"/>
      <c r="CL2408" s="339"/>
      <c r="CM2408" s="339"/>
      <c r="CN2408" s="339"/>
      <c r="CO2408" s="339"/>
      <c r="CP2408" s="339"/>
      <c r="CQ2408" s="339"/>
      <c r="CR2408" s="339"/>
      <c r="CS2408" s="339"/>
      <c r="CT2408" s="339"/>
      <c r="CU2408" s="339"/>
      <c r="CV2408" s="339"/>
      <c r="CW2408" s="339"/>
      <c r="CX2408" s="339"/>
      <c r="CY2408" s="339"/>
      <c r="CZ2408" s="339"/>
      <c r="DA2408" s="339"/>
      <c r="DB2408" s="339"/>
      <c r="DC2408" s="339"/>
      <c r="DD2408" s="339"/>
      <c r="DE2408" s="339"/>
      <c r="DF2408" s="339"/>
      <c r="DG2408" s="339"/>
      <c r="DH2408" s="339"/>
    </row>
    <row r="2409">
      <c r="A2409" s="41">
        <v>2409.0</v>
      </c>
      <c r="B2409" s="53" t="s">
        <v>145</v>
      </c>
      <c r="C2409" s="338" t="s">
        <v>108</v>
      </c>
      <c r="D2409" s="338" t="s">
        <v>2623</v>
      </c>
      <c r="E2409" s="339"/>
      <c r="F2409" s="43" t="s">
        <v>14473</v>
      </c>
      <c r="G2409" s="357" t="s">
        <v>14391</v>
      </c>
      <c r="H2409" s="357" t="s">
        <v>14392</v>
      </c>
      <c r="I2409" s="1684" t="s">
        <v>14393</v>
      </c>
      <c r="J2409" s="342">
        <v>45807.0</v>
      </c>
      <c r="K2409" s="43"/>
      <c r="L2409" s="53" t="s">
        <v>14465</v>
      </c>
      <c r="M2409" s="357" t="s">
        <v>14466</v>
      </c>
      <c r="N2409" s="357" t="s">
        <v>14467</v>
      </c>
      <c r="O2409" s="53">
        <v>1.0</v>
      </c>
      <c r="P2409" s="357" t="s">
        <v>14468</v>
      </c>
      <c r="Q2409" s="101" t="str">
        <f t="array" ref="Q2409"> if(iserror(MATCH(V2409, 'File Links'!C:C, 0)), "N/A", HYPERLINK(INDEX('File Links'!B:B, MATCH(P2409, 'File Links'!C:C, 0))))</f>
        <v>https://drive.google.com/file/d/1JU5kJv0kHYoKBDth2j7wQsjJ1BK_HiIh/view?usp=drivesdk</v>
      </c>
      <c r="R2409" s="357" t="s">
        <v>14398</v>
      </c>
      <c r="S2409" s="357" t="s">
        <v>14399</v>
      </c>
      <c r="T2409" s="43"/>
      <c r="U2409" s="53">
        <v>1.0</v>
      </c>
      <c r="V2409" s="357" t="s">
        <v>14400</v>
      </c>
      <c r="W2409" s="53" t="s">
        <v>202</v>
      </c>
      <c r="X2409" s="51" t="str">
        <f t="array" ref="X2409"> if(iserror(MATCH(V2409, 'File Links'!C:C, 0)), "N/A", HYPERLINK(INDEX('File Links'!B:B, MATCH(V2409, 'File Links'!C:C, 0))))</f>
        <v>https://drive.google.com/file/d/17mZvRs3ue7pXwqu8bmIDvgNdc95PGEcV/view?usp=drivesdk</v>
      </c>
      <c r="Y2409" s="357" t="s">
        <v>131</v>
      </c>
      <c r="Z2409" s="357" t="s">
        <v>1072</v>
      </c>
      <c r="AA2409" s="357" t="s">
        <v>14474</v>
      </c>
      <c r="AB2409" s="357" t="s">
        <v>14402</v>
      </c>
      <c r="AC2409" s="357" t="s">
        <v>14474</v>
      </c>
      <c r="AD2409" s="53" t="s">
        <v>131</v>
      </c>
      <c r="AE2409" s="53" t="s">
        <v>131</v>
      </c>
      <c r="AF2409" s="354">
        <v>194.0</v>
      </c>
      <c r="AG2409" s="2083" t="s">
        <v>14475</v>
      </c>
      <c r="AH2409" s="357" t="s">
        <v>208</v>
      </c>
      <c r="AI2409" s="340" t="s">
        <v>620</v>
      </c>
      <c r="AJ2409" s="344" t="s">
        <v>131</v>
      </c>
      <c r="AK2409" s="344" t="s">
        <v>131</v>
      </c>
      <c r="AL2409" s="357" t="s">
        <v>179</v>
      </c>
      <c r="AM2409" s="357" t="s">
        <v>131</v>
      </c>
      <c r="AN2409" s="357" t="s">
        <v>131</v>
      </c>
      <c r="AO2409" s="354">
        <v>1505.0</v>
      </c>
      <c r="AP2409" s="2085">
        <v>0.3</v>
      </c>
      <c r="AQ2409" s="357" t="s">
        <v>208</v>
      </c>
      <c r="AR2409" s="357" t="s">
        <v>14406</v>
      </c>
      <c r="AS2409" s="344" t="s">
        <v>131</v>
      </c>
      <c r="AT2409" s="344" t="s">
        <v>131</v>
      </c>
      <c r="AU2409" s="43" t="s">
        <v>179</v>
      </c>
      <c r="AV2409" s="357" t="s">
        <v>130</v>
      </c>
      <c r="AW2409" s="56" t="s">
        <v>14407</v>
      </c>
      <c r="AX2409" s="357" t="s">
        <v>136</v>
      </c>
      <c r="AY2409" s="339"/>
      <c r="AZ2409" s="338" t="s">
        <v>1263</v>
      </c>
      <c r="BA2409" s="339"/>
      <c r="BB2409" s="339"/>
      <c r="BC2409" s="339"/>
      <c r="BD2409" s="339"/>
      <c r="BE2409" s="339"/>
      <c r="BF2409" s="339"/>
      <c r="BG2409" s="339"/>
      <c r="BH2409" s="339"/>
      <c r="BI2409" s="339"/>
      <c r="BJ2409" s="339"/>
      <c r="BK2409" s="339"/>
      <c r="BL2409" s="339"/>
      <c r="BM2409" s="339"/>
      <c r="BN2409" s="339"/>
      <c r="BO2409" s="339"/>
      <c r="BP2409" s="339"/>
      <c r="BQ2409" s="339"/>
      <c r="BR2409" s="339"/>
      <c r="BS2409" s="339"/>
      <c r="BT2409" s="339"/>
      <c r="BU2409" s="339"/>
      <c r="BV2409" s="339"/>
      <c r="BW2409" s="339"/>
      <c r="BX2409" s="339"/>
      <c r="BY2409" s="339"/>
      <c r="BZ2409" s="339"/>
      <c r="CA2409" s="339"/>
      <c r="CB2409" s="339"/>
      <c r="CC2409" s="339"/>
      <c r="CD2409" s="339"/>
      <c r="CE2409" s="339"/>
      <c r="CF2409" s="339"/>
      <c r="CG2409" s="339"/>
      <c r="CH2409" s="339"/>
      <c r="CI2409" s="339"/>
      <c r="CJ2409" s="339"/>
      <c r="CK2409" s="339"/>
      <c r="CL2409" s="339"/>
      <c r="CM2409" s="339"/>
      <c r="CN2409" s="339"/>
      <c r="CO2409" s="339"/>
      <c r="CP2409" s="339"/>
      <c r="CQ2409" s="339"/>
      <c r="CR2409" s="339"/>
      <c r="CS2409" s="339"/>
      <c r="CT2409" s="339"/>
      <c r="CU2409" s="339"/>
      <c r="CV2409" s="339"/>
      <c r="CW2409" s="339"/>
      <c r="CX2409" s="339"/>
      <c r="CY2409" s="339"/>
      <c r="CZ2409" s="339"/>
      <c r="DA2409" s="339"/>
      <c r="DB2409" s="339"/>
      <c r="DC2409" s="339"/>
      <c r="DD2409" s="339"/>
      <c r="DE2409" s="339"/>
      <c r="DF2409" s="339"/>
      <c r="DG2409" s="339"/>
      <c r="DH2409" s="339"/>
    </row>
    <row r="2410">
      <c r="A2410" s="41">
        <v>2410.0</v>
      </c>
      <c r="B2410" s="53" t="s">
        <v>145</v>
      </c>
      <c r="C2410" s="338" t="s">
        <v>108</v>
      </c>
      <c r="D2410" s="338" t="s">
        <v>2623</v>
      </c>
      <c r="E2410" s="339"/>
      <c r="F2410" s="43" t="s">
        <v>14476</v>
      </c>
      <c r="G2410" s="357" t="s">
        <v>14391</v>
      </c>
      <c r="H2410" s="357" t="s">
        <v>14392</v>
      </c>
      <c r="I2410" s="1684" t="s">
        <v>14393</v>
      </c>
      <c r="J2410" s="342">
        <v>45807.0</v>
      </c>
      <c r="K2410" s="43"/>
      <c r="L2410" s="53" t="s">
        <v>14465</v>
      </c>
      <c r="M2410" s="357" t="s">
        <v>14466</v>
      </c>
      <c r="N2410" s="357" t="s">
        <v>14467</v>
      </c>
      <c r="O2410" s="53">
        <v>1.0</v>
      </c>
      <c r="P2410" s="357" t="s">
        <v>14468</v>
      </c>
      <c r="Q2410" s="101" t="str">
        <f t="array" ref="Q2410"> if(iserror(MATCH(V2410, 'File Links'!C:C, 0)), "N/A", HYPERLINK(INDEX('File Links'!B:B, MATCH(P2410, 'File Links'!C:C, 0))))</f>
        <v>https://drive.google.com/file/d/1JU5kJv0kHYoKBDth2j7wQsjJ1BK_HiIh/view?usp=drivesdk</v>
      </c>
      <c r="R2410" s="357" t="s">
        <v>14398</v>
      </c>
      <c r="S2410" s="357" t="s">
        <v>14399</v>
      </c>
      <c r="T2410" s="43"/>
      <c r="U2410" s="53">
        <v>1.0</v>
      </c>
      <c r="V2410" s="357" t="s">
        <v>14400</v>
      </c>
      <c r="W2410" s="53" t="s">
        <v>202</v>
      </c>
      <c r="X2410" s="51" t="str">
        <f t="array" ref="X2410"> if(iserror(MATCH(V2410, 'File Links'!C:C, 0)), "N/A", HYPERLINK(INDEX('File Links'!B:B, MATCH(V2410, 'File Links'!C:C, 0))))</f>
        <v>https://drive.google.com/file/d/17mZvRs3ue7pXwqu8bmIDvgNdc95PGEcV/view?usp=drivesdk</v>
      </c>
      <c r="Y2410" s="357" t="s">
        <v>131</v>
      </c>
      <c r="Z2410" s="357" t="s">
        <v>1072</v>
      </c>
      <c r="AA2410" s="357" t="s">
        <v>14477</v>
      </c>
      <c r="AB2410" s="357" t="s">
        <v>14402</v>
      </c>
      <c r="AC2410" s="357" t="s">
        <v>14477</v>
      </c>
      <c r="AD2410" s="53" t="s">
        <v>131</v>
      </c>
      <c r="AE2410" s="53" t="s">
        <v>131</v>
      </c>
      <c r="AF2410" s="354">
        <v>194.0</v>
      </c>
      <c r="AG2410" s="2083" t="s">
        <v>14478</v>
      </c>
      <c r="AH2410" s="357" t="s">
        <v>208</v>
      </c>
      <c r="AI2410" s="340" t="s">
        <v>620</v>
      </c>
      <c r="AJ2410" s="344" t="s">
        <v>131</v>
      </c>
      <c r="AK2410" s="344" t="s">
        <v>131</v>
      </c>
      <c r="AL2410" s="357" t="s">
        <v>179</v>
      </c>
      <c r="AM2410" s="357" t="s">
        <v>131</v>
      </c>
      <c r="AN2410" s="357" t="s">
        <v>131</v>
      </c>
      <c r="AO2410" s="354">
        <v>1505.0</v>
      </c>
      <c r="AP2410" s="2085">
        <v>0.31</v>
      </c>
      <c r="AQ2410" s="357" t="s">
        <v>208</v>
      </c>
      <c r="AR2410" s="357" t="s">
        <v>14406</v>
      </c>
      <c r="AS2410" s="344" t="s">
        <v>131</v>
      </c>
      <c r="AT2410" s="344" t="s">
        <v>131</v>
      </c>
      <c r="AU2410" s="43" t="s">
        <v>179</v>
      </c>
      <c r="AV2410" s="357" t="s">
        <v>130</v>
      </c>
      <c r="AW2410" s="56" t="s">
        <v>14407</v>
      </c>
      <c r="AX2410" s="357" t="s">
        <v>136</v>
      </c>
      <c r="AY2410" s="339"/>
      <c r="AZ2410" s="338" t="s">
        <v>1263</v>
      </c>
      <c r="BA2410" s="339"/>
      <c r="BB2410" s="339"/>
      <c r="BC2410" s="339"/>
      <c r="BD2410" s="339"/>
      <c r="BE2410" s="339"/>
      <c r="BF2410" s="339"/>
      <c r="BG2410" s="339"/>
      <c r="BH2410" s="339"/>
      <c r="BI2410" s="339"/>
      <c r="BJ2410" s="339"/>
      <c r="BK2410" s="339"/>
      <c r="BL2410" s="339"/>
      <c r="BM2410" s="339"/>
      <c r="BN2410" s="339"/>
      <c r="BO2410" s="339"/>
      <c r="BP2410" s="339"/>
      <c r="BQ2410" s="339"/>
      <c r="BR2410" s="339"/>
      <c r="BS2410" s="339"/>
      <c r="BT2410" s="339"/>
      <c r="BU2410" s="339"/>
      <c r="BV2410" s="339"/>
      <c r="BW2410" s="339"/>
      <c r="BX2410" s="339"/>
      <c r="BY2410" s="339"/>
      <c r="BZ2410" s="339"/>
      <c r="CA2410" s="339"/>
      <c r="CB2410" s="339"/>
      <c r="CC2410" s="339"/>
      <c r="CD2410" s="339"/>
      <c r="CE2410" s="339"/>
      <c r="CF2410" s="339"/>
      <c r="CG2410" s="339"/>
      <c r="CH2410" s="339"/>
      <c r="CI2410" s="339"/>
      <c r="CJ2410" s="339"/>
      <c r="CK2410" s="339"/>
      <c r="CL2410" s="339"/>
      <c r="CM2410" s="339"/>
      <c r="CN2410" s="339"/>
      <c r="CO2410" s="339"/>
      <c r="CP2410" s="339"/>
      <c r="CQ2410" s="339"/>
      <c r="CR2410" s="339"/>
      <c r="CS2410" s="339"/>
      <c r="CT2410" s="339"/>
      <c r="CU2410" s="339"/>
      <c r="CV2410" s="339"/>
      <c r="CW2410" s="339"/>
      <c r="CX2410" s="339"/>
      <c r="CY2410" s="339"/>
      <c r="CZ2410" s="339"/>
      <c r="DA2410" s="339"/>
      <c r="DB2410" s="339"/>
      <c r="DC2410" s="339"/>
      <c r="DD2410" s="339"/>
      <c r="DE2410" s="339"/>
      <c r="DF2410" s="339"/>
      <c r="DG2410" s="339"/>
      <c r="DH2410" s="339"/>
    </row>
    <row r="2411">
      <c r="A2411" s="41">
        <v>2411.0</v>
      </c>
      <c r="B2411" s="126" t="s">
        <v>107</v>
      </c>
      <c r="C2411" s="59" t="s">
        <v>108</v>
      </c>
      <c r="D2411" s="59" t="s">
        <v>2623</v>
      </c>
      <c r="F2411" s="65" t="s">
        <v>14479</v>
      </c>
      <c r="G2411" s="156" t="s">
        <v>14391</v>
      </c>
      <c r="H2411" s="156" t="s">
        <v>14392</v>
      </c>
      <c r="I2411" s="1284" t="s">
        <v>14393</v>
      </c>
      <c r="J2411" s="150">
        <v>45807.0</v>
      </c>
      <c r="K2411" s="65"/>
      <c r="L2411" s="126" t="s">
        <v>14480</v>
      </c>
      <c r="M2411" s="156" t="s">
        <v>14481</v>
      </c>
      <c r="N2411" s="156" t="s">
        <v>14482</v>
      </c>
      <c r="O2411" s="153">
        <v>2.0</v>
      </c>
      <c r="P2411" s="379" t="s">
        <v>14483</v>
      </c>
      <c r="Q2411" s="49" t="str">
        <f t="array" ref="Q2411"> if(iserror(MATCH(V2411, 'File Links'!C:C, 0)), "N/A", HYPERLINK(INDEX('File Links'!B:B, MATCH(P2411, 'File Links'!C:C, 0))))</f>
        <v>https://drive.google.com/file/d/1KF3EmUMvFgpP_JffHNBHYjTtKalpvzRE/view?usp=drivesdk</v>
      </c>
      <c r="R2411" s="156" t="s">
        <v>14398</v>
      </c>
      <c r="S2411" s="156" t="s">
        <v>14399</v>
      </c>
      <c r="T2411" s="65"/>
      <c r="U2411" s="126">
        <v>1.0</v>
      </c>
      <c r="V2411" s="379" t="s">
        <v>14400</v>
      </c>
      <c r="W2411" s="292" t="s">
        <v>202</v>
      </c>
      <c r="X2411" s="51" t="str">
        <f t="array" ref="X2411"> if(iserror(MATCH(V2411, 'File Links'!C:C, 0)), "N/A", HYPERLINK(INDEX('File Links'!B:B, MATCH(V2411, 'File Links'!C:C, 0))))</f>
        <v>https://drive.google.com/file/d/17mZvRs3ue7pXwqu8bmIDvgNdc95PGEcV/view?usp=drivesdk</v>
      </c>
      <c r="Y2411" s="156" t="s">
        <v>131</v>
      </c>
      <c r="Z2411" s="156" t="s">
        <v>1072</v>
      </c>
      <c r="AA2411" s="156" t="s">
        <v>14484</v>
      </c>
      <c r="AB2411" s="156" t="s">
        <v>14402</v>
      </c>
      <c r="AC2411" s="156" t="s">
        <v>14485</v>
      </c>
      <c r="AD2411" s="148" t="s">
        <v>14486</v>
      </c>
      <c r="AE2411" s="158" t="s">
        <v>621</v>
      </c>
      <c r="AF2411" s="153">
        <v>1228.0</v>
      </c>
      <c r="AG2411" s="153">
        <v>0.32</v>
      </c>
      <c r="AH2411" s="156" t="s">
        <v>208</v>
      </c>
      <c r="AI2411" s="148" t="s">
        <v>14487</v>
      </c>
      <c r="AJ2411" s="333">
        <v>0.01</v>
      </c>
      <c r="AK2411" s="156" t="s">
        <v>128</v>
      </c>
      <c r="AL2411" s="478" t="s">
        <v>179</v>
      </c>
      <c r="AM2411" s="156" t="s">
        <v>130</v>
      </c>
      <c r="AN2411" s="156" t="s">
        <v>131</v>
      </c>
      <c r="AO2411" s="153">
        <v>1559.0</v>
      </c>
      <c r="AP2411" s="153">
        <v>0.37</v>
      </c>
      <c r="AQ2411" s="156" t="s">
        <v>208</v>
      </c>
      <c r="AR2411" s="156" t="s">
        <v>14406</v>
      </c>
      <c r="AS2411" s="2086">
        <v>6.33652557377656E-52</v>
      </c>
      <c r="AT2411" s="1785" t="s">
        <v>165</v>
      </c>
      <c r="AU2411" s="1784" t="s">
        <v>129</v>
      </c>
      <c r="AV2411" s="156" t="s">
        <v>130</v>
      </c>
      <c r="AW2411" s="432" t="s">
        <v>14407</v>
      </c>
      <c r="AX2411" s="156" t="s">
        <v>136</v>
      </c>
      <c r="AZ2411" s="284" t="s">
        <v>1263</v>
      </c>
    </row>
    <row r="2412">
      <c r="A2412" s="41">
        <v>2412.0</v>
      </c>
      <c r="B2412" s="126" t="s">
        <v>107</v>
      </c>
      <c r="C2412" s="59" t="s">
        <v>108</v>
      </c>
      <c r="D2412" s="59" t="s">
        <v>2623</v>
      </c>
      <c r="F2412" s="65" t="s">
        <v>14488</v>
      </c>
      <c r="G2412" s="156" t="s">
        <v>14391</v>
      </c>
      <c r="H2412" s="156" t="s">
        <v>14392</v>
      </c>
      <c r="I2412" s="1284" t="s">
        <v>14393</v>
      </c>
      <c r="J2412" s="150">
        <v>45807.0</v>
      </c>
      <c r="K2412" s="65"/>
      <c r="L2412" s="126" t="s">
        <v>14489</v>
      </c>
      <c r="M2412" s="156" t="s">
        <v>14481</v>
      </c>
      <c r="N2412" s="156" t="s">
        <v>14482</v>
      </c>
      <c r="O2412" s="153">
        <v>2.0</v>
      </c>
      <c r="P2412" s="379" t="s">
        <v>14483</v>
      </c>
      <c r="Q2412" s="49" t="str">
        <f t="array" ref="Q2412"> if(iserror(MATCH(V2412, 'File Links'!C:C, 0)), "N/A", HYPERLINK(INDEX('File Links'!B:B, MATCH(P2412, 'File Links'!C:C, 0))))</f>
        <v>https://drive.google.com/file/d/1KF3EmUMvFgpP_JffHNBHYjTtKalpvzRE/view?usp=drivesdk</v>
      </c>
      <c r="R2412" s="156" t="s">
        <v>14398</v>
      </c>
      <c r="S2412" s="156" t="s">
        <v>14399</v>
      </c>
      <c r="T2412" s="65"/>
      <c r="U2412" s="126">
        <v>1.0</v>
      </c>
      <c r="V2412" s="379" t="s">
        <v>14400</v>
      </c>
      <c r="W2412" s="292" t="s">
        <v>202</v>
      </c>
      <c r="X2412" s="51" t="str">
        <f t="array" ref="X2412"> if(iserror(MATCH(V2412, 'File Links'!C:C, 0)), "N/A", HYPERLINK(INDEX('File Links'!B:B, MATCH(V2412, 'File Links'!C:C, 0))))</f>
        <v>https://drive.google.com/file/d/17mZvRs3ue7pXwqu8bmIDvgNdc95PGEcV/view?usp=drivesdk</v>
      </c>
      <c r="Y2412" s="156" t="s">
        <v>131</v>
      </c>
      <c r="Z2412" s="156" t="s">
        <v>1072</v>
      </c>
      <c r="AA2412" s="156" t="s">
        <v>14490</v>
      </c>
      <c r="AB2412" s="156" t="s">
        <v>14402</v>
      </c>
      <c r="AC2412" s="156" t="s">
        <v>14491</v>
      </c>
      <c r="AD2412" s="148" t="s">
        <v>14492</v>
      </c>
      <c r="AE2412" s="158" t="s">
        <v>621</v>
      </c>
      <c r="AF2412" s="153">
        <v>1228.0</v>
      </c>
      <c r="AG2412" s="153">
        <v>0.41</v>
      </c>
      <c r="AH2412" s="156" t="s">
        <v>208</v>
      </c>
      <c r="AI2412" s="148" t="s">
        <v>14487</v>
      </c>
      <c r="AJ2412" s="333">
        <v>0.01</v>
      </c>
      <c r="AK2412" s="156" t="s">
        <v>128</v>
      </c>
      <c r="AL2412" s="478" t="s">
        <v>179</v>
      </c>
      <c r="AM2412" s="156" t="s">
        <v>130</v>
      </c>
      <c r="AN2412" s="156" t="s">
        <v>131</v>
      </c>
      <c r="AO2412" s="153">
        <v>1559.0</v>
      </c>
      <c r="AP2412" s="153">
        <v>0.54</v>
      </c>
      <c r="AQ2412" s="156" t="s">
        <v>208</v>
      </c>
      <c r="AR2412" s="156" t="s">
        <v>14406</v>
      </c>
      <c r="AS2412" s="2086">
        <v>3.08233450393398E-105</v>
      </c>
      <c r="AT2412" s="1785" t="s">
        <v>165</v>
      </c>
      <c r="AU2412" s="1784" t="s">
        <v>129</v>
      </c>
      <c r="AV2412" s="156" t="s">
        <v>130</v>
      </c>
      <c r="AW2412" s="432" t="s">
        <v>14407</v>
      </c>
      <c r="AX2412" s="156" t="s">
        <v>136</v>
      </c>
      <c r="AZ2412" s="284" t="s">
        <v>1263</v>
      </c>
    </row>
    <row r="2413">
      <c r="A2413" s="41">
        <v>2413.0</v>
      </c>
      <c r="B2413" s="209" t="s">
        <v>145</v>
      </c>
      <c r="C2413" s="2087" t="s">
        <v>108</v>
      </c>
      <c r="D2413" s="2087" t="s">
        <v>2623</v>
      </c>
      <c r="E2413" s="2088"/>
      <c r="F2413" s="2089" t="s">
        <v>14493</v>
      </c>
      <c r="G2413" s="2090" t="s">
        <v>14391</v>
      </c>
      <c r="H2413" s="2090" t="s">
        <v>14392</v>
      </c>
      <c r="I2413" s="2091" t="s">
        <v>14393</v>
      </c>
      <c r="J2413" s="150">
        <v>45807.0</v>
      </c>
      <c r="K2413" s="2089"/>
      <c r="L2413" s="209" t="s">
        <v>14494</v>
      </c>
      <c r="M2413" s="2090" t="s">
        <v>14495</v>
      </c>
      <c r="N2413" s="2090" t="s">
        <v>14496</v>
      </c>
      <c r="O2413" s="209">
        <v>1.0</v>
      </c>
      <c r="P2413" s="2090" t="s">
        <v>14497</v>
      </c>
      <c r="Q2413" s="2092" t="str">
        <f t="array" ref="Q2413"> if(iserror(MATCH(V2413, 'File Links'!C:C, 0)), "N/A", HYPERLINK(INDEX('File Links'!B:B, MATCH(P2413, 'File Links'!C:C, 0))))</f>
        <v>https://drive.google.com/file/d/1J_0Y3dKunmzcdm9LjbKZTpby7Qd4ipkA/view?usp=drivesdk</v>
      </c>
      <c r="R2413" s="2090" t="s">
        <v>14398</v>
      </c>
      <c r="S2413" s="2090" t="s">
        <v>14399</v>
      </c>
      <c r="T2413" s="2089"/>
      <c r="U2413" s="209">
        <v>1.0</v>
      </c>
      <c r="V2413" s="2090" t="s">
        <v>14400</v>
      </c>
      <c r="W2413" s="209" t="s">
        <v>202</v>
      </c>
      <c r="X2413" s="2093" t="str">
        <f t="array" ref="X2413"> if(iserror(MATCH(V2413, 'File Links'!C:C, 0)), "N/A", HYPERLINK(INDEX('File Links'!B:B, MATCH(V2413, 'File Links'!C:C, 0))))</f>
        <v>https://drive.google.com/file/d/17mZvRs3ue7pXwqu8bmIDvgNdc95PGEcV/view?usp=drivesdk</v>
      </c>
      <c r="Y2413" s="2090" t="s">
        <v>131</v>
      </c>
      <c r="Z2413" s="2090" t="s">
        <v>1072</v>
      </c>
      <c r="AA2413" s="2089" t="s">
        <v>14498</v>
      </c>
      <c r="AB2413" s="2090" t="s">
        <v>14402</v>
      </c>
      <c r="AC2413" s="2090" t="s">
        <v>14499</v>
      </c>
      <c r="AD2413" s="2090" t="s">
        <v>14500</v>
      </c>
      <c r="AE2413" s="2094" t="s">
        <v>210</v>
      </c>
      <c r="AF2413" s="2095">
        <v>140.0</v>
      </c>
      <c r="AG2413" s="2095">
        <v>0.58</v>
      </c>
      <c r="AH2413" s="2090" t="s">
        <v>208</v>
      </c>
      <c r="AI2413" s="1416" t="s">
        <v>14501</v>
      </c>
      <c r="AJ2413" s="2096">
        <v>0.01</v>
      </c>
      <c r="AK2413" s="2090" t="s">
        <v>128</v>
      </c>
      <c r="AL2413" s="2090" t="s">
        <v>179</v>
      </c>
      <c r="AM2413" s="2090" t="s">
        <v>130</v>
      </c>
      <c r="AN2413" s="2090" t="s">
        <v>131</v>
      </c>
      <c r="AO2413" s="2095">
        <v>1550.0</v>
      </c>
      <c r="AP2413" s="2094">
        <v>0.57</v>
      </c>
      <c r="AQ2413" s="2090" t="s">
        <v>208</v>
      </c>
      <c r="AR2413" s="2090" t="s">
        <v>14406</v>
      </c>
      <c r="AS2413" s="2097">
        <v>9.89133616410579E-76</v>
      </c>
      <c r="AT2413" s="1785" t="s">
        <v>165</v>
      </c>
      <c r="AU2413" s="2090" t="s">
        <v>129</v>
      </c>
      <c r="AV2413" s="2090" t="s">
        <v>130</v>
      </c>
      <c r="AW2413" s="2098" t="s">
        <v>14407</v>
      </c>
      <c r="AX2413" s="2090" t="s">
        <v>136</v>
      </c>
      <c r="AY2413" s="2088"/>
      <c r="AZ2413" s="284" t="s">
        <v>1263</v>
      </c>
      <c r="BA2413" s="2088"/>
      <c r="BB2413" s="2088"/>
      <c r="BC2413" s="2088"/>
      <c r="BD2413" s="2088"/>
      <c r="BE2413" s="2088"/>
      <c r="BF2413" s="2088"/>
      <c r="BG2413" s="2088"/>
      <c r="BH2413" s="2088"/>
      <c r="BI2413" s="2088"/>
      <c r="BJ2413" s="2088"/>
      <c r="BK2413" s="2088"/>
      <c r="BL2413" s="2088"/>
      <c r="BM2413" s="2088"/>
      <c r="BN2413" s="2088"/>
      <c r="BO2413" s="2088"/>
      <c r="BP2413" s="2088"/>
      <c r="BQ2413" s="2088"/>
      <c r="BR2413" s="2088"/>
      <c r="BS2413" s="2088"/>
      <c r="BT2413" s="2088"/>
      <c r="BU2413" s="2088"/>
      <c r="BV2413" s="2088"/>
      <c r="BW2413" s="2088"/>
      <c r="BX2413" s="2088"/>
      <c r="BY2413" s="2088"/>
      <c r="BZ2413" s="2088"/>
      <c r="CA2413" s="2088"/>
      <c r="CB2413" s="2088"/>
      <c r="CC2413" s="2088"/>
      <c r="CD2413" s="2088"/>
      <c r="CE2413" s="2088"/>
      <c r="CF2413" s="2088"/>
      <c r="CG2413" s="2088"/>
      <c r="CH2413" s="2088"/>
      <c r="CI2413" s="2088"/>
      <c r="CJ2413" s="2088"/>
      <c r="CK2413" s="2088"/>
      <c r="CL2413" s="2088"/>
      <c r="CM2413" s="2088"/>
      <c r="CN2413" s="2088"/>
      <c r="CO2413" s="2088"/>
      <c r="CP2413" s="2088"/>
      <c r="CQ2413" s="2088"/>
      <c r="CR2413" s="2088"/>
      <c r="CS2413" s="2088"/>
      <c r="CT2413" s="2088"/>
      <c r="CU2413" s="2088"/>
      <c r="CV2413" s="2088"/>
      <c r="CW2413" s="2088"/>
      <c r="CX2413" s="2088"/>
      <c r="CY2413" s="2088"/>
      <c r="CZ2413" s="2088"/>
      <c r="DA2413" s="2088"/>
      <c r="DB2413" s="2088"/>
      <c r="DC2413" s="2088"/>
      <c r="DD2413" s="2088"/>
      <c r="DE2413" s="2088"/>
      <c r="DF2413" s="2088"/>
      <c r="DG2413" s="2088"/>
      <c r="DH2413" s="2088"/>
    </row>
    <row r="2414">
      <c r="A2414" s="41">
        <v>2414.0</v>
      </c>
      <c r="B2414" s="126" t="s">
        <v>107</v>
      </c>
      <c r="C2414" s="59" t="s">
        <v>108</v>
      </c>
      <c r="D2414" s="59" t="s">
        <v>2623</v>
      </c>
      <c r="F2414" s="65" t="s">
        <v>14502</v>
      </c>
      <c r="G2414" s="156" t="s">
        <v>14391</v>
      </c>
      <c r="H2414" s="156" t="s">
        <v>14392</v>
      </c>
      <c r="I2414" s="1284" t="s">
        <v>14393</v>
      </c>
      <c r="J2414" s="150">
        <v>45807.0</v>
      </c>
      <c r="K2414" s="65"/>
      <c r="L2414" s="126" t="s">
        <v>14503</v>
      </c>
      <c r="M2414" s="156" t="s">
        <v>14504</v>
      </c>
      <c r="N2414" s="156" t="s">
        <v>14505</v>
      </c>
      <c r="O2414" s="126">
        <v>1.0</v>
      </c>
      <c r="P2414" s="379" t="s">
        <v>14506</v>
      </c>
      <c r="Q2414" s="49" t="str">
        <f t="array" ref="Q2414"> if(iserror(MATCH(V2414, 'File Links'!C:C, 0)), "N/A", HYPERLINK(INDEX('File Links'!B:B, MATCH(P2414, 'File Links'!C:C, 0))))</f>
        <v>https://drive.google.com/file/d/1MRe3AF5QHB9EAYy2OvHfuDzmNbF-vcva/view?usp=drivesdk</v>
      </c>
      <c r="R2414" s="156" t="s">
        <v>14398</v>
      </c>
      <c r="S2414" s="156" t="s">
        <v>14399</v>
      </c>
      <c r="T2414" s="65"/>
      <c r="U2414" s="126">
        <v>1.0</v>
      </c>
      <c r="V2414" s="379" t="s">
        <v>14400</v>
      </c>
      <c r="W2414" s="292" t="s">
        <v>202</v>
      </c>
      <c r="X2414" s="51" t="str">
        <f t="array" ref="X2414"> if(iserror(MATCH(V2414, 'File Links'!C:C, 0)), "N/A", HYPERLINK(INDEX('File Links'!B:B, MATCH(V2414, 'File Links'!C:C, 0))))</f>
        <v>https://drive.google.com/file/d/17mZvRs3ue7pXwqu8bmIDvgNdc95PGEcV/view?usp=drivesdk</v>
      </c>
      <c r="Y2414" s="156" t="s">
        <v>131</v>
      </c>
      <c r="Z2414" s="156" t="s">
        <v>1072</v>
      </c>
      <c r="AA2414" s="156" t="s">
        <v>14507</v>
      </c>
      <c r="AB2414" s="156" t="s">
        <v>14402</v>
      </c>
      <c r="AC2414" s="156" t="s">
        <v>14507</v>
      </c>
      <c r="AD2414" s="156" t="s">
        <v>14508</v>
      </c>
      <c r="AE2414" s="153">
        <v>13.0</v>
      </c>
      <c r="AF2414" s="153">
        <v>9131.0</v>
      </c>
      <c r="AG2414" s="153">
        <v>0.17</v>
      </c>
      <c r="AH2414" s="156" t="s">
        <v>208</v>
      </c>
      <c r="AI2414" s="148" t="s">
        <v>14509</v>
      </c>
      <c r="AJ2414" s="333">
        <v>0.01</v>
      </c>
      <c r="AK2414" s="156" t="s">
        <v>128</v>
      </c>
      <c r="AL2414" s="2090" t="s">
        <v>179</v>
      </c>
      <c r="AM2414" s="156" t="s">
        <v>130</v>
      </c>
      <c r="AN2414" s="156" t="s">
        <v>131</v>
      </c>
      <c r="AO2414" s="153">
        <v>1559.0</v>
      </c>
      <c r="AP2414" s="158">
        <v>0.39</v>
      </c>
      <c r="AQ2414" s="156" t="s">
        <v>208</v>
      </c>
      <c r="AR2414" s="156" t="s">
        <v>14406</v>
      </c>
      <c r="AS2414" s="344" t="s">
        <v>131</v>
      </c>
      <c r="AT2414" s="344" t="s">
        <v>131</v>
      </c>
      <c r="AU2414" s="43" t="s">
        <v>179</v>
      </c>
      <c r="AV2414" s="156" t="s">
        <v>130</v>
      </c>
      <c r="AW2414" s="432" t="s">
        <v>14407</v>
      </c>
      <c r="AX2414" s="156" t="s">
        <v>136</v>
      </c>
      <c r="AZ2414" s="284" t="s">
        <v>1263</v>
      </c>
    </row>
    <row r="2415">
      <c r="A2415" s="41">
        <v>2415.0</v>
      </c>
      <c r="B2415" s="126" t="s">
        <v>107</v>
      </c>
      <c r="C2415" s="59" t="s">
        <v>108</v>
      </c>
      <c r="D2415" s="59" t="s">
        <v>2623</v>
      </c>
      <c r="F2415" s="65" t="s">
        <v>14510</v>
      </c>
      <c r="G2415" s="156" t="s">
        <v>14391</v>
      </c>
      <c r="H2415" s="156" t="s">
        <v>14392</v>
      </c>
      <c r="I2415" s="1284" t="s">
        <v>14393</v>
      </c>
      <c r="J2415" s="150">
        <v>45807.0</v>
      </c>
      <c r="K2415" s="65"/>
      <c r="L2415" s="126" t="s">
        <v>14503</v>
      </c>
      <c r="M2415" s="156" t="s">
        <v>14504</v>
      </c>
      <c r="N2415" s="156" t="s">
        <v>14505</v>
      </c>
      <c r="O2415" s="126">
        <v>1.0</v>
      </c>
      <c r="P2415" s="379" t="s">
        <v>14506</v>
      </c>
      <c r="Q2415" s="49" t="str">
        <f t="array" ref="Q2415"> if(iserror(MATCH(V2415, 'File Links'!C:C, 0)), "N/A", HYPERLINK(INDEX('File Links'!B:B, MATCH(P2415, 'File Links'!C:C, 0))))</f>
        <v>https://drive.google.com/file/d/1MRe3AF5QHB9EAYy2OvHfuDzmNbF-vcva/view?usp=drivesdk</v>
      </c>
      <c r="R2415" s="156" t="s">
        <v>14398</v>
      </c>
      <c r="S2415" s="156" t="s">
        <v>14399</v>
      </c>
      <c r="T2415" s="65"/>
      <c r="U2415" s="126">
        <v>1.0</v>
      </c>
      <c r="V2415" s="379" t="s">
        <v>14400</v>
      </c>
      <c r="W2415" s="292" t="s">
        <v>202</v>
      </c>
      <c r="X2415" s="51" t="str">
        <f t="array" ref="X2415"> if(iserror(MATCH(V2415, 'File Links'!C:C, 0)), "N/A", HYPERLINK(INDEX('File Links'!B:B, MATCH(V2415, 'File Links'!C:C, 0))))</f>
        <v>https://drive.google.com/file/d/17mZvRs3ue7pXwqu8bmIDvgNdc95PGEcV/view?usp=drivesdk</v>
      </c>
      <c r="Y2415" s="156" t="s">
        <v>131</v>
      </c>
      <c r="Z2415" s="156" t="s">
        <v>1072</v>
      </c>
      <c r="AA2415" s="156" t="s">
        <v>14511</v>
      </c>
      <c r="AB2415" s="156" t="s">
        <v>14402</v>
      </c>
      <c r="AC2415" s="156" t="s">
        <v>14511</v>
      </c>
      <c r="AD2415" s="156" t="s">
        <v>14508</v>
      </c>
      <c r="AE2415" s="153">
        <v>13.0</v>
      </c>
      <c r="AF2415" s="153">
        <v>7869.0</v>
      </c>
      <c r="AG2415" s="153">
        <v>-0.22</v>
      </c>
      <c r="AH2415" s="156" t="s">
        <v>208</v>
      </c>
      <c r="AI2415" s="148" t="s">
        <v>14509</v>
      </c>
      <c r="AJ2415" s="333">
        <v>0.01</v>
      </c>
      <c r="AK2415" s="156" t="s">
        <v>128</v>
      </c>
      <c r="AL2415" s="2090" t="s">
        <v>179</v>
      </c>
      <c r="AM2415" s="156" t="s">
        <v>130</v>
      </c>
      <c r="AN2415" s="156" t="s">
        <v>131</v>
      </c>
      <c r="AO2415" s="153">
        <v>1559.0</v>
      </c>
      <c r="AP2415" s="158">
        <v>-0.54</v>
      </c>
      <c r="AQ2415" s="156" t="s">
        <v>208</v>
      </c>
      <c r="AR2415" s="156" t="s">
        <v>14406</v>
      </c>
      <c r="AS2415" s="344" t="s">
        <v>131</v>
      </c>
      <c r="AT2415" s="344" t="s">
        <v>131</v>
      </c>
      <c r="AU2415" s="43" t="s">
        <v>179</v>
      </c>
      <c r="AV2415" s="156" t="s">
        <v>130</v>
      </c>
      <c r="AW2415" s="432" t="s">
        <v>14407</v>
      </c>
      <c r="AX2415" s="156" t="s">
        <v>136</v>
      </c>
      <c r="AZ2415" s="284" t="s">
        <v>1263</v>
      </c>
    </row>
    <row r="2416">
      <c r="A2416" s="41">
        <v>2416.0</v>
      </c>
      <c r="B2416" s="692" t="s">
        <v>107</v>
      </c>
      <c r="C2416" s="224" t="s">
        <v>108</v>
      </c>
      <c r="D2416" s="224" t="s">
        <v>2623</v>
      </c>
      <c r="E2416" s="225"/>
      <c r="F2416" s="234" t="s">
        <v>14512</v>
      </c>
      <c r="G2416" s="232" t="s">
        <v>14391</v>
      </c>
      <c r="H2416" s="232" t="s">
        <v>14392</v>
      </c>
      <c r="I2416" s="1391" t="s">
        <v>14393</v>
      </c>
      <c r="J2416" s="150">
        <v>45807.0</v>
      </c>
      <c r="K2416" s="234"/>
      <c r="L2416" s="692" t="s">
        <v>14513</v>
      </c>
      <c r="M2416" s="232" t="s">
        <v>14514</v>
      </c>
      <c r="N2416" s="232" t="s">
        <v>14515</v>
      </c>
      <c r="O2416" s="234"/>
      <c r="P2416" s="232" t="s">
        <v>14516</v>
      </c>
      <c r="Q2416" s="1401" t="str">
        <f t="array" ref="Q2416"> if(iserror(MATCH(V2416, 'File Links'!C:C, 0)), "N/A", HYPERLINK(INDEX('File Links'!B:B, MATCH(P2416, 'File Links'!C:C, 0))))</f>
        <v>https://drive.google.com/file/d/15-Qaf3mc5XQEsuoEm8ghrVO5S8iGirFd/view?usp=drivesdk</v>
      </c>
      <c r="R2416" s="232" t="s">
        <v>14398</v>
      </c>
      <c r="S2416" s="232" t="s">
        <v>14399</v>
      </c>
      <c r="T2416" s="234"/>
      <c r="U2416" s="234"/>
      <c r="V2416" s="232" t="s">
        <v>14400</v>
      </c>
      <c r="W2416" s="692" t="s">
        <v>202</v>
      </c>
      <c r="X2416" s="1402" t="str">
        <f t="array" ref="X2416"> if(iserror(MATCH(V2416, 'File Links'!C:C, 0)), "N/A", HYPERLINK(INDEX('File Links'!B:B, MATCH(V2416, 'File Links'!C:C, 0))))</f>
        <v>https://drive.google.com/file/d/17mZvRs3ue7pXwqu8bmIDvgNdc95PGEcV/view?usp=drivesdk</v>
      </c>
      <c r="Y2416" s="231" t="s">
        <v>134</v>
      </c>
      <c r="Z2416" s="232" t="s">
        <v>1072</v>
      </c>
      <c r="AA2416" s="232" t="s">
        <v>14517</v>
      </c>
      <c r="AB2416" s="232" t="s">
        <v>14402</v>
      </c>
      <c r="AC2416" s="232" t="s">
        <v>14517</v>
      </c>
      <c r="AD2416" s="234"/>
      <c r="AE2416" s="234"/>
      <c r="AF2416" s="693">
        <v>1108.0</v>
      </c>
      <c r="AG2416" s="693">
        <v>-0.06</v>
      </c>
      <c r="AH2416" s="232" t="s">
        <v>208</v>
      </c>
      <c r="AI2416" s="232" t="s">
        <v>14518</v>
      </c>
      <c r="AJ2416" s="693">
        <v>0.05</v>
      </c>
      <c r="AK2416" s="232" t="s">
        <v>128</v>
      </c>
      <c r="AL2416" s="232" t="s">
        <v>129</v>
      </c>
      <c r="AM2416" s="232" t="s">
        <v>130</v>
      </c>
      <c r="AN2416" s="232" t="s">
        <v>131</v>
      </c>
      <c r="AO2416" s="693">
        <v>1235.0</v>
      </c>
      <c r="AP2416" s="693">
        <v>-0.04</v>
      </c>
      <c r="AQ2416" s="232" t="s">
        <v>208</v>
      </c>
      <c r="AR2416" s="232" t="s">
        <v>14406</v>
      </c>
      <c r="AS2416" s="693">
        <v>0.001</v>
      </c>
      <c r="AT2416" s="232" t="s">
        <v>128</v>
      </c>
      <c r="AU2416" s="232" t="s">
        <v>129</v>
      </c>
      <c r="AV2416" s="232" t="s">
        <v>130</v>
      </c>
      <c r="AW2416" s="2099" t="s">
        <v>14407</v>
      </c>
      <c r="AX2416" s="232" t="s">
        <v>136</v>
      </c>
      <c r="AY2416" s="225"/>
      <c r="AZ2416" s="284" t="s">
        <v>1263</v>
      </c>
      <c r="BA2416" s="225"/>
      <c r="BB2416" s="225"/>
      <c r="BC2416" s="225"/>
      <c r="BD2416" s="225"/>
      <c r="BE2416" s="225"/>
      <c r="BF2416" s="225"/>
      <c r="BG2416" s="225"/>
      <c r="BH2416" s="225"/>
      <c r="BI2416" s="225"/>
      <c r="BJ2416" s="225"/>
      <c r="BK2416" s="225"/>
      <c r="BL2416" s="225"/>
      <c r="BM2416" s="225"/>
      <c r="BN2416" s="225"/>
      <c r="BO2416" s="225"/>
      <c r="BP2416" s="225"/>
      <c r="BQ2416" s="225"/>
      <c r="BR2416" s="225"/>
      <c r="BS2416" s="225"/>
      <c r="BT2416" s="225"/>
      <c r="BU2416" s="225"/>
      <c r="BV2416" s="225"/>
      <c r="BW2416" s="225"/>
      <c r="BX2416" s="225"/>
      <c r="BY2416" s="225"/>
      <c r="BZ2416" s="225"/>
      <c r="CA2416" s="225"/>
      <c r="CB2416" s="225"/>
      <c r="CC2416" s="225"/>
      <c r="CD2416" s="225"/>
      <c r="CE2416" s="225"/>
      <c r="CF2416" s="225"/>
      <c r="CG2416" s="225"/>
      <c r="CH2416" s="225"/>
      <c r="CI2416" s="225"/>
      <c r="CJ2416" s="225"/>
      <c r="CK2416" s="225"/>
      <c r="CL2416" s="225"/>
      <c r="CM2416" s="225"/>
      <c r="CN2416" s="225"/>
      <c r="CO2416" s="225"/>
      <c r="CP2416" s="225"/>
      <c r="CQ2416" s="225"/>
      <c r="CR2416" s="225"/>
      <c r="CS2416" s="225"/>
      <c r="CT2416" s="225"/>
      <c r="CU2416" s="225"/>
      <c r="CV2416" s="225"/>
      <c r="CW2416" s="225"/>
      <c r="CX2416" s="225"/>
      <c r="CY2416" s="225"/>
      <c r="CZ2416" s="225"/>
      <c r="DA2416" s="225"/>
      <c r="DB2416" s="225"/>
      <c r="DC2416" s="225"/>
      <c r="DD2416" s="225"/>
      <c r="DE2416" s="225"/>
      <c r="DF2416" s="225"/>
      <c r="DG2416" s="225"/>
      <c r="DH2416" s="225"/>
    </row>
    <row r="2417">
      <c r="A2417" s="41">
        <v>2417.0</v>
      </c>
      <c r="B2417" s="126" t="s">
        <v>145</v>
      </c>
      <c r="C2417" s="59" t="s">
        <v>108</v>
      </c>
      <c r="D2417" s="59" t="s">
        <v>2623</v>
      </c>
      <c r="F2417" s="65" t="s">
        <v>14519</v>
      </c>
      <c r="G2417" s="156" t="s">
        <v>14391</v>
      </c>
      <c r="H2417" s="156" t="s">
        <v>14392</v>
      </c>
      <c r="I2417" s="1284" t="s">
        <v>14393</v>
      </c>
      <c r="J2417" s="150">
        <v>45807.0</v>
      </c>
      <c r="K2417" s="65"/>
      <c r="L2417" s="120" t="s">
        <v>14520</v>
      </c>
      <c r="M2417" s="156" t="s">
        <v>14521</v>
      </c>
      <c r="N2417" s="156" t="s">
        <v>14522</v>
      </c>
      <c r="O2417" s="126">
        <v>1.0</v>
      </c>
      <c r="P2417" s="379" t="s">
        <v>14523</v>
      </c>
      <c r="Q2417" s="49" t="str">
        <f t="array" ref="Q2417"> if(iserror(MATCH(V2417, 'File Links'!C:C, 0)), "N/A", HYPERLINK(INDEX('File Links'!B:B, MATCH(P2417, 'File Links'!C:C, 0))))</f>
        <v>https://drive.google.com/file/d/1LZncKWBlcPAXx3IU4UaMX86KjCorRHG5/view?usp=drivesdk</v>
      </c>
      <c r="R2417" s="156" t="s">
        <v>14398</v>
      </c>
      <c r="S2417" s="156" t="s">
        <v>14399</v>
      </c>
      <c r="T2417" s="65"/>
      <c r="U2417" s="126">
        <v>1.0</v>
      </c>
      <c r="V2417" s="379" t="s">
        <v>14400</v>
      </c>
      <c r="W2417" s="292" t="s">
        <v>202</v>
      </c>
      <c r="X2417" s="51" t="str">
        <f t="array" ref="X2417"> if(iserror(MATCH(V2417, 'File Links'!C:C, 0)), "N/A", HYPERLINK(INDEX('File Links'!B:B, MATCH(V2417, 'File Links'!C:C, 0))))</f>
        <v>https://drive.google.com/file/d/17mZvRs3ue7pXwqu8bmIDvgNdc95PGEcV/view?usp=drivesdk</v>
      </c>
      <c r="Y2417" s="156" t="s">
        <v>131</v>
      </c>
      <c r="Z2417" s="156" t="s">
        <v>1072</v>
      </c>
      <c r="AA2417" s="156" t="s">
        <v>14524</v>
      </c>
      <c r="AB2417" s="156" t="s">
        <v>14402</v>
      </c>
      <c r="AC2417" s="156" t="s">
        <v>14524</v>
      </c>
      <c r="AD2417" s="126" t="s">
        <v>14525</v>
      </c>
      <c r="AE2417" s="126" t="s">
        <v>210</v>
      </c>
      <c r="AF2417" s="153">
        <v>138.0</v>
      </c>
      <c r="AG2417" s="153">
        <v>0.19</v>
      </c>
      <c r="AH2417" s="156" t="s">
        <v>208</v>
      </c>
      <c r="AI2417" s="148" t="s">
        <v>14526</v>
      </c>
      <c r="AJ2417" s="153">
        <v>0.05</v>
      </c>
      <c r="AK2417" s="232" t="s">
        <v>128</v>
      </c>
      <c r="AL2417" s="2090" t="s">
        <v>179</v>
      </c>
      <c r="AM2417" s="156" t="s">
        <v>130</v>
      </c>
      <c r="AN2417" s="156" t="s">
        <v>131</v>
      </c>
      <c r="AO2417" s="153">
        <v>1505.0</v>
      </c>
      <c r="AP2417" s="153">
        <v>0.18</v>
      </c>
      <c r="AQ2417" s="156" t="s">
        <v>208</v>
      </c>
      <c r="AR2417" s="687" t="s">
        <v>14527</v>
      </c>
      <c r="AS2417" s="2100">
        <v>9.52825986633411E-10</v>
      </c>
      <c r="AT2417" s="1785" t="s">
        <v>165</v>
      </c>
      <c r="AU2417" s="1784" t="s">
        <v>129</v>
      </c>
      <c r="AV2417" s="156" t="s">
        <v>130</v>
      </c>
      <c r="AW2417" s="432" t="s">
        <v>14407</v>
      </c>
      <c r="AX2417" s="156" t="s">
        <v>136</v>
      </c>
      <c r="AZ2417" s="284" t="s">
        <v>1263</v>
      </c>
    </row>
    <row r="2418">
      <c r="A2418" s="41">
        <v>2418.0</v>
      </c>
      <c r="B2418" s="628" t="s">
        <v>107</v>
      </c>
      <c r="C2418" s="394" t="s">
        <v>108</v>
      </c>
      <c r="D2418" s="394" t="s">
        <v>2623</v>
      </c>
      <c r="E2418" s="217"/>
      <c r="F2418" s="395" t="s">
        <v>14528</v>
      </c>
      <c r="G2418" s="404" t="s">
        <v>14391</v>
      </c>
      <c r="H2418" s="404" t="s">
        <v>14392</v>
      </c>
      <c r="I2418" s="2101" t="s">
        <v>14393</v>
      </c>
      <c r="J2418" s="2102">
        <v>45814.0</v>
      </c>
      <c r="K2418" s="395"/>
      <c r="L2418" s="628" t="s">
        <v>14529</v>
      </c>
      <c r="M2418" s="404" t="s">
        <v>14530</v>
      </c>
      <c r="N2418" s="404" t="s">
        <v>14531</v>
      </c>
      <c r="O2418" s="628">
        <v>1.0</v>
      </c>
      <c r="P2418" s="404" t="s">
        <v>14532</v>
      </c>
      <c r="Q2418" s="879" t="str">
        <f t="array" ref="Q2418"> if(iserror(MATCH(V2418, 'File Links'!C:C, 0)), "N/A", HYPERLINK(INDEX('File Links'!B:B, MATCH(P2418, 'File Links'!C:C, 0))))</f>
        <v>https://drive.google.com/file/d/1yjPQh3Y3JQTvZt9KASbvE7xGnpHw0Txm/view?usp=drivesdk</v>
      </c>
      <c r="R2418" s="404" t="s">
        <v>14398</v>
      </c>
      <c r="S2418" s="404" t="s">
        <v>14399</v>
      </c>
      <c r="T2418" s="395"/>
      <c r="U2418" s="628">
        <v>1.0</v>
      </c>
      <c r="V2418" s="404" t="s">
        <v>14400</v>
      </c>
      <c r="W2418" s="628" t="s">
        <v>202</v>
      </c>
      <c r="X2418" s="880" t="str">
        <f t="array" ref="X2418"> if(iserror(MATCH(V2418, 'File Links'!C:C, 0)), "N/A", HYPERLINK(INDEX('File Links'!B:B, MATCH(V2418, 'File Links'!C:C, 0))))</f>
        <v>https://drive.google.com/file/d/17mZvRs3ue7pXwqu8bmIDvgNdc95PGEcV/view?usp=drivesdk</v>
      </c>
      <c r="Y2418" s="404" t="s">
        <v>131</v>
      </c>
      <c r="Z2418" s="404" t="s">
        <v>1072</v>
      </c>
      <c r="AA2418" s="404" t="s">
        <v>14533</v>
      </c>
      <c r="AB2418" s="404" t="s">
        <v>14402</v>
      </c>
      <c r="AC2418" s="404" t="s">
        <v>14533</v>
      </c>
      <c r="AD2418" s="404" t="s">
        <v>14534</v>
      </c>
      <c r="AE2418" s="725">
        <v>6.0</v>
      </c>
      <c r="AF2418" s="725">
        <v>468.0</v>
      </c>
      <c r="AG2418" s="725">
        <v>-0.22</v>
      </c>
      <c r="AH2418" s="404" t="s">
        <v>208</v>
      </c>
      <c r="AI2418" s="637" t="s">
        <v>133</v>
      </c>
      <c r="AJ2418" s="767">
        <v>0.001</v>
      </c>
      <c r="AK2418" s="404" t="s">
        <v>128</v>
      </c>
      <c r="AL2418" s="2090" t="s">
        <v>179</v>
      </c>
      <c r="AM2418" s="404" t="s">
        <v>130</v>
      </c>
      <c r="AN2418" s="404" t="s">
        <v>131</v>
      </c>
      <c r="AO2418" s="725">
        <v>1505.0</v>
      </c>
      <c r="AP2418" s="725">
        <v>-0.06</v>
      </c>
      <c r="AQ2418" s="404" t="s">
        <v>208</v>
      </c>
      <c r="AR2418" s="404" t="s">
        <v>14406</v>
      </c>
      <c r="AS2418" s="2103">
        <v>0.0132070207386067</v>
      </c>
      <c r="AT2418" s="1785" t="s">
        <v>165</v>
      </c>
      <c r="AU2418" s="404" t="s">
        <v>129</v>
      </c>
      <c r="AV2418" s="404" t="s">
        <v>130</v>
      </c>
      <c r="AW2418" s="406" t="s">
        <v>14407</v>
      </c>
      <c r="AX2418" s="404" t="s">
        <v>136</v>
      </c>
      <c r="AY2418" s="217"/>
      <c r="AZ2418" s="284" t="s">
        <v>1263</v>
      </c>
      <c r="BA2418" s="217"/>
      <c r="BB2418" s="217"/>
      <c r="BC2418" s="217"/>
      <c r="BD2418" s="217"/>
      <c r="BE2418" s="217"/>
      <c r="BF2418" s="217"/>
      <c r="BG2418" s="217"/>
      <c r="BH2418" s="217"/>
      <c r="BI2418" s="217"/>
      <c r="BJ2418" s="217"/>
      <c r="BK2418" s="217"/>
      <c r="BL2418" s="217"/>
      <c r="BM2418" s="217"/>
      <c r="BN2418" s="217"/>
      <c r="BO2418" s="217"/>
      <c r="BP2418" s="217"/>
      <c r="BQ2418" s="217"/>
      <c r="BR2418" s="217"/>
      <c r="BS2418" s="217"/>
      <c r="BT2418" s="217"/>
      <c r="BU2418" s="217"/>
      <c r="BV2418" s="217"/>
      <c r="BW2418" s="217"/>
      <c r="BX2418" s="217"/>
      <c r="BY2418" s="217"/>
      <c r="BZ2418" s="217"/>
      <c r="CA2418" s="217"/>
      <c r="CB2418" s="217"/>
      <c r="CC2418" s="217"/>
      <c r="CD2418" s="217"/>
      <c r="CE2418" s="217"/>
      <c r="CF2418" s="217"/>
      <c r="CG2418" s="217"/>
      <c r="CH2418" s="217"/>
      <c r="CI2418" s="217"/>
      <c r="CJ2418" s="217"/>
      <c r="CK2418" s="217"/>
      <c r="CL2418" s="217"/>
      <c r="CM2418" s="217"/>
      <c r="CN2418" s="217"/>
      <c r="CO2418" s="217"/>
      <c r="CP2418" s="217"/>
      <c r="CQ2418" s="217"/>
      <c r="CR2418" s="217"/>
      <c r="CS2418" s="217"/>
      <c r="CT2418" s="217"/>
      <c r="CU2418" s="217"/>
      <c r="CV2418" s="217"/>
      <c r="CW2418" s="217"/>
      <c r="CX2418" s="217"/>
      <c r="CY2418" s="217"/>
      <c r="CZ2418" s="217"/>
      <c r="DA2418" s="217"/>
      <c r="DB2418" s="217"/>
      <c r="DC2418" s="217"/>
      <c r="DD2418" s="217"/>
      <c r="DE2418" s="217"/>
      <c r="DF2418" s="217"/>
      <c r="DG2418" s="217"/>
      <c r="DH2418" s="217"/>
    </row>
    <row r="2419">
      <c r="A2419" s="41">
        <v>2419.0</v>
      </c>
      <c r="B2419" s="126" t="s">
        <v>107</v>
      </c>
      <c r="C2419" s="59" t="s">
        <v>108</v>
      </c>
      <c r="D2419" s="59" t="s">
        <v>2623</v>
      </c>
      <c r="F2419" s="65" t="s">
        <v>14535</v>
      </c>
      <c r="G2419" s="156" t="s">
        <v>14391</v>
      </c>
      <c r="H2419" s="156" t="s">
        <v>14392</v>
      </c>
      <c r="I2419" s="1284" t="s">
        <v>14393</v>
      </c>
      <c r="J2419" s="2102">
        <v>45814.0</v>
      </c>
      <c r="K2419" s="65"/>
      <c r="L2419" s="126" t="s">
        <v>14529</v>
      </c>
      <c r="M2419" s="156" t="s">
        <v>14530</v>
      </c>
      <c r="N2419" s="156" t="s">
        <v>14531</v>
      </c>
      <c r="O2419" s="126">
        <v>1.0</v>
      </c>
      <c r="P2419" s="379" t="s">
        <v>14532</v>
      </c>
      <c r="Q2419" s="49" t="str">
        <f t="array" ref="Q2419"> if(iserror(MATCH(V2419, 'File Links'!C:C, 0)), "N/A", HYPERLINK(INDEX('File Links'!B:B, MATCH(P2419, 'File Links'!C:C, 0))))</f>
        <v>https://drive.google.com/file/d/1yjPQh3Y3JQTvZt9KASbvE7xGnpHw0Txm/view?usp=drivesdk</v>
      </c>
      <c r="R2419" s="156" t="s">
        <v>14398</v>
      </c>
      <c r="S2419" s="156" t="s">
        <v>14399</v>
      </c>
      <c r="T2419" s="65"/>
      <c r="U2419" s="126">
        <v>1.0</v>
      </c>
      <c r="V2419" s="379" t="s">
        <v>14400</v>
      </c>
      <c r="W2419" s="292" t="s">
        <v>202</v>
      </c>
      <c r="X2419" s="51" t="str">
        <f t="array" ref="X2419"> if(iserror(MATCH(V2419, 'File Links'!C:C, 0)), "N/A", HYPERLINK(INDEX('File Links'!B:B, MATCH(V2419, 'File Links'!C:C, 0))))</f>
        <v>https://drive.google.com/file/d/17mZvRs3ue7pXwqu8bmIDvgNdc95PGEcV/view?usp=drivesdk</v>
      </c>
      <c r="Y2419" s="156" t="s">
        <v>131</v>
      </c>
      <c r="Z2419" s="156" t="s">
        <v>1072</v>
      </c>
      <c r="AA2419" s="156" t="s">
        <v>14536</v>
      </c>
      <c r="AB2419" s="156" t="s">
        <v>14402</v>
      </c>
      <c r="AC2419" s="156" t="s">
        <v>14536</v>
      </c>
      <c r="AD2419" s="156" t="s">
        <v>14537</v>
      </c>
      <c r="AE2419" s="153">
        <v>6.0</v>
      </c>
      <c r="AF2419" s="153">
        <v>468.0</v>
      </c>
      <c r="AG2419" s="153">
        <v>0.15</v>
      </c>
      <c r="AH2419" s="156" t="s">
        <v>208</v>
      </c>
      <c r="AI2419" s="637" t="s">
        <v>133</v>
      </c>
      <c r="AJ2419" s="1289">
        <v>0.1</v>
      </c>
      <c r="AK2419" s="156" t="s">
        <v>128</v>
      </c>
      <c r="AL2419" s="2090" t="s">
        <v>179</v>
      </c>
      <c r="AM2419" s="156" t="s">
        <v>130</v>
      </c>
      <c r="AN2419" s="156" t="s">
        <v>131</v>
      </c>
      <c r="AO2419" s="153">
        <v>1505.0</v>
      </c>
      <c r="AP2419" s="153">
        <v>0.02</v>
      </c>
      <c r="AQ2419" s="156" t="s">
        <v>208</v>
      </c>
      <c r="AR2419" s="156" t="s">
        <v>14406</v>
      </c>
      <c r="AS2419" s="2103">
        <v>0.404568083514753</v>
      </c>
      <c r="AT2419" s="1785" t="s">
        <v>165</v>
      </c>
      <c r="AU2419" s="1784" t="s">
        <v>129</v>
      </c>
      <c r="AV2419" s="156" t="s">
        <v>130</v>
      </c>
      <c r="AW2419" s="432" t="s">
        <v>14407</v>
      </c>
      <c r="AX2419" s="156" t="s">
        <v>136</v>
      </c>
      <c r="AZ2419" s="284" t="s">
        <v>1263</v>
      </c>
    </row>
    <row r="2420">
      <c r="A2420" s="41">
        <v>2420.0</v>
      </c>
      <c r="B2420" s="126" t="s">
        <v>107</v>
      </c>
      <c r="C2420" s="59" t="s">
        <v>108</v>
      </c>
      <c r="D2420" s="59" t="s">
        <v>2623</v>
      </c>
      <c r="F2420" s="65" t="s">
        <v>14538</v>
      </c>
      <c r="G2420" s="156" t="s">
        <v>14391</v>
      </c>
      <c r="H2420" s="156" t="s">
        <v>14392</v>
      </c>
      <c r="I2420" s="1284" t="s">
        <v>14393</v>
      </c>
      <c r="J2420" s="2102">
        <v>45814.0</v>
      </c>
      <c r="K2420" s="65"/>
      <c r="L2420" s="126" t="s">
        <v>14529</v>
      </c>
      <c r="M2420" s="156" t="s">
        <v>14530</v>
      </c>
      <c r="N2420" s="156" t="s">
        <v>14531</v>
      </c>
      <c r="O2420" s="126">
        <v>1.0</v>
      </c>
      <c r="P2420" s="379" t="s">
        <v>14532</v>
      </c>
      <c r="Q2420" s="49" t="str">
        <f t="array" ref="Q2420"> if(iserror(MATCH(V2420, 'File Links'!C:C, 0)), "N/A", HYPERLINK(INDEX('File Links'!B:B, MATCH(P2420, 'File Links'!C:C, 0))))</f>
        <v>https://drive.google.com/file/d/1yjPQh3Y3JQTvZt9KASbvE7xGnpHw0Txm/view?usp=drivesdk</v>
      </c>
      <c r="R2420" s="156" t="s">
        <v>14398</v>
      </c>
      <c r="S2420" s="156" t="s">
        <v>14399</v>
      </c>
      <c r="T2420" s="65"/>
      <c r="U2420" s="126">
        <v>1.0</v>
      </c>
      <c r="V2420" s="379" t="s">
        <v>14400</v>
      </c>
      <c r="W2420" s="292" t="s">
        <v>202</v>
      </c>
      <c r="X2420" s="51" t="str">
        <f t="array" ref="X2420"> if(iserror(MATCH(V2420, 'File Links'!C:C, 0)), "N/A", HYPERLINK(INDEX('File Links'!B:B, MATCH(V2420, 'File Links'!C:C, 0))))</f>
        <v>https://drive.google.com/file/d/17mZvRs3ue7pXwqu8bmIDvgNdc95PGEcV/view?usp=drivesdk</v>
      </c>
      <c r="Y2420" s="156" t="s">
        <v>131</v>
      </c>
      <c r="Z2420" s="156" t="s">
        <v>1072</v>
      </c>
      <c r="AA2420" s="156" t="s">
        <v>14539</v>
      </c>
      <c r="AB2420" s="156" t="s">
        <v>14402</v>
      </c>
      <c r="AC2420" s="156" t="s">
        <v>14539</v>
      </c>
      <c r="AD2420" s="148" t="s">
        <v>14540</v>
      </c>
      <c r="AE2420" s="153">
        <v>6.0</v>
      </c>
      <c r="AF2420" s="153">
        <v>468.0</v>
      </c>
      <c r="AG2420" s="153">
        <v>0.17</v>
      </c>
      <c r="AH2420" s="156" t="s">
        <v>208</v>
      </c>
      <c r="AI2420" s="637" t="s">
        <v>133</v>
      </c>
      <c r="AJ2420" s="153">
        <v>0.001</v>
      </c>
      <c r="AK2420" s="156" t="s">
        <v>128</v>
      </c>
      <c r="AL2420" s="2090" t="s">
        <v>179</v>
      </c>
      <c r="AM2420" s="156" t="s">
        <v>130</v>
      </c>
      <c r="AN2420" s="156" t="s">
        <v>131</v>
      </c>
      <c r="AO2420" s="153">
        <v>1505.0</v>
      </c>
      <c r="AP2420" s="153">
        <v>0.31</v>
      </c>
      <c r="AQ2420" s="156" t="s">
        <v>208</v>
      </c>
      <c r="AR2420" s="156" t="s">
        <v>14406</v>
      </c>
      <c r="AS2420" s="2103">
        <v>3.92302815609495E-34</v>
      </c>
      <c r="AT2420" s="1785" t="s">
        <v>165</v>
      </c>
      <c r="AU2420" s="1784" t="s">
        <v>129</v>
      </c>
      <c r="AV2420" s="156" t="s">
        <v>130</v>
      </c>
      <c r="AW2420" s="432" t="s">
        <v>14407</v>
      </c>
      <c r="AX2420" s="156" t="s">
        <v>136</v>
      </c>
      <c r="AZ2420" s="284" t="s">
        <v>1263</v>
      </c>
    </row>
    <row r="2421">
      <c r="A2421" s="41">
        <v>2421.0</v>
      </c>
      <c r="B2421" s="126" t="s">
        <v>107</v>
      </c>
      <c r="C2421" s="59" t="s">
        <v>108</v>
      </c>
      <c r="D2421" s="59" t="s">
        <v>2623</v>
      </c>
      <c r="F2421" s="65" t="s">
        <v>14541</v>
      </c>
      <c r="G2421" s="156" t="s">
        <v>14391</v>
      </c>
      <c r="H2421" s="156" t="s">
        <v>14392</v>
      </c>
      <c r="I2421" s="1284" t="s">
        <v>14393</v>
      </c>
      <c r="J2421" s="2102">
        <v>45814.0</v>
      </c>
      <c r="K2421" s="65"/>
      <c r="L2421" s="126" t="s">
        <v>14542</v>
      </c>
      <c r="M2421" s="156" t="s">
        <v>14530</v>
      </c>
      <c r="N2421" s="156" t="s">
        <v>14531</v>
      </c>
      <c r="O2421" s="126">
        <v>1.0</v>
      </c>
      <c r="P2421" s="379" t="s">
        <v>14532</v>
      </c>
      <c r="Q2421" s="49" t="str">
        <f t="array" ref="Q2421"> if(iserror(MATCH(V2421, 'File Links'!C:C, 0)), "N/A", HYPERLINK(INDEX('File Links'!B:B, MATCH(P2421, 'File Links'!C:C, 0))))</f>
        <v>https://drive.google.com/file/d/1yjPQh3Y3JQTvZt9KASbvE7xGnpHw0Txm/view?usp=drivesdk</v>
      </c>
      <c r="R2421" s="156" t="s">
        <v>14398</v>
      </c>
      <c r="S2421" s="156" t="s">
        <v>14399</v>
      </c>
      <c r="T2421" s="65"/>
      <c r="U2421" s="126">
        <v>1.0</v>
      </c>
      <c r="V2421" s="379" t="s">
        <v>14400</v>
      </c>
      <c r="W2421" s="292" t="s">
        <v>202</v>
      </c>
      <c r="X2421" s="51" t="str">
        <f t="array" ref="X2421"> if(iserror(MATCH(V2421, 'File Links'!C:C, 0)), "N/A", HYPERLINK(INDEX('File Links'!B:B, MATCH(V2421, 'File Links'!C:C, 0))))</f>
        <v>https://drive.google.com/file/d/17mZvRs3ue7pXwqu8bmIDvgNdc95PGEcV/view?usp=drivesdk</v>
      </c>
      <c r="Y2421" s="156" t="s">
        <v>131</v>
      </c>
      <c r="Z2421" s="156" t="s">
        <v>1072</v>
      </c>
      <c r="AA2421" s="156" t="s">
        <v>14543</v>
      </c>
      <c r="AB2421" s="156" t="s">
        <v>14402</v>
      </c>
      <c r="AC2421" s="156" t="s">
        <v>14543</v>
      </c>
      <c r="AD2421" s="148" t="s">
        <v>14544</v>
      </c>
      <c r="AE2421" s="153">
        <v>6.0</v>
      </c>
      <c r="AF2421" s="153">
        <v>468.0</v>
      </c>
      <c r="AG2421" s="153">
        <v>-0.19</v>
      </c>
      <c r="AH2421" s="156" t="s">
        <v>208</v>
      </c>
      <c r="AI2421" s="637" t="s">
        <v>133</v>
      </c>
      <c r="AJ2421" s="153">
        <v>0.001</v>
      </c>
      <c r="AK2421" s="156" t="s">
        <v>128</v>
      </c>
      <c r="AL2421" s="2090" t="s">
        <v>179</v>
      </c>
      <c r="AM2421" s="156" t="s">
        <v>130</v>
      </c>
      <c r="AN2421" s="156" t="s">
        <v>131</v>
      </c>
      <c r="AO2421" s="153">
        <v>1505.0</v>
      </c>
      <c r="AP2421" s="153">
        <v>-0.13</v>
      </c>
      <c r="AQ2421" s="156" t="s">
        <v>208</v>
      </c>
      <c r="AR2421" s="156" t="s">
        <v>14406</v>
      </c>
      <c r="AS2421" s="2103">
        <v>1.00924446171511E-6</v>
      </c>
      <c r="AT2421" s="1785" t="s">
        <v>165</v>
      </c>
      <c r="AU2421" s="1784" t="s">
        <v>129</v>
      </c>
      <c r="AV2421" s="156" t="s">
        <v>130</v>
      </c>
      <c r="AW2421" s="432" t="s">
        <v>14407</v>
      </c>
      <c r="AX2421" s="156" t="s">
        <v>136</v>
      </c>
      <c r="AZ2421" s="284" t="s">
        <v>1263</v>
      </c>
    </row>
    <row r="2422">
      <c r="A2422" s="41">
        <v>2422.0</v>
      </c>
      <c r="B2422" s="628" t="s">
        <v>107</v>
      </c>
      <c r="C2422" s="394" t="s">
        <v>108</v>
      </c>
      <c r="D2422" s="394" t="s">
        <v>2623</v>
      </c>
      <c r="E2422" s="217"/>
      <c r="F2422" s="395" t="s">
        <v>14545</v>
      </c>
      <c r="G2422" s="404" t="s">
        <v>14391</v>
      </c>
      <c r="H2422" s="404" t="s">
        <v>14392</v>
      </c>
      <c r="I2422" s="2101" t="s">
        <v>14393</v>
      </c>
      <c r="J2422" s="2102">
        <v>45814.0</v>
      </c>
      <c r="K2422" s="395"/>
      <c r="L2422" s="628" t="s">
        <v>14529</v>
      </c>
      <c r="M2422" s="404" t="s">
        <v>14530</v>
      </c>
      <c r="N2422" s="404" t="s">
        <v>14531</v>
      </c>
      <c r="O2422" s="628">
        <v>1.0</v>
      </c>
      <c r="P2422" s="404" t="s">
        <v>14532</v>
      </c>
      <c r="Q2422" s="879" t="str">
        <f t="array" ref="Q2422"> if(iserror(MATCH(V2422, 'File Links'!C:C, 0)), "N/A", HYPERLINK(INDEX('File Links'!B:B, MATCH(P2422, 'File Links'!C:C, 0))))</f>
        <v>https://drive.google.com/file/d/1yjPQh3Y3JQTvZt9KASbvE7xGnpHw0Txm/view?usp=drivesdk</v>
      </c>
      <c r="R2422" s="404" t="s">
        <v>14398</v>
      </c>
      <c r="S2422" s="404" t="s">
        <v>14399</v>
      </c>
      <c r="T2422" s="395"/>
      <c r="U2422" s="628">
        <v>1.0</v>
      </c>
      <c r="V2422" s="404" t="s">
        <v>14400</v>
      </c>
      <c r="W2422" s="628" t="s">
        <v>202</v>
      </c>
      <c r="X2422" s="880" t="str">
        <f t="array" ref="X2422"> if(iserror(MATCH(V2422, 'File Links'!C:C, 0)), "N/A", HYPERLINK(INDEX('File Links'!B:B, MATCH(V2422, 'File Links'!C:C, 0))))</f>
        <v>https://drive.google.com/file/d/17mZvRs3ue7pXwqu8bmIDvgNdc95PGEcV/view?usp=drivesdk</v>
      </c>
      <c r="Y2422" s="404" t="s">
        <v>131</v>
      </c>
      <c r="Z2422" s="404" t="s">
        <v>1072</v>
      </c>
      <c r="AA2422" s="404" t="s">
        <v>14546</v>
      </c>
      <c r="AB2422" s="404" t="s">
        <v>14402</v>
      </c>
      <c r="AC2422" s="404" t="s">
        <v>14546</v>
      </c>
      <c r="AD2422" s="637" t="s">
        <v>14547</v>
      </c>
      <c r="AE2422" s="725">
        <v>6.0</v>
      </c>
      <c r="AF2422" s="725">
        <v>468.0</v>
      </c>
      <c r="AG2422" s="2104">
        <v>0.2</v>
      </c>
      <c r="AH2422" s="404" t="s">
        <v>208</v>
      </c>
      <c r="AI2422" s="637" t="s">
        <v>133</v>
      </c>
      <c r="AJ2422" s="725">
        <v>0.001</v>
      </c>
      <c r="AK2422" s="404" t="s">
        <v>128</v>
      </c>
      <c r="AL2422" s="2090" t="s">
        <v>179</v>
      </c>
      <c r="AM2422" s="404" t="s">
        <v>130</v>
      </c>
      <c r="AN2422" s="404" t="s">
        <v>131</v>
      </c>
      <c r="AO2422" s="725">
        <v>1505.0</v>
      </c>
      <c r="AP2422" s="725">
        <v>0.31</v>
      </c>
      <c r="AQ2422" s="404" t="s">
        <v>208</v>
      </c>
      <c r="AR2422" s="404" t="s">
        <v>14406</v>
      </c>
      <c r="AS2422" s="2103">
        <v>2.09847944447644E-20</v>
      </c>
      <c r="AT2422" s="1785" t="s">
        <v>165</v>
      </c>
      <c r="AU2422" s="404" t="s">
        <v>129</v>
      </c>
      <c r="AV2422" s="404" t="s">
        <v>130</v>
      </c>
      <c r="AW2422" s="406" t="s">
        <v>14407</v>
      </c>
      <c r="AX2422" s="404" t="s">
        <v>136</v>
      </c>
      <c r="AY2422" s="217"/>
      <c r="AZ2422" s="284" t="s">
        <v>1263</v>
      </c>
      <c r="BA2422" s="217"/>
      <c r="BB2422" s="217"/>
      <c r="BC2422" s="217"/>
      <c r="BD2422" s="217"/>
      <c r="BE2422" s="217"/>
      <c r="BF2422" s="217"/>
      <c r="BG2422" s="217"/>
      <c r="BH2422" s="217"/>
      <c r="BI2422" s="217"/>
      <c r="BJ2422" s="217"/>
      <c r="BK2422" s="217"/>
      <c r="BL2422" s="217"/>
      <c r="BM2422" s="217"/>
      <c r="BN2422" s="217"/>
      <c r="BO2422" s="217"/>
      <c r="BP2422" s="217"/>
      <c r="BQ2422" s="217"/>
      <c r="BR2422" s="217"/>
      <c r="BS2422" s="217"/>
      <c r="BT2422" s="217"/>
      <c r="BU2422" s="217"/>
      <c r="BV2422" s="217"/>
      <c r="BW2422" s="217"/>
      <c r="BX2422" s="217"/>
      <c r="BY2422" s="217"/>
      <c r="BZ2422" s="217"/>
      <c r="CA2422" s="217"/>
      <c r="CB2422" s="217"/>
      <c r="CC2422" s="217"/>
      <c r="CD2422" s="217"/>
      <c r="CE2422" s="217"/>
      <c r="CF2422" s="217"/>
      <c r="CG2422" s="217"/>
      <c r="CH2422" s="217"/>
      <c r="CI2422" s="217"/>
      <c r="CJ2422" s="217"/>
      <c r="CK2422" s="217"/>
      <c r="CL2422" s="217"/>
      <c r="CM2422" s="217"/>
      <c r="CN2422" s="217"/>
      <c r="CO2422" s="217"/>
      <c r="CP2422" s="217"/>
      <c r="CQ2422" s="217"/>
      <c r="CR2422" s="217"/>
      <c r="CS2422" s="217"/>
      <c r="CT2422" s="217"/>
      <c r="CU2422" s="217"/>
      <c r="CV2422" s="217"/>
      <c r="CW2422" s="217"/>
      <c r="CX2422" s="217"/>
      <c r="CY2422" s="217"/>
      <c r="CZ2422" s="217"/>
      <c r="DA2422" s="217"/>
      <c r="DB2422" s="217"/>
      <c r="DC2422" s="217"/>
      <c r="DD2422" s="217"/>
      <c r="DE2422" s="217"/>
      <c r="DF2422" s="217"/>
      <c r="DG2422" s="217"/>
      <c r="DH2422" s="217"/>
    </row>
    <row r="2423">
      <c r="A2423" s="41">
        <v>2423.0</v>
      </c>
      <c r="B2423" s="126" t="s">
        <v>107</v>
      </c>
      <c r="C2423" s="59" t="s">
        <v>108</v>
      </c>
      <c r="D2423" s="59" t="s">
        <v>2623</v>
      </c>
      <c r="F2423" s="156" t="s">
        <v>14548</v>
      </c>
      <c r="G2423" s="156" t="s">
        <v>14391</v>
      </c>
      <c r="H2423" s="156" t="s">
        <v>14392</v>
      </c>
      <c r="I2423" s="1284" t="s">
        <v>14393</v>
      </c>
      <c r="J2423" s="2102">
        <v>45814.0</v>
      </c>
      <c r="K2423" s="65"/>
      <c r="L2423" s="126" t="s">
        <v>14549</v>
      </c>
      <c r="M2423" s="156" t="s">
        <v>14550</v>
      </c>
      <c r="N2423" s="156" t="s">
        <v>14551</v>
      </c>
      <c r="O2423" s="126">
        <v>1.0</v>
      </c>
      <c r="P2423" s="379" t="s">
        <v>14552</v>
      </c>
      <c r="Q2423" s="49" t="str">
        <f t="array" ref="Q2423"> if(iserror(MATCH(V2423, 'File Links'!C:C, 0)), "N/A", HYPERLINK(INDEX('File Links'!B:B, MATCH(P2423, 'File Links'!C:C, 0))))</f>
        <v>https://drive.google.com/file/d/1Jok6c7VCZtMN99P6fMSmmpu_xIq7tlFM/view?usp=drivesdk</v>
      </c>
      <c r="R2423" s="156" t="s">
        <v>14398</v>
      </c>
      <c r="S2423" s="156" t="s">
        <v>14399</v>
      </c>
      <c r="T2423" s="65"/>
      <c r="U2423" s="126">
        <v>1.0</v>
      </c>
      <c r="V2423" s="379" t="s">
        <v>14400</v>
      </c>
      <c r="W2423" s="292" t="s">
        <v>202</v>
      </c>
      <c r="X2423" s="51" t="str">
        <f t="array" ref="X2423"> if(iserror(MATCH(V2423, 'File Links'!C:C, 0)), "N/A", HYPERLINK(INDEX('File Links'!B:B, MATCH(V2423, 'File Links'!C:C, 0))))</f>
        <v>https://drive.google.com/file/d/17mZvRs3ue7pXwqu8bmIDvgNdc95PGEcV/view?usp=drivesdk</v>
      </c>
      <c r="Y2423" s="156" t="s">
        <v>131</v>
      </c>
      <c r="Z2423" s="156" t="s">
        <v>1072</v>
      </c>
      <c r="AA2423" s="156" t="s">
        <v>14553</v>
      </c>
      <c r="AB2423" s="156" t="s">
        <v>14402</v>
      </c>
      <c r="AC2423" s="156" t="s">
        <v>14553</v>
      </c>
      <c r="AD2423" s="148" t="s">
        <v>14554</v>
      </c>
      <c r="AE2423" s="153">
        <v>11.0</v>
      </c>
      <c r="AF2423" s="153">
        <v>198.0</v>
      </c>
      <c r="AG2423" s="153">
        <v>0.29</v>
      </c>
      <c r="AH2423" s="156" t="s">
        <v>208</v>
      </c>
      <c r="AI2423" s="148" t="s">
        <v>300</v>
      </c>
      <c r="AJ2423" s="725">
        <v>0.001</v>
      </c>
      <c r="AK2423" s="156" t="s">
        <v>128</v>
      </c>
      <c r="AL2423" s="2090" t="s">
        <v>179</v>
      </c>
      <c r="AM2423" s="156" t="s">
        <v>130</v>
      </c>
      <c r="AN2423" s="156" t="s">
        <v>131</v>
      </c>
      <c r="AO2423" s="153">
        <v>1550.0</v>
      </c>
      <c r="AP2423" s="158">
        <v>0.25</v>
      </c>
      <c r="AQ2423" s="156" t="s">
        <v>208</v>
      </c>
      <c r="AR2423" s="156" t="s">
        <v>14406</v>
      </c>
      <c r="AS2423" s="344" t="s">
        <v>131</v>
      </c>
      <c r="AT2423" s="344" t="s">
        <v>131</v>
      </c>
      <c r="AU2423" s="43" t="s">
        <v>179</v>
      </c>
      <c r="AV2423" s="156" t="s">
        <v>130</v>
      </c>
      <c r="AW2423" s="432" t="s">
        <v>14407</v>
      </c>
      <c r="AX2423" s="156" t="s">
        <v>136</v>
      </c>
      <c r="AZ2423" s="284" t="s">
        <v>1263</v>
      </c>
    </row>
    <row r="2424">
      <c r="A2424" s="41">
        <v>2424.0</v>
      </c>
      <c r="B2424" s="126" t="s">
        <v>107</v>
      </c>
      <c r="C2424" s="59" t="s">
        <v>108</v>
      </c>
      <c r="D2424" s="59" t="s">
        <v>2623</v>
      </c>
      <c r="F2424" s="156" t="s">
        <v>14555</v>
      </c>
      <c r="G2424" s="156" t="s">
        <v>14391</v>
      </c>
      <c r="H2424" s="156" t="s">
        <v>14392</v>
      </c>
      <c r="I2424" s="1284" t="s">
        <v>14393</v>
      </c>
      <c r="J2424" s="2102">
        <v>45814.0</v>
      </c>
      <c r="K2424" s="65"/>
      <c r="L2424" s="126" t="s">
        <v>14549</v>
      </c>
      <c r="M2424" s="156" t="s">
        <v>14550</v>
      </c>
      <c r="N2424" s="156" t="s">
        <v>14551</v>
      </c>
      <c r="O2424" s="126">
        <v>1.0</v>
      </c>
      <c r="P2424" s="379" t="s">
        <v>14552</v>
      </c>
      <c r="Q2424" s="49" t="str">
        <f t="array" ref="Q2424"> if(iserror(MATCH(V2424, 'File Links'!C:C, 0)), "N/A", HYPERLINK(INDEX('File Links'!B:B, MATCH(P2424, 'File Links'!C:C, 0))))</f>
        <v>https://drive.google.com/file/d/1Jok6c7VCZtMN99P6fMSmmpu_xIq7tlFM/view?usp=drivesdk</v>
      </c>
      <c r="R2424" s="156" t="s">
        <v>14398</v>
      </c>
      <c r="S2424" s="156" t="s">
        <v>14399</v>
      </c>
      <c r="T2424" s="65"/>
      <c r="U2424" s="126">
        <v>1.0</v>
      </c>
      <c r="V2424" s="379" t="s">
        <v>14400</v>
      </c>
      <c r="W2424" s="292" t="s">
        <v>202</v>
      </c>
      <c r="X2424" s="51" t="str">
        <f t="array" ref="X2424"> if(iserror(MATCH(V2424, 'File Links'!C:C, 0)), "N/A", HYPERLINK(INDEX('File Links'!B:B, MATCH(V2424, 'File Links'!C:C, 0))))</f>
        <v>https://drive.google.com/file/d/17mZvRs3ue7pXwqu8bmIDvgNdc95PGEcV/view?usp=drivesdk</v>
      </c>
      <c r="Y2424" s="156" t="s">
        <v>131</v>
      </c>
      <c r="Z2424" s="156" t="s">
        <v>1072</v>
      </c>
      <c r="AA2424" s="156" t="s">
        <v>14556</v>
      </c>
      <c r="AB2424" s="156" t="s">
        <v>14402</v>
      </c>
      <c r="AC2424" s="156" t="s">
        <v>14556</v>
      </c>
      <c r="AD2424" s="148" t="s">
        <v>14557</v>
      </c>
      <c r="AE2424" s="153">
        <v>10.0</v>
      </c>
      <c r="AF2424" s="153">
        <v>198.0</v>
      </c>
      <c r="AG2424" s="153">
        <v>-0.17</v>
      </c>
      <c r="AH2424" s="156" t="s">
        <v>208</v>
      </c>
      <c r="AI2424" s="148" t="s">
        <v>625</v>
      </c>
      <c r="AJ2424" s="725">
        <v>0.001</v>
      </c>
      <c r="AK2424" s="156" t="s">
        <v>128</v>
      </c>
      <c r="AL2424" s="2090" t="s">
        <v>179</v>
      </c>
      <c r="AM2424" s="156" t="s">
        <v>130</v>
      </c>
      <c r="AN2424" s="156" t="s">
        <v>131</v>
      </c>
      <c r="AO2424" s="153">
        <v>1550.0</v>
      </c>
      <c r="AP2424" s="158">
        <v>-0.35</v>
      </c>
      <c r="AQ2424" s="156" t="s">
        <v>208</v>
      </c>
      <c r="AR2424" s="156" t="s">
        <v>14406</v>
      </c>
      <c r="AS2424" s="344" t="s">
        <v>131</v>
      </c>
      <c r="AT2424" s="344" t="s">
        <v>131</v>
      </c>
      <c r="AU2424" s="43" t="s">
        <v>179</v>
      </c>
      <c r="AV2424" s="156" t="s">
        <v>130</v>
      </c>
      <c r="AW2424" s="432" t="s">
        <v>14407</v>
      </c>
      <c r="AX2424" s="156" t="s">
        <v>136</v>
      </c>
      <c r="AZ2424" s="284" t="s">
        <v>1263</v>
      </c>
    </row>
    <row r="2425">
      <c r="A2425" s="41">
        <v>2425.0</v>
      </c>
      <c r="B2425" s="126" t="s">
        <v>107</v>
      </c>
      <c r="C2425" s="59" t="s">
        <v>108</v>
      </c>
      <c r="D2425" s="59" t="s">
        <v>2623</v>
      </c>
      <c r="F2425" s="156" t="s">
        <v>14558</v>
      </c>
      <c r="G2425" s="156" t="s">
        <v>14391</v>
      </c>
      <c r="H2425" s="156" t="s">
        <v>14392</v>
      </c>
      <c r="I2425" s="1284" t="s">
        <v>14393</v>
      </c>
      <c r="J2425" s="2102">
        <v>45814.0</v>
      </c>
      <c r="K2425" s="65"/>
      <c r="L2425" s="126" t="s">
        <v>14559</v>
      </c>
      <c r="M2425" s="156" t="s">
        <v>14560</v>
      </c>
      <c r="N2425" s="156" t="s">
        <v>14561</v>
      </c>
      <c r="O2425" s="126">
        <v>1.0</v>
      </c>
      <c r="P2425" s="379" t="s">
        <v>14562</v>
      </c>
      <c r="Q2425" s="49" t="str">
        <f t="array" ref="Q2425"> if(iserror(MATCH(V2425, 'File Links'!C:C, 0)), "N/A", HYPERLINK(INDEX('File Links'!B:B, MATCH(P2425, 'File Links'!C:C, 0))))</f>
        <v>https://drive.google.com/file/d/1-pDt7XIQ8gHle_zOW9q4-7M5_5yCo3db/view?usp=drivesdk</v>
      </c>
      <c r="R2425" s="156" t="s">
        <v>14398</v>
      </c>
      <c r="S2425" s="156" t="s">
        <v>14399</v>
      </c>
      <c r="T2425" s="65"/>
      <c r="U2425" s="126">
        <v>1.0</v>
      </c>
      <c r="V2425" s="379" t="s">
        <v>14400</v>
      </c>
      <c r="W2425" s="292" t="s">
        <v>202</v>
      </c>
      <c r="X2425" s="51" t="str">
        <f t="array" ref="X2425"> if(iserror(MATCH(V2425, 'File Links'!C:C, 0)), "N/A", HYPERLINK(INDEX('File Links'!B:B, MATCH(V2425, 'File Links'!C:C, 0))))</f>
        <v>https://drive.google.com/file/d/17mZvRs3ue7pXwqu8bmIDvgNdc95PGEcV/view?usp=drivesdk</v>
      </c>
      <c r="Y2425" s="156" t="s">
        <v>131</v>
      </c>
      <c r="Z2425" s="156" t="s">
        <v>1072</v>
      </c>
      <c r="AA2425" s="156" t="s">
        <v>14563</v>
      </c>
      <c r="AB2425" s="156" t="s">
        <v>14402</v>
      </c>
      <c r="AC2425" s="156" t="s">
        <v>14563</v>
      </c>
      <c r="AD2425" s="148" t="s">
        <v>14564</v>
      </c>
      <c r="AE2425" s="126">
        <v>9.0</v>
      </c>
      <c r="AF2425" s="153">
        <v>111.0</v>
      </c>
      <c r="AG2425" s="153">
        <v>0.22</v>
      </c>
      <c r="AH2425" s="156" t="s">
        <v>208</v>
      </c>
      <c r="AI2425" s="148" t="s">
        <v>14565</v>
      </c>
      <c r="AJ2425" s="498">
        <v>0.05</v>
      </c>
      <c r="AK2425" s="156" t="s">
        <v>128</v>
      </c>
      <c r="AL2425" s="2090" t="s">
        <v>179</v>
      </c>
      <c r="AM2425" s="156" t="s">
        <v>130</v>
      </c>
      <c r="AN2425" s="156" t="s">
        <v>131</v>
      </c>
      <c r="AO2425" s="153">
        <v>804.0</v>
      </c>
      <c r="AP2425" s="158">
        <v>-0.57</v>
      </c>
      <c r="AQ2425" s="156" t="s">
        <v>354</v>
      </c>
      <c r="AR2425" s="156" t="s">
        <v>14406</v>
      </c>
      <c r="AS2425" s="344" t="s">
        <v>131</v>
      </c>
      <c r="AT2425" s="344" t="s">
        <v>131</v>
      </c>
      <c r="AU2425" s="43" t="s">
        <v>179</v>
      </c>
      <c r="AV2425" s="156" t="s">
        <v>130</v>
      </c>
      <c r="AW2425" s="432" t="s">
        <v>14407</v>
      </c>
      <c r="AX2425" s="156" t="s">
        <v>136</v>
      </c>
      <c r="AZ2425" s="284" t="s">
        <v>1263</v>
      </c>
    </row>
    <row r="2426">
      <c r="A2426" s="41">
        <v>2426.0</v>
      </c>
      <c r="B2426" s="126" t="s">
        <v>107</v>
      </c>
      <c r="C2426" s="59" t="s">
        <v>108</v>
      </c>
      <c r="D2426" s="59" t="s">
        <v>2623</v>
      </c>
      <c r="F2426" s="156" t="s">
        <v>14566</v>
      </c>
      <c r="G2426" s="156" t="s">
        <v>14391</v>
      </c>
      <c r="H2426" s="156" t="s">
        <v>14392</v>
      </c>
      <c r="I2426" s="1284" t="s">
        <v>14393</v>
      </c>
      <c r="J2426" s="2102">
        <v>45814.0</v>
      </c>
      <c r="K2426" s="65"/>
      <c r="L2426" s="126" t="s">
        <v>14559</v>
      </c>
      <c r="M2426" s="156" t="s">
        <v>14560</v>
      </c>
      <c r="N2426" s="156" t="s">
        <v>14561</v>
      </c>
      <c r="O2426" s="126">
        <v>1.0</v>
      </c>
      <c r="P2426" s="379" t="s">
        <v>14562</v>
      </c>
      <c r="Q2426" s="49" t="str">
        <f t="array" ref="Q2426"> if(iserror(MATCH(V2426, 'File Links'!C:C, 0)), "N/A", HYPERLINK(INDEX('File Links'!B:B, MATCH(P2426, 'File Links'!C:C, 0))))</f>
        <v>https://drive.google.com/file/d/1-pDt7XIQ8gHle_zOW9q4-7M5_5yCo3db/view?usp=drivesdk</v>
      </c>
      <c r="R2426" s="156" t="s">
        <v>14398</v>
      </c>
      <c r="S2426" s="156" t="s">
        <v>14399</v>
      </c>
      <c r="T2426" s="65"/>
      <c r="U2426" s="126">
        <v>1.0</v>
      </c>
      <c r="V2426" s="379" t="s">
        <v>14400</v>
      </c>
      <c r="W2426" s="292" t="s">
        <v>202</v>
      </c>
      <c r="X2426" s="51" t="str">
        <f t="array" ref="X2426"> if(iserror(MATCH(V2426, 'File Links'!C:C, 0)), "N/A", HYPERLINK(INDEX('File Links'!B:B, MATCH(V2426, 'File Links'!C:C, 0))))</f>
        <v>https://drive.google.com/file/d/17mZvRs3ue7pXwqu8bmIDvgNdc95PGEcV/view?usp=drivesdk</v>
      </c>
      <c r="Y2426" s="156" t="s">
        <v>131</v>
      </c>
      <c r="Z2426" s="156" t="s">
        <v>1072</v>
      </c>
      <c r="AA2426" s="156" t="s">
        <v>14567</v>
      </c>
      <c r="AB2426" s="156" t="s">
        <v>14402</v>
      </c>
      <c r="AC2426" s="156" t="s">
        <v>14567</v>
      </c>
      <c r="AD2426" s="148" t="s">
        <v>14568</v>
      </c>
      <c r="AE2426" s="126">
        <v>9.0</v>
      </c>
      <c r="AF2426" s="153">
        <v>111.0</v>
      </c>
      <c r="AG2426" s="153">
        <v>0.27</v>
      </c>
      <c r="AH2426" s="156" t="s">
        <v>208</v>
      </c>
      <c r="AI2426" s="148" t="s">
        <v>14565</v>
      </c>
      <c r="AJ2426" s="498">
        <v>0.05</v>
      </c>
      <c r="AK2426" s="156" t="s">
        <v>128</v>
      </c>
      <c r="AL2426" s="2090" t="s">
        <v>179</v>
      </c>
      <c r="AM2426" s="156" t="s">
        <v>130</v>
      </c>
      <c r="AN2426" s="156" t="s">
        <v>131</v>
      </c>
      <c r="AO2426" s="153">
        <v>804.0</v>
      </c>
      <c r="AP2426" s="158">
        <v>0.25</v>
      </c>
      <c r="AQ2426" s="156" t="s">
        <v>354</v>
      </c>
      <c r="AR2426" s="156" t="s">
        <v>14406</v>
      </c>
      <c r="AS2426" s="344" t="s">
        <v>131</v>
      </c>
      <c r="AT2426" s="344" t="s">
        <v>131</v>
      </c>
      <c r="AU2426" s="43" t="s">
        <v>179</v>
      </c>
      <c r="AV2426" s="156" t="s">
        <v>130</v>
      </c>
      <c r="AW2426" s="432" t="s">
        <v>14407</v>
      </c>
      <c r="AX2426" s="156" t="s">
        <v>136</v>
      </c>
      <c r="AZ2426" s="284" t="s">
        <v>1263</v>
      </c>
    </row>
    <row r="2427">
      <c r="A2427" s="41">
        <v>2427.0</v>
      </c>
      <c r="B2427" s="126" t="s">
        <v>107</v>
      </c>
      <c r="C2427" s="59" t="s">
        <v>108</v>
      </c>
      <c r="D2427" s="59" t="s">
        <v>2623</v>
      </c>
      <c r="F2427" s="156" t="s">
        <v>14569</v>
      </c>
      <c r="G2427" s="156" t="s">
        <v>14391</v>
      </c>
      <c r="H2427" s="156" t="s">
        <v>14392</v>
      </c>
      <c r="I2427" s="1284" t="s">
        <v>14393</v>
      </c>
      <c r="J2427" s="2102">
        <v>45814.0</v>
      </c>
      <c r="K2427" s="65"/>
      <c r="L2427" s="126" t="s">
        <v>14529</v>
      </c>
      <c r="M2427" s="156" t="s">
        <v>14570</v>
      </c>
      <c r="N2427" s="156" t="s">
        <v>14571</v>
      </c>
      <c r="O2427" s="126">
        <v>1.0</v>
      </c>
      <c r="P2427" s="379" t="s">
        <v>14572</v>
      </c>
      <c r="Q2427" s="49" t="str">
        <f t="array" ref="Q2427"> if(iserror(MATCH(V2427, 'File Links'!C:C, 0)), "N/A", HYPERLINK(INDEX('File Links'!B:B, MATCH(P2427, 'File Links'!C:C, 0))))</f>
        <v>https://drive.google.com/file/d/1OQXfdOsmBPcEjb_PF9uWD_g_s1g9BKLK/view?usp=drivesdk</v>
      </c>
      <c r="R2427" s="156" t="s">
        <v>14398</v>
      </c>
      <c r="S2427" s="156" t="s">
        <v>14399</v>
      </c>
      <c r="T2427" s="65"/>
      <c r="U2427" s="126">
        <v>1.0</v>
      </c>
      <c r="V2427" s="379" t="s">
        <v>14400</v>
      </c>
      <c r="W2427" s="292" t="s">
        <v>202</v>
      </c>
      <c r="X2427" s="51" t="str">
        <f t="array" ref="X2427"> if(iserror(MATCH(V2427, 'File Links'!C:C, 0)), "N/A", HYPERLINK(INDEX('File Links'!B:B, MATCH(V2427, 'File Links'!C:C, 0))))</f>
        <v>https://drive.google.com/file/d/17mZvRs3ue7pXwqu8bmIDvgNdc95PGEcV/view?usp=drivesdk</v>
      </c>
      <c r="Y2427" s="156" t="s">
        <v>131</v>
      </c>
      <c r="Z2427" s="156" t="s">
        <v>1072</v>
      </c>
      <c r="AA2427" s="156" t="s">
        <v>14573</v>
      </c>
      <c r="AB2427" s="156" t="s">
        <v>14402</v>
      </c>
      <c r="AC2427" s="156" t="s">
        <v>14573</v>
      </c>
      <c r="AD2427" s="148" t="s">
        <v>14574</v>
      </c>
      <c r="AE2427" s="153">
        <v>4.0</v>
      </c>
      <c r="AF2427" s="153">
        <v>164.0</v>
      </c>
      <c r="AG2427" s="1289">
        <v>0.2</v>
      </c>
      <c r="AH2427" s="156" t="s">
        <v>354</v>
      </c>
      <c r="AI2427" s="148" t="s">
        <v>14575</v>
      </c>
      <c r="AJ2427" s="153">
        <v>0.05</v>
      </c>
      <c r="AK2427" s="156" t="s">
        <v>165</v>
      </c>
      <c r="AL2427" s="2090" t="s">
        <v>179</v>
      </c>
      <c r="AM2427" s="156" t="s">
        <v>130</v>
      </c>
      <c r="AN2427" s="156" t="s">
        <v>131</v>
      </c>
      <c r="AO2427" s="153">
        <v>181.0</v>
      </c>
      <c r="AP2427" s="333">
        <v>0.18</v>
      </c>
      <c r="AQ2427" s="156" t="s">
        <v>354</v>
      </c>
      <c r="AR2427" s="156" t="s">
        <v>14406</v>
      </c>
      <c r="AS2427" s="2105">
        <v>0.0217651902491802</v>
      </c>
      <c r="AT2427" s="1785" t="s">
        <v>165</v>
      </c>
      <c r="AU2427" s="1784" t="s">
        <v>129</v>
      </c>
      <c r="AV2427" s="156" t="s">
        <v>130</v>
      </c>
      <c r="AW2427" s="432" t="s">
        <v>14407</v>
      </c>
      <c r="AX2427" s="156" t="s">
        <v>136</v>
      </c>
      <c r="AZ2427" s="284" t="s">
        <v>1263</v>
      </c>
    </row>
    <row r="2428">
      <c r="A2428" s="41">
        <v>2428.0</v>
      </c>
      <c r="B2428" s="126" t="s">
        <v>107</v>
      </c>
      <c r="C2428" s="59" t="s">
        <v>108</v>
      </c>
      <c r="D2428" s="59" t="s">
        <v>2623</v>
      </c>
      <c r="F2428" s="65" t="s">
        <v>14576</v>
      </c>
      <c r="G2428" s="156" t="s">
        <v>14391</v>
      </c>
      <c r="H2428" s="156" t="s">
        <v>14392</v>
      </c>
      <c r="I2428" s="1284" t="s">
        <v>14393</v>
      </c>
      <c r="J2428" s="2102">
        <v>45814.0</v>
      </c>
      <c r="K2428" s="65"/>
      <c r="L2428" s="126" t="s">
        <v>14577</v>
      </c>
      <c r="M2428" s="156" t="s">
        <v>14570</v>
      </c>
      <c r="N2428" s="156" t="s">
        <v>14571</v>
      </c>
      <c r="O2428" s="126">
        <v>1.0</v>
      </c>
      <c r="P2428" s="379" t="s">
        <v>14572</v>
      </c>
      <c r="Q2428" s="49" t="str">
        <f t="array" ref="Q2428"> if(iserror(MATCH(V2428, 'File Links'!C:C, 0)), "N/A", HYPERLINK(INDEX('File Links'!B:B, MATCH(P2428, 'File Links'!C:C, 0))))</f>
        <v>https://drive.google.com/file/d/1OQXfdOsmBPcEjb_PF9uWD_g_s1g9BKLK/view?usp=drivesdk</v>
      </c>
      <c r="R2428" s="156" t="s">
        <v>14398</v>
      </c>
      <c r="S2428" s="156" t="s">
        <v>14399</v>
      </c>
      <c r="T2428" s="65"/>
      <c r="U2428" s="126">
        <v>1.0</v>
      </c>
      <c r="V2428" s="379" t="s">
        <v>14400</v>
      </c>
      <c r="W2428" s="292" t="s">
        <v>202</v>
      </c>
      <c r="X2428" s="51" t="str">
        <f t="array" ref="X2428"> if(iserror(MATCH(V2428, 'File Links'!C:C, 0)), "N/A", HYPERLINK(INDEX('File Links'!B:B, MATCH(V2428, 'File Links'!C:C, 0))))</f>
        <v>https://drive.google.com/file/d/17mZvRs3ue7pXwqu8bmIDvgNdc95PGEcV/view?usp=drivesdk</v>
      </c>
      <c r="Y2428" s="156" t="s">
        <v>131</v>
      </c>
      <c r="Z2428" s="156" t="s">
        <v>1072</v>
      </c>
      <c r="AA2428" s="156" t="s">
        <v>14578</v>
      </c>
      <c r="AB2428" s="156" t="s">
        <v>14402</v>
      </c>
      <c r="AC2428" s="156" t="s">
        <v>14578</v>
      </c>
      <c r="AD2428" s="148" t="s">
        <v>14579</v>
      </c>
      <c r="AE2428" s="153">
        <v>4.0</v>
      </c>
      <c r="AF2428" s="153">
        <v>164.0</v>
      </c>
      <c r="AG2428" s="153">
        <v>0.35</v>
      </c>
      <c r="AH2428" s="156" t="s">
        <v>354</v>
      </c>
      <c r="AI2428" s="148" t="s">
        <v>14575</v>
      </c>
      <c r="AJ2428" s="333">
        <v>0.01</v>
      </c>
      <c r="AK2428" s="156" t="s">
        <v>165</v>
      </c>
      <c r="AL2428" s="2090" t="s">
        <v>179</v>
      </c>
      <c r="AM2428" s="156" t="s">
        <v>130</v>
      </c>
      <c r="AN2428" s="156" t="s">
        <v>131</v>
      </c>
      <c r="AO2428" s="153">
        <v>181.0</v>
      </c>
      <c r="AP2428" s="2106">
        <v>0.1</v>
      </c>
      <c r="AQ2428" s="156" t="s">
        <v>354</v>
      </c>
      <c r="AR2428" s="156" t="s">
        <v>14406</v>
      </c>
      <c r="AS2428" s="148">
        <v>0.201168908324766</v>
      </c>
      <c r="AT2428" s="1785" t="s">
        <v>165</v>
      </c>
      <c r="AU2428" s="1784" t="s">
        <v>129</v>
      </c>
      <c r="AV2428" s="156" t="s">
        <v>130</v>
      </c>
      <c r="AW2428" s="432" t="s">
        <v>14407</v>
      </c>
      <c r="AX2428" s="156" t="s">
        <v>136</v>
      </c>
      <c r="AZ2428" s="284" t="s">
        <v>1263</v>
      </c>
    </row>
    <row r="2429">
      <c r="A2429" s="41">
        <v>2429.0</v>
      </c>
      <c r="B2429" s="126" t="s">
        <v>107</v>
      </c>
      <c r="C2429" s="59" t="s">
        <v>108</v>
      </c>
      <c r="D2429" s="59" t="s">
        <v>2623</v>
      </c>
      <c r="F2429" s="65" t="s">
        <v>14580</v>
      </c>
      <c r="G2429" s="156" t="s">
        <v>14391</v>
      </c>
      <c r="H2429" s="156" t="s">
        <v>14392</v>
      </c>
      <c r="I2429" s="1284" t="s">
        <v>14393</v>
      </c>
      <c r="J2429" s="2102">
        <v>45814.0</v>
      </c>
      <c r="K2429" s="65"/>
      <c r="L2429" s="126" t="s">
        <v>14577</v>
      </c>
      <c r="M2429" s="156" t="s">
        <v>14570</v>
      </c>
      <c r="N2429" s="156" t="s">
        <v>14571</v>
      </c>
      <c r="O2429" s="126">
        <v>1.0</v>
      </c>
      <c r="P2429" s="379" t="s">
        <v>14572</v>
      </c>
      <c r="Q2429" s="49" t="str">
        <f t="array" ref="Q2429"> if(iserror(MATCH(V2429, 'File Links'!C:C, 0)), "N/A", HYPERLINK(INDEX('File Links'!B:B, MATCH(P2429, 'File Links'!C:C, 0))))</f>
        <v>https://drive.google.com/file/d/1OQXfdOsmBPcEjb_PF9uWD_g_s1g9BKLK/view?usp=drivesdk</v>
      </c>
      <c r="R2429" s="156" t="s">
        <v>14398</v>
      </c>
      <c r="S2429" s="156" t="s">
        <v>14399</v>
      </c>
      <c r="T2429" s="65"/>
      <c r="U2429" s="126">
        <v>1.0</v>
      </c>
      <c r="V2429" s="379" t="s">
        <v>14400</v>
      </c>
      <c r="W2429" s="292" t="s">
        <v>202</v>
      </c>
      <c r="X2429" s="51" t="str">
        <f t="array" ref="X2429"> if(iserror(MATCH(V2429, 'File Links'!C:C, 0)), "N/A", HYPERLINK(INDEX('File Links'!B:B, MATCH(V2429, 'File Links'!C:C, 0))))</f>
        <v>https://drive.google.com/file/d/17mZvRs3ue7pXwqu8bmIDvgNdc95PGEcV/view?usp=drivesdk</v>
      </c>
      <c r="Y2429" s="156" t="s">
        <v>131</v>
      </c>
      <c r="Z2429" s="156" t="s">
        <v>1072</v>
      </c>
      <c r="AA2429" s="156" t="s">
        <v>14581</v>
      </c>
      <c r="AB2429" s="156" t="s">
        <v>14402</v>
      </c>
      <c r="AC2429" s="156" t="s">
        <v>14581</v>
      </c>
      <c r="AD2429" s="148" t="s">
        <v>14582</v>
      </c>
      <c r="AE2429" s="153">
        <v>4.0</v>
      </c>
      <c r="AF2429" s="153">
        <v>164.0</v>
      </c>
      <c r="AG2429" s="153">
        <v>0.28</v>
      </c>
      <c r="AH2429" s="156" t="s">
        <v>354</v>
      </c>
      <c r="AI2429" s="148" t="s">
        <v>14575</v>
      </c>
      <c r="AJ2429" s="333">
        <v>0.01</v>
      </c>
      <c r="AK2429" s="156" t="s">
        <v>165</v>
      </c>
      <c r="AL2429" s="2090" t="s">
        <v>179</v>
      </c>
      <c r="AM2429" s="156" t="s">
        <v>130</v>
      </c>
      <c r="AN2429" s="156" t="s">
        <v>131</v>
      </c>
      <c r="AO2429" s="153">
        <v>181.0</v>
      </c>
      <c r="AP2429" s="333">
        <v>0.12</v>
      </c>
      <c r="AQ2429" s="156" t="s">
        <v>354</v>
      </c>
      <c r="AR2429" s="156" t="s">
        <v>14406</v>
      </c>
      <c r="AS2429" s="148">
        <v>0.145383750270403</v>
      </c>
      <c r="AT2429" s="1785" t="s">
        <v>165</v>
      </c>
      <c r="AU2429" s="1784" t="s">
        <v>129</v>
      </c>
      <c r="AV2429" s="156" t="s">
        <v>130</v>
      </c>
      <c r="AW2429" s="432" t="s">
        <v>14407</v>
      </c>
      <c r="AX2429" s="156" t="s">
        <v>136</v>
      </c>
      <c r="AZ2429" s="284" t="s">
        <v>1263</v>
      </c>
    </row>
    <row r="2430">
      <c r="A2430" s="41">
        <v>2430.0</v>
      </c>
      <c r="B2430" s="126" t="s">
        <v>107</v>
      </c>
      <c r="C2430" s="59" t="s">
        <v>108</v>
      </c>
      <c r="D2430" s="59" t="s">
        <v>2623</v>
      </c>
      <c r="F2430" s="65" t="s">
        <v>14583</v>
      </c>
      <c r="G2430" s="156" t="s">
        <v>14391</v>
      </c>
      <c r="H2430" s="156" t="s">
        <v>14392</v>
      </c>
      <c r="I2430" s="1284" t="s">
        <v>14393</v>
      </c>
      <c r="J2430" s="2102">
        <v>45814.0</v>
      </c>
      <c r="K2430" s="65"/>
      <c r="L2430" s="126" t="s">
        <v>14584</v>
      </c>
      <c r="M2430" s="156" t="s">
        <v>14585</v>
      </c>
      <c r="N2430" s="156" t="s">
        <v>14586</v>
      </c>
      <c r="O2430" s="126">
        <v>1.0</v>
      </c>
      <c r="P2430" s="379" t="s">
        <v>14587</v>
      </c>
      <c r="Q2430" s="49" t="str">
        <f t="array" ref="Q2430"> if(iserror(MATCH(V2430, 'File Links'!C:C, 0)), "N/A", HYPERLINK(INDEX('File Links'!B:B, MATCH(P2430, 'File Links'!C:C, 0))))</f>
        <v>https://drive.google.com/file/d/15-xZoziBIfRM1RNSkhWBwkJIkhndLjdq/view?usp=drivesdk</v>
      </c>
      <c r="R2430" s="156" t="s">
        <v>14398</v>
      </c>
      <c r="S2430" s="156" t="s">
        <v>14399</v>
      </c>
      <c r="T2430" s="65"/>
      <c r="U2430" s="126">
        <v>1.0</v>
      </c>
      <c r="V2430" s="379" t="s">
        <v>14400</v>
      </c>
      <c r="W2430" s="292" t="s">
        <v>202</v>
      </c>
      <c r="X2430" s="51" t="str">
        <f t="array" ref="X2430"> if(iserror(MATCH(V2430, 'File Links'!C:C, 0)), "N/A", HYPERLINK(INDEX('File Links'!B:B, MATCH(V2430, 'File Links'!C:C, 0))))</f>
        <v>https://drive.google.com/file/d/17mZvRs3ue7pXwqu8bmIDvgNdc95PGEcV/view?usp=drivesdk</v>
      </c>
      <c r="Y2430" s="148" t="s">
        <v>134</v>
      </c>
      <c r="Z2430" s="156" t="s">
        <v>1072</v>
      </c>
      <c r="AA2430" s="156" t="s">
        <v>14588</v>
      </c>
      <c r="AB2430" s="156" t="s">
        <v>14402</v>
      </c>
      <c r="AC2430" s="156" t="s">
        <v>14588</v>
      </c>
      <c r="AD2430" s="65"/>
      <c r="AE2430" s="65"/>
      <c r="AF2430" s="153">
        <v>980.0</v>
      </c>
      <c r="AG2430" s="153">
        <v>0.11</v>
      </c>
      <c r="AH2430" s="156" t="s">
        <v>354</v>
      </c>
      <c r="AI2430" s="156" t="s">
        <v>14589</v>
      </c>
      <c r="AJ2430" s="333">
        <v>0.01</v>
      </c>
      <c r="AK2430" s="156" t="s">
        <v>165</v>
      </c>
      <c r="AL2430" s="156" t="s">
        <v>129</v>
      </c>
      <c r="AM2430" s="156" t="s">
        <v>130</v>
      </c>
      <c r="AN2430" s="156" t="s">
        <v>131</v>
      </c>
      <c r="AO2430" s="153">
        <v>1466.0</v>
      </c>
      <c r="AP2430" s="153">
        <v>0.07</v>
      </c>
      <c r="AQ2430" s="156" t="s">
        <v>208</v>
      </c>
      <c r="AR2430" s="156" t="s">
        <v>14406</v>
      </c>
      <c r="AS2430" s="2081">
        <v>0.001</v>
      </c>
      <c r="AT2430" s="1784" t="s">
        <v>128</v>
      </c>
      <c r="AU2430" s="1784" t="s">
        <v>129</v>
      </c>
      <c r="AV2430" s="156" t="s">
        <v>130</v>
      </c>
      <c r="AW2430" s="432" t="s">
        <v>14407</v>
      </c>
      <c r="AX2430" s="156" t="s">
        <v>136</v>
      </c>
      <c r="AZ2430" s="284" t="s">
        <v>1263</v>
      </c>
    </row>
    <row r="2431">
      <c r="A2431" s="41">
        <v>2431.0</v>
      </c>
      <c r="B2431" s="126" t="s">
        <v>107</v>
      </c>
      <c r="C2431" s="59" t="s">
        <v>108</v>
      </c>
      <c r="D2431" s="59" t="s">
        <v>2623</v>
      </c>
      <c r="F2431" s="65" t="s">
        <v>14590</v>
      </c>
      <c r="G2431" s="156" t="s">
        <v>14391</v>
      </c>
      <c r="H2431" s="156" t="s">
        <v>14392</v>
      </c>
      <c r="I2431" s="1284" t="s">
        <v>14393</v>
      </c>
      <c r="J2431" s="2102">
        <v>45814.0</v>
      </c>
      <c r="K2431" s="65"/>
      <c r="L2431" s="126" t="s">
        <v>14591</v>
      </c>
      <c r="M2431" s="156" t="s">
        <v>14585</v>
      </c>
      <c r="N2431" s="156" t="s">
        <v>14586</v>
      </c>
      <c r="O2431" s="126">
        <v>1.0</v>
      </c>
      <c r="P2431" s="379" t="s">
        <v>14587</v>
      </c>
      <c r="Q2431" s="49" t="str">
        <f t="array" ref="Q2431"> if(iserror(MATCH(V2431, 'File Links'!C:C, 0)), "N/A", HYPERLINK(INDEX('File Links'!B:B, MATCH(P2431, 'File Links'!C:C, 0))))</f>
        <v>https://drive.google.com/file/d/15-xZoziBIfRM1RNSkhWBwkJIkhndLjdq/view?usp=drivesdk</v>
      </c>
      <c r="R2431" s="156" t="s">
        <v>14398</v>
      </c>
      <c r="S2431" s="156" t="s">
        <v>14399</v>
      </c>
      <c r="T2431" s="65"/>
      <c r="U2431" s="126">
        <v>1.0</v>
      </c>
      <c r="V2431" s="379" t="s">
        <v>14400</v>
      </c>
      <c r="W2431" s="292" t="s">
        <v>202</v>
      </c>
      <c r="X2431" s="51" t="str">
        <f t="array" ref="X2431"> if(iserror(MATCH(V2431, 'File Links'!C:C, 0)), "N/A", HYPERLINK(INDEX('File Links'!B:B, MATCH(V2431, 'File Links'!C:C, 0))))</f>
        <v>https://drive.google.com/file/d/17mZvRs3ue7pXwqu8bmIDvgNdc95PGEcV/view?usp=drivesdk</v>
      </c>
      <c r="Y2431" s="156" t="s">
        <v>131</v>
      </c>
      <c r="Z2431" s="156" t="s">
        <v>1072</v>
      </c>
      <c r="AA2431" s="156" t="s">
        <v>14592</v>
      </c>
      <c r="AB2431" s="156" t="s">
        <v>14402</v>
      </c>
      <c r="AC2431" s="156" t="s">
        <v>14592</v>
      </c>
      <c r="AD2431" s="156" t="s">
        <v>14593</v>
      </c>
      <c r="AE2431" s="158" t="s">
        <v>625</v>
      </c>
      <c r="AF2431" s="153">
        <v>980.0</v>
      </c>
      <c r="AG2431" s="2107" t="s">
        <v>14594</v>
      </c>
      <c r="AH2431" s="156" t="s">
        <v>354</v>
      </c>
      <c r="AI2431" s="148" t="s">
        <v>14595</v>
      </c>
      <c r="AJ2431" s="333">
        <v>0.01</v>
      </c>
      <c r="AK2431" s="65" t="s">
        <v>128</v>
      </c>
      <c r="AL2431" s="2090" t="s">
        <v>179</v>
      </c>
      <c r="AM2431" s="156" t="s">
        <v>130</v>
      </c>
      <c r="AN2431" s="156" t="s">
        <v>131</v>
      </c>
      <c r="AO2431" s="153">
        <v>1489.0</v>
      </c>
      <c r="AP2431" s="158">
        <v>-0.19</v>
      </c>
      <c r="AQ2431" s="156" t="s">
        <v>354</v>
      </c>
      <c r="AR2431" s="156" t="s">
        <v>14406</v>
      </c>
      <c r="AS2431" s="344" t="s">
        <v>131</v>
      </c>
      <c r="AT2431" s="344" t="s">
        <v>131</v>
      </c>
      <c r="AU2431" s="344" t="s">
        <v>131</v>
      </c>
      <c r="AV2431" s="156" t="s">
        <v>130</v>
      </c>
      <c r="AW2431" s="432" t="s">
        <v>14407</v>
      </c>
      <c r="AX2431" s="156" t="s">
        <v>136</v>
      </c>
      <c r="AZ2431" s="284" t="s">
        <v>1263</v>
      </c>
    </row>
    <row r="2432">
      <c r="A2432" s="41">
        <v>2432.0</v>
      </c>
      <c r="B2432" s="371" t="s">
        <v>107</v>
      </c>
      <c r="C2432" s="185" t="s">
        <v>108</v>
      </c>
      <c r="D2432" s="185" t="s">
        <v>214</v>
      </c>
      <c r="E2432" s="186"/>
      <c r="F2432" s="187" t="s">
        <v>14596</v>
      </c>
      <c r="G2432" s="195" t="s">
        <v>14391</v>
      </c>
      <c r="H2432" s="195" t="s">
        <v>215</v>
      </c>
      <c r="I2432" s="188">
        <v>45760.0</v>
      </c>
      <c r="J2432" s="2102">
        <v>45814.0</v>
      </c>
      <c r="K2432" s="195" t="s">
        <v>14597</v>
      </c>
      <c r="L2432" s="371" t="s">
        <v>14598</v>
      </c>
      <c r="M2432" s="195" t="s">
        <v>14599</v>
      </c>
      <c r="N2432" s="195" t="s">
        <v>14600</v>
      </c>
      <c r="O2432" s="371">
        <v>1.0</v>
      </c>
      <c r="P2432" s="195" t="s">
        <v>14601</v>
      </c>
      <c r="Q2432" s="1165" t="str">
        <f t="array" ref="Q2432"> if(iserror(MATCH(V2432, 'File Links'!C:C, 0)), "N/A", HYPERLINK(INDEX('File Links'!B:B, MATCH(P2432, 'File Links'!C:C, 0))))</f>
        <v>https://drive.google.com/file/d/1NUoPD3eW0MR4HJ1BQoG7-ngWy5-ADbSy/view?usp=drivesdk</v>
      </c>
      <c r="R2432" s="195" t="s">
        <v>14398</v>
      </c>
      <c r="S2432" s="195" t="s">
        <v>14399</v>
      </c>
      <c r="T2432" s="187"/>
      <c r="U2432" s="371">
        <v>1.0</v>
      </c>
      <c r="V2432" s="195" t="s">
        <v>14400</v>
      </c>
      <c r="W2432" s="371" t="s">
        <v>202</v>
      </c>
      <c r="X2432" s="1166" t="str">
        <f t="array" ref="X2432"> if(iserror(MATCH(V2432, 'File Links'!C:C, 0)), "N/A", HYPERLINK(INDEX('File Links'!B:B, MATCH(V2432, 'File Links'!C:C, 0))))</f>
        <v>https://drive.google.com/file/d/17mZvRs3ue7pXwqu8bmIDvgNdc95PGEcV/view?usp=drivesdk</v>
      </c>
      <c r="Y2432" s="195"/>
      <c r="Z2432" s="195" t="s">
        <v>1072</v>
      </c>
      <c r="AA2432" s="371" t="s">
        <v>14602</v>
      </c>
      <c r="AB2432" s="195" t="s">
        <v>14402</v>
      </c>
      <c r="AC2432" s="195" t="s">
        <v>14603</v>
      </c>
      <c r="AD2432" s="187" t="s">
        <v>14603</v>
      </c>
      <c r="AE2432" s="187" t="s">
        <v>14604</v>
      </c>
      <c r="AF2432" s="755">
        <v>418.0</v>
      </c>
      <c r="AG2432" s="562">
        <v>0.41</v>
      </c>
      <c r="AH2432" s="187" t="s">
        <v>208</v>
      </c>
      <c r="AI2432" s="187" t="s">
        <v>14604</v>
      </c>
      <c r="AJ2432" s="344" t="s">
        <v>131</v>
      </c>
      <c r="AK2432" s="344" t="s">
        <v>131</v>
      </c>
      <c r="AL2432" s="357" t="s">
        <v>179</v>
      </c>
      <c r="AM2432" s="187" t="s">
        <v>130</v>
      </c>
      <c r="AN2432" s="187"/>
      <c r="AO2432" s="755">
        <v>1549.0</v>
      </c>
      <c r="AP2432" s="747">
        <v>0.35</v>
      </c>
      <c r="AQ2432" s="187" t="s">
        <v>208</v>
      </c>
      <c r="AR2432" s="187" t="s">
        <v>843</v>
      </c>
      <c r="AS2432" s="2108">
        <v>1.45353153159928E-45</v>
      </c>
      <c r="AT2432" s="187" t="s">
        <v>128</v>
      </c>
      <c r="AU2432" s="187" t="s">
        <v>129</v>
      </c>
      <c r="AV2432" s="187" t="s">
        <v>130</v>
      </c>
      <c r="AW2432" s="874" t="s">
        <v>14407</v>
      </c>
      <c r="AX2432" s="187" t="s">
        <v>144</v>
      </c>
      <c r="AY2432" s="187"/>
      <c r="AZ2432" s="284" t="s">
        <v>1263</v>
      </c>
      <c r="BA2432" s="186"/>
      <c r="BB2432" s="186"/>
      <c r="BC2432" s="186"/>
      <c r="BD2432" s="186"/>
      <c r="BE2432" s="186"/>
      <c r="BF2432" s="186"/>
      <c r="BG2432" s="186"/>
      <c r="BH2432" s="186"/>
      <c r="BI2432" s="186"/>
      <c r="BJ2432" s="186"/>
      <c r="BK2432" s="186"/>
      <c r="BL2432" s="186"/>
      <c r="BM2432" s="186"/>
      <c r="BN2432" s="186"/>
      <c r="BO2432" s="186"/>
      <c r="BP2432" s="186"/>
      <c r="BQ2432" s="186"/>
      <c r="BR2432" s="186"/>
      <c r="BS2432" s="186"/>
      <c r="BT2432" s="186"/>
      <c r="BU2432" s="186"/>
      <c r="BV2432" s="186"/>
      <c r="BW2432" s="186"/>
      <c r="BX2432" s="186"/>
      <c r="BY2432" s="186"/>
      <c r="BZ2432" s="186"/>
      <c r="CA2432" s="186"/>
      <c r="CB2432" s="186"/>
      <c r="CC2432" s="186"/>
      <c r="CD2432" s="186"/>
      <c r="CE2432" s="186"/>
      <c r="CF2432" s="186"/>
      <c r="CG2432" s="186"/>
      <c r="CH2432" s="186"/>
      <c r="CI2432" s="186"/>
      <c r="CJ2432" s="186"/>
      <c r="CK2432" s="186"/>
      <c r="CL2432" s="186"/>
      <c r="CM2432" s="186"/>
      <c r="CN2432" s="186"/>
      <c r="CO2432" s="186"/>
      <c r="CP2432" s="186"/>
      <c r="CQ2432" s="186"/>
      <c r="CR2432" s="186"/>
      <c r="CS2432" s="186"/>
      <c r="CT2432" s="186"/>
      <c r="CU2432" s="186"/>
      <c r="CV2432" s="186"/>
      <c r="CW2432" s="186"/>
      <c r="CX2432" s="186"/>
      <c r="CY2432" s="186"/>
      <c r="CZ2432" s="186"/>
      <c r="DA2432" s="186"/>
      <c r="DB2432" s="186"/>
      <c r="DC2432" s="186"/>
      <c r="DD2432" s="186"/>
      <c r="DE2432" s="186"/>
      <c r="DF2432" s="186"/>
      <c r="DG2432" s="186"/>
      <c r="DH2432" s="186"/>
    </row>
    <row r="2433">
      <c r="A2433" s="41">
        <v>2433.0</v>
      </c>
      <c r="B2433" s="126" t="s">
        <v>107</v>
      </c>
      <c r="C2433" s="59" t="s">
        <v>108</v>
      </c>
      <c r="D2433" s="59" t="s">
        <v>214</v>
      </c>
      <c r="F2433" s="65" t="s">
        <v>14605</v>
      </c>
      <c r="G2433" s="156" t="s">
        <v>14391</v>
      </c>
      <c r="H2433" s="156" t="s">
        <v>215</v>
      </c>
      <c r="I2433" s="149">
        <v>45760.0</v>
      </c>
      <c r="J2433" s="2102">
        <v>45814.0</v>
      </c>
      <c r="K2433" s="156" t="s">
        <v>14597</v>
      </c>
      <c r="L2433" s="371" t="s">
        <v>14598</v>
      </c>
      <c r="M2433" s="156" t="s">
        <v>14599</v>
      </c>
      <c r="N2433" s="156" t="s">
        <v>14600</v>
      </c>
      <c r="O2433" s="126">
        <v>1.0</v>
      </c>
      <c r="P2433" s="379" t="s">
        <v>14601</v>
      </c>
      <c r="Q2433" s="49" t="str">
        <f t="array" ref="Q2433"> if(iserror(MATCH(V2433, 'File Links'!C:C, 0)), "N/A", HYPERLINK(INDEX('File Links'!B:B, MATCH(P2433, 'File Links'!C:C, 0))))</f>
        <v>https://drive.google.com/file/d/1NUoPD3eW0MR4HJ1BQoG7-ngWy5-ADbSy/view?usp=drivesdk</v>
      </c>
      <c r="R2433" s="156" t="s">
        <v>14398</v>
      </c>
      <c r="S2433" s="156" t="s">
        <v>14399</v>
      </c>
      <c r="T2433" s="65"/>
      <c r="U2433" s="126">
        <v>1.0</v>
      </c>
      <c r="V2433" s="379" t="s">
        <v>14400</v>
      </c>
      <c r="W2433" s="292" t="s">
        <v>202</v>
      </c>
      <c r="X2433" s="51" t="str">
        <f t="array" ref="X2433"> if(iserror(MATCH(V2433, 'File Links'!C:C, 0)), "N/A", HYPERLINK(INDEX('File Links'!B:B, MATCH(V2433, 'File Links'!C:C, 0))))</f>
        <v>https://drive.google.com/file/d/17mZvRs3ue7pXwqu8bmIDvgNdc95PGEcV/view?usp=drivesdk</v>
      </c>
      <c r="Y2433" s="156"/>
      <c r="Z2433" s="156" t="s">
        <v>1072</v>
      </c>
      <c r="AA2433" s="126" t="s">
        <v>14606</v>
      </c>
      <c r="AB2433" s="156" t="s">
        <v>14402</v>
      </c>
      <c r="AC2433" s="156" t="s">
        <v>14607</v>
      </c>
      <c r="AD2433" s="65" t="s">
        <v>14608</v>
      </c>
      <c r="AE2433" s="65" t="s">
        <v>14604</v>
      </c>
      <c r="AF2433" s="153">
        <v>418.0</v>
      </c>
      <c r="AG2433" s="333">
        <v>0.17</v>
      </c>
      <c r="AH2433" s="65" t="s">
        <v>208</v>
      </c>
      <c r="AI2433" s="65" t="s">
        <v>14604</v>
      </c>
      <c r="AJ2433" s="344" t="s">
        <v>131</v>
      </c>
      <c r="AK2433" s="344" t="s">
        <v>131</v>
      </c>
      <c r="AL2433" s="357" t="s">
        <v>179</v>
      </c>
      <c r="AM2433" s="65" t="s">
        <v>130</v>
      </c>
      <c r="AN2433" s="65"/>
      <c r="AO2433" s="153">
        <v>1284.0</v>
      </c>
      <c r="AP2433" s="333">
        <v>0.12</v>
      </c>
      <c r="AQ2433" s="65" t="s">
        <v>208</v>
      </c>
      <c r="AR2433" s="65" t="s">
        <v>843</v>
      </c>
      <c r="AS2433" s="2109">
        <v>7.98957439064175E-6</v>
      </c>
      <c r="AT2433" s="1785" t="s">
        <v>128</v>
      </c>
      <c r="AU2433" s="1785" t="s">
        <v>129</v>
      </c>
      <c r="AV2433" s="65" t="s">
        <v>130</v>
      </c>
      <c r="AW2433" s="432" t="s">
        <v>14407</v>
      </c>
      <c r="AX2433" s="187" t="s">
        <v>144</v>
      </c>
      <c r="AY2433" s="65"/>
      <c r="AZ2433" s="284" t="s">
        <v>1263</v>
      </c>
    </row>
    <row r="2434">
      <c r="A2434" s="41">
        <v>2434.0</v>
      </c>
      <c r="B2434" s="126" t="s">
        <v>107</v>
      </c>
      <c r="C2434" s="59" t="s">
        <v>108</v>
      </c>
      <c r="D2434" s="59" t="s">
        <v>214</v>
      </c>
      <c r="F2434" s="65" t="s">
        <v>14609</v>
      </c>
      <c r="G2434" s="156" t="s">
        <v>14391</v>
      </c>
      <c r="H2434" s="156" t="s">
        <v>215</v>
      </c>
      <c r="I2434" s="149">
        <v>45760.0</v>
      </c>
      <c r="J2434" s="2102">
        <v>45814.0</v>
      </c>
      <c r="K2434" s="156" t="s">
        <v>14597</v>
      </c>
      <c r="L2434" s="371" t="s">
        <v>14598</v>
      </c>
      <c r="M2434" s="156" t="s">
        <v>14599</v>
      </c>
      <c r="N2434" s="156" t="s">
        <v>14600</v>
      </c>
      <c r="O2434" s="126">
        <v>1.0</v>
      </c>
      <c r="P2434" s="379" t="s">
        <v>14601</v>
      </c>
      <c r="Q2434" s="49" t="str">
        <f t="array" ref="Q2434"> if(iserror(MATCH(V2434, 'File Links'!C:C, 0)), "N/A", HYPERLINK(INDEX('File Links'!B:B, MATCH(P2434, 'File Links'!C:C, 0))))</f>
        <v>https://drive.google.com/file/d/1NUoPD3eW0MR4HJ1BQoG7-ngWy5-ADbSy/view?usp=drivesdk</v>
      </c>
      <c r="R2434" s="156" t="s">
        <v>14398</v>
      </c>
      <c r="S2434" s="156" t="s">
        <v>14399</v>
      </c>
      <c r="T2434" s="65"/>
      <c r="U2434" s="126">
        <v>1.0</v>
      </c>
      <c r="V2434" s="379" t="s">
        <v>14400</v>
      </c>
      <c r="W2434" s="292" t="s">
        <v>202</v>
      </c>
      <c r="X2434" s="51" t="str">
        <f t="array" ref="X2434"> if(iserror(MATCH(V2434, 'File Links'!C:C, 0)), "N/A", HYPERLINK(INDEX('File Links'!B:B, MATCH(V2434, 'File Links'!C:C, 0))))</f>
        <v>https://drive.google.com/file/d/17mZvRs3ue7pXwqu8bmIDvgNdc95PGEcV/view?usp=drivesdk</v>
      </c>
      <c r="Y2434" s="156"/>
      <c r="Z2434" s="156" t="s">
        <v>1072</v>
      </c>
      <c r="AA2434" s="126" t="s">
        <v>14610</v>
      </c>
      <c r="AB2434" s="156" t="s">
        <v>14402</v>
      </c>
      <c r="AC2434" s="156" t="s">
        <v>14611</v>
      </c>
      <c r="AD2434" s="65" t="s">
        <v>14612</v>
      </c>
      <c r="AE2434" s="65" t="s">
        <v>14604</v>
      </c>
      <c r="AF2434" s="153">
        <v>418.0</v>
      </c>
      <c r="AG2434" s="333">
        <v>0.24</v>
      </c>
      <c r="AH2434" s="65" t="s">
        <v>208</v>
      </c>
      <c r="AI2434" s="65" t="s">
        <v>14604</v>
      </c>
      <c r="AJ2434" s="344" t="s">
        <v>131</v>
      </c>
      <c r="AK2434" s="344" t="s">
        <v>131</v>
      </c>
      <c r="AL2434" s="357" t="s">
        <v>179</v>
      </c>
      <c r="AM2434" s="65" t="s">
        <v>130</v>
      </c>
      <c r="AN2434" s="65"/>
      <c r="AO2434" s="153">
        <v>1550.0</v>
      </c>
      <c r="AP2434" s="333">
        <v>0.33</v>
      </c>
      <c r="AQ2434" s="65" t="s">
        <v>208</v>
      </c>
      <c r="AR2434" s="65" t="s">
        <v>843</v>
      </c>
      <c r="AS2434" s="2109">
        <v>3.88557031789061E-40</v>
      </c>
      <c r="AT2434" s="1785" t="s">
        <v>128</v>
      </c>
      <c r="AU2434" s="1785" t="s">
        <v>129</v>
      </c>
      <c r="AV2434" s="65" t="s">
        <v>130</v>
      </c>
      <c r="AW2434" s="432" t="s">
        <v>14407</v>
      </c>
      <c r="AX2434" s="187" t="s">
        <v>144</v>
      </c>
      <c r="AY2434" s="65"/>
      <c r="AZ2434" s="284" t="s">
        <v>1263</v>
      </c>
    </row>
    <row r="2435">
      <c r="A2435" s="41">
        <v>2435.0</v>
      </c>
      <c r="B2435" s="126" t="s">
        <v>145</v>
      </c>
      <c r="C2435" s="59" t="s">
        <v>108</v>
      </c>
      <c r="D2435" s="59" t="s">
        <v>214</v>
      </c>
      <c r="F2435" s="65" t="s">
        <v>14613</v>
      </c>
      <c r="G2435" s="156" t="s">
        <v>14391</v>
      </c>
      <c r="H2435" s="156" t="s">
        <v>215</v>
      </c>
      <c r="I2435" s="149">
        <v>45760.0</v>
      </c>
      <c r="J2435" s="2102">
        <v>45814.0</v>
      </c>
      <c r="K2435" s="156" t="s">
        <v>14614</v>
      </c>
      <c r="L2435" s="126" t="s">
        <v>14615</v>
      </c>
      <c r="M2435" s="156" t="s">
        <v>14616</v>
      </c>
      <c r="N2435" s="156" t="s">
        <v>14617</v>
      </c>
      <c r="O2435" s="126">
        <v>3.0</v>
      </c>
      <c r="P2435" s="379" t="s">
        <v>14618</v>
      </c>
      <c r="Q2435" s="49" t="str">
        <f t="array" ref="Q2435"> if(iserror(MATCH(V2435, 'File Links'!C:C, 0)), "N/A", HYPERLINK(INDEX('File Links'!B:B, MATCH(P2435, 'File Links'!C:C, 0))))</f>
        <v>https://drive.google.com/file/d/1_T47980LRcVvkPpcoUhfImG7kOlwUqEM/view?usp=drivesdk</v>
      </c>
      <c r="R2435" s="156" t="s">
        <v>14398</v>
      </c>
      <c r="S2435" s="156" t="s">
        <v>14399</v>
      </c>
      <c r="T2435" s="65"/>
      <c r="U2435" s="126">
        <v>1.0</v>
      </c>
      <c r="V2435" s="379" t="s">
        <v>14400</v>
      </c>
      <c r="W2435" s="292" t="s">
        <v>202</v>
      </c>
      <c r="X2435" s="51" t="str">
        <f t="array" ref="X2435"> if(iserror(MATCH(V2435, 'File Links'!C:C, 0)), "N/A", HYPERLINK(INDEX('File Links'!B:B, MATCH(V2435, 'File Links'!C:C, 0))))</f>
        <v>https://drive.google.com/file/d/17mZvRs3ue7pXwqu8bmIDvgNdc95PGEcV/view?usp=drivesdk</v>
      </c>
      <c r="Y2435" s="65"/>
      <c r="Z2435" s="156" t="s">
        <v>1072</v>
      </c>
      <c r="AA2435" s="126" t="s">
        <v>14619</v>
      </c>
      <c r="AB2435" s="156" t="s">
        <v>14402</v>
      </c>
      <c r="AC2435" s="156" t="s">
        <v>14620</v>
      </c>
      <c r="AD2435" s="148" t="s">
        <v>131</v>
      </c>
      <c r="AE2435" s="65" t="s">
        <v>1167</v>
      </c>
      <c r="AF2435" s="153">
        <v>37.0</v>
      </c>
      <c r="AG2435" s="333">
        <v>0.41</v>
      </c>
      <c r="AH2435" s="65" t="s">
        <v>354</v>
      </c>
      <c r="AI2435" s="65" t="s">
        <v>1167</v>
      </c>
      <c r="AJ2435" s="333">
        <v>0.01</v>
      </c>
      <c r="AK2435" s="65" t="s">
        <v>128</v>
      </c>
      <c r="AL2435" s="357" t="s">
        <v>179</v>
      </c>
      <c r="AM2435" s="65" t="s">
        <v>130</v>
      </c>
      <c r="AN2435" s="65" t="s">
        <v>131</v>
      </c>
      <c r="AO2435" s="153">
        <v>775.0</v>
      </c>
      <c r="AP2435" s="333">
        <v>0.39</v>
      </c>
      <c r="AQ2435" s="65" t="s">
        <v>208</v>
      </c>
      <c r="AR2435" s="65" t="s">
        <v>806</v>
      </c>
      <c r="AS2435" s="1783">
        <v>0.05</v>
      </c>
      <c r="AT2435" s="1785" t="s">
        <v>128</v>
      </c>
      <c r="AU2435" s="1785" t="s">
        <v>129</v>
      </c>
      <c r="AV2435" s="65" t="s">
        <v>130</v>
      </c>
      <c r="AW2435" s="432" t="s">
        <v>14407</v>
      </c>
      <c r="AX2435" s="65" t="s">
        <v>136</v>
      </c>
      <c r="AY2435" s="65"/>
      <c r="AZ2435" s="284" t="s">
        <v>1263</v>
      </c>
    </row>
    <row r="2436">
      <c r="A2436" s="41">
        <v>2436.0</v>
      </c>
      <c r="B2436" s="126" t="s">
        <v>145</v>
      </c>
      <c r="C2436" s="59" t="s">
        <v>108</v>
      </c>
      <c r="D2436" s="59" t="s">
        <v>214</v>
      </c>
      <c r="F2436" s="65" t="s">
        <v>14621</v>
      </c>
      <c r="G2436" s="156" t="s">
        <v>14391</v>
      </c>
      <c r="H2436" s="156" t="s">
        <v>215</v>
      </c>
      <c r="I2436" s="149">
        <v>45760.0</v>
      </c>
      <c r="J2436" s="2102">
        <v>45814.0</v>
      </c>
      <c r="K2436" s="156" t="s">
        <v>14622</v>
      </c>
      <c r="L2436" s="126" t="s">
        <v>14623</v>
      </c>
      <c r="M2436" s="156" t="s">
        <v>14616</v>
      </c>
      <c r="N2436" s="156" t="s">
        <v>14617</v>
      </c>
      <c r="O2436" s="126">
        <v>3.0</v>
      </c>
      <c r="P2436" s="379" t="s">
        <v>14618</v>
      </c>
      <c r="Q2436" s="49" t="str">
        <f t="array" ref="Q2436"> if(iserror(MATCH(V2436, 'File Links'!C:C, 0)), "N/A", HYPERLINK(INDEX('File Links'!B:B, MATCH(P2436, 'File Links'!C:C, 0))))</f>
        <v>https://drive.google.com/file/d/1_T47980LRcVvkPpcoUhfImG7kOlwUqEM/view?usp=drivesdk</v>
      </c>
      <c r="R2436" s="156" t="s">
        <v>14398</v>
      </c>
      <c r="S2436" s="156" t="s">
        <v>14399</v>
      </c>
      <c r="T2436" s="65"/>
      <c r="U2436" s="126">
        <v>1.0</v>
      </c>
      <c r="V2436" s="379" t="s">
        <v>14400</v>
      </c>
      <c r="W2436" s="292" t="s">
        <v>202</v>
      </c>
      <c r="X2436" s="51" t="str">
        <f t="array" ref="X2436"> if(iserror(MATCH(V2436, 'File Links'!C:C, 0)), "N/A", HYPERLINK(INDEX('File Links'!B:B, MATCH(V2436, 'File Links'!C:C, 0))))</f>
        <v>https://drive.google.com/file/d/17mZvRs3ue7pXwqu8bmIDvgNdc95PGEcV/view?usp=drivesdk</v>
      </c>
      <c r="Y2436" s="65"/>
      <c r="Z2436" s="156" t="s">
        <v>1072</v>
      </c>
      <c r="AA2436" s="126" t="s">
        <v>14624</v>
      </c>
      <c r="AB2436" s="156" t="s">
        <v>14402</v>
      </c>
      <c r="AC2436" s="156" t="s">
        <v>14625</v>
      </c>
      <c r="AD2436" s="148" t="s">
        <v>131</v>
      </c>
      <c r="AE2436" s="65" t="s">
        <v>1167</v>
      </c>
      <c r="AF2436" s="153">
        <v>42.0</v>
      </c>
      <c r="AG2436" s="65" t="s">
        <v>14626</v>
      </c>
      <c r="AH2436" s="65" t="s">
        <v>354</v>
      </c>
      <c r="AI2436" s="65" t="s">
        <v>1167</v>
      </c>
      <c r="AJ2436" s="498" t="s">
        <v>131</v>
      </c>
      <c r="AK2436" s="344" t="s">
        <v>131</v>
      </c>
      <c r="AL2436" s="357" t="s">
        <v>179</v>
      </c>
      <c r="AM2436" s="65" t="s">
        <v>130</v>
      </c>
      <c r="AN2436" s="65" t="s">
        <v>131</v>
      </c>
      <c r="AO2436" s="153">
        <v>749.0</v>
      </c>
      <c r="AP2436" s="333" t="s">
        <v>14627</v>
      </c>
      <c r="AQ2436" s="65" t="s">
        <v>208</v>
      </c>
      <c r="AR2436" s="65" t="s">
        <v>806</v>
      </c>
      <c r="AS2436" s="2109">
        <v>6.46481472374853E-18</v>
      </c>
      <c r="AT2436" s="1785" t="s">
        <v>128</v>
      </c>
      <c r="AU2436" s="1785" t="s">
        <v>129</v>
      </c>
      <c r="AV2436" s="65" t="s">
        <v>130</v>
      </c>
      <c r="AW2436" s="432" t="s">
        <v>14407</v>
      </c>
      <c r="AX2436" s="65" t="s">
        <v>136</v>
      </c>
      <c r="AY2436" s="65"/>
      <c r="AZ2436" s="284" t="s">
        <v>1263</v>
      </c>
    </row>
    <row r="2437">
      <c r="A2437" s="41">
        <v>2437.0</v>
      </c>
      <c r="B2437" s="126" t="s">
        <v>107</v>
      </c>
      <c r="C2437" s="59" t="s">
        <v>108</v>
      </c>
      <c r="D2437" s="59" t="s">
        <v>214</v>
      </c>
      <c r="F2437" s="65" t="s">
        <v>14628</v>
      </c>
      <c r="G2437" s="156" t="s">
        <v>14391</v>
      </c>
      <c r="H2437" s="156" t="s">
        <v>215</v>
      </c>
      <c r="I2437" s="149">
        <v>45760.0</v>
      </c>
      <c r="J2437" s="537">
        <v>45822.0</v>
      </c>
      <c r="K2437" s="156" t="s">
        <v>14629</v>
      </c>
      <c r="L2437" s="126" t="s">
        <v>14630</v>
      </c>
      <c r="M2437" s="156" t="s">
        <v>14631</v>
      </c>
      <c r="N2437" s="156" t="s">
        <v>14632</v>
      </c>
      <c r="O2437" s="126">
        <v>1.0</v>
      </c>
      <c r="P2437" s="379" t="s">
        <v>14633</v>
      </c>
      <c r="Q2437" s="49" t="str">
        <f t="array" ref="Q2437"> if(iserror(MATCH(V2437, 'File Links'!C:C, 0)), "N/A", HYPERLINK(INDEX('File Links'!B:B, MATCH(P2437, 'File Links'!C:C, 0))))</f>
        <v>https://drive.google.com/file/d/1VTr0wR67oXPqTspZFD2WLtwQCj0zXKrh/view?usp=drivesdk</v>
      </c>
      <c r="R2437" s="156" t="s">
        <v>14398</v>
      </c>
      <c r="S2437" s="156" t="s">
        <v>14399</v>
      </c>
      <c r="T2437" s="65"/>
      <c r="U2437" s="126">
        <v>1.0</v>
      </c>
      <c r="V2437" s="379" t="s">
        <v>14400</v>
      </c>
      <c r="W2437" s="292" t="s">
        <v>202</v>
      </c>
      <c r="X2437" s="51" t="str">
        <f t="array" ref="X2437"> if(iserror(MATCH(V2437, 'File Links'!C:C, 0)), "N/A", HYPERLINK(INDEX('File Links'!B:B, MATCH(V2437, 'File Links'!C:C, 0))))</f>
        <v>https://drive.google.com/file/d/17mZvRs3ue7pXwqu8bmIDvgNdc95PGEcV/view?usp=drivesdk</v>
      </c>
      <c r="Y2437" s="65"/>
      <c r="Z2437" s="156" t="s">
        <v>1072</v>
      </c>
      <c r="AA2437" s="126" t="s">
        <v>14634</v>
      </c>
      <c r="AB2437" s="156" t="s">
        <v>14402</v>
      </c>
      <c r="AC2437" s="156" t="s">
        <v>14635</v>
      </c>
      <c r="AD2437" s="126" t="s">
        <v>131</v>
      </c>
      <c r="AE2437" s="126" t="s">
        <v>131</v>
      </c>
      <c r="AF2437" s="153">
        <v>210.0</v>
      </c>
      <c r="AG2437" s="333">
        <v>0.28</v>
      </c>
      <c r="AH2437" s="65" t="s">
        <v>208</v>
      </c>
      <c r="AI2437" s="126" t="s">
        <v>620</v>
      </c>
      <c r="AJ2437" s="498" t="s">
        <v>131</v>
      </c>
      <c r="AK2437" s="344" t="s">
        <v>131</v>
      </c>
      <c r="AL2437" s="65" t="s">
        <v>129</v>
      </c>
      <c r="AM2437" s="65" t="s">
        <v>130</v>
      </c>
      <c r="AN2437" s="65" t="s">
        <v>131</v>
      </c>
      <c r="AO2437" s="153">
        <v>795.0</v>
      </c>
      <c r="AP2437" s="333">
        <v>0.18</v>
      </c>
      <c r="AQ2437" s="65" t="s">
        <v>208</v>
      </c>
      <c r="AR2437" s="126" t="s">
        <v>806</v>
      </c>
      <c r="AS2437" s="1779">
        <v>0.05</v>
      </c>
      <c r="AT2437" s="1785" t="s">
        <v>128</v>
      </c>
      <c r="AU2437" s="1785" t="s">
        <v>129</v>
      </c>
      <c r="AV2437" s="65" t="s">
        <v>130</v>
      </c>
      <c r="AW2437" s="432" t="s">
        <v>14407</v>
      </c>
      <c r="AX2437" s="187" t="s">
        <v>144</v>
      </c>
      <c r="AY2437" s="65"/>
      <c r="AZ2437" s="284" t="s">
        <v>1263</v>
      </c>
    </row>
    <row r="2438">
      <c r="A2438" s="41">
        <v>2438.0</v>
      </c>
      <c r="B2438" s="126" t="s">
        <v>107</v>
      </c>
      <c r="C2438" s="59" t="s">
        <v>108</v>
      </c>
      <c r="D2438" s="59" t="s">
        <v>214</v>
      </c>
      <c r="F2438" s="65" t="s">
        <v>14636</v>
      </c>
      <c r="G2438" s="156" t="s">
        <v>14391</v>
      </c>
      <c r="H2438" s="156" t="s">
        <v>215</v>
      </c>
      <c r="I2438" s="149">
        <v>45760.0</v>
      </c>
      <c r="J2438" s="537">
        <v>45822.0</v>
      </c>
      <c r="K2438" s="156" t="s">
        <v>14637</v>
      </c>
      <c r="L2438" s="126" t="s">
        <v>14630</v>
      </c>
      <c r="M2438" s="156" t="s">
        <v>14631</v>
      </c>
      <c r="N2438" s="156" t="s">
        <v>14632</v>
      </c>
      <c r="O2438" s="126">
        <v>1.0</v>
      </c>
      <c r="P2438" s="379" t="s">
        <v>14633</v>
      </c>
      <c r="Q2438" s="49" t="str">
        <f t="array" ref="Q2438"> if(iserror(MATCH(V2438, 'File Links'!C:C, 0)), "N/A", HYPERLINK(INDEX('File Links'!B:B, MATCH(P2438, 'File Links'!C:C, 0))))</f>
        <v>https://drive.google.com/file/d/1VTr0wR67oXPqTspZFD2WLtwQCj0zXKrh/view?usp=drivesdk</v>
      </c>
      <c r="R2438" s="156" t="s">
        <v>14398</v>
      </c>
      <c r="S2438" s="156" t="s">
        <v>14399</v>
      </c>
      <c r="T2438" s="65"/>
      <c r="U2438" s="126">
        <v>1.0</v>
      </c>
      <c r="V2438" s="379" t="s">
        <v>14400</v>
      </c>
      <c r="W2438" s="292" t="s">
        <v>202</v>
      </c>
      <c r="X2438" s="51" t="str">
        <f t="array" ref="X2438"> if(iserror(MATCH(V2438, 'File Links'!C:C, 0)), "N/A", HYPERLINK(INDEX('File Links'!B:B, MATCH(V2438, 'File Links'!C:C, 0))))</f>
        <v>https://drive.google.com/file/d/17mZvRs3ue7pXwqu8bmIDvgNdc95PGEcV/view?usp=drivesdk</v>
      </c>
      <c r="Y2438" s="65"/>
      <c r="Z2438" s="156" t="s">
        <v>1072</v>
      </c>
      <c r="AA2438" s="126" t="s">
        <v>14638</v>
      </c>
      <c r="AB2438" s="156" t="s">
        <v>14402</v>
      </c>
      <c r="AC2438" s="156" t="s">
        <v>14639</v>
      </c>
      <c r="AD2438" s="126" t="s">
        <v>131</v>
      </c>
      <c r="AE2438" s="126" t="s">
        <v>131</v>
      </c>
      <c r="AF2438" s="153">
        <v>210.0</v>
      </c>
      <c r="AG2438" s="65" t="s">
        <v>14640</v>
      </c>
      <c r="AH2438" s="65" t="s">
        <v>208</v>
      </c>
      <c r="AI2438" s="126" t="s">
        <v>620</v>
      </c>
      <c r="AJ2438" s="498" t="s">
        <v>131</v>
      </c>
      <c r="AK2438" s="344" t="s">
        <v>131</v>
      </c>
      <c r="AL2438" s="65" t="s">
        <v>129</v>
      </c>
      <c r="AM2438" s="65" t="s">
        <v>130</v>
      </c>
      <c r="AN2438" s="65" t="s">
        <v>131</v>
      </c>
      <c r="AO2438" s="153">
        <v>795.0</v>
      </c>
      <c r="AP2438" s="65" t="s">
        <v>14641</v>
      </c>
      <c r="AQ2438" s="65" t="s">
        <v>208</v>
      </c>
      <c r="AR2438" s="126" t="s">
        <v>806</v>
      </c>
      <c r="AS2438" s="1779">
        <v>0.05</v>
      </c>
      <c r="AT2438" s="1785" t="s">
        <v>128</v>
      </c>
      <c r="AU2438" s="1785" t="s">
        <v>129</v>
      </c>
      <c r="AV2438" s="65" t="s">
        <v>130</v>
      </c>
      <c r="AW2438" s="432" t="s">
        <v>14407</v>
      </c>
      <c r="AX2438" s="187" t="s">
        <v>144</v>
      </c>
      <c r="AY2438" s="65"/>
      <c r="AZ2438" s="284" t="s">
        <v>1263</v>
      </c>
    </row>
    <row r="2439">
      <c r="A2439" s="41">
        <v>2439.0</v>
      </c>
      <c r="B2439" s="126" t="s">
        <v>107</v>
      </c>
      <c r="C2439" s="59" t="s">
        <v>108</v>
      </c>
      <c r="D2439" s="59" t="s">
        <v>214</v>
      </c>
      <c r="F2439" s="43" t="s">
        <v>14642</v>
      </c>
      <c r="G2439" s="357" t="s">
        <v>14391</v>
      </c>
      <c r="H2439" s="357" t="s">
        <v>215</v>
      </c>
      <c r="I2439" s="341">
        <v>45761.0</v>
      </c>
      <c r="J2439" s="537">
        <v>45822.0</v>
      </c>
      <c r="K2439" s="156" t="s">
        <v>14643</v>
      </c>
      <c r="L2439" s="126" t="s">
        <v>14644</v>
      </c>
      <c r="M2439" s="156" t="s">
        <v>14645</v>
      </c>
      <c r="N2439" s="156" t="s">
        <v>14646</v>
      </c>
      <c r="O2439" s="126">
        <v>1.0</v>
      </c>
      <c r="P2439" s="379" t="s">
        <v>14647</v>
      </c>
      <c r="Q2439" s="49" t="s">
        <v>14648</v>
      </c>
      <c r="R2439" s="357" t="s">
        <v>14398</v>
      </c>
      <c r="S2439" s="357" t="s">
        <v>14399</v>
      </c>
      <c r="T2439" s="43"/>
      <c r="U2439" s="53">
        <v>1.0</v>
      </c>
      <c r="V2439" s="379" t="s">
        <v>14400</v>
      </c>
      <c r="W2439" s="292" t="s">
        <v>202</v>
      </c>
      <c r="X2439" s="51" t="str">
        <f t="array" ref="X2439"> if(iserror(MATCH(V2439, 'File Links'!C:C, 0)), "N/A", HYPERLINK(INDEX('File Links'!B:B, MATCH(V2439, 'File Links'!C:C, 0))))</f>
        <v>https://drive.google.com/file/d/17mZvRs3ue7pXwqu8bmIDvgNdc95PGEcV/view?usp=drivesdk</v>
      </c>
      <c r="Y2439" s="43"/>
      <c r="Z2439" s="357" t="s">
        <v>1072</v>
      </c>
      <c r="AA2439" s="126" t="s">
        <v>14649</v>
      </c>
      <c r="AB2439" s="156" t="s">
        <v>14402</v>
      </c>
      <c r="AC2439" s="156" t="s">
        <v>14650</v>
      </c>
      <c r="AD2439" s="126" t="s">
        <v>14651</v>
      </c>
      <c r="AE2439" s="498" t="s">
        <v>3885</v>
      </c>
      <c r="AF2439" s="354">
        <v>712.0</v>
      </c>
      <c r="AG2439" s="382">
        <v>0.32</v>
      </c>
      <c r="AH2439" s="43" t="s">
        <v>208</v>
      </c>
      <c r="AI2439" s="126" t="s">
        <v>14652</v>
      </c>
      <c r="AJ2439" s="344" t="s">
        <v>131</v>
      </c>
      <c r="AK2439" s="344" t="s">
        <v>131</v>
      </c>
      <c r="AL2439" s="65" t="s">
        <v>179</v>
      </c>
      <c r="AM2439" s="65" t="s">
        <v>130</v>
      </c>
      <c r="AN2439" s="43" t="s">
        <v>131</v>
      </c>
      <c r="AO2439" s="354">
        <v>1154.0</v>
      </c>
      <c r="AP2439" s="382">
        <v>0.01</v>
      </c>
      <c r="AQ2439" s="43" t="s">
        <v>208</v>
      </c>
      <c r="AR2439" s="43" t="s">
        <v>843</v>
      </c>
      <c r="AS2439" s="2110">
        <v>0.824762264458846</v>
      </c>
      <c r="AT2439" s="1785" t="s">
        <v>165</v>
      </c>
      <c r="AU2439" s="1785" t="s">
        <v>129</v>
      </c>
      <c r="AV2439" s="43" t="s">
        <v>130</v>
      </c>
      <c r="AW2439" s="56" t="s">
        <v>14407</v>
      </c>
      <c r="AX2439" s="43" t="s">
        <v>136</v>
      </c>
      <c r="AY2439" s="43"/>
      <c r="AZ2439" s="284" t="s">
        <v>1263</v>
      </c>
    </row>
    <row r="2440">
      <c r="A2440" s="41">
        <v>2440.0</v>
      </c>
      <c r="B2440" s="126" t="s">
        <v>107</v>
      </c>
      <c r="C2440" s="59" t="s">
        <v>108</v>
      </c>
      <c r="D2440" s="59" t="s">
        <v>214</v>
      </c>
      <c r="F2440" s="43" t="s">
        <v>14653</v>
      </c>
      <c r="G2440" s="357" t="s">
        <v>14391</v>
      </c>
      <c r="H2440" s="357" t="s">
        <v>215</v>
      </c>
      <c r="I2440" s="341">
        <v>45761.0</v>
      </c>
      <c r="J2440" s="537">
        <v>45822.0</v>
      </c>
      <c r="K2440" s="156" t="s">
        <v>14654</v>
      </c>
      <c r="L2440" s="126" t="s">
        <v>14644</v>
      </c>
      <c r="M2440" s="156" t="s">
        <v>14645</v>
      </c>
      <c r="N2440" s="156" t="s">
        <v>14646</v>
      </c>
      <c r="O2440" s="126">
        <v>1.0</v>
      </c>
      <c r="P2440" s="379" t="s">
        <v>14647</v>
      </c>
      <c r="Q2440" s="105" t="s">
        <v>14655</v>
      </c>
      <c r="R2440" s="357" t="s">
        <v>14398</v>
      </c>
      <c r="S2440" s="357" t="s">
        <v>14399</v>
      </c>
      <c r="T2440" s="43"/>
      <c r="U2440" s="53">
        <v>1.0</v>
      </c>
      <c r="V2440" s="379" t="s">
        <v>14400</v>
      </c>
      <c r="W2440" s="292" t="s">
        <v>202</v>
      </c>
      <c r="X2440" s="51" t="str">
        <f t="array" ref="X2440"> if(iserror(MATCH(V2440, 'File Links'!C:C, 0)), "N/A", HYPERLINK(INDEX('File Links'!B:B, MATCH(V2440, 'File Links'!C:C, 0))))</f>
        <v>https://drive.google.com/file/d/17mZvRs3ue7pXwqu8bmIDvgNdc95PGEcV/view?usp=drivesdk</v>
      </c>
      <c r="Y2440" s="43"/>
      <c r="Z2440" s="357" t="s">
        <v>1072</v>
      </c>
      <c r="AA2440" s="126" t="s">
        <v>14656</v>
      </c>
      <c r="AB2440" s="156" t="s">
        <v>14402</v>
      </c>
      <c r="AC2440" s="156" t="s">
        <v>14657</v>
      </c>
      <c r="AD2440" s="126" t="s">
        <v>14658</v>
      </c>
      <c r="AE2440" s="498" t="s">
        <v>3885</v>
      </c>
      <c r="AF2440" s="354">
        <v>712.0</v>
      </c>
      <c r="AG2440" s="382">
        <v>0.25</v>
      </c>
      <c r="AH2440" s="43" t="s">
        <v>208</v>
      </c>
      <c r="AI2440" s="126" t="s">
        <v>14652</v>
      </c>
      <c r="AJ2440" s="344" t="s">
        <v>131</v>
      </c>
      <c r="AK2440" s="344" t="s">
        <v>131</v>
      </c>
      <c r="AL2440" s="65" t="s">
        <v>179</v>
      </c>
      <c r="AM2440" s="65" t="s">
        <v>130</v>
      </c>
      <c r="AN2440" s="43" t="s">
        <v>131</v>
      </c>
      <c r="AO2440" s="354">
        <v>1154.0</v>
      </c>
      <c r="AP2440" s="382">
        <v>0.09</v>
      </c>
      <c r="AQ2440" s="43" t="s">
        <v>208</v>
      </c>
      <c r="AR2440" s="43" t="s">
        <v>843</v>
      </c>
      <c r="AS2440" s="2110">
        <v>0.00269592163043994</v>
      </c>
      <c r="AT2440" s="1785" t="s">
        <v>165</v>
      </c>
      <c r="AU2440" s="1785" t="s">
        <v>129</v>
      </c>
      <c r="AV2440" s="43" t="s">
        <v>130</v>
      </c>
      <c r="AW2440" s="56" t="s">
        <v>14407</v>
      </c>
      <c r="AX2440" s="43" t="s">
        <v>136</v>
      </c>
      <c r="AY2440" s="43"/>
      <c r="AZ2440" s="284" t="s">
        <v>1263</v>
      </c>
    </row>
    <row r="2441">
      <c r="A2441" s="41">
        <v>2441.0</v>
      </c>
      <c r="B2441" s="126" t="s">
        <v>516</v>
      </c>
      <c r="C2441" s="59" t="s">
        <v>108</v>
      </c>
      <c r="D2441" s="59" t="s">
        <v>214</v>
      </c>
      <c r="F2441" s="65" t="s">
        <v>14659</v>
      </c>
      <c r="G2441" s="156" t="s">
        <v>14391</v>
      </c>
      <c r="H2441" s="156" t="s">
        <v>215</v>
      </c>
      <c r="I2441" s="149">
        <v>45761.0</v>
      </c>
      <c r="J2441" s="859"/>
      <c r="K2441" s="156" t="s">
        <v>14660</v>
      </c>
      <c r="L2441" s="65"/>
      <c r="M2441" s="156" t="s">
        <v>14661</v>
      </c>
      <c r="N2441" s="156" t="s">
        <v>14662</v>
      </c>
      <c r="O2441" s="65"/>
      <c r="P2441" s="379" t="s">
        <v>14663</v>
      </c>
      <c r="Q2441" s="49" t="str">
        <f t="array" ref="Q2441"> if(iserror(MATCH(V2441, 'File Links'!C:C, 0)), "N/A", HYPERLINK(INDEX('File Links'!B:B, MATCH(P2441, 'File Links'!C:C, 0))))</f>
        <v>https://drive.google.com/file/d/1L_UrUn7iF547GceUM9sV402LJMhvz5p-/view?usp=drivesdk</v>
      </c>
      <c r="R2441" s="156" t="s">
        <v>14398</v>
      </c>
      <c r="S2441" s="156" t="s">
        <v>14399</v>
      </c>
      <c r="T2441" s="65"/>
      <c r="U2441" s="65"/>
      <c r="V2441" s="379" t="s">
        <v>14400</v>
      </c>
      <c r="W2441" s="292" t="s">
        <v>202</v>
      </c>
      <c r="X2441" s="51" t="str">
        <f t="array" ref="X2441"> if(iserror(MATCH(V2441, 'File Links'!C:C, 0)), "N/A", HYPERLINK(INDEX('File Links'!B:B, MATCH(V2441, 'File Links'!C:C, 0))))</f>
        <v>https://drive.google.com/file/d/17mZvRs3ue7pXwqu8bmIDvgNdc95PGEcV/view?usp=drivesdk</v>
      </c>
      <c r="Y2441" s="65"/>
      <c r="Z2441" s="156" t="s">
        <v>1072</v>
      </c>
      <c r="AA2441" s="65"/>
      <c r="AB2441" s="156" t="s">
        <v>14402</v>
      </c>
      <c r="AC2441" s="156" t="s">
        <v>14664</v>
      </c>
      <c r="AD2441" s="65" t="s">
        <v>14665</v>
      </c>
      <c r="AE2441" s="65" t="s">
        <v>806</v>
      </c>
      <c r="AF2441" s="333">
        <v>945.0</v>
      </c>
      <c r="AG2441" s="65"/>
      <c r="AH2441" s="65"/>
      <c r="AI2441" s="65" t="s">
        <v>806</v>
      </c>
      <c r="AJ2441" s="65"/>
      <c r="AK2441" s="65"/>
      <c r="AL2441" s="65"/>
      <c r="AM2441" s="65"/>
      <c r="AN2441" s="65" t="s">
        <v>131</v>
      </c>
      <c r="AO2441" s="153">
        <v>1098.0</v>
      </c>
      <c r="AP2441" s="333">
        <v>0.12</v>
      </c>
      <c r="AQ2441" s="65" t="s">
        <v>208</v>
      </c>
      <c r="AR2441" s="43" t="s">
        <v>843</v>
      </c>
      <c r="AS2441" s="1783">
        <v>0.001</v>
      </c>
      <c r="AT2441" s="1785" t="s">
        <v>128</v>
      </c>
      <c r="AU2441" s="1785" t="s">
        <v>129</v>
      </c>
      <c r="AV2441" s="65" t="s">
        <v>130</v>
      </c>
      <c r="AW2441" s="432" t="s">
        <v>14407</v>
      </c>
      <c r="AX2441" s="65" t="s">
        <v>144</v>
      </c>
      <c r="AY2441" s="65"/>
      <c r="AZ2441" s="59" t="s">
        <v>14666</v>
      </c>
    </row>
    <row r="2442">
      <c r="A2442" s="41">
        <v>2442.0</v>
      </c>
      <c r="B2442" s="126" t="s">
        <v>516</v>
      </c>
      <c r="C2442" s="59" t="s">
        <v>108</v>
      </c>
      <c r="D2442" s="59" t="s">
        <v>214</v>
      </c>
      <c r="F2442" s="65" t="s">
        <v>14667</v>
      </c>
      <c r="G2442" s="156" t="s">
        <v>14391</v>
      </c>
      <c r="H2442" s="156" t="s">
        <v>215</v>
      </c>
      <c r="I2442" s="149">
        <v>45762.0</v>
      </c>
      <c r="J2442" s="859"/>
      <c r="K2442" s="65" t="s">
        <v>14668</v>
      </c>
      <c r="L2442" s="65"/>
      <c r="M2442" s="156" t="s">
        <v>14669</v>
      </c>
      <c r="N2442" s="156" t="s">
        <v>14670</v>
      </c>
      <c r="O2442" s="65"/>
      <c r="P2442" s="379" t="s">
        <v>14671</v>
      </c>
      <c r="Q2442" s="49" t="str">
        <f t="array" ref="Q2442"> if(iserror(MATCH(V2442, 'File Links'!C:C, 0)), "N/A", HYPERLINK(INDEX('File Links'!B:B, MATCH(P2442, 'File Links'!C:C, 0))))</f>
        <v>https://drive.google.com/file/d/1aykdUrdNDQMd7IVvqNy3V_z8BwKq0YuV/view?usp=drivesdk</v>
      </c>
      <c r="R2442" s="156" t="s">
        <v>14398</v>
      </c>
      <c r="S2442" s="156" t="s">
        <v>14399</v>
      </c>
      <c r="T2442" s="65"/>
      <c r="U2442" s="65"/>
      <c r="V2442" s="379" t="s">
        <v>14400</v>
      </c>
      <c r="W2442" s="292" t="s">
        <v>202</v>
      </c>
      <c r="X2442" s="51" t="str">
        <f t="array" ref="X2442"> if(iserror(MATCH(V2442, 'File Links'!C:C, 0)), "N/A", HYPERLINK(INDEX('File Links'!B:B, MATCH(V2442, 'File Links'!C:C, 0))))</f>
        <v>https://drive.google.com/file/d/17mZvRs3ue7pXwqu8bmIDvgNdc95PGEcV/view?usp=drivesdk</v>
      </c>
      <c r="Y2442" s="65"/>
      <c r="Z2442" s="156" t="s">
        <v>1072</v>
      </c>
      <c r="AA2442" s="65"/>
      <c r="AB2442" s="156" t="s">
        <v>14402</v>
      </c>
      <c r="AC2442" s="156" t="s">
        <v>14672</v>
      </c>
      <c r="AD2442" s="65" t="s">
        <v>14673</v>
      </c>
      <c r="AE2442" s="65" t="s">
        <v>843</v>
      </c>
      <c r="AF2442" s="153">
        <v>725.0</v>
      </c>
      <c r="AG2442" s="333">
        <v>0.25</v>
      </c>
      <c r="AH2442" s="65" t="s">
        <v>208</v>
      </c>
      <c r="AI2442" s="65" t="s">
        <v>843</v>
      </c>
      <c r="AJ2442" s="333">
        <v>0.001</v>
      </c>
      <c r="AK2442" s="65" t="s">
        <v>128</v>
      </c>
      <c r="AL2442" s="65" t="s">
        <v>129</v>
      </c>
      <c r="AM2442" s="65" t="s">
        <v>130</v>
      </c>
      <c r="AN2442" s="65" t="s">
        <v>131</v>
      </c>
      <c r="AO2442" s="153">
        <v>1503.0</v>
      </c>
      <c r="AP2442" s="333">
        <v>0.15</v>
      </c>
      <c r="AQ2442" s="65" t="s">
        <v>208</v>
      </c>
      <c r="AR2442" s="65" t="s">
        <v>806</v>
      </c>
      <c r="AS2442" s="1783">
        <v>0.001</v>
      </c>
      <c r="AT2442" s="1785" t="s">
        <v>128</v>
      </c>
      <c r="AU2442" s="1785" t="s">
        <v>129</v>
      </c>
      <c r="AV2442" s="65" t="s">
        <v>130</v>
      </c>
      <c r="AW2442" s="432" t="s">
        <v>14407</v>
      </c>
      <c r="AX2442" s="65" t="s">
        <v>136</v>
      </c>
      <c r="AY2442" s="65"/>
      <c r="AZ2442" s="59" t="s">
        <v>14666</v>
      </c>
    </row>
    <row r="2443">
      <c r="A2443" s="41">
        <v>2443.0</v>
      </c>
      <c r="B2443" s="126" t="s">
        <v>516</v>
      </c>
      <c r="C2443" s="59" t="s">
        <v>108</v>
      </c>
      <c r="D2443" s="59" t="s">
        <v>214</v>
      </c>
      <c r="F2443" s="65" t="s">
        <v>14674</v>
      </c>
      <c r="G2443" s="156" t="s">
        <v>14391</v>
      </c>
      <c r="H2443" s="156" t="s">
        <v>215</v>
      </c>
      <c r="I2443" s="149">
        <v>45762.0</v>
      </c>
      <c r="J2443" s="859"/>
      <c r="K2443" s="65" t="s">
        <v>14675</v>
      </c>
      <c r="L2443" s="65"/>
      <c r="M2443" s="156" t="s">
        <v>14669</v>
      </c>
      <c r="N2443" s="156" t="s">
        <v>14670</v>
      </c>
      <c r="O2443" s="65"/>
      <c r="P2443" s="379" t="s">
        <v>14671</v>
      </c>
      <c r="Q2443" s="49" t="str">
        <f t="array" ref="Q2443"> if(iserror(MATCH(V2443, 'File Links'!C:C, 0)), "N/A", HYPERLINK(INDEX('File Links'!B:B, MATCH(P2443, 'File Links'!C:C, 0))))</f>
        <v>https://drive.google.com/file/d/1aykdUrdNDQMd7IVvqNy3V_z8BwKq0YuV/view?usp=drivesdk</v>
      </c>
      <c r="R2443" s="156" t="s">
        <v>14398</v>
      </c>
      <c r="S2443" s="156" t="s">
        <v>14399</v>
      </c>
      <c r="T2443" s="65"/>
      <c r="U2443" s="65"/>
      <c r="V2443" s="379" t="s">
        <v>14400</v>
      </c>
      <c r="W2443" s="292" t="s">
        <v>202</v>
      </c>
      <c r="X2443" s="51" t="str">
        <f t="array" ref="X2443"> if(iserror(MATCH(V2443, 'File Links'!C:C, 0)), "N/A", HYPERLINK(INDEX('File Links'!B:B, MATCH(V2443, 'File Links'!C:C, 0))))</f>
        <v>https://drive.google.com/file/d/17mZvRs3ue7pXwqu8bmIDvgNdc95PGEcV/view?usp=drivesdk</v>
      </c>
      <c r="Y2443" s="65"/>
      <c r="Z2443" s="156" t="s">
        <v>1072</v>
      </c>
      <c r="AA2443" s="65"/>
      <c r="AB2443" s="156" t="s">
        <v>14402</v>
      </c>
      <c r="AC2443" s="156" t="s">
        <v>14676</v>
      </c>
      <c r="AD2443" s="65" t="s">
        <v>14677</v>
      </c>
      <c r="AE2443" s="65" t="s">
        <v>843</v>
      </c>
      <c r="AF2443" s="153">
        <v>725.0</v>
      </c>
      <c r="AG2443" s="333">
        <v>0.3</v>
      </c>
      <c r="AH2443" s="65" t="s">
        <v>208</v>
      </c>
      <c r="AI2443" s="65" t="s">
        <v>843</v>
      </c>
      <c r="AJ2443" s="333">
        <v>0.001</v>
      </c>
      <c r="AK2443" s="65" t="s">
        <v>128</v>
      </c>
      <c r="AL2443" s="65" t="s">
        <v>129</v>
      </c>
      <c r="AM2443" s="65" t="s">
        <v>130</v>
      </c>
      <c r="AN2443" s="65" t="s">
        <v>131</v>
      </c>
      <c r="AO2443" s="153">
        <v>1503.0</v>
      </c>
      <c r="AP2443" s="333">
        <v>0.41</v>
      </c>
      <c r="AQ2443" s="65" t="s">
        <v>208</v>
      </c>
      <c r="AR2443" s="65" t="s">
        <v>806</v>
      </c>
      <c r="AS2443" s="1783">
        <v>0.001</v>
      </c>
      <c r="AT2443" s="1785" t="s">
        <v>128</v>
      </c>
      <c r="AU2443" s="1785" t="s">
        <v>129</v>
      </c>
      <c r="AV2443" s="65" t="s">
        <v>130</v>
      </c>
      <c r="AW2443" s="432" t="s">
        <v>14407</v>
      </c>
      <c r="AX2443" s="65" t="s">
        <v>136</v>
      </c>
      <c r="AY2443" s="65"/>
      <c r="AZ2443" s="59" t="s">
        <v>14666</v>
      </c>
    </row>
    <row r="2444">
      <c r="A2444" s="41">
        <v>2444.0</v>
      </c>
      <c r="B2444" s="126" t="s">
        <v>516</v>
      </c>
      <c r="C2444" s="59" t="s">
        <v>108</v>
      </c>
      <c r="D2444" s="59" t="s">
        <v>214</v>
      </c>
      <c r="F2444" s="65" t="s">
        <v>14678</v>
      </c>
      <c r="G2444" s="156" t="s">
        <v>14391</v>
      </c>
      <c r="H2444" s="156" t="s">
        <v>215</v>
      </c>
      <c r="I2444" s="149">
        <v>45762.0</v>
      </c>
      <c r="J2444" s="859"/>
      <c r="K2444" s="65" t="s">
        <v>14679</v>
      </c>
      <c r="L2444" s="65"/>
      <c r="M2444" s="156" t="s">
        <v>14669</v>
      </c>
      <c r="N2444" s="156" t="s">
        <v>14670</v>
      </c>
      <c r="O2444" s="65"/>
      <c r="P2444" s="379" t="s">
        <v>14671</v>
      </c>
      <c r="Q2444" s="49" t="str">
        <f t="array" ref="Q2444"> if(iserror(MATCH(V2444, 'File Links'!C:C, 0)), "N/A", HYPERLINK(INDEX('File Links'!B:B, MATCH(P2444, 'File Links'!C:C, 0))))</f>
        <v>https://drive.google.com/file/d/1aykdUrdNDQMd7IVvqNy3V_z8BwKq0YuV/view?usp=drivesdk</v>
      </c>
      <c r="R2444" s="156" t="s">
        <v>14398</v>
      </c>
      <c r="S2444" s="156" t="s">
        <v>14399</v>
      </c>
      <c r="T2444" s="65"/>
      <c r="U2444" s="65"/>
      <c r="V2444" s="379" t="s">
        <v>14400</v>
      </c>
      <c r="W2444" s="292" t="s">
        <v>202</v>
      </c>
      <c r="X2444" s="51" t="str">
        <f t="array" ref="X2444"> if(iserror(MATCH(V2444, 'File Links'!C:C, 0)), "N/A", HYPERLINK(INDEX('File Links'!B:B, MATCH(V2444, 'File Links'!C:C, 0))))</f>
        <v>https://drive.google.com/file/d/17mZvRs3ue7pXwqu8bmIDvgNdc95PGEcV/view?usp=drivesdk</v>
      </c>
      <c r="Y2444" s="65"/>
      <c r="Z2444" s="156" t="s">
        <v>1072</v>
      </c>
      <c r="AA2444" s="65"/>
      <c r="AB2444" s="156" t="s">
        <v>14402</v>
      </c>
      <c r="AC2444" s="156" t="s">
        <v>14680</v>
      </c>
      <c r="AD2444" s="65" t="s">
        <v>14681</v>
      </c>
      <c r="AE2444" s="65" t="s">
        <v>843</v>
      </c>
      <c r="AF2444" s="153">
        <v>725.0</v>
      </c>
      <c r="AG2444" s="333">
        <v>0.16</v>
      </c>
      <c r="AH2444" s="65" t="s">
        <v>208</v>
      </c>
      <c r="AI2444" s="65" t="s">
        <v>843</v>
      </c>
      <c r="AJ2444" s="333">
        <v>0.001</v>
      </c>
      <c r="AK2444" s="65" t="s">
        <v>128</v>
      </c>
      <c r="AL2444" s="65" t="s">
        <v>129</v>
      </c>
      <c r="AM2444" s="65" t="s">
        <v>130</v>
      </c>
      <c r="AN2444" s="65" t="s">
        <v>131</v>
      </c>
      <c r="AO2444" s="153">
        <v>1503.0</v>
      </c>
      <c r="AP2444" s="333">
        <v>0.15</v>
      </c>
      <c r="AQ2444" s="65" t="s">
        <v>208</v>
      </c>
      <c r="AR2444" s="65" t="s">
        <v>806</v>
      </c>
      <c r="AS2444" s="1783">
        <v>0.001</v>
      </c>
      <c r="AT2444" s="1785" t="s">
        <v>128</v>
      </c>
      <c r="AU2444" s="1785" t="s">
        <v>129</v>
      </c>
      <c r="AV2444" s="65" t="s">
        <v>130</v>
      </c>
      <c r="AW2444" s="432" t="s">
        <v>14407</v>
      </c>
      <c r="AX2444" s="65" t="s">
        <v>136</v>
      </c>
      <c r="AY2444" s="65"/>
      <c r="AZ2444" s="59" t="s">
        <v>14666</v>
      </c>
    </row>
    <row r="2445">
      <c r="A2445" s="41">
        <v>2445.0</v>
      </c>
      <c r="B2445" s="126" t="s">
        <v>516</v>
      </c>
      <c r="C2445" s="59" t="s">
        <v>108</v>
      </c>
      <c r="D2445" s="59" t="s">
        <v>214</v>
      </c>
      <c r="F2445" s="65" t="s">
        <v>14682</v>
      </c>
      <c r="G2445" s="156" t="s">
        <v>14391</v>
      </c>
      <c r="H2445" s="156" t="s">
        <v>215</v>
      </c>
      <c r="I2445" s="149">
        <v>45762.0</v>
      </c>
      <c r="J2445" s="859"/>
      <c r="K2445" s="65" t="s">
        <v>14683</v>
      </c>
      <c r="L2445" s="65"/>
      <c r="M2445" s="156" t="s">
        <v>14669</v>
      </c>
      <c r="N2445" s="156" t="s">
        <v>14670</v>
      </c>
      <c r="O2445" s="65"/>
      <c r="P2445" s="379" t="s">
        <v>14671</v>
      </c>
      <c r="Q2445" s="49" t="str">
        <f t="array" ref="Q2445"> if(iserror(MATCH(V2445, 'File Links'!C:C, 0)), "N/A", HYPERLINK(INDEX('File Links'!B:B, MATCH(P2445, 'File Links'!C:C, 0))))</f>
        <v>https://drive.google.com/file/d/1aykdUrdNDQMd7IVvqNy3V_z8BwKq0YuV/view?usp=drivesdk</v>
      </c>
      <c r="R2445" s="156" t="s">
        <v>14398</v>
      </c>
      <c r="S2445" s="156" t="s">
        <v>14399</v>
      </c>
      <c r="T2445" s="65"/>
      <c r="U2445" s="65"/>
      <c r="V2445" s="379" t="s">
        <v>14400</v>
      </c>
      <c r="W2445" s="292" t="s">
        <v>202</v>
      </c>
      <c r="X2445" s="51" t="str">
        <f t="array" ref="X2445"> if(iserror(MATCH(V2445, 'File Links'!C:C, 0)), "N/A", HYPERLINK(INDEX('File Links'!B:B, MATCH(V2445, 'File Links'!C:C, 0))))</f>
        <v>https://drive.google.com/file/d/17mZvRs3ue7pXwqu8bmIDvgNdc95PGEcV/view?usp=drivesdk</v>
      </c>
      <c r="Y2445" s="65"/>
      <c r="Z2445" s="156" t="s">
        <v>1072</v>
      </c>
      <c r="AA2445" s="65"/>
      <c r="AB2445" s="156" t="s">
        <v>14402</v>
      </c>
      <c r="AC2445" s="156" t="s">
        <v>14684</v>
      </c>
      <c r="AD2445" s="65" t="s">
        <v>14685</v>
      </c>
      <c r="AE2445" s="65" t="s">
        <v>843</v>
      </c>
      <c r="AF2445" s="153">
        <v>725.0</v>
      </c>
      <c r="AG2445" s="333">
        <v>0.11</v>
      </c>
      <c r="AH2445" s="65" t="s">
        <v>208</v>
      </c>
      <c r="AI2445" s="65" t="s">
        <v>843</v>
      </c>
      <c r="AJ2445" s="333">
        <v>0.05</v>
      </c>
      <c r="AK2445" s="65" t="s">
        <v>128</v>
      </c>
      <c r="AL2445" s="65" t="s">
        <v>129</v>
      </c>
      <c r="AM2445" s="65" t="s">
        <v>130</v>
      </c>
      <c r="AN2445" s="65" t="s">
        <v>131</v>
      </c>
      <c r="AO2445" s="153">
        <v>1503.0</v>
      </c>
      <c r="AP2445" s="333">
        <v>0.08</v>
      </c>
      <c r="AQ2445" s="65" t="s">
        <v>208</v>
      </c>
      <c r="AR2445" s="65" t="s">
        <v>806</v>
      </c>
      <c r="AS2445" s="1783">
        <v>0.001</v>
      </c>
      <c r="AT2445" s="1785" t="s">
        <v>128</v>
      </c>
      <c r="AU2445" s="1785" t="s">
        <v>129</v>
      </c>
      <c r="AV2445" s="65" t="s">
        <v>130</v>
      </c>
      <c r="AW2445" s="432" t="s">
        <v>14407</v>
      </c>
      <c r="AX2445" s="65" t="s">
        <v>136</v>
      </c>
      <c r="AY2445" s="65"/>
      <c r="AZ2445" s="59" t="s">
        <v>14666</v>
      </c>
    </row>
    <row r="2446">
      <c r="A2446" s="41">
        <v>2446.0</v>
      </c>
      <c r="B2446" s="126" t="s">
        <v>516</v>
      </c>
      <c r="C2446" s="59" t="s">
        <v>108</v>
      </c>
      <c r="D2446" s="59" t="s">
        <v>214</v>
      </c>
      <c r="F2446" s="65" t="s">
        <v>14686</v>
      </c>
      <c r="G2446" s="156" t="s">
        <v>14391</v>
      </c>
      <c r="H2446" s="156" t="s">
        <v>215</v>
      </c>
      <c r="I2446" s="149">
        <v>45762.0</v>
      </c>
      <c r="J2446" s="859"/>
      <c r="K2446" s="65" t="s">
        <v>14687</v>
      </c>
      <c r="L2446" s="65"/>
      <c r="M2446" s="156" t="s">
        <v>14669</v>
      </c>
      <c r="N2446" s="156" t="s">
        <v>14670</v>
      </c>
      <c r="O2446" s="65"/>
      <c r="P2446" s="379" t="s">
        <v>14671</v>
      </c>
      <c r="Q2446" s="49" t="str">
        <f t="array" ref="Q2446"> if(iserror(MATCH(V2446, 'File Links'!C:C, 0)), "N/A", HYPERLINK(INDEX('File Links'!B:B, MATCH(P2446, 'File Links'!C:C, 0))))</f>
        <v>https://drive.google.com/file/d/1aykdUrdNDQMd7IVvqNy3V_z8BwKq0YuV/view?usp=drivesdk</v>
      </c>
      <c r="R2446" s="156" t="s">
        <v>14398</v>
      </c>
      <c r="S2446" s="156" t="s">
        <v>14399</v>
      </c>
      <c r="T2446" s="65"/>
      <c r="U2446" s="65"/>
      <c r="V2446" s="379" t="s">
        <v>14400</v>
      </c>
      <c r="W2446" s="292" t="s">
        <v>202</v>
      </c>
      <c r="X2446" s="51" t="str">
        <f t="array" ref="X2446"> if(iserror(MATCH(V2446, 'File Links'!C:C, 0)), "N/A", HYPERLINK(INDEX('File Links'!B:B, MATCH(V2446, 'File Links'!C:C, 0))))</f>
        <v>https://drive.google.com/file/d/17mZvRs3ue7pXwqu8bmIDvgNdc95PGEcV/view?usp=drivesdk</v>
      </c>
      <c r="Y2446" s="65"/>
      <c r="Z2446" s="156" t="s">
        <v>1072</v>
      </c>
      <c r="AA2446" s="65"/>
      <c r="AB2446" s="156" t="s">
        <v>14402</v>
      </c>
      <c r="AC2446" s="156" t="s">
        <v>14688</v>
      </c>
      <c r="AD2446" s="65" t="s">
        <v>14689</v>
      </c>
      <c r="AE2446" s="65" t="s">
        <v>843</v>
      </c>
      <c r="AF2446" s="153">
        <v>725.0</v>
      </c>
      <c r="AG2446" s="333">
        <v>0.16</v>
      </c>
      <c r="AH2446" s="65" t="s">
        <v>208</v>
      </c>
      <c r="AI2446" s="65" t="s">
        <v>843</v>
      </c>
      <c r="AJ2446" s="333">
        <v>0.01</v>
      </c>
      <c r="AK2446" s="65" t="s">
        <v>128</v>
      </c>
      <c r="AL2446" s="65" t="s">
        <v>129</v>
      </c>
      <c r="AM2446" s="65" t="s">
        <v>130</v>
      </c>
      <c r="AN2446" s="65" t="s">
        <v>131</v>
      </c>
      <c r="AO2446" s="153">
        <v>1503.0</v>
      </c>
      <c r="AP2446" s="333">
        <v>0.18</v>
      </c>
      <c r="AQ2446" s="65" t="s">
        <v>208</v>
      </c>
      <c r="AR2446" s="65" t="s">
        <v>806</v>
      </c>
      <c r="AS2446" s="1783">
        <v>0.001</v>
      </c>
      <c r="AT2446" s="1785" t="s">
        <v>128</v>
      </c>
      <c r="AU2446" s="1785" t="s">
        <v>129</v>
      </c>
      <c r="AV2446" s="65" t="s">
        <v>130</v>
      </c>
      <c r="AW2446" s="432" t="s">
        <v>14407</v>
      </c>
      <c r="AX2446" s="65" t="s">
        <v>136</v>
      </c>
      <c r="AY2446" s="65"/>
      <c r="AZ2446" s="59" t="s">
        <v>14666</v>
      </c>
    </row>
    <row r="2447">
      <c r="A2447" s="41">
        <v>2447.0</v>
      </c>
      <c r="B2447" s="126" t="s">
        <v>516</v>
      </c>
      <c r="C2447" s="59" t="s">
        <v>108</v>
      </c>
      <c r="D2447" s="59" t="s">
        <v>214</v>
      </c>
      <c r="F2447" s="65" t="s">
        <v>14690</v>
      </c>
      <c r="G2447" s="156" t="s">
        <v>14391</v>
      </c>
      <c r="H2447" s="156" t="s">
        <v>215</v>
      </c>
      <c r="I2447" s="149">
        <v>45763.0</v>
      </c>
      <c r="J2447" s="859"/>
      <c r="K2447" s="65" t="s">
        <v>14691</v>
      </c>
      <c r="L2447" s="65"/>
      <c r="M2447" s="156" t="s">
        <v>14692</v>
      </c>
      <c r="N2447" s="156" t="s">
        <v>14693</v>
      </c>
      <c r="O2447" s="65"/>
      <c r="P2447" s="379" t="s">
        <v>14694</v>
      </c>
      <c r="Q2447" s="49" t="str">
        <f t="array" ref="Q2447"> if(iserror(MATCH(V2447, 'File Links'!C:C, 0)), "N/A", HYPERLINK(INDEX('File Links'!B:B, MATCH(P2447, 'File Links'!C:C, 0))))</f>
        <v>https://drive.google.com/file/d/1Ey8YE267IkJvJPhLMe73j6CWvGwENA3f/view?usp=drivesdk</v>
      </c>
      <c r="R2447" s="156" t="s">
        <v>14398</v>
      </c>
      <c r="S2447" s="156" t="s">
        <v>14399</v>
      </c>
      <c r="T2447" s="65"/>
      <c r="U2447" s="65"/>
      <c r="V2447" s="379" t="s">
        <v>14400</v>
      </c>
      <c r="W2447" s="292" t="s">
        <v>202</v>
      </c>
      <c r="X2447" s="51" t="str">
        <f t="array" ref="X2447"> if(iserror(MATCH(V2447, 'File Links'!C:C, 0)), "N/A", HYPERLINK(INDEX('File Links'!B:B, MATCH(V2447, 'File Links'!C:C, 0))))</f>
        <v>https://drive.google.com/file/d/17mZvRs3ue7pXwqu8bmIDvgNdc95PGEcV/view?usp=drivesdk</v>
      </c>
      <c r="Y2447" s="65"/>
      <c r="Z2447" s="156" t="s">
        <v>1072</v>
      </c>
      <c r="AA2447" s="65"/>
      <c r="AB2447" s="156" t="s">
        <v>14402</v>
      </c>
      <c r="AC2447" s="156" t="s">
        <v>14695</v>
      </c>
      <c r="AD2447" s="65" t="s">
        <v>14696</v>
      </c>
      <c r="AE2447" s="65" t="s">
        <v>620</v>
      </c>
      <c r="AF2447" s="153">
        <v>12023.0</v>
      </c>
      <c r="AG2447" s="333">
        <v>0.22</v>
      </c>
      <c r="AH2447" s="65" t="s">
        <v>208</v>
      </c>
      <c r="AI2447" s="65" t="s">
        <v>620</v>
      </c>
      <c r="AJ2447" s="333">
        <v>0.01</v>
      </c>
      <c r="AK2447" s="65" t="s">
        <v>128</v>
      </c>
      <c r="AL2447" s="65" t="s">
        <v>129</v>
      </c>
      <c r="AM2447" s="65" t="s">
        <v>130</v>
      </c>
      <c r="AN2447" s="65" t="s">
        <v>131</v>
      </c>
      <c r="AO2447" s="153">
        <v>747.0</v>
      </c>
      <c r="AP2447" s="333">
        <v>0.13</v>
      </c>
      <c r="AQ2447" s="65" t="s">
        <v>208</v>
      </c>
      <c r="AR2447" s="65" t="s">
        <v>843</v>
      </c>
      <c r="AS2447" s="1783">
        <v>0.001</v>
      </c>
      <c r="AT2447" s="1785" t="s">
        <v>128</v>
      </c>
      <c r="AU2447" s="1785" t="s">
        <v>129</v>
      </c>
      <c r="AV2447" s="65" t="s">
        <v>130</v>
      </c>
      <c r="AW2447" s="432" t="s">
        <v>14407</v>
      </c>
      <c r="AX2447" s="65" t="s">
        <v>136</v>
      </c>
      <c r="AY2447" s="65"/>
      <c r="AZ2447" s="59" t="s">
        <v>14666</v>
      </c>
    </row>
    <row r="2448">
      <c r="A2448" s="41">
        <v>2448.0</v>
      </c>
      <c r="B2448" s="126" t="s">
        <v>516</v>
      </c>
      <c r="C2448" s="59" t="s">
        <v>108</v>
      </c>
      <c r="D2448" s="59" t="s">
        <v>214</v>
      </c>
      <c r="F2448" s="65" t="s">
        <v>14697</v>
      </c>
      <c r="G2448" s="156" t="s">
        <v>14391</v>
      </c>
      <c r="H2448" s="156" t="s">
        <v>215</v>
      </c>
      <c r="I2448" s="149">
        <v>45763.0</v>
      </c>
      <c r="J2448" s="859"/>
      <c r="K2448" s="65" t="s">
        <v>14698</v>
      </c>
      <c r="L2448" s="65"/>
      <c r="M2448" s="156" t="s">
        <v>14692</v>
      </c>
      <c r="N2448" s="156" t="s">
        <v>14693</v>
      </c>
      <c r="O2448" s="65"/>
      <c r="P2448" s="379" t="s">
        <v>14694</v>
      </c>
      <c r="Q2448" s="49" t="str">
        <f t="array" ref="Q2448"> if(iserror(MATCH(V2448, 'File Links'!C:C, 0)), "N/A", HYPERLINK(INDEX('File Links'!B:B, MATCH(P2448, 'File Links'!C:C, 0))))</f>
        <v>https://drive.google.com/file/d/1Ey8YE267IkJvJPhLMe73j6CWvGwENA3f/view?usp=drivesdk</v>
      </c>
      <c r="R2448" s="156" t="s">
        <v>14398</v>
      </c>
      <c r="S2448" s="156" t="s">
        <v>14399</v>
      </c>
      <c r="T2448" s="65"/>
      <c r="U2448" s="65"/>
      <c r="V2448" s="379" t="s">
        <v>14400</v>
      </c>
      <c r="W2448" s="292" t="s">
        <v>202</v>
      </c>
      <c r="X2448" s="51" t="str">
        <f t="array" ref="X2448"> if(iserror(MATCH(V2448, 'File Links'!C:C, 0)), "N/A", HYPERLINK(INDEX('File Links'!B:B, MATCH(V2448, 'File Links'!C:C, 0))))</f>
        <v>https://drive.google.com/file/d/17mZvRs3ue7pXwqu8bmIDvgNdc95PGEcV/view?usp=drivesdk</v>
      </c>
      <c r="Y2448" s="65"/>
      <c r="Z2448" s="156" t="s">
        <v>1072</v>
      </c>
      <c r="AA2448" s="65"/>
      <c r="AB2448" s="156" t="s">
        <v>14402</v>
      </c>
      <c r="AC2448" s="156" t="s">
        <v>14699</v>
      </c>
      <c r="AD2448" s="65" t="s">
        <v>14699</v>
      </c>
      <c r="AE2448" s="65" t="s">
        <v>3248</v>
      </c>
      <c r="AF2448" s="153">
        <v>13500.0</v>
      </c>
      <c r="AG2448" s="333">
        <v>-0.29</v>
      </c>
      <c r="AH2448" s="65" t="s">
        <v>208</v>
      </c>
      <c r="AI2448" s="65" t="s">
        <v>3248</v>
      </c>
      <c r="AJ2448" s="333">
        <v>0.01</v>
      </c>
      <c r="AK2448" s="65" t="s">
        <v>128</v>
      </c>
      <c r="AL2448" s="65" t="s">
        <v>129</v>
      </c>
      <c r="AM2448" s="65" t="s">
        <v>130</v>
      </c>
      <c r="AN2448" s="65" t="s">
        <v>131</v>
      </c>
      <c r="AO2448" s="153">
        <v>747.0</v>
      </c>
      <c r="AP2448" s="333">
        <v>-0.28</v>
      </c>
      <c r="AQ2448" s="65" t="s">
        <v>208</v>
      </c>
      <c r="AR2448" s="65" t="s">
        <v>806</v>
      </c>
      <c r="AS2448" s="1783">
        <v>0.001</v>
      </c>
      <c r="AT2448" s="1785" t="s">
        <v>128</v>
      </c>
      <c r="AU2448" s="1785" t="s">
        <v>129</v>
      </c>
      <c r="AV2448" s="65" t="s">
        <v>130</v>
      </c>
      <c r="AW2448" s="432" t="s">
        <v>14407</v>
      </c>
      <c r="AX2448" s="65" t="s">
        <v>136</v>
      </c>
      <c r="AY2448" s="65"/>
      <c r="AZ2448" s="59" t="s">
        <v>14666</v>
      </c>
    </row>
    <row r="2449">
      <c r="A2449" s="41">
        <v>2449.0</v>
      </c>
      <c r="B2449" s="126" t="s">
        <v>516</v>
      </c>
      <c r="C2449" s="59" t="s">
        <v>108</v>
      </c>
      <c r="D2449" s="59" t="s">
        <v>214</v>
      </c>
      <c r="F2449" s="65" t="s">
        <v>14700</v>
      </c>
      <c r="G2449" s="156" t="s">
        <v>14391</v>
      </c>
      <c r="H2449" s="156" t="s">
        <v>215</v>
      </c>
      <c r="I2449" s="149">
        <v>45763.0</v>
      </c>
      <c r="J2449" s="859"/>
      <c r="K2449" s="65" t="s">
        <v>14701</v>
      </c>
      <c r="L2449" s="65"/>
      <c r="M2449" s="156" t="s">
        <v>14692</v>
      </c>
      <c r="N2449" s="156" t="s">
        <v>14693</v>
      </c>
      <c r="O2449" s="65"/>
      <c r="P2449" s="379" t="s">
        <v>14694</v>
      </c>
      <c r="Q2449" s="49" t="str">
        <f t="array" ref="Q2449"> if(iserror(MATCH(V2449, 'File Links'!C:C, 0)), "N/A", HYPERLINK(INDEX('File Links'!B:B, MATCH(P2449, 'File Links'!C:C, 0))))</f>
        <v>https://drive.google.com/file/d/1Ey8YE267IkJvJPhLMe73j6CWvGwENA3f/view?usp=drivesdk</v>
      </c>
      <c r="R2449" s="156" t="s">
        <v>14398</v>
      </c>
      <c r="S2449" s="156" t="s">
        <v>14399</v>
      </c>
      <c r="T2449" s="65"/>
      <c r="U2449" s="65"/>
      <c r="V2449" s="379" t="s">
        <v>14400</v>
      </c>
      <c r="W2449" s="292" t="s">
        <v>202</v>
      </c>
      <c r="X2449" s="51" t="str">
        <f t="array" ref="X2449"> if(iserror(MATCH(V2449, 'File Links'!C:C, 0)), "N/A", HYPERLINK(INDEX('File Links'!B:B, MATCH(V2449, 'File Links'!C:C, 0))))</f>
        <v>https://drive.google.com/file/d/17mZvRs3ue7pXwqu8bmIDvgNdc95PGEcV/view?usp=drivesdk</v>
      </c>
      <c r="Y2449" s="65"/>
      <c r="Z2449" s="156" t="s">
        <v>1072</v>
      </c>
      <c r="AA2449" s="65"/>
      <c r="AB2449" s="156" t="s">
        <v>14402</v>
      </c>
      <c r="AC2449" s="156" t="s">
        <v>14702</v>
      </c>
      <c r="AD2449" s="65" t="s">
        <v>14703</v>
      </c>
      <c r="AE2449" s="65" t="s">
        <v>3248</v>
      </c>
      <c r="AF2449" s="153">
        <v>492.0</v>
      </c>
      <c r="AG2449" s="333">
        <v>0.19</v>
      </c>
      <c r="AH2449" s="65" t="s">
        <v>208</v>
      </c>
      <c r="AI2449" s="65" t="s">
        <v>3248</v>
      </c>
      <c r="AJ2449" s="333">
        <v>0.01</v>
      </c>
      <c r="AK2449" s="65" t="s">
        <v>128</v>
      </c>
      <c r="AL2449" s="65" t="s">
        <v>129</v>
      </c>
      <c r="AM2449" s="65" t="s">
        <v>130</v>
      </c>
      <c r="AN2449" s="65" t="s">
        <v>131</v>
      </c>
      <c r="AO2449" s="153">
        <v>748.0</v>
      </c>
      <c r="AP2449" s="333">
        <v>0.1</v>
      </c>
      <c r="AQ2449" s="65" t="s">
        <v>208</v>
      </c>
      <c r="AR2449" s="65" t="s">
        <v>806</v>
      </c>
      <c r="AS2449" s="1783">
        <v>0.001</v>
      </c>
      <c r="AT2449" s="1785" t="s">
        <v>128</v>
      </c>
      <c r="AU2449" s="1785" t="s">
        <v>129</v>
      </c>
      <c r="AV2449" s="65" t="s">
        <v>130</v>
      </c>
      <c r="AW2449" s="432" t="s">
        <v>14407</v>
      </c>
      <c r="AX2449" s="65" t="s">
        <v>136</v>
      </c>
      <c r="AY2449" s="65"/>
      <c r="AZ2449" s="59" t="s">
        <v>14666</v>
      </c>
    </row>
    <row r="2450">
      <c r="A2450" s="41">
        <v>2450.0</v>
      </c>
      <c r="B2450" s="126" t="s">
        <v>516</v>
      </c>
      <c r="C2450" s="59" t="s">
        <v>108</v>
      </c>
      <c r="D2450" s="59" t="s">
        <v>214</v>
      </c>
      <c r="F2450" s="65" t="s">
        <v>14704</v>
      </c>
      <c r="G2450" s="156" t="s">
        <v>14391</v>
      </c>
      <c r="H2450" s="156" t="s">
        <v>215</v>
      </c>
      <c r="I2450" s="149">
        <v>45763.0</v>
      </c>
      <c r="J2450" s="859"/>
      <c r="K2450" s="65" t="s">
        <v>14705</v>
      </c>
      <c r="L2450" s="65"/>
      <c r="M2450" s="156" t="s">
        <v>14692</v>
      </c>
      <c r="N2450" s="156" t="s">
        <v>14693</v>
      </c>
      <c r="O2450" s="65"/>
      <c r="P2450" s="379" t="s">
        <v>14694</v>
      </c>
      <c r="Q2450" s="49" t="str">
        <f t="array" ref="Q2450"> if(iserror(MATCH(V2450, 'File Links'!C:C, 0)), "N/A", HYPERLINK(INDEX('File Links'!B:B, MATCH(P2450, 'File Links'!C:C, 0))))</f>
        <v>https://drive.google.com/file/d/1Ey8YE267IkJvJPhLMe73j6CWvGwENA3f/view?usp=drivesdk</v>
      </c>
      <c r="R2450" s="156" t="s">
        <v>14398</v>
      </c>
      <c r="S2450" s="156" t="s">
        <v>14399</v>
      </c>
      <c r="T2450" s="65"/>
      <c r="U2450" s="65"/>
      <c r="V2450" s="379" t="s">
        <v>14400</v>
      </c>
      <c r="W2450" s="292" t="s">
        <v>202</v>
      </c>
      <c r="X2450" s="51" t="str">
        <f t="array" ref="X2450"> if(iserror(MATCH(V2450, 'File Links'!C:C, 0)), "N/A", HYPERLINK(INDEX('File Links'!B:B, MATCH(V2450, 'File Links'!C:C, 0))))</f>
        <v>https://drive.google.com/file/d/17mZvRs3ue7pXwqu8bmIDvgNdc95PGEcV/view?usp=drivesdk</v>
      </c>
      <c r="Y2450" s="65"/>
      <c r="Z2450" s="156" t="s">
        <v>1072</v>
      </c>
      <c r="AA2450" s="65"/>
      <c r="AB2450" s="156" t="s">
        <v>14402</v>
      </c>
      <c r="AC2450" s="156" t="s">
        <v>14706</v>
      </c>
      <c r="AD2450" s="65" t="s">
        <v>14706</v>
      </c>
      <c r="AE2450" s="65" t="s">
        <v>3248</v>
      </c>
      <c r="AF2450" s="153">
        <v>713.0</v>
      </c>
      <c r="AG2450" s="333">
        <v>-0.17</v>
      </c>
      <c r="AH2450" s="65" t="s">
        <v>208</v>
      </c>
      <c r="AI2450" s="65" t="s">
        <v>3248</v>
      </c>
      <c r="AJ2450" s="333">
        <v>0.01</v>
      </c>
      <c r="AK2450" s="65" t="s">
        <v>128</v>
      </c>
      <c r="AL2450" s="65" t="s">
        <v>129</v>
      </c>
      <c r="AM2450" s="65" t="s">
        <v>130</v>
      </c>
      <c r="AN2450" s="65" t="s">
        <v>131</v>
      </c>
      <c r="AO2450" s="153">
        <v>748.0</v>
      </c>
      <c r="AP2450" s="333">
        <v>-0.14</v>
      </c>
      <c r="AQ2450" s="65" t="s">
        <v>208</v>
      </c>
      <c r="AR2450" s="65" t="s">
        <v>806</v>
      </c>
      <c r="AS2450" s="1783">
        <v>0.001</v>
      </c>
      <c r="AT2450" s="1785" t="s">
        <v>128</v>
      </c>
      <c r="AU2450" s="1785" t="s">
        <v>129</v>
      </c>
      <c r="AV2450" s="65" t="s">
        <v>130</v>
      </c>
      <c r="AW2450" s="432" t="s">
        <v>14407</v>
      </c>
      <c r="AX2450" s="65" t="s">
        <v>136</v>
      </c>
      <c r="AY2450" s="65"/>
      <c r="AZ2450" s="59" t="s">
        <v>14666</v>
      </c>
    </row>
    <row r="2451">
      <c r="A2451" s="41">
        <v>2451.0</v>
      </c>
      <c r="B2451" s="126" t="s">
        <v>516</v>
      </c>
      <c r="C2451" s="59" t="s">
        <v>108</v>
      </c>
      <c r="D2451" s="59" t="s">
        <v>214</v>
      </c>
      <c r="F2451" s="65" t="s">
        <v>14707</v>
      </c>
      <c r="G2451" s="156" t="s">
        <v>14391</v>
      </c>
      <c r="H2451" s="156" t="s">
        <v>215</v>
      </c>
      <c r="I2451" s="149">
        <v>45763.0</v>
      </c>
      <c r="J2451" s="859"/>
      <c r="K2451" s="65" t="s">
        <v>14708</v>
      </c>
      <c r="L2451" s="65"/>
      <c r="M2451" s="156" t="s">
        <v>14709</v>
      </c>
      <c r="N2451" s="156" t="s">
        <v>14710</v>
      </c>
      <c r="O2451" s="65"/>
      <c r="P2451" s="379" t="s">
        <v>14711</v>
      </c>
      <c r="Q2451" s="49" t="str">
        <f t="array" ref="Q2451"> if(iserror(MATCH(V2451, 'File Links'!C:C, 0)), "N/A", HYPERLINK(INDEX('File Links'!B:B, MATCH(P2451, 'File Links'!C:C, 0))))</f>
        <v>https://drive.google.com/file/d/1JjrD9NOW8xliYqnpBZzkTwq4qgfO4wNJ/view?usp=drivesdk</v>
      </c>
      <c r="R2451" s="156" t="s">
        <v>14398</v>
      </c>
      <c r="S2451" s="156" t="s">
        <v>14399</v>
      </c>
      <c r="T2451" s="65"/>
      <c r="U2451" s="65"/>
      <c r="V2451" s="379" t="s">
        <v>14400</v>
      </c>
      <c r="W2451" s="292" t="s">
        <v>202</v>
      </c>
      <c r="X2451" s="51" t="str">
        <f t="array" ref="X2451"> if(iserror(MATCH(V2451, 'File Links'!C:C, 0)), "N/A", HYPERLINK(INDEX('File Links'!B:B, MATCH(V2451, 'File Links'!C:C, 0))))</f>
        <v>https://drive.google.com/file/d/17mZvRs3ue7pXwqu8bmIDvgNdc95PGEcV/view?usp=drivesdk</v>
      </c>
      <c r="Y2451" s="65"/>
      <c r="Z2451" s="156" t="s">
        <v>1072</v>
      </c>
      <c r="AA2451" s="65"/>
      <c r="AB2451" s="156" t="s">
        <v>14402</v>
      </c>
      <c r="AC2451" s="156" t="s">
        <v>14712</v>
      </c>
      <c r="AD2451" s="65" t="s">
        <v>14713</v>
      </c>
      <c r="AE2451" s="65" t="s">
        <v>3885</v>
      </c>
      <c r="AF2451" s="153">
        <v>194.0</v>
      </c>
      <c r="AG2451" s="333">
        <v>0.24</v>
      </c>
      <c r="AH2451" s="65" t="s">
        <v>208</v>
      </c>
      <c r="AI2451" s="65" t="s">
        <v>3885</v>
      </c>
      <c r="AJ2451" s="333">
        <v>0.01</v>
      </c>
      <c r="AK2451" s="65" t="s">
        <v>128</v>
      </c>
      <c r="AL2451" s="65" t="s">
        <v>129</v>
      </c>
      <c r="AM2451" s="65" t="s">
        <v>130</v>
      </c>
      <c r="AN2451" s="65" t="s">
        <v>131</v>
      </c>
      <c r="AO2451" s="153">
        <v>481.0</v>
      </c>
      <c r="AP2451" s="333">
        <v>0.15</v>
      </c>
      <c r="AQ2451" s="65" t="s">
        <v>208</v>
      </c>
      <c r="AR2451" s="65" t="s">
        <v>133</v>
      </c>
      <c r="AS2451" s="1783">
        <v>0.001</v>
      </c>
      <c r="AT2451" s="1785" t="s">
        <v>128</v>
      </c>
      <c r="AU2451" s="1785" t="s">
        <v>129</v>
      </c>
      <c r="AV2451" s="65" t="s">
        <v>130</v>
      </c>
      <c r="AW2451" s="432" t="s">
        <v>14407</v>
      </c>
      <c r="AX2451" s="65" t="s">
        <v>136</v>
      </c>
      <c r="AY2451" s="65"/>
      <c r="AZ2451" s="59" t="s">
        <v>14666</v>
      </c>
    </row>
    <row r="2452">
      <c r="A2452" s="41">
        <v>2452.0</v>
      </c>
      <c r="B2452" s="126" t="s">
        <v>516</v>
      </c>
      <c r="C2452" s="59" t="s">
        <v>108</v>
      </c>
      <c r="D2452" s="59" t="s">
        <v>214</v>
      </c>
      <c r="F2452" s="65" t="s">
        <v>14714</v>
      </c>
      <c r="G2452" s="156" t="s">
        <v>14391</v>
      </c>
      <c r="H2452" s="156" t="s">
        <v>215</v>
      </c>
      <c r="I2452" s="149">
        <v>45763.0</v>
      </c>
      <c r="J2452" s="859"/>
      <c r="K2452" s="65" t="s">
        <v>14715</v>
      </c>
      <c r="L2452" s="65"/>
      <c r="M2452" s="156" t="s">
        <v>14709</v>
      </c>
      <c r="N2452" s="156" t="s">
        <v>14710</v>
      </c>
      <c r="O2452" s="65"/>
      <c r="P2452" s="379" t="s">
        <v>14711</v>
      </c>
      <c r="Q2452" s="49" t="str">
        <f t="array" ref="Q2452"> if(iserror(MATCH(V2452, 'File Links'!C:C, 0)), "N/A", HYPERLINK(INDEX('File Links'!B:B, MATCH(P2452, 'File Links'!C:C, 0))))</f>
        <v>https://drive.google.com/file/d/1JjrD9NOW8xliYqnpBZzkTwq4qgfO4wNJ/view?usp=drivesdk</v>
      </c>
      <c r="R2452" s="156" t="s">
        <v>14398</v>
      </c>
      <c r="S2452" s="156" t="s">
        <v>14399</v>
      </c>
      <c r="T2452" s="65"/>
      <c r="U2452" s="65"/>
      <c r="V2452" s="379" t="s">
        <v>14400</v>
      </c>
      <c r="W2452" s="292" t="s">
        <v>202</v>
      </c>
      <c r="X2452" s="51" t="str">
        <f t="array" ref="X2452"> if(iserror(MATCH(V2452, 'File Links'!C:C, 0)), "N/A", HYPERLINK(INDEX('File Links'!B:B, MATCH(V2452, 'File Links'!C:C, 0))))</f>
        <v>https://drive.google.com/file/d/17mZvRs3ue7pXwqu8bmIDvgNdc95PGEcV/view?usp=drivesdk</v>
      </c>
      <c r="Y2452" s="65"/>
      <c r="Z2452" s="156" t="s">
        <v>1072</v>
      </c>
      <c r="AA2452" s="65"/>
      <c r="AB2452" s="156" t="s">
        <v>14402</v>
      </c>
      <c r="AC2452" s="156" t="s">
        <v>14716</v>
      </c>
      <c r="AD2452" s="65" t="s">
        <v>14717</v>
      </c>
      <c r="AE2452" s="65" t="s">
        <v>3885</v>
      </c>
      <c r="AF2452" s="153">
        <v>194.0</v>
      </c>
      <c r="AG2452" s="333">
        <v>0.5</v>
      </c>
      <c r="AH2452" s="65" t="s">
        <v>208</v>
      </c>
      <c r="AI2452" s="65" t="s">
        <v>3885</v>
      </c>
      <c r="AJ2452" s="333">
        <v>0.01</v>
      </c>
      <c r="AK2452" s="65" t="s">
        <v>128</v>
      </c>
      <c r="AL2452" s="65" t="s">
        <v>129</v>
      </c>
      <c r="AM2452" s="65" t="s">
        <v>130</v>
      </c>
      <c r="AN2452" s="65" t="s">
        <v>131</v>
      </c>
      <c r="AO2452" s="153">
        <v>481.0</v>
      </c>
      <c r="AP2452" s="333">
        <v>-0.07</v>
      </c>
      <c r="AQ2452" s="65" t="s">
        <v>208</v>
      </c>
      <c r="AR2452" s="65" t="s">
        <v>133</v>
      </c>
      <c r="AS2452" s="1783">
        <v>0.09</v>
      </c>
      <c r="AT2452" s="1785" t="s">
        <v>165</v>
      </c>
      <c r="AU2452" s="1785" t="s">
        <v>129</v>
      </c>
      <c r="AV2452" s="65" t="s">
        <v>130</v>
      </c>
      <c r="AW2452" s="432" t="s">
        <v>14407</v>
      </c>
      <c r="AX2452" s="65" t="s">
        <v>136</v>
      </c>
      <c r="AY2452" s="65"/>
      <c r="AZ2452" s="59" t="s">
        <v>14666</v>
      </c>
    </row>
    <row r="2453">
      <c r="A2453" s="41">
        <v>2453.0</v>
      </c>
      <c r="B2453" s="126" t="s">
        <v>516</v>
      </c>
      <c r="C2453" s="59" t="s">
        <v>108</v>
      </c>
      <c r="D2453" s="59" t="s">
        <v>214</v>
      </c>
      <c r="F2453" s="65" t="s">
        <v>14718</v>
      </c>
      <c r="G2453" s="156" t="s">
        <v>14391</v>
      </c>
      <c r="H2453" s="156" t="s">
        <v>215</v>
      </c>
      <c r="I2453" s="149">
        <v>45763.0</v>
      </c>
      <c r="J2453" s="859"/>
      <c r="K2453" s="65" t="s">
        <v>14719</v>
      </c>
      <c r="L2453" s="65"/>
      <c r="M2453" s="156" t="s">
        <v>14709</v>
      </c>
      <c r="N2453" s="156" t="s">
        <v>14710</v>
      </c>
      <c r="O2453" s="65"/>
      <c r="P2453" s="379" t="s">
        <v>14711</v>
      </c>
      <c r="Q2453" s="49" t="str">
        <f t="array" ref="Q2453"> if(iserror(MATCH(V2453, 'File Links'!C:C, 0)), "N/A", HYPERLINK(INDEX('File Links'!B:B, MATCH(P2453, 'File Links'!C:C, 0))))</f>
        <v>https://drive.google.com/file/d/1JjrD9NOW8xliYqnpBZzkTwq4qgfO4wNJ/view?usp=drivesdk</v>
      </c>
      <c r="R2453" s="156" t="s">
        <v>14398</v>
      </c>
      <c r="S2453" s="156" t="s">
        <v>14399</v>
      </c>
      <c r="T2453" s="65"/>
      <c r="U2453" s="65"/>
      <c r="V2453" s="379" t="s">
        <v>14400</v>
      </c>
      <c r="W2453" s="292" t="s">
        <v>202</v>
      </c>
      <c r="X2453" s="51" t="str">
        <f t="array" ref="X2453"> if(iserror(MATCH(V2453, 'File Links'!C:C, 0)), "N/A", HYPERLINK(INDEX('File Links'!B:B, MATCH(V2453, 'File Links'!C:C, 0))))</f>
        <v>https://drive.google.com/file/d/17mZvRs3ue7pXwqu8bmIDvgNdc95PGEcV/view?usp=drivesdk</v>
      </c>
      <c r="Y2453" s="65"/>
      <c r="Z2453" s="156" t="s">
        <v>1072</v>
      </c>
      <c r="AA2453" s="65"/>
      <c r="AB2453" s="156" t="s">
        <v>14402</v>
      </c>
      <c r="AC2453" s="156" t="s">
        <v>14720</v>
      </c>
      <c r="AD2453" s="65" t="s">
        <v>14721</v>
      </c>
      <c r="AE2453" s="65" t="s">
        <v>3885</v>
      </c>
      <c r="AF2453" s="153">
        <v>194.0</v>
      </c>
      <c r="AG2453" s="333">
        <v>0.34</v>
      </c>
      <c r="AH2453" s="65" t="s">
        <v>208</v>
      </c>
      <c r="AI2453" s="65" t="s">
        <v>3885</v>
      </c>
      <c r="AJ2453" s="333">
        <v>0.01</v>
      </c>
      <c r="AK2453" s="65" t="s">
        <v>128</v>
      </c>
      <c r="AL2453" s="65" t="s">
        <v>129</v>
      </c>
      <c r="AM2453" s="65" t="s">
        <v>130</v>
      </c>
      <c r="AN2453" s="65" t="s">
        <v>131</v>
      </c>
      <c r="AO2453" s="153">
        <v>481.0</v>
      </c>
      <c r="AP2453" s="333">
        <v>0.1</v>
      </c>
      <c r="AQ2453" s="65" t="s">
        <v>208</v>
      </c>
      <c r="AR2453" s="65" t="s">
        <v>133</v>
      </c>
      <c r="AS2453" s="1783">
        <v>0.01</v>
      </c>
      <c r="AT2453" s="1785" t="s">
        <v>128</v>
      </c>
      <c r="AU2453" s="1785" t="s">
        <v>129</v>
      </c>
      <c r="AV2453" s="65" t="s">
        <v>130</v>
      </c>
      <c r="AW2453" s="432" t="s">
        <v>14407</v>
      </c>
      <c r="AX2453" s="65" t="s">
        <v>136</v>
      </c>
      <c r="AY2453" s="65"/>
      <c r="AZ2453" s="59" t="s">
        <v>14666</v>
      </c>
    </row>
    <row r="2454">
      <c r="A2454" s="41">
        <v>2454.0</v>
      </c>
      <c r="B2454" s="126" t="s">
        <v>516</v>
      </c>
      <c r="C2454" s="59" t="s">
        <v>108</v>
      </c>
      <c r="D2454" s="59" t="s">
        <v>214</v>
      </c>
      <c r="F2454" s="65" t="s">
        <v>14722</v>
      </c>
      <c r="G2454" s="156" t="s">
        <v>14391</v>
      </c>
      <c r="H2454" s="156" t="s">
        <v>215</v>
      </c>
      <c r="I2454" s="149">
        <v>45763.0</v>
      </c>
      <c r="J2454" s="859"/>
      <c r="K2454" s="65" t="s">
        <v>14723</v>
      </c>
      <c r="L2454" s="65"/>
      <c r="M2454" s="156" t="s">
        <v>14709</v>
      </c>
      <c r="N2454" s="156" t="s">
        <v>14710</v>
      </c>
      <c r="O2454" s="65"/>
      <c r="P2454" s="379" t="s">
        <v>14711</v>
      </c>
      <c r="Q2454" s="49" t="str">
        <f t="array" ref="Q2454"> if(iserror(MATCH(V2454, 'File Links'!C:C, 0)), "N/A", HYPERLINK(INDEX('File Links'!B:B, MATCH(P2454, 'File Links'!C:C, 0))))</f>
        <v>https://drive.google.com/file/d/1JjrD9NOW8xliYqnpBZzkTwq4qgfO4wNJ/view?usp=drivesdk</v>
      </c>
      <c r="R2454" s="156" t="s">
        <v>14398</v>
      </c>
      <c r="S2454" s="156" t="s">
        <v>14399</v>
      </c>
      <c r="T2454" s="65"/>
      <c r="U2454" s="65"/>
      <c r="V2454" s="379" t="s">
        <v>14400</v>
      </c>
      <c r="W2454" s="292" t="s">
        <v>202</v>
      </c>
      <c r="X2454" s="51" t="str">
        <f t="array" ref="X2454"> if(iserror(MATCH(V2454, 'File Links'!C:C, 0)), "N/A", HYPERLINK(INDEX('File Links'!B:B, MATCH(V2454, 'File Links'!C:C, 0))))</f>
        <v>https://drive.google.com/file/d/17mZvRs3ue7pXwqu8bmIDvgNdc95PGEcV/view?usp=drivesdk</v>
      </c>
      <c r="Y2454" s="65"/>
      <c r="Z2454" s="156" t="s">
        <v>1072</v>
      </c>
      <c r="AA2454" s="65"/>
      <c r="AB2454" s="156" t="s">
        <v>14402</v>
      </c>
      <c r="AC2454" s="156" t="s">
        <v>14724</v>
      </c>
      <c r="AD2454" s="65" t="s">
        <v>14725</v>
      </c>
      <c r="AE2454" s="65" t="s">
        <v>3885</v>
      </c>
      <c r="AF2454" s="153">
        <v>194.0</v>
      </c>
      <c r="AG2454" s="333">
        <v>0.2</v>
      </c>
      <c r="AH2454" s="65" t="s">
        <v>208</v>
      </c>
      <c r="AI2454" s="65" t="s">
        <v>3885</v>
      </c>
      <c r="AJ2454" s="333">
        <v>0.01</v>
      </c>
      <c r="AK2454" s="65" t="s">
        <v>128</v>
      </c>
      <c r="AL2454" s="65" t="s">
        <v>129</v>
      </c>
      <c r="AM2454" s="65" t="s">
        <v>130</v>
      </c>
      <c r="AN2454" s="65" t="s">
        <v>131</v>
      </c>
      <c r="AO2454" s="153">
        <v>512.0</v>
      </c>
      <c r="AP2454" s="333">
        <v>0.24</v>
      </c>
      <c r="AQ2454" s="65" t="s">
        <v>208</v>
      </c>
      <c r="AR2454" s="65" t="s">
        <v>133</v>
      </c>
      <c r="AS2454" s="1783">
        <v>0.001</v>
      </c>
      <c r="AT2454" s="1785" t="s">
        <v>128</v>
      </c>
      <c r="AU2454" s="1785" t="s">
        <v>129</v>
      </c>
      <c r="AV2454" s="65" t="s">
        <v>130</v>
      </c>
      <c r="AW2454" s="432" t="s">
        <v>14407</v>
      </c>
      <c r="AX2454" s="65" t="s">
        <v>136</v>
      </c>
      <c r="AY2454" s="65"/>
      <c r="AZ2454" s="59" t="s">
        <v>14666</v>
      </c>
    </row>
    <row r="2455">
      <c r="A2455" s="41">
        <v>2455.0</v>
      </c>
      <c r="B2455" s="126" t="s">
        <v>516</v>
      </c>
      <c r="C2455" s="59" t="s">
        <v>108</v>
      </c>
      <c r="D2455" s="59" t="s">
        <v>214</v>
      </c>
      <c r="F2455" s="65" t="s">
        <v>14726</v>
      </c>
      <c r="G2455" s="156" t="s">
        <v>14391</v>
      </c>
      <c r="H2455" s="156" t="s">
        <v>215</v>
      </c>
      <c r="I2455" s="149">
        <v>45763.0</v>
      </c>
      <c r="J2455" s="859"/>
      <c r="K2455" s="65" t="s">
        <v>14727</v>
      </c>
      <c r="L2455" s="65"/>
      <c r="M2455" s="156" t="s">
        <v>14709</v>
      </c>
      <c r="N2455" s="156" t="s">
        <v>14710</v>
      </c>
      <c r="O2455" s="65"/>
      <c r="P2455" s="379" t="s">
        <v>14711</v>
      </c>
      <c r="Q2455" s="49" t="str">
        <f t="array" ref="Q2455"> if(iserror(MATCH(V2455, 'File Links'!C:C, 0)), "N/A", HYPERLINK(INDEX('File Links'!B:B, MATCH(P2455, 'File Links'!C:C, 0))))</f>
        <v>https://drive.google.com/file/d/1JjrD9NOW8xliYqnpBZzkTwq4qgfO4wNJ/view?usp=drivesdk</v>
      </c>
      <c r="R2455" s="156" t="s">
        <v>14398</v>
      </c>
      <c r="S2455" s="156" t="s">
        <v>14399</v>
      </c>
      <c r="T2455" s="65"/>
      <c r="U2455" s="65"/>
      <c r="V2455" s="379" t="s">
        <v>14400</v>
      </c>
      <c r="W2455" s="292" t="s">
        <v>202</v>
      </c>
      <c r="X2455" s="51" t="str">
        <f t="array" ref="X2455"> if(iserror(MATCH(V2455, 'File Links'!C:C, 0)), "N/A", HYPERLINK(INDEX('File Links'!B:B, MATCH(V2455, 'File Links'!C:C, 0))))</f>
        <v>https://drive.google.com/file/d/17mZvRs3ue7pXwqu8bmIDvgNdc95PGEcV/view?usp=drivesdk</v>
      </c>
      <c r="Y2455" s="65"/>
      <c r="Z2455" s="156" t="s">
        <v>1072</v>
      </c>
      <c r="AA2455" s="65"/>
      <c r="AB2455" s="156" t="s">
        <v>14402</v>
      </c>
      <c r="AC2455" s="156" t="s">
        <v>14728</v>
      </c>
      <c r="AD2455" s="65" t="s">
        <v>14729</v>
      </c>
      <c r="AE2455" s="65" t="s">
        <v>3885</v>
      </c>
      <c r="AF2455" s="153">
        <v>194.0</v>
      </c>
      <c r="AG2455" s="333">
        <v>0.26</v>
      </c>
      <c r="AH2455" s="65" t="s">
        <v>208</v>
      </c>
      <c r="AI2455" s="65" t="s">
        <v>3885</v>
      </c>
      <c r="AJ2455" s="333">
        <v>0.01</v>
      </c>
      <c r="AK2455" s="65" t="s">
        <v>128</v>
      </c>
      <c r="AL2455" s="65" t="s">
        <v>129</v>
      </c>
      <c r="AM2455" s="65" t="s">
        <v>130</v>
      </c>
      <c r="AN2455" s="65" t="s">
        <v>131</v>
      </c>
      <c r="AO2455" s="153">
        <v>512.0</v>
      </c>
      <c r="AP2455" s="333">
        <v>0.31</v>
      </c>
      <c r="AQ2455" s="65" t="s">
        <v>208</v>
      </c>
      <c r="AR2455" s="65" t="s">
        <v>133</v>
      </c>
      <c r="AS2455" s="1783">
        <v>0.001</v>
      </c>
      <c r="AT2455" s="1785" t="s">
        <v>128</v>
      </c>
      <c r="AU2455" s="1785" t="s">
        <v>129</v>
      </c>
      <c r="AV2455" s="65" t="s">
        <v>130</v>
      </c>
      <c r="AW2455" s="432" t="s">
        <v>14407</v>
      </c>
      <c r="AX2455" s="65" t="s">
        <v>136</v>
      </c>
      <c r="AY2455" s="65"/>
      <c r="AZ2455" s="59" t="s">
        <v>14666</v>
      </c>
    </row>
    <row r="2456">
      <c r="A2456" s="41">
        <v>2456.0</v>
      </c>
      <c r="B2456" s="126" t="s">
        <v>516</v>
      </c>
      <c r="C2456" s="59" t="s">
        <v>108</v>
      </c>
      <c r="D2456" s="59" t="s">
        <v>214</v>
      </c>
      <c r="F2456" s="65" t="s">
        <v>14730</v>
      </c>
      <c r="G2456" s="156" t="s">
        <v>14391</v>
      </c>
      <c r="H2456" s="156" t="s">
        <v>215</v>
      </c>
      <c r="I2456" s="149">
        <v>45763.0</v>
      </c>
      <c r="J2456" s="859"/>
      <c r="K2456" s="65" t="s">
        <v>14731</v>
      </c>
      <c r="L2456" s="65"/>
      <c r="M2456" s="156" t="s">
        <v>14732</v>
      </c>
      <c r="N2456" s="156" t="s">
        <v>14733</v>
      </c>
      <c r="O2456" s="65"/>
      <c r="P2456" s="379" t="s">
        <v>14734</v>
      </c>
      <c r="Q2456" s="49" t="str">
        <f t="array" ref="Q2456"> if(iserror(MATCH(V2456, 'File Links'!C:C, 0)), "N/A", HYPERLINK(INDEX('File Links'!B:B, MATCH(P2456, 'File Links'!C:C, 0))))</f>
        <v>https://drive.google.com/file/d/1xuFoPe4NoIX58JM0wx-8_dEId51aZij5/view?usp=drivesdk</v>
      </c>
      <c r="R2456" s="156" t="s">
        <v>14398</v>
      </c>
      <c r="S2456" s="156" t="s">
        <v>14399</v>
      </c>
      <c r="T2456" s="65"/>
      <c r="U2456" s="65"/>
      <c r="V2456" s="379" t="s">
        <v>14400</v>
      </c>
      <c r="W2456" s="292" t="s">
        <v>202</v>
      </c>
      <c r="X2456" s="51" t="str">
        <f t="array" ref="X2456"> if(iserror(MATCH(V2456, 'File Links'!C:C, 0)), "N/A", HYPERLINK(INDEX('File Links'!B:B, MATCH(V2456, 'File Links'!C:C, 0))))</f>
        <v>https://drive.google.com/file/d/17mZvRs3ue7pXwqu8bmIDvgNdc95PGEcV/view?usp=drivesdk</v>
      </c>
      <c r="Y2456" s="65"/>
      <c r="Z2456" s="156" t="s">
        <v>1072</v>
      </c>
      <c r="AA2456" s="65"/>
      <c r="AB2456" s="156" t="s">
        <v>14402</v>
      </c>
      <c r="AC2456" s="156" t="s">
        <v>14735</v>
      </c>
      <c r="AD2456" s="65" t="s">
        <v>14736</v>
      </c>
      <c r="AE2456" s="65" t="s">
        <v>125</v>
      </c>
      <c r="AF2456" s="153">
        <v>859.0</v>
      </c>
      <c r="AG2456" s="333">
        <v>0.19</v>
      </c>
      <c r="AH2456" s="65" t="s">
        <v>208</v>
      </c>
      <c r="AI2456" s="65" t="s">
        <v>125</v>
      </c>
      <c r="AJ2456" s="65" t="s">
        <v>2375</v>
      </c>
      <c r="AK2456" s="65" t="s">
        <v>165</v>
      </c>
      <c r="AL2456" s="65" t="s">
        <v>129</v>
      </c>
      <c r="AM2456" s="65" t="s">
        <v>130</v>
      </c>
      <c r="AN2456" s="65" t="s">
        <v>131</v>
      </c>
      <c r="AO2456" s="153">
        <v>838.0</v>
      </c>
      <c r="AP2456" s="333">
        <v>-0.02</v>
      </c>
      <c r="AQ2456" s="65" t="s">
        <v>208</v>
      </c>
      <c r="AR2456" s="65" t="s">
        <v>133</v>
      </c>
      <c r="AS2456" s="1785" t="s">
        <v>2375</v>
      </c>
      <c r="AT2456" s="1785" t="s">
        <v>165</v>
      </c>
      <c r="AU2456" s="1785" t="s">
        <v>129</v>
      </c>
      <c r="AV2456" s="65" t="s">
        <v>130</v>
      </c>
      <c r="AW2456" s="432" t="s">
        <v>14407</v>
      </c>
      <c r="AX2456" s="65" t="s">
        <v>136</v>
      </c>
      <c r="AY2456" s="65"/>
      <c r="AZ2456" s="59" t="s">
        <v>14666</v>
      </c>
    </row>
    <row r="2457">
      <c r="A2457" s="41">
        <v>2457.0</v>
      </c>
      <c r="B2457" s="126" t="s">
        <v>516</v>
      </c>
      <c r="C2457" s="59" t="s">
        <v>108</v>
      </c>
      <c r="D2457" s="59" t="s">
        <v>214</v>
      </c>
      <c r="F2457" s="65" t="s">
        <v>14737</v>
      </c>
      <c r="G2457" s="156" t="s">
        <v>14391</v>
      </c>
      <c r="H2457" s="156" t="s">
        <v>215</v>
      </c>
      <c r="I2457" s="149">
        <v>45763.0</v>
      </c>
      <c r="J2457" s="859"/>
      <c r="K2457" s="65" t="s">
        <v>14738</v>
      </c>
      <c r="L2457" s="65"/>
      <c r="M2457" s="156" t="s">
        <v>14732</v>
      </c>
      <c r="N2457" s="156" t="s">
        <v>14733</v>
      </c>
      <c r="O2457" s="65"/>
      <c r="P2457" s="379" t="s">
        <v>14734</v>
      </c>
      <c r="Q2457" s="49" t="str">
        <f t="array" ref="Q2457"> if(iserror(MATCH(V2457, 'File Links'!C:C, 0)), "N/A", HYPERLINK(INDEX('File Links'!B:B, MATCH(P2457, 'File Links'!C:C, 0))))</f>
        <v>https://drive.google.com/file/d/1xuFoPe4NoIX58JM0wx-8_dEId51aZij5/view?usp=drivesdk</v>
      </c>
      <c r="R2457" s="156" t="s">
        <v>14398</v>
      </c>
      <c r="S2457" s="156" t="s">
        <v>14399</v>
      </c>
      <c r="T2457" s="65"/>
      <c r="U2457" s="65"/>
      <c r="V2457" s="379" t="s">
        <v>14400</v>
      </c>
      <c r="W2457" s="292" t="s">
        <v>202</v>
      </c>
      <c r="X2457" s="51" t="str">
        <f t="array" ref="X2457"> if(iserror(MATCH(V2457, 'File Links'!C:C, 0)), "N/A", HYPERLINK(INDEX('File Links'!B:B, MATCH(V2457, 'File Links'!C:C, 0))))</f>
        <v>https://drive.google.com/file/d/17mZvRs3ue7pXwqu8bmIDvgNdc95PGEcV/view?usp=drivesdk</v>
      </c>
      <c r="Y2457" s="65"/>
      <c r="Z2457" s="156" t="s">
        <v>1072</v>
      </c>
      <c r="AA2457" s="65"/>
      <c r="AB2457" s="156" t="s">
        <v>14402</v>
      </c>
      <c r="AC2457" s="156" t="s">
        <v>14739</v>
      </c>
      <c r="AD2457" s="65" t="s">
        <v>14739</v>
      </c>
      <c r="AE2457" s="65" t="s">
        <v>125</v>
      </c>
      <c r="AF2457" s="153">
        <v>859.0</v>
      </c>
      <c r="AG2457" s="333">
        <v>0.18</v>
      </c>
      <c r="AH2457" s="65" t="s">
        <v>208</v>
      </c>
      <c r="AI2457" s="65" t="s">
        <v>125</v>
      </c>
      <c r="AJ2457" s="333">
        <v>0.05</v>
      </c>
      <c r="AK2457" s="65" t="s">
        <v>128</v>
      </c>
      <c r="AL2457" s="65" t="s">
        <v>129</v>
      </c>
      <c r="AM2457" s="65" t="s">
        <v>130</v>
      </c>
      <c r="AN2457" s="65" t="s">
        <v>131</v>
      </c>
      <c r="AO2457" s="153">
        <v>944.0</v>
      </c>
      <c r="AP2457" s="333">
        <v>0.17</v>
      </c>
      <c r="AQ2457" s="65" t="s">
        <v>208</v>
      </c>
      <c r="AR2457" s="65" t="s">
        <v>133</v>
      </c>
      <c r="AS2457" s="1783">
        <v>0.05</v>
      </c>
      <c r="AT2457" s="1785" t="s">
        <v>128</v>
      </c>
      <c r="AU2457" s="1785" t="s">
        <v>129</v>
      </c>
      <c r="AV2457" s="65" t="s">
        <v>130</v>
      </c>
      <c r="AW2457" s="432" t="s">
        <v>14407</v>
      </c>
      <c r="AX2457" s="65" t="s">
        <v>136</v>
      </c>
      <c r="AY2457" s="65"/>
      <c r="AZ2457" s="59" t="s">
        <v>14666</v>
      </c>
    </row>
    <row r="2458">
      <c r="A2458" s="41">
        <v>2458.0</v>
      </c>
      <c r="B2458" s="126" t="s">
        <v>516</v>
      </c>
      <c r="C2458" s="59" t="s">
        <v>108</v>
      </c>
      <c r="D2458" s="59" t="s">
        <v>214</v>
      </c>
      <c r="F2458" s="65" t="s">
        <v>14740</v>
      </c>
      <c r="G2458" s="156" t="s">
        <v>14391</v>
      </c>
      <c r="H2458" s="156" t="s">
        <v>215</v>
      </c>
      <c r="I2458" s="149">
        <v>45763.0</v>
      </c>
      <c r="J2458" s="859"/>
      <c r="K2458" s="65" t="s">
        <v>14741</v>
      </c>
      <c r="L2458" s="65"/>
      <c r="M2458" s="156" t="s">
        <v>14732</v>
      </c>
      <c r="N2458" s="156" t="s">
        <v>14733</v>
      </c>
      <c r="O2458" s="65"/>
      <c r="P2458" s="379" t="s">
        <v>14734</v>
      </c>
      <c r="Q2458" s="49" t="str">
        <f t="array" ref="Q2458"> if(iserror(MATCH(V2458, 'File Links'!C:C, 0)), "N/A", HYPERLINK(INDEX('File Links'!B:B, MATCH(P2458, 'File Links'!C:C, 0))))</f>
        <v>https://drive.google.com/file/d/1xuFoPe4NoIX58JM0wx-8_dEId51aZij5/view?usp=drivesdk</v>
      </c>
      <c r="R2458" s="156" t="s">
        <v>14398</v>
      </c>
      <c r="S2458" s="156" t="s">
        <v>14399</v>
      </c>
      <c r="T2458" s="65"/>
      <c r="U2458" s="65"/>
      <c r="V2458" s="379" t="s">
        <v>14400</v>
      </c>
      <c r="W2458" s="292" t="s">
        <v>202</v>
      </c>
      <c r="X2458" s="51" t="str">
        <f t="array" ref="X2458"> if(iserror(MATCH(V2458, 'File Links'!C:C, 0)), "N/A", HYPERLINK(INDEX('File Links'!B:B, MATCH(V2458, 'File Links'!C:C, 0))))</f>
        <v>https://drive.google.com/file/d/17mZvRs3ue7pXwqu8bmIDvgNdc95PGEcV/view?usp=drivesdk</v>
      </c>
      <c r="Y2458" s="65"/>
      <c r="Z2458" s="156" t="s">
        <v>1072</v>
      </c>
      <c r="AA2458" s="65"/>
      <c r="AB2458" s="156" t="s">
        <v>14402</v>
      </c>
      <c r="AC2458" s="156" t="s">
        <v>14742</v>
      </c>
      <c r="AD2458" s="65" t="s">
        <v>14742</v>
      </c>
      <c r="AE2458" s="65" t="s">
        <v>125</v>
      </c>
      <c r="AF2458" s="153">
        <v>859.0</v>
      </c>
      <c r="AG2458" s="333">
        <v>0.22</v>
      </c>
      <c r="AH2458" s="65" t="s">
        <v>208</v>
      </c>
      <c r="AI2458" s="65" t="s">
        <v>125</v>
      </c>
      <c r="AJ2458" s="333">
        <v>0.05</v>
      </c>
      <c r="AK2458" s="65" t="s">
        <v>128</v>
      </c>
      <c r="AL2458" s="65" t="s">
        <v>129</v>
      </c>
      <c r="AM2458" s="65" t="s">
        <v>130</v>
      </c>
      <c r="AN2458" s="65" t="s">
        <v>131</v>
      </c>
      <c r="AO2458" s="153">
        <v>944.0</v>
      </c>
      <c r="AP2458" s="333">
        <v>0.33</v>
      </c>
      <c r="AQ2458" s="65" t="s">
        <v>208</v>
      </c>
      <c r="AR2458" s="65" t="s">
        <v>133</v>
      </c>
      <c r="AS2458" s="1783">
        <v>0.05</v>
      </c>
      <c r="AT2458" s="1785" t="s">
        <v>128</v>
      </c>
      <c r="AU2458" s="1785" t="s">
        <v>129</v>
      </c>
      <c r="AV2458" s="65" t="s">
        <v>130</v>
      </c>
      <c r="AW2458" s="432" t="s">
        <v>14407</v>
      </c>
      <c r="AX2458" s="65" t="s">
        <v>136</v>
      </c>
      <c r="AY2458" s="65"/>
      <c r="AZ2458" s="59" t="s">
        <v>14666</v>
      </c>
    </row>
    <row r="2459">
      <c r="A2459" s="41">
        <v>2459.0</v>
      </c>
      <c r="B2459" s="126" t="s">
        <v>516</v>
      </c>
      <c r="C2459" s="59" t="s">
        <v>108</v>
      </c>
      <c r="D2459" s="59" t="s">
        <v>214</v>
      </c>
      <c r="F2459" s="65" t="s">
        <v>14743</v>
      </c>
      <c r="G2459" s="156" t="s">
        <v>14391</v>
      </c>
      <c r="H2459" s="156" t="s">
        <v>215</v>
      </c>
      <c r="I2459" s="149">
        <v>45764.0</v>
      </c>
      <c r="J2459" s="859"/>
      <c r="K2459" s="65"/>
      <c r="L2459" s="65"/>
      <c r="M2459" s="156" t="s">
        <v>14744</v>
      </c>
      <c r="N2459" s="156" t="s">
        <v>14745</v>
      </c>
      <c r="O2459" s="65"/>
      <c r="P2459" s="379" t="s">
        <v>14746</v>
      </c>
      <c r="Q2459" s="49" t="str">
        <f t="array" ref="Q2459"> if(iserror(MATCH(V2459, 'File Links'!C:C, 0)), "N/A", HYPERLINK(INDEX('File Links'!B:B, MATCH(P2459, 'File Links'!C:C, 0))))</f>
        <v>https://drive.google.com/file/d/1Wzsg5t70C5nm9ICa1m7pvYuf0xZ022FB/view?usp=drivesdk</v>
      </c>
      <c r="R2459" s="156" t="s">
        <v>14398</v>
      </c>
      <c r="S2459" s="156" t="s">
        <v>14399</v>
      </c>
      <c r="T2459" s="65"/>
      <c r="U2459" s="65"/>
      <c r="V2459" s="379" t="s">
        <v>14400</v>
      </c>
      <c r="W2459" s="292" t="s">
        <v>202</v>
      </c>
      <c r="X2459" s="51" t="str">
        <f t="array" ref="X2459"> if(iserror(MATCH(V2459, 'File Links'!C:C, 0)), "N/A", HYPERLINK(INDEX('File Links'!B:B, MATCH(V2459, 'File Links'!C:C, 0))))</f>
        <v>https://drive.google.com/file/d/17mZvRs3ue7pXwqu8bmIDvgNdc95PGEcV/view?usp=drivesdk</v>
      </c>
      <c r="Y2459" s="65"/>
      <c r="Z2459" s="156" t="s">
        <v>1072</v>
      </c>
      <c r="AA2459" s="65"/>
      <c r="AB2459" s="156" t="s">
        <v>14402</v>
      </c>
      <c r="AC2459" s="156" t="s">
        <v>14747</v>
      </c>
      <c r="AD2459" s="65" t="s">
        <v>14748</v>
      </c>
      <c r="AE2459" s="65" t="s">
        <v>429</v>
      </c>
      <c r="AF2459" s="153">
        <v>424.0</v>
      </c>
      <c r="AG2459" s="65" t="s">
        <v>14749</v>
      </c>
      <c r="AH2459" s="65" t="s">
        <v>208</v>
      </c>
      <c r="AI2459" s="65" t="s">
        <v>2406</v>
      </c>
      <c r="AJ2459" s="333">
        <v>0.001</v>
      </c>
      <c r="AK2459" s="65" t="s">
        <v>128</v>
      </c>
      <c r="AL2459" s="65" t="s">
        <v>129</v>
      </c>
      <c r="AM2459" s="65" t="s">
        <v>130</v>
      </c>
      <c r="AN2459" s="65" t="s">
        <v>131</v>
      </c>
      <c r="AO2459" s="153">
        <v>1549.0</v>
      </c>
      <c r="AP2459" s="65" t="s">
        <v>14750</v>
      </c>
      <c r="AQ2459" s="65" t="s">
        <v>208</v>
      </c>
      <c r="AR2459" s="65" t="s">
        <v>133</v>
      </c>
      <c r="AS2459" s="1783">
        <v>0.05</v>
      </c>
      <c r="AT2459" s="1785" t="s">
        <v>128</v>
      </c>
      <c r="AU2459" s="1785" t="s">
        <v>129</v>
      </c>
      <c r="AV2459" s="65" t="s">
        <v>130</v>
      </c>
      <c r="AW2459" s="432" t="s">
        <v>14407</v>
      </c>
      <c r="AX2459" s="65" t="s">
        <v>136</v>
      </c>
      <c r="AY2459" s="65"/>
      <c r="AZ2459" s="59" t="s">
        <v>14666</v>
      </c>
    </row>
    <row r="2460">
      <c r="A2460" s="41">
        <v>2460.0</v>
      </c>
      <c r="B2460" s="126" t="s">
        <v>516</v>
      </c>
      <c r="C2460" s="59" t="s">
        <v>108</v>
      </c>
      <c r="D2460" s="59" t="s">
        <v>214</v>
      </c>
      <c r="F2460" s="65" t="s">
        <v>14751</v>
      </c>
      <c r="G2460" s="156" t="s">
        <v>14391</v>
      </c>
      <c r="H2460" s="156" t="s">
        <v>215</v>
      </c>
      <c r="I2460" s="149">
        <v>45764.0</v>
      </c>
      <c r="J2460" s="859"/>
      <c r="K2460" s="65"/>
      <c r="L2460" s="65"/>
      <c r="M2460" s="156" t="s">
        <v>14744</v>
      </c>
      <c r="N2460" s="156" t="s">
        <v>14745</v>
      </c>
      <c r="O2460" s="65"/>
      <c r="P2460" s="379" t="s">
        <v>14746</v>
      </c>
      <c r="Q2460" s="49" t="str">
        <f t="array" ref="Q2460"> if(iserror(MATCH(V2460, 'File Links'!C:C, 0)), "N/A", HYPERLINK(INDEX('File Links'!B:B, MATCH(P2460, 'File Links'!C:C, 0))))</f>
        <v>https://drive.google.com/file/d/1Wzsg5t70C5nm9ICa1m7pvYuf0xZ022FB/view?usp=drivesdk</v>
      </c>
      <c r="R2460" s="156" t="s">
        <v>14398</v>
      </c>
      <c r="S2460" s="156" t="s">
        <v>14399</v>
      </c>
      <c r="T2460" s="65"/>
      <c r="U2460" s="65"/>
      <c r="V2460" s="379" t="s">
        <v>14400</v>
      </c>
      <c r="W2460" s="292" t="s">
        <v>202</v>
      </c>
      <c r="X2460" s="51" t="str">
        <f t="array" ref="X2460"> if(iserror(MATCH(V2460, 'File Links'!C:C, 0)), "N/A", HYPERLINK(INDEX('File Links'!B:B, MATCH(V2460, 'File Links'!C:C, 0))))</f>
        <v>https://drive.google.com/file/d/17mZvRs3ue7pXwqu8bmIDvgNdc95PGEcV/view?usp=drivesdk</v>
      </c>
      <c r="Y2460" s="65"/>
      <c r="Z2460" s="156" t="s">
        <v>1072</v>
      </c>
      <c r="AA2460" s="65"/>
      <c r="AB2460" s="156" t="s">
        <v>14402</v>
      </c>
      <c r="AC2460" s="156" t="s">
        <v>14752</v>
      </c>
      <c r="AD2460" s="65" t="s">
        <v>14753</v>
      </c>
      <c r="AE2460" s="65" t="s">
        <v>429</v>
      </c>
      <c r="AF2460" s="153">
        <v>93.0</v>
      </c>
      <c r="AG2460" s="333">
        <v>0.23</v>
      </c>
      <c r="AH2460" s="65" t="s">
        <v>208</v>
      </c>
      <c r="AI2460" s="65" t="s">
        <v>429</v>
      </c>
      <c r="AJ2460" s="333">
        <v>0.01</v>
      </c>
      <c r="AK2460" s="65" t="s">
        <v>128</v>
      </c>
      <c r="AL2460" s="65" t="s">
        <v>129</v>
      </c>
      <c r="AM2460" s="65" t="s">
        <v>130</v>
      </c>
      <c r="AN2460" s="65" t="s">
        <v>131</v>
      </c>
      <c r="AO2460" s="153">
        <v>1559.0</v>
      </c>
      <c r="AP2460" s="333">
        <v>0.18</v>
      </c>
      <c r="AQ2460" s="65" t="s">
        <v>208</v>
      </c>
      <c r="AR2460" s="65" t="s">
        <v>133</v>
      </c>
      <c r="AS2460" s="1783">
        <v>0.05</v>
      </c>
      <c r="AT2460" s="1785" t="s">
        <v>128</v>
      </c>
      <c r="AU2460" s="1785" t="s">
        <v>129</v>
      </c>
      <c r="AV2460" s="65" t="s">
        <v>130</v>
      </c>
      <c r="AW2460" s="432" t="s">
        <v>14407</v>
      </c>
      <c r="AX2460" s="65" t="s">
        <v>136</v>
      </c>
      <c r="AY2460" s="65"/>
      <c r="AZ2460" s="59" t="s">
        <v>14666</v>
      </c>
    </row>
    <row r="2461">
      <c r="A2461" s="41">
        <v>2461.0</v>
      </c>
      <c r="B2461" s="126" t="s">
        <v>516</v>
      </c>
      <c r="C2461" s="59" t="s">
        <v>108</v>
      </c>
      <c r="D2461" s="59" t="s">
        <v>214</v>
      </c>
      <c r="F2461" s="65" t="s">
        <v>14754</v>
      </c>
      <c r="G2461" s="156" t="s">
        <v>14391</v>
      </c>
      <c r="H2461" s="156" t="s">
        <v>215</v>
      </c>
      <c r="I2461" s="149">
        <v>45764.0</v>
      </c>
      <c r="J2461" s="859"/>
      <c r="K2461" s="65"/>
      <c r="L2461" s="65"/>
      <c r="M2461" s="156" t="s">
        <v>14744</v>
      </c>
      <c r="N2461" s="156" t="s">
        <v>14745</v>
      </c>
      <c r="O2461" s="65"/>
      <c r="P2461" s="379" t="s">
        <v>14746</v>
      </c>
      <c r="Q2461" s="49" t="str">
        <f t="array" ref="Q2461"> if(iserror(MATCH(V2461, 'File Links'!C:C, 0)), "N/A", HYPERLINK(INDEX('File Links'!B:B, MATCH(P2461, 'File Links'!C:C, 0))))</f>
        <v>https://drive.google.com/file/d/1Wzsg5t70C5nm9ICa1m7pvYuf0xZ022FB/view?usp=drivesdk</v>
      </c>
      <c r="R2461" s="156" t="s">
        <v>14398</v>
      </c>
      <c r="S2461" s="156" t="s">
        <v>14399</v>
      </c>
      <c r="T2461" s="65"/>
      <c r="U2461" s="65"/>
      <c r="V2461" s="379" t="s">
        <v>14400</v>
      </c>
      <c r="W2461" s="292" t="s">
        <v>202</v>
      </c>
      <c r="X2461" s="51" t="str">
        <f t="array" ref="X2461"> if(iserror(MATCH(V2461, 'File Links'!C:C, 0)), "N/A", HYPERLINK(INDEX('File Links'!B:B, MATCH(V2461, 'File Links'!C:C, 0))))</f>
        <v>https://drive.google.com/file/d/17mZvRs3ue7pXwqu8bmIDvgNdc95PGEcV/view?usp=drivesdk</v>
      </c>
      <c r="Y2461" s="65"/>
      <c r="Z2461" s="156" t="s">
        <v>1072</v>
      </c>
      <c r="AA2461" s="65"/>
      <c r="AB2461" s="156" t="s">
        <v>14402</v>
      </c>
      <c r="AC2461" s="156" t="s">
        <v>14755</v>
      </c>
      <c r="AD2461" s="65" t="s">
        <v>14756</v>
      </c>
      <c r="AE2461" s="65" t="s">
        <v>2222</v>
      </c>
      <c r="AF2461" s="153">
        <v>1648.0</v>
      </c>
      <c r="AG2461" s="65" t="s">
        <v>14757</v>
      </c>
      <c r="AH2461" s="65" t="s">
        <v>208</v>
      </c>
      <c r="AI2461" s="65" t="s">
        <v>2222</v>
      </c>
      <c r="AJ2461" s="333">
        <v>0.01</v>
      </c>
      <c r="AK2461" s="65" t="s">
        <v>128</v>
      </c>
      <c r="AL2461" s="65" t="s">
        <v>129</v>
      </c>
      <c r="AM2461" s="65" t="s">
        <v>130</v>
      </c>
      <c r="AN2461" s="65" t="s">
        <v>131</v>
      </c>
      <c r="AO2461" s="153">
        <v>1550.0</v>
      </c>
      <c r="AP2461" s="65" t="s">
        <v>14758</v>
      </c>
      <c r="AQ2461" s="65" t="s">
        <v>208</v>
      </c>
      <c r="AR2461" s="65" t="s">
        <v>133</v>
      </c>
      <c r="AS2461" s="1783">
        <v>0.05</v>
      </c>
      <c r="AT2461" s="1785" t="s">
        <v>128</v>
      </c>
      <c r="AU2461" s="1785" t="s">
        <v>129</v>
      </c>
      <c r="AV2461" s="65" t="s">
        <v>130</v>
      </c>
      <c r="AW2461" s="432" t="s">
        <v>14407</v>
      </c>
      <c r="AX2461" s="65" t="s">
        <v>136</v>
      </c>
      <c r="AY2461" s="65"/>
      <c r="AZ2461" s="59" t="s">
        <v>14666</v>
      </c>
    </row>
    <row r="2462">
      <c r="A2462" s="41">
        <v>2462.0</v>
      </c>
      <c r="B2462" s="126" t="s">
        <v>516</v>
      </c>
      <c r="C2462" s="59" t="s">
        <v>108</v>
      </c>
      <c r="D2462" s="59" t="s">
        <v>214</v>
      </c>
      <c r="F2462" s="65" t="s">
        <v>14759</v>
      </c>
      <c r="G2462" s="156" t="s">
        <v>14391</v>
      </c>
      <c r="H2462" s="156" t="s">
        <v>215</v>
      </c>
      <c r="I2462" s="149">
        <v>45764.0</v>
      </c>
      <c r="J2462" s="859"/>
      <c r="K2462" s="65" t="s">
        <v>14760</v>
      </c>
      <c r="L2462" s="65"/>
      <c r="M2462" s="156" t="s">
        <v>14761</v>
      </c>
      <c r="N2462" s="156" t="s">
        <v>14762</v>
      </c>
      <c r="O2462" s="65"/>
      <c r="P2462" s="379" t="s">
        <v>14763</v>
      </c>
      <c r="Q2462" s="49" t="str">
        <f t="array" ref="Q2462"> if(iserror(MATCH(V2462, 'File Links'!C:C, 0)), "N/A", HYPERLINK(INDEX('File Links'!B:B, MATCH(P2462, 'File Links'!C:C, 0))))</f>
        <v>https://drive.google.com/file/d/1DqSsvMQMMGnVP3lP6Am1mBq90t1XZMxt/view?usp=drivesdk</v>
      </c>
      <c r="R2462" s="156" t="s">
        <v>14398</v>
      </c>
      <c r="S2462" s="156" t="s">
        <v>14399</v>
      </c>
      <c r="T2462" s="65"/>
      <c r="U2462" s="65"/>
      <c r="V2462" s="379" t="s">
        <v>14400</v>
      </c>
      <c r="W2462" s="292" t="s">
        <v>202</v>
      </c>
      <c r="X2462" s="51" t="str">
        <f t="array" ref="X2462"> if(iserror(MATCH(V2462, 'File Links'!C:C, 0)), "N/A", HYPERLINK(INDEX('File Links'!B:B, MATCH(V2462, 'File Links'!C:C, 0))))</f>
        <v>https://drive.google.com/file/d/17mZvRs3ue7pXwqu8bmIDvgNdc95PGEcV/view?usp=drivesdk</v>
      </c>
      <c r="Y2462" s="65"/>
      <c r="Z2462" s="156" t="s">
        <v>1072</v>
      </c>
      <c r="AA2462" s="65"/>
      <c r="AB2462" s="156" t="s">
        <v>14402</v>
      </c>
      <c r="AC2462" s="156" t="s">
        <v>14764</v>
      </c>
      <c r="AD2462" s="65" t="s">
        <v>14765</v>
      </c>
      <c r="AE2462" s="65" t="s">
        <v>606</v>
      </c>
      <c r="AF2462" s="153">
        <v>796.0</v>
      </c>
      <c r="AG2462" s="333">
        <v>0.14</v>
      </c>
      <c r="AH2462" s="65" t="s">
        <v>354</v>
      </c>
      <c r="AI2462" s="65" t="s">
        <v>606</v>
      </c>
      <c r="AJ2462" s="333">
        <v>0.001</v>
      </c>
      <c r="AK2462" s="65" t="s">
        <v>128</v>
      </c>
      <c r="AL2462" s="65" t="s">
        <v>129</v>
      </c>
      <c r="AM2462" s="65" t="s">
        <v>130</v>
      </c>
      <c r="AN2462" s="65" t="s">
        <v>131</v>
      </c>
      <c r="AO2462" s="153">
        <v>1504.0</v>
      </c>
      <c r="AP2462" s="333">
        <v>0.2</v>
      </c>
      <c r="AQ2462" s="65" t="s">
        <v>354</v>
      </c>
      <c r="AR2462" s="65" t="s">
        <v>133</v>
      </c>
      <c r="AS2462" s="1783">
        <v>0.001</v>
      </c>
      <c r="AT2462" s="1785" t="s">
        <v>128</v>
      </c>
      <c r="AU2462" s="1785" t="s">
        <v>129</v>
      </c>
      <c r="AV2462" s="65" t="s">
        <v>130</v>
      </c>
      <c r="AW2462" s="432" t="s">
        <v>14407</v>
      </c>
      <c r="AX2462" s="65" t="s">
        <v>136</v>
      </c>
      <c r="AY2462" s="65"/>
      <c r="AZ2462" s="59" t="s">
        <v>14666</v>
      </c>
    </row>
    <row r="2463">
      <c r="A2463" s="41">
        <v>2463.0</v>
      </c>
      <c r="B2463" s="126" t="s">
        <v>516</v>
      </c>
      <c r="C2463" s="59" t="s">
        <v>108</v>
      </c>
      <c r="D2463" s="59" t="s">
        <v>214</v>
      </c>
      <c r="F2463" s="65" t="s">
        <v>14766</v>
      </c>
      <c r="G2463" s="156" t="s">
        <v>14391</v>
      </c>
      <c r="H2463" s="156" t="s">
        <v>215</v>
      </c>
      <c r="I2463" s="149">
        <v>45764.0</v>
      </c>
      <c r="J2463" s="859"/>
      <c r="K2463" s="65" t="s">
        <v>14767</v>
      </c>
      <c r="L2463" s="65"/>
      <c r="M2463" s="156" t="s">
        <v>14761</v>
      </c>
      <c r="N2463" s="156" t="s">
        <v>14762</v>
      </c>
      <c r="O2463" s="65"/>
      <c r="P2463" s="379" t="s">
        <v>14763</v>
      </c>
      <c r="Q2463" s="49" t="str">
        <f t="array" ref="Q2463"> if(iserror(MATCH(V2463, 'File Links'!C:C, 0)), "N/A", HYPERLINK(INDEX('File Links'!B:B, MATCH(P2463, 'File Links'!C:C, 0))))</f>
        <v>https://drive.google.com/file/d/1DqSsvMQMMGnVP3lP6Am1mBq90t1XZMxt/view?usp=drivesdk</v>
      </c>
      <c r="R2463" s="156" t="s">
        <v>14398</v>
      </c>
      <c r="S2463" s="156" t="s">
        <v>14399</v>
      </c>
      <c r="T2463" s="65"/>
      <c r="U2463" s="65"/>
      <c r="V2463" s="379" t="s">
        <v>14400</v>
      </c>
      <c r="W2463" s="292" t="s">
        <v>202</v>
      </c>
      <c r="X2463" s="51" t="str">
        <f t="array" ref="X2463"> if(iserror(MATCH(V2463, 'File Links'!C:C, 0)), "N/A", HYPERLINK(INDEX('File Links'!B:B, MATCH(V2463, 'File Links'!C:C, 0))))</f>
        <v>https://drive.google.com/file/d/17mZvRs3ue7pXwqu8bmIDvgNdc95PGEcV/view?usp=drivesdk</v>
      </c>
      <c r="Y2463" s="65"/>
      <c r="Z2463" s="156" t="s">
        <v>1072</v>
      </c>
      <c r="AA2463" s="65"/>
      <c r="AB2463" s="156" t="s">
        <v>14402</v>
      </c>
      <c r="AC2463" s="156" t="s">
        <v>14768</v>
      </c>
      <c r="AD2463" s="65" t="s">
        <v>14769</v>
      </c>
      <c r="AE2463" s="65" t="s">
        <v>606</v>
      </c>
      <c r="AF2463" s="153">
        <v>796.0</v>
      </c>
      <c r="AG2463" s="333">
        <v>0.23</v>
      </c>
      <c r="AH2463" s="65" t="s">
        <v>354</v>
      </c>
      <c r="AI2463" s="65" t="s">
        <v>606</v>
      </c>
      <c r="AJ2463" s="333">
        <v>0.001</v>
      </c>
      <c r="AK2463" s="65" t="s">
        <v>128</v>
      </c>
      <c r="AL2463" s="65" t="s">
        <v>129</v>
      </c>
      <c r="AM2463" s="65" t="s">
        <v>130</v>
      </c>
      <c r="AN2463" s="65" t="s">
        <v>131</v>
      </c>
      <c r="AO2463" s="153">
        <v>1504.0</v>
      </c>
      <c r="AP2463" s="333">
        <v>0.17</v>
      </c>
      <c r="AQ2463" s="65" t="s">
        <v>354</v>
      </c>
      <c r="AR2463" s="65" t="s">
        <v>133</v>
      </c>
      <c r="AS2463" s="1783">
        <v>0.001</v>
      </c>
      <c r="AT2463" s="1785" t="s">
        <v>128</v>
      </c>
      <c r="AU2463" s="1785" t="s">
        <v>129</v>
      </c>
      <c r="AV2463" s="65" t="s">
        <v>130</v>
      </c>
      <c r="AW2463" s="432" t="s">
        <v>14407</v>
      </c>
      <c r="AX2463" s="65" t="s">
        <v>136</v>
      </c>
      <c r="AY2463" s="65"/>
      <c r="AZ2463" s="59" t="s">
        <v>14666</v>
      </c>
    </row>
    <row r="2464">
      <c r="A2464" s="41">
        <v>2464.0</v>
      </c>
      <c r="B2464" s="126" t="s">
        <v>516</v>
      </c>
      <c r="C2464" s="59" t="s">
        <v>108</v>
      </c>
      <c r="D2464" s="59" t="s">
        <v>214</v>
      </c>
      <c r="F2464" s="65" t="s">
        <v>14770</v>
      </c>
      <c r="G2464" s="156" t="s">
        <v>14391</v>
      </c>
      <c r="H2464" s="156" t="s">
        <v>215</v>
      </c>
      <c r="I2464" s="149">
        <v>45765.0</v>
      </c>
      <c r="J2464" s="859"/>
      <c r="K2464" s="65" t="s">
        <v>14771</v>
      </c>
      <c r="L2464" s="65"/>
      <c r="M2464" s="156" t="s">
        <v>14772</v>
      </c>
      <c r="N2464" s="156" t="s">
        <v>14773</v>
      </c>
      <c r="O2464" s="65"/>
      <c r="P2464" s="379" t="s">
        <v>14774</v>
      </c>
      <c r="Q2464" s="49" t="str">
        <f t="array" ref="Q2464"> if(iserror(MATCH(V2464, 'File Links'!C:C, 0)), "N/A", HYPERLINK(INDEX('File Links'!B:B, MATCH(P2464, 'File Links'!C:C, 0))))</f>
        <v>https://drive.google.com/file/d/1pZrmtVQlW4Pm144U62OnQaKTslWUIqbt/view?usp=drivesdk</v>
      </c>
      <c r="R2464" s="156" t="s">
        <v>14398</v>
      </c>
      <c r="S2464" s="156" t="s">
        <v>14399</v>
      </c>
      <c r="T2464" s="65"/>
      <c r="U2464" s="65"/>
      <c r="V2464" s="379" t="s">
        <v>14400</v>
      </c>
      <c r="W2464" s="292" t="s">
        <v>202</v>
      </c>
      <c r="X2464" s="51" t="str">
        <f t="array" ref="X2464"> if(iserror(MATCH(V2464, 'File Links'!C:C, 0)), "N/A", HYPERLINK(INDEX('File Links'!B:B, MATCH(V2464, 'File Links'!C:C, 0))))</f>
        <v>https://drive.google.com/file/d/17mZvRs3ue7pXwqu8bmIDvgNdc95PGEcV/view?usp=drivesdk</v>
      </c>
      <c r="Y2464" s="65"/>
      <c r="Z2464" s="156" t="s">
        <v>1072</v>
      </c>
      <c r="AA2464" s="65"/>
      <c r="AB2464" s="156" t="s">
        <v>14402</v>
      </c>
      <c r="AC2464" s="156" t="s">
        <v>14775</v>
      </c>
      <c r="AD2464" s="65" t="s">
        <v>14776</v>
      </c>
      <c r="AE2464" s="65" t="s">
        <v>300</v>
      </c>
      <c r="AF2464" s="153">
        <v>169.0</v>
      </c>
      <c r="AG2464" s="333">
        <v>0.22</v>
      </c>
      <c r="AH2464" s="65" t="s">
        <v>354</v>
      </c>
      <c r="AI2464" s="65" t="s">
        <v>300</v>
      </c>
      <c r="AJ2464" s="333">
        <v>0.01</v>
      </c>
      <c r="AK2464" s="65" t="s">
        <v>128</v>
      </c>
      <c r="AL2464" s="65" t="s">
        <v>129</v>
      </c>
      <c r="AM2464" s="65" t="s">
        <v>130</v>
      </c>
      <c r="AN2464" s="65" t="s">
        <v>131</v>
      </c>
      <c r="AO2464" s="153">
        <v>747.0</v>
      </c>
      <c r="AP2464" s="333">
        <v>0.47</v>
      </c>
      <c r="AQ2464" s="65" t="s">
        <v>354</v>
      </c>
      <c r="AR2464" s="65" t="s">
        <v>133</v>
      </c>
      <c r="AS2464" s="1783">
        <v>0.001</v>
      </c>
      <c r="AT2464" s="1785" t="s">
        <v>128</v>
      </c>
      <c r="AU2464" s="1785" t="s">
        <v>129</v>
      </c>
      <c r="AV2464" s="65" t="s">
        <v>130</v>
      </c>
      <c r="AW2464" s="432" t="s">
        <v>14407</v>
      </c>
      <c r="AX2464" s="65" t="s">
        <v>136</v>
      </c>
      <c r="AY2464" s="65"/>
      <c r="AZ2464" s="59" t="s">
        <v>14666</v>
      </c>
    </row>
    <row r="2465">
      <c r="A2465" s="41">
        <v>2465.0</v>
      </c>
      <c r="B2465" s="126" t="s">
        <v>516</v>
      </c>
      <c r="C2465" s="59" t="s">
        <v>108</v>
      </c>
      <c r="D2465" s="59" t="s">
        <v>214</v>
      </c>
      <c r="F2465" s="65" t="s">
        <v>14777</v>
      </c>
      <c r="G2465" s="156" t="s">
        <v>14391</v>
      </c>
      <c r="H2465" s="156" t="s">
        <v>215</v>
      </c>
      <c r="I2465" s="149">
        <v>45765.0</v>
      </c>
      <c r="J2465" s="859"/>
      <c r="K2465" s="65" t="s">
        <v>14778</v>
      </c>
      <c r="L2465" s="65"/>
      <c r="M2465" s="156" t="s">
        <v>14772</v>
      </c>
      <c r="N2465" s="156" t="s">
        <v>14773</v>
      </c>
      <c r="O2465" s="65"/>
      <c r="P2465" s="379" t="s">
        <v>14774</v>
      </c>
      <c r="Q2465" s="49" t="str">
        <f t="array" ref="Q2465"> if(iserror(MATCH(V2465, 'File Links'!C:C, 0)), "N/A", HYPERLINK(INDEX('File Links'!B:B, MATCH(P2465, 'File Links'!C:C, 0))))</f>
        <v>https://drive.google.com/file/d/1pZrmtVQlW4Pm144U62OnQaKTslWUIqbt/view?usp=drivesdk</v>
      </c>
      <c r="R2465" s="156" t="s">
        <v>14398</v>
      </c>
      <c r="S2465" s="156" t="s">
        <v>14399</v>
      </c>
      <c r="T2465" s="65"/>
      <c r="U2465" s="65"/>
      <c r="V2465" s="379" t="s">
        <v>14400</v>
      </c>
      <c r="W2465" s="292" t="s">
        <v>202</v>
      </c>
      <c r="X2465" s="51" t="str">
        <f t="array" ref="X2465"> if(iserror(MATCH(V2465, 'File Links'!C:C, 0)), "N/A", HYPERLINK(INDEX('File Links'!B:B, MATCH(V2465, 'File Links'!C:C, 0))))</f>
        <v>https://drive.google.com/file/d/17mZvRs3ue7pXwqu8bmIDvgNdc95PGEcV/view?usp=drivesdk</v>
      </c>
      <c r="Y2465" s="65"/>
      <c r="Z2465" s="156" t="s">
        <v>1072</v>
      </c>
      <c r="AA2465" s="65"/>
      <c r="AB2465" s="156" t="s">
        <v>14402</v>
      </c>
      <c r="AC2465" s="156" t="s">
        <v>14779</v>
      </c>
      <c r="AD2465" s="65" t="s">
        <v>14780</v>
      </c>
      <c r="AE2465" s="65" t="s">
        <v>300</v>
      </c>
      <c r="AF2465" s="153">
        <v>169.0</v>
      </c>
      <c r="AG2465" s="333">
        <v>0.2</v>
      </c>
      <c r="AH2465" s="65" t="s">
        <v>354</v>
      </c>
      <c r="AI2465" s="65" t="s">
        <v>300</v>
      </c>
      <c r="AJ2465" s="333">
        <v>0.05</v>
      </c>
      <c r="AK2465" s="65" t="s">
        <v>128</v>
      </c>
      <c r="AL2465" s="65" t="s">
        <v>129</v>
      </c>
      <c r="AM2465" s="65" t="s">
        <v>130</v>
      </c>
      <c r="AN2465" s="65" t="s">
        <v>131</v>
      </c>
      <c r="AO2465" s="153">
        <v>747.0</v>
      </c>
      <c r="AP2465" s="333">
        <v>0.09</v>
      </c>
      <c r="AQ2465" s="65" t="s">
        <v>354</v>
      </c>
      <c r="AR2465" s="65" t="s">
        <v>133</v>
      </c>
      <c r="AS2465" s="1783">
        <v>0.05</v>
      </c>
      <c r="AT2465" s="1785" t="s">
        <v>128</v>
      </c>
      <c r="AU2465" s="1785" t="s">
        <v>129</v>
      </c>
      <c r="AV2465" s="65" t="s">
        <v>130</v>
      </c>
      <c r="AW2465" s="432" t="s">
        <v>14407</v>
      </c>
      <c r="AX2465" s="65" t="s">
        <v>136</v>
      </c>
      <c r="AY2465" s="65"/>
      <c r="AZ2465" s="59" t="s">
        <v>14666</v>
      </c>
    </row>
    <row r="2466">
      <c r="A2466" s="41">
        <v>2466.0</v>
      </c>
      <c r="B2466" s="126" t="s">
        <v>516</v>
      </c>
      <c r="C2466" s="59" t="s">
        <v>108</v>
      </c>
      <c r="D2466" s="59" t="s">
        <v>214</v>
      </c>
      <c r="F2466" s="65" t="s">
        <v>14781</v>
      </c>
      <c r="G2466" s="156" t="s">
        <v>14391</v>
      </c>
      <c r="H2466" s="156" t="s">
        <v>215</v>
      </c>
      <c r="I2466" s="149">
        <v>45765.0</v>
      </c>
      <c r="J2466" s="859"/>
      <c r="K2466" s="65" t="s">
        <v>14782</v>
      </c>
      <c r="L2466" s="65"/>
      <c r="M2466" s="156" t="s">
        <v>14783</v>
      </c>
      <c r="N2466" s="156" t="s">
        <v>14784</v>
      </c>
      <c r="O2466" s="65"/>
      <c r="P2466" s="379" t="s">
        <v>14785</v>
      </c>
      <c r="Q2466" s="49" t="str">
        <f t="array" ref="Q2466"> if(iserror(MATCH(V2466, 'File Links'!C:C, 0)), "N/A", HYPERLINK(INDEX('File Links'!B:B, MATCH(P2466, 'File Links'!C:C, 0))))</f>
        <v>https://drive.google.com/file/d/1-T4sznIFSDMlo5E8C7pS0UQqY9mrcCsK/view?usp=drivesdk</v>
      </c>
      <c r="R2466" s="156" t="s">
        <v>14398</v>
      </c>
      <c r="S2466" s="156" t="s">
        <v>14399</v>
      </c>
      <c r="T2466" s="65"/>
      <c r="U2466" s="65"/>
      <c r="V2466" s="379" t="s">
        <v>14400</v>
      </c>
      <c r="W2466" s="292" t="s">
        <v>202</v>
      </c>
      <c r="X2466" s="51" t="str">
        <f t="array" ref="X2466"> if(iserror(MATCH(V2466, 'File Links'!C:C, 0)), "N/A", HYPERLINK(INDEX('File Links'!B:B, MATCH(V2466, 'File Links'!C:C, 0))))</f>
        <v>https://drive.google.com/file/d/17mZvRs3ue7pXwqu8bmIDvgNdc95PGEcV/view?usp=drivesdk</v>
      </c>
      <c r="Y2466" s="65"/>
      <c r="Z2466" s="156" t="s">
        <v>1072</v>
      </c>
      <c r="AA2466" s="65"/>
      <c r="AB2466" s="156" t="s">
        <v>14402</v>
      </c>
      <c r="AC2466" s="156" t="s">
        <v>14786</v>
      </c>
      <c r="AD2466" s="65" t="s">
        <v>14787</v>
      </c>
      <c r="AE2466" s="65" t="s">
        <v>300</v>
      </c>
      <c r="AF2466" s="153">
        <v>187.0</v>
      </c>
      <c r="AG2466" s="333">
        <v>0.28</v>
      </c>
      <c r="AH2466" s="65" t="s">
        <v>354</v>
      </c>
      <c r="AI2466" s="65" t="s">
        <v>300</v>
      </c>
      <c r="AJ2466" s="333">
        <v>0.01</v>
      </c>
      <c r="AK2466" s="65" t="s">
        <v>128</v>
      </c>
      <c r="AL2466" s="65" t="s">
        <v>129</v>
      </c>
      <c r="AM2466" s="65" t="s">
        <v>130</v>
      </c>
      <c r="AN2466" s="65" t="s">
        <v>131</v>
      </c>
      <c r="AO2466" s="153">
        <v>1550.0</v>
      </c>
      <c r="AP2466" s="333">
        <v>0.26</v>
      </c>
      <c r="AQ2466" s="65" t="s">
        <v>354</v>
      </c>
      <c r="AR2466" s="65" t="s">
        <v>133</v>
      </c>
      <c r="AS2466" s="1783">
        <v>0.001</v>
      </c>
      <c r="AT2466" s="1785" t="s">
        <v>128</v>
      </c>
      <c r="AU2466" s="1785" t="s">
        <v>129</v>
      </c>
      <c r="AV2466" s="65" t="s">
        <v>130</v>
      </c>
      <c r="AW2466" s="432" t="s">
        <v>14407</v>
      </c>
      <c r="AX2466" s="65" t="s">
        <v>136</v>
      </c>
      <c r="AY2466" s="65"/>
      <c r="AZ2466" s="59" t="s">
        <v>14666</v>
      </c>
    </row>
    <row r="2467">
      <c r="A2467" s="41">
        <v>2467.0</v>
      </c>
      <c r="B2467" s="126" t="s">
        <v>516</v>
      </c>
      <c r="C2467" s="59" t="s">
        <v>108</v>
      </c>
      <c r="D2467" s="59" t="s">
        <v>214</v>
      </c>
      <c r="F2467" s="65" t="s">
        <v>14788</v>
      </c>
      <c r="G2467" s="156" t="s">
        <v>14391</v>
      </c>
      <c r="H2467" s="156" t="s">
        <v>215</v>
      </c>
      <c r="I2467" s="149">
        <v>45765.0</v>
      </c>
      <c r="J2467" s="859"/>
      <c r="K2467" s="65" t="s">
        <v>14789</v>
      </c>
      <c r="L2467" s="65"/>
      <c r="M2467" s="156" t="s">
        <v>14783</v>
      </c>
      <c r="N2467" s="156" t="s">
        <v>14784</v>
      </c>
      <c r="O2467" s="65"/>
      <c r="P2467" s="379" t="s">
        <v>14785</v>
      </c>
      <c r="Q2467" s="49" t="str">
        <f t="array" ref="Q2467"> if(iserror(MATCH(V2467, 'File Links'!C:C, 0)), "N/A", HYPERLINK(INDEX('File Links'!B:B, MATCH(P2467, 'File Links'!C:C, 0))))</f>
        <v>https://drive.google.com/file/d/1-T4sznIFSDMlo5E8C7pS0UQqY9mrcCsK/view?usp=drivesdk</v>
      </c>
      <c r="R2467" s="156" t="s">
        <v>14398</v>
      </c>
      <c r="S2467" s="156" t="s">
        <v>14399</v>
      </c>
      <c r="T2467" s="65"/>
      <c r="U2467" s="65"/>
      <c r="V2467" s="379" t="s">
        <v>14400</v>
      </c>
      <c r="W2467" s="292" t="s">
        <v>202</v>
      </c>
      <c r="X2467" s="51" t="str">
        <f t="array" ref="X2467"> if(iserror(MATCH(V2467, 'File Links'!C:C, 0)), "N/A", HYPERLINK(INDEX('File Links'!B:B, MATCH(V2467, 'File Links'!C:C, 0))))</f>
        <v>https://drive.google.com/file/d/17mZvRs3ue7pXwqu8bmIDvgNdc95PGEcV/view?usp=drivesdk</v>
      </c>
      <c r="Y2467" s="65"/>
      <c r="Z2467" s="156" t="s">
        <v>1072</v>
      </c>
      <c r="AA2467" s="65"/>
      <c r="AB2467" s="156" t="s">
        <v>14402</v>
      </c>
      <c r="AC2467" s="156" t="s">
        <v>14790</v>
      </c>
      <c r="AD2467" s="65" t="s">
        <v>14791</v>
      </c>
      <c r="AE2467" s="65" t="s">
        <v>300</v>
      </c>
      <c r="AF2467" s="153">
        <v>187.0</v>
      </c>
      <c r="AG2467" s="333">
        <v>0.28</v>
      </c>
      <c r="AH2467" s="65" t="s">
        <v>354</v>
      </c>
      <c r="AI2467" s="65" t="s">
        <v>300</v>
      </c>
      <c r="AJ2467" s="333">
        <v>0.01</v>
      </c>
      <c r="AK2467" s="65" t="s">
        <v>128</v>
      </c>
      <c r="AL2467" s="65" t="s">
        <v>129</v>
      </c>
      <c r="AM2467" s="65" t="s">
        <v>130</v>
      </c>
      <c r="AN2467" s="65" t="s">
        <v>131</v>
      </c>
      <c r="AO2467" s="153">
        <v>1550.0</v>
      </c>
      <c r="AP2467" s="333">
        <v>0.06</v>
      </c>
      <c r="AQ2467" s="65" t="s">
        <v>354</v>
      </c>
      <c r="AR2467" s="65" t="s">
        <v>133</v>
      </c>
      <c r="AS2467" s="1783">
        <v>0.001</v>
      </c>
      <c r="AT2467" s="1785" t="s">
        <v>128</v>
      </c>
      <c r="AU2467" s="1785" t="s">
        <v>129</v>
      </c>
      <c r="AV2467" s="65" t="s">
        <v>130</v>
      </c>
      <c r="AW2467" s="432" t="s">
        <v>14407</v>
      </c>
      <c r="AX2467" s="65" t="s">
        <v>136</v>
      </c>
      <c r="AY2467" s="65"/>
      <c r="AZ2467" s="59" t="s">
        <v>14666</v>
      </c>
    </row>
    <row r="2468">
      <c r="A2468" s="41">
        <v>2468.0</v>
      </c>
      <c r="B2468" s="126" t="s">
        <v>516</v>
      </c>
      <c r="C2468" s="59" t="s">
        <v>108</v>
      </c>
      <c r="D2468" s="59" t="s">
        <v>214</v>
      </c>
      <c r="F2468" s="65" t="s">
        <v>14792</v>
      </c>
      <c r="G2468" s="156" t="s">
        <v>14391</v>
      </c>
      <c r="H2468" s="156" t="s">
        <v>215</v>
      </c>
      <c r="I2468" s="149">
        <v>45765.0</v>
      </c>
      <c r="J2468" s="859"/>
      <c r="K2468" s="65" t="s">
        <v>14793</v>
      </c>
      <c r="L2468" s="65"/>
      <c r="M2468" s="156" t="s">
        <v>14794</v>
      </c>
      <c r="N2468" s="65" t="s">
        <v>14795</v>
      </c>
      <c r="O2468" s="65"/>
      <c r="P2468" s="379" t="s">
        <v>14796</v>
      </c>
      <c r="Q2468" s="49" t="str">
        <f t="array" ref="Q2468"> if(iserror(MATCH(V2468, 'File Links'!C:C, 0)), "N/A", HYPERLINK(INDEX('File Links'!B:B, MATCH(P2468, 'File Links'!C:C, 0))))</f>
        <v>https://drive.google.com/file/d/1dhF34wzocQXuQuO5C6a-2Ah86pPkgSjw/view?usp=drivesdk</v>
      </c>
      <c r="R2468" s="156" t="s">
        <v>14398</v>
      </c>
      <c r="S2468" s="156" t="s">
        <v>14399</v>
      </c>
      <c r="T2468" s="65"/>
      <c r="U2468" s="65"/>
      <c r="V2468" s="379" t="s">
        <v>14400</v>
      </c>
      <c r="W2468" s="292" t="s">
        <v>202</v>
      </c>
      <c r="X2468" s="51" t="str">
        <f t="array" ref="X2468"> if(iserror(MATCH(V2468, 'File Links'!C:C, 0)), "N/A", HYPERLINK(INDEX('File Links'!B:B, MATCH(V2468, 'File Links'!C:C, 0))))</f>
        <v>https://drive.google.com/file/d/17mZvRs3ue7pXwqu8bmIDvgNdc95PGEcV/view?usp=drivesdk</v>
      </c>
      <c r="Y2468" s="65"/>
      <c r="Z2468" s="156" t="s">
        <v>1072</v>
      </c>
      <c r="AA2468" s="65"/>
      <c r="AB2468" s="156" t="s">
        <v>14402</v>
      </c>
      <c r="AC2468" s="156" t="s">
        <v>14797</v>
      </c>
      <c r="AD2468" s="65" t="s">
        <v>14798</v>
      </c>
      <c r="AE2468" s="65" t="s">
        <v>2222</v>
      </c>
      <c r="AF2468" s="153">
        <v>197.0</v>
      </c>
      <c r="AG2468" s="333">
        <v>-0.15</v>
      </c>
      <c r="AH2468" s="65" t="s">
        <v>354</v>
      </c>
      <c r="AI2468" s="65" t="s">
        <v>2222</v>
      </c>
      <c r="AJ2468" s="333">
        <v>0.01</v>
      </c>
      <c r="AK2468" s="65" t="s">
        <v>128</v>
      </c>
      <c r="AL2468" s="65" t="s">
        <v>129</v>
      </c>
      <c r="AM2468" s="65" t="s">
        <v>130</v>
      </c>
      <c r="AN2468" s="65" t="s">
        <v>131</v>
      </c>
      <c r="AO2468" s="153">
        <v>1550.0</v>
      </c>
      <c r="AP2468" s="333">
        <v>-0.09</v>
      </c>
      <c r="AQ2468" s="65" t="s">
        <v>354</v>
      </c>
      <c r="AR2468" s="65" t="s">
        <v>133</v>
      </c>
      <c r="AS2468" s="1783">
        <v>0.001</v>
      </c>
      <c r="AT2468" s="1785" t="s">
        <v>128</v>
      </c>
      <c r="AU2468" s="1785" t="s">
        <v>129</v>
      </c>
      <c r="AV2468" s="65" t="s">
        <v>130</v>
      </c>
      <c r="AW2468" s="432" t="s">
        <v>14407</v>
      </c>
      <c r="AX2468" s="65" t="s">
        <v>136</v>
      </c>
      <c r="AY2468" s="65"/>
      <c r="AZ2468" s="59" t="s">
        <v>14666</v>
      </c>
    </row>
    <row r="2469">
      <c r="A2469" s="41">
        <v>2469.0</v>
      </c>
      <c r="B2469" s="126" t="s">
        <v>516</v>
      </c>
      <c r="C2469" s="59" t="s">
        <v>108</v>
      </c>
      <c r="D2469" s="59" t="s">
        <v>214</v>
      </c>
      <c r="F2469" s="65" t="s">
        <v>14799</v>
      </c>
      <c r="G2469" s="156" t="s">
        <v>14391</v>
      </c>
      <c r="H2469" s="156" t="s">
        <v>215</v>
      </c>
      <c r="I2469" s="149">
        <v>45765.0</v>
      </c>
      <c r="J2469" s="859"/>
      <c r="K2469" s="65" t="s">
        <v>14793</v>
      </c>
      <c r="L2469" s="65"/>
      <c r="M2469" s="156" t="s">
        <v>14794</v>
      </c>
      <c r="N2469" s="65" t="s">
        <v>14795</v>
      </c>
      <c r="O2469" s="65"/>
      <c r="P2469" s="379" t="s">
        <v>14796</v>
      </c>
      <c r="Q2469" s="49" t="str">
        <f t="array" ref="Q2469"> if(iserror(MATCH(V2469, 'File Links'!C:C, 0)), "N/A", HYPERLINK(INDEX('File Links'!B:B, MATCH(P2469, 'File Links'!C:C, 0))))</f>
        <v>https://drive.google.com/file/d/1dhF34wzocQXuQuO5C6a-2Ah86pPkgSjw/view?usp=drivesdk</v>
      </c>
      <c r="R2469" s="156" t="s">
        <v>14398</v>
      </c>
      <c r="S2469" s="156" t="s">
        <v>14399</v>
      </c>
      <c r="T2469" s="65"/>
      <c r="U2469" s="65"/>
      <c r="V2469" s="379" t="s">
        <v>14400</v>
      </c>
      <c r="W2469" s="292" t="s">
        <v>202</v>
      </c>
      <c r="X2469" s="51" t="str">
        <f t="array" ref="X2469"> if(iserror(MATCH(V2469, 'File Links'!C:C, 0)), "N/A", HYPERLINK(INDEX('File Links'!B:B, MATCH(V2469, 'File Links'!C:C, 0))))</f>
        <v>https://drive.google.com/file/d/17mZvRs3ue7pXwqu8bmIDvgNdc95PGEcV/view?usp=drivesdk</v>
      </c>
      <c r="Y2469" s="65"/>
      <c r="Z2469" s="156" t="s">
        <v>1072</v>
      </c>
      <c r="AA2469" s="65"/>
      <c r="AB2469" s="156" t="s">
        <v>14402</v>
      </c>
      <c r="AC2469" s="156" t="s">
        <v>14800</v>
      </c>
      <c r="AD2469" s="65" t="s">
        <v>14801</v>
      </c>
      <c r="AE2469" s="65" t="s">
        <v>2222</v>
      </c>
      <c r="AF2469" s="153">
        <v>197.0</v>
      </c>
      <c r="AG2469" s="333">
        <v>-0.23</v>
      </c>
      <c r="AH2469" s="65" t="s">
        <v>354</v>
      </c>
      <c r="AI2469" s="65" t="s">
        <v>2222</v>
      </c>
      <c r="AJ2469" s="333">
        <v>0.001</v>
      </c>
      <c r="AK2469" s="65" t="s">
        <v>128</v>
      </c>
      <c r="AL2469" s="65" t="s">
        <v>129</v>
      </c>
      <c r="AM2469" s="65" t="s">
        <v>130</v>
      </c>
      <c r="AN2469" s="65" t="s">
        <v>131</v>
      </c>
      <c r="AO2469" s="153">
        <v>1550.0</v>
      </c>
      <c r="AP2469" s="333">
        <v>-0.12</v>
      </c>
      <c r="AQ2469" s="65" t="s">
        <v>354</v>
      </c>
      <c r="AR2469" s="65" t="s">
        <v>133</v>
      </c>
      <c r="AS2469" s="1783">
        <v>0.01</v>
      </c>
      <c r="AT2469" s="1785" t="s">
        <v>128</v>
      </c>
      <c r="AU2469" s="1785" t="s">
        <v>129</v>
      </c>
      <c r="AV2469" s="65" t="s">
        <v>130</v>
      </c>
      <c r="AW2469" s="432" t="s">
        <v>14407</v>
      </c>
      <c r="AX2469" s="65" t="s">
        <v>136</v>
      </c>
      <c r="AY2469" s="65"/>
      <c r="AZ2469" s="59" t="s">
        <v>14666</v>
      </c>
    </row>
    <row r="2470">
      <c r="A2470" s="41">
        <v>2470.0</v>
      </c>
      <c r="B2470" s="371" t="s">
        <v>145</v>
      </c>
      <c r="C2470" s="185" t="s">
        <v>108</v>
      </c>
      <c r="D2470" s="185" t="s">
        <v>1451</v>
      </c>
      <c r="E2470" s="186"/>
      <c r="F2470" s="187" t="s">
        <v>14596</v>
      </c>
      <c r="G2470" s="195" t="s">
        <v>14391</v>
      </c>
      <c r="H2470" s="195" t="s">
        <v>8467</v>
      </c>
      <c r="I2470" s="188">
        <v>45251.0</v>
      </c>
      <c r="J2470" s="2102">
        <v>45814.0</v>
      </c>
      <c r="K2470" s="187" t="s">
        <v>14802</v>
      </c>
      <c r="L2470" s="371" t="s">
        <v>14803</v>
      </c>
      <c r="M2470" s="195" t="s">
        <v>14599</v>
      </c>
      <c r="N2470" s="195" t="s">
        <v>14600</v>
      </c>
      <c r="O2470" s="747">
        <v>1.0</v>
      </c>
      <c r="P2470" s="195" t="s">
        <v>14601</v>
      </c>
      <c r="Q2470" s="1165" t="str">
        <f t="array" ref="Q2470"> if(iserror(MATCH(V2470, 'File Links'!C:C, 0)), "N/A", HYPERLINK(INDEX('File Links'!B:B, MATCH(P2470, 'File Links'!C:C, 0))))</f>
        <v>https://drive.google.com/file/d/1NUoPD3eW0MR4HJ1BQoG7-ngWy5-ADbSy/view?usp=drivesdk</v>
      </c>
      <c r="R2470" s="195" t="s">
        <v>14398</v>
      </c>
      <c r="S2470" s="156" t="s">
        <v>14399</v>
      </c>
      <c r="T2470" s="187" t="s">
        <v>131</v>
      </c>
      <c r="U2470" s="747">
        <v>1.0</v>
      </c>
      <c r="V2470" s="195" t="s">
        <v>14400</v>
      </c>
      <c r="W2470" s="371" t="s">
        <v>202</v>
      </c>
      <c r="X2470" s="1166" t="str">
        <f t="array" ref="X2470"> if(iserror(MATCH(V2470, 'File Links'!C:C, 0)), "N/A", HYPERLINK(INDEX('File Links'!B:B, MATCH(V2470, 'File Links'!C:C, 0))))</f>
        <v>https://drive.google.com/file/d/17mZvRs3ue7pXwqu8bmIDvgNdc95PGEcV/view?usp=drivesdk</v>
      </c>
      <c r="Y2470" s="187"/>
      <c r="Z2470" s="195" t="s">
        <v>1072</v>
      </c>
      <c r="AA2470" s="371" t="s">
        <v>14602</v>
      </c>
      <c r="AB2470" s="195" t="s">
        <v>14402</v>
      </c>
      <c r="AC2470" s="195" t="s">
        <v>14603</v>
      </c>
      <c r="AD2470" s="126" t="s">
        <v>14804</v>
      </c>
      <c r="AE2470" s="333">
        <v>7.0</v>
      </c>
      <c r="AF2470" s="755">
        <v>418.0</v>
      </c>
      <c r="AG2470" s="562">
        <v>0.41</v>
      </c>
      <c r="AH2470" s="65" t="s">
        <v>208</v>
      </c>
      <c r="AI2470" s="65" t="s">
        <v>4966</v>
      </c>
      <c r="AJ2470" s="344" t="s">
        <v>131</v>
      </c>
      <c r="AK2470" s="344" t="s">
        <v>131</v>
      </c>
      <c r="AL2470" s="65" t="s">
        <v>179</v>
      </c>
      <c r="AM2470" s="65" t="s">
        <v>130</v>
      </c>
      <c r="AN2470" s="187" t="s">
        <v>131</v>
      </c>
      <c r="AO2470" s="755">
        <v>1549.0</v>
      </c>
      <c r="AP2470" s="747">
        <v>0.35</v>
      </c>
      <c r="AQ2470" s="187" t="s">
        <v>208</v>
      </c>
      <c r="AR2470" s="187" t="s">
        <v>875</v>
      </c>
      <c r="AS2470" s="2108">
        <v>1.45353153159928E-45</v>
      </c>
      <c r="AT2470" s="1785" t="s">
        <v>165</v>
      </c>
      <c r="AU2470" s="187" t="s">
        <v>129</v>
      </c>
      <c r="AV2470" s="65" t="s">
        <v>130</v>
      </c>
      <c r="AW2470" s="874" t="s">
        <v>14805</v>
      </c>
      <c r="AX2470" s="187" t="s">
        <v>144</v>
      </c>
      <c r="AY2470" s="187"/>
      <c r="AZ2470" s="185" t="s">
        <v>1263</v>
      </c>
      <c r="BA2470" s="186"/>
      <c r="BB2470" s="186"/>
      <c r="BC2470" s="186"/>
      <c r="BD2470" s="186"/>
      <c r="BE2470" s="186"/>
      <c r="BF2470" s="186"/>
      <c r="BG2470" s="186"/>
      <c r="BH2470" s="186"/>
      <c r="BI2470" s="186"/>
      <c r="BJ2470" s="186"/>
      <c r="BK2470" s="186"/>
      <c r="BL2470" s="186"/>
      <c r="BM2470" s="186"/>
      <c r="BN2470" s="186"/>
      <c r="BO2470" s="186"/>
      <c r="BP2470" s="186"/>
      <c r="BQ2470" s="186"/>
      <c r="BR2470" s="186"/>
      <c r="BS2470" s="186"/>
      <c r="BT2470" s="186"/>
      <c r="BU2470" s="186"/>
      <c r="BV2470" s="186"/>
      <c r="BW2470" s="186"/>
      <c r="BX2470" s="186"/>
      <c r="BY2470" s="186"/>
      <c r="BZ2470" s="186"/>
      <c r="CA2470" s="186"/>
      <c r="CB2470" s="186"/>
      <c r="CC2470" s="186"/>
      <c r="CD2470" s="186"/>
      <c r="CE2470" s="186"/>
      <c r="CF2470" s="186"/>
      <c r="CG2470" s="186"/>
      <c r="CH2470" s="186"/>
      <c r="CI2470" s="186"/>
      <c r="CJ2470" s="186"/>
      <c r="CK2470" s="186"/>
      <c r="CL2470" s="186"/>
      <c r="CM2470" s="186"/>
      <c r="CN2470" s="186"/>
      <c r="CO2470" s="186"/>
      <c r="CP2470" s="186"/>
      <c r="CQ2470" s="186"/>
      <c r="CR2470" s="186"/>
      <c r="CS2470" s="186"/>
      <c r="CT2470" s="186"/>
      <c r="CU2470" s="186"/>
      <c r="CV2470" s="186"/>
      <c r="CW2470" s="186"/>
      <c r="CX2470" s="186"/>
      <c r="CY2470" s="186"/>
      <c r="CZ2470" s="186"/>
      <c r="DA2470" s="186"/>
      <c r="DB2470" s="186"/>
      <c r="DC2470" s="186"/>
      <c r="DD2470" s="186"/>
      <c r="DE2470" s="186"/>
      <c r="DF2470" s="186"/>
      <c r="DG2470" s="186"/>
      <c r="DH2470" s="186"/>
    </row>
    <row r="2471">
      <c r="A2471" s="41">
        <v>2471.0</v>
      </c>
      <c r="B2471" s="126" t="s">
        <v>145</v>
      </c>
      <c r="C2471" s="59" t="s">
        <v>108</v>
      </c>
      <c r="D2471" s="59" t="s">
        <v>1451</v>
      </c>
      <c r="F2471" s="65" t="s">
        <v>14605</v>
      </c>
      <c r="G2471" s="156" t="s">
        <v>14391</v>
      </c>
      <c r="H2471" s="156" t="s">
        <v>8467</v>
      </c>
      <c r="I2471" s="149">
        <v>45251.0</v>
      </c>
      <c r="J2471" s="2102">
        <v>45814.0</v>
      </c>
      <c r="K2471" s="65" t="s">
        <v>14806</v>
      </c>
      <c r="L2471" s="371" t="s">
        <v>14807</v>
      </c>
      <c r="M2471" s="156" t="s">
        <v>14599</v>
      </c>
      <c r="N2471" s="156" t="s">
        <v>14600</v>
      </c>
      <c r="O2471" s="333">
        <v>1.0</v>
      </c>
      <c r="P2471" s="379" t="s">
        <v>14601</v>
      </c>
      <c r="Q2471" s="49" t="str">
        <f t="array" ref="Q2471"> if(iserror(MATCH(V2471, 'File Links'!C:C, 0)), "N/A", HYPERLINK(INDEX('File Links'!B:B, MATCH(P2471, 'File Links'!C:C, 0))))</f>
        <v>https://drive.google.com/file/d/1NUoPD3eW0MR4HJ1BQoG7-ngWy5-ADbSy/view?usp=drivesdk</v>
      </c>
      <c r="R2471" s="156" t="s">
        <v>14398</v>
      </c>
      <c r="S2471" s="156" t="s">
        <v>14399</v>
      </c>
      <c r="T2471" s="65" t="s">
        <v>131</v>
      </c>
      <c r="U2471" s="333">
        <v>1.0</v>
      </c>
      <c r="V2471" s="379" t="s">
        <v>14400</v>
      </c>
      <c r="W2471" s="292" t="s">
        <v>202</v>
      </c>
      <c r="X2471" s="51" t="str">
        <f t="array" ref="X2471"> if(iserror(MATCH(V2471, 'File Links'!C:C, 0)), "N/A", HYPERLINK(INDEX('File Links'!B:B, MATCH(V2471, 'File Links'!C:C, 0))))</f>
        <v>https://drive.google.com/file/d/17mZvRs3ue7pXwqu8bmIDvgNdc95PGEcV/view?usp=drivesdk</v>
      </c>
      <c r="Y2471" s="65"/>
      <c r="Z2471" s="156" t="s">
        <v>1072</v>
      </c>
      <c r="AA2471" s="126" t="s">
        <v>14606</v>
      </c>
      <c r="AB2471" s="156" t="s">
        <v>14402</v>
      </c>
      <c r="AC2471" s="156" t="s">
        <v>14607</v>
      </c>
      <c r="AD2471" s="65" t="s">
        <v>14808</v>
      </c>
      <c r="AE2471" s="333">
        <v>7.0</v>
      </c>
      <c r="AF2471" s="153">
        <v>418.0</v>
      </c>
      <c r="AG2471" s="333">
        <v>0.17</v>
      </c>
      <c r="AH2471" s="65" t="s">
        <v>208</v>
      </c>
      <c r="AI2471" s="65" t="s">
        <v>4966</v>
      </c>
      <c r="AJ2471" s="344" t="s">
        <v>131</v>
      </c>
      <c r="AK2471" s="344" t="s">
        <v>131</v>
      </c>
      <c r="AL2471" s="65" t="s">
        <v>179</v>
      </c>
      <c r="AM2471" s="65" t="s">
        <v>130</v>
      </c>
      <c r="AN2471" s="65" t="s">
        <v>131</v>
      </c>
      <c r="AO2471" s="153">
        <v>1284.0</v>
      </c>
      <c r="AP2471" s="333">
        <v>0.12</v>
      </c>
      <c r="AQ2471" s="65" t="s">
        <v>208</v>
      </c>
      <c r="AR2471" s="65" t="s">
        <v>875</v>
      </c>
      <c r="AS2471" s="2109">
        <v>7.98957439064175E-6</v>
      </c>
      <c r="AT2471" s="1785" t="s">
        <v>165</v>
      </c>
      <c r="AU2471" s="1785" t="s">
        <v>129</v>
      </c>
      <c r="AV2471" s="65" t="s">
        <v>130</v>
      </c>
      <c r="AW2471" s="432" t="s">
        <v>14805</v>
      </c>
      <c r="AX2471" s="65" t="s">
        <v>144</v>
      </c>
      <c r="AY2471" s="65"/>
      <c r="AZ2471" s="185" t="s">
        <v>1263</v>
      </c>
    </row>
    <row r="2472">
      <c r="A2472" s="41">
        <v>2472.0</v>
      </c>
      <c r="B2472" s="126" t="s">
        <v>145</v>
      </c>
      <c r="C2472" s="59" t="s">
        <v>108</v>
      </c>
      <c r="D2472" s="59" t="s">
        <v>1451</v>
      </c>
      <c r="F2472" s="65" t="s">
        <v>14609</v>
      </c>
      <c r="G2472" s="156" t="s">
        <v>14391</v>
      </c>
      <c r="H2472" s="156" t="s">
        <v>8467</v>
      </c>
      <c r="I2472" s="149">
        <v>45251.0</v>
      </c>
      <c r="J2472" s="2102">
        <v>45814.0</v>
      </c>
      <c r="K2472" s="65" t="s">
        <v>14809</v>
      </c>
      <c r="L2472" s="371" t="s">
        <v>14807</v>
      </c>
      <c r="M2472" s="156" t="s">
        <v>14599</v>
      </c>
      <c r="N2472" s="156" t="s">
        <v>14600</v>
      </c>
      <c r="O2472" s="333">
        <v>1.0</v>
      </c>
      <c r="P2472" s="379" t="s">
        <v>14601</v>
      </c>
      <c r="Q2472" s="49" t="str">
        <f t="array" ref="Q2472"> if(iserror(MATCH(V2472, 'File Links'!C:C, 0)), "N/A", HYPERLINK(INDEX('File Links'!B:B, MATCH(P2472, 'File Links'!C:C, 0))))</f>
        <v>https://drive.google.com/file/d/1NUoPD3eW0MR4HJ1BQoG7-ngWy5-ADbSy/view?usp=drivesdk</v>
      </c>
      <c r="R2472" s="156" t="s">
        <v>14398</v>
      </c>
      <c r="S2472" s="156" t="s">
        <v>14399</v>
      </c>
      <c r="T2472" s="65" t="s">
        <v>131</v>
      </c>
      <c r="U2472" s="333">
        <v>1.0</v>
      </c>
      <c r="V2472" s="379" t="s">
        <v>14400</v>
      </c>
      <c r="W2472" s="292" t="s">
        <v>202</v>
      </c>
      <c r="X2472" s="51" t="str">
        <f t="array" ref="X2472"> if(iserror(MATCH(V2472, 'File Links'!C:C, 0)), "N/A", HYPERLINK(INDEX('File Links'!B:B, MATCH(V2472, 'File Links'!C:C, 0))))</f>
        <v>https://drive.google.com/file/d/17mZvRs3ue7pXwqu8bmIDvgNdc95PGEcV/view?usp=drivesdk</v>
      </c>
      <c r="Y2472" s="65"/>
      <c r="Z2472" s="156" t="s">
        <v>1072</v>
      </c>
      <c r="AA2472" s="126" t="s">
        <v>14610</v>
      </c>
      <c r="AB2472" s="156" t="s">
        <v>14402</v>
      </c>
      <c r="AC2472" s="156" t="s">
        <v>14611</v>
      </c>
      <c r="AD2472" s="65" t="s">
        <v>14810</v>
      </c>
      <c r="AE2472" s="333">
        <v>7.0</v>
      </c>
      <c r="AF2472" s="153">
        <v>418.0</v>
      </c>
      <c r="AG2472" s="333">
        <v>0.24</v>
      </c>
      <c r="AH2472" s="65" t="s">
        <v>208</v>
      </c>
      <c r="AI2472" s="65" t="s">
        <v>4966</v>
      </c>
      <c r="AJ2472" s="344" t="s">
        <v>131</v>
      </c>
      <c r="AK2472" s="344" t="s">
        <v>131</v>
      </c>
      <c r="AL2472" s="65" t="s">
        <v>179</v>
      </c>
      <c r="AM2472" s="65" t="s">
        <v>130</v>
      </c>
      <c r="AN2472" s="65" t="s">
        <v>131</v>
      </c>
      <c r="AO2472" s="153">
        <v>1550.0</v>
      </c>
      <c r="AP2472" s="333">
        <v>0.33</v>
      </c>
      <c r="AQ2472" s="65" t="s">
        <v>208</v>
      </c>
      <c r="AR2472" s="65" t="s">
        <v>875</v>
      </c>
      <c r="AS2472" s="2109">
        <v>3.88557031789061E-40</v>
      </c>
      <c r="AT2472" s="1785" t="s">
        <v>165</v>
      </c>
      <c r="AU2472" s="1785" t="s">
        <v>129</v>
      </c>
      <c r="AV2472" s="65" t="s">
        <v>130</v>
      </c>
      <c r="AW2472" s="432" t="s">
        <v>14805</v>
      </c>
      <c r="AX2472" s="65" t="s">
        <v>144</v>
      </c>
      <c r="AY2472" s="65"/>
      <c r="AZ2472" s="185" t="s">
        <v>1263</v>
      </c>
    </row>
    <row r="2473">
      <c r="A2473" s="41">
        <v>2473.0</v>
      </c>
      <c r="B2473" s="126" t="s">
        <v>107</v>
      </c>
      <c r="C2473" s="59" t="s">
        <v>108</v>
      </c>
      <c r="D2473" s="59" t="s">
        <v>1451</v>
      </c>
      <c r="F2473" s="65" t="s">
        <v>14613</v>
      </c>
      <c r="G2473" s="156" t="s">
        <v>14391</v>
      </c>
      <c r="H2473" s="156" t="s">
        <v>8467</v>
      </c>
      <c r="I2473" s="149">
        <v>45251.0</v>
      </c>
      <c r="J2473" s="2102">
        <v>45814.0</v>
      </c>
      <c r="K2473" s="65" t="s">
        <v>14811</v>
      </c>
      <c r="L2473" s="371" t="s">
        <v>14812</v>
      </c>
      <c r="M2473" s="156" t="s">
        <v>14616</v>
      </c>
      <c r="N2473" s="156" t="s">
        <v>14617</v>
      </c>
      <c r="O2473" s="498">
        <v>3.0</v>
      </c>
      <c r="P2473" s="379" t="s">
        <v>14618</v>
      </c>
      <c r="Q2473" s="49" t="str">
        <f t="array" ref="Q2473"> if(iserror(MATCH(V2473, 'File Links'!C:C, 0)), "N/A", HYPERLINK(INDEX('File Links'!B:B, MATCH(P2473, 'File Links'!C:C, 0))))</f>
        <v>https://drive.google.com/file/d/1_T47980LRcVvkPpcoUhfImG7kOlwUqEM/view?usp=drivesdk</v>
      </c>
      <c r="R2473" s="156" t="s">
        <v>14398</v>
      </c>
      <c r="S2473" s="156" t="s">
        <v>14399</v>
      </c>
      <c r="T2473" s="65" t="s">
        <v>131</v>
      </c>
      <c r="U2473" s="333">
        <v>1.0</v>
      </c>
      <c r="V2473" s="379" t="s">
        <v>14400</v>
      </c>
      <c r="W2473" s="292" t="s">
        <v>202</v>
      </c>
      <c r="X2473" s="51" t="str">
        <f t="array" ref="X2473"> if(iserror(MATCH(V2473, 'File Links'!C:C, 0)), "N/A", HYPERLINK(INDEX('File Links'!B:B, MATCH(V2473, 'File Links'!C:C, 0))))</f>
        <v>https://drive.google.com/file/d/17mZvRs3ue7pXwqu8bmIDvgNdc95PGEcV/view?usp=drivesdk</v>
      </c>
      <c r="Y2473" s="65"/>
      <c r="Z2473" s="156" t="s">
        <v>1072</v>
      </c>
      <c r="AA2473" s="126" t="s">
        <v>14619</v>
      </c>
      <c r="AB2473" s="156" t="s">
        <v>14402</v>
      </c>
      <c r="AC2473" s="156" t="s">
        <v>14620</v>
      </c>
      <c r="AD2473" s="148" t="s">
        <v>131</v>
      </c>
      <c r="AE2473" s="65" t="s">
        <v>1167</v>
      </c>
      <c r="AF2473" s="153">
        <v>37.0</v>
      </c>
      <c r="AG2473" s="333">
        <v>0.41</v>
      </c>
      <c r="AH2473" s="65" t="s">
        <v>354</v>
      </c>
      <c r="AI2473" s="65" t="s">
        <v>1167</v>
      </c>
      <c r="AJ2473" s="333">
        <v>0.01</v>
      </c>
      <c r="AK2473" s="65" t="s">
        <v>128</v>
      </c>
      <c r="AL2473" s="65" t="s">
        <v>179</v>
      </c>
      <c r="AM2473" s="65" t="s">
        <v>130</v>
      </c>
      <c r="AN2473" s="65" t="s">
        <v>131</v>
      </c>
      <c r="AO2473" s="153">
        <v>775.0</v>
      </c>
      <c r="AP2473" s="333">
        <v>0.39</v>
      </c>
      <c r="AQ2473" s="65" t="s">
        <v>208</v>
      </c>
      <c r="AR2473" s="65" t="s">
        <v>875</v>
      </c>
      <c r="AS2473" s="1783">
        <v>0.05</v>
      </c>
      <c r="AT2473" s="1785" t="s">
        <v>128</v>
      </c>
      <c r="AU2473" s="1785" t="s">
        <v>129</v>
      </c>
      <c r="AV2473" s="65" t="s">
        <v>130</v>
      </c>
      <c r="AW2473" s="432" t="s">
        <v>14805</v>
      </c>
      <c r="AX2473" s="65" t="s">
        <v>144</v>
      </c>
      <c r="AY2473" s="65"/>
      <c r="AZ2473" s="185" t="s">
        <v>1263</v>
      </c>
    </row>
    <row r="2474">
      <c r="A2474" s="41">
        <v>2474.0</v>
      </c>
      <c r="B2474" s="126" t="s">
        <v>107</v>
      </c>
      <c r="C2474" s="59" t="s">
        <v>108</v>
      </c>
      <c r="D2474" s="59" t="s">
        <v>1451</v>
      </c>
      <c r="F2474" s="65" t="s">
        <v>14621</v>
      </c>
      <c r="G2474" s="156" t="s">
        <v>14391</v>
      </c>
      <c r="H2474" s="156" t="s">
        <v>8467</v>
      </c>
      <c r="I2474" s="149">
        <v>45251.0</v>
      </c>
      <c r="J2474" s="2102">
        <v>45814.0</v>
      </c>
      <c r="K2474" s="65" t="s">
        <v>14813</v>
      </c>
      <c r="L2474" s="371" t="s">
        <v>14814</v>
      </c>
      <c r="M2474" s="156" t="s">
        <v>14616</v>
      </c>
      <c r="N2474" s="156" t="s">
        <v>14617</v>
      </c>
      <c r="O2474" s="498">
        <v>3.0</v>
      </c>
      <c r="P2474" s="379" t="s">
        <v>14618</v>
      </c>
      <c r="Q2474" s="49" t="str">
        <f t="array" ref="Q2474"> if(iserror(MATCH(V2474, 'File Links'!C:C, 0)), "N/A", HYPERLINK(INDEX('File Links'!B:B, MATCH(P2474, 'File Links'!C:C, 0))))</f>
        <v>https://drive.google.com/file/d/1_T47980LRcVvkPpcoUhfImG7kOlwUqEM/view?usp=drivesdk</v>
      </c>
      <c r="R2474" s="156" t="s">
        <v>14398</v>
      </c>
      <c r="S2474" s="156" t="s">
        <v>14399</v>
      </c>
      <c r="T2474" s="65" t="s">
        <v>131</v>
      </c>
      <c r="U2474" s="333">
        <v>1.0</v>
      </c>
      <c r="V2474" s="379" t="s">
        <v>14400</v>
      </c>
      <c r="W2474" s="292" t="s">
        <v>202</v>
      </c>
      <c r="X2474" s="51" t="str">
        <f t="array" ref="X2474"> if(iserror(MATCH(V2474, 'File Links'!C:C, 0)), "N/A", HYPERLINK(INDEX('File Links'!B:B, MATCH(V2474, 'File Links'!C:C, 0))))</f>
        <v>https://drive.google.com/file/d/17mZvRs3ue7pXwqu8bmIDvgNdc95PGEcV/view?usp=drivesdk</v>
      </c>
      <c r="Y2474" s="65"/>
      <c r="Z2474" s="156" t="s">
        <v>1072</v>
      </c>
      <c r="AA2474" s="126" t="s">
        <v>14624</v>
      </c>
      <c r="AB2474" s="156" t="s">
        <v>14402</v>
      </c>
      <c r="AC2474" s="156" t="s">
        <v>14625</v>
      </c>
      <c r="AD2474" s="148" t="s">
        <v>131</v>
      </c>
      <c r="AE2474" s="65" t="s">
        <v>1167</v>
      </c>
      <c r="AF2474" s="153">
        <v>42.0</v>
      </c>
      <c r="AG2474" s="65" t="s">
        <v>14626</v>
      </c>
      <c r="AH2474" s="65" t="s">
        <v>354</v>
      </c>
      <c r="AI2474" s="65" t="s">
        <v>1167</v>
      </c>
      <c r="AJ2474" s="344" t="s">
        <v>131</v>
      </c>
      <c r="AK2474" s="344" t="s">
        <v>131</v>
      </c>
      <c r="AL2474" s="65" t="s">
        <v>179</v>
      </c>
      <c r="AM2474" s="65" t="s">
        <v>130</v>
      </c>
      <c r="AN2474" s="65" t="s">
        <v>131</v>
      </c>
      <c r="AO2474" s="153">
        <v>749.0</v>
      </c>
      <c r="AP2474" s="333">
        <v>-0.31</v>
      </c>
      <c r="AQ2474" s="65" t="s">
        <v>208</v>
      </c>
      <c r="AR2474" s="65" t="s">
        <v>875</v>
      </c>
      <c r="AS2474" s="2109">
        <v>6.46481472374853E-18</v>
      </c>
      <c r="AT2474" s="1785" t="s">
        <v>128</v>
      </c>
      <c r="AU2474" s="1785" t="s">
        <v>129</v>
      </c>
      <c r="AV2474" s="65" t="s">
        <v>130</v>
      </c>
      <c r="AW2474" s="432" t="s">
        <v>14805</v>
      </c>
      <c r="AX2474" s="65" t="s">
        <v>144</v>
      </c>
      <c r="AY2474" s="65"/>
      <c r="AZ2474" s="185" t="s">
        <v>1263</v>
      </c>
    </row>
    <row r="2475">
      <c r="A2475" s="41">
        <v>2475.0</v>
      </c>
      <c r="B2475" s="126" t="s">
        <v>145</v>
      </c>
      <c r="C2475" s="59" t="s">
        <v>108</v>
      </c>
      <c r="D2475" s="59" t="s">
        <v>1451</v>
      </c>
      <c r="F2475" s="65" t="s">
        <v>14628</v>
      </c>
      <c r="G2475" s="156" t="s">
        <v>14391</v>
      </c>
      <c r="H2475" s="156" t="s">
        <v>8467</v>
      </c>
      <c r="I2475" s="149">
        <v>45251.0</v>
      </c>
      <c r="J2475" s="1368">
        <v>45822.0</v>
      </c>
      <c r="K2475" s="65" t="s">
        <v>14815</v>
      </c>
      <c r="L2475" s="126" t="s">
        <v>14816</v>
      </c>
      <c r="M2475" s="156" t="s">
        <v>14631</v>
      </c>
      <c r="N2475" s="156" t="s">
        <v>14632</v>
      </c>
      <c r="O2475" s="333">
        <v>1.0</v>
      </c>
      <c r="P2475" s="379" t="s">
        <v>14633</v>
      </c>
      <c r="Q2475" s="49" t="str">
        <f t="array" ref="Q2475"> if(iserror(MATCH(V2475, 'File Links'!C:C, 0)), "N/A", HYPERLINK(INDEX('File Links'!B:B, MATCH(P2475, 'File Links'!C:C, 0))))</f>
        <v>https://drive.google.com/file/d/1VTr0wR67oXPqTspZFD2WLtwQCj0zXKrh/view?usp=drivesdk</v>
      </c>
      <c r="R2475" s="156" t="s">
        <v>14398</v>
      </c>
      <c r="S2475" s="156" t="s">
        <v>14399</v>
      </c>
      <c r="T2475" s="65" t="s">
        <v>131</v>
      </c>
      <c r="U2475" s="333">
        <v>1.0</v>
      </c>
      <c r="V2475" s="379" t="s">
        <v>14400</v>
      </c>
      <c r="W2475" s="292" t="s">
        <v>202</v>
      </c>
      <c r="X2475" s="51" t="str">
        <f t="array" ref="X2475"> if(iserror(MATCH(V2475, 'File Links'!C:C, 0)), "N/A", HYPERLINK(INDEX('File Links'!B:B, MATCH(V2475, 'File Links'!C:C, 0))))</f>
        <v>https://drive.google.com/file/d/17mZvRs3ue7pXwqu8bmIDvgNdc95PGEcV/view?usp=drivesdk</v>
      </c>
      <c r="Y2475" s="65"/>
      <c r="Z2475" s="156" t="s">
        <v>1072</v>
      </c>
      <c r="AA2475" s="126" t="s">
        <v>14634</v>
      </c>
      <c r="AB2475" s="156" t="s">
        <v>14402</v>
      </c>
      <c r="AC2475" s="156" t="s">
        <v>14635</v>
      </c>
      <c r="AD2475" s="126" t="s">
        <v>131</v>
      </c>
      <c r="AE2475" s="126" t="s">
        <v>131</v>
      </c>
      <c r="AF2475" s="153">
        <v>210.0</v>
      </c>
      <c r="AG2475" s="126">
        <v>0.28</v>
      </c>
      <c r="AH2475" s="65" t="s">
        <v>208</v>
      </c>
      <c r="AI2475" s="126" t="s">
        <v>620</v>
      </c>
      <c r="AJ2475" s="126" t="s">
        <v>131</v>
      </c>
      <c r="AK2475" s="344" t="s">
        <v>131</v>
      </c>
      <c r="AL2475" s="65" t="s">
        <v>129</v>
      </c>
      <c r="AM2475" s="65" t="s">
        <v>130</v>
      </c>
      <c r="AN2475" s="65" t="s">
        <v>131</v>
      </c>
      <c r="AO2475" s="153">
        <v>795.0</v>
      </c>
      <c r="AP2475" s="498">
        <v>0.18</v>
      </c>
      <c r="AQ2475" s="65" t="s">
        <v>208</v>
      </c>
      <c r="AR2475" s="65" t="s">
        <v>875</v>
      </c>
      <c r="AS2475" s="1783">
        <v>0.05</v>
      </c>
      <c r="AT2475" s="1785" t="s">
        <v>128</v>
      </c>
      <c r="AU2475" s="1785" t="s">
        <v>129</v>
      </c>
      <c r="AV2475" s="65" t="s">
        <v>130</v>
      </c>
      <c r="AW2475" s="432" t="s">
        <v>14805</v>
      </c>
      <c r="AX2475" s="65" t="s">
        <v>144</v>
      </c>
      <c r="AZ2475" s="185" t="s">
        <v>1263</v>
      </c>
    </row>
    <row r="2476">
      <c r="A2476" s="41">
        <v>2476.0</v>
      </c>
      <c r="B2476" s="126" t="s">
        <v>145</v>
      </c>
      <c r="C2476" s="59" t="s">
        <v>108</v>
      </c>
      <c r="D2476" s="59" t="s">
        <v>1451</v>
      </c>
      <c r="F2476" s="65" t="s">
        <v>14636</v>
      </c>
      <c r="G2476" s="156" t="s">
        <v>14391</v>
      </c>
      <c r="H2476" s="156" t="s">
        <v>8467</v>
      </c>
      <c r="I2476" s="149">
        <v>45251.0</v>
      </c>
      <c r="J2476" s="1368">
        <v>45822.0</v>
      </c>
      <c r="K2476" s="65" t="s">
        <v>14815</v>
      </c>
      <c r="L2476" s="126" t="s">
        <v>14817</v>
      </c>
      <c r="M2476" s="156" t="s">
        <v>14631</v>
      </c>
      <c r="N2476" s="156" t="s">
        <v>14632</v>
      </c>
      <c r="O2476" s="333">
        <v>1.0</v>
      </c>
      <c r="P2476" s="379" t="s">
        <v>14633</v>
      </c>
      <c r="Q2476" s="49" t="str">
        <f t="array" ref="Q2476"> if(iserror(MATCH(V2476, 'File Links'!C:C, 0)), "N/A", HYPERLINK(INDEX('File Links'!B:B, MATCH(P2476, 'File Links'!C:C, 0))))</f>
        <v>https://drive.google.com/file/d/1VTr0wR67oXPqTspZFD2WLtwQCj0zXKrh/view?usp=drivesdk</v>
      </c>
      <c r="R2476" s="156" t="s">
        <v>14398</v>
      </c>
      <c r="S2476" s="156" t="s">
        <v>14399</v>
      </c>
      <c r="T2476" s="65" t="s">
        <v>131</v>
      </c>
      <c r="U2476" s="333">
        <v>1.0</v>
      </c>
      <c r="V2476" s="379" t="s">
        <v>14400</v>
      </c>
      <c r="W2476" s="292" t="s">
        <v>202</v>
      </c>
      <c r="X2476" s="51" t="str">
        <f t="array" ref="X2476"> if(iserror(MATCH(V2476, 'File Links'!C:C, 0)), "N/A", HYPERLINK(INDEX('File Links'!B:B, MATCH(V2476, 'File Links'!C:C, 0))))</f>
        <v>https://drive.google.com/file/d/17mZvRs3ue7pXwqu8bmIDvgNdc95PGEcV/view?usp=drivesdk</v>
      </c>
      <c r="Y2476" s="65"/>
      <c r="Z2476" s="156" t="s">
        <v>1072</v>
      </c>
      <c r="AA2476" s="126" t="s">
        <v>14638</v>
      </c>
      <c r="AB2476" s="156" t="s">
        <v>14402</v>
      </c>
      <c r="AC2476" s="156" t="s">
        <v>14639</v>
      </c>
      <c r="AD2476" s="126" t="s">
        <v>131</v>
      </c>
      <c r="AE2476" s="126" t="s">
        <v>131</v>
      </c>
      <c r="AF2476" s="153">
        <v>210.0</v>
      </c>
      <c r="AG2476" s="126">
        <v>-0.32</v>
      </c>
      <c r="AH2476" s="65" t="s">
        <v>208</v>
      </c>
      <c r="AI2476" s="126" t="s">
        <v>620</v>
      </c>
      <c r="AJ2476" s="126" t="s">
        <v>131</v>
      </c>
      <c r="AK2476" s="344" t="s">
        <v>131</v>
      </c>
      <c r="AL2476" s="65" t="s">
        <v>129</v>
      </c>
      <c r="AM2476" s="65" t="s">
        <v>130</v>
      </c>
      <c r="AN2476" s="65" t="s">
        <v>131</v>
      </c>
      <c r="AO2476" s="153">
        <v>795.0</v>
      </c>
      <c r="AP2476" s="498">
        <v>-0.23</v>
      </c>
      <c r="AQ2476" s="65" t="s">
        <v>208</v>
      </c>
      <c r="AR2476" s="65" t="s">
        <v>875</v>
      </c>
      <c r="AS2476" s="1783">
        <v>0.05</v>
      </c>
      <c r="AT2476" s="1785" t="s">
        <v>128</v>
      </c>
      <c r="AU2476" s="1785" t="s">
        <v>129</v>
      </c>
      <c r="AV2476" s="65" t="s">
        <v>130</v>
      </c>
      <c r="AW2476" s="432" t="s">
        <v>14805</v>
      </c>
      <c r="AX2476" s="65" t="s">
        <v>144</v>
      </c>
      <c r="AZ2476" s="185" t="s">
        <v>1263</v>
      </c>
    </row>
    <row r="2477">
      <c r="A2477" s="41">
        <v>2477.0</v>
      </c>
      <c r="B2477" s="126" t="s">
        <v>145</v>
      </c>
      <c r="C2477" s="59" t="s">
        <v>108</v>
      </c>
      <c r="D2477" s="59" t="s">
        <v>1451</v>
      </c>
      <c r="F2477" s="65" t="s">
        <v>14642</v>
      </c>
      <c r="G2477" s="156" t="s">
        <v>14391</v>
      </c>
      <c r="H2477" s="156" t="s">
        <v>8467</v>
      </c>
      <c r="I2477" s="149">
        <v>45251.0</v>
      </c>
      <c r="J2477" s="1368">
        <v>45822.0</v>
      </c>
      <c r="K2477" s="65" t="s">
        <v>14818</v>
      </c>
      <c r="L2477" s="126" t="s">
        <v>14819</v>
      </c>
      <c r="M2477" s="156" t="s">
        <v>14645</v>
      </c>
      <c r="N2477" s="156" t="s">
        <v>14646</v>
      </c>
      <c r="O2477" s="333">
        <v>1.0</v>
      </c>
      <c r="P2477" s="379" t="s">
        <v>14647</v>
      </c>
      <c r="Q2477" s="49" t="s">
        <v>14648</v>
      </c>
      <c r="R2477" s="156" t="s">
        <v>14398</v>
      </c>
      <c r="S2477" s="156" t="s">
        <v>14399</v>
      </c>
      <c r="T2477" s="65" t="s">
        <v>131</v>
      </c>
      <c r="U2477" s="333">
        <v>1.0</v>
      </c>
      <c r="V2477" s="379" t="s">
        <v>14400</v>
      </c>
      <c r="W2477" s="292" t="s">
        <v>202</v>
      </c>
      <c r="X2477" s="51" t="str">
        <f t="array" ref="X2477"> if(iserror(MATCH(V2477, 'File Links'!C:C, 0)), "N/A", HYPERLINK(INDEX('File Links'!B:B, MATCH(V2477, 'File Links'!C:C, 0))))</f>
        <v>https://drive.google.com/file/d/17mZvRs3ue7pXwqu8bmIDvgNdc95PGEcV/view?usp=drivesdk</v>
      </c>
      <c r="Y2477" s="65"/>
      <c r="Z2477" s="156" t="s">
        <v>1072</v>
      </c>
      <c r="AA2477" s="126" t="s">
        <v>14649</v>
      </c>
      <c r="AB2477" s="156" t="s">
        <v>14402</v>
      </c>
      <c r="AC2477" s="156" t="s">
        <v>14650</v>
      </c>
      <c r="AD2477" s="126" t="s">
        <v>14651</v>
      </c>
      <c r="AE2477" s="498" t="s">
        <v>3885</v>
      </c>
      <c r="AF2477" s="153">
        <v>712.0</v>
      </c>
      <c r="AG2477" s="498">
        <v>0.32</v>
      </c>
      <c r="AH2477" s="65" t="s">
        <v>208</v>
      </c>
      <c r="AI2477" s="126" t="s">
        <v>14652</v>
      </c>
      <c r="AJ2477" s="344" t="s">
        <v>131</v>
      </c>
      <c r="AK2477" s="344" t="s">
        <v>131</v>
      </c>
      <c r="AL2477" s="65" t="s">
        <v>179</v>
      </c>
      <c r="AM2477" s="65" t="s">
        <v>130</v>
      </c>
      <c r="AN2477" s="65" t="s">
        <v>131</v>
      </c>
      <c r="AO2477" s="153">
        <v>1154.0</v>
      </c>
      <c r="AP2477" s="333">
        <v>0.01</v>
      </c>
      <c r="AQ2477" s="65" t="s">
        <v>208</v>
      </c>
      <c r="AR2477" s="65" t="s">
        <v>875</v>
      </c>
      <c r="AS2477" s="2110">
        <v>0.824762264458846</v>
      </c>
      <c r="AT2477" s="1785" t="s">
        <v>165</v>
      </c>
      <c r="AU2477" s="1785" t="s">
        <v>131</v>
      </c>
      <c r="AV2477" s="65" t="s">
        <v>130</v>
      </c>
      <c r="AW2477" s="432" t="s">
        <v>14805</v>
      </c>
      <c r="AX2477" s="65" t="s">
        <v>144</v>
      </c>
      <c r="AZ2477" s="185" t="s">
        <v>1263</v>
      </c>
    </row>
    <row r="2478">
      <c r="A2478" s="41">
        <v>2478.0</v>
      </c>
      <c r="B2478" s="126" t="s">
        <v>145</v>
      </c>
      <c r="C2478" s="59" t="s">
        <v>108</v>
      </c>
      <c r="D2478" s="59" t="s">
        <v>1451</v>
      </c>
      <c r="F2478" s="65" t="s">
        <v>14653</v>
      </c>
      <c r="G2478" s="156" t="s">
        <v>14391</v>
      </c>
      <c r="H2478" s="156" t="s">
        <v>8467</v>
      </c>
      <c r="I2478" s="149">
        <v>45251.0</v>
      </c>
      <c r="J2478" s="1368">
        <v>45822.0</v>
      </c>
      <c r="K2478" s="65" t="s">
        <v>14820</v>
      </c>
      <c r="L2478" s="126" t="s">
        <v>14819</v>
      </c>
      <c r="M2478" s="156" t="s">
        <v>14645</v>
      </c>
      <c r="N2478" s="156" t="s">
        <v>14646</v>
      </c>
      <c r="O2478" s="333">
        <v>1.0</v>
      </c>
      <c r="P2478" s="379" t="s">
        <v>14647</v>
      </c>
      <c r="Q2478" s="49" t="s">
        <v>14648</v>
      </c>
      <c r="R2478" s="156" t="s">
        <v>14398</v>
      </c>
      <c r="S2478" s="156" t="s">
        <v>14399</v>
      </c>
      <c r="T2478" s="65" t="s">
        <v>131</v>
      </c>
      <c r="U2478" s="333">
        <v>1.0</v>
      </c>
      <c r="V2478" s="379" t="s">
        <v>14400</v>
      </c>
      <c r="W2478" s="292" t="s">
        <v>202</v>
      </c>
      <c r="X2478" s="51" t="str">
        <f t="array" ref="X2478"> if(iserror(MATCH(V2478, 'File Links'!C:C, 0)), "N/A", HYPERLINK(INDEX('File Links'!B:B, MATCH(V2478, 'File Links'!C:C, 0))))</f>
        <v>https://drive.google.com/file/d/17mZvRs3ue7pXwqu8bmIDvgNdc95PGEcV/view?usp=drivesdk</v>
      </c>
      <c r="Y2478" s="65"/>
      <c r="Z2478" s="156" t="s">
        <v>1072</v>
      </c>
      <c r="AA2478" s="126" t="s">
        <v>14656</v>
      </c>
      <c r="AB2478" s="156" t="s">
        <v>14402</v>
      </c>
      <c r="AC2478" s="156" t="s">
        <v>14657</v>
      </c>
      <c r="AD2478" s="126" t="s">
        <v>14658</v>
      </c>
      <c r="AE2478" s="498" t="s">
        <v>3885</v>
      </c>
      <c r="AF2478" s="153">
        <v>712.0</v>
      </c>
      <c r="AG2478" s="498">
        <v>0.25</v>
      </c>
      <c r="AH2478" s="65" t="s">
        <v>208</v>
      </c>
      <c r="AI2478" s="126" t="s">
        <v>14652</v>
      </c>
      <c r="AJ2478" s="344" t="s">
        <v>131</v>
      </c>
      <c r="AK2478" s="344" t="s">
        <v>131</v>
      </c>
      <c r="AL2478" s="65" t="s">
        <v>179</v>
      </c>
      <c r="AM2478" s="65" t="s">
        <v>130</v>
      </c>
      <c r="AN2478" s="65" t="s">
        <v>131</v>
      </c>
      <c r="AO2478" s="153">
        <v>1154.0</v>
      </c>
      <c r="AP2478" s="333">
        <v>0.09</v>
      </c>
      <c r="AQ2478" s="65" t="s">
        <v>208</v>
      </c>
      <c r="AR2478" s="65" t="s">
        <v>875</v>
      </c>
      <c r="AS2478" s="2110">
        <v>0.00269592163043994</v>
      </c>
      <c r="AT2478" s="1785" t="s">
        <v>165</v>
      </c>
      <c r="AU2478" s="1785" t="s">
        <v>129</v>
      </c>
      <c r="AV2478" s="65" t="s">
        <v>130</v>
      </c>
      <c r="AW2478" s="432" t="s">
        <v>14805</v>
      </c>
      <c r="AX2478" s="65" t="s">
        <v>144</v>
      </c>
      <c r="AZ2478" s="185" t="s">
        <v>1263</v>
      </c>
    </row>
    <row r="2479">
      <c r="A2479" s="41">
        <v>2479.0</v>
      </c>
      <c r="B2479" s="126" t="s">
        <v>516</v>
      </c>
      <c r="C2479" s="59" t="s">
        <v>108</v>
      </c>
      <c r="D2479" s="59" t="s">
        <v>1451</v>
      </c>
      <c r="F2479" s="65" t="s">
        <v>14659</v>
      </c>
      <c r="G2479" s="156" t="s">
        <v>14391</v>
      </c>
      <c r="H2479" s="156" t="s">
        <v>8467</v>
      </c>
      <c r="I2479" s="431">
        <v>45251.0</v>
      </c>
      <c r="J2479" s="526">
        <v>45766.0</v>
      </c>
      <c r="K2479" s="65" t="s">
        <v>14821</v>
      </c>
      <c r="L2479" s="126" t="s">
        <v>14822</v>
      </c>
      <c r="M2479" s="156" t="s">
        <v>14661</v>
      </c>
      <c r="N2479" s="156" t="s">
        <v>14662</v>
      </c>
      <c r="O2479" s="333">
        <v>1.0</v>
      </c>
      <c r="P2479" s="379" t="s">
        <v>14663</v>
      </c>
      <c r="Q2479" s="49" t="str">
        <f t="array" ref="Q2479"> if(iserror(MATCH(V2479, 'File Links'!C:C, 0)), "N/A", HYPERLINK(INDEX('File Links'!B:B, MATCH(P2479, 'File Links'!C:C, 0))))</f>
        <v>https://drive.google.com/file/d/1L_UrUn7iF547GceUM9sV402LJMhvz5p-/view?usp=drivesdk</v>
      </c>
      <c r="R2479" s="156" t="s">
        <v>14398</v>
      </c>
      <c r="S2479" s="156" t="s">
        <v>14399</v>
      </c>
      <c r="T2479" s="65" t="s">
        <v>131</v>
      </c>
      <c r="U2479" s="333">
        <v>1.0</v>
      </c>
      <c r="V2479" s="379" t="s">
        <v>14400</v>
      </c>
      <c r="W2479" s="292" t="s">
        <v>202</v>
      </c>
      <c r="X2479" s="51" t="str">
        <f t="array" ref="X2479"> if(iserror(MATCH(V2479, 'File Links'!C:C, 0)), "N/A", HYPERLINK(INDEX('File Links'!B:B, MATCH(V2479, 'File Links'!C:C, 0))))</f>
        <v>https://drive.google.com/file/d/17mZvRs3ue7pXwqu8bmIDvgNdc95PGEcV/view?usp=drivesdk</v>
      </c>
      <c r="Y2479" s="65"/>
      <c r="Z2479" s="156" t="s">
        <v>1072</v>
      </c>
      <c r="AA2479" s="148" t="s">
        <v>14823</v>
      </c>
      <c r="AB2479" s="156" t="s">
        <v>14402</v>
      </c>
      <c r="AC2479" s="156" t="s">
        <v>14664</v>
      </c>
      <c r="AD2479" s="65"/>
      <c r="AE2479" s="65"/>
      <c r="AF2479" s="65"/>
      <c r="AG2479" s="65"/>
      <c r="AH2479" s="65"/>
      <c r="AI2479" s="65"/>
      <c r="AJ2479" s="65"/>
      <c r="AK2479" s="65"/>
      <c r="AL2479" s="65"/>
      <c r="AM2479" s="65"/>
      <c r="AN2479" s="65" t="s">
        <v>131</v>
      </c>
      <c r="AO2479" s="153">
        <v>1098.0</v>
      </c>
      <c r="AP2479" s="333">
        <v>0.1</v>
      </c>
      <c r="AQ2479" s="65" t="s">
        <v>208</v>
      </c>
      <c r="AR2479" s="65" t="s">
        <v>875</v>
      </c>
      <c r="AS2479" s="1783">
        <v>0.05</v>
      </c>
      <c r="AT2479" s="1785" t="s">
        <v>128</v>
      </c>
      <c r="AU2479" s="1785" t="s">
        <v>129</v>
      </c>
      <c r="AV2479" s="65" t="s">
        <v>134</v>
      </c>
      <c r="AW2479" s="432" t="s">
        <v>14805</v>
      </c>
      <c r="AX2479" s="65" t="s">
        <v>144</v>
      </c>
      <c r="AZ2479" s="59" t="s">
        <v>14666</v>
      </c>
    </row>
    <row r="2480">
      <c r="A2480" s="41">
        <v>2480.0</v>
      </c>
      <c r="B2480" s="126" t="s">
        <v>516</v>
      </c>
      <c r="C2480" s="59" t="s">
        <v>108</v>
      </c>
      <c r="D2480" s="59" t="s">
        <v>1451</v>
      </c>
      <c r="F2480" s="65" t="s">
        <v>14667</v>
      </c>
      <c r="G2480" s="156" t="s">
        <v>14391</v>
      </c>
      <c r="H2480" s="156" t="s">
        <v>8467</v>
      </c>
      <c r="I2480" s="431">
        <v>45251.0</v>
      </c>
      <c r="J2480" s="526">
        <v>45766.0</v>
      </c>
      <c r="K2480" s="65" t="s">
        <v>14824</v>
      </c>
      <c r="L2480" s="65"/>
      <c r="M2480" s="156" t="s">
        <v>14669</v>
      </c>
      <c r="N2480" s="156" t="s">
        <v>14670</v>
      </c>
      <c r="O2480" s="333">
        <v>1.0</v>
      </c>
      <c r="P2480" s="379" t="s">
        <v>14671</v>
      </c>
      <c r="Q2480" s="49" t="str">
        <f t="array" ref="Q2480"> if(iserror(MATCH(V2480, 'File Links'!C:C, 0)), "N/A", HYPERLINK(INDEX('File Links'!B:B, MATCH(P2480, 'File Links'!C:C, 0))))</f>
        <v>https://drive.google.com/file/d/1aykdUrdNDQMd7IVvqNy3V_z8BwKq0YuV/view?usp=drivesdk</v>
      </c>
      <c r="R2480" s="156" t="s">
        <v>14398</v>
      </c>
      <c r="S2480" s="156" t="s">
        <v>14399</v>
      </c>
      <c r="T2480" s="65" t="s">
        <v>131</v>
      </c>
      <c r="U2480" s="333">
        <v>1.0</v>
      </c>
      <c r="V2480" s="379" t="s">
        <v>14400</v>
      </c>
      <c r="W2480" s="292" t="s">
        <v>202</v>
      </c>
      <c r="X2480" s="51" t="str">
        <f t="array" ref="X2480"> if(iserror(MATCH(V2480, 'File Links'!C:C, 0)), "N/A", HYPERLINK(INDEX('File Links'!B:B, MATCH(V2480, 'File Links'!C:C, 0))))</f>
        <v>https://drive.google.com/file/d/17mZvRs3ue7pXwqu8bmIDvgNdc95PGEcV/view?usp=drivesdk</v>
      </c>
      <c r="Y2480" s="65" t="s">
        <v>131</v>
      </c>
      <c r="Z2480" s="156" t="s">
        <v>1072</v>
      </c>
      <c r="AA2480" s="65" t="s">
        <v>11994</v>
      </c>
      <c r="AB2480" s="156" t="s">
        <v>14402</v>
      </c>
      <c r="AC2480" s="156" t="s">
        <v>14672</v>
      </c>
      <c r="AD2480" s="65" t="s">
        <v>14825</v>
      </c>
      <c r="AE2480" s="2111">
        <v>45750.0</v>
      </c>
      <c r="AF2480" s="153">
        <v>479.0</v>
      </c>
      <c r="AG2480" s="333">
        <v>0.25</v>
      </c>
      <c r="AH2480" s="65" t="s">
        <v>208</v>
      </c>
      <c r="AI2480" s="65" t="s">
        <v>489</v>
      </c>
      <c r="AJ2480" s="333">
        <v>0.05</v>
      </c>
      <c r="AK2480" s="65" t="s">
        <v>128</v>
      </c>
      <c r="AL2480" s="65" t="s">
        <v>179</v>
      </c>
      <c r="AM2480" s="65" t="s">
        <v>134</v>
      </c>
      <c r="AN2480" s="65" t="s">
        <v>131</v>
      </c>
      <c r="AO2480" s="153">
        <v>1503.0</v>
      </c>
      <c r="AP2480" s="333">
        <v>0.15</v>
      </c>
      <c r="AQ2480" s="65" t="s">
        <v>208</v>
      </c>
      <c r="AR2480" s="65" t="s">
        <v>875</v>
      </c>
      <c r="AS2480" s="1783">
        <v>0.05</v>
      </c>
      <c r="AT2480" s="1785" t="s">
        <v>128</v>
      </c>
      <c r="AU2480" s="1785" t="s">
        <v>129</v>
      </c>
      <c r="AV2480" s="65" t="s">
        <v>134</v>
      </c>
      <c r="AW2480" s="432" t="s">
        <v>14805</v>
      </c>
      <c r="AX2480" s="65" t="s">
        <v>144</v>
      </c>
      <c r="AZ2480" s="59" t="s">
        <v>14666</v>
      </c>
    </row>
    <row r="2481">
      <c r="A2481" s="41">
        <v>2481.0</v>
      </c>
      <c r="B2481" s="126" t="s">
        <v>516</v>
      </c>
      <c r="C2481" s="59" t="s">
        <v>108</v>
      </c>
      <c r="D2481" s="59" t="s">
        <v>1451</v>
      </c>
      <c r="F2481" s="65" t="s">
        <v>14674</v>
      </c>
      <c r="G2481" s="156" t="s">
        <v>14391</v>
      </c>
      <c r="H2481" s="156" t="s">
        <v>8467</v>
      </c>
      <c r="I2481" s="431">
        <v>45251.0</v>
      </c>
      <c r="J2481" s="526">
        <v>45766.0</v>
      </c>
      <c r="K2481" s="65" t="s">
        <v>14824</v>
      </c>
      <c r="L2481" s="65"/>
      <c r="M2481" s="156" t="s">
        <v>14669</v>
      </c>
      <c r="N2481" s="156" t="s">
        <v>14670</v>
      </c>
      <c r="O2481" s="333">
        <v>1.0</v>
      </c>
      <c r="P2481" s="379" t="s">
        <v>14671</v>
      </c>
      <c r="Q2481" s="49" t="str">
        <f t="array" ref="Q2481"> if(iserror(MATCH(V2481, 'File Links'!C:C, 0)), "N/A", HYPERLINK(INDEX('File Links'!B:B, MATCH(P2481, 'File Links'!C:C, 0))))</f>
        <v>https://drive.google.com/file/d/1aykdUrdNDQMd7IVvqNy3V_z8BwKq0YuV/view?usp=drivesdk</v>
      </c>
      <c r="R2481" s="156" t="s">
        <v>14398</v>
      </c>
      <c r="S2481" s="156" t="s">
        <v>14399</v>
      </c>
      <c r="T2481" s="65" t="s">
        <v>131</v>
      </c>
      <c r="U2481" s="333">
        <v>1.0</v>
      </c>
      <c r="V2481" s="379" t="s">
        <v>14400</v>
      </c>
      <c r="W2481" s="292" t="s">
        <v>202</v>
      </c>
      <c r="X2481" s="51" t="str">
        <f t="array" ref="X2481"> if(iserror(MATCH(V2481, 'File Links'!C:C, 0)), "N/A", HYPERLINK(INDEX('File Links'!B:B, MATCH(V2481, 'File Links'!C:C, 0))))</f>
        <v>https://drive.google.com/file/d/17mZvRs3ue7pXwqu8bmIDvgNdc95PGEcV/view?usp=drivesdk</v>
      </c>
      <c r="Y2481" s="65" t="s">
        <v>131</v>
      </c>
      <c r="Z2481" s="156" t="s">
        <v>1072</v>
      </c>
      <c r="AA2481" s="65" t="s">
        <v>11994</v>
      </c>
      <c r="AB2481" s="156" t="s">
        <v>14402</v>
      </c>
      <c r="AC2481" s="156" t="s">
        <v>14676</v>
      </c>
      <c r="AD2481" s="65" t="s">
        <v>14826</v>
      </c>
      <c r="AE2481" s="2111">
        <v>45750.0</v>
      </c>
      <c r="AF2481" s="153">
        <v>479.0</v>
      </c>
      <c r="AG2481" s="333">
        <v>0.34</v>
      </c>
      <c r="AH2481" s="65" t="s">
        <v>208</v>
      </c>
      <c r="AI2481" s="65" t="s">
        <v>489</v>
      </c>
      <c r="AJ2481" s="333">
        <v>0.05</v>
      </c>
      <c r="AK2481" s="65" t="s">
        <v>128</v>
      </c>
      <c r="AL2481" s="65" t="s">
        <v>179</v>
      </c>
      <c r="AM2481" s="65" t="s">
        <v>134</v>
      </c>
      <c r="AN2481" s="65" t="s">
        <v>131</v>
      </c>
      <c r="AO2481" s="153">
        <v>1503.0</v>
      </c>
      <c r="AP2481" s="333">
        <v>0.41</v>
      </c>
      <c r="AQ2481" s="65" t="s">
        <v>208</v>
      </c>
      <c r="AR2481" s="65" t="s">
        <v>875</v>
      </c>
      <c r="AS2481" s="1783">
        <v>0.05</v>
      </c>
      <c r="AT2481" s="1785" t="s">
        <v>128</v>
      </c>
      <c r="AU2481" s="1785" t="s">
        <v>129</v>
      </c>
      <c r="AV2481" s="65" t="s">
        <v>134</v>
      </c>
      <c r="AW2481" s="432" t="s">
        <v>14805</v>
      </c>
      <c r="AX2481" s="65" t="s">
        <v>144</v>
      </c>
      <c r="AZ2481" s="59" t="s">
        <v>14666</v>
      </c>
    </row>
    <row r="2482">
      <c r="A2482" s="41">
        <v>2482.0</v>
      </c>
      <c r="B2482" s="126" t="s">
        <v>516</v>
      </c>
      <c r="C2482" s="59" t="s">
        <v>108</v>
      </c>
      <c r="D2482" s="59" t="s">
        <v>1451</v>
      </c>
      <c r="F2482" s="65" t="s">
        <v>14678</v>
      </c>
      <c r="G2482" s="156" t="s">
        <v>14391</v>
      </c>
      <c r="H2482" s="156" t="s">
        <v>8467</v>
      </c>
      <c r="I2482" s="431">
        <v>45251.0</v>
      </c>
      <c r="J2482" s="526">
        <v>45766.0</v>
      </c>
      <c r="K2482" s="65" t="s">
        <v>14824</v>
      </c>
      <c r="L2482" s="65"/>
      <c r="M2482" s="156" t="s">
        <v>14669</v>
      </c>
      <c r="N2482" s="156" t="s">
        <v>14670</v>
      </c>
      <c r="O2482" s="333">
        <v>1.0</v>
      </c>
      <c r="P2482" s="379" t="s">
        <v>14671</v>
      </c>
      <c r="Q2482" s="49" t="str">
        <f t="array" ref="Q2482"> if(iserror(MATCH(V2482, 'File Links'!C:C, 0)), "N/A", HYPERLINK(INDEX('File Links'!B:B, MATCH(P2482, 'File Links'!C:C, 0))))</f>
        <v>https://drive.google.com/file/d/1aykdUrdNDQMd7IVvqNy3V_z8BwKq0YuV/view?usp=drivesdk</v>
      </c>
      <c r="R2482" s="156" t="s">
        <v>14398</v>
      </c>
      <c r="S2482" s="156" t="s">
        <v>14399</v>
      </c>
      <c r="T2482" s="65" t="s">
        <v>131</v>
      </c>
      <c r="U2482" s="333">
        <v>1.0</v>
      </c>
      <c r="V2482" s="379" t="s">
        <v>14400</v>
      </c>
      <c r="W2482" s="292" t="s">
        <v>202</v>
      </c>
      <c r="X2482" s="51" t="str">
        <f t="array" ref="X2482"> if(iserror(MATCH(V2482, 'File Links'!C:C, 0)), "N/A", HYPERLINK(INDEX('File Links'!B:B, MATCH(V2482, 'File Links'!C:C, 0))))</f>
        <v>https://drive.google.com/file/d/17mZvRs3ue7pXwqu8bmIDvgNdc95PGEcV/view?usp=drivesdk</v>
      </c>
      <c r="Y2482" s="65" t="s">
        <v>131</v>
      </c>
      <c r="Z2482" s="156" t="s">
        <v>1072</v>
      </c>
      <c r="AA2482" s="65" t="s">
        <v>11994</v>
      </c>
      <c r="AB2482" s="156" t="s">
        <v>14402</v>
      </c>
      <c r="AC2482" s="156" t="s">
        <v>14680</v>
      </c>
      <c r="AD2482" s="65" t="s">
        <v>14827</v>
      </c>
      <c r="AE2482" s="2111">
        <v>45750.0</v>
      </c>
      <c r="AF2482" s="153">
        <v>479.0</v>
      </c>
      <c r="AG2482" s="333">
        <v>0.19</v>
      </c>
      <c r="AH2482" s="65" t="s">
        <v>208</v>
      </c>
      <c r="AI2482" s="65" t="s">
        <v>489</v>
      </c>
      <c r="AJ2482" s="333">
        <v>0.05</v>
      </c>
      <c r="AK2482" s="65" t="s">
        <v>128</v>
      </c>
      <c r="AL2482" s="65" t="s">
        <v>179</v>
      </c>
      <c r="AM2482" s="65" t="s">
        <v>134</v>
      </c>
      <c r="AN2482" s="65" t="s">
        <v>131</v>
      </c>
      <c r="AO2482" s="153">
        <v>1503.0</v>
      </c>
      <c r="AP2482" s="333">
        <v>0.15</v>
      </c>
      <c r="AQ2482" s="65" t="s">
        <v>208</v>
      </c>
      <c r="AR2482" s="65" t="s">
        <v>875</v>
      </c>
      <c r="AS2482" s="1783">
        <v>0.05</v>
      </c>
      <c r="AT2482" s="1785" t="s">
        <v>128</v>
      </c>
      <c r="AU2482" s="1785" t="s">
        <v>129</v>
      </c>
      <c r="AV2482" s="65" t="s">
        <v>134</v>
      </c>
      <c r="AW2482" s="432" t="s">
        <v>14805</v>
      </c>
      <c r="AX2482" s="65" t="s">
        <v>144</v>
      </c>
      <c r="AZ2482" s="59" t="s">
        <v>14666</v>
      </c>
    </row>
    <row r="2483">
      <c r="A2483" s="41">
        <v>2483.0</v>
      </c>
      <c r="B2483" s="126" t="s">
        <v>516</v>
      </c>
      <c r="C2483" s="59" t="s">
        <v>108</v>
      </c>
      <c r="D2483" s="59" t="s">
        <v>1451</v>
      </c>
      <c r="F2483" s="65" t="s">
        <v>14682</v>
      </c>
      <c r="G2483" s="156" t="s">
        <v>14391</v>
      </c>
      <c r="H2483" s="156" t="s">
        <v>8467</v>
      </c>
      <c r="I2483" s="431">
        <v>45251.0</v>
      </c>
      <c r="J2483" s="526">
        <v>45766.0</v>
      </c>
      <c r="K2483" s="65" t="s">
        <v>14824</v>
      </c>
      <c r="L2483" s="65"/>
      <c r="M2483" s="156" t="s">
        <v>14669</v>
      </c>
      <c r="N2483" s="156" t="s">
        <v>14670</v>
      </c>
      <c r="O2483" s="333">
        <v>1.0</v>
      </c>
      <c r="P2483" s="379" t="s">
        <v>14671</v>
      </c>
      <c r="Q2483" s="49" t="str">
        <f t="array" ref="Q2483"> if(iserror(MATCH(V2483, 'File Links'!C:C, 0)), "N/A", HYPERLINK(INDEX('File Links'!B:B, MATCH(P2483, 'File Links'!C:C, 0))))</f>
        <v>https://drive.google.com/file/d/1aykdUrdNDQMd7IVvqNy3V_z8BwKq0YuV/view?usp=drivesdk</v>
      </c>
      <c r="R2483" s="156" t="s">
        <v>14398</v>
      </c>
      <c r="S2483" s="156" t="s">
        <v>14399</v>
      </c>
      <c r="T2483" s="65" t="s">
        <v>131</v>
      </c>
      <c r="U2483" s="333">
        <v>1.0</v>
      </c>
      <c r="V2483" s="379" t="s">
        <v>14400</v>
      </c>
      <c r="W2483" s="292" t="s">
        <v>202</v>
      </c>
      <c r="X2483" s="51" t="str">
        <f t="array" ref="X2483"> if(iserror(MATCH(V2483, 'File Links'!C:C, 0)), "N/A", HYPERLINK(INDEX('File Links'!B:B, MATCH(V2483, 'File Links'!C:C, 0))))</f>
        <v>https://drive.google.com/file/d/17mZvRs3ue7pXwqu8bmIDvgNdc95PGEcV/view?usp=drivesdk</v>
      </c>
      <c r="Y2483" s="65" t="s">
        <v>131</v>
      </c>
      <c r="Z2483" s="156" t="s">
        <v>1072</v>
      </c>
      <c r="AA2483" s="65" t="s">
        <v>11994</v>
      </c>
      <c r="AB2483" s="156" t="s">
        <v>14402</v>
      </c>
      <c r="AC2483" s="156" t="s">
        <v>14684</v>
      </c>
      <c r="AD2483" s="65" t="s">
        <v>14828</v>
      </c>
      <c r="AE2483" s="333">
        <v>4.0</v>
      </c>
      <c r="AF2483" s="153">
        <v>479.0</v>
      </c>
      <c r="AG2483" s="333">
        <v>0.6</v>
      </c>
      <c r="AH2483" s="65" t="s">
        <v>208</v>
      </c>
      <c r="AI2483" s="65" t="s">
        <v>489</v>
      </c>
      <c r="AJ2483" s="65" t="s">
        <v>131</v>
      </c>
      <c r="AK2483" s="65" t="s">
        <v>131</v>
      </c>
      <c r="AL2483" s="65" t="s">
        <v>179</v>
      </c>
      <c r="AM2483" s="65" t="s">
        <v>134</v>
      </c>
      <c r="AN2483" s="65" t="s">
        <v>131</v>
      </c>
      <c r="AO2483" s="153">
        <v>1503.0</v>
      </c>
      <c r="AP2483" s="333">
        <v>0.8</v>
      </c>
      <c r="AQ2483" s="65" t="s">
        <v>208</v>
      </c>
      <c r="AR2483" s="65" t="s">
        <v>875</v>
      </c>
      <c r="AS2483" s="1783">
        <v>0.05</v>
      </c>
      <c r="AT2483" s="1785" t="s">
        <v>128</v>
      </c>
      <c r="AU2483" s="1785" t="s">
        <v>129</v>
      </c>
      <c r="AV2483" s="65" t="s">
        <v>134</v>
      </c>
      <c r="AW2483" s="432" t="s">
        <v>14805</v>
      </c>
      <c r="AX2483" s="65" t="s">
        <v>144</v>
      </c>
      <c r="AZ2483" s="59" t="s">
        <v>14666</v>
      </c>
    </row>
    <row r="2484">
      <c r="A2484" s="41">
        <v>2484.0</v>
      </c>
      <c r="B2484" s="126" t="s">
        <v>516</v>
      </c>
      <c r="C2484" s="59" t="s">
        <v>108</v>
      </c>
      <c r="D2484" s="59" t="s">
        <v>1451</v>
      </c>
      <c r="F2484" s="65" t="s">
        <v>14686</v>
      </c>
      <c r="G2484" s="156" t="s">
        <v>14391</v>
      </c>
      <c r="H2484" s="156" t="s">
        <v>8467</v>
      </c>
      <c r="I2484" s="431">
        <v>45251.0</v>
      </c>
      <c r="J2484" s="526">
        <v>45766.0</v>
      </c>
      <c r="K2484" s="65" t="s">
        <v>14824</v>
      </c>
      <c r="L2484" s="65"/>
      <c r="M2484" s="156" t="s">
        <v>14669</v>
      </c>
      <c r="N2484" s="156" t="s">
        <v>14670</v>
      </c>
      <c r="O2484" s="333">
        <v>1.0</v>
      </c>
      <c r="P2484" s="379" t="s">
        <v>14671</v>
      </c>
      <c r="Q2484" s="49" t="str">
        <f t="array" ref="Q2484"> if(iserror(MATCH(V2484, 'File Links'!C:C, 0)), "N/A", HYPERLINK(INDEX('File Links'!B:B, MATCH(P2484, 'File Links'!C:C, 0))))</f>
        <v>https://drive.google.com/file/d/1aykdUrdNDQMd7IVvqNy3V_z8BwKq0YuV/view?usp=drivesdk</v>
      </c>
      <c r="R2484" s="156" t="s">
        <v>14398</v>
      </c>
      <c r="S2484" s="156" t="s">
        <v>14399</v>
      </c>
      <c r="T2484" s="65" t="s">
        <v>131</v>
      </c>
      <c r="U2484" s="333">
        <v>1.0</v>
      </c>
      <c r="V2484" s="379" t="s">
        <v>14400</v>
      </c>
      <c r="W2484" s="292" t="s">
        <v>202</v>
      </c>
      <c r="X2484" s="51" t="str">
        <f t="array" ref="X2484"> if(iserror(MATCH(V2484, 'File Links'!C:C, 0)), "N/A", HYPERLINK(INDEX('File Links'!B:B, MATCH(V2484, 'File Links'!C:C, 0))))</f>
        <v>https://drive.google.com/file/d/17mZvRs3ue7pXwqu8bmIDvgNdc95PGEcV/view?usp=drivesdk</v>
      </c>
      <c r="Y2484" s="65" t="s">
        <v>131</v>
      </c>
      <c r="Z2484" s="156" t="s">
        <v>1072</v>
      </c>
      <c r="AA2484" s="65" t="s">
        <v>11994</v>
      </c>
      <c r="AB2484" s="156" t="s">
        <v>14402</v>
      </c>
      <c r="AC2484" s="156" t="s">
        <v>14688</v>
      </c>
      <c r="AD2484" s="65" t="s">
        <v>14827</v>
      </c>
      <c r="AE2484" s="2111">
        <v>45750.0</v>
      </c>
      <c r="AF2484" s="153">
        <v>479.0</v>
      </c>
      <c r="AG2484" s="333">
        <v>0.23</v>
      </c>
      <c r="AH2484" s="65" t="s">
        <v>208</v>
      </c>
      <c r="AI2484" s="65" t="s">
        <v>489</v>
      </c>
      <c r="AJ2484" s="333">
        <v>0.05</v>
      </c>
      <c r="AK2484" s="65" t="s">
        <v>128</v>
      </c>
      <c r="AL2484" s="65" t="s">
        <v>179</v>
      </c>
      <c r="AM2484" s="65" t="s">
        <v>134</v>
      </c>
      <c r="AN2484" s="65" t="s">
        <v>131</v>
      </c>
      <c r="AO2484" s="153">
        <v>1503.0</v>
      </c>
      <c r="AP2484" s="333">
        <v>0.18</v>
      </c>
      <c r="AQ2484" s="65" t="s">
        <v>208</v>
      </c>
      <c r="AR2484" s="65" t="s">
        <v>875</v>
      </c>
      <c r="AS2484" s="1783">
        <v>0.05</v>
      </c>
      <c r="AT2484" s="1785" t="s">
        <v>128</v>
      </c>
      <c r="AU2484" s="1785" t="s">
        <v>129</v>
      </c>
      <c r="AV2484" s="65" t="s">
        <v>134</v>
      </c>
      <c r="AW2484" s="432" t="s">
        <v>14805</v>
      </c>
      <c r="AX2484" s="65" t="s">
        <v>144</v>
      </c>
      <c r="AZ2484" s="59" t="s">
        <v>14666</v>
      </c>
    </row>
    <row r="2485">
      <c r="A2485" s="41">
        <v>2485.0</v>
      </c>
      <c r="B2485" s="126" t="s">
        <v>516</v>
      </c>
      <c r="C2485" s="59" t="s">
        <v>108</v>
      </c>
      <c r="D2485" s="59" t="s">
        <v>1451</v>
      </c>
      <c r="F2485" s="65" t="s">
        <v>14690</v>
      </c>
      <c r="G2485" s="156" t="s">
        <v>14391</v>
      </c>
      <c r="H2485" s="156" t="s">
        <v>8467</v>
      </c>
      <c r="I2485" s="431">
        <v>45251.0</v>
      </c>
      <c r="J2485" s="526">
        <v>45766.0</v>
      </c>
      <c r="K2485" s="65" t="s">
        <v>14829</v>
      </c>
      <c r="L2485" s="65"/>
      <c r="M2485" s="156" t="s">
        <v>14692</v>
      </c>
      <c r="N2485" s="156" t="s">
        <v>14693</v>
      </c>
      <c r="O2485" s="333">
        <v>1.0</v>
      </c>
      <c r="P2485" s="379" t="s">
        <v>14694</v>
      </c>
      <c r="Q2485" s="49" t="str">
        <f t="array" ref="Q2485"> if(iserror(MATCH(V2485, 'File Links'!C:C, 0)), "N/A", HYPERLINK(INDEX('File Links'!B:B, MATCH(P2485, 'File Links'!C:C, 0))))</f>
        <v>https://drive.google.com/file/d/1Ey8YE267IkJvJPhLMe73j6CWvGwENA3f/view?usp=drivesdk</v>
      </c>
      <c r="R2485" s="156" t="s">
        <v>14398</v>
      </c>
      <c r="S2485" s="156" t="s">
        <v>14399</v>
      </c>
      <c r="T2485" s="65" t="s">
        <v>131</v>
      </c>
      <c r="U2485" s="333">
        <v>1.0</v>
      </c>
      <c r="V2485" s="379" t="s">
        <v>14400</v>
      </c>
      <c r="W2485" s="292" t="s">
        <v>202</v>
      </c>
      <c r="X2485" s="51" t="str">
        <f t="array" ref="X2485"> if(iserror(MATCH(V2485, 'File Links'!C:C, 0)), "N/A", HYPERLINK(INDEX('File Links'!B:B, MATCH(V2485, 'File Links'!C:C, 0))))</f>
        <v>https://drive.google.com/file/d/17mZvRs3ue7pXwqu8bmIDvgNdc95PGEcV/view?usp=drivesdk</v>
      </c>
      <c r="Y2485" s="65" t="s">
        <v>131</v>
      </c>
      <c r="Z2485" s="156" t="s">
        <v>1072</v>
      </c>
      <c r="AA2485" s="65" t="s">
        <v>11994</v>
      </c>
      <c r="AB2485" s="156" t="s">
        <v>14402</v>
      </c>
      <c r="AC2485" s="156" t="s">
        <v>14695</v>
      </c>
      <c r="AD2485" s="65" t="s">
        <v>14830</v>
      </c>
      <c r="AE2485" s="333">
        <v>20.0</v>
      </c>
      <c r="AF2485" s="153">
        <v>12023.0</v>
      </c>
      <c r="AG2485" s="333">
        <v>0.18</v>
      </c>
      <c r="AH2485" s="65" t="s">
        <v>208</v>
      </c>
      <c r="AI2485" s="65" t="s">
        <v>2434</v>
      </c>
      <c r="AJ2485" s="65" t="s">
        <v>131</v>
      </c>
      <c r="AK2485" s="65" t="s">
        <v>131</v>
      </c>
      <c r="AL2485" s="65" t="s">
        <v>131</v>
      </c>
      <c r="AM2485" s="65" t="s">
        <v>134</v>
      </c>
      <c r="AN2485" s="65" t="s">
        <v>131</v>
      </c>
      <c r="AO2485" s="153">
        <v>747.0</v>
      </c>
      <c r="AP2485" s="333">
        <v>0.19</v>
      </c>
      <c r="AQ2485" s="65" t="s">
        <v>208</v>
      </c>
      <c r="AR2485" s="65" t="s">
        <v>875</v>
      </c>
      <c r="AS2485" s="1783">
        <v>0.05</v>
      </c>
      <c r="AT2485" s="1785" t="s">
        <v>128</v>
      </c>
      <c r="AU2485" s="1785" t="s">
        <v>129</v>
      </c>
      <c r="AV2485" s="65" t="s">
        <v>134</v>
      </c>
      <c r="AW2485" s="432" t="s">
        <v>14805</v>
      </c>
      <c r="AX2485" s="65" t="s">
        <v>144</v>
      </c>
      <c r="AZ2485" s="59" t="s">
        <v>14666</v>
      </c>
    </row>
    <row r="2486">
      <c r="A2486" s="41">
        <v>2486.0</v>
      </c>
      <c r="B2486" s="126" t="s">
        <v>516</v>
      </c>
      <c r="C2486" s="59" t="s">
        <v>108</v>
      </c>
      <c r="D2486" s="59" t="s">
        <v>1451</v>
      </c>
      <c r="F2486" s="65" t="s">
        <v>14697</v>
      </c>
      <c r="G2486" s="156" t="s">
        <v>14391</v>
      </c>
      <c r="H2486" s="156" t="s">
        <v>8467</v>
      </c>
      <c r="I2486" s="431">
        <v>45251.0</v>
      </c>
      <c r="J2486" s="526">
        <v>45766.0</v>
      </c>
      <c r="K2486" s="65" t="s">
        <v>14831</v>
      </c>
      <c r="L2486" s="65"/>
      <c r="M2486" s="156" t="s">
        <v>14692</v>
      </c>
      <c r="N2486" s="156" t="s">
        <v>14693</v>
      </c>
      <c r="O2486" s="333">
        <v>1.0</v>
      </c>
      <c r="P2486" s="379" t="s">
        <v>14694</v>
      </c>
      <c r="Q2486" s="49" t="str">
        <f t="array" ref="Q2486"> if(iserror(MATCH(V2486, 'File Links'!C:C, 0)), "N/A", HYPERLINK(INDEX('File Links'!B:B, MATCH(P2486, 'File Links'!C:C, 0))))</f>
        <v>https://drive.google.com/file/d/1Ey8YE267IkJvJPhLMe73j6CWvGwENA3f/view?usp=drivesdk</v>
      </c>
      <c r="R2486" s="156" t="s">
        <v>14398</v>
      </c>
      <c r="S2486" s="156" t="s">
        <v>14399</v>
      </c>
      <c r="T2486" s="65" t="s">
        <v>131</v>
      </c>
      <c r="U2486" s="333">
        <v>1.0</v>
      </c>
      <c r="V2486" s="379" t="s">
        <v>14400</v>
      </c>
      <c r="W2486" s="292" t="s">
        <v>202</v>
      </c>
      <c r="X2486" s="51" t="str">
        <f t="array" ref="X2486"> if(iserror(MATCH(V2486, 'File Links'!C:C, 0)), "N/A", HYPERLINK(INDEX('File Links'!B:B, MATCH(V2486, 'File Links'!C:C, 0))))</f>
        <v>https://drive.google.com/file/d/17mZvRs3ue7pXwqu8bmIDvgNdc95PGEcV/view?usp=drivesdk</v>
      </c>
      <c r="Y2486" s="65" t="s">
        <v>131</v>
      </c>
      <c r="Z2486" s="156" t="s">
        <v>1072</v>
      </c>
      <c r="AA2486" s="65" t="s">
        <v>11994</v>
      </c>
      <c r="AB2486" s="156" t="s">
        <v>14402</v>
      </c>
      <c r="AC2486" s="156" t="s">
        <v>14699</v>
      </c>
      <c r="AD2486" s="65" t="s">
        <v>14830</v>
      </c>
      <c r="AE2486" s="333">
        <v>20.0</v>
      </c>
      <c r="AF2486" s="153">
        <v>13500.0</v>
      </c>
      <c r="AG2486" s="333">
        <v>-0.23</v>
      </c>
      <c r="AH2486" s="65" t="s">
        <v>208</v>
      </c>
      <c r="AI2486" s="65" t="s">
        <v>2434</v>
      </c>
      <c r="AJ2486" s="65" t="s">
        <v>131</v>
      </c>
      <c r="AK2486" s="65" t="s">
        <v>131</v>
      </c>
      <c r="AL2486" s="65" t="s">
        <v>131</v>
      </c>
      <c r="AM2486" s="65" t="s">
        <v>134</v>
      </c>
      <c r="AN2486" s="65" t="s">
        <v>131</v>
      </c>
      <c r="AO2486" s="153">
        <v>747.0</v>
      </c>
      <c r="AP2486" s="333">
        <v>-0.17</v>
      </c>
      <c r="AQ2486" s="65" t="s">
        <v>208</v>
      </c>
      <c r="AR2486" s="65" t="s">
        <v>875</v>
      </c>
      <c r="AS2486" s="1783">
        <v>0.05</v>
      </c>
      <c r="AT2486" s="1785" t="s">
        <v>128</v>
      </c>
      <c r="AU2486" s="1785" t="s">
        <v>129</v>
      </c>
      <c r="AV2486" s="65" t="s">
        <v>134</v>
      </c>
      <c r="AW2486" s="432" t="s">
        <v>14805</v>
      </c>
      <c r="AX2486" s="65" t="s">
        <v>144</v>
      </c>
      <c r="AZ2486" s="59" t="s">
        <v>14666</v>
      </c>
    </row>
    <row r="2487">
      <c r="A2487" s="41">
        <v>2487.0</v>
      </c>
      <c r="B2487" s="126" t="s">
        <v>516</v>
      </c>
      <c r="C2487" s="59" t="s">
        <v>108</v>
      </c>
      <c r="D2487" s="59" t="s">
        <v>1451</v>
      </c>
      <c r="F2487" s="65" t="s">
        <v>14700</v>
      </c>
      <c r="G2487" s="156" t="s">
        <v>14391</v>
      </c>
      <c r="H2487" s="156" t="s">
        <v>8467</v>
      </c>
      <c r="I2487" s="431">
        <v>45251.0</v>
      </c>
      <c r="J2487" s="526">
        <v>45766.0</v>
      </c>
      <c r="K2487" s="65" t="s">
        <v>14832</v>
      </c>
      <c r="L2487" s="65"/>
      <c r="M2487" s="156" t="s">
        <v>14692</v>
      </c>
      <c r="N2487" s="156" t="s">
        <v>14693</v>
      </c>
      <c r="O2487" s="333">
        <v>1.0</v>
      </c>
      <c r="P2487" s="379" t="s">
        <v>14694</v>
      </c>
      <c r="Q2487" s="49" t="str">
        <f t="array" ref="Q2487"> if(iserror(MATCH(V2487, 'File Links'!C:C, 0)), "N/A", HYPERLINK(INDEX('File Links'!B:B, MATCH(P2487, 'File Links'!C:C, 0))))</f>
        <v>https://drive.google.com/file/d/1Ey8YE267IkJvJPhLMe73j6CWvGwENA3f/view?usp=drivesdk</v>
      </c>
      <c r="R2487" s="156" t="s">
        <v>14398</v>
      </c>
      <c r="S2487" s="156" t="s">
        <v>14399</v>
      </c>
      <c r="T2487" s="65" t="s">
        <v>131</v>
      </c>
      <c r="U2487" s="333">
        <v>1.0</v>
      </c>
      <c r="V2487" s="379" t="s">
        <v>14400</v>
      </c>
      <c r="W2487" s="292" t="s">
        <v>202</v>
      </c>
      <c r="X2487" s="51" t="str">
        <f t="array" ref="X2487"> if(iserror(MATCH(V2487, 'File Links'!C:C, 0)), "N/A", HYPERLINK(INDEX('File Links'!B:B, MATCH(V2487, 'File Links'!C:C, 0))))</f>
        <v>https://drive.google.com/file/d/17mZvRs3ue7pXwqu8bmIDvgNdc95PGEcV/view?usp=drivesdk</v>
      </c>
      <c r="Y2487" s="65" t="s">
        <v>131</v>
      </c>
      <c r="Z2487" s="156" t="s">
        <v>1072</v>
      </c>
      <c r="AA2487" s="65" t="s">
        <v>11994</v>
      </c>
      <c r="AB2487" s="156" t="s">
        <v>14402</v>
      </c>
      <c r="AC2487" s="156" t="s">
        <v>14702</v>
      </c>
      <c r="AD2487" s="65" t="s">
        <v>14830</v>
      </c>
      <c r="AE2487" s="333">
        <v>20.0</v>
      </c>
      <c r="AF2487" s="153">
        <v>492.0</v>
      </c>
      <c r="AG2487" s="333">
        <v>0.17</v>
      </c>
      <c r="AH2487" s="65" t="s">
        <v>208</v>
      </c>
      <c r="AI2487" s="65" t="s">
        <v>2434</v>
      </c>
      <c r="AJ2487" s="65" t="s">
        <v>131</v>
      </c>
      <c r="AK2487" s="65" t="s">
        <v>131</v>
      </c>
      <c r="AL2487" s="65" t="s">
        <v>131</v>
      </c>
      <c r="AM2487" s="65" t="s">
        <v>134</v>
      </c>
      <c r="AN2487" s="65" t="s">
        <v>131</v>
      </c>
      <c r="AO2487" s="153">
        <v>748.0</v>
      </c>
      <c r="AP2487" s="333">
        <v>0.32</v>
      </c>
      <c r="AQ2487" s="65" t="s">
        <v>208</v>
      </c>
      <c r="AR2487" s="65" t="s">
        <v>875</v>
      </c>
      <c r="AS2487" s="1783">
        <v>0.05</v>
      </c>
      <c r="AT2487" s="1785" t="s">
        <v>128</v>
      </c>
      <c r="AU2487" s="1785" t="s">
        <v>129</v>
      </c>
      <c r="AV2487" s="65" t="s">
        <v>134</v>
      </c>
      <c r="AW2487" s="432" t="s">
        <v>14805</v>
      </c>
      <c r="AX2487" s="65" t="s">
        <v>144</v>
      </c>
      <c r="AZ2487" s="59" t="s">
        <v>14666</v>
      </c>
    </row>
    <row r="2488">
      <c r="A2488" s="41">
        <v>2488.0</v>
      </c>
      <c r="B2488" s="126" t="s">
        <v>516</v>
      </c>
      <c r="C2488" s="59" t="s">
        <v>108</v>
      </c>
      <c r="D2488" s="59" t="s">
        <v>1451</v>
      </c>
      <c r="F2488" s="65" t="s">
        <v>14704</v>
      </c>
      <c r="G2488" s="156" t="s">
        <v>14391</v>
      </c>
      <c r="H2488" s="156" t="s">
        <v>8467</v>
      </c>
      <c r="I2488" s="431">
        <v>45251.0</v>
      </c>
      <c r="J2488" s="526">
        <v>45766.0</v>
      </c>
      <c r="K2488" s="65" t="s">
        <v>14833</v>
      </c>
      <c r="L2488" s="65"/>
      <c r="M2488" s="156" t="s">
        <v>14692</v>
      </c>
      <c r="N2488" s="156" t="s">
        <v>14693</v>
      </c>
      <c r="O2488" s="333">
        <v>1.0</v>
      </c>
      <c r="P2488" s="379" t="s">
        <v>14694</v>
      </c>
      <c r="Q2488" s="49" t="str">
        <f t="array" ref="Q2488"> if(iserror(MATCH(V2488, 'File Links'!C:C, 0)), "N/A", HYPERLINK(INDEX('File Links'!B:B, MATCH(P2488, 'File Links'!C:C, 0))))</f>
        <v>https://drive.google.com/file/d/1Ey8YE267IkJvJPhLMe73j6CWvGwENA3f/view?usp=drivesdk</v>
      </c>
      <c r="R2488" s="156" t="s">
        <v>14398</v>
      </c>
      <c r="S2488" s="156" t="s">
        <v>14399</v>
      </c>
      <c r="T2488" s="65" t="s">
        <v>131</v>
      </c>
      <c r="U2488" s="333">
        <v>1.0</v>
      </c>
      <c r="V2488" s="379" t="s">
        <v>14400</v>
      </c>
      <c r="W2488" s="292" t="s">
        <v>202</v>
      </c>
      <c r="X2488" s="51" t="str">
        <f t="array" ref="X2488"> if(iserror(MATCH(V2488, 'File Links'!C:C, 0)), "N/A", HYPERLINK(INDEX('File Links'!B:B, MATCH(V2488, 'File Links'!C:C, 0))))</f>
        <v>https://drive.google.com/file/d/17mZvRs3ue7pXwqu8bmIDvgNdc95PGEcV/view?usp=drivesdk</v>
      </c>
      <c r="Y2488" s="65" t="s">
        <v>131</v>
      </c>
      <c r="Z2488" s="156" t="s">
        <v>1072</v>
      </c>
      <c r="AA2488" s="65" t="s">
        <v>11994</v>
      </c>
      <c r="AB2488" s="156" t="s">
        <v>14402</v>
      </c>
      <c r="AC2488" s="156" t="s">
        <v>14706</v>
      </c>
      <c r="AD2488" s="65" t="s">
        <v>14830</v>
      </c>
      <c r="AE2488" s="333">
        <v>20.0</v>
      </c>
      <c r="AF2488" s="153">
        <v>713.0</v>
      </c>
      <c r="AG2488" s="333">
        <v>-19.0</v>
      </c>
      <c r="AH2488" s="65" t="s">
        <v>208</v>
      </c>
      <c r="AI2488" s="65" t="s">
        <v>2434</v>
      </c>
      <c r="AJ2488" s="65" t="s">
        <v>131</v>
      </c>
      <c r="AK2488" s="65" t="s">
        <v>131</v>
      </c>
      <c r="AL2488" s="65" t="s">
        <v>131</v>
      </c>
      <c r="AM2488" s="65" t="s">
        <v>134</v>
      </c>
      <c r="AN2488" s="65" t="s">
        <v>131</v>
      </c>
      <c r="AO2488" s="153">
        <v>748.0</v>
      </c>
      <c r="AP2488" s="333">
        <v>-0.26</v>
      </c>
      <c r="AQ2488" s="65" t="s">
        <v>208</v>
      </c>
      <c r="AR2488" s="65" t="s">
        <v>875</v>
      </c>
      <c r="AS2488" s="1783">
        <v>0.05</v>
      </c>
      <c r="AT2488" s="1785" t="s">
        <v>128</v>
      </c>
      <c r="AU2488" s="1785" t="s">
        <v>129</v>
      </c>
      <c r="AV2488" s="65" t="s">
        <v>134</v>
      </c>
      <c r="AW2488" s="432" t="s">
        <v>14805</v>
      </c>
      <c r="AX2488" s="65" t="s">
        <v>144</v>
      </c>
      <c r="AZ2488" s="59" t="s">
        <v>14666</v>
      </c>
    </row>
    <row r="2489">
      <c r="A2489" s="41">
        <v>2489.0</v>
      </c>
      <c r="B2489" s="126" t="s">
        <v>516</v>
      </c>
      <c r="C2489" s="59" t="s">
        <v>108</v>
      </c>
      <c r="D2489" s="59" t="s">
        <v>1451</v>
      </c>
      <c r="F2489" s="65" t="s">
        <v>14707</v>
      </c>
      <c r="G2489" s="156" t="s">
        <v>14391</v>
      </c>
      <c r="H2489" s="156" t="s">
        <v>8467</v>
      </c>
      <c r="I2489" s="431">
        <v>45252.0</v>
      </c>
      <c r="J2489" s="526">
        <v>45766.0</v>
      </c>
      <c r="K2489" s="65" t="s">
        <v>14834</v>
      </c>
      <c r="L2489" s="65"/>
      <c r="M2489" s="156" t="s">
        <v>14709</v>
      </c>
      <c r="N2489" s="156" t="s">
        <v>14710</v>
      </c>
      <c r="O2489" s="333">
        <v>1.0</v>
      </c>
      <c r="P2489" s="379" t="s">
        <v>14711</v>
      </c>
      <c r="Q2489" s="49" t="str">
        <f t="array" ref="Q2489"> if(iserror(MATCH(V2489, 'File Links'!C:C, 0)), "N/A", HYPERLINK(INDEX('File Links'!B:B, MATCH(P2489, 'File Links'!C:C, 0))))</f>
        <v>https://drive.google.com/file/d/1JjrD9NOW8xliYqnpBZzkTwq4qgfO4wNJ/view?usp=drivesdk</v>
      </c>
      <c r="R2489" s="156" t="s">
        <v>14398</v>
      </c>
      <c r="S2489" s="156" t="s">
        <v>14399</v>
      </c>
      <c r="T2489" s="65" t="s">
        <v>131</v>
      </c>
      <c r="U2489" s="333">
        <v>1.0</v>
      </c>
      <c r="V2489" s="379" t="s">
        <v>14400</v>
      </c>
      <c r="W2489" s="292" t="s">
        <v>202</v>
      </c>
      <c r="X2489" s="51" t="str">
        <f t="array" ref="X2489"> if(iserror(MATCH(V2489, 'File Links'!C:C, 0)), "N/A", HYPERLINK(INDEX('File Links'!B:B, MATCH(V2489, 'File Links'!C:C, 0))))</f>
        <v>https://drive.google.com/file/d/17mZvRs3ue7pXwqu8bmIDvgNdc95PGEcV/view?usp=drivesdk</v>
      </c>
      <c r="Y2489" s="65" t="s">
        <v>131</v>
      </c>
      <c r="Z2489" s="156" t="s">
        <v>1072</v>
      </c>
      <c r="AA2489" s="65" t="s">
        <v>11994</v>
      </c>
      <c r="AB2489" s="156" t="s">
        <v>14402</v>
      </c>
      <c r="AC2489" s="156" t="s">
        <v>14712</v>
      </c>
      <c r="AD2489" s="65" t="s">
        <v>14835</v>
      </c>
      <c r="AE2489" s="333" t="s">
        <v>14836</v>
      </c>
      <c r="AF2489" s="153">
        <v>194.0</v>
      </c>
      <c r="AG2489" s="333">
        <v>-0.11</v>
      </c>
      <c r="AH2489" s="65" t="s">
        <v>208</v>
      </c>
      <c r="AI2489" s="65" t="s">
        <v>1812</v>
      </c>
      <c r="AJ2489" s="65" t="s">
        <v>131</v>
      </c>
      <c r="AK2489" s="65" t="s">
        <v>131</v>
      </c>
      <c r="AL2489" s="65" t="s">
        <v>131</v>
      </c>
      <c r="AM2489" s="65" t="s">
        <v>134</v>
      </c>
      <c r="AN2489" s="65" t="s">
        <v>131</v>
      </c>
      <c r="AO2489" s="153">
        <v>481.0</v>
      </c>
      <c r="AP2489" s="333">
        <v>0.15</v>
      </c>
      <c r="AQ2489" s="65" t="s">
        <v>354</v>
      </c>
      <c r="AR2489" s="65" t="s">
        <v>875</v>
      </c>
      <c r="AS2489" s="1783">
        <v>0.05</v>
      </c>
      <c r="AT2489" s="1785" t="s">
        <v>128</v>
      </c>
      <c r="AU2489" s="1785" t="s">
        <v>129</v>
      </c>
      <c r="AV2489" s="65" t="s">
        <v>134</v>
      </c>
      <c r="AW2489" s="432" t="s">
        <v>14805</v>
      </c>
      <c r="AX2489" s="65" t="s">
        <v>144</v>
      </c>
      <c r="AZ2489" s="59" t="s">
        <v>14666</v>
      </c>
    </row>
    <row r="2490">
      <c r="A2490" s="41">
        <v>2490.0</v>
      </c>
      <c r="B2490" s="126" t="s">
        <v>516</v>
      </c>
      <c r="C2490" s="59" t="s">
        <v>108</v>
      </c>
      <c r="D2490" s="59" t="s">
        <v>1451</v>
      </c>
      <c r="F2490" s="65" t="s">
        <v>14714</v>
      </c>
      <c r="G2490" s="156" t="s">
        <v>14391</v>
      </c>
      <c r="H2490" s="156" t="s">
        <v>8467</v>
      </c>
      <c r="I2490" s="431">
        <v>45252.0</v>
      </c>
      <c r="J2490" s="526">
        <v>45766.0</v>
      </c>
      <c r="K2490" s="65" t="s">
        <v>131</v>
      </c>
      <c r="L2490" s="65"/>
      <c r="M2490" s="156" t="s">
        <v>14709</v>
      </c>
      <c r="N2490" s="156" t="s">
        <v>14710</v>
      </c>
      <c r="O2490" s="333">
        <v>1.0</v>
      </c>
      <c r="P2490" s="379" t="s">
        <v>14711</v>
      </c>
      <c r="Q2490" s="49" t="str">
        <f t="array" ref="Q2490"> if(iserror(MATCH(V2490, 'File Links'!C:C, 0)), "N/A", HYPERLINK(INDEX('File Links'!B:B, MATCH(P2490, 'File Links'!C:C, 0))))</f>
        <v>https://drive.google.com/file/d/1JjrD9NOW8xliYqnpBZzkTwq4qgfO4wNJ/view?usp=drivesdk</v>
      </c>
      <c r="R2490" s="156" t="s">
        <v>14398</v>
      </c>
      <c r="S2490" s="156" t="s">
        <v>14399</v>
      </c>
      <c r="T2490" s="65" t="s">
        <v>131</v>
      </c>
      <c r="U2490" s="333">
        <v>1.0</v>
      </c>
      <c r="V2490" s="379" t="s">
        <v>14400</v>
      </c>
      <c r="W2490" s="292" t="s">
        <v>202</v>
      </c>
      <c r="X2490" s="51" t="str">
        <f t="array" ref="X2490"> if(iserror(MATCH(V2490, 'File Links'!C:C, 0)), "N/A", HYPERLINK(INDEX('File Links'!B:B, MATCH(V2490, 'File Links'!C:C, 0))))</f>
        <v>https://drive.google.com/file/d/17mZvRs3ue7pXwqu8bmIDvgNdc95PGEcV/view?usp=drivesdk</v>
      </c>
      <c r="Y2490" s="65" t="s">
        <v>131</v>
      </c>
      <c r="Z2490" s="156" t="s">
        <v>1072</v>
      </c>
      <c r="AA2490" s="65" t="s">
        <v>11994</v>
      </c>
      <c r="AB2490" s="156" t="s">
        <v>14402</v>
      </c>
      <c r="AC2490" s="156" t="s">
        <v>14716</v>
      </c>
      <c r="AD2490" s="65" t="s">
        <v>14835</v>
      </c>
      <c r="AE2490" s="333" t="s">
        <v>14836</v>
      </c>
      <c r="AF2490" s="153">
        <v>194.0</v>
      </c>
      <c r="AG2490" s="333">
        <v>0.5</v>
      </c>
      <c r="AH2490" s="65" t="s">
        <v>208</v>
      </c>
      <c r="AI2490" s="65" t="s">
        <v>1812</v>
      </c>
      <c r="AJ2490" s="333">
        <v>0.01</v>
      </c>
      <c r="AK2490" s="65" t="s">
        <v>128</v>
      </c>
      <c r="AL2490" s="65" t="s">
        <v>179</v>
      </c>
      <c r="AM2490" s="65" t="s">
        <v>134</v>
      </c>
      <c r="AN2490" s="65" t="s">
        <v>131</v>
      </c>
      <c r="AO2490" s="153">
        <v>481.0</v>
      </c>
      <c r="AP2490" s="333">
        <v>-0.7</v>
      </c>
      <c r="AQ2490" s="65" t="s">
        <v>208</v>
      </c>
      <c r="AR2490" s="65" t="s">
        <v>875</v>
      </c>
      <c r="AS2490" s="1785" t="s">
        <v>131</v>
      </c>
      <c r="AT2490" s="1785" t="s">
        <v>131</v>
      </c>
      <c r="AU2490" s="1785" t="s">
        <v>131</v>
      </c>
      <c r="AV2490" s="65" t="s">
        <v>134</v>
      </c>
      <c r="AW2490" s="432" t="s">
        <v>14805</v>
      </c>
      <c r="AX2490" s="65" t="s">
        <v>144</v>
      </c>
      <c r="AZ2490" s="59" t="s">
        <v>14666</v>
      </c>
    </row>
    <row r="2491">
      <c r="A2491" s="41">
        <v>2491.0</v>
      </c>
      <c r="B2491" s="126" t="s">
        <v>516</v>
      </c>
      <c r="C2491" s="59" t="s">
        <v>108</v>
      </c>
      <c r="D2491" s="59" t="s">
        <v>1451</v>
      </c>
      <c r="F2491" s="65" t="s">
        <v>14718</v>
      </c>
      <c r="G2491" s="156" t="s">
        <v>14391</v>
      </c>
      <c r="H2491" s="156" t="s">
        <v>8467</v>
      </c>
      <c r="I2491" s="431">
        <v>45252.0</v>
      </c>
      <c r="J2491" s="526">
        <v>45766.0</v>
      </c>
      <c r="K2491" s="65" t="s">
        <v>131</v>
      </c>
      <c r="L2491" s="65"/>
      <c r="M2491" s="156" t="s">
        <v>14709</v>
      </c>
      <c r="N2491" s="156" t="s">
        <v>14710</v>
      </c>
      <c r="O2491" s="333">
        <v>1.0</v>
      </c>
      <c r="P2491" s="379" t="s">
        <v>14711</v>
      </c>
      <c r="Q2491" s="49" t="str">
        <f t="array" ref="Q2491"> if(iserror(MATCH(V2491, 'File Links'!C:C, 0)), "N/A", HYPERLINK(INDEX('File Links'!B:B, MATCH(P2491, 'File Links'!C:C, 0))))</f>
        <v>https://drive.google.com/file/d/1JjrD9NOW8xliYqnpBZzkTwq4qgfO4wNJ/view?usp=drivesdk</v>
      </c>
      <c r="R2491" s="156" t="s">
        <v>14398</v>
      </c>
      <c r="S2491" s="156" t="s">
        <v>14399</v>
      </c>
      <c r="T2491" s="65" t="s">
        <v>131</v>
      </c>
      <c r="U2491" s="333">
        <v>1.0</v>
      </c>
      <c r="V2491" s="379" t="s">
        <v>14400</v>
      </c>
      <c r="W2491" s="292" t="s">
        <v>202</v>
      </c>
      <c r="X2491" s="51" t="str">
        <f t="array" ref="X2491"> if(iserror(MATCH(V2491, 'File Links'!C:C, 0)), "N/A", HYPERLINK(INDEX('File Links'!B:B, MATCH(V2491, 'File Links'!C:C, 0))))</f>
        <v>https://drive.google.com/file/d/17mZvRs3ue7pXwqu8bmIDvgNdc95PGEcV/view?usp=drivesdk</v>
      </c>
      <c r="Y2491" s="65" t="s">
        <v>131</v>
      </c>
      <c r="Z2491" s="156" t="s">
        <v>1072</v>
      </c>
      <c r="AA2491" s="65" t="s">
        <v>11994</v>
      </c>
      <c r="AB2491" s="156" t="s">
        <v>14402</v>
      </c>
      <c r="AC2491" s="156" t="s">
        <v>14720</v>
      </c>
      <c r="AD2491" s="65" t="s">
        <v>14835</v>
      </c>
      <c r="AE2491" s="333" t="s">
        <v>14836</v>
      </c>
      <c r="AF2491" s="153">
        <v>194.0</v>
      </c>
      <c r="AG2491" s="333">
        <v>-0.34</v>
      </c>
      <c r="AH2491" s="65" t="s">
        <v>208</v>
      </c>
      <c r="AI2491" s="65" t="s">
        <v>1812</v>
      </c>
      <c r="AJ2491" s="333">
        <v>0.01</v>
      </c>
      <c r="AK2491" s="65" t="s">
        <v>128</v>
      </c>
      <c r="AL2491" s="65" t="s">
        <v>179</v>
      </c>
      <c r="AM2491" s="65" t="s">
        <v>134</v>
      </c>
      <c r="AN2491" s="65" t="s">
        <v>131</v>
      </c>
      <c r="AO2491" s="153">
        <v>481.0</v>
      </c>
      <c r="AP2491" s="333">
        <v>0.1</v>
      </c>
      <c r="AQ2491" s="65" t="s">
        <v>208</v>
      </c>
      <c r="AR2491" s="65" t="s">
        <v>875</v>
      </c>
      <c r="AS2491" s="1783">
        <v>0.05</v>
      </c>
      <c r="AT2491" s="1785" t="s">
        <v>128</v>
      </c>
      <c r="AU2491" s="1785" t="s">
        <v>129</v>
      </c>
      <c r="AV2491" s="65" t="s">
        <v>134</v>
      </c>
      <c r="AW2491" s="432" t="s">
        <v>14805</v>
      </c>
      <c r="AX2491" s="65" t="s">
        <v>144</v>
      </c>
      <c r="AZ2491" s="59" t="s">
        <v>14666</v>
      </c>
    </row>
    <row r="2492">
      <c r="A2492" s="41">
        <v>2492.0</v>
      </c>
      <c r="B2492" s="126" t="s">
        <v>516</v>
      </c>
      <c r="C2492" s="59" t="s">
        <v>108</v>
      </c>
      <c r="D2492" s="59" t="s">
        <v>1451</v>
      </c>
      <c r="F2492" s="65" t="s">
        <v>14722</v>
      </c>
      <c r="G2492" s="156" t="s">
        <v>14391</v>
      </c>
      <c r="H2492" s="156" t="s">
        <v>8467</v>
      </c>
      <c r="I2492" s="431">
        <v>45252.0</v>
      </c>
      <c r="J2492" s="526">
        <v>45766.0</v>
      </c>
      <c r="K2492" s="65" t="s">
        <v>131</v>
      </c>
      <c r="L2492" s="65"/>
      <c r="M2492" s="156" t="s">
        <v>14709</v>
      </c>
      <c r="N2492" s="156" t="s">
        <v>14710</v>
      </c>
      <c r="O2492" s="333">
        <v>1.0</v>
      </c>
      <c r="P2492" s="379" t="s">
        <v>14711</v>
      </c>
      <c r="Q2492" s="49" t="str">
        <f t="array" ref="Q2492"> if(iserror(MATCH(V2492, 'File Links'!C:C, 0)), "N/A", HYPERLINK(INDEX('File Links'!B:B, MATCH(P2492, 'File Links'!C:C, 0))))</f>
        <v>https://drive.google.com/file/d/1JjrD9NOW8xliYqnpBZzkTwq4qgfO4wNJ/view?usp=drivesdk</v>
      </c>
      <c r="R2492" s="156" t="s">
        <v>14398</v>
      </c>
      <c r="S2492" s="156" t="s">
        <v>14399</v>
      </c>
      <c r="T2492" s="65" t="s">
        <v>131</v>
      </c>
      <c r="U2492" s="333">
        <v>1.0</v>
      </c>
      <c r="V2492" s="379" t="s">
        <v>14400</v>
      </c>
      <c r="W2492" s="292" t="s">
        <v>202</v>
      </c>
      <c r="X2492" s="51" t="str">
        <f t="array" ref="X2492"> if(iserror(MATCH(V2492, 'File Links'!C:C, 0)), "N/A", HYPERLINK(INDEX('File Links'!B:B, MATCH(V2492, 'File Links'!C:C, 0))))</f>
        <v>https://drive.google.com/file/d/17mZvRs3ue7pXwqu8bmIDvgNdc95PGEcV/view?usp=drivesdk</v>
      </c>
      <c r="Y2492" s="65" t="s">
        <v>131</v>
      </c>
      <c r="Z2492" s="156" t="s">
        <v>1072</v>
      </c>
      <c r="AA2492" s="65" t="s">
        <v>11994</v>
      </c>
      <c r="AB2492" s="156" t="s">
        <v>14402</v>
      </c>
      <c r="AC2492" s="156" t="s">
        <v>14724</v>
      </c>
      <c r="AD2492" s="65" t="s">
        <v>14835</v>
      </c>
      <c r="AE2492" s="333" t="s">
        <v>14836</v>
      </c>
      <c r="AF2492" s="153">
        <v>194.0</v>
      </c>
      <c r="AG2492" s="333">
        <v>0.2</v>
      </c>
      <c r="AH2492" s="65" t="s">
        <v>208</v>
      </c>
      <c r="AI2492" s="65" t="s">
        <v>1812</v>
      </c>
      <c r="AJ2492" s="333">
        <v>0.01</v>
      </c>
      <c r="AK2492" s="65" t="s">
        <v>128</v>
      </c>
      <c r="AL2492" s="65" t="s">
        <v>179</v>
      </c>
      <c r="AM2492" s="65" t="s">
        <v>134</v>
      </c>
      <c r="AN2492" s="65" t="s">
        <v>131</v>
      </c>
      <c r="AO2492" s="153">
        <v>512.0</v>
      </c>
      <c r="AP2492" s="333">
        <v>0.24</v>
      </c>
      <c r="AQ2492" s="65" t="s">
        <v>208</v>
      </c>
      <c r="AR2492" s="65" t="s">
        <v>875</v>
      </c>
      <c r="AS2492" s="1783">
        <v>0.05</v>
      </c>
      <c r="AT2492" s="1785" t="s">
        <v>128</v>
      </c>
      <c r="AU2492" s="1785" t="s">
        <v>129</v>
      </c>
      <c r="AV2492" s="65" t="s">
        <v>134</v>
      </c>
      <c r="AW2492" s="432" t="s">
        <v>14805</v>
      </c>
      <c r="AX2492" s="65" t="s">
        <v>144</v>
      </c>
      <c r="AZ2492" s="59" t="s">
        <v>14666</v>
      </c>
    </row>
    <row r="2493">
      <c r="A2493" s="41">
        <v>2493.0</v>
      </c>
      <c r="B2493" s="126" t="s">
        <v>516</v>
      </c>
      <c r="C2493" s="59" t="s">
        <v>108</v>
      </c>
      <c r="D2493" s="59" t="s">
        <v>1451</v>
      </c>
      <c r="F2493" s="65" t="s">
        <v>14726</v>
      </c>
      <c r="G2493" s="156" t="s">
        <v>14391</v>
      </c>
      <c r="H2493" s="156" t="s">
        <v>8467</v>
      </c>
      <c r="I2493" s="431">
        <v>45252.0</v>
      </c>
      <c r="J2493" s="526">
        <v>45766.0</v>
      </c>
      <c r="K2493" s="65" t="s">
        <v>131</v>
      </c>
      <c r="L2493" s="65"/>
      <c r="M2493" s="156" t="s">
        <v>14709</v>
      </c>
      <c r="N2493" s="156" t="s">
        <v>14710</v>
      </c>
      <c r="O2493" s="333">
        <v>1.0</v>
      </c>
      <c r="P2493" s="379" t="s">
        <v>14711</v>
      </c>
      <c r="Q2493" s="49" t="str">
        <f t="array" ref="Q2493"> if(iserror(MATCH(V2493, 'File Links'!C:C, 0)), "N/A", HYPERLINK(INDEX('File Links'!B:B, MATCH(P2493, 'File Links'!C:C, 0))))</f>
        <v>https://drive.google.com/file/d/1JjrD9NOW8xliYqnpBZzkTwq4qgfO4wNJ/view?usp=drivesdk</v>
      </c>
      <c r="R2493" s="156" t="s">
        <v>14398</v>
      </c>
      <c r="S2493" s="156" t="s">
        <v>14399</v>
      </c>
      <c r="T2493" s="65" t="s">
        <v>131</v>
      </c>
      <c r="U2493" s="333">
        <v>1.0</v>
      </c>
      <c r="V2493" s="379" t="s">
        <v>14400</v>
      </c>
      <c r="W2493" s="292" t="s">
        <v>202</v>
      </c>
      <c r="X2493" s="51" t="str">
        <f t="array" ref="X2493"> if(iserror(MATCH(V2493, 'File Links'!C:C, 0)), "N/A", HYPERLINK(INDEX('File Links'!B:B, MATCH(V2493, 'File Links'!C:C, 0))))</f>
        <v>https://drive.google.com/file/d/17mZvRs3ue7pXwqu8bmIDvgNdc95PGEcV/view?usp=drivesdk</v>
      </c>
      <c r="Y2493" s="65" t="s">
        <v>131</v>
      </c>
      <c r="Z2493" s="156" t="s">
        <v>1072</v>
      </c>
      <c r="AA2493" s="65" t="s">
        <v>11994</v>
      </c>
      <c r="AB2493" s="156" t="s">
        <v>14402</v>
      </c>
      <c r="AC2493" s="156" t="s">
        <v>14728</v>
      </c>
      <c r="AD2493" s="65" t="s">
        <v>14835</v>
      </c>
      <c r="AE2493" s="333" t="s">
        <v>14836</v>
      </c>
      <c r="AF2493" s="153">
        <v>194.0</v>
      </c>
      <c r="AG2493" s="333">
        <v>-0.26</v>
      </c>
      <c r="AH2493" s="65" t="s">
        <v>208</v>
      </c>
      <c r="AI2493" s="65" t="s">
        <v>1812</v>
      </c>
      <c r="AJ2493" s="333">
        <v>0.01</v>
      </c>
      <c r="AK2493" s="65" t="s">
        <v>128</v>
      </c>
      <c r="AL2493" s="65" t="s">
        <v>179</v>
      </c>
      <c r="AM2493" s="65" t="s">
        <v>134</v>
      </c>
      <c r="AN2493" s="65" t="s">
        <v>131</v>
      </c>
      <c r="AO2493" s="153">
        <v>512.0</v>
      </c>
      <c r="AP2493" s="333">
        <v>-0.31</v>
      </c>
      <c r="AQ2493" s="65" t="s">
        <v>208</v>
      </c>
      <c r="AR2493" s="65" t="s">
        <v>875</v>
      </c>
      <c r="AS2493" s="1783">
        <v>0.05</v>
      </c>
      <c r="AT2493" s="1785" t="s">
        <v>128</v>
      </c>
      <c r="AU2493" s="1785" t="s">
        <v>129</v>
      </c>
      <c r="AV2493" s="65" t="s">
        <v>134</v>
      </c>
      <c r="AW2493" s="432" t="s">
        <v>14805</v>
      </c>
      <c r="AX2493" s="65" t="s">
        <v>144</v>
      </c>
      <c r="AZ2493" s="59" t="s">
        <v>14666</v>
      </c>
    </row>
    <row r="2494">
      <c r="A2494" s="41">
        <v>2494.0</v>
      </c>
      <c r="B2494" s="126" t="s">
        <v>516</v>
      </c>
      <c r="C2494" s="59" t="s">
        <v>108</v>
      </c>
      <c r="D2494" s="59" t="s">
        <v>1451</v>
      </c>
      <c r="F2494" s="65" t="s">
        <v>14730</v>
      </c>
      <c r="G2494" s="156" t="s">
        <v>14391</v>
      </c>
      <c r="H2494" s="156" t="s">
        <v>8467</v>
      </c>
      <c r="I2494" s="431">
        <v>45252.0</v>
      </c>
      <c r="J2494" s="526">
        <v>45766.0</v>
      </c>
      <c r="K2494" s="65" t="s">
        <v>14837</v>
      </c>
      <c r="L2494" s="65"/>
      <c r="M2494" s="156" t="s">
        <v>14732</v>
      </c>
      <c r="N2494" s="156" t="s">
        <v>14733</v>
      </c>
      <c r="O2494" s="333">
        <v>1.0</v>
      </c>
      <c r="P2494" s="379" t="s">
        <v>14734</v>
      </c>
      <c r="Q2494" s="49" t="str">
        <f t="array" ref="Q2494"> if(iserror(MATCH(V2494, 'File Links'!C:C, 0)), "N/A", HYPERLINK(INDEX('File Links'!B:B, MATCH(P2494, 'File Links'!C:C, 0))))</f>
        <v>https://drive.google.com/file/d/1xuFoPe4NoIX58JM0wx-8_dEId51aZij5/view?usp=drivesdk</v>
      </c>
      <c r="R2494" s="156" t="s">
        <v>14398</v>
      </c>
      <c r="S2494" s="156" t="s">
        <v>14399</v>
      </c>
      <c r="T2494" s="65" t="s">
        <v>131</v>
      </c>
      <c r="U2494" s="333">
        <v>1.0</v>
      </c>
      <c r="V2494" s="379" t="s">
        <v>14400</v>
      </c>
      <c r="W2494" s="292" t="s">
        <v>202</v>
      </c>
      <c r="X2494" s="51" t="str">
        <f t="array" ref="X2494"> if(iserror(MATCH(V2494, 'File Links'!C:C, 0)), "N/A", HYPERLINK(INDEX('File Links'!B:B, MATCH(V2494, 'File Links'!C:C, 0))))</f>
        <v>https://drive.google.com/file/d/17mZvRs3ue7pXwqu8bmIDvgNdc95PGEcV/view?usp=drivesdk</v>
      </c>
      <c r="Y2494" s="65" t="s">
        <v>131</v>
      </c>
      <c r="Z2494" s="156" t="s">
        <v>1072</v>
      </c>
      <c r="AA2494" s="65" t="s">
        <v>11994</v>
      </c>
      <c r="AB2494" s="156" t="s">
        <v>14402</v>
      </c>
      <c r="AC2494" s="156" t="s">
        <v>14735</v>
      </c>
      <c r="AD2494" s="65" t="s">
        <v>14838</v>
      </c>
      <c r="AE2494" s="333">
        <v>6.0</v>
      </c>
      <c r="AF2494" s="153">
        <v>859.0</v>
      </c>
      <c r="AG2494" s="333">
        <v>0.19</v>
      </c>
      <c r="AH2494" s="65" t="s">
        <v>208</v>
      </c>
      <c r="AI2494" s="65" t="s">
        <v>1035</v>
      </c>
      <c r="AJ2494" s="333">
        <v>0.01</v>
      </c>
      <c r="AK2494" s="65" t="s">
        <v>128</v>
      </c>
      <c r="AL2494" s="65" t="s">
        <v>179</v>
      </c>
      <c r="AM2494" s="65" t="s">
        <v>134</v>
      </c>
      <c r="AN2494" s="65" t="s">
        <v>131</v>
      </c>
      <c r="AO2494" s="153">
        <v>838.0</v>
      </c>
      <c r="AP2494" s="333">
        <v>-0.02</v>
      </c>
      <c r="AQ2494" s="65" t="s">
        <v>208</v>
      </c>
      <c r="AR2494" s="65" t="s">
        <v>875</v>
      </c>
      <c r="AS2494" s="1785" t="s">
        <v>131</v>
      </c>
      <c r="AT2494" s="1785" t="s">
        <v>131</v>
      </c>
      <c r="AU2494" s="1785" t="s">
        <v>131</v>
      </c>
      <c r="AV2494" s="65" t="s">
        <v>134</v>
      </c>
      <c r="AW2494" s="432" t="s">
        <v>14805</v>
      </c>
      <c r="AX2494" s="65" t="s">
        <v>144</v>
      </c>
      <c r="AZ2494" s="59" t="s">
        <v>14666</v>
      </c>
    </row>
    <row r="2495">
      <c r="A2495" s="41">
        <v>2495.0</v>
      </c>
      <c r="B2495" s="126" t="s">
        <v>516</v>
      </c>
      <c r="C2495" s="59" t="s">
        <v>108</v>
      </c>
      <c r="D2495" s="59" t="s">
        <v>1451</v>
      </c>
      <c r="F2495" s="65" t="s">
        <v>14737</v>
      </c>
      <c r="G2495" s="156" t="s">
        <v>14391</v>
      </c>
      <c r="H2495" s="156" t="s">
        <v>8467</v>
      </c>
      <c r="I2495" s="431">
        <v>45252.0</v>
      </c>
      <c r="J2495" s="526">
        <v>45766.0</v>
      </c>
      <c r="K2495" s="65" t="s">
        <v>14839</v>
      </c>
      <c r="L2495" s="65"/>
      <c r="M2495" s="156" t="s">
        <v>14732</v>
      </c>
      <c r="N2495" s="156" t="s">
        <v>14733</v>
      </c>
      <c r="O2495" s="333">
        <v>1.0</v>
      </c>
      <c r="P2495" s="379" t="s">
        <v>14734</v>
      </c>
      <c r="Q2495" s="49" t="str">
        <f t="array" ref="Q2495"> if(iserror(MATCH(V2495, 'File Links'!C:C, 0)), "N/A", HYPERLINK(INDEX('File Links'!B:B, MATCH(P2495, 'File Links'!C:C, 0))))</f>
        <v>https://drive.google.com/file/d/1xuFoPe4NoIX58JM0wx-8_dEId51aZij5/view?usp=drivesdk</v>
      </c>
      <c r="R2495" s="156" t="s">
        <v>14398</v>
      </c>
      <c r="S2495" s="156" t="s">
        <v>14399</v>
      </c>
      <c r="T2495" s="65" t="s">
        <v>131</v>
      </c>
      <c r="U2495" s="333">
        <v>1.0</v>
      </c>
      <c r="V2495" s="379" t="s">
        <v>14400</v>
      </c>
      <c r="W2495" s="292" t="s">
        <v>202</v>
      </c>
      <c r="X2495" s="51" t="str">
        <f t="array" ref="X2495"> if(iserror(MATCH(V2495, 'File Links'!C:C, 0)), "N/A", HYPERLINK(INDEX('File Links'!B:B, MATCH(V2495, 'File Links'!C:C, 0))))</f>
        <v>https://drive.google.com/file/d/17mZvRs3ue7pXwqu8bmIDvgNdc95PGEcV/view?usp=drivesdk</v>
      </c>
      <c r="Y2495" s="65" t="s">
        <v>131</v>
      </c>
      <c r="Z2495" s="156" t="s">
        <v>1072</v>
      </c>
      <c r="AA2495" s="65" t="s">
        <v>11994</v>
      </c>
      <c r="AB2495" s="156" t="s">
        <v>14402</v>
      </c>
      <c r="AC2495" s="156" t="s">
        <v>14739</v>
      </c>
      <c r="AD2495" s="65" t="s">
        <v>14840</v>
      </c>
      <c r="AE2495" s="333">
        <v>6.0</v>
      </c>
      <c r="AF2495" s="153">
        <v>859.0</v>
      </c>
      <c r="AG2495" s="333">
        <v>0.18</v>
      </c>
      <c r="AH2495" s="65" t="s">
        <v>208</v>
      </c>
      <c r="AI2495" s="65" t="s">
        <v>1035</v>
      </c>
      <c r="AJ2495" s="333">
        <v>0.01</v>
      </c>
      <c r="AK2495" s="65" t="s">
        <v>128</v>
      </c>
      <c r="AL2495" s="65" t="s">
        <v>179</v>
      </c>
      <c r="AM2495" s="65" t="s">
        <v>134</v>
      </c>
      <c r="AN2495" s="65" t="s">
        <v>131</v>
      </c>
      <c r="AO2495" s="153">
        <v>944.0</v>
      </c>
      <c r="AP2495" s="333">
        <v>0.17</v>
      </c>
      <c r="AQ2495" s="65" t="s">
        <v>208</v>
      </c>
      <c r="AR2495" s="65" t="s">
        <v>875</v>
      </c>
      <c r="AS2495" s="1783">
        <v>0.05</v>
      </c>
      <c r="AT2495" s="1785" t="s">
        <v>128</v>
      </c>
      <c r="AU2495" s="1785" t="s">
        <v>129</v>
      </c>
      <c r="AV2495" s="65" t="s">
        <v>134</v>
      </c>
      <c r="AW2495" s="432" t="s">
        <v>14805</v>
      </c>
      <c r="AX2495" s="65" t="s">
        <v>144</v>
      </c>
      <c r="AZ2495" s="59" t="s">
        <v>14666</v>
      </c>
    </row>
    <row r="2496">
      <c r="A2496" s="41">
        <v>2496.0</v>
      </c>
      <c r="B2496" s="126" t="s">
        <v>516</v>
      </c>
      <c r="C2496" s="59" t="s">
        <v>108</v>
      </c>
      <c r="D2496" s="59" t="s">
        <v>1451</v>
      </c>
      <c r="F2496" s="65" t="s">
        <v>14740</v>
      </c>
      <c r="G2496" s="156" t="s">
        <v>14391</v>
      </c>
      <c r="H2496" s="156" t="s">
        <v>8467</v>
      </c>
      <c r="I2496" s="431">
        <v>45252.0</v>
      </c>
      <c r="J2496" s="526">
        <v>45766.0</v>
      </c>
      <c r="K2496" s="65" t="s">
        <v>131</v>
      </c>
      <c r="L2496" s="65"/>
      <c r="M2496" s="156" t="s">
        <v>14732</v>
      </c>
      <c r="N2496" s="156" t="s">
        <v>14733</v>
      </c>
      <c r="O2496" s="333">
        <v>1.0</v>
      </c>
      <c r="P2496" s="379" t="s">
        <v>14734</v>
      </c>
      <c r="Q2496" s="49" t="str">
        <f t="array" ref="Q2496"> if(iserror(MATCH(V2496, 'File Links'!C:C, 0)), "N/A", HYPERLINK(INDEX('File Links'!B:B, MATCH(P2496, 'File Links'!C:C, 0))))</f>
        <v>https://drive.google.com/file/d/1xuFoPe4NoIX58JM0wx-8_dEId51aZij5/view?usp=drivesdk</v>
      </c>
      <c r="R2496" s="156" t="s">
        <v>14398</v>
      </c>
      <c r="S2496" s="156" t="s">
        <v>14399</v>
      </c>
      <c r="T2496" s="65" t="s">
        <v>131</v>
      </c>
      <c r="U2496" s="333">
        <v>1.0</v>
      </c>
      <c r="V2496" s="379" t="s">
        <v>14400</v>
      </c>
      <c r="W2496" s="292" t="s">
        <v>202</v>
      </c>
      <c r="X2496" s="51" t="str">
        <f t="array" ref="X2496"> if(iserror(MATCH(V2496, 'File Links'!C:C, 0)), "N/A", HYPERLINK(INDEX('File Links'!B:B, MATCH(V2496, 'File Links'!C:C, 0))))</f>
        <v>https://drive.google.com/file/d/17mZvRs3ue7pXwqu8bmIDvgNdc95PGEcV/view?usp=drivesdk</v>
      </c>
      <c r="Y2496" s="65" t="s">
        <v>131</v>
      </c>
      <c r="Z2496" s="156" t="s">
        <v>1072</v>
      </c>
      <c r="AA2496" s="65" t="s">
        <v>11994</v>
      </c>
      <c r="AB2496" s="156" t="s">
        <v>14402</v>
      </c>
      <c r="AC2496" s="156" t="s">
        <v>14742</v>
      </c>
      <c r="AD2496" s="65" t="s">
        <v>14841</v>
      </c>
      <c r="AE2496" s="333">
        <v>6.0</v>
      </c>
      <c r="AF2496" s="153">
        <v>859.0</v>
      </c>
      <c r="AG2496" s="333">
        <v>-0.22</v>
      </c>
      <c r="AH2496" s="65" t="s">
        <v>208</v>
      </c>
      <c r="AI2496" s="65" t="s">
        <v>1035</v>
      </c>
      <c r="AJ2496" s="333">
        <v>0.01</v>
      </c>
      <c r="AK2496" s="65" t="s">
        <v>128</v>
      </c>
      <c r="AL2496" s="65" t="s">
        <v>179</v>
      </c>
      <c r="AM2496" s="65" t="s">
        <v>134</v>
      </c>
      <c r="AN2496" s="65" t="s">
        <v>131</v>
      </c>
      <c r="AO2496" s="153">
        <v>944.0</v>
      </c>
      <c r="AP2496" s="333">
        <v>-0.33</v>
      </c>
      <c r="AQ2496" s="65" t="s">
        <v>208</v>
      </c>
      <c r="AR2496" s="65" t="s">
        <v>875</v>
      </c>
      <c r="AS2496" s="1783">
        <v>0.05</v>
      </c>
      <c r="AT2496" s="1785" t="s">
        <v>128</v>
      </c>
      <c r="AU2496" s="1785" t="s">
        <v>129</v>
      </c>
      <c r="AV2496" s="65" t="s">
        <v>134</v>
      </c>
      <c r="AW2496" s="432" t="s">
        <v>14805</v>
      </c>
      <c r="AX2496" s="65" t="s">
        <v>144</v>
      </c>
      <c r="AZ2496" s="59" t="s">
        <v>14666</v>
      </c>
    </row>
    <row r="2497">
      <c r="A2497" s="41">
        <v>2497.0</v>
      </c>
      <c r="B2497" s="126" t="s">
        <v>516</v>
      </c>
      <c r="C2497" s="59" t="s">
        <v>108</v>
      </c>
      <c r="D2497" s="59" t="s">
        <v>1451</v>
      </c>
      <c r="F2497" s="65" t="s">
        <v>14743</v>
      </c>
      <c r="G2497" s="156" t="s">
        <v>14391</v>
      </c>
      <c r="H2497" s="156" t="s">
        <v>8467</v>
      </c>
      <c r="I2497" s="431">
        <v>45252.0</v>
      </c>
      <c r="J2497" s="526">
        <v>45766.0</v>
      </c>
      <c r="K2497" s="65" t="s">
        <v>14842</v>
      </c>
      <c r="L2497" s="65"/>
      <c r="M2497" s="156" t="s">
        <v>14744</v>
      </c>
      <c r="N2497" s="156" t="s">
        <v>14745</v>
      </c>
      <c r="O2497" s="333">
        <v>1.0</v>
      </c>
      <c r="P2497" s="379" t="s">
        <v>14746</v>
      </c>
      <c r="Q2497" s="49" t="str">
        <f t="array" ref="Q2497"> if(iserror(MATCH(V2497, 'File Links'!C:C, 0)), "N/A", HYPERLINK(INDEX('File Links'!B:B, MATCH(P2497, 'File Links'!C:C, 0))))</f>
        <v>https://drive.google.com/file/d/1Wzsg5t70C5nm9ICa1m7pvYuf0xZ022FB/view?usp=drivesdk</v>
      </c>
      <c r="R2497" s="156" t="s">
        <v>14398</v>
      </c>
      <c r="S2497" s="156" t="s">
        <v>14399</v>
      </c>
      <c r="T2497" s="65" t="s">
        <v>131</v>
      </c>
      <c r="U2497" s="333">
        <v>1.0</v>
      </c>
      <c r="V2497" s="379" t="s">
        <v>14400</v>
      </c>
      <c r="W2497" s="292" t="s">
        <v>202</v>
      </c>
      <c r="X2497" s="51" t="str">
        <f t="array" ref="X2497"> if(iserror(MATCH(V2497, 'File Links'!C:C, 0)), "N/A", HYPERLINK(INDEX('File Links'!B:B, MATCH(V2497, 'File Links'!C:C, 0))))</f>
        <v>https://drive.google.com/file/d/17mZvRs3ue7pXwqu8bmIDvgNdc95PGEcV/view?usp=drivesdk</v>
      </c>
      <c r="Y2497" s="65" t="s">
        <v>131</v>
      </c>
      <c r="Z2497" s="156" t="s">
        <v>1072</v>
      </c>
      <c r="AA2497" s="65" t="s">
        <v>11994</v>
      </c>
      <c r="AB2497" s="156" t="s">
        <v>14402</v>
      </c>
      <c r="AC2497" s="156" t="s">
        <v>14747</v>
      </c>
      <c r="AD2497" s="65"/>
      <c r="AE2497" s="65"/>
      <c r="AF2497" s="153">
        <v>424.0</v>
      </c>
      <c r="AG2497" s="65"/>
      <c r="AH2497" s="65"/>
      <c r="AI2497" s="65"/>
      <c r="AJ2497" s="65"/>
      <c r="AK2497" s="65"/>
      <c r="AL2497" s="65"/>
      <c r="AM2497" s="65"/>
      <c r="AN2497" s="65"/>
      <c r="AO2497" s="153">
        <v>1549.0</v>
      </c>
      <c r="AP2497" s="333">
        <v>0.29</v>
      </c>
      <c r="AQ2497" s="65" t="s">
        <v>208</v>
      </c>
      <c r="AR2497" s="65" t="s">
        <v>875</v>
      </c>
      <c r="AS2497" s="1783">
        <v>0.05</v>
      </c>
      <c r="AT2497" s="1785" t="s">
        <v>128</v>
      </c>
      <c r="AU2497" s="1785" t="s">
        <v>129</v>
      </c>
      <c r="AV2497" s="65" t="s">
        <v>134</v>
      </c>
      <c r="AW2497" s="432" t="s">
        <v>14805</v>
      </c>
      <c r="AX2497" s="65" t="s">
        <v>144</v>
      </c>
      <c r="AZ2497" s="59" t="s">
        <v>14666</v>
      </c>
    </row>
    <row r="2498">
      <c r="A2498" s="41">
        <v>2498.0</v>
      </c>
      <c r="B2498" s="126" t="s">
        <v>516</v>
      </c>
      <c r="C2498" s="59" t="s">
        <v>108</v>
      </c>
      <c r="D2498" s="59" t="s">
        <v>1451</v>
      </c>
      <c r="F2498" s="65" t="s">
        <v>14751</v>
      </c>
      <c r="G2498" s="156" t="s">
        <v>14391</v>
      </c>
      <c r="H2498" s="156" t="s">
        <v>8467</v>
      </c>
      <c r="I2498" s="431">
        <v>45252.0</v>
      </c>
      <c r="J2498" s="526">
        <v>45766.0</v>
      </c>
      <c r="K2498" s="65" t="s">
        <v>14842</v>
      </c>
      <c r="L2498" s="65"/>
      <c r="M2498" s="156" t="s">
        <v>14744</v>
      </c>
      <c r="N2498" s="156" t="s">
        <v>14745</v>
      </c>
      <c r="O2498" s="333">
        <v>1.0</v>
      </c>
      <c r="P2498" s="379" t="s">
        <v>14746</v>
      </c>
      <c r="Q2498" s="49" t="str">
        <f t="array" ref="Q2498"> if(iserror(MATCH(V2498, 'File Links'!C:C, 0)), "N/A", HYPERLINK(INDEX('File Links'!B:B, MATCH(P2498, 'File Links'!C:C, 0))))</f>
        <v>https://drive.google.com/file/d/1Wzsg5t70C5nm9ICa1m7pvYuf0xZ022FB/view?usp=drivesdk</v>
      </c>
      <c r="R2498" s="156" t="s">
        <v>14398</v>
      </c>
      <c r="S2498" s="156" t="s">
        <v>14399</v>
      </c>
      <c r="T2498" s="65" t="s">
        <v>131</v>
      </c>
      <c r="U2498" s="333">
        <v>1.0</v>
      </c>
      <c r="V2498" s="379" t="s">
        <v>14400</v>
      </c>
      <c r="W2498" s="292" t="s">
        <v>202</v>
      </c>
      <c r="X2498" s="51" t="str">
        <f t="array" ref="X2498"> if(iserror(MATCH(V2498, 'File Links'!C:C, 0)), "N/A", HYPERLINK(INDEX('File Links'!B:B, MATCH(V2498, 'File Links'!C:C, 0))))</f>
        <v>https://drive.google.com/file/d/17mZvRs3ue7pXwqu8bmIDvgNdc95PGEcV/view?usp=drivesdk</v>
      </c>
      <c r="Y2498" s="65" t="s">
        <v>131</v>
      </c>
      <c r="Z2498" s="156" t="s">
        <v>1072</v>
      </c>
      <c r="AA2498" s="65" t="s">
        <v>11994</v>
      </c>
      <c r="AB2498" s="156" t="s">
        <v>14402</v>
      </c>
      <c r="AC2498" s="156" t="s">
        <v>14752</v>
      </c>
      <c r="AD2498" s="65"/>
      <c r="AE2498" s="65"/>
      <c r="AF2498" s="153">
        <v>93.0</v>
      </c>
      <c r="AG2498" s="65"/>
      <c r="AH2498" s="65"/>
      <c r="AI2498" s="65"/>
      <c r="AJ2498" s="65"/>
      <c r="AK2498" s="65"/>
      <c r="AL2498" s="65"/>
      <c r="AM2498" s="65"/>
      <c r="AN2498" s="65"/>
      <c r="AO2498" s="153">
        <v>1559.0</v>
      </c>
      <c r="AP2498" s="333">
        <v>0.14</v>
      </c>
      <c r="AQ2498" s="65" t="s">
        <v>208</v>
      </c>
      <c r="AR2498" s="65" t="s">
        <v>875</v>
      </c>
      <c r="AS2498" s="1783">
        <v>0.05</v>
      </c>
      <c r="AT2498" s="1785" t="s">
        <v>128</v>
      </c>
      <c r="AU2498" s="1785" t="s">
        <v>129</v>
      </c>
      <c r="AV2498" s="65" t="s">
        <v>134</v>
      </c>
      <c r="AW2498" s="432" t="s">
        <v>14805</v>
      </c>
      <c r="AX2498" s="65" t="s">
        <v>144</v>
      </c>
      <c r="AZ2498" s="59" t="s">
        <v>14666</v>
      </c>
    </row>
    <row r="2499">
      <c r="A2499" s="41">
        <v>2499.0</v>
      </c>
      <c r="B2499" s="126" t="s">
        <v>516</v>
      </c>
      <c r="C2499" s="59" t="s">
        <v>108</v>
      </c>
      <c r="D2499" s="59" t="s">
        <v>1451</v>
      </c>
      <c r="F2499" s="65" t="s">
        <v>14754</v>
      </c>
      <c r="G2499" s="156" t="s">
        <v>14391</v>
      </c>
      <c r="H2499" s="156" t="s">
        <v>8467</v>
      </c>
      <c r="I2499" s="431">
        <v>45252.0</v>
      </c>
      <c r="J2499" s="526">
        <v>45766.0</v>
      </c>
      <c r="K2499" s="65" t="s">
        <v>14842</v>
      </c>
      <c r="L2499" s="65"/>
      <c r="M2499" s="156" t="s">
        <v>14744</v>
      </c>
      <c r="N2499" s="156" t="s">
        <v>14745</v>
      </c>
      <c r="O2499" s="333">
        <v>1.0</v>
      </c>
      <c r="P2499" s="379" t="s">
        <v>14746</v>
      </c>
      <c r="Q2499" s="49" t="str">
        <f t="array" ref="Q2499"> if(iserror(MATCH(V2499, 'File Links'!C:C, 0)), "N/A", HYPERLINK(INDEX('File Links'!B:B, MATCH(P2499, 'File Links'!C:C, 0))))</f>
        <v>https://drive.google.com/file/d/1Wzsg5t70C5nm9ICa1m7pvYuf0xZ022FB/view?usp=drivesdk</v>
      </c>
      <c r="R2499" s="156" t="s">
        <v>14398</v>
      </c>
      <c r="S2499" s="156" t="s">
        <v>14399</v>
      </c>
      <c r="T2499" s="65" t="s">
        <v>131</v>
      </c>
      <c r="U2499" s="333">
        <v>1.0</v>
      </c>
      <c r="V2499" s="379" t="s">
        <v>14400</v>
      </c>
      <c r="W2499" s="292" t="s">
        <v>202</v>
      </c>
      <c r="X2499" s="51" t="str">
        <f t="array" ref="X2499"> if(iserror(MATCH(V2499, 'File Links'!C:C, 0)), "N/A", HYPERLINK(INDEX('File Links'!B:B, MATCH(V2499, 'File Links'!C:C, 0))))</f>
        <v>https://drive.google.com/file/d/17mZvRs3ue7pXwqu8bmIDvgNdc95PGEcV/view?usp=drivesdk</v>
      </c>
      <c r="Y2499" s="65" t="s">
        <v>131</v>
      </c>
      <c r="Z2499" s="156" t="s">
        <v>1072</v>
      </c>
      <c r="AA2499" s="65" t="s">
        <v>11994</v>
      </c>
      <c r="AB2499" s="156" t="s">
        <v>14402</v>
      </c>
      <c r="AC2499" s="156" t="s">
        <v>14755</v>
      </c>
      <c r="AD2499" s="65"/>
      <c r="AE2499" s="65"/>
      <c r="AF2499" s="153">
        <v>1648.0</v>
      </c>
      <c r="AG2499" s="65"/>
      <c r="AH2499" s="65"/>
      <c r="AI2499" s="65"/>
      <c r="AJ2499" s="65"/>
      <c r="AK2499" s="65"/>
      <c r="AL2499" s="65"/>
      <c r="AM2499" s="65"/>
      <c r="AN2499" s="65"/>
      <c r="AO2499" s="153">
        <v>1550.0</v>
      </c>
      <c r="AP2499" s="333">
        <v>0.17</v>
      </c>
      <c r="AQ2499" s="65" t="s">
        <v>208</v>
      </c>
      <c r="AR2499" s="65" t="s">
        <v>875</v>
      </c>
      <c r="AS2499" s="1783">
        <v>0.5</v>
      </c>
      <c r="AT2499" s="1785" t="s">
        <v>128</v>
      </c>
      <c r="AU2499" s="1785" t="s">
        <v>129</v>
      </c>
      <c r="AV2499" s="65" t="s">
        <v>134</v>
      </c>
      <c r="AW2499" s="432" t="s">
        <v>14805</v>
      </c>
      <c r="AX2499" s="65" t="s">
        <v>144</v>
      </c>
      <c r="AZ2499" s="59" t="s">
        <v>14666</v>
      </c>
    </row>
    <row r="2500">
      <c r="A2500" s="41">
        <v>2500.0</v>
      </c>
      <c r="B2500" s="126" t="s">
        <v>516</v>
      </c>
      <c r="C2500" s="59" t="s">
        <v>108</v>
      </c>
      <c r="D2500" s="59" t="s">
        <v>1451</v>
      </c>
      <c r="F2500" s="65" t="s">
        <v>14759</v>
      </c>
      <c r="G2500" s="156" t="s">
        <v>14391</v>
      </c>
      <c r="H2500" s="156" t="s">
        <v>8467</v>
      </c>
      <c r="I2500" s="431">
        <v>45252.0</v>
      </c>
      <c r="J2500" s="526">
        <v>45766.0</v>
      </c>
      <c r="K2500" s="65" t="s">
        <v>14843</v>
      </c>
      <c r="L2500" s="65"/>
      <c r="M2500" s="156" t="s">
        <v>14761</v>
      </c>
      <c r="N2500" s="156" t="s">
        <v>14762</v>
      </c>
      <c r="O2500" s="333">
        <v>1.0</v>
      </c>
      <c r="P2500" s="379" t="s">
        <v>14763</v>
      </c>
      <c r="Q2500" s="49" t="str">
        <f t="array" ref="Q2500"> if(iserror(MATCH(V2500, 'File Links'!C:C, 0)), "N/A", HYPERLINK(INDEX('File Links'!B:B, MATCH(P2500, 'File Links'!C:C, 0))))</f>
        <v>https://drive.google.com/file/d/1DqSsvMQMMGnVP3lP6Am1mBq90t1XZMxt/view?usp=drivesdk</v>
      </c>
      <c r="R2500" s="156" t="s">
        <v>14398</v>
      </c>
      <c r="S2500" s="156" t="s">
        <v>14399</v>
      </c>
      <c r="T2500" s="65" t="s">
        <v>131</v>
      </c>
      <c r="U2500" s="333">
        <v>1.0</v>
      </c>
      <c r="V2500" s="379" t="s">
        <v>14400</v>
      </c>
      <c r="W2500" s="292" t="s">
        <v>202</v>
      </c>
      <c r="X2500" s="51" t="str">
        <f t="array" ref="X2500"> if(iserror(MATCH(V2500, 'File Links'!C:C, 0)), "N/A", HYPERLINK(INDEX('File Links'!B:B, MATCH(V2500, 'File Links'!C:C, 0))))</f>
        <v>https://drive.google.com/file/d/17mZvRs3ue7pXwqu8bmIDvgNdc95PGEcV/view?usp=drivesdk</v>
      </c>
      <c r="Y2500" s="65" t="s">
        <v>131</v>
      </c>
      <c r="Z2500" s="156" t="s">
        <v>1072</v>
      </c>
      <c r="AA2500" s="65" t="s">
        <v>11994</v>
      </c>
      <c r="AB2500" s="156" t="s">
        <v>14402</v>
      </c>
      <c r="AC2500" s="156" t="s">
        <v>14764</v>
      </c>
      <c r="AD2500" s="65" t="s">
        <v>14844</v>
      </c>
      <c r="AE2500" s="333">
        <v>5.0</v>
      </c>
      <c r="AF2500" s="153">
        <v>796.0</v>
      </c>
      <c r="AG2500" s="333">
        <v>0.14</v>
      </c>
      <c r="AH2500" s="65" t="s">
        <v>208</v>
      </c>
      <c r="AI2500" s="65" t="s">
        <v>875</v>
      </c>
      <c r="AJ2500" s="333">
        <v>0.001</v>
      </c>
      <c r="AK2500" s="65" t="s">
        <v>128</v>
      </c>
      <c r="AL2500" s="65" t="s">
        <v>179</v>
      </c>
      <c r="AM2500" s="65" t="s">
        <v>134</v>
      </c>
      <c r="AN2500" s="65" t="s">
        <v>131</v>
      </c>
      <c r="AO2500" s="153">
        <v>1504.0</v>
      </c>
      <c r="AP2500" s="333">
        <v>0.2</v>
      </c>
      <c r="AQ2500" s="65" t="s">
        <v>208</v>
      </c>
      <c r="AR2500" s="65" t="s">
        <v>875</v>
      </c>
      <c r="AS2500" s="1783">
        <v>0.05</v>
      </c>
      <c r="AT2500" s="1785" t="s">
        <v>128</v>
      </c>
      <c r="AU2500" s="1785" t="s">
        <v>129</v>
      </c>
      <c r="AV2500" s="65" t="s">
        <v>134</v>
      </c>
      <c r="AW2500" s="432" t="s">
        <v>14805</v>
      </c>
      <c r="AX2500" s="65" t="s">
        <v>144</v>
      </c>
      <c r="AZ2500" s="59" t="s">
        <v>14666</v>
      </c>
    </row>
    <row r="2501">
      <c r="A2501" s="41">
        <v>2501.0</v>
      </c>
      <c r="B2501" s="126" t="s">
        <v>516</v>
      </c>
      <c r="C2501" s="59" t="s">
        <v>108</v>
      </c>
      <c r="D2501" s="59" t="s">
        <v>1451</v>
      </c>
      <c r="F2501" s="65" t="s">
        <v>14766</v>
      </c>
      <c r="G2501" s="156" t="s">
        <v>14391</v>
      </c>
      <c r="H2501" s="156" t="s">
        <v>8467</v>
      </c>
      <c r="I2501" s="431">
        <v>45252.0</v>
      </c>
      <c r="J2501" s="526">
        <v>45766.0</v>
      </c>
      <c r="K2501" s="65" t="s">
        <v>14843</v>
      </c>
      <c r="L2501" s="65"/>
      <c r="M2501" s="156" t="s">
        <v>14761</v>
      </c>
      <c r="N2501" s="156" t="s">
        <v>14762</v>
      </c>
      <c r="O2501" s="333">
        <v>1.0</v>
      </c>
      <c r="P2501" s="379" t="s">
        <v>14763</v>
      </c>
      <c r="Q2501" s="49" t="str">
        <f t="array" ref="Q2501"> if(iserror(MATCH(V2501, 'File Links'!C:C, 0)), "N/A", HYPERLINK(INDEX('File Links'!B:B, MATCH(P2501, 'File Links'!C:C, 0))))</f>
        <v>https://drive.google.com/file/d/1DqSsvMQMMGnVP3lP6Am1mBq90t1XZMxt/view?usp=drivesdk</v>
      </c>
      <c r="R2501" s="156" t="s">
        <v>14398</v>
      </c>
      <c r="S2501" s="156" t="s">
        <v>14399</v>
      </c>
      <c r="T2501" s="65" t="s">
        <v>131</v>
      </c>
      <c r="U2501" s="333">
        <v>1.0</v>
      </c>
      <c r="V2501" s="379" t="s">
        <v>14400</v>
      </c>
      <c r="W2501" s="292" t="s">
        <v>202</v>
      </c>
      <c r="X2501" s="51" t="str">
        <f t="array" ref="X2501"> if(iserror(MATCH(V2501, 'File Links'!C:C, 0)), "N/A", HYPERLINK(INDEX('File Links'!B:B, MATCH(V2501, 'File Links'!C:C, 0))))</f>
        <v>https://drive.google.com/file/d/17mZvRs3ue7pXwqu8bmIDvgNdc95PGEcV/view?usp=drivesdk</v>
      </c>
      <c r="Y2501" s="65" t="s">
        <v>131</v>
      </c>
      <c r="Z2501" s="156" t="s">
        <v>1072</v>
      </c>
      <c r="AA2501" s="65" t="s">
        <v>11994</v>
      </c>
      <c r="AB2501" s="156" t="s">
        <v>14402</v>
      </c>
      <c r="AC2501" s="156" t="s">
        <v>14768</v>
      </c>
      <c r="AD2501" s="65" t="s">
        <v>14844</v>
      </c>
      <c r="AE2501" s="333">
        <v>5.0</v>
      </c>
      <c r="AF2501" s="153">
        <v>796.0</v>
      </c>
      <c r="AG2501" s="333">
        <v>0.23</v>
      </c>
      <c r="AH2501" s="65" t="s">
        <v>208</v>
      </c>
      <c r="AI2501" s="65" t="s">
        <v>875</v>
      </c>
      <c r="AJ2501" s="333">
        <v>0.001</v>
      </c>
      <c r="AK2501" s="65" t="s">
        <v>128</v>
      </c>
      <c r="AL2501" s="65" t="s">
        <v>179</v>
      </c>
      <c r="AM2501" s="65" t="s">
        <v>134</v>
      </c>
      <c r="AN2501" s="65" t="s">
        <v>131</v>
      </c>
      <c r="AO2501" s="153">
        <v>1504.0</v>
      </c>
      <c r="AP2501" s="333">
        <v>0.17</v>
      </c>
      <c r="AQ2501" s="65" t="s">
        <v>208</v>
      </c>
      <c r="AR2501" s="65" t="s">
        <v>875</v>
      </c>
      <c r="AS2501" s="1783">
        <v>0.05</v>
      </c>
      <c r="AT2501" s="1785" t="s">
        <v>128</v>
      </c>
      <c r="AU2501" s="1785" t="s">
        <v>129</v>
      </c>
      <c r="AV2501" s="65" t="s">
        <v>134</v>
      </c>
      <c r="AW2501" s="432" t="s">
        <v>14805</v>
      </c>
      <c r="AX2501" s="65" t="s">
        <v>144</v>
      </c>
      <c r="AZ2501" s="59" t="s">
        <v>14666</v>
      </c>
    </row>
    <row r="2502">
      <c r="A2502" s="41">
        <v>2502.0</v>
      </c>
      <c r="B2502" s="126" t="s">
        <v>516</v>
      </c>
      <c r="C2502" s="59" t="s">
        <v>108</v>
      </c>
      <c r="D2502" s="59" t="s">
        <v>1451</v>
      </c>
      <c r="F2502" s="65" t="s">
        <v>14770</v>
      </c>
      <c r="G2502" s="156" t="s">
        <v>14391</v>
      </c>
      <c r="H2502" s="156" t="s">
        <v>8467</v>
      </c>
      <c r="I2502" s="431">
        <v>45252.0</v>
      </c>
      <c r="J2502" s="526">
        <v>45766.0</v>
      </c>
      <c r="K2502" s="65" t="s">
        <v>14845</v>
      </c>
      <c r="L2502" s="65"/>
      <c r="M2502" s="156" t="s">
        <v>14772</v>
      </c>
      <c r="N2502" s="156" t="s">
        <v>14773</v>
      </c>
      <c r="O2502" s="333">
        <v>1.0</v>
      </c>
      <c r="P2502" s="379" t="s">
        <v>14774</v>
      </c>
      <c r="Q2502" s="49" t="str">
        <f t="array" ref="Q2502"> if(iserror(MATCH(V2502, 'File Links'!C:C, 0)), "N/A", HYPERLINK(INDEX('File Links'!B:B, MATCH(P2502, 'File Links'!C:C, 0))))</f>
        <v>https://drive.google.com/file/d/1pZrmtVQlW4Pm144U62OnQaKTslWUIqbt/view?usp=drivesdk</v>
      </c>
      <c r="R2502" s="156" t="s">
        <v>14398</v>
      </c>
      <c r="S2502" s="156" t="s">
        <v>14399</v>
      </c>
      <c r="T2502" s="65" t="s">
        <v>131</v>
      </c>
      <c r="U2502" s="333">
        <v>1.0</v>
      </c>
      <c r="V2502" s="379" t="s">
        <v>14400</v>
      </c>
      <c r="W2502" s="292" t="s">
        <v>202</v>
      </c>
      <c r="X2502" s="51" t="str">
        <f t="array" ref="X2502"> if(iserror(MATCH(V2502, 'File Links'!C:C, 0)), "N/A", HYPERLINK(INDEX('File Links'!B:B, MATCH(V2502, 'File Links'!C:C, 0))))</f>
        <v>https://drive.google.com/file/d/17mZvRs3ue7pXwqu8bmIDvgNdc95PGEcV/view?usp=drivesdk</v>
      </c>
      <c r="Y2502" s="65" t="s">
        <v>131</v>
      </c>
      <c r="Z2502" s="156" t="s">
        <v>1072</v>
      </c>
      <c r="AA2502" s="65" t="s">
        <v>11994</v>
      </c>
      <c r="AB2502" s="156" t="s">
        <v>14402</v>
      </c>
      <c r="AC2502" s="156" t="s">
        <v>14775</v>
      </c>
      <c r="AD2502" s="65" t="s">
        <v>14846</v>
      </c>
      <c r="AE2502" s="333">
        <v>8.0</v>
      </c>
      <c r="AF2502" s="153">
        <v>169.0</v>
      </c>
      <c r="AG2502" s="333">
        <v>0.22</v>
      </c>
      <c r="AH2502" s="65" t="s">
        <v>208</v>
      </c>
      <c r="AI2502" s="65" t="s">
        <v>597</v>
      </c>
      <c r="AJ2502" s="333">
        <v>0.01</v>
      </c>
      <c r="AK2502" s="65" t="s">
        <v>128</v>
      </c>
      <c r="AL2502" s="65" t="s">
        <v>129</v>
      </c>
      <c r="AM2502" s="65" t="s">
        <v>134</v>
      </c>
      <c r="AN2502" s="65" t="s">
        <v>131</v>
      </c>
      <c r="AO2502" s="153">
        <v>747.0</v>
      </c>
      <c r="AP2502" s="333">
        <v>0.45</v>
      </c>
      <c r="AQ2502" s="65" t="s">
        <v>208</v>
      </c>
      <c r="AR2502" s="65" t="s">
        <v>875</v>
      </c>
      <c r="AS2502" s="1783">
        <v>0.05</v>
      </c>
      <c r="AT2502" s="1785" t="s">
        <v>128</v>
      </c>
      <c r="AU2502" s="1785" t="s">
        <v>129</v>
      </c>
      <c r="AV2502" s="65" t="s">
        <v>134</v>
      </c>
      <c r="AW2502" s="432" t="s">
        <v>14805</v>
      </c>
      <c r="AX2502" s="65" t="s">
        <v>144</v>
      </c>
      <c r="AZ2502" s="59" t="s">
        <v>14666</v>
      </c>
    </row>
    <row r="2503">
      <c r="A2503" s="41">
        <v>2503.0</v>
      </c>
      <c r="B2503" s="126" t="s">
        <v>516</v>
      </c>
      <c r="C2503" s="59" t="s">
        <v>108</v>
      </c>
      <c r="D2503" s="59" t="s">
        <v>1451</v>
      </c>
      <c r="F2503" s="65" t="s">
        <v>14777</v>
      </c>
      <c r="G2503" s="156" t="s">
        <v>14391</v>
      </c>
      <c r="H2503" s="156" t="s">
        <v>8467</v>
      </c>
      <c r="I2503" s="431">
        <v>45252.0</v>
      </c>
      <c r="J2503" s="526">
        <v>45766.0</v>
      </c>
      <c r="K2503" s="65" t="s">
        <v>14845</v>
      </c>
      <c r="L2503" s="65"/>
      <c r="M2503" s="156" t="s">
        <v>14772</v>
      </c>
      <c r="N2503" s="156" t="s">
        <v>14773</v>
      </c>
      <c r="O2503" s="333">
        <v>1.0</v>
      </c>
      <c r="P2503" s="379" t="s">
        <v>14774</v>
      </c>
      <c r="Q2503" s="49" t="str">
        <f t="array" ref="Q2503"> if(iserror(MATCH(V2503, 'File Links'!C:C, 0)), "N/A", HYPERLINK(INDEX('File Links'!B:B, MATCH(P2503, 'File Links'!C:C, 0))))</f>
        <v>https://drive.google.com/file/d/1pZrmtVQlW4Pm144U62OnQaKTslWUIqbt/view?usp=drivesdk</v>
      </c>
      <c r="R2503" s="156" t="s">
        <v>14398</v>
      </c>
      <c r="S2503" s="156" t="s">
        <v>14399</v>
      </c>
      <c r="T2503" s="65" t="s">
        <v>131</v>
      </c>
      <c r="U2503" s="333">
        <v>1.0</v>
      </c>
      <c r="V2503" s="379" t="s">
        <v>14400</v>
      </c>
      <c r="W2503" s="292" t="s">
        <v>202</v>
      </c>
      <c r="X2503" s="51" t="str">
        <f t="array" ref="X2503"> if(iserror(MATCH(V2503, 'File Links'!C:C, 0)), "N/A", HYPERLINK(INDEX('File Links'!B:B, MATCH(V2503, 'File Links'!C:C, 0))))</f>
        <v>https://drive.google.com/file/d/17mZvRs3ue7pXwqu8bmIDvgNdc95PGEcV/view?usp=drivesdk</v>
      </c>
      <c r="Y2503" s="65" t="s">
        <v>131</v>
      </c>
      <c r="Z2503" s="156" t="s">
        <v>1072</v>
      </c>
      <c r="AA2503" s="65" t="s">
        <v>11994</v>
      </c>
      <c r="AB2503" s="156" t="s">
        <v>14402</v>
      </c>
      <c r="AC2503" s="156" t="s">
        <v>14779</v>
      </c>
      <c r="AD2503" s="65" t="s">
        <v>14846</v>
      </c>
      <c r="AE2503" s="333">
        <v>8.0</v>
      </c>
      <c r="AF2503" s="153">
        <v>169.0</v>
      </c>
      <c r="AG2503" s="333">
        <v>0.27</v>
      </c>
      <c r="AH2503" s="65" t="s">
        <v>208</v>
      </c>
      <c r="AI2503" s="65" t="s">
        <v>597</v>
      </c>
      <c r="AJ2503" s="333">
        <v>0.01</v>
      </c>
      <c r="AK2503" s="65" t="s">
        <v>128</v>
      </c>
      <c r="AL2503" s="65" t="s">
        <v>129</v>
      </c>
      <c r="AM2503" s="65" t="s">
        <v>134</v>
      </c>
      <c r="AN2503" s="65" t="s">
        <v>131</v>
      </c>
      <c r="AO2503" s="153">
        <v>747.0</v>
      </c>
      <c r="AP2503" s="333">
        <v>0.27</v>
      </c>
      <c r="AQ2503" s="65" t="s">
        <v>208</v>
      </c>
      <c r="AR2503" s="65" t="s">
        <v>875</v>
      </c>
      <c r="AS2503" s="1783">
        <v>0.05</v>
      </c>
      <c r="AT2503" s="1785" t="s">
        <v>128</v>
      </c>
      <c r="AU2503" s="1785" t="s">
        <v>129</v>
      </c>
      <c r="AV2503" s="65" t="s">
        <v>134</v>
      </c>
      <c r="AW2503" s="432" t="s">
        <v>14805</v>
      </c>
      <c r="AX2503" s="65" t="s">
        <v>144</v>
      </c>
      <c r="AZ2503" s="59" t="s">
        <v>14666</v>
      </c>
    </row>
    <row r="2504">
      <c r="A2504" s="41">
        <v>2504.0</v>
      </c>
      <c r="B2504" s="126" t="s">
        <v>516</v>
      </c>
      <c r="C2504" s="59" t="s">
        <v>108</v>
      </c>
      <c r="D2504" s="59" t="s">
        <v>1451</v>
      </c>
      <c r="F2504" s="65" t="s">
        <v>14781</v>
      </c>
      <c r="G2504" s="156" t="s">
        <v>14391</v>
      </c>
      <c r="H2504" s="156" t="s">
        <v>8467</v>
      </c>
      <c r="I2504" s="431">
        <v>45252.0</v>
      </c>
      <c r="J2504" s="526">
        <v>45766.0</v>
      </c>
      <c r="K2504" s="65" t="s">
        <v>14847</v>
      </c>
      <c r="L2504" s="65"/>
      <c r="M2504" s="156" t="s">
        <v>14783</v>
      </c>
      <c r="N2504" s="156" t="s">
        <v>14784</v>
      </c>
      <c r="O2504" s="333">
        <v>1.0</v>
      </c>
      <c r="P2504" s="379" t="s">
        <v>14785</v>
      </c>
      <c r="Q2504" s="49" t="str">
        <f t="array" ref="Q2504"> if(iserror(MATCH(V2504, 'File Links'!C:C, 0)), "N/A", HYPERLINK(INDEX('File Links'!B:B, MATCH(P2504, 'File Links'!C:C, 0))))</f>
        <v>https://drive.google.com/file/d/1-T4sznIFSDMlo5E8C7pS0UQqY9mrcCsK/view?usp=drivesdk</v>
      </c>
      <c r="R2504" s="156" t="s">
        <v>14398</v>
      </c>
      <c r="S2504" s="156" t="s">
        <v>14399</v>
      </c>
      <c r="T2504" s="65" t="s">
        <v>131</v>
      </c>
      <c r="U2504" s="333">
        <v>1.0</v>
      </c>
      <c r="V2504" s="379" t="s">
        <v>14400</v>
      </c>
      <c r="W2504" s="292" t="s">
        <v>202</v>
      </c>
      <c r="X2504" s="51" t="str">
        <f t="array" ref="X2504"> if(iserror(MATCH(V2504, 'File Links'!C:C, 0)), "N/A", HYPERLINK(INDEX('File Links'!B:B, MATCH(V2504, 'File Links'!C:C, 0))))</f>
        <v>https://drive.google.com/file/d/17mZvRs3ue7pXwqu8bmIDvgNdc95PGEcV/view?usp=drivesdk</v>
      </c>
      <c r="Y2504" s="65" t="s">
        <v>131</v>
      </c>
      <c r="Z2504" s="156" t="s">
        <v>1072</v>
      </c>
      <c r="AA2504" s="65" t="s">
        <v>11994</v>
      </c>
      <c r="AB2504" s="156" t="s">
        <v>14402</v>
      </c>
      <c r="AC2504" s="156" t="s">
        <v>14786</v>
      </c>
      <c r="AD2504" s="65" t="s">
        <v>14848</v>
      </c>
      <c r="AE2504" s="333">
        <v>7.0</v>
      </c>
      <c r="AF2504" s="153">
        <v>187.0</v>
      </c>
      <c r="AG2504" s="333">
        <v>0.28</v>
      </c>
      <c r="AH2504" s="65" t="s">
        <v>208</v>
      </c>
      <c r="AI2504" s="65" t="s">
        <v>4966</v>
      </c>
      <c r="AJ2504" s="333">
        <v>0.001</v>
      </c>
      <c r="AK2504" s="65" t="s">
        <v>128</v>
      </c>
      <c r="AL2504" s="65" t="s">
        <v>179</v>
      </c>
      <c r="AM2504" s="65" t="s">
        <v>134</v>
      </c>
      <c r="AN2504" s="65" t="s">
        <v>131</v>
      </c>
      <c r="AO2504" s="153">
        <v>1550.0</v>
      </c>
      <c r="AP2504" s="333">
        <v>-0.26</v>
      </c>
      <c r="AQ2504" s="65" t="s">
        <v>208</v>
      </c>
      <c r="AR2504" s="65" t="s">
        <v>875</v>
      </c>
      <c r="AS2504" s="1783">
        <v>0.05</v>
      </c>
      <c r="AT2504" s="1785" t="s">
        <v>128</v>
      </c>
      <c r="AU2504" s="1785" t="s">
        <v>129</v>
      </c>
      <c r="AV2504" s="65" t="s">
        <v>134</v>
      </c>
      <c r="AW2504" s="432" t="s">
        <v>14805</v>
      </c>
      <c r="AX2504" s="65" t="s">
        <v>144</v>
      </c>
      <c r="AZ2504" s="59" t="s">
        <v>14666</v>
      </c>
    </row>
    <row r="2505">
      <c r="A2505" s="41">
        <v>2505.0</v>
      </c>
      <c r="B2505" s="126" t="s">
        <v>516</v>
      </c>
      <c r="C2505" s="59" t="s">
        <v>108</v>
      </c>
      <c r="D2505" s="59" t="s">
        <v>1451</v>
      </c>
      <c r="F2505" s="65" t="s">
        <v>14788</v>
      </c>
      <c r="G2505" s="156" t="s">
        <v>14391</v>
      </c>
      <c r="H2505" s="156" t="s">
        <v>8467</v>
      </c>
      <c r="I2505" s="431">
        <v>45252.0</v>
      </c>
      <c r="J2505" s="526">
        <v>45766.0</v>
      </c>
      <c r="K2505" s="65" t="s">
        <v>14849</v>
      </c>
      <c r="L2505" s="65"/>
      <c r="M2505" s="156" t="s">
        <v>14783</v>
      </c>
      <c r="N2505" s="156" t="s">
        <v>14784</v>
      </c>
      <c r="O2505" s="333">
        <v>1.0</v>
      </c>
      <c r="P2505" s="379" t="s">
        <v>14785</v>
      </c>
      <c r="Q2505" s="49" t="str">
        <f t="array" ref="Q2505"> if(iserror(MATCH(V2505, 'File Links'!C:C, 0)), "N/A", HYPERLINK(INDEX('File Links'!B:B, MATCH(P2505, 'File Links'!C:C, 0))))</f>
        <v>https://drive.google.com/file/d/1-T4sznIFSDMlo5E8C7pS0UQqY9mrcCsK/view?usp=drivesdk</v>
      </c>
      <c r="R2505" s="156" t="s">
        <v>14398</v>
      </c>
      <c r="S2505" s="156" t="s">
        <v>14399</v>
      </c>
      <c r="T2505" s="65" t="s">
        <v>131</v>
      </c>
      <c r="U2505" s="333">
        <v>1.0</v>
      </c>
      <c r="V2505" s="379" t="s">
        <v>14400</v>
      </c>
      <c r="W2505" s="292" t="s">
        <v>202</v>
      </c>
      <c r="X2505" s="51" t="str">
        <f t="array" ref="X2505"> if(iserror(MATCH(V2505, 'File Links'!C:C, 0)), "N/A", HYPERLINK(INDEX('File Links'!B:B, MATCH(V2505, 'File Links'!C:C, 0))))</f>
        <v>https://drive.google.com/file/d/17mZvRs3ue7pXwqu8bmIDvgNdc95PGEcV/view?usp=drivesdk</v>
      </c>
      <c r="Y2505" s="65" t="s">
        <v>131</v>
      </c>
      <c r="Z2505" s="156" t="s">
        <v>1072</v>
      </c>
      <c r="AA2505" s="65" t="s">
        <v>11994</v>
      </c>
      <c r="AB2505" s="156" t="s">
        <v>14402</v>
      </c>
      <c r="AC2505" s="156" t="s">
        <v>14790</v>
      </c>
      <c r="AD2505" s="65" t="s">
        <v>14848</v>
      </c>
      <c r="AE2505" s="333">
        <v>7.0</v>
      </c>
      <c r="AF2505" s="153">
        <v>187.0</v>
      </c>
      <c r="AG2505" s="333">
        <v>-0.28</v>
      </c>
      <c r="AH2505" s="65" t="s">
        <v>208</v>
      </c>
      <c r="AI2505" s="65" t="s">
        <v>4966</v>
      </c>
      <c r="AJ2505" s="333">
        <v>0.001</v>
      </c>
      <c r="AK2505" s="65" t="s">
        <v>128</v>
      </c>
      <c r="AL2505" s="65" t="s">
        <v>179</v>
      </c>
      <c r="AM2505" s="65" t="s">
        <v>134</v>
      </c>
      <c r="AN2505" s="65" t="s">
        <v>131</v>
      </c>
      <c r="AO2505" s="153">
        <v>1550.0</v>
      </c>
      <c r="AP2505" s="333">
        <v>0.06</v>
      </c>
      <c r="AQ2505" s="65" t="s">
        <v>208</v>
      </c>
      <c r="AR2505" s="65" t="s">
        <v>875</v>
      </c>
      <c r="AS2505" s="1783">
        <v>0.05</v>
      </c>
      <c r="AT2505" s="1785" t="s">
        <v>128</v>
      </c>
      <c r="AU2505" s="1785" t="s">
        <v>129</v>
      </c>
      <c r="AV2505" s="65" t="s">
        <v>134</v>
      </c>
      <c r="AW2505" s="432" t="s">
        <v>14805</v>
      </c>
      <c r="AX2505" s="65" t="s">
        <v>144</v>
      </c>
      <c r="AZ2505" s="59" t="s">
        <v>14666</v>
      </c>
    </row>
    <row r="2506">
      <c r="A2506" s="41">
        <v>2506.0</v>
      </c>
      <c r="B2506" s="126" t="s">
        <v>516</v>
      </c>
      <c r="C2506" s="59" t="s">
        <v>108</v>
      </c>
      <c r="D2506" s="59" t="s">
        <v>1451</v>
      </c>
      <c r="F2506" s="65" t="s">
        <v>14792</v>
      </c>
      <c r="G2506" s="156" t="s">
        <v>14391</v>
      </c>
      <c r="H2506" s="156" t="s">
        <v>8467</v>
      </c>
      <c r="I2506" s="431">
        <v>45252.0</v>
      </c>
      <c r="J2506" s="526">
        <v>45766.0</v>
      </c>
      <c r="K2506" s="65" t="s">
        <v>14850</v>
      </c>
      <c r="L2506" s="65"/>
      <c r="M2506" s="156" t="s">
        <v>14794</v>
      </c>
      <c r="N2506" s="65" t="s">
        <v>14795</v>
      </c>
      <c r="O2506" s="333">
        <v>3.0</v>
      </c>
      <c r="P2506" s="379" t="s">
        <v>14796</v>
      </c>
      <c r="Q2506" s="49" t="str">
        <f t="array" ref="Q2506"> if(iserror(MATCH(V2506, 'File Links'!C:C, 0)), "N/A", HYPERLINK(INDEX('File Links'!B:B, MATCH(P2506, 'File Links'!C:C, 0))))</f>
        <v>https://drive.google.com/file/d/1dhF34wzocQXuQuO5C6a-2Ah86pPkgSjw/view?usp=drivesdk</v>
      </c>
      <c r="R2506" s="156" t="s">
        <v>14398</v>
      </c>
      <c r="S2506" s="156" t="s">
        <v>14399</v>
      </c>
      <c r="T2506" s="65" t="s">
        <v>131</v>
      </c>
      <c r="U2506" s="333">
        <v>1.0</v>
      </c>
      <c r="V2506" s="379" t="s">
        <v>14400</v>
      </c>
      <c r="W2506" s="292" t="s">
        <v>202</v>
      </c>
      <c r="X2506" s="51" t="str">
        <f t="array" ref="X2506"> if(iserror(MATCH(V2506, 'File Links'!C:C, 0)), "N/A", HYPERLINK(INDEX('File Links'!B:B, MATCH(V2506, 'File Links'!C:C, 0))))</f>
        <v>https://drive.google.com/file/d/17mZvRs3ue7pXwqu8bmIDvgNdc95PGEcV/view?usp=drivesdk</v>
      </c>
      <c r="Y2506" s="65" t="s">
        <v>131</v>
      </c>
      <c r="Z2506" s="156" t="s">
        <v>1072</v>
      </c>
      <c r="AA2506" s="65" t="s">
        <v>11994</v>
      </c>
      <c r="AB2506" s="156" t="s">
        <v>14402</v>
      </c>
      <c r="AC2506" s="156" t="s">
        <v>14797</v>
      </c>
      <c r="AD2506" s="65" t="s">
        <v>14851</v>
      </c>
      <c r="AE2506" s="333">
        <v>13.0</v>
      </c>
      <c r="AF2506" s="153">
        <v>197.0</v>
      </c>
      <c r="AG2506" s="333">
        <v>-0.25</v>
      </c>
      <c r="AH2506" s="65" t="s">
        <v>208</v>
      </c>
      <c r="AI2506" s="65" t="s">
        <v>2015</v>
      </c>
      <c r="AJ2506" s="333">
        <v>0.01</v>
      </c>
      <c r="AK2506" s="65" t="s">
        <v>128</v>
      </c>
      <c r="AL2506" s="65" t="s">
        <v>179</v>
      </c>
      <c r="AM2506" s="65" t="s">
        <v>134</v>
      </c>
      <c r="AN2506" s="65" t="s">
        <v>131</v>
      </c>
      <c r="AO2506" s="153">
        <v>1550.0</v>
      </c>
      <c r="AP2506" s="333">
        <v>-0.23</v>
      </c>
      <c r="AQ2506" s="65" t="s">
        <v>208</v>
      </c>
      <c r="AR2506" s="65" t="s">
        <v>875</v>
      </c>
      <c r="AS2506" s="1783">
        <v>0.05</v>
      </c>
      <c r="AT2506" s="1785" t="s">
        <v>128</v>
      </c>
      <c r="AU2506" s="1785" t="s">
        <v>129</v>
      </c>
      <c r="AV2506" s="65" t="s">
        <v>134</v>
      </c>
      <c r="AW2506" s="432" t="s">
        <v>14805</v>
      </c>
      <c r="AX2506" s="65" t="s">
        <v>144</v>
      </c>
      <c r="AZ2506" s="59" t="s">
        <v>14666</v>
      </c>
    </row>
    <row r="2507">
      <c r="A2507" s="41">
        <v>2507.0</v>
      </c>
      <c r="B2507" s="126" t="s">
        <v>516</v>
      </c>
      <c r="C2507" s="59" t="s">
        <v>108</v>
      </c>
      <c r="D2507" s="59" t="s">
        <v>1451</v>
      </c>
      <c r="F2507" s="65" t="s">
        <v>14799</v>
      </c>
      <c r="G2507" s="156" t="s">
        <v>14391</v>
      </c>
      <c r="H2507" s="156" t="s">
        <v>8467</v>
      </c>
      <c r="I2507" s="431">
        <v>45252.0</v>
      </c>
      <c r="J2507" s="526">
        <v>45766.0</v>
      </c>
      <c r="K2507" s="65" t="s">
        <v>14850</v>
      </c>
      <c r="L2507" s="65"/>
      <c r="M2507" s="156" t="s">
        <v>14794</v>
      </c>
      <c r="N2507" s="65" t="s">
        <v>14795</v>
      </c>
      <c r="O2507" s="333">
        <v>3.0</v>
      </c>
      <c r="P2507" s="379" t="s">
        <v>14796</v>
      </c>
      <c r="Q2507" s="49" t="str">
        <f t="array" ref="Q2507"> if(iserror(MATCH(V2507, 'File Links'!C:C, 0)), "N/A", HYPERLINK(INDEX('File Links'!B:B, MATCH(P2507, 'File Links'!C:C, 0))))</f>
        <v>https://drive.google.com/file/d/1dhF34wzocQXuQuO5C6a-2Ah86pPkgSjw/view?usp=drivesdk</v>
      </c>
      <c r="R2507" s="156" t="s">
        <v>14398</v>
      </c>
      <c r="S2507" s="156" t="s">
        <v>14399</v>
      </c>
      <c r="T2507" s="65" t="s">
        <v>131</v>
      </c>
      <c r="U2507" s="333">
        <v>1.0</v>
      </c>
      <c r="V2507" s="379" t="s">
        <v>14400</v>
      </c>
      <c r="W2507" s="292" t="s">
        <v>202</v>
      </c>
      <c r="X2507" s="51" t="str">
        <f t="array" ref="X2507"> if(iserror(MATCH(V2507, 'File Links'!C:C, 0)), "N/A", HYPERLINK(INDEX('File Links'!B:B, MATCH(V2507, 'File Links'!C:C, 0))))</f>
        <v>https://drive.google.com/file/d/17mZvRs3ue7pXwqu8bmIDvgNdc95PGEcV/view?usp=drivesdk</v>
      </c>
      <c r="Y2507" s="65" t="s">
        <v>131</v>
      </c>
      <c r="Z2507" s="156" t="s">
        <v>1072</v>
      </c>
      <c r="AA2507" s="65" t="s">
        <v>11994</v>
      </c>
      <c r="AB2507" s="156" t="s">
        <v>14402</v>
      </c>
      <c r="AC2507" s="156" t="s">
        <v>14800</v>
      </c>
      <c r="AD2507" s="65" t="s">
        <v>14851</v>
      </c>
      <c r="AE2507" s="333">
        <v>13.0</v>
      </c>
      <c r="AF2507" s="153">
        <v>197.0</v>
      </c>
      <c r="AG2507" s="333">
        <v>-0.3</v>
      </c>
      <c r="AH2507" s="65" t="s">
        <v>208</v>
      </c>
      <c r="AI2507" s="65" t="s">
        <v>2015</v>
      </c>
      <c r="AJ2507" s="333">
        <v>0.01</v>
      </c>
      <c r="AK2507" s="65" t="s">
        <v>128</v>
      </c>
      <c r="AL2507" s="65" t="s">
        <v>179</v>
      </c>
      <c r="AM2507" s="65" t="s">
        <v>134</v>
      </c>
      <c r="AN2507" s="65" t="s">
        <v>131</v>
      </c>
      <c r="AO2507" s="153">
        <v>1550.0</v>
      </c>
      <c r="AP2507" s="333">
        <v>-0.18</v>
      </c>
      <c r="AQ2507" s="65" t="s">
        <v>208</v>
      </c>
      <c r="AR2507" s="65" t="s">
        <v>875</v>
      </c>
      <c r="AS2507" s="1783">
        <v>0.05</v>
      </c>
      <c r="AT2507" s="1785" t="s">
        <v>128</v>
      </c>
      <c r="AU2507" s="1785" t="s">
        <v>129</v>
      </c>
      <c r="AV2507" s="65" t="s">
        <v>134</v>
      </c>
      <c r="AW2507" s="432" t="s">
        <v>14805</v>
      </c>
      <c r="AX2507" s="65" t="s">
        <v>144</v>
      </c>
      <c r="AZ2507" s="59" t="s">
        <v>14666</v>
      </c>
    </row>
    <row r="2508">
      <c r="A2508" s="41">
        <v>2508.0</v>
      </c>
      <c r="B2508" s="126" t="s">
        <v>516</v>
      </c>
      <c r="C2508" s="59" t="s">
        <v>108</v>
      </c>
      <c r="D2508" s="59" t="s">
        <v>169</v>
      </c>
      <c r="F2508" s="156" t="s">
        <v>14852</v>
      </c>
      <c r="G2508" s="156" t="s">
        <v>14853</v>
      </c>
      <c r="H2508" s="156" t="s">
        <v>7218</v>
      </c>
      <c r="I2508" s="149">
        <v>45767.0</v>
      </c>
      <c r="J2508" s="859"/>
      <c r="K2508" s="65"/>
      <c r="L2508" s="65"/>
      <c r="M2508" s="156" t="s">
        <v>14854</v>
      </c>
      <c r="N2508" s="156" t="s">
        <v>14855</v>
      </c>
      <c r="O2508" s="156" t="s">
        <v>5504</v>
      </c>
      <c r="P2508" s="379" t="s">
        <v>14856</v>
      </c>
      <c r="Q2508" s="105" t="str">
        <f t="array" ref="Q2508"> if(iserror(MATCH(V2508, 'File Links'!C:C, 0)), "N/A", HYPERLINK(INDEX('File Links'!B:B, MATCH(P2508, 'File Links'!C:C, 0))))</f>
        <v>N/A</v>
      </c>
      <c r="R2508" s="156" t="s">
        <v>14857</v>
      </c>
      <c r="S2508" s="156" t="s">
        <v>131</v>
      </c>
      <c r="T2508" s="677" t="s">
        <v>14858</v>
      </c>
      <c r="U2508" s="156" t="s">
        <v>5504</v>
      </c>
      <c r="V2508" s="379" t="s">
        <v>8433</v>
      </c>
      <c r="W2508" s="1225"/>
      <c r="X2508" s="46" t="str">
        <f t="array" ref="X2508"> if(iserror(MATCH(V2508, 'File Links'!C:C, 0)), "N/A", HYPERLINK(INDEX('File Links'!B:B, MATCH(V2508, 'File Links'!C:C, 0))))</f>
        <v>N/A</v>
      </c>
      <c r="Y2508" s="65"/>
      <c r="Z2508" s="156" t="s">
        <v>2072</v>
      </c>
      <c r="AA2508" s="156" t="s">
        <v>14859</v>
      </c>
      <c r="AB2508" s="156" t="s">
        <v>14860</v>
      </c>
      <c r="AC2508" s="156" t="s">
        <v>14861</v>
      </c>
      <c r="AD2508" s="156" t="s">
        <v>14862</v>
      </c>
      <c r="AE2508" s="156" t="s">
        <v>4966</v>
      </c>
      <c r="AF2508" s="153">
        <v>203.0</v>
      </c>
      <c r="AG2508" s="153">
        <v>0.029</v>
      </c>
      <c r="AH2508" s="156" t="s">
        <v>132</v>
      </c>
      <c r="AI2508" s="156" t="s">
        <v>125</v>
      </c>
      <c r="AJ2508" s="153">
        <v>0.016</v>
      </c>
      <c r="AK2508" s="156" t="s">
        <v>165</v>
      </c>
      <c r="AL2508" s="156" t="s">
        <v>179</v>
      </c>
      <c r="AM2508" s="156" t="s">
        <v>134</v>
      </c>
      <c r="AN2508" s="65"/>
      <c r="AO2508" s="153">
        <v>603.0</v>
      </c>
      <c r="AP2508" s="1471">
        <v>0.02</v>
      </c>
      <c r="AQ2508" s="156" t="s">
        <v>166</v>
      </c>
      <c r="AR2508" s="156" t="s">
        <v>14863</v>
      </c>
      <c r="AS2508" s="2081">
        <v>0.802</v>
      </c>
      <c r="AT2508" s="1784" t="s">
        <v>165</v>
      </c>
      <c r="AU2508" s="1784" t="s">
        <v>179</v>
      </c>
      <c r="AV2508" s="156" t="s">
        <v>134</v>
      </c>
      <c r="AW2508" s="307" t="s">
        <v>14864</v>
      </c>
      <c r="AX2508" s="156" t="s">
        <v>136</v>
      </c>
      <c r="AZ2508" s="59" t="s">
        <v>14666</v>
      </c>
    </row>
    <row r="2509">
      <c r="A2509" s="41">
        <v>2509.0</v>
      </c>
      <c r="B2509" s="126" t="s">
        <v>516</v>
      </c>
      <c r="C2509" s="59" t="s">
        <v>108</v>
      </c>
      <c r="D2509" s="59" t="s">
        <v>169</v>
      </c>
      <c r="F2509" s="156" t="s">
        <v>14865</v>
      </c>
      <c r="G2509" s="156" t="s">
        <v>14866</v>
      </c>
      <c r="H2509" s="156" t="s">
        <v>7218</v>
      </c>
      <c r="I2509" s="149">
        <v>45767.0</v>
      </c>
      <c r="J2509" s="859"/>
      <c r="K2509" s="156" t="s">
        <v>14867</v>
      </c>
      <c r="L2509" s="65"/>
      <c r="M2509" s="156" t="s">
        <v>14868</v>
      </c>
      <c r="N2509" s="156" t="s">
        <v>14869</v>
      </c>
      <c r="O2509" s="153">
        <v>2.0</v>
      </c>
      <c r="P2509" s="379" t="s">
        <v>14870</v>
      </c>
      <c r="Q2509" s="105" t="str">
        <f t="array" ref="Q2509"> if(iserror(MATCH(V2509, 'File Links'!C:C, 0)), "N/A", HYPERLINK(INDEX('File Links'!B:B, MATCH(P2509, 'File Links'!C:C, 0))))</f>
        <v>N/A</v>
      </c>
      <c r="R2509" s="156" t="s">
        <v>14871</v>
      </c>
      <c r="S2509" s="156" t="s">
        <v>131</v>
      </c>
      <c r="T2509" s="677" t="s">
        <v>14872</v>
      </c>
      <c r="U2509" s="156" t="s">
        <v>8515</v>
      </c>
      <c r="V2509" s="379" t="s">
        <v>8433</v>
      </c>
      <c r="W2509" s="1225"/>
      <c r="X2509" s="46" t="str">
        <f t="array" ref="X2509"> if(iserror(MATCH(V2509, 'File Links'!C:C, 0)), "N/A", HYPERLINK(INDEX('File Links'!B:B, MATCH(V2509, 'File Links'!C:C, 0))))</f>
        <v>N/A</v>
      </c>
      <c r="Y2509" s="65"/>
      <c r="Z2509" s="156" t="s">
        <v>2072</v>
      </c>
      <c r="AA2509" s="156" t="s">
        <v>14873</v>
      </c>
      <c r="AB2509" s="156" t="s">
        <v>14874</v>
      </c>
      <c r="AC2509" s="156" t="s">
        <v>14875</v>
      </c>
      <c r="AD2509" s="156" t="s">
        <v>14876</v>
      </c>
      <c r="AE2509" s="156" t="s">
        <v>617</v>
      </c>
      <c r="AF2509" s="153">
        <v>213.0</v>
      </c>
      <c r="AG2509" s="153">
        <v>0.51</v>
      </c>
      <c r="AH2509" s="156" t="s">
        <v>166</v>
      </c>
      <c r="AI2509" s="156" t="s">
        <v>617</v>
      </c>
      <c r="AJ2509" s="153">
        <v>0.01</v>
      </c>
      <c r="AK2509" s="156" t="s">
        <v>128</v>
      </c>
      <c r="AL2509" s="156" t="s">
        <v>179</v>
      </c>
      <c r="AM2509" s="156" t="s">
        <v>130</v>
      </c>
      <c r="AN2509" s="65"/>
      <c r="AO2509" s="153">
        <v>761.0</v>
      </c>
      <c r="AP2509" s="1471">
        <v>0.32</v>
      </c>
      <c r="AQ2509" s="156" t="s">
        <v>166</v>
      </c>
      <c r="AR2509" s="156" t="s">
        <v>14863</v>
      </c>
      <c r="AS2509" s="2081">
        <v>0.01</v>
      </c>
      <c r="AT2509" s="1784" t="s">
        <v>128</v>
      </c>
      <c r="AU2509" s="1784" t="s">
        <v>179</v>
      </c>
      <c r="AV2509" s="156" t="s">
        <v>130</v>
      </c>
      <c r="AW2509" s="307" t="s">
        <v>14877</v>
      </c>
      <c r="AX2509" s="156" t="s">
        <v>136</v>
      </c>
      <c r="AZ2509" s="59" t="s">
        <v>14666</v>
      </c>
    </row>
    <row r="2510">
      <c r="A2510" s="41">
        <v>2510.0</v>
      </c>
      <c r="B2510" s="126" t="s">
        <v>516</v>
      </c>
      <c r="C2510" s="59" t="s">
        <v>108</v>
      </c>
      <c r="D2510" s="59" t="s">
        <v>169</v>
      </c>
      <c r="F2510" s="65" t="s">
        <v>14878</v>
      </c>
      <c r="G2510" s="156" t="s">
        <v>14879</v>
      </c>
      <c r="H2510" s="156" t="s">
        <v>7218</v>
      </c>
      <c r="I2510" s="149">
        <v>45767.0</v>
      </c>
      <c r="J2510" s="859"/>
      <c r="K2510" s="156" t="s">
        <v>14880</v>
      </c>
      <c r="L2510" s="65"/>
      <c r="M2510" s="156" t="s">
        <v>14868</v>
      </c>
      <c r="N2510" s="156" t="s">
        <v>14869</v>
      </c>
      <c r="O2510" s="153">
        <v>2.0</v>
      </c>
      <c r="P2510" s="379" t="s">
        <v>14870</v>
      </c>
      <c r="Q2510" s="105" t="str">
        <f t="array" ref="Q2510"> if(iserror(MATCH(V2510, 'File Links'!C:C, 0)), "N/A", HYPERLINK(INDEX('File Links'!B:B, MATCH(P2510, 'File Links'!C:C, 0))))</f>
        <v>N/A</v>
      </c>
      <c r="R2510" s="156" t="s">
        <v>14881</v>
      </c>
      <c r="S2510" s="156" t="s">
        <v>131</v>
      </c>
      <c r="T2510" s="677" t="s">
        <v>14872</v>
      </c>
      <c r="U2510" s="156" t="s">
        <v>8432</v>
      </c>
      <c r="V2510" s="379" t="s">
        <v>8433</v>
      </c>
      <c r="W2510" s="1225"/>
      <c r="X2510" s="46" t="str">
        <f t="array" ref="X2510"> if(iserror(MATCH(V2510, 'File Links'!C:C, 0)), "N/A", HYPERLINK(INDEX('File Links'!B:B, MATCH(V2510, 'File Links'!C:C, 0))))</f>
        <v>N/A</v>
      </c>
      <c r="Y2510" s="65"/>
      <c r="Z2510" s="156" t="s">
        <v>2072</v>
      </c>
      <c r="AA2510" s="156" t="s">
        <v>14873</v>
      </c>
      <c r="AB2510" s="156" t="s">
        <v>14874</v>
      </c>
      <c r="AC2510" s="156" t="s">
        <v>14875</v>
      </c>
      <c r="AD2510" s="156" t="s">
        <v>14876</v>
      </c>
      <c r="AE2510" s="156" t="s">
        <v>617</v>
      </c>
      <c r="AF2510" s="153">
        <v>213.0</v>
      </c>
      <c r="AG2510" s="153">
        <v>0.51</v>
      </c>
      <c r="AH2510" s="156" t="s">
        <v>166</v>
      </c>
      <c r="AI2510" s="156" t="s">
        <v>617</v>
      </c>
      <c r="AJ2510" s="153">
        <v>0.01</v>
      </c>
      <c r="AK2510" s="156" t="s">
        <v>128</v>
      </c>
      <c r="AL2510" s="156" t="s">
        <v>179</v>
      </c>
      <c r="AM2510" s="156" t="s">
        <v>130</v>
      </c>
      <c r="AN2510" s="65"/>
      <c r="AO2510" s="153">
        <v>769.0</v>
      </c>
      <c r="AP2510" s="1471">
        <v>0.49</v>
      </c>
      <c r="AQ2510" s="156" t="s">
        <v>166</v>
      </c>
      <c r="AR2510" s="156" t="s">
        <v>14863</v>
      </c>
      <c r="AS2510" s="2081">
        <v>0.01</v>
      </c>
      <c r="AT2510" s="1784" t="s">
        <v>128</v>
      </c>
      <c r="AU2510" s="1784" t="s">
        <v>179</v>
      </c>
      <c r="AV2510" s="156" t="s">
        <v>130</v>
      </c>
      <c r="AW2510" s="307" t="s">
        <v>14877</v>
      </c>
      <c r="AX2510" s="156" t="s">
        <v>136</v>
      </c>
      <c r="AZ2510" s="59" t="s">
        <v>14666</v>
      </c>
    </row>
    <row r="2511">
      <c r="A2511" s="41">
        <v>2511.0</v>
      </c>
      <c r="B2511" s="126" t="s">
        <v>516</v>
      </c>
      <c r="C2511" s="59" t="s">
        <v>108</v>
      </c>
      <c r="D2511" s="59" t="s">
        <v>169</v>
      </c>
      <c r="F2511" s="65" t="s">
        <v>14882</v>
      </c>
      <c r="G2511" s="156" t="s">
        <v>14883</v>
      </c>
      <c r="H2511" s="156" t="s">
        <v>7218</v>
      </c>
      <c r="I2511" s="149">
        <v>45767.0</v>
      </c>
      <c r="J2511" s="859"/>
      <c r="K2511" s="156" t="s">
        <v>14884</v>
      </c>
      <c r="L2511" s="65"/>
      <c r="M2511" s="156" t="s">
        <v>14885</v>
      </c>
      <c r="N2511" s="156" t="s">
        <v>14886</v>
      </c>
      <c r="O2511" s="153">
        <v>1.0</v>
      </c>
      <c r="P2511" s="379" t="s">
        <v>14887</v>
      </c>
      <c r="Q2511" s="105" t="str">
        <f t="array" ref="Q2511"> if(iserror(MATCH(V2511, 'File Links'!C:C, 0)), "N/A", HYPERLINK(INDEX('File Links'!B:B, MATCH(P2511, 'File Links'!C:C, 0))))</f>
        <v>N/A</v>
      </c>
      <c r="R2511" s="156" t="s">
        <v>14888</v>
      </c>
      <c r="S2511" s="156" t="s">
        <v>131</v>
      </c>
      <c r="T2511" s="677" t="s">
        <v>14889</v>
      </c>
      <c r="U2511" s="156" t="s">
        <v>8515</v>
      </c>
      <c r="V2511" s="379" t="s">
        <v>8433</v>
      </c>
      <c r="W2511" s="1225"/>
      <c r="X2511" s="46" t="str">
        <f t="array" ref="X2511"> if(iserror(MATCH(V2511, 'File Links'!C:C, 0)), "N/A", HYPERLINK(INDEX('File Links'!B:B, MATCH(V2511, 'File Links'!C:C, 0))))</f>
        <v>N/A</v>
      </c>
      <c r="Y2511" s="65"/>
      <c r="Z2511" s="156" t="s">
        <v>2072</v>
      </c>
      <c r="AA2511" s="156" t="s">
        <v>14890</v>
      </c>
      <c r="AB2511" s="156" t="s">
        <v>14891</v>
      </c>
      <c r="AC2511" s="156" t="s">
        <v>14892</v>
      </c>
      <c r="AD2511" s="156" t="s">
        <v>14893</v>
      </c>
      <c r="AE2511" s="156" t="s">
        <v>1035</v>
      </c>
      <c r="AF2511" s="153">
        <v>145.0</v>
      </c>
      <c r="AG2511" s="153">
        <v>0.93</v>
      </c>
      <c r="AH2511" s="191" t="s">
        <v>353</v>
      </c>
      <c r="AI2511" s="156" t="s">
        <v>14894</v>
      </c>
      <c r="AJ2511" s="153">
        <v>0.029</v>
      </c>
      <c r="AK2511" s="156" t="s">
        <v>165</v>
      </c>
      <c r="AL2511" s="156" t="s">
        <v>179</v>
      </c>
      <c r="AM2511" s="156" t="s">
        <v>130</v>
      </c>
      <c r="AN2511" s="156" t="s">
        <v>14895</v>
      </c>
      <c r="AO2511" s="153">
        <v>1099.0</v>
      </c>
      <c r="AP2511" s="153">
        <v>0.31</v>
      </c>
      <c r="AQ2511" s="156" t="s">
        <v>353</v>
      </c>
      <c r="AR2511" s="156" t="s">
        <v>14863</v>
      </c>
      <c r="AS2511" s="2081">
        <v>0.091</v>
      </c>
      <c r="AT2511" s="1784" t="s">
        <v>165</v>
      </c>
      <c r="AU2511" s="1784" t="s">
        <v>179</v>
      </c>
      <c r="AV2511" s="156" t="s">
        <v>130</v>
      </c>
      <c r="AW2511" s="432" t="s">
        <v>14896</v>
      </c>
      <c r="AX2511" s="156" t="s">
        <v>136</v>
      </c>
      <c r="AZ2511" s="59" t="s">
        <v>14666</v>
      </c>
    </row>
    <row r="2512">
      <c r="A2512" s="41">
        <v>2512.0</v>
      </c>
      <c r="B2512" s="292" t="s">
        <v>516</v>
      </c>
      <c r="C2512" s="284" t="s">
        <v>108</v>
      </c>
      <c r="D2512" s="284" t="s">
        <v>169</v>
      </c>
      <c r="E2512" s="305"/>
      <c r="F2512" s="302" t="s">
        <v>14897</v>
      </c>
      <c r="G2512" s="287" t="s">
        <v>14898</v>
      </c>
      <c r="H2512" s="287" t="s">
        <v>7218</v>
      </c>
      <c r="I2512" s="2112">
        <v>45767.0</v>
      </c>
      <c r="J2512" s="2113"/>
      <c r="K2512" s="287" t="s">
        <v>14884</v>
      </c>
      <c r="L2512" s="302"/>
      <c r="M2512" s="287" t="s">
        <v>14885</v>
      </c>
      <c r="N2512" s="287" t="s">
        <v>14886</v>
      </c>
      <c r="O2512" s="1555">
        <v>1.0</v>
      </c>
      <c r="P2512" s="287" t="s">
        <v>14887</v>
      </c>
      <c r="Q2512" s="2114" t="str">
        <f t="array" ref="Q2512"> if(iserror(MATCH(V2512, 'File Links'!C:C, 0)), "N/A", HYPERLINK(INDEX('File Links'!B:B, MATCH(P2512, 'File Links'!C:C, 0))))</f>
        <v>N/A</v>
      </c>
      <c r="R2512" s="287" t="s">
        <v>14899</v>
      </c>
      <c r="S2512" s="287" t="s">
        <v>131</v>
      </c>
      <c r="T2512" s="2115" t="s">
        <v>14889</v>
      </c>
      <c r="U2512" s="287" t="s">
        <v>8432</v>
      </c>
      <c r="V2512" s="287" t="s">
        <v>8433</v>
      </c>
      <c r="W2512" s="302"/>
      <c r="X2512" s="296" t="str">
        <f t="array" ref="X2512"> if(iserror(MATCH(V2512, 'File Links'!C:C, 0)), "N/A", HYPERLINK(INDEX('File Links'!B:B, MATCH(V2512, 'File Links'!C:C, 0))))</f>
        <v>N/A</v>
      </c>
      <c r="Y2512" s="302"/>
      <c r="Z2512" s="287" t="s">
        <v>2072</v>
      </c>
      <c r="AA2512" s="287" t="s">
        <v>14890</v>
      </c>
      <c r="AB2512" s="287" t="s">
        <v>14891</v>
      </c>
      <c r="AC2512" s="287" t="s">
        <v>14892</v>
      </c>
      <c r="AD2512" s="287" t="s">
        <v>14893</v>
      </c>
      <c r="AE2512" s="287" t="s">
        <v>1035</v>
      </c>
      <c r="AF2512" s="1555">
        <v>145.0</v>
      </c>
      <c r="AG2512" s="1555">
        <v>0.93</v>
      </c>
      <c r="AH2512" s="191" t="s">
        <v>353</v>
      </c>
      <c r="AI2512" s="287" t="s">
        <v>14894</v>
      </c>
      <c r="AJ2512" s="1555">
        <v>0.029</v>
      </c>
      <c r="AK2512" s="287" t="s">
        <v>165</v>
      </c>
      <c r="AL2512" s="287" t="s">
        <v>179</v>
      </c>
      <c r="AM2512" s="287" t="s">
        <v>130</v>
      </c>
      <c r="AN2512" s="287" t="s">
        <v>14900</v>
      </c>
      <c r="AO2512" s="1555">
        <v>1555.0</v>
      </c>
      <c r="AP2512" s="1555">
        <v>0.21</v>
      </c>
      <c r="AQ2512" s="156" t="s">
        <v>353</v>
      </c>
      <c r="AR2512" s="287" t="s">
        <v>14863</v>
      </c>
      <c r="AS2512" s="2081">
        <v>0.099</v>
      </c>
      <c r="AT2512" s="1784" t="s">
        <v>165</v>
      </c>
      <c r="AU2512" s="1784" t="s">
        <v>179</v>
      </c>
      <c r="AV2512" s="287" t="s">
        <v>130</v>
      </c>
      <c r="AW2512" s="303" t="s">
        <v>14896</v>
      </c>
      <c r="AX2512" s="287" t="s">
        <v>136</v>
      </c>
      <c r="AY2512" s="305"/>
      <c r="AZ2512" s="284" t="s">
        <v>14666</v>
      </c>
      <c r="BA2512" s="305"/>
      <c r="BB2512" s="305"/>
      <c r="BC2512" s="305"/>
      <c r="BD2512" s="305"/>
      <c r="BE2512" s="305"/>
      <c r="BF2512" s="305"/>
      <c r="BG2512" s="305"/>
      <c r="BH2512" s="305"/>
      <c r="BI2512" s="305"/>
      <c r="BJ2512" s="305"/>
      <c r="BK2512" s="305"/>
      <c r="BL2512" s="305"/>
      <c r="BM2512" s="305"/>
      <c r="BN2512" s="305"/>
      <c r="BO2512" s="305"/>
      <c r="BP2512" s="305"/>
      <c r="BQ2512" s="305"/>
      <c r="BR2512" s="305"/>
      <c r="BS2512" s="305"/>
      <c r="BT2512" s="305"/>
      <c r="BU2512" s="305"/>
      <c r="BV2512" s="305"/>
      <c r="BW2512" s="305"/>
      <c r="BX2512" s="305"/>
      <c r="BY2512" s="305"/>
      <c r="BZ2512" s="305"/>
      <c r="CA2512" s="305"/>
      <c r="CB2512" s="305"/>
      <c r="CC2512" s="305"/>
      <c r="CD2512" s="305"/>
      <c r="CE2512" s="305"/>
      <c r="CF2512" s="305"/>
      <c r="CG2512" s="305"/>
      <c r="CH2512" s="305"/>
      <c r="CI2512" s="305"/>
      <c r="CJ2512" s="305"/>
      <c r="CK2512" s="305"/>
      <c r="CL2512" s="305"/>
      <c r="CM2512" s="305"/>
      <c r="CN2512" s="305"/>
      <c r="CO2512" s="305"/>
      <c r="CP2512" s="305"/>
      <c r="CQ2512" s="305"/>
      <c r="CR2512" s="305"/>
      <c r="CS2512" s="305"/>
      <c r="CT2512" s="305"/>
      <c r="CU2512" s="305"/>
      <c r="CV2512" s="305"/>
      <c r="CW2512" s="305"/>
      <c r="CX2512" s="305"/>
      <c r="CY2512" s="305"/>
      <c r="CZ2512" s="305"/>
      <c r="DA2512" s="305"/>
      <c r="DB2512" s="305"/>
      <c r="DC2512" s="305"/>
      <c r="DD2512" s="305"/>
      <c r="DE2512" s="305"/>
      <c r="DF2512" s="305"/>
      <c r="DG2512" s="305"/>
      <c r="DH2512" s="305"/>
    </row>
    <row r="2513">
      <c r="A2513" s="41">
        <v>2513.0</v>
      </c>
      <c r="B2513" s="126" t="s">
        <v>516</v>
      </c>
      <c r="C2513" s="59" t="s">
        <v>108</v>
      </c>
      <c r="D2513" s="59" t="s">
        <v>169</v>
      </c>
      <c r="F2513" s="65" t="s">
        <v>14901</v>
      </c>
      <c r="G2513" s="156" t="s">
        <v>14902</v>
      </c>
      <c r="H2513" s="156" t="s">
        <v>7218</v>
      </c>
      <c r="I2513" s="149">
        <v>45767.0</v>
      </c>
      <c r="J2513" s="859"/>
      <c r="K2513" s="156" t="s">
        <v>14903</v>
      </c>
      <c r="L2513" s="156" t="s">
        <v>14904</v>
      </c>
      <c r="M2513" s="156" t="s">
        <v>14905</v>
      </c>
      <c r="N2513" s="156" t="s">
        <v>14906</v>
      </c>
      <c r="O2513" s="65"/>
      <c r="P2513" s="379" t="s">
        <v>14907</v>
      </c>
      <c r="Q2513" s="49" t="str">
        <f t="array" ref="Q2513"> if(iserror(MATCH(V2513, 'File Links'!C:C, 0)), "N/A", HYPERLINK(INDEX('File Links'!B:B, MATCH(P2513, 'File Links'!C:C, 0))))</f>
        <v>https://drive.google.com/file/d/12mfKmwr4qxdkiF-WSAj7I2jNt6iWVgg3/view?usp=drivesdk</v>
      </c>
      <c r="R2513" s="156" t="s">
        <v>14908</v>
      </c>
      <c r="S2513" s="156" t="s">
        <v>14909</v>
      </c>
      <c r="T2513" s="65"/>
      <c r="U2513" s="65"/>
      <c r="V2513" s="379" t="s">
        <v>14910</v>
      </c>
      <c r="W2513" s="1225"/>
      <c r="X2513" s="51" t="str">
        <f t="array" ref="X2513"> if(iserror(MATCH(V2513, 'File Links'!C:C, 0)), "N/A", HYPERLINK(INDEX('File Links'!B:B, MATCH(V2513, 'File Links'!C:C, 0))))</f>
        <v>https://drive.google.com/file/d/1eTjP2xjPMHt_psL0IRiVE0uqN0eKYr25/view?usp=drivesdk</v>
      </c>
      <c r="Y2513" s="65"/>
      <c r="Z2513" s="156" t="s">
        <v>2072</v>
      </c>
      <c r="AA2513" s="65"/>
      <c r="AB2513" s="65"/>
      <c r="AC2513" s="156" t="s">
        <v>14911</v>
      </c>
      <c r="AD2513" s="65"/>
      <c r="AE2513" s="65"/>
      <c r="AF2513" s="65"/>
      <c r="AG2513" s="65"/>
      <c r="AH2513" s="65"/>
      <c r="AI2513" s="65"/>
      <c r="AJ2513" s="65"/>
      <c r="AK2513" s="65"/>
      <c r="AL2513" s="65"/>
      <c r="AM2513" s="65"/>
      <c r="AN2513" s="65"/>
      <c r="AO2513" s="65"/>
      <c r="AP2513" s="65"/>
      <c r="AQ2513" s="65"/>
      <c r="AR2513" s="65"/>
      <c r="AS2513" s="65"/>
      <c r="AT2513" s="65"/>
      <c r="AU2513" s="65"/>
      <c r="AV2513" s="65"/>
      <c r="AW2513" s="65"/>
      <c r="AX2513" s="65"/>
    </row>
    <row r="2514">
      <c r="A2514" s="41">
        <v>2514.0</v>
      </c>
      <c r="B2514" s="126" t="s">
        <v>516</v>
      </c>
      <c r="C2514" s="59" t="s">
        <v>108</v>
      </c>
      <c r="D2514" s="59" t="s">
        <v>169</v>
      </c>
      <c r="F2514" s="65" t="s">
        <v>14912</v>
      </c>
      <c r="G2514" s="156" t="s">
        <v>14913</v>
      </c>
      <c r="H2514" s="156" t="s">
        <v>7218</v>
      </c>
      <c r="I2514" s="149">
        <v>45767.0</v>
      </c>
      <c r="J2514" s="859"/>
      <c r="K2514" s="156" t="s">
        <v>14914</v>
      </c>
      <c r="L2514" s="65"/>
      <c r="M2514" s="156" t="s">
        <v>14915</v>
      </c>
      <c r="N2514" s="156" t="s">
        <v>14916</v>
      </c>
      <c r="O2514" s="65"/>
      <c r="P2514" s="379" t="s">
        <v>14917</v>
      </c>
      <c r="Q2514" s="49" t="str">
        <f t="array" ref="Q2514"> if(iserror(MATCH(V2514, 'File Links'!C:C, 0)), "N/A", HYPERLINK(INDEX('File Links'!B:B, MATCH(P2514, 'File Links'!C:C, 0))))</f>
        <v>https://drive.google.com/file/d/1IPzqwdPEx_NXOVDavQ9NYYflBq4WLkLt/view?usp=drivesdk</v>
      </c>
      <c r="R2514" s="156" t="s">
        <v>14918</v>
      </c>
      <c r="S2514" s="156" t="s">
        <v>14919</v>
      </c>
      <c r="T2514" s="65"/>
      <c r="U2514" s="65"/>
      <c r="V2514" s="156" t="s">
        <v>14920</v>
      </c>
      <c r="W2514" s="1225"/>
      <c r="X2514" s="51" t="str">
        <f t="array" ref="X2514"> if(iserror(MATCH(V2514, 'File Links'!C:C, 0)), "N/A", HYPERLINK(INDEX('File Links'!B:B, MATCH(V2514, 'File Links'!C:C, 0))))</f>
        <v>https://drive.google.com/file/d/14aPtuimCBHuACTR6Ysm7rhuUdNnhNt3M/view?usp=drivesdk</v>
      </c>
      <c r="Y2514" s="65"/>
      <c r="Z2514" s="156" t="s">
        <v>14921</v>
      </c>
      <c r="AA2514" s="156" t="s">
        <v>14922</v>
      </c>
      <c r="AB2514" s="156" t="s">
        <v>14923</v>
      </c>
      <c r="AC2514" s="156" t="s">
        <v>14924</v>
      </c>
      <c r="AD2514" s="156" t="s">
        <v>14925</v>
      </c>
      <c r="AE2514" s="156" t="s">
        <v>489</v>
      </c>
      <c r="AF2514" s="153">
        <v>42.0</v>
      </c>
      <c r="AG2514" s="156" t="s">
        <v>14926</v>
      </c>
      <c r="AH2514" s="156" t="s">
        <v>127</v>
      </c>
      <c r="AI2514" s="156" t="s">
        <v>14927</v>
      </c>
      <c r="AJ2514" s="153">
        <v>0.005</v>
      </c>
      <c r="AK2514" s="156" t="s">
        <v>128</v>
      </c>
      <c r="AL2514" s="156" t="s">
        <v>179</v>
      </c>
      <c r="AM2514" s="156" t="s">
        <v>134</v>
      </c>
      <c r="AN2514" s="65"/>
      <c r="AO2514" s="153">
        <v>18.0</v>
      </c>
      <c r="AP2514" s="156" t="s">
        <v>14928</v>
      </c>
      <c r="AQ2514" s="156" t="s">
        <v>127</v>
      </c>
      <c r="AR2514" s="156" t="s">
        <v>14929</v>
      </c>
      <c r="AS2514" s="153">
        <v>0.018</v>
      </c>
      <c r="AT2514" s="156" t="s">
        <v>165</v>
      </c>
      <c r="AU2514" s="156" t="s">
        <v>129</v>
      </c>
      <c r="AV2514" s="156" t="s">
        <v>134</v>
      </c>
      <c r="AW2514" s="65"/>
      <c r="AX2514" s="156" t="s">
        <v>431</v>
      </c>
    </row>
    <row r="2515">
      <c r="A2515" s="41">
        <v>2515.0</v>
      </c>
      <c r="B2515" s="126" t="s">
        <v>516</v>
      </c>
      <c r="C2515" s="59" t="s">
        <v>108</v>
      </c>
      <c r="D2515" s="59" t="s">
        <v>169</v>
      </c>
      <c r="F2515" s="65" t="s">
        <v>14930</v>
      </c>
      <c r="G2515" s="156" t="s">
        <v>14931</v>
      </c>
      <c r="H2515" s="156" t="s">
        <v>7218</v>
      </c>
      <c r="I2515" s="149">
        <v>45767.0</v>
      </c>
      <c r="J2515" s="859"/>
      <c r="K2515" s="156" t="s">
        <v>14932</v>
      </c>
      <c r="L2515" s="65"/>
      <c r="M2515" s="156" t="s">
        <v>14933</v>
      </c>
      <c r="N2515" s="156" t="s">
        <v>14934</v>
      </c>
      <c r="O2515" s="65"/>
      <c r="P2515" s="379" t="s">
        <v>14935</v>
      </c>
      <c r="Q2515" s="49" t="str">
        <f t="array" ref="Q2515"> if(iserror(MATCH(V2515, 'File Links'!C:C, 0)), "N/A", HYPERLINK(INDEX('File Links'!B:B, MATCH(P2515, 'File Links'!C:C, 0))))</f>
        <v>https://drive.google.com/file/d/1UEfsbEURhIs10uMTifQAssGeEJtFUKKx/view?usp=drivesdk</v>
      </c>
      <c r="R2515" s="156" t="s">
        <v>14936</v>
      </c>
      <c r="S2515" s="156" t="s">
        <v>14937</v>
      </c>
      <c r="T2515" s="65"/>
      <c r="U2515" s="65"/>
      <c r="V2515" s="379" t="s">
        <v>14938</v>
      </c>
      <c r="W2515" s="1225"/>
      <c r="X2515" s="51" t="str">
        <f t="array" ref="X2515"> if(iserror(MATCH(V2515, 'File Links'!C:C, 0)), "N/A", HYPERLINK(INDEX('File Links'!B:B, MATCH(V2515, 'File Links'!C:C, 0))))</f>
        <v>https://drive.google.com/file/d/1xaH1AdTN7K_tpV_fPvFUmkfl3Wi38a_0/view?usp=drivesdk</v>
      </c>
      <c r="Y2515" s="65"/>
      <c r="Z2515" s="156" t="s">
        <v>14939</v>
      </c>
      <c r="AA2515" s="156" t="s">
        <v>14940</v>
      </c>
      <c r="AB2515" s="156" t="s">
        <v>14941</v>
      </c>
      <c r="AC2515" s="156" t="s">
        <v>14942</v>
      </c>
      <c r="AD2515" s="156" t="s">
        <v>14943</v>
      </c>
      <c r="AE2515" s="156" t="s">
        <v>14944</v>
      </c>
      <c r="AF2515" s="153">
        <v>383.0</v>
      </c>
      <c r="AG2515" s="153">
        <v>8.0</v>
      </c>
      <c r="AH2515" s="156" t="s">
        <v>715</v>
      </c>
      <c r="AI2515" s="156" t="s">
        <v>875</v>
      </c>
      <c r="AJ2515" s="153">
        <v>0.01</v>
      </c>
      <c r="AK2515" s="156" t="s">
        <v>131</v>
      </c>
      <c r="AL2515" s="156" t="s">
        <v>179</v>
      </c>
      <c r="AM2515" s="156" t="s">
        <v>130</v>
      </c>
      <c r="AN2515" s="65"/>
      <c r="AO2515" s="153">
        <v>3783.0</v>
      </c>
      <c r="AP2515" s="153">
        <v>2.02</v>
      </c>
      <c r="AQ2515" s="156" t="s">
        <v>14945</v>
      </c>
      <c r="AR2515" s="156" t="s">
        <v>500</v>
      </c>
      <c r="AS2515" s="156" t="s">
        <v>131</v>
      </c>
      <c r="AT2515" s="156" t="s">
        <v>131</v>
      </c>
      <c r="AU2515" s="156" t="s">
        <v>179</v>
      </c>
      <c r="AV2515" s="156" t="s">
        <v>130</v>
      </c>
      <c r="AW2515" s="65"/>
      <c r="AX2515" s="156" t="s">
        <v>136</v>
      </c>
    </row>
    <row r="2516">
      <c r="A2516" s="41">
        <v>2516.0</v>
      </c>
      <c r="B2516" s="126" t="s">
        <v>516</v>
      </c>
      <c r="C2516" s="59" t="s">
        <v>108</v>
      </c>
      <c r="D2516" s="59" t="s">
        <v>169</v>
      </c>
      <c r="F2516" s="65" t="s">
        <v>14930</v>
      </c>
      <c r="G2516" s="156" t="s">
        <v>14946</v>
      </c>
      <c r="H2516" s="156" t="s">
        <v>7218</v>
      </c>
      <c r="I2516" s="149">
        <v>45767.0</v>
      </c>
      <c r="J2516" s="859"/>
      <c r="K2516" s="156" t="s">
        <v>14947</v>
      </c>
      <c r="L2516" s="65"/>
      <c r="M2516" s="156" t="s">
        <v>14933</v>
      </c>
      <c r="N2516" s="156" t="s">
        <v>14934</v>
      </c>
      <c r="O2516" s="65"/>
      <c r="P2516" s="379" t="s">
        <v>14935</v>
      </c>
      <c r="Q2516" s="49" t="str">
        <f t="array" ref="Q2516"> if(iserror(MATCH(V2516, 'File Links'!C:C, 0)), "N/A", HYPERLINK(INDEX('File Links'!B:B, MATCH(P2516, 'File Links'!C:C, 0))))</f>
        <v>https://drive.google.com/file/d/1UEfsbEURhIs10uMTifQAssGeEJtFUKKx/view?usp=drivesdk</v>
      </c>
      <c r="R2516" s="156" t="s">
        <v>14936</v>
      </c>
      <c r="S2516" s="156" t="s">
        <v>14937</v>
      </c>
      <c r="T2516" s="65"/>
      <c r="U2516" s="65"/>
      <c r="V2516" s="379" t="s">
        <v>14938</v>
      </c>
      <c r="W2516" s="1225"/>
      <c r="X2516" s="51" t="str">
        <f t="array" ref="X2516"> if(iserror(MATCH(V2516, 'File Links'!C:C, 0)), "N/A", HYPERLINK(INDEX('File Links'!B:B, MATCH(V2516, 'File Links'!C:C, 0))))</f>
        <v>https://drive.google.com/file/d/1xaH1AdTN7K_tpV_fPvFUmkfl3Wi38a_0/view?usp=drivesdk</v>
      </c>
      <c r="Y2516" s="65"/>
      <c r="Z2516" s="156" t="s">
        <v>14939</v>
      </c>
      <c r="AA2516" s="156" t="s">
        <v>14940</v>
      </c>
      <c r="AB2516" s="156" t="s">
        <v>14941</v>
      </c>
      <c r="AC2516" s="156" t="s">
        <v>14948</v>
      </c>
      <c r="AD2516" s="156" t="s">
        <v>14943</v>
      </c>
      <c r="AE2516" s="156" t="s">
        <v>14944</v>
      </c>
      <c r="AF2516" s="153">
        <v>383.0</v>
      </c>
      <c r="AG2516" s="153">
        <v>8.0</v>
      </c>
      <c r="AH2516" s="156" t="s">
        <v>715</v>
      </c>
      <c r="AI2516" s="156" t="s">
        <v>875</v>
      </c>
      <c r="AJ2516" s="153">
        <v>0.01</v>
      </c>
      <c r="AK2516" s="156" t="s">
        <v>131</v>
      </c>
      <c r="AL2516" s="156" t="s">
        <v>179</v>
      </c>
      <c r="AM2516" s="156" t="s">
        <v>130</v>
      </c>
      <c r="AN2516" s="65"/>
      <c r="AO2516" s="153">
        <v>3826.0</v>
      </c>
      <c r="AP2516" s="153">
        <v>2.15</v>
      </c>
      <c r="AQ2516" s="156" t="s">
        <v>14945</v>
      </c>
      <c r="AR2516" s="156" t="s">
        <v>500</v>
      </c>
      <c r="AS2516" s="156" t="s">
        <v>131</v>
      </c>
      <c r="AT2516" s="156" t="s">
        <v>131</v>
      </c>
      <c r="AU2516" s="156" t="s">
        <v>179</v>
      </c>
      <c r="AV2516" s="156" t="s">
        <v>130</v>
      </c>
      <c r="AW2516" s="65"/>
      <c r="AX2516" s="156" t="s">
        <v>136</v>
      </c>
    </row>
    <row r="2517">
      <c r="A2517" s="41">
        <v>2517.0</v>
      </c>
      <c r="B2517" s="126" t="s">
        <v>516</v>
      </c>
      <c r="C2517" s="59" t="s">
        <v>108</v>
      </c>
      <c r="D2517" s="59" t="s">
        <v>169</v>
      </c>
      <c r="F2517" s="65" t="s">
        <v>14930</v>
      </c>
      <c r="G2517" s="156" t="s">
        <v>14949</v>
      </c>
      <c r="H2517" s="156" t="s">
        <v>7218</v>
      </c>
      <c r="I2517" s="149">
        <v>45767.0</v>
      </c>
      <c r="J2517" s="859"/>
      <c r="K2517" s="156" t="s">
        <v>14947</v>
      </c>
      <c r="L2517" s="65"/>
      <c r="M2517" s="156" t="s">
        <v>14933</v>
      </c>
      <c r="N2517" s="156" t="s">
        <v>14934</v>
      </c>
      <c r="O2517" s="65"/>
      <c r="P2517" s="379" t="s">
        <v>14935</v>
      </c>
      <c r="Q2517" s="49" t="str">
        <f t="array" ref="Q2517"> if(iserror(MATCH(V2517, 'File Links'!C:C, 0)), "N/A", HYPERLINK(INDEX('File Links'!B:B, MATCH(P2517, 'File Links'!C:C, 0))))</f>
        <v>https://drive.google.com/file/d/1UEfsbEURhIs10uMTifQAssGeEJtFUKKx/view?usp=drivesdk</v>
      </c>
      <c r="R2517" s="156" t="s">
        <v>14936</v>
      </c>
      <c r="S2517" s="156" t="s">
        <v>14937</v>
      </c>
      <c r="T2517" s="65"/>
      <c r="U2517" s="65"/>
      <c r="V2517" s="379" t="s">
        <v>14938</v>
      </c>
      <c r="W2517" s="1225"/>
      <c r="X2517" s="51" t="str">
        <f t="array" ref="X2517"> if(iserror(MATCH(V2517, 'File Links'!C:C, 0)), "N/A", HYPERLINK(INDEX('File Links'!B:B, MATCH(V2517, 'File Links'!C:C, 0))))</f>
        <v>https://drive.google.com/file/d/1xaH1AdTN7K_tpV_fPvFUmkfl3Wi38a_0/view?usp=drivesdk</v>
      </c>
      <c r="Y2517" s="65"/>
      <c r="Z2517" s="156" t="s">
        <v>14939</v>
      </c>
      <c r="AA2517" s="156" t="s">
        <v>14940</v>
      </c>
      <c r="AB2517" s="156" t="s">
        <v>14941</v>
      </c>
      <c r="AC2517" s="156" t="s">
        <v>14950</v>
      </c>
      <c r="AD2517" s="156" t="s">
        <v>14943</v>
      </c>
      <c r="AE2517" s="156" t="s">
        <v>14944</v>
      </c>
      <c r="AF2517" s="153">
        <v>383.0</v>
      </c>
      <c r="AG2517" s="153">
        <v>8.0</v>
      </c>
      <c r="AH2517" s="156" t="s">
        <v>715</v>
      </c>
      <c r="AI2517" s="156" t="s">
        <v>875</v>
      </c>
      <c r="AJ2517" s="153">
        <v>0.01</v>
      </c>
      <c r="AK2517" s="156" t="s">
        <v>131</v>
      </c>
      <c r="AL2517" s="156" t="s">
        <v>179</v>
      </c>
      <c r="AM2517" s="156" t="s">
        <v>130</v>
      </c>
      <c r="AN2517" s="65"/>
      <c r="AO2517" s="153">
        <v>2990.0</v>
      </c>
      <c r="AP2517" s="153">
        <v>1.98</v>
      </c>
      <c r="AQ2517" s="156" t="s">
        <v>14945</v>
      </c>
      <c r="AR2517" s="156" t="s">
        <v>500</v>
      </c>
      <c r="AS2517" s="156" t="s">
        <v>131</v>
      </c>
      <c r="AT2517" s="156" t="s">
        <v>131</v>
      </c>
      <c r="AU2517" s="156" t="s">
        <v>179</v>
      </c>
      <c r="AV2517" s="156" t="s">
        <v>130</v>
      </c>
      <c r="AW2517" s="65"/>
      <c r="AX2517" s="156" t="s">
        <v>136</v>
      </c>
    </row>
    <row r="2518">
      <c r="A2518" s="41">
        <v>2518.0</v>
      </c>
      <c r="B2518" s="126" t="s">
        <v>516</v>
      </c>
      <c r="C2518" s="59" t="s">
        <v>108</v>
      </c>
      <c r="D2518" s="59" t="s">
        <v>169</v>
      </c>
      <c r="F2518" s="65" t="s">
        <v>14951</v>
      </c>
      <c r="G2518" s="156" t="s">
        <v>14952</v>
      </c>
      <c r="H2518" s="156" t="s">
        <v>7218</v>
      </c>
      <c r="I2518" s="149">
        <v>45767.0</v>
      </c>
      <c r="J2518" s="859"/>
      <c r="K2518" s="65"/>
      <c r="L2518" s="65"/>
      <c r="M2518" s="156" t="s">
        <v>14953</v>
      </c>
      <c r="N2518" s="156" t="s">
        <v>14954</v>
      </c>
      <c r="O2518" s="156" t="s">
        <v>4419</v>
      </c>
      <c r="P2518" s="379" t="s">
        <v>14955</v>
      </c>
      <c r="Q2518" s="49" t="str">
        <f t="array" ref="Q2518"> if(iserror(MATCH(V2518, 'File Links'!C:C, 0)), "N/A", HYPERLINK(INDEX('File Links'!B:B, MATCH(P2518, 'File Links'!C:C, 0))))</f>
        <v>https://drive.google.com/file/d/1tdE0c4oVWthHVrM1fRU9Hx8d8vQz1-mn/view?usp=drivesdk</v>
      </c>
      <c r="R2518" s="156" t="s">
        <v>14956</v>
      </c>
      <c r="S2518" s="156" t="s">
        <v>14957</v>
      </c>
      <c r="T2518" s="65"/>
      <c r="U2518" s="156" t="s">
        <v>4419</v>
      </c>
      <c r="V2518" s="379" t="s">
        <v>14958</v>
      </c>
      <c r="W2518" s="1225"/>
      <c r="X2518" s="51" t="str">
        <f t="array" ref="X2518"> if(iserror(MATCH(V2518, 'File Links'!C:C, 0)), "N/A", HYPERLINK(INDEX('File Links'!B:B, MATCH(V2518, 'File Links'!C:C, 0))))</f>
        <v>https://drive.google.com/file/d/1M_QRPQwfBMR3RZaCJW-QHGxqNlm5L1OL/view?usp=drivesdk</v>
      </c>
      <c r="Y2518" s="65"/>
      <c r="Z2518" s="156" t="s">
        <v>141</v>
      </c>
      <c r="AA2518" s="156" t="s">
        <v>14959</v>
      </c>
      <c r="AB2518" s="156" t="s">
        <v>14960</v>
      </c>
      <c r="AC2518" s="701" t="s">
        <v>14961</v>
      </c>
      <c r="AD2518" s="156" t="s">
        <v>14962</v>
      </c>
      <c r="AE2518" s="156" t="s">
        <v>500</v>
      </c>
      <c r="AF2518" s="153">
        <v>14.0</v>
      </c>
      <c r="AG2518" s="153">
        <v>0.27</v>
      </c>
      <c r="AH2518" s="156" t="s">
        <v>132</v>
      </c>
      <c r="AI2518" s="156" t="s">
        <v>14927</v>
      </c>
      <c r="AJ2518" s="153">
        <v>0.018</v>
      </c>
      <c r="AK2518" s="156" t="s">
        <v>165</v>
      </c>
      <c r="AL2518" s="156" t="s">
        <v>179</v>
      </c>
      <c r="AM2518" s="156" t="s">
        <v>134</v>
      </c>
      <c r="AN2518" s="65"/>
      <c r="AO2518" s="1067">
        <v>50.0</v>
      </c>
      <c r="AP2518" s="153">
        <v>0.314</v>
      </c>
      <c r="AQ2518" s="156" t="s">
        <v>132</v>
      </c>
      <c r="AR2518" s="156" t="s">
        <v>489</v>
      </c>
      <c r="AS2518" s="153">
        <v>0.001</v>
      </c>
      <c r="AT2518" s="156" t="s">
        <v>128</v>
      </c>
      <c r="AU2518" s="156" t="s">
        <v>179</v>
      </c>
      <c r="AV2518" s="156" t="s">
        <v>134</v>
      </c>
      <c r="AW2518" s="432" t="s">
        <v>14963</v>
      </c>
      <c r="AX2518" s="156" t="s">
        <v>136</v>
      </c>
      <c r="AZ2518" s="1060" t="s">
        <v>13197</v>
      </c>
    </row>
    <row r="2519">
      <c r="A2519" s="41">
        <v>2519.0</v>
      </c>
      <c r="B2519" s="126" t="s">
        <v>516</v>
      </c>
      <c r="C2519" s="59" t="s">
        <v>108</v>
      </c>
      <c r="D2519" s="59" t="s">
        <v>169</v>
      </c>
      <c r="F2519" s="65" t="s">
        <v>14964</v>
      </c>
      <c r="G2519" s="156" t="s">
        <v>14965</v>
      </c>
      <c r="H2519" s="156" t="s">
        <v>7218</v>
      </c>
      <c r="I2519" s="149">
        <v>45767.0</v>
      </c>
      <c r="J2519" s="859"/>
      <c r="K2519" s="65"/>
      <c r="L2519" s="65"/>
      <c r="M2519" s="156" t="s">
        <v>14953</v>
      </c>
      <c r="N2519" s="156" t="s">
        <v>14954</v>
      </c>
      <c r="O2519" s="156" t="s">
        <v>4725</v>
      </c>
      <c r="P2519" s="379" t="s">
        <v>14955</v>
      </c>
      <c r="Q2519" s="49" t="str">
        <f t="array" ref="Q2519"> if(iserror(MATCH(V2519, 'File Links'!C:C, 0)), "N/A", HYPERLINK(INDEX('File Links'!B:B, MATCH(P2519, 'File Links'!C:C, 0))))</f>
        <v>https://drive.google.com/file/d/1tdE0c4oVWthHVrM1fRU9Hx8d8vQz1-mn/view?usp=drivesdk</v>
      </c>
      <c r="R2519" s="156" t="s">
        <v>14956</v>
      </c>
      <c r="S2519" s="156" t="s">
        <v>14957</v>
      </c>
      <c r="T2519" s="65"/>
      <c r="U2519" s="156" t="s">
        <v>4725</v>
      </c>
      <c r="V2519" s="379" t="s">
        <v>14958</v>
      </c>
      <c r="W2519" s="1225"/>
      <c r="X2519" s="51" t="str">
        <f t="array" ref="X2519"> if(iserror(MATCH(V2519, 'File Links'!C:C, 0)), "N/A", HYPERLINK(INDEX('File Links'!B:B, MATCH(V2519, 'File Links'!C:C, 0))))</f>
        <v>https://drive.google.com/file/d/1M_QRPQwfBMR3RZaCJW-QHGxqNlm5L1OL/view?usp=drivesdk</v>
      </c>
      <c r="Y2519" s="65"/>
      <c r="Z2519" s="156" t="s">
        <v>141</v>
      </c>
      <c r="AA2519" s="156" t="s">
        <v>14966</v>
      </c>
      <c r="AB2519" s="156" t="s">
        <v>14960</v>
      </c>
      <c r="AC2519" s="701" t="s">
        <v>14967</v>
      </c>
      <c r="AD2519" s="156" t="s">
        <v>14968</v>
      </c>
      <c r="AE2519" s="156" t="s">
        <v>875</v>
      </c>
      <c r="AF2519" s="153">
        <v>30.0</v>
      </c>
      <c r="AG2519" s="153">
        <v>0.16</v>
      </c>
      <c r="AH2519" s="156" t="s">
        <v>132</v>
      </c>
      <c r="AI2519" s="156" t="s">
        <v>489</v>
      </c>
      <c r="AJ2519" s="153">
        <v>0.026</v>
      </c>
      <c r="AK2519" s="156" t="s">
        <v>165</v>
      </c>
      <c r="AL2519" s="156" t="s">
        <v>179</v>
      </c>
      <c r="AM2519" s="156" t="s">
        <v>134</v>
      </c>
      <c r="AN2519" s="65"/>
      <c r="AO2519" s="1067">
        <v>51.0</v>
      </c>
      <c r="AP2519" s="153">
        <v>0.015</v>
      </c>
      <c r="AQ2519" s="156" t="s">
        <v>132</v>
      </c>
      <c r="AR2519" s="156" t="s">
        <v>1035</v>
      </c>
      <c r="AS2519" s="153">
        <v>0.4</v>
      </c>
      <c r="AT2519" s="156" t="s">
        <v>165</v>
      </c>
      <c r="AU2519" s="156" t="s">
        <v>179</v>
      </c>
      <c r="AV2519" s="156" t="s">
        <v>134</v>
      </c>
      <c r="AW2519" s="432" t="s">
        <v>14963</v>
      </c>
      <c r="AX2519" s="156" t="s">
        <v>136</v>
      </c>
      <c r="AZ2519" s="1060" t="s">
        <v>13197</v>
      </c>
    </row>
    <row r="2520">
      <c r="A2520" s="41">
        <v>2520.0</v>
      </c>
      <c r="B2520" s="126" t="s">
        <v>516</v>
      </c>
      <c r="C2520" s="59" t="s">
        <v>108</v>
      </c>
      <c r="D2520" s="59" t="s">
        <v>169</v>
      </c>
      <c r="F2520" s="65" t="s">
        <v>14969</v>
      </c>
      <c r="G2520" s="156" t="s">
        <v>14952</v>
      </c>
      <c r="H2520" s="156" t="s">
        <v>7218</v>
      </c>
      <c r="I2520" s="149">
        <v>45767.0</v>
      </c>
      <c r="J2520" s="859"/>
      <c r="K2520" s="65"/>
      <c r="L2520" s="65"/>
      <c r="M2520" s="156" t="s">
        <v>14953</v>
      </c>
      <c r="N2520" s="156" t="s">
        <v>14954</v>
      </c>
      <c r="O2520" s="156" t="s">
        <v>3798</v>
      </c>
      <c r="P2520" s="379" t="s">
        <v>14955</v>
      </c>
      <c r="Q2520" s="49" t="str">
        <f t="array" ref="Q2520"> if(iserror(MATCH(V2520, 'File Links'!C:C, 0)), "N/A", HYPERLINK(INDEX('File Links'!B:B, MATCH(P2520, 'File Links'!C:C, 0))))</f>
        <v>https://drive.google.com/file/d/1tdE0c4oVWthHVrM1fRU9Hx8d8vQz1-mn/view?usp=drivesdk</v>
      </c>
      <c r="R2520" s="156" t="s">
        <v>14956</v>
      </c>
      <c r="S2520" s="156" t="s">
        <v>14957</v>
      </c>
      <c r="T2520" s="65"/>
      <c r="U2520" s="156" t="s">
        <v>3798</v>
      </c>
      <c r="V2520" s="379" t="s">
        <v>14958</v>
      </c>
      <c r="W2520" s="1225"/>
      <c r="X2520" s="51" t="str">
        <f t="array" ref="X2520"> if(iserror(MATCH(V2520, 'File Links'!C:C, 0)), "N/A", HYPERLINK(INDEX('File Links'!B:B, MATCH(V2520, 'File Links'!C:C, 0))))</f>
        <v>https://drive.google.com/file/d/1M_QRPQwfBMR3RZaCJW-QHGxqNlm5L1OL/view?usp=drivesdk</v>
      </c>
      <c r="Y2520" s="65"/>
      <c r="Z2520" s="156" t="s">
        <v>141</v>
      </c>
      <c r="AA2520" s="156" t="s">
        <v>14966</v>
      </c>
      <c r="AB2520" s="156" t="s">
        <v>14960</v>
      </c>
      <c r="AC2520" s="701" t="s">
        <v>14970</v>
      </c>
      <c r="AD2520" s="156" t="s">
        <v>14971</v>
      </c>
      <c r="AE2520" s="156" t="s">
        <v>4966</v>
      </c>
      <c r="AF2520" s="153">
        <v>12.0</v>
      </c>
      <c r="AG2520" s="153">
        <v>0.35</v>
      </c>
      <c r="AH2520" s="156" t="s">
        <v>132</v>
      </c>
      <c r="AI2520" s="156" t="s">
        <v>1035</v>
      </c>
      <c r="AJ2520" s="153">
        <v>0.033</v>
      </c>
      <c r="AK2520" s="156" t="s">
        <v>165</v>
      </c>
      <c r="AL2520" s="156" t="s">
        <v>179</v>
      </c>
      <c r="AM2520" s="156" t="s">
        <v>134</v>
      </c>
      <c r="AN2520" s="65"/>
      <c r="AO2520" s="1067">
        <v>50.0</v>
      </c>
      <c r="AP2520" s="153">
        <v>0.118</v>
      </c>
      <c r="AQ2520" s="156" t="s">
        <v>132</v>
      </c>
      <c r="AR2520" s="156" t="s">
        <v>597</v>
      </c>
      <c r="AS2520" s="153">
        <v>0.14</v>
      </c>
      <c r="AT2520" s="156" t="s">
        <v>165</v>
      </c>
      <c r="AU2520" s="156" t="s">
        <v>179</v>
      </c>
      <c r="AV2520" s="156" t="s">
        <v>134</v>
      </c>
      <c r="AW2520" s="432" t="s">
        <v>14963</v>
      </c>
      <c r="AX2520" s="156" t="s">
        <v>136</v>
      </c>
      <c r="AZ2520" s="1060" t="s">
        <v>13197</v>
      </c>
    </row>
    <row r="2521">
      <c r="A2521" s="41">
        <v>2521.0</v>
      </c>
      <c r="B2521" s="126" t="s">
        <v>516</v>
      </c>
      <c r="C2521" s="59" t="s">
        <v>108</v>
      </c>
      <c r="D2521" s="59" t="s">
        <v>169</v>
      </c>
      <c r="F2521" s="65" t="s">
        <v>14972</v>
      </c>
      <c r="G2521" s="156" t="s">
        <v>14973</v>
      </c>
      <c r="H2521" s="156" t="s">
        <v>7218</v>
      </c>
      <c r="I2521" s="149">
        <v>45767.0</v>
      </c>
      <c r="J2521" s="859"/>
      <c r="K2521" s="65"/>
      <c r="L2521" s="65"/>
      <c r="M2521" s="156" t="s">
        <v>14974</v>
      </c>
      <c r="N2521" s="156" t="s">
        <v>14954</v>
      </c>
      <c r="O2521" s="156" t="s">
        <v>4419</v>
      </c>
      <c r="P2521" s="379" t="s">
        <v>14955</v>
      </c>
      <c r="Q2521" s="49" t="str">
        <f t="array" ref="Q2521"> if(iserror(MATCH(V2521, 'File Links'!C:C, 0)), "N/A", HYPERLINK(INDEX('File Links'!B:B, MATCH(P2521, 'File Links'!C:C, 0))))</f>
        <v>https://drive.google.com/file/d/1tdE0c4oVWthHVrM1fRU9Hx8d8vQz1-mn/view?usp=drivesdk</v>
      </c>
      <c r="R2521" s="156" t="s">
        <v>14975</v>
      </c>
      <c r="S2521" s="156" t="s">
        <v>14976</v>
      </c>
      <c r="T2521" s="65"/>
      <c r="U2521" s="156" t="s">
        <v>4725</v>
      </c>
      <c r="V2521" s="379" t="s">
        <v>14977</v>
      </c>
      <c r="W2521" s="1225"/>
      <c r="X2521" s="51" t="str">
        <f t="array" ref="X2521"> if(iserror(MATCH(V2521, 'File Links'!C:C, 0)), "N/A", HYPERLINK(INDEX('File Links'!B:B, MATCH(V2521, 'File Links'!C:C, 0))))</f>
        <v>https://drive.google.com/file/d/16jKwdpMjv9iC7Mu_8eP1ZQM-NCwIIMLR/view?usp=drivesdk</v>
      </c>
      <c r="Y2521" s="65"/>
      <c r="Z2521" s="156" t="s">
        <v>141</v>
      </c>
      <c r="AA2521" s="156" t="s">
        <v>14978</v>
      </c>
      <c r="AB2521" s="156" t="s">
        <v>14960</v>
      </c>
      <c r="AC2521" s="701" t="s">
        <v>14979</v>
      </c>
      <c r="AD2521" s="156" t="s">
        <v>14962</v>
      </c>
      <c r="AE2521" s="156" t="s">
        <v>500</v>
      </c>
      <c r="AF2521" s="153">
        <v>14.0</v>
      </c>
      <c r="AG2521" s="153">
        <v>0.27</v>
      </c>
      <c r="AH2521" s="156" t="s">
        <v>132</v>
      </c>
      <c r="AI2521" s="156" t="s">
        <v>14927</v>
      </c>
      <c r="AJ2521" s="153">
        <v>0.018</v>
      </c>
      <c r="AK2521" s="156" t="s">
        <v>165</v>
      </c>
      <c r="AL2521" s="156" t="s">
        <v>179</v>
      </c>
      <c r="AM2521" s="156" t="s">
        <v>134</v>
      </c>
      <c r="AN2521" s="65"/>
      <c r="AO2521" s="1067">
        <v>38.0</v>
      </c>
      <c r="AP2521" s="153">
        <v>0.04</v>
      </c>
      <c r="AQ2521" s="156" t="s">
        <v>132</v>
      </c>
      <c r="AR2521" s="156" t="s">
        <v>14980</v>
      </c>
      <c r="AS2521" s="153">
        <v>0.194</v>
      </c>
      <c r="AT2521" s="156" t="s">
        <v>165</v>
      </c>
      <c r="AU2521" s="156" t="s">
        <v>179</v>
      </c>
      <c r="AV2521" s="156" t="s">
        <v>134</v>
      </c>
      <c r="AW2521" s="432" t="s">
        <v>14981</v>
      </c>
      <c r="AX2521" s="156" t="s">
        <v>136</v>
      </c>
      <c r="AZ2521" s="1060" t="s">
        <v>13197</v>
      </c>
    </row>
    <row r="2522">
      <c r="A2522" s="41">
        <v>2522.0</v>
      </c>
      <c r="B2522" s="126" t="s">
        <v>516</v>
      </c>
      <c r="C2522" s="59" t="s">
        <v>108</v>
      </c>
      <c r="D2522" s="59" t="s">
        <v>169</v>
      </c>
      <c r="F2522" s="65" t="s">
        <v>14982</v>
      </c>
      <c r="G2522" s="156" t="s">
        <v>14983</v>
      </c>
      <c r="H2522" s="156" t="s">
        <v>7218</v>
      </c>
      <c r="I2522" s="149">
        <v>45767.0</v>
      </c>
      <c r="J2522" s="859"/>
      <c r="K2522" s="156" t="s">
        <v>14984</v>
      </c>
      <c r="L2522" s="65"/>
      <c r="M2522" s="156" t="s">
        <v>14985</v>
      </c>
      <c r="N2522" s="677" t="s">
        <v>14986</v>
      </c>
      <c r="O2522" s="156" t="s">
        <v>14987</v>
      </c>
      <c r="P2522" s="379" t="s">
        <v>14988</v>
      </c>
      <c r="Q2522" s="105" t="str">
        <f t="array" ref="Q2522"> if(iserror(MATCH(V2522, 'File Links'!C:C, 0)), "N/A", HYPERLINK(INDEX('File Links'!B:B, MATCH(P2522, 'File Links'!C:C, 0))))</f>
        <v>#N/A</v>
      </c>
      <c r="R2522" s="156" t="s">
        <v>14989</v>
      </c>
      <c r="S2522" s="156" t="s">
        <v>14990</v>
      </c>
      <c r="T2522" s="65"/>
      <c r="U2522" s="156" t="s">
        <v>3841</v>
      </c>
      <c r="V2522" s="379" t="s">
        <v>14991</v>
      </c>
      <c r="W2522" s="1225"/>
      <c r="X2522" s="51" t="str">
        <f t="array" ref="X2522"> if(iserror(MATCH(V2522, 'File Links'!C:C, 0)), "N/A", HYPERLINK(INDEX('File Links'!B:B, MATCH(V2522, 'File Links'!C:C, 0))))</f>
        <v>https://drive.google.com/file/d/1wcNLyGRa4gXByWTxj5jatSzrFvsBvEOa/view?usp=drivesdk</v>
      </c>
      <c r="Y2522" s="65"/>
      <c r="Z2522" s="156" t="s">
        <v>219</v>
      </c>
      <c r="AA2522" s="156" t="s">
        <v>14992</v>
      </c>
      <c r="AB2522" s="156" t="s">
        <v>14993</v>
      </c>
      <c r="AC2522" s="2090" t="s">
        <v>14994</v>
      </c>
      <c r="AD2522" s="156" t="s">
        <v>14995</v>
      </c>
      <c r="AE2522" s="156" t="s">
        <v>4966</v>
      </c>
      <c r="AF2522" s="153">
        <v>44.0</v>
      </c>
      <c r="AG2522" s="153">
        <v>0.1</v>
      </c>
      <c r="AH2522" s="156" t="s">
        <v>867</v>
      </c>
      <c r="AI2522" s="156" t="s">
        <v>4966</v>
      </c>
      <c r="AJ2522" s="153">
        <v>0.045</v>
      </c>
      <c r="AK2522" s="156" t="s">
        <v>165</v>
      </c>
      <c r="AL2522" s="156" t="s">
        <v>179</v>
      </c>
      <c r="AM2522" s="156" t="s">
        <v>134</v>
      </c>
      <c r="AN2522" s="65"/>
      <c r="AO2522" s="153">
        <v>489.0</v>
      </c>
      <c r="AP2522" s="156" t="s">
        <v>14996</v>
      </c>
      <c r="AQ2522" s="156" t="s">
        <v>127</v>
      </c>
      <c r="AR2522" s="156" t="s">
        <v>14997</v>
      </c>
      <c r="AS2522" s="153">
        <v>0.016</v>
      </c>
      <c r="AT2522" s="156" t="s">
        <v>165</v>
      </c>
      <c r="AU2522" s="156" t="s">
        <v>179</v>
      </c>
      <c r="AV2522" s="156" t="s">
        <v>134</v>
      </c>
      <c r="AW2522" s="432" t="s">
        <v>14998</v>
      </c>
      <c r="AX2522" s="156" t="s">
        <v>136</v>
      </c>
    </row>
    <row r="2523">
      <c r="A2523" s="41">
        <v>2523.0</v>
      </c>
      <c r="B2523" s="126" t="s">
        <v>516</v>
      </c>
      <c r="C2523" s="59" t="s">
        <v>108</v>
      </c>
      <c r="D2523" s="59" t="s">
        <v>169</v>
      </c>
      <c r="F2523" s="65" t="s">
        <v>14999</v>
      </c>
      <c r="G2523" s="156" t="s">
        <v>15000</v>
      </c>
      <c r="H2523" s="156" t="s">
        <v>7218</v>
      </c>
      <c r="I2523" s="149">
        <v>45767.0</v>
      </c>
      <c r="J2523" s="859"/>
      <c r="K2523" s="65"/>
      <c r="L2523" s="65"/>
      <c r="M2523" s="156" t="s">
        <v>15001</v>
      </c>
      <c r="N2523" s="677" t="s">
        <v>15002</v>
      </c>
      <c r="O2523" s="156" t="s">
        <v>4725</v>
      </c>
      <c r="P2523" s="379" t="s">
        <v>15003</v>
      </c>
      <c r="Q2523" s="49" t="str">
        <f t="array" ref="Q2523"> if(iserror(MATCH(V2523, 'File Links'!C:C, 0)), "N/A", HYPERLINK(INDEX('File Links'!B:B, MATCH(P2523, 'File Links'!C:C, 0))))</f>
        <v>https://drive.google.com/file/d/1cnM2XgZQxYQfpwgE4BmFxY_VVTpXHKKM/view?usp=drivesdk</v>
      </c>
      <c r="R2523" s="156" t="s">
        <v>15004</v>
      </c>
      <c r="S2523" s="156" t="s">
        <v>15005</v>
      </c>
      <c r="T2523" s="65"/>
      <c r="U2523" s="156" t="s">
        <v>4725</v>
      </c>
      <c r="V2523" s="379" t="s">
        <v>15006</v>
      </c>
      <c r="W2523" s="1225"/>
      <c r="X2523" s="51" t="str">
        <f t="array" ref="X2523"> if(iserror(MATCH(V2523, 'File Links'!C:C, 0)), "N/A", HYPERLINK(INDEX('File Links'!B:B, MATCH(V2523, 'File Links'!C:C, 0))))</f>
        <v>https://drive.google.com/file/d/1p6gI2cN5UJ165JXGw5A-NDRQ1yEvL2O-/view?usp=drivesdk</v>
      </c>
      <c r="Y2523" s="65"/>
      <c r="Z2523" s="156" t="s">
        <v>15007</v>
      </c>
      <c r="AA2523" s="156" t="s">
        <v>15008</v>
      </c>
      <c r="AB2523" s="156" t="s">
        <v>15009</v>
      </c>
      <c r="AC2523" s="156" t="s">
        <v>15010</v>
      </c>
      <c r="AD2523" s="156" t="s">
        <v>15011</v>
      </c>
      <c r="AE2523" s="156" t="s">
        <v>2764</v>
      </c>
      <c r="AF2523" s="153">
        <v>16.0</v>
      </c>
      <c r="AG2523" s="156" t="s">
        <v>15012</v>
      </c>
      <c r="AH2523" s="156" t="s">
        <v>127</v>
      </c>
      <c r="AI2523" s="156" t="s">
        <v>2764</v>
      </c>
      <c r="AJ2523" s="153">
        <v>0.005</v>
      </c>
      <c r="AK2523" s="156" t="s">
        <v>128</v>
      </c>
      <c r="AL2523" s="156" t="s">
        <v>179</v>
      </c>
      <c r="AM2523" s="156" t="s">
        <v>134</v>
      </c>
      <c r="AN2523" s="65"/>
      <c r="AO2523" s="153">
        <v>96.0</v>
      </c>
      <c r="AP2523" s="156" t="s">
        <v>15013</v>
      </c>
      <c r="AQ2523" s="156" t="s">
        <v>127</v>
      </c>
      <c r="AR2523" s="156" t="s">
        <v>15014</v>
      </c>
      <c r="AS2523" s="153">
        <v>0.695</v>
      </c>
      <c r="AT2523" s="156" t="s">
        <v>165</v>
      </c>
      <c r="AU2523" s="156" t="s">
        <v>179</v>
      </c>
      <c r="AV2523" s="156" t="s">
        <v>134</v>
      </c>
      <c r="AW2523" s="432" t="s">
        <v>15015</v>
      </c>
      <c r="AX2523" s="156" t="s">
        <v>136</v>
      </c>
    </row>
    <row r="2524">
      <c r="A2524" s="41">
        <v>2524.0</v>
      </c>
      <c r="B2524" s="126" t="s">
        <v>516</v>
      </c>
      <c r="C2524" s="59" t="s">
        <v>108</v>
      </c>
      <c r="D2524" s="59" t="s">
        <v>169</v>
      </c>
      <c r="F2524" s="65" t="s">
        <v>15016</v>
      </c>
      <c r="G2524" s="156" t="s">
        <v>15017</v>
      </c>
      <c r="H2524" s="156" t="s">
        <v>7218</v>
      </c>
      <c r="I2524" s="149">
        <v>45767.0</v>
      </c>
      <c r="J2524" s="859"/>
      <c r="K2524" s="65"/>
      <c r="L2524" s="156" t="s">
        <v>15018</v>
      </c>
      <c r="M2524" s="156" t="s">
        <v>15019</v>
      </c>
      <c r="N2524" s="156" t="s">
        <v>15020</v>
      </c>
      <c r="O2524" s="65"/>
      <c r="P2524" s="379" t="s">
        <v>15021</v>
      </c>
      <c r="Q2524" s="49" t="str">
        <f t="array" ref="Q2524"> if(iserror(MATCH(V2524, 'File Links'!C:C, 0)), "N/A", HYPERLINK(INDEX('File Links'!B:B, MATCH(P2524, 'File Links'!C:C, 0))))</f>
        <v>https://drive.google.com/file/d/1EwNygj4VffnCLPK-P7EFlmo0-tV2NKRN/view?usp=drivesdk</v>
      </c>
      <c r="R2524" s="156" t="s">
        <v>15022</v>
      </c>
      <c r="S2524" s="156" t="s">
        <v>15023</v>
      </c>
      <c r="T2524" s="65"/>
      <c r="U2524" s="65"/>
      <c r="V2524" s="379" t="s">
        <v>15024</v>
      </c>
      <c r="W2524" s="1225"/>
      <c r="X2524" s="51" t="str">
        <f t="array" ref="X2524"> if(iserror(MATCH(V2524, 'File Links'!C:C, 0)), "N/A", HYPERLINK(INDEX('File Links'!B:B, MATCH(V2524, 'File Links'!C:C, 0))))</f>
        <v>https://drive.google.com/file/d/1qIFGf5ktWSXh7rQfL1KhTAj0tN-Q92hY/view?usp=drivesdk</v>
      </c>
      <c r="Y2524" s="65"/>
      <c r="Z2524" s="156" t="s">
        <v>12703</v>
      </c>
      <c r="AA2524" s="156" t="s">
        <v>15025</v>
      </c>
      <c r="AB2524" s="156" t="s">
        <v>15026</v>
      </c>
      <c r="AC2524" s="156" t="s">
        <v>15027</v>
      </c>
      <c r="AD2524" s="148" t="s">
        <v>15028</v>
      </c>
      <c r="AE2524" s="156" t="s">
        <v>2764</v>
      </c>
      <c r="AF2524" s="153">
        <v>196.0</v>
      </c>
      <c r="AG2524" s="148" t="s">
        <v>15029</v>
      </c>
      <c r="AH2524" s="346" t="s">
        <v>127</v>
      </c>
      <c r="AI2524" s="156" t="s">
        <v>7217</v>
      </c>
      <c r="AJ2524" s="153">
        <v>0.017</v>
      </c>
      <c r="AK2524" s="156" t="s">
        <v>128</v>
      </c>
      <c r="AL2524" s="156" t="s">
        <v>179</v>
      </c>
      <c r="AM2524" s="156" t="s">
        <v>130</v>
      </c>
      <c r="AN2524" s="65"/>
      <c r="AO2524" s="153">
        <v>224.0</v>
      </c>
      <c r="AP2524" s="148" t="s">
        <v>15030</v>
      </c>
      <c r="AQ2524" s="156" t="s">
        <v>15031</v>
      </c>
      <c r="AR2524" s="156" t="s">
        <v>3554</v>
      </c>
      <c r="AS2524" s="153">
        <v>0.774</v>
      </c>
      <c r="AT2524" s="156" t="s">
        <v>165</v>
      </c>
      <c r="AU2524" s="156" t="s">
        <v>179</v>
      </c>
      <c r="AV2524" s="156" t="s">
        <v>130</v>
      </c>
      <c r="AW2524" s="65" t="s">
        <v>15032</v>
      </c>
      <c r="AX2524" s="156" t="s">
        <v>136</v>
      </c>
    </row>
    <row r="2525">
      <c r="A2525" s="41">
        <v>2525.0</v>
      </c>
      <c r="B2525" s="126" t="s">
        <v>516</v>
      </c>
      <c r="C2525" s="59" t="s">
        <v>108</v>
      </c>
      <c r="D2525" s="59" t="s">
        <v>169</v>
      </c>
      <c r="F2525" s="65" t="s">
        <v>15033</v>
      </c>
      <c r="G2525" s="156" t="s">
        <v>15034</v>
      </c>
      <c r="H2525" s="156" t="s">
        <v>7218</v>
      </c>
      <c r="I2525" s="149">
        <v>45767.0</v>
      </c>
      <c r="J2525" s="859"/>
      <c r="K2525" s="65"/>
      <c r="L2525" s="156" t="s">
        <v>15018</v>
      </c>
      <c r="M2525" s="156" t="s">
        <v>15019</v>
      </c>
      <c r="N2525" s="156" t="s">
        <v>15020</v>
      </c>
      <c r="O2525" s="65"/>
      <c r="P2525" s="379" t="s">
        <v>15021</v>
      </c>
      <c r="Q2525" s="49" t="str">
        <f t="array" ref="Q2525"> if(iserror(MATCH(V2525, 'File Links'!C:C, 0)), "N/A", HYPERLINK(INDEX('File Links'!B:B, MATCH(P2525, 'File Links'!C:C, 0))))</f>
        <v>https://drive.google.com/file/d/1EwNygj4VffnCLPK-P7EFlmo0-tV2NKRN/view?usp=drivesdk</v>
      </c>
      <c r="R2525" s="156" t="s">
        <v>15022</v>
      </c>
      <c r="S2525" s="156" t="s">
        <v>15023</v>
      </c>
      <c r="T2525" s="65"/>
      <c r="U2525" s="65"/>
      <c r="V2525" s="379" t="s">
        <v>15024</v>
      </c>
      <c r="W2525" s="1225"/>
      <c r="X2525" s="51" t="str">
        <f t="array" ref="X2525"> if(iserror(MATCH(V2525, 'File Links'!C:C, 0)), "N/A", HYPERLINK(INDEX('File Links'!B:B, MATCH(V2525, 'File Links'!C:C, 0))))</f>
        <v>https://drive.google.com/file/d/1qIFGf5ktWSXh7rQfL1KhTAj0tN-Q92hY/view?usp=drivesdk</v>
      </c>
      <c r="Y2525" s="65"/>
      <c r="Z2525" s="156" t="s">
        <v>12703</v>
      </c>
      <c r="AA2525" s="156" t="s">
        <v>15025</v>
      </c>
      <c r="AB2525" s="156" t="s">
        <v>15026</v>
      </c>
      <c r="AC2525" s="156" t="s">
        <v>15035</v>
      </c>
      <c r="AD2525" s="148" t="s">
        <v>15028</v>
      </c>
      <c r="AE2525" s="156" t="s">
        <v>2764</v>
      </c>
      <c r="AF2525" s="153">
        <v>196.0</v>
      </c>
      <c r="AG2525" s="148" t="s">
        <v>15029</v>
      </c>
      <c r="AH2525" s="346" t="s">
        <v>127</v>
      </c>
      <c r="AI2525" s="156" t="s">
        <v>7217</v>
      </c>
      <c r="AJ2525" s="153">
        <v>0.017</v>
      </c>
      <c r="AK2525" s="156" t="s">
        <v>128</v>
      </c>
      <c r="AL2525" s="156" t="s">
        <v>179</v>
      </c>
      <c r="AM2525" s="156" t="s">
        <v>130</v>
      </c>
      <c r="AN2525" s="65"/>
      <c r="AO2525" s="153">
        <v>527.0</v>
      </c>
      <c r="AP2525" s="148" t="s">
        <v>15036</v>
      </c>
      <c r="AQ2525" s="156" t="s">
        <v>15031</v>
      </c>
      <c r="AR2525" s="156" t="s">
        <v>3554</v>
      </c>
      <c r="AS2525" s="153">
        <v>0.12</v>
      </c>
      <c r="AT2525" s="156" t="s">
        <v>165</v>
      </c>
      <c r="AU2525" s="156" t="s">
        <v>179</v>
      </c>
      <c r="AV2525" s="156" t="s">
        <v>130</v>
      </c>
      <c r="AW2525" s="591" t="s">
        <v>15037</v>
      </c>
      <c r="AX2525" s="156" t="s">
        <v>136</v>
      </c>
    </row>
    <row r="2526">
      <c r="A2526" s="41">
        <v>2526.0</v>
      </c>
      <c r="B2526" s="1773" t="s">
        <v>107</v>
      </c>
      <c r="C2526" s="1774" t="s">
        <v>108</v>
      </c>
      <c r="D2526" s="1774" t="s">
        <v>241</v>
      </c>
      <c r="E2526" s="1775"/>
      <c r="F2526" s="1785" t="s">
        <v>15038</v>
      </c>
      <c r="G2526" s="1784" t="s">
        <v>15039</v>
      </c>
      <c r="H2526" s="1784" t="s">
        <v>242</v>
      </c>
      <c r="I2526" s="2116">
        <v>45758.0</v>
      </c>
      <c r="J2526" s="1778">
        <v>45786.0</v>
      </c>
      <c r="K2526" s="1784" t="s">
        <v>15040</v>
      </c>
      <c r="L2526" s="2117" t="s">
        <v>15041</v>
      </c>
      <c r="M2526" s="1784" t="s">
        <v>15042</v>
      </c>
      <c r="N2526" s="1784" t="s">
        <v>15043</v>
      </c>
      <c r="O2526" s="2081">
        <v>4.0</v>
      </c>
      <c r="P2526" s="1784" t="s">
        <v>15044</v>
      </c>
      <c r="Q2526" s="49" t="str">
        <f t="array" ref="Q2526"> if(iserror(MATCH(V2526, 'File Links'!C:C, 0)), "N/A", HYPERLINK(INDEX('File Links'!B:B, MATCH(P2526, 'File Links'!C:C, 0))))</f>
        <v>https://drive.google.com/file/d/1qQJNn7ZvoufwBSS_pp5Ek1nTMCXq-Gfn/view?usp=drivesdk</v>
      </c>
      <c r="R2526" s="1784" t="s">
        <v>15045</v>
      </c>
      <c r="S2526" s="1784" t="s">
        <v>10148</v>
      </c>
      <c r="T2526" s="1785"/>
      <c r="U2526" s="1773">
        <v>17.0</v>
      </c>
      <c r="V2526" s="1784" t="s">
        <v>10149</v>
      </c>
      <c r="W2526" s="1773" t="s">
        <v>202</v>
      </c>
      <c r="X2526" s="51" t="str">
        <f t="array" ref="X2526"> if(iserror(MATCH(V2526, 'File Links'!C:C, 0)), "N/A", HYPERLINK(INDEX('File Links'!B:B, MATCH(V2526, 'File Links'!C:C, 0))))</f>
        <v>https://drive.google.com/file/d/1Irbmig3rfLDvz-G09jDAVwJvv1drYEqO/view?usp=drivesdk</v>
      </c>
      <c r="Y2526" s="1785"/>
      <c r="Z2526" s="1784" t="s">
        <v>2072</v>
      </c>
      <c r="AA2526" s="368" t="s">
        <v>15046</v>
      </c>
      <c r="AB2526" s="1776" t="s">
        <v>15047</v>
      </c>
      <c r="AC2526" s="1784" t="s">
        <v>15048</v>
      </c>
      <c r="AD2526" s="1784" t="s">
        <v>15049</v>
      </c>
      <c r="AE2526" s="1784" t="s">
        <v>15050</v>
      </c>
      <c r="AF2526" s="2081">
        <v>198.0</v>
      </c>
      <c r="AG2526" s="2081">
        <v>0.34</v>
      </c>
      <c r="AH2526" s="1784" t="s">
        <v>166</v>
      </c>
      <c r="AI2526" s="1784" t="s">
        <v>15051</v>
      </c>
      <c r="AJ2526" s="2081">
        <v>0.03</v>
      </c>
      <c r="AK2526" s="1784" t="s">
        <v>128</v>
      </c>
      <c r="AL2526" s="1784" t="s">
        <v>179</v>
      </c>
      <c r="AM2526" s="1784" t="s">
        <v>134</v>
      </c>
      <c r="AN2526" s="1784" t="s">
        <v>131</v>
      </c>
      <c r="AO2526" s="493">
        <v>573.0</v>
      </c>
      <c r="AP2526" s="1784" t="s">
        <v>15052</v>
      </c>
      <c r="AQ2526" s="1784" t="s">
        <v>127</v>
      </c>
      <c r="AR2526" s="1776" t="s">
        <v>15053</v>
      </c>
      <c r="AS2526" s="2081">
        <v>0.377</v>
      </c>
      <c r="AT2526" s="1784" t="s">
        <v>165</v>
      </c>
      <c r="AU2526" s="1784" t="s">
        <v>179</v>
      </c>
      <c r="AV2526" s="1784" t="s">
        <v>134</v>
      </c>
      <c r="AW2526" s="2118" t="s">
        <v>15054</v>
      </c>
      <c r="AX2526" s="1784" t="s">
        <v>136</v>
      </c>
      <c r="AZ2526" s="1774" t="s">
        <v>1263</v>
      </c>
      <c r="BA2526" s="1775"/>
      <c r="BB2526" s="1775"/>
      <c r="BC2526" s="1775"/>
      <c r="BD2526" s="1775"/>
      <c r="BE2526" s="1775"/>
      <c r="BF2526" s="1775"/>
      <c r="BG2526" s="1775"/>
      <c r="BH2526" s="1775"/>
      <c r="BI2526" s="1775"/>
      <c r="BJ2526" s="1775"/>
      <c r="BK2526" s="1775"/>
      <c r="BL2526" s="1775"/>
      <c r="BM2526" s="1775"/>
      <c r="BN2526" s="1775"/>
      <c r="BO2526" s="1775"/>
      <c r="BP2526" s="1775"/>
      <c r="BQ2526" s="1775"/>
      <c r="BR2526" s="1775"/>
      <c r="BS2526" s="1775"/>
      <c r="BT2526" s="1775"/>
      <c r="BU2526" s="1775"/>
      <c r="BV2526" s="1775"/>
      <c r="BW2526" s="1775"/>
      <c r="BX2526" s="1775"/>
      <c r="BY2526" s="1775"/>
      <c r="BZ2526" s="1775"/>
      <c r="CA2526" s="1775"/>
      <c r="CB2526" s="1775"/>
      <c r="CC2526" s="1775"/>
      <c r="CD2526" s="1775"/>
      <c r="CE2526" s="1775"/>
      <c r="CF2526" s="1775"/>
      <c r="CG2526" s="1775"/>
      <c r="CH2526" s="1775"/>
      <c r="CI2526" s="1775"/>
      <c r="CJ2526" s="1775"/>
      <c r="CK2526" s="1775"/>
      <c r="CL2526" s="1775"/>
      <c r="CM2526" s="1775"/>
      <c r="CN2526" s="1775"/>
      <c r="CO2526" s="1775"/>
      <c r="CP2526" s="1775"/>
      <c r="CQ2526" s="1775"/>
      <c r="CR2526" s="1775"/>
      <c r="CS2526" s="1775"/>
      <c r="CT2526" s="1775"/>
      <c r="CU2526" s="1775"/>
      <c r="CV2526" s="1775"/>
      <c r="CW2526" s="1775"/>
      <c r="CX2526" s="1775"/>
      <c r="CY2526" s="1775"/>
      <c r="CZ2526" s="1775"/>
      <c r="DA2526" s="1775"/>
      <c r="DB2526" s="1775"/>
      <c r="DC2526" s="1775"/>
      <c r="DD2526" s="1775"/>
      <c r="DE2526" s="1775"/>
      <c r="DF2526" s="1775"/>
      <c r="DG2526" s="1775"/>
      <c r="DH2526" s="1775"/>
    </row>
    <row r="2527">
      <c r="A2527" s="41">
        <v>2527.0</v>
      </c>
      <c r="B2527" s="126" t="s">
        <v>107</v>
      </c>
      <c r="C2527" s="59" t="s">
        <v>108</v>
      </c>
      <c r="D2527" s="59" t="s">
        <v>241</v>
      </c>
      <c r="F2527" s="65" t="s">
        <v>15038</v>
      </c>
      <c r="G2527" s="156" t="s">
        <v>15055</v>
      </c>
      <c r="H2527" s="156" t="s">
        <v>242</v>
      </c>
      <c r="I2527" s="149">
        <v>45758.0</v>
      </c>
      <c r="J2527" s="1778">
        <v>45786.0</v>
      </c>
      <c r="K2527" s="156" t="s">
        <v>15040</v>
      </c>
      <c r="L2527" s="2117" t="s">
        <v>15056</v>
      </c>
      <c r="M2527" s="156" t="s">
        <v>15042</v>
      </c>
      <c r="N2527" s="156" t="s">
        <v>15043</v>
      </c>
      <c r="O2527" s="153">
        <v>4.0</v>
      </c>
      <c r="P2527" s="379" t="s">
        <v>15044</v>
      </c>
      <c r="Q2527" s="49" t="str">
        <f t="array" ref="Q2527"> if(iserror(MATCH(V2527, 'File Links'!C:C, 0)), "N/A", HYPERLINK(INDEX('File Links'!B:B, MATCH(P2527, 'File Links'!C:C, 0))))</f>
        <v>https://drive.google.com/file/d/1qQJNn7ZvoufwBSS_pp5Ek1nTMCXq-Gfn/view?usp=drivesdk</v>
      </c>
      <c r="R2527" s="156" t="s">
        <v>15045</v>
      </c>
      <c r="S2527" s="156" t="s">
        <v>10148</v>
      </c>
      <c r="T2527" s="65"/>
      <c r="U2527" s="126">
        <v>17.0</v>
      </c>
      <c r="V2527" s="379" t="s">
        <v>10149</v>
      </c>
      <c r="W2527" s="1773" t="s">
        <v>202</v>
      </c>
      <c r="X2527" s="51" t="str">
        <f t="array" ref="X2527"> if(iserror(MATCH(V2527, 'File Links'!C:C, 0)), "N/A", HYPERLINK(INDEX('File Links'!B:B, MATCH(V2527, 'File Links'!C:C, 0))))</f>
        <v>https://drive.google.com/file/d/1Irbmig3rfLDvz-G09jDAVwJvv1drYEqO/view?usp=drivesdk</v>
      </c>
      <c r="Y2527" s="65"/>
      <c r="Z2527" s="156" t="s">
        <v>2072</v>
      </c>
      <c r="AA2527" s="368" t="s">
        <v>15046</v>
      </c>
      <c r="AB2527" s="156" t="s">
        <v>15057</v>
      </c>
      <c r="AC2527" s="156" t="s">
        <v>15048</v>
      </c>
      <c r="AD2527" s="156" t="s">
        <v>15058</v>
      </c>
      <c r="AE2527" s="156" t="s">
        <v>1167</v>
      </c>
      <c r="AF2527" s="153">
        <v>198.0</v>
      </c>
      <c r="AG2527" s="153">
        <v>-0.29</v>
      </c>
      <c r="AH2527" s="156" t="s">
        <v>980</v>
      </c>
      <c r="AI2527" s="156" t="s">
        <v>15059</v>
      </c>
      <c r="AJ2527" s="153">
        <v>0.02</v>
      </c>
      <c r="AK2527" s="156" t="s">
        <v>128</v>
      </c>
      <c r="AL2527" s="156" t="s">
        <v>179</v>
      </c>
      <c r="AM2527" s="156" t="s">
        <v>134</v>
      </c>
      <c r="AN2527" s="156" t="s">
        <v>131</v>
      </c>
      <c r="AO2527" s="493">
        <v>573.0</v>
      </c>
      <c r="AP2527" s="153">
        <v>0.08</v>
      </c>
      <c r="AQ2527" s="156" t="s">
        <v>980</v>
      </c>
      <c r="AR2527" s="377" t="s">
        <v>15060</v>
      </c>
      <c r="AS2527" s="153">
        <v>0.059</v>
      </c>
      <c r="AT2527" s="156" t="s">
        <v>165</v>
      </c>
      <c r="AU2527" s="156" t="s">
        <v>179</v>
      </c>
      <c r="AV2527" s="156" t="s">
        <v>134</v>
      </c>
      <c r="AW2527" s="432" t="s">
        <v>15054</v>
      </c>
      <c r="AX2527" s="156" t="s">
        <v>136</v>
      </c>
      <c r="AZ2527" s="59" t="s">
        <v>1263</v>
      </c>
    </row>
    <row r="2528">
      <c r="A2528" s="41">
        <v>2528.0</v>
      </c>
      <c r="B2528" s="126" t="s">
        <v>107</v>
      </c>
      <c r="C2528" s="59" t="s">
        <v>108</v>
      </c>
      <c r="D2528" s="59" t="s">
        <v>241</v>
      </c>
      <c r="F2528" s="65" t="s">
        <v>15038</v>
      </c>
      <c r="G2528" s="156" t="s">
        <v>15061</v>
      </c>
      <c r="H2528" s="156" t="s">
        <v>242</v>
      </c>
      <c r="I2528" s="149">
        <v>45758.0</v>
      </c>
      <c r="J2528" s="1778">
        <v>45786.0</v>
      </c>
      <c r="K2528" s="156" t="s">
        <v>15040</v>
      </c>
      <c r="L2528" s="126" t="s">
        <v>15062</v>
      </c>
      <c r="M2528" s="156" t="s">
        <v>15042</v>
      </c>
      <c r="N2528" s="156" t="s">
        <v>15043</v>
      </c>
      <c r="O2528" s="153">
        <v>4.0</v>
      </c>
      <c r="P2528" s="379" t="s">
        <v>15044</v>
      </c>
      <c r="Q2528" s="49" t="str">
        <f t="array" ref="Q2528"> if(iserror(MATCH(V2528, 'File Links'!C:C, 0)), "N/A", HYPERLINK(INDEX('File Links'!B:B, MATCH(P2528, 'File Links'!C:C, 0))))</f>
        <v>https://drive.google.com/file/d/1qQJNn7ZvoufwBSS_pp5Ek1nTMCXq-Gfn/view?usp=drivesdk</v>
      </c>
      <c r="R2528" s="156" t="s">
        <v>15045</v>
      </c>
      <c r="S2528" s="156" t="s">
        <v>10148</v>
      </c>
      <c r="T2528" s="65"/>
      <c r="U2528" s="126">
        <v>17.0</v>
      </c>
      <c r="V2528" s="379" t="s">
        <v>10149</v>
      </c>
      <c r="W2528" s="1773" t="s">
        <v>202</v>
      </c>
      <c r="X2528" s="51" t="str">
        <f t="array" ref="X2528"> if(iserror(MATCH(V2528, 'File Links'!C:C, 0)), "N/A", HYPERLINK(INDEX('File Links'!B:B, MATCH(V2528, 'File Links'!C:C, 0))))</f>
        <v>https://drive.google.com/file/d/1Irbmig3rfLDvz-G09jDAVwJvv1drYEqO/view?usp=drivesdk</v>
      </c>
      <c r="Y2528" s="65"/>
      <c r="Z2528" s="156" t="s">
        <v>2072</v>
      </c>
      <c r="AA2528" s="368" t="s">
        <v>15046</v>
      </c>
      <c r="AB2528" s="156" t="s">
        <v>15057</v>
      </c>
      <c r="AC2528" s="156" t="s">
        <v>15048</v>
      </c>
      <c r="AD2528" s="156" t="s">
        <v>15063</v>
      </c>
      <c r="AE2528" s="156" t="s">
        <v>1167</v>
      </c>
      <c r="AF2528" s="153">
        <v>198.0</v>
      </c>
      <c r="AG2528" s="377" t="s">
        <v>15064</v>
      </c>
      <c r="AH2528" s="156" t="s">
        <v>127</v>
      </c>
      <c r="AI2528" s="148" t="s">
        <v>15065</v>
      </c>
      <c r="AJ2528" s="153">
        <v>0.001</v>
      </c>
      <c r="AK2528" s="156" t="s">
        <v>128</v>
      </c>
      <c r="AL2528" s="156" t="s">
        <v>179</v>
      </c>
      <c r="AM2528" s="156" t="s">
        <v>134</v>
      </c>
      <c r="AN2528" s="156" t="s">
        <v>131</v>
      </c>
      <c r="AO2528" s="493">
        <v>573.0</v>
      </c>
      <c r="AP2528" s="478" t="s">
        <v>15066</v>
      </c>
      <c r="AQ2528" s="478" t="s">
        <v>127</v>
      </c>
      <c r="AR2528" s="478" t="s">
        <v>2300</v>
      </c>
      <c r="AS2528" s="493">
        <v>0.312</v>
      </c>
      <c r="AT2528" s="478" t="s">
        <v>165</v>
      </c>
      <c r="AU2528" s="156" t="s">
        <v>179</v>
      </c>
      <c r="AV2528" s="156" t="s">
        <v>134</v>
      </c>
      <c r="AW2528" s="432" t="s">
        <v>15054</v>
      </c>
      <c r="AX2528" s="156" t="s">
        <v>136</v>
      </c>
      <c r="AZ2528" s="59" t="s">
        <v>1263</v>
      </c>
    </row>
    <row r="2529">
      <c r="A2529" s="41">
        <v>2529.0</v>
      </c>
      <c r="B2529" s="126" t="s">
        <v>107</v>
      </c>
      <c r="C2529" s="59" t="s">
        <v>108</v>
      </c>
      <c r="D2529" s="59" t="s">
        <v>241</v>
      </c>
      <c r="F2529" s="65" t="s">
        <v>15038</v>
      </c>
      <c r="G2529" s="156" t="s">
        <v>15067</v>
      </c>
      <c r="H2529" s="156" t="s">
        <v>242</v>
      </c>
      <c r="I2529" s="149">
        <v>45758.0</v>
      </c>
      <c r="J2529" s="1778">
        <v>45786.0</v>
      </c>
      <c r="K2529" s="156" t="s">
        <v>15040</v>
      </c>
      <c r="L2529" s="126" t="s">
        <v>15041</v>
      </c>
      <c r="M2529" s="156" t="s">
        <v>15042</v>
      </c>
      <c r="N2529" s="156" t="s">
        <v>15043</v>
      </c>
      <c r="O2529" s="153">
        <v>4.0</v>
      </c>
      <c r="P2529" s="379" t="s">
        <v>15044</v>
      </c>
      <c r="Q2529" s="49" t="str">
        <f t="array" ref="Q2529"> if(iserror(MATCH(V2529, 'File Links'!C:C, 0)), "N/A", HYPERLINK(INDEX('File Links'!B:B, MATCH(P2529, 'File Links'!C:C, 0))))</f>
        <v>https://drive.google.com/file/d/1qQJNn7ZvoufwBSS_pp5Ek1nTMCXq-Gfn/view?usp=drivesdk</v>
      </c>
      <c r="R2529" s="156" t="s">
        <v>15045</v>
      </c>
      <c r="S2529" s="156" t="s">
        <v>10148</v>
      </c>
      <c r="T2529" s="65"/>
      <c r="U2529" s="126">
        <v>17.0</v>
      </c>
      <c r="V2529" s="379" t="s">
        <v>10149</v>
      </c>
      <c r="W2529" s="1773" t="s">
        <v>202</v>
      </c>
      <c r="X2529" s="51" t="str">
        <f t="array" ref="X2529"> if(iserror(MATCH(V2529, 'File Links'!C:C, 0)), "N/A", HYPERLINK(INDEX('File Links'!B:B, MATCH(V2529, 'File Links'!C:C, 0))))</f>
        <v>https://drive.google.com/file/d/1Irbmig3rfLDvz-G09jDAVwJvv1drYEqO/view?usp=drivesdk</v>
      </c>
      <c r="Y2529" s="65"/>
      <c r="Z2529" s="156" t="s">
        <v>2072</v>
      </c>
      <c r="AA2529" s="368" t="s">
        <v>15046</v>
      </c>
      <c r="AB2529" s="156" t="s">
        <v>15057</v>
      </c>
      <c r="AC2529" s="156" t="s">
        <v>15048</v>
      </c>
      <c r="AD2529" s="156" t="s">
        <v>15068</v>
      </c>
      <c r="AE2529" s="156" t="s">
        <v>1167</v>
      </c>
      <c r="AF2529" s="153">
        <v>198.0</v>
      </c>
      <c r="AG2529" s="148" t="s">
        <v>15069</v>
      </c>
      <c r="AH2529" s="156" t="s">
        <v>127</v>
      </c>
      <c r="AI2529" s="156" t="s">
        <v>15070</v>
      </c>
      <c r="AJ2529" s="153">
        <v>0.9</v>
      </c>
      <c r="AK2529" s="156" t="s">
        <v>328</v>
      </c>
      <c r="AL2529" s="156" t="s">
        <v>179</v>
      </c>
      <c r="AM2529" s="156" t="s">
        <v>134</v>
      </c>
      <c r="AN2529" s="156" t="s">
        <v>131</v>
      </c>
      <c r="AO2529" s="493">
        <v>573.0</v>
      </c>
      <c r="AP2529" s="153">
        <v>-0.19</v>
      </c>
      <c r="AQ2529" s="156" t="s">
        <v>980</v>
      </c>
      <c r="AR2529" s="148" t="s">
        <v>15071</v>
      </c>
      <c r="AS2529" s="153">
        <v>0.046</v>
      </c>
      <c r="AT2529" s="156" t="s">
        <v>165</v>
      </c>
      <c r="AU2529" s="156" t="s">
        <v>179</v>
      </c>
      <c r="AV2529" s="156" t="s">
        <v>134</v>
      </c>
      <c r="AW2529" s="432" t="s">
        <v>15054</v>
      </c>
      <c r="AX2529" s="156" t="s">
        <v>136</v>
      </c>
      <c r="AZ2529" s="59" t="s">
        <v>1263</v>
      </c>
    </row>
    <row r="2530">
      <c r="A2530" s="41">
        <v>2530.0</v>
      </c>
      <c r="B2530" s="126" t="s">
        <v>107</v>
      </c>
      <c r="C2530" s="59" t="s">
        <v>108</v>
      </c>
      <c r="D2530" s="59" t="s">
        <v>241</v>
      </c>
      <c r="F2530" s="65" t="s">
        <v>15038</v>
      </c>
      <c r="G2530" s="156" t="s">
        <v>15072</v>
      </c>
      <c r="H2530" s="156" t="s">
        <v>242</v>
      </c>
      <c r="I2530" s="149">
        <v>45758.0</v>
      </c>
      <c r="J2530" s="1778">
        <v>45786.0</v>
      </c>
      <c r="K2530" s="156" t="s">
        <v>15073</v>
      </c>
      <c r="L2530" s="126" t="s">
        <v>15074</v>
      </c>
      <c r="M2530" s="156" t="s">
        <v>15042</v>
      </c>
      <c r="N2530" s="156" t="s">
        <v>15043</v>
      </c>
      <c r="O2530" s="153">
        <v>4.0</v>
      </c>
      <c r="P2530" s="379" t="s">
        <v>15044</v>
      </c>
      <c r="Q2530" s="49" t="str">
        <f t="array" ref="Q2530"> if(iserror(MATCH(V2530, 'File Links'!C:C, 0)), "N/A", HYPERLINK(INDEX('File Links'!B:B, MATCH(P2530, 'File Links'!C:C, 0))))</f>
        <v>https://drive.google.com/file/d/1qQJNn7ZvoufwBSS_pp5Ek1nTMCXq-Gfn/view?usp=drivesdk</v>
      </c>
      <c r="R2530" s="156" t="s">
        <v>15045</v>
      </c>
      <c r="S2530" s="156" t="s">
        <v>10148</v>
      </c>
      <c r="T2530" s="65"/>
      <c r="U2530" s="126">
        <v>17.0</v>
      </c>
      <c r="V2530" s="379" t="s">
        <v>10149</v>
      </c>
      <c r="W2530" s="1773" t="s">
        <v>202</v>
      </c>
      <c r="X2530" s="51" t="str">
        <f t="array" ref="X2530"> if(iserror(MATCH(V2530, 'File Links'!C:C, 0)), "N/A", HYPERLINK(INDEX('File Links'!B:B, MATCH(V2530, 'File Links'!C:C, 0))))</f>
        <v>https://drive.google.com/file/d/1Irbmig3rfLDvz-G09jDAVwJvv1drYEqO/view?usp=drivesdk</v>
      </c>
      <c r="Y2530" s="126" t="s">
        <v>134</v>
      </c>
      <c r="Z2530" s="156" t="s">
        <v>2072</v>
      </c>
      <c r="AA2530" s="368" t="s">
        <v>15046</v>
      </c>
      <c r="AB2530" s="156" t="s">
        <v>15057</v>
      </c>
      <c r="AC2530" s="156" t="s">
        <v>15048</v>
      </c>
      <c r="AD2530" s="156" t="s">
        <v>15049</v>
      </c>
      <c r="AE2530" s="156" t="s">
        <v>15050</v>
      </c>
      <c r="AF2530" s="153">
        <v>198.0</v>
      </c>
      <c r="AG2530" s="153">
        <v>0.34</v>
      </c>
      <c r="AH2530" s="156" t="s">
        <v>166</v>
      </c>
      <c r="AI2530" s="156" t="s">
        <v>15051</v>
      </c>
      <c r="AJ2530" s="153">
        <v>0.03</v>
      </c>
      <c r="AK2530" s="156" t="s">
        <v>128</v>
      </c>
      <c r="AL2530" s="156" t="s">
        <v>179</v>
      </c>
      <c r="AM2530" s="156" t="s">
        <v>134</v>
      </c>
      <c r="AN2530" s="156" t="s">
        <v>131</v>
      </c>
      <c r="AO2530" s="153">
        <v>504.0</v>
      </c>
      <c r="AP2530" s="156" t="s">
        <v>15075</v>
      </c>
      <c r="AQ2530" s="156" t="s">
        <v>127</v>
      </c>
      <c r="AR2530" s="156" t="s">
        <v>15076</v>
      </c>
      <c r="AS2530" s="153">
        <v>0.399</v>
      </c>
      <c r="AT2530" s="156" t="s">
        <v>165</v>
      </c>
      <c r="AU2530" s="156" t="s">
        <v>179</v>
      </c>
      <c r="AV2530" s="156" t="s">
        <v>134</v>
      </c>
      <c r="AW2530" s="432" t="s">
        <v>15054</v>
      </c>
      <c r="AX2530" s="156" t="s">
        <v>136</v>
      </c>
      <c r="AZ2530" s="59" t="s">
        <v>1263</v>
      </c>
    </row>
    <row r="2531">
      <c r="A2531" s="41">
        <v>2531.0</v>
      </c>
      <c r="B2531" s="126" t="s">
        <v>107</v>
      </c>
      <c r="C2531" s="59" t="s">
        <v>108</v>
      </c>
      <c r="D2531" s="59" t="s">
        <v>241</v>
      </c>
      <c r="F2531" s="65" t="s">
        <v>15038</v>
      </c>
      <c r="G2531" s="156" t="s">
        <v>15077</v>
      </c>
      <c r="H2531" s="156" t="s">
        <v>242</v>
      </c>
      <c r="I2531" s="149">
        <v>45758.0</v>
      </c>
      <c r="J2531" s="1778">
        <v>45786.0</v>
      </c>
      <c r="K2531" s="156" t="s">
        <v>15073</v>
      </c>
      <c r="L2531" s="126" t="s">
        <v>15074</v>
      </c>
      <c r="M2531" s="156" t="s">
        <v>15042</v>
      </c>
      <c r="N2531" s="156" t="s">
        <v>15043</v>
      </c>
      <c r="O2531" s="153">
        <v>4.0</v>
      </c>
      <c r="P2531" s="379" t="s">
        <v>15044</v>
      </c>
      <c r="Q2531" s="49" t="str">
        <f t="array" ref="Q2531"> if(iserror(MATCH(V2531, 'File Links'!C:C, 0)), "N/A", HYPERLINK(INDEX('File Links'!B:B, MATCH(P2531, 'File Links'!C:C, 0))))</f>
        <v>https://drive.google.com/file/d/1qQJNn7ZvoufwBSS_pp5Ek1nTMCXq-Gfn/view?usp=drivesdk</v>
      </c>
      <c r="R2531" s="156" t="s">
        <v>15045</v>
      </c>
      <c r="S2531" s="156" t="s">
        <v>10148</v>
      </c>
      <c r="T2531" s="65"/>
      <c r="U2531" s="126">
        <v>17.0</v>
      </c>
      <c r="V2531" s="379" t="s">
        <v>10149</v>
      </c>
      <c r="W2531" s="1773" t="s">
        <v>202</v>
      </c>
      <c r="X2531" s="51" t="str">
        <f t="array" ref="X2531"> if(iserror(MATCH(V2531, 'File Links'!C:C, 0)), "N/A", HYPERLINK(INDEX('File Links'!B:B, MATCH(V2531, 'File Links'!C:C, 0))))</f>
        <v>https://drive.google.com/file/d/1Irbmig3rfLDvz-G09jDAVwJvv1drYEqO/view?usp=drivesdk</v>
      </c>
      <c r="Y2531" s="126" t="s">
        <v>134</v>
      </c>
      <c r="Z2531" s="156" t="s">
        <v>2072</v>
      </c>
      <c r="AA2531" s="368" t="s">
        <v>15046</v>
      </c>
      <c r="AB2531" s="156" t="s">
        <v>15057</v>
      </c>
      <c r="AC2531" s="156" t="s">
        <v>15048</v>
      </c>
      <c r="AD2531" s="156" t="s">
        <v>15058</v>
      </c>
      <c r="AE2531" s="156" t="s">
        <v>1167</v>
      </c>
      <c r="AF2531" s="153">
        <v>198.0</v>
      </c>
      <c r="AG2531" s="153">
        <v>-0.29</v>
      </c>
      <c r="AH2531" s="156" t="s">
        <v>980</v>
      </c>
      <c r="AI2531" s="156" t="s">
        <v>15059</v>
      </c>
      <c r="AJ2531" s="153">
        <v>0.02</v>
      </c>
      <c r="AK2531" s="156" t="s">
        <v>128</v>
      </c>
      <c r="AL2531" s="156" t="s">
        <v>179</v>
      </c>
      <c r="AM2531" s="156" t="s">
        <v>134</v>
      </c>
      <c r="AN2531" s="156" t="s">
        <v>131</v>
      </c>
      <c r="AO2531" s="153">
        <v>504.0</v>
      </c>
      <c r="AP2531" s="153">
        <v>0.1</v>
      </c>
      <c r="AQ2531" s="156" t="s">
        <v>980</v>
      </c>
      <c r="AR2531" s="156" t="s">
        <v>15078</v>
      </c>
      <c r="AS2531" s="153">
        <v>0.017</v>
      </c>
      <c r="AT2531" s="156" t="s">
        <v>165</v>
      </c>
      <c r="AU2531" s="156" t="s">
        <v>179</v>
      </c>
      <c r="AV2531" s="156" t="s">
        <v>134</v>
      </c>
      <c r="AW2531" s="432" t="s">
        <v>15054</v>
      </c>
      <c r="AX2531" s="156" t="s">
        <v>136</v>
      </c>
      <c r="AZ2531" s="59" t="s">
        <v>1263</v>
      </c>
    </row>
    <row r="2532">
      <c r="A2532" s="41">
        <v>2532.0</v>
      </c>
      <c r="B2532" s="126" t="s">
        <v>107</v>
      </c>
      <c r="C2532" s="59" t="s">
        <v>108</v>
      </c>
      <c r="D2532" s="59" t="s">
        <v>241</v>
      </c>
      <c r="F2532" s="65" t="s">
        <v>15038</v>
      </c>
      <c r="G2532" s="156" t="s">
        <v>15079</v>
      </c>
      <c r="H2532" s="156" t="s">
        <v>242</v>
      </c>
      <c r="I2532" s="149">
        <v>45758.0</v>
      </c>
      <c r="J2532" s="1778">
        <v>45786.0</v>
      </c>
      <c r="K2532" s="156" t="s">
        <v>15073</v>
      </c>
      <c r="L2532" s="126" t="s">
        <v>15074</v>
      </c>
      <c r="M2532" s="156" t="s">
        <v>15042</v>
      </c>
      <c r="N2532" s="156" t="s">
        <v>15043</v>
      </c>
      <c r="O2532" s="153">
        <v>4.0</v>
      </c>
      <c r="P2532" s="379" t="s">
        <v>15044</v>
      </c>
      <c r="Q2532" s="49" t="str">
        <f t="array" ref="Q2532"> if(iserror(MATCH(V2532, 'File Links'!C:C, 0)), "N/A", HYPERLINK(INDEX('File Links'!B:B, MATCH(P2532, 'File Links'!C:C, 0))))</f>
        <v>https://drive.google.com/file/d/1qQJNn7ZvoufwBSS_pp5Ek1nTMCXq-Gfn/view?usp=drivesdk</v>
      </c>
      <c r="R2532" s="156" t="s">
        <v>15045</v>
      </c>
      <c r="S2532" s="156" t="s">
        <v>10148</v>
      </c>
      <c r="T2532" s="65"/>
      <c r="U2532" s="126">
        <v>17.0</v>
      </c>
      <c r="V2532" s="379" t="s">
        <v>10149</v>
      </c>
      <c r="W2532" s="1773" t="s">
        <v>202</v>
      </c>
      <c r="X2532" s="51" t="str">
        <f t="array" ref="X2532"> if(iserror(MATCH(V2532, 'File Links'!C:C, 0)), "N/A", HYPERLINK(INDEX('File Links'!B:B, MATCH(V2532, 'File Links'!C:C, 0))))</f>
        <v>https://drive.google.com/file/d/1Irbmig3rfLDvz-G09jDAVwJvv1drYEqO/view?usp=drivesdk</v>
      </c>
      <c r="Y2532" s="126" t="s">
        <v>134</v>
      </c>
      <c r="Z2532" s="156" t="s">
        <v>2072</v>
      </c>
      <c r="AA2532" s="368" t="s">
        <v>15046</v>
      </c>
      <c r="AB2532" s="156" t="s">
        <v>15057</v>
      </c>
      <c r="AC2532" s="156" t="s">
        <v>15048</v>
      </c>
      <c r="AD2532" s="156" t="s">
        <v>15063</v>
      </c>
      <c r="AE2532" s="156" t="s">
        <v>1167</v>
      </c>
      <c r="AF2532" s="153">
        <v>198.0</v>
      </c>
      <c r="AG2532" s="156" t="s">
        <v>15080</v>
      </c>
      <c r="AH2532" s="156" t="s">
        <v>127</v>
      </c>
      <c r="AI2532" s="156" t="s">
        <v>15081</v>
      </c>
      <c r="AJ2532" s="153">
        <v>0.001</v>
      </c>
      <c r="AK2532" s="156" t="s">
        <v>128</v>
      </c>
      <c r="AL2532" s="156" t="s">
        <v>179</v>
      </c>
      <c r="AM2532" s="156" t="s">
        <v>134</v>
      </c>
      <c r="AN2532" s="156" t="s">
        <v>131</v>
      </c>
      <c r="AO2532" s="153">
        <v>504.0</v>
      </c>
      <c r="AP2532" s="156" t="s">
        <v>15082</v>
      </c>
      <c r="AQ2532" s="156" t="s">
        <v>127</v>
      </c>
      <c r="AR2532" s="156" t="s">
        <v>15083</v>
      </c>
      <c r="AS2532" s="153">
        <v>0.001</v>
      </c>
      <c r="AT2532" s="156" t="s">
        <v>128</v>
      </c>
      <c r="AU2532" s="156" t="s">
        <v>179</v>
      </c>
      <c r="AV2532" s="156" t="s">
        <v>134</v>
      </c>
      <c r="AW2532" s="432" t="s">
        <v>15054</v>
      </c>
      <c r="AX2532" s="156" t="s">
        <v>136</v>
      </c>
      <c r="AZ2532" s="59" t="s">
        <v>1263</v>
      </c>
    </row>
    <row r="2533">
      <c r="A2533" s="41">
        <v>2533.0</v>
      </c>
      <c r="B2533" s="1773" t="s">
        <v>107</v>
      </c>
      <c r="C2533" s="1774" t="s">
        <v>108</v>
      </c>
      <c r="D2533" s="1774" t="s">
        <v>241</v>
      </c>
      <c r="E2533" s="1775"/>
      <c r="F2533" s="1785" t="s">
        <v>15038</v>
      </c>
      <c r="G2533" s="1784" t="s">
        <v>15084</v>
      </c>
      <c r="H2533" s="1784" t="s">
        <v>242</v>
      </c>
      <c r="I2533" s="2116">
        <v>45758.0</v>
      </c>
      <c r="J2533" s="1778">
        <v>45786.0</v>
      </c>
      <c r="K2533" s="1784" t="s">
        <v>15073</v>
      </c>
      <c r="L2533" s="126" t="s">
        <v>15074</v>
      </c>
      <c r="M2533" s="1784" t="s">
        <v>15042</v>
      </c>
      <c r="N2533" s="1784" t="s">
        <v>15043</v>
      </c>
      <c r="O2533" s="2081">
        <v>4.0</v>
      </c>
      <c r="P2533" s="1784" t="s">
        <v>15044</v>
      </c>
      <c r="Q2533" s="49" t="str">
        <f t="array" ref="Q2533"> if(iserror(MATCH(V2533, 'File Links'!C:C, 0)), "N/A", HYPERLINK(INDEX('File Links'!B:B, MATCH(P2533, 'File Links'!C:C, 0))))</f>
        <v>https://drive.google.com/file/d/1qQJNn7ZvoufwBSS_pp5Ek1nTMCXq-Gfn/view?usp=drivesdk</v>
      </c>
      <c r="R2533" s="1784" t="s">
        <v>15045</v>
      </c>
      <c r="S2533" s="1784" t="s">
        <v>10148</v>
      </c>
      <c r="T2533" s="1785"/>
      <c r="U2533" s="1773">
        <v>17.0</v>
      </c>
      <c r="V2533" s="1784" t="s">
        <v>10149</v>
      </c>
      <c r="W2533" s="1773" t="s">
        <v>202</v>
      </c>
      <c r="X2533" s="51" t="str">
        <f t="array" ref="X2533"> if(iserror(MATCH(V2533, 'File Links'!C:C, 0)), "N/A", HYPERLINK(INDEX('File Links'!B:B, MATCH(V2533, 'File Links'!C:C, 0))))</f>
        <v>https://drive.google.com/file/d/1Irbmig3rfLDvz-G09jDAVwJvv1drYEqO/view?usp=drivesdk</v>
      </c>
      <c r="Y2533" s="1773" t="s">
        <v>134</v>
      </c>
      <c r="Z2533" s="1784" t="s">
        <v>2072</v>
      </c>
      <c r="AA2533" s="368" t="s">
        <v>15046</v>
      </c>
      <c r="AB2533" s="1784" t="s">
        <v>15057</v>
      </c>
      <c r="AC2533" s="1784" t="s">
        <v>15048</v>
      </c>
      <c r="AD2533" s="1784" t="s">
        <v>15068</v>
      </c>
      <c r="AE2533" s="1784" t="s">
        <v>1167</v>
      </c>
      <c r="AF2533" s="2081">
        <v>198.0</v>
      </c>
      <c r="AG2533" s="1784" t="s">
        <v>15085</v>
      </c>
      <c r="AH2533" s="1784" t="s">
        <v>127</v>
      </c>
      <c r="AI2533" s="1784" t="s">
        <v>15070</v>
      </c>
      <c r="AJ2533" s="2081">
        <v>0.9</v>
      </c>
      <c r="AK2533" s="1784" t="s">
        <v>328</v>
      </c>
      <c r="AL2533" s="1784" t="s">
        <v>179</v>
      </c>
      <c r="AM2533" s="1784" t="s">
        <v>134</v>
      </c>
      <c r="AN2533" s="1784" t="s">
        <v>131</v>
      </c>
      <c r="AO2533" s="2081">
        <v>504.0</v>
      </c>
      <c r="AP2533" s="2081">
        <v>-0.2</v>
      </c>
      <c r="AQ2533" s="1784" t="s">
        <v>980</v>
      </c>
      <c r="AR2533" s="1784" t="s">
        <v>15086</v>
      </c>
      <c r="AS2533" s="2081">
        <v>0.023</v>
      </c>
      <c r="AT2533" s="1784" t="s">
        <v>165</v>
      </c>
      <c r="AU2533" s="1784" t="s">
        <v>179</v>
      </c>
      <c r="AV2533" s="1784" t="s">
        <v>134</v>
      </c>
      <c r="AW2533" s="2118" t="s">
        <v>15054</v>
      </c>
      <c r="AX2533" s="1784" t="s">
        <v>136</v>
      </c>
      <c r="AZ2533" s="59" t="s">
        <v>1263</v>
      </c>
      <c r="BA2533" s="1775"/>
      <c r="BB2533" s="1775"/>
      <c r="BC2533" s="1775"/>
      <c r="BD2533" s="1775"/>
      <c r="BE2533" s="1775"/>
      <c r="BF2533" s="1775"/>
      <c r="BG2533" s="1775"/>
      <c r="BH2533" s="1775"/>
      <c r="BI2533" s="1775"/>
      <c r="BJ2533" s="1775"/>
      <c r="BK2533" s="1775"/>
      <c r="BL2533" s="1775"/>
      <c r="BM2533" s="1775"/>
      <c r="BN2533" s="1775"/>
      <c r="BO2533" s="1775"/>
      <c r="BP2533" s="1775"/>
      <c r="BQ2533" s="1775"/>
      <c r="BR2533" s="1775"/>
      <c r="BS2533" s="1775"/>
      <c r="BT2533" s="1775"/>
      <c r="BU2533" s="1775"/>
      <c r="BV2533" s="1775"/>
      <c r="BW2533" s="1775"/>
      <c r="BX2533" s="1775"/>
      <c r="BY2533" s="1775"/>
      <c r="BZ2533" s="1775"/>
      <c r="CA2533" s="1775"/>
      <c r="CB2533" s="1775"/>
      <c r="CC2533" s="1775"/>
      <c r="CD2533" s="1775"/>
      <c r="CE2533" s="1775"/>
      <c r="CF2533" s="1775"/>
      <c r="CG2533" s="1775"/>
      <c r="CH2533" s="1775"/>
      <c r="CI2533" s="1775"/>
      <c r="CJ2533" s="1775"/>
      <c r="CK2533" s="1775"/>
      <c r="CL2533" s="1775"/>
      <c r="CM2533" s="1775"/>
      <c r="CN2533" s="1775"/>
      <c r="CO2533" s="1775"/>
      <c r="CP2533" s="1775"/>
      <c r="CQ2533" s="1775"/>
      <c r="CR2533" s="1775"/>
      <c r="CS2533" s="1775"/>
      <c r="CT2533" s="1775"/>
      <c r="CU2533" s="1775"/>
      <c r="CV2533" s="1775"/>
      <c r="CW2533" s="1775"/>
      <c r="CX2533" s="1775"/>
      <c r="CY2533" s="1775"/>
      <c r="CZ2533" s="1775"/>
      <c r="DA2533" s="1775"/>
      <c r="DB2533" s="1775"/>
      <c r="DC2533" s="1775"/>
      <c r="DD2533" s="1775"/>
      <c r="DE2533" s="1775"/>
      <c r="DF2533" s="1775"/>
      <c r="DG2533" s="1775"/>
      <c r="DH2533" s="1775"/>
    </row>
    <row r="2534">
      <c r="A2534" s="41">
        <v>2534.0</v>
      </c>
      <c r="B2534" s="1059" t="s">
        <v>145</v>
      </c>
      <c r="C2534" s="1060" t="s">
        <v>108</v>
      </c>
      <c r="D2534" s="1060" t="s">
        <v>241</v>
      </c>
      <c r="E2534" s="1061"/>
      <c r="F2534" s="1062" t="s">
        <v>15087</v>
      </c>
      <c r="G2534" s="701" t="s">
        <v>15088</v>
      </c>
      <c r="H2534" s="701" t="s">
        <v>242</v>
      </c>
      <c r="I2534" s="1065">
        <v>45758.0</v>
      </c>
      <c r="J2534" s="1778">
        <v>45786.0</v>
      </c>
      <c r="K2534" s="1062"/>
      <c r="L2534" s="1059" t="s">
        <v>15089</v>
      </c>
      <c r="M2534" s="701" t="s">
        <v>15090</v>
      </c>
      <c r="N2534" s="701" t="s">
        <v>15091</v>
      </c>
      <c r="O2534" s="1067">
        <v>2.0</v>
      </c>
      <c r="P2534" s="701" t="s">
        <v>15092</v>
      </c>
      <c r="Q2534" s="49" t="str">
        <f t="array" ref="Q2534"> if(iserror(MATCH(V2534, 'File Links'!C:C, 0)), "N/A", HYPERLINK(INDEX('File Links'!B:B, MATCH(P2534, 'File Links'!C:C, 0))))</f>
        <v>https://drive.google.com/file/d/1H17uMt3lEFj60TgPCBKsbQYCGkxU4ctv/view?usp=drivesdk</v>
      </c>
      <c r="R2534" s="701" t="s">
        <v>15045</v>
      </c>
      <c r="S2534" s="701" t="s">
        <v>10148</v>
      </c>
      <c r="T2534" s="1062"/>
      <c r="U2534" s="1059">
        <v>31.0</v>
      </c>
      <c r="V2534" s="701" t="s">
        <v>10149</v>
      </c>
      <c r="W2534" s="1773" t="s">
        <v>202</v>
      </c>
      <c r="X2534" s="51" t="str">
        <f t="array" ref="X2534"> if(iserror(MATCH(V2534, 'File Links'!C:C, 0)), "N/A", HYPERLINK(INDEX('File Links'!B:B, MATCH(V2534, 'File Links'!C:C, 0))))</f>
        <v>https://drive.google.com/file/d/1Irbmig3rfLDvz-G09jDAVwJvv1drYEqO/view?usp=drivesdk</v>
      </c>
      <c r="Y2534" s="1062"/>
      <c r="Z2534" s="701" t="s">
        <v>2072</v>
      </c>
      <c r="AA2534" s="368" t="s">
        <v>15093</v>
      </c>
      <c r="AB2534" s="701" t="s">
        <v>15094</v>
      </c>
      <c r="AC2534" s="701" t="s">
        <v>15095</v>
      </c>
      <c r="AD2534" s="701" t="s">
        <v>15096</v>
      </c>
      <c r="AE2534" s="701" t="s">
        <v>1035</v>
      </c>
      <c r="AF2534" s="1067">
        <v>200.0</v>
      </c>
      <c r="AG2534" s="2119" t="s">
        <v>15097</v>
      </c>
      <c r="AH2534" s="701" t="s">
        <v>127</v>
      </c>
      <c r="AI2534" s="701" t="s">
        <v>15098</v>
      </c>
      <c r="AJ2534" s="1067">
        <v>0.05</v>
      </c>
      <c r="AK2534" s="701" t="s">
        <v>165</v>
      </c>
      <c r="AL2534" s="701" t="s">
        <v>179</v>
      </c>
      <c r="AM2534" s="701" t="s">
        <v>130</v>
      </c>
      <c r="AN2534" s="701" t="s">
        <v>131</v>
      </c>
      <c r="AO2534" s="1067">
        <v>595.0</v>
      </c>
      <c r="AP2534" s="1067">
        <v>0.003</v>
      </c>
      <c r="AQ2534" s="701" t="s">
        <v>166</v>
      </c>
      <c r="AR2534" s="2119" t="s">
        <v>15099</v>
      </c>
      <c r="AS2534" s="1067">
        <v>0.97</v>
      </c>
      <c r="AT2534" s="701" t="s">
        <v>165</v>
      </c>
      <c r="AU2534" s="701" t="s">
        <v>179</v>
      </c>
      <c r="AV2534" s="701" t="s">
        <v>130</v>
      </c>
      <c r="AW2534" s="2120" t="s">
        <v>15100</v>
      </c>
      <c r="AX2534" s="701" t="s">
        <v>136</v>
      </c>
      <c r="AZ2534" s="59" t="s">
        <v>1263</v>
      </c>
      <c r="BA2534" s="1061"/>
      <c r="BB2534" s="1061"/>
      <c r="BC2534" s="1061"/>
      <c r="BD2534" s="1061"/>
      <c r="BE2534" s="1061"/>
      <c r="BF2534" s="1061"/>
      <c r="BG2534" s="1061"/>
      <c r="BH2534" s="1061"/>
      <c r="BI2534" s="1061"/>
      <c r="BJ2534" s="1061"/>
      <c r="BK2534" s="1061"/>
      <c r="BL2534" s="1061"/>
      <c r="BM2534" s="1061"/>
      <c r="BN2534" s="1061"/>
      <c r="BO2534" s="1061"/>
      <c r="BP2534" s="1061"/>
      <c r="BQ2534" s="1061"/>
      <c r="BR2534" s="1061"/>
      <c r="BS2534" s="1061"/>
      <c r="BT2534" s="1061"/>
      <c r="BU2534" s="1061"/>
      <c r="BV2534" s="1061"/>
      <c r="BW2534" s="1061"/>
      <c r="BX2534" s="1061"/>
      <c r="BY2534" s="1061"/>
      <c r="BZ2534" s="1061"/>
      <c r="CA2534" s="1061"/>
      <c r="CB2534" s="1061"/>
      <c r="CC2534" s="1061"/>
      <c r="CD2534" s="1061"/>
      <c r="CE2534" s="1061"/>
      <c r="CF2534" s="1061"/>
      <c r="CG2534" s="1061"/>
      <c r="CH2534" s="1061"/>
      <c r="CI2534" s="1061"/>
      <c r="CJ2534" s="1061"/>
      <c r="CK2534" s="1061"/>
      <c r="CL2534" s="1061"/>
      <c r="CM2534" s="1061"/>
      <c r="CN2534" s="1061"/>
      <c r="CO2534" s="1061"/>
      <c r="CP2534" s="1061"/>
      <c r="CQ2534" s="1061"/>
      <c r="CR2534" s="1061"/>
      <c r="CS2534" s="1061"/>
      <c r="CT2534" s="1061"/>
      <c r="CU2534" s="1061"/>
      <c r="CV2534" s="1061"/>
      <c r="CW2534" s="1061"/>
      <c r="CX2534" s="1061"/>
      <c r="CY2534" s="1061"/>
      <c r="CZ2534" s="1061"/>
      <c r="DA2534" s="1061"/>
      <c r="DB2534" s="1061"/>
      <c r="DC2534" s="1061"/>
      <c r="DD2534" s="1061"/>
      <c r="DE2534" s="1061"/>
      <c r="DF2534" s="1061"/>
      <c r="DG2534" s="1061"/>
      <c r="DH2534" s="1061"/>
    </row>
    <row r="2535">
      <c r="A2535" s="41">
        <v>2535.0</v>
      </c>
      <c r="B2535" s="1059" t="s">
        <v>145</v>
      </c>
      <c r="C2535" s="1060" t="s">
        <v>108</v>
      </c>
      <c r="D2535" s="1060" t="s">
        <v>241</v>
      </c>
      <c r="E2535" s="1061"/>
      <c r="F2535" s="1062" t="s">
        <v>15087</v>
      </c>
      <c r="G2535" s="701" t="s">
        <v>15101</v>
      </c>
      <c r="H2535" s="701" t="s">
        <v>242</v>
      </c>
      <c r="I2535" s="1065">
        <v>45758.0</v>
      </c>
      <c r="J2535" s="1778">
        <v>45786.0</v>
      </c>
      <c r="K2535" s="1062"/>
      <c r="L2535" s="1059" t="s">
        <v>15089</v>
      </c>
      <c r="M2535" s="701" t="s">
        <v>15090</v>
      </c>
      <c r="N2535" s="701" t="s">
        <v>15091</v>
      </c>
      <c r="O2535" s="1067">
        <v>2.0</v>
      </c>
      <c r="P2535" s="701" t="s">
        <v>15092</v>
      </c>
      <c r="Q2535" s="49" t="str">
        <f t="array" ref="Q2535"> if(iserror(MATCH(V2535, 'File Links'!C:C, 0)), "N/A", HYPERLINK(INDEX('File Links'!B:B, MATCH(P2535, 'File Links'!C:C, 0))))</f>
        <v>https://drive.google.com/file/d/1H17uMt3lEFj60TgPCBKsbQYCGkxU4ctv/view?usp=drivesdk</v>
      </c>
      <c r="R2535" s="701" t="s">
        <v>15045</v>
      </c>
      <c r="S2535" s="701" t="s">
        <v>10148</v>
      </c>
      <c r="T2535" s="1062"/>
      <c r="U2535" s="1059">
        <v>31.0</v>
      </c>
      <c r="V2535" s="701" t="s">
        <v>10149</v>
      </c>
      <c r="W2535" s="1773" t="s">
        <v>202</v>
      </c>
      <c r="X2535" s="51" t="str">
        <f t="array" ref="X2535"> if(iserror(MATCH(V2535, 'File Links'!C:C, 0)), "N/A", HYPERLINK(INDEX('File Links'!B:B, MATCH(V2535, 'File Links'!C:C, 0))))</f>
        <v>https://drive.google.com/file/d/1Irbmig3rfLDvz-G09jDAVwJvv1drYEqO/view?usp=drivesdk</v>
      </c>
      <c r="Y2535" s="1062"/>
      <c r="Z2535" s="701" t="s">
        <v>2072</v>
      </c>
      <c r="AA2535" s="368" t="s">
        <v>15093</v>
      </c>
      <c r="AB2535" s="701" t="s">
        <v>15094</v>
      </c>
      <c r="AC2535" s="701" t="s">
        <v>15095</v>
      </c>
      <c r="AD2535" s="701" t="s">
        <v>15102</v>
      </c>
      <c r="AE2535" s="701" t="s">
        <v>1035</v>
      </c>
      <c r="AF2535" s="1067">
        <v>200.0</v>
      </c>
      <c r="AG2535" s="701" t="s">
        <v>15103</v>
      </c>
      <c r="AH2535" s="701" t="s">
        <v>127</v>
      </c>
      <c r="AI2535" s="701" t="s">
        <v>15104</v>
      </c>
      <c r="AJ2535" s="1067">
        <v>0.028</v>
      </c>
      <c r="AK2535" s="701" t="s">
        <v>165</v>
      </c>
      <c r="AL2535" s="701" t="s">
        <v>179</v>
      </c>
      <c r="AM2535" s="701" t="s">
        <v>130</v>
      </c>
      <c r="AN2535" s="701" t="s">
        <v>131</v>
      </c>
      <c r="AO2535" s="1067">
        <v>595.0</v>
      </c>
      <c r="AP2535" s="701" t="s">
        <v>15105</v>
      </c>
      <c r="AQ2535" s="701" t="s">
        <v>127</v>
      </c>
      <c r="AR2535" s="2119" t="s">
        <v>15106</v>
      </c>
      <c r="AS2535" s="1067">
        <v>0.3</v>
      </c>
      <c r="AT2535" s="701" t="s">
        <v>165</v>
      </c>
      <c r="AU2535" s="701" t="s">
        <v>179</v>
      </c>
      <c r="AV2535" s="701" t="s">
        <v>130</v>
      </c>
      <c r="AW2535" s="2120" t="s">
        <v>15100</v>
      </c>
      <c r="AX2535" s="701" t="s">
        <v>136</v>
      </c>
      <c r="AZ2535" s="59" t="s">
        <v>1263</v>
      </c>
      <c r="BA2535" s="1061"/>
      <c r="BB2535" s="1061"/>
      <c r="BC2535" s="1061"/>
      <c r="BD2535" s="1061"/>
      <c r="BE2535" s="1061"/>
      <c r="BF2535" s="1061"/>
      <c r="BG2535" s="1061"/>
      <c r="BH2535" s="1061"/>
      <c r="BI2535" s="1061"/>
      <c r="BJ2535" s="1061"/>
      <c r="BK2535" s="1061"/>
      <c r="BL2535" s="1061"/>
      <c r="BM2535" s="1061"/>
      <c r="BN2535" s="1061"/>
      <c r="BO2535" s="1061"/>
      <c r="BP2535" s="1061"/>
      <c r="BQ2535" s="1061"/>
      <c r="BR2535" s="1061"/>
      <c r="BS2535" s="1061"/>
      <c r="BT2535" s="1061"/>
      <c r="BU2535" s="1061"/>
      <c r="BV2535" s="1061"/>
      <c r="BW2535" s="1061"/>
      <c r="BX2535" s="1061"/>
      <c r="BY2535" s="1061"/>
      <c r="BZ2535" s="1061"/>
      <c r="CA2535" s="1061"/>
      <c r="CB2535" s="1061"/>
      <c r="CC2535" s="1061"/>
      <c r="CD2535" s="1061"/>
      <c r="CE2535" s="1061"/>
      <c r="CF2535" s="1061"/>
      <c r="CG2535" s="1061"/>
      <c r="CH2535" s="1061"/>
      <c r="CI2535" s="1061"/>
      <c r="CJ2535" s="1061"/>
      <c r="CK2535" s="1061"/>
      <c r="CL2535" s="1061"/>
      <c r="CM2535" s="1061"/>
      <c r="CN2535" s="1061"/>
      <c r="CO2535" s="1061"/>
      <c r="CP2535" s="1061"/>
      <c r="CQ2535" s="1061"/>
      <c r="CR2535" s="1061"/>
      <c r="CS2535" s="1061"/>
      <c r="CT2535" s="1061"/>
      <c r="CU2535" s="1061"/>
      <c r="CV2535" s="1061"/>
      <c r="CW2535" s="1061"/>
      <c r="CX2535" s="1061"/>
      <c r="CY2535" s="1061"/>
      <c r="CZ2535" s="1061"/>
      <c r="DA2535" s="1061"/>
      <c r="DB2535" s="1061"/>
      <c r="DC2535" s="1061"/>
      <c r="DD2535" s="1061"/>
      <c r="DE2535" s="1061"/>
      <c r="DF2535" s="1061"/>
      <c r="DG2535" s="1061"/>
      <c r="DH2535" s="1061"/>
    </row>
    <row r="2536">
      <c r="A2536" s="41">
        <v>2536.0</v>
      </c>
      <c r="B2536" s="1059" t="s">
        <v>145</v>
      </c>
      <c r="C2536" s="1060" t="s">
        <v>108</v>
      </c>
      <c r="D2536" s="1060" t="s">
        <v>241</v>
      </c>
      <c r="E2536" s="1061"/>
      <c r="F2536" s="1062" t="s">
        <v>15087</v>
      </c>
      <c r="G2536" s="701" t="s">
        <v>15107</v>
      </c>
      <c r="H2536" s="701" t="s">
        <v>242</v>
      </c>
      <c r="I2536" s="1065">
        <v>45758.0</v>
      </c>
      <c r="J2536" s="1778">
        <v>45786.0</v>
      </c>
      <c r="K2536" s="1062"/>
      <c r="L2536" s="1059" t="s">
        <v>15089</v>
      </c>
      <c r="M2536" s="701" t="s">
        <v>15090</v>
      </c>
      <c r="N2536" s="701" t="s">
        <v>15091</v>
      </c>
      <c r="O2536" s="1067">
        <v>2.0</v>
      </c>
      <c r="P2536" s="701" t="s">
        <v>15092</v>
      </c>
      <c r="Q2536" s="49" t="str">
        <f t="array" ref="Q2536"> if(iserror(MATCH(V2536, 'File Links'!C:C, 0)), "N/A", HYPERLINK(INDEX('File Links'!B:B, MATCH(P2536, 'File Links'!C:C, 0))))</f>
        <v>https://drive.google.com/file/d/1H17uMt3lEFj60TgPCBKsbQYCGkxU4ctv/view?usp=drivesdk</v>
      </c>
      <c r="R2536" s="701" t="s">
        <v>15045</v>
      </c>
      <c r="S2536" s="701" t="s">
        <v>10148</v>
      </c>
      <c r="T2536" s="1062"/>
      <c r="U2536" s="1059">
        <v>31.0</v>
      </c>
      <c r="V2536" s="701" t="s">
        <v>10149</v>
      </c>
      <c r="W2536" s="1773" t="s">
        <v>202</v>
      </c>
      <c r="X2536" s="51" t="str">
        <f t="array" ref="X2536"> if(iserror(MATCH(V2536, 'File Links'!C:C, 0)), "N/A", HYPERLINK(INDEX('File Links'!B:B, MATCH(V2536, 'File Links'!C:C, 0))))</f>
        <v>https://drive.google.com/file/d/1Irbmig3rfLDvz-G09jDAVwJvv1drYEqO/view?usp=drivesdk</v>
      </c>
      <c r="Y2536" s="1062"/>
      <c r="Z2536" s="701" t="s">
        <v>2072</v>
      </c>
      <c r="AA2536" s="368" t="s">
        <v>15093</v>
      </c>
      <c r="AB2536" s="701" t="s">
        <v>15094</v>
      </c>
      <c r="AC2536" s="701" t="s">
        <v>15095</v>
      </c>
      <c r="AD2536" s="701" t="s">
        <v>15108</v>
      </c>
      <c r="AE2536" s="701" t="s">
        <v>1035</v>
      </c>
      <c r="AF2536" s="1067">
        <v>200.0</v>
      </c>
      <c r="AG2536" s="701" t="s">
        <v>15109</v>
      </c>
      <c r="AH2536" s="701" t="s">
        <v>127</v>
      </c>
      <c r="AI2536" s="701" t="s">
        <v>15110</v>
      </c>
      <c r="AJ2536" s="1067">
        <v>0.149</v>
      </c>
      <c r="AK2536" s="701" t="s">
        <v>165</v>
      </c>
      <c r="AL2536" s="701" t="s">
        <v>179</v>
      </c>
      <c r="AM2536" s="701" t="s">
        <v>130</v>
      </c>
      <c r="AN2536" s="701" t="s">
        <v>131</v>
      </c>
      <c r="AO2536" s="1067">
        <v>595.0</v>
      </c>
      <c r="AP2536" s="701" t="s">
        <v>15111</v>
      </c>
      <c r="AQ2536" s="701" t="s">
        <v>127</v>
      </c>
      <c r="AR2536" s="2119" t="s">
        <v>15112</v>
      </c>
      <c r="AS2536" s="1067">
        <v>0.83</v>
      </c>
      <c r="AT2536" s="701" t="s">
        <v>165</v>
      </c>
      <c r="AU2536" s="701" t="s">
        <v>179</v>
      </c>
      <c r="AV2536" s="701" t="s">
        <v>130</v>
      </c>
      <c r="AW2536" s="2120" t="s">
        <v>15100</v>
      </c>
      <c r="AX2536" s="701" t="s">
        <v>136</v>
      </c>
      <c r="AZ2536" s="59" t="s">
        <v>1263</v>
      </c>
      <c r="BA2536" s="1061"/>
      <c r="BB2536" s="1061"/>
      <c r="BC2536" s="1061"/>
      <c r="BD2536" s="1061"/>
      <c r="BE2536" s="1061"/>
      <c r="BF2536" s="1061"/>
      <c r="BG2536" s="1061"/>
      <c r="BH2536" s="1061"/>
      <c r="BI2536" s="1061"/>
      <c r="BJ2536" s="1061"/>
      <c r="BK2536" s="1061"/>
      <c r="BL2536" s="1061"/>
      <c r="BM2536" s="1061"/>
      <c r="BN2536" s="1061"/>
      <c r="BO2536" s="1061"/>
      <c r="BP2536" s="1061"/>
      <c r="BQ2536" s="1061"/>
      <c r="BR2536" s="1061"/>
      <c r="BS2536" s="1061"/>
      <c r="BT2536" s="1061"/>
      <c r="BU2536" s="1061"/>
      <c r="BV2536" s="1061"/>
      <c r="BW2536" s="1061"/>
      <c r="BX2536" s="1061"/>
      <c r="BY2536" s="1061"/>
      <c r="BZ2536" s="1061"/>
      <c r="CA2536" s="1061"/>
      <c r="CB2536" s="1061"/>
      <c r="CC2536" s="1061"/>
      <c r="CD2536" s="1061"/>
      <c r="CE2536" s="1061"/>
      <c r="CF2536" s="1061"/>
      <c r="CG2536" s="1061"/>
      <c r="CH2536" s="1061"/>
      <c r="CI2536" s="1061"/>
      <c r="CJ2536" s="1061"/>
      <c r="CK2536" s="1061"/>
      <c r="CL2536" s="1061"/>
      <c r="CM2536" s="1061"/>
      <c r="CN2536" s="1061"/>
      <c r="CO2536" s="1061"/>
      <c r="CP2536" s="1061"/>
      <c r="CQ2536" s="1061"/>
      <c r="CR2536" s="1061"/>
      <c r="CS2536" s="1061"/>
      <c r="CT2536" s="1061"/>
      <c r="CU2536" s="1061"/>
      <c r="CV2536" s="1061"/>
      <c r="CW2536" s="1061"/>
      <c r="CX2536" s="1061"/>
      <c r="CY2536" s="1061"/>
      <c r="CZ2536" s="1061"/>
      <c r="DA2536" s="1061"/>
      <c r="DB2536" s="1061"/>
      <c r="DC2536" s="1061"/>
      <c r="DD2536" s="1061"/>
      <c r="DE2536" s="1061"/>
      <c r="DF2536" s="1061"/>
      <c r="DG2536" s="1061"/>
      <c r="DH2536" s="1061"/>
    </row>
    <row r="2537">
      <c r="A2537" s="41">
        <v>2537.0</v>
      </c>
      <c r="B2537" s="126" t="s">
        <v>145</v>
      </c>
      <c r="C2537" s="59" t="s">
        <v>108</v>
      </c>
      <c r="D2537" s="59" t="s">
        <v>241</v>
      </c>
      <c r="F2537" s="65" t="s">
        <v>15113</v>
      </c>
      <c r="G2537" s="156" t="s">
        <v>15114</v>
      </c>
      <c r="H2537" s="156" t="s">
        <v>242</v>
      </c>
      <c r="I2537" s="149">
        <v>45761.0</v>
      </c>
      <c r="J2537" s="537">
        <v>45793.0</v>
      </c>
      <c r="K2537" s="65"/>
      <c r="L2537" s="126" t="s">
        <v>15115</v>
      </c>
      <c r="M2537" s="156" t="s">
        <v>15116</v>
      </c>
      <c r="N2537" s="156" t="s">
        <v>15117</v>
      </c>
      <c r="O2537" s="153">
        <v>3.0</v>
      </c>
      <c r="P2537" s="379" t="s">
        <v>15118</v>
      </c>
      <c r="Q2537" s="49" t="str">
        <f t="array" ref="Q2537"> if(iserror(MATCH(V2537, 'File Links'!C:C, 0)), "N/A", HYPERLINK(INDEX('File Links'!B:B, MATCH(P2537, 'File Links'!C:C, 0))))</f>
        <v>https://drive.google.com/file/d/1pNYePg3eNKxHVFnrHDZ4sLAX_CCQrhwE/view?usp=drivesdk</v>
      </c>
      <c r="R2537" s="156" t="s">
        <v>15045</v>
      </c>
      <c r="S2537" s="156" t="s">
        <v>10148</v>
      </c>
      <c r="T2537" s="65"/>
      <c r="U2537" s="126">
        <v>5.0</v>
      </c>
      <c r="V2537" s="379" t="s">
        <v>10149</v>
      </c>
      <c r="W2537" s="1773" t="s">
        <v>202</v>
      </c>
      <c r="X2537" s="51" t="str">
        <f t="array" ref="X2537"> if(iserror(MATCH(V2537, 'File Links'!C:C, 0)), "N/A", HYPERLINK(INDEX('File Links'!B:B, MATCH(V2537, 'File Links'!C:C, 0))))</f>
        <v>https://drive.google.com/file/d/1Irbmig3rfLDvz-G09jDAVwJvv1drYEqO/view?usp=drivesdk</v>
      </c>
      <c r="Y2537" s="65"/>
      <c r="Z2537" s="156" t="s">
        <v>2072</v>
      </c>
      <c r="AA2537" s="2121" t="s">
        <v>15119</v>
      </c>
      <c r="AB2537" s="148" t="s">
        <v>15120</v>
      </c>
      <c r="AC2537" s="156" t="s">
        <v>15121</v>
      </c>
      <c r="AD2537" s="156" t="s">
        <v>15122</v>
      </c>
      <c r="AE2537" s="156" t="s">
        <v>15123</v>
      </c>
      <c r="AF2537" s="153">
        <v>199.0</v>
      </c>
      <c r="AG2537" s="153">
        <v>0.016</v>
      </c>
      <c r="AH2537" s="156" t="s">
        <v>867</v>
      </c>
      <c r="AI2537" s="156" t="s">
        <v>15124</v>
      </c>
      <c r="AJ2537" s="153">
        <v>0.08</v>
      </c>
      <c r="AK2537" s="156" t="s">
        <v>165</v>
      </c>
      <c r="AL2537" s="156" t="s">
        <v>179</v>
      </c>
      <c r="AM2537" s="156" t="s">
        <v>130</v>
      </c>
      <c r="AN2537" s="156" t="s">
        <v>131</v>
      </c>
      <c r="AO2537" s="153">
        <v>507.0</v>
      </c>
      <c r="AP2537" s="153">
        <v>0.019</v>
      </c>
      <c r="AQ2537" s="156" t="s">
        <v>867</v>
      </c>
      <c r="AR2537" s="148" t="s">
        <v>15125</v>
      </c>
      <c r="AS2537" s="153">
        <v>0.002</v>
      </c>
      <c r="AT2537" s="156" t="s">
        <v>165</v>
      </c>
      <c r="AU2537" s="156" t="s">
        <v>179</v>
      </c>
      <c r="AV2537" s="156" t="s">
        <v>130</v>
      </c>
      <c r="AW2537" s="432" t="s">
        <v>15126</v>
      </c>
      <c r="AX2537" s="156" t="s">
        <v>136</v>
      </c>
      <c r="AZ2537" s="59" t="s">
        <v>1263</v>
      </c>
    </row>
    <row r="2538">
      <c r="A2538" s="41">
        <v>2538.0</v>
      </c>
      <c r="B2538" s="126" t="s">
        <v>107</v>
      </c>
      <c r="C2538" s="59" t="s">
        <v>108</v>
      </c>
      <c r="D2538" s="59" t="s">
        <v>241</v>
      </c>
      <c r="F2538" s="65" t="s">
        <v>15127</v>
      </c>
      <c r="G2538" s="156" t="s">
        <v>15128</v>
      </c>
      <c r="H2538" s="156" t="s">
        <v>242</v>
      </c>
      <c r="I2538" s="149">
        <v>45761.0</v>
      </c>
      <c r="J2538" s="537">
        <v>45793.0</v>
      </c>
      <c r="K2538" s="156" t="s">
        <v>15129</v>
      </c>
      <c r="L2538" s="126" t="s">
        <v>15130</v>
      </c>
      <c r="M2538" s="156" t="s">
        <v>15131</v>
      </c>
      <c r="N2538" s="156" t="s">
        <v>5485</v>
      </c>
      <c r="O2538" s="153">
        <v>3.0</v>
      </c>
      <c r="P2538" s="379" t="s">
        <v>15132</v>
      </c>
      <c r="Q2538" s="49" t="str">
        <f t="array" ref="Q2538"> if(iserror(MATCH(V2538, 'File Links'!C:C, 0)), "N/A", HYPERLINK(INDEX('File Links'!B:B, MATCH(P2538, 'File Links'!C:C, 0))))</f>
        <v>https://drive.google.com/file/d/1ufFlEetCWZtYqMqTTptc07s2XdkD4E4c/view?usp=drivesdk</v>
      </c>
      <c r="R2538" s="156" t="s">
        <v>15045</v>
      </c>
      <c r="S2538" s="156" t="s">
        <v>10148</v>
      </c>
      <c r="T2538" s="65"/>
      <c r="U2538" s="126">
        <v>4.0</v>
      </c>
      <c r="V2538" s="379" t="s">
        <v>10149</v>
      </c>
      <c r="W2538" s="1773" t="s">
        <v>202</v>
      </c>
      <c r="X2538" s="51" t="str">
        <f t="array" ref="X2538"> if(iserror(MATCH(V2538, 'File Links'!C:C, 0)), "N/A", HYPERLINK(INDEX('File Links'!B:B, MATCH(V2538, 'File Links'!C:C, 0))))</f>
        <v>https://drive.google.com/file/d/1Irbmig3rfLDvz-G09jDAVwJvv1drYEqO/view?usp=drivesdk</v>
      </c>
      <c r="Y2538" s="65"/>
      <c r="Z2538" s="156" t="s">
        <v>2072</v>
      </c>
      <c r="AA2538" s="377" t="s">
        <v>15133</v>
      </c>
      <c r="AB2538" s="156" t="s">
        <v>15134</v>
      </c>
      <c r="AC2538" s="156" t="s">
        <v>15135</v>
      </c>
      <c r="AD2538" s="156" t="s">
        <v>15136</v>
      </c>
      <c r="AE2538" s="156" t="s">
        <v>875</v>
      </c>
      <c r="AF2538" s="153">
        <v>231.0</v>
      </c>
      <c r="AG2538" s="153">
        <v>0.31</v>
      </c>
      <c r="AH2538" s="156" t="s">
        <v>166</v>
      </c>
      <c r="AI2538" s="156" t="s">
        <v>15137</v>
      </c>
      <c r="AJ2538" s="153">
        <v>0.01</v>
      </c>
      <c r="AK2538" s="156" t="s">
        <v>165</v>
      </c>
      <c r="AL2538" s="156" t="s">
        <v>179</v>
      </c>
      <c r="AM2538" s="156" t="s">
        <v>130</v>
      </c>
      <c r="AN2538" s="156" t="s">
        <v>131</v>
      </c>
      <c r="AO2538" s="153">
        <v>603.0</v>
      </c>
      <c r="AP2538" s="153">
        <v>0.43</v>
      </c>
      <c r="AQ2538" s="156" t="s">
        <v>166</v>
      </c>
      <c r="AR2538" s="156" t="s">
        <v>15138</v>
      </c>
      <c r="AS2538" s="153">
        <v>0.001</v>
      </c>
      <c r="AT2538" s="156" t="s">
        <v>128</v>
      </c>
      <c r="AU2538" s="156" t="s">
        <v>179</v>
      </c>
      <c r="AV2538" s="156" t="s">
        <v>130</v>
      </c>
      <c r="AW2538" s="432" t="s">
        <v>15139</v>
      </c>
      <c r="AX2538" s="156" t="s">
        <v>136</v>
      </c>
      <c r="AZ2538" s="59" t="s">
        <v>1263</v>
      </c>
    </row>
    <row r="2539">
      <c r="A2539" s="41">
        <v>2539.0</v>
      </c>
      <c r="B2539" s="126" t="s">
        <v>107</v>
      </c>
      <c r="C2539" s="59" t="s">
        <v>108</v>
      </c>
      <c r="D2539" s="59" t="s">
        <v>241</v>
      </c>
      <c r="F2539" s="65" t="s">
        <v>15127</v>
      </c>
      <c r="G2539" s="156" t="s">
        <v>15140</v>
      </c>
      <c r="H2539" s="156" t="s">
        <v>242</v>
      </c>
      <c r="I2539" s="149">
        <v>45761.0</v>
      </c>
      <c r="J2539" s="537">
        <v>45793.0</v>
      </c>
      <c r="K2539" s="156" t="s">
        <v>15129</v>
      </c>
      <c r="L2539" s="126" t="s">
        <v>15141</v>
      </c>
      <c r="M2539" s="156" t="s">
        <v>15131</v>
      </c>
      <c r="N2539" s="156" t="s">
        <v>5485</v>
      </c>
      <c r="O2539" s="153">
        <v>3.0</v>
      </c>
      <c r="P2539" s="379" t="s">
        <v>15132</v>
      </c>
      <c r="Q2539" s="49" t="str">
        <f t="array" ref="Q2539"> if(iserror(MATCH(V2539, 'File Links'!C:C, 0)), "N/A", HYPERLINK(INDEX('File Links'!B:B, MATCH(P2539, 'File Links'!C:C, 0))))</f>
        <v>https://drive.google.com/file/d/1ufFlEetCWZtYqMqTTptc07s2XdkD4E4c/view?usp=drivesdk</v>
      </c>
      <c r="R2539" s="156" t="s">
        <v>15045</v>
      </c>
      <c r="S2539" s="156" t="s">
        <v>10148</v>
      </c>
      <c r="T2539" s="65"/>
      <c r="U2539" s="126">
        <v>4.0</v>
      </c>
      <c r="V2539" s="379" t="s">
        <v>10149</v>
      </c>
      <c r="W2539" s="1773" t="s">
        <v>202</v>
      </c>
      <c r="X2539" s="51" t="str">
        <f t="array" ref="X2539"> if(iserror(MATCH(V2539, 'File Links'!C:C, 0)), "N/A", HYPERLINK(INDEX('File Links'!B:B, MATCH(V2539, 'File Links'!C:C, 0))))</f>
        <v>https://drive.google.com/file/d/1Irbmig3rfLDvz-G09jDAVwJvv1drYEqO/view?usp=drivesdk</v>
      </c>
      <c r="Y2539" s="65"/>
      <c r="Z2539" s="156" t="s">
        <v>2072</v>
      </c>
      <c r="AA2539" s="65"/>
      <c r="AB2539" s="156" t="s">
        <v>15134</v>
      </c>
      <c r="AC2539" s="156" t="s">
        <v>15135</v>
      </c>
      <c r="AD2539" s="156" t="s">
        <v>15142</v>
      </c>
      <c r="AE2539" s="156" t="s">
        <v>875</v>
      </c>
      <c r="AF2539" s="153">
        <v>231.0</v>
      </c>
      <c r="AG2539" s="156" t="s">
        <v>131</v>
      </c>
      <c r="AH2539" s="164" t="s">
        <v>131</v>
      </c>
      <c r="AI2539" s="156" t="s">
        <v>875</v>
      </c>
      <c r="AJ2539" s="153">
        <v>0.03</v>
      </c>
      <c r="AK2539" s="156" t="s">
        <v>165</v>
      </c>
      <c r="AL2539" s="156" t="s">
        <v>179</v>
      </c>
      <c r="AM2539" s="156" t="s">
        <v>130</v>
      </c>
      <c r="AN2539" s="156" t="s">
        <v>131</v>
      </c>
      <c r="AO2539" s="153">
        <v>603.0</v>
      </c>
      <c r="AP2539" s="156" t="s">
        <v>131</v>
      </c>
      <c r="AQ2539" s="126" t="s">
        <v>131</v>
      </c>
      <c r="AR2539" s="156" t="s">
        <v>131</v>
      </c>
      <c r="AS2539" s="153">
        <v>0.08</v>
      </c>
      <c r="AT2539" s="156" t="s">
        <v>165</v>
      </c>
      <c r="AU2539" s="156" t="s">
        <v>179</v>
      </c>
      <c r="AV2539" s="156" t="s">
        <v>130</v>
      </c>
      <c r="AW2539" s="432" t="s">
        <v>15139</v>
      </c>
      <c r="AX2539" s="156" t="s">
        <v>136</v>
      </c>
      <c r="AZ2539" s="59" t="s">
        <v>1263</v>
      </c>
    </row>
    <row r="2540">
      <c r="A2540" s="41">
        <v>2540.0</v>
      </c>
      <c r="B2540" s="126" t="s">
        <v>107</v>
      </c>
      <c r="C2540" s="59" t="s">
        <v>108</v>
      </c>
      <c r="D2540" s="59" t="s">
        <v>241</v>
      </c>
      <c r="F2540" s="65" t="s">
        <v>15127</v>
      </c>
      <c r="G2540" s="156" t="s">
        <v>15143</v>
      </c>
      <c r="H2540" s="156" t="s">
        <v>242</v>
      </c>
      <c r="I2540" s="149">
        <v>45761.0</v>
      </c>
      <c r="J2540" s="537">
        <v>45793.0</v>
      </c>
      <c r="K2540" s="156" t="s">
        <v>15144</v>
      </c>
      <c r="L2540" s="2122" t="s">
        <v>15145</v>
      </c>
      <c r="M2540" s="156" t="s">
        <v>15131</v>
      </c>
      <c r="N2540" s="156" t="s">
        <v>5485</v>
      </c>
      <c r="O2540" s="153">
        <v>3.0</v>
      </c>
      <c r="P2540" s="379" t="s">
        <v>15132</v>
      </c>
      <c r="Q2540" s="49" t="str">
        <f t="array" ref="Q2540"> if(iserror(MATCH(V2540, 'File Links'!C:C, 0)), "N/A", HYPERLINK(INDEX('File Links'!B:B, MATCH(P2540, 'File Links'!C:C, 0))))</f>
        <v>https://drive.google.com/file/d/1ufFlEetCWZtYqMqTTptc07s2XdkD4E4c/view?usp=drivesdk</v>
      </c>
      <c r="R2540" s="156" t="s">
        <v>15045</v>
      </c>
      <c r="S2540" s="156" t="s">
        <v>10148</v>
      </c>
      <c r="T2540" s="65"/>
      <c r="U2540" s="126">
        <v>4.0</v>
      </c>
      <c r="V2540" s="379" t="s">
        <v>10149</v>
      </c>
      <c r="W2540" s="1773" t="s">
        <v>202</v>
      </c>
      <c r="X2540" s="51" t="str">
        <f t="array" ref="X2540"> if(iserror(MATCH(V2540, 'File Links'!C:C, 0)), "N/A", HYPERLINK(INDEX('File Links'!B:B, MATCH(V2540, 'File Links'!C:C, 0))))</f>
        <v>https://drive.google.com/file/d/1Irbmig3rfLDvz-G09jDAVwJvv1drYEqO/view?usp=drivesdk</v>
      </c>
      <c r="Y2540" s="65"/>
      <c r="Z2540" s="156" t="s">
        <v>2072</v>
      </c>
      <c r="AA2540" s="65"/>
      <c r="AB2540" s="156" t="s">
        <v>15134</v>
      </c>
      <c r="AC2540" s="156" t="s">
        <v>15135</v>
      </c>
      <c r="AD2540" s="156" t="s">
        <v>15136</v>
      </c>
      <c r="AE2540" s="156" t="s">
        <v>875</v>
      </c>
      <c r="AF2540" s="153">
        <v>231.0</v>
      </c>
      <c r="AG2540" s="153">
        <v>0.31</v>
      </c>
      <c r="AH2540" s="156" t="s">
        <v>166</v>
      </c>
      <c r="AI2540" s="156" t="s">
        <v>15137</v>
      </c>
      <c r="AJ2540" s="153">
        <v>0.01</v>
      </c>
      <c r="AK2540" s="156" t="s">
        <v>165</v>
      </c>
      <c r="AL2540" s="156" t="s">
        <v>179</v>
      </c>
      <c r="AM2540" s="156" t="s">
        <v>130</v>
      </c>
      <c r="AN2540" s="156" t="s">
        <v>131</v>
      </c>
      <c r="AO2540" s="153">
        <v>648.0</v>
      </c>
      <c r="AP2540" s="153">
        <v>0.38</v>
      </c>
      <c r="AQ2540" s="156" t="s">
        <v>166</v>
      </c>
      <c r="AR2540" s="156" t="s">
        <v>15146</v>
      </c>
      <c r="AS2540" s="153">
        <v>0.001</v>
      </c>
      <c r="AT2540" s="156" t="s">
        <v>128</v>
      </c>
      <c r="AU2540" s="156" t="s">
        <v>179</v>
      </c>
      <c r="AV2540" s="156" t="s">
        <v>130</v>
      </c>
      <c r="AW2540" s="432" t="s">
        <v>15139</v>
      </c>
      <c r="AX2540" s="156" t="s">
        <v>136</v>
      </c>
      <c r="AZ2540" s="59" t="s">
        <v>1263</v>
      </c>
    </row>
    <row r="2541">
      <c r="A2541" s="41">
        <v>2541.0</v>
      </c>
      <c r="B2541" s="126" t="s">
        <v>107</v>
      </c>
      <c r="C2541" s="59" t="s">
        <v>108</v>
      </c>
      <c r="D2541" s="59" t="s">
        <v>241</v>
      </c>
      <c r="F2541" s="65" t="s">
        <v>15127</v>
      </c>
      <c r="G2541" s="156" t="s">
        <v>15147</v>
      </c>
      <c r="H2541" s="156" t="s">
        <v>242</v>
      </c>
      <c r="I2541" s="149">
        <v>45761.0</v>
      </c>
      <c r="J2541" s="537">
        <v>45793.0</v>
      </c>
      <c r="K2541" s="156" t="s">
        <v>15144</v>
      </c>
      <c r="L2541" s="2122" t="s">
        <v>15145</v>
      </c>
      <c r="M2541" s="156" t="s">
        <v>15131</v>
      </c>
      <c r="N2541" s="156" t="s">
        <v>5485</v>
      </c>
      <c r="O2541" s="153">
        <v>3.0</v>
      </c>
      <c r="P2541" s="379" t="s">
        <v>15132</v>
      </c>
      <c r="Q2541" s="49" t="str">
        <f t="array" ref="Q2541"> if(iserror(MATCH(V2541, 'File Links'!C:C, 0)), "N/A", HYPERLINK(INDEX('File Links'!B:B, MATCH(P2541, 'File Links'!C:C, 0))))</f>
        <v>https://drive.google.com/file/d/1ufFlEetCWZtYqMqTTptc07s2XdkD4E4c/view?usp=drivesdk</v>
      </c>
      <c r="R2541" s="156" t="s">
        <v>15045</v>
      </c>
      <c r="S2541" s="156" t="s">
        <v>10148</v>
      </c>
      <c r="T2541" s="65"/>
      <c r="U2541" s="126">
        <v>4.0</v>
      </c>
      <c r="V2541" s="379" t="s">
        <v>10149</v>
      </c>
      <c r="W2541" s="1773" t="s">
        <v>202</v>
      </c>
      <c r="X2541" s="51" t="str">
        <f t="array" ref="X2541"> if(iserror(MATCH(V2541, 'File Links'!C:C, 0)), "N/A", HYPERLINK(INDEX('File Links'!B:B, MATCH(V2541, 'File Links'!C:C, 0))))</f>
        <v>https://drive.google.com/file/d/1Irbmig3rfLDvz-G09jDAVwJvv1drYEqO/view?usp=drivesdk</v>
      </c>
      <c r="Y2541" s="65"/>
      <c r="Z2541" s="156" t="s">
        <v>2072</v>
      </c>
      <c r="AA2541" s="65"/>
      <c r="AB2541" s="156" t="s">
        <v>15134</v>
      </c>
      <c r="AC2541" s="156" t="s">
        <v>15135</v>
      </c>
      <c r="AD2541" s="156" t="s">
        <v>15142</v>
      </c>
      <c r="AE2541" s="156" t="s">
        <v>875</v>
      </c>
      <c r="AF2541" s="153">
        <v>231.0</v>
      </c>
      <c r="AG2541" s="156" t="s">
        <v>131</v>
      </c>
      <c r="AH2541" s="164" t="s">
        <v>131</v>
      </c>
      <c r="AI2541" s="156" t="s">
        <v>875</v>
      </c>
      <c r="AJ2541" s="153">
        <v>0.03</v>
      </c>
      <c r="AK2541" s="156" t="s">
        <v>165</v>
      </c>
      <c r="AL2541" s="156" t="s">
        <v>179</v>
      </c>
      <c r="AM2541" s="156" t="s">
        <v>130</v>
      </c>
      <c r="AN2541" s="156" t="s">
        <v>131</v>
      </c>
      <c r="AO2541" s="153">
        <v>648.0</v>
      </c>
      <c r="AP2541" s="156" t="s">
        <v>131</v>
      </c>
      <c r="AQ2541" s="126" t="s">
        <v>131</v>
      </c>
      <c r="AR2541" s="156" t="s">
        <v>131</v>
      </c>
      <c r="AS2541" s="153">
        <v>0.14</v>
      </c>
      <c r="AT2541" s="156" t="s">
        <v>165</v>
      </c>
      <c r="AU2541" s="156" t="s">
        <v>179</v>
      </c>
      <c r="AV2541" s="156" t="s">
        <v>130</v>
      </c>
      <c r="AW2541" s="432" t="s">
        <v>15139</v>
      </c>
      <c r="AX2541" s="156" t="s">
        <v>136</v>
      </c>
      <c r="AZ2541" s="59" t="s">
        <v>1263</v>
      </c>
    </row>
    <row r="2542">
      <c r="A2542" s="41">
        <v>2542.0</v>
      </c>
      <c r="B2542" s="471" t="s">
        <v>107</v>
      </c>
      <c r="C2542" s="464" t="s">
        <v>108</v>
      </c>
      <c r="D2542" s="464" t="s">
        <v>241</v>
      </c>
      <c r="E2542" s="465"/>
      <c r="F2542" s="479" t="s">
        <v>15148</v>
      </c>
      <c r="G2542" s="466" t="s">
        <v>15149</v>
      </c>
      <c r="H2542" s="466" t="s">
        <v>242</v>
      </c>
      <c r="I2542" s="468">
        <v>45761.0</v>
      </c>
      <c r="J2542" s="2123">
        <v>45800.0</v>
      </c>
      <c r="K2542" s="466" t="s">
        <v>15150</v>
      </c>
      <c r="L2542" s="471" t="s">
        <v>15151</v>
      </c>
      <c r="M2542" s="466" t="s">
        <v>15152</v>
      </c>
      <c r="N2542" s="466" t="s">
        <v>15153</v>
      </c>
      <c r="O2542" s="923">
        <v>2.0</v>
      </c>
      <c r="P2542" s="466" t="s">
        <v>15154</v>
      </c>
      <c r="Q2542" s="924" t="str">
        <f t="array" ref="Q2542"> if(iserror(MATCH(V2542, 'File Links'!C:C, 0)), "N/A", HYPERLINK(INDEX('File Links'!B:B, MATCH(P2542, 'File Links'!C:C, 0))))</f>
        <v>https://drive.google.com/file/d/1pONPJh9x5VCZuuA8xFZJ8EwpUqV7ZKOz/view?usp=drivesdk</v>
      </c>
      <c r="R2542" s="466" t="s">
        <v>15155</v>
      </c>
      <c r="S2542" s="466" t="s">
        <v>15156</v>
      </c>
      <c r="T2542" s="479"/>
      <c r="U2542" s="471">
        <v>1.0</v>
      </c>
      <c r="V2542" s="466" t="s">
        <v>15157</v>
      </c>
      <c r="W2542" s="471" t="s">
        <v>202</v>
      </c>
      <c r="X2542" s="925" t="str">
        <f t="array" ref="X2542"> if(iserror(MATCH(V2542, 'File Links'!C:C, 0)), "N/A", HYPERLINK(INDEX('File Links'!B:B, MATCH(V2542, 'File Links'!C:C, 0))))</f>
        <v>https://drive.google.com/file/d/1JqR213ecE6dYmcQzX1WidGxm2UimuKxl/view?usp=drivesdk</v>
      </c>
      <c r="Y2542" s="479"/>
      <c r="Z2542" s="466" t="s">
        <v>2072</v>
      </c>
      <c r="AA2542" s="471" t="s">
        <v>15158</v>
      </c>
      <c r="AB2542" s="471" t="s">
        <v>15159</v>
      </c>
      <c r="AC2542" s="466" t="s">
        <v>15160</v>
      </c>
      <c r="AD2542" s="466" t="s">
        <v>15161</v>
      </c>
      <c r="AE2542" s="466" t="s">
        <v>597</v>
      </c>
      <c r="AF2542" s="923">
        <v>275.0</v>
      </c>
      <c r="AG2542" s="923">
        <v>0.026</v>
      </c>
      <c r="AH2542" s="466" t="s">
        <v>867</v>
      </c>
      <c r="AI2542" s="466" t="s">
        <v>15162</v>
      </c>
      <c r="AJ2542" s="923">
        <v>0.03</v>
      </c>
      <c r="AK2542" s="466" t="s">
        <v>165</v>
      </c>
      <c r="AL2542" s="466" t="s">
        <v>179</v>
      </c>
      <c r="AM2542" s="466" t="s">
        <v>130</v>
      </c>
      <c r="AN2542" s="466" t="s">
        <v>131</v>
      </c>
      <c r="AO2542" s="923">
        <v>383.0</v>
      </c>
      <c r="AP2542" s="923">
        <v>0.001</v>
      </c>
      <c r="AQ2542" s="466" t="s">
        <v>132</v>
      </c>
      <c r="AR2542" s="466" t="s">
        <v>15163</v>
      </c>
      <c r="AS2542" s="923">
        <v>0.091</v>
      </c>
      <c r="AT2542" s="466" t="s">
        <v>165</v>
      </c>
      <c r="AU2542" s="466" t="s">
        <v>179</v>
      </c>
      <c r="AV2542" s="466" t="s">
        <v>130</v>
      </c>
      <c r="AW2542" s="2124" t="s">
        <v>15164</v>
      </c>
      <c r="AX2542" s="466" t="s">
        <v>136</v>
      </c>
      <c r="AY2542" s="465"/>
      <c r="AZ2542" s="464" t="s">
        <v>1263</v>
      </c>
      <c r="BA2542" s="465"/>
      <c r="BB2542" s="465"/>
      <c r="BC2542" s="465"/>
      <c r="BD2542" s="465"/>
      <c r="BE2542" s="465"/>
      <c r="BF2542" s="465"/>
      <c r="BG2542" s="465"/>
      <c r="BH2542" s="465"/>
      <c r="BI2542" s="465"/>
      <c r="BJ2542" s="465"/>
      <c r="BK2542" s="465"/>
      <c r="BL2542" s="465"/>
      <c r="BM2542" s="465"/>
      <c r="BN2542" s="465"/>
      <c r="BO2542" s="465"/>
      <c r="BP2542" s="465"/>
      <c r="BQ2542" s="465"/>
      <c r="BR2542" s="465"/>
      <c r="BS2542" s="465"/>
      <c r="BT2542" s="465"/>
      <c r="BU2542" s="465"/>
      <c r="BV2542" s="465"/>
      <c r="BW2542" s="465"/>
      <c r="BX2542" s="465"/>
      <c r="BY2542" s="465"/>
      <c r="BZ2542" s="465"/>
      <c r="CA2542" s="465"/>
      <c r="CB2542" s="465"/>
      <c r="CC2542" s="465"/>
      <c r="CD2542" s="465"/>
      <c r="CE2542" s="465"/>
      <c r="CF2542" s="465"/>
      <c r="CG2542" s="465"/>
      <c r="CH2542" s="465"/>
      <c r="CI2542" s="465"/>
      <c r="CJ2542" s="465"/>
      <c r="CK2542" s="465"/>
      <c r="CL2542" s="465"/>
      <c r="CM2542" s="465"/>
      <c r="CN2542" s="465"/>
      <c r="CO2542" s="465"/>
      <c r="CP2542" s="465"/>
      <c r="CQ2542" s="465"/>
      <c r="CR2542" s="465"/>
      <c r="CS2542" s="465"/>
      <c r="CT2542" s="465"/>
      <c r="CU2542" s="465"/>
      <c r="CV2542" s="465"/>
      <c r="CW2542" s="465"/>
      <c r="CX2542" s="465"/>
      <c r="CY2542" s="465"/>
      <c r="CZ2542" s="465"/>
      <c r="DA2542" s="465"/>
      <c r="DB2542" s="465"/>
      <c r="DC2542" s="465"/>
      <c r="DD2542" s="465"/>
      <c r="DE2542" s="465"/>
      <c r="DF2542" s="465"/>
      <c r="DG2542" s="465"/>
      <c r="DH2542" s="465"/>
    </row>
    <row r="2543">
      <c r="A2543" s="41">
        <v>2543.0</v>
      </c>
      <c r="B2543" s="126" t="s">
        <v>145</v>
      </c>
      <c r="C2543" s="59" t="s">
        <v>108</v>
      </c>
      <c r="D2543" s="59" t="s">
        <v>241</v>
      </c>
      <c r="F2543" s="65" t="s">
        <v>15148</v>
      </c>
      <c r="G2543" s="156" t="s">
        <v>15165</v>
      </c>
      <c r="H2543" s="156" t="s">
        <v>242</v>
      </c>
      <c r="I2543" s="149">
        <v>45761.0</v>
      </c>
      <c r="J2543" s="2123">
        <v>45800.0</v>
      </c>
      <c r="K2543" s="156" t="s">
        <v>15150</v>
      </c>
      <c r="L2543" s="126" t="s">
        <v>15151</v>
      </c>
      <c r="M2543" s="156" t="s">
        <v>15152</v>
      </c>
      <c r="N2543" s="156" t="s">
        <v>15153</v>
      </c>
      <c r="O2543" s="153">
        <v>2.0</v>
      </c>
      <c r="P2543" s="379" t="s">
        <v>15154</v>
      </c>
      <c r="Q2543" s="49" t="str">
        <f t="array" ref="Q2543"> if(iserror(MATCH(V2543, 'File Links'!C:C, 0)), "N/A", HYPERLINK(INDEX('File Links'!B:B, MATCH(P2543, 'File Links'!C:C, 0))))</f>
        <v>https://drive.google.com/file/d/1pONPJh9x5VCZuuA8xFZJ8EwpUqV7ZKOz/view?usp=drivesdk</v>
      </c>
      <c r="R2543" s="156" t="s">
        <v>15155</v>
      </c>
      <c r="S2543" s="156" t="s">
        <v>15156</v>
      </c>
      <c r="T2543" s="65"/>
      <c r="U2543" s="126">
        <v>1.0</v>
      </c>
      <c r="V2543" s="379" t="s">
        <v>15157</v>
      </c>
      <c r="W2543" s="1077" t="s">
        <v>202</v>
      </c>
      <c r="X2543" s="51" t="str">
        <f t="array" ref="X2543"> if(iserror(MATCH(V2543, 'File Links'!C:C, 0)), "N/A", HYPERLINK(INDEX('File Links'!B:B, MATCH(V2543, 'File Links'!C:C, 0))))</f>
        <v>https://drive.google.com/file/d/1JqR213ecE6dYmcQzX1WidGxm2UimuKxl/view?usp=drivesdk</v>
      </c>
      <c r="Y2543" s="65"/>
      <c r="Z2543" s="156" t="s">
        <v>2072</v>
      </c>
      <c r="AA2543" s="471" t="s">
        <v>15158</v>
      </c>
      <c r="AB2543" s="471" t="s">
        <v>15159</v>
      </c>
      <c r="AC2543" s="156" t="s">
        <v>15160</v>
      </c>
      <c r="AD2543" s="156" t="s">
        <v>15166</v>
      </c>
      <c r="AE2543" s="156" t="s">
        <v>597</v>
      </c>
      <c r="AF2543" s="153">
        <v>275.0</v>
      </c>
      <c r="AG2543" s="148" t="s">
        <v>15167</v>
      </c>
      <c r="AH2543" s="156" t="s">
        <v>127</v>
      </c>
      <c r="AI2543" s="156" t="s">
        <v>15168</v>
      </c>
      <c r="AJ2543" s="153">
        <v>0.83</v>
      </c>
      <c r="AK2543" s="156" t="s">
        <v>165</v>
      </c>
      <c r="AL2543" s="156" t="s">
        <v>179</v>
      </c>
      <c r="AM2543" s="156" t="s">
        <v>130</v>
      </c>
      <c r="AN2543" s="156" t="s">
        <v>131</v>
      </c>
      <c r="AO2543" s="153">
        <v>383.0</v>
      </c>
      <c r="AP2543" s="153">
        <v>0.001</v>
      </c>
      <c r="AQ2543" s="156" t="s">
        <v>132</v>
      </c>
      <c r="AR2543" s="156" t="s">
        <v>15169</v>
      </c>
      <c r="AS2543" s="153">
        <v>0.65</v>
      </c>
      <c r="AT2543" s="156" t="s">
        <v>165</v>
      </c>
      <c r="AU2543" s="156" t="s">
        <v>179</v>
      </c>
      <c r="AV2543" s="156" t="s">
        <v>130</v>
      </c>
      <c r="AW2543" s="432" t="s">
        <v>15164</v>
      </c>
      <c r="AX2543" s="156" t="s">
        <v>136</v>
      </c>
      <c r="AZ2543" s="59" t="s">
        <v>1263</v>
      </c>
    </row>
    <row r="2544">
      <c r="A2544" s="41">
        <v>2544.0</v>
      </c>
      <c r="B2544" s="126" t="s">
        <v>145</v>
      </c>
      <c r="C2544" s="59" t="s">
        <v>108</v>
      </c>
      <c r="D2544" s="59" t="s">
        <v>241</v>
      </c>
      <c r="F2544" s="65" t="s">
        <v>15148</v>
      </c>
      <c r="G2544" s="156" t="s">
        <v>15170</v>
      </c>
      <c r="H2544" s="156" t="s">
        <v>242</v>
      </c>
      <c r="I2544" s="149">
        <v>45761.0</v>
      </c>
      <c r="J2544" s="2123">
        <v>45800.0</v>
      </c>
      <c r="K2544" s="156" t="s">
        <v>15150</v>
      </c>
      <c r="L2544" s="126" t="s">
        <v>15151</v>
      </c>
      <c r="M2544" s="156" t="s">
        <v>15152</v>
      </c>
      <c r="N2544" s="156" t="s">
        <v>15153</v>
      </c>
      <c r="O2544" s="153">
        <v>2.0</v>
      </c>
      <c r="P2544" s="379" t="s">
        <v>15154</v>
      </c>
      <c r="Q2544" s="49" t="str">
        <f t="array" ref="Q2544"> if(iserror(MATCH(V2544, 'File Links'!C:C, 0)), "N/A", HYPERLINK(INDEX('File Links'!B:B, MATCH(P2544, 'File Links'!C:C, 0))))</f>
        <v>https://drive.google.com/file/d/1pONPJh9x5VCZuuA8xFZJ8EwpUqV7ZKOz/view?usp=drivesdk</v>
      </c>
      <c r="R2544" s="156" t="s">
        <v>15155</v>
      </c>
      <c r="S2544" s="156" t="s">
        <v>15156</v>
      </c>
      <c r="T2544" s="65"/>
      <c r="U2544" s="126">
        <v>1.0</v>
      </c>
      <c r="V2544" s="379" t="s">
        <v>15157</v>
      </c>
      <c r="W2544" s="1077" t="s">
        <v>202</v>
      </c>
      <c r="X2544" s="51" t="str">
        <f t="array" ref="X2544"> if(iserror(MATCH(V2544, 'File Links'!C:C, 0)), "N/A", HYPERLINK(INDEX('File Links'!B:B, MATCH(V2544, 'File Links'!C:C, 0))))</f>
        <v>https://drive.google.com/file/d/1JqR213ecE6dYmcQzX1WidGxm2UimuKxl/view?usp=drivesdk</v>
      </c>
      <c r="Y2544" s="65"/>
      <c r="Z2544" s="156" t="s">
        <v>2072</v>
      </c>
      <c r="AA2544" s="471" t="s">
        <v>15158</v>
      </c>
      <c r="AB2544" s="471" t="s">
        <v>15159</v>
      </c>
      <c r="AC2544" s="156" t="s">
        <v>15160</v>
      </c>
      <c r="AD2544" s="156" t="s">
        <v>15171</v>
      </c>
      <c r="AE2544" s="156" t="s">
        <v>597</v>
      </c>
      <c r="AF2544" s="153">
        <v>275.0</v>
      </c>
      <c r="AG2544" s="156" t="s">
        <v>15172</v>
      </c>
      <c r="AH2544" s="156" t="s">
        <v>127</v>
      </c>
      <c r="AI2544" s="156" t="s">
        <v>15173</v>
      </c>
      <c r="AJ2544" s="153">
        <v>0.35</v>
      </c>
      <c r="AK2544" s="156" t="s">
        <v>165</v>
      </c>
      <c r="AL2544" s="156" t="s">
        <v>179</v>
      </c>
      <c r="AM2544" s="156" t="s">
        <v>130</v>
      </c>
      <c r="AN2544" s="156" t="s">
        <v>131</v>
      </c>
      <c r="AO2544" s="153">
        <v>383.0</v>
      </c>
      <c r="AP2544" s="153">
        <v>0.006</v>
      </c>
      <c r="AQ2544" s="156" t="s">
        <v>132</v>
      </c>
      <c r="AR2544" s="156" t="s">
        <v>15174</v>
      </c>
      <c r="AS2544" s="153">
        <v>0.31</v>
      </c>
      <c r="AT2544" s="156" t="s">
        <v>165</v>
      </c>
      <c r="AU2544" s="156" t="s">
        <v>179</v>
      </c>
      <c r="AV2544" s="156" t="s">
        <v>130</v>
      </c>
      <c r="AW2544" s="432" t="s">
        <v>15164</v>
      </c>
      <c r="AX2544" s="156" t="s">
        <v>136</v>
      </c>
      <c r="AZ2544" s="59" t="s">
        <v>1263</v>
      </c>
    </row>
    <row r="2545">
      <c r="A2545" s="41">
        <v>2545.0</v>
      </c>
      <c r="B2545" s="1773" t="s">
        <v>145</v>
      </c>
      <c r="C2545" s="1774" t="s">
        <v>108</v>
      </c>
      <c r="D2545" s="1774" t="s">
        <v>138</v>
      </c>
      <c r="E2545" s="1775"/>
      <c r="F2545" s="1785" t="s">
        <v>10243</v>
      </c>
      <c r="G2545" s="1784" t="s">
        <v>10244</v>
      </c>
      <c r="H2545" s="1784" t="s">
        <v>10089</v>
      </c>
      <c r="I2545" s="2116">
        <v>45765.0</v>
      </c>
      <c r="J2545" s="537">
        <v>45793.0</v>
      </c>
      <c r="K2545" s="1785"/>
      <c r="L2545" s="1773" t="s">
        <v>15175</v>
      </c>
      <c r="M2545" s="1784" t="s">
        <v>10246</v>
      </c>
      <c r="N2545" s="1784" t="s">
        <v>10247</v>
      </c>
      <c r="O2545" s="2081">
        <v>4.0</v>
      </c>
      <c r="P2545" s="1784" t="s">
        <v>10248</v>
      </c>
      <c r="Q2545" s="49" t="str">
        <f t="array" ref="Q2545"> if(iserror(MATCH(V2545, 'File Links'!C:C, 0)), "N/A", HYPERLINK(INDEX('File Links'!B:B, MATCH(P2545, 'File Links'!C:C, 0))))</f>
        <v>https://drive.google.com/file/d/1KTndRLnspP4bSM08LU5xlAb5egjHN1hx/view?usp=drivesdk</v>
      </c>
      <c r="R2545" s="1784" t="s">
        <v>15045</v>
      </c>
      <c r="S2545" s="1784" t="s">
        <v>10148</v>
      </c>
      <c r="T2545" s="2125" t="s">
        <v>15176</v>
      </c>
      <c r="U2545" s="1773">
        <v>13.0</v>
      </c>
      <c r="V2545" s="1784" t="s">
        <v>10149</v>
      </c>
      <c r="W2545" s="1773" t="s">
        <v>202</v>
      </c>
      <c r="X2545" s="51" t="str">
        <f t="array" ref="X2545"> if(iserror(MATCH(V2545, 'File Links'!C:C, 0)), "N/A", HYPERLINK(INDEX('File Links'!B:B, MATCH(V2545, 'File Links'!C:C, 0))))</f>
        <v>https://drive.google.com/file/d/1Irbmig3rfLDvz-G09jDAVwJvv1drYEqO/view?usp=drivesdk</v>
      </c>
      <c r="Y2545" s="1785"/>
      <c r="Z2545" s="1784" t="s">
        <v>2072</v>
      </c>
      <c r="AA2545" s="1776" t="s">
        <v>10249</v>
      </c>
      <c r="AB2545" s="1784" t="s">
        <v>10250</v>
      </c>
      <c r="AC2545" s="1784" t="s">
        <v>15177</v>
      </c>
      <c r="AD2545" s="1784" t="s">
        <v>15178</v>
      </c>
      <c r="AE2545" s="2081">
        <v>10.0</v>
      </c>
      <c r="AF2545" s="2081">
        <v>179.0</v>
      </c>
      <c r="AG2545" s="2081">
        <v>1.08</v>
      </c>
      <c r="AH2545" s="1784" t="s">
        <v>166</v>
      </c>
      <c r="AI2545" s="1784" t="s">
        <v>625</v>
      </c>
      <c r="AJ2545" s="2081">
        <v>0.01</v>
      </c>
      <c r="AK2545" s="1784" t="s">
        <v>128</v>
      </c>
      <c r="AL2545" s="1784" t="s">
        <v>179</v>
      </c>
      <c r="AM2545" s="1784" t="s">
        <v>130</v>
      </c>
      <c r="AN2545" s="466" t="s">
        <v>131</v>
      </c>
      <c r="AO2545" s="2081">
        <v>467.0</v>
      </c>
      <c r="AP2545" s="2081">
        <v>0.179</v>
      </c>
      <c r="AQ2545" s="1784" t="s">
        <v>166</v>
      </c>
      <c r="AR2545" s="1784" t="s">
        <v>10260</v>
      </c>
      <c r="AS2545" s="2081">
        <v>0.001</v>
      </c>
      <c r="AT2545" s="1784" t="s">
        <v>128</v>
      </c>
      <c r="AU2545" s="1784" t="s">
        <v>179</v>
      </c>
      <c r="AV2545" s="1784" t="s">
        <v>130</v>
      </c>
      <c r="AW2545" s="1790" t="s">
        <v>10255</v>
      </c>
      <c r="AX2545" s="1784" t="s">
        <v>136</v>
      </c>
      <c r="AZ2545" s="59" t="s">
        <v>1263</v>
      </c>
      <c r="BA2545" s="1775"/>
      <c r="BB2545" s="1775"/>
      <c r="BC2545" s="1775"/>
      <c r="BD2545" s="1775"/>
      <c r="BE2545" s="1775"/>
      <c r="BF2545" s="1775"/>
      <c r="BG2545" s="1775"/>
      <c r="BH2545" s="1775"/>
      <c r="BI2545" s="1775"/>
      <c r="BJ2545" s="1775"/>
      <c r="BK2545" s="1775"/>
      <c r="BL2545" s="1775"/>
      <c r="BM2545" s="1775"/>
      <c r="BN2545" s="1775"/>
      <c r="BO2545" s="1775"/>
      <c r="BP2545" s="1775"/>
      <c r="BQ2545" s="1775"/>
      <c r="BR2545" s="1775"/>
      <c r="BS2545" s="1775"/>
      <c r="BT2545" s="1775"/>
      <c r="BU2545" s="1775"/>
      <c r="BV2545" s="1775"/>
      <c r="BW2545" s="1775"/>
      <c r="BX2545" s="1775"/>
      <c r="BY2545" s="1775"/>
      <c r="BZ2545" s="1775"/>
      <c r="CA2545" s="1775"/>
      <c r="CB2545" s="1775"/>
      <c r="CC2545" s="1775"/>
      <c r="CD2545" s="1775"/>
      <c r="CE2545" s="1775"/>
      <c r="CF2545" s="1775"/>
      <c r="CG2545" s="1775"/>
      <c r="CH2545" s="1775"/>
      <c r="CI2545" s="1775"/>
      <c r="CJ2545" s="1775"/>
      <c r="CK2545" s="1775"/>
      <c r="CL2545" s="1775"/>
      <c r="CM2545" s="1775"/>
      <c r="CN2545" s="1775"/>
      <c r="CO2545" s="1775"/>
      <c r="CP2545" s="1775"/>
      <c r="CQ2545" s="1775"/>
      <c r="CR2545" s="1775"/>
      <c r="CS2545" s="1775"/>
      <c r="CT2545" s="1775"/>
      <c r="CU2545" s="1775"/>
      <c r="CV2545" s="1775"/>
      <c r="CW2545" s="1775"/>
      <c r="CX2545" s="1775"/>
      <c r="CY2545" s="1775"/>
      <c r="CZ2545" s="1775"/>
      <c r="DA2545" s="1775"/>
      <c r="DB2545" s="1775"/>
      <c r="DC2545" s="1775"/>
      <c r="DD2545" s="1775"/>
      <c r="DE2545" s="1775"/>
      <c r="DF2545" s="1775"/>
      <c r="DG2545" s="1775"/>
      <c r="DH2545" s="1775"/>
    </row>
    <row r="2546">
      <c r="A2546" s="41">
        <v>2546.0</v>
      </c>
      <c r="B2546" s="126" t="s">
        <v>145</v>
      </c>
      <c r="C2546" s="59" t="s">
        <v>108</v>
      </c>
      <c r="D2546" s="59" t="s">
        <v>138</v>
      </c>
      <c r="F2546" s="65" t="s">
        <v>10243</v>
      </c>
      <c r="G2546" s="357" t="s">
        <v>10256</v>
      </c>
      <c r="H2546" s="357" t="s">
        <v>10089</v>
      </c>
      <c r="I2546" s="341">
        <v>45765.0</v>
      </c>
      <c r="J2546" s="537">
        <v>45793.0</v>
      </c>
      <c r="K2546" s="43"/>
      <c r="L2546" s="1773" t="s">
        <v>15175</v>
      </c>
      <c r="M2546" s="357" t="s">
        <v>10246</v>
      </c>
      <c r="N2546" s="357" t="s">
        <v>10247</v>
      </c>
      <c r="O2546" s="354">
        <v>4.0</v>
      </c>
      <c r="P2546" s="357" t="s">
        <v>10248</v>
      </c>
      <c r="Q2546" s="49" t="str">
        <f t="array" ref="Q2546"> if(iserror(MATCH(V2546, 'File Links'!C:C, 0)), "N/A", HYPERLINK(INDEX('File Links'!B:B, MATCH(P2546, 'File Links'!C:C, 0))))</f>
        <v>https://drive.google.com/file/d/1KTndRLnspP4bSM08LU5xlAb5egjHN1hx/view?usp=drivesdk</v>
      </c>
      <c r="R2546" s="357" t="s">
        <v>15045</v>
      </c>
      <c r="S2546" s="357" t="s">
        <v>10148</v>
      </c>
      <c r="T2546" s="506" t="s">
        <v>15176</v>
      </c>
      <c r="U2546" s="53">
        <v>13.0</v>
      </c>
      <c r="V2546" s="357" t="s">
        <v>10149</v>
      </c>
      <c r="W2546" s="1773" t="s">
        <v>202</v>
      </c>
      <c r="X2546" s="51" t="str">
        <f t="array" ref="X2546"> if(iserror(MATCH(V2546, 'File Links'!C:C, 0)), "N/A", HYPERLINK(INDEX('File Links'!B:B, MATCH(V2546, 'File Links'!C:C, 0))))</f>
        <v>https://drive.google.com/file/d/1Irbmig3rfLDvz-G09jDAVwJvv1drYEqO/view?usp=drivesdk</v>
      </c>
      <c r="Y2546" s="43"/>
      <c r="Z2546" s="357" t="s">
        <v>2072</v>
      </c>
      <c r="AA2546" s="1776" t="s">
        <v>10249</v>
      </c>
      <c r="AB2546" s="357" t="s">
        <v>10250</v>
      </c>
      <c r="AC2546" s="357" t="s">
        <v>15179</v>
      </c>
      <c r="AD2546" s="357" t="s">
        <v>15180</v>
      </c>
      <c r="AE2546" s="354">
        <v>10.0</v>
      </c>
      <c r="AF2546" s="354">
        <v>179.0</v>
      </c>
      <c r="AG2546" s="354">
        <v>0.34</v>
      </c>
      <c r="AH2546" s="357" t="s">
        <v>166</v>
      </c>
      <c r="AI2546" s="357" t="s">
        <v>625</v>
      </c>
      <c r="AJ2546" s="354">
        <v>0.01</v>
      </c>
      <c r="AK2546" s="357" t="s">
        <v>128</v>
      </c>
      <c r="AL2546" s="357" t="s">
        <v>179</v>
      </c>
      <c r="AM2546" s="357" t="s">
        <v>130</v>
      </c>
      <c r="AN2546" s="466" t="s">
        <v>131</v>
      </c>
      <c r="AO2546" s="354">
        <v>467.0</v>
      </c>
      <c r="AP2546" s="354">
        <v>0.028</v>
      </c>
      <c r="AQ2546" s="357" t="s">
        <v>166</v>
      </c>
      <c r="AR2546" s="357" t="s">
        <v>10260</v>
      </c>
      <c r="AS2546" s="354">
        <v>0.6</v>
      </c>
      <c r="AT2546" s="357" t="s">
        <v>165</v>
      </c>
      <c r="AU2546" s="357" t="s">
        <v>179</v>
      </c>
      <c r="AV2546" s="357" t="s">
        <v>130</v>
      </c>
      <c r="AW2546" s="1790" t="s">
        <v>10255</v>
      </c>
      <c r="AX2546" s="357" t="s">
        <v>136</v>
      </c>
      <c r="AZ2546" s="59" t="s">
        <v>1263</v>
      </c>
    </row>
    <row r="2547">
      <c r="A2547" s="41">
        <v>2547.0</v>
      </c>
      <c r="B2547" s="126" t="s">
        <v>145</v>
      </c>
      <c r="C2547" s="59" t="s">
        <v>108</v>
      </c>
      <c r="D2547" s="59" t="s">
        <v>138</v>
      </c>
      <c r="F2547" s="65" t="s">
        <v>10243</v>
      </c>
      <c r="G2547" s="357" t="s">
        <v>10261</v>
      </c>
      <c r="H2547" s="357" t="s">
        <v>10089</v>
      </c>
      <c r="I2547" s="341">
        <v>45765.0</v>
      </c>
      <c r="J2547" s="537">
        <v>45793.0</v>
      </c>
      <c r="K2547" s="43"/>
      <c r="L2547" s="1773" t="s">
        <v>15175</v>
      </c>
      <c r="M2547" s="357" t="s">
        <v>10246</v>
      </c>
      <c r="N2547" s="357" t="s">
        <v>10247</v>
      </c>
      <c r="O2547" s="354">
        <v>4.0</v>
      </c>
      <c r="P2547" s="357" t="s">
        <v>10248</v>
      </c>
      <c r="Q2547" s="49" t="str">
        <f t="array" ref="Q2547"> if(iserror(MATCH(V2547, 'File Links'!C:C, 0)), "N/A", HYPERLINK(INDEX('File Links'!B:B, MATCH(P2547, 'File Links'!C:C, 0))))</f>
        <v>https://drive.google.com/file/d/1KTndRLnspP4bSM08LU5xlAb5egjHN1hx/view?usp=drivesdk</v>
      </c>
      <c r="R2547" s="357" t="s">
        <v>15045</v>
      </c>
      <c r="S2547" s="357" t="s">
        <v>10148</v>
      </c>
      <c r="T2547" s="506" t="s">
        <v>15176</v>
      </c>
      <c r="U2547" s="53">
        <v>13.0</v>
      </c>
      <c r="V2547" s="357" t="s">
        <v>10149</v>
      </c>
      <c r="W2547" s="1773" t="s">
        <v>202</v>
      </c>
      <c r="X2547" s="51" t="str">
        <f t="array" ref="X2547"> if(iserror(MATCH(V2547, 'File Links'!C:C, 0)), "N/A", HYPERLINK(INDEX('File Links'!B:B, MATCH(V2547, 'File Links'!C:C, 0))))</f>
        <v>https://drive.google.com/file/d/1Irbmig3rfLDvz-G09jDAVwJvv1drYEqO/view?usp=drivesdk</v>
      </c>
      <c r="Y2547" s="43"/>
      <c r="Z2547" s="357" t="s">
        <v>2072</v>
      </c>
      <c r="AA2547" s="1776" t="s">
        <v>10249</v>
      </c>
      <c r="AB2547" s="357" t="s">
        <v>10250</v>
      </c>
      <c r="AC2547" s="357" t="s">
        <v>15181</v>
      </c>
      <c r="AD2547" s="357" t="s">
        <v>15182</v>
      </c>
      <c r="AE2547" s="354">
        <v>10.0</v>
      </c>
      <c r="AF2547" s="354">
        <v>179.0</v>
      </c>
      <c r="AG2547" s="357" t="s">
        <v>10263</v>
      </c>
      <c r="AH2547" s="357" t="s">
        <v>127</v>
      </c>
      <c r="AI2547" s="357" t="s">
        <v>625</v>
      </c>
      <c r="AJ2547" s="354">
        <v>0.01</v>
      </c>
      <c r="AK2547" s="357" t="s">
        <v>128</v>
      </c>
      <c r="AL2547" s="357" t="s">
        <v>179</v>
      </c>
      <c r="AM2547" s="357" t="s">
        <v>130</v>
      </c>
      <c r="AN2547" s="466" t="s">
        <v>131</v>
      </c>
      <c r="AO2547" s="354">
        <v>467.0</v>
      </c>
      <c r="AP2547" s="357" t="s">
        <v>10265</v>
      </c>
      <c r="AQ2547" s="357" t="s">
        <v>127</v>
      </c>
      <c r="AR2547" s="357" t="s">
        <v>10260</v>
      </c>
      <c r="AS2547" s="354">
        <v>0.71</v>
      </c>
      <c r="AT2547" s="357" t="s">
        <v>165</v>
      </c>
      <c r="AU2547" s="357" t="s">
        <v>179</v>
      </c>
      <c r="AV2547" s="357" t="s">
        <v>130</v>
      </c>
      <c r="AW2547" s="1790" t="s">
        <v>10255</v>
      </c>
      <c r="AX2547" s="357" t="s">
        <v>136</v>
      </c>
      <c r="AZ2547" s="59" t="s">
        <v>1263</v>
      </c>
    </row>
    <row r="2548">
      <c r="A2548" s="41">
        <v>2548.0</v>
      </c>
      <c r="B2548" s="292" t="s">
        <v>145</v>
      </c>
      <c r="C2548" s="284" t="s">
        <v>108</v>
      </c>
      <c r="D2548" s="284" t="s">
        <v>138</v>
      </c>
      <c r="E2548" s="305"/>
      <c r="F2548" s="302" t="s">
        <v>10141</v>
      </c>
      <c r="G2548" s="287" t="s">
        <v>10142</v>
      </c>
      <c r="H2548" s="287" t="s">
        <v>10089</v>
      </c>
      <c r="I2548" s="2112">
        <v>45767.0</v>
      </c>
      <c r="J2548" s="537">
        <v>45793.0</v>
      </c>
      <c r="K2548" s="302"/>
      <c r="L2548" s="292" t="s">
        <v>15183</v>
      </c>
      <c r="M2548" s="287" t="s">
        <v>10144</v>
      </c>
      <c r="N2548" s="287" t="s">
        <v>10145</v>
      </c>
      <c r="O2548" s="1555">
        <v>4.0</v>
      </c>
      <c r="P2548" s="287" t="s">
        <v>10146</v>
      </c>
      <c r="Q2548" s="49" t="str">
        <f t="array" ref="Q2548"> if(iserror(MATCH(V2548, 'File Links'!C:C, 0)), "N/A", HYPERLINK(INDEX('File Links'!B:B, MATCH(P2548, 'File Links'!C:C, 0))))</f>
        <v>https://drive.google.com/file/d/1dD_RkFuxQxk3hkxXbqultnhFhN1opB9Y/view?usp=drivesdk</v>
      </c>
      <c r="R2548" s="287" t="s">
        <v>15045</v>
      </c>
      <c r="S2548" s="287" t="s">
        <v>10148</v>
      </c>
      <c r="T2548" s="2115" t="s">
        <v>15176</v>
      </c>
      <c r="U2548" s="292">
        <v>11.0</v>
      </c>
      <c r="V2548" s="287" t="s">
        <v>10149</v>
      </c>
      <c r="W2548" s="292" t="s">
        <v>202</v>
      </c>
      <c r="X2548" s="51" t="str">
        <f t="array" ref="X2548"> if(iserror(MATCH(V2548, 'File Links'!C:C, 0)), "N/A", HYPERLINK(INDEX('File Links'!B:B, MATCH(V2548, 'File Links'!C:C, 0))))</f>
        <v>https://drive.google.com/file/d/1Irbmig3rfLDvz-G09jDAVwJvv1drYEqO/view?usp=drivesdk</v>
      </c>
      <c r="Y2548" s="302"/>
      <c r="Z2548" s="287" t="s">
        <v>2072</v>
      </c>
      <c r="AA2548" s="292" t="s">
        <v>10150</v>
      </c>
      <c r="AB2548" s="287" t="s">
        <v>15184</v>
      </c>
      <c r="AC2548" s="287" t="s">
        <v>15185</v>
      </c>
      <c r="AD2548" s="287" t="s">
        <v>15186</v>
      </c>
      <c r="AE2548" s="287" t="s">
        <v>15187</v>
      </c>
      <c r="AF2548" s="1555">
        <v>251.0</v>
      </c>
      <c r="AG2548" s="377">
        <v>0.029</v>
      </c>
      <c r="AH2548" s="377" t="s">
        <v>132</v>
      </c>
      <c r="AI2548" s="287" t="s">
        <v>298</v>
      </c>
      <c r="AJ2548" s="1555">
        <v>0.05</v>
      </c>
      <c r="AK2548" s="287" t="s">
        <v>128</v>
      </c>
      <c r="AL2548" s="287" t="s">
        <v>179</v>
      </c>
      <c r="AM2548" s="287" t="s">
        <v>130</v>
      </c>
      <c r="AN2548" s="466" t="s">
        <v>131</v>
      </c>
      <c r="AO2548" s="1555">
        <v>604.0</v>
      </c>
      <c r="AP2548" s="377">
        <v>0.014</v>
      </c>
      <c r="AQ2548" s="377" t="s">
        <v>867</v>
      </c>
      <c r="AR2548" s="287" t="s">
        <v>15188</v>
      </c>
      <c r="AS2548" s="1555">
        <v>0.014</v>
      </c>
      <c r="AT2548" s="287" t="s">
        <v>165</v>
      </c>
      <c r="AU2548" s="287" t="s">
        <v>179</v>
      </c>
      <c r="AV2548" s="287" t="s">
        <v>130</v>
      </c>
      <c r="AW2548" s="1790" t="s">
        <v>10156</v>
      </c>
      <c r="AX2548" s="287" t="s">
        <v>136</v>
      </c>
      <c r="AZ2548" s="59" t="s">
        <v>1263</v>
      </c>
      <c r="BA2548" s="305"/>
      <c r="BB2548" s="305"/>
      <c r="BC2548" s="305"/>
      <c r="BD2548" s="305"/>
      <c r="BE2548" s="305"/>
      <c r="BF2548" s="305"/>
      <c r="BG2548" s="305"/>
      <c r="BH2548" s="305"/>
      <c r="BI2548" s="305"/>
      <c r="BJ2548" s="305"/>
      <c r="BK2548" s="305"/>
      <c r="BL2548" s="305"/>
      <c r="BM2548" s="305"/>
      <c r="BN2548" s="305"/>
      <c r="BO2548" s="305"/>
      <c r="BP2548" s="305"/>
      <c r="BQ2548" s="305"/>
      <c r="BR2548" s="305"/>
      <c r="BS2548" s="305"/>
      <c r="BT2548" s="305"/>
      <c r="BU2548" s="305"/>
      <c r="BV2548" s="305"/>
      <c r="BW2548" s="305"/>
      <c r="BX2548" s="305"/>
      <c r="BY2548" s="305"/>
      <c r="BZ2548" s="305"/>
      <c r="CA2548" s="305"/>
      <c r="CB2548" s="305"/>
      <c r="CC2548" s="305"/>
      <c r="CD2548" s="305"/>
      <c r="CE2548" s="305"/>
      <c r="CF2548" s="305"/>
      <c r="CG2548" s="305"/>
      <c r="CH2548" s="305"/>
      <c r="CI2548" s="305"/>
      <c r="CJ2548" s="305"/>
      <c r="CK2548" s="305"/>
      <c r="CL2548" s="305"/>
      <c r="CM2548" s="305"/>
      <c r="CN2548" s="305"/>
      <c r="CO2548" s="305"/>
      <c r="CP2548" s="305"/>
      <c r="CQ2548" s="305"/>
      <c r="CR2548" s="305"/>
      <c r="CS2548" s="305"/>
      <c r="CT2548" s="305"/>
      <c r="CU2548" s="305"/>
      <c r="CV2548" s="305"/>
      <c r="CW2548" s="305"/>
      <c r="CX2548" s="305"/>
      <c r="CY2548" s="305"/>
      <c r="CZ2548" s="305"/>
      <c r="DA2548" s="305"/>
      <c r="DB2548" s="305"/>
      <c r="DC2548" s="305"/>
      <c r="DD2548" s="305"/>
      <c r="DE2548" s="305"/>
      <c r="DF2548" s="305"/>
      <c r="DG2548" s="305"/>
      <c r="DH2548" s="305"/>
    </row>
    <row r="2549">
      <c r="A2549" s="41">
        <v>2549.0</v>
      </c>
      <c r="B2549" s="126" t="s">
        <v>145</v>
      </c>
      <c r="C2549" s="59" t="s">
        <v>108</v>
      </c>
      <c r="D2549" s="59" t="s">
        <v>138</v>
      </c>
      <c r="F2549" s="65" t="s">
        <v>10141</v>
      </c>
      <c r="G2549" s="357" t="s">
        <v>10157</v>
      </c>
      <c r="H2549" s="357" t="s">
        <v>10089</v>
      </c>
      <c r="I2549" s="341">
        <v>45767.0</v>
      </c>
      <c r="J2549" s="537">
        <v>45793.0</v>
      </c>
      <c r="K2549" s="43"/>
      <c r="L2549" s="292" t="s">
        <v>15183</v>
      </c>
      <c r="M2549" s="357" t="s">
        <v>10144</v>
      </c>
      <c r="N2549" s="357" t="s">
        <v>10145</v>
      </c>
      <c r="O2549" s="354">
        <v>4.0</v>
      </c>
      <c r="P2549" s="357" t="s">
        <v>10146</v>
      </c>
      <c r="Q2549" s="49" t="str">
        <f t="array" ref="Q2549"> if(iserror(MATCH(V2549, 'File Links'!C:C, 0)), "N/A", HYPERLINK(INDEX('File Links'!B:B, MATCH(P2549, 'File Links'!C:C, 0))))</f>
        <v>https://drive.google.com/file/d/1dD_RkFuxQxk3hkxXbqultnhFhN1opB9Y/view?usp=drivesdk</v>
      </c>
      <c r="R2549" s="357" t="s">
        <v>15045</v>
      </c>
      <c r="S2549" s="357" t="s">
        <v>10148</v>
      </c>
      <c r="T2549" s="506" t="s">
        <v>15176</v>
      </c>
      <c r="U2549" s="292">
        <v>11.0</v>
      </c>
      <c r="V2549" s="357" t="s">
        <v>10149</v>
      </c>
      <c r="W2549" s="292" t="s">
        <v>202</v>
      </c>
      <c r="X2549" s="51" t="str">
        <f t="array" ref="X2549"> if(iserror(MATCH(V2549, 'File Links'!C:C, 0)), "N/A", HYPERLINK(INDEX('File Links'!B:B, MATCH(V2549, 'File Links'!C:C, 0))))</f>
        <v>https://drive.google.com/file/d/1Irbmig3rfLDvz-G09jDAVwJvv1drYEqO/view?usp=drivesdk</v>
      </c>
      <c r="Y2549" s="43"/>
      <c r="Z2549" s="357" t="s">
        <v>2072</v>
      </c>
      <c r="AA2549" s="292" t="s">
        <v>10150</v>
      </c>
      <c r="AB2549" s="357" t="s">
        <v>15184</v>
      </c>
      <c r="AC2549" s="357" t="s">
        <v>15189</v>
      </c>
      <c r="AD2549" s="357" t="s">
        <v>15190</v>
      </c>
      <c r="AE2549" s="357" t="s">
        <v>15187</v>
      </c>
      <c r="AF2549" s="354">
        <v>251.0</v>
      </c>
      <c r="AG2549" s="377">
        <v>0.031</v>
      </c>
      <c r="AH2549" s="377" t="s">
        <v>132</v>
      </c>
      <c r="AI2549" s="357" t="s">
        <v>298</v>
      </c>
      <c r="AJ2549" s="354">
        <v>0.05</v>
      </c>
      <c r="AK2549" s="357" t="s">
        <v>128</v>
      </c>
      <c r="AL2549" s="357" t="s">
        <v>179</v>
      </c>
      <c r="AM2549" s="357" t="s">
        <v>130</v>
      </c>
      <c r="AN2549" s="466" t="s">
        <v>131</v>
      </c>
      <c r="AO2549" s="354">
        <v>604.0</v>
      </c>
      <c r="AP2549" s="377">
        <v>0.003</v>
      </c>
      <c r="AQ2549" s="377" t="s">
        <v>867</v>
      </c>
      <c r="AR2549" s="357" t="s">
        <v>15188</v>
      </c>
      <c r="AS2549" s="354">
        <v>0.351</v>
      </c>
      <c r="AT2549" s="357" t="s">
        <v>165</v>
      </c>
      <c r="AU2549" s="357" t="s">
        <v>179</v>
      </c>
      <c r="AV2549" s="357" t="s">
        <v>130</v>
      </c>
      <c r="AW2549" s="1790" t="s">
        <v>10156</v>
      </c>
      <c r="AX2549" s="357" t="s">
        <v>136</v>
      </c>
      <c r="AZ2549" s="59" t="s">
        <v>1263</v>
      </c>
    </row>
    <row r="2550">
      <c r="A2550" s="41">
        <v>2550.0</v>
      </c>
      <c r="B2550" s="126" t="s">
        <v>145</v>
      </c>
      <c r="C2550" s="59" t="s">
        <v>108</v>
      </c>
      <c r="D2550" s="59" t="s">
        <v>138</v>
      </c>
      <c r="F2550" s="65" t="s">
        <v>10141</v>
      </c>
      <c r="G2550" s="357" t="s">
        <v>10161</v>
      </c>
      <c r="H2550" s="357" t="s">
        <v>10089</v>
      </c>
      <c r="I2550" s="341">
        <v>45767.0</v>
      </c>
      <c r="J2550" s="537">
        <v>45793.0</v>
      </c>
      <c r="K2550" s="43"/>
      <c r="L2550" s="292" t="s">
        <v>15183</v>
      </c>
      <c r="M2550" s="357" t="s">
        <v>10144</v>
      </c>
      <c r="N2550" s="357" t="s">
        <v>10145</v>
      </c>
      <c r="O2550" s="354">
        <v>4.0</v>
      </c>
      <c r="P2550" s="357" t="s">
        <v>10146</v>
      </c>
      <c r="Q2550" s="49" t="str">
        <f t="array" ref="Q2550"> if(iserror(MATCH(V2550, 'File Links'!C:C, 0)), "N/A", HYPERLINK(INDEX('File Links'!B:B, MATCH(P2550, 'File Links'!C:C, 0))))</f>
        <v>https://drive.google.com/file/d/1dD_RkFuxQxk3hkxXbqultnhFhN1opB9Y/view?usp=drivesdk</v>
      </c>
      <c r="R2550" s="357" t="s">
        <v>15045</v>
      </c>
      <c r="S2550" s="357" t="s">
        <v>10148</v>
      </c>
      <c r="T2550" s="506" t="s">
        <v>15176</v>
      </c>
      <c r="U2550" s="292">
        <v>11.0</v>
      </c>
      <c r="V2550" s="357" t="s">
        <v>10149</v>
      </c>
      <c r="W2550" s="292" t="s">
        <v>202</v>
      </c>
      <c r="X2550" s="51" t="str">
        <f t="array" ref="X2550"> if(iserror(MATCH(V2550, 'File Links'!C:C, 0)), "N/A", HYPERLINK(INDEX('File Links'!B:B, MATCH(V2550, 'File Links'!C:C, 0))))</f>
        <v>https://drive.google.com/file/d/1Irbmig3rfLDvz-G09jDAVwJvv1drYEqO/view?usp=drivesdk</v>
      </c>
      <c r="Y2550" s="43"/>
      <c r="Z2550" s="357" t="s">
        <v>2072</v>
      </c>
      <c r="AA2550" s="292" t="s">
        <v>10150</v>
      </c>
      <c r="AB2550" s="357" t="s">
        <v>15184</v>
      </c>
      <c r="AC2550" s="357" t="s">
        <v>15191</v>
      </c>
      <c r="AD2550" s="357" t="s">
        <v>15192</v>
      </c>
      <c r="AE2550" s="357" t="s">
        <v>15187</v>
      </c>
      <c r="AF2550" s="354">
        <v>251.0</v>
      </c>
      <c r="AG2550" s="377">
        <v>0.006</v>
      </c>
      <c r="AH2550" s="377" t="s">
        <v>132</v>
      </c>
      <c r="AI2550" s="357" t="s">
        <v>298</v>
      </c>
      <c r="AJ2550" s="354">
        <v>0.15</v>
      </c>
      <c r="AK2550" s="357" t="s">
        <v>328</v>
      </c>
      <c r="AL2550" s="357" t="s">
        <v>179</v>
      </c>
      <c r="AM2550" s="357" t="s">
        <v>130</v>
      </c>
      <c r="AN2550" s="466" t="s">
        <v>131</v>
      </c>
      <c r="AO2550" s="354">
        <v>604.0</v>
      </c>
      <c r="AP2550" s="377">
        <v>0.002</v>
      </c>
      <c r="AQ2550" s="377" t="s">
        <v>867</v>
      </c>
      <c r="AR2550" s="357" t="s">
        <v>15193</v>
      </c>
      <c r="AS2550" s="354">
        <v>0.315</v>
      </c>
      <c r="AT2550" s="357" t="s">
        <v>165</v>
      </c>
      <c r="AU2550" s="357" t="s">
        <v>179</v>
      </c>
      <c r="AV2550" s="357" t="s">
        <v>130</v>
      </c>
      <c r="AW2550" s="1790" t="s">
        <v>10156</v>
      </c>
      <c r="AX2550" s="357" t="s">
        <v>136</v>
      </c>
      <c r="AZ2550" s="59" t="s">
        <v>1263</v>
      </c>
    </row>
    <row r="2551">
      <c r="A2551" s="41">
        <v>2551.0</v>
      </c>
      <c r="B2551" s="126" t="s">
        <v>145</v>
      </c>
      <c r="C2551" s="59" t="s">
        <v>108</v>
      </c>
      <c r="D2551" s="59" t="s">
        <v>138</v>
      </c>
      <c r="F2551" s="65" t="s">
        <v>10141</v>
      </c>
      <c r="G2551" s="357" t="s">
        <v>10166</v>
      </c>
      <c r="H2551" s="357" t="s">
        <v>10089</v>
      </c>
      <c r="I2551" s="341">
        <v>45767.0</v>
      </c>
      <c r="J2551" s="537">
        <v>45793.0</v>
      </c>
      <c r="K2551" s="43"/>
      <c r="L2551" s="53" t="s">
        <v>15194</v>
      </c>
      <c r="M2551" s="357" t="s">
        <v>10144</v>
      </c>
      <c r="N2551" s="357" t="s">
        <v>10145</v>
      </c>
      <c r="O2551" s="354">
        <v>4.0</v>
      </c>
      <c r="P2551" s="357" t="s">
        <v>10146</v>
      </c>
      <c r="Q2551" s="49" t="str">
        <f t="array" ref="Q2551"> if(iserror(MATCH(V2551, 'File Links'!C:C, 0)), "N/A", HYPERLINK(INDEX('File Links'!B:B, MATCH(P2551, 'File Links'!C:C, 0))))</f>
        <v>https://drive.google.com/file/d/1dD_RkFuxQxk3hkxXbqultnhFhN1opB9Y/view?usp=drivesdk</v>
      </c>
      <c r="R2551" s="357" t="s">
        <v>15045</v>
      </c>
      <c r="S2551" s="357" t="s">
        <v>10148</v>
      </c>
      <c r="T2551" s="506" t="s">
        <v>15176</v>
      </c>
      <c r="U2551" s="292">
        <v>11.0</v>
      </c>
      <c r="V2551" s="357" t="s">
        <v>10149</v>
      </c>
      <c r="W2551" s="292" t="s">
        <v>202</v>
      </c>
      <c r="X2551" s="51" t="str">
        <f t="array" ref="X2551"> if(iserror(MATCH(V2551, 'File Links'!C:C, 0)), "N/A", HYPERLINK(INDEX('File Links'!B:B, MATCH(V2551, 'File Links'!C:C, 0))))</f>
        <v>https://drive.google.com/file/d/1Irbmig3rfLDvz-G09jDAVwJvv1drYEqO/view?usp=drivesdk</v>
      </c>
      <c r="Y2551" s="43"/>
      <c r="Z2551" s="357" t="s">
        <v>2072</v>
      </c>
      <c r="AA2551" s="292" t="s">
        <v>10150</v>
      </c>
      <c r="AB2551" s="357" t="s">
        <v>15184</v>
      </c>
      <c r="AC2551" s="357" t="s">
        <v>15195</v>
      </c>
      <c r="AD2551" s="357" t="s">
        <v>15196</v>
      </c>
      <c r="AE2551" s="354">
        <v>17.0</v>
      </c>
      <c r="AF2551" s="354">
        <v>251.0</v>
      </c>
      <c r="AG2551" s="2126" t="s">
        <v>15197</v>
      </c>
      <c r="AH2551" s="357" t="s">
        <v>166</v>
      </c>
      <c r="AI2551" s="357" t="s">
        <v>298</v>
      </c>
      <c r="AJ2551" s="354">
        <v>0.005</v>
      </c>
      <c r="AK2551" s="357" t="s">
        <v>128</v>
      </c>
      <c r="AL2551" s="357" t="s">
        <v>179</v>
      </c>
      <c r="AM2551" s="357" t="s">
        <v>130</v>
      </c>
      <c r="AN2551" s="466" t="s">
        <v>131</v>
      </c>
      <c r="AO2551" s="2094">
        <v>283.0</v>
      </c>
      <c r="AP2551" s="357" t="s">
        <v>15198</v>
      </c>
      <c r="AQ2551" s="357" t="s">
        <v>127</v>
      </c>
      <c r="AR2551" s="357" t="s">
        <v>15193</v>
      </c>
      <c r="AS2551" s="354">
        <v>0.029</v>
      </c>
      <c r="AT2551" s="357" t="s">
        <v>165</v>
      </c>
      <c r="AU2551" s="357" t="s">
        <v>179</v>
      </c>
      <c r="AV2551" s="357" t="s">
        <v>130</v>
      </c>
      <c r="AW2551" s="353" t="s">
        <v>10156</v>
      </c>
      <c r="AX2551" s="357" t="s">
        <v>136</v>
      </c>
      <c r="AZ2551" s="59" t="s">
        <v>1263</v>
      </c>
    </row>
    <row r="2552">
      <c r="A2552" s="41">
        <v>2552.0</v>
      </c>
      <c r="B2552" s="126" t="s">
        <v>145</v>
      </c>
      <c r="C2552" s="59" t="s">
        <v>108</v>
      </c>
      <c r="D2552" s="59" t="s">
        <v>138</v>
      </c>
      <c r="F2552" s="65" t="s">
        <v>10141</v>
      </c>
      <c r="G2552" s="357" t="s">
        <v>10172</v>
      </c>
      <c r="H2552" s="357" t="s">
        <v>10089</v>
      </c>
      <c r="I2552" s="341">
        <v>45767.0</v>
      </c>
      <c r="J2552" s="537">
        <v>45793.0</v>
      </c>
      <c r="K2552" s="43"/>
      <c r="L2552" s="53" t="s">
        <v>15199</v>
      </c>
      <c r="M2552" s="357" t="s">
        <v>10144</v>
      </c>
      <c r="N2552" s="357" t="s">
        <v>10145</v>
      </c>
      <c r="O2552" s="354">
        <v>4.0</v>
      </c>
      <c r="P2552" s="357" t="s">
        <v>10146</v>
      </c>
      <c r="Q2552" s="49" t="str">
        <f t="array" ref="Q2552"> if(iserror(MATCH(V2552, 'File Links'!C:C, 0)), "N/A", HYPERLINK(INDEX('File Links'!B:B, MATCH(P2552, 'File Links'!C:C, 0))))</f>
        <v>https://drive.google.com/file/d/1dD_RkFuxQxk3hkxXbqultnhFhN1opB9Y/view?usp=drivesdk</v>
      </c>
      <c r="R2552" s="357" t="s">
        <v>15045</v>
      </c>
      <c r="S2552" s="357" t="s">
        <v>10148</v>
      </c>
      <c r="T2552" s="506" t="s">
        <v>15176</v>
      </c>
      <c r="U2552" s="292">
        <v>11.0</v>
      </c>
      <c r="V2552" s="357" t="s">
        <v>10149</v>
      </c>
      <c r="W2552" s="292" t="s">
        <v>202</v>
      </c>
      <c r="X2552" s="51" t="str">
        <f t="array" ref="X2552"> if(iserror(MATCH(V2552, 'File Links'!C:C, 0)), "N/A", HYPERLINK(INDEX('File Links'!B:B, MATCH(V2552, 'File Links'!C:C, 0))))</f>
        <v>https://drive.google.com/file/d/1Irbmig3rfLDvz-G09jDAVwJvv1drYEqO/view?usp=drivesdk</v>
      </c>
      <c r="Y2552" s="43"/>
      <c r="Z2552" s="357" t="s">
        <v>2072</v>
      </c>
      <c r="AA2552" s="292" t="s">
        <v>10150</v>
      </c>
      <c r="AB2552" s="357" t="s">
        <v>15184</v>
      </c>
      <c r="AC2552" s="357" t="s">
        <v>15200</v>
      </c>
      <c r="AD2552" s="357" t="s">
        <v>15201</v>
      </c>
      <c r="AE2552" s="354">
        <v>17.0</v>
      </c>
      <c r="AF2552" s="354">
        <v>251.0</v>
      </c>
      <c r="AG2552" s="354">
        <v>-0.42</v>
      </c>
      <c r="AH2552" s="357" t="s">
        <v>166</v>
      </c>
      <c r="AI2552" s="357" t="s">
        <v>298</v>
      </c>
      <c r="AJ2552" s="354">
        <v>0.05</v>
      </c>
      <c r="AK2552" s="357" t="s">
        <v>128</v>
      </c>
      <c r="AL2552" s="357" t="s">
        <v>179</v>
      </c>
      <c r="AM2552" s="357" t="s">
        <v>130</v>
      </c>
      <c r="AN2552" s="466" t="s">
        <v>131</v>
      </c>
      <c r="AO2552" s="2094">
        <v>283.0</v>
      </c>
      <c r="AP2552" s="357" t="s">
        <v>15202</v>
      </c>
      <c r="AQ2552" s="357" t="s">
        <v>127</v>
      </c>
      <c r="AR2552" s="357" t="s">
        <v>15193</v>
      </c>
      <c r="AS2552" s="354">
        <v>0.134</v>
      </c>
      <c r="AT2552" s="357" t="s">
        <v>165</v>
      </c>
      <c r="AU2552" s="357" t="s">
        <v>179</v>
      </c>
      <c r="AV2552" s="357" t="s">
        <v>130</v>
      </c>
      <c r="AW2552" s="1790" t="s">
        <v>10156</v>
      </c>
      <c r="AX2552" s="357" t="s">
        <v>136</v>
      </c>
      <c r="AZ2552" s="59" t="s">
        <v>1263</v>
      </c>
    </row>
    <row r="2553">
      <c r="A2553" s="41">
        <v>2553.0</v>
      </c>
      <c r="B2553" s="126" t="s">
        <v>145</v>
      </c>
      <c r="C2553" s="59" t="s">
        <v>108</v>
      </c>
      <c r="D2553" s="59" t="s">
        <v>138</v>
      </c>
      <c r="F2553" s="65" t="s">
        <v>10141</v>
      </c>
      <c r="G2553" s="357" t="s">
        <v>10178</v>
      </c>
      <c r="H2553" s="357" t="s">
        <v>10089</v>
      </c>
      <c r="I2553" s="341">
        <v>45767.0</v>
      </c>
      <c r="J2553" s="537">
        <v>45793.0</v>
      </c>
      <c r="K2553" s="43"/>
      <c r="L2553" s="53" t="s">
        <v>15199</v>
      </c>
      <c r="M2553" s="357" t="s">
        <v>10144</v>
      </c>
      <c r="N2553" s="357" t="s">
        <v>10145</v>
      </c>
      <c r="O2553" s="354">
        <v>4.0</v>
      </c>
      <c r="P2553" s="357" t="s">
        <v>10146</v>
      </c>
      <c r="Q2553" s="49" t="str">
        <f t="array" ref="Q2553"> if(iserror(MATCH(V2553, 'File Links'!C:C, 0)), "N/A", HYPERLINK(INDEX('File Links'!B:B, MATCH(P2553, 'File Links'!C:C, 0))))</f>
        <v>https://drive.google.com/file/d/1dD_RkFuxQxk3hkxXbqultnhFhN1opB9Y/view?usp=drivesdk</v>
      </c>
      <c r="R2553" s="357" t="s">
        <v>15045</v>
      </c>
      <c r="S2553" s="357" t="s">
        <v>10148</v>
      </c>
      <c r="T2553" s="506" t="s">
        <v>15176</v>
      </c>
      <c r="U2553" s="292">
        <v>11.0</v>
      </c>
      <c r="V2553" s="357" t="s">
        <v>10149</v>
      </c>
      <c r="W2553" s="292" t="s">
        <v>202</v>
      </c>
      <c r="X2553" s="51" t="str">
        <f t="array" ref="X2553"> if(iserror(MATCH(V2553, 'File Links'!C:C, 0)), "N/A", HYPERLINK(INDEX('File Links'!B:B, MATCH(V2553, 'File Links'!C:C, 0))))</f>
        <v>https://drive.google.com/file/d/1Irbmig3rfLDvz-G09jDAVwJvv1drYEqO/view?usp=drivesdk</v>
      </c>
      <c r="Y2553" s="43"/>
      <c r="Z2553" s="357" t="s">
        <v>2072</v>
      </c>
      <c r="AA2553" s="292" t="s">
        <v>10150</v>
      </c>
      <c r="AB2553" s="357" t="s">
        <v>15184</v>
      </c>
      <c r="AC2553" s="357" t="s">
        <v>15203</v>
      </c>
      <c r="AD2553" s="357" t="s">
        <v>15204</v>
      </c>
      <c r="AE2553" s="354">
        <v>17.0</v>
      </c>
      <c r="AF2553" s="354">
        <v>251.0</v>
      </c>
      <c r="AG2553" s="354">
        <v>0.18</v>
      </c>
      <c r="AH2553" s="357" t="s">
        <v>166</v>
      </c>
      <c r="AI2553" s="357" t="s">
        <v>298</v>
      </c>
      <c r="AJ2553" s="354">
        <v>0.4</v>
      </c>
      <c r="AK2553" s="357" t="s">
        <v>328</v>
      </c>
      <c r="AL2553" s="357" t="s">
        <v>179</v>
      </c>
      <c r="AM2553" s="357" t="s">
        <v>130</v>
      </c>
      <c r="AN2553" s="466" t="s">
        <v>131</v>
      </c>
      <c r="AO2553" s="2094">
        <v>283.0</v>
      </c>
      <c r="AP2553" s="357" t="s">
        <v>15205</v>
      </c>
      <c r="AQ2553" s="357" t="s">
        <v>127</v>
      </c>
      <c r="AR2553" s="357" t="s">
        <v>15193</v>
      </c>
      <c r="AS2553" s="354">
        <v>1.0</v>
      </c>
      <c r="AT2553" s="357" t="s">
        <v>165</v>
      </c>
      <c r="AU2553" s="357" t="s">
        <v>179</v>
      </c>
      <c r="AV2553" s="357" t="s">
        <v>130</v>
      </c>
      <c r="AW2553" s="1790" t="s">
        <v>10156</v>
      </c>
      <c r="AX2553" s="357" t="s">
        <v>136</v>
      </c>
      <c r="AZ2553" s="59" t="s">
        <v>1263</v>
      </c>
    </row>
    <row r="2554">
      <c r="A2554" s="41">
        <v>2554.0</v>
      </c>
      <c r="B2554" s="126" t="s">
        <v>145</v>
      </c>
      <c r="C2554" s="59" t="s">
        <v>108</v>
      </c>
      <c r="D2554" s="59" t="s">
        <v>138</v>
      </c>
      <c r="F2554" s="65" t="s">
        <v>10141</v>
      </c>
      <c r="G2554" s="357" t="s">
        <v>10184</v>
      </c>
      <c r="H2554" s="357" t="s">
        <v>10089</v>
      </c>
      <c r="I2554" s="341">
        <v>45767.0</v>
      </c>
      <c r="J2554" s="537">
        <v>45793.0</v>
      </c>
      <c r="K2554" s="43"/>
      <c r="L2554" s="53" t="s">
        <v>15199</v>
      </c>
      <c r="M2554" s="357" t="s">
        <v>10144</v>
      </c>
      <c r="N2554" s="357" t="s">
        <v>10145</v>
      </c>
      <c r="O2554" s="354">
        <v>4.0</v>
      </c>
      <c r="P2554" s="357" t="s">
        <v>10146</v>
      </c>
      <c r="Q2554" s="49" t="str">
        <f t="array" ref="Q2554"> if(iserror(MATCH(V2554, 'File Links'!C:C, 0)), "N/A", HYPERLINK(INDEX('File Links'!B:B, MATCH(P2554, 'File Links'!C:C, 0))))</f>
        <v>https://drive.google.com/file/d/1dD_RkFuxQxk3hkxXbqultnhFhN1opB9Y/view?usp=drivesdk</v>
      </c>
      <c r="R2554" s="357" t="s">
        <v>15045</v>
      </c>
      <c r="S2554" s="357" t="s">
        <v>10148</v>
      </c>
      <c r="T2554" s="506" t="s">
        <v>15176</v>
      </c>
      <c r="U2554" s="292">
        <v>11.0</v>
      </c>
      <c r="V2554" s="357" t="s">
        <v>10149</v>
      </c>
      <c r="W2554" s="292" t="s">
        <v>202</v>
      </c>
      <c r="X2554" s="51" t="str">
        <f t="array" ref="X2554"> if(iserror(MATCH(V2554, 'File Links'!C:C, 0)), "N/A", HYPERLINK(INDEX('File Links'!B:B, MATCH(V2554, 'File Links'!C:C, 0))))</f>
        <v>https://drive.google.com/file/d/1Irbmig3rfLDvz-G09jDAVwJvv1drYEqO/view?usp=drivesdk</v>
      </c>
      <c r="Y2554" s="43"/>
      <c r="Z2554" s="357" t="s">
        <v>2072</v>
      </c>
      <c r="AA2554" s="292" t="s">
        <v>10150</v>
      </c>
      <c r="AB2554" s="357" t="s">
        <v>15184</v>
      </c>
      <c r="AC2554" s="357" t="s">
        <v>15206</v>
      </c>
      <c r="AD2554" s="357" t="s">
        <v>15207</v>
      </c>
      <c r="AE2554" s="357" t="s">
        <v>15187</v>
      </c>
      <c r="AF2554" s="354">
        <v>251.0</v>
      </c>
      <c r="AG2554" s="354">
        <v>0.14</v>
      </c>
      <c r="AH2554" s="357" t="s">
        <v>166</v>
      </c>
      <c r="AI2554" s="357" t="s">
        <v>298</v>
      </c>
      <c r="AJ2554" s="354">
        <v>0.55</v>
      </c>
      <c r="AK2554" s="357" t="s">
        <v>328</v>
      </c>
      <c r="AL2554" s="357" t="s">
        <v>179</v>
      </c>
      <c r="AM2554" s="357" t="s">
        <v>130</v>
      </c>
      <c r="AN2554" s="466" t="s">
        <v>131</v>
      </c>
      <c r="AO2554" s="2094">
        <v>319.0</v>
      </c>
      <c r="AP2554" s="357" t="s">
        <v>15208</v>
      </c>
      <c r="AQ2554" s="357" t="s">
        <v>127</v>
      </c>
      <c r="AR2554" s="357" t="s">
        <v>15193</v>
      </c>
      <c r="AS2554" s="354">
        <v>0.387</v>
      </c>
      <c r="AT2554" s="357" t="s">
        <v>165</v>
      </c>
      <c r="AU2554" s="357" t="s">
        <v>179</v>
      </c>
      <c r="AV2554" s="357" t="s">
        <v>130</v>
      </c>
      <c r="AW2554" s="1790" t="s">
        <v>10156</v>
      </c>
      <c r="AX2554" s="357" t="s">
        <v>136</v>
      </c>
      <c r="AZ2554" s="59" t="s">
        <v>1263</v>
      </c>
    </row>
    <row r="2555">
      <c r="A2555" s="41">
        <v>2555.0</v>
      </c>
      <c r="B2555" s="126" t="s">
        <v>145</v>
      </c>
      <c r="C2555" s="59" t="s">
        <v>108</v>
      </c>
      <c r="D2555" s="59" t="s">
        <v>138</v>
      </c>
      <c r="F2555" s="65" t="s">
        <v>10141</v>
      </c>
      <c r="G2555" s="357" t="s">
        <v>10188</v>
      </c>
      <c r="H2555" s="357" t="s">
        <v>10089</v>
      </c>
      <c r="I2555" s="341">
        <v>45767.0</v>
      </c>
      <c r="J2555" s="537">
        <v>45793.0</v>
      </c>
      <c r="K2555" s="43"/>
      <c r="L2555" s="53" t="s">
        <v>15209</v>
      </c>
      <c r="M2555" s="357" t="s">
        <v>10144</v>
      </c>
      <c r="N2555" s="357" t="s">
        <v>10145</v>
      </c>
      <c r="O2555" s="354">
        <v>4.0</v>
      </c>
      <c r="P2555" s="357" t="s">
        <v>10146</v>
      </c>
      <c r="Q2555" s="49" t="str">
        <f t="array" ref="Q2555"> if(iserror(MATCH(V2555, 'File Links'!C:C, 0)), "N/A", HYPERLINK(INDEX('File Links'!B:B, MATCH(P2555, 'File Links'!C:C, 0))))</f>
        <v>https://drive.google.com/file/d/1dD_RkFuxQxk3hkxXbqultnhFhN1opB9Y/view?usp=drivesdk</v>
      </c>
      <c r="R2555" s="357" t="s">
        <v>15045</v>
      </c>
      <c r="S2555" s="357" t="s">
        <v>10148</v>
      </c>
      <c r="T2555" s="506" t="s">
        <v>15176</v>
      </c>
      <c r="U2555" s="292">
        <v>11.0</v>
      </c>
      <c r="V2555" s="357" t="s">
        <v>10149</v>
      </c>
      <c r="W2555" s="292" t="s">
        <v>202</v>
      </c>
      <c r="X2555" s="51" t="str">
        <f t="array" ref="X2555"> if(iserror(MATCH(V2555, 'File Links'!C:C, 0)), "N/A", HYPERLINK(INDEX('File Links'!B:B, MATCH(V2555, 'File Links'!C:C, 0))))</f>
        <v>https://drive.google.com/file/d/1Irbmig3rfLDvz-G09jDAVwJvv1drYEqO/view?usp=drivesdk</v>
      </c>
      <c r="Y2555" s="43"/>
      <c r="Z2555" s="357" t="s">
        <v>2072</v>
      </c>
      <c r="AA2555" s="292" t="s">
        <v>10150</v>
      </c>
      <c r="AB2555" s="357" t="s">
        <v>15184</v>
      </c>
      <c r="AC2555" s="357" t="s">
        <v>15210</v>
      </c>
      <c r="AD2555" s="340" t="s">
        <v>15211</v>
      </c>
      <c r="AE2555" s="357" t="s">
        <v>15187</v>
      </c>
      <c r="AF2555" s="354">
        <v>251.0</v>
      </c>
      <c r="AG2555" s="382">
        <v>0.6</v>
      </c>
      <c r="AH2555" s="357" t="s">
        <v>166</v>
      </c>
      <c r="AI2555" s="357" t="s">
        <v>298</v>
      </c>
      <c r="AJ2555" s="382">
        <v>0.05</v>
      </c>
      <c r="AK2555" s="357" t="s">
        <v>2242</v>
      </c>
      <c r="AL2555" s="357" t="s">
        <v>179</v>
      </c>
      <c r="AM2555" s="357" t="s">
        <v>130</v>
      </c>
      <c r="AN2555" s="466" t="s">
        <v>131</v>
      </c>
      <c r="AO2555" s="2094">
        <v>319.0</v>
      </c>
      <c r="AP2555" s="357" t="s">
        <v>15212</v>
      </c>
      <c r="AQ2555" s="357" t="s">
        <v>127</v>
      </c>
      <c r="AR2555" s="357" t="s">
        <v>15193</v>
      </c>
      <c r="AS2555" s="354">
        <v>0.428</v>
      </c>
      <c r="AT2555" s="357" t="s">
        <v>165</v>
      </c>
      <c r="AU2555" s="357" t="s">
        <v>179</v>
      </c>
      <c r="AV2555" s="357" t="s">
        <v>130</v>
      </c>
      <c r="AW2555" s="1790" t="s">
        <v>10156</v>
      </c>
      <c r="AX2555" s="357" t="s">
        <v>136</v>
      </c>
      <c r="AZ2555" s="59" t="s">
        <v>1263</v>
      </c>
    </row>
    <row r="2556">
      <c r="A2556" s="41">
        <v>2556.0</v>
      </c>
      <c r="B2556" s="126" t="s">
        <v>145</v>
      </c>
      <c r="C2556" s="59" t="s">
        <v>108</v>
      </c>
      <c r="D2556" s="59" t="s">
        <v>138</v>
      </c>
      <c r="F2556" s="65" t="s">
        <v>10141</v>
      </c>
      <c r="G2556" s="357" t="s">
        <v>10193</v>
      </c>
      <c r="H2556" s="357" t="s">
        <v>10089</v>
      </c>
      <c r="I2556" s="341">
        <v>45767.0</v>
      </c>
      <c r="J2556" s="537">
        <v>45793.0</v>
      </c>
      <c r="K2556" s="43"/>
      <c r="L2556" s="53" t="s">
        <v>15209</v>
      </c>
      <c r="M2556" s="357" t="s">
        <v>10144</v>
      </c>
      <c r="N2556" s="357" t="s">
        <v>10145</v>
      </c>
      <c r="O2556" s="354">
        <v>4.0</v>
      </c>
      <c r="P2556" s="357" t="s">
        <v>10146</v>
      </c>
      <c r="Q2556" s="49" t="str">
        <f t="array" ref="Q2556"> if(iserror(MATCH(V2556, 'File Links'!C:C, 0)), "N/A", HYPERLINK(INDEX('File Links'!B:B, MATCH(P2556, 'File Links'!C:C, 0))))</f>
        <v>https://drive.google.com/file/d/1dD_RkFuxQxk3hkxXbqultnhFhN1opB9Y/view?usp=drivesdk</v>
      </c>
      <c r="R2556" s="357" t="s">
        <v>15045</v>
      </c>
      <c r="S2556" s="357" t="s">
        <v>10148</v>
      </c>
      <c r="T2556" s="506" t="s">
        <v>15176</v>
      </c>
      <c r="U2556" s="292">
        <v>11.0</v>
      </c>
      <c r="V2556" s="357" t="s">
        <v>10149</v>
      </c>
      <c r="W2556" s="292" t="s">
        <v>202</v>
      </c>
      <c r="X2556" s="51" t="str">
        <f t="array" ref="X2556"> if(iserror(MATCH(V2556, 'File Links'!C:C, 0)), "N/A", HYPERLINK(INDEX('File Links'!B:B, MATCH(V2556, 'File Links'!C:C, 0))))</f>
        <v>https://drive.google.com/file/d/1Irbmig3rfLDvz-G09jDAVwJvv1drYEqO/view?usp=drivesdk</v>
      </c>
      <c r="Y2556" s="43"/>
      <c r="Z2556" s="357" t="s">
        <v>2072</v>
      </c>
      <c r="AA2556" s="292" t="s">
        <v>10150</v>
      </c>
      <c r="AB2556" s="357" t="s">
        <v>15184</v>
      </c>
      <c r="AC2556" s="357" t="s">
        <v>15213</v>
      </c>
      <c r="AD2556" s="340" t="s">
        <v>15214</v>
      </c>
      <c r="AE2556" s="357" t="s">
        <v>15187</v>
      </c>
      <c r="AF2556" s="354">
        <v>251.0</v>
      </c>
      <c r="AG2556" s="354">
        <v>0.43</v>
      </c>
      <c r="AH2556" s="357" t="s">
        <v>166</v>
      </c>
      <c r="AI2556" s="357" t="s">
        <v>298</v>
      </c>
      <c r="AJ2556" s="382">
        <v>0.05</v>
      </c>
      <c r="AK2556" s="357" t="s">
        <v>2242</v>
      </c>
      <c r="AL2556" s="357" t="s">
        <v>179</v>
      </c>
      <c r="AM2556" s="357" t="s">
        <v>130</v>
      </c>
      <c r="AN2556" s="466" t="s">
        <v>131</v>
      </c>
      <c r="AO2556" s="2094">
        <v>319.0</v>
      </c>
      <c r="AP2556" s="357" t="s">
        <v>15215</v>
      </c>
      <c r="AQ2556" s="357" t="s">
        <v>127</v>
      </c>
      <c r="AR2556" s="357" t="s">
        <v>15193</v>
      </c>
      <c r="AS2556" s="354">
        <v>1.0</v>
      </c>
      <c r="AT2556" s="357" t="s">
        <v>165</v>
      </c>
      <c r="AU2556" s="357" t="s">
        <v>179</v>
      </c>
      <c r="AV2556" s="357" t="s">
        <v>130</v>
      </c>
      <c r="AW2556" s="1790" t="s">
        <v>10156</v>
      </c>
      <c r="AX2556" s="357" t="s">
        <v>136</v>
      </c>
      <c r="AZ2556" s="59" t="s">
        <v>1263</v>
      </c>
    </row>
    <row r="2557">
      <c r="A2557" s="41">
        <v>2557.0</v>
      </c>
      <c r="B2557" s="126" t="s">
        <v>145</v>
      </c>
      <c r="C2557" s="59" t="s">
        <v>108</v>
      </c>
      <c r="D2557" s="59" t="s">
        <v>138</v>
      </c>
      <c r="F2557" s="65" t="s">
        <v>10141</v>
      </c>
      <c r="G2557" s="357" t="s">
        <v>15216</v>
      </c>
      <c r="H2557" s="357" t="s">
        <v>10089</v>
      </c>
      <c r="I2557" s="341">
        <v>45767.0</v>
      </c>
      <c r="J2557" s="537">
        <v>45793.0</v>
      </c>
      <c r="K2557" s="43"/>
      <c r="L2557" s="53" t="s">
        <v>15199</v>
      </c>
      <c r="M2557" s="357" t="s">
        <v>10144</v>
      </c>
      <c r="N2557" s="357" t="s">
        <v>10145</v>
      </c>
      <c r="O2557" s="354">
        <v>4.0</v>
      </c>
      <c r="P2557" s="357" t="s">
        <v>10146</v>
      </c>
      <c r="Q2557" s="49" t="str">
        <f t="array" ref="Q2557"> if(iserror(MATCH(V2557, 'File Links'!C:C, 0)), "N/A", HYPERLINK(INDEX('File Links'!B:B, MATCH(P2557, 'File Links'!C:C, 0))))</f>
        <v>https://drive.google.com/file/d/1dD_RkFuxQxk3hkxXbqultnhFhN1opB9Y/view?usp=drivesdk</v>
      </c>
      <c r="R2557" s="357" t="s">
        <v>15045</v>
      </c>
      <c r="S2557" s="357" t="s">
        <v>10148</v>
      </c>
      <c r="T2557" s="506" t="s">
        <v>15176</v>
      </c>
      <c r="U2557" s="292">
        <v>11.0</v>
      </c>
      <c r="V2557" s="357" t="s">
        <v>10149</v>
      </c>
      <c r="W2557" s="292" t="s">
        <v>202</v>
      </c>
      <c r="X2557" s="51" t="str">
        <f t="array" ref="X2557"> if(iserror(MATCH(V2557, 'File Links'!C:C, 0)), "N/A", HYPERLINK(INDEX('File Links'!B:B, MATCH(V2557, 'File Links'!C:C, 0))))</f>
        <v>https://drive.google.com/file/d/1Irbmig3rfLDvz-G09jDAVwJvv1drYEqO/view?usp=drivesdk</v>
      </c>
      <c r="Y2557" s="43"/>
      <c r="Z2557" s="357" t="s">
        <v>2072</v>
      </c>
      <c r="AA2557" s="292" t="s">
        <v>10150</v>
      </c>
      <c r="AB2557" s="357" t="s">
        <v>15184</v>
      </c>
      <c r="AC2557" s="357" t="s">
        <v>15217</v>
      </c>
      <c r="AD2557" s="357" t="s">
        <v>15218</v>
      </c>
      <c r="AE2557" s="357" t="s">
        <v>15187</v>
      </c>
      <c r="AF2557" s="354">
        <v>251.0</v>
      </c>
      <c r="AG2557" s="354">
        <v>-0.25</v>
      </c>
      <c r="AH2557" s="357" t="s">
        <v>166</v>
      </c>
      <c r="AI2557" s="357" t="s">
        <v>298</v>
      </c>
      <c r="AJ2557" s="354">
        <v>0.25</v>
      </c>
      <c r="AK2557" s="357" t="s">
        <v>328</v>
      </c>
      <c r="AL2557" s="357" t="s">
        <v>179</v>
      </c>
      <c r="AM2557" s="357" t="s">
        <v>130</v>
      </c>
      <c r="AN2557" s="466" t="s">
        <v>131</v>
      </c>
      <c r="AO2557" s="2094">
        <v>203.0</v>
      </c>
      <c r="AP2557" s="357" t="s">
        <v>15219</v>
      </c>
      <c r="AQ2557" s="357" t="s">
        <v>127</v>
      </c>
      <c r="AR2557" s="357" t="s">
        <v>15193</v>
      </c>
      <c r="AS2557" s="354">
        <v>0.713</v>
      </c>
      <c r="AT2557" s="357" t="s">
        <v>165</v>
      </c>
      <c r="AU2557" s="357" t="s">
        <v>179</v>
      </c>
      <c r="AV2557" s="357" t="s">
        <v>130</v>
      </c>
      <c r="AW2557" s="1790" t="s">
        <v>10156</v>
      </c>
      <c r="AX2557" s="357" t="s">
        <v>136</v>
      </c>
      <c r="AZ2557" s="59" t="s">
        <v>1263</v>
      </c>
    </row>
    <row r="2558">
      <c r="A2558" s="41">
        <v>2558.0</v>
      </c>
      <c r="B2558" s="126" t="s">
        <v>145</v>
      </c>
      <c r="C2558" s="59" t="s">
        <v>108</v>
      </c>
      <c r="D2558" s="59" t="s">
        <v>138</v>
      </c>
      <c r="F2558" s="65" t="s">
        <v>10141</v>
      </c>
      <c r="G2558" s="357" t="s">
        <v>15220</v>
      </c>
      <c r="H2558" s="357" t="s">
        <v>10089</v>
      </c>
      <c r="I2558" s="341">
        <v>45767.0</v>
      </c>
      <c r="J2558" s="537">
        <v>45793.0</v>
      </c>
      <c r="K2558" s="43"/>
      <c r="L2558" s="53" t="s">
        <v>15199</v>
      </c>
      <c r="M2558" s="357" t="s">
        <v>10144</v>
      </c>
      <c r="N2558" s="357" t="s">
        <v>10145</v>
      </c>
      <c r="O2558" s="354">
        <v>4.0</v>
      </c>
      <c r="P2558" s="357" t="s">
        <v>10146</v>
      </c>
      <c r="Q2558" s="49" t="str">
        <f t="array" ref="Q2558"> if(iserror(MATCH(V2558, 'File Links'!C:C, 0)), "N/A", HYPERLINK(INDEX('File Links'!B:B, MATCH(P2558, 'File Links'!C:C, 0))))</f>
        <v>https://drive.google.com/file/d/1dD_RkFuxQxk3hkxXbqultnhFhN1opB9Y/view?usp=drivesdk</v>
      </c>
      <c r="R2558" s="357" t="s">
        <v>15045</v>
      </c>
      <c r="S2558" s="357" t="s">
        <v>10148</v>
      </c>
      <c r="T2558" s="506" t="s">
        <v>15176</v>
      </c>
      <c r="U2558" s="292">
        <v>11.0</v>
      </c>
      <c r="V2558" s="357" t="s">
        <v>10149</v>
      </c>
      <c r="W2558" s="292" t="s">
        <v>202</v>
      </c>
      <c r="X2558" s="51" t="str">
        <f t="array" ref="X2558"> if(iserror(MATCH(V2558, 'File Links'!C:C, 0)), "N/A", HYPERLINK(INDEX('File Links'!B:B, MATCH(V2558, 'File Links'!C:C, 0))))</f>
        <v>https://drive.google.com/file/d/1Irbmig3rfLDvz-G09jDAVwJvv1drYEqO/view?usp=drivesdk</v>
      </c>
      <c r="Y2558" s="43"/>
      <c r="Z2558" s="357" t="s">
        <v>2072</v>
      </c>
      <c r="AA2558" s="292" t="s">
        <v>10150</v>
      </c>
      <c r="AB2558" s="357" t="s">
        <v>15184</v>
      </c>
      <c r="AC2558" s="357" t="s">
        <v>15221</v>
      </c>
      <c r="AD2558" s="357" t="s">
        <v>15222</v>
      </c>
      <c r="AE2558" s="357" t="s">
        <v>15187</v>
      </c>
      <c r="AF2558" s="354">
        <v>251.0</v>
      </c>
      <c r="AG2558" s="354">
        <v>-0.6</v>
      </c>
      <c r="AH2558" s="357" t="s">
        <v>166</v>
      </c>
      <c r="AI2558" s="357" t="s">
        <v>298</v>
      </c>
      <c r="AJ2558" s="354">
        <v>0.001</v>
      </c>
      <c r="AK2558" s="357" t="s">
        <v>128</v>
      </c>
      <c r="AL2558" s="357" t="s">
        <v>179</v>
      </c>
      <c r="AM2558" s="357" t="s">
        <v>130</v>
      </c>
      <c r="AN2558" s="466" t="s">
        <v>131</v>
      </c>
      <c r="AO2558" s="2094">
        <v>200.0</v>
      </c>
      <c r="AP2558" s="357" t="s">
        <v>15223</v>
      </c>
      <c r="AQ2558" s="357" t="s">
        <v>127</v>
      </c>
      <c r="AR2558" s="357" t="s">
        <v>15193</v>
      </c>
      <c r="AS2558" s="354">
        <v>0.097</v>
      </c>
      <c r="AT2558" s="357" t="s">
        <v>165</v>
      </c>
      <c r="AU2558" s="357" t="s">
        <v>179</v>
      </c>
      <c r="AV2558" s="357" t="s">
        <v>130</v>
      </c>
      <c r="AW2558" s="1790" t="s">
        <v>10156</v>
      </c>
      <c r="AX2558" s="357" t="s">
        <v>136</v>
      </c>
      <c r="AZ2558" s="59" t="s">
        <v>1263</v>
      </c>
    </row>
    <row r="2559">
      <c r="A2559" s="41">
        <v>2559.0</v>
      </c>
      <c r="B2559" s="126" t="s">
        <v>145</v>
      </c>
      <c r="C2559" s="59" t="s">
        <v>108</v>
      </c>
      <c r="D2559" s="59" t="s">
        <v>138</v>
      </c>
      <c r="F2559" s="65" t="s">
        <v>10141</v>
      </c>
      <c r="G2559" s="357" t="s">
        <v>15224</v>
      </c>
      <c r="H2559" s="357" t="s">
        <v>10089</v>
      </c>
      <c r="I2559" s="341">
        <v>45767.0</v>
      </c>
      <c r="J2559" s="537">
        <v>45793.0</v>
      </c>
      <c r="K2559" s="43"/>
      <c r="L2559" s="53" t="s">
        <v>15199</v>
      </c>
      <c r="M2559" s="357" t="s">
        <v>10144</v>
      </c>
      <c r="N2559" s="357" t="s">
        <v>10145</v>
      </c>
      <c r="O2559" s="354">
        <v>4.0</v>
      </c>
      <c r="P2559" s="357" t="s">
        <v>10146</v>
      </c>
      <c r="Q2559" s="49" t="str">
        <f t="array" ref="Q2559"> if(iserror(MATCH(V2559, 'File Links'!C:C, 0)), "N/A", HYPERLINK(INDEX('File Links'!B:B, MATCH(P2559, 'File Links'!C:C, 0))))</f>
        <v>https://drive.google.com/file/d/1dD_RkFuxQxk3hkxXbqultnhFhN1opB9Y/view?usp=drivesdk</v>
      </c>
      <c r="R2559" s="357" t="s">
        <v>15045</v>
      </c>
      <c r="S2559" s="357" t="s">
        <v>10148</v>
      </c>
      <c r="T2559" s="506" t="s">
        <v>15176</v>
      </c>
      <c r="U2559" s="292">
        <v>11.0</v>
      </c>
      <c r="V2559" s="357" t="s">
        <v>10149</v>
      </c>
      <c r="W2559" s="292" t="s">
        <v>202</v>
      </c>
      <c r="X2559" s="51" t="str">
        <f t="array" ref="X2559"> if(iserror(MATCH(V2559, 'File Links'!C:C, 0)), "N/A", HYPERLINK(INDEX('File Links'!B:B, MATCH(V2559, 'File Links'!C:C, 0))))</f>
        <v>https://drive.google.com/file/d/1Irbmig3rfLDvz-G09jDAVwJvv1drYEqO/view?usp=drivesdk</v>
      </c>
      <c r="Y2559" s="43"/>
      <c r="Z2559" s="357" t="s">
        <v>2072</v>
      </c>
      <c r="AA2559" s="292" t="s">
        <v>10150</v>
      </c>
      <c r="AB2559" s="357" t="s">
        <v>15184</v>
      </c>
      <c r="AC2559" s="357" t="s">
        <v>15225</v>
      </c>
      <c r="AD2559" s="357" t="s">
        <v>15226</v>
      </c>
      <c r="AE2559" s="357" t="s">
        <v>15187</v>
      </c>
      <c r="AF2559" s="354">
        <v>251.0</v>
      </c>
      <c r="AG2559" s="357" t="s">
        <v>1528</v>
      </c>
      <c r="AH2559" s="357" t="s">
        <v>127</v>
      </c>
      <c r="AI2559" s="357" t="s">
        <v>298</v>
      </c>
      <c r="AJ2559" s="357" t="s">
        <v>2375</v>
      </c>
      <c r="AK2559" s="357" t="s">
        <v>1528</v>
      </c>
      <c r="AL2559" s="357" t="s">
        <v>179</v>
      </c>
      <c r="AM2559" s="357" t="s">
        <v>130</v>
      </c>
      <c r="AN2559" s="466" t="s">
        <v>131</v>
      </c>
      <c r="AO2559" s="2094">
        <v>201.0</v>
      </c>
      <c r="AP2559" s="357" t="s">
        <v>15227</v>
      </c>
      <c r="AQ2559" s="357" t="s">
        <v>127</v>
      </c>
      <c r="AR2559" s="357" t="s">
        <v>15193</v>
      </c>
      <c r="AS2559" s="354">
        <v>0.595</v>
      </c>
      <c r="AT2559" s="357" t="s">
        <v>165</v>
      </c>
      <c r="AU2559" s="357" t="s">
        <v>179</v>
      </c>
      <c r="AV2559" s="357" t="s">
        <v>130</v>
      </c>
      <c r="AW2559" s="1790" t="s">
        <v>10156</v>
      </c>
      <c r="AX2559" s="357" t="s">
        <v>136</v>
      </c>
      <c r="AZ2559" s="59" t="s">
        <v>1263</v>
      </c>
    </row>
    <row r="2560">
      <c r="A2560" s="41">
        <v>2560.0</v>
      </c>
      <c r="B2560" s="126" t="s">
        <v>145</v>
      </c>
      <c r="C2560" s="59" t="s">
        <v>108</v>
      </c>
      <c r="D2560" s="59" t="s">
        <v>138</v>
      </c>
      <c r="F2560" s="65" t="s">
        <v>10141</v>
      </c>
      <c r="G2560" s="357" t="s">
        <v>15228</v>
      </c>
      <c r="H2560" s="357" t="s">
        <v>10089</v>
      </c>
      <c r="I2560" s="341">
        <v>45767.0</v>
      </c>
      <c r="J2560" s="537">
        <v>45793.0</v>
      </c>
      <c r="K2560" s="43"/>
      <c r="L2560" s="292" t="s">
        <v>15183</v>
      </c>
      <c r="M2560" s="357" t="s">
        <v>10144</v>
      </c>
      <c r="N2560" s="357" t="s">
        <v>10145</v>
      </c>
      <c r="O2560" s="354">
        <v>4.0</v>
      </c>
      <c r="P2560" s="357" t="s">
        <v>10146</v>
      </c>
      <c r="Q2560" s="49" t="str">
        <f t="array" ref="Q2560"> if(iserror(MATCH(V2560, 'File Links'!C:C, 0)), "N/A", HYPERLINK(INDEX('File Links'!B:B, MATCH(P2560, 'File Links'!C:C, 0))))</f>
        <v>https://drive.google.com/file/d/1dD_RkFuxQxk3hkxXbqultnhFhN1opB9Y/view?usp=drivesdk</v>
      </c>
      <c r="R2560" s="357" t="s">
        <v>15045</v>
      </c>
      <c r="S2560" s="357" t="s">
        <v>10148</v>
      </c>
      <c r="T2560" s="506" t="s">
        <v>15176</v>
      </c>
      <c r="U2560" s="292">
        <v>11.0</v>
      </c>
      <c r="V2560" s="357" t="s">
        <v>10149</v>
      </c>
      <c r="W2560" s="292" t="s">
        <v>202</v>
      </c>
      <c r="X2560" s="51" t="str">
        <f t="array" ref="X2560"> if(iserror(MATCH(V2560, 'File Links'!C:C, 0)), "N/A", HYPERLINK(INDEX('File Links'!B:B, MATCH(V2560, 'File Links'!C:C, 0))))</f>
        <v>https://drive.google.com/file/d/1Irbmig3rfLDvz-G09jDAVwJvv1drYEqO/view?usp=drivesdk</v>
      </c>
      <c r="Y2560" s="43"/>
      <c r="Z2560" s="357" t="s">
        <v>2072</v>
      </c>
      <c r="AA2560" s="292" t="s">
        <v>10150</v>
      </c>
      <c r="AB2560" s="357" t="s">
        <v>15184</v>
      </c>
      <c r="AC2560" s="357" t="s">
        <v>15229</v>
      </c>
      <c r="AD2560" s="357" t="s">
        <v>15230</v>
      </c>
      <c r="AE2560" s="357" t="s">
        <v>15187</v>
      </c>
      <c r="AF2560" s="354">
        <v>251.0</v>
      </c>
      <c r="AG2560" s="340">
        <v>0.025</v>
      </c>
      <c r="AH2560" s="377" t="s">
        <v>132</v>
      </c>
      <c r="AI2560" s="357" t="s">
        <v>298</v>
      </c>
      <c r="AJ2560" s="354">
        <v>0.01</v>
      </c>
      <c r="AK2560" s="357" t="s">
        <v>165</v>
      </c>
      <c r="AL2560" s="357" t="s">
        <v>179</v>
      </c>
      <c r="AM2560" s="357" t="s">
        <v>130</v>
      </c>
      <c r="AN2560" s="466" t="s">
        <v>131</v>
      </c>
      <c r="AO2560" s="354">
        <v>604.0</v>
      </c>
      <c r="AP2560" s="340">
        <v>0.003</v>
      </c>
      <c r="AQ2560" s="377" t="s">
        <v>132</v>
      </c>
      <c r="AR2560" s="357" t="s">
        <v>15193</v>
      </c>
      <c r="AS2560" s="354">
        <v>0.185</v>
      </c>
      <c r="AT2560" s="357" t="s">
        <v>165</v>
      </c>
      <c r="AU2560" s="357" t="s">
        <v>179</v>
      </c>
      <c r="AV2560" s="357" t="s">
        <v>130</v>
      </c>
      <c r="AW2560" s="1790" t="s">
        <v>10156</v>
      </c>
      <c r="AX2560" s="357" t="s">
        <v>136</v>
      </c>
      <c r="AZ2560" s="59" t="s">
        <v>1263</v>
      </c>
    </row>
    <row r="2561">
      <c r="A2561" s="41">
        <v>2561.0</v>
      </c>
      <c r="B2561" s="126" t="s">
        <v>145</v>
      </c>
      <c r="C2561" s="59" t="s">
        <v>108</v>
      </c>
      <c r="D2561" s="59" t="s">
        <v>138</v>
      </c>
      <c r="F2561" s="65" t="s">
        <v>10141</v>
      </c>
      <c r="G2561" s="357" t="s">
        <v>15231</v>
      </c>
      <c r="H2561" s="357" t="s">
        <v>10089</v>
      </c>
      <c r="I2561" s="341">
        <v>45767.0</v>
      </c>
      <c r="J2561" s="537">
        <v>45793.0</v>
      </c>
      <c r="K2561" s="43"/>
      <c r="L2561" s="53" t="s">
        <v>15232</v>
      </c>
      <c r="M2561" s="357" t="s">
        <v>10144</v>
      </c>
      <c r="N2561" s="357" t="s">
        <v>10145</v>
      </c>
      <c r="O2561" s="354">
        <v>4.0</v>
      </c>
      <c r="P2561" s="357" t="s">
        <v>10146</v>
      </c>
      <c r="Q2561" s="49" t="str">
        <f t="array" ref="Q2561"> if(iserror(MATCH(V2561, 'File Links'!C:C, 0)), "N/A", HYPERLINK(INDEX('File Links'!B:B, MATCH(P2561, 'File Links'!C:C, 0))))</f>
        <v>https://drive.google.com/file/d/1dD_RkFuxQxk3hkxXbqultnhFhN1opB9Y/view?usp=drivesdk</v>
      </c>
      <c r="R2561" s="357" t="s">
        <v>15045</v>
      </c>
      <c r="S2561" s="357" t="s">
        <v>10148</v>
      </c>
      <c r="T2561" s="506" t="s">
        <v>15176</v>
      </c>
      <c r="U2561" s="292">
        <v>11.0</v>
      </c>
      <c r="V2561" s="357" t="s">
        <v>10149</v>
      </c>
      <c r="W2561" s="292" t="s">
        <v>202</v>
      </c>
      <c r="X2561" s="51" t="str">
        <f t="array" ref="X2561"> if(iserror(MATCH(V2561, 'File Links'!C:C, 0)), "N/A", HYPERLINK(INDEX('File Links'!B:B, MATCH(V2561, 'File Links'!C:C, 0))))</f>
        <v>https://drive.google.com/file/d/1Irbmig3rfLDvz-G09jDAVwJvv1drYEqO/view?usp=drivesdk</v>
      </c>
      <c r="Y2561" s="43"/>
      <c r="Z2561" s="357" t="s">
        <v>2072</v>
      </c>
      <c r="AA2561" s="292" t="s">
        <v>10150</v>
      </c>
      <c r="AB2561" s="357" t="s">
        <v>15184</v>
      </c>
      <c r="AC2561" s="357" t="s">
        <v>15233</v>
      </c>
      <c r="AD2561" s="357" t="s">
        <v>15234</v>
      </c>
      <c r="AE2561" s="357" t="s">
        <v>15187</v>
      </c>
      <c r="AF2561" s="354">
        <v>251.0</v>
      </c>
      <c r="AG2561" s="354">
        <v>-0.51</v>
      </c>
      <c r="AH2561" s="357" t="s">
        <v>166</v>
      </c>
      <c r="AI2561" s="357" t="s">
        <v>298</v>
      </c>
      <c r="AJ2561" s="354">
        <v>0.005</v>
      </c>
      <c r="AK2561" s="357" t="s">
        <v>165</v>
      </c>
      <c r="AL2561" s="357" t="s">
        <v>179</v>
      </c>
      <c r="AM2561" s="357" t="s">
        <v>130</v>
      </c>
      <c r="AN2561" s="466" t="s">
        <v>131</v>
      </c>
      <c r="AO2561" s="354">
        <v>604.0</v>
      </c>
      <c r="AP2561" s="357" t="s">
        <v>15235</v>
      </c>
      <c r="AQ2561" s="357" t="s">
        <v>127</v>
      </c>
      <c r="AR2561" s="357" t="s">
        <v>15193</v>
      </c>
      <c r="AS2561" s="354">
        <v>0.009</v>
      </c>
      <c r="AT2561" s="357" t="s">
        <v>165</v>
      </c>
      <c r="AU2561" s="357" t="s">
        <v>179</v>
      </c>
      <c r="AV2561" s="357" t="s">
        <v>130</v>
      </c>
      <c r="AW2561" s="1790" t="s">
        <v>10156</v>
      </c>
      <c r="AX2561" s="357" t="s">
        <v>136</v>
      </c>
      <c r="AZ2561" s="59" t="s">
        <v>1263</v>
      </c>
    </row>
    <row r="2562">
      <c r="A2562" s="41">
        <v>2562.0</v>
      </c>
      <c r="B2562" s="126" t="s">
        <v>145</v>
      </c>
      <c r="C2562" s="59" t="s">
        <v>108</v>
      </c>
      <c r="D2562" s="59" t="s">
        <v>138</v>
      </c>
      <c r="F2562" s="65" t="s">
        <v>10141</v>
      </c>
      <c r="G2562" s="357" t="s">
        <v>15236</v>
      </c>
      <c r="H2562" s="357" t="s">
        <v>10089</v>
      </c>
      <c r="I2562" s="341">
        <v>45767.0</v>
      </c>
      <c r="J2562" s="537">
        <v>45793.0</v>
      </c>
      <c r="K2562" s="43"/>
      <c r="L2562" s="53" t="s">
        <v>15237</v>
      </c>
      <c r="M2562" s="357" t="s">
        <v>10144</v>
      </c>
      <c r="N2562" s="357" t="s">
        <v>10145</v>
      </c>
      <c r="O2562" s="354">
        <v>4.0</v>
      </c>
      <c r="P2562" s="357" t="s">
        <v>10146</v>
      </c>
      <c r="Q2562" s="49" t="str">
        <f t="array" ref="Q2562"> if(iserror(MATCH(V2562, 'File Links'!C:C, 0)), "N/A", HYPERLINK(INDEX('File Links'!B:B, MATCH(P2562, 'File Links'!C:C, 0))))</f>
        <v>https://drive.google.com/file/d/1dD_RkFuxQxk3hkxXbqultnhFhN1opB9Y/view?usp=drivesdk</v>
      </c>
      <c r="R2562" s="357" t="s">
        <v>15045</v>
      </c>
      <c r="S2562" s="357" t="s">
        <v>10148</v>
      </c>
      <c r="T2562" s="506" t="s">
        <v>15176</v>
      </c>
      <c r="U2562" s="292">
        <v>11.0</v>
      </c>
      <c r="V2562" s="357" t="s">
        <v>10149</v>
      </c>
      <c r="W2562" s="292" t="s">
        <v>202</v>
      </c>
      <c r="X2562" s="51" t="str">
        <f t="array" ref="X2562"> if(iserror(MATCH(V2562, 'File Links'!C:C, 0)), "N/A", HYPERLINK(INDEX('File Links'!B:B, MATCH(V2562, 'File Links'!C:C, 0))))</f>
        <v>https://drive.google.com/file/d/1Irbmig3rfLDvz-G09jDAVwJvv1drYEqO/view?usp=drivesdk</v>
      </c>
      <c r="Y2562" s="43"/>
      <c r="Z2562" s="357" t="s">
        <v>2072</v>
      </c>
      <c r="AA2562" s="292" t="s">
        <v>10150</v>
      </c>
      <c r="AB2562" s="357" t="s">
        <v>15184</v>
      </c>
      <c r="AC2562" s="357" t="s">
        <v>15238</v>
      </c>
      <c r="AD2562" s="357" t="s">
        <v>15239</v>
      </c>
      <c r="AE2562" s="357" t="s">
        <v>15187</v>
      </c>
      <c r="AF2562" s="354">
        <v>251.0</v>
      </c>
      <c r="AG2562" s="357" t="s">
        <v>1528</v>
      </c>
      <c r="AH2562" s="164" t="s">
        <v>131</v>
      </c>
      <c r="AI2562" s="357" t="s">
        <v>298</v>
      </c>
      <c r="AJ2562" s="354">
        <v>0.75</v>
      </c>
      <c r="AK2562" s="357" t="s">
        <v>328</v>
      </c>
      <c r="AL2562" s="357" t="s">
        <v>179</v>
      </c>
      <c r="AM2562" s="357" t="s">
        <v>130</v>
      </c>
      <c r="AN2562" s="466" t="s">
        <v>131</v>
      </c>
      <c r="AO2562" s="354">
        <v>604.0</v>
      </c>
      <c r="AP2562" s="340">
        <v>0.001</v>
      </c>
      <c r="AQ2562" s="377" t="s">
        <v>132</v>
      </c>
      <c r="AR2562" s="357" t="s">
        <v>15193</v>
      </c>
      <c r="AS2562" s="354">
        <v>0.946</v>
      </c>
      <c r="AT2562" s="357" t="s">
        <v>165</v>
      </c>
      <c r="AU2562" s="357" t="s">
        <v>179</v>
      </c>
      <c r="AV2562" s="357" t="s">
        <v>130</v>
      </c>
      <c r="AW2562" s="1790" t="s">
        <v>10156</v>
      </c>
      <c r="AX2562" s="357" t="s">
        <v>136</v>
      </c>
      <c r="AZ2562" s="59" t="s">
        <v>1263</v>
      </c>
    </row>
    <row r="2563">
      <c r="A2563" s="41">
        <v>2563.0</v>
      </c>
      <c r="B2563" s="126" t="s">
        <v>145</v>
      </c>
      <c r="C2563" s="59" t="s">
        <v>108</v>
      </c>
      <c r="D2563" s="59" t="s">
        <v>138</v>
      </c>
      <c r="F2563" s="65" t="s">
        <v>10141</v>
      </c>
      <c r="G2563" s="357" t="s">
        <v>15240</v>
      </c>
      <c r="H2563" s="357" t="s">
        <v>10089</v>
      </c>
      <c r="I2563" s="341">
        <v>45767.0</v>
      </c>
      <c r="J2563" s="537">
        <v>45793.0</v>
      </c>
      <c r="K2563" s="43"/>
      <c r="L2563" s="53" t="s">
        <v>15232</v>
      </c>
      <c r="M2563" s="357" t="s">
        <v>10144</v>
      </c>
      <c r="N2563" s="357" t="s">
        <v>10145</v>
      </c>
      <c r="O2563" s="354">
        <v>4.0</v>
      </c>
      <c r="P2563" s="357" t="s">
        <v>10146</v>
      </c>
      <c r="Q2563" s="49" t="str">
        <f t="array" ref="Q2563"> if(iserror(MATCH(V2563, 'File Links'!C:C, 0)), "N/A", HYPERLINK(INDEX('File Links'!B:B, MATCH(P2563, 'File Links'!C:C, 0))))</f>
        <v>https://drive.google.com/file/d/1dD_RkFuxQxk3hkxXbqultnhFhN1opB9Y/view?usp=drivesdk</v>
      </c>
      <c r="R2563" s="357" t="s">
        <v>15045</v>
      </c>
      <c r="S2563" s="357" t="s">
        <v>10148</v>
      </c>
      <c r="T2563" s="506" t="s">
        <v>15176</v>
      </c>
      <c r="U2563" s="292">
        <v>11.0</v>
      </c>
      <c r="V2563" s="357" t="s">
        <v>10149</v>
      </c>
      <c r="W2563" s="292" t="s">
        <v>202</v>
      </c>
      <c r="X2563" s="51" t="str">
        <f t="array" ref="X2563"> if(iserror(MATCH(V2563, 'File Links'!C:C, 0)), "N/A", HYPERLINK(INDEX('File Links'!B:B, MATCH(V2563, 'File Links'!C:C, 0))))</f>
        <v>https://drive.google.com/file/d/1Irbmig3rfLDvz-G09jDAVwJvv1drYEqO/view?usp=drivesdk</v>
      </c>
      <c r="Y2563" s="43"/>
      <c r="Z2563" s="357" t="s">
        <v>2072</v>
      </c>
      <c r="AA2563" s="292" t="s">
        <v>10150</v>
      </c>
      <c r="AB2563" s="357" t="s">
        <v>15184</v>
      </c>
      <c r="AC2563" s="357" t="s">
        <v>15241</v>
      </c>
      <c r="AD2563" s="357" t="s">
        <v>15242</v>
      </c>
      <c r="AE2563" s="357" t="s">
        <v>15187</v>
      </c>
      <c r="AF2563" s="354">
        <v>251.0</v>
      </c>
      <c r="AG2563" s="354">
        <v>0.16</v>
      </c>
      <c r="AH2563" s="357" t="s">
        <v>166</v>
      </c>
      <c r="AI2563" s="357" t="s">
        <v>298</v>
      </c>
      <c r="AJ2563" s="354">
        <v>0.44</v>
      </c>
      <c r="AK2563" s="357" t="s">
        <v>328</v>
      </c>
      <c r="AL2563" s="357" t="s">
        <v>179</v>
      </c>
      <c r="AM2563" s="357" t="s">
        <v>130</v>
      </c>
      <c r="AN2563" s="466" t="s">
        <v>131</v>
      </c>
      <c r="AO2563" s="354">
        <v>604.0</v>
      </c>
      <c r="AP2563" s="357" t="s">
        <v>15243</v>
      </c>
      <c r="AQ2563" s="357" t="s">
        <v>127</v>
      </c>
      <c r="AR2563" s="357" t="s">
        <v>15193</v>
      </c>
      <c r="AS2563" s="354">
        <v>0.371</v>
      </c>
      <c r="AT2563" s="357" t="s">
        <v>165</v>
      </c>
      <c r="AU2563" s="357" t="s">
        <v>179</v>
      </c>
      <c r="AV2563" s="357" t="s">
        <v>130</v>
      </c>
      <c r="AW2563" s="1790" t="s">
        <v>10156</v>
      </c>
      <c r="AX2563" s="357" t="s">
        <v>136</v>
      </c>
      <c r="AZ2563" s="59" t="s">
        <v>1263</v>
      </c>
    </row>
    <row r="2564">
      <c r="A2564" s="41">
        <v>2564.0</v>
      </c>
      <c r="B2564" s="1059" t="s">
        <v>145</v>
      </c>
      <c r="C2564" s="1060" t="s">
        <v>108</v>
      </c>
      <c r="D2564" s="1060" t="s">
        <v>138</v>
      </c>
      <c r="E2564" s="1061"/>
      <c r="F2564" s="1062" t="s">
        <v>10141</v>
      </c>
      <c r="G2564" s="701" t="s">
        <v>15244</v>
      </c>
      <c r="H2564" s="701" t="s">
        <v>10089</v>
      </c>
      <c r="I2564" s="1065">
        <v>45767.0</v>
      </c>
      <c r="J2564" s="2127">
        <v>45793.0</v>
      </c>
      <c r="K2564" s="1062"/>
      <c r="L2564" s="1059" t="s">
        <v>15237</v>
      </c>
      <c r="M2564" s="701" t="s">
        <v>10144</v>
      </c>
      <c r="N2564" s="701" t="s">
        <v>10145</v>
      </c>
      <c r="O2564" s="1067">
        <v>4.0</v>
      </c>
      <c r="P2564" s="701" t="s">
        <v>10146</v>
      </c>
      <c r="Q2564" s="49" t="str">
        <f t="array" ref="Q2564"> if(iserror(MATCH(V2564, 'File Links'!C:C, 0)), "N/A", HYPERLINK(INDEX('File Links'!B:B, MATCH(P2564, 'File Links'!C:C, 0))))</f>
        <v>https://drive.google.com/file/d/1dD_RkFuxQxk3hkxXbqultnhFhN1opB9Y/view?usp=drivesdk</v>
      </c>
      <c r="R2564" s="701" t="s">
        <v>15045</v>
      </c>
      <c r="S2564" s="701" t="s">
        <v>10148</v>
      </c>
      <c r="T2564" s="1069" t="s">
        <v>15176</v>
      </c>
      <c r="U2564" s="1059">
        <v>11.0</v>
      </c>
      <c r="V2564" s="701" t="s">
        <v>10149</v>
      </c>
      <c r="W2564" s="1059" t="s">
        <v>202</v>
      </c>
      <c r="X2564" s="51" t="str">
        <f t="array" ref="X2564"> if(iserror(MATCH(V2564, 'File Links'!C:C, 0)), "N/A", HYPERLINK(INDEX('File Links'!B:B, MATCH(V2564, 'File Links'!C:C, 0))))</f>
        <v>https://drive.google.com/file/d/1Irbmig3rfLDvz-G09jDAVwJvv1drYEqO/view?usp=drivesdk</v>
      </c>
      <c r="Y2564" s="1062"/>
      <c r="Z2564" s="701" t="s">
        <v>2072</v>
      </c>
      <c r="AA2564" s="1059" t="s">
        <v>10150</v>
      </c>
      <c r="AB2564" s="701" t="s">
        <v>15184</v>
      </c>
      <c r="AC2564" s="701" t="s">
        <v>15245</v>
      </c>
      <c r="AD2564" s="701" t="s">
        <v>15246</v>
      </c>
      <c r="AE2564" s="701" t="s">
        <v>15187</v>
      </c>
      <c r="AF2564" s="1067">
        <v>251.0</v>
      </c>
      <c r="AG2564" s="2119">
        <v>0.025</v>
      </c>
      <c r="AH2564" s="377" t="s">
        <v>132</v>
      </c>
      <c r="AI2564" s="701" t="s">
        <v>298</v>
      </c>
      <c r="AJ2564" s="1067">
        <v>0.01</v>
      </c>
      <c r="AK2564" s="701" t="s">
        <v>165</v>
      </c>
      <c r="AL2564" s="701" t="s">
        <v>179</v>
      </c>
      <c r="AM2564" s="701" t="s">
        <v>130</v>
      </c>
      <c r="AN2564" s="466" t="s">
        <v>131</v>
      </c>
      <c r="AO2564" s="1067">
        <v>604.0</v>
      </c>
      <c r="AP2564" s="701" t="s">
        <v>15247</v>
      </c>
      <c r="AQ2564" s="701" t="s">
        <v>127</v>
      </c>
      <c r="AR2564" s="701" t="s">
        <v>7559</v>
      </c>
      <c r="AS2564" s="1067">
        <v>0.615</v>
      </c>
      <c r="AT2564" s="701" t="s">
        <v>165</v>
      </c>
      <c r="AU2564" s="701" t="s">
        <v>179</v>
      </c>
      <c r="AV2564" s="701" t="s">
        <v>130</v>
      </c>
      <c r="AW2564" s="1790" t="s">
        <v>10156</v>
      </c>
      <c r="AX2564" s="701" t="s">
        <v>136</v>
      </c>
      <c r="AZ2564" s="59" t="s">
        <v>1263</v>
      </c>
      <c r="BA2564" s="1061"/>
      <c r="BB2564" s="1061"/>
      <c r="BC2564" s="1061"/>
      <c r="BD2564" s="1061"/>
      <c r="BE2564" s="1061"/>
      <c r="BF2564" s="1061"/>
      <c r="BG2564" s="1061"/>
      <c r="BH2564" s="1061"/>
      <c r="BI2564" s="1061"/>
      <c r="BJ2564" s="1061"/>
      <c r="BK2564" s="1061"/>
      <c r="BL2564" s="1061"/>
      <c r="BM2564" s="1061"/>
      <c r="BN2564" s="1061"/>
      <c r="BO2564" s="1061"/>
      <c r="BP2564" s="1061"/>
      <c r="BQ2564" s="1061"/>
      <c r="BR2564" s="1061"/>
      <c r="BS2564" s="1061"/>
      <c r="BT2564" s="1061"/>
      <c r="BU2564" s="1061"/>
      <c r="BV2564" s="1061"/>
      <c r="BW2564" s="1061"/>
      <c r="BX2564" s="1061"/>
      <c r="BY2564" s="1061"/>
      <c r="BZ2564" s="1061"/>
      <c r="CA2564" s="1061"/>
      <c r="CB2564" s="1061"/>
      <c r="CC2564" s="1061"/>
      <c r="CD2564" s="1061"/>
      <c r="CE2564" s="1061"/>
      <c r="CF2564" s="1061"/>
      <c r="CG2564" s="1061"/>
      <c r="CH2564" s="1061"/>
      <c r="CI2564" s="1061"/>
      <c r="CJ2564" s="1061"/>
      <c r="CK2564" s="1061"/>
      <c r="CL2564" s="1061"/>
      <c r="CM2564" s="1061"/>
      <c r="CN2564" s="1061"/>
      <c r="CO2564" s="1061"/>
      <c r="CP2564" s="1061"/>
      <c r="CQ2564" s="1061"/>
      <c r="CR2564" s="1061"/>
      <c r="CS2564" s="1061"/>
      <c r="CT2564" s="1061"/>
      <c r="CU2564" s="1061"/>
      <c r="CV2564" s="1061"/>
      <c r="CW2564" s="1061"/>
      <c r="CX2564" s="1061"/>
      <c r="CY2564" s="1061"/>
      <c r="CZ2564" s="1061"/>
      <c r="DA2564" s="1061"/>
      <c r="DB2564" s="1061"/>
      <c r="DC2564" s="1061"/>
      <c r="DD2564" s="1061"/>
      <c r="DE2564" s="1061"/>
      <c r="DF2564" s="1061"/>
      <c r="DG2564" s="1061"/>
      <c r="DH2564" s="1061"/>
    </row>
    <row r="2565">
      <c r="A2565" s="41">
        <v>2565.0</v>
      </c>
      <c r="B2565" s="126" t="s">
        <v>145</v>
      </c>
      <c r="C2565" s="59" t="s">
        <v>108</v>
      </c>
      <c r="D2565" s="59" t="s">
        <v>138</v>
      </c>
      <c r="F2565" s="65" t="s">
        <v>10141</v>
      </c>
      <c r="G2565" s="357" t="s">
        <v>15248</v>
      </c>
      <c r="H2565" s="357" t="s">
        <v>10089</v>
      </c>
      <c r="I2565" s="341">
        <v>45767.0</v>
      </c>
      <c r="J2565" s="537">
        <v>45793.0</v>
      </c>
      <c r="K2565" s="357" t="s">
        <v>15249</v>
      </c>
      <c r="L2565" s="53" t="s">
        <v>15237</v>
      </c>
      <c r="M2565" s="357" t="s">
        <v>10144</v>
      </c>
      <c r="N2565" s="357" t="s">
        <v>10145</v>
      </c>
      <c r="O2565" s="354">
        <v>4.0</v>
      </c>
      <c r="P2565" s="357" t="s">
        <v>10146</v>
      </c>
      <c r="Q2565" s="49" t="str">
        <f t="array" ref="Q2565"> if(iserror(MATCH(V2565, 'File Links'!C:C, 0)), "N/A", HYPERLINK(INDEX('File Links'!B:B, MATCH(P2565, 'File Links'!C:C, 0))))</f>
        <v>https://drive.google.com/file/d/1dD_RkFuxQxk3hkxXbqultnhFhN1opB9Y/view?usp=drivesdk</v>
      </c>
      <c r="R2565" s="357" t="s">
        <v>15045</v>
      </c>
      <c r="S2565" s="357" t="s">
        <v>10148</v>
      </c>
      <c r="T2565" s="506" t="s">
        <v>15176</v>
      </c>
      <c r="U2565" s="292">
        <v>11.0</v>
      </c>
      <c r="V2565" s="357" t="s">
        <v>10149</v>
      </c>
      <c r="W2565" s="292" t="s">
        <v>202</v>
      </c>
      <c r="X2565" s="51" t="str">
        <f t="array" ref="X2565"> if(iserror(MATCH(V2565, 'File Links'!C:C, 0)), "N/A", HYPERLINK(INDEX('File Links'!B:B, MATCH(V2565, 'File Links'!C:C, 0))))</f>
        <v>https://drive.google.com/file/d/1Irbmig3rfLDvz-G09jDAVwJvv1drYEqO/view?usp=drivesdk</v>
      </c>
      <c r="Y2565" s="43"/>
      <c r="Z2565" s="357" t="s">
        <v>2072</v>
      </c>
      <c r="AA2565" s="292" t="s">
        <v>10150</v>
      </c>
      <c r="AB2565" s="357" t="s">
        <v>15184</v>
      </c>
      <c r="AC2565" s="357" t="s">
        <v>15250</v>
      </c>
      <c r="AD2565" s="357" t="s">
        <v>15251</v>
      </c>
      <c r="AE2565" s="357" t="s">
        <v>15187</v>
      </c>
      <c r="AF2565" s="354">
        <v>251.0</v>
      </c>
      <c r="AG2565" s="340">
        <v>0.002</v>
      </c>
      <c r="AH2565" s="377" t="s">
        <v>132</v>
      </c>
      <c r="AI2565" s="357" t="s">
        <v>298</v>
      </c>
      <c r="AJ2565" s="354">
        <v>0.5</v>
      </c>
      <c r="AK2565" s="357" t="s">
        <v>328</v>
      </c>
      <c r="AL2565" s="357" t="s">
        <v>179</v>
      </c>
      <c r="AM2565" s="357" t="s">
        <v>130</v>
      </c>
      <c r="AN2565" s="466" t="s">
        <v>131</v>
      </c>
      <c r="AO2565" s="354">
        <v>604.0</v>
      </c>
      <c r="AP2565" s="357" t="s">
        <v>15247</v>
      </c>
      <c r="AQ2565" s="357" t="s">
        <v>127</v>
      </c>
      <c r="AR2565" s="357" t="s">
        <v>7559</v>
      </c>
      <c r="AS2565" s="354">
        <v>0.615</v>
      </c>
      <c r="AT2565" s="357" t="s">
        <v>165</v>
      </c>
      <c r="AU2565" s="357" t="s">
        <v>179</v>
      </c>
      <c r="AV2565" s="357" t="s">
        <v>130</v>
      </c>
      <c r="AW2565" s="1790" t="s">
        <v>10156</v>
      </c>
      <c r="AX2565" s="357" t="s">
        <v>136</v>
      </c>
      <c r="AZ2565" s="59" t="s">
        <v>1263</v>
      </c>
    </row>
    <row r="2566">
      <c r="A2566" s="41">
        <v>2566.0</v>
      </c>
      <c r="B2566" s="126" t="s">
        <v>145</v>
      </c>
      <c r="C2566" s="59" t="s">
        <v>108</v>
      </c>
      <c r="D2566" s="59" t="s">
        <v>138</v>
      </c>
      <c r="F2566" s="65" t="s">
        <v>10141</v>
      </c>
      <c r="G2566" s="357" t="s">
        <v>15252</v>
      </c>
      <c r="H2566" s="357" t="s">
        <v>10089</v>
      </c>
      <c r="I2566" s="341">
        <v>45767.0</v>
      </c>
      <c r="J2566" s="537">
        <v>45793.0</v>
      </c>
      <c r="K2566" s="43"/>
      <c r="L2566" s="53" t="s">
        <v>15253</v>
      </c>
      <c r="M2566" s="357" t="s">
        <v>10144</v>
      </c>
      <c r="N2566" s="357" t="s">
        <v>10145</v>
      </c>
      <c r="O2566" s="354">
        <v>4.0</v>
      </c>
      <c r="P2566" s="357" t="s">
        <v>10146</v>
      </c>
      <c r="Q2566" s="49" t="str">
        <f t="array" ref="Q2566"> if(iserror(MATCH(V2566, 'File Links'!C:C, 0)), "N/A", HYPERLINK(INDEX('File Links'!B:B, MATCH(P2566, 'File Links'!C:C, 0))))</f>
        <v>https://drive.google.com/file/d/1dD_RkFuxQxk3hkxXbqultnhFhN1opB9Y/view?usp=drivesdk</v>
      </c>
      <c r="R2566" s="357" t="s">
        <v>15045</v>
      </c>
      <c r="S2566" s="357" t="s">
        <v>10148</v>
      </c>
      <c r="T2566" s="506" t="s">
        <v>15176</v>
      </c>
      <c r="U2566" s="292">
        <v>11.0</v>
      </c>
      <c r="V2566" s="357" t="s">
        <v>10149</v>
      </c>
      <c r="W2566" s="292" t="s">
        <v>202</v>
      </c>
      <c r="X2566" s="51" t="str">
        <f t="array" ref="X2566"> if(iserror(MATCH(V2566, 'File Links'!C:C, 0)), "N/A", HYPERLINK(INDEX('File Links'!B:B, MATCH(V2566, 'File Links'!C:C, 0))))</f>
        <v>https://drive.google.com/file/d/1Irbmig3rfLDvz-G09jDAVwJvv1drYEqO/view?usp=drivesdk</v>
      </c>
      <c r="Y2566" s="43"/>
      <c r="Z2566" s="357" t="s">
        <v>2072</v>
      </c>
      <c r="AA2566" s="292" t="s">
        <v>10150</v>
      </c>
      <c r="AB2566" s="357" t="s">
        <v>15184</v>
      </c>
      <c r="AC2566" s="357" t="s">
        <v>15254</v>
      </c>
      <c r="AD2566" s="357" t="s">
        <v>15255</v>
      </c>
      <c r="AE2566" s="357" t="s">
        <v>15187</v>
      </c>
      <c r="AF2566" s="354">
        <v>251.0</v>
      </c>
      <c r="AG2566" s="340">
        <v>0.086</v>
      </c>
      <c r="AH2566" s="377" t="s">
        <v>132</v>
      </c>
      <c r="AI2566" s="357" t="s">
        <v>298</v>
      </c>
      <c r="AJ2566" s="354">
        <v>1.0E-4</v>
      </c>
      <c r="AK2566" s="357" t="s">
        <v>128</v>
      </c>
      <c r="AL2566" s="357" t="s">
        <v>179</v>
      </c>
      <c r="AM2566" s="357" t="s">
        <v>130</v>
      </c>
      <c r="AN2566" s="466" t="s">
        <v>131</v>
      </c>
      <c r="AO2566" s="354">
        <v>604.0</v>
      </c>
      <c r="AP2566" s="357" t="s">
        <v>10182</v>
      </c>
      <c r="AQ2566" s="357" t="s">
        <v>127</v>
      </c>
      <c r="AR2566" s="357" t="s">
        <v>7559</v>
      </c>
      <c r="AS2566" s="354">
        <v>0.001</v>
      </c>
      <c r="AT2566" s="357" t="s">
        <v>128</v>
      </c>
      <c r="AU2566" s="357" t="s">
        <v>179</v>
      </c>
      <c r="AV2566" s="357" t="s">
        <v>130</v>
      </c>
      <c r="AW2566" s="1790" t="s">
        <v>10156</v>
      </c>
      <c r="AX2566" s="357" t="s">
        <v>136</v>
      </c>
      <c r="AZ2566" s="59" t="s">
        <v>1263</v>
      </c>
    </row>
    <row r="2567">
      <c r="A2567" s="41">
        <v>2567.0</v>
      </c>
      <c r="B2567" s="126" t="s">
        <v>145</v>
      </c>
      <c r="C2567" s="59" t="s">
        <v>108</v>
      </c>
      <c r="D2567" s="59" t="s">
        <v>138</v>
      </c>
      <c r="F2567" s="65" t="s">
        <v>10141</v>
      </c>
      <c r="G2567" s="357" t="s">
        <v>15256</v>
      </c>
      <c r="H2567" s="357" t="s">
        <v>10089</v>
      </c>
      <c r="I2567" s="341">
        <v>45767.0</v>
      </c>
      <c r="J2567" s="537">
        <v>45793.0</v>
      </c>
      <c r="K2567" s="43"/>
      <c r="L2567" s="292" t="s">
        <v>15257</v>
      </c>
      <c r="M2567" s="357" t="s">
        <v>10144</v>
      </c>
      <c r="N2567" s="357" t="s">
        <v>10145</v>
      </c>
      <c r="O2567" s="354">
        <v>4.0</v>
      </c>
      <c r="P2567" s="357" t="s">
        <v>10146</v>
      </c>
      <c r="Q2567" s="49" t="str">
        <f t="array" ref="Q2567"> if(iserror(MATCH(V2567, 'File Links'!C:C, 0)), "N/A", HYPERLINK(INDEX('File Links'!B:B, MATCH(P2567, 'File Links'!C:C, 0))))</f>
        <v>https://drive.google.com/file/d/1dD_RkFuxQxk3hkxXbqultnhFhN1opB9Y/view?usp=drivesdk</v>
      </c>
      <c r="R2567" s="357" t="s">
        <v>15045</v>
      </c>
      <c r="S2567" s="357" t="s">
        <v>10148</v>
      </c>
      <c r="T2567" s="506" t="s">
        <v>15176</v>
      </c>
      <c r="U2567" s="292">
        <v>11.0</v>
      </c>
      <c r="V2567" s="357" t="s">
        <v>10149</v>
      </c>
      <c r="W2567" s="292" t="s">
        <v>202</v>
      </c>
      <c r="X2567" s="51" t="str">
        <f t="array" ref="X2567"> if(iserror(MATCH(V2567, 'File Links'!C:C, 0)), "N/A", HYPERLINK(INDEX('File Links'!B:B, MATCH(V2567, 'File Links'!C:C, 0))))</f>
        <v>https://drive.google.com/file/d/1Irbmig3rfLDvz-G09jDAVwJvv1drYEqO/view?usp=drivesdk</v>
      </c>
      <c r="Y2567" s="43"/>
      <c r="Z2567" s="357" t="s">
        <v>2072</v>
      </c>
      <c r="AA2567" s="292" t="s">
        <v>10150</v>
      </c>
      <c r="AB2567" s="357" t="s">
        <v>15184</v>
      </c>
      <c r="AC2567" s="357" t="s">
        <v>15258</v>
      </c>
      <c r="AD2567" s="357" t="s">
        <v>15259</v>
      </c>
      <c r="AE2567" s="357" t="s">
        <v>15187</v>
      </c>
      <c r="AF2567" s="354">
        <v>251.0</v>
      </c>
      <c r="AG2567" s="357" t="s">
        <v>15260</v>
      </c>
      <c r="AH2567" s="357" t="s">
        <v>127</v>
      </c>
      <c r="AI2567" s="357" t="s">
        <v>298</v>
      </c>
      <c r="AJ2567" s="340" t="s">
        <v>131</v>
      </c>
      <c r="AK2567" s="340" t="s">
        <v>131</v>
      </c>
      <c r="AL2567" s="357" t="s">
        <v>179</v>
      </c>
      <c r="AM2567" s="357" t="s">
        <v>130</v>
      </c>
      <c r="AN2567" s="466" t="s">
        <v>131</v>
      </c>
      <c r="AO2567" s="354">
        <v>604.0</v>
      </c>
      <c r="AP2567" s="357" t="s">
        <v>15261</v>
      </c>
      <c r="AQ2567" s="357" t="s">
        <v>127</v>
      </c>
      <c r="AR2567" s="357" t="s">
        <v>7559</v>
      </c>
      <c r="AS2567" s="340" t="s">
        <v>131</v>
      </c>
      <c r="AT2567" s="340" t="s">
        <v>131</v>
      </c>
      <c r="AU2567" s="357" t="s">
        <v>179</v>
      </c>
      <c r="AV2567" s="357" t="s">
        <v>130</v>
      </c>
      <c r="AW2567" s="1790" t="s">
        <v>10156</v>
      </c>
      <c r="AX2567" s="357" t="s">
        <v>136</v>
      </c>
      <c r="AZ2567" s="59" t="s">
        <v>1263</v>
      </c>
    </row>
    <row r="2568">
      <c r="A2568" s="41">
        <v>2568.0</v>
      </c>
      <c r="B2568" s="126" t="s">
        <v>145</v>
      </c>
      <c r="C2568" s="59" t="s">
        <v>108</v>
      </c>
      <c r="D2568" s="59" t="s">
        <v>138</v>
      </c>
      <c r="F2568" s="65" t="s">
        <v>10141</v>
      </c>
      <c r="G2568" s="357" t="s">
        <v>15262</v>
      </c>
      <c r="H2568" s="357" t="s">
        <v>10089</v>
      </c>
      <c r="I2568" s="341">
        <v>45767.0</v>
      </c>
      <c r="J2568" s="537">
        <v>45793.0</v>
      </c>
      <c r="K2568" s="43"/>
      <c r="L2568" s="292" t="s">
        <v>15257</v>
      </c>
      <c r="M2568" s="357" t="s">
        <v>10144</v>
      </c>
      <c r="N2568" s="357" t="s">
        <v>10145</v>
      </c>
      <c r="O2568" s="354">
        <v>4.0</v>
      </c>
      <c r="P2568" s="357" t="s">
        <v>10146</v>
      </c>
      <c r="Q2568" s="49" t="str">
        <f t="array" ref="Q2568"> if(iserror(MATCH(V2568, 'File Links'!C:C, 0)), "N/A", HYPERLINK(INDEX('File Links'!B:B, MATCH(P2568, 'File Links'!C:C, 0))))</f>
        <v>https://drive.google.com/file/d/1dD_RkFuxQxk3hkxXbqultnhFhN1opB9Y/view?usp=drivesdk</v>
      </c>
      <c r="R2568" s="357" t="s">
        <v>15045</v>
      </c>
      <c r="S2568" s="357" t="s">
        <v>10148</v>
      </c>
      <c r="T2568" s="506" t="s">
        <v>15176</v>
      </c>
      <c r="U2568" s="292">
        <v>11.0</v>
      </c>
      <c r="V2568" s="357" t="s">
        <v>10149</v>
      </c>
      <c r="W2568" s="292" t="s">
        <v>202</v>
      </c>
      <c r="X2568" s="51" t="str">
        <f t="array" ref="X2568"> if(iserror(MATCH(V2568, 'File Links'!C:C, 0)), "N/A", HYPERLINK(INDEX('File Links'!B:B, MATCH(V2568, 'File Links'!C:C, 0))))</f>
        <v>https://drive.google.com/file/d/1Irbmig3rfLDvz-G09jDAVwJvv1drYEqO/view?usp=drivesdk</v>
      </c>
      <c r="Y2568" s="43"/>
      <c r="Z2568" s="357" t="s">
        <v>2072</v>
      </c>
      <c r="AA2568" s="292" t="s">
        <v>10150</v>
      </c>
      <c r="AB2568" s="357" t="s">
        <v>15184</v>
      </c>
      <c r="AC2568" s="357" t="s">
        <v>15263</v>
      </c>
      <c r="AD2568" s="357" t="s">
        <v>15264</v>
      </c>
      <c r="AE2568" s="357" t="s">
        <v>15187</v>
      </c>
      <c r="AF2568" s="354">
        <v>251.0</v>
      </c>
      <c r="AG2568" s="357" t="s">
        <v>15265</v>
      </c>
      <c r="AH2568" s="357" t="s">
        <v>127</v>
      </c>
      <c r="AI2568" s="357" t="s">
        <v>298</v>
      </c>
      <c r="AJ2568" s="340" t="s">
        <v>131</v>
      </c>
      <c r="AK2568" s="340" t="s">
        <v>131</v>
      </c>
      <c r="AL2568" s="357" t="s">
        <v>179</v>
      </c>
      <c r="AM2568" s="357" t="s">
        <v>130</v>
      </c>
      <c r="AN2568" s="466" t="s">
        <v>131</v>
      </c>
      <c r="AO2568" s="354">
        <v>604.0</v>
      </c>
      <c r="AP2568" s="357" t="s">
        <v>15266</v>
      </c>
      <c r="AQ2568" s="357" t="s">
        <v>127</v>
      </c>
      <c r="AR2568" s="357" t="s">
        <v>7559</v>
      </c>
      <c r="AS2568" s="340" t="s">
        <v>131</v>
      </c>
      <c r="AT2568" s="340" t="s">
        <v>131</v>
      </c>
      <c r="AU2568" s="357" t="s">
        <v>179</v>
      </c>
      <c r="AV2568" s="357" t="s">
        <v>130</v>
      </c>
      <c r="AW2568" s="1790" t="s">
        <v>10156</v>
      </c>
      <c r="AX2568" s="357" t="s">
        <v>136</v>
      </c>
      <c r="AZ2568" s="59" t="s">
        <v>1263</v>
      </c>
    </row>
    <row r="2569">
      <c r="A2569" s="41">
        <v>2569.0</v>
      </c>
      <c r="B2569" s="1793" t="s">
        <v>145</v>
      </c>
      <c r="C2569" s="1623" t="s">
        <v>108</v>
      </c>
      <c r="D2569" s="1623" t="s">
        <v>138</v>
      </c>
      <c r="E2569" s="1120"/>
      <c r="F2569" s="1624" t="s">
        <v>10141</v>
      </c>
      <c r="G2569" s="1626" t="s">
        <v>15267</v>
      </c>
      <c r="H2569" s="1626" t="s">
        <v>10089</v>
      </c>
      <c r="I2569" s="2128">
        <v>45767.0</v>
      </c>
      <c r="J2569" s="1795">
        <v>45793.0</v>
      </c>
      <c r="K2569" s="1624"/>
      <c r="L2569" s="1793" t="s">
        <v>15268</v>
      </c>
      <c r="M2569" s="1626" t="s">
        <v>10144</v>
      </c>
      <c r="N2569" s="1626" t="s">
        <v>10145</v>
      </c>
      <c r="O2569" s="1557">
        <v>4.0</v>
      </c>
      <c r="P2569" s="1626" t="s">
        <v>10146</v>
      </c>
      <c r="Q2569" s="49" t="str">
        <f t="array" ref="Q2569"> if(iserror(MATCH(V2569, 'File Links'!C:C, 0)), "N/A", HYPERLINK(INDEX('File Links'!B:B, MATCH(P2569, 'File Links'!C:C, 0))))</f>
        <v>https://drive.google.com/file/d/1dD_RkFuxQxk3hkxXbqultnhFhN1opB9Y/view?usp=drivesdk</v>
      </c>
      <c r="R2569" s="1626" t="s">
        <v>15045</v>
      </c>
      <c r="S2569" s="1626" t="s">
        <v>10148</v>
      </c>
      <c r="T2569" s="1630" t="s">
        <v>15176</v>
      </c>
      <c r="U2569" s="1793">
        <v>11.0</v>
      </c>
      <c r="V2569" s="1626" t="s">
        <v>10149</v>
      </c>
      <c r="W2569" s="1793" t="s">
        <v>202</v>
      </c>
      <c r="X2569" s="51" t="str">
        <f t="array" ref="X2569"> if(iserror(MATCH(V2569, 'File Links'!C:C, 0)), "N/A", HYPERLINK(INDEX('File Links'!B:B, MATCH(V2569, 'File Links'!C:C, 0))))</f>
        <v>https://drive.google.com/file/d/1Irbmig3rfLDvz-G09jDAVwJvv1drYEqO/view?usp=drivesdk</v>
      </c>
      <c r="Y2569" s="1624"/>
      <c r="Z2569" s="1626" t="s">
        <v>2072</v>
      </c>
      <c r="AA2569" s="1793" t="s">
        <v>10150</v>
      </c>
      <c r="AB2569" s="1626" t="s">
        <v>15184</v>
      </c>
      <c r="AC2569" s="1626" t="s">
        <v>15269</v>
      </c>
      <c r="AD2569" s="1626" t="s">
        <v>15270</v>
      </c>
      <c r="AE2569" s="1557">
        <v>17.0</v>
      </c>
      <c r="AF2569" s="1557">
        <v>251.0</v>
      </c>
      <c r="AG2569" s="1626" t="s">
        <v>15271</v>
      </c>
      <c r="AH2569" s="1626" t="s">
        <v>127</v>
      </c>
      <c r="AI2569" s="1626" t="s">
        <v>298</v>
      </c>
      <c r="AJ2569" s="488" t="s">
        <v>131</v>
      </c>
      <c r="AK2569" s="340" t="s">
        <v>131</v>
      </c>
      <c r="AL2569" s="1626" t="s">
        <v>179</v>
      </c>
      <c r="AM2569" s="1626" t="s">
        <v>130</v>
      </c>
      <c r="AN2569" s="466" t="s">
        <v>131</v>
      </c>
      <c r="AO2569" s="1557">
        <v>604.0</v>
      </c>
      <c r="AP2569" s="1626" t="s">
        <v>15272</v>
      </c>
      <c r="AQ2569" s="1626" t="s">
        <v>127</v>
      </c>
      <c r="AR2569" s="1626" t="s">
        <v>7559</v>
      </c>
      <c r="AS2569" s="340" t="s">
        <v>131</v>
      </c>
      <c r="AT2569" s="340" t="s">
        <v>131</v>
      </c>
      <c r="AU2569" s="1626" t="s">
        <v>179</v>
      </c>
      <c r="AV2569" s="1626" t="s">
        <v>130</v>
      </c>
      <c r="AW2569" s="1801" t="s">
        <v>10156</v>
      </c>
      <c r="AX2569" s="1626" t="s">
        <v>136</v>
      </c>
      <c r="AZ2569" s="1623" t="s">
        <v>1263</v>
      </c>
      <c r="BA2569" s="1120"/>
      <c r="BB2569" s="1120"/>
      <c r="BC2569" s="1120"/>
      <c r="BD2569" s="1120"/>
      <c r="BE2569" s="1120"/>
      <c r="BF2569" s="1120"/>
      <c r="BG2569" s="1120"/>
      <c r="BH2569" s="1120"/>
      <c r="BI2569" s="1120"/>
      <c r="BJ2569" s="1120"/>
      <c r="BK2569" s="1120"/>
      <c r="BL2569" s="1120"/>
      <c r="BM2569" s="1120"/>
      <c r="BN2569" s="1120"/>
      <c r="BO2569" s="1120"/>
      <c r="BP2569" s="1120"/>
      <c r="BQ2569" s="1120"/>
      <c r="BR2569" s="1120"/>
      <c r="BS2569" s="1120"/>
      <c r="BT2569" s="1120"/>
      <c r="BU2569" s="1120"/>
      <c r="BV2569" s="1120"/>
      <c r="BW2569" s="1120"/>
      <c r="BX2569" s="1120"/>
      <c r="BY2569" s="1120"/>
      <c r="BZ2569" s="1120"/>
      <c r="CA2569" s="1120"/>
      <c r="CB2569" s="1120"/>
      <c r="CC2569" s="1120"/>
      <c r="CD2569" s="1120"/>
      <c r="CE2569" s="1120"/>
      <c r="CF2569" s="1120"/>
      <c r="CG2569" s="1120"/>
      <c r="CH2569" s="1120"/>
      <c r="CI2569" s="1120"/>
      <c r="CJ2569" s="1120"/>
      <c r="CK2569" s="1120"/>
      <c r="CL2569" s="1120"/>
      <c r="CM2569" s="1120"/>
      <c r="CN2569" s="1120"/>
      <c r="CO2569" s="1120"/>
      <c r="CP2569" s="1120"/>
      <c r="CQ2569" s="1120"/>
      <c r="CR2569" s="1120"/>
      <c r="CS2569" s="1120"/>
      <c r="CT2569" s="1120"/>
      <c r="CU2569" s="1120"/>
      <c r="CV2569" s="1120"/>
      <c r="CW2569" s="1120"/>
      <c r="CX2569" s="1120"/>
      <c r="CY2569" s="1120"/>
      <c r="CZ2569" s="1120"/>
      <c r="DA2569" s="1120"/>
      <c r="DB2569" s="1120"/>
      <c r="DC2569" s="1120"/>
      <c r="DD2569" s="1120"/>
      <c r="DE2569" s="1120"/>
      <c r="DF2569" s="1120"/>
      <c r="DG2569" s="1120"/>
      <c r="DH2569" s="1120"/>
    </row>
    <row r="2570">
      <c r="A2570" s="41">
        <v>2570.0</v>
      </c>
      <c r="B2570" s="292" t="s">
        <v>107</v>
      </c>
      <c r="C2570" s="284" t="s">
        <v>108</v>
      </c>
      <c r="D2570" s="284" t="s">
        <v>138</v>
      </c>
      <c r="E2570" s="305"/>
      <c r="F2570" s="302" t="s">
        <v>10197</v>
      </c>
      <c r="G2570" s="287" t="s">
        <v>10198</v>
      </c>
      <c r="H2570" s="287" t="s">
        <v>10089</v>
      </c>
      <c r="I2570" s="2112">
        <v>45765.0</v>
      </c>
      <c r="J2570" s="1795">
        <v>45793.0</v>
      </c>
      <c r="K2570" s="302"/>
      <c r="L2570" s="292" t="s">
        <v>15273</v>
      </c>
      <c r="M2570" s="287" t="s">
        <v>10201</v>
      </c>
      <c r="N2570" s="287" t="s">
        <v>10202</v>
      </c>
      <c r="O2570" s="1555">
        <v>5.0</v>
      </c>
      <c r="P2570" s="287" t="s">
        <v>10203</v>
      </c>
      <c r="Q2570" s="49" t="str">
        <f t="array" ref="Q2570"> if(iserror(MATCH(V2570, 'File Links'!C:C, 0)), "N/A", HYPERLINK(INDEX('File Links'!B:B, MATCH(P2570, 'File Links'!C:C, 0))))</f>
        <v>https://drive.google.com/file/d/1hs6XpHWMiyMPANJzK7B4OuBvEZ7slY88/view?usp=drivesdk</v>
      </c>
      <c r="R2570" s="287" t="s">
        <v>15045</v>
      </c>
      <c r="S2570" s="287" t="s">
        <v>10148</v>
      </c>
      <c r="T2570" s="2115" t="s">
        <v>15176</v>
      </c>
      <c r="U2570" s="368">
        <v>19.0</v>
      </c>
      <c r="V2570" s="287" t="s">
        <v>10149</v>
      </c>
      <c r="W2570" s="1793" t="s">
        <v>202</v>
      </c>
      <c r="X2570" s="51" t="str">
        <f t="array" ref="X2570"> if(iserror(MATCH(V2570, 'File Links'!C:C, 0)), "N/A", HYPERLINK(INDEX('File Links'!B:B, MATCH(V2570, 'File Links'!C:C, 0))))</f>
        <v>https://drive.google.com/file/d/1Irbmig3rfLDvz-G09jDAVwJvv1drYEqO/view?usp=drivesdk</v>
      </c>
      <c r="Y2570" s="302"/>
      <c r="Z2570" s="287" t="s">
        <v>2072</v>
      </c>
      <c r="AA2570" s="300" t="s">
        <v>10204</v>
      </c>
      <c r="AB2570" s="287" t="s">
        <v>10205</v>
      </c>
      <c r="AC2570" s="287" t="s">
        <v>15274</v>
      </c>
      <c r="AD2570" s="287" t="s">
        <v>15275</v>
      </c>
      <c r="AE2570" s="287" t="s">
        <v>10570</v>
      </c>
      <c r="AF2570" s="1555">
        <v>377.0</v>
      </c>
      <c r="AG2570" s="287" t="s">
        <v>10208</v>
      </c>
      <c r="AH2570" s="287" t="s">
        <v>127</v>
      </c>
      <c r="AI2570" s="287" t="s">
        <v>300</v>
      </c>
      <c r="AJ2570" s="1555">
        <v>0.001</v>
      </c>
      <c r="AK2570" s="287" t="s">
        <v>128</v>
      </c>
      <c r="AL2570" s="287" t="s">
        <v>179</v>
      </c>
      <c r="AM2570" s="287" t="s">
        <v>130</v>
      </c>
      <c r="AN2570" s="466" t="s">
        <v>131</v>
      </c>
      <c r="AO2570" s="1555">
        <v>688.0</v>
      </c>
      <c r="AP2570" s="287" t="s">
        <v>15276</v>
      </c>
      <c r="AQ2570" s="287" t="s">
        <v>127</v>
      </c>
      <c r="AR2570" s="287" t="s">
        <v>15277</v>
      </c>
      <c r="AS2570" s="1555">
        <v>0.001</v>
      </c>
      <c r="AT2570" s="287" t="s">
        <v>128</v>
      </c>
      <c r="AU2570" s="287" t="s">
        <v>179</v>
      </c>
      <c r="AV2570" s="287" t="s">
        <v>130</v>
      </c>
      <c r="AW2570" s="2129" t="s">
        <v>10212</v>
      </c>
      <c r="AX2570" s="287" t="s">
        <v>136</v>
      </c>
      <c r="AZ2570" s="1623" t="s">
        <v>1263</v>
      </c>
      <c r="BA2570" s="305"/>
      <c r="BB2570" s="305"/>
      <c r="BC2570" s="305"/>
      <c r="BD2570" s="305"/>
      <c r="BE2570" s="305"/>
      <c r="BF2570" s="305"/>
      <c r="BG2570" s="305"/>
      <c r="BH2570" s="305"/>
      <c r="BI2570" s="305"/>
      <c r="BJ2570" s="305"/>
      <c r="BK2570" s="305"/>
      <c r="BL2570" s="305"/>
      <c r="BM2570" s="305"/>
      <c r="BN2570" s="305"/>
      <c r="BO2570" s="305"/>
      <c r="BP2570" s="305"/>
      <c r="BQ2570" s="305"/>
      <c r="BR2570" s="305"/>
      <c r="BS2570" s="305"/>
      <c r="BT2570" s="305"/>
      <c r="BU2570" s="305"/>
      <c r="BV2570" s="305"/>
      <c r="BW2570" s="305"/>
      <c r="BX2570" s="305"/>
      <c r="BY2570" s="305"/>
      <c r="BZ2570" s="305"/>
      <c r="CA2570" s="305"/>
      <c r="CB2570" s="305"/>
      <c r="CC2570" s="305"/>
      <c r="CD2570" s="305"/>
      <c r="CE2570" s="305"/>
      <c r="CF2570" s="305"/>
      <c r="CG2570" s="305"/>
      <c r="CH2570" s="305"/>
      <c r="CI2570" s="305"/>
      <c r="CJ2570" s="305"/>
      <c r="CK2570" s="305"/>
      <c r="CL2570" s="305"/>
      <c r="CM2570" s="305"/>
      <c r="CN2570" s="305"/>
      <c r="CO2570" s="305"/>
      <c r="CP2570" s="305"/>
      <c r="CQ2570" s="305"/>
      <c r="CR2570" s="305"/>
      <c r="CS2570" s="305"/>
      <c r="CT2570" s="305"/>
      <c r="CU2570" s="305"/>
      <c r="CV2570" s="305"/>
      <c r="CW2570" s="305"/>
      <c r="CX2570" s="305"/>
      <c r="CY2570" s="305"/>
      <c r="CZ2570" s="305"/>
      <c r="DA2570" s="305"/>
      <c r="DB2570" s="305"/>
      <c r="DC2570" s="305"/>
      <c r="DD2570" s="305"/>
      <c r="DE2570" s="305"/>
      <c r="DF2570" s="305"/>
      <c r="DG2570" s="305"/>
      <c r="DH2570" s="305"/>
    </row>
    <row r="2571">
      <c r="A2571" s="41">
        <v>2571.0</v>
      </c>
      <c r="B2571" s="126" t="s">
        <v>107</v>
      </c>
      <c r="C2571" s="59" t="s">
        <v>108</v>
      </c>
      <c r="D2571" s="59" t="s">
        <v>138</v>
      </c>
      <c r="F2571" s="65" t="s">
        <v>10197</v>
      </c>
      <c r="G2571" s="357" t="s">
        <v>10213</v>
      </c>
      <c r="H2571" s="357" t="s">
        <v>10089</v>
      </c>
      <c r="I2571" s="341">
        <v>45765.0</v>
      </c>
      <c r="J2571" s="1795">
        <v>45793.0</v>
      </c>
      <c r="K2571" s="43"/>
      <c r="L2571" s="53" t="s">
        <v>15273</v>
      </c>
      <c r="M2571" s="357" t="s">
        <v>10201</v>
      </c>
      <c r="N2571" s="357" t="s">
        <v>10202</v>
      </c>
      <c r="O2571" s="354">
        <v>5.0</v>
      </c>
      <c r="P2571" s="357" t="s">
        <v>10203</v>
      </c>
      <c r="Q2571" s="49" t="str">
        <f t="array" ref="Q2571"> if(iserror(MATCH(V2571, 'File Links'!C:C, 0)), "N/A", HYPERLINK(INDEX('File Links'!B:B, MATCH(P2571, 'File Links'!C:C, 0))))</f>
        <v>https://drive.google.com/file/d/1hs6XpHWMiyMPANJzK7B4OuBvEZ7slY88/view?usp=drivesdk</v>
      </c>
      <c r="R2571" s="357" t="s">
        <v>15045</v>
      </c>
      <c r="S2571" s="357" t="s">
        <v>10148</v>
      </c>
      <c r="T2571" s="506" t="s">
        <v>15176</v>
      </c>
      <c r="U2571" s="368">
        <v>19.0</v>
      </c>
      <c r="V2571" s="357" t="s">
        <v>10149</v>
      </c>
      <c r="W2571" s="1793" t="s">
        <v>202</v>
      </c>
      <c r="X2571" s="51" t="str">
        <f t="array" ref="X2571"> if(iserror(MATCH(V2571, 'File Links'!C:C, 0)), "N/A", HYPERLINK(INDEX('File Links'!B:B, MATCH(V2571, 'File Links'!C:C, 0))))</f>
        <v>https://drive.google.com/file/d/1Irbmig3rfLDvz-G09jDAVwJvv1drYEqO/view?usp=drivesdk</v>
      </c>
      <c r="Y2571" s="43"/>
      <c r="Z2571" s="357" t="s">
        <v>2072</v>
      </c>
      <c r="AA2571" s="300" t="s">
        <v>10204</v>
      </c>
      <c r="AB2571" s="357" t="s">
        <v>10205</v>
      </c>
      <c r="AC2571" s="357" t="s">
        <v>15278</v>
      </c>
      <c r="AD2571" s="357" t="s">
        <v>15279</v>
      </c>
      <c r="AE2571" s="357" t="s">
        <v>10570</v>
      </c>
      <c r="AF2571" s="354">
        <v>377.0</v>
      </c>
      <c r="AG2571" s="357" t="s">
        <v>10215</v>
      </c>
      <c r="AH2571" s="357" t="s">
        <v>127</v>
      </c>
      <c r="AI2571" s="357" t="s">
        <v>300</v>
      </c>
      <c r="AJ2571" s="354">
        <v>0.011</v>
      </c>
      <c r="AK2571" s="357" t="s">
        <v>165</v>
      </c>
      <c r="AL2571" s="357" t="s">
        <v>179</v>
      </c>
      <c r="AM2571" s="357" t="s">
        <v>130</v>
      </c>
      <c r="AN2571" s="466" t="s">
        <v>131</v>
      </c>
      <c r="AO2571" s="354">
        <v>688.0</v>
      </c>
      <c r="AP2571" s="357" t="s">
        <v>15280</v>
      </c>
      <c r="AQ2571" s="357" t="s">
        <v>127</v>
      </c>
      <c r="AR2571" s="357" t="s">
        <v>15277</v>
      </c>
      <c r="AS2571" s="354">
        <v>0.001</v>
      </c>
      <c r="AT2571" s="357" t="s">
        <v>165</v>
      </c>
      <c r="AU2571" s="357" t="s">
        <v>179</v>
      </c>
      <c r="AV2571" s="357" t="s">
        <v>130</v>
      </c>
      <c r="AW2571" s="1637" t="s">
        <v>10212</v>
      </c>
      <c r="AX2571" s="357" t="s">
        <v>136</v>
      </c>
      <c r="AZ2571" s="1623" t="s">
        <v>1263</v>
      </c>
    </row>
    <row r="2572">
      <c r="A2572" s="41">
        <v>2572.0</v>
      </c>
      <c r="B2572" s="126" t="s">
        <v>107</v>
      </c>
      <c r="C2572" s="59" t="s">
        <v>108</v>
      </c>
      <c r="D2572" s="59" t="s">
        <v>138</v>
      </c>
      <c r="F2572" s="65" t="s">
        <v>10197</v>
      </c>
      <c r="G2572" s="357" t="s">
        <v>10219</v>
      </c>
      <c r="H2572" s="357" t="s">
        <v>10089</v>
      </c>
      <c r="I2572" s="341">
        <v>45765.0</v>
      </c>
      <c r="J2572" s="1795">
        <v>45793.0</v>
      </c>
      <c r="K2572" s="43"/>
      <c r="L2572" s="53" t="s">
        <v>15281</v>
      </c>
      <c r="M2572" s="357" t="s">
        <v>10201</v>
      </c>
      <c r="N2572" s="357" t="s">
        <v>10202</v>
      </c>
      <c r="O2572" s="354">
        <v>5.0</v>
      </c>
      <c r="P2572" s="357" t="s">
        <v>10203</v>
      </c>
      <c r="Q2572" s="49" t="str">
        <f t="array" ref="Q2572"> if(iserror(MATCH(V2572, 'File Links'!C:C, 0)), "N/A", HYPERLINK(INDEX('File Links'!B:B, MATCH(P2572, 'File Links'!C:C, 0))))</f>
        <v>https://drive.google.com/file/d/1hs6XpHWMiyMPANJzK7B4OuBvEZ7slY88/view?usp=drivesdk</v>
      </c>
      <c r="R2572" s="357" t="s">
        <v>15045</v>
      </c>
      <c r="S2572" s="357" t="s">
        <v>10148</v>
      </c>
      <c r="T2572" s="506" t="s">
        <v>15176</v>
      </c>
      <c r="U2572" s="368">
        <v>19.0</v>
      </c>
      <c r="V2572" s="357" t="s">
        <v>10149</v>
      </c>
      <c r="W2572" s="1793" t="s">
        <v>202</v>
      </c>
      <c r="X2572" s="51" t="str">
        <f t="array" ref="X2572"> if(iserror(MATCH(V2572, 'File Links'!C:C, 0)), "N/A", HYPERLINK(INDEX('File Links'!B:B, MATCH(V2572, 'File Links'!C:C, 0))))</f>
        <v>https://drive.google.com/file/d/1Irbmig3rfLDvz-G09jDAVwJvv1drYEqO/view?usp=drivesdk</v>
      </c>
      <c r="Y2572" s="43"/>
      <c r="Z2572" s="357" t="s">
        <v>2072</v>
      </c>
      <c r="AA2572" s="300" t="s">
        <v>10204</v>
      </c>
      <c r="AB2572" s="357" t="s">
        <v>10205</v>
      </c>
      <c r="AC2572" s="357" t="s">
        <v>15282</v>
      </c>
      <c r="AD2572" s="357" t="s">
        <v>15283</v>
      </c>
      <c r="AE2572" s="357" t="s">
        <v>10570</v>
      </c>
      <c r="AF2572" s="354">
        <v>377.0</v>
      </c>
      <c r="AG2572" s="357" t="s">
        <v>10221</v>
      </c>
      <c r="AH2572" s="357" t="s">
        <v>127</v>
      </c>
      <c r="AI2572" s="357" t="s">
        <v>300</v>
      </c>
      <c r="AJ2572" s="354">
        <v>0.002</v>
      </c>
      <c r="AK2572" s="357" t="s">
        <v>165</v>
      </c>
      <c r="AL2572" s="357" t="s">
        <v>179</v>
      </c>
      <c r="AM2572" s="357" t="s">
        <v>134</v>
      </c>
      <c r="AN2572" s="466" t="s">
        <v>131</v>
      </c>
      <c r="AO2572" s="354">
        <v>688.0</v>
      </c>
      <c r="AP2572" s="340">
        <v>0.018</v>
      </c>
      <c r="AQ2572" s="340" t="s">
        <v>867</v>
      </c>
      <c r="AR2572" s="357" t="s">
        <v>15277</v>
      </c>
      <c r="AS2572" s="354">
        <v>4.0E-4</v>
      </c>
      <c r="AT2572" s="357" t="s">
        <v>165</v>
      </c>
      <c r="AU2572" s="357" t="s">
        <v>179</v>
      </c>
      <c r="AV2572" s="357" t="s">
        <v>134</v>
      </c>
      <c r="AW2572" s="1637" t="s">
        <v>10212</v>
      </c>
      <c r="AX2572" s="357" t="s">
        <v>136</v>
      </c>
      <c r="AZ2572" s="1623" t="s">
        <v>1263</v>
      </c>
    </row>
    <row r="2573">
      <c r="A2573" s="41">
        <v>2573.0</v>
      </c>
      <c r="B2573" s="1793" t="s">
        <v>107</v>
      </c>
      <c r="C2573" s="1623" t="s">
        <v>108</v>
      </c>
      <c r="D2573" s="1623" t="s">
        <v>138</v>
      </c>
      <c r="E2573" s="1120"/>
      <c r="F2573" s="1624" t="s">
        <v>10197</v>
      </c>
      <c r="G2573" s="1626" t="s">
        <v>10224</v>
      </c>
      <c r="H2573" s="1626" t="s">
        <v>10089</v>
      </c>
      <c r="I2573" s="2128">
        <v>45765.0</v>
      </c>
      <c r="J2573" s="1795">
        <v>45793.0</v>
      </c>
      <c r="K2573" s="1624"/>
      <c r="L2573" s="1793" t="s">
        <v>15281</v>
      </c>
      <c r="M2573" s="1626" t="s">
        <v>10201</v>
      </c>
      <c r="N2573" s="1626" t="s">
        <v>10202</v>
      </c>
      <c r="O2573" s="1557">
        <v>5.0</v>
      </c>
      <c r="P2573" s="1626" t="s">
        <v>10203</v>
      </c>
      <c r="Q2573" s="49" t="str">
        <f t="array" ref="Q2573"> if(iserror(MATCH(V2573, 'File Links'!C:C, 0)), "N/A", HYPERLINK(INDEX('File Links'!B:B, MATCH(P2573, 'File Links'!C:C, 0))))</f>
        <v>https://drive.google.com/file/d/1hs6XpHWMiyMPANJzK7B4OuBvEZ7slY88/view?usp=drivesdk</v>
      </c>
      <c r="R2573" s="1626" t="s">
        <v>15045</v>
      </c>
      <c r="S2573" s="1626" t="s">
        <v>10148</v>
      </c>
      <c r="T2573" s="1630" t="s">
        <v>15176</v>
      </c>
      <c r="U2573" s="1793">
        <v>19.0</v>
      </c>
      <c r="V2573" s="1626" t="s">
        <v>10149</v>
      </c>
      <c r="W2573" s="1793" t="s">
        <v>202</v>
      </c>
      <c r="X2573" s="51" t="str">
        <f t="array" ref="X2573"> if(iserror(MATCH(V2573, 'File Links'!C:C, 0)), "N/A", HYPERLINK(INDEX('File Links'!B:B, MATCH(V2573, 'File Links'!C:C, 0))))</f>
        <v>https://drive.google.com/file/d/1Irbmig3rfLDvz-G09jDAVwJvv1drYEqO/view?usp=drivesdk</v>
      </c>
      <c r="Y2573" s="1624"/>
      <c r="Z2573" s="1626" t="s">
        <v>2072</v>
      </c>
      <c r="AA2573" s="488" t="s">
        <v>10204</v>
      </c>
      <c r="AB2573" s="1626" t="s">
        <v>10205</v>
      </c>
      <c r="AC2573" s="1626" t="s">
        <v>15284</v>
      </c>
      <c r="AD2573" s="1626" t="s">
        <v>15285</v>
      </c>
      <c r="AE2573" s="1626" t="s">
        <v>10570</v>
      </c>
      <c r="AF2573" s="1557">
        <v>377.0</v>
      </c>
      <c r="AG2573" s="1626" t="s">
        <v>15286</v>
      </c>
      <c r="AH2573" s="1626" t="s">
        <v>127</v>
      </c>
      <c r="AI2573" s="1626" t="s">
        <v>300</v>
      </c>
      <c r="AJ2573" s="1626" t="s">
        <v>2375</v>
      </c>
      <c r="AK2573" s="1626" t="s">
        <v>1528</v>
      </c>
      <c r="AL2573" s="1626" t="s">
        <v>179</v>
      </c>
      <c r="AM2573" s="1626" t="s">
        <v>134</v>
      </c>
      <c r="AN2573" s="466" t="s">
        <v>131</v>
      </c>
      <c r="AO2573" s="1557">
        <v>688.0</v>
      </c>
      <c r="AP2573" s="488">
        <v>0.008</v>
      </c>
      <c r="AQ2573" s="488" t="s">
        <v>867</v>
      </c>
      <c r="AR2573" s="1626" t="s">
        <v>15277</v>
      </c>
      <c r="AS2573" s="1557">
        <v>0.001</v>
      </c>
      <c r="AT2573" s="1626" t="s">
        <v>128</v>
      </c>
      <c r="AU2573" s="1626" t="s">
        <v>179</v>
      </c>
      <c r="AV2573" s="1626" t="s">
        <v>134</v>
      </c>
      <c r="AW2573" s="2130" t="s">
        <v>10212</v>
      </c>
      <c r="AX2573" s="1626" t="s">
        <v>136</v>
      </c>
      <c r="AZ2573" s="1623" t="s">
        <v>1263</v>
      </c>
      <c r="BA2573" s="1120"/>
      <c r="BB2573" s="1120"/>
      <c r="BC2573" s="1120"/>
      <c r="BD2573" s="1120"/>
      <c r="BE2573" s="1120"/>
      <c r="BF2573" s="1120"/>
      <c r="BG2573" s="1120"/>
      <c r="BH2573" s="1120"/>
      <c r="BI2573" s="1120"/>
      <c r="BJ2573" s="1120"/>
      <c r="BK2573" s="1120"/>
      <c r="BL2573" s="1120"/>
      <c r="BM2573" s="1120"/>
      <c r="BN2573" s="1120"/>
      <c r="BO2573" s="1120"/>
      <c r="BP2573" s="1120"/>
      <c r="BQ2573" s="1120"/>
      <c r="BR2573" s="1120"/>
      <c r="BS2573" s="1120"/>
      <c r="BT2573" s="1120"/>
      <c r="BU2573" s="1120"/>
      <c r="BV2573" s="1120"/>
      <c r="BW2573" s="1120"/>
      <c r="BX2573" s="1120"/>
      <c r="BY2573" s="1120"/>
      <c r="BZ2573" s="1120"/>
      <c r="CA2573" s="1120"/>
      <c r="CB2573" s="1120"/>
      <c r="CC2573" s="1120"/>
      <c r="CD2573" s="1120"/>
      <c r="CE2573" s="1120"/>
      <c r="CF2573" s="1120"/>
      <c r="CG2573" s="1120"/>
      <c r="CH2573" s="1120"/>
      <c r="CI2573" s="1120"/>
      <c r="CJ2573" s="1120"/>
      <c r="CK2573" s="1120"/>
      <c r="CL2573" s="1120"/>
      <c r="CM2573" s="1120"/>
      <c r="CN2573" s="1120"/>
      <c r="CO2573" s="1120"/>
      <c r="CP2573" s="1120"/>
      <c r="CQ2573" s="1120"/>
      <c r="CR2573" s="1120"/>
      <c r="CS2573" s="1120"/>
      <c r="CT2573" s="1120"/>
      <c r="CU2573" s="1120"/>
      <c r="CV2573" s="1120"/>
      <c r="CW2573" s="1120"/>
      <c r="CX2573" s="1120"/>
      <c r="CY2573" s="1120"/>
      <c r="CZ2573" s="1120"/>
      <c r="DA2573" s="1120"/>
      <c r="DB2573" s="1120"/>
      <c r="DC2573" s="1120"/>
      <c r="DD2573" s="1120"/>
      <c r="DE2573" s="1120"/>
      <c r="DF2573" s="1120"/>
      <c r="DG2573" s="1120"/>
      <c r="DH2573" s="1120"/>
    </row>
    <row r="2574">
      <c r="A2574" s="41">
        <v>2574.0</v>
      </c>
      <c r="B2574" s="292" t="s">
        <v>107</v>
      </c>
      <c r="C2574" s="284" t="s">
        <v>108</v>
      </c>
      <c r="D2574" s="284" t="s">
        <v>138</v>
      </c>
      <c r="E2574" s="305"/>
      <c r="F2574" s="302" t="s">
        <v>10267</v>
      </c>
      <c r="G2574" s="287" t="s">
        <v>10268</v>
      </c>
      <c r="H2574" s="287" t="s">
        <v>10089</v>
      </c>
      <c r="I2574" s="2112">
        <v>45767.0</v>
      </c>
      <c r="J2574" s="290">
        <v>45793.0</v>
      </c>
      <c r="K2574" s="302"/>
      <c r="L2574" s="292" t="s">
        <v>15287</v>
      </c>
      <c r="M2574" s="287" t="s">
        <v>10269</v>
      </c>
      <c r="N2574" s="287" t="s">
        <v>10270</v>
      </c>
      <c r="O2574" s="1555">
        <v>4.0</v>
      </c>
      <c r="P2574" s="287" t="s">
        <v>10271</v>
      </c>
      <c r="Q2574" s="49" t="str">
        <f t="array" ref="Q2574"> if(iserror(MATCH(V2574, 'File Links'!C:C, 0)), "N/A", HYPERLINK(INDEX('File Links'!B:B, MATCH(P2574, 'File Links'!C:C, 0))))</f>
        <v>https://drive.google.com/file/d/1MEpc9c6ksJJFPoeqztJd7l8g_1S5mA-8/view?usp=drivesdk</v>
      </c>
      <c r="R2574" s="287" t="s">
        <v>15045</v>
      </c>
      <c r="S2574" s="287" t="s">
        <v>10148</v>
      </c>
      <c r="T2574" s="2115" t="s">
        <v>15176</v>
      </c>
      <c r="U2574" s="292">
        <v>15.0</v>
      </c>
      <c r="V2574" s="287" t="s">
        <v>10149</v>
      </c>
      <c r="W2574" s="1793" t="s">
        <v>202</v>
      </c>
      <c r="X2574" s="51" t="str">
        <f t="array" ref="X2574"> if(iserror(MATCH(V2574, 'File Links'!C:C, 0)), "N/A", HYPERLINK(INDEX('File Links'!B:B, MATCH(V2574, 'File Links'!C:C, 0))))</f>
        <v>https://drive.google.com/file/d/1Irbmig3rfLDvz-G09jDAVwJvv1drYEqO/view?usp=drivesdk</v>
      </c>
      <c r="Y2574" s="302"/>
      <c r="Z2574" s="287" t="s">
        <v>2072</v>
      </c>
      <c r="AA2574" s="292" t="s">
        <v>10272</v>
      </c>
      <c r="AB2574" s="287" t="s">
        <v>10273</v>
      </c>
      <c r="AC2574" s="287" t="s">
        <v>15288</v>
      </c>
      <c r="AD2574" s="287" t="s">
        <v>15289</v>
      </c>
      <c r="AE2574" s="1555">
        <v>26.0</v>
      </c>
      <c r="AF2574" s="1555">
        <v>157.0</v>
      </c>
      <c r="AG2574" s="300">
        <v>0.03</v>
      </c>
      <c r="AH2574" s="300" t="s">
        <v>867</v>
      </c>
      <c r="AI2574" s="287" t="s">
        <v>2294</v>
      </c>
      <c r="AJ2574" s="1555">
        <v>0.04</v>
      </c>
      <c r="AK2574" s="287" t="s">
        <v>165</v>
      </c>
      <c r="AL2574" s="287" t="s">
        <v>179</v>
      </c>
      <c r="AM2574" s="287" t="s">
        <v>130</v>
      </c>
      <c r="AN2574" s="466" t="s">
        <v>131</v>
      </c>
      <c r="AO2574" s="1555">
        <v>414.0</v>
      </c>
      <c r="AP2574" s="300">
        <v>0.001</v>
      </c>
      <c r="AQ2574" s="300" t="s">
        <v>867</v>
      </c>
      <c r="AR2574" s="287" t="s">
        <v>1137</v>
      </c>
      <c r="AS2574" s="1555">
        <v>0.45</v>
      </c>
      <c r="AT2574" s="287" t="s">
        <v>165</v>
      </c>
      <c r="AU2574" s="287" t="s">
        <v>179</v>
      </c>
      <c r="AV2574" s="287" t="s">
        <v>130</v>
      </c>
      <c r="AW2574" s="1807" t="s">
        <v>10278</v>
      </c>
      <c r="AX2574" s="287" t="s">
        <v>136</v>
      </c>
      <c r="AZ2574" s="1623" t="s">
        <v>1263</v>
      </c>
      <c r="BA2574" s="305"/>
      <c r="BB2574" s="305"/>
      <c r="BC2574" s="305"/>
      <c r="BD2574" s="305"/>
      <c r="BE2574" s="305"/>
      <c r="BF2574" s="305"/>
      <c r="BG2574" s="305"/>
      <c r="BH2574" s="305"/>
      <c r="BI2574" s="305"/>
      <c r="BJ2574" s="305"/>
      <c r="BK2574" s="305"/>
      <c r="BL2574" s="305"/>
      <c r="BM2574" s="305"/>
      <c r="BN2574" s="305"/>
      <c r="BO2574" s="305"/>
      <c r="BP2574" s="305"/>
      <c r="BQ2574" s="305"/>
      <c r="BR2574" s="305"/>
      <c r="BS2574" s="305"/>
      <c r="BT2574" s="305"/>
      <c r="BU2574" s="305"/>
      <c r="BV2574" s="305"/>
      <c r="BW2574" s="305"/>
      <c r="BX2574" s="305"/>
      <c r="BY2574" s="305"/>
      <c r="BZ2574" s="305"/>
      <c r="CA2574" s="305"/>
      <c r="CB2574" s="305"/>
      <c r="CC2574" s="305"/>
      <c r="CD2574" s="305"/>
      <c r="CE2574" s="305"/>
      <c r="CF2574" s="305"/>
      <c r="CG2574" s="305"/>
      <c r="CH2574" s="305"/>
      <c r="CI2574" s="305"/>
      <c r="CJ2574" s="305"/>
      <c r="CK2574" s="305"/>
      <c r="CL2574" s="305"/>
      <c r="CM2574" s="305"/>
      <c r="CN2574" s="305"/>
      <c r="CO2574" s="305"/>
      <c r="CP2574" s="305"/>
      <c r="CQ2574" s="305"/>
      <c r="CR2574" s="305"/>
      <c r="CS2574" s="305"/>
      <c r="CT2574" s="305"/>
      <c r="CU2574" s="305"/>
      <c r="CV2574" s="305"/>
      <c r="CW2574" s="305"/>
      <c r="CX2574" s="305"/>
      <c r="CY2574" s="305"/>
      <c r="CZ2574" s="305"/>
      <c r="DA2574" s="305"/>
      <c r="DB2574" s="305"/>
      <c r="DC2574" s="305"/>
      <c r="DD2574" s="305"/>
      <c r="DE2574" s="305"/>
      <c r="DF2574" s="305"/>
      <c r="DG2574" s="305"/>
      <c r="DH2574" s="305"/>
    </row>
    <row r="2575">
      <c r="A2575" s="41">
        <v>2575.0</v>
      </c>
      <c r="B2575" s="126" t="s">
        <v>107</v>
      </c>
      <c r="C2575" s="59" t="s">
        <v>108</v>
      </c>
      <c r="D2575" s="59" t="s">
        <v>138</v>
      </c>
      <c r="F2575" s="65" t="s">
        <v>10267</v>
      </c>
      <c r="G2575" s="357" t="s">
        <v>10279</v>
      </c>
      <c r="H2575" s="357" t="s">
        <v>10089</v>
      </c>
      <c r="I2575" s="341">
        <v>45767.0</v>
      </c>
      <c r="J2575" s="1795">
        <v>45793.0</v>
      </c>
      <c r="K2575" s="43"/>
      <c r="L2575" s="292" t="s">
        <v>15232</v>
      </c>
      <c r="M2575" s="357" t="s">
        <v>10269</v>
      </c>
      <c r="N2575" s="357" t="s">
        <v>10270</v>
      </c>
      <c r="O2575" s="354">
        <v>4.0</v>
      </c>
      <c r="P2575" s="357" t="s">
        <v>10271</v>
      </c>
      <c r="Q2575" s="49" t="str">
        <f t="array" ref="Q2575"> if(iserror(MATCH(V2575, 'File Links'!C:C, 0)), "N/A", HYPERLINK(INDEX('File Links'!B:B, MATCH(P2575, 'File Links'!C:C, 0))))</f>
        <v>https://drive.google.com/file/d/1MEpc9c6ksJJFPoeqztJd7l8g_1S5mA-8/view?usp=drivesdk</v>
      </c>
      <c r="R2575" s="357" t="s">
        <v>15045</v>
      </c>
      <c r="S2575" s="357" t="s">
        <v>10148</v>
      </c>
      <c r="T2575" s="506" t="s">
        <v>15176</v>
      </c>
      <c r="U2575" s="53">
        <v>15.0</v>
      </c>
      <c r="V2575" s="357" t="s">
        <v>10149</v>
      </c>
      <c r="W2575" s="1793" t="s">
        <v>202</v>
      </c>
      <c r="X2575" s="51" t="str">
        <f t="array" ref="X2575"> if(iserror(MATCH(V2575, 'File Links'!C:C, 0)), "N/A", HYPERLINK(INDEX('File Links'!B:B, MATCH(V2575, 'File Links'!C:C, 0))))</f>
        <v>https://drive.google.com/file/d/1Irbmig3rfLDvz-G09jDAVwJvv1drYEqO/view?usp=drivesdk</v>
      </c>
      <c r="Y2575" s="43"/>
      <c r="Z2575" s="357" t="s">
        <v>2072</v>
      </c>
      <c r="AA2575" s="292" t="s">
        <v>10272</v>
      </c>
      <c r="AB2575" s="357" t="s">
        <v>10273</v>
      </c>
      <c r="AC2575" s="357" t="s">
        <v>15290</v>
      </c>
      <c r="AD2575" s="357" t="s">
        <v>15291</v>
      </c>
      <c r="AE2575" s="354">
        <v>27.0</v>
      </c>
      <c r="AF2575" s="354">
        <v>157.0</v>
      </c>
      <c r="AG2575" s="354">
        <v>-0.38</v>
      </c>
      <c r="AH2575" s="357" t="s">
        <v>980</v>
      </c>
      <c r="AI2575" s="357" t="s">
        <v>3477</v>
      </c>
      <c r="AJ2575" s="354">
        <v>0.005</v>
      </c>
      <c r="AK2575" s="357" t="s">
        <v>165</v>
      </c>
      <c r="AL2575" s="357" t="s">
        <v>179</v>
      </c>
      <c r="AM2575" s="357" t="s">
        <v>130</v>
      </c>
      <c r="AN2575" s="466" t="s">
        <v>131</v>
      </c>
      <c r="AO2575" s="354">
        <v>414.0</v>
      </c>
      <c r="AP2575" s="354">
        <v>0.43</v>
      </c>
      <c r="AQ2575" s="357" t="s">
        <v>980</v>
      </c>
      <c r="AR2575" s="357" t="s">
        <v>5720</v>
      </c>
      <c r="AS2575" s="354">
        <v>0.001</v>
      </c>
      <c r="AT2575" s="357" t="s">
        <v>128</v>
      </c>
      <c r="AU2575" s="357" t="s">
        <v>179</v>
      </c>
      <c r="AV2575" s="357" t="s">
        <v>130</v>
      </c>
      <c r="AW2575" s="1807" t="s">
        <v>10278</v>
      </c>
      <c r="AX2575" s="357" t="s">
        <v>136</v>
      </c>
      <c r="AZ2575" s="1623" t="s">
        <v>1263</v>
      </c>
    </row>
    <row r="2576">
      <c r="A2576" s="41">
        <v>2576.0</v>
      </c>
      <c r="B2576" s="126" t="s">
        <v>107</v>
      </c>
      <c r="C2576" s="59" t="s">
        <v>108</v>
      </c>
      <c r="D2576" s="59" t="s">
        <v>138</v>
      </c>
      <c r="F2576" s="65" t="s">
        <v>10267</v>
      </c>
      <c r="G2576" s="357" t="s">
        <v>10283</v>
      </c>
      <c r="H2576" s="357" t="s">
        <v>10089</v>
      </c>
      <c r="I2576" s="341">
        <v>45767.0</v>
      </c>
      <c r="J2576" s="1795">
        <v>45793.0</v>
      </c>
      <c r="K2576" s="43"/>
      <c r="L2576" s="292" t="s">
        <v>15232</v>
      </c>
      <c r="M2576" s="357" t="s">
        <v>10269</v>
      </c>
      <c r="N2576" s="357" t="s">
        <v>10270</v>
      </c>
      <c r="O2576" s="354">
        <v>4.0</v>
      </c>
      <c r="P2576" s="357" t="s">
        <v>10271</v>
      </c>
      <c r="Q2576" s="49" t="str">
        <f t="array" ref="Q2576"> if(iserror(MATCH(V2576, 'File Links'!C:C, 0)), "N/A", HYPERLINK(INDEX('File Links'!B:B, MATCH(P2576, 'File Links'!C:C, 0))))</f>
        <v>https://drive.google.com/file/d/1MEpc9c6ksJJFPoeqztJd7l8g_1S5mA-8/view?usp=drivesdk</v>
      </c>
      <c r="R2576" s="357" t="s">
        <v>15045</v>
      </c>
      <c r="S2576" s="357" t="s">
        <v>10148</v>
      </c>
      <c r="T2576" s="506" t="s">
        <v>15176</v>
      </c>
      <c r="U2576" s="53">
        <v>15.0</v>
      </c>
      <c r="V2576" s="357" t="s">
        <v>10149</v>
      </c>
      <c r="W2576" s="1793" t="s">
        <v>202</v>
      </c>
      <c r="X2576" s="51" t="str">
        <f t="array" ref="X2576"> if(iserror(MATCH(V2576, 'File Links'!C:C, 0)), "N/A", HYPERLINK(INDEX('File Links'!B:B, MATCH(V2576, 'File Links'!C:C, 0))))</f>
        <v>https://drive.google.com/file/d/1Irbmig3rfLDvz-G09jDAVwJvv1drYEqO/view?usp=drivesdk</v>
      </c>
      <c r="Y2576" s="43"/>
      <c r="Z2576" s="357" t="s">
        <v>2072</v>
      </c>
      <c r="AA2576" s="292" t="s">
        <v>10272</v>
      </c>
      <c r="AB2576" s="357" t="s">
        <v>10273</v>
      </c>
      <c r="AC2576" s="357" t="s">
        <v>15292</v>
      </c>
      <c r="AD2576" s="357" t="s">
        <v>15293</v>
      </c>
      <c r="AE2576" s="354">
        <v>27.0</v>
      </c>
      <c r="AF2576" s="354">
        <v>157.0</v>
      </c>
      <c r="AG2576" s="354">
        <v>0.02</v>
      </c>
      <c r="AH2576" s="357" t="s">
        <v>980</v>
      </c>
      <c r="AI2576" s="357" t="s">
        <v>3477</v>
      </c>
      <c r="AJ2576" s="354">
        <v>0.001</v>
      </c>
      <c r="AK2576" s="357" t="s">
        <v>128</v>
      </c>
      <c r="AL2576" s="357" t="s">
        <v>179</v>
      </c>
      <c r="AM2576" s="357" t="s">
        <v>130</v>
      </c>
      <c r="AN2576" s="466" t="s">
        <v>131</v>
      </c>
      <c r="AO2576" s="354">
        <v>414.0</v>
      </c>
      <c r="AP2576" s="354">
        <v>0.001</v>
      </c>
      <c r="AQ2576" s="357" t="s">
        <v>980</v>
      </c>
      <c r="AR2576" s="357" t="s">
        <v>5720</v>
      </c>
      <c r="AS2576" s="354">
        <v>0.9</v>
      </c>
      <c r="AT2576" s="357" t="s">
        <v>165</v>
      </c>
      <c r="AU2576" s="357" t="s">
        <v>179</v>
      </c>
      <c r="AV2576" s="357" t="s">
        <v>130</v>
      </c>
      <c r="AW2576" s="1807" t="s">
        <v>10278</v>
      </c>
      <c r="AX2576" s="357" t="s">
        <v>136</v>
      </c>
      <c r="AZ2576" s="1623" t="s">
        <v>1263</v>
      </c>
    </row>
    <row r="2577">
      <c r="A2577" s="41">
        <v>2577.0</v>
      </c>
      <c r="B2577" s="292" t="s">
        <v>107</v>
      </c>
      <c r="C2577" s="284" t="s">
        <v>108</v>
      </c>
      <c r="D2577" s="284" t="s">
        <v>138</v>
      </c>
      <c r="E2577" s="305"/>
      <c r="F2577" s="302" t="s">
        <v>10267</v>
      </c>
      <c r="G2577" s="287" t="s">
        <v>10288</v>
      </c>
      <c r="H2577" s="287" t="s">
        <v>10089</v>
      </c>
      <c r="I2577" s="2112">
        <v>45767.0</v>
      </c>
      <c r="J2577" s="290">
        <v>45793.0</v>
      </c>
      <c r="K2577" s="302"/>
      <c r="L2577" s="292" t="s">
        <v>15232</v>
      </c>
      <c r="M2577" s="287" t="s">
        <v>10269</v>
      </c>
      <c r="N2577" s="287" t="s">
        <v>10270</v>
      </c>
      <c r="O2577" s="1555">
        <v>4.0</v>
      </c>
      <c r="P2577" s="287" t="s">
        <v>10271</v>
      </c>
      <c r="Q2577" s="49" t="str">
        <f t="array" ref="Q2577"> if(iserror(MATCH(V2577, 'File Links'!C:C, 0)), "N/A", HYPERLINK(INDEX('File Links'!B:B, MATCH(P2577, 'File Links'!C:C, 0))))</f>
        <v>https://drive.google.com/file/d/1MEpc9c6ksJJFPoeqztJd7l8g_1S5mA-8/view?usp=drivesdk</v>
      </c>
      <c r="R2577" s="287" t="s">
        <v>15045</v>
      </c>
      <c r="S2577" s="287" t="s">
        <v>10148</v>
      </c>
      <c r="T2577" s="2115" t="s">
        <v>15176</v>
      </c>
      <c r="U2577" s="292">
        <v>15.0</v>
      </c>
      <c r="V2577" s="287" t="s">
        <v>10149</v>
      </c>
      <c r="W2577" s="1793" t="s">
        <v>202</v>
      </c>
      <c r="X2577" s="51" t="str">
        <f t="array" ref="X2577"> if(iserror(MATCH(V2577, 'File Links'!C:C, 0)), "N/A", HYPERLINK(INDEX('File Links'!B:B, MATCH(V2577, 'File Links'!C:C, 0))))</f>
        <v>https://drive.google.com/file/d/1Irbmig3rfLDvz-G09jDAVwJvv1drYEqO/view?usp=drivesdk</v>
      </c>
      <c r="Y2577" s="302"/>
      <c r="Z2577" s="287" t="s">
        <v>2072</v>
      </c>
      <c r="AA2577" s="292" t="s">
        <v>10272</v>
      </c>
      <c r="AB2577" s="287" t="s">
        <v>10273</v>
      </c>
      <c r="AC2577" s="287" t="s">
        <v>15294</v>
      </c>
      <c r="AD2577" s="287" t="s">
        <v>15295</v>
      </c>
      <c r="AE2577" s="287" t="s">
        <v>15296</v>
      </c>
      <c r="AF2577" s="1555">
        <v>157.0</v>
      </c>
      <c r="AG2577" s="1555">
        <v>0.01</v>
      </c>
      <c r="AH2577" s="287" t="s">
        <v>980</v>
      </c>
      <c r="AI2577" s="287" t="s">
        <v>3477</v>
      </c>
      <c r="AJ2577" s="1555">
        <v>0.04</v>
      </c>
      <c r="AK2577" s="287" t="s">
        <v>165</v>
      </c>
      <c r="AL2577" s="287" t="s">
        <v>179</v>
      </c>
      <c r="AM2577" s="287" t="s">
        <v>130</v>
      </c>
      <c r="AN2577" s="466" t="s">
        <v>131</v>
      </c>
      <c r="AO2577" s="1555">
        <v>414.0</v>
      </c>
      <c r="AP2577" s="1555">
        <v>0.01</v>
      </c>
      <c r="AQ2577" s="287" t="s">
        <v>980</v>
      </c>
      <c r="AR2577" s="287" t="s">
        <v>5720</v>
      </c>
      <c r="AS2577" s="1555">
        <v>0.88</v>
      </c>
      <c r="AT2577" s="287" t="s">
        <v>165</v>
      </c>
      <c r="AU2577" s="287" t="s">
        <v>179</v>
      </c>
      <c r="AV2577" s="287" t="s">
        <v>130</v>
      </c>
      <c r="AW2577" s="1807" t="s">
        <v>10278</v>
      </c>
      <c r="AX2577" s="287" t="s">
        <v>136</v>
      </c>
      <c r="AZ2577" s="1623" t="s">
        <v>1263</v>
      </c>
      <c r="BA2577" s="305"/>
      <c r="BB2577" s="305"/>
      <c r="BC2577" s="305"/>
      <c r="BD2577" s="305"/>
      <c r="BE2577" s="305"/>
      <c r="BF2577" s="305"/>
      <c r="BG2577" s="305"/>
      <c r="BH2577" s="305"/>
      <c r="BI2577" s="305"/>
      <c r="BJ2577" s="305"/>
      <c r="BK2577" s="305"/>
      <c r="BL2577" s="305"/>
      <c r="BM2577" s="305"/>
      <c r="BN2577" s="305"/>
      <c r="BO2577" s="305"/>
      <c r="BP2577" s="305"/>
      <c r="BQ2577" s="305"/>
      <c r="BR2577" s="305"/>
      <c r="BS2577" s="305"/>
      <c r="BT2577" s="305"/>
      <c r="BU2577" s="305"/>
      <c r="BV2577" s="305"/>
      <c r="BW2577" s="305"/>
      <c r="BX2577" s="305"/>
      <c r="BY2577" s="305"/>
      <c r="BZ2577" s="305"/>
      <c r="CA2577" s="305"/>
      <c r="CB2577" s="305"/>
      <c r="CC2577" s="305"/>
      <c r="CD2577" s="305"/>
      <c r="CE2577" s="305"/>
      <c r="CF2577" s="305"/>
      <c r="CG2577" s="305"/>
      <c r="CH2577" s="305"/>
      <c r="CI2577" s="305"/>
      <c r="CJ2577" s="305"/>
      <c r="CK2577" s="305"/>
      <c r="CL2577" s="305"/>
      <c r="CM2577" s="305"/>
      <c r="CN2577" s="305"/>
      <c r="CO2577" s="305"/>
      <c r="CP2577" s="305"/>
      <c r="CQ2577" s="305"/>
      <c r="CR2577" s="305"/>
      <c r="CS2577" s="305"/>
      <c r="CT2577" s="305"/>
      <c r="CU2577" s="305"/>
      <c r="CV2577" s="305"/>
      <c r="CW2577" s="305"/>
      <c r="CX2577" s="305"/>
      <c r="CY2577" s="305"/>
      <c r="CZ2577" s="305"/>
      <c r="DA2577" s="305"/>
      <c r="DB2577" s="305"/>
      <c r="DC2577" s="305"/>
      <c r="DD2577" s="305"/>
      <c r="DE2577" s="305"/>
      <c r="DF2577" s="305"/>
      <c r="DG2577" s="305"/>
      <c r="DH2577" s="305"/>
    </row>
    <row r="2578">
      <c r="A2578" s="41">
        <v>2578.0</v>
      </c>
      <c r="B2578" s="126" t="s">
        <v>145</v>
      </c>
      <c r="C2578" s="59" t="s">
        <v>108</v>
      </c>
      <c r="D2578" s="59" t="s">
        <v>138</v>
      </c>
      <c r="F2578" s="65" t="s">
        <v>10301</v>
      </c>
      <c r="G2578" s="357" t="s">
        <v>10302</v>
      </c>
      <c r="H2578" s="357" t="s">
        <v>10089</v>
      </c>
      <c r="I2578" s="341">
        <v>45765.0</v>
      </c>
      <c r="J2578" s="1579">
        <v>45800.0</v>
      </c>
      <c r="K2578" s="43"/>
      <c r="L2578" s="53" t="s">
        <v>15297</v>
      </c>
      <c r="M2578" s="357" t="s">
        <v>10305</v>
      </c>
      <c r="N2578" s="357" t="s">
        <v>10306</v>
      </c>
      <c r="O2578" s="354">
        <v>2.0</v>
      </c>
      <c r="P2578" s="357" t="s">
        <v>10307</v>
      </c>
      <c r="Q2578" s="49" t="str">
        <f t="array" ref="Q2578"> if(iserror(MATCH(V2578, 'File Links'!C:C, 0)), "N/A", HYPERLINK(INDEX('File Links'!B:B, MATCH(P2578, 'File Links'!C:C, 0))))</f>
        <v>https://drive.google.com/file/d/1k1zAeWl01m62ZgoBtOmSJCCoqfFGxddZ/view?usp=drivesdk</v>
      </c>
      <c r="R2578" s="357" t="s">
        <v>15045</v>
      </c>
      <c r="S2578" s="357" t="s">
        <v>10148</v>
      </c>
      <c r="T2578" s="506" t="s">
        <v>15176</v>
      </c>
      <c r="U2578" s="53">
        <v>13.0</v>
      </c>
      <c r="V2578" s="357" t="s">
        <v>10149</v>
      </c>
      <c r="W2578" s="53" t="s">
        <v>202</v>
      </c>
      <c r="X2578" s="51" t="str">
        <f t="array" ref="X2578"> if(iserror(MATCH(V2578, 'File Links'!C:C, 0)), "N/A", HYPERLINK(INDEX('File Links'!B:B, MATCH(V2578, 'File Links'!C:C, 0))))</f>
        <v>https://drive.google.com/file/d/1Irbmig3rfLDvz-G09jDAVwJvv1drYEqO/view?usp=drivesdk</v>
      </c>
      <c r="Y2578" s="43"/>
      <c r="Z2578" s="357" t="s">
        <v>2072</v>
      </c>
      <c r="AA2578" s="340" t="s">
        <v>15298</v>
      </c>
      <c r="AB2578" s="357" t="s">
        <v>10309</v>
      </c>
      <c r="AC2578" s="357" t="s">
        <v>15299</v>
      </c>
      <c r="AD2578" s="357" t="s">
        <v>15300</v>
      </c>
      <c r="AE2578" s="354">
        <v>6.0</v>
      </c>
      <c r="AF2578" s="354">
        <v>133.0</v>
      </c>
      <c r="AG2578" s="354">
        <v>0.59</v>
      </c>
      <c r="AH2578" s="357" t="s">
        <v>166</v>
      </c>
      <c r="AI2578" s="357" t="s">
        <v>133</v>
      </c>
      <c r="AJ2578" s="354">
        <v>0.005</v>
      </c>
      <c r="AK2578" s="357" t="s">
        <v>165</v>
      </c>
      <c r="AL2578" s="357" t="s">
        <v>179</v>
      </c>
      <c r="AM2578" s="357" t="s">
        <v>130</v>
      </c>
      <c r="AN2578" s="466" t="s">
        <v>131</v>
      </c>
      <c r="AO2578" s="354">
        <v>319.0</v>
      </c>
      <c r="AP2578" s="340" t="s">
        <v>15301</v>
      </c>
      <c r="AQ2578" s="357" t="s">
        <v>127</v>
      </c>
      <c r="AR2578" s="357" t="s">
        <v>6936</v>
      </c>
      <c r="AS2578" s="354">
        <v>0.329</v>
      </c>
      <c r="AT2578" s="357" t="s">
        <v>165</v>
      </c>
      <c r="AU2578" s="357" t="s">
        <v>179</v>
      </c>
      <c r="AV2578" s="357" t="s">
        <v>130</v>
      </c>
      <c r="AW2578" s="1637" t="s">
        <v>10315</v>
      </c>
      <c r="AX2578" s="357" t="s">
        <v>136</v>
      </c>
      <c r="AZ2578" s="1623" t="s">
        <v>1263</v>
      </c>
    </row>
    <row r="2579">
      <c r="A2579" s="41">
        <v>2579.0</v>
      </c>
      <c r="B2579" s="126" t="s">
        <v>145</v>
      </c>
      <c r="C2579" s="59" t="s">
        <v>108</v>
      </c>
      <c r="D2579" s="59" t="s">
        <v>138</v>
      </c>
      <c r="F2579" s="65" t="s">
        <v>10301</v>
      </c>
      <c r="G2579" s="357" t="s">
        <v>10316</v>
      </c>
      <c r="H2579" s="357" t="s">
        <v>10089</v>
      </c>
      <c r="I2579" s="341">
        <v>45765.0</v>
      </c>
      <c r="J2579" s="1579">
        <v>45800.0</v>
      </c>
      <c r="K2579" s="43"/>
      <c r="L2579" s="53" t="s">
        <v>15297</v>
      </c>
      <c r="M2579" s="357" t="s">
        <v>10305</v>
      </c>
      <c r="N2579" s="357" t="s">
        <v>10306</v>
      </c>
      <c r="O2579" s="354">
        <v>2.0</v>
      </c>
      <c r="P2579" s="357" t="s">
        <v>10307</v>
      </c>
      <c r="Q2579" s="49" t="str">
        <f t="array" ref="Q2579"> if(iserror(MATCH(V2579, 'File Links'!C:C, 0)), "N/A", HYPERLINK(INDEX('File Links'!B:B, MATCH(P2579, 'File Links'!C:C, 0))))</f>
        <v>https://drive.google.com/file/d/1k1zAeWl01m62ZgoBtOmSJCCoqfFGxddZ/view?usp=drivesdk</v>
      </c>
      <c r="R2579" s="357" t="s">
        <v>15045</v>
      </c>
      <c r="S2579" s="357" t="s">
        <v>10148</v>
      </c>
      <c r="T2579" s="506" t="s">
        <v>15176</v>
      </c>
      <c r="U2579" s="53">
        <v>13.0</v>
      </c>
      <c r="V2579" s="357" t="s">
        <v>10149</v>
      </c>
      <c r="W2579" s="53" t="s">
        <v>202</v>
      </c>
      <c r="X2579" s="51" t="str">
        <f t="array" ref="X2579"> if(iserror(MATCH(V2579, 'File Links'!C:C, 0)), "N/A", HYPERLINK(INDEX('File Links'!B:B, MATCH(V2579, 'File Links'!C:C, 0))))</f>
        <v>https://drive.google.com/file/d/1Irbmig3rfLDvz-G09jDAVwJvv1drYEqO/view?usp=drivesdk</v>
      </c>
      <c r="Y2579" s="43"/>
      <c r="Z2579" s="357" t="s">
        <v>2072</v>
      </c>
      <c r="AA2579" s="340" t="s">
        <v>15298</v>
      </c>
      <c r="AB2579" s="357" t="s">
        <v>10309</v>
      </c>
      <c r="AC2579" s="357" t="s">
        <v>15302</v>
      </c>
      <c r="AD2579" s="357" t="s">
        <v>15303</v>
      </c>
      <c r="AE2579" s="354">
        <v>6.0</v>
      </c>
      <c r="AF2579" s="354">
        <v>133.0</v>
      </c>
      <c r="AG2579" s="340" t="s">
        <v>15304</v>
      </c>
      <c r="AH2579" s="357" t="s">
        <v>127</v>
      </c>
      <c r="AI2579" s="357" t="s">
        <v>133</v>
      </c>
      <c r="AJ2579" s="354">
        <v>0.005</v>
      </c>
      <c r="AK2579" s="357" t="s">
        <v>165</v>
      </c>
      <c r="AL2579" s="357" t="s">
        <v>179</v>
      </c>
      <c r="AM2579" s="357" t="s">
        <v>130</v>
      </c>
      <c r="AN2579" s="466" t="s">
        <v>131</v>
      </c>
      <c r="AO2579" s="354">
        <v>319.0</v>
      </c>
      <c r="AP2579" s="340" t="s">
        <v>15305</v>
      </c>
      <c r="AQ2579" s="357" t="s">
        <v>127</v>
      </c>
      <c r="AR2579" s="357" t="s">
        <v>6936</v>
      </c>
      <c r="AS2579" s="354">
        <v>0.802</v>
      </c>
      <c r="AT2579" s="357" t="s">
        <v>165</v>
      </c>
      <c r="AU2579" s="357" t="s">
        <v>179</v>
      </c>
      <c r="AV2579" s="357" t="s">
        <v>130</v>
      </c>
      <c r="AW2579" s="1637" t="s">
        <v>10315</v>
      </c>
      <c r="AX2579" s="357" t="s">
        <v>136</v>
      </c>
      <c r="AZ2579" s="1623" t="s">
        <v>1263</v>
      </c>
    </row>
    <row r="2580">
      <c r="A2580" s="41">
        <v>2580.0</v>
      </c>
      <c r="B2580" s="126" t="s">
        <v>145</v>
      </c>
      <c r="C2580" s="59" t="s">
        <v>108</v>
      </c>
      <c r="D2580" s="59" t="s">
        <v>138</v>
      </c>
      <c r="F2580" s="65" t="s">
        <v>10301</v>
      </c>
      <c r="G2580" s="357" t="s">
        <v>10323</v>
      </c>
      <c r="H2580" s="357" t="s">
        <v>10089</v>
      </c>
      <c r="I2580" s="341">
        <v>45765.0</v>
      </c>
      <c r="J2580" s="1579">
        <v>45800.0</v>
      </c>
      <c r="K2580" s="43"/>
      <c r="L2580" s="53" t="s">
        <v>15297</v>
      </c>
      <c r="M2580" s="357" t="s">
        <v>10305</v>
      </c>
      <c r="N2580" s="357" t="s">
        <v>10306</v>
      </c>
      <c r="O2580" s="354">
        <v>2.0</v>
      </c>
      <c r="P2580" s="357" t="s">
        <v>10307</v>
      </c>
      <c r="Q2580" s="49" t="str">
        <f t="array" ref="Q2580"> if(iserror(MATCH(V2580, 'File Links'!C:C, 0)), "N/A", HYPERLINK(INDEX('File Links'!B:B, MATCH(P2580, 'File Links'!C:C, 0))))</f>
        <v>https://drive.google.com/file/d/1k1zAeWl01m62ZgoBtOmSJCCoqfFGxddZ/view?usp=drivesdk</v>
      </c>
      <c r="R2580" s="357" t="s">
        <v>15045</v>
      </c>
      <c r="S2580" s="357" t="s">
        <v>10148</v>
      </c>
      <c r="T2580" s="506" t="s">
        <v>15176</v>
      </c>
      <c r="U2580" s="53">
        <v>13.0</v>
      </c>
      <c r="V2580" s="357" t="s">
        <v>10149</v>
      </c>
      <c r="W2580" s="53" t="s">
        <v>202</v>
      </c>
      <c r="X2580" s="51" t="str">
        <f t="array" ref="X2580"> if(iserror(MATCH(V2580, 'File Links'!C:C, 0)), "N/A", HYPERLINK(INDEX('File Links'!B:B, MATCH(V2580, 'File Links'!C:C, 0))))</f>
        <v>https://drive.google.com/file/d/1Irbmig3rfLDvz-G09jDAVwJvv1drYEqO/view?usp=drivesdk</v>
      </c>
      <c r="Y2580" s="43"/>
      <c r="Z2580" s="357" t="s">
        <v>2072</v>
      </c>
      <c r="AA2580" s="340" t="s">
        <v>15298</v>
      </c>
      <c r="AB2580" s="357" t="s">
        <v>10309</v>
      </c>
      <c r="AC2580" s="357" t="s">
        <v>15306</v>
      </c>
      <c r="AD2580" s="357" t="s">
        <v>15307</v>
      </c>
      <c r="AE2580" s="354">
        <v>6.0</v>
      </c>
      <c r="AF2580" s="354">
        <v>133.0</v>
      </c>
      <c r="AG2580" s="340" t="s">
        <v>15308</v>
      </c>
      <c r="AH2580" s="357" t="s">
        <v>127</v>
      </c>
      <c r="AI2580" s="357" t="s">
        <v>133</v>
      </c>
      <c r="AJ2580" s="354">
        <v>0.017</v>
      </c>
      <c r="AK2580" s="357" t="s">
        <v>165</v>
      </c>
      <c r="AL2580" s="357" t="s">
        <v>179</v>
      </c>
      <c r="AM2580" s="357" t="s">
        <v>130</v>
      </c>
      <c r="AN2580" s="466" t="s">
        <v>131</v>
      </c>
      <c r="AO2580" s="354">
        <v>319.0</v>
      </c>
      <c r="AP2580" s="340" t="s">
        <v>15309</v>
      </c>
      <c r="AQ2580" s="357" t="s">
        <v>127</v>
      </c>
      <c r="AR2580" s="357" t="s">
        <v>6936</v>
      </c>
      <c r="AS2580" s="354">
        <v>0.174</v>
      </c>
      <c r="AT2580" s="357" t="s">
        <v>165</v>
      </c>
      <c r="AU2580" s="357" t="s">
        <v>179</v>
      </c>
      <c r="AV2580" s="357" t="s">
        <v>130</v>
      </c>
      <c r="AW2580" s="1637" t="s">
        <v>10315</v>
      </c>
      <c r="AX2580" s="357" t="s">
        <v>136</v>
      </c>
      <c r="AZ2580" s="1623" t="s">
        <v>1263</v>
      </c>
    </row>
    <row r="2581">
      <c r="A2581" s="41">
        <v>2581.0</v>
      </c>
      <c r="B2581" s="126" t="s">
        <v>145</v>
      </c>
      <c r="C2581" s="59" t="s">
        <v>108</v>
      </c>
      <c r="D2581" s="59" t="s">
        <v>138</v>
      </c>
      <c r="F2581" s="65" t="s">
        <v>10301</v>
      </c>
      <c r="G2581" s="357" t="s">
        <v>10329</v>
      </c>
      <c r="H2581" s="357" t="s">
        <v>10089</v>
      </c>
      <c r="I2581" s="341">
        <v>45765.0</v>
      </c>
      <c r="J2581" s="1579">
        <v>45800.0</v>
      </c>
      <c r="K2581" s="43"/>
      <c r="L2581" s="53" t="s">
        <v>15297</v>
      </c>
      <c r="M2581" s="357" t="s">
        <v>10305</v>
      </c>
      <c r="N2581" s="357" t="s">
        <v>10306</v>
      </c>
      <c r="O2581" s="354">
        <v>2.0</v>
      </c>
      <c r="P2581" s="357" t="s">
        <v>10307</v>
      </c>
      <c r="Q2581" s="49" t="str">
        <f t="array" ref="Q2581"> if(iserror(MATCH(V2581, 'File Links'!C:C, 0)), "N/A", HYPERLINK(INDEX('File Links'!B:B, MATCH(P2581, 'File Links'!C:C, 0))))</f>
        <v>https://drive.google.com/file/d/1k1zAeWl01m62ZgoBtOmSJCCoqfFGxddZ/view?usp=drivesdk</v>
      </c>
      <c r="R2581" s="357" t="s">
        <v>15045</v>
      </c>
      <c r="S2581" s="357" t="s">
        <v>10148</v>
      </c>
      <c r="T2581" s="506" t="s">
        <v>15176</v>
      </c>
      <c r="U2581" s="53">
        <v>13.0</v>
      </c>
      <c r="V2581" s="357" t="s">
        <v>10149</v>
      </c>
      <c r="W2581" s="53" t="s">
        <v>202</v>
      </c>
      <c r="X2581" s="51" t="str">
        <f t="array" ref="X2581"> if(iserror(MATCH(V2581, 'File Links'!C:C, 0)), "N/A", HYPERLINK(INDEX('File Links'!B:B, MATCH(V2581, 'File Links'!C:C, 0))))</f>
        <v>https://drive.google.com/file/d/1Irbmig3rfLDvz-G09jDAVwJvv1drYEqO/view?usp=drivesdk</v>
      </c>
      <c r="Y2581" s="43"/>
      <c r="Z2581" s="357" t="s">
        <v>2072</v>
      </c>
      <c r="AA2581" s="340" t="s">
        <v>15298</v>
      </c>
      <c r="AB2581" s="357" t="s">
        <v>10309</v>
      </c>
      <c r="AC2581" s="357" t="s">
        <v>15310</v>
      </c>
      <c r="AD2581" s="357" t="s">
        <v>15311</v>
      </c>
      <c r="AE2581" s="354">
        <v>6.0</v>
      </c>
      <c r="AF2581" s="354">
        <v>133.0</v>
      </c>
      <c r="AG2581" s="340" t="s">
        <v>15312</v>
      </c>
      <c r="AH2581" s="357" t="s">
        <v>127</v>
      </c>
      <c r="AI2581" s="357" t="s">
        <v>133</v>
      </c>
      <c r="AJ2581" s="340">
        <v>0.05</v>
      </c>
      <c r="AK2581" s="357" t="s">
        <v>328</v>
      </c>
      <c r="AL2581" s="357" t="s">
        <v>179</v>
      </c>
      <c r="AM2581" s="357" t="s">
        <v>130</v>
      </c>
      <c r="AN2581" s="466" t="s">
        <v>131</v>
      </c>
      <c r="AO2581" s="354">
        <v>319.0</v>
      </c>
      <c r="AP2581" s="340" t="s">
        <v>15313</v>
      </c>
      <c r="AQ2581" s="357" t="s">
        <v>127</v>
      </c>
      <c r="AR2581" s="357" t="s">
        <v>6936</v>
      </c>
      <c r="AS2581" s="354">
        <v>0.278</v>
      </c>
      <c r="AT2581" s="357" t="s">
        <v>165</v>
      </c>
      <c r="AU2581" s="357" t="s">
        <v>179</v>
      </c>
      <c r="AV2581" s="357" t="s">
        <v>130</v>
      </c>
      <c r="AW2581" s="1637" t="s">
        <v>10315</v>
      </c>
      <c r="AX2581" s="357" t="s">
        <v>136</v>
      </c>
      <c r="AZ2581" s="1623" t="s">
        <v>1263</v>
      </c>
    </row>
    <row r="2582">
      <c r="A2582" s="41">
        <v>2582.0</v>
      </c>
      <c r="B2582" s="292" t="s">
        <v>107</v>
      </c>
      <c r="C2582" s="284" t="s">
        <v>108</v>
      </c>
      <c r="D2582" s="284" t="s">
        <v>138</v>
      </c>
      <c r="E2582" s="305"/>
      <c r="F2582" s="302" t="s">
        <v>10350</v>
      </c>
      <c r="G2582" s="287" t="s">
        <v>10351</v>
      </c>
      <c r="H2582" s="287" t="s">
        <v>10089</v>
      </c>
      <c r="I2582" s="2112">
        <v>45767.0</v>
      </c>
      <c r="J2582" s="290">
        <v>45800.0</v>
      </c>
      <c r="K2582" s="302"/>
      <c r="L2582" s="292" t="s">
        <v>15314</v>
      </c>
      <c r="M2582" s="287" t="s">
        <v>10353</v>
      </c>
      <c r="N2582" s="287" t="s">
        <v>10354</v>
      </c>
      <c r="O2582" s="1555">
        <v>5.0</v>
      </c>
      <c r="P2582" s="287" t="s">
        <v>10355</v>
      </c>
      <c r="Q2582" s="1809" t="str">
        <f t="array" ref="Q2582"> if(iserror(MATCH(V2582, 'File Links'!C:C, 0)), "N/A", HYPERLINK(INDEX('File Links'!B:B, MATCH(P2582, 'File Links'!C:C, 0))))</f>
        <v>https://drive.google.com/file/d/1SAkzHUXu2em_LOpzZzUsNAbEmhFQYt6z/view?usp=drivesdk</v>
      </c>
      <c r="R2582" s="287" t="s">
        <v>15045</v>
      </c>
      <c r="S2582" s="287" t="s">
        <v>10148</v>
      </c>
      <c r="T2582" s="2115" t="s">
        <v>15176</v>
      </c>
      <c r="U2582" s="292">
        <v>9.0</v>
      </c>
      <c r="V2582" s="287" t="s">
        <v>10149</v>
      </c>
      <c r="W2582" s="53" t="s">
        <v>202</v>
      </c>
      <c r="X2582" s="1810" t="str">
        <f t="array" ref="X2582"> if(iserror(MATCH(V2582, 'File Links'!C:C, 0)), "N/A", HYPERLINK(INDEX('File Links'!B:B, MATCH(V2582, 'File Links'!C:C, 0))))</f>
        <v>https://drive.google.com/file/d/1Irbmig3rfLDvz-G09jDAVwJvv1drYEqO/view?usp=drivesdk</v>
      </c>
      <c r="Y2582" s="302"/>
      <c r="Z2582" s="287" t="s">
        <v>2072</v>
      </c>
      <c r="AA2582" s="2122" t="s">
        <v>10356</v>
      </c>
      <c r="AB2582" s="287" t="s">
        <v>15315</v>
      </c>
      <c r="AC2582" s="287" t="s">
        <v>15316</v>
      </c>
      <c r="AD2582" s="287" t="s">
        <v>15317</v>
      </c>
      <c r="AE2582" s="287" t="s">
        <v>15318</v>
      </c>
      <c r="AF2582" s="1555">
        <v>160.0</v>
      </c>
      <c r="AG2582" s="287" t="s">
        <v>15319</v>
      </c>
      <c r="AH2582" s="287" t="s">
        <v>127</v>
      </c>
      <c r="AI2582" s="287" t="s">
        <v>10360</v>
      </c>
      <c r="AJ2582" s="1555">
        <v>0.001</v>
      </c>
      <c r="AK2582" s="287" t="s">
        <v>128</v>
      </c>
      <c r="AL2582" s="287" t="s">
        <v>179</v>
      </c>
      <c r="AM2582" s="287" t="s">
        <v>130</v>
      </c>
      <c r="AN2582" s="466" t="s">
        <v>131</v>
      </c>
      <c r="AO2582" s="1555">
        <v>389.0</v>
      </c>
      <c r="AP2582" s="287" t="s">
        <v>15320</v>
      </c>
      <c r="AQ2582" s="287" t="s">
        <v>127</v>
      </c>
      <c r="AR2582" s="287" t="s">
        <v>15321</v>
      </c>
      <c r="AS2582" s="1555">
        <v>0.001</v>
      </c>
      <c r="AT2582" s="287" t="s">
        <v>128</v>
      </c>
      <c r="AU2582" s="287" t="s">
        <v>179</v>
      </c>
      <c r="AV2582" s="287" t="s">
        <v>130</v>
      </c>
      <c r="AW2582" s="2131" t="s">
        <v>10364</v>
      </c>
      <c r="AX2582" s="287" t="s">
        <v>136</v>
      </c>
      <c r="AY2582" s="305"/>
      <c r="AZ2582" s="1623" t="s">
        <v>1263</v>
      </c>
      <c r="BA2582" s="305"/>
      <c r="BB2582" s="305"/>
      <c r="BC2582" s="305"/>
      <c r="BD2582" s="305"/>
      <c r="BE2582" s="305"/>
      <c r="BF2582" s="305"/>
      <c r="BG2582" s="305"/>
      <c r="BH2582" s="305"/>
      <c r="BI2582" s="305"/>
      <c r="BJ2582" s="305"/>
      <c r="BK2582" s="305"/>
      <c r="BL2582" s="305"/>
      <c r="BM2582" s="305"/>
      <c r="BN2582" s="305"/>
      <c r="BO2582" s="305"/>
      <c r="BP2582" s="305"/>
      <c r="BQ2582" s="305"/>
      <c r="BR2582" s="305"/>
      <c r="BS2582" s="305"/>
      <c r="BT2582" s="305"/>
      <c r="BU2582" s="305"/>
      <c r="BV2582" s="305"/>
      <c r="BW2582" s="305"/>
      <c r="BX2582" s="305"/>
      <c r="BY2582" s="305"/>
      <c r="BZ2582" s="305"/>
      <c r="CA2582" s="305"/>
      <c r="CB2582" s="305"/>
      <c r="CC2582" s="305"/>
      <c r="CD2582" s="305"/>
      <c r="CE2582" s="305"/>
      <c r="CF2582" s="305"/>
      <c r="CG2582" s="305"/>
      <c r="CH2582" s="305"/>
      <c r="CI2582" s="305"/>
      <c r="CJ2582" s="305"/>
      <c r="CK2582" s="305"/>
      <c r="CL2582" s="305"/>
      <c r="CM2582" s="305"/>
      <c r="CN2582" s="305"/>
      <c r="CO2582" s="305"/>
      <c r="CP2582" s="305"/>
      <c r="CQ2582" s="305"/>
      <c r="CR2582" s="305"/>
      <c r="CS2582" s="305"/>
      <c r="CT2582" s="305"/>
      <c r="CU2582" s="305"/>
      <c r="CV2582" s="305"/>
      <c r="CW2582" s="305"/>
      <c r="CX2582" s="305"/>
      <c r="CY2582" s="305"/>
      <c r="CZ2582" s="305"/>
      <c r="DA2582" s="305"/>
      <c r="DB2582" s="305"/>
      <c r="DC2582" s="305"/>
      <c r="DD2582" s="305"/>
      <c r="DE2582" s="305"/>
      <c r="DF2582" s="305"/>
      <c r="DG2582" s="305"/>
      <c r="DH2582" s="305"/>
    </row>
    <row r="2583">
      <c r="A2583" s="41">
        <v>2583.0</v>
      </c>
      <c r="B2583" s="126" t="s">
        <v>107</v>
      </c>
      <c r="C2583" s="59" t="s">
        <v>108</v>
      </c>
      <c r="D2583" s="59" t="s">
        <v>138</v>
      </c>
      <c r="F2583" s="65" t="s">
        <v>10350</v>
      </c>
      <c r="G2583" s="357" t="s">
        <v>10365</v>
      </c>
      <c r="H2583" s="357" t="s">
        <v>10089</v>
      </c>
      <c r="I2583" s="341">
        <v>45767.0</v>
      </c>
      <c r="J2583" s="290">
        <v>45800.0</v>
      </c>
      <c r="K2583" s="43"/>
      <c r="L2583" s="292" t="s">
        <v>15314</v>
      </c>
      <c r="M2583" s="357" t="s">
        <v>10353</v>
      </c>
      <c r="N2583" s="357" t="s">
        <v>10354</v>
      </c>
      <c r="O2583" s="354">
        <v>5.0</v>
      </c>
      <c r="P2583" s="357" t="s">
        <v>10355</v>
      </c>
      <c r="Q2583" s="49" t="str">
        <f t="array" ref="Q2583"> if(iserror(MATCH(V2583, 'File Links'!C:C, 0)), "N/A", HYPERLINK(INDEX('File Links'!B:B, MATCH(P2583, 'File Links'!C:C, 0))))</f>
        <v>https://drive.google.com/file/d/1SAkzHUXu2em_LOpzZzUsNAbEmhFQYt6z/view?usp=drivesdk</v>
      </c>
      <c r="R2583" s="357" t="s">
        <v>15045</v>
      </c>
      <c r="S2583" s="357" t="s">
        <v>10148</v>
      </c>
      <c r="T2583" s="506" t="s">
        <v>15176</v>
      </c>
      <c r="U2583" s="292">
        <v>9.0</v>
      </c>
      <c r="V2583" s="357" t="s">
        <v>10149</v>
      </c>
      <c r="W2583" s="53" t="s">
        <v>202</v>
      </c>
      <c r="X2583" s="51" t="str">
        <f t="array" ref="X2583"> if(iserror(MATCH(V2583, 'File Links'!C:C, 0)), "N/A", HYPERLINK(INDEX('File Links'!B:B, MATCH(V2583, 'File Links'!C:C, 0))))</f>
        <v>https://drive.google.com/file/d/1Irbmig3rfLDvz-G09jDAVwJvv1drYEqO/view?usp=drivesdk</v>
      </c>
      <c r="Y2583" s="43"/>
      <c r="Z2583" s="357" t="s">
        <v>2072</v>
      </c>
      <c r="AA2583" s="2122" t="s">
        <v>10356</v>
      </c>
      <c r="AB2583" s="357" t="s">
        <v>15315</v>
      </c>
      <c r="AC2583" s="357" t="s">
        <v>15322</v>
      </c>
      <c r="AD2583" s="357" t="s">
        <v>15323</v>
      </c>
      <c r="AE2583" s="357" t="s">
        <v>15318</v>
      </c>
      <c r="AF2583" s="354">
        <v>160.0</v>
      </c>
      <c r="AG2583" s="357" t="s">
        <v>1528</v>
      </c>
      <c r="AH2583" s="164" t="s">
        <v>131</v>
      </c>
      <c r="AI2583" s="357" t="s">
        <v>10360</v>
      </c>
      <c r="AJ2583" s="354">
        <v>0.75</v>
      </c>
      <c r="AK2583" s="357" t="s">
        <v>328</v>
      </c>
      <c r="AL2583" s="357" t="s">
        <v>179</v>
      </c>
      <c r="AM2583" s="357" t="s">
        <v>130</v>
      </c>
      <c r="AN2583" s="466" t="s">
        <v>131</v>
      </c>
      <c r="AO2583" s="354">
        <v>389.0</v>
      </c>
      <c r="AP2583" s="357" t="s">
        <v>15324</v>
      </c>
      <c r="AQ2583" s="357" t="s">
        <v>127</v>
      </c>
      <c r="AR2583" s="357" t="s">
        <v>15321</v>
      </c>
      <c r="AS2583" s="354">
        <v>0.12</v>
      </c>
      <c r="AT2583" s="357" t="s">
        <v>165</v>
      </c>
      <c r="AU2583" s="357" t="s">
        <v>179</v>
      </c>
      <c r="AV2583" s="357" t="s">
        <v>130</v>
      </c>
      <c r="AW2583" s="2131" t="s">
        <v>10364</v>
      </c>
      <c r="AX2583" s="357" t="s">
        <v>136</v>
      </c>
      <c r="AZ2583" s="1623" t="s">
        <v>1263</v>
      </c>
    </row>
    <row r="2584">
      <c r="A2584" s="41">
        <v>2584.0</v>
      </c>
      <c r="B2584" s="126" t="s">
        <v>107</v>
      </c>
      <c r="C2584" s="59" t="s">
        <v>108</v>
      </c>
      <c r="D2584" s="59" t="s">
        <v>138</v>
      </c>
      <c r="F2584" s="65" t="s">
        <v>10350</v>
      </c>
      <c r="G2584" s="357" t="s">
        <v>10369</v>
      </c>
      <c r="H2584" s="357" t="s">
        <v>10089</v>
      </c>
      <c r="I2584" s="341">
        <v>45767.0</v>
      </c>
      <c r="J2584" s="290">
        <v>45800.0</v>
      </c>
      <c r="K2584" s="43"/>
      <c r="L2584" s="292" t="s">
        <v>15314</v>
      </c>
      <c r="M2584" s="357" t="s">
        <v>10353</v>
      </c>
      <c r="N2584" s="357" t="s">
        <v>10354</v>
      </c>
      <c r="O2584" s="354">
        <v>5.0</v>
      </c>
      <c r="P2584" s="357" t="s">
        <v>10355</v>
      </c>
      <c r="Q2584" s="49" t="str">
        <f t="array" ref="Q2584"> if(iserror(MATCH(V2584, 'File Links'!C:C, 0)), "N/A", HYPERLINK(INDEX('File Links'!B:B, MATCH(P2584, 'File Links'!C:C, 0))))</f>
        <v>https://drive.google.com/file/d/1SAkzHUXu2em_LOpzZzUsNAbEmhFQYt6z/view?usp=drivesdk</v>
      </c>
      <c r="R2584" s="357" t="s">
        <v>15045</v>
      </c>
      <c r="S2584" s="357" t="s">
        <v>10148</v>
      </c>
      <c r="T2584" s="506" t="s">
        <v>15176</v>
      </c>
      <c r="U2584" s="292">
        <v>9.0</v>
      </c>
      <c r="V2584" s="357" t="s">
        <v>10149</v>
      </c>
      <c r="W2584" s="53" t="s">
        <v>202</v>
      </c>
      <c r="X2584" s="51" t="str">
        <f t="array" ref="X2584"> if(iserror(MATCH(V2584, 'File Links'!C:C, 0)), "N/A", HYPERLINK(INDEX('File Links'!B:B, MATCH(V2584, 'File Links'!C:C, 0))))</f>
        <v>https://drive.google.com/file/d/1Irbmig3rfLDvz-G09jDAVwJvv1drYEqO/view?usp=drivesdk</v>
      </c>
      <c r="Y2584" s="43"/>
      <c r="Z2584" s="357" t="s">
        <v>2072</v>
      </c>
      <c r="AA2584" s="2122" t="s">
        <v>10356</v>
      </c>
      <c r="AB2584" s="357" t="s">
        <v>15315</v>
      </c>
      <c r="AC2584" s="357" t="s">
        <v>15325</v>
      </c>
      <c r="AD2584" s="357" t="s">
        <v>15326</v>
      </c>
      <c r="AE2584" s="357" t="s">
        <v>15318</v>
      </c>
      <c r="AF2584" s="354">
        <v>160.0</v>
      </c>
      <c r="AG2584" s="357" t="s">
        <v>1528</v>
      </c>
      <c r="AH2584" s="164" t="s">
        <v>131</v>
      </c>
      <c r="AI2584" s="357" t="s">
        <v>10360</v>
      </c>
      <c r="AJ2584" s="354">
        <v>0.13</v>
      </c>
      <c r="AK2584" s="357" t="s">
        <v>328</v>
      </c>
      <c r="AL2584" s="357" t="s">
        <v>179</v>
      </c>
      <c r="AM2584" s="357" t="s">
        <v>130</v>
      </c>
      <c r="AN2584" s="466" t="s">
        <v>131</v>
      </c>
      <c r="AO2584" s="354">
        <v>389.0</v>
      </c>
      <c r="AP2584" s="357" t="s">
        <v>15327</v>
      </c>
      <c r="AQ2584" s="357" t="s">
        <v>127</v>
      </c>
      <c r="AR2584" s="357" t="s">
        <v>15321</v>
      </c>
      <c r="AS2584" s="354">
        <v>0.253</v>
      </c>
      <c r="AT2584" s="357" t="s">
        <v>165</v>
      </c>
      <c r="AU2584" s="357" t="s">
        <v>179</v>
      </c>
      <c r="AV2584" s="357" t="s">
        <v>130</v>
      </c>
      <c r="AW2584" s="2131" t="s">
        <v>10364</v>
      </c>
      <c r="AX2584" s="357" t="s">
        <v>136</v>
      </c>
      <c r="AZ2584" s="1623" t="s">
        <v>1263</v>
      </c>
    </row>
    <row r="2585">
      <c r="A2585" s="41">
        <v>2585.0</v>
      </c>
      <c r="B2585" s="126" t="s">
        <v>107</v>
      </c>
      <c r="C2585" s="59" t="s">
        <v>108</v>
      </c>
      <c r="D2585" s="59" t="s">
        <v>138</v>
      </c>
      <c r="F2585" s="65" t="s">
        <v>10350</v>
      </c>
      <c r="G2585" s="357" t="s">
        <v>10373</v>
      </c>
      <c r="H2585" s="357" t="s">
        <v>10089</v>
      </c>
      <c r="I2585" s="341">
        <v>45767.0</v>
      </c>
      <c r="J2585" s="290">
        <v>45800.0</v>
      </c>
      <c r="K2585" s="43"/>
      <c r="L2585" s="292" t="s">
        <v>15314</v>
      </c>
      <c r="M2585" s="357" t="s">
        <v>10353</v>
      </c>
      <c r="N2585" s="357" t="s">
        <v>10354</v>
      </c>
      <c r="O2585" s="354">
        <v>5.0</v>
      </c>
      <c r="P2585" s="357" t="s">
        <v>10355</v>
      </c>
      <c r="Q2585" s="49" t="str">
        <f t="array" ref="Q2585"> if(iserror(MATCH(V2585, 'File Links'!C:C, 0)), "N/A", HYPERLINK(INDEX('File Links'!B:B, MATCH(P2585, 'File Links'!C:C, 0))))</f>
        <v>https://drive.google.com/file/d/1SAkzHUXu2em_LOpzZzUsNAbEmhFQYt6z/view?usp=drivesdk</v>
      </c>
      <c r="R2585" s="357" t="s">
        <v>15045</v>
      </c>
      <c r="S2585" s="357" t="s">
        <v>10148</v>
      </c>
      <c r="T2585" s="506" t="s">
        <v>15176</v>
      </c>
      <c r="U2585" s="292">
        <v>9.0</v>
      </c>
      <c r="V2585" s="357" t="s">
        <v>10149</v>
      </c>
      <c r="W2585" s="53" t="s">
        <v>202</v>
      </c>
      <c r="X2585" s="51" t="str">
        <f t="array" ref="X2585"> if(iserror(MATCH(V2585, 'File Links'!C:C, 0)), "N/A", HYPERLINK(INDEX('File Links'!B:B, MATCH(V2585, 'File Links'!C:C, 0))))</f>
        <v>https://drive.google.com/file/d/1Irbmig3rfLDvz-G09jDAVwJvv1drYEqO/view?usp=drivesdk</v>
      </c>
      <c r="Y2585" s="43"/>
      <c r="Z2585" s="357" t="s">
        <v>2072</v>
      </c>
      <c r="AA2585" s="2122" t="s">
        <v>10356</v>
      </c>
      <c r="AB2585" s="357" t="s">
        <v>15315</v>
      </c>
      <c r="AC2585" s="357" t="s">
        <v>15328</v>
      </c>
      <c r="AD2585" s="357" t="s">
        <v>15329</v>
      </c>
      <c r="AE2585" s="357" t="s">
        <v>15330</v>
      </c>
      <c r="AF2585" s="354">
        <v>160.0</v>
      </c>
      <c r="AG2585" s="357" t="s">
        <v>10377</v>
      </c>
      <c r="AH2585" s="357" t="s">
        <v>127</v>
      </c>
      <c r="AI2585" s="357" t="s">
        <v>2359</v>
      </c>
      <c r="AJ2585" s="354">
        <v>0.044</v>
      </c>
      <c r="AK2585" s="357" t="s">
        <v>165</v>
      </c>
      <c r="AL2585" s="357" t="s">
        <v>179</v>
      </c>
      <c r="AM2585" s="357" t="s">
        <v>130</v>
      </c>
      <c r="AN2585" s="466" t="s">
        <v>131</v>
      </c>
      <c r="AO2585" s="354">
        <v>389.0</v>
      </c>
      <c r="AP2585" s="357" t="s">
        <v>15331</v>
      </c>
      <c r="AQ2585" s="357" t="s">
        <v>127</v>
      </c>
      <c r="AR2585" s="357" t="s">
        <v>15321</v>
      </c>
      <c r="AS2585" s="354">
        <v>0.105</v>
      </c>
      <c r="AT2585" s="357" t="s">
        <v>165</v>
      </c>
      <c r="AU2585" s="357" t="s">
        <v>179</v>
      </c>
      <c r="AV2585" s="357" t="s">
        <v>130</v>
      </c>
      <c r="AW2585" s="2131" t="s">
        <v>10364</v>
      </c>
      <c r="AX2585" s="357" t="s">
        <v>136</v>
      </c>
      <c r="AZ2585" s="1623" t="s">
        <v>1263</v>
      </c>
    </row>
    <row r="2586">
      <c r="A2586" s="41">
        <v>2586.0</v>
      </c>
      <c r="B2586" s="126" t="s">
        <v>107</v>
      </c>
      <c r="C2586" s="59" t="s">
        <v>108</v>
      </c>
      <c r="D2586" s="59" t="s">
        <v>138</v>
      </c>
      <c r="F2586" s="65" t="s">
        <v>10350</v>
      </c>
      <c r="G2586" s="357" t="s">
        <v>10380</v>
      </c>
      <c r="H2586" s="357" t="s">
        <v>10089</v>
      </c>
      <c r="I2586" s="341">
        <v>45767.0</v>
      </c>
      <c r="J2586" s="290">
        <v>45800.0</v>
      </c>
      <c r="K2586" s="43"/>
      <c r="L2586" s="292" t="s">
        <v>15314</v>
      </c>
      <c r="M2586" s="357" t="s">
        <v>10353</v>
      </c>
      <c r="N2586" s="357" t="s">
        <v>10354</v>
      </c>
      <c r="O2586" s="354">
        <v>5.0</v>
      </c>
      <c r="P2586" s="357" t="s">
        <v>10355</v>
      </c>
      <c r="Q2586" s="49" t="str">
        <f t="array" ref="Q2586"> if(iserror(MATCH(V2586, 'File Links'!C:C, 0)), "N/A", HYPERLINK(INDEX('File Links'!B:B, MATCH(P2586, 'File Links'!C:C, 0))))</f>
        <v>https://drive.google.com/file/d/1SAkzHUXu2em_LOpzZzUsNAbEmhFQYt6z/view?usp=drivesdk</v>
      </c>
      <c r="R2586" s="357" t="s">
        <v>15045</v>
      </c>
      <c r="S2586" s="357" t="s">
        <v>10148</v>
      </c>
      <c r="T2586" s="506" t="s">
        <v>15176</v>
      </c>
      <c r="U2586" s="292">
        <v>9.0</v>
      </c>
      <c r="V2586" s="357" t="s">
        <v>10149</v>
      </c>
      <c r="W2586" s="53" t="s">
        <v>202</v>
      </c>
      <c r="X2586" s="51" t="str">
        <f t="array" ref="X2586"> if(iserror(MATCH(V2586, 'File Links'!C:C, 0)), "N/A", HYPERLINK(INDEX('File Links'!B:B, MATCH(V2586, 'File Links'!C:C, 0))))</f>
        <v>https://drive.google.com/file/d/1Irbmig3rfLDvz-G09jDAVwJvv1drYEqO/view?usp=drivesdk</v>
      </c>
      <c r="Y2586" s="43"/>
      <c r="Z2586" s="357" t="s">
        <v>2072</v>
      </c>
      <c r="AA2586" s="2122" t="s">
        <v>10356</v>
      </c>
      <c r="AB2586" s="357" t="s">
        <v>15315</v>
      </c>
      <c r="AC2586" s="357" t="s">
        <v>15332</v>
      </c>
      <c r="AD2586" s="357" t="s">
        <v>15333</v>
      </c>
      <c r="AE2586" s="357" t="s">
        <v>15330</v>
      </c>
      <c r="AF2586" s="354">
        <v>160.0</v>
      </c>
      <c r="AG2586" s="357" t="s">
        <v>1528</v>
      </c>
      <c r="AH2586" s="164" t="s">
        <v>131</v>
      </c>
      <c r="AI2586" s="357" t="s">
        <v>2359</v>
      </c>
      <c r="AJ2586" s="354">
        <v>0.2</v>
      </c>
      <c r="AK2586" s="357" t="s">
        <v>165</v>
      </c>
      <c r="AL2586" s="357" t="s">
        <v>179</v>
      </c>
      <c r="AM2586" s="357" t="s">
        <v>130</v>
      </c>
      <c r="AN2586" s="466" t="s">
        <v>131</v>
      </c>
      <c r="AO2586" s="354">
        <v>389.0</v>
      </c>
      <c r="AP2586" s="357" t="s">
        <v>15334</v>
      </c>
      <c r="AQ2586" s="357" t="s">
        <v>127</v>
      </c>
      <c r="AR2586" s="357" t="s">
        <v>2365</v>
      </c>
      <c r="AS2586" s="354">
        <v>0.843</v>
      </c>
      <c r="AT2586" s="357" t="s">
        <v>165</v>
      </c>
      <c r="AU2586" s="357" t="s">
        <v>179</v>
      </c>
      <c r="AV2586" s="357" t="s">
        <v>130</v>
      </c>
      <c r="AW2586" s="2131" t="s">
        <v>10364</v>
      </c>
      <c r="AX2586" s="357" t="s">
        <v>136</v>
      </c>
      <c r="AZ2586" s="1623" t="s">
        <v>1263</v>
      </c>
    </row>
    <row r="2587">
      <c r="A2587" s="41">
        <v>2587.0</v>
      </c>
      <c r="B2587" s="126" t="s">
        <v>107</v>
      </c>
      <c r="C2587" s="59" t="s">
        <v>108</v>
      </c>
      <c r="D2587" s="59" t="s">
        <v>138</v>
      </c>
      <c r="F2587" s="65" t="s">
        <v>10350</v>
      </c>
      <c r="G2587" s="357" t="s">
        <v>10385</v>
      </c>
      <c r="H2587" s="357" t="s">
        <v>10089</v>
      </c>
      <c r="I2587" s="341">
        <v>45767.0</v>
      </c>
      <c r="J2587" s="290">
        <v>45800.0</v>
      </c>
      <c r="K2587" s="43"/>
      <c r="L2587" s="292" t="s">
        <v>15314</v>
      </c>
      <c r="M2587" s="357" t="s">
        <v>10353</v>
      </c>
      <c r="N2587" s="357" t="s">
        <v>10354</v>
      </c>
      <c r="O2587" s="354">
        <v>5.0</v>
      </c>
      <c r="P2587" s="357" t="s">
        <v>10355</v>
      </c>
      <c r="Q2587" s="49" t="str">
        <f t="array" ref="Q2587"> if(iserror(MATCH(V2587, 'File Links'!C:C, 0)), "N/A", HYPERLINK(INDEX('File Links'!B:B, MATCH(P2587, 'File Links'!C:C, 0))))</f>
        <v>https://drive.google.com/file/d/1SAkzHUXu2em_LOpzZzUsNAbEmhFQYt6z/view?usp=drivesdk</v>
      </c>
      <c r="R2587" s="357" t="s">
        <v>15045</v>
      </c>
      <c r="S2587" s="357" t="s">
        <v>10148</v>
      </c>
      <c r="T2587" s="506" t="s">
        <v>15176</v>
      </c>
      <c r="U2587" s="292">
        <v>9.0</v>
      </c>
      <c r="V2587" s="357" t="s">
        <v>10149</v>
      </c>
      <c r="W2587" s="53" t="s">
        <v>202</v>
      </c>
      <c r="X2587" s="51" t="str">
        <f t="array" ref="X2587"> if(iserror(MATCH(V2587, 'File Links'!C:C, 0)), "N/A", HYPERLINK(INDEX('File Links'!B:B, MATCH(V2587, 'File Links'!C:C, 0))))</f>
        <v>https://drive.google.com/file/d/1Irbmig3rfLDvz-G09jDAVwJvv1drYEqO/view?usp=drivesdk</v>
      </c>
      <c r="Y2587" s="43"/>
      <c r="Z2587" s="357" t="s">
        <v>2072</v>
      </c>
      <c r="AA2587" s="2122" t="s">
        <v>10356</v>
      </c>
      <c r="AB2587" s="357" t="s">
        <v>15315</v>
      </c>
      <c r="AC2587" s="357" t="s">
        <v>15335</v>
      </c>
      <c r="AD2587" s="357" t="s">
        <v>15336</v>
      </c>
      <c r="AE2587" s="357" t="s">
        <v>15330</v>
      </c>
      <c r="AF2587" s="354">
        <v>160.0</v>
      </c>
      <c r="AG2587" s="357" t="s">
        <v>10387</v>
      </c>
      <c r="AH2587" s="357" t="s">
        <v>127</v>
      </c>
      <c r="AI2587" s="357" t="s">
        <v>2359</v>
      </c>
      <c r="AJ2587" s="354">
        <v>0.048</v>
      </c>
      <c r="AK2587" s="357" t="s">
        <v>165</v>
      </c>
      <c r="AL2587" s="357" t="s">
        <v>179</v>
      </c>
      <c r="AM2587" s="357" t="s">
        <v>130</v>
      </c>
      <c r="AN2587" s="466" t="s">
        <v>131</v>
      </c>
      <c r="AO2587" s="354">
        <v>389.0</v>
      </c>
      <c r="AP2587" s="357" t="s">
        <v>15337</v>
      </c>
      <c r="AQ2587" s="357" t="s">
        <v>127</v>
      </c>
      <c r="AR2587" s="357" t="s">
        <v>2365</v>
      </c>
      <c r="AS2587" s="354">
        <v>0.945</v>
      </c>
      <c r="AT2587" s="357" t="s">
        <v>165</v>
      </c>
      <c r="AU2587" s="357" t="s">
        <v>179</v>
      </c>
      <c r="AV2587" s="357" t="s">
        <v>130</v>
      </c>
      <c r="AW2587" s="2131" t="s">
        <v>10364</v>
      </c>
      <c r="AX2587" s="357" t="s">
        <v>136</v>
      </c>
      <c r="AZ2587" s="1623" t="s">
        <v>1263</v>
      </c>
    </row>
    <row r="2588">
      <c r="A2588" s="41">
        <v>2588.0</v>
      </c>
      <c r="B2588" s="292" t="s">
        <v>145</v>
      </c>
      <c r="C2588" s="284" t="s">
        <v>108</v>
      </c>
      <c r="D2588" s="284" t="s">
        <v>138</v>
      </c>
      <c r="E2588" s="305"/>
      <c r="F2588" s="302" t="s">
        <v>10350</v>
      </c>
      <c r="G2588" s="287" t="s">
        <v>10391</v>
      </c>
      <c r="H2588" s="287" t="s">
        <v>10089</v>
      </c>
      <c r="I2588" s="2112">
        <v>45767.0</v>
      </c>
      <c r="J2588" s="290">
        <v>45800.0</v>
      </c>
      <c r="K2588" s="302"/>
      <c r="L2588" s="292" t="s">
        <v>15338</v>
      </c>
      <c r="M2588" s="287" t="s">
        <v>10353</v>
      </c>
      <c r="N2588" s="287" t="s">
        <v>10354</v>
      </c>
      <c r="O2588" s="1555">
        <v>5.0</v>
      </c>
      <c r="P2588" s="287" t="s">
        <v>10355</v>
      </c>
      <c r="Q2588" s="1809" t="str">
        <f t="array" ref="Q2588"> if(iserror(MATCH(V2588, 'File Links'!C:C, 0)), "N/A", HYPERLINK(INDEX('File Links'!B:B, MATCH(P2588, 'File Links'!C:C, 0))))</f>
        <v>https://drive.google.com/file/d/1SAkzHUXu2em_LOpzZzUsNAbEmhFQYt6z/view?usp=drivesdk</v>
      </c>
      <c r="R2588" s="287" t="s">
        <v>15045</v>
      </c>
      <c r="S2588" s="287" t="s">
        <v>10148</v>
      </c>
      <c r="T2588" s="2115" t="s">
        <v>15176</v>
      </c>
      <c r="U2588" s="292">
        <v>9.0</v>
      </c>
      <c r="V2588" s="287" t="s">
        <v>10149</v>
      </c>
      <c r="W2588" s="292" t="s">
        <v>202</v>
      </c>
      <c r="X2588" s="1810" t="str">
        <f t="array" ref="X2588"> if(iserror(MATCH(V2588, 'File Links'!C:C, 0)), "N/A", HYPERLINK(INDEX('File Links'!B:B, MATCH(V2588, 'File Links'!C:C, 0))))</f>
        <v>https://drive.google.com/file/d/1Irbmig3rfLDvz-G09jDAVwJvv1drYEqO/view?usp=drivesdk</v>
      </c>
      <c r="Y2588" s="302"/>
      <c r="Z2588" s="287" t="s">
        <v>2072</v>
      </c>
      <c r="AA2588" s="2132" t="s">
        <v>10356</v>
      </c>
      <c r="AB2588" s="287" t="s">
        <v>15315</v>
      </c>
      <c r="AC2588" s="287" t="s">
        <v>15339</v>
      </c>
      <c r="AD2588" s="287" t="s">
        <v>15340</v>
      </c>
      <c r="AE2588" s="287" t="s">
        <v>15330</v>
      </c>
      <c r="AF2588" s="1555">
        <v>160.0</v>
      </c>
      <c r="AG2588" s="287" t="s">
        <v>10394</v>
      </c>
      <c r="AH2588" s="287" t="s">
        <v>127</v>
      </c>
      <c r="AI2588" s="287" t="s">
        <v>2359</v>
      </c>
      <c r="AJ2588" s="1555">
        <v>0.32</v>
      </c>
      <c r="AK2588" s="287" t="s">
        <v>165</v>
      </c>
      <c r="AL2588" s="287" t="s">
        <v>179</v>
      </c>
      <c r="AM2588" s="287" t="s">
        <v>130</v>
      </c>
      <c r="AN2588" s="466" t="s">
        <v>131</v>
      </c>
      <c r="AO2588" s="1555">
        <v>389.0</v>
      </c>
      <c r="AP2588" s="1555">
        <v>0.03</v>
      </c>
      <c r="AQ2588" s="287" t="s">
        <v>166</v>
      </c>
      <c r="AR2588" s="287" t="s">
        <v>2365</v>
      </c>
      <c r="AS2588" s="1555">
        <v>0.862</v>
      </c>
      <c r="AT2588" s="287" t="s">
        <v>165</v>
      </c>
      <c r="AU2588" s="287" t="s">
        <v>179</v>
      </c>
      <c r="AV2588" s="287" t="s">
        <v>130</v>
      </c>
      <c r="AW2588" s="2131" t="s">
        <v>10364</v>
      </c>
      <c r="AX2588" s="287" t="s">
        <v>136</v>
      </c>
      <c r="AY2588" s="305"/>
      <c r="AZ2588" s="284" t="s">
        <v>1263</v>
      </c>
      <c r="BA2588" s="305"/>
      <c r="BB2588" s="305"/>
      <c r="BC2588" s="305"/>
      <c r="BD2588" s="305"/>
      <c r="BE2588" s="305"/>
      <c r="BF2588" s="305"/>
      <c r="BG2588" s="305"/>
      <c r="BH2588" s="305"/>
      <c r="BI2588" s="305"/>
      <c r="BJ2588" s="305"/>
      <c r="BK2588" s="305"/>
      <c r="BL2588" s="305"/>
      <c r="BM2588" s="305"/>
      <c r="BN2588" s="305"/>
      <c r="BO2588" s="305"/>
      <c r="BP2588" s="305"/>
      <c r="BQ2588" s="305"/>
      <c r="BR2588" s="305"/>
      <c r="BS2588" s="305"/>
      <c r="BT2588" s="305"/>
      <c r="BU2588" s="305"/>
      <c r="BV2588" s="305"/>
      <c r="BW2588" s="305"/>
      <c r="BX2588" s="305"/>
      <c r="BY2588" s="305"/>
      <c r="BZ2588" s="305"/>
      <c r="CA2588" s="305"/>
      <c r="CB2588" s="305"/>
      <c r="CC2588" s="305"/>
      <c r="CD2588" s="305"/>
      <c r="CE2588" s="305"/>
      <c r="CF2588" s="305"/>
      <c r="CG2588" s="305"/>
      <c r="CH2588" s="305"/>
      <c r="CI2588" s="305"/>
      <c r="CJ2588" s="305"/>
      <c r="CK2588" s="305"/>
      <c r="CL2588" s="305"/>
      <c r="CM2588" s="305"/>
      <c r="CN2588" s="305"/>
      <c r="CO2588" s="305"/>
      <c r="CP2588" s="305"/>
      <c r="CQ2588" s="305"/>
      <c r="CR2588" s="305"/>
      <c r="CS2588" s="305"/>
      <c r="CT2588" s="305"/>
      <c r="CU2588" s="305"/>
      <c r="CV2588" s="305"/>
      <c r="CW2588" s="305"/>
      <c r="CX2588" s="305"/>
      <c r="CY2588" s="305"/>
      <c r="CZ2588" s="305"/>
      <c r="DA2588" s="305"/>
      <c r="DB2588" s="305"/>
      <c r="DC2588" s="305"/>
      <c r="DD2588" s="305"/>
      <c r="DE2588" s="305"/>
      <c r="DF2588" s="305"/>
      <c r="DG2588" s="305"/>
      <c r="DH2588" s="305"/>
    </row>
    <row r="2589">
      <c r="A2589" s="41">
        <v>2589.0</v>
      </c>
      <c r="B2589" s="126" t="s">
        <v>145</v>
      </c>
      <c r="C2589" s="59" t="s">
        <v>108</v>
      </c>
      <c r="D2589" s="59" t="s">
        <v>138</v>
      </c>
      <c r="F2589" s="65" t="s">
        <v>10350</v>
      </c>
      <c r="G2589" s="357" t="s">
        <v>15341</v>
      </c>
      <c r="H2589" s="357" t="s">
        <v>10089</v>
      </c>
      <c r="I2589" s="341">
        <v>45767.0</v>
      </c>
      <c r="J2589" s="290">
        <v>45800.0</v>
      </c>
      <c r="K2589" s="43"/>
      <c r="L2589" s="292" t="s">
        <v>15338</v>
      </c>
      <c r="M2589" s="357" t="s">
        <v>10353</v>
      </c>
      <c r="N2589" s="357" t="s">
        <v>10354</v>
      </c>
      <c r="O2589" s="354">
        <v>5.0</v>
      </c>
      <c r="P2589" s="357" t="s">
        <v>10355</v>
      </c>
      <c r="Q2589" s="49" t="str">
        <f t="array" ref="Q2589"> if(iserror(MATCH(V2589, 'File Links'!C:C, 0)), "N/A", HYPERLINK(INDEX('File Links'!B:B, MATCH(P2589, 'File Links'!C:C, 0))))</f>
        <v>https://drive.google.com/file/d/1SAkzHUXu2em_LOpzZzUsNAbEmhFQYt6z/view?usp=drivesdk</v>
      </c>
      <c r="R2589" s="357" t="s">
        <v>15045</v>
      </c>
      <c r="S2589" s="357" t="s">
        <v>10148</v>
      </c>
      <c r="T2589" s="506" t="s">
        <v>15176</v>
      </c>
      <c r="U2589" s="292">
        <v>9.0</v>
      </c>
      <c r="V2589" s="357" t="s">
        <v>10149</v>
      </c>
      <c r="W2589" s="53" t="s">
        <v>202</v>
      </c>
      <c r="X2589" s="51" t="str">
        <f t="array" ref="X2589"> if(iserror(MATCH(V2589, 'File Links'!C:C, 0)), "N/A", HYPERLINK(INDEX('File Links'!B:B, MATCH(V2589, 'File Links'!C:C, 0))))</f>
        <v>https://drive.google.com/file/d/1Irbmig3rfLDvz-G09jDAVwJvv1drYEqO/view?usp=drivesdk</v>
      </c>
      <c r="Y2589" s="43"/>
      <c r="Z2589" s="357" t="s">
        <v>2072</v>
      </c>
      <c r="AA2589" s="2122" t="s">
        <v>10356</v>
      </c>
      <c r="AB2589" s="357" t="s">
        <v>15315</v>
      </c>
      <c r="AC2589" s="357" t="s">
        <v>15342</v>
      </c>
      <c r="AD2589" s="357" t="s">
        <v>15343</v>
      </c>
      <c r="AE2589" s="357" t="s">
        <v>15330</v>
      </c>
      <c r="AF2589" s="354">
        <v>160.0</v>
      </c>
      <c r="AG2589" s="340" t="s">
        <v>15344</v>
      </c>
      <c r="AH2589" s="357" t="s">
        <v>127</v>
      </c>
      <c r="AI2589" s="357" t="s">
        <v>2359</v>
      </c>
      <c r="AJ2589" s="354">
        <v>0.499</v>
      </c>
      <c r="AK2589" s="357" t="s">
        <v>165</v>
      </c>
      <c r="AL2589" s="357" t="s">
        <v>179</v>
      </c>
      <c r="AM2589" s="357" t="s">
        <v>130</v>
      </c>
      <c r="AN2589" s="466" t="s">
        <v>131</v>
      </c>
      <c r="AO2589" s="354">
        <v>389.0</v>
      </c>
      <c r="AP2589" s="354">
        <v>0.01</v>
      </c>
      <c r="AQ2589" s="357" t="s">
        <v>166</v>
      </c>
      <c r="AR2589" s="357" t="s">
        <v>2365</v>
      </c>
      <c r="AS2589" s="354">
        <v>0.933</v>
      </c>
      <c r="AT2589" s="357" t="s">
        <v>165</v>
      </c>
      <c r="AU2589" s="357" t="s">
        <v>179</v>
      </c>
      <c r="AV2589" s="357" t="s">
        <v>130</v>
      </c>
      <c r="AW2589" s="2131" t="s">
        <v>10364</v>
      </c>
      <c r="AX2589" s="357" t="s">
        <v>136</v>
      </c>
      <c r="AZ2589" s="1623" t="s">
        <v>1263</v>
      </c>
    </row>
    <row r="2590">
      <c r="A2590" s="41">
        <v>2590.0</v>
      </c>
      <c r="B2590" s="126" t="s">
        <v>145</v>
      </c>
      <c r="C2590" s="59" t="s">
        <v>108</v>
      </c>
      <c r="D2590" s="59" t="s">
        <v>138</v>
      </c>
      <c r="F2590" s="65" t="s">
        <v>10350</v>
      </c>
      <c r="G2590" s="357" t="s">
        <v>15345</v>
      </c>
      <c r="H2590" s="357" t="s">
        <v>10089</v>
      </c>
      <c r="I2590" s="341">
        <v>45767.0</v>
      </c>
      <c r="J2590" s="290">
        <v>45800.0</v>
      </c>
      <c r="K2590" s="43"/>
      <c r="L2590" s="292" t="s">
        <v>15338</v>
      </c>
      <c r="M2590" s="357" t="s">
        <v>10353</v>
      </c>
      <c r="N2590" s="357" t="s">
        <v>10354</v>
      </c>
      <c r="O2590" s="354">
        <v>5.0</v>
      </c>
      <c r="P2590" s="357" t="s">
        <v>10355</v>
      </c>
      <c r="Q2590" s="49" t="str">
        <f t="array" ref="Q2590"> if(iserror(MATCH(V2590, 'File Links'!C:C, 0)), "N/A", HYPERLINK(INDEX('File Links'!B:B, MATCH(P2590, 'File Links'!C:C, 0))))</f>
        <v>https://drive.google.com/file/d/1SAkzHUXu2em_LOpzZzUsNAbEmhFQYt6z/view?usp=drivesdk</v>
      </c>
      <c r="R2590" s="357" t="s">
        <v>15045</v>
      </c>
      <c r="S2590" s="357" t="s">
        <v>10148</v>
      </c>
      <c r="T2590" s="506" t="s">
        <v>15176</v>
      </c>
      <c r="U2590" s="292">
        <v>9.0</v>
      </c>
      <c r="V2590" s="357" t="s">
        <v>10149</v>
      </c>
      <c r="W2590" s="53" t="s">
        <v>202</v>
      </c>
      <c r="X2590" s="51" t="str">
        <f t="array" ref="X2590"> if(iserror(MATCH(V2590, 'File Links'!C:C, 0)), "N/A", HYPERLINK(INDEX('File Links'!B:B, MATCH(V2590, 'File Links'!C:C, 0))))</f>
        <v>https://drive.google.com/file/d/1Irbmig3rfLDvz-G09jDAVwJvv1drYEqO/view?usp=drivesdk</v>
      </c>
      <c r="Y2590" s="43"/>
      <c r="Z2590" s="357" t="s">
        <v>2072</v>
      </c>
      <c r="AA2590" s="2122" t="s">
        <v>10356</v>
      </c>
      <c r="AB2590" s="357" t="s">
        <v>15315</v>
      </c>
      <c r="AC2590" s="357" t="s">
        <v>15346</v>
      </c>
      <c r="AD2590" s="357" t="s">
        <v>15347</v>
      </c>
      <c r="AE2590" s="357" t="s">
        <v>15330</v>
      </c>
      <c r="AF2590" s="354">
        <v>160.0</v>
      </c>
      <c r="AG2590" s="357" t="s">
        <v>15348</v>
      </c>
      <c r="AH2590" s="357" t="s">
        <v>127</v>
      </c>
      <c r="AI2590" s="357" t="s">
        <v>2359</v>
      </c>
      <c r="AJ2590" s="354">
        <v>0.005</v>
      </c>
      <c r="AK2590" s="357" t="s">
        <v>165</v>
      </c>
      <c r="AL2590" s="357" t="s">
        <v>179</v>
      </c>
      <c r="AM2590" s="357" t="s">
        <v>130</v>
      </c>
      <c r="AN2590" s="466" t="s">
        <v>131</v>
      </c>
      <c r="AO2590" s="354">
        <v>389.0</v>
      </c>
      <c r="AP2590" s="354">
        <v>-0.17</v>
      </c>
      <c r="AQ2590" s="357" t="s">
        <v>166</v>
      </c>
      <c r="AR2590" s="357" t="s">
        <v>2365</v>
      </c>
      <c r="AS2590" s="354">
        <v>0.242</v>
      </c>
      <c r="AT2590" s="357" t="s">
        <v>165</v>
      </c>
      <c r="AU2590" s="357" t="s">
        <v>179</v>
      </c>
      <c r="AV2590" s="357" t="s">
        <v>130</v>
      </c>
      <c r="AW2590" s="2131" t="s">
        <v>10364</v>
      </c>
      <c r="AX2590" s="357" t="s">
        <v>136</v>
      </c>
      <c r="AZ2590" s="1623" t="s">
        <v>1263</v>
      </c>
    </row>
    <row r="2591">
      <c r="A2591" s="41">
        <v>2591.0</v>
      </c>
      <c r="B2591" s="126" t="s">
        <v>145</v>
      </c>
      <c r="C2591" s="59" t="s">
        <v>108</v>
      </c>
      <c r="D2591" s="59" t="s">
        <v>138</v>
      </c>
      <c r="F2591" s="65" t="s">
        <v>10350</v>
      </c>
      <c r="G2591" s="357" t="s">
        <v>15349</v>
      </c>
      <c r="H2591" s="357" t="s">
        <v>10089</v>
      </c>
      <c r="I2591" s="341">
        <v>45767.0</v>
      </c>
      <c r="J2591" s="290">
        <v>45800.0</v>
      </c>
      <c r="K2591" s="43"/>
      <c r="L2591" s="292" t="s">
        <v>15338</v>
      </c>
      <c r="M2591" s="357" t="s">
        <v>10353</v>
      </c>
      <c r="N2591" s="357" t="s">
        <v>10354</v>
      </c>
      <c r="O2591" s="354">
        <v>5.0</v>
      </c>
      <c r="P2591" s="357" t="s">
        <v>10355</v>
      </c>
      <c r="Q2591" s="49" t="str">
        <f t="array" ref="Q2591"> if(iserror(MATCH(V2591, 'File Links'!C:C, 0)), "N/A", HYPERLINK(INDEX('File Links'!B:B, MATCH(P2591, 'File Links'!C:C, 0))))</f>
        <v>https://drive.google.com/file/d/1SAkzHUXu2em_LOpzZzUsNAbEmhFQYt6z/view?usp=drivesdk</v>
      </c>
      <c r="R2591" s="357" t="s">
        <v>15045</v>
      </c>
      <c r="S2591" s="357" t="s">
        <v>10148</v>
      </c>
      <c r="T2591" s="506" t="s">
        <v>15176</v>
      </c>
      <c r="U2591" s="292">
        <v>9.0</v>
      </c>
      <c r="V2591" s="357" t="s">
        <v>10149</v>
      </c>
      <c r="W2591" s="53" t="s">
        <v>202</v>
      </c>
      <c r="X2591" s="51" t="str">
        <f t="array" ref="X2591"> if(iserror(MATCH(V2591, 'File Links'!C:C, 0)), "N/A", HYPERLINK(INDEX('File Links'!B:B, MATCH(V2591, 'File Links'!C:C, 0))))</f>
        <v>https://drive.google.com/file/d/1Irbmig3rfLDvz-G09jDAVwJvv1drYEqO/view?usp=drivesdk</v>
      </c>
      <c r="Y2591" s="43"/>
      <c r="Z2591" s="357" t="s">
        <v>2072</v>
      </c>
      <c r="AA2591" s="2122" t="s">
        <v>10356</v>
      </c>
      <c r="AB2591" s="357" t="s">
        <v>15315</v>
      </c>
      <c r="AC2591" s="357" t="s">
        <v>15350</v>
      </c>
      <c r="AD2591" s="357" t="s">
        <v>15351</v>
      </c>
      <c r="AE2591" s="357" t="s">
        <v>15330</v>
      </c>
      <c r="AF2591" s="354">
        <v>160.0</v>
      </c>
      <c r="AG2591" s="357" t="s">
        <v>10394</v>
      </c>
      <c r="AH2591" s="357" t="s">
        <v>127</v>
      </c>
      <c r="AI2591" s="357" t="s">
        <v>2359</v>
      </c>
      <c r="AJ2591" s="354">
        <v>0.037</v>
      </c>
      <c r="AK2591" s="357" t="s">
        <v>165</v>
      </c>
      <c r="AL2591" s="357" t="s">
        <v>179</v>
      </c>
      <c r="AM2591" s="357" t="s">
        <v>130</v>
      </c>
      <c r="AN2591" s="466" t="s">
        <v>131</v>
      </c>
      <c r="AO2591" s="354">
        <v>389.0</v>
      </c>
      <c r="AP2591" s="354">
        <v>-0.026</v>
      </c>
      <c r="AQ2591" s="357" t="s">
        <v>166</v>
      </c>
      <c r="AR2591" s="357" t="s">
        <v>2365</v>
      </c>
      <c r="AS2591" s="354">
        <v>0.862</v>
      </c>
      <c r="AT2591" s="357" t="s">
        <v>165</v>
      </c>
      <c r="AU2591" s="357" t="s">
        <v>179</v>
      </c>
      <c r="AV2591" s="357" t="s">
        <v>130</v>
      </c>
      <c r="AW2591" s="2131" t="s">
        <v>10364</v>
      </c>
      <c r="AX2591" s="357" t="s">
        <v>136</v>
      </c>
      <c r="AZ2591" s="1623" t="s">
        <v>1263</v>
      </c>
    </row>
    <row r="2592">
      <c r="A2592" s="41">
        <v>2592.0</v>
      </c>
      <c r="B2592" s="126" t="s">
        <v>145</v>
      </c>
      <c r="C2592" s="59" t="s">
        <v>108</v>
      </c>
      <c r="D2592" s="59" t="s">
        <v>138</v>
      </c>
      <c r="F2592" s="65" t="s">
        <v>10350</v>
      </c>
      <c r="G2592" s="357" t="s">
        <v>15352</v>
      </c>
      <c r="H2592" s="357" t="s">
        <v>10089</v>
      </c>
      <c r="I2592" s="341">
        <v>45767.0</v>
      </c>
      <c r="J2592" s="290">
        <v>45800.0</v>
      </c>
      <c r="K2592" s="43"/>
      <c r="L2592" s="292" t="s">
        <v>15338</v>
      </c>
      <c r="M2592" s="357" t="s">
        <v>10353</v>
      </c>
      <c r="N2592" s="357" t="s">
        <v>10354</v>
      </c>
      <c r="O2592" s="354">
        <v>5.0</v>
      </c>
      <c r="P2592" s="357" t="s">
        <v>10355</v>
      </c>
      <c r="Q2592" s="49" t="str">
        <f t="array" ref="Q2592"> if(iserror(MATCH(V2592, 'File Links'!C:C, 0)), "N/A", HYPERLINK(INDEX('File Links'!B:B, MATCH(P2592, 'File Links'!C:C, 0))))</f>
        <v>https://drive.google.com/file/d/1SAkzHUXu2em_LOpzZzUsNAbEmhFQYt6z/view?usp=drivesdk</v>
      </c>
      <c r="R2592" s="357" t="s">
        <v>15045</v>
      </c>
      <c r="S2592" s="357" t="s">
        <v>10148</v>
      </c>
      <c r="T2592" s="506" t="s">
        <v>15176</v>
      </c>
      <c r="U2592" s="292">
        <v>9.0</v>
      </c>
      <c r="V2592" s="357" t="s">
        <v>10149</v>
      </c>
      <c r="W2592" s="53" t="s">
        <v>202</v>
      </c>
      <c r="X2592" s="51" t="str">
        <f t="array" ref="X2592"> if(iserror(MATCH(V2592, 'File Links'!C:C, 0)), "N/A", HYPERLINK(INDEX('File Links'!B:B, MATCH(V2592, 'File Links'!C:C, 0))))</f>
        <v>https://drive.google.com/file/d/1Irbmig3rfLDvz-G09jDAVwJvv1drYEqO/view?usp=drivesdk</v>
      </c>
      <c r="Y2592" s="43"/>
      <c r="Z2592" s="357" t="s">
        <v>2072</v>
      </c>
      <c r="AA2592" s="2122" t="s">
        <v>10356</v>
      </c>
      <c r="AB2592" s="357" t="s">
        <v>15315</v>
      </c>
      <c r="AC2592" s="357" t="s">
        <v>15353</v>
      </c>
      <c r="AD2592" s="357" t="s">
        <v>15354</v>
      </c>
      <c r="AE2592" s="357" t="s">
        <v>15330</v>
      </c>
      <c r="AF2592" s="354">
        <v>160.0</v>
      </c>
      <c r="AG2592" s="357" t="s">
        <v>15355</v>
      </c>
      <c r="AH2592" s="357" t="s">
        <v>127</v>
      </c>
      <c r="AI2592" s="357" t="s">
        <v>2359</v>
      </c>
      <c r="AJ2592" s="354">
        <v>0.032</v>
      </c>
      <c r="AK2592" s="357" t="s">
        <v>165</v>
      </c>
      <c r="AL2592" s="357" t="s">
        <v>179</v>
      </c>
      <c r="AM2592" s="357" t="s">
        <v>130</v>
      </c>
      <c r="AN2592" s="466" t="s">
        <v>131</v>
      </c>
      <c r="AO2592" s="354">
        <v>389.0</v>
      </c>
      <c r="AP2592" s="354">
        <v>-0.19</v>
      </c>
      <c r="AQ2592" s="357" t="s">
        <v>166</v>
      </c>
      <c r="AR2592" s="357" t="s">
        <v>2365</v>
      </c>
      <c r="AS2592" s="354">
        <v>0.199</v>
      </c>
      <c r="AT2592" s="357" t="s">
        <v>165</v>
      </c>
      <c r="AU2592" s="357" t="s">
        <v>179</v>
      </c>
      <c r="AV2592" s="357" t="s">
        <v>130</v>
      </c>
      <c r="AW2592" s="2131" t="s">
        <v>10364</v>
      </c>
      <c r="AX2592" s="357" t="s">
        <v>136</v>
      </c>
      <c r="AZ2592" s="1623" t="s">
        <v>1263</v>
      </c>
    </row>
    <row r="2593">
      <c r="A2593" s="41">
        <v>2593.0</v>
      </c>
      <c r="B2593" s="292" t="s">
        <v>145</v>
      </c>
      <c r="C2593" s="284" t="s">
        <v>108</v>
      </c>
      <c r="D2593" s="284" t="s">
        <v>138</v>
      </c>
      <c r="E2593" s="305"/>
      <c r="F2593" s="302" t="s">
        <v>10350</v>
      </c>
      <c r="G2593" s="287" t="s">
        <v>15356</v>
      </c>
      <c r="H2593" s="287" t="s">
        <v>10089</v>
      </c>
      <c r="I2593" s="2112">
        <v>45767.0</v>
      </c>
      <c r="J2593" s="290">
        <v>45800.0</v>
      </c>
      <c r="K2593" s="302"/>
      <c r="L2593" s="292" t="s">
        <v>15338</v>
      </c>
      <c r="M2593" s="287" t="s">
        <v>10353</v>
      </c>
      <c r="N2593" s="287" t="s">
        <v>10354</v>
      </c>
      <c r="O2593" s="1555">
        <v>5.0</v>
      </c>
      <c r="P2593" s="287" t="s">
        <v>10355</v>
      </c>
      <c r="Q2593" s="1809" t="str">
        <f t="array" ref="Q2593"> if(iserror(MATCH(V2593, 'File Links'!C:C, 0)), "N/A", HYPERLINK(INDEX('File Links'!B:B, MATCH(P2593, 'File Links'!C:C, 0))))</f>
        <v>https://drive.google.com/file/d/1SAkzHUXu2em_LOpzZzUsNAbEmhFQYt6z/view?usp=drivesdk</v>
      </c>
      <c r="R2593" s="287" t="s">
        <v>15045</v>
      </c>
      <c r="S2593" s="287" t="s">
        <v>10148</v>
      </c>
      <c r="T2593" s="2115" t="s">
        <v>15176</v>
      </c>
      <c r="U2593" s="292">
        <v>9.0</v>
      </c>
      <c r="V2593" s="287" t="s">
        <v>10149</v>
      </c>
      <c r="W2593" s="292" t="s">
        <v>202</v>
      </c>
      <c r="X2593" s="1810" t="str">
        <f t="array" ref="X2593"> if(iserror(MATCH(V2593, 'File Links'!C:C, 0)), "N/A", HYPERLINK(INDEX('File Links'!B:B, MATCH(V2593, 'File Links'!C:C, 0))))</f>
        <v>https://drive.google.com/file/d/1Irbmig3rfLDvz-G09jDAVwJvv1drYEqO/view?usp=drivesdk</v>
      </c>
      <c r="Y2593" s="302"/>
      <c r="Z2593" s="287" t="s">
        <v>2072</v>
      </c>
      <c r="AA2593" s="2132" t="s">
        <v>10356</v>
      </c>
      <c r="AB2593" s="287" t="s">
        <v>15315</v>
      </c>
      <c r="AC2593" s="287" t="s">
        <v>15357</v>
      </c>
      <c r="AD2593" s="287" t="s">
        <v>15358</v>
      </c>
      <c r="AE2593" s="287" t="s">
        <v>15330</v>
      </c>
      <c r="AF2593" s="1555">
        <v>160.0</v>
      </c>
      <c r="AG2593" s="287" t="s">
        <v>15359</v>
      </c>
      <c r="AH2593" s="287" t="s">
        <v>127</v>
      </c>
      <c r="AI2593" s="287" t="s">
        <v>2359</v>
      </c>
      <c r="AJ2593" s="1555">
        <v>0.004</v>
      </c>
      <c r="AK2593" s="287" t="s">
        <v>165</v>
      </c>
      <c r="AL2593" s="287" t="s">
        <v>179</v>
      </c>
      <c r="AM2593" s="287" t="s">
        <v>130</v>
      </c>
      <c r="AN2593" s="466" t="s">
        <v>131</v>
      </c>
      <c r="AO2593" s="1555">
        <v>389.0</v>
      </c>
      <c r="AP2593" s="287" t="s">
        <v>15360</v>
      </c>
      <c r="AQ2593" s="287" t="s">
        <v>127</v>
      </c>
      <c r="AR2593" s="287" t="s">
        <v>2365</v>
      </c>
      <c r="AS2593" s="1555">
        <v>0.283</v>
      </c>
      <c r="AT2593" s="287" t="s">
        <v>165</v>
      </c>
      <c r="AU2593" s="287" t="s">
        <v>179</v>
      </c>
      <c r="AV2593" s="287" t="s">
        <v>130</v>
      </c>
      <c r="AW2593" s="2133" t="s">
        <v>10364</v>
      </c>
      <c r="AX2593" s="287" t="s">
        <v>136</v>
      </c>
      <c r="AY2593" s="305"/>
      <c r="AZ2593" s="284" t="s">
        <v>1263</v>
      </c>
      <c r="BA2593" s="305"/>
      <c r="BB2593" s="305"/>
      <c r="BC2593" s="305"/>
      <c r="BD2593" s="305"/>
      <c r="BE2593" s="305"/>
      <c r="BF2593" s="305"/>
      <c r="BG2593" s="305"/>
      <c r="BH2593" s="305"/>
      <c r="BI2593" s="305"/>
      <c r="BJ2593" s="305"/>
      <c r="BK2593" s="305"/>
      <c r="BL2593" s="305"/>
      <c r="BM2593" s="305"/>
      <c r="BN2593" s="305"/>
      <c r="BO2593" s="305"/>
      <c r="BP2593" s="305"/>
      <c r="BQ2593" s="305"/>
      <c r="BR2593" s="305"/>
      <c r="BS2593" s="305"/>
      <c r="BT2593" s="305"/>
      <c r="BU2593" s="305"/>
      <c r="BV2593" s="305"/>
      <c r="BW2593" s="305"/>
      <c r="BX2593" s="305"/>
      <c r="BY2593" s="305"/>
      <c r="BZ2593" s="305"/>
      <c r="CA2593" s="305"/>
      <c r="CB2593" s="305"/>
      <c r="CC2593" s="305"/>
      <c r="CD2593" s="305"/>
      <c r="CE2593" s="305"/>
      <c r="CF2593" s="305"/>
      <c r="CG2593" s="305"/>
      <c r="CH2593" s="305"/>
      <c r="CI2593" s="305"/>
      <c r="CJ2593" s="305"/>
      <c r="CK2593" s="305"/>
      <c r="CL2593" s="305"/>
      <c r="CM2593" s="305"/>
      <c r="CN2593" s="305"/>
      <c r="CO2593" s="305"/>
      <c r="CP2593" s="305"/>
      <c r="CQ2593" s="305"/>
      <c r="CR2593" s="305"/>
      <c r="CS2593" s="305"/>
      <c r="CT2593" s="305"/>
      <c r="CU2593" s="305"/>
      <c r="CV2593" s="305"/>
      <c r="CW2593" s="305"/>
      <c r="CX2593" s="305"/>
      <c r="CY2593" s="305"/>
      <c r="CZ2593" s="305"/>
      <c r="DA2593" s="305"/>
      <c r="DB2593" s="305"/>
      <c r="DC2593" s="305"/>
      <c r="DD2593" s="305"/>
      <c r="DE2593" s="305"/>
      <c r="DF2593" s="305"/>
      <c r="DG2593" s="305"/>
      <c r="DH2593" s="305"/>
    </row>
    <row r="2594">
      <c r="A2594" s="41">
        <v>2594.0</v>
      </c>
      <c r="B2594" s="126" t="s">
        <v>107</v>
      </c>
      <c r="C2594" s="59" t="s">
        <v>108</v>
      </c>
      <c r="D2594" s="59" t="s">
        <v>138</v>
      </c>
      <c r="F2594" s="65" t="s">
        <v>10350</v>
      </c>
      <c r="G2594" s="357" t="s">
        <v>15361</v>
      </c>
      <c r="H2594" s="357" t="s">
        <v>10089</v>
      </c>
      <c r="I2594" s="341">
        <v>45767.0</v>
      </c>
      <c r="J2594" s="290">
        <v>45800.0</v>
      </c>
      <c r="K2594" s="357" t="s">
        <v>15362</v>
      </c>
      <c r="L2594" s="53" t="s">
        <v>15363</v>
      </c>
      <c r="M2594" s="357" t="s">
        <v>10353</v>
      </c>
      <c r="N2594" s="357" t="s">
        <v>10354</v>
      </c>
      <c r="O2594" s="354">
        <v>5.0</v>
      </c>
      <c r="P2594" s="357" t="s">
        <v>10355</v>
      </c>
      <c r="Q2594" s="49" t="str">
        <f t="array" ref="Q2594"> if(iserror(MATCH(V2594, 'File Links'!C:C, 0)), "N/A", HYPERLINK(INDEX('File Links'!B:B, MATCH(P2594, 'File Links'!C:C, 0))))</f>
        <v>https://drive.google.com/file/d/1SAkzHUXu2em_LOpzZzUsNAbEmhFQYt6z/view?usp=drivesdk</v>
      </c>
      <c r="R2594" s="357" t="s">
        <v>15045</v>
      </c>
      <c r="S2594" s="357" t="s">
        <v>10148</v>
      </c>
      <c r="T2594" s="506" t="s">
        <v>15176</v>
      </c>
      <c r="U2594" s="292">
        <v>9.0</v>
      </c>
      <c r="V2594" s="357" t="s">
        <v>10149</v>
      </c>
      <c r="W2594" s="53" t="s">
        <v>202</v>
      </c>
      <c r="X2594" s="51" t="str">
        <f t="array" ref="X2594"> if(iserror(MATCH(V2594, 'File Links'!C:C, 0)), "N/A", HYPERLINK(INDEX('File Links'!B:B, MATCH(V2594, 'File Links'!C:C, 0))))</f>
        <v>https://drive.google.com/file/d/1Irbmig3rfLDvz-G09jDAVwJvv1drYEqO/view?usp=drivesdk</v>
      </c>
      <c r="Y2594" s="43"/>
      <c r="Z2594" s="357" t="s">
        <v>2072</v>
      </c>
      <c r="AA2594" s="2122" t="s">
        <v>10356</v>
      </c>
      <c r="AB2594" s="357" t="s">
        <v>15315</v>
      </c>
      <c r="AC2594" s="357" t="s">
        <v>15364</v>
      </c>
      <c r="AD2594" s="357" t="s">
        <v>15365</v>
      </c>
      <c r="AE2594" s="357" t="s">
        <v>15330</v>
      </c>
      <c r="AF2594" s="354">
        <v>194.0</v>
      </c>
      <c r="AG2594" s="357" t="s">
        <v>15366</v>
      </c>
      <c r="AH2594" s="357" t="s">
        <v>127</v>
      </c>
      <c r="AI2594" s="357" t="s">
        <v>2359</v>
      </c>
      <c r="AJ2594" s="354">
        <v>0.052</v>
      </c>
      <c r="AK2594" s="357" t="s">
        <v>165</v>
      </c>
      <c r="AL2594" s="357" t="s">
        <v>179</v>
      </c>
      <c r="AM2594" s="357" t="s">
        <v>130</v>
      </c>
      <c r="AN2594" s="466" t="s">
        <v>131</v>
      </c>
      <c r="AO2594" s="354">
        <v>389.0</v>
      </c>
      <c r="AP2594" s="357" t="s">
        <v>15367</v>
      </c>
      <c r="AQ2594" s="357" t="s">
        <v>127</v>
      </c>
      <c r="AR2594" s="357" t="s">
        <v>2365</v>
      </c>
      <c r="AS2594" s="354">
        <v>0.41</v>
      </c>
      <c r="AT2594" s="357" t="s">
        <v>165</v>
      </c>
      <c r="AU2594" s="357" t="s">
        <v>179</v>
      </c>
      <c r="AV2594" s="357" t="s">
        <v>130</v>
      </c>
      <c r="AW2594" s="2131" t="s">
        <v>10364</v>
      </c>
      <c r="AX2594" s="357" t="s">
        <v>136</v>
      </c>
      <c r="AZ2594" s="1623" t="s">
        <v>1263</v>
      </c>
    </row>
    <row r="2595">
      <c r="A2595" s="41">
        <v>2595.0</v>
      </c>
      <c r="B2595" s="1773" t="s">
        <v>145</v>
      </c>
      <c r="C2595" s="1774" t="s">
        <v>108</v>
      </c>
      <c r="D2595" s="1774" t="s">
        <v>138</v>
      </c>
      <c r="E2595" s="1775"/>
      <c r="F2595" s="1785" t="s">
        <v>15038</v>
      </c>
      <c r="G2595" s="1784" t="s">
        <v>15039</v>
      </c>
      <c r="H2595" s="1784" t="s">
        <v>10089</v>
      </c>
      <c r="I2595" s="2116">
        <v>45767.0</v>
      </c>
      <c r="J2595" s="1778">
        <v>45786.0</v>
      </c>
      <c r="K2595" s="1785"/>
      <c r="L2595" s="2117" t="s">
        <v>15368</v>
      </c>
      <c r="M2595" s="1784" t="s">
        <v>15042</v>
      </c>
      <c r="N2595" s="1784" t="s">
        <v>15043</v>
      </c>
      <c r="O2595" s="2081">
        <v>4.0</v>
      </c>
      <c r="P2595" s="1784" t="s">
        <v>15044</v>
      </c>
      <c r="Q2595" s="49" t="str">
        <f t="array" ref="Q2595"> if(iserror(MATCH(V2595, 'File Links'!C:C, 0)), "N/A", HYPERLINK(INDEX('File Links'!B:B, MATCH(P2595, 'File Links'!C:C, 0))))</f>
        <v>https://drive.google.com/file/d/1qQJNn7ZvoufwBSS_pp5Ek1nTMCXq-Gfn/view?usp=drivesdk</v>
      </c>
      <c r="R2595" s="1784" t="s">
        <v>15045</v>
      </c>
      <c r="S2595" s="1784" t="s">
        <v>10148</v>
      </c>
      <c r="T2595" s="2125" t="s">
        <v>15176</v>
      </c>
      <c r="U2595" s="368">
        <v>17.0</v>
      </c>
      <c r="V2595" s="1784" t="s">
        <v>10149</v>
      </c>
      <c r="W2595" s="53" t="s">
        <v>202</v>
      </c>
      <c r="X2595" s="51" t="str">
        <f t="array" ref="X2595"> if(iserror(MATCH(V2595, 'File Links'!C:C, 0)), "N/A", HYPERLINK(INDEX('File Links'!B:B, MATCH(V2595, 'File Links'!C:C, 0))))</f>
        <v>https://drive.google.com/file/d/1Irbmig3rfLDvz-G09jDAVwJvv1drYEqO/view?usp=drivesdk</v>
      </c>
      <c r="Y2595" s="1785"/>
      <c r="Z2595" s="1784" t="s">
        <v>2072</v>
      </c>
      <c r="AA2595" s="1776" t="s">
        <v>15046</v>
      </c>
      <c r="AB2595" s="1784" t="s">
        <v>15057</v>
      </c>
      <c r="AC2595" s="1784" t="s">
        <v>15369</v>
      </c>
      <c r="AD2595" s="1784" t="s">
        <v>15370</v>
      </c>
      <c r="AE2595" s="1784" t="s">
        <v>15371</v>
      </c>
      <c r="AF2595" s="2081">
        <v>198.0</v>
      </c>
      <c r="AG2595" s="2081">
        <v>0.34</v>
      </c>
      <c r="AH2595" s="1784" t="s">
        <v>166</v>
      </c>
      <c r="AI2595" s="1784" t="s">
        <v>300</v>
      </c>
      <c r="AJ2595" s="2081">
        <v>0.03</v>
      </c>
      <c r="AK2595" s="1784" t="s">
        <v>128</v>
      </c>
      <c r="AL2595" s="1784" t="s">
        <v>179</v>
      </c>
      <c r="AM2595" s="1784" t="s">
        <v>134</v>
      </c>
      <c r="AN2595" s="466" t="s">
        <v>131</v>
      </c>
      <c r="AO2595" s="2081">
        <v>573.0</v>
      </c>
      <c r="AP2595" s="1784" t="s">
        <v>15052</v>
      </c>
      <c r="AQ2595" s="1784" t="s">
        <v>127</v>
      </c>
      <c r="AR2595" s="377" t="s">
        <v>15372</v>
      </c>
      <c r="AS2595" s="2081">
        <v>0.377</v>
      </c>
      <c r="AT2595" s="1784" t="s">
        <v>165</v>
      </c>
      <c r="AU2595" s="1784" t="s">
        <v>179</v>
      </c>
      <c r="AV2595" s="1784" t="s">
        <v>134</v>
      </c>
      <c r="AW2595" s="2134" t="s">
        <v>15054</v>
      </c>
      <c r="AX2595" s="1784" t="s">
        <v>136</v>
      </c>
      <c r="AZ2595" s="1774" t="s">
        <v>807</v>
      </c>
      <c r="BA2595" s="1775"/>
      <c r="BB2595" s="1775"/>
      <c r="BC2595" s="1775"/>
      <c r="BD2595" s="1775"/>
      <c r="BE2595" s="1775"/>
      <c r="BF2595" s="1775"/>
      <c r="BG2595" s="1775"/>
      <c r="BH2595" s="1775"/>
      <c r="BI2595" s="1775"/>
      <c r="BJ2595" s="1775"/>
      <c r="BK2595" s="1775"/>
      <c r="BL2595" s="1775"/>
      <c r="BM2595" s="1775"/>
      <c r="BN2595" s="1775"/>
      <c r="BO2595" s="1775"/>
      <c r="BP2595" s="1775"/>
      <c r="BQ2595" s="1775"/>
      <c r="BR2595" s="1775"/>
      <c r="BS2595" s="1775"/>
      <c r="BT2595" s="1775"/>
      <c r="BU2595" s="1775"/>
      <c r="BV2595" s="1775"/>
      <c r="BW2595" s="1775"/>
      <c r="BX2595" s="1775"/>
      <c r="BY2595" s="1775"/>
      <c r="BZ2595" s="1775"/>
      <c r="CA2595" s="1775"/>
      <c r="CB2595" s="1775"/>
      <c r="CC2595" s="1775"/>
      <c r="CD2595" s="1775"/>
      <c r="CE2595" s="1775"/>
      <c r="CF2595" s="1775"/>
      <c r="CG2595" s="1775"/>
      <c r="CH2595" s="1775"/>
      <c r="CI2595" s="1775"/>
      <c r="CJ2595" s="1775"/>
      <c r="CK2595" s="1775"/>
      <c r="CL2595" s="1775"/>
      <c r="CM2595" s="1775"/>
      <c r="CN2595" s="1775"/>
      <c r="CO2595" s="1775"/>
      <c r="CP2595" s="1775"/>
      <c r="CQ2595" s="1775"/>
      <c r="CR2595" s="1775"/>
      <c r="CS2595" s="1775"/>
      <c r="CT2595" s="1775"/>
      <c r="CU2595" s="1775"/>
      <c r="CV2595" s="1775"/>
      <c r="CW2595" s="1775"/>
      <c r="CX2595" s="1775"/>
      <c r="CY2595" s="1775"/>
      <c r="CZ2595" s="1775"/>
      <c r="DA2595" s="1775"/>
      <c r="DB2595" s="1775"/>
      <c r="DC2595" s="1775"/>
      <c r="DD2595" s="1775"/>
      <c r="DE2595" s="1775"/>
      <c r="DF2595" s="1775"/>
      <c r="DG2595" s="1775"/>
      <c r="DH2595" s="1775"/>
    </row>
    <row r="2596">
      <c r="A2596" s="41">
        <v>2596.0</v>
      </c>
      <c r="B2596" s="126" t="s">
        <v>145</v>
      </c>
      <c r="C2596" s="59" t="s">
        <v>108</v>
      </c>
      <c r="D2596" s="59" t="s">
        <v>138</v>
      </c>
      <c r="F2596" s="65" t="s">
        <v>15038</v>
      </c>
      <c r="G2596" s="357" t="s">
        <v>15055</v>
      </c>
      <c r="H2596" s="357" t="s">
        <v>10089</v>
      </c>
      <c r="I2596" s="341">
        <v>45767.0</v>
      </c>
      <c r="J2596" s="1778">
        <v>45786.0</v>
      </c>
      <c r="K2596" s="43"/>
      <c r="L2596" s="2117" t="s">
        <v>15373</v>
      </c>
      <c r="M2596" s="357" t="s">
        <v>15042</v>
      </c>
      <c r="N2596" s="357" t="s">
        <v>15043</v>
      </c>
      <c r="O2596" s="354">
        <v>4.0</v>
      </c>
      <c r="P2596" s="357" t="s">
        <v>15044</v>
      </c>
      <c r="Q2596" s="49" t="str">
        <f t="array" ref="Q2596"> if(iserror(MATCH(V2596, 'File Links'!C:C, 0)), "N/A", HYPERLINK(INDEX('File Links'!B:B, MATCH(P2596, 'File Links'!C:C, 0))))</f>
        <v>https://drive.google.com/file/d/1qQJNn7ZvoufwBSS_pp5Ek1nTMCXq-Gfn/view?usp=drivesdk</v>
      </c>
      <c r="R2596" s="357" t="s">
        <v>15045</v>
      </c>
      <c r="S2596" s="357" t="s">
        <v>10148</v>
      </c>
      <c r="T2596" s="506" t="s">
        <v>15176</v>
      </c>
      <c r="U2596" s="368">
        <v>17.0</v>
      </c>
      <c r="V2596" s="357" t="s">
        <v>10149</v>
      </c>
      <c r="W2596" s="53" t="s">
        <v>202</v>
      </c>
      <c r="X2596" s="51" t="str">
        <f t="array" ref="X2596"> if(iserror(MATCH(V2596, 'File Links'!C:C, 0)), "N/A", HYPERLINK(INDEX('File Links'!B:B, MATCH(V2596, 'File Links'!C:C, 0))))</f>
        <v>https://drive.google.com/file/d/1Irbmig3rfLDvz-G09jDAVwJvv1drYEqO/view?usp=drivesdk</v>
      </c>
      <c r="Y2596" s="43"/>
      <c r="Z2596" s="357" t="s">
        <v>2072</v>
      </c>
      <c r="AA2596" s="340" t="s">
        <v>15046</v>
      </c>
      <c r="AB2596" s="357" t="s">
        <v>15057</v>
      </c>
      <c r="AC2596" s="357" t="s">
        <v>15374</v>
      </c>
      <c r="AD2596" s="357" t="s">
        <v>15375</v>
      </c>
      <c r="AE2596" s="354">
        <v>11.0</v>
      </c>
      <c r="AF2596" s="354">
        <v>198.0</v>
      </c>
      <c r="AG2596" s="357" t="s">
        <v>15376</v>
      </c>
      <c r="AH2596" s="357" t="s">
        <v>127</v>
      </c>
      <c r="AI2596" s="357" t="s">
        <v>300</v>
      </c>
      <c r="AJ2596" s="354">
        <v>0.02</v>
      </c>
      <c r="AK2596" s="357" t="s">
        <v>128</v>
      </c>
      <c r="AL2596" s="357" t="s">
        <v>179</v>
      </c>
      <c r="AM2596" s="357" t="s">
        <v>134</v>
      </c>
      <c r="AN2596" s="466" t="s">
        <v>131</v>
      </c>
      <c r="AO2596" s="354">
        <v>573.0</v>
      </c>
      <c r="AP2596" s="357" t="s">
        <v>15377</v>
      </c>
      <c r="AQ2596" s="357" t="s">
        <v>127</v>
      </c>
      <c r="AR2596" s="357" t="s">
        <v>2300</v>
      </c>
      <c r="AS2596" s="354">
        <v>0.059</v>
      </c>
      <c r="AT2596" s="357" t="s">
        <v>165</v>
      </c>
      <c r="AU2596" s="357" t="s">
        <v>179</v>
      </c>
      <c r="AV2596" s="357" t="s">
        <v>134</v>
      </c>
      <c r="AW2596" s="1637" t="s">
        <v>15054</v>
      </c>
      <c r="AX2596" s="357" t="s">
        <v>136</v>
      </c>
      <c r="AZ2596" s="1774" t="s">
        <v>807</v>
      </c>
    </row>
    <row r="2597">
      <c r="A2597" s="41">
        <v>2597.0</v>
      </c>
      <c r="B2597" s="126" t="s">
        <v>145</v>
      </c>
      <c r="C2597" s="59" t="s">
        <v>108</v>
      </c>
      <c r="D2597" s="59" t="s">
        <v>138</v>
      </c>
      <c r="F2597" s="43" t="s">
        <v>15038</v>
      </c>
      <c r="G2597" s="357" t="s">
        <v>15061</v>
      </c>
      <c r="H2597" s="357" t="s">
        <v>10089</v>
      </c>
      <c r="I2597" s="341">
        <v>45767.0</v>
      </c>
      <c r="J2597" s="1778">
        <v>45786.0</v>
      </c>
      <c r="K2597" s="43"/>
      <c r="L2597" s="53" t="s">
        <v>15378</v>
      </c>
      <c r="M2597" s="357" t="s">
        <v>15042</v>
      </c>
      <c r="N2597" s="357" t="s">
        <v>15043</v>
      </c>
      <c r="O2597" s="354">
        <v>4.0</v>
      </c>
      <c r="P2597" s="357" t="s">
        <v>15044</v>
      </c>
      <c r="Q2597" s="49" t="str">
        <f t="array" ref="Q2597"> if(iserror(MATCH(V2597, 'File Links'!C:C, 0)), "N/A", HYPERLINK(INDEX('File Links'!B:B, MATCH(P2597, 'File Links'!C:C, 0))))</f>
        <v>https://drive.google.com/file/d/1qQJNn7ZvoufwBSS_pp5Ek1nTMCXq-Gfn/view?usp=drivesdk</v>
      </c>
      <c r="R2597" s="357" t="s">
        <v>15045</v>
      </c>
      <c r="S2597" s="357" t="s">
        <v>10148</v>
      </c>
      <c r="T2597" s="506" t="s">
        <v>15176</v>
      </c>
      <c r="U2597" s="368">
        <v>17.0</v>
      </c>
      <c r="V2597" s="357" t="s">
        <v>10149</v>
      </c>
      <c r="W2597" s="53" t="s">
        <v>202</v>
      </c>
      <c r="X2597" s="51" t="str">
        <f t="array" ref="X2597"> if(iserror(MATCH(V2597, 'File Links'!C:C, 0)), "N/A", HYPERLINK(INDEX('File Links'!B:B, MATCH(V2597, 'File Links'!C:C, 0))))</f>
        <v>https://drive.google.com/file/d/1Irbmig3rfLDvz-G09jDAVwJvv1drYEqO/view?usp=drivesdk</v>
      </c>
      <c r="Y2597" s="43"/>
      <c r="Z2597" s="357" t="s">
        <v>2072</v>
      </c>
      <c r="AA2597" s="340" t="s">
        <v>15046</v>
      </c>
      <c r="AB2597" s="357" t="s">
        <v>15057</v>
      </c>
      <c r="AC2597" s="357" t="s">
        <v>15379</v>
      </c>
      <c r="AD2597" s="357" t="s">
        <v>15380</v>
      </c>
      <c r="AE2597" s="354">
        <v>11.0</v>
      </c>
      <c r="AF2597" s="354">
        <v>198.0</v>
      </c>
      <c r="AG2597" s="377" t="s">
        <v>15381</v>
      </c>
      <c r="AH2597" s="357" t="s">
        <v>127</v>
      </c>
      <c r="AI2597" s="357" t="s">
        <v>300</v>
      </c>
      <c r="AJ2597" s="354">
        <v>0.001</v>
      </c>
      <c r="AK2597" s="357" t="s">
        <v>128</v>
      </c>
      <c r="AL2597" s="357" t="s">
        <v>179</v>
      </c>
      <c r="AM2597" s="357" t="s">
        <v>134</v>
      </c>
      <c r="AN2597" s="466" t="s">
        <v>131</v>
      </c>
      <c r="AO2597" s="354">
        <v>573.0</v>
      </c>
      <c r="AP2597" s="357" t="s">
        <v>15066</v>
      </c>
      <c r="AQ2597" s="357" t="s">
        <v>127</v>
      </c>
      <c r="AR2597" s="357" t="s">
        <v>2300</v>
      </c>
      <c r="AS2597" s="354">
        <v>0.312</v>
      </c>
      <c r="AT2597" s="357" t="s">
        <v>165</v>
      </c>
      <c r="AU2597" s="357" t="s">
        <v>179</v>
      </c>
      <c r="AV2597" s="357" t="s">
        <v>134</v>
      </c>
      <c r="AW2597" s="1637" t="s">
        <v>15054</v>
      </c>
      <c r="AX2597" s="357" t="s">
        <v>136</v>
      </c>
      <c r="AZ2597" s="1774" t="s">
        <v>807</v>
      </c>
    </row>
    <row r="2598">
      <c r="A2598" s="41">
        <v>2598.0</v>
      </c>
      <c r="B2598" s="1773" t="s">
        <v>145</v>
      </c>
      <c r="C2598" s="1774" t="s">
        <v>108</v>
      </c>
      <c r="D2598" s="1774" t="s">
        <v>138</v>
      </c>
      <c r="E2598" s="1775"/>
      <c r="F2598" s="1785" t="s">
        <v>15038</v>
      </c>
      <c r="G2598" s="1784" t="s">
        <v>15067</v>
      </c>
      <c r="H2598" s="1784" t="s">
        <v>10089</v>
      </c>
      <c r="I2598" s="2116">
        <v>45767.0</v>
      </c>
      <c r="J2598" s="1778">
        <v>45786.0</v>
      </c>
      <c r="K2598" s="1785"/>
      <c r="L2598" s="2117" t="s">
        <v>15373</v>
      </c>
      <c r="M2598" s="1784" t="s">
        <v>15042</v>
      </c>
      <c r="N2598" s="1784" t="s">
        <v>15043</v>
      </c>
      <c r="O2598" s="2081">
        <v>4.0</v>
      </c>
      <c r="P2598" s="1784" t="s">
        <v>15044</v>
      </c>
      <c r="Q2598" s="49" t="str">
        <f t="array" ref="Q2598"> if(iserror(MATCH(V2598, 'File Links'!C:C, 0)), "N/A", HYPERLINK(INDEX('File Links'!B:B, MATCH(P2598, 'File Links'!C:C, 0))))</f>
        <v>https://drive.google.com/file/d/1qQJNn7ZvoufwBSS_pp5Ek1nTMCXq-Gfn/view?usp=drivesdk</v>
      </c>
      <c r="R2598" s="1784" t="s">
        <v>15045</v>
      </c>
      <c r="S2598" s="1784" t="s">
        <v>10148</v>
      </c>
      <c r="T2598" s="2125" t="s">
        <v>15176</v>
      </c>
      <c r="U2598" s="368">
        <v>17.0</v>
      </c>
      <c r="V2598" s="1784" t="s">
        <v>10149</v>
      </c>
      <c r="W2598" s="53" t="s">
        <v>202</v>
      </c>
      <c r="X2598" s="51" t="str">
        <f t="array" ref="X2598"> if(iserror(MATCH(V2598, 'File Links'!C:C, 0)), "N/A", HYPERLINK(INDEX('File Links'!B:B, MATCH(V2598, 'File Links'!C:C, 0))))</f>
        <v>https://drive.google.com/file/d/1Irbmig3rfLDvz-G09jDAVwJvv1drYEqO/view?usp=drivesdk</v>
      </c>
      <c r="Y2598" s="1785"/>
      <c r="Z2598" s="1784" t="s">
        <v>2072</v>
      </c>
      <c r="AA2598" s="1776" t="s">
        <v>15046</v>
      </c>
      <c r="AB2598" s="1784" t="s">
        <v>15057</v>
      </c>
      <c r="AC2598" s="1784" t="s">
        <v>15382</v>
      </c>
      <c r="AD2598" s="1784" t="s">
        <v>15383</v>
      </c>
      <c r="AE2598" s="2081">
        <v>11.0</v>
      </c>
      <c r="AF2598" s="2081">
        <v>198.0</v>
      </c>
      <c r="AG2598" s="1776" t="s">
        <v>15069</v>
      </c>
      <c r="AH2598" s="1784" t="s">
        <v>127</v>
      </c>
      <c r="AI2598" s="1784" t="s">
        <v>300</v>
      </c>
      <c r="AJ2598" s="2081">
        <v>0.9</v>
      </c>
      <c r="AK2598" s="1784" t="s">
        <v>328</v>
      </c>
      <c r="AL2598" s="1784" t="s">
        <v>179</v>
      </c>
      <c r="AM2598" s="1784" t="s">
        <v>134</v>
      </c>
      <c r="AN2598" s="466" t="s">
        <v>131</v>
      </c>
      <c r="AO2598" s="2081">
        <v>573.0</v>
      </c>
      <c r="AP2598" s="1784" t="s">
        <v>15384</v>
      </c>
      <c r="AQ2598" s="1784" t="s">
        <v>127</v>
      </c>
      <c r="AR2598" s="1784" t="s">
        <v>2300</v>
      </c>
      <c r="AS2598" s="2081">
        <v>0.046</v>
      </c>
      <c r="AT2598" s="1784" t="s">
        <v>165</v>
      </c>
      <c r="AU2598" s="1784" t="s">
        <v>179</v>
      </c>
      <c r="AV2598" s="1784" t="s">
        <v>134</v>
      </c>
      <c r="AW2598" s="2134" t="s">
        <v>15054</v>
      </c>
      <c r="AX2598" s="1784" t="s">
        <v>136</v>
      </c>
      <c r="AZ2598" s="1774" t="s">
        <v>807</v>
      </c>
      <c r="BA2598" s="1775"/>
      <c r="BB2598" s="1775"/>
      <c r="BC2598" s="1775"/>
      <c r="BD2598" s="1775"/>
      <c r="BE2598" s="1775"/>
      <c r="BF2598" s="1775"/>
      <c r="BG2598" s="1775"/>
      <c r="BH2598" s="1775"/>
      <c r="BI2598" s="1775"/>
      <c r="BJ2598" s="1775"/>
      <c r="BK2598" s="1775"/>
      <c r="BL2598" s="1775"/>
      <c r="BM2598" s="1775"/>
      <c r="BN2598" s="1775"/>
      <c r="BO2598" s="1775"/>
      <c r="BP2598" s="1775"/>
      <c r="BQ2598" s="1775"/>
      <c r="BR2598" s="1775"/>
      <c r="BS2598" s="1775"/>
      <c r="BT2598" s="1775"/>
      <c r="BU2598" s="1775"/>
      <c r="BV2598" s="1775"/>
      <c r="BW2598" s="1775"/>
      <c r="BX2598" s="1775"/>
      <c r="BY2598" s="1775"/>
      <c r="BZ2598" s="1775"/>
      <c r="CA2598" s="1775"/>
      <c r="CB2598" s="1775"/>
      <c r="CC2598" s="1775"/>
      <c r="CD2598" s="1775"/>
      <c r="CE2598" s="1775"/>
      <c r="CF2598" s="1775"/>
      <c r="CG2598" s="1775"/>
      <c r="CH2598" s="1775"/>
      <c r="CI2598" s="1775"/>
      <c r="CJ2598" s="1775"/>
      <c r="CK2598" s="1775"/>
      <c r="CL2598" s="1775"/>
      <c r="CM2598" s="1775"/>
      <c r="CN2598" s="1775"/>
      <c r="CO2598" s="1775"/>
      <c r="CP2598" s="1775"/>
      <c r="CQ2598" s="1775"/>
      <c r="CR2598" s="1775"/>
      <c r="CS2598" s="1775"/>
      <c r="CT2598" s="1775"/>
      <c r="CU2598" s="1775"/>
      <c r="CV2598" s="1775"/>
      <c r="CW2598" s="1775"/>
      <c r="CX2598" s="1775"/>
      <c r="CY2598" s="1775"/>
      <c r="CZ2598" s="1775"/>
      <c r="DA2598" s="1775"/>
      <c r="DB2598" s="1775"/>
      <c r="DC2598" s="1775"/>
      <c r="DD2598" s="1775"/>
      <c r="DE2598" s="1775"/>
      <c r="DF2598" s="1775"/>
      <c r="DG2598" s="1775"/>
      <c r="DH2598" s="1775"/>
    </row>
    <row r="2599">
      <c r="A2599" s="41">
        <v>2599.0</v>
      </c>
      <c r="B2599" s="1059" t="s">
        <v>107</v>
      </c>
      <c r="C2599" s="1060" t="s">
        <v>108</v>
      </c>
      <c r="D2599" s="1060" t="s">
        <v>138</v>
      </c>
      <c r="E2599" s="1061"/>
      <c r="F2599" s="1062" t="s">
        <v>15087</v>
      </c>
      <c r="G2599" s="701" t="s">
        <v>15088</v>
      </c>
      <c r="H2599" s="701" t="s">
        <v>10089</v>
      </c>
      <c r="I2599" s="1065">
        <v>45767.0</v>
      </c>
      <c r="J2599" s="1778">
        <v>45786.0</v>
      </c>
      <c r="K2599" s="1062"/>
      <c r="L2599" s="2117" t="s">
        <v>15373</v>
      </c>
      <c r="M2599" s="701" t="s">
        <v>15090</v>
      </c>
      <c r="N2599" s="701" t="s">
        <v>15091</v>
      </c>
      <c r="O2599" s="1067">
        <v>2.0</v>
      </c>
      <c r="P2599" s="701" t="s">
        <v>15092</v>
      </c>
      <c r="Q2599" s="49" t="str">
        <f t="array" ref="Q2599"> if(iserror(MATCH(V2599, 'File Links'!C:C, 0)), "N/A", HYPERLINK(INDEX('File Links'!B:B, MATCH(P2599, 'File Links'!C:C, 0))))</f>
        <v>https://drive.google.com/file/d/1H17uMt3lEFj60TgPCBKsbQYCGkxU4ctv/view?usp=drivesdk</v>
      </c>
      <c r="R2599" s="701" t="s">
        <v>15045</v>
      </c>
      <c r="S2599" s="701" t="s">
        <v>10148</v>
      </c>
      <c r="T2599" s="1069" t="s">
        <v>15176</v>
      </c>
      <c r="U2599" s="368">
        <v>31.0</v>
      </c>
      <c r="V2599" s="701" t="s">
        <v>10149</v>
      </c>
      <c r="W2599" s="53" t="s">
        <v>202</v>
      </c>
      <c r="X2599" s="51" t="str">
        <f t="array" ref="X2599"> if(iserror(MATCH(V2599, 'File Links'!C:C, 0)), "N/A", HYPERLINK(INDEX('File Links'!B:B, MATCH(V2599, 'File Links'!C:C, 0))))</f>
        <v>https://drive.google.com/file/d/1Irbmig3rfLDvz-G09jDAVwJvv1drYEqO/view?usp=drivesdk</v>
      </c>
      <c r="Y2599" s="1062"/>
      <c r="Z2599" s="701" t="s">
        <v>2072</v>
      </c>
      <c r="AA2599" s="1776" t="s">
        <v>15093</v>
      </c>
      <c r="AB2599" s="701" t="s">
        <v>15094</v>
      </c>
      <c r="AC2599" s="701" t="s">
        <v>15385</v>
      </c>
      <c r="AD2599" s="701" t="s">
        <v>15386</v>
      </c>
      <c r="AE2599" s="1067">
        <v>6.0</v>
      </c>
      <c r="AF2599" s="1067">
        <v>200.0</v>
      </c>
      <c r="AG2599" s="701" t="s">
        <v>15097</v>
      </c>
      <c r="AH2599" s="701" t="s">
        <v>127</v>
      </c>
      <c r="AI2599" s="701" t="s">
        <v>133</v>
      </c>
      <c r="AJ2599" s="1067">
        <v>0.05</v>
      </c>
      <c r="AK2599" s="701" t="s">
        <v>165</v>
      </c>
      <c r="AL2599" s="701" t="s">
        <v>179</v>
      </c>
      <c r="AM2599" s="701" t="s">
        <v>130</v>
      </c>
      <c r="AN2599" s="466" t="s">
        <v>131</v>
      </c>
      <c r="AO2599" s="1067">
        <v>595.0</v>
      </c>
      <c r="AP2599" s="1067">
        <v>0.003</v>
      </c>
      <c r="AQ2599" s="701" t="s">
        <v>166</v>
      </c>
      <c r="AR2599" s="701" t="s">
        <v>641</v>
      </c>
      <c r="AS2599" s="1067">
        <v>0.097</v>
      </c>
      <c r="AT2599" s="701" t="s">
        <v>165</v>
      </c>
      <c r="AU2599" s="701" t="s">
        <v>179</v>
      </c>
      <c r="AV2599" s="701" t="s">
        <v>130</v>
      </c>
      <c r="AW2599" s="2135" t="s">
        <v>15387</v>
      </c>
      <c r="AX2599" s="701" t="s">
        <v>136</v>
      </c>
      <c r="AZ2599" s="1060" t="s">
        <v>1263</v>
      </c>
      <c r="BA2599" s="1061"/>
      <c r="BB2599" s="1061"/>
      <c r="BC2599" s="1061"/>
      <c r="BD2599" s="1061"/>
      <c r="BE2599" s="1061"/>
      <c r="BF2599" s="1061"/>
      <c r="BG2599" s="1061"/>
      <c r="BH2599" s="1061"/>
      <c r="BI2599" s="1061"/>
      <c r="BJ2599" s="1061"/>
      <c r="BK2599" s="1061"/>
      <c r="BL2599" s="1061"/>
      <c r="BM2599" s="1061"/>
      <c r="BN2599" s="1061"/>
      <c r="BO2599" s="1061"/>
      <c r="BP2599" s="1061"/>
      <c r="BQ2599" s="1061"/>
      <c r="BR2599" s="1061"/>
      <c r="BS2599" s="1061"/>
      <c r="BT2599" s="1061"/>
      <c r="BU2599" s="1061"/>
      <c r="BV2599" s="1061"/>
      <c r="BW2599" s="1061"/>
      <c r="BX2599" s="1061"/>
      <c r="BY2599" s="1061"/>
      <c r="BZ2599" s="1061"/>
      <c r="CA2599" s="1061"/>
      <c r="CB2599" s="1061"/>
      <c r="CC2599" s="1061"/>
      <c r="CD2599" s="1061"/>
      <c r="CE2599" s="1061"/>
      <c r="CF2599" s="1061"/>
      <c r="CG2599" s="1061"/>
      <c r="CH2599" s="1061"/>
      <c r="CI2599" s="1061"/>
      <c r="CJ2599" s="1061"/>
      <c r="CK2599" s="1061"/>
      <c r="CL2599" s="1061"/>
      <c r="CM2599" s="1061"/>
      <c r="CN2599" s="1061"/>
      <c r="CO2599" s="1061"/>
      <c r="CP2599" s="1061"/>
      <c r="CQ2599" s="1061"/>
      <c r="CR2599" s="1061"/>
      <c r="CS2599" s="1061"/>
      <c r="CT2599" s="1061"/>
      <c r="CU2599" s="1061"/>
      <c r="CV2599" s="1061"/>
      <c r="CW2599" s="1061"/>
      <c r="CX2599" s="1061"/>
      <c r="CY2599" s="1061"/>
      <c r="CZ2599" s="1061"/>
      <c r="DA2599" s="1061"/>
      <c r="DB2599" s="1061"/>
      <c r="DC2599" s="1061"/>
      <c r="DD2599" s="1061"/>
      <c r="DE2599" s="1061"/>
      <c r="DF2599" s="1061"/>
      <c r="DG2599" s="1061"/>
      <c r="DH2599" s="1061"/>
    </row>
    <row r="2600">
      <c r="A2600" s="41">
        <v>2600.0</v>
      </c>
      <c r="B2600" s="1059" t="s">
        <v>107</v>
      </c>
      <c r="C2600" s="1060" t="s">
        <v>108</v>
      </c>
      <c r="D2600" s="1060" t="s">
        <v>138</v>
      </c>
      <c r="E2600" s="1061"/>
      <c r="F2600" s="1062" t="s">
        <v>15087</v>
      </c>
      <c r="G2600" s="701" t="s">
        <v>15101</v>
      </c>
      <c r="H2600" s="701" t="s">
        <v>10089</v>
      </c>
      <c r="I2600" s="1065">
        <v>45767.0</v>
      </c>
      <c r="J2600" s="1778">
        <v>45786.0</v>
      </c>
      <c r="K2600" s="1062"/>
      <c r="L2600" s="2117" t="s">
        <v>15373</v>
      </c>
      <c r="M2600" s="701" t="s">
        <v>15090</v>
      </c>
      <c r="N2600" s="701" t="s">
        <v>15091</v>
      </c>
      <c r="O2600" s="1067">
        <v>2.0</v>
      </c>
      <c r="P2600" s="701" t="s">
        <v>15092</v>
      </c>
      <c r="Q2600" s="49" t="str">
        <f t="array" ref="Q2600"> if(iserror(MATCH(V2600, 'File Links'!C:C, 0)), "N/A", HYPERLINK(INDEX('File Links'!B:B, MATCH(P2600, 'File Links'!C:C, 0))))</f>
        <v>https://drive.google.com/file/d/1H17uMt3lEFj60TgPCBKsbQYCGkxU4ctv/view?usp=drivesdk</v>
      </c>
      <c r="R2600" s="701" t="s">
        <v>15045</v>
      </c>
      <c r="S2600" s="701" t="s">
        <v>10148</v>
      </c>
      <c r="T2600" s="1069" t="s">
        <v>15176</v>
      </c>
      <c r="U2600" s="1059">
        <v>31.0</v>
      </c>
      <c r="V2600" s="701" t="s">
        <v>10149</v>
      </c>
      <c r="W2600" s="53" t="s">
        <v>202</v>
      </c>
      <c r="X2600" s="51" t="str">
        <f t="array" ref="X2600"> if(iserror(MATCH(V2600, 'File Links'!C:C, 0)), "N/A", HYPERLINK(INDEX('File Links'!B:B, MATCH(V2600, 'File Links'!C:C, 0))))</f>
        <v>https://drive.google.com/file/d/1Irbmig3rfLDvz-G09jDAVwJvv1drYEqO/view?usp=drivesdk</v>
      </c>
      <c r="Y2600" s="1062"/>
      <c r="Z2600" s="701" t="s">
        <v>2072</v>
      </c>
      <c r="AA2600" s="1776" t="s">
        <v>15093</v>
      </c>
      <c r="AB2600" s="701" t="s">
        <v>15094</v>
      </c>
      <c r="AC2600" s="701" t="s">
        <v>15388</v>
      </c>
      <c r="AD2600" s="701" t="s">
        <v>15389</v>
      </c>
      <c r="AE2600" s="1067">
        <v>6.0</v>
      </c>
      <c r="AF2600" s="1067">
        <v>200.0</v>
      </c>
      <c r="AG2600" s="701" t="s">
        <v>15103</v>
      </c>
      <c r="AH2600" s="701" t="s">
        <v>127</v>
      </c>
      <c r="AI2600" s="701" t="s">
        <v>133</v>
      </c>
      <c r="AJ2600" s="1067">
        <v>0.028</v>
      </c>
      <c r="AK2600" s="701" t="s">
        <v>165</v>
      </c>
      <c r="AL2600" s="701" t="s">
        <v>179</v>
      </c>
      <c r="AM2600" s="701" t="s">
        <v>130</v>
      </c>
      <c r="AN2600" s="466" t="s">
        <v>131</v>
      </c>
      <c r="AO2600" s="1067">
        <v>595.0</v>
      </c>
      <c r="AP2600" s="701" t="s">
        <v>15390</v>
      </c>
      <c r="AQ2600" s="701" t="s">
        <v>127</v>
      </c>
      <c r="AR2600" s="701" t="s">
        <v>641</v>
      </c>
      <c r="AS2600" s="1067">
        <v>0.3</v>
      </c>
      <c r="AT2600" s="701" t="s">
        <v>165</v>
      </c>
      <c r="AU2600" s="701" t="s">
        <v>179</v>
      </c>
      <c r="AV2600" s="701" t="s">
        <v>130</v>
      </c>
      <c r="AW2600" s="2135" t="s">
        <v>15387</v>
      </c>
      <c r="AX2600" s="701" t="s">
        <v>136</v>
      </c>
      <c r="AZ2600" s="1060" t="s">
        <v>1263</v>
      </c>
      <c r="BA2600" s="1061"/>
      <c r="BB2600" s="1061"/>
      <c r="BC2600" s="1061"/>
      <c r="BD2600" s="1061"/>
      <c r="BE2600" s="1061"/>
      <c r="BF2600" s="1061"/>
      <c r="BG2600" s="1061"/>
      <c r="BH2600" s="1061"/>
      <c r="BI2600" s="1061"/>
      <c r="BJ2600" s="1061"/>
      <c r="BK2600" s="1061"/>
      <c r="BL2600" s="1061"/>
      <c r="BM2600" s="1061"/>
      <c r="BN2600" s="1061"/>
      <c r="BO2600" s="1061"/>
      <c r="BP2600" s="1061"/>
      <c r="BQ2600" s="1061"/>
      <c r="BR2600" s="1061"/>
      <c r="BS2600" s="1061"/>
      <c r="BT2600" s="1061"/>
      <c r="BU2600" s="1061"/>
      <c r="BV2600" s="1061"/>
      <c r="BW2600" s="1061"/>
      <c r="BX2600" s="1061"/>
      <c r="BY2600" s="1061"/>
      <c r="BZ2600" s="1061"/>
      <c r="CA2600" s="1061"/>
      <c r="CB2600" s="1061"/>
      <c r="CC2600" s="1061"/>
      <c r="CD2600" s="1061"/>
      <c r="CE2600" s="1061"/>
      <c r="CF2600" s="1061"/>
      <c r="CG2600" s="1061"/>
      <c r="CH2600" s="1061"/>
      <c r="CI2600" s="1061"/>
      <c r="CJ2600" s="1061"/>
      <c r="CK2600" s="1061"/>
      <c r="CL2600" s="1061"/>
      <c r="CM2600" s="1061"/>
      <c r="CN2600" s="1061"/>
      <c r="CO2600" s="1061"/>
      <c r="CP2600" s="1061"/>
      <c r="CQ2600" s="1061"/>
      <c r="CR2600" s="1061"/>
      <c r="CS2600" s="1061"/>
      <c r="CT2600" s="1061"/>
      <c r="CU2600" s="1061"/>
      <c r="CV2600" s="1061"/>
      <c r="CW2600" s="1061"/>
      <c r="CX2600" s="1061"/>
      <c r="CY2600" s="1061"/>
      <c r="CZ2600" s="1061"/>
      <c r="DA2600" s="1061"/>
      <c r="DB2600" s="1061"/>
      <c r="DC2600" s="1061"/>
      <c r="DD2600" s="1061"/>
      <c r="DE2600" s="1061"/>
      <c r="DF2600" s="1061"/>
      <c r="DG2600" s="1061"/>
      <c r="DH2600" s="1061"/>
    </row>
    <row r="2601">
      <c r="A2601" s="41">
        <v>2601.0</v>
      </c>
      <c r="B2601" s="1059" t="s">
        <v>107</v>
      </c>
      <c r="C2601" s="1060" t="s">
        <v>108</v>
      </c>
      <c r="D2601" s="1060" t="s">
        <v>138</v>
      </c>
      <c r="E2601" s="1061"/>
      <c r="F2601" s="1062" t="s">
        <v>15087</v>
      </c>
      <c r="G2601" s="701" t="s">
        <v>15107</v>
      </c>
      <c r="H2601" s="701" t="s">
        <v>10089</v>
      </c>
      <c r="I2601" s="1065">
        <v>45767.0</v>
      </c>
      <c r="J2601" s="1778">
        <v>45786.0</v>
      </c>
      <c r="K2601" s="1062"/>
      <c r="L2601" s="2117" t="s">
        <v>15373</v>
      </c>
      <c r="M2601" s="701" t="s">
        <v>15090</v>
      </c>
      <c r="N2601" s="701" t="s">
        <v>15091</v>
      </c>
      <c r="O2601" s="1067">
        <v>2.0</v>
      </c>
      <c r="P2601" s="701" t="s">
        <v>15092</v>
      </c>
      <c r="Q2601" s="49" t="str">
        <f t="array" ref="Q2601"> if(iserror(MATCH(V2601, 'File Links'!C:C, 0)), "N/A", HYPERLINK(INDEX('File Links'!B:B, MATCH(P2601, 'File Links'!C:C, 0))))</f>
        <v>https://drive.google.com/file/d/1H17uMt3lEFj60TgPCBKsbQYCGkxU4ctv/view?usp=drivesdk</v>
      </c>
      <c r="R2601" s="701" t="s">
        <v>15045</v>
      </c>
      <c r="S2601" s="701" t="s">
        <v>10148</v>
      </c>
      <c r="T2601" s="1069" t="s">
        <v>15176</v>
      </c>
      <c r="U2601" s="1059">
        <v>31.0</v>
      </c>
      <c r="V2601" s="701" t="s">
        <v>10149</v>
      </c>
      <c r="W2601" s="53" t="s">
        <v>202</v>
      </c>
      <c r="X2601" s="51" t="str">
        <f t="array" ref="X2601"> if(iserror(MATCH(V2601, 'File Links'!C:C, 0)), "N/A", HYPERLINK(INDEX('File Links'!B:B, MATCH(V2601, 'File Links'!C:C, 0))))</f>
        <v>https://drive.google.com/file/d/1Irbmig3rfLDvz-G09jDAVwJvv1drYEqO/view?usp=drivesdk</v>
      </c>
      <c r="Y2601" s="1062"/>
      <c r="Z2601" s="701" t="s">
        <v>2072</v>
      </c>
      <c r="AA2601" s="1776" t="s">
        <v>15093</v>
      </c>
      <c r="AB2601" s="701" t="s">
        <v>15094</v>
      </c>
      <c r="AC2601" s="701" t="s">
        <v>15391</v>
      </c>
      <c r="AD2601" s="701" t="s">
        <v>15392</v>
      </c>
      <c r="AE2601" s="1067">
        <v>6.0</v>
      </c>
      <c r="AF2601" s="1067">
        <v>200.0</v>
      </c>
      <c r="AG2601" s="701" t="s">
        <v>15109</v>
      </c>
      <c r="AH2601" s="701" t="s">
        <v>127</v>
      </c>
      <c r="AI2601" s="701" t="s">
        <v>133</v>
      </c>
      <c r="AJ2601" s="1067">
        <v>0.149</v>
      </c>
      <c r="AK2601" s="701" t="s">
        <v>165</v>
      </c>
      <c r="AL2601" s="701" t="s">
        <v>179</v>
      </c>
      <c r="AM2601" s="701" t="s">
        <v>130</v>
      </c>
      <c r="AN2601" s="466" t="s">
        <v>131</v>
      </c>
      <c r="AO2601" s="1067">
        <v>595.0</v>
      </c>
      <c r="AP2601" s="701" t="s">
        <v>15393</v>
      </c>
      <c r="AQ2601" s="701" t="s">
        <v>127</v>
      </c>
      <c r="AR2601" s="701" t="s">
        <v>641</v>
      </c>
      <c r="AS2601" s="1067">
        <v>0.83</v>
      </c>
      <c r="AT2601" s="701" t="s">
        <v>165</v>
      </c>
      <c r="AU2601" s="701" t="s">
        <v>179</v>
      </c>
      <c r="AV2601" s="701" t="s">
        <v>130</v>
      </c>
      <c r="AW2601" s="2135" t="s">
        <v>15387</v>
      </c>
      <c r="AX2601" s="701" t="s">
        <v>136</v>
      </c>
      <c r="AZ2601" s="1060" t="s">
        <v>1263</v>
      </c>
      <c r="BA2601" s="1061"/>
      <c r="BB2601" s="1061"/>
      <c r="BC2601" s="1061"/>
      <c r="BD2601" s="1061"/>
      <c r="BE2601" s="1061"/>
      <c r="BF2601" s="1061"/>
      <c r="BG2601" s="1061"/>
      <c r="BH2601" s="1061"/>
      <c r="BI2601" s="1061"/>
      <c r="BJ2601" s="1061"/>
      <c r="BK2601" s="1061"/>
      <c r="BL2601" s="1061"/>
      <c r="BM2601" s="1061"/>
      <c r="BN2601" s="1061"/>
      <c r="BO2601" s="1061"/>
      <c r="BP2601" s="1061"/>
      <c r="BQ2601" s="1061"/>
      <c r="BR2601" s="1061"/>
      <c r="BS2601" s="1061"/>
      <c r="BT2601" s="1061"/>
      <c r="BU2601" s="1061"/>
      <c r="BV2601" s="1061"/>
      <c r="BW2601" s="1061"/>
      <c r="BX2601" s="1061"/>
      <c r="BY2601" s="1061"/>
      <c r="BZ2601" s="1061"/>
      <c r="CA2601" s="1061"/>
      <c r="CB2601" s="1061"/>
      <c r="CC2601" s="1061"/>
      <c r="CD2601" s="1061"/>
      <c r="CE2601" s="1061"/>
      <c r="CF2601" s="1061"/>
      <c r="CG2601" s="1061"/>
      <c r="CH2601" s="1061"/>
      <c r="CI2601" s="1061"/>
      <c r="CJ2601" s="1061"/>
      <c r="CK2601" s="1061"/>
      <c r="CL2601" s="1061"/>
      <c r="CM2601" s="1061"/>
      <c r="CN2601" s="1061"/>
      <c r="CO2601" s="1061"/>
      <c r="CP2601" s="1061"/>
      <c r="CQ2601" s="1061"/>
      <c r="CR2601" s="1061"/>
      <c r="CS2601" s="1061"/>
      <c r="CT2601" s="1061"/>
      <c r="CU2601" s="1061"/>
      <c r="CV2601" s="1061"/>
      <c r="CW2601" s="1061"/>
      <c r="CX2601" s="1061"/>
      <c r="CY2601" s="1061"/>
      <c r="CZ2601" s="1061"/>
      <c r="DA2601" s="1061"/>
      <c r="DB2601" s="1061"/>
      <c r="DC2601" s="1061"/>
      <c r="DD2601" s="1061"/>
      <c r="DE2601" s="1061"/>
      <c r="DF2601" s="1061"/>
      <c r="DG2601" s="1061"/>
      <c r="DH2601" s="1061"/>
    </row>
    <row r="2602">
      <c r="A2602" s="41">
        <v>2602.0</v>
      </c>
      <c r="B2602" s="126" t="s">
        <v>107</v>
      </c>
      <c r="C2602" s="59" t="s">
        <v>108</v>
      </c>
      <c r="D2602" s="59" t="s">
        <v>138</v>
      </c>
      <c r="F2602" s="43" t="s">
        <v>15113</v>
      </c>
      <c r="G2602" s="357" t="s">
        <v>15114</v>
      </c>
      <c r="H2602" s="357" t="s">
        <v>10089</v>
      </c>
      <c r="I2602" s="341">
        <v>45767.0</v>
      </c>
      <c r="J2602" s="1579">
        <v>45793.0</v>
      </c>
      <c r="K2602" s="43"/>
      <c r="L2602" s="53" t="s">
        <v>15394</v>
      </c>
      <c r="M2602" s="357" t="s">
        <v>15116</v>
      </c>
      <c r="N2602" s="357" t="s">
        <v>15117</v>
      </c>
      <c r="O2602" s="354">
        <v>3.0</v>
      </c>
      <c r="P2602" s="357" t="s">
        <v>15118</v>
      </c>
      <c r="Q2602" s="49" t="str">
        <f t="array" ref="Q2602"> if(iserror(MATCH(V2602, 'File Links'!C:C, 0)), "N/A", HYPERLINK(INDEX('File Links'!B:B, MATCH(P2602, 'File Links'!C:C, 0))))</f>
        <v>https://drive.google.com/file/d/1pNYePg3eNKxHVFnrHDZ4sLAX_CCQrhwE/view?usp=drivesdk</v>
      </c>
      <c r="R2602" s="357" t="s">
        <v>15045</v>
      </c>
      <c r="S2602" s="357" t="s">
        <v>10148</v>
      </c>
      <c r="T2602" s="506" t="s">
        <v>15176</v>
      </c>
      <c r="U2602" s="53">
        <v>5.0</v>
      </c>
      <c r="V2602" s="357" t="s">
        <v>10149</v>
      </c>
      <c r="W2602" s="53"/>
      <c r="X2602" s="51" t="str">
        <f t="array" ref="X2602"> if(iserror(MATCH(V2602, 'File Links'!C:C, 0)), "N/A", HYPERLINK(INDEX('File Links'!B:B, MATCH(V2602, 'File Links'!C:C, 0))))</f>
        <v>https://drive.google.com/file/d/1Irbmig3rfLDvz-G09jDAVwJvv1drYEqO/view?usp=drivesdk</v>
      </c>
      <c r="Y2602" s="43"/>
      <c r="Z2602" s="357" t="s">
        <v>2072</v>
      </c>
      <c r="AA2602" s="357" t="s">
        <v>15119</v>
      </c>
      <c r="AB2602" s="357" t="s">
        <v>15395</v>
      </c>
      <c r="AC2602" s="357" t="s">
        <v>15396</v>
      </c>
      <c r="AD2602" s="357" t="s">
        <v>15397</v>
      </c>
      <c r="AE2602" s="357" t="s">
        <v>6162</v>
      </c>
      <c r="AF2602" s="354">
        <v>199.0</v>
      </c>
      <c r="AG2602" s="357" t="s">
        <v>15398</v>
      </c>
      <c r="AH2602" s="357" t="s">
        <v>127</v>
      </c>
      <c r="AI2602" s="357" t="s">
        <v>621</v>
      </c>
      <c r="AJ2602" s="354">
        <v>0.08</v>
      </c>
      <c r="AK2602" s="357" t="s">
        <v>165</v>
      </c>
      <c r="AL2602" s="357" t="s">
        <v>179</v>
      </c>
      <c r="AM2602" s="357" t="s">
        <v>130</v>
      </c>
      <c r="AN2602" s="466" t="s">
        <v>131</v>
      </c>
      <c r="AO2602" s="354">
        <v>507.0</v>
      </c>
      <c r="AP2602" s="357" t="s">
        <v>15399</v>
      </c>
      <c r="AQ2602" s="357" t="s">
        <v>127</v>
      </c>
      <c r="AR2602" s="357" t="s">
        <v>7355</v>
      </c>
      <c r="AS2602" s="354">
        <v>0.002</v>
      </c>
      <c r="AT2602" s="357" t="s">
        <v>165</v>
      </c>
      <c r="AU2602" s="357" t="s">
        <v>179</v>
      </c>
      <c r="AV2602" s="357" t="s">
        <v>130</v>
      </c>
      <c r="AW2602" s="1637" t="s">
        <v>15126</v>
      </c>
      <c r="AX2602" s="357" t="s">
        <v>136</v>
      </c>
      <c r="AZ2602" s="59" t="s">
        <v>1263</v>
      </c>
    </row>
    <row r="2603">
      <c r="A2603" s="41">
        <v>2603.0</v>
      </c>
      <c r="B2603" s="126" t="s">
        <v>145</v>
      </c>
      <c r="C2603" s="59" t="s">
        <v>108</v>
      </c>
      <c r="D2603" s="59" t="s">
        <v>138</v>
      </c>
      <c r="F2603" s="43" t="s">
        <v>15127</v>
      </c>
      <c r="G2603" s="357" t="s">
        <v>15128</v>
      </c>
      <c r="H2603" s="357" t="s">
        <v>10089</v>
      </c>
      <c r="I2603" s="341">
        <v>45767.0</v>
      </c>
      <c r="J2603" s="1579">
        <v>45793.0</v>
      </c>
      <c r="K2603" s="43"/>
      <c r="L2603" s="53" t="s">
        <v>15400</v>
      </c>
      <c r="M2603" s="357" t="s">
        <v>15131</v>
      </c>
      <c r="N2603" s="357" t="s">
        <v>5485</v>
      </c>
      <c r="O2603" s="354">
        <v>3.0</v>
      </c>
      <c r="P2603" s="357" t="s">
        <v>15132</v>
      </c>
      <c r="Q2603" s="49" t="str">
        <f t="array" ref="Q2603"> if(iserror(MATCH(V2603, 'File Links'!C:C, 0)), "N/A", HYPERLINK(INDEX('File Links'!B:B, MATCH(P2603, 'File Links'!C:C, 0))))</f>
        <v>https://drive.google.com/file/d/1ufFlEetCWZtYqMqTTptc07s2XdkD4E4c/view?usp=drivesdk</v>
      </c>
      <c r="R2603" s="357" t="s">
        <v>15045</v>
      </c>
      <c r="S2603" s="357" t="s">
        <v>10148</v>
      </c>
      <c r="T2603" s="506" t="s">
        <v>15176</v>
      </c>
      <c r="U2603" s="53">
        <v>4.0</v>
      </c>
      <c r="V2603" s="357" t="s">
        <v>10149</v>
      </c>
      <c r="W2603" s="43"/>
      <c r="X2603" s="51" t="str">
        <f t="array" ref="X2603"> if(iserror(MATCH(V2603, 'File Links'!C:C, 0)), "N/A", HYPERLINK(INDEX('File Links'!B:B, MATCH(V2603, 'File Links'!C:C, 0))))</f>
        <v>https://drive.google.com/file/d/1Irbmig3rfLDvz-G09jDAVwJvv1drYEqO/view?usp=drivesdk</v>
      </c>
      <c r="Y2603" s="43"/>
      <c r="Z2603" s="357" t="s">
        <v>2072</v>
      </c>
      <c r="AA2603" s="377" t="s">
        <v>15133</v>
      </c>
      <c r="AB2603" s="357" t="s">
        <v>15401</v>
      </c>
      <c r="AC2603" s="357" t="s">
        <v>15135</v>
      </c>
      <c r="AD2603" s="357" t="s">
        <v>15402</v>
      </c>
      <c r="AE2603" s="354">
        <v>5.0</v>
      </c>
      <c r="AF2603" s="354">
        <v>231.0</v>
      </c>
      <c r="AG2603" s="354">
        <v>0.31</v>
      </c>
      <c r="AH2603" s="357" t="s">
        <v>166</v>
      </c>
      <c r="AI2603" s="357" t="s">
        <v>806</v>
      </c>
      <c r="AJ2603" s="354">
        <v>0.01</v>
      </c>
      <c r="AK2603" s="357" t="s">
        <v>165</v>
      </c>
      <c r="AL2603" s="357" t="s">
        <v>179</v>
      </c>
      <c r="AM2603" s="357" t="s">
        <v>130</v>
      </c>
      <c r="AN2603" s="466" t="s">
        <v>131</v>
      </c>
      <c r="AO2603" s="354">
        <v>603.0</v>
      </c>
      <c r="AP2603" s="354">
        <v>0.43</v>
      </c>
      <c r="AQ2603" s="357" t="s">
        <v>166</v>
      </c>
      <c r="AR2603" s="357" t="s">
        <v>15403</v>
      </c>
      <c r="AS2603" s="354">
        <v>0.001</v>
      </c>
      <c r="AT2603" s="357" t="s">
        <v>128</v>
      </c>
      <c r="AU2603" s="357" t="s">
        <v>179</v>
      </c>
      <c r="AV2603" s="357" t="s">
        <v>130</v>
      </c>
      <c r="AW2603" s="1637" t="s">
        <v>15139</v>
      </c>
      <c r="AX2603" s="357" t="s">
        <v>136</v>
      </c>
      <c r="AZ2603" s="59" t="s">
        <v>1263</v>
      </c>
    </row>
    <row r="2604">
      <c r="A2604" s="41">
        <v>2604.0</v>
      </c>
      <c r="B2604" s="126" t="s">
        <v>145</v>
      </c>
      <c r="C2604" s="59" t="s">
        <v>108</v>
      </c>
      <c r="D2604" s="59" t="s">
        <v>138</v>
      </c>
      <c r="F2604" s="43" t="s">
        <v>15148</v>
      </c>
      <c r="G2604" s="357" t="s">
        <v>15149</v>
      </c>
      <c r="H2604" s="357" t="s">
        <v>10089</v>
      </c>
      <c r="I2604" s="341">
        <v>45761.0</v>
      </c>
      <c r="J2604" s="1579">
        <v>45800.0</v>
      </c>
      <c r="K2604" s="43"/>
      <c r="L2604" s="53" t="s">
        <v>15404</v>
      </c>
      <c r="M2604" s="357" t="s">
        <v>15152</v>
      </c>
      <c r="N2604" s="357" t="s">
        <v>15153</v>
      </c>
      <c r="O2604" s="354">
        <v>2.0</v>
      </c>
      <c r="P2604" s="357" t="s">
        <v>15154</v>
      </c>
      <c r="Q2604" s="49" t="str">
        <f t="array" ref="Q2604"> if(iserror(MATCH(V2604, 'File Links'!C:C, 0)), "N/A", HYPERLINK(INDEX('File Links'!B:B, MATCH(P2604, 'File Links'!C:C, 0))))</f>
        <v>https://drive.google.com/file/d/1pONPJh9x5VCZuuA8xFZJ8EwpUqV7ZKOz/view?usp=drivesdk</v>
      </c>
      <c r="R2604" s="357" t="s">
        <v>15155</v>
      </c>
      <c r="S2604" s="357" t="s">
        <v>15156</v>
      </c>
      <c r="T2604" s="43"/>
      <c r="U2604" s="53">
        <v>1.0</v>
      </c>
      <c r="V2604" s="357" t="s">
        <v>15157</v>
      </c>
      <c r="W2604" s="53" t="s">
        <v>202</v>
      </c>
      <c r="X2604" s="51" t="str">
        <f t="array" ref="X2604"> if(iserror(MATCH(V2604, 'File Links'!C:C, 0)), "N/A", HYPERLINK(INDEX('File Links'!B:B, MATCH(V2604, 'File Links'!C:C, 0))))</f>
        <v>https://drive.google.com/file/d/1JqR213ecE6dYmcQzX1WidGxm2UimuKxl/view?usp=drivesdk</v>
      </c>
      <c r="Y2604" s="43"/>
      <c r="Z2604" s="357" t="s">
        <v>2072</v>
      </c>
      <c r="AA2604" s="357" t="s">
        <v>15405</v>
      </c>
      <c r="AB2604" s="357" t="s">
        <v>15406</v>
      </c>
      <c r="AC2604" s="357" t="s">
        <v>15160</v>
      </c>
      <c r="AD2604" s="357" t="s">
        <v>15407</v>
      </c>
      <c r="AE2604" s="357" t="s">
        <v>15408</v>
      </c>
      <c r="AF2604" s="354">
        <v>275.0</v>
      </c>
      <c r="AG2604" s="354">
        <v>0.026</v>
      </c>
      <c r="AH2604" s="357" t="s">
        <v>132</v>
      </c>
      <c r="AI2604" s="357" t="s">
        <v>606</v>
      </c>
      <c r="AJ2604" s="354">
        <v>0.03</v>
      </c>
      <c r="AK2604" s="357" t="s">
        <v>165</v>
      </c>
      <c r="AL2604" s="357" t="s">
        <v>179</v>
      </c>
      <c r="AM2604" s="357" t="s">
        <v>130</v>
      </c>
      <c r="AN2604" s="466" t="s">
        <v>131</v>
      </c>
      <c r="AO2604" s="354">
        <v>383.0</v>
      </c>
      <c r="AP2604" s="354">
        <v>0.001</v>
      </c>
      <c r="AQ2604" s="357" t="s">
        <v>132</v>
      </c>
      <c r="AR2604" s="357" t="s">
        <v>133</v>
      </c>
      <c r="AS2604" s="354">
        <v>0.91</v>
      </c>
      <c r="AT2604" s="357" t="s">
        <v>165</v>
      </c>
      <c r="AU2604" s="357" t="s">
        <v>179</v>
      </c>
      <c r="AV2604" s="357" t="s">
        <v>130</v>
      </c>
      <c r="AW2604" s="56" t="s">
        <v>15409</v>
      </c>
      <c r="AX2604" s="357" t="s">
        <v>136</v>
      </c>
      <c r="AZ2604" s="59" t="s">
        <v>1263</v>
      </c>
    </row>
    <row r="2605">
      <c r="A2605" s="41">
        <v>2605.0</v>
      </c>
      <c r="B2605" s="126" t="s">
        <v>516</v>
      </c>
      <c r="C2605" s="59" t="s">
        <v>108</v>
      </c>
      <c r="D2605" s="59" t="s">
        <v>15410</v>
      </c>
      <c r="F2605" s="65" t="s">
        <v>14951</v>
      </c>
      <c r="G2605" s="156" t="s">
        <v>15411</v>
      </c>
      <c r="H2605" s="156" t="s">
        <v>15412</v>
      </c>
      <c r="I2605" s="149">
        <v>45767.0</v>
      </c>
      <c r="J2605" s="149">
        <v>45788.0</v>
      </c>
      <c r="K2605" s="65"/>
      <c r="L2605" s="65"/>
      <c r="M2605" s="156" t="s">
        <v>15413</v>
      </c>
      <c r="N2605" s="156" t="s">
        <v>15414</v>
      </c>
      <c r="O2605" s="156" t="s">
        <v>4419</v>
      </c>
      <c r="P2605" s="156" t="s">
        <v>14955</v>
      </c>
      <c r="Q2605" s="2136" t="str">
        <f> hyperlink(vlookup(lower(N2605),'File Links'!E:F, 2, FALSE), "LINK")</f>
        <v>LINK</v>
      </c>
      <c r="R2605" s="156" t="s">
        <v>14956</v>
      </c>
      <c r="S2605" s="156" t="s">
        <v>14957</v>
      </c>
      <c r="T2605" s="65"/>
      <c r="U2605" s="156" t="s">
        <v>4419</v>
      </c>
      <c r="V2605" s="156" t="s">
        <v>14958</v>
      </c>
      <c r="W2605" s="65"/>
      <c r="X2605" s="2137" t="str">
        <f> hyperlink(vlookup(lower(S2605),'File Links'!E:F, 2, FALSE), "LINK")</f>
        <v>LINK</v>
      </c>
      <c r="Y2605" s="65"/>
      <c r="Z2605" s="156" t="s">
        <v>141</v>
      </c>
      <c r="AA2605" s="156" t="s">
        <v>15415</v>
      </c>
      <c r="AB2605" s="156" t="s">
        <v>14960</v>
      </c>
      <c r="AC2605" s="156" t="s">
        <v>15416</v>
      </c>
      <c r="AD2605" s="156" t="s">
        <v>15417</v>
      </c>
      <c r="AE2605" s="153">
        <v>3.0</v>
      </c>
      <c r="AF2605" s="153">
        <v>14.0</v>
      </c>
      <c r="AG2605" s="153">
        <v>0.27</v>
      </c>
      <c r="AH2605" s="156" t="s">
        <v>867</v>
      </c>
      <c r="AI2605" s="156" t="s">
        <v>500</v>
      </c>
      <c r="AJ2605" s="153">
        <v>0.018</v>
      </c>
      <c r="AK2605" s="156" t="s">
        <v>165</v>
      </c>
      <c r="AL2605" s="156" t="s">
        <v>179</v>
      </c>
      <c r="AM2605" s="156" t="s">
        <v>130</v>
      </c>
      <c r="AN2605" s="65"/>
      <c r="AO2605" s="153">
        <v>50.0</v>
      </c>
      <c r="AP2605" s="153">
        <v>0.002</v>
      </c>
      <c r="AQ2605" s="156" t="s">
        <v>867</v>
      </c>
      <c r="AR2605" s="156" t="s">
        <v>875</v>
      </c>
      <c r="AS2605" s="153">
        <v>0.922</v>
      </c>
      <c r="AT2605" s="156" t="s">
        <v>165</v>
      </c>
      <c r="AU2605" s="156" t="s">
        <v>179</v>
      </c>
      <c r="AV2605" s="156" t="s">
        <v>130</v>
      </c>
      <c r="AW2605" s="432" t="s">
        <v>14963</v>
      </c>
      <c r="AX2605" s="156" t="s">
        <v>136</v>
      </c>
      <c r="AZ2605" s="1060" t="s">
        <v>13197</v>
      </c>
    </row>
    <row r="2606">
      <c r="A2606" s="41">
        <v>2606.0</v>
      </c>
      <c r="B2606" s="126" t="s">
        <v>516</v>
      </c>
      <c r="C2606" s="59" t="s">
        <v>108</v>
      </c>
      <c r="D2606" s="59" t="s">
        <v>15410</v>
      </c>
      <c r="F2606" s="65" t="s">
        <v>14964</v>
      </c>
      <c r="G2606" s="156" t="s">
        <v>15418</v>
      </c>
      <c r="H2606" s="156" t="s">
        <v>15412</v>
      </c>
      <c r="I2606" s="149">
        <v>45767.0</v>
      </c>
      <c r="J2606" s="149">
        <v>45788.0</v>
      </c>
      <c r="K2606" s="65"/>
      <c r="L2606" s="65"/>
      <c r="M2606" s="156" t="s">
        <v>14953</v>
      </c>
      <c r="N2606" s="156" t="s">
        <v>14954</v>
      </c>
      <c r="O2606" s="156" t="s">
        <v>4725</v>
      </c>
      <c r="P2606" s="156" t="s">
        <v>14955</v>
      </c>
      <c r="Q2606" s="2138" t="str">
        <f> hyperlink(vlookup(lower(N2606),'File Links'!E:F, 2, FALSE), "LINK")</f>
        <v>LINK</v>
      </c>
      <c r="R2606" s="156" t="s">
        <v>14956</v>
      </c>
      <c r="S2606" s="156" t="s">
        <v>14957</v>
      </c>
      <c r="T2606" s="65"/>
      <c r="U2606" s="156" t="s">
        <v>4725</v>
      </c>
      <c r="V2606" s="156" t="s">
        <v>14958</v>
      </c>
      <c r="W2606" s="65"/>
      <c r="X2606" s="2137" t="str">
        <f> hyperlink(vlookup(lower(S2606),'File Links'!E:F, 2, FALSE), "LINK")</f>
        <v>LINK</v>
      </c>
      <c r="Y2606" s="65"/>
      <c r="Z2606" s="156" t="s">
        <v>141</v>
      </c>
      <c r="AA2606" s="156" t="s">
        <v>15415</v>
      </c>
      <c r="AB2606" s="156" t="s">
        <v>14960</v>
      </c>
      <c r="AC2606" s="156" t="s">
        <v>15419</v>
      </c>
      <c r="AD2606" s="156" t="s">
        <v>15420</v>
      </c>
      <c r="AE2606" s="153">
        <v>5.0</v>
      </c>
      <c r="AF2606" s="153">
        <v>30.0</v>
      </c>
      <c r="AG2606" s="153">
        <v>0.16</v>
      </c>
      <c r="AH2606" s="156" t="s">
        <v>867</v>
      </c>
      <c r="AI2606" s="156" t="s">
        <v>875</v>
      </c>
      <c r="AJ2606" s="153">
        <v>0.026</v>
      </c>
      <c r="AK2606" s="156" t="s">
        <v>165</v>
      </c>
      <c r="AL2606" s="156" t="s">
        <v>179</v>
      </c>
      <c r="AM2606" s="156" t="s">
        <v>130</v>
      </c>
      <c r="AN2606" s="65"/>
      <c r="AO2606" s="153">
        <v>50.0</v>
      </c>
      <c r="AP2606" s="153">
        <v>0.001</v>
      </c>
      <c r="AQ2606" s="156" t="s">
        <v>867</v>
      </c>
      <c r="AR2606" s="156" t="s">
        <v>4966</v>
      </c>
      <c r="AS2606" s="153">
        <v>0.95</v>
      </c>
      <c r="AT2606" s="156" t="s">
        <v>165</v>
      </c>
      <c r="AU2606" s="156" t="s">
        <v>179</v>
      </c>
      <c r="AV2606" s="156" t="s">
        <v>130</v>
      </c>
      <c r="AW2606" s="432" t="s">
        <v>14963</v>
      </c>
      <c r="AX2606" s="156" t="s">
        <v>136</v>
      </c>
      <c r="AZ2606" s="1060" t="s">
        <v>13197</v>
      </c>
    </row>
    <row r="2607">
      <c r="A2607" s="41">
        <v>2607.0</v>
      </c>
      <c r="B2607" s="126" t="s">
        <v>516</v>
      </c>
      <c r="C2607" s="59" t="s">
        <v>108</v>
      </c>
      <c r="D2607" s="59" t="s">
        <v>15410</v>
      </c>
      <c r="F2607" s="65" t="s">
        <v>14969</v>
      </c>
      <c r="G2607" s="156" t="s">
        <v>15421</v>
      </c>
      <c r="H2607" s="156" t="s">
        <v>15412</v>
      </c>
      <c r="I2607" s="149">
        <v>45767.0</v>
      </c>
      <c r="J2607" s="149">
        <v>45788.0</v>
      </c>
      <c r="K2607" s="65"/>
      <c r="L2607" s="65"/>
      <c r="M2607" s="156" t="s">
        <v>14953</v>
      </c>
      <c r="N2607" s="156" t="s">
        <v>14954</v>
      </c>
      <c r="O2607" s="156" t="s">
        <v>3798</v>
      </c>
      <c r="P2607" s="156" t="s">
        <v>14955</v>
      </c>
      <c r="Q2607" s="2138" t="str">
        <f> hyperlink(vlookup(lower(N2607),'File Links'!E:F, 2, FALSE), "LINK")</f>
        <v>LINK</v>
      </c>
      <c r="R2607" s="156" t="s">
        <v>14956</v>
      </c>
      <c r="S2607" s="156" t="s">
        <v>14957</v>
      </c>
      <c r="T2607" s="65"/>
      <c r="U2607" s="156" t="s">
        <v>3798</v>
      </c>
      <c r="V2607" s="156" t="s">
        <v>14958</v>
      </c>
      <c r="W2607" s="65"/>
      <c r="X2607" s="2137" t="str">
        <f> hyperlink(vlookup(lower(S2607),'File Links'!E:F, 2, FALSE), "LINK")</f>
        <v>LINK</v>
      </c>
      <c r="Y2607" s="65"/>
      <c r="Z2607" s="156" t="s">
        <v>141</v>
      </c>
      <c r="AA2607" s="156" t="s">
        <v>15415</v>
      </c>
      <c r="AB2607" s="156" t="s">
        <v>14960</v>
      </c>
      <c r="AC2607" s="156" t="s">
        <v>15422</v>
      </c>
      <c r="AD2607" s="156" t="s">
        <v>15423</v>
      </c>
      <c r="AE2607" s="153">
        <v>7.0</v>
      </c>
      <c r="AF2607" s="153">
        <v>12.0</v>
      </c>
      <c r="AG2607" s="153">
        <v>0.35</v>
      </c>
      <c r="AH2607" s="156" t="s">
        <v>867</v>
      </c>
      <c r="AI2607" s="156" t="s">
        <v>4966</v>
      </c>
      <c r="AJ2607" s="153">
        <v>0.033</v>
      </c>
      <c r="AK2607" s="156" t="s">
        <v>165</v>
      </c>
      <c r="AL2607" s="156" t="s">
        <v>179</v>
      </c>
      <c r="AM2607" s="156" t="s">
        <v>130</v>
      </c>
      <c r="AN2607" s="65"/>
      <c r="AO2607" s="153">
        <v>50.0</v>
      </c>
      <c r="AP2607" s="153">
        <v>0.001</v>
      </c>
      <c r="AQ2607" s="156" t="s">
        <v>867</v>
      </c>
      <c r="AR2607" s="156" t="s">
        <v>617</v>
      </c>
      <c r="AS2607" s="153">
        <v>0.861</v>
      </c>
      <c r="AT2607" s="156" t="s">
        <v>165</v>
      </c>
      <c r="AU2607" s="156" t="s">
        <v>179</v>
      </c>
      <c r="AV2607" s="156" t="s">
        <v>130</v>
      </c>
      <c r="AW2607" s="432" t="s">
        <v>14963</v>
      </c>
      <c r="AX2607" s="156" t="s">
        <v>136</v>
      </c>
      <c r="AZ2607" s="1060" t="s">
        <v>13197</v>
      </c>
    </row>
    <row r="2608">
      <c r="A2608" s="41">
        <v>2608.0</v>
      </c>
      <c r="B2608" s="126" t="s">
        <v>278</v>
      </c>
      <c r="C2608" s="59" t="s">
        <v>108</v>
      </c>
      <c r="D2608" s="59" t="s">
        <v>15410</v>
      </c>
      <c r="F2608" s="65" t="s">
        <v>14982</v>
      </c>
      <c r="G2608" s="156" t="s">
        <v>14983</v>
      </c>
      <c r="H2608" s="156" t="s">
        <v>15412</v>
      </c>
      <c r="I2608" s="149">
        <v>45767.0</v>
      </c>
      <c r="J2608" s="149">
        <v>45786.0</v>
      </c>
      <c r="K2608" s="65"/>
      <c r="L2608" s="65"/>
      <c r="M2608" s="156" t="s">
        <v>14985</v>
      </c>
      <c r="N2608" s="677" t="s">
        <v>14986</v>
      </c>
      <c r="O2608" s="156" t="s">
        <v>14987</v>
      </c>
      <c r="P2608" s="156" t="s">
        <v>14988</v>
      </c>
      <c r="Q2608" s="2138" t="str">
        <f> hyperlink(vlookup(lower(N2608),'File Links'!E:F, 2, FALSE), "LINK")</f>
        <v>LINK</v>
      </c>
      <c r="R2608" s="156" t="s">
        <v>14989</v>
      </c>
      <c r="S2608" s="156" t="s">
        <v>14990</v>
      </c>
      <c r="T2608" s="65"/>
      <c r="U2608" s="156" t="s">
        <v>3841</v>
      </c>
      <c r="V2608" s="156" t="s">
        <v>14991</v>
      </c>
      <c r="W2608" s="65"/>
      <c r="X2608" s="2137" t="str">
        <f> hyperlink(vlookup(lower(S2608),'File Links'!E:F, 2, FALSE), "LINK")</f>
        <v>LINK</v>
      </c>
      <c r="Y2608" s="65"/>
      <c r="Z2608" s="156" t="s">
        <v>2933</v>
      </c>
      <c r="AA2608" s="156" t="s">
        <v>15424</v>
      </c>
      <c r="AB2608" s="156" t="s">
        <v>14993</v>
      </c>
      <c r="AC2608" s="156" t="s">
        <v>15425</v>
      </c>
      <c r="AD2608" s="156" t="s">
        <v>15426</v>
      </c>
      <c r="AE2608" s="153">
        <v>6.0</v>
      </c>
      <c r="AF2608" s="153">
        <v>42.0</v>
      </c>
      <c r="AG2608" s="153">
        <v>0.1</v>
      </c>
      <c r="AH2608" s="156" t="s">
        <v>867</v>
      </c>
      <c r="AI2608" s="156" t="s">
        <v>4966</v>
      </c>
      <c r="AJ2608" s="153">
        <v>0.045</v>
      </c>
      <c r="AK2608" s="156" t="s">
        <v>165</v>
      </c>
      <c r="AL2608" s="156" t="s">
        <v>179</v>
      </c>
      <c r="AM2608" s="156" t="s">
        <v>130</v>
      </c>
      <c r="AN2608" s="65"/>
      <c r="AO2608" s="153">
        <v>489.0</v>
      </c>
      <c r="AP2608" s="153">
        <v>0.12</v>
      </c>
      <c r="AQ2608" s="156" t="s">
        <v>867</v>
      </c>
      <c r="AR2608" s="156" t="s">
        <v>1035</v>
      </c>
      <c r="AS2608" s="153">
        <v>0.016</v>
      </c>
      <c r="AT2608" s="156" t="s">
        <v>165</v>
      </c>
      <c r="AU2608" s="156" t="s">
        <v>179</v>
      </c>
      <c r="AV2608" s="156" t="s">
        <v>130</v>
      </c>
      <c r="AW2608" s="432" t="s">
        <v>15427</v>
      </c>
      <c r="AX2608" s="156" t="s">
        <v>136</v>
      </c>
    </row>
    <row r="2609">
      <c r="A2609" s="41">
        <v>2609.0</v>
      </c>
      <c r="B2609" s="126" t="s">
        <v>278</v>
      </c>
      <c r="C2609" s="59" t="s">
        <v>108</v>
      </c>
      <c r="D2609" s="59" t="s">
        <v>15410</v>
      </c>
      <c r="F2609" s="65" t="s">
        <v>14999</v>
      </c>
      <c r="G2609" s="156" t="s">
        <v>15000</v>
      </c>
      <c r="H2609" s="156" t="s">
        <v>15412</v>
      </c>
      <c r="I2609" s="149">
        <v>45767.0</v>
      </c>
      <c r="J2609" s="149">
        <v>45788.0</v>
      </c>
      <c r="K2609" s="65"/>
      <c r="L2609" s="65"/>
      <c r="M2609" s="156" t="s">
        <v>15001</v>
      </c>
      <c r="N2609" s="677" t="s">
        <v>15002</v>
      </c>
      <c r="O2609" s="156" t="s">
        <v>4725</v>
      </c>
      <c r="P2609" s="156" t="s">
        <v>15003</v>
      </c>
      <c r="Q2609" s="2138" t="str">
        <f> hyperlink(vlookup(lower(N2609),'File Links'!E:F, 2, FALSE), "LINK")</f>
        <v>LINK</v>
      </c>
      <c r="R2609" s="156" t="s">
        <v>15004</v>
      </c>
      <c r="S2609" s="156" t="s">
        <v>15005</v>
      </c>
      <c r="T2609" s="65"/>
      <c r="U2609" s="156" t="s">
        <v>4725</v>
      </c>
      <c r="V2609" s="156" t="s">
        <v>15006</v>
      </c>
      <c r="W2609" s="65"/>
      <c r="X2609" s="2137" t="str">
        <f> hyperlink(vlookup(lower(S2609),'File Links'!E:F, 2, FALSE), "LINK")</f>
        <v>LINK</v>
      </c>
      <c r="Y2609" s="65"/>
      <c r="Z2609" s="156" t="s">
        <v>234</v>
      </c>
      <c r="AA2609" s="156" t="s">
        <v>15428</v>
      </c>
      <c r="AB2609" s="156" t="s">
        <v>15429</v>
      </c>
      <c r="AC2609" s="156" t="s">
        <v>15430</v>
      </c>
      <c r="AD2609" s="156" t="s">
        <v>15431</v>
      </c>
      <c r="AE2609" s="1537">
        <v>45718.0</v>
      </c>
      <c r="AF2609" s="153">
        <v>16.0</v>
      </c>
      <c r="AG2609" s="153">
        <v>25.6</v>
      </c>
      <c r="AH2609" s="156" t="s">
        <v>127</v>
      </c>
      <c r="AI2609" s="156" t="s">
        <v>2764</v>
      </c>
      <c r="AJ2609" s="153">
        <v>0.005</v>
      </c>
      <c r="AK2609" s="156" t="s">
        <v>128</v>
      </c>
      <c r="AL2609" s="156" t="s">
        <v>179</v>
      </c>
      <c r="AM2609" s="156" t="s">
        <v>130</v>
      </c>
      <c r="AN2609" s="65"/>
      <c r="AO2609" s="153">
        <v>96.0</v>
      </c>
      <c r="AP2609" s="153">
        <v>0.148</v>
      </c>
      <c r="AQ2609" s="156" t="s">
        <v>127</v>
      </c>
      <c r="AR2609" s="156" t="s">
        <v>617</v>
      </c>
      <c r="AS2609" s="153">
        <v>0.702</v>
      </c>
      <c r="AT2609" s="156" t="s">
        <v>165</v>
      </c>
      <c r="AU2609" s="156" t="s">
        <v>179</v>
      </c>
      <c r="AV2609" s="156" t="s">
        <v>130</v>
      </c>
      <c r="AW2609" s="432" t="s">
        <v>15432</v>
      </c>
      <c r="AX2609" s="156" t="s">
        <v>136</v>
      </c>
    </row>
    <row r="2610">
      <c r="A2610" s="41">
        <v>2610.0</v>
      </c>
      <c r="B2610" s="126" t="s">
        <v>278</v>
      </c>
      <c r="C2610" s="59" t="s">
        <v>108</v>
      </c>
      <c r="D2610" s="59" t="s">
        <v>15410</v>
      </c>
      <c r="F2610" s="65" t="s">
        <v>15016</v>
      </c>
      <c r="G2610" s="156" t="s">
        <v>15017</v>
      </c>
      <c r="H2610" s="156" t="s">
        <v>15412</v>
      </c>
      <c r="I2610" s="149">
        <v>45767.0</v>
      </c>
      <c r="J2610" s="149">
        <v>45788.0</v>
      </c>
      <c r="K2610" s="65"/>
      <c r="L2610" s="65"/>
      <c r="M2610" s="156" t="s">
        <v>15019</v>
      </c>
      <c r="N2610" s="156" t="s">
        <v>15020</v>
      </c>
      <c r="O2610" s="153">
        <v>1.0</v>
      </c>
      <c r="P2610" s="156" t="s">
        <v>15021</v>
      </c>
      <c r="Q2610" s="2138" t="str">
        <f> hyperlink(vlookup(lower(N2610),'File Links'!E:F, 2, FALSE), "LINK")</f>
        <v>LINK</v>
      </c>
      <c r="R2610" s="156" t="s">
        <v>15022</v>
      </c>
      <c r="S2610" s="156" t="s">
        <v>15023</v>
      </c>
      <c r="T2610" s="65"/>
      <c r="U2610" s="156" t="s">
        <v>15433</v>
      </c>
      <c r="V2610" s="156" t="s">
        <v>15024</v>
      </c>
      <c r="W2610" s="65"/>
      <c r="X2610" s="2137" t="str">
        <f> hyperlink(vlookup(lower(S2610),'File Links'!E:F, 2, FALSE), "LINK")</f>
        <v>LINK</v>
      </c>
      <c r="Y2610" s="65"/>
      <c r="Z2610" s="156" t="s">
        <v>12703</v>
      </c>
      <c r="AA2610" s="156" t="s">
        <v>15434</v>
      </c>
      <c r="AB2610" s="156" t="s">
        <v>15435</v>
      </c>
      <c r="AC2610" s="156" t="s">
        <v>15436</v>
      </c>
      <c r="AD2610" s="148" t="s">
        <v>15437</v>
      </c>
      <c r="AE2610" s="153">
        <v>3.0</v>
      </c>
      <c r="AF2610" s="153">
        <v>196.0</v>
      </c>
      <c r="AG2610" s="153">
        <v>0.5</v>
      </c>
      <c r="AH2610" s="156" t="s">
        <v>15438</v>
      </c>
      <c r="AI2610" s="156" t="s">
        <v>500</v>
      </c>
      <c r="AJ2610" s="153">
        <v>0.006</v>
      </c>
      <c r="AK2610" s="156" t="s">
        <v>165</v>
      </c>
      <c r="AL2610" s="156" t="s">
        <v>179</v>
      </c>
      <c r="AM2610" s="156" t="s">
        <v>130</v>
      </c>
      <c r="AN2610" s="65"/>
      <c r="AO2610" s="153">
        <v>224.0</v>
      </c>
      <c r="AP2610" s="153">
        <v>1.12</v>
      </c>
      <c r="AQ2610" s="156" t="s">
        <v>15438</v>
      </c>
      <c r="AR2610" s="156" t="s">
        <v>489</v>
      </c>
      <c r="AS2610" s="153">
        <v>0.57</v>
      </c>
      <c r="AT2610" s="156" t="s">
        <v>165</v>
      </c>
      <c r="AU2610" s="156" t="s">
        <v>179</v>
      </c>
      <c r="AV2610" s="156" t="s">
        <v>130</v>
      </c>
      <c r="AW2610" s="432" t="s">
        <v>15439</v>
      </c>
      <c r="AX2610" s="156" t="s">
        <v>136</v>
      </c>
    </row>
    <row r="2611">
      <c r="A2611" s="41">
        <v>2611.0</v>
      </c>
      <c r="B2611" s="126" t="s">
        <v>278</v>
      </c>
      <c r="C2611" s="59" t="s">
        <v>108</v>
      </c>
      <c r="D2611" s="59" t="s">
        <v>15410</v>
      </c>
      <c r="F2611" s="65" t="s">
        <v>15440</v>
      </c>
      <c r="G2611" s="156" t="s">
        <v>15034</v>
      </c>
      <c r="H2611" s="156" t="s">
        <v>15412</v>
      </c>
      <c r="I2611" s="149">
        <v>45767.0</v>
      </c>
      <c r="J2611" s="149">
        <v>45788.0</v>
      </c>
      <c r="K2611" s="65"/>
      <c r="L2611" s="65"/>
      <c r="M2611" s="156" t="s">
        <v>15019</v>
      </c>
      <c r="N2611" s="156" t="s">
        <v>15020</v>
      </c>
      <c r="O2611" s="153">
        <v>1.0</v>
      </c>
      <c r="P2611" s="156" t="s">
        <v>15021</v>
      </c>
      <c r="Q2611" s="2138" t="str">
        <f> hyperlink(vlookup(lower(N2611),'File Links'!E:F, 2, FALSE), "LINK")</f>
        <v>LINK</v>
      </c>
      <c r="R2611" s="156" t="s">
        <v>15022</v>
      </c>
      <c r="S2611" s="156" t="s">
        <v>15023</v>
      </c>
      <c r="T2611" s="65"/>
      <c r="U2611" s="156" t="s">
        <v>15441</v>
      </c>
      <c r="V2611" s="156" t="s">
        <v>15024</v>
      </c>
      <c r="W2611" s="65"/>
      <c r="X2611" s="2137" t="str">
        <f> hyperlink(vlookup(lower(S2611),'File Links'!E:F, 2, FALSE), "LINK")</f>
        <v>LINK</v>
      </c>
      <c r="Y2611" s="65"/>
      <c r="Z2611" s="156" t="s">
        <v>12703</v>
      </c>
      <c r="AA2611" s="156" t="s">
        <v>15434</v>
      </c>
      <c r="AB2611" s="156" t="s">
        <v>15435</v>
      </c>
      <c r="AC2611" s="156" t="s">
        <v>15436</v>
      </c>
      <c r="AD2611" s="148" t="s">
        <v>15437</v>
      </c>
      <c r="AE2611" s="153">
        <v>3.0</v>
      </c>
      <c r="AF2611" s="153">
        <v>196.0</v>
      </c>
      <c r="AG2611" s="153">
        <v>0.5</v>
      </c>
      <c r="AH2611" s="156" t="s">
        <v>15438</v>
      </c>
      <c r="AI2611" s="156" t="s">
        <v>500</v>
      </c>
      <c r="AJ2611" s="153">
        <v>0.006</v>
      </c>
      <c r="AK2611" s="156" t="s">
        <v>165</v>
      </c>
      <c r="AL2611" s="156" t="s">
        <v>179</v>
      </c>
      <c r="AM2611" s="156" t="s">
        <v>130</v>
      </c>
      <c r="AN2611" s="65"/>
      <c r="AO2611" s="153">
        <v>224.0</v>
      </c>
      <c r="AP2611" s="153">
        <v>0.82</v>
      </c>
      <c r="AQ2611" s="156" t="s">
        <v>15438</v>
      </c>
      <c r="AR2611" s="156" t="s">
        <v>489</v>
      </c>
      <c r="AS2611" s="153">
        <v>0.185</v>
      </c>
      <c r="AT2611" s="156" t="s">
        <v>165</v>
      </c>
      <c r="AU2611" s="156" t="s">
        <v>179</v>
      </c>
      <c r="AV2611" s="156" t="s">
        <v>130</v>
      </c>
      <c r="AW2611" s="432" t="s">
        <v>15439</v>
      </c>
      <c r="AX2611" s="156" t="s">
        <v>136</v>
      </c>
    </row>
    <row r="2612">
      <c r="A2612" s="41">
        <v>2612.0</v>
      </c>
      <c r="B2612" s="126" t="s">
        <v>516</v>
      </c>
      <c r="C2612" s="59" t="s">
        <v>108</v>
      </c>
      <c r="D2612" s="59" t="s">
        <v>15410</v>
      </c>
      <c r="F2612" s="65" t="s">
        <v>15442</v>
      </c>
      <c r="G2612" s="156" t="s">
        <v>15443</v>
      </c>
      <c r="H2612" s="156" t="s">
        <v>15412</v>
      </c>
      <c r="I2612" s="431">
        <v>45288.0</v>
      </c>
      <c r="J2612" s="526">
        <v>45789.0</v>
      </c>
      <c r="K2612" s="65"/>
      <c r="L2612" s="65"/>
      <c r="M2612" s="156" t="s">
        <v>15444</v>
      </c>
      <c r="N2612" s="156" t="s">
        <v>15445</v>
      </c>
      <c r="O2612" s="333">
        <v>1.0</v>
      </c>
      <c r="P2612" s="156" t="s">
        <v>15446</v>
      </c>
      <c r="Q2612" s="2139" t="str">
        <f> hyperlink(vlookup(lower(N2612),'File Links'!E:F, 2, FALSE), "LINK")</f>
        <v>LINK</v>
      </c>
      <c r="R2612" s="156" t="s">
        <v>15447</v>
      </c>
      <c r="S2612" s="156" t="s">
        <v>15448</v>
      </c>
      <c r="T2612" s="65"/>
      <c r="U2612" s="333">
        <v>1.0</v>
      </c>
      <c r="V2612" s="156" t="s">
        <v>15449</v>
      </c>
      <c r="W2612" s="65"/>
      <c r="X2612" s="2137" t="str">
        <f> hyperlink(vlookup(lower(S2612),'File Links'!E:F, 2, FALSE), "LINK")</f>
        <v>LINK</v>
      </c>
      <c r="Y2612" s="65"/>
      <c r="Z2612" s="156" t="s">
        <v>15450</v>
      </c>
      <c r="AA2612" s="156" t="s">
        <v>15451</v>
      </c>
      <c r="AB2612" s="65" t="s">
        <v>15452</v>
      </c>
      <c r="AC2612" s="65" t="s">
        <v>15453</v>
      </c>
      <c r="AD2612" s="65" t="s">
        <v>15454</v>
      </c>
      <c r="AE2612" s="333">
        <v>3.0</v>
      </c>
      <c r="AF2612" s="333">
        <v>54.0</v>
      </c>
      <c r="AG2612" s="333">
        <v>8.99</v>
      </c>
      <c r="AH2612" s="65" t="s">
        <v>127</v>
      </c>
      <c r="AI2612" s="65" t="s">
        <v>489</v>
      </c>
      <c r="AJ2612" s="333">
        <v>0.01</v>
      </c>
      <c r="AK2612" s="65" t="s">
        <v>128</v>
      </c>
      <c r="AL2612" s="65" t="s">
        <v>179</v>
      </c>
      <c r="AM2612" s="65" t="s">
        <v>130</v>
      </c>
      <c r="AN2612" s="65"/>
      <c r="AO2612" s="333">
        <v>464.0</v>
      </c>
      <c r="AP2612" s="560">
        <v>23.64</v>
      </c>
      <c r="AQ2612" s="65" t="s">
        <v>127</v>
      </c>
      <c r="AR2612" s="65" t="s">
        <v>489</v>
      </c>
      <c r="AS2612" s="333">
        <v>0.001</v>
      </c>
      <c r="AT2612" s="65" t="s">
        <v>2242</v>
      </c>
      <c r="AU2612" s="65" t="s">
        <v>179</v>
      </c>
      <c r="AV2612" s="65" t="s">
        <v>130</v>
      </c>
      <c r="AW2612" s="432" t="s">
        <v>15455</v>
      </c>
      <c r="AX2612" s="65" t="s">
        <v>136</v>
      </c>
      <c r="AZ2612" s="1060" t="s">
        <v>13197</v>
      </c>
    </row>
    <row r="2613">
      <c r="A2613" s="41">
        <v>2613.0</v>
      </c>
      <c r="B2613" s="126" t="s">
        <v>278</v>
      </c>
      <c r="C2613" s="59" t="s">
        <v>108</v>
      </c>
      <c r="D2613" s="59" t="s">
        <v>15410</v>
      </c>
      <c r="F2613" s="65" t="s">
        <v>14878</v>
      </c>
      <c r="G2613" s="156" t="s">
        <v>14879</v>
      </c>
      <c r="H2613" s="156" t="s">
        <v>15412</v>
      </c>
      <c r="I2613" s="149">
        <v>45767.0</v>
      </c>
      <c r="J2613" s="149">
        <v>45788.0</v>
      </c>
      <c r="K2613" s="65" t="s">
        <v>15456</v>
      </c>
      <c r="L2613" s="65"/>
      <c r="M2613" s="156" t="s">
        <v>14868</v>
      </c>
      <c r="N2613" s="156" t="s">
        <v>14869</v>
      </c>
      <c r="O2613" s="153">
        <v>2.0</v>
      </c>
      <c r="P2613" s="156" t="s">
        <v>14870</v>
      </c>
      <c r="Q2613" s="2139" t="str">
        <f> hyperlink(vlookup(lower(N2613),'File Links'!E:F, 2, FALSE), "LINK")</f>
        <v>LINK</v>
      </c>
      <c r="R2613" s="156" t="s">
        <v>14881</v>
      </c>
      <c r="S2613" s="156" t="s">
        <v>131</v>
      </c>
      <c r="T2613" s="307" t="s">
        <v>14872</v>
      </c>
      <c r="U2613" s="156" t="s">
        <v>8432</v>
      </c>
      <c r="V2613" s="156" t="s">
        <v>8433</v>
      </c>
      <c r="W2613" s="65"/>
      <c r="X2613" s="2140" t="str">
        <f> hyperlink(vlookup(lower(S2613),'File Links'!E:F, 2, FALSE), "LINK")</f>
        <v>LINK</v>
      </c>
      <c r="Y2613" s="65"/>
      <c r="Z2613" s="156" t="s">
        <v>2072</v>
      </c>
      <c r="AA2613" s="65" t="s">
        <v>15457</v>
      </c>
      <c r="AB2613" s="65" t="s">
        <v>15458</v>
      </c>
      <c r="AC2613" s="65" t="s">
        <v>15459</v>
      </c>
      <c r="AD2613" s="65" t="s">
        <v>15460</v>
      </c>
      <c r="AE2613" s="333">
        <v>9.0</v>
      </c>
      <c r="AF2613" s="333">
        <v>213.0</v>
      </c>
      <c r="AG2613" s="333">
        <v>7.31</v>
      </c>
      <c r="AH2613" s="65" t="s">
        <v>127</v>
      </c>
      <c r="AI2613" s="65" t="s">
        <v>617</v>
      </c>
      <c r="AJ2613" s="333">
        <v>0.01</v>
      </c>
      <c r="AK2613" s="65" t="s">
        <v>128</v>
      </c>
      <c r="AL2613" s="65" t="s">
        <v>179</v>
      </c>
      <c r="AM2613" s="65" t="s">
        <v>130</v>
      </c>
      <c r="AN2613" s="65"/>
      <c r="AO2613" s="333">
        <v>769.0</v>
      </c>
      <c r="AP2613" s="560">
        <v>0.49</v>
      </c>
      <c r="AQ2613" s="65" t="s">
        <v>166</v>
      </c>
      <c r="AR2613" s="65" t="s">
        <v>7217</v>
      </c>
      <c r="AS2613" s="65"/>
      <c r="AT2613" s="65"/>
      <c r="AU2613" s="65" t="s">
        <v>179</v>
      </c>
      <c r="AV2613" s="65" t="s">
        <v>130</v>
      </c>
      <c r="AW2613" s="432" t="s">
        <v>14877</v>
      </c>
      <c r="AX2613" s="65" t="s">
        <v>136</v>
      </c>
    </row>
    <row r="2614">
      <c r="A2614" s="41">
        <v>2614.0</v>
      </c>
      <c r="B2614" s="126" t="s">
        <v>278</v>
      </c>
      <c r="C2614" s="59" t="s">
        <v>108</v>
      </c>
      <c r="D2614" s="59" t="s">
        <v>15410</v>
      </c>
      <c r="F2614" s="156" t="s">
        <v>14865</v>
      </c>
      <c r="G2614" s="156" t="s">
        <v>14866</v>
      </c>
      <c r="H2614" s="156" t="s">
        <v>15412</v>
      </c>
      <c r="I2614" s="149">
        <v>45767.0</v>
      </c>
      <c r="J2614" s="149">
        <v>45788.0</v>
      </c>
      <c r="K2614" s="65" t="s">
        <v>15456</v>
      </c>
      <c r="L2614" s="65"/>
      <c r="M2614" s="156" t="s">
        <v>14868</v>
      </c>
      <c r="N2614" s="156" t="s">
        <v>14869</v>
      </c>
      <c r="O2614" s="153">
        <v>2.0</v>
      </c>
      <c r="P2614" s="156" t="s">
        <v>14870</v>
      </c>
      <c r="Q2614" s="2139" t="str">
        <f> hyperlink(vlookup(lower(N2614),'File Links'!E:F, 2, FALSE), "LINK")</f>
        <v>LINK</v>
      </c>
      <c r="R2614" s="156" t="s">
        <v>14871</v>
      </c>
      <c r="S2614" s="156" t="s">
        <v>131</v>
      </c>
      <c r="T2614" s="307" t="s">
        <v>14872</v>
      </c>
      <c r="U2614" s="156" t="s">
        <v>8515</v>
      </c>
      <c r="V2614" s="156" t="s">
        <v>8433</v>
      </c>
      <c r="W2614" s="65"/>
      <c r="X2614" s="2140" t="str">
        <f> hyperlink(vlookup(lower(S2614),'File Links'!E:F, 2, FALSE), "LINK")</f>
        <v>LINK</v>
      </c>
      <c r="Y2614" s="65"/>
      <c r="Z2614" s="156" t="s">
        <v>2072</v>
      </c>
      <c r="AA2614" s="65" t="s">
        <v>15457</v>
      </c>
      <c r="AB2614" s="65" t="s">
        <v>15458</v>
      </c>
      <c r="AC2614" s="65" t="s">
        <v>15461</v>
      </c>
      <c r="AD2614" s="65" t="s">
        <v>15460</v>
      </c>
      <c r="AE2614" s="333">
        <v>9.0</v>
      </c>
      <c r="AF2614" s="333">
        <v>213.0</v>
      </c>
      <c r="AG2614" s="333">
        <v>7.31</v>
      </c>
      <c r="AH2614" s="65" t="s">
        <v>127</v>
      </c>
      <c r="AI2614" s="65" t="s">
        <v>617</v>
      </c>
      <c r="AJ2614" s="333">
        <v>0.01</v>
      </c>
      <c r="AK2614" s="65" t="s">
        <v>128</v>
      </c>
      <c r="AL2614" s="65" t="s">
        <v>179</v>
      </c>
      <c r="AM2614" s="65" t="s">
        <v>130</v>
      </c>
      <c r="AN2614" s="65"/>
      <c r="AO2614" s="333">
        <v>761.0</v>
      </c>
      <c r="AP2614" s="560">
        <v>0.32</v>
      </c>
      <c r="AQ2614" s="65" t="s">
        <v>166</v>
      </c>
      <c r="AR2614" s="65" t="s">
        <v>7217</v>
      </c>
      <c r="AS2614" s="65"/>
      <c r="AT2614" s="65"/>
      <c r="AU2614" s="65" t="s">
        <v>179</v>
      </c>
      <c r="AV2614" s="65" t="s">
        <v>130</v>
      </c>
      <c r="AW2614" s="432" t="s">
        <v>14877</v>
      </c>
      <c r="AX2614" s="65" t="s">
        <v>136</v>
      </c>
    </row>
    <row r="2615">
      <c r="A2615" s="41">
        <v>2615.0</v>
      </c>
      <c r="B2615" s="42" t="s">
        <v>583</v>
      </c>
      <c r="C2615" s="42" t="s">
        <v>108</v>
      </c>
      <c r="D2615" s="418" t="s">
        <v>138</v>
      </c>
      <c r="F2615" s="43" t="s">
        <v>7301</v>
      </c>
      <c r="G2615" s="44" t="s">
        <v>7302</v>
      </c>
      <c r="H2615" s="380" t="s">
        <v>15462</v>
      </c>
      <c r="I2615" s="44" t="s">
        <v>112</v>
      </c>
      <c r="J2615" s="45">
        <v>45641.0</v>
      </c>
      <c r="K2615" s="46" t="s">
        <v>15463</v>
      </c>
      <c r="L2615" s="44" t="s">
        <v>7305</v>
      </c>
      <c r="M2615" s="44" t="s">
        <v>7306</v>
      </c>
      <c r="N2615" s="44" t="s">
        <v>7307</v>
      </c>
      <c r="O2615" s="505">
        <v>7.0</v>
      </c>
      <c r="P2615" s="48" t="s">
        <v>7308</v>
      </c>
      <c r="Q2615" s="49" t="str">
        <f t="array" ref="Q2615"> if(iserror(MATCH(V2615, 'File Links'!C:C, 0)), "N/A", HYPERLINK(INDEX('File Links'!B:B, MATCH(P2615, 'File Links'!C:C, 0))))</f>
        <v>https://drive.google.com/file/d/1gBF1OSh84_PEaQuwMpzqMOVewrJw3LKJ/view?usp=drivesdk</v>
      </c>
      <c r="R2615" s="44" t="s">
        <v>7309</v>
      </c>
      <c r="S2615" s="44" t="s">
        <v>7310</v>
      </c>
      <c r="T2615" s="46"/>
      <c r="U2615" s="102"/>
      <c r="V2615" s="195" t="str">
        <f> hyperlink(vlookup(lower(S2615),#REF!, 2, FALSE), SUBSTITUTE(lower(S2615), "/", "--") &amp;  ".pdf")</f>
        <v>10.1016--j.jesp.2012.10.014.pdf</v>
      </c>
      <c r="W2615" s="46"/>
      <c r="X2615" s="51" t="str">
        <f t="array" ref="X2615"> if(iserror(MATCH(V2615, 'File Links'!C:C, 0)), "N/A", HYPERLINK(INDEX('File Links'!B:B, MATCH(V2615, 'File Links'!C:C, 0))))</f>
        <v>https://drive.google.com/file/d/1_rFVHDaWBDKF-ni6stLki1Wt7mspwAb2/view?usp=drivesdk</v>
      </c>
      <c r="Y2615" s="46"/>
      <c r="Z2615" s="46" t="s">
        <v>219</v>
      </c>
      <c r="AA2615" s="46"/>
      <c r="AB2615" s="46" t="s">
        <v>7311</v>
      </c>
      <c r="AC2615" s="46"/>
      <c r="AD2615" s="46"/>
      <c r="AE2615" s="46"/>
      <c r="AF2615" s="46"/>
      <c r="AG2615" s="46"/>
      <c r="AH2615" s="102"/>
      <c r="AI2615" s="46"/>
      <c r="AJ2615" s="46"/>
      <c r="AK2615" s="43"/>
      <c r="AL2615" s="46"/>
      <c r="AM2615" s="46"/>
      <c r="AN2615" s="46"/>
      <c r="AO2615" s="46"/>
      <c r="AP2615" s="46"/>
      <c r="AQ2615" s="46"/>
      <c r="AR2615" s="46"/>
      <c r="AS2615" s="46"/>
      <c r="AT2615" s="43"/>
      <c r="AU2615" s="43"/>
      <c r="AV2615" s="43"/>
      <c r="AW2615" s="43"/>
      <c r="AX2615" s="43"/>
      <c r="AY2615" s="54"/>
    </row>
    <row r="2616">
      <c r="A2616" s="41">
        <v>2616.0</v>
      </c>
      <c r="B2616" s="202" t="s">
        <v>145</v>
      </c>
      <c r="C2616" s="196" t="s">
        <v>108</v>
      </c>
      <c r="D2616" s="196" t="s">
        <v>241</v>
      </c>
      <c r="E2616" s="197"/>
      <c r="F2616" s="202" t="s">
        <v>15464</v>
      </c>
      <c r="G2616" s="203" t="s">
        <v>15465</v>
      </c>
      <c r="I2616" s="2141">
        <v>45331.0</v>
      </c>
      <c r="J2616" s="2142">
        <v>45828.0</v>
      </c>
      <c r="K2616" s="201"/>
      <c r="L2616" s="203" t="s">
        <v>15466</v>
      </c>
      <c r="M2616" s="203" t="s">
        <v>15467</v>
      </c>
      <c r="N2616" s="203" t="s">
        <v>15468</v>
      </c>
      <c r="O2616" s="202">
        <v>1.0</v>
      </c>
      <c r="P2616" s="203" t="s">
        <v>15469</v>
      </c>
      <c r="Q2616" s="2143" t="s">
        <v>7250</v>
      </c>
      <c r="R2616" s="203" t="s">
        <v>15470</v>
      </c>
      <c r="S2616" s="203" t="s">
        <v>15471</v>
      </c>
      <c r="T2616" s="201"/>
      <c r="U2616" s="202">
        <v>1.0</v>
      </c>
      <c r="V2616" s="203" t="s">
        <v>15472</v>
      </c>
      <c r="W2616" s="202" t="s">
        <v>15472</v>
      </c>
      <c r="X2616" s="2143" t="s">
        <v>7250</v>
      </c>
      <c r="Y2616" s="198"/>
      <c r="Z2616" s="203" t="s">
        <v>940</v>
      </c>
      <c r="AA2616" s="203" t="s">
        <v>15473</v>
      </c>
      <c r="AB2616" s="203" t="s">
        <v>7257</v>
      </c>
      <c r="AC2616" s="203" t="s">
        <v>4085</v>
      </c>
      <c r="AD2616" s="202" t="s">
        <v>15474</v>
      </c>
      <c r="AE2616" s="202" t="s">
        <v>500</v>
      </c>
      <c r="AF2616" s="204">
        <v>614.0</v>
      </c>
      <c r="AG2616" s="204" t="s">
        <v>15475</v>
      </c>
      <c r="AH2616" s="203" t="s">
        <v>127</v>
      </c>
      <c r="AI2616" s="203" t="s">
        <v>500</v>
      </c>
      <c r="AJ2616" s="2144">
        <v>0.001</v>
      </c>
      <c r="AK2616" s="203" t="s">
        <v>128</v>
      </c>
      <c r="AL2616" s="203" t="s">
        <v>179</v>
      </c>
      <c r="AM2616" s="203" t="s">
        <v>130</v>
      </c>
      <c r="AN2616" s="203" t="s">
        <v>131</v>
      </c>
      <c r="AO2616" s="204">
        <v>2203.0</v>
      </c>
      <c r="AP2616" s="204">
        <v>-1.25</v>
      </c>
      <c r="AQ2616" s="203" t="s">
        <v>166</v>
      </c>
      <c r="AR2616" s="203" t="s">
        <v>15476</v>
      </c>
      <c r="AS2616" s="204">
        <v>0.001</v>
      </c>
      <c r="AT2616" s="203" t="s">
        <v>128</v>
      </c>
      <c r="AU2616" s="203" t="s">
        <v>179</v>
      </c>
      <c r="AV2616" s="203" t="s">
        <v>130</v>
      </c>
      <c r="AW2616" s="2145" t="s">
        <v>15477</v>
      </c>
      <c r="AX2616" s="203" t="s">
        <v>136</v>
      </c>
      <c r="AY2616" s="197"/>
      <c r="AZ2616" s="196" t="s">
        <v>807</v>
      </c>
      <c r="BA2616" s="197"/>
      <c r="BB2616" s="197"/>
      <c r="BC2616" s="197"/>
      <c r="BD2616" s="197"/>
      <c r="BE2616" s="197"/>
      <c r="BF2616" s="197"/>
      <c r="BG2616" s="197"/>
      <c r="BH2616" s="197"/>
      <c r="BI2616" s="197"/>
      <c r="BJ2616" s="197"/>
      <c r="BK2616" s="197"/>
      <c r="BL2616" s="197"/>
      <c r="BM2616" s="197"/>
      <c r="BN2616" s="197"/>
      <c r="BO2616" s="197"/>
      <c r="BP2616" s="197"/>
      <c r="BQ2616" s="197"/>
      <c r="BR2616" s="197"/>
      <c r="BS2616" s="197"/>
      <c r="BT2616" s="197"/>
      <c r="BU2616" s="197"/>
      <c r="BV2616" s="197"/>
      <c r="BW2616" s="197"/>
      <c r="BX2616" s="197"/>
      <c r="BY2616" s="197"/>
      <c r="BZ2616" s="197"/>
      <c r="CA2616" s="197"/>
      <c r="CB2616" s="197"/>
      <c r="CC2616" s="197"/>
      <c r="CD2616" s="197"/>
      <c r="CE2616" s="197"/>
      <c r="CF2616" s="197"/>
      <c r="CG2616" s="197"/>
      <c r="CH2616" s="197"/>
      <c r="CI2616" s="197"/>
      <c r="CJ2616" s="197"/>
      <c r="CK2616" s="197"/>
      <c r="CL2616" s="197"/>
      <c r="CM2616" s="197"/>
      <c r="CN2616" s="197"/>
      <c r="CO2616" s="197"/>
      <c r="CP2616" s="197"/>
      <c r="CQ2616" s="197"/>
      <c r="CR2616" s="197"/>
      <c r="CS2616" s="197"/>
      <c r="CT2616" s="197"/>
      <c r="CU2616" s="197"/>
      <c r="CV2616" s="197"/>
      <c r="CW2616" s="197"/>
      <c r="CX2616" s="197"/>
      <c r="CY2616" s="197"/>
      <c r="CZ2616" s="197"/>
      <c r="DA2616" s="197"/>
      <c r="DB2616" s="197"/>
      <c r="DC2616" s="197"/>
      <c r="DD2616" s="197"/>
      <c r="DE2616" s="197"/>
      <c r="DF2616" s="197"/>
      <c r="DG2616" s="197"/>
      <c r="DH2616" s="197"/>
    </row>
    <row r="2617">
      <c r="A2617" s="41">
        <v>2617.0</v>
      </c>
      <c r="B2617" s="126" t="s">
        <v>516</v>
      </c>
      <c r="C2617" s="59" t="s">
        <v>108</v>
      </c>
      <c r="D2617" s="59" t="s">
        <v>241</v>
      </c>
      <c r="F2617" s="126" t="s">
        <v>15464</v>
      </c>
      <c r="G2617" s="148" t="s">
        <v>15478</v>
      </c>
      <c r="H2617" s="156"/>
      <c r="I2617" s="1534">
        <v>45331.0</v>
      </c>
      <c r="J2617" s="149"/>
      <c r="K2617" s="65"/>
      <c r="L2617" s="65"/>
      <c r="M2617" s="148" t="s">
        <v>15467</v>
      </c>
      <c r="N2617" s="148" t="s">
        <v>15468</v>
      </c>
      <c r="O2617" s="65"/>
      <c r="P2617" s="306" t="s">
        <v>15469</v>
      </c>
      <c r="Q2617" s="2146" t="s">
        <v>7250</v>
      </c>
      <c r="R2617" s="148" t="s">
        <v>15470</v>
      </c>
      <c r="S2617" s="148" t="s">
        <v>15471</v>
      </c>
      <c r="T2617" s="65"/>
      <c r="U2617" s="65"/>
      <c r="V2617" s="306" t="s">
        <v>15472</v>
      </c>
      <c r="W2617" s="1077" t="s">
        <v>15472</v>
      </c>
      <c r="X2617" s="2147" t="s">
        <v>7250</v>
      </c>
      <c r="Y2617" s="156"/>
      <c r="Z2617" s="148" t="s">
        <v>940</v>
      </c>
      <c r="AA2617" s="148" t="s">
        <v>15473</v>
      </c>
      <c r="AB2617" s="148" t="s">
        <v>7257</v>
      </c>
      <c r="AC2617" s="148" t="s">
        <v>5504</v>
      </c>
      <c r="AD2617" s="126" t="s">
        <v>15479</v>
      </c>
      <c r="AE2617" s="126" t="s">
        <v>500</v>
      </c>
      <c r="AF2617" s="158">
        <v>640.0</v>
      </c>
      <c r="AG2617" s="158" t="s">
        <v>15480</v>
      </c>
      <c r="AH2617" s="148" t="s">
        <v>127</v>
      </c>
      <c r="AI2617" s="148" t="s">
        <v>500</v>
      </c>
      <c r="AJ2617" s="498">
        <v>0.081</v>
      </c>
      <c r="AK2617" s="148" t="s">
        <v>165</v>
      </c>
      <c r="AL2617" s="148" t="s">
        <v>179</v>
      </c>
      <c r="AM2617" s="148" t="s">
        <v>130</v>
      </c>
      <c r="AN2617" s="148" t="s">
        <v>131</v>
      </c>
      <c r="AO2617" s="158">
        <v>2203.0</v>
      </c>
      <c r="AP2617" s="158">
        <v>-0.43</v>
      </c>
      <c r="AQ2617" s="148" t="s">
        <v>166</v>
      </c>
      <c r="AR2617" s="148" t="s">
        <v>15476</v>
      </c>
      <c r="AS2617" s="158">
        <v>0.001</v>
      </c>
      <c r="AT2617" s="148" t="s">
        <v>128</v>
      </c>
      <c r="AU2617" s="148" t="s">
        <v>179</v>
      </c>
      <c r="AV2617" s="148" t="s">
        <v>130</v>
      </c>
      <c r="AW2617" s="1790" t="s">
        <v>15477</v>
      </c>
      <c r="AX2617" s="148" t="s">
        <v>136</v>
      </c>
      <c r="AZ2617" s="59" t="s">
        <v>7268</v>
      </c>
    </row>
    <row r="2618">
      <c r="A2618" s="41">
        <v>2618.0</v>
      </c>
      <c r="B2618" s="126" t="s">
        <v>516</v>
      </c>
      <c r="C2618" s="59" t="s">
        <v>108</v>
      </c>
      <c r="D2618" s="59" t="s">
        <v>241</v>
      </c>
      <c r="F2618" s="126" t="s">
        <v>15464</v>
      </c>
      <c r="G2618" s="148" t="s">
        <v>15481</v>
      </c>
      <c r="H2618" s="156"/>
      <c r="I2618" s="1534">
        <v>45331.0</v>
      </c>
      <c r="J2618" s="149"/>
      <c r="K2618" s="65"/>
      <c r="L2618" s="65"/>
      <c r="M2618" s="148" t="s">
        <v>15467</v>
      </c>
      <c r="N2618" s="148" t="s">
        <v>15468</v>
      </c>
      <c r="O2618" s="65"/>
      <c r="P2618" s="306" t="s">
        <v>15469</v>
      </c>
      <c r="Q2618" s="2146" t="s">
        <v>7250</v>
      </c>
      <c r="R2618" s="148" t="s">
        <v>15470</v>
      </c>
      <c r="S2618" s="148" t="s">
        <v>15471</v>
      </c>
      <c r="T2618" s="65"/>
      <c r="U2618" s="65"/>
      <c r="V2618" s="306" t="s">
        <v>15472</v>
      </c>
      <c r="W2618" s="1077" t="s">
        <v>15472</v>
      </c>
      <c r="X2618" s="2147" t="s">
        <v>7250</v>
      </c>
      <c r="Y2618" s="156"/>
      <c r="Z2618" s="148" t="s">
        <v>940</v>
      </c>
      <c r="AA2618" s="148" t="s">
        <v>15473</v>
      </c>
      <c r="AB2618" s="148" t="s">
        <v>7257</v>
      </c>
      <c r="AC2618" s="148" t="s">
        <v>1547</v>
      </c>
      <c r="AD2618" s="126" t="s">
        <v>15482</v>
      </c>
      <c r="AE2618" s="126" t="s">
        <v>500</v>
      </c>
      <c r="AF2618" s="158">
        <v>640.0</v>
      </c>
      <c r="AG2618" s="158" t="s">
        <v>15483</v>
      </c>
      <c r="AH2618" s="148" t="s">
        <v>127</v>
      </c>
      <c r="AI2618" s="148" t="s">
        <v>500</v>
      </c>
      <c r="AJ2618" s="498">
        <v>0.001</v>
      </c>
      <c r="AK2618" s="148" t="s">
        <v>128</v>
      </c>
      <c r="AL2618" s="148" t="s">
        <v>179</v>
      </c>
      <c r="AM2618" s="148" t="s">
        <v>130</v>
      </c>
      <c r="AN2618" s="148" t="s">
        <v>131</v>
      </c>
      <c r="AO2618" s="158">
        <v>2203.0</v>
      </c>
      <c r="AP2618" s="158">
        <v>0.9</v>
      </c>
      <c r="AQ2618" s="148" t="s">
        <v>166</v>
      </c>
      <c r="AR2618" s="148" t="s">
        <v>15476</v>
      </c>
      <c r="AS2618" s="158">
        <v>0.001</v>
      </c>
      <c r="AT2618" s="148" t="s">
        <v>128</v>
      </c>
      <c r="AU2618" s="148" t="s">
        <v>179</v>
      </c>
      <c r="AV2618" s="148" t="s">
        <v>130</v>
      </c>
      <c r="AW2618" s="1790" t="s">
        <v>15477</v>
      </c>
      <c r="AX2618" s="148" t="s">
        <v>136</v>
      </c>
      <c r="AZ2618" s="59" t="s">
        <v>7268</v>
      </c>
    </row>
    <row r="2619">
      <c r="A2619" s="41">
        <v>2619.0</v>
      </c>
      <c r="B2619" s="126" t="s">
        <v>516</v>
      </c>
      <c r="C2619" s="59" t="s">
        <v>108</v>
      </c>
      <c r="D2619" s="59" t="s">
        <v>241</v>
      </c>
      <c r="F2619" s="126" t="s">
        <v>15464</v>
      </c>
      <c r="G2619" s="148" t="s">
        <v>15484</v>
      </c>
      <c r="H2619" s="156"/>
      <c r="I2619" s="1534">
        <v>45331.0</v>
      </c>
      <c r="J2619" s="149"/>
      <c r="K2619" s="65"/>
      <c r="L2619" s="65"/>
      <c r="M2619" s="148" t="s">
        <v>15467</v>
      </c>
      <c r="N2619" s="148" t="s">
        <v>15468</v>
      </c>
      <c r="O2619" s="65"/>
      <c r="P2619" s="306" t="s">
        <v>15469</v>
      </c>
      <c r="Q2619" s="2146" t="s">
        <v>7250</v>
      </c>
      <c r="R2619" s="148" t="s">
        <v>15470</v>
      </c>
      <c r="S2619" s="148" t="s">
        <v>15471</v>
      </c>
      <c r="T2619" s="65"/>
      <c r="U2619" s="65"/>
      <c r="V2619" s="306" t="s">
        <v>15472</v>
      </c>
      <c r="W2619" s="1077" t="s">
        <v>15472</v>
      </c>
      <c r="X2619" s="2147" t="s">
        <v>7250</v>
      </c>
      <c r="Y2619" s="156"/>
      <c r="Z2619" s="148" t="s">
        <v>940</v>
      </c>
      <c r="AA2619" s="148" t="s">
        <v>15473</v>
      </c>
      <c r="AB2619" s="148" t="s">
        <v>7257</v>
      </c>
      <c r="AC2619" s="148" t="s">
        <v>15485</v>
      </c>
      <c r="AD2619" s="126" t="s">
        <v>15486</v>
      </c>
      <c r="AE2619" s="126" t="s">
        <v>500</v>
      </c>
      <c r="AF2619" s="158">
        <v>640.0</v>
      </c>
      <c r="AG2619" s="158" t="s">
        <v>15487</v>
      </c>
      <c r="AH2619" s="148" t="s">
        <v>127</v>
      </c>
      <c r="AI2619" s="148" t="s">
        <v>500</v>
      </c>
      <c r="AJ2619" s="498">
        <v>0.001</v>
      </c>
      <c r="AK2619" s="148" t="s">
        <v>128</v>
      </c>
      <c r="AL2619" s="148" t="s">
        <v>179</v>
      </c>
      <c r="AM2619" s="148" t="s">
        <v>130</v>
      </c>
      <c r="AN2619" s="148" t="s">
        <v>131</v>
      </c>
      <c r="AO2619" s="158">
        <v>2203.0</v>
      </c>
      <c r="AP2619" s="158">
        <v>-0.37</v>
      </c>
      <c r="AQ2619" s="148" t="s">
        <v>166</v>
      </c>
      <c r="AR2619" s="148" t="s">
        <v>15476</v>
      </c>
      <c r="AS2619" s="158">
        <v>0.001</v>
      </c>
      <c r="AT2619" s="148" t="s">
        <v>128</v>
      </c>
      <c r="AU2619" s="148" t="s">
        <v>179</v>
      </c>
      <c r="AV2619" s="148" t="s">
        <v>130</v>
      </c>
      <c r="AW2619" s="1790" t="s">
        <v>15477</v>
      </c>
      <c r="AX2619" s="148" t="s">
        <v>136</v>
      </c>
      <c r="AZ2619" s="59" t="s">
        <v>7268</v>
      </c>
    </row>
    <row r="2620">
      <c r="A2620" s="41">
        <v>2620.0</v>
      </c>
      <c r="B2620" s="126" t="s">
        <v>516</v>
      </c>
      <c r="C2620" s="59" t="s">
        <v>108</v>
      </c>
      <c r="D2620" s="59" t="s">
        <v>241</v>
      </c>
      <c r="F2620" s="126" t="s">
        <v>15464</v>
      </c>
      <c r="G2620" s="148" t="s">
        <v>15488</v>
      </c>
      <c r="H2620" s="156"/>
      <c r="I2620" s="1534">
        <v>45331.0</v>
      </c>
      <c r="J2620" s="149"/>
      <c r="K2620" s="65"/>
      <c r="L2620" s="65"/>
      <c r="M2620" s="148" t="s">
        <v>15467</v>
      </c>
      <c r="N2620" s="148" t="s">
        <v>15468</v>
      </c>
      <c r="O2620" s="65"/>
      <c r="P2620" s="306" t="s">
        <v>15469</v>
      </c>
      <c r="Q2620" s="2146" t="s">
        <v>7250</v>
      </c>
      <c r="R2620" s="148" t="s">
        <v>15470</v>
      </c>
      <c r="S2620" s="148" t="s">
        <v>15471</v>
      </c>
      <c r="T2620" s="65"/>
      <c r="U2620" s="65"/>
      <c r="V2620" s="306" t="s">
        <v>15472</v>
      </c>
      <c r="W2620" s="1077" t="s">
        <v>15472</v>
      </c>
      <c r="X2620" s="2147" t="s">
        <v>7250</v>
      </c>
      <c r="Y2620" s="156"/>
      <c r="Z2620" s="148" t="s">
        <v>940</v>
      </c>
      <c r="AA2620" s="148" t="s">
        <v>15473</v>
      </c>
      <c r="AB2620" s="148" t="s">
        <v>7257</v>
      </c>
      <c r="AC2620" s="148" t="s">
        <v>4085</v>
      </c>
      <c r="AD2620" s="126" t="s">
        <v>15489</v>
      </c>
      <c r="AE2620" s="126" t="s">
        <v>500</v>
      </c>
      <c r="AF2620" s="158">
        <v>640.0</v>
      </c>
      <c r="AG2620" s="158" t="s">
        <v>15475</v>
      </c>
      <c r="AH2620" s="148" t="s">
        <v>127</v>
      </c>
      <c r="AI2620" s="148" t="s">
        <v>500</v>
      </c>
      <c r="AJ2620" s="498">
        <v>0.001</v>
      </c>
      <c r="AK2620" s="148" t="s">
        <v>128</v>
      </c>
      <c r="AL2620" s="148" t="s">
        <v>179</v>
      </c>
      <c r="AM2620" s="148" t="s">
        <v>130</v>
      </c>
      <c r="AN2620" s="148" t="s">
        <v>131</v>
      </c>
      <c r="AO2620" s="158">
        <v>999.0</v>
      </c>
      <c r="AP2620" s="158">
        <v>-1.3</v>
      </c>
      <c r="AQ2620" s="148" t="s">
        <v>166</v>
      </c>
      <c r="AR2620" s="148" t="s">
        <v>15476</v>
      </c>
      <c r="AS2620" s="158">
        <v>0.001</v>
      </c>
      <c r="AT2620" s="148" t="s">
        <v>128</v>
      </c>
      <c r="AU2620" s="148" t="s">
        <v>179</v>
      </c>
      <c r="AV2620" s="148" t="s">
        <v>130</v>
      </c>
      <c r="AW2620" s="1790" t="s">
        <v>15490</v>
      </c>
      <c r="AX2620" s="148" t="s">
        <v>136</v>
      </c>
      <c r="AZ2620" s="59" t="s">
        <v>7268</v>
      </c>
    </row>
    <row r="2621">
      <c r="A2621" s="41">
        <v>2621.0</v>
      </c>
      <c r="B2621" s="126" t="s">
        <v>516</v>
      </c>
      <c r="C2621" s="59" t="s">
        <v>108</v>
      </c>
      <c r="D2621" s="59" t="s">
        <v>241</v>
      </c>
      <c r="F2621" s="126" t="s">
        <v>15464</v>
      </c>
      <c r="G2621" s="148" t="s">
        <v>15491</v>
      </c>
      <c r="H2621" s="156"/>
      <c r="I2621" s="1534">
        <v>45331.0</v>
      </c>
      <c r="J2621" s="149"/>
      <c r="K2621" s="65"/>
      <c r="L2621" s="65"/>
      <c r="M2621" s="148" t="s">
        <v>15467</v>
      </c>
      <c r="N2621" s="148" t="s">
        <v>15468</v>
      </c>
      <c r="O2621" s="65"/>
      <c r="P2621" s="306" t="s">
        <v>15469</v>
      </c>
      <c r="Q2621" s="2146" t="s">
        <v>7250</v>
      </c>
      <c r="R2621" s="148" t="s">
        <v>15470</v>
      </c>
      <c r="S2621" s="148" t="s">
        <v>15471</v>
      </c>
      <c r="T2621" s="65"/>
      <c r="U2621" s="65"/>
      <c r="V2621" s="306" t="s">
        <v>15472</v>
      </c>
      <c r="W2621" s="1077" t="s">
        <v>15472</v>
      </c>
      <c r="X2621" s="2147" t="s">
        <v>7250</v>
      </c>
      <c r="Y2621" s="156"/>
      <c r="Z2621" s="148" t="s">
        <v>940</v>
      </c>
      <c r="AA2621" s="148" t="s">
        <v>15473</v>
      </c>
      <c r="AB2621" s="148" t="s">
        <v>7257</v>
      </c>
      <c r="AC2621" s="148" t="s">
        <v>5504</v>
      </c>
      <c r="AD2621" s="126" t="s">
        <v>15479</v>
      </c>
      <c r="AE2621" s="126" t="s">
        <v>500</v>
      </c>
      <c r="AF2621" s="158">
        <v>640.0</v>
      </c>
      <c r="AG2621" s="158" t="s">
        <v>15480</v>
      </c>
      <c r="AH2621" s="148" t="s">
        <v>127</v>
      </c>
      <c r="AI2621" s="148" t="s">
        <v>500</v>
      </c>
      <c r="AJ2621" s="498">
        <v>0.081</v>
      </c>
      <c r="AK2621" s="148" t="s">
        <v>165</v>
      </c>
      <c r="AL2621" s="148" t="s">
        <v>179</v>
      </c>
      <c r="AM2621" s="148" t="s">
        <v>130</v>
      </c>
      <c r="AN2621" s="148" t="s">
        <v>131</v>
      </c>
      <c r="AO2621" s="158">
        <v>999.0</v>
      </c>
      <c r="AP2621" s="158">
        <v>-0.87</v>
      </c>
      <c r="AQ2621" s="148" t="s">
        <v>166</v>
      </c>
      <c r="AR2621" s="148" t="s">
        <v>15476</v>
      </c>
      <c r="AS2621" s="158">
        <v>0.001</v>
      </c>
      <c r="AT2621" s="148" t="s">
        <v>128</v>
      </c>
      <c r="AU2621" s="148" t="s">
        <v>179</v>
      </c>
      <c r="AV2621" s="148" t="s">
        <v>130</v>
      </c>
      <c r="AW2621" s="1790" t="s">
        <v>15490</v>
      </c>
      <c r="AX2621" s="148" t="s">
        <v>136</v>
      </c>
      <c r="AZ2621" s="59" t="s">
        <v>7268</v>
      </c>
    </row>
    <row r="2622">
      <c r="A2622" s="41">
        <v>2622.0</v>
      </c>
      <c r="B2622" s="126" t="s">
        <v>516</v>
      </c>
      <c r="C2622" s="59" t="s">
        <v>108</v>
      </c>
      <c r="D2622" s="59" t="s">
        <v>241</v>
      </c>
      <c r="F2622" s="126" t="s">
        <v>15464</v>
      </c>
      <c r="G2622" s="148" t="s">
        <v>15492</v>
      </c>
      <c r="H2622" s="156"/>
      <c r="I2622" s="1534">
        <v>45331.0</v>
      </c>
      <c r="J2622" s="149"/>
      <c r="K2622" s="65"/>
      <c r="L2622" s="65"/>
      <c r="M2622" s="148" t="s">
        <v>15467</v>
      </c>
      <c r="N2622" s="148" t="s">
        <v>15468</v>
      </c>
      <c r="O2622" s="65"/>
      <c r="P2622" s="306" t="s">
        <v>15469</v>
      </c>
      <c r="Q2622" s="2146" t="s">
        <v>7250</v>
      </c>
      <c r="R2622" s="148" t="s">
        <v>15470</v>
      </c>
      <c r="S2622" s="148" t="s">
        <v>15471</v>
      </c>
      <c r="T2622" s="65"/>
      <c r="U2622" s="65"/>
      <c r="V2622" s="306" t="s">
        <v>15472</v>
      </c>
      <c r="W2622" s="1077" t="s">
        <v>15472</v>
      </c>
      <c r="X2622" s="2147" t="s">
        <v>7250</v>
      </c>
      <c r="Y2622" s="156"/>
      <c r="Z2622" s="148" t="s">
        <v>940</v>
      </c>
      <c r="AA2622" s="148" t="s">
        <v>15473</v>
      </c>
      <c r="AB2622" s="148" t="s">
        <v>7257</v>
      </c>
      <c r="AC2622" s="148" t="s">
        <v>1547</v>
      </c>
      <c r="AD2622" s="126" t="s">
        <v>15482</v>
      </c>
      <c r="AE2622" s="126" t="s">
        <v>500</v>
      </c>
      <c r="AF2622" s="158">
        <v>640.0</v>
      </c>
      <c r="AG2622" s="158" t="s">
        <v>15483</v>
      </c>
      <c r="AH2622" s="148" t="s">
        <v>127</v>
      </c>
      <c r="AI2622" s="148" t="s">
        <v>500</v>
      </c>
      <c r="AJ2622" s="498">
        <v>0.001</v>
      </c>
      <c r="AK2622" s="148" t="s">
        <v>128</v>
      </c>
      <c r="AL2622" s="148" t="s">
        <v>179</v>
      </c>
      <c r="AM2622" s="148" t="s">
        <v>130</v>
      </c>
      <c r="AN2622" s="148" t="s">
        <v>131</v>
      </c>
      <c r="AO2622" s="158">
        <v>999.0</v>
      </c>
      <c r="AP2622" s="158">
        <v>-0.11</v>
      </c>
      <c r="AQ2622" s="148" t="s">
        <v>166</v>
      </c>
      <c r="AR2622" s="148" t="s">
        <v>15476</v>
      </c>
      <c r="AS2622" s="158">
        <v>0.001</v>
      </c>
      <c r="AT2622" s="148" t="s">
        <v>128</v>
      </c>
      <c r="AU2622" s="148" t="s">
        <v>179</v>
      </c>
      <c r="AV2622" s="148" t="s">
        <v>130</v>
      </c>
      <c r="AW2622" s="1790" t="s">
        <v>15490</v>
      </c>
      <c r="AX2622" s="148" t="s">
        <v>136</v>
      </c>
      <c r="AZ2622" s="59" t="s">
        <v>7268</v>
      </c>
    </row>
    <row r="2623">
      <c r="A2623" s="41">
        <v>2623.0</v>
      </c>
      <c r="B2623" s="126" t="s">
        <v>516</v>
      </c>
      <c r="C2623" s="59" t="s">
        <v>108</v>
      </c>
      <c r="D2623" s="59" t="s">
        <v>241</v>
      </c>
      <c r="F2623" s="126" t="s">
        <v>15464</v>
      </c>
      <c r="G2623" s="148" t="s">
        <v>15493</v>
      </c>
      <c r="H2623" s="156"/>
      <c r="I2623" s="1534">
        <v>45331.0</v>
      </c>
      <c r="J2623" s="149"/>
      <c r="K2623" s="65"/>
      <c r="L2623" s="65"/>
      <c r="M2623" s="148" t="s">
        <v>15467</v>
      </c>
      <c r="N2623" s="148" t="s">
        <v>15468</v>
      </c>
      <c r="O2623" s="65"/>
      <c r="P2623" s="306" t="s">
        <v>15469</v>
      </c>
      <c r="Q2623" s="2146" t="s">
        <v>7250</v>
      </c>
      <c r="R2623" s="148" t="s">
        <v>15470</v>
      </c>
      <c r="S2623" s="148" t="s">
        <v>15471</v>
      </c>
      <c r="T2623" s="65"/>
      <c r="U2623" s="65"/>
      <c r="V2623" s="306" t="s">
        <v>15472</v>
      </c>
      <c r="W2623" s="1077" t="s">
        <v>15472</v>
      </c>
      <c r="X2623" s="2147" t="s">
        <v>7250</v>
      </c>
      <c r="Y2623" s="156"/>
      <c r="Z2623" s="148" t="s">
        <v>940</v>
      </c>
      <c r="AA2623" s="148" t="s">
        <v>15473</v>
      </c>
      <c r="AB2623" s="148" t="s">
        <v>7257</v>
      </c>
      <c r="AC2623" s="148" t="s">
        <v>15485</v>
      </c>
      <c r="AD2623" s="126" t="s">
        <v>15486</v>
      </c>
      <c r="AE2623" s="126" t="s">
        <v>500</v>
      </c>
      <c r="AF2623" s="158">
        <v>640.0</v>
      </c>
      <c r="AG2623" s="158" t="s">
        <v>15487</v>
      </c>
      <c r="AH2623" s="148" t="s">
        <v>127</v>
      </c>
      <c r="AI2623" s="148" t="s">
        <v>500</v>
      </c>
      <c r="AJ2623" s="498">
        <v>0.001</v>
      </c>
      <c r="AK2623" s="148" t="s">
        <v>128</v>
      </c>
      <c r="AL2623" s="148" t="s">
        <v>179</v>
      </c>
      <c r="AM2623" s="148" t="s">
        <v>130</v>
      </c>
      <c r="AN2623" s="148" t="s">
        <v>131</v>
      </c>
      <c r="AO2623" s="158">
        <v>999.0</v>
      </c>
      <c r="AP2623" s="158">
        <v>-0.8</v>
      </c>
      <c r="AQ2623" s="148" t="s">
        <v>166</v>
      </c>
      <c r="AR2623" s="148" t="s">
        <v>15476</v>
      </c>
      <c r="AS2623" s="158">
        <v>0.001</v>
      </c>
      <c r="AT2623" s="148" t="s">
        <v>128</v>
      </c>
      <c r="AU2623" s="148" t="s">
        <v>179</v>
      </c>
      <c r="AV2623" s="148" t="s">
        <v>130</v>
      </c>
      <c r="AW2623" s="1790" t="s">
        <v>15490</v>
      </c>
      <c r="AX2623" s="148" t="s">
        <v>136</v>
      </c>
      <c r="AZ2623" s="59" t="s">
        <v>7268</v>
      </c>
    </row>
    <row r="2624">
      <c r="A2624" s="41">
        <v>2624.0</v>
      </c>
      <c r="B2624" s="126" t="s">
        <v>145</v>
      </c>
      <c r="C2624" s="59" t="s">
        <v>108</v>
      </c>
      <c r="D2624" s="59" t="s">
        <v>241</v>
      </c>
      <c r="F2624" s="126" t="s">
        <v>15494</v>
      </c>
      <c r="G2624" s="148" t="s">
        <v>15495</v>
      </c>
      <c r="H2624" s="156"/>
      <c r="I2624" s="1534">
        <v>45331.0</v>
      </c>
      <c r="J2624" s="149"/>
      <c r="K2624" s="65"/>
      <c r="L2624" s="203" t="s">
        <v>15496</v>
      </c>
      <c r="M2624" s="148" t="s">
        <v>15497</v>
      </c>
      <c r="N2624" s="148" t="s">
        <v>15498</v>
      </c>
      <c r="O2624" s="126">
        <v>1.0</v>
      </c>
      <c r="P2624" s="306" t="s">
        <v>15499</v>
      </c>
      <c r="Q2624" s="2146" t="s">
        <v>7250</v>
      </c>
      <c r="R2624" s="148" t="s">
        <v>15500</v>
      </c>
      <c r="S2624" s="148" t="s">
        <v>15501</v>
      </c>
      <c r="T2624" s="438" t="s">
        <v>15502</v>
      </c>
      <c r="U2624" s="126">
        <v>1.0</v>
      </c>
      <c r="V2624" s="306" t="s">
        <v>15503</v>
      </c>
      <c r="W2624" s="1225"/>
      <c r="X2624" s="2147" t="s">
        <v>7250</v>
      </c>
      <c r="Y2624" s="156"/>
      <c r="Z2624" s="148" t="s">
        <v>940</v>
      </c>
      <c r="AA2624" s="148" t="s">
        <v>15504</v>
      </c>
      <c r="AB2624" s="148" t="s">
        <v>7257</v>
      </c>
      <c r="AC2624" s="148" t="s">
        <v>15505</v>
      </c>
      <c r="AD2624" s="126" t="s">
        <v>15506</v>
      </c>
      <c r="AE2624" s="126" t="s">
        <v>15507</v>
      </c>
      <c r="AF2624" s="158">
        <v>161.0</v>
      </c>
      <c r="AG2624" s="158" t="s">
        <v>131</v>
      </c>
      <c r="AH2624" s="148" t="s">
        <v>131</v>
      </c>
      <c r="AI2624" s="148" t="s">
        <v>2764</v>
      </c>
      <c r="AJ2624" s="498">
        <v>0.02</v>
      </c>
      <c r="AK2624" s="148" t="s">
        <v>128</v>
      </c>
      <c r="AL2624" s="148" t="s">
        <v>179</v>
      </c>
      <c r="AM2624" s="148" t="s">
        <v>130</v>
      </c>
      <c r="AN2624" s="148" t="s">
        <v>131</v>
      </c>
      <c r="AO2624" s="158">
        <v>970.0</v>
      </c>
      <c r="AP2624" s="158">
        <v>1.38</v>
      </c>
      <c r="AQ2624" s="148" t="s">
        <v>715</v>
      </c>
      <c r="AR2624" s="148" t="s">
        <v>15508</v>
      </c>
      <c r="AS2624" s="158">
        <v>0.021</v>
      </c>
      <c r="AT2624" s="148" t="s">
        <v>165</v>
      </c>
      <c r="AU2624" s="148" t="s">
        <v>179</v>
      </c>
      <c r="AV2624" s="148" t="s">
        <v>130</v>
      </c>
      <c r="AW2624" s="1790" t="s">
        <v>15509</v>
      </c>
      <c r="AX2624" s="148" t="s">
        <v>136</v>
      </c>
      <c r="AZ2624" s="224" t="s">
        <v>1263</v>
      </c>
    </row>
    <row r="2625">
      <c r="A2625" s="41">
        <v>2625.0</v>
      </c>
      <c r="B2625" s="692" t="s">
        <v>107</v>
      </c>
      <c r="C2625" s="224" t="s">
        <v>108</v>
      </c>
      <c r="D2625" s="224" t="s">
        <v>241</v>
      </c>
      <c r="E2625" s="225"/>
      <c r="F2625" s="692" t="s">
        <v>15510</v>
      </c>
      <c r="G2625" s="231" t="s">
        <v>15511</v>
      </c>
      <c r="H2625" s="232"/>
      <c r="I2625" s="2148">
        <v>45331.0</v>
      </c>
      <c r="J2625" s="695" t="s">
        <v>7245</v>
      </c>
      <c r="K2625" s="692"/>
      <c r="L2625" s="59" t="s">
        <v>15512</v>
      </c>
      <c r="M2625" s="231" t="s">
        <v>15513</v>
      </c>
      <c r="N2625" s="231" t="s">
        <v>15514</v>
      </c>
      <c r="O2625" s="692">
        <v>2.0</v>
      </c>
      <c r="P2625" s="231" t="s">
        <v>15515</v>
      </c>
      <c r="Q2625" s="2149" t="s">
        <v>7250</v>
      </c>
      <c r="R2625" s="231" t="s">
        <v>15500</v>
      </c>
      <c r="S2625" s="231" t="s">
        <v>15501</v>
      </c>
      <c r="T2625" s="2150" t="s">
        <v>15502</v>
      </c>
      <c r="U2625" s="692">
        <v>2.0</v>
      </c>
      <c r="V2625" s="231" t="s">
        <v>15503</v>
      </c>
      <c r="W2625" s="692" t="s">
        <v>1115</v>
      </c>
      <c r="X2625" s="2149" t="s">
        <v>7250</v>
      </c>
      <c r="Y2625" s="232"/>
      <c r="Z2625" s="231" t="s">
        <v>940</v>
      </c>
      <c r="AA2625" s="231" t="s">
        <v>15504</v>
      </c>
      <c r="AB2625" s="231" t="s">
        <v>7257</v>
      </c>
      <c r="AC2625" s="231" t="s">
        <v>15516</v>
      </c>
      <c r="AD2625" s="692" t="s">
        <v>15517</v>
      </c>
      <c r="AE2625" s="692" t="s">
        <v>597</v>
      </c>
      <c r="AF2625" s="695">
        <v>235.0</v>
      </c>
      <c r="AG2625" s="695" t="s">
        <v>15518</v>
      </c>
      <c r="AH2625" s="231" t="s">
        <v>127</v>
      </c>
      <c r="AI2625" s="231" t="s">
        <v>597</v>
      </c>
      <c r="AJ2625" s="1947">
        <v>0.001</v>
      </c>
      <c r="AK2625" s="231" t="s">
        <v>128</v>
      </c>
      <c r="AL2625" s="231" t="s">
        <v>179</v>
      </c>
      <c r="AM2625" s="231" t="s">
        <v>130</v>
      </c>
      <c r="AN2625" s="231" t="s">
        <v>131</v>
      </c>
      <c r="AO2625" s="695">
        <v>1920.0</v>
      </c>
      <c r="AP2625" s="695">
        <v>0.75</v>
      </c>
      <c r="AQ2625" s="231" t="s">
        <v>715</v>
      </c>
      <c r="AR2625" s="231" t="s">
        <v>15519</v>
      </c>
      <c r="AS2625" s="695">
        <v>0.095</v>
      </c>
      <c r="AT2625" s="231" t="s">
        <v>165</v>
      </c>
      <c r="AU2625" s="231" t="s">
        <v>179</v>
      </c>
      <c r="AV2625" s="231" t="s">
        <v>130</v>
      </c>
      <c r="AW2625" s="1950" t="s">
        <v>15509</v>
      </c>
      <c r="AX2625" s="231" t="s">
        <v>136</v>
      </c>
      <c r="AY2625" s="225"/>
      <c r="AZ2625" s="224" t="s">
        <v>1263</v>
      </c>
      <c r="BA2625" s="225"/>
      <c r="BB2625" s="225"/>
      <c r="BC2625" s="225"/>
      <c r="BD2625" s="225"/>
      <c r="BE2625" s="225"/>
      <c r="BF2625" s="225"/>
      <c r="BG2625" s="225"/>
      <c r="BH2625" s="225"/>
      <c r="BI2625" s="225"/>
      <c r="BJ2625" s="225"/>
      <c r="BK2625" s="225"/>
      <c r="BL2625" s="225"/>
      <c r="BM2625" s="225"/>
      <c r="BN2625" s="225"/>
      <c r="BO2625" s="225"/>
      <c r="BP2625" s="225"/>
      <c r="BQ2625" s="225"/>
      <c r="BR2625" s="225"/>
      <c r="BS2625" s="225"/>
      <c r="BT2625" s="225"/>
      <c r="BU2625" s="225"/>
      <c r="BV2625" s="225"/>
      <c r="BW2625" s="225"/>
      <c r="BX2625" s="225"/>
      <c r="BY2625" s="225"/>
      <c r="BZ2625" s="225"/>
      <c r="CA2625" s="225"/>
      <c r="CB2625" s="225"/>
      <c r="CC2625" s="225"/>
      <c r="CD2625" s="225"/>
      <c r="CE2625" s="225"/>
      <c r="CF2625" s="225"/>
      <c r="CG2625" s="225"/>
      <c r="CH2625" s="225"/>
      <c r="CI2625" s="225"/>
      <c r="CJ2625" s="225"/>
      <c r="CK2625" s="225"/>
      <c r="CL2625" s="225"/>
      <c r="CM2625" s="225"/>
      <c r="CN2625" s="225"/>
      <c r="CO2625" s="225"/>
      <c r="CP2625" s="225"/>
      <c r="CQ2625" s="225"/>
      <c r="CR2625" s="225"/>
      <c r="CS2625" s="225"/>
      <c r="CT2625" s="225"/>
      <c r="CU2625" s="225"/>
      <c r="CV2625" s="225"/>
      <c r="CW2625" s="225"/>
      <c r="CX2625" s="225"/>
      <c r="CY2625" s="225"/>
      <c r="CZ2625" s="225"/>
      <c r="DA2625" s="225"/>
      <c r="DB2625" s="225"/>
      <c r="DC2625" s="225"/>
      <c r="DD2625" s="225"/>
      <c r="DE2625" s="225"/>
      <c r="DF2625" s="225"/>
      <c r="DG2625" s="225"/>
      <c r="DH2625" s="225"/>
    </row>
    <row r="2626">
      <c r="A2626" s="41">
        <v>2626.0</v>
      </c>
      <c r="B2626" s="126" t="s">
        <v>107</v>
      </c>
      <c r="C2626" s="59" t="s">
        <v>108</v>
      </c>
      <c r="D2626" s="59" t="s">
        <v>241</v>
      </c>
      <c r="F2626" s="126" t="s">
        <v>15520</v>
      </c>
      <c r="G2626" s="148" t="s">
        <v>15521</v>
      </c>
      <c r="H2626" s="156"/>
      <c r="I2626" s="1534">
        <v>45331.0</v>
      </c>
      <c r="J2626" s="150">
        <v>45828.0</v>
      </c>
      <c r="K2626" s="65"/>
      <c r="L2626" s="126" t="s">
        <v>15522</v>
      </c>
      <c r="M2626" s="148" t="s">
        <v>15523</v>
      </c>
      <c r="N2626" s="148" t="s">
        <v>15524</v>
      </c>
      <c r="O2626" s="126">
        <v>1.0</v>
      </c>
      <c r="P2626" s="306" t="s">
        <v>15525</v>
      </c>
      <c r="Q2626" s="2146" t="s">
        <v>7250</v>
      </c>
      <c r="R2626" s="148" t="s">
        <v>15526</v>
      </c>
      <c r="S2626" s="148" t="s">
        <v>15527</v>
      </c>
      <c r="T2626" s="65"/>
      <c r="U2626" s="126" t="s">
        <v>4085</v>
      </c>
      <c r="V2626" s="306" t="s">
        <v>15528</v>
      </c>
      <c r="W2626" s="1077" t="s">
        <v>202</v>
      </c>
      <c r="X2626" s="2147" t="s">
        <v>7250</v>
      </c>
      <c r="Y2626" s="156"/>
      <c r="Z2626" s="148" t="s">
        <v>940</v>
      </c>
      <c r="AA2626" s="148" t="s">
        <v>15529</v>
      </c>
      <c r="AB2626" s="148" t="s">
        <v>7257</v>
      </c>
      <c r="AC2626" s="148" t="s">
        <v>15530</v>
      </c>
      <c r="AD2626" s="126" t="s">
        <v>15531</v>
      </c>
      <c r="AE2626" s="126" t="s">
        <v>2764</v>
      </c>
      <c r="AF2626" s="158">
        <v>60.0</v>
      </c>
      <c r="AG2626" s="158" t="s">
        <v>15532</v>
      </c>
      <c r="AH2626" s="148" t="s">
        <v>127</v>
      </c>
      <c r="AI2626" s="148" t="s">
        <v>2764</v>
      </c>
      <c r="AJ2626" s="498">
        <v>0.001</v>
      </c>
      <c r="AK2626" s="148" t="s">
        <v>128</v>
      </c>
      <c r="AL2626" s="148" t="s">
        <v>179</v>
      </c>
      <c r="AM2626" s="148" t="s">
        <v>130</v>
      </c>
      <c r="AN2626" s="148" t="s">
        <v>131</v>
      </c>
      <c r="AO2626" s="158">
        <v>555.0</v>
      </c>
      <c r="AP2626" s="158" t="s">
        <v>15533</v>
      </c>
      <c r="AQ2626" s="148" t="s">
        <v>127</v>
      </c>
      <c r="AR2626" s="148" t="s">
        <v>15534</v>
      </c>
      <c r="AS2626" s="158">
        <v>0.001</v>
      </c>
      <c r="AT2626" s="148" t="s">
        <v>128</v>
      </c>
      <c r="AU2626" s="148" t="s">
        <v>179</v>
      </c>
      <c r="AV2626" s="148" t="s">
        <v>130</v>
      </c>
      <c r="AW2626" s="1790" t="s">
        <v>15535</v>
      </c>
      <c r="AX2626" s="148" t="s">
        <v>136</v>
      </c>
      <c r="AZ2626" s="224" t="s">
        <v>1263</v>
      </c>
    </row>
    <row r="2627">
      <c r="A2627" s="41">
        <v>2627.0</v>
      </c>
      <c r="B2627" s="126" t="s">
        <v>107</v>
      </c>
      <c r="C2627" s="59" t="s">
        <v>108</v>
      </c>
      <c r="D2627" s="59" t="s">
        <v>241</v>
      </c>
      <c r="F2627" s="126" t="s">
        <v>15520</v>
      </c>
      <c r="G2627" s="148" t="s">
        <v>15536</v>
      </c>
      <c r="H2627" s="156"/>
      <c r="I2627" s="1534">
        <v>45331.0</v>
      </c>
      <c r="J2627" s="150">
        <v>45828.0</v>
      </c>
      <c r="K2627" s="65"/>
      <c r="L2627" s="126" t="s">
        <v>15537</v>
      </c>
      <c r="M2627" s="148" t="s">
        <v>15523</v>
      </c>
      <c r="N2627" s="148" t="s">
        <v>15524</v>
      </c>
      <c r="O2627" s="126">
        <v>3.0</v>
      </c>
      <c r="P2627" s="306" t="s">
        <v>15525</v>
      </c>
      <c r="Q2627" s="2146" t="s">
        <v>7250</v>
      </c>
      <c r="R2627" s="148" t="s">
        <v>15526</v>
      </c>
      <c r="S2627" s="148" t="s">
        <v>15527</v>
      </c>
      <c r="T2627" s="65"/>
      <c r="U2627" s="126">
        <v>3.0</v>
      </c>
      <c r="V2627" s="306" t="s">
        <v>15528</v>
      </c>
      <c r="W2627" s="1077" t="s">
        <v>202</v>
      </c>
      <c r="X2627" s="2147" t="s">
        <v>7250</v>
      </c>
      <c r="Y2627" s="156"/>
      <c r="Z2627" s="148" t="s">
        <v>940</v>
      </c>
      <c r="AA2627" s="148" t="s">
        <v>15529</v>
      </c>
      <c r="AB2627" s="148" t="s">
        <v>7257</v>
      </c>
      <c r="AC2627" s="148" t="s">
        <v>15530</v>
      </c>
      <c r="AD2627" s="126" t="s">
        <v>15538</v>
      </c>
      <c r="AE2627" s="126" t="s">
        <v>489</v>
      </c>
      <c r="AF2627" s="158">
        <v>80.0</v>
      </c>
      <c r="AG2627" s="158" t="s">
        <v>15539</v>
      </c>
      <c r="AH2627" s="148" t="s">
        <v>127</v>
      </c>
      <c r="AI2627" s="148" t="s">
        <v>489</v>
      </c>
      <c r="AJ2627" s="498">
        <v>1.0E-4</v>
      </c>
      <c r="AK2627" s="148" t="s">
        <v>128</v>
      </c>
      <c r="AL2627" s="148" t="s">
        <v>179</v>
      </c>
      <c r="AM2627" s="148" t="s">
        <v>130</v>
      </c>
      <c r="AN2627" s="148" t="s">
        <v>131</v>
      </c>
      <c r="AO2627" s="158">
        <v>493.0</v>
      </c>
      <c r="AP2627" s="158" t="s">
        <v>15540</v>
      </c>
      <c r="AQ2627" s="148" t="s">
        <v>127</v>
      </c>
      <c r="AR2627" s="148" t="s">
        <v>617</v>
      </c>
      <c r="AS2627" s="158">
        <v>0.001</v>
      </c>
      <c r="AT2627" s="148" t="s">
        <v>128</v>
      </c>
      <c r="AU2627" s="148" t="s">
        <v>179</v>
      </c>
      <c r="AV2627" s="148" t="s">
        <v>130</v>
      </c>
      <c r="AW2627" s="1790" t="s">
        <v>15535</v>
      </c>
      <c r="AX2627" s="148" t="s">
        <v>136</v>
      </c>
      <c r="AZ2627" s="224" t="s">
        <v>1263</v>
      </c>
    </row>
    <row r="2628">
      <c r="A2628" s="41">
        <v>2628.0</v>
      </c>
      <c r="B2628" s="126" t="s">
        <v>145</v>
      </c>
      <c r="C2628" s="59" t="s">
        <v>108</v>
      </c>
      <c r="D2628" s="59" t="s">
        <v>241</v>
      </c>
      <c r="F2628" s="126" t="s">
        <v>15520</v>
      </c>
      <c r="G2628" s="148" t="s">
        <v>15541</v>
      </c>
      <c r="H2628" s="156"/>
      <c r="I2628" s="1534">
        <v>45331.0</v>
      </c>
      <c r="J2628" s="150">
        <v>45828.0</v>
      </c>
      <c r="K2628" s="65"/>
      <c r="L2628" s="126" t="s">
        <v>15542</v>
      </c>
      <c r="M2628" s="148" t="s">
        <v>15523</v>
      </c>
      <c r="N2628" s="148" t="s">
        <v>15524</v>
      </c>
      <c r="O2628" s="126">
        <v>4.0</v>
      </c>
      <c r="P2628" s="306" t="s">
        <v>15525</v>
      </c>
      <c r="Q2628" s="2146" t="s">
        <v>7250</v>
      </c>
      <c r="R2628" s="148" t="s">
        <v>15526</v>
      </c>
      <c r="S2628" s="148" t="s">
        <v>15527</v>
      </c>
      <c r="T2628" s="65"/>
      <c r="U2628" s="126">
        <v>4.0</v>
      </c>
      <c r="V2628" s="306" t="s">
        <v>15528</v>
      </c>
      <c r="W2628" s="1077" t="s">
        <v>202</v>
      </c>
      <c r="X2628" s="2147" t="s">
        <v>7250</v>
      </c>
      <c r="Y2628" s="156"/>
      <c r="Z2628" s="148" t="s">
        <v>940</v>
      </c>
      <c r="AA2628" s="148" t="s">
        <v>15529</v>
      </c>
      <c r="AB2628" s="148" t="s">
        <v>7257</v>
      </c>
      <c r="AC2628" s="148" t="s">
        <v>15530</v>
      </c>
      <c r="AD2628" s="126" t="s">
        <v>15543</v>
      </c>
      <c r="AE2628" s="126" t="s">
        <v>489</v>
      </c>
      <c r="AF2628" s="158">
        <v>80.0</v>
      </c>
      <c r="AG2628" s="158" t="s">
        <v>15544</v>
      </c>
      <c r="AH2628" s="148" t="s">
        <v>127</v>
      </c>
      <c r="AI2628" s="148" t="s">
        <v>489</v>
      </c>
      <c r="AJ2628" s="498">
        <v>0.02</v>
      </c>
      <c r="AK2628" s="148" t="s">
        <v>128</v>
      </c>
      <c r="AL2628" s="148" t="s">
        <v>179</v>
      </c>
      <c r="AM2628" s="148" t="s">
        <v>130</v>
      </c>
      <c r="AN2628" s="148" t="s">
        <v>131</v>
      </c>
      <c r="AO2628" s="158">
        <v>248.0</v>
      </c>
      <c r="AP2628" s="158" t="s">
        <v>15545</v>
      </c>
      <c r="AQ2628" s="148" t="s">
        <v>127</v>
      </c>
      <c r="AR2628" s="148" t="s">
        <v>15546</v>
      </c>
      <c r="AS2628" s="158">
        <v>0.1</v>
      </c>
      <c r="AT2628" s="148" t="s">
        <v>165</v>
      </c>
      <c r="AU2628" s="148" t="s">
        <v>179</v>
      </c>
      <c r="AV2628" s="148" t="s">
        <v>130</v>
      </c>
      <c r="AW2628" s="1790" t="s">
        <v>15535</v>
      </c>
      <c r="AX2628" s="148" t="s">
        <v>136</v>
      </c>
      <c r="AZ2628" s="59" t="s">
        <v>1263</v>
      </c>
    </row>
    <row r="2629">
      <c r="A2629" s="41">
        <v>2629.0</v>
      </c>
      <c r="B2629" s="126" t="s">
        <v>107</v>
      </c>
      <c r="C2629" s="59" t="s">
        <v>108</v>
      </c>
      <c r="D2629" s="59" t="s">
        <v>241</v>
      </c>
      <c r="F2629" s="126" t="s">
        <v>15520</v>
      </c>
      <c r="G2629" s="148" t="s">
        <v>15547</v>
      </c>
      <c r="H2629" s="156"/>
      <c r="I2629" s="1534">
        <v>45331.0</v>
      </c>
      <c r="J2629" s="150">
        <v>45828.0</v>
      </c>
      <c r="K2629" s="65"/>
      <c r="L2629" s="126" t="s">
        <v>15548</v>
      </c>
      <c r="M2629" s="148" t="s">
        <v>15523</v>
      </c>
      <c r="N2629" s="148" t="s">
        <v>15524</v>
      </c>
      <c r="O2629" s="126">
        <v>5.0</v>
      </c>
      <c r="P2629" s="306" t="s">
        <v>15525</v>
      </c>
      <c r="Q2629" s="2146" t="s">
        <v>7250</v>
      </c>
      <c r="R2629" s="148" t="s">
        <v>15526</v>
      </c>
      <c r="S2629" s="148" t="s">
        <v>15527</v>
      </c>
      <c r="T2629" s="65"/>
      <c r="U2629" s="126">
        <v>5.0</v>
      </c>
      <c r="V2629" s="306" t="s">
        <v>15528</v>
      </c>
      <c r="W2629" s="1077" t="s">
        <v>202</v>
      </c>
      <c r="X2629" s="2147" t="s">
        <v>7250</v>
      </c>
      <c r="Y2629" s="156"/>
      <c r="Z2629" s="148" t="s">
        <v>940</v>
      </c>
      <c r="AA2629" s="148" t="s">
        <v>15529</v>
      </c>
      <c r="AB2629" s="148" t="s">
        <v>7257</v>
      </c>
      <c r="AC2629" s="148" t="s">
        <v>15530</v>
      </c>
      <c r="AD2629" s="126" t="s">
        <v>15549</v>
      </c>
      <c r="AE2629" s="126" t="s">
        <v>875</v>
      </c>
      <c r="AF2629" s="158">
        <v>32.0</v>
      </c>
      <c r="AG2629" s="158" t="s">
        <v>15550</v>
      </c>
      <c r="AH2629" s="148" t="s">
        <v>127</v>
      </c>
      <c r="AI2629" s="148" t="s">
        <v>875</v>
      </c>
      <c r="AJ2629" s="498">
        <v>0.01</v>
      </c>
      <c r="AK2629" s="148" t="s">
        <v>128</v>
      </c>
      <c r="AL2629" s="148" t="s">
        <v>179</v>
      </c>
      <c r="AM2629" s="148" t="s">
        <v>130</v>
      </c>
      <c r="AN2629" s="148" t="s">
        <v>131</v>
      </c>
      <c r="AO2629" s="333">
        <v>265.0</v>
      </c>
      <c r="AP2629" s="65" t="s">
        <v>15551</v>
      </c>
      <c r="AQ2629" s="65" t="s">
        <v>127</v>
      </c>
      <c r="AR2629" s="65" t="s">
        <v>1035</v>
      </c>
      <c r="AS2629" s="333">
        <v>0.951</v>
      </c>
      <c r="AT2629" s="65" t="s">
        <v>165</v>
      </c>
      <c r="AU2629" s="148" t="s">
        <v>179</v>
      </c>
      <c r="AV2629" s="148" t="s">
        <v>130</v>
      </c>
      <c r="AW2629" s="1790" t="s">
        <v>15535</v>
      </c>
      <c r="AX2629" s="148" t="s">
        <v>136</v>
      </c>
      <c r="AZ2629" s="59" t="s">
        <v>1263</v>
      </c>
    </row>
    <row r="2630">
      <c r="A2630" s="41">
        <v>2630.0</v>
      </c>
      <c r="B2630" s="126" t="s">
        <v>516</v>
      </c>
      <c r="C2630" s="59" t="s">
        <v>108</v>
      </c>
      <c r="D2630" s="59" t="s">
        <v>241</v>
      </c>
      <c r="F2630" s="126" t="s">
        <v>15552</v>
      </c>
      <c r="G2630" s="148" t="s">
        <v>15553</v>
      </c>
      <c r="H2630" s="156"/>
      <c r="I2630" s="1534">
        <v>45331.0</v>
      </c>
      <c r="J2630" s="149"/>
      <c r="K2630" s="65"/>
      <c r="L2630" s="65"/>
      <c r="M2630" s="148" t="s">
        <v>15554</v>
      </c>
      <c r="N2630" s="148" t="s">
        <v>15555</v>
      </c>
      <c r="O2630" s="65"/>
      <c r="P2630" s="306" t="s">
        <v>15556</v>
      </c>
      <c r="Q2630" s="2146" t="s">
        <v>7250</v>
      </c>
      <c r="R2630" s="148" t="s">
        <v>15557</v>
      </c>
      <c r="S2630" s="148" t="s">
        <v>15558</v>
      </c>
      <c r="T2630" s="65"/>
      <c r="U2630" s="65"/>
      <c r="V2630" s="306" t="s">
        <v>15559</v>
      </c>
      <c r="W2630" s="1225"/>
      <c r="X2630" s="2147" t="s">
        <v>7250</v>
      </c>
      <c r="Y2630" s="156"/>
      <c r="Z2630" s="148" t="s">
        <v>940</v>
      </c>
      <c r="AA2630" s="148" t="s">
        <v>15560</v>
      </c>
      <c r="AB2630" s="148" t="s">
        <v>7257</v>
      </c>
      <c r="AC2630" s="148" t="s">
        <v>15561</v>
      </c>
      <c r="AD2630" s="126" t="s">
        <v>15562</v>
      </c>
      <c r="AE2630" s="126" t="s">
        <v>489</v>
      </c>
      <c r="AF2630" s="158">
        <v>80.0</v>
      </c>
      <c r="AG2630" s="158" t="s">
        <v>15563</v>
      </c>
      <c r="AH2630" s="148" t="s">
        <v>127</v>
      </c>
      <c r="AI2630" s="148" t="s">
        <v>489</v>
      </c>
      <c r="AJ2630" s="498">
        <v>1.0E-4</v>
      </c>
      <c r="AK2630" s="148" t="s">
        <v>128</v>
      </c>
      <c r="AL2630" s="148" t="s">
        <v>179</v>
      </c>
      <c r="AM2630" s="148" t="s">
        <v>130</v>
      </c>
      <c r="AN2630" s="148" t="s">
        <v>131</v>
      </c>
      <c r="AO2630" s="158">
        <v>329.0</v>
      </c>
      <c r="AP2630" s="158" t="s">
        <v>15564</v>
      </c>
      <c r="AQ2630" s="148" t="s">
        <v>127</v>
      </c>
      <c r="AR2630" s="148" t="s">
        <v>15565</v>
      </c>
      <c r="AS2630" s="158" t="s">
        <v>131</v>
      </c>
      <c r="AT2630" s="148" t="s">
        <v>165</v>
      </c>
      <c r="AU2630" s="148" t="s">
        <v>179</v>
      </c>
      <c r="AV2630" s="148" t="s">
        <v>130</v>
      </c>
      <c r="AW2630" s="1790" t="s">
        <v>15566</v>
      </c>
      <c r="AX2630" s="148" t="s">
        <v>136</v>
      </c>
      <c r="AZ2630" s="59" t="s">
        <v>7268</v>
      </c>
    </row>
    <row r="2631">
      <c r="A2631" s="41">
        <v>2631.0</v>
      </c>
      <c r="B2631" s="126" t="s">
        <v>516</v>
      </c>
      <c r="C2631" s="59" t="s">
        <v>108</v>
      </c>
      <c r="D2631" s="59" t="s">
        <v>241</v>
      </c>
      <c r="F2631" s="126" t="s">
        <v>15552</v>
      </c>
      <c r="G2631" s="148" t="s">
        <v>15567</v>
      </c>
      <c r="H2631" s="156"/>
      <c r="I2631" s="1534">
        <v>45331.0</v>
      </c>
      <c r="J2631" s="149"/>
      <c r="K2631" s="65"/>
      <c r="L2631" s="65"/>
      <c r="M2631" s="148" t="s">
        <v>15554</v>
      </c>
      <c r="N2631" s="148" t="s">
        <v>15555</v>
      </c>
      <c r="O2631" s="65"/>
      <c r="P2631" s="306" t="s">
        <v>15556</v>
      </c>
      <c r="Q2631" s="2146" t="s">
        <v>7250</v>
      </c>
      <c r="R2631" s="148" t="s">
        <v>15557</v>
      </c>
      <c r="S2631" s="148" t="s">
        <v>15558</v>
      </c>
      <c r="T2631" s="65"/>
      <c r="U2631" s="65"/>
      <c r="V2631" s="306" t="s">
        <v>15559</v>
      </c>
      <c r="W2631" s="1225"/>
      <c r="X2631" s="2147" t="s">
        <v>7250</v>
      </c>
      <c r="Y2631" s="156"/>
      <c r="Z2631" s="148" t="s">
        <v>940</v>
      </c>
      <c r="AA2631" s="148" t="s">
        <v>15560</v>
      </c>
      <c r="AB2631" s="148" t="s">
        <v>7257</v>
      </c>
      <c r="AC2631" s="148" t="s">
        <v>15561</v>
      </c>
      <c r="AD2631" s="126" t="s">
        <v>15568</v>
      </c>
      <c r="AE2631" s="126" t="s">
        <v>489</v>
      </c>
      <c r="AF2631" s="158">
        <v>84.0</v>
      </c>
      <c r="AG2631" s="158" t="s">
        <v>15569</v>
      </c>
      <c r="AH2631" s="148" t="s">
        <v>127</v>
      </c>
      <c r="AI2631" s="148" t="s">
        <v>489</v>
      </c>
      <c r="AJ2631" s="498">
        <v>0.02</v>
      </c>
      <c r="AK2631" s="148" t="s">
        <v>165</v>
      </c>
      <c r="AL2631" s="148" t="s">
        <v>179</v>
      </c>
      <c r="AM2631" s="148" t="s">
        <v>130</v>
      </c>
      <c r="AN2631" s="148" t="s">
        <v>131</v>
      </c>
      <c r="AO2631" s="158">
        <v>341.0</v>
      </c>
      <c r="AP2631" s="158" t="s">
        <v>15570</v>
      </c>
      <c r="AQ2631" s="148" t="s">
        <v>127</v>
      </c>
      <c r="AR2631" s="148" t="s">
        <v>15571</v>
      </c>
      <c r="AS2631" s="158" t="s">
        <v>131</v>
      </c>
      <c r="AT2631" s="148" t="s">
        <v>165</v>
      </c>
      <c r="AU2631" s="148" t="s">
        <v>179</v>
      </c>
      <c r="AV2631" s="148" t="s">
        <v>130</v>
      </c>
      <c r="AW2631" s="1790" t="s">
        <v>15566</v>
      </c>
      <c r="AX2631" s="148" t="s">
        <v>136</v>
      </c>
      <c r="AZ2631" s="59" t="s">
        <v>7268</v>
      </c>
    </row>
    <row r="2632">
      <c r="A2632" s="41">
        <v>2632.0</v>
      </c>
      <c r="B2632" s="292" t="s">
        <v>107</v>
      </c>
      <c r="C2632" s="284" t="s">
        <v>108</v>
      </c>
      <c r="D2632" s="284" t="s">
        <v>241</v>
      </c>
      <c r="E2632" s="305"/>
      <c r="F2632" s="292" t="s">
        <v>15552</v>
      </c>
      <c r="G2632" s="300" t="s">
        <v>15572</v>
      </c>
      <c r="H2632" s="287"/>
      <c r="I2632" s="2151">
        <v>45331.0</v>
      </c>
      <c r="J2632" s="150">
        <v>45828.0</v>
      </c>
      <c r="K2632" s="302"/>
      <c r="L2632" s="292" t="s">
        <v>15573</v>
      </c>
      <c r="M2632" s="300" t="s">
        <v>15554</v>
      </c>
      <c r="N2632" s="300" t="s">
        <v>15555</v>
      </c>
      <c r="O2632" s="292">
        <v>1.0</v>
      </c>
      <c r="P2632" s="300" t="s">
        <v>15556</v>
      </c>
      <c r="Q2632" s="2152" t="s">
        <v>7250</v>
      </c>
      <c r="R2632" s="300" t="s">
        <v>15557</v>
      </c>
      <c r="S2632" s="300" t="s">
        <v>15558</v>
      </c>
      <c r="T2632" s="302"/>
      <c r="U2632" s="292">
        <v>1.0</v>
      </c>
      <c r="V2632" s="300" t="s">
        <v>15559</v>
      </c>
      <c r="W2632" s="692" t="s">
        <v>1115</v>
      </c>
      <c r="X2632" s="2152" t="s">
        <v>7250</v>
      </c>
      <c r="Y2632" s="287"/>
      <c r="Z2632" s="300" t="s">
        <v>940</v>
      </c>
      <c r="AA2632" s="300" t="s">
        <v>15560</v>
      </c>
      <c r="AB2632" s="300" t="s">
        <v>7257</v>
      </c>
      <c r="AC2632" s="300" t="s">
        <v>15561</v>
      </c>
      <c r="AD2632" s="292" t="s">
        <v>15574</v>
      </c>
      <c r="AE2632" s="292" t="s">
        <v>489</v>
      </c>
      <c r="AF2632" s="1806">
        <v>88.0</v>
      </c>
      <c r="AG2632" s="1806" t="s">
        <v>15575</v>
      </c>
      <c r="AH2632" s="300" t="s">
        <v>127</v>
      </c>
      <c r="AI2632" s="300" t="s">
        <v>489</v>
      </c>
      <c r="AJ2632" s="1792">
        <v>1.0E-4</v>
      </c>
      <c r="AK2632" s="300" t="s">
        <v>128</v>
      </c>
      <c r="AL2632" s="300" t="s">
        <v>179</v>
      </c>
      <c r="AM2632" s="300" t="s">
        <v>130</v>
      </c>
      <c r="AN2632" s="300" t="s">
        <v>131</v>
      </c>
      <c r="AO2632" s="1806">
        <v>670.0</v>
      </c>
      <c r="AP2632" s="1806" t="s">
        <v>15576</v>
      </c>
      <c r="AQ2632" s="300" t="s">
        <v>127</v>
      </c>
      <c r="AR2632" s="300" t="s">
        <v>15577</v>
      </c>
      <c r="AS2632" s="1806" t="s">
        <v>131</v>
      </c>
      <c r="AT2632" s="1806" t="s">
        <v>131</v>
      </c>
      <c r="AU2632" s="300" t="s">
        <v>179</v>
      </c>
      <c r="AV2632" s="300" t="s">
        <v>130</v>
      </c>
      <c r="AW2632" s="1807" t="s">
        <v>15566</v>
      </c>
      <c r="AX2632" s="300" t="s">
        <v>136</v>
      </c>
      <c r="AY2632" s="305"/>
      <c r="AZ2632" s="284" t="s">
        <v>807</v>
      </c>
      <c r="BA2632" s="305"/>
      <c r="BB2632" s="305"/>
      <c r="BC2632" s="305"/>
      <c r="BD2632" s="305"/>
      <c r="BE2632" s="305"/>
      <c r="BF2632" s="305"/>
      <c r="BG2632" s="305"/>
      <c r="BH2632" s="305"/>
      <c r="BI2632" s="305"/>
      <c r="BJ2632" s="305"/>
      <c r="BK2632" s="305"/>
      <c r="BL2632" s="305"/>
      <c r="BM2632" s="305"/>
      <c r="BN2632" s="305"/>
      <c r="BO2632" s="305"/>
      <c r="BP2632" s="305"/>
      <c r="BQ2632" s="305"/>
      <c r="BR2632" s="305"/>
      <c r="BS2632" s="305"/>
      <c r="BT2632" s="305"/>
      <c r="BU2632" s="305"/>
      <c r="BV2632" s="305"/>
      <c r="BW2632" s="305"/>
      <c r="BX2632" s="305"/>
      <c r="BY2632" s="305"/>
      <c r="BZ2632" s="305"/>
      <c r="CA2632" s="305"/>
      <c r="CB2632" s="305"/>
      <c r="CC2632" s="305"/>
      <c r="CD2632" s="305"/>
      <c r="CE2632" s="305"/>
      <c r="CF2632" s="305"/>
      <c r="CG2632" s="305"/>
      <c r="CH2632" s="305"/>
      <c r="CI2632" s="305"/>
      <c r="CJ2632" s="305"/>
      <c r="CK2632" s="305"/>
      <c r="CL2632" s="305"/>
      <c r="CM2632" s="305"/>
      <c r="CN2632" s="305"/>
      <c r="CO2632" s="305"/>
      <c r="CP2632" s="305"/>
      <c r="CQ2632" s="305"/>
      <c r="CR2632" s="305"/>
      <c r="CS2632" s="305"/>
      <c r="CT2632" s="305"/>
      <c r="CU2632" s="305"/>
      <c r="CV2632" s="305"/>
      <c r="CW2632" s="305"/>
      <c r="CX2632" s="305"/>
      <c r="CY2632" s="305"/>
      <c r="CZ2632" s="305"/>
      <c r="DA2632" s="305"/>
      <c r="DB2632" s="305"/>
      <c r="DC2632" s="305"/>
      <c r="DD2632" s="305"/>
      <c r="DE2632" s="305"/>
      <c r="DF2632" s="305"/>
      <c r="DG2632" s="305"/>
      <c r="DH2632" s="305"/>
    </row>
    <row r="2633">
      <c r="A2633" s="41">
        <v>2633.0</v>
      </c>
      <c r="B2633" s="126" t="s">
        <v>278</v>
      </c>
      <c r="C2633" s="59" t="s">
        <v>108</v>
      </c>
      <c r="D2633" s="59" t="s">
        <v>15578</v>
      </c>
      <c r="F2633" s="156" t="s">
        <v>15579</v>
      </c>
      <c r="G2633" s="156" t="s">
        <v>15580</v>
      </c>
      <c r="H2633" s="156" t="s">
        <v>15581</v>
      </c>
      <c r="I2633" s="431">
        <v>45223.0</v>
      </c>
      <c r="J2633" s="431">
        <v>45785.0</v>
      </c>
      <c r="K2633" s="156" t="s">
        <v>15582</v>
      </c>
      <c r="L2633" s="65"/>
      <c r="M2633" s="156" t="s">
        <v>15583</v>
      </c>
      <c r="N2633" s="156" t="s">
        <v>15584</v>
      </c>
      <c r="O2633" s="153">
        <v>2.0</v>
      </c>
      <c r="P2633" s="379" t="s">
        <v>15585</v>
      </c>
      <c r="Q2633" s="2153" t="str">
        <f> hyperlink(vlookup(lower(N2633),'File Links'!E:F, 2, FALSE), "LINK")</f>
        <v>LINK</v>
      </c>
      <c r="R2633" s="156" t="s">
        <v>15586</v>
      </c>
      <c r="S2633" s="156" t="s">
        <v>131</v>
      </c>
      <c r="T2633" s="677" t="s">
        <v>15587</v>
      </c>
      <c r="U2633" s="65"/>
      <c r="V2633" s="379" t="s">
        <v>8433</v>
      </c>
      <c r="W2633" s="1228" t="s">
        <v>5371</v>
      </c>
      <c r="X2633" s="2154" t="str">
        <f> hyperlink(vlookup(lower(S2633),'File Links'!E:F, 2, FALSE), "LINK")</f>
        <v>LINK</v>
      </c>
      <c r="Y2633" s="65"/>
      <c r="Z2633" s="156" t="s">
        <v>2072</v>
      </c>
      <c r="AA2633" s="156" t="s">
        <v>15588</v>
      </c>
      <c r="AB2633" s="156" t="s">
        <v>15589</v>
      </c>
      <c r="AC2633" s="156" t="s">
        <v>15590</v>
      </c>
      <c r="AD2633" s="156" t="s">
        <v>15591</v>
      </c>
      <c r="AE2633" s="153">
        <v>28.0</v>
      </c>
      <c r="AF2633" s="153">
        <v>101.0</v>
      </c>
      <c r="AG2633" s="153">
        <v>0.05</v>
      </c>
      <c r="AH2633" s="156" t="s">
        <v>132</v>
      </c>
      <c r="AI2633" s="156" t="s">
        <v>10285</v>
      </c>
      <c r="AJ2633" s="153">
        <v>0.027</v>
      </c>
      <c r="AK2633" s="156" t="s">
        <v>165</v>
      </c>
      <c r="AL2633" s="156" t="s">
        <v>179</v>
      </c>
      <c r="AM2633" s="156" t="s">
        <v>130</v>
      </c>
      <c r="AN2633" s="65"/>
      <c r="AO2633" s="153">
        <v>562.0</v>
      </c>
      <c r="AP2633" s="1471">
        <v>0.1</v>
      </c>
      <c r="AQ2633" s="156" t="s">
        <v>166</v>
      </c>
      <c r="AR2633" s="65"/>
      <c r="AS2633" s="153">
        <v>0.288</v>
      </c>
      <c r="AT2633" s="156" t="s">
        <v>165</v>
      </c>
      <c r="AU2633" s="156" t="s">
        <v>179</v>
      </c>
      <c r="AV2633" s="156" t="s">
        <v>130</v>
      </c>
      <c r="AW2633" s="677" t="s">
        <v>15592</v>
      </c>
      <c r="AX2633" s="156" t="s">
        <v>136</v>
      </c>
    </row>
    <row r="2634">
      <c r="A2634" s="41">
        <v>2634.0</v>
      </c>
      <c r="B2634" s="126" t="s">
        <v>278</v>
      </c>
      <c r="C2634" s="59" t="s">
        <v>108</v>
      </c>
      <c r="D2634" s="59" t="s">
        <v>15578</v>
      </c>
      <c r="F2634" s="2155" t="s">
        <v>15593</v>
      </c>
      <c r="G2634" s="2156" t="s">
        <v>15594</v>
      </c>
      <c r="H2634" s="2156" t="s">
        <v>15595</v>
      </c>
      <c r="I2634" s="2157">
        <v>45337.0</v>
      </c>
      <c r="J2634" s="431">
        <v>45785.0</v>
      </c>
      <c r="K2634" s="2155" t="s">
        <v>15596</v>
      </c>
      <c r="L2634" s="2158" t="s">
        <v>15597</v>
      </c>
      <c r="M2634" s="2156" t="s">
        <v>15598</v>
      </c>
      <c r="N2634" s="2156" t="s">
        <v>13159</v>
      </c>
      <c r="O2634" s="1683"/>
      <c r="P2634" s="2159" t="s">
        <v>13160</v>
      </c>
      <c r="Q2634" s="2160" t="str">
        <f> hyperlink(vlookup(lower(N2634),'File Links'!E:F, 2, FALSE), "LINK")</f>
        <v>LINK</v>
      </c>
      <c r="R2634" s="2156" t="s">
        <v>15599</v>
      </c>
      <c r="S2634" s="2156" t="s">
        <v>15600</v>
      </c>
      <c r="T2634" s="2155"/>
      <c r="U2634" s="2155"/>
      <c r="V2634" s="2159" t="s">
        <v>15601</v>
      </c>
      <c r="W2634" s="2161"/>
      <c r="X2634" s="2162" t="str">
        <f> hyperlink(vlookup(lower(S2634),'File Links'!E:F, 2, FALSE), "LINK")</f>
        <v>LINK</v>
      </c>
      <c r="Y2634" s="2155"/>
      <c r="Z2634" s="2156" t="s">
        <v>141</v>
      </c>
      <c r="AA2634" s="156" t="s">
        <v>15602</v>
      </c>
      <c r="AB2634" s="156" t="s">
        <v>15603</v>
      </c>
      <c r="AC2634" s="156" t="s">
        <v>15604</v>
      </c>
      <c r="AD2634" s="156" t="s">
        <v>15605</v>
      </c>
      <c r="AE2634" s="333">
        <v>20.0</v>
      </c>
      <c r="AF2634" s="153">
        <v>20.0</v>
      </c>
      <c r="AG2634" s="333">
        <v>0.982</v>
      </c>
      <c r="AH2634" s="65" t="s">
        <v>127</v>
      </c>
      <c r="AI2634" s="65" t="s">
        <v>489</v>
      </c>
      <c r="AJ2634" s="333">
        <v>0.003</v>
      </c>
      <c r="AK2634" s="65" t="s">
        <v>165</v>
      </c>
      <c r="AL2634" s="65" t="s">
        <v>129</v>
      </c>
      <c r="AM2634" s="65" t="s">
        <v>134</v>
      </c>
      <c r="AN2634" s="2155"/>
      <c r="AO2634" s="2163">
        <v>52.0</v>
      </c>
      <c r="AP2634" s="2164">
        <v>0.833</v>
      </c>
      <c r="AQ2634" s="2155" t="s">
        <v>166</v>
      </c>
      <c r="AR2634" s="2155"/>
      <c r="AS2634" s="2165">
        <v>0.01</v>
      </c>
      <c r="AT2634" s="2155" t="s">
        <v>165</v>
      </c>
      <c r="AU2634" s="2155" t="s">
        <v>179</v>
      </c>
      <c r="AV2634" s="2155" t="s">
        <v>130</v>
      </c>
      <c r="AW2634" s="2155" t="s">
        <v>15606</v>
      </c>
      <c r="AX2634" s="2155" t="s">
        <v>136</v>
      </c>
    </row>
    <row r="2635">
      <c r="A2635" s="41">
        <v>2635.0</v>
      </c>
      <c r="B2635" s="126" t="s">
        <v>278</v>
      </c>
      <c r="C2635" s="59" t="s">
        <v>108</v>
      </c>
      <c r="D2635" s="59" t="s">
        <v>15578</v>
      </c>
      <c r="F2635" s="2155" t="s">
        <v>15593</v>
      </c>
      <c r="G2635" s="2156" t="s">
        <v>15607</v>
      </c>
      <c r="H2635" s="2156" t="s">
        <v>15595</v>
      </c>
      <c r="I2635" s="2157">
        <v>45337.0</v>
      </c>
      <c r="J2635" s="431">
        <v>45785.0</v>
      </c>
      <c r="K2635" s="2155" t="s">
        <v>15608</v>
      </c>
      <c r="L2635" s="2158" t="s">
        <v>15597</v>
      </c>
      <c r="M2635" s="2156" t="s">
        <v>15598</v>
      </c>
      <c r="N2635" s="2156" t="s">
        <v>13159</v>
      </c>
      <c r="O2635" s="1683"/>
      <c r="P2635" s="2159" t="s">
        <v>13160</v>
      </c>
      <c r="Q2635" s="2160" t="str">
        <f> hyperlink(vlookup(lower(N2635),'File Links'!E:F, 2, FALSE), "LINK")</f>
        <v>LINK</v>
      </c>
      <c r="R2635" s="2156" t="s">
        <v>15599</v>
      </c>
      <c r="S2635" s="2156" t="s">
        <v>15600</v>
      </c>
      <c r="T2635" s="2155"/>
      <c r="U2635" s="2155"/>
      <c r="V2635" s="2159" t="s">
        <v>15601</v>
      </c>
      <c r="W2635" s="2161"/>
      <c r="X2635" s="2162" t="str">
        <f> hyperlink(vlookup(lower(S2635),'File Links'!E:F, 2, FALSE), "LINK")</f>
        <v>LINK</v>
      </c>
      <c r="Y2635" s="2155"/>
      <c r="Z2635" s="2156" t="s">
        <v>141</v>
      </c>
      <c r="AA2635" s="156" t="s">
        <v>15609</v>
      </c>
      <c r="AB2635" s="156" t="s">
        <v>15603</v>
      </c>
      <c r="AC2635" s="156" t="s">
        <v>15610</v>
      </c>
      <c r="AD2635" s="156" t="s">
        <v>15611</v>
      </c>
      <c r="AE2635" s="333">
        <v>20.0</v>
      </c>
      <c r="AF2635" s="153">
        <v>10.0</v>
      </c>
      <c r="AG2635" s="333">
        <v>0.22</v>
      </c>
      <c r="AH2635" s="65" t="s">
        <v>867</v>
      </c>
      <c r="AI2635" s="65" t="s">
        <v>489</v>
      </c>
      <c r="AJ2635" s="333">
        <v>0.035</v>
      </c>
      <c r="AK2635" s="65" t="s">
        <v>165</v>
      </c>
      <c r="AL2635" s="65" t="s">
        <v>179</v>
      </c>
      <c r="AM2635" s="65" t="s">
        <v>130</v>
      </c>
      <c r="AN2635" s="2155"/>
      <c r="AO2635" s="2163">
        <v>24.0</v>
      </c>
      <c r="AP2635" s="2164">
        <v>2.119</v>
      </c>
      <c r="AQ2635" s="2155" t="s">
        <v>166</v>
      </c>
      <c r="AR2635" s="2155"/>
      <c r="AS2635" s="2165">
        <v>0.001</v>
      </c>
      <c r="AT2635" s="2155" t="s">
        <v>165</v>
      </c>
      <c r="AU2635" s="2155" t="s">
        <v>179</v>
      </c>
      <c r="AV2635" s="2155" t="s">
        <v>130</v>
      </c>
      <c r="AW2635" s="2155" t="s">
        <v>15606</v>
      </c>
      <c r="AX2635" s="2155" t="s">
        <v>136</v>
      </c>
    </row>
    <row r="2636">
      <c r="A2636" s="41">
        <v>2636.0</v>
      </c>
      <c r="B2636" s="126" t="s">
        <v>278</v>
      </c>
      <c r="C2636" s="59" t="s">
        <v>108</v>
      </c>
      <c r="D2636" s="59" t="s">
        <v>15578</v>
      </c>
      <c r="F2636" s="2155" t="s">
        <v>15593</v>
      </c>
      <c r="G2636" s="2156" t="s">
        <v>15612</v>
      </c>
      <c r="H2636" s="2156" t="s">
        <v>15595</v>
      </c>
      <c r="I2636" s="2157">
        <v>45337.0</v>
      </c>
      <c r="J2636" s="431">
        <v>45785.0</v>
      </c>
      <c r="K2636" s="2155" t="s">
        <v>15608</v>
      </c>
      <c r="L2636" s="2158" t="s">
        <v>15597</v>
      </c>
      <c r="M2636" s="2156" t="s">
        <v>15598</v>
      </c>
      <c r="N2636" s="2156" t="s">
        <v>13159</v>
      </c>
      <c r="O2636" s="1683"/>
      <c r="P2636" s="2159" t="s">
        <v>13160</v>
      </c>
      <c r="Q2636" s="2160" t="str">
        <f> hyperlink(vlookup(lower(N2636),'File Links'!E:F, 2, FALSE), "LINK")</f>
        <v>LINK</v>
      </c>
      <c r="R2636" s="2156" t="s">
        <v>15599</v>
      </c>
      <c r="S2636" s="2156" t="s">
        <v>15600</v>
      </c>
      <c r="T2636" s="2155"/>
      <c r="U2636" s="2155"/>
      <c r="V2636" s="2159" t="s">
        <v>15601</v>
      </c>
      <c r="W2636" s="2161"/>
      <c r="X2636" s="2162" t="str">
        <f> hyperlink(vlookup(lower(S2636),'File Links'!E:F, 2, FALSE), "LINK")</f>
        <v>LINK</v>
      </c>
      <c r="Y2636" s="2155"/>
      <c r="Z2636" s="2156" t="s">
        <v>141</v>
      </c>
      <c r="AA2636" s="156" t="s">
        <v>15613</v>
      </c>
      <c r="AB2636" s="156" t="s">
        <v>15603</v>
      </c>
      <c r="AC2636" s="156" t="s">
        <v>15614</v>
      </c>
      <c r="AD2636" s="156" t="s">
        <v>15615</v>
      </c>
      <c r="AE2636" s="333">
        <v>20.0</v>
      </c>
      <c r="AF2636" s="153">
        <v>10.0</v>
      </c>
      <c r="AG2636" s="65" t="s">
        <v>15606</v>
      </c>
      <c r="AH2636" s="65"/>
      <c r="AI2636" s="65" t="s">
        <v>489</v>
      </c>
      <c r="AJ2636" s="333">
        <v>0.5</v>
      </c>
      <c r="AK2636" s="65" t="s">
        <v>2200</v>
      </c>
      <c r="AL2636" s="65" t="s">
        <v>211</v>
      </c>
      <c r="AM2636" s="65" t="s">
        <v>134</v>
      </c>
      <c r="AN2636" s="2155"/>
      <c r="AO2636" s="2163">
        <v>19.0</v>
      </c>
      <c r="AP2636" s="2166" t="s">
        <v>15616</v>
      </c>
      <c r="AQ2636" s="2155" t="s">
        <v>166</v>
      </c>
      <c r="AR2636" s="2155"/>
      <c r="AS2636" s="2165">
        <v>0.821</v>
      </c>
      <c r="AT2636" s="2155" t="s">
        <v>165</v>
      </c>
      <c r="AU2636" s="2155" t="s">
        <v>179</v>
      </c>
      <c r="AV2636" s="2155" t="s">
        <v>130</v>
      </c>
      <c r="AW2636" s="2155" t="s">
        <v>15606</v>
      </c>
      <c r="AX2636" s="2155" t="s">
        <v>136</v>
      </c>
    </row>
    <row r="2637">
      <c r="A2637" s="41">
        <v>2637.0</v>
      </c>
      <c r="B2637" s="126" t="s">
        <v>278</v>
      </c>
      <c r="C2637" s="59" t="s">
        <v>108</v>
      </c>
      <c r="D2637" s="59" t="s">
        <v>15578</v>
      </c>
      <c r="F2637" s="43" t="s">
        <v>15617</v>
      </c>
      <c r="G2637" s="357" t="s">
        <v>15618</v>
      </c>
      <c r="H2637" s="357" t="s">
        <v>15581</v>
      </c>
      <c r="I2637" s="341" t="s">
        <v>8508</v>
      </c>
      <c r="J2637" s="431">
        <v>45785.0</v>
      </c>
      <c r="K2637" s="357" t="s">
        <v>15619</v>
      </c>
      <c r="L2637" s="43"/>
      <c r="M2637" s="357" t="s">
        <v>15620</v>
      </c>
      <c r="N2637" s="357" t="s">
        <v>15621</v>
      </c>
      <c r="O2637" s="357" t="s">
        <v>3072</v>
      </c>
      <c r="P2637" s="357" t="s">
        <v>15622</v>
      </c>
      <c r="Q2637" s="2167" t="str">
        <f> hyperlink(vlookup(lower(N2637),'File Links'!E:F, 2, FALSE), "LINK")</f>
        <v>LINK</v>
      </c>
      <c r="R2637" s="357" t="s">
        <v>15623</v>
      </c>
      <c r="S2637" s="357" t="s">
        <v>131</v>
      </c>
      <c r="T2637" s="506" t="s">
        <v>15624</v>
      </c>
      <c r="U2637" s="43"/>
      <c r="V2637" s="357" t="s">
        <v>8433</v>
      </c>
      <c r="W2637" s="357" t="s">
        <v>15625</v>
      </c>
      <c r="X2637" s="2168" t="str">
        <f> hyperlink(vlookup(lower(S2637),'File Links'!E:F, 2, FALSE), "LINK")</f>
        <v>LINK</v>
      </c>
      <c r="Y2637" s="43"/>
      <c r="Z2637" s="357" t="s">
        <v>2072</v>
      </c>
      <c r="AA2637" s="357" t="s">
        <v>15626</v>
      </c>
      <c r="AB2637" s="357" t="s">
        <v>15627</v>
      </c>
      <c r="AC2637" s="357" t="s">
        <v>15628</v>
      </c>
      <c r="AD2637" s="357" t="s">
        <v>15629</v>
      </c>
      <c r="AE2637" s="354">
        <v>18.0</v>
      </c>
      <c r="AF2637" s="354">
        <v>74.0</v>
      </c>
      <c r="AG2637" s="354">
        <v>0.05</v>
      </c>
      <c r="AH2637" s="357" t="s">
        <v>867</v>
      </c>
      <c r="AI2637" s="357" t="s">
        <v>15630</v>
      </c>
      <c r="AJ2637" s="354">
        <v>0.006</v>
      </c>
      <c r="AK2637" s="357" t="s">
        <v>328</v>
      </c>
      <c r="AL2637" s="357" t="s">
        <v>211</v>
      </c>
      <c r="AM2637" s="357" t="s">
        <v>134</v>
      </c>
      <c r="AN2637" s="43"/>
      <c r="AO2637" s="354">
        <v>382.0</v>
      </c>
      <c r="AP2637" s="2169">
        <v>0.08</v>
      </c>
      <c r="AQ2637" s="357" t="s">
        <v>166</v>
      </c>
      <c r="AR2637" s="43"/>
      <c r="AS2637" s="354">
        <v>0.002</v>
      </c>
      <c r="AT2637" s="357" t="s">
        <v>165</v>
      </c>
      <c r="AU2637" s="357" t="s">
        <v>179</v>
      </c>
      <c r="AV2637" s="357" t="s">
        <v>130</v>
      </c>
      <c r="AW2637" s="593" t="s">
        <v>15631</v>
      </c>
      <c r="AX2637" s="357" t="s">
        <v>136</v>
      </c>
    </row>
    <row r="2638">
      <c r="A2638" s="41">
        <v>2638.0</v>
      </c>
      <c r="B2638" s="126" t="s">
        <v>516</v>
      </c>
      <c r="C2638" s="59" t="s">
        <v>108</v>
      </c>
      <c r="D2638" s="59" t="s">
        <v>15578</v>
      </c>
      <c r="F2638" s="43" t="s">
        <v>15442</v>
      </c>
      <c r="G2638" s="357" t="s">
        <v>15443</v>
      </c>
      <c r="H2638" s="357" t="s">
        <v>15632</v>
      </c>
      <c r="I2638" s="508">
        <v>45288.0</v>
      </c>
      <c r="J2638" s="431">
        <v>45785.0</v>
      </c>
      <c r="K2638" s="43" t="s">
        <v>15633</v>
      </c>
      <c r="L2638" s="43"/>
      <c r="M2638" s="357" t="s">
        <v>15444</v>
      </c>
      <c r="N2638" s="357" t="s">
        <v>15445</v>
      </c>
      <c r="O2638" s="43"/>
      <c r="P2638" s="357" t="s">
        <v>15446</v>
      </c>
      <c r="Q2638" s="2170" t="str">
        <f> hyperlink(vlookup(lower(N2638),'File Links'!E:F, 2, FALSE), "LINK")</f>
        <v>LINK</v>
      </c>
      <c r="R2638" s="357" t="s">
        <v>15447</v>
      </c>
      <c r="S2638" s="357" t="s">
        <v>15448</v>
      </c>
      <c r="T2638" s="43"/>
      <c r="U2638" s="43"/>
      <c r="V2638" s="357" t="s">
        <v>15449</v>
      </c>
      <c r="W2638" s="43"/>
      <c r="X2638" s="2171" t="str">
        <f> hyperlink(vlookup(lower(S2638),'File Links'!E:F, 2, FALSE), "LINK")</f>
        <v>LINK</v>
      </c>
      <c r="Y2638" s="43"/>
      <c r="Z2638" s="357" t="s">
        <v>1593</v>
      </c>
      <c r="AA2638" s="357" t="s">
        <v>15634</v>
      </c>
      <c r="AB2638" s="43" t="s">
        <v>15635</v>
      </c>
      <c r="AC2638" s="43" t="s">
        <v>15636</v>
      </c>
      <c r="AD2638" s="357" t="s">
        <v>15637</v>
      </c>
      <c r="AE2638" s="382">
        <v>6.0</v>
      </c>
      <c r="AF2638" s="382">
        <v>54.0</v>
      </c>
      <c r="AG2638" s="382">
        <v>0.082</v>
      </c>
      <c r="AH2638" s="43" t="s">
        <v>132</v>
      </c>
      <c r="AI2638" s="43" t="s">
        <v>1035</v>
      </c>
      <c r="AJ2638" s="382">
        <v>0.01</v>
      </c>
      <c r="AK2638" s="43" t="s">
        <v>165</v>
      </c>
      <c r="AL2638" s="43" t="s">
        <v>179</v>
      </c>
      <c r="AM2638" s="43" t="s">
        <v>130</v>
      </c>
      <c r="AN2638" s="43"/>
      <c r="AO2638" s="382">
        <v>116.0</v>
      </c>
      <c r="AP2638" s="382">
        <v>0.45</v>
      </c>
      <c r="AQ2638" s="43" t="s">
        <v>166</v>
      </c>
      <c r="AR2638" s="43"/>
      <c r="AS2638" s="382">
        <v>0.001</v>
      </c>
      <c r="AT2638" s="43" t="s">
        <v>165</v>
      </c>
      <c r="AU2638" s="43" t="s">
        <v>179</v>
      </c>
      <c r="AV2638" s="43" t="s">
        <v>130</v>
      </c>
      <c r="AW2638" s="56" t="s">
        <v>15638</v>
      </c>
      <c r="AX2638" s="43" t="s">
        <v>136</v>
      </c>
      <c r="AZ2638" s="1060" t="s">
        <v>13197</v>
      </c>
    </row>
    <row r="2639">
      <c r="A2639" s="41">
        <v>2639.0</v>
      </c>
      <c r="B2639" s="126" t="s">
        <v>516</v>
      </c>
      <c r="C2639" s="59" t="s">
        <v>108</v>
      </c>
      <c r="D2639" s="59" t="s">
        <v>15578</v>
      </c>
      <c r="F2639" s="43" t="s">
        <v>15442</v>
      </c>
      <c r="G2639" s="357" t="s">
        <v>15639</v>
      </c>
      <c r="H2639" s="357" t="s">
        <v>15632</v>
      </c>
      <c r="I2639" s="508">
        <v>45288.0</v>
      </c>
      <c r="J2639" s="431">
        <v>45785.0</v>
      </c>
      <c r="K2639" s="43" t="s">
        <v>15633</v>
      </c>
      <c r="L2639" s="43"/>
      <c r="M2639" s="357" t="s">
        <v>15444</v>
      </c>
      <c r="N2639" s="357" t="s">
        <v>15445</v>
      </c>
      <c r="O2639" s="43"/>
      <c r="P2639" s="357" t="s">
        <v>15446</v>
      </c>
      <c r="Q2639" s="2170" t="str">
        <f> hyperlink(vlookup(lower(N2639),'File Links'!E:F, 2, FALSE), "LINK")</f>
        <v>LINK</v>
      </c>
      <c r="R2639" s="357" t="s">
        <v>15447</v>
      </c>
      <c r="S2639" s="357" t="s">
        <v>15448</v>
      </c>
      <c r="T2639" s="43"/>
      <c r="U2639" s="43"/>
      <c r="V2639" s="357" t="s">
        <v>15449</v>
      </c>
      <c r="W2639" s="2161"/>
      <c r="X2639" s="2171" t="str">
        <f> hyperlink(vlookup(lower(S2639),'File Links'!E:F, 2, FALSE), "LINK")</f>
        <v>LINK</v>
      </c>
      <c r="Y2639" s="43"/>
      <c r="Z2639" s="357" t="s">
        <v>1593</v>
      </c>
      <c r="AA2639" s="357" t="s">
        <v>15640</v>
      </c>
      <c r="AB2639" s="43" t="s">
        <v>15635</v>
      </c>
      <c r="AC2639" s="43" t="s">
        <v>15641</v>
      </c>
      <c r="AD2639" s="43" t="s">
        <v>15642</v>
      </c>
      <c r="AE2639" s="382">
        <v>4.0</v>
      </c>
      <c r="AF2639" s="382">
        <v>54.0</v>
      </c>
      <c r="AG2639" s="382">
        <v>0.03</v>
      </c>
      <c r="AH2639" s="43" t="s">
        <v>127</v>
      </c>
      <c r="AI2639" s="43" t="s">
        <v>489</v>
      </c>
      <c r="AJ2639" s="382">
        <v>0.9</v>
      </c>
      <c r="AK2639" s="43" t="s">
        <v>165</v>
      </c>
      <c r="AL2639" s="43" t="s">
        <v>129</v>
      </c>
      <c r="AM2639" s="43" t="s">
        <v>134</v>
      </c>
      <c r="AN2639" s="43"/>
      <c r="AO2639" s="382">
        <v>116.0</v>
      </c>
      <c r="AP2639" s="382">
        <v>0.31</v>
      </c>
      <c r="AQ2639" s="43" t="s">
        <v>166</v>
      </c>
      <c r="AR2639" s="43"/>
      <c r="AS2639" s="382">
        <v>0.001</v>
      </c>
      <c r="AT2639" s="43" t="s">
        <v>165</v>
      </c>
      <c r="AU2639" s="43" t="s">
        <v>179</v>
      </c>
      <c r="AV2639" s="43" t="s">
        <v>130</v>
      </c>
      <c r="AW2639" s="56" t="s">
        <v>15638</v>
      </c>
      <c r="AX2639" s="43" t="s">
        <v>136</v>
      </c>
      <c r="AZ2639" s="1060" t="s">
        <v>13197</v>
      </c>
    </row>
    <row r="2640">
      <c r="A2640" s="41">
        <v>2640.0</v>
      </c>
      <c r="B2640" s="126" t="s">
        <v>516</v>
      </c>
      <c r="C2640" s="59" t="s">
        <v>108</v>
      </c>
      <c r="D2640" s="59" t="s">
        <v>15578</v>
      </c>
      <c r="F2640" s="43" t="s">
        <v>15442</v>
      </c>
      <c r="G2640" s="357" t="s">
        <v>15643</v>
      </c>
      <c r="H2640" s="357" t="s">
        <v>15632</v>
      </c>
      <c r="I2640" s="508">
        <v>45288.0</v>
      </c>
      <c r="J2640" s="431">
        <v>45785.0</v>
      </c>
      <c r="K2640" s="43" t="s">
        <v>15633</v>
      </c>
      <c r="L2640" s="43"/>
      <c r="M2640" s="357" t="s">
        <v>15444</v>
      </c>
      <c r="N2640" s="357" t="s">
        <v>15445</v>
      </c>
      <c r="O2640" s="43"/>
      <c r="P2640" s="357" t="s">
        <v>15446</v>
      </c>
      <c r="Q2640" s="2170" t="str">
        <f> hyperlink(vlookup(lower(N2640),'File Links'!E:F, 2, FALSE), "LINK")</f>
        <v>LINK</v>
      </c>
      <c r="R2640" s="357" t="s">
        <v>15447</v>
      </c>
      <c r="S2640" s="357" t="s">
        <v>15448</v>
      </c>
      <c r="T2640" s="43"/>
      <c r="U2640" s="43"/>
      <c r="V2640" s="357" t="s">
        <v>15449</v>
      </c>
      <c r="W2640" s="2161"/>
      <c r="X2640" s="2171" t="str">
        <f> hyperlink(vlookup(lower(S2640),'File Links'!E:F, 2, FALSE), "LINK")</f>
        <v>LINK</v>
      </c>
      <c r="Y2640" s="43"/>
      <c r="Z2640" s="357" t="s">
        <v>1593</v>
      </c>
      <c r="AA2640" s="357" t="s">
        <v>15644</v>
      </c>
      <c r="AB2640" s="43" t="s">
        <v>15635</v>
      </c>
      <c r="AC2640" s="43" t="s">
        <v>15645</v>
      </c>
      <c r="AD2640" s="43" t="s">
        <v>15646</v>
      </c>
      <c r="AE2640" s="382">
        <v>4.0</v>
      </c>
      <c r="AF2640" s="382">
        <v>54.0</v>
      </c>
      <c r="AG2640" s="382">
        <v>0.0</v>
      </c>
      <c r="AH2640" s="43" t="s">
        <v>127</v>
      </c>
      <c r="AI2640" s="43" t="s">
        <v>875</v>
      </c>
      <c r="AJ2640" s="382">
        <v>0.98</v>
      </c>
      <c r="AK2640" s="43" t="s">
        <v>165</v>
      </c>
      <c r="AL2640" s="43" t="s">
        <v>179</v>
      </c>
      <c r="AM2640" s="43" t="s">
        <v>130</v>
      </c>
      <c r="AN2640" s="43"/>
      <c r="AO2640" s="382">
        <v>116.0</v>
      </c>
      <c r="AP2640" s="382">
        <v>1.14</v>
      </c>
      <c r="AQ2640" s="43" t="s">
        <v>127</v>
      </c>
      <c r="AR2640" s="43"/>
      <c r="AS2640" s="382">
        <v>0.004</v>
      </c>
      <c r="AT2640" s="43" t="s">
        <v>165</v>
      </c>
      <c r="AU2640" s="43" t="s">
        <v>179</v>
      </c>
      <c r="AV2640" s="43" t="s">
        <v>130</v>
      </c>
      <c r="AW2640" s="56" t="s">
        <v>15638</v>
      </c>
      <c r="AX2640" s="43" t="s">
        <v>136</v>
      </c>
      <c r="AZ2640" s="1060" t="s">
        <v>13197</v>
      </c>
    </row>
    <row r="2641">
      <c r="A2641" s="41">
        <v>2641.0</v>
      </c>
      <c r="B2641" s="126" t="s">
        <v>516</v>
      </c>
      <c r="C2641" s="59" t="s">
        <v>108</v>
      </c>
      <c r="D2641" s="59" t="s">
        <v>15578</v>
      </c>
      <c r="F2641" s="43" t="s">
        <v>15442</v>
      </c>
      <c r="G2641" s="357" t="s">
        <v>15647</v>
      </c>
      <c r="H2641" s="357" t="s">
        <v>15632</v>
      </c>
      <c r="I2641" s="508">
        <v>45288.0</v>
      </c>
      <c r="J2641" s="431">
        <v>45785.0</v>
      </c>
      <c r="K2641" s="43"/>
      <c r="L2641" s="43"/>
      <c r="M2641" s="357" t="s">
        <v>15444</v>
      </c>
      <c r="N2641" s="357" t="s">
        <v>15445</v>
      </c>
      <c r="O2641" s="43"/>
      <c r="P2641" s="357" t="s">
        <v>15446</v>
      </c>
      <c r="Q2641" s="2170" t="str">
        <f> hyperlink(vlookup(lower(N2641),'File Links'!E:F, 2, FALSE), "LINK")</f>
        <v>LINK</v>
      </c>
      <c r="R2641" s="357" t="s">
        <v>15447</v>
      </c>
      <c r="S2641" s="357" t="s">
        <v>15448</v>
      </c>
      <c r="T2641" s="43"/>
      <c r="U2641" s="43"/>
      <c r="V2641" s="357" t="s">
        <v>15449</v>
      </c>
      <c r="W2641" s="2161"/>
      <c r="X2641" s="2171" t="str">
        <f> hyperlink(vlookup(lower(S2641),'File Links'!E:F, 2, FALSE), "LINK")</f>
        <v>LINK</v>
      </c>
      <c r="Y2641" s="43"/>
      <c r="Z2641" s="357" t="s">
        <v>1593</v>
      </c>
      <c r="AA2641" s="357" t="s">
        <v>15648</v>
      </c>
      <c r="AB2641" s="43" t="s">
        <v>15635</v>
      </c>
      <c r="AC2641" s="43" t="s">
        <v>15649</v>
      </c>
      <c r="AD2641" s="43" t="s">
        <v>15650</v>
      </c>
      <c r="AE2641" s="382">
        <v>4.0</v>
      </c>
      <c r="AF2641" s="382">
        <v>54.0</v>
      </c>
      <c r="AG2641" s="382">
        <v>0.03</v>
      </c>
      <c r="AH2641" s="43" t="s">
        <v>127</v>
      </c>
      <c r="AI2641" s="43" t="s">
        <v>1035</v>
      </c>
      <c r="AJ2641" s="382">
        <v>0.86</v>
      </c>
      <c r="AK2641" s="43" t="s">
        <v>165</v>
      </c>
      <c r="AL2641" s="43" t="s">
        <v>179</v>
      </c>
      <c r="AM2641" s="43" t="s">
        <v>130</v>
      </c>
      <c r="AN2641" s="43"/>
      <c r="AO2641" s="43" t="s">
        <v>15606</v>
      </c>
      <c r="AP2641" s="43" t="s">
        <v>15606</v>
      </c>
      <c r="AQ2641" s="43"/>
      <c r="AR2641" s="43"/>
      <c r="AS2641" s="43" t="s">
        <v>15606</v>
      </c>
      <c r="AT2641" s="43"/>
      <c r="AU2641" s="43"/>
      <c r="AV2641" s="43"/>
      <c r="AW2641" s="43" t="s">
        <v>15606</v>
      </c>
      <c r="AX2641" s="43"/>
      <c r="AZ2641" s="1060" t="s">
        <v>13197</v>
      </c>
    </row>
    <row r="2642">
      <c r="A2642" s="41">
        <v>2642.0</v>
      </c>
      <c r="B2642" s="126" t="s">
        <v>516</v>
      </c>
      <c r="C2642" s="59" t="s">
        <v>108</v>
      </c>
      <c r="D2642" s="59" t="s">
        <v>15578</v>
      </c>
      <c r="F2642" s="43" t="s">
        <v>15442</v>
      </c>
      <c r="G2642" s="357" t="s">
        <v>15651</v>
      </c>
      <c r="H2642" s="357" t="s">
        <v>15632</v>
      </c>
      <c r="I2642" s="508">
        <v>45288.0</v>
      </c>
      <c r="J2642" s="431">
        <v>45785.0</v>
      </c>
      <c r="K2642" s="43" t="s">
        <v>15633</v>
      </c>
      <c r="L2642" s="43"/>
      <c r="M2642" s="357" t="s">
        <v>15444</v>
      </c>
      <c r="N2642" s="357" t="s">
        <v>15445</v>
      </c>
      <c r="O2642" s="43"/>
      <c r="P2642" s="357" t="s">
        <v>15446</v>
      </c>
      <c r="Q2642" s="2170" t="str">
        <f> hyperlink(vlookup(lower(N2642),'File Links'!E:F, 2, FALSE), "LINK")</f>
        <v>LINK</v>
      </c>
      <c r="R2642" s="357" t="s">
        <v>15447</v>
      </c>
      <c r="S2642" s="357" t="s">
        <v>15448</v>
      </c>
      <c r="T2642" s="43"/>
      <c r="U2642" s="43"/>
      <c r="V2642" s="357" t="s">
        <v>15449</v>
      </c>
      <c r="W2642" s="2161"/>
      <c r="X2642" s="2171" t="str">
        <f> hyperlink(vlookup(lower(S2642),'File Links'!E:F, 2, FALSE), "LINK")</f>
        <v>LINK</v>
      </c>
      <c r="Y2642" s="43"/>
      <c r="Z2642" s="357" t="s">
        <v>1593</v>
      </c>
      <c r="AA2642" s="357" t="s">
        <v>15652</v>
      </c>
      <c r="AB2642" s="43" t="s">
        <v>15635</v>
      </c>
      <c r="AC2642" s="43" t="s">
        <v>15653</v>
      </c>
      <c r="AD2642" s="43" t="s">
        <v>15654</v>
      </c>
      <c r="AE2642" s="382">
        <v>4.0</v>
      </c>
      <c r="AF2642" s="382">
        <v>54.0</v>
      </c>
      <c r="AG2642" s="382">
        <v>1.03</v>
      </c>
      <c r="AH2642" s="43" t="s">
        <v>127</v>
      </c>
      <c r="AI2642" s="43" t="s">
        <v>875</v>
      </c>
      <c r="AJ2642" s="382">
        <v>0.31</v>
      </c>
      <c r="AK2642" s="43" t="s">
        <v>165</v>
      </c>
      <c r="AL2642" s="43" t="s">
        <v>179</v>
      </c>
      <c r="AM2642" s="43" t="s">
        <v>130</v>
      </c>
      <c r="AN2642" s="43"/>
      <c r="AO2642" s="382">
        <v>116.0</v>
      </c>
      <c r="AP2642" s="382">
        <v>0.34</v>
      </c>
      <c r="AQ2642" s="43" t="s">
        <v>166</v>
      </c>
      <c r="AR2642" s="43"/>
      <c r="AS2642" s="382">
        <v>0.001</v>
      </c>
      <c r="AT2642" s="43" t="s">
        <v>165</v>
      </c>
      <c r="AU2642" s="43" t="s">
        <v>179</v>
      </c>
      <c r="AV2642" s="43" t="s">
        <v>130</v>
      </c>
      <c r="AW2642" s="56" t="s">
        <v>15638</v>
      </c>
      <c r="AX2642" s="43" t="s">
        <v>136</v>
      </c>
      <c r="AZ2642" s="1060" t="s">
        <v>13197</v>
      </c>
    </row>
    <row r="2643">
      <c r="A2643" s="41">
        <v>2643.0</v>
      </c>
      <c r="B2643" s="126" t="s">
        <v>516</v>
      </c>
      <c r="C2643" s="59" t="s">
        <v>108</v>
      </c>
      <c r="D2643" s="59" t="s">
        <v>15578</v>
      </c>
      <c r="F2643" s="43" t="s">
        <v>15655</v>
      </c>
      <c r="G2643" s="357" t="s">
        <v>15656</v>
      </c>
      <c r="H2643" s="357" t="s">
        <v>15657</v>
      </c>
      <c r="I2643" s="341">
        <v>45296.0</v>
      </c>
      <c r="J2643" s="2172">
        <v>45786.0</v>
      </c>
      <c r="K2643" s="43" t="s">
        <v>15658</v>
      </c>
      <c r="L2643" s="43"/>
      <c r="M2643" s="357" t="s">
        <v>15659</v>
      </c>
      <c r="N2643" s="357" t="s">
        <v>15660</v>
      </c>
      <c r="O2643" s="43"/>
      <c r="P2643" s="357" t="s">
        <v>15661</v>
      </c>
      <c r="Q2643" s="2170" t="str">
        <f> hyperlink(vlookup(lower(N2643),'File Links'!E:F, 2, FALSE), "LINK")</f>
        <v>LINK</v>
      </c>
      <c r="R2643" s="357" t="s">
        <v>15662</v>
      </c>
      <c r="S2643" s="357" t="s">
        <v>15663</v>
      </c>
      <c r="T2643" s="43"/>
      <c r="U2643" s="43"/>
      <c r="V2643" s="357" t="s">
        <v>15664</v>
      </c>
      <c r="W2643" s="2161"/>
      <c r="X2643" s="2171" t="str">
        <f> hyperlink(vlookup(lower(S2643),'File Links'!E:F, 2, FALSE), "LINK")</f>
        <v>LINK</v>
      </c>
      <c r="Y2643" s="43"/>
      <c r="Z2643" s="357" t="s">
        <v>219</v>
      </c>
      <c r="AA2643" s="357" t="s">
        <v>15665</v>
      </c>
      <c r="AB2643" s="65" t="s">
        <v>15606</v>
      </c>
      <c r="AC2643" s="43" t="s">
        <v>15666</v>
      </c>
      <c r="AD2643" s="43" t="s">
        <v>15667</v>
      </c>
      <c r="AE2643" s="382">
        <v>4.0</v>
      </c>
      <c r="AF2643" s="382">
        <v>393.0</v>
      </c>
      <c r="AG2643" s="382">
        <v>0.386</v>
      </c>
      <c r="AH2643" s="43" t="s">
        <v>166</v>
      </c>
      <c r="AI2643" s="43" t="s">
        <v>489</v>
      </c>
      <c r="AJ2643" s="382">
        <v>0.001</v>
      </c>
      <c r="AK2643" s="43" t="s">
        <v>165</v>
      </c>
      <c r="AL2643" s="43" t="s">
        <v>129</v>
      </c>
      <c r="AM2643" s="43" t="s">
        <v>134</v>
      </c>
      <c r="AN2643" s="43"/>
      <c r="AO2643" s="382">
        <v>246.0</v>
      </c>
      <c r="AP2643" s="382">
        <v>0.47</v>
      </c>
      <c r="AQ2643" s="43" t="s">
        <v>166</v>
      </c>
      <c r="AR2643" s="43"/>
      <c r="AS2643" s="382">
        <v>0.001</v>
      </c>
      <c r="AT2643" s="43" t="s">
        <v>165</v>
      </c>
      <c r="AU2643" s="43" t="s">
        <v>211</v>
      </c>
      <c r="AV2643" s="43" t="s">
        <v>134</v>
      </c>
      <c r="AW2643" s="56" t="s">
        <v>15668</v>
      </c>
      <c r="AX2643" s="43" t="s">
        <v>136</v>
      </c>
      <c r="AZ2643" s="1060" t="s">
        <v>13197</v>
      </c>
    </row>
    <row r="2644">
      <c r="A2644" s="41">
        <v>2644.0</v>
      </c>
      <c r="B2644" s="126" t="s">
        <v>516</v>
      </c>
      <c r="C2644" s="59" t="s">
        <v>108</v>
      </c>
      <c r="D2644" s="59" t="s">
        <v>15578</v>
      </c>
      <c r="F2644" s="43" t="s">
        <v>15655</v>
      </c>
      <c r="G2644" s="357" t="s">
        <v>15669</v>
      </c>
      <c r="H2644" s="357" t="s">
        <v>15670</v>
      </c>
      <c r="I2644" s="341">
        <v>45296.0</v>
      </c>
      <c r="J2644" s="2172">
        <v>45786.0</v>
      </c>
      <c r="K2644" s="43"/>
      <c r="L2644" s="43"/>
      <c r="M2644" s="357" t="s">
        <v>15659</v>
      </c>
      <c r="N2644" s="357" t="s">
        <v>15660</v>
      </c>
      <c r="O2644" s="43"/>
      <c r="P2644" s="357" t="s">
        <v>15661</v>
      </c>
      <c r="Q2644" s="2170" t="str">
        <f> hyperlink(vlookup(lower(N2644),'File Links'!E:F, 2, FALSE), "LINK")</f>
        <v>LINK</v>
      </c>
      <c r="R2644" s="357" t="s">
        <v>15662</v>
      </c>
      <c r="S2644" s="357" t="s">
        <v>15663</v>
      </c>
      <c r="T2644" s="43"/>
      <c r="U2644" s="43"/>
      <c r="V2644" s="357" t="s">
        <v>15664</v>
      </c>
      <c r="W2644" s="2161"/>
      <c r="X2644" s="2171" t="str">
        <f> hyperlink(vlookup(lower(S2644),'File Links'!E:F, 2, FALSE), "LINK")</f>
        <v>LINK</v>
      </c>
      <c r="Y2644" s="43"/>
      <c r="Z2644" s="357" t="s">
        <v>219</v>
      </c>
      <c r="AA2644" s="357" t="s">
        <v>15671</v>
      </c>
      <c r="AB2644" s="65" t="s">
        <v>15606</v>
      </c>
      <c r="AC2644" s="43" t="s">
        <v>15672</v>
      </c>
      <c r="AD2644" s="43" t="s">
        <v>15673</v>
      </c>
      <c r="AE2644" s="382">
        <v>4.0</v>
      </c>
      <c r="AF2644" s="382">
        <v>85.0</v>
      </c>
      <c r="AG2644" s="382">
        <v>0.659</v>
      </c>
      <c r="AH2644" s="43" t="s">
        <v>166</v>
      </c>
      <c r="AI2644" s="43" t="s">
        <v>489</v>
      </c>
      <c r="AJ2644" s="382">
        <v>0.007</v>
      </c>
      <c r="AK2644" s="43" t="s">
        <v>165</v>
      </c>
      <c r="AL2644" s="43" t="s">
        <v>129</v>
      </c>
      <c r="AM2644" s="43" t="s">
        <v>134</v>
      </c>
      <c r="AN2644" s="43"/>
      <c r="AO2644" s="382">
        <v>24.0</v>
      </c>
      <c r="AP2644" s="382">
        <v>0.96</v>
      </c>
      <c r="AQ2644" s="43" t="s">
        <v>166</v>
      </c>
      <c r="AR2644" s="43"/>
      <c r="AS2644" s="382">
        <v>0.001</v>
      </c>
      <c r="AT2644" s="43" t="s">
        <v>165</v>
      </c>
      <c r="AU2644" s="43" t="s">
        <v>211</v>
      </c>
      <c r="AV2644" s="43" t="s">
        <v>134</v>
      </c>
      <c r="AW2644" s="56" t="s">
        <v>15668</v>
      </c>
      <c r="AX2644" s="43" t="s">
        <v>136</v>
      </c>
      <c r="AZ2644" s="1060" t="s">
        <v>13197</v>
      </c>
    </row>
    <row r="2645">
      <c r="A2645" s="41">
        <v>2645.0</v>
      </c>
      <c r="B2645" s="126" t="s">
        <v>516</v>
      </c>
      <c r="C2645" s="59" t="s">
        <v>108</v>
      </c>
      <c r="D2645" s="59" t="s">
        <v>15578</v>
      </c>
      <c r="F2645" s="43" t="s">
        <v>15655</v>
      </c>
      <c r="G2645" s="357" t="s">
        <v>15674</v>
      </c>
      <c r="H2645" s="357" t="s">
        <v>15670</v>
      </c>
      <c r="I2645" s="341">
        <v>45296.0</v>
      </c>
      <c r="J2645" s="2172">
        <v>45786.0</v>
      </c>
      <c r="K2645" s="43"/>
      <c r="L2645" s="43"/>
      <c r="M2645" s="357" t="s">
        <v>15659</v>
      </c>
      <c r="N2645" s="357" t="s">
        <v>15660</v>
      </c>
      <c r="O2645" s="43"/>
      <c r="P2645" s="357" t="s">
        <v>15661</v>
      </c>
      <c r="Q2645" s="2170" t="str">
        <f> hyperlink(vlookup(lower(N2645),'File Links'!E:F, 2, FALSE), "LINK")</f>
        <v>LINK</v>
      </c>
      <c r="R2645" s="357" t="s">
        <v>15662</v>
      </c>
      <c r="S2645" s="357" t="s">
        <v>15663</v>
      </c>
      <c r="T2645" s="43"/>
      <c r="U2645" s="43"/>
      <c r="V2645" s="357" t="s">
        <v>15664</v>
      </c>
      <c r="W2645" s="43"/>
      <c r="X2645" s="2171" t="str">
        <f> hyperlink(vlookup(lower(S2645),'File Links'!E:F, 2, FALSE), "LINK")</f>
        <v>LINK</v>
      </c>
      <c r="Y2645" s="43"/>
      <c r="Z2645" s="357" t="s">
        <v>219</v>
      </c>
      <c r="AA2645" s="357" t="s">
        <v>15675</v>
      </c>
      <c r="AB2645" s="65" t="s">
        <v>15606</v>
      </c>
      <c r="AC2645" s="43" t="s">
        <v>15676</v>
      </c>
      <c r="AD2645" s="43" t="s">
        <v>15677</v>
      </c>
      <c r="AE2645" s="382">
        <v>4.0</v>
      </c>
      <c r="AF2645" s="382">
        <v>393.0</v>
      </c>
      <c r="AG2645" s="382">
        <v>0.237</v>
      </c>
      <c r="AH2645" s="43" t="s">
        <v>208</v>
      </c>
      <c r="AI2645" s="43" t="s">
        <v>489</v>
      </c>
      <c r="AJ2645" s="382">
        <v>0.001</v>
      </c>
      <c r="AK2645" s="43" t="s">
        <v>165</v>
      </c>
      <c r="AL2645" s="43" t="s">
        <v>129</v>
      </c>
      <c r="AM2645" s="43" t="s">
        <v>134</v>
      </c>
      <c r="AN2645" s="43"/>
      <c r="AO2645" s="382">
        <v>244.0</v>
      </c>
      <c r="AP2645" s="382">
        <v>0.22</v>
      </c>
      <c r="AQ2645" s="43" t="s">
        <v>208</v>
      </c>
      <c r="AR2645" s="43"/>
      <c r="AS2645" s="382">
        <v>0.001</v>
      </c>
      <c r="AT2645" s="43" t="s">
        <v>165</v>
      </c>
      <c r="AU2645" s="43" t="s">
        <v>211</v>
      </c>
      <c r="AV2645" s="43" t="s">
        <v>134</v>
      </c>
      <c r="AW2645" s="56" t="s">
        <v>15668</v>
      </c>
      <c r="AX2645" s="43" t="s">
        <v>136</v>
      </c>
      <c r="AZ2645" s="1060" t="s">
        <v>13197</v>
      </c>
    </row>
    <row r="2646">
      <c r="A2646" s="41">
        <v>2646.0</v>
      </c>
      <c r="B2646" s="126" t="s">
        <v>278</v>
      </c>
      <c r="C2646" s="59" t="s">
        <v>108</v>
      </c>
      <c r="D2646" s="59" t="s">
        <v>15578</v>
      </c>
      <c r="F2646" s="43" t="s">
        <v>15678</v>
      </c>
      <c r="G2646" s="357" t="s">
        <v>15679</v>
      </c>
      <c r="H2646" s="357" t="s">
        <v>15680</v>
      </c>
      <c r="I2646" s="341" t="s">
        <v>112</v>
      </c>
      <c r="J2646" s="2172">
        <v>45786.0</v>
      </c>
      <c r="K2646" s="43"/>
      <c r="L2646" s="43"/>
      <c r="M2646" s="357" t="s">
        <v>4485</v>
      </c>
      <c r="N2646" s="357" t="s">
        <v>4486</v>
      </c>
      <c r="O2646" s="382">
        <v>1.0</v>
      </c>
      <c r="P2646" s="357" t="s">
        <v>7208</v>
      </c>
      <c r="Q2646" s="2170" t="str">
        <f> hyperlink(vlookup(lower(N2646),'File Links'!E:F, 2, FALSE), "LINK")</f>
        <v>LINK</v>
      </c>
      <c r="R2646" s="357" t="s">
        <v>15681</v>
      </c>
      <c r="S2646" s="357" t="s">
        <v>15682</v>
      </c>
      <c r="T2646" s="593" t="s">
        <v>15683</v>
      </c>
      <c r="U2646" s="43"/>
      <c r="V2646" s="357" t="s">
        <v>15684</v>
      </c>
      <c r="W2646" s="43" t="s">
        <v>570</v>
      </c>
      <c r="X2646" s="2168" t="str">
        <f> hyperlink(vlookup(lower(S2646),'File Links'!E:F, 2, FALSE), "LINK")</f>
        <v>LINK</v>
      </c>
      <c r="Y2646" s="43"/>
      <c r="Z2646" s="43" t="s">
        <v>141</v>
      </c>
      <c r="AA2646" s="357" t="s">
        <v>15685</v>
      </c>
      <c r="AB2646" s="43" t="s">
        <v>15686</v>
      </c>
      <c r="AC2646" s="43" t="s">
        <v>15687</v>
      </c>
      <c r="AD2646" s="43" t="s">
        <v>15688</v>
      </c>
      <c r="AE2646" s="382">
        <v>3.0</v>
      </c>
      <c r="AF2646" s="382">
        <v>20.0</v>
      </c>
      <c r="AG2646" s="382">
        <v>0.09</v>
      </c>
      <c r="AH2646" s="43" t="s">
        <v>867</v>
      </c>
      <c r="AI2646" s="43" t="s">
        <v>500</v>
      </c>
      <c r="AJ2646" s="382">
        <v>0.9</v>
      </c>
      <c r="AK2646" s="43" t="s">
        <v>165</v>
      </c>
      <c r="AL2646" s="43" t="s">
        <v>179</v>
      </c>
      <c r="AM2646" s="43" t="s">
        <v>130</v>
      </c>
      <c r="AN2646" s="43"/>
      <c r="AO2646" s="382">
        <v>104.0</v>
      </c>
      <c r="AP2646" s="382">
        <v>0.01</v>
      </c>
      <c r="AQ2646" s="43" t="s">
        <v>166</v>
      </c>
      <c r="AR2646" s="43"/>
      <c r="AS2646" s="382">
        <v>0.95</v>
      </c>
      <c r="AT2646" s="43" t="s">
        <v>165</v>
      </c>
      <c r="AU2646" s="43" t="s">
        <v>129</v>
      </c>
      <c r="AV2646" s="43" t="s">
        <v>134</v>
      </c>
      <c r="AW2646" s="56" t="s">
        <v>15683</v>
      </c>
      <c r="AX2646" s="43" t="s">
        <v>136</v>
      </c>
    </row>
    <row r="2647">
      <c r="A2647" s="41">
        <v>2647.0</v>
      </c>
      <c r="B2647" s="126" t="s">
        <v>278</v>
      </c>
      <c r="C2647" s="59" t="s">
        <v>108</v>
      </c>
      <c r="D2647" s="59" t="s">
        <v>15578</v>
      </c>
      <c r="F2647" s="43" t="s">
        <v>15678</v>
      </c>
      <c r="G2647" s="357" t="s">
        <v>15689</v>
      </c>
      <c r="H2647" s="357" t="s">
        <v>15680</v>
      </c>
      <c r="I2647" s="341" t="s">
        <v>112</v>
      </c>
      <c r="J2647" s="2172">
        <v>45786.0</v>
      </c>
      <c r="K2647" s="43"/>
      <c r="L2647" s="43"/>
      <c r="M2647" s="357" t="s">
        <v>4485</v>
      </c>
      <c r="N2647" s="357" t="s">
        <v>4486</v>
      </c>
      <c r="O2647" s="382">
        <v>1.0</v>
      </c>
      <c r="P2647" s="357" t="s">
        <v>7208</v>
      </c>
      <c r="Q2647" s="2170" t="str">
        <f> hyperlink(vlookup(lower(N2647),'File Links'!E:F, 2, FALSE), "LINK")</f>
        <v>LINK</v>
      </c>
      <c r="R2647" s="357" t="s">
        <v>15681</v>
      </c>
      <c r="S2647" s="357" t="s">
        <v>15682</v>
      </c>
      <c r="T2647" s="593" t="s">
        <v>15683</v>
      </c>
      <c r="U2647" s="43"/>
      <c r="V2647" s="357" t="s">
        <v>15684</v>
      </c>
      <c r="W2647" s="43" t="s">
        <v>570</v>
      </c>
      <c r="X2647" s="2168" t="str">
        <f> hyperlink(vlookup(lower(S2647),'File Links'!E:F, 2, FALSE), "LINK")</f>
        <v>LINK</v>
      </c>
      <c r="Y2647" s="43"/>
      <c r="Z2647" s="43" t="s">
        <v>141</v>
      </c>
      <c r="AA2647" s="357" t="s">
        <v>15690</v>
      </c>
      <c r="AB2647" s="43" t="s">
        <v>15686</v>
      </c>
      <c r="AC2647" s="43" t="s">
        <v>15691</v>
      </c>
      <c r="AD2647" s="43" t="s">
        <v>15692</v>
      </c>
      <c r="AE2647" s="382">
        <v>3.0</v>
      </c>
      <c r="AF2647" s="382">
        <v>20.0</v>
      </c>
      <c r="AG2647" s="382">
        <v>0.13</v>
      </c>
      <c r="AH2647" s="43" t="s">
        <v>867</v>
      </c>
      <c r="AI2647" s="43" t="s">
        <v>500</v>
      </c>
      <c r="AJ2647" s="382">
        <v>0.95</v>
      </c>
      <c r="AK2647" s="43" t="s">
        <v>165</v>
      </c>
      <c r="AL2647" s="43" t="s">
        <v>179</v>
      </c>
      <c r="AM2647" s="43" t="s">
        <v>130</v>
      </c>
      <c r="AN2647" s="43"/>
      <c r="AO2647" s="382">
        <v>104.0</v>
      </c>
      <c r="AP2647" s="382">
        <v>0.05</v>
      </c>
      <c r="AQ2647" s="43" t="s">
        <v>166</v>
      </c>
      <c r="AR2647" s="43"/>
      <c r="AS2647" s="382">
        <v>0.72</v>
      </c>
      <c r="AT2647" s="43" t="s">
        <v>165</v>
      </c>
      <c r="AU2647" s="43" t="s">
        <v>129</v>
      </c>
      <c r="AV2647" s="43" t="s">
        <v>134</v>
      </c>
      <c r="AW2647" s="56" t="s">
        <v>15683</v>
      </c>
      <c r="AX2647" s="43" t="s">
        <v>136</v>
      </c>
    </row>
    <row r="2648">
      <c r="A2648" s="41">
        <v>2648.0</v>
      </c>
      <c r="B2648" s="126" t="s">
        <v>516</v>
      </c>
      <c r="C2648" s="59" t="s">
        <v>108</v>
      </c>
      <c r="D2648" s="59" t="s">
        <v>15578</v>
      </c>
      <c r="F2648" s="43" t="s">
        <v>15693</v>
      </c>
      <c r="G2648" s="357" t="s">
        <v>15694</v>
      </c>
      <c r="H2648" s="357" t="s">
        <v>15695</v>
      </c>
      <c r="I2648" s="508">
        <v>45284.0</v>
      </c>
      <c r="J2648" s="2172">
        <v>45786.0</v>
      </c>
      <c r="K2648" s="43"/>
      <c r="L2648" s="43"/>
      <c r="M2648" s="357" t="s">
        <v>15696</v>
      </c>
      <c r="N2648" s="357" t="s">
        <v>15697</v>
      </c>
      <c r="O2648" s="43"/>
      <c r="P2648" s="357" t="s">
        <v>15698</v>
      </c>
      <c r="Q2648" s="2167" t="str">
        <f> hyperlink(vlookup(lower(N2648),'File Links'!E:F, 2, FALSE), "LINK")</f>
        <v>LINK</v>
      </c>
      <c r="R2648" s="357" t="s">
        <v>15699</v>
      </c>
      <c r="S2648" s="357" t="s">
        <v>15700</v>
      </c>
      <c r="T2648" s="43"/>
      <c r="U2648" s="43"/>
      <c r="V2648" s="357" t="s">
        <v>15701</v>
      </c>
      <c r="W2648" s="43"/>
      <c r="X2648" s="2173" t="str">
        <f> hyperlink(vlookup(lower(S2648),'File Links'!E:F, 2, FALSE), "LINK")</f>
        <v>LINK</v>
      </c>
      <c r="Y2648" s="43"/>
      <c r="Z2648" s="357" t="s">
        <v>288</v>
      </c>
      <c r="AA2648" s="357" t="s">
        <v>15702</v>
      </c>
      <c r="AB2648" s="357" t="s">
        <v>15703</v>
      </c>
      <c r="AC2648" s="357" t="s">
        <v>15704</v>
      </c>
      <c r="AD2648" s="357" t="s">
        <v>15705</v>
      </c>
      <c r="AE2648" s="354">
        <v>12.0</v>
      </c>
      <c r="AF2648" s="354">
        <v>80.0</v>
      </c>
      <c r="AG2648" s="354">
        <v>0.96</v>
      </c>
      <c r="AH2648" s="357" t="s">
        <v>166</v>
      </c>
      <c r="AI2648" s="357" t="s">
        <v>3714</v>
      </c>
      <c r="AJ2648" s="354">
        <v>0.0</v>
      </c>
      <c r="AK2648" s="357" t="s">
        <v>165</v>
      </c>
      <c r="AL2648" s="357" t="s">
        <v>129</v>
      </c>
      <c r="AM2648" s="357" t="s">
        <v>134</v>
      </c>
      <c r="AN2648" s="43"/>
      <c r="AO2648" s="354">
        <v>65.0</v>
      </c>
      <c r="AP2648" s="354">
        <v>1.7</v>
      </c>
      <c r="AQ2648" s="357" t="s">
        <v>166</v>
      </c>
      <c r="AR2648" s="43"/>
      <c r="AS2648" s="354">
        <v>0.001</v>
      </c>
      <c r="AT2648" s="357" t="s">
        <v>165</v>
      </c>
      <c r="AU2648" s="357" t="s">
        <v>129</v>
      </c>
      <c r="AV2648" s="357" t="s">
        <v>134</v>
      </c>
      <c r="AW2648" s="43" t="s">
        <v>15606</v>
      </c>
      <c r="AX2648" s="357" t="s">
        <v>136</v>
      </c>
    </row>
    <row r="2649">
      <c r="A2649" s="41">
        <v>2649.0</v>
      </c>
      <c r="B2649" s="126" t="s">
        <v>516</v>
      </c>
      <c r="C2649" s="59" t="s">
        <v>108</v>
      </c>
      <c r="D2649" s="59" t="s">
        <v>15578</v>
      </c>
      <c r="F2649" s="43" t="s">
        <v>15693</v>
      </c>
      <c r="G2649" s="357" t="s">
        <v>15706</v>
      </c>
      <c r="H2649" s="357" t="s">
        <v>15695</v>
      </c>
      <c r="I2649" s="508">
        <v>45284.0</v>
      </c>
      <c r="J2649" s="2172">
        <v>45786.0</v>
      </c>
      <c r="K2649" s="43"/>
      <c r="L2649" s="43"/>
      <c r="M2649" s="357" t="s">
        <v>15696</v>
      </c>
      <c r="N2649" s="357" t="s">
        <v>15697</v>
      </c>
      <c r="O2649" s="43"/>
      <c r="P2649" s="357" t="s">
        <v>15698</v>
      </c>
      <c r="Q2649" s="2170" t="str">
        <f> hyperlink(vlookup(lower(N2649),'File Links'!E:F, 2, FALSE), "LINK")</f>
        <v>LINK</v>
      </c>
      <c r="R2649" s="357" t="s">
        <v>15699</v>
      </c>
      <c r="S2649" s="357" t="s">
        <v>15700</v>
      </c>
      <c r="T2649" s="43"/>
      <c r="U2649" s="43"/>
      <c r="V2649" s="357" t="s">
        <v>15701</v>
      </c>
      <c r="W2649" s="43"/>
      <c r="X2649" s="2171" t="str">
        <f> hyperlink(vlookup(lower(S2649),'File Links'!E:F, 2, FALSE), "LINK")</f>
        <v>LINK</v>
      </c>
      <c r="Y2649" s="43"/>
      <c r="Z2649" s="357" t="s">
        <v>288</v>
      </c>
      <c r="AA2649" s="43" t="s">
        <v>15707</v>
      </c>
      <c r="AB2649" s="357" t="s">
        <v>15703</v>
      </c>
      <c r="AC2649" s="357" t="s">
        <v>15708</v>
      </c>
      <c r="AD2649" s="43" t="s">
        <v>15709</v>
      </c>
      <c r="AE2649" s="382">
        <v>13.0</v>
      </c>
      <c r="AF2649" s="354">
        <v>80.0</v>
      </c>
      <c r="AG2649" s="382">
        <v>0.204</v>
      </c>
      <c r="AH2649" s="43" t="s">
        <v>132</v>
      </c>
      <c r="AI2649" s="43" t="s">
        <v>9212</v>
      </c>
      <c r="AJ2649" s="382">
        <v>0.0</v>
      </c>
      <c r="AK2649" s="43" t="s">
        <v>165</v>
      </c>
      <c r="AL2649" s="43" t="s">
        <v>129</v>
      </c>
      <c r="AM2649" s="43" t="s">
        <v>134</v>
      </c>
      <c r="AN2649" s="43"/>
      <c r="AO2649" s="354">
        <v>65.0</v>
      </c>
      <c r="AP2649" s="382">
        <v>0.55</v>
      </c>
      <c r="AQ2649" s="43" t="s">
        <v>208</v>
      </c>
      <c r="AR2649" s="43"/>
      <c r="AS2649" s="382">
        <v>0.001</v>
      </c>
      <c r="AT2649" s="43" t="s">
        <v>165</v>
      </c>
      <c r="AU2649" s="43" t="s">
        <v>129</v>
      </c>
      <c r="AV2649" s="43" t="s">
        <v>134</v>
      </c>
      <c r="AW2649" s="43" t="s">
        <v>15606</v>
      </c>
      <c r="AX2649" s="43" t="s">
        <v>136</v>
      </c>
    </row>
    <row r="2650">
      <c r="A2650" s="41">
        <v>2650.0</v>
      </c>
      <c r="B2650" s="126" t="s">
        <v>516</v>
      </c>
      <c r="C2650" s="59" t="s">
        <v>108</v>
      </c>
      <c r="D2650" s="59" t="s">
        <v>15578</v>
      </c>
      <c r="F2650" s="43" t="s">
        <v>15693</v>
      </c>
      <c r="G2650" s="357" t="s">
        <v>15710</v>
      </c>
      <c r="H2650" s="357" t="s">
        <v>15695</v>
      </c>
      <c r="I2650" s="508">
        <v>45284.0</v>
      </c>
      <c r="J2650" s="2172">
        <v>45786.0</v>
      </c>
      <c r="K2650" s="43"/>
      <c r="L2650" s="43"/>
      <c r="M2650" s="357" t="s">
        <v>15696</v>
      </c>
      <c r="N2650" s="357" t="s">
        <v>15697</v>
      </c>
      <c r="O2650" s="43"/>
      <c r="P2650" s="357" t="s">
        <v>15698</v>
      </c>
      <c r="Q2650" s="2170" t="str">
        <f> hyperlink(vlookup(lower(N2650),'File Links'!E:F, 2, FALSE), "LINK")</f>
        <v>LINK</v>
      </c>
      <c r="R2650" s="357" t="s">
        <v>15699</v>
      </c>
      <c r="S2650" s="357" t="s">
        <v>15700</v>
      </c>
      <c r="T2650" s="43"/>
      <c r="U2650" s="43"/>
      <c r="V2650" s="357" t="s">
        <v>15701</v>
      </c>
      <c r="W2650" s="43"/>
      <c r="X2650" s="2171" t="str">
        <f> hyperlink(vlookup(lower(S2650),'File Links'!E:F, 2, FALSE), "LINK")</f>
        <v>LINK</v>
      </c>
      <c r="Y2650" s="43"/>
      <c r="Z2650" s="357" t="s">
        <v>288</v>
      </c>
      <c r="AA2650" s="43" t="s">
        <v>15711</v>
      </c>
      <c r="AB2650" s="357" t="s">
        <v>15703</v>
      </c>
      <c r="AC2650" s="357" t="s">
        <v>15712</v>
      </c>
      <c r="AD2650" s="43" t="s">
        <v>15713</v>
      </c>
      <c r="AE2650" s="382">
        <v>14.0</v>
      </c>
      <c r="AF2650" s="354">
        <v>80.0</v>
      </c>
      <c r="AG2650" s="382">
        <v>-0.86</v>
      </c>
      <c r="AH2650" s="43" t="s">
        <v>208</v>
      </c>
      <c r="AI2650" s="43" t="s">
        <v>9212</v>
      </c>
      <c r="AJ2650" s="382">
        <v>0.0</v>
      </c>
      <c r="AK2650" s="43" t="s">
        <v>165</v>
      </c>
      <c r="AL2650" s="43" t="s">
        <v>129</v>
      </c>
      <c r="AM2650" s="43" t="s">
        <v>134</v>
      </c>
      <c r="AN2650" s="43"/>
      <c r="AO2650" s="354">
        <v>65.0</v>
      </c>
      <c r="AP2650" s="382">
        <v>0.35</v>
      </c>
      <c r="AQ2650" s="43" t="s">
        <v>208</v>
      </c>
      <c r="AR2650" s="43"/>
      <c r="AS2650" s="382">
        <v>0.001</v>
      </c>
      <c r="AT2650" s="43" t="s">
        <v>165</v>
      </c>
      <c r="AU2650" s="43" t="s">
        <v>129</v>
      </c>
      <c r="AV2650" s="43" t="s">
        <v>134</v>
      </c>
      <c r="AW2650" s="43" t="s">
        <v>15606</v>
      </c>
      <c r="AX2650" s="43" t="s">
        <v>136</v>
      </c>
    </row>
    <row r="2651">
      <c r="A2651" s="41">
        <v>2651.0</v>
      </c>
      <c r="B2651" s="126" t="s">
        <v>516</v>
      </c>
      <c r="C2651" s="59" t="s">
        <v>108</v>
      </c>
      <c r="D2651" s="59" t="s">
        <v>15578</v>
      </c>
      <c r="F2651" s="43" t="s">
        <v>15714</v>
      </c>
      <c r="G2651" s="357" t="s">
        <v>15715</v>
      </c>
      <c r="H2651" s="357" t="s">
        <v>15595</v>
      </c>
      <c r="I2651" s="341">
        <v>45337.0</v>
      </c>
      <c r="J2651" s="2172">
        <v>45786.0</v>
      </c>
      <c r="K2651" s="43"/>
      <c r="L2651" s="43"/>
      <c r="M2651" s="357" t="s">
        <v>15598</v>
      </c>
      <c r="N2651" s="357" t="s">
        <v>13159</v>
      </c>
      <c r="O2651" s="43"/>
      <c r="P2651" s="357" t="s">
        <v>13160</v>
      </c>
      <c r="Q2651" s="2167" t="str">
        <f> hyperlink(vlookup(lower(N2651),'File Links'!E:F, 2, FALSE), "LINK")</f>
        <v>LINK</v>
      </c>
      <c r="R2651" s="357" t="s">
        <v>15716</v>
      </c>
      <c r="S2651" s="357" t="s">
        <v>15717</v>
      </c>
      <c r="T2651" s="43"/>
      <c r="U2651" s="43"/>
      <c r="V2651" s="357" t="s">
        <v>15718</v>
      </c>
      <c r="W2651" s="43"/>
      <c r="X2651" s="2173" t="str">
        <f> hyperlink(vlookup(lower(S2651),'File Links'!E:F, 2, FALSE), "LINK")</f>
        <v>LINK</v>
      </c>
      <c r="Y2651" s="43"/>
      <c r="Z2651" s="357" t="s">
        <v>141</v>
      </c>
      <c r="AA2651" s="357" t="s">
        <v>15719</v>
      </c>
      <c r="AB2651" s="357" t="s">
        <v>15606</v>
      </c>
      <c r="AC2651" s="357" t="s">
        <v>15720</v>
      </c>
      <c r="AD2651" s="357" t="s">
        <v>15721</v>
      </c>
      <c r="AE2651" s="354">
        <v>4.0</v>
      </c>
      <c r="AF2651" s="354">
        <v>20.0</v>
      </c>
      <c r="AG2651" s="354">
        <v>0.96</v>
      </c>
      <c r="AH2651" s="357" t="s">
        <v>867</v>
      </c>
      <c r="AI2651" s="357" t="s">
        <v>489</v>
      </c>
      <c r="AJ2651" s="354">
        <v>0.001</v>
      </c>
      <c r="AK2651" s="357" t="s">
        <v>165</v>
      </c>
      <c r="AL2651" s="357" t="s">
        <v>129</v>
      </c>
      <c r="AM2651" s="357" t="s">
        <v>134</v>
      </c>
      <c r="AN2651" s="43"/>
      <c r="AO2651" s="354">
        <v>26.0</v>
      </c>
      <c r="AP2651" s="354">
        <v>3.03</v>
      </c>
      <c r="AQ2651" s="357" t="s">
        <v>166</v>
      </c>
      <c r="AR2651" s="43"/>
      <c r="AS2651" s="354">
        <v>0.001</v>
      </c>
      <c r="AT2651" s="357" t="s">
        <v>165</v>
      </c>
      <c r="AU2651" s="357" t="s">
        <v>179</v>
      </c>
      <c r="AV2651" s="357" t="s">
        <v>130</v>
      </c>
      <c r="AW2651" s="56" t="s">
        <v>15722</v>
      </c>
      <c r="AX2651" s="357" t="s">
        <v>136</v>
      </c>
      <c r="AZ2651" s="1060" t="s">
        <v>13197</v>
      </c>
    </row>
    <row r="2652">
      <c r="A2652" s="41">
        <v>2652.0</v>
      </c>
      <c r="B2652" s="126" t="s">
        <v>516</v>
      </c>
      <c r="C2652" s="59" t="s">
        <v>108</v>
      </c>
      <c r="D2652" s="59" t="s">
        <v>15578</v>
      </c>
      <c r="F2652" s="43" t="s">
        <v>15714</v>
      </c>
      <c r="G2652" s="357" t="s">
        <v>15723</v>
      </c>
      <c r="H2652" s="357" t="s">
        <v>15724</v>
      </c>
      <c r="I2652" s="341">
        <v>45337.0</v>
      </c>
      <c r="J2652" s="2172">
        <v>45786.0</v>
      </c>
      <c r="K2652" s="43"/>
      <c r="L2652" s="43"/>
      <c r="M2652" s="357" t="s">
        <v>15598</v>
      </c>
      <c r="N2652" s="357" t="s">
        <v>13159</v>
      </c>
      <c r="O2652" s="43"/>
      <c r="P2652" s="357" t="s">
        <v>13160</v>
      </c>
      <c r="Q2652" s="2167" t="str">
        <f> hyperlink(vlookup(lower(N2652),'File Links'!E:F, 2, FALSE), "LINK")</f>
        <v>LINK</v>
      </c>
      <c r="R2652" s="357" t="s">
        <v>15716</v>
      </c>
      <c r="S2652" s="357" t="s">
        <v>15717</v>
      </c>
      <c r="T2652" s="43"/>
      <c r="U2652" s="43"/>
      <c r="V2652" s="357" t="s">
        <v>15718</v>
      </c>
      <c r="W2652" s="43"/>
      <c r="X2652" s="2173" t="str">
        <f> hyperlink(vlookup(lower(S2652),'File Links'!E:F, 2, FALSE), "LINK")</f>
        <v>LINK</v>
      </c>
      <c r="Y2652" s="43"/>
      <c r="Z2652" s="357" t="s">
        <v>141</v>
      </c>
      <c r="AA2652" s="357" t="s">
        <v>15725</v>
      </c>
      <c r="AB2652" s="357" t="s">
        <v>15606</v>
      </c>
      <c r="AC2652" s="357" t="s">
        <v>15726</v>
      </c>
      <c r="AD2652" s="357" t="s">
        <v>15727</v>
      </c>
      <c r="AE2652" s="354">
        <v>10.0</v>
      </c>
      <c r="AF2652" s="354">
        <v>10.0</v>
      </c>
      <c r="AG2652" s="354">
        <v>0.62</v>
      </c>
      <c r="AH2652" s="357" t="s">
        <v>208</v>
      </c>
      <c r="AI2652" s="357" t="s">
        <v>489</v>
      </c>
      <c r="AJ2652" s="354">
        <v>0.001</v>
      </c>
      <c r="AK2652" s="357" t="s">
        <v>165</v>
      </c>
      <c r="AL2652" s="357" t="s">
        <v>211</v>
      </c>
      <c r="AM2652" s="357" t="s">
        <v>134</v>
      </c>
      <c r="AN2652" s="43"/>
      <c r="AO2652" s="354">
        <v>22.0</v>
      </c>
      <c r="AP2652" s="354">
        <v>-0.64</v>
      </c>
      <c r="AQ2652" s="357" t="s">
        <v>166</v>
      </c>
      <c r="AR2652" s="43"/>
      <c r="AS2652" s="354">
        <v>0.157</v>
      </c>
      <c r="AT2652" s="357" t="s">
        <v>165</v>
      </c>
      <c r="AU2652" s="357" t="s">
        <v>179</v>
      </c>
      <c r="AV2652" s="357" t="s">
        <v>130</v>
      </c>
      <c r="AW2652" s="56" t="s">
        <v>15722</v>
      </c>
      <c r="AX2652" s="357" t="s">
        <v>136</v>
      </c>
      <c r="AZ2652" s="1060" t="s">
        <v>13197</v>
      </c>
    </row>
    <row r="2653">
      <c r="A2653" s="41">
        <v>2653.0</v>
      </c>
      <c r="B2653" s="126" t="s">
        <v>278</v>
      </c>
      <c r="C2653" s="59" t="s">
        <v>108</v>
      </c>
      <c r="D2653" s="59" t="s">
        <v>15578</v>
      </c>
      <c r="F2653" s="65" t="s">
        <v>15593</v>
      </c>
      <c r="G2653" s="156" t="s">
        <v>15594</v>
      </c>
      <c r="H2653" s="156" t="s">
        <v>15595</v>
      </c>
      <c r="I2653" s="149">
        <v>45337.0</v>
      </c>
      <c r="J2653" s="149">
        <v>45787.0</v>
      </c>
      <c r="K2653" s="65"/>
      <c r="L2653" s="65"/>
      <c r="M2653" s="156" t="s">
        <v>15598</v>
      </c>
      <c r="N2653" s="156" t="s">
        <v>13159</v>
      </c>
      <c r="O2653" s="153">
        <v>2.0</v>
      </c>
      <c r="P2653" s="379" t="s">
        <v>13160</v>
      </c>
      <c r="Q2653" s="2153" t="str">
        <f> hyperlink(vlookup(lower(N2653),'File Links'!E:F, 2, FALSE), "LINK")</f>
        <v>LINK</v>
      </c>
      <c r="R2653" s="156" t="s">
        <v>15599</v>
      </c>
      <c r="S2653" s="156" t="s">
        <v>15600</v>
      </c>
      <c r="T2653" s="65"/>
      <c r="U2653" s="65"/>
      <c r="V2653" s="379" t="s">
        <v>15601</v>
      </c>
      <c r="W2653" s="1225"/>
      <c r="X2653" s="1544" t="str">
        <f> hyperlink(vlookup(lower(S2653),'File Links'!E:F, 2, FALSE), "LINK")</f>
        <v>LINK</v>
      </c>
      <c r="Y2653" s="65"/>
      <c r="Z2653" s="156" t="s">
        <v>1593</v>
      </c>
      <c r="AA2653" s="156" t="s">
        <v>15728</v>
      </c>
      <c r="AB2653" s="156" t="s">
        <v>15729</v>
      </c>
      <c r="AC2653" s="156" t="s">
        <v>15730</v>
      </c>
      <c r="AD2653" s="156" t="s">
        <v>15731</v>
      </c>
      <c r="AE2653" s="153">
        <v>4.0</v>
      </c>
      <c r="AF2653" s="153">
        <v>10.0</v>
      </c>
      <c r="AG2653" s="153">
        <v>0.982</v>
      </c>
      <c r="AH2653" s="156" t="s">
        <v>127</v>
      </c>
      <c r="AI2653" s="156" t="s">
        <v>489</v>
      </c>
      <c r="AJ2653" s="153">
        <v>0.003</v>
      </c>
      <c r="AK2653" s="156" t="s">
        <v>165</v>
      </c>
      <c r="AL2653" s="156" t="s">
        <v>179</v>
      </c>
      <c r="AM2653" s="156" t="s">
        <v>130</v>
      </c>
      <c r="AN2653" s="65"/>
      <c r="AO2653" s="153">
        <v>24.0</v>
      </c>
      <c r="AP2653" s="153">
        <v>2.119</v>
      </c>
      <c r="AQ2653" s="156" t="s">
        <v>166</v>
      </c>
      <c r="AR2653" s="65"/>
      <c r="AS2653" s="153">
        <v>0.001</v>
      </c>
      <c r="AT2653" s="156" t="s">
        <v>165</v>
      </c>
      <c r="AU2653" s="156" t="s">
        <v>179</v>
      </c>
      <c r="AV2653" s="156" t="s">
        <v>130</v>
      </c>
      <c r="AW2653" s="65" t="s">
        <v>15606</v>
      </c>
      <c r="AX2653" s="156" t="s">
        <v>144</v>
      </c>
    </row>
    <row r="2654">
      <c r="A2654" s="41">
        <v>2654.0</v>
      </c>
      <c r="B2654" s="126" t="s">
        <v>278</v>
      </c>
      <c r="C2654" s="59" t="s">
        <v>108</v>
      </c>
      <c r="D2654" s="59" t="s">
        <v>15578</v>
      </c>
      <c r="F2654" s="65" t="s">
        <v>15593</v>
      </c>
      <c r="G2654" s="156" t="s">
        <v>15607</v>
      </c>
      <c r="H2654" s="156" t="s">
        <v>15595</v>
      </c>
      <c r="I2654" s="149">
        <v>45337.0</v>
      </c>
      <c r="J2654" s="149">
        <v>45787.0</v>
      </c>
      <c r="K2654" s="65"/>
      <c r="L2654" s="65"/>
      <c r="M2654" s="156" t="s">
        <v>15598</v>
      </c>
      <c r="N2654" s="156" t="s">
        <v>13159</v>
      </c>
      <c r="O2654" s="153">
        <v>2.0</v>
      </c>
      <c r="P2654" s="379" t="s">
        <v>13160</v>
      </c>
      <c r="Q2654" s="2153" t="str">
        <f> hyperlink(vlookup(lower(N2654),'File Links'!E:F, 2, FALSE), "LINK")</f>
        <v>LINK</v>
      </c>
      <c r="R2654" s="156" t="s">
        <v>15599</v>
      </c>
      <c r="S2654" s="156" t="s">
        <v>15600</v>
      </c>
      <c r="T2654" s="65"/>
      <c r="U2654" s="65"/>
      <c r="V2654" s="379" t="s">
        <v>15601</v>
      </c>
      <c r="W2654" s="1225"/>
      <c r="X2654" s="1544" t="str">
        <f> hyperlink(vlookup(lower(S2654),'File Links'!E:F, 2, FALSE), "LINK")</f>
        <v>LINK</v>
      </c>
      <c r="Y2654" s="65"/>
      <c r="Z2654" s="156" t="s">
        <v>1593</v>
      </c>
      <c r="AA2654" s="156" t="s">
        <v>15732</v>
      </c>
      <c r="AB2654" s="156" t="s">
        <v>15729</v>
      </c>
      <c r="AC2654" s="156" t="s">
        <v>15733</v>
      </c>
      <c r="AD2654" s="156" t="s">
        <v>15734</v>
      </c>
      <c r="AE2654" s="153">
        <v>4.0</v>
      </c>
      <c r="AF2654" s="153">
        <v>20.0</v>
      </c>
      <c r="AG2654" s="153">
        <v>0.22</v>
      </c>
      <c r="AH2654" s="156" t="s">
        <v>867</v>
      </c>
      <c r="AI2654" s="156" t="s">
        <v>489</v>
      </c>
      <c r="AJ2654" s="153">
        <v>0.035</v>
      </c>
      <c r="AK2654" s="156" t="s">
        <v>165</v>
      </c>
      <c r="AL2654" s="156" t="s">
        <v>179</v>
      </c>
      <c r="AM2654" s="156" t="s">
        <v>130</v>
      </c>
      <c r="AN2654" s="65"/>
      <c r="AO2654" s="153">
        <v>19.0</v>
      </c>
      <c r="AP2654" s="153">
        <v>-0.108</v>
      </c>
      <c r="AQ2654" s="156" t="s">
        <v>166</v>
      </c>
      <c r="AR2654" s="65"/>
      <c r="AS2654" s="153">
        <v>0.821</v>
      </c>
      <c r="AT2654" s="156" t="s">
        <v>165</v>
      </c>
      <c r="AU2654" s="156" t="s">
        <v>179</v>
      </c>
      <c r="AV2654" s="156" t="s">
        <v>130</v>
      </c>
      <c r="AW2654" s="65" t="s">
        <v>15606</v>
      </c>
      <c r="AX2654" s="156" t="s">
        <v>144</v>
      </c>
    </row>
    <row r="2655">
      <c r="A2655" s="41">
        <v>2655.0</v>
      </c>
      <c r="B2655" s="126" t="s">
        <v>278</v>
      </c>
      <c r="C2655" s="59" t="s">
        <v>108</v>
      </c>
      <c r="D2655" s="59" t="s">
        <v>15578</v>
      </c>
      <c r="F2655" s="65" t="s">
        <v>15593</v>
      </c>
      <c r="G2655" s="156" t="s">
        <v>15612</v>
      </c>
      <c r="H2655" s="156" t="s">
        <v>15595</v>
      </c>
      <c r="I2655" s="149">
        <v>45337.0</v>
      </c>
      <c r="J2655" s="149">
        <v>45787.0</v>
      </c>
      <c r="K2655" s="65"/>
      <c r="L2655" s="65"/>
      <c r="M2655" s="156" t="s">
        <v>15598</v>
      </c>
      <c r="N2655" s="156" t="s">
        <v>13159</v>
      </c>
      <c r="O2655" s="153">
        <v>2.0</v>
      </c>
      <c r="P2655" s="379" t="s">
        <v>13160</v>
      </c>
      <c r="Q2655" s="2153" t="str">
        <f> hyperlink(vlookup(lower(N2655),'File Links'!E:F, 2, FALSE), "LINK")</f>
        <v>LINK</v>
      </c>
      <c r="R2655" s="156" t="s">
        <v>15599</v>
      </c>
      <c r="S2655" s="156" t="s">
        <v>15600</v>
      </c>
      <c r="T2655" s="65"/>
      <c r="U2655" s="65"/>
      <c r="V2655" s="379" t="s">
        <v>15601</v>
      </c>
      <c r="W2655" s="1225"/>
      <c r="X2655" s="1544" t="str">
        <f> hyperlink(vlookup(lower(S2655),'File Links'!E:F, 2, FALSE), "LINK")</f>
        <v>LINK</v>
      </c>
      <c r="Y2655" s="65"/>
      <c r="Z2655" s="156" t="s">
        <v>1593</v>
      </c>
      <c r="AA2655" s="156" t="s">
        <v>15613</v>
      </c>
      <c r="AB2655" s="156" t="s">
        <v>15729</v>
      </c>
      <c r="AC2655" s="156" t="s">
        <v>15735</v>
      </c>
      <c r="AD2655" s="156" t="s">
        <v>15736</v>
      </c>
      <c r="AE2655" s="153">
        <v>4.0</v>
      </c>
      <c r="AF2655" s="153">
        <v>10.0</v>
      </c>
      <c r="AG2655" s="156" t="s">
        <v>15606</v>
      </c>
      <c r="AH2655" s="65"/>
      <c r="AI2655" s="65"/>
      <c r="AJ2655" s="153">
        <v>0.5</v>
      </c>
      <c r="AK2655" s="156" t="s">
        <v>165</v>
      </c>
      <c r="AL2655" s="156" t="s">
        <v>211</v>
      </c>
      <c r="AM2655" s="156" t="s">
        <v>134</v>
      </c>
      <c r="AN2655" s="65"/>
      <c r="AO2655" s="153">
        <v>43.0</v>
      </c>
      <c r="AP2655" s="153">
        <v>0.883</v>
      </c>
      <c r="AQ2655" s="156" t="s">
        <v>166</v>
      </c>
      <c r="AR2655" s="65"/>
      <c r="AS2655" s="153">
        <v>0.01</v>
      </c>
      <c r="AT2655" s="156" t="s">
        <v>165</v>
      </c>
      <c r="AU2655" s="156" t="s">
        <v>179</v>
      </c>
      <c r="AV2655" s="156" t="s">
        <v>130</v>
      </c>
      <c r="AW2655" s="65" t="s">
        <v>15606</v>
      </c>
      <c r="AX2655" s="156" t="s">
        <v>144</v>
      </c>
    </row>
    <row r="2656">
      <c r="A2656" s="41">
        <v>2656.0</v>
      </c>
      <c r="B2656" s="126" t="s">
        <v>278</v>
      </c>
      <c r="C2656" s="59" t="s">
        <v>108</v>
      </c>
      <c r="D2656" s="59" t="s">
        <v>15578</v>
      </c>
      <c r="F2656" s="43" t="s">
        <v>15737</v>
      </c>
      <c r="G2656" s="357" t="s">
        <v>15738</v>
      </c>
      <c r="H2656" s="357" t="s">
        <v>15739</v>
      </c>
      <c r="I2656" s="341" t="s">
        <v>15740</v>
      </c>
      <c r="J2656" s="149">
        <v>45787.0</v>
      </c>
      <c r="K2656" s="357" t="s">
        <v>15741</v>
      </c>
      <c r="L2656" s="357" t="s">
        <v>15742</v>
      </c>
      <c r="M2656" s="357" t="s">
        <v>15743</v>
      </c>
      <c r="N2656" s="357" t="s">
        <v>15744</v>
      </c>
      <c r="O2656" s="43"/>
      <c r="P2656" s="357" t="s">
        <v>15745</v>
      </c>
      <c r="Q2656" s="2167" t="str">
        <f> hyperlink(vlookup(lower(N2656),'File Links'!E:F, 2, FALSE), "LINK")</f>
        <v>LINK</v>
      </c>
      <c r="R2656" s="357" t="s">
        <v>15746</v>
      </c>
      <c r="S2656" s="357" t="s">
        <v>15747</v>
      </c>
      <c r="T2656" s="43"/>
      <c r="U2656" s="43"/>
      <c r="V2656" s="357" t="s">
        <v>15748</v>
      </c>
      <c r="W2656" s="43"/>
      <c r="X2656" s="2173" t="str">
        <f> hyperlink(vlookup(lower(S2656),'File Links'!E:F, 2, FALSE), "LINK")</f>
        <v>LINK</v>
      </c>
      <c r="Y2656" s="43"/>
      <c r="Z2656" s="357" t="s">
        <v>219</v>
      </c>
      <c r="AA2656" s="357" t="s">
        <v>15749</v>
      </c>
      <c r="AB2656" s="357" t="s">
        <v>15750</v>
      </c>
      <c r="AC2656" s="357" t="s">
        <v>15751</v>
      </c>
      <c r="AD2656" s="357" t="s">
        <v>15752</v>
      </c>
      <c r="AE2656" s="354">
        <v>4.0</v>
      </c>
      <c r="AF2656" s="354">
        <v>16.0</v>
      </c>
      <c r="AG2656" s="354">
        <v>0.19</v>
      </c>
      <c r="AH2656" s="357" t="s">
        <v>867</v>
      </c>
      <c r="AI2656" s="357" t="s">
        <v>489</v>
      </c>
      <c r="AJ2656" s="354">
        <v>0.09</v>
      </c>
      <c r="AK2656" s="357" t="s">
        <v>165</v>
      </c>
      <c r="AL2656" s="357" t="s">
        <v>179</v>
      </c>
      <c r="AM2656" s="357" t="s">
        <v>130</v>
      </c>
      <c r="AN2656" s="43"/>
      <c r="AO2656" s="354">
        <v>54.0</v>
      </c>
      <c r="AP2656" s="354">
        <v>0.08</v>
      </c>
      <c r="AQ2656" s="357" t="s">
        <v>132</v>
      </c>
      <c r="AR2656" s="43"/>
      <c r="AS2656" s="354">
        <v>0.132</v>
      </c>
      <c r="AT2656" s="357" t="s">
        <v>165</v>
      </c>
      <c r="AU2656" s="357" t="s">
        <v>179</v>
      </c>
      <c r="AV2656" s="357" t="s">
        <v>130</v>
      </c>
      <c r="AW2656" s="43" t="s">
        <v>15606</v>
      </c>
      <c r="AX2656" s="357" t="s">
        <v>136</v>
      </c>
    </row>
    <row r="2657">
      <c r="A2657" s="41">
        <v>2657.0</v>
      </c>
      <c r="B2657" s="126" t="s">
        <v>278</v>
      </c>
      <c r="C2657" s="59" t="s">
        <v>108</v>
      </c>
      <c r="D2657" s="59" t="s">
        <v>15578</v>
      </c>
      <c r="F2657" s="43" t="s">
        <v>15737</v>
      </c>
      <c r="G2657" s="357" t="s">
        <v>15753</v>
      </c>
      <c r="H2657" s="357" t="s">
        <v>15739</v>
      </c>
      <c r="I2657" s="341" t="s">
        <v>15740</v>
      </c>
      <c r="J2657" s="149">
        <v>45787.0</v>
      </c>
      <c r="K2657" s="357" t="s">
        <v>15741</v>
      </c>
      <c r="L2657" s="357" t="s">
        <v>15742</v>
      </c>
      <c r="M2657" s="357" t="s">
        <v>15743</v>
      </c>
      <c r="N2657" s="357" t="s">
        <v>15744</v>
      </c>
      <c r="O2657" s="43"/>
      <c r="P2657" s="357" t="s">
        <v>15745</v>
      </c>
      <c r="Q2657" s="2167" t="str">
        <f> hyperlink(vlookup(lower(N2657),'File Links'!E:F, 2, FALSE), "LINK")</f>
        <v>LINK</v>
      </c>
      <c r="R2657" s="357" t="s">
        <v>15746</v>
      </c>
      <c r="S2657" s="357" t="s">
        <v>15747</v>
      </c>
      <c r="T2657" s="43"/>
      <c r="U2657" s="43"/>
      <c r="V2657" s="357" t="s">
        <v>15748</v>
      </c>
      <c r="W2657" s="43"/>
      <c r="X2657" s="2173" t="str">
        <f> hyperlink(vlookup(lower(S2657),'File Links'!E:F, 2, FALSE), "LINK")</f>
        <v>LINK</v>
      </c>
      <c r="Y2657" s="43"/>
      <c r="Z2657" s="357" t="s">
        <v>219</v>
      </c>
      <c r="AA2657" s="357" t="s">
        <v>15754</v>
      </c>
      <c r="AB2657" s="357" t="s">
        <v>15750</v>
      </c>
      <c r="AC2657" s="357" t="s">
        <v>15755</v>
      </c>
      <c r="AD2657" s="357" t="s">
        <v>15756</v>
      </c>
      <c r="AE2657" s="354">
        <v>4.0</v>
      </c>
      <c r="AF2657" s="354">
        <v>16.0</v>
      </c>
      <c r="AG2657" s="354">
        <v>-0.36</v>
      </c>
      <c r="AH2657" s="357" t="s">
        <v>208</v>
      </c>
      <c r="AI2657" s="357" t="s">
        <v>489</v>
      </c>
      <c r="AJ2657" s="354">
        <v>0.013</v>
      </c>
      <c r="AK2657" s="357" t="s">
        <v>165</v>
      </c>
      <c r="AL2657" s="357" t="s">
        <v>179</v>
      </c>
      <c r="AM2657" s="357" t="s">
        <v>130</v>
      </c>
      <c r="AN2657" s="43"/>
      <c r="AO2657" s="354">
        <v>53.0</v>
      </c>
      <c r="AP2657" s="354">
        <v>0.15</v>
      </c>
      <c r="AQ2657" s="357" t="s">
        <v>132</v>
      </c>
      <c r="AR2657" s="43"/>
      <c r="AS2657" s="354">
        <v>0.02</v>
      </c>
      <c r="AT2657" s="357" t="s">
        <v>165</v>
      </c>
      <c r="AU2657" s="357" t="s">
        <v>179</v>
      </c>
      <c r="AV2657" s="357" t="s">
        <v>130</v>
      </c>
      <c r="AW2657" s="43" t="s">
        <v>15606</v>
      </c>
      <c r="AX2657" s="357" t="s">
        <v>136</v>
      </c>
    </row>
    <row r="2658">
      <c r="A2658" s="41">
        <v>2658.0</v>
      </c>
      <c r="B2658" s="126" t="s">
        <v>278</v>
      </c>
      <c r="C2658" s="59" t="s">
        <v>108</v>
      </c>
      <c r="D2658" s="59" t="s">
        <v>15578</v>
      </c>
      <c r="F2658" s="43" t="s">
        <v>15737</v>
      </c>
      <c r="G2658" s="357" t="s">
        <v>15757</v>
      </c>
      <c r="H2658" s="357" t="s">
        <v>15739</v>
      </c>
      <c r="I2658" s="341" t="s">
        <v>15740</v>
      </c>
      <c r="J2658" s="149">
        <v>45787.0</v>
      </c>
      <c r="K2658" s="357" t="s">
        <v>15741</v>
      </c>
      <c r="L2658" s="357" t="s">
        <v>15742</v>
      </c>
      <c r="M2658" s="357" t="s">
        <v>15743</v>
      </c>
      <c r="N2658" s="357" t="s">
        <v>15744</v>
      </c>
      <c r="O2658" s="43"/>
      <c r="P2658" s="357" t="s">
        <v>15745</v>
      </c>
      <c r="Q2658" s="2167" t="str">
        <f> hyperlink(vlookup(lower(N2658),'File Links'!E:F, 2, FALSE), "LINK")</f>
        <v>LINK</v>
      </c>
      <c r="R2658" s="357" t="s">
        <v>15746</v>
      </c>
      <c r="S2658" s="357" t="s">
        <v>15747</v>
      </c>
      <c r="T2658" s="43"/>
      <c r="U2658" s="43"/>
      <c r="V2658" s="357" t="s">
        <v>15748</v>
      </c>
      <c r="W2658" s="43"/>
      <c r="X2658" s="2173" t="str">
        <f> hyperlink(vlookup(lower(S2658),'File Links'!E:F, 2, FALSE), "LINK")</f>
        <v>LINK</v>
      </c>
      <c r="Y2658" s="43"/>
      <c r="Z2658" s="357" t="s">
        <v>219</v>
      </c>
      <c r="AA2658" s="357" t="s">
        <v>15758</v>
      </c>
      <c r="AB2658" s="357" t="s">
        <v>15750</v>
      </c>
      <c r="AC2658" s="357" t="s">
        <v>15759</v>
      </c>
      <c r="AD2658" s="357" t="s">
        <v>15760</v>
      </c>
      <c r="AE2658" s="354">
        <v>4.0</v>
      </c>
      <c r="AF2658" s="354">
        <v>16.0</v>
      </c>
      <c r="AG2658" s="354">
        <v>0.12</v>
      </c>
      <c r="AH2658" s="357" t="s">
        <v>867</v>
      </c>
      <c r="AI2658" s="357" t="s">
        <v>489</v>
      </c>
      <c r="AJ2658" s="354">
        <v>0.016</v>
      </c>
      <c r="AK2658" s="357" t="s">
        <v>165</v>
      </c>
      <c r="AL2658" s="357" t="s">
        <v>179</v>
      </c>
      <c r="AM2658" s="357" t="s">
        <v>130</v>
      </c>
      <c r="AN2658" s="43"/>
      <c r="AO2658" s="354">
        <v>53.0</v>
      </c>
      <c r="AP2658" s="354">
        <v>0.11</v>
      </c>
      <c r="AQ2658" s="357" t="s">
        <v>132</v>
      </c>
      <c r="AR2658" s="43"/>
      <c r="AS2658" s="354">
        <v>0.053</v>
      </c>
      <c r="AT2658" s="357" t="s">
        <v>165</v>
      </c>
      <c r="AU2658" s="357" t="s">
        <v>179</v>
      </c>
      <c r="AV2658" s="357" t="s">
        <v>130</v>
      </c>
      <c r="AW2658" s="43" t="s">
        <v>15606</v>
      </c>
      <c r="AX2658" s="357" t="s">
        <v>136</v>
      </c>
    </row>
    <row r="2659">
      <c r="A2659" s="41">
        <v>2659.0</v>
      </c>
      <c r="B2659" s="292" t="s">
        <v>145</v>
      </c>
      <c r="C2659" s="284" t="s">
        <v>108</v>
      </c>
      <c r="D2659" s="284" t="s">
        <v>279</v>
      </c>
      <c r="E2659" s="305"/>
      <c r="F2659" s="287" t="s">
        <v>14390</v>
      </c>
      <c r="G2659" s="287" t="s">
        <v>14391</v>
      </c>
      <c r="H2659" s="287" t="s">
        <v>8467</v>
      </c>
      <c r="I2659" s="289">
        <v>45244.0</v>
      </c>
      <c r="J2659" s="1802">
        <v>45807.0</v>
      </c>
      <c r="K2659" s="287" t="s">
        <v>15761</v>
      </c>
      <c r="L2659" s="292" t="s">
        <v>15762</v>
      </c>
      <c r="M2659" s="287" t="s">
        <v>14395</v>
      </c>
      <c r="N2659" s="156" t="s">
        <v>14396</v>
      </c>
      <c r="O2659" s="292">
        <v>2.0</v>
      </c>
      <c r="P2659" s="287" t="s">
        <v>14397</v>
      </c>
      <c r="Q2659" s="2174" t="str">
        <f> hyperlink(vlookup(lower(N2659),'File Links'!E:F, 2, FALSE), "LINK")</f>
        <v>LINK</v>
      </c>
      <c r="R2659" s="287" t="s">
        <v>14398</v>
      </c>
      <c r="S2659" s="287" t="s">
        <v>14399</v>
      </c>
      <c r="T2659" s="438" t="s">
        <v>15763</v>
      </c>
      <c r="U2659" s="292">
        <v>1.0</v>
      </c>
      <c r="V2659" s="287" t="s">
        <v>14400</v>
      </c>
      <c r="W2659" s="202" t="s">
        <v>202</v>
      </c>
      <c r="X2659" s="2175" t="str">
        <f> hyperlink(vlookup(lower(S2659),'File Links'!E:F, 2, FALSE), "LINK")</f>
        <v>LINK</v>
      </c>
      <c r="Y2659" s="287"/>
      <c r="Z2659" s="287" t="s">
        <v>1072</v>
      </c>
      <c r="AA2659" s="287" t="s">
        <v>15764</v>
      </c>
      <c r="AB2659" s="287" t="s">
        <v>14402</v>
      </c>
      <c r="AC2659" s="287" t="s">
        <v>15765</v>
      </c>
      <c r="AD2659" s="287" t="s">
        <v>14404</v>
      </c>
      <c r="AE2659" s="1555">
        <v>30.0</v>
      </c>
      <c r="AF2659" s="1555">
        <v>595.0</v>
      </c>
      <c r="AG2659" s="1555">
        <v>0.25</v>
      </c>
      <c r="AH2659" s="287" t="s">
        <v>208</v>
      </c>
      <c r="AI2659" s="1806" t="s">
        <v>2300</v>
      </c>
      <c r="AJ2659" s="1555">
        <v>0.001</v>
      </c>
      <c r="AK2659" s="287" t="s">
        <v>128</v>
      </c>
      <c r="AL2659" s="287" t="s">
        <v>179</v>
      </c>
      <c r="AM2659" s="287" t="s">
        <v>130</v>
      </c>
      <c r="AN2659" s="287" t="s">
        <v>131</v>
      </c>
      <c r="AO2659" s="1555">
        <v>1550.0</v>
      </c>
      <c r="AP2659" s="2078">
        <v>0.19</v>
      </c>
      <c r="AQ2659" s="156" t="s">
        <v>208</v>
      </c>
      <c r="AR2659" s="300" t="s">
        <v>14406</v>
      </c>
      <c r="AS2659" s="2176" t="s">
        <v>131</v>
      </c>
      <c r="AT2659" s="287" t="s">
        <v>131</v>
      </c>
      <c r="AU2659" s="287" t="s">
        <v>179</v>
      </c>
      <c r="AV2659" s="287" t="s">
        <v>130</v>
      </c>
      <c r="AW2659" s="2177" t="s">
        <v>15766</v>
      </c>
      <c r="AX2659" s="287" t="s">
        <v>136</v>
      </c>
      <c r="AY2659" s="305"/>
      <c r="AZ2659" s="284" t="s">
        <v>1263</v>
      </c>
      <c r="BA2659" s="305"/>
      <c r="BB2659" s="305"/>
      <c r="BC2659" s="305"/>
      <c r="BD2659" s="305"/>
      <c r="BE2659" s="305"/>
      <c r="BF2659" s="305"/>
      <c r="BG2659" s="305"/>
      <c r="BH2659" s="305"/>
      <c r="BI2659" s="305"/>
      <c r="BJ2659" s="305"/>
      <c r="BK2659" s="305"/>
      <c r="BL2659" s="305"/>
      <c r="BM2659" s="305"/>
      <c r="BN2659" s="305"/>
      <c r="BO2659" s="305"/>
      <c r="BP2659" s="305"/>
      <c r="BQ2659" s="305"/>
      <c r="BR2659" s="305"/>
      <c r="BS2659" s="305"/>
      <c r="BT2659" s="305"/>
      <c r="BU2659" s="305"/>
      <c r="BV2659" s="305"/>
      <c r="BW2659" s="305"/>
      <c r="BX2659" s="305"/>
      <c r="BY2659" s="305"/>
      <c r="BZ2659" s="305"/>
      <c r="CA2659" s="305"/>
      <c r="CB2659" s="305"/>
      <c r="CC2659" s="305"/>
      <c r="CD2659" s="305"/>
      <c r="CE2659" s="305"/>
      <c r="CF2659" s="305"/>
      <c r="CG2659" s="305"/>
      <c r="CH2659" s="305"/>
      <c r="CI2659" s="305"/>
      <c r="CJ2659" s="305"/>
      <c r="CK2659" s="305"/>
      <c r="CL2659" s="305"/>
      <c r="CM2659" s="305"/>
      <c r="CN2659" s="305"/>
      <c r="CO2659" s="305"/>
      <c r="CP2659" s="305"/>
      <c r="CQ2659" s="305"/>
      <c r="CR2659" s="305"/>
      <c r="CS2659" s="305"/>
      <c r="CT2659" s="305"/>
      <c r="CU2659" s="305"/>
      <c r="CV2659" s="305"/>
      <c r="CW2659" s="305"/>
      <c r="CX2659" s="305"/>
      <c r="CY2659" s="305"/>
      <c r="CZ2659" s="305"/>
      <c r="DA2659" s="305"/>
      <c r="DB2659" s="305"/>
      <c r="DC2659" s="305"/>
      <c r="DD2659" s="305"/>
      <c r="DE2659" s="305"/>
      <c r="DF2659" s="305"/>
      <c r="DG2659" s="305"/>
      <c r="DH2659" s="305"/>
    </row>
    <row r="2660">
      <c r="A2660" s="41">
        <v>2660.0</v>
      </c>
      <c r="B2660" s="126" t="s">
        <v>145</v>
      </c>
      <c r="C2660" s="59" t="s">
        <v>108</v>
      </c>
      <c r="D2660" s="59" t="s">
        <v>279</v>
      </c>
      <c r="F2660" s="156" t="s">
        <v>14408</v>
      </c>
      <c r="G2660" s="156" t="s">
        <v>14391</v>
      </c>
      <c r="H2660" s="156" t="s">
        <v>8467</v>
      </c>
      <c r="I2660" s="431">
        <v>45244.0</v>
      </c>
      <c r="J2660" s="150">
        <v>45807.0</v>
      </c>
      <c r="K2660" s="156" t="s">
        <v>15767</v>
      </c>
      <c r="L2660" s="292" t="s">
        <v>15762</v>
      </c>
      <c r="M2660" s="156" t="s">
        <v>14395</v>
      </c>
      <c r="N2660" s="156" t="s">
        <v>14396</v>
      </c>
      <c r="O2660" s="126">
        <v>2.0</v>
      </c>
      <c r="P2660" s="379" t="s">
        <v>14397</v>
      </c>
      <c r="Q2660" s="2153" t="str">
        <f> hyperlink(vlookup(lower(N2660),'File Links'!E:F, 2, FALSE), "LINK")</f>
        <v>LINK</v>
      </c>
      <c r="R2660" s="156" t="s">
        <v>14398</v>
      </c>
      <c r="S2660" s="156" t="s">
        <v>14399</v>
      </c>
      <c r="T2660" s="438" t="s">
        <v>15763</v>
      </c>
      <c r="U2660" s="126">
        <v>1.0</v>
      </c>
      <c r="V2660" s="379" t="s">
        <v>14400</v>
      </c>
      <c r="W2660" s="202" t="s">
        <v>202</v>
      </c>
      <c r="X2660" s="1544" t="str">
        <f> hyperlink(vlookup(lower(S2660),'File Links'!E:F, 2, FALSE), "LINK")</f>
        <v>LINK</v>
      </c>
      <c r="Y2660" s="156"/>
      <c r="Z2660" s="156" t="s">
        <v>1072</v>
      </c>
      <c r="AA2660" s="156" t="s">
        <v>15768</v>
      </c>
      <c r="AB2660" s="156" t="s">
        <v>14402</v>
      </c>
      <c r="AC2660" s="156" t="s">
        <v>15769</v>
      </c>
      <c r="AD2660" s="156" t="s">
        <v>14404</v>
      </c>
      <c r="AE2660" s="153">
        <v>30.0</v>
      </c>
      <c r="AF2660" s="153">
        <v>595.0</v>
      </c>
      <c r="AG2660" s="153">
        <v>0.21</v>
      </c>
      <c r="AH2660" s="156" t="s">
        <v>208</v>
      </c>
      <c r="AI2660" s="1806" t="s">
        <v>2300</v>
      </c>
      <c r="AJ2660" s="153">
        <v>0.001</v>
      </c>
      <c r="AK2660" s="156" t="s">
        <v>128</v>
      </c>
      <c r="AL2660" s="156" t="s">
        <v>179</v>
      </c>
      <c r="AM2660" s="156" t="s">
        <v>130</v>
      </c>
      <c r="AN2660" s="156" t="s">
        <v>131</v>
      </c>
      <c r="AO2660" s="153">
        <v>1550.0</v>
      </c>
      <c r="AP2660" s="1520">
        <v>0.15</v>
      </c>
      <c r="AQ2660" s="156" t="s">
        <v>208</v>
      </c>
      <c r="AR2660" s="148" t="s">
        <v>14406</v>
      </c>
      <c r="AS2660" s="156" t="s">
        <v>131</v>
      </c>
      <c r="AT2660" s="156" t="s">
        <v>131</v>
      </c>
      <c r="AU2660" s="156" t="s">
        <v>179</v>
      </c>
      <c r="AV2660" s="156" t="s">
        <v>130</v>
      </c>
      <c r="AW2660" s="307" t="s">
        <v>15766</v>
      </c>
      <c r="AX2660" s="156" t="s">
        <v>136</v>
      </c>
      <c r="AZ2660" s="284" t="s">
        <v>1263</v>
      </c>
    </row>
    <row r="2661">
      <c r="A2661" s="41">
        <v>2661.0</v>
      </c>
      <c r="B2661" s="126" t="s">
        <v>145</v>
      </c>
      <c r="C2661" s="59" t="s">
        <v>108</v>
      </c>
      <c r="D2661" s="59" t="s">
        <v>279</v>
      </c>
      <c r="F2661" s="65" t="s">
        <v>14412</v>
      </c>
      <c r="G2661" s="156" t="s">
        <v>14391</v>
      </c>
      <c r="H2661" s="156" t="s">
        <v>8467</v>
      </c>
      <c r="I2661" s="431">
        <v>45244.0</v>
      </c>
      <c r="J2661" s="150">
        <v>45807.0</v>
      </c>
      <c r="K2661" s="156" t="s">
        <v>15770</v>
      </c>
      <c r="L2661" s="292" t="s">
        <v>15762</v>
      </c>
      <c r="M2661" s="156" t="s">
        <v>14395</v>
      </c>
      <c r="N2661" s="156" t="s">
        <v>14396</v>
      </c>
      <c r="O2661" s="126">
        <v>2.0</v>
      </c>
      <c r="P2661" s="379" t="s">
        <v>14397</v>
      </c>
      <c r="Q2661" s="2153" t="str">
        <f> hyperlink(vlookup(lower(N2661),'File Links'!E:F, 2, FALSE), "LINK")</f>
        <v>LINK</v>
      </c>
      <c r="R2661" s="156" t="s">
        <v>14398</v>
      </c>
      <c r="S2661" s="156" t="s">
        <v>14399</v>
      </c>
      <c r="T2661" s="438" t="s">
        <v>15763</v>
      </c>
      <c r="U2661" s="126">
        <v>1.0</v>
      </c>
      <c r="V2661" s="379" t="s">
        <v>14400</v>
      </c>
      <c r="W2661" s="202" t="s">
        <v>202</v>
      </c>
      <c r="X2661" s="1544" t="str">
        <f> hyperlink(vlookup(lower(S2661),'File Links'!E:F, 2, FALSE), "LINK")</f>
        <v>LINK</v>
      </c>
      <c r="Y2661" s="156"/>
      <c r="Z2661" s="156" t="s">
        <v>1072</v>
      </c>
      <c r="AA2661" s="156" t="s">
        <v>15771</v>
      </c>
      <c r="AB2661" s="156" t="s">
        <v>14402</v>
      </c>
      <c r="AC2661" s="156" t="s">
        <v>14415</v>
      </c>
      <c r="AD2661" s="148" t="s">
        <v>14416</v>
      </c>
      <c r="AE2661" s="153">
        <v>30.0</v>
      </c>
      <c r="AF2661" s="153">
        <v>595.0</v>
      </c>
      <c r="AG2661" s="153">
        <v>0.33</v>
      </c>
      <c r="AH2661" s="156" t="s">
        <v>208</v>
      </c>
      <c r="AI2661" s="1806" t="s">
        <v>2300</v>
      </c>
      <c r="AJ2661" s="153">
        <v>0.001</v>
      </c>
      <c r="AK2661" s="156" t="s">
        <v>128</v>
      </c>
      <c r="AL2661" s="156" t="s">
        <v>179</v>
      </c>
      <c r="AM2661" s="156" t="s">
        <v>130</v>
      </c>
      <c r="AN2661" s="156" t="s">
        <v>131</v>
      </c>
      <c r="AO2661" s="153">
        <v>1550.0</v>
      </c>
      <c r="AP2661" s="1519">
        <v>0.2</v>
      </c>
      <c r="AQ2661" s="156" t="s">
        <v>208</v>
      </c>
      <c r="AR2661" s="148" t="s">
        <v>14406</v>
      </c>
      <c r="AS2661" s="156" t="s">
        <v>131</v>
      </c>
      <c r="AT2661" s="156" t="s">
        <v>131</v>
      </c>
      <c r="AU2661" s="156" t="s">
        <v>179</v>
      </c>
      <c r="AV2661" s="156" t="s">
        <v>130</v>
      </c>
      <c r="AW2661" s="307" t="s">
        <v>15766</v>
      </c>
      <c r="AX2661" s="156" t="s">
        <v>136</v>
      </c>
      <c r="AZ2661" s="284" t="s">
        <v>1263</v>
      </c>
    </row>
    <row r="2662">
      <c r="A2662" s="41">
        <v>2662.0</v>
      </c>
      <c r="B2662" s="126" t="s">
        <v>145</v>
      </c>
      <c r="C2662" s="59" t="s">
        <v>108</v>
      </c>
      <c r="D2662" s="59" t="s">
        <v>279</v>
      </c>
      <c r="F2662" s="65" t="s">
        <v>14417</v>
      </c>
      <c r="G2662" s="156" t="s">
        <v>14391</v>
      </c>
      <c r="H2662" s="156" t="s">
        <v>8467</v>
      </c>
      <c r="I2662" s="431">
        <v>45244.0</v>
      </c>
      <c r="J2662" s="150">
        <v>45807.0</v>
      </c>
      <c r="K2662" s="156" t="s">
        <v>15772</v>
      </c>
      <c r="L2662" s="292" t="s">
        <v>15762</v>
      </c>
      <c r="M2662" s="156" t="s">
        <v>14395</v>
      </c>
      <c r="N2662" s="156" t="s">
        <v>14396</v>
      </c>
      <c r="O2662" s="126">
        <v>2.0</v>
      </c>
      <c r="P2662" s="379" t="s">
        <v>14397</v>
      </c>
      <c r="Q2662" s="2153" t="str">
        <f> hyperlink(vlookup(lower(N2662),'File Links'!E:F, 2, FALSE), "LINK")</f>
        <v>LINK</v>
      </c>
      <c r="R2662" s="156" t="s">
        <v>14398</v>
      </c>
      <c r="S2662" s="156" t="s">
        <v>14399</v>
      </c>
      <c r="T2662" s="438" t="s">
        <v>15763</v>
      </c>
      <c r="U2662" s="126">
        <v>1.0</v>
      </c>
      <c r="V2662" s="379" t="s">
        <v>14400</v>
      </c>
      <c r="W2662" s="202" t="s">
        <v>202</v>
      </c>
      <c r="X2662" s="1544" t="str">
        <f> hyperlink(vlookup(lower(S2662),'File Links'!E:F, 2, FALSE), "LINK")</f>
        <v>LINK</v>
      </c>
      <c r="Y2662" s="156"/>
      <c r="Z2662" s="156" t="s">
        <v>1072</v>
      </c>
      <c r="AA2662" s="156" t="s">
        <v>15773</v>
      </c>
      <c r="AB2662" s="156" t="s">
        <v>14402</v>
      </c>
      <c r="AC2662" s="156" t="s">
        <v>14420</v>
      </c>
      <c r="AD2662" s="148" t="s">
        <v>14421</v>
      </c>
      <c r="AE2662" s="153">
        <v>33.0</v>
      </c>
      <c r="AF2662" s="153">
        <v>595.0</v>
      </c>
      <c r="AG2662" s="153">
        <v>0.32</v>
      </c>
      <c r="AH2662" s="156" t="s">
        <v>208</v>
      </c>
      <c r="AI2662" s="1806" t="s">
        <v>2300</v>
      </c>
      <c r="AJ2662" s="153">
        <v>0.001</v>
      </c>
      <c r="AK2662" s="156" t="s">
        <v>128</v>
      </c>
      <c r="AL2662" s="156" t="s">
        <v>179</v>
      </c>
      <c r="AM2662" s="156" t="s">
        <v>130</v>
      </c>
      <c r="AN2662" s="156" t="s">
        <v>131</v>
      </c>
      <c r="AO2662" s="153">
        <v>1550.0</v>
      </c>
      <c r="AP2662" s="148">
        <v>0.37</v>
      </c>
      <c r="AQ2662" s="156" t="s">
        <v>208</v>
      </c>
      <c r="AR2662" s="148" t="s">
        <v>14406</v>
      </c>
      <c r="AS2662" s="156" t="s">
        <v>131</v>
      </c>
      <c r="AT2662" s="156" t="s">
        <v>131</v>
      </c>
      <c r="AU2662" s="156" t="s">
        <v>179</v>
      </c>
      <c r="AV2662" s="156" t="s">
        <v>130</v>
      </c>
      <c r="AW2662" s="307" t="s">
        <v>15766</v>
      </c>
      <c r="AX2662" s="156" t="s">
        <v>136</v>
      </c>
      <c r="AZ2662" s="284" t="s">
        <v>1263</v>
      </c>
    </row>
    <row r="2663">
      <c r="A2663" s="41">
        <v>2663.0</v>
      </c>
      <c r="B2663" s="292" t="s">
        <v>145</v>
      </c>
      <c r="C2663" s="284" t="s">
        <v>108</v>
      </c>
      <c r="D2663" s="284" t="s">
        <v>279</v>
      </c>
      <c r="E2663" s="305"/>
      <c r="F2663" s="302" t="s">
        <v>14422</v>
      </c>
      <c r="G2663" s="287" t="s">
        <v>14391</v>
      </c>
      <c r="H2663" s="287" t="s">
        <v>8467</v>
      </c>
      <c r="I2663" s="289">
        <v>45244.0</v>
      </c>
      <c r="J2663" s="1802">
        <v>45807.0</v>
      </c>
      <c r="K2663" s="287" t="s">
        <v>15772</v>
      </c>
      <c r="L2663" s="292" t="s">
        <v>15762</v>
      </c>
      <c r="M2663" s="287" t="s">
        <v>14395</v>
      </c>
      <c r="N2663" s="287" t="s">
        <v>14396</v>
      </c>
      <c r="O2663" s="292">
        <v>2.0</v>
      </c>
      <c r="P2663" s="287" t="s">
        <v>14397</v>
      </c>
      <c r="Q2663" s="2174" t="str">
        <f> hyperlink(vlookup(lower(N2663),'File Links'!E:F, 2, FALSE), "LINK")</f>
        <v>LINK</v>
      </c>
      <c r="R2663" s="287" t="s">
        <v>14398</v>
      </c>
      <c r="S2663" s="287" t="s">
        <v>14399</v>
      </c>
      <c r="T2663" s="438" t="s">
        <v>15763</v>
      </c>
      <c r="U2663" s="292">
        <v>1.0</v>
      </c>
      <c r="V2663" s="287" t="s">
        <v>14400</v>
      </c>
      <c r="W2663" s="202" t="s">
        <v>202</v>
      </c>
      <c r="X2663" s="2175" t="str">
        <f> hyperlink(vlookup(lower(S2663),'File Links'!E:F, 2, FALSE), "LINK")</f>
        <v>LINK</v>
      </c>
      <c r="Y2663" s="287"/>
      <c r="Z2663" s="287" t="s">
        <v>1072</v>
      </c>
      <c r="AA2663" s="287" t="s">
        <v>15774</v>
      </c>
      <c r="AB2663" s="287" t="s">
        <v>14402</v>
      </c>
      <c r="AC2663" s="287" t="s">
        <v>14424</v>
      </c>
      <c r="AD2663" s="300" t="s">
        <v>14425</v>
      </c>
      <c r="AE2663" s="1555">
        <v>33.0</v>
      </c>
      <c r="AF2663" s="1555">
        <v>595.0</v>
      </c>
      <c r="AG2663" s="1555">
        <v>-0.66</v>
      </c>
      <c r="AH2663" s="287" t="s">
        <v>208</v>
      </c>
      <c r="AI2663" s="1806" t="s">
        <v>2300</v>
      </c>
      <c r="AJ2663" s="1555">
        <v>0.001</v>
      </c>
      <c r="AK2663" s="287" t="s">
        <v>128</v>
      </c>
      <c r="AL2663" s="287" t="s">
        <v>179</v>
      </c>
      <c r="AM2663" s="287" t="s">
        <v>130</v>
      </c>
      <c r="AN2663" s="287" t="s">
        <v>131</v>
      </c>
      <c r="AO2663" s="1555">
        <v>1550.0</v>
      </c>
      <c r="AP2663" s="300">
        <v>-0.63</v>
      </c>
      <c r="AQ2663" s="156" t="s">
        <v>208</v>
      </c>
      <c r="AR2663" s="148" t="s">
        <v>14406</v>
      </c>
      <c r="AS2663" s="287" t="s">
        <v>131</v>
      </c>
      <c r="AT2663" s="287" t="s">
        <v>131</v>
      </c>
      <c r="AU2663" s="287" t="s">
        <v>179</v>
      </c>
      <c r="AV2663" s="287" t="s">
        <v>130</v>
      </c>
      <c r="AW2663" s="2177" t="s">
        <v>15766</v>
      </c>
      <c r="AX2663" s="287" t="s">
        <v>136</v>
      </c>
      <c r="AY2663" s="305"/>
      <c r="AZ2663" s="284" t="s">
        <v>1263</v>
      </c>
      <c r="BA2663" s="305"/>
      <c r="BB2663" s="305"/>
      <c r="BC2663" s="305"/>
      <c r="BD2663" s="305"/>
      <c r="BE2663" s="305"/>
      <c r="BF2663" s="305"/>
      <c r="BG2663" s="305"/>
      <c r="BH2663" s="305"/>
      <c r="BI2663" s="305"/>
      <c r="BJ2663" s="305"/>
      <c r="BK2663" s="305"/>
      <c r="BL2663" s="305"/>
      <c r="BM2663" s="305"/>
      <c r="BN2663" s="305"/>
      <c r="BO2663" s="305"/>
      <c r="BP2663" s="305"/>
      <c r="BQ2663" s="305"/>
      <c r="BR2663" s="305"/>
      <c r="BS2663" s="305"/>
      <c r="BT2663" s="305"/>
      <c r="BU2663" s="305"/>
      <c r="BV2663" s="305"/>
      <c r="BW2663" s="305"/>
      <c r="BX2663" s="305"/>
      <c r="BY2663" s="305"/>
      <c r="BZ2663" s="305"/>
      <c r="CA2663" s="305"/>
      <c r="CB2663" s="305"/>
      <c r="CC2663" s="305"/>
      <c r="CD2663" s="305"/>
      <c r="CE2663" s="305"/>
      <c r="CF2663" s="305"/>
      <c r="CG2663" s="305"/>
      <c r="CH2663" s="305"/>
      <c r="CI2663" s="305"/>
      <c r="CJ2663" s="305"/>
      <c r="CK2663" s="305"/>
      <c r="CL2663" s="305"/>
      <c r="CM2663" s="305"/>
      <c r="CN2663" s="305"/>
      <c r="CO2663" s="305"/>
      <c r="CP2663" s="305"/>
      <c r="CQ2663" s="305"/>
      <c r="CR2663" s="305"/>
      <c r="CS2663" s="305"/>
      <c r="CT2663" s="305"/>
      <c r="CU2663" s="305"/>
      <c r="CV2663" s="305"/>
      <c r="CW2663" s="305"/>
      <c r="CX2663" s="305"/>
      <c r="CY2663" s="305"/>
      <c r="CZ2663" s="305"/>
      <c r="DA2663" s="305"/>
      <c r="DB2663" s="305"/>
      <c r="DC2663" s="305"/>
      <c r="DD2663" s="305"/>
      <c r="DE2663" s="305"/>
      <c r="DF2663" s="305"/>
      <c r="DG2663" s="305"/>
      <c r="DH2663" s="305"/>
    </row>
    <row r="2664">
      <c r="A2664" s="41">
        <v>2664.0</v>
      </c>
      <c r="B2664" s="126" t="s">
        <v>107</v>
      </c>
      <c r="C2664" s="59" t="s">
        <v>108</v>
      </c>
      <c r="D2664" s="59" t="s">
        <v>279</v>
      </c>
      <c r="F2664" s="65" t="s">
        <v>14426</v>
      </c>
      <c r="G2664" s="156" t="s">
        <v>14391</v>
      </c>
      <c r="H2664" s="156" t="s">
        <v>8467</v>
      </c>
      <c r="I2664" s="431">
        <v>45244.0</v>
      </c>
      <c r="J2664" s="150">
        <v>45807.0</v>
      </c>
      <c r="K2664" s="156" t="s">
        <v>15775</v>
      </c>
      <c r="L2664" s="126" t="s">
        <v>15776</v>
      </c>
      <c r="M2664" s="156" t="s">
        <v>14428</v>
      </c>
      <c r="N2664" s="156" t="s">
        <v>14429</v>
      </c>
      <c r="O2664" s="126" t="s">
        <v>3573</v>
      </c>
      <c r="P2664" s="379" t="s">
        <v>14430</v>
      </c>
      <c r="Q2664" s="2153" t="str">
        <f> hyperlink(vlookup(lower(N2664),'File Links'!E:F, 2, FALSE), "LINK")</f>
        <v>LINK</v>
      </c>
      <c r="R2664" s="156" t="s">
        <v>14398</v>
      </c>
      <c r="S2664" s="156" t="s">
        <v>14399</v>
      </c>
      <c r="T2664" s="438" t="s">
        <v>15763</v>
      </c>
      <c r="U2664" s="126">
        <v>1.0</v>
      </c>
      <c r="V2664" s="379" t="s">
        <v>14400</v>
      </c>
      <c r="W2664" s="202" t="s">
        <v>202</v>
      </c>
      <c r="X2664" s="1544" t="str">
        <f> hyperlink(vlookup(lower(S2664),'File Links'!E:F, 2, FALSE), "LINK")</f>
        <v>LINK</v>
      </c>
      <c r="Y2664" s="156"/>
      <c r="Z2664" s="156" t="s">
        <v>1072</v>
      </c>
      <c r="AA2664" s="156" t="s">
        <v>15777</v>
      </c>
      <c r="AB2664" s="156" t="s">
        <v>14402</v>
      </c>
      <c r="AC2664" s="156" t="s">
        <v>14432</v>
      </c>
      <c r="AD2664" s="148" t="s">
        <v>14433</v>
      </c>
      <c r="AE2664" s="153">
        <v>7.0</v>
      </c>
      <c r="AF2664" s="153">
        <v>152.0</v>
      </c>
      <c r="AG2664" s="153">
        <v>0.2</v>
      </c>
      <c r="AH2664" s="287" t="s">
        <v>208</v>
      </c>
      <c r="AI2664" s="148" t="s">
        <v>15778</v>
      </c>
      <c r="AJ2664" s="153">
        <v>0.1</v>
      </c>
      <c r="AK2664" s="156" t="s">
        <v>128</v>
      </c>
      <c r="AL2664" s="156" t="s">
        <v>179</v>
      </c>
      <c r="AM2664" s="156" t="s">
        <v>130</v>
      </c>
      <c r="AN2664" s="156" t="s">
        <v>131</v>
      </c>
      <c r="AO2664" s="153">
        <v>1514.0</v>
      </c>
      <c r="AP2664" s="148">
        <v>0.39</v>
      </c>
      <c r="AQ2664" s="156" t="s">
        <v>208</v>
      </c>
      <c r="AR2664" s="148" t="s">
        <v>14406</v>
      </c>
      <c r="AS2664" s="2178">
        <v>1.33E-42</v>
      </c>
      <c r="AT2664" s="2179" t="s">
        <v>165</v>
      </c>
      <c r="AU2664" s="2180" t="s">
        <v>129</v>
      </c>
      <c r="AV2664" s="156" t="s">
        <v>130</v>
      </c>
      <c r="AW2664" s="307" t="s">
        <v>15766</v>
      </c>
      <c r="AX2664" s="156" t="s">
        <v>136</v>
      </c>
      <c r="AZ2664" s="284" t="s">
        <v>1263</v>
      </c>
    </row>
    <row r="2665">
      <c r="A2665" s="41">
        <v>2665.0</v>
      </c>
      <c r="B2665" s="126" t="s">
        <v>107</v>
      </c>
      <c r="C2665" s="59" t="s">
        <v>108</v>
      </c>
      <c r="D2665" s="59" t="s">
        <v>279</v>
      </c>
      <c r="F2665" s="65" t="s">
        <v>14435</v>
      </c>
      <c r="G2665" s="156" t="s">
        <v>14391</v>
      </c>
      <c r="H2665" s="156" t="s">
        <v>8467</v>
      </c>
      <c r="I2665" s="431">
        <v>45244.0</v>
      </c>
      <c r="J2665" s="150">
        <v>45807.0</v>
      </c>
      <c r="K2665" s="156" t="s">
        <v>15779</v>
      </c>
      <c r="L2665" s="126" t="s">
        <v>15776</v>
      </c>
      <c r="M2665" s="156" t="s">
        <v>14428</v>
      </c>
      <c r="N2665" s="156" t="s">
        <v>14429</v>
      </c>
      <c r="O2665" s="126" t="s">
        <v>3573</v>
      </c>
      <c r="P2665" s="379" t="s">
        <v>14430</v>
      </c>
      <c r="Q2665" s="2153" t="str">
        <f> hyperlink(vlookup(lower(N2665),'File Links'!E:F, 2, FALSE), "LINK")</f>
        <v>LINK</v>
      </c>
      <c r="R2665" s="156" t="s">
        <v>14398</v>
      </c>
      <c r="S2665" s="156" t="s">
        <v>14399</v>
      </c>
      <c r="T2665" s="438" t="s">
        <v>15763</v>
      </c>
      <c r="U2665" s="126">
        <v>1.0</v>
      </c>
      <c r="V2665" s="156" t="s">
        <v>14400</v>
      </c>
      <c r="W2665" s="202" t="s">
        <v>202</v>
      </c>
      <c r="X2665" s="1544" t="str">
        <f> hyperlink(vlookup(lower(S2665),'File Links'!E:F, 2, FALSE), "LINK")</f>
        <v>LINK</v>
      </c>
      <c r="Y2665" s="156"/>
      <c r="Z2665" s="156" t="s">
        <v>1072</v>
      </c>
      <c r="AA2665" s="156" t="s">
        <v>15780</v>
      </c>
      <c r="AB2665" s="156" t="s">
        <v>14402</v>
      </c>
      <c r="AC2665" s="156" t="s">
        <v>14437</v>
      </c>
      <c r="AD2665" s="156" t="s">
        <v>14438</v>
      </c>
      <c r="AE2665" s="153">
        <v>7.0</v>
      </c>
      <c r="AF2665" s="153">
        <v>152.0</v>
      </c>
      <c r="AG2665" s="153">
        <v>0.43</v>
      </c>
      <c r="AH2665" s="287" t="s">
        <v>208</v>
      </c>
      <c r="AI2665" s="148" t="s">
        <v>15781</v>
      </c>
      <c r="AJ2665" s="153">
        <v>0.001</v>
      </c>
      <c r="AK2665" s="156" t="s">
        <v>128</v>
      </c>
      <c r="AL2665" s="156" t="s">
        <v>179</v>
      </c>
      <c r="AM2665" s="156" t="s">
        <v>130</v>
      </c>
      <c r="AN2665" s="156" t="s">
        <v>131</v>
      </c>
      <c r="AO2665" s="153">
        <v>1514.0</v>
      </c>
      <c r="AP2665" s="148">
        <v>0.35</v>
      </c>
      <c r="AQ2665" s="156" t="s">
        <v>208</v>
      </c>
      <c r="AR2665" s="148" t="s">
        <v>14406</v>
      </c>
      <c r="AS2665" s="2178">
        <v>3.2E-31</v>
      </c>
      <c r="AT2665" s="2179" t="s">
        <v>165</v>
      </c>
      <c r="AU2665" s="2180" t="s">
        <v>129</v>
      </c>
      <c r="AV2665" s="156" t="s">
        <v>130</v>
      </c>
      <c r="AW2665" s="307" t="s">
        <v>15766</v>
      </c>
      <c r="AX2665" s="156" t="s">
        <v>136</v>
      </c>
      <c r="AZ2665" s="284" t="s">
        <v>1263</v>
      </c>
    </row>
    <row r="2666">
      <c r="A2666" s="41">
        <v>2666.0</v>
      </c>
      <c r="B2666" s="126" t="s">
        <v>145</v>
      </c>
      <c r="C2666" s="59" t="s">
        <v>108</v>
      </c>
      <c r="D2666" s="59" t="s">
        <v>279</v>
      </c>
      <c r="F2666" s="65" t="s">
        <v>14439</v>
      </c>
      <c r="G2666" s="156" t="s">
        <v>14391</v>
      </c>
      <c r="H2666" s="156" t="s">
        <v>8467</v>
      </c>
      <c r="I2666" s="431">
        <v>45246.0</v>
      </c>
      <c r="J2666" s="150">
        <v>45807.0</v>
      </c>
      <c r="K2666" s="156" t="s">
        <v>15782</v>
      </c>
      <c r="L2666" s="126" t="s">
        <v>15783</v>
      </c>
      <c r="M2666" s="156" t="s">
        <v>14441</v>
      </c>
      <c r="N2666" s="156" t="s">
        <v>14442</v>
      </c>
      <c r="O2666" s="153">
        <v>2.0</v>
      </c>
      <c r="P2666" s="379" t="s">
        <v>14443</v>
      </c>
      <c r="Q2666" s="2153" t="str">
        <f> hyperlink(vlookup(lower(N2666),'File Links'!E:F, 2, FALSE), "LINK")</f>
        <v>LINK</v>
      </c>
      <c r="R2666" s="156" t="s">
        <v>14398</v>
      </c>
      <c r="S2666" s="156" t="s">
        <v>14399</v>
      </c>
      <c r="T2666" s="438" t="s">
        <v>15763</v>
      </c>
      <c r="U2666" s="65"/>
      <c r="V2666" s="379" t="s">
        <v>14400</v>
      </c>
      <c r="W2666" s="1225"/>
      <c r="X2666" s="1544" t="str">
        <f> hyperlink(vlookup(lower(S2666),'File Links'!E:F, 2, FALSE), "LINK")</f>
        <v>LINK</v>
      </c>
      <c r="Y2666" s="126" t="s">
        <v>134</v>
      </c>
      <c r="Z2666" s="156" t="s">
        <v>1072</v>
      </c>
      <c r="AA2666" s="65"/>
      <c r="AB2666" s="156" t="s">
        <v>14402</v>
      </c>
      <c r="AC2666" s="156" t="s">
        <v>14445</v>
      </c>
      <c r="AD2666" s="156" t="s">
        <v>15784</v>
      </c>
      <c r="AE2666" s="65"/>
      <c r="AF2666" s="153">
        <v>169.0</v>
      </c>
      <c r="AG2666" s="156" t="s">
        <v>131</v>
      </c>
      <c r="AH2666" s="156" t="s">
        <v>131</v>
      </c>
      <c r="AI2666" s="156" t="s">
        <v>131</v>
      </c>
      <c r="AJ2666" s="156" t="s">
        <v>131</v>
      </c>
      <c r="AK2666" s="156" t="s">
        <v>131</v>
      </c>
      <c r="AL2666" s="156" t="s">
        <v>179</v>
      </c>
      <c r="AM2666" s="156" t="s">
        <v>130</v>
      </c>
      <c r="AN2666" s="156" t="s">
        <v>131</v>
      </c>
      <c r="AO2666" s="153">
        <v>1550.0</v>
      </c>
      <c r="AP2666" s="156" t="s">
        <v>15785</v>
      </c>
      <c r="AQ2666" s="156" t="s">
        <v>208</v>
      </c>
      <c r="AR2666" s="156" t="s">
        <v>15786</v>
      </c>
      <c r="AS2666" s="156" t="s">
        <v>131</v>
      </c>
      <c r="AT2666" s="156" t="s">
        <v>131</v>
      </c>
      <c r="AU2666" s="156" t="s">
        <v>179</v>
      </c>
      <c r="AV2666" s="156" t="s">
        <v>130</v>
      </c>
      <c r="AW2666" s="307" t="s">
        <v>15766</v>
      </c>
      <c r="AX2666" s="156" t="s">
        <v>136</v>
      </c>
      <c r="AZ2666" s="284" t="s">
        <v>1263</v>
      </c>
    </row>
    <row r="2667">
      <c r="A2667" s="41">
        <v>2667.0</v>
      </c>
      <c r="B2667" s="126" t="s">
        <v>145</v>
      </c>
      <c r="C2667" s="59" t="s">
        <v>108</v>
      </c>
      <c r="D2667" s="59" t="s">
        <v>279</v>
      </c>
      <c r="F2667" s="65" t="s">
        <v>14447</v>
      </c>
      <c r="G2667" s="156" t="s">
        <v>14391</v>
      </c>
      <c r="H2667" s="156" t="s">
        <v>8467</v>
      </c>
      <c r="I2667" s="431">
        <v>45246.0</v>
      </c>
      <c r="J2667" s="150">
        <v>45807.0</v>
      </c>
      <c r="K2667" s="156" t="s">
        <v>15787</v>
      </c>
      <c r="L2667" s="126" t="s">
        <v>15783</v>
      </c>
      <c r="M2667" s="156" t="s">
        <v>14441</v>
      </c>
      <c r="N2667" s="156" t="s">
        <v>14442</v>
      </c>
      <c r="O2667" s="153">
        <v>2.0</v>
      </c>
      <c r="P2667" s="379" t="s">
        <v>14443</v>
      </c>
      <c r="Q2667" s="2153" t="str">
        <f> hyperlink(vlookup(lower(N2667),'File Links'!E:F, 2, FALSE), "LINK")</f>
        <v>LINK</v>
      </c>
      <c r="R2667" s="156" t="s">
        <v>14398</v>
      </c>
      <c r="S2667" s="156" t="s">
        <v>14399</v>
      </c>
      <c r="T2667" s="438" t="s">
        <v>15763</v>
      </c>
      <c r="U2667" s="65"/>
      <c r="V2667" s="379" t="s">
        <v>14400</v>
      </c>
      <c r="W2667" s="1225"/>
      <c r="X2667" s="1544" t="str">
        <f> hyperlink(vlookup(lower(S2667),'File Links'!E:F, 2, FALSE), "LINK")</f>
        <v>LINK</v>
      </c>
      <c r="Y2667" s="126" t="s">
        <v>134</v>
      </c>
      <c r="Z2667" s="156" t="s">
        <v>1072</v>
      </c>
      <c r="AA2667" s="65"/>
      <c r="AB2667" s="156" t="s">
        <v>14402</v>
      </c>
      <c r="AC2667" s="156" t="s">
        <v>14449</v>
      </c>
      <c r="AD2667" s="156" t="s">
        <v>15788</v>
      </c>
      <c r="AE2667" s="65"/>
      <c r="AF2667" s="153">
        <v>169.0</v>
      </c>
      <c r="AG2667" s="156" t="s">
        <v>131</v>
      </c>
      <c r="AH2667" s="156" t="s">
        <v>131</v>
      </c>
      <c r="AI2667" s="156" t="s">
        <v>131</v>
      </c>
      <c r="AJ2667" s="156" t="s">
        <v>131</v>
      </c>
      <c r="AK2667" s="156" t="s">
        <v>131</v>
      </c>
      <c r="AL2667" s="156" t="s">
        <v>179</v>
      </c>
      <c r="AM2667" s="156" t="s">
        <v>130</v>
      </c>
      <c r="AN2667" s="156" t="s">
        <v>131</v>
      </c>
      <c r="AO2667" s="153">
        <v>1550.0</v>
      </c>
      <c r="AP2667" s="156" t="s">
        <v>15789</v>
      </c>
      <c r="AQ2667" s="156" t="s">
        <v>208</v>
      </c>
      <c r="AR2667" s="156" t="s">
        <v>15786</v>
      </c>
      <c r="AS2667" s="156" t="s">
        <v>131</v>
      </c>
      <c r="AT2667" s="156" t="s">
        <v>131</v>
      </c>
      <c r="AU2667" s="156" t="s">
        <v>179</v>
      </c>
      <c r="AV2667" s="156" t="s">
        <v>130</v>
      </c>
      <c r="AW2667" s="307" t="s">
        <v>15766</v>
      </c>
      <c r="AX2667" s="156" t="s">
        <v>136</v>
      </c>
      <c r="AZ2667" s="284" t="s">
        <v>1263</v>
      </c>
    </row>
    <row r="2668">
      <c r="A2668" s="41">
        <v>2668.0</v>
      </c>
      <c r="B2668" s="628" t="s">
        <v>145</v>
      </c>
      <c r="C2668" s="394" t="s">
        <v>108</v>
      </c>
      <c r="D2668" s="394" t="s">
        <v>279</v>
      </c>
      <c r="E2668" s="217"/>
      <c r="F2668" s="395" t="s">
        <v>14450</v>
      </c>
      <c r="G2668" s="404" t="s">
        <v>14391</v>
      </c>
      <c r="H2668" s="404" t="s">
        <v>8467</v>
      </c>
      <c r="I2668" s="724">
        <v>45246.0</v>
      </c>
      <c r="J2668" s="2102">
        <v>45807.0</v>
      </c>
      <c r="K2668" s="404" t="s">
        <v>15790</v>
      </c>
      <c r="L2668" s="628" t="s">
        <v>15791</v>
      </c>
      <c r="M2668" s="404" t="s">
        <v>14452</v>
      </c>
      <c r="N2668" s="404" t="s">
        <v>14453</v>
      </c>
      <c r="O2668" s="628">
        <v>1.0</v>
      </c>
      <c r="P2668" s="404" t="s">
        <v>14454</v>
      </c>
      <c r="Q2668" s="2181" t="str">
        <f> hyperlink(vlookup(lower(N2668),'File Links'!E:F, 2, FALSE), "LINK")</f>
        <v>LINK</v>
      </c>
      <c r="R2668" s="404" t="s">
        <v>14398</v>
      </c>
      <c r="S2668" s="404" t="s">
        <v>14399</v>
      </c>
      <c r="T2668" s="438" t="s">
        <v>15763</v>
      </c>
      <c r="U2668" s="628">
        <v>1.0</v>
      </c>
      <c r="V2668" s="404" t="s">
        <v>14400</v>
      </c>
      <c r="W2668" s="202" t="s">
        <v>202</v>
      </c>
      <c r="X2668" s="2182" t="str">
        <f> hyperlink(vlookup(lower(S2668),'File Links'!E:F, 2, FALSE), "LINK")</f>
        <v>LINK</v>
      </c>
      <c r="Y2668" s="404"/>
      <c r="Z2668" s="404" t="s">
        <v>1072</v>
      </c>
      <c r="AA2668" s="628" t="s">
        <v>15792</v>
      </c>
      <c r="AB2668" s="404" t="s">
        <v>14402</v>
      </c>
      <c r="AC2668" s="404" t="s">
        <v>14456</v>
      </c>
      <c r="AD2668" s="340" t="s">
        <v>15793</v>
      </c>
      <c r="AE2668" s="628">
        <v>7.0</v>
      </c>
      <c r="AF2668" s="725">
        <v>672.0</v>
      </c>
      <c r="AG2668" s="641">
        <v>0.19</v>
      </c>
      <c r="AH2668" s="287" t="s">
        <v>208</v>
      </c>
      <c r="AI2668" s="725">
        <v>7.0</v>
      </c>
      <c r="AJ2668" s="354">
        <v>0.01</v>
      </c>
      <c r="AK2668" s="404" t="s">
        <v>128</v>
      </c>
      <c r="AL2668" s="404" t="s">
        <v>179</v>
      </c>
      <c r="AM2668" s="404" t="s">
        <v>130</v>
      </c>
      <c r="AN2668" s="404" t="s">
        <v>131</v>
      </c>
      <c r="AO2668" s="725">
        <v>1505.0</v>
      </c>
      <c r="AP2668" s="637">
        <v>0.19</v>
      </c>
      <c r="AQ2668" s="404" t="s">
        <v>208</v>
      </c>
      <c r="AR2668" s="148" t="s">
        <v>14406</v>
      </c>
      <c r="AS2668" s="404" t="s">
        <v>131</v>
      </c>
      <c r="AT2668" s="404" t="s">
        <v>131</v>
      </c>
      <c r="AU2668" s="404" t="s">
        <v>179</v>
      </c>
      <c r="AV2668" s="404" t="s">
        <v>130</v>
      </c>
      <c r="AW2668" s="768" t="s">
        <v>15766</v>
      </c>
      <c r="AX2668" s="404" t="s">
        <v>136</v>
      </c>
      <c r="AY2668" s="217"/>
      <c r="AZ2668" s="284" t="s">
        <v>1263</v>
      </c>
      <c r="BA2668" s="217"/>
      <c r="BB2668" s="217"/>
      <c r="BC2668" s="217"/>
      <c r="BD2668" s="217"/>
      <c r="BE2668" s="217"/>
      <c r="BF2668" s="217"/>
      <c r="BG2668" s="217"/>
      <c r="BH2668" s="217"/>
      <c r="BI2668" s="217"/>
      <c r="BJ2668" s="217"/>
      <c r="BK2668" s="217"/>
      <c r="BL2668" s="217"/>
      <c r="BM2668" s="217"/>
      <c r="BN2668" s="217"/>
      <c r="BO2668" s="217"/>
      <c r="BP2668" s="217"/>
      <c r="BQ2668" s="217"/>
      <c r="BR2668" s="217"/>
      <c r="BS2668" s="217"/>
      <c r="BT2668" s="217"/>
      <c r="BU2668" s="217"/>
      <c r="BV2668" s="217"/>
      <c r="BW2668" s="217"/>
      <c r="BX2668" s="217"/>
      <c r="BY2668" s="217"/>
      <c r="BZ2668" s="217"/>
      <c r="CA2668" s="217"/>
      <c r="CB2668" s="217"/>
      <c r="CC2668" s="217"/>
      <c r="CD2668" s="217"/>
      <c r="CE2668" s="217"/>
      <c r="CF2668" s="217"/>
      <c r="CG2668" s="217"/>
      <c r="CH2668" s="217"/>
      <c r="CI2668" s="217"/>
      <c r="CJ2668" s="217"/>
      <c r="CK2668" s="217"/>
      <c r="CL2668" s="217"/>
      <c r="CM2668" s="217"/>
      <c r="CN2668" s="217"/>
      <c r="CO2668" s="217"/>
      <c r="CP2668" s="217"/>
      <c r="CQ2668" s="217"/>
      <c r="CR2668" s="217"/>
      <c r="CS2668" s="217"/>
      <c r="CT2668" s="217"/>
      <c r="CU2668" s="217"/>
      <c r="CV2668" s="217"/>
      <c r="CW2668" s="217"/>
      <c r="CX2668" s="217"/>
      <c r="CY2668" s="217"/>
      <c r="CZ2668" s="217"/>
      <c r="DA2668" s="217"/>
      <c r="DB2668" s="217"/>
      <c r="DC2668" s="217"/>
      <c r="DD2668" s="217"/>
      <c r="DE2668" s="217"/>
      <c r="DF2668" s="217"/>
      <c r="DG2668" s="217"/>
      <c r="DH2668" s="217"/>
    </row>
    <row r="2669">
      <c r="A2669" s="41">
        <v>2669.0</v>
      </c>
      <c r="B2669" s="126" t="s">
        <v>145</v>
      </c>
      <c r="C2669" s="59" t="s">
        <v>108</v>
      </c>
      <c r="D2669" s="59" t="s">
        <v>279</v>
      </c>
      <c r="F2669" s="43" t="s">
        <v>14459</v>
      </c>
      <c r="G2669" s="357" t="s">
        <v>14391</v>
      </c>
      <c r="H2669" s="357" t="s">
        <v>8467</v>
      </c>
      <c r="I2669" s="508">
        <v>45246.0</v>
      </c>
      <c r="J2669" s="150">
        <v>45807.0</v>
      </c>
      <c r="K2669" s="357" t="s">
        <v>15790</v>
      </c>
      <c r="L2669" s="53" t="s">
        <v>15794</v>
      </c>
      <c r="M2669" s="357" t="s">
        <v>14452</v>
      </c>
      <c r="N2669" s="357" t="s">
        <v>14453</v>
      </c>
      <c r="O2669" s="53">
        <v>1.0</v>
      </c>
      <c r="P2669" s="357" t="s">
        <v>14454</v>
      </c>
      <c r="Q2669" s="2167" t="str">
        <f> hyperlink(vlookup(lower(N2669),'File Links'!E:F, 2, FALSE), "LINK")</f>
        <v>LINK</v>
      </c>
      <c r="R2669" s="357" t="s">
        <v>14398</v>
      </c>
      <c r="S2669" s="357" t="s">
        <v>14399</v>
      </c>
      <c r="T2669" s="438" t="s">
        <v>15763</v>
      </c>
      <c r="U2669" s="53">
        <v>1.0</v>
      </c>
      <c r="V2669" s="357" t="s">
        <v>14400</v>
      </c>
      <c r="W2669" s="202" t="s">
        <v>202</v>
      </c>
      <c r="X2669" s="2173" t="str">
        <f> hyperlink(vlookup(lower(S2669),'File Links'!E:F, 2, FALSE), "LINK")</f>
        <v>LINK</v>
      </c>
      <c r="Y2669" s="357"/>
      <c r="Z2669" s="357" t="s">
        <v>1072</v>
      </c>
      <c r="AA2669" s="357" t="s">
        <v>15795</v>
      </c>
      <c r="AB2669" s="357" t="s">
        <v>14402</v>
      </c>
      <c r="AC2669" s="357" t="s">
        <v>14462</v>
      </c>
      <c r="AD2669" s="340" t="s">
        <v>15796</v>
      </c>
      <c r="AE2669" s="354">
        <v>7.0</v>
      </c>
      <c r="AF2669" s="354">
        <v>672.0</v>
      </c>
      <c r="AG2669" s="344">
        <v>-0.16</v>
      </c>
      <c r="AH2669" s="287" t="s">
        <v>208</v>
      </c>
      <c r="AI2669" s="354">
        <v>7.0</v>
      </c>
      <c r="AJ2669" s="354">
        <v>0.01</v>
      </c>
      <c r="AK2669" s="357" t="s">
        <v>128</v>
      </c>
      <c r="AL2669" s="357" t="s">
        <v>179</v>
      </c>
      <c r="AM2669" s="156" t="s">
        <v>130</v>
      </c>
      <c r="AN2669" s="156" t="s">
        <v>131</v>
      </c>
      <c r="AO2669" s="354">
        <v>1505.0</v>
      </c>
      <c r="AP2669" s="340">
        <v>-0.24</v>
      </c>
      <c r="AQ2669" s="404" t="s">
        <v>208</v>
      </c>
      <c r="AR2669" s="148" t="s">
        <v>14406</v>
      </c>
      <c r="AS2669" s="357" t="s">
        <v>131</v>
      </c>
      <c r="AT2669" s="156" t="s">
        <v>131</v>
      </c>
      <c r="AU2669" s="156" t="s">
        <v>179</v>
      </c>
      <c r="AV2669" s="156" t="s">
        <v>130</v>
      </c>
      <c r="AW2669" s="307" t="s">
        <v>15766</v>
      </c>
      <c r="AX2669" s="156" t="s">
        <v>136</v>
      </c>
      <c r="AZ2669" s="284" t="s">
        <v>1263</v>
      </c>
    </row>
    <row r="2670">
      <c r="A2670" s="41">
        <v>2670.0</v>
      </c>
      <c r="B2670" s="202" t="s">
        <v>107</v>
      </c>
      <c r="C2670" s="196" t="s">
        <v>108</v>
      </c>
      <c r="D2670" s="196" t="s">
        <v>279</v>
      </c>
      <c r="E2670" s="197"/>
      <c r="F2670" s="201" t="s">
        <v>14464</v>
      </c>
      <c r="G2670" s="198" t="s">
        <v>14391</v>
      </c>
      <c r="H2670" s="198" t="s">
        <v>8467</v>
      </c>
      <c r="I2670" s="530">
        <v>45246.0</v>
      </c>
      <c r="J2670" s="2142">
        <v>45807.0</v>
      </c>
      <c r="K2670" s="198" t="s">
        <v>15797</v>
      </c>
      <c r="L2670" s="202" t="s">
        <v>15798</v>
      </c>
      <c r="M2670" s="198" t="s">
        <v>14466</v>
      </c>
      <c r="N2670" s="198" t="s">
        <v>14467</v>
      </c>
      <c r="O2670" s="202">
        <v>1.0</v>
      </c>
      <c r="P2670" s="198" t="s">
        <v>14468</v>
      </c>
      <c r="Q2670" s="2183" t="str">
        <f> hyperlink(vlookup(lower(N2670),'File Links'!E:F, 2, FALSE), "LINK")</f>
        <v>LINK</v>
      </c>
      <c r="R2670" s="198" t="s">
        <v>14398</v>
      </c>
      <c r="S2670" s="198" t="s">
        <v>14399</v>
      </c>
      <c r="T2670" s="438" t="s">
        <v>15763</v>
      </c>
      <c r="U2670" s="202">
        <v>1.0</v>
      </c>
      <c r="V2670" s="198" t="s">
        <v>14400</v>
      </c>
      <c r="W2670" s="202" t="s">
        <v>202</v>
      </c>
      <c r="X2670" s="2184" t="str">
        <f> hyperlink(vlookup(lower(S2670),'File Links'!E:F, 2, FALSE), "LINK")</f>
        <v>LINK</v>
      </c>
      <c r="Y2670" s="198"/>
      <c r="Z2670" s="198" t="s">
        <v>1072</v>
      </c>
      <c r="AA2670" s="198" t="s">
        <v>14469</v>
      </c>
      <c r="AB2670" s="198" t="s">
        <v>14402</v>
      </c>
      <c r="AC2670" s="198" t="s">
        <v>14469</v>
      </c>
      <c r="AD2670" s="202" t="s">
        <v>131</v>
      </c>
      <c r="AE2670" s="202" t="s">
        <v>131</v>
      </c>
      <c r="AF2670" s="205">
        <v>194.0</v>
      </c>
      <c r="AG2670" s="205" t="s">
        <v>14470</v>
      </c>
      <c r="AH2670" s="198" t="s">
        <v>208</v>
      </c>
      <c r="AI2670" s="203" t="s">
        <v>15799</v>
      </c>
      <c r="AJ2670" s="204" t="s">
        <v>131</v>
      </c>
      <c r="AK2670" s="204" t="s">
        <v>131</v>
      </c>
      <c r="AL2670" s="198" t="s">
        <v>179</v>
      </c>
      <c r="AM2670" s="204" t="s">
        <v>131</v>
      </c>
      <c r="AN2670" s="198" t="s">
        <v>131</v>
      </c>
      <c r="AO2670" s="205">
        <v>1505.0</v>
      </c>
      <c r="AP2670" s="203">
        <v>0.41</v>
      </c>
      <c r="AQ2670" s="198" t="s">
        <v>208</v>
      </c>
      <c r="AR2670" s="148" t="s">
        <v>14406</v>
      </c>
      <c r="AS2670" s="198" t="s">
        <v>131</v>
      </c>
      <c r="AT2670" s="198" t="s">
        <v>131</v>
      </c>
      <c r="AU2670" s="198" t="s">
        <v>179</v>
      </c>
      <c r="AV2670" s="198" t="s">
        <v>130</v>
      </c>
      <c r="AW2670" s="2185" t="s">
        <v>15766</v>
      </c>
      <c r="AX2670" s="198" t="s">
        <v>136</v>
      </c>
      <c r="AY2670" s="197"/>
      <c r="AZ2670" s="284" t="s">
        <v>1263</v>
      </c>
      <c r="BA2670" s="197"/>
      <c r="BB2670" s="197"/>
      <c r="BC2670" s="197"/>
      <c r="BD2670" s="197"/>
      <c r="BE2670" s="197"/>
      <c r="BF2670" s="197"/>
      <c r="BG2670" s="197"/>
      <c r="BH2670" s="197"/>
      <c r="BI2670" s="197"/>
      <c r="BJ2670" s="197"/>
      <c r="BK2670" s="197"/>
      <c r="BL2670" s="197"/>
      <c r="BM2670" s="197"/>
      <c r="BN2670" s="197"/>
      <c r="BO2670" s="197"/>
      <c r="BP2670" s="197"/>
      <c r="BQ2670" s="197"/>
      <c r="BR2670" s="197"/>
      <c r="BS2670" s="197"/>
      <c r="BT2670" s="197"/>
      <c r="BU2670" s="197"/>
      <c r="BV2670" s="197"/>
      <c r="BW2670" s="197"/>
      <c r="BX2670" s="197"/>
      <c r="BY2670" s="197"/>
      <c r="BZ2670" s="197"/>
      <c r="CA2670" s="197"/>
      <c r="CB2670" s="197"/>
      <c r="CC2670" s="197"/>
      <c r="CD2670" s="197"/>
      <c r="CE2670" s="197"/>
      <c r="CF2670" s="197"/>
      <c r="CG2670" s="197"/>
      <c r="CH2670" s="197"/>
      <c r="CI2670" s="197"/>
      <c r="CJ2670" s="197"/>
      <c r="CK2670" s="197"/>
      <c r="CL2670" s="197"/>
      <c r="CM2670" s="197"/>
      <c r="CN2670" s="197"/>
      <c r="CO2670" s="197"/>
      <c r="CP2670" s="197"/>
      <c r="CQ2670" s="197"/>
      <c r="CR2670" s="197"/>
      <c r="CS2670" s="197"/>
      <c r="CT2670" s="197"/>
      <c r="CU2670" s="197"/>
      <c r="CV2670" s="197"/>
      <c r="CW2670" s="197"/>
      <c r="CX2670" s="197"/>
      <c r="CY2670" s="197"/>
      <c r="CZ2670" s="197"/>
      <c r="DA2670" s="197"/>
      <c r="DB2670" s="197"/>
      <c r="DC2670" s="197"/>
      <c r="DD2670" s="197"/>
      <c r="DE2670" s="197"/>
      <c r="DF2670" s="197"/>
      <c r="DG2670" s="197"/>
      <c r="DH2670" s="197"/>
    </row>
    <row r="2671">
      <c r="A2671" s="41">
        <v>2671.0</v>
      </c>
      <c r="B2671" s="202" t="s">
        <v>107</v>
      </c>
      <c r="C2671" s="196" t="s">
        <v>108</v>
      </c>
      <c r="D2671" s="196" t="s">
        <v>279</v>
      </c>
      <c r="E2671" s="197"/>
      <c r="F2671" s="201" t="s">
        <v>14471</v>
      </c>
      <c r="G2671" s="198" t="s">
        <v>14391</v>
      </c>
      <c r="H2671" s="198" t="s">
        <v>8467</v>
      </c>
      <c r="I2671" s="530">
        <v>45246.0</v>
      </c>
      <c r="J2671" s="2142">
        <v>45807.0</v>
      </c>
      <c r="K2671" s="198" t="s">
        <v>15797</v>
      </c>
      <c r="L2671" s="202" t="s">
        <v>15798</v>
      </c>
      <c r="M2671" s="198" t="s">
        <v>14466</v>
      </c>
      <c r="N2671" s="198" t="s">
        <v>14467</v>
      </c>
      <c r="O2671" s="202">
        <v>1.0</v>
      </c>
      <c r="P2671" s="198" t="s">
        <v>14468</v>
      </c>
      <c r="Q2671" s="2183" t="str">
        <f> hyperlink(vlookup(lower(N2671),'File Links'!E:F, 2, FALSE), "LINK")</f>
        <v>LINK</v>
      </c>
      <c r="R2671" s="198" t="s">
        <v>14398</v>
      </c>
      <c r="S2671" s="198" t="s">
        <v>14399</v>
      </c>
      <c r="T2671" s="438" t="s">
        <v>15763</v>
      </c>
      <c r="U2671" s="202">
        <v>1.0</v>
      </c>
      <c r="V2671" s="198" t="s">
        <v>14400</v>
      </c>
      <c r="W2671" s="202" t="s">
        <v>202</v>
      </c>
      <c r="X2671" s="2184" t="str">
        <f> hyperlink(vlookup(lower(S2671),'File Links'!E:F, 2, FALSE), "LINK")</f>
        <v>LINK</v>
      </c>
      <c r="Y2671" s="198"/>
      <c r="Z2671" s="198" t="s">
        <v>1072</v>
      </c>
      <c r="AA2671" s="198" t="s">
        <v>14472</v>
      </c>
      <c r="AB2671" s="198" t="s">
        <v>14402</v>
      </c>
      <c r="AC2671" s="198" t="s">
        <v>14472</v>
      </c>
      <c r="AD2671" s="202" t="s">
        <v>131</v>
      </c>
      <c r="AE2671" s="202" t="s">
        <v>131</v>
      </c>
      <c r="AF2671" s="205">
        <v>194.0</v>
      </c>
      <c r="AG2671" s="205">
        <v>-0.44</v>
      </c>
      <c r="AH2671" s="198" t="s">
        <v>208</v>
      </c>
      <c r="AI2671" s="203" t="s">
        <v>15799</v>
      </c>
      <c r="AJ2671" s="204" t="s">
        <v>131</v>
      </c>
      <c r="AK2671" s="204" t="s">
        <v>131</v>
      </c>
      <c r="AL2671" s="198" t="s">
        <v>179</v>
      </c>
      <c r="AM2671" s="204" t="s">
        <v>131</v>
      </c>
      <c r="AN2671" s="198" t="s">
        <v>131</v>
      </c>
      <c r="AO2671" s="205">
        <v>1505.0</v>
      </c>
      <c r="AP2671" s="203">
        <v>0.58</v>
      </c>
      <c r="AQ2671" s="198" t="s">
        <v>208</v>
      </c>
      <c r="AR2671" s="148" t="s">
        <v>14406</v>
      </c>
      <c r="AS2671" s="198" t="s">
        <v>131</v>
      </c>
      <c r="AT2671" s="198" t="s">
        <v>131</v>
      </c>
      <c r="AU2671" s="198" t="s">
        <v>179</v>
      </c>
      <c r="AV2671" s="198" t="s">
        <v>130</v>
      </c>
      <c r="AW2671" s="2185" t="s">
        <v>15766</v>
      </c>
      <c r="AX2671" s="198" t="s">
        <v>136</v>
      </c>
      <c r="AY2671" s="197"/>
      <c r="AZ2671" s="284" t="s">
        <v>1263</v>
      </c>
      <c r="BA2671" s="197"/>
      <c r="BB2671" s="197"/>
      <c r="BC2671" s="197"/>
      <c r="BD2671" s="197"/>
      <c r="BE2671" s="197"/>
      <c r="BF2671" s="197"/>
      <c r="BG2671" s="197"/>
      <c r="BH2671" s="197"/>
      <c r="BI2671" s="197"/>
      <c r="BJ2671" s="197"/>
      <c r="BK2671" s="197"/>
      <c r="BL2671" s="197"/>
      <c r="BM2671" s="197"/>
      <c r="BN2671" s="197"/>
      <c r="BO2671" s="197"/>
      <c r="BP2671" s="197"/>
      <c r="BQ2671" s="197"/>
      <c r="BR2671" s="197"/>
      <c r="BS2671" s="197"/>
      <c r="BT2671" s="197"/>
      <c r="BU2671" s="197"/>
      <c r="BV2671" s="197"/>
      <c r="BW2671" s="197"/>
      <c r="BX2671" s="197"/>
      <c r="BY2671" s="197"/>
      <c r="BZ2671" s="197"/>
      <c r="CA2671" s="197"/>
      <c r="CB2671" s="197"/>
      <c r="CC2671" s="197"/>
      <c r="CD2671" s="197"/>
      <c r="CE2671" s="197"/>
      <c r="CF2671" s="197"/>
      <c r="CG2671" s="197"/>
      <c r="CH2671" s="197"/>
      <c r="CI2671" s="197"/>
      <c r="CJ2671" s="197"/>
      <c r="CK2671" s="197"/>
      <c r="CL2671" s="197"/>
      <c r="CM2671" s="197"/>
      <c r="CN2671" s="197"/>
      <c r="CO2671" s="197"/>
      <c r="CP2671" s="197"/>
      <c r="CQ2671" s="197"/>
      <c r="CR2671" s="197"/>
      <c r="CS2671" s="197"/>
      <c r="CT2671" s="197"/>
      <c r="CU2671" s="197"/>
      <c r="CV2671" s="197"/>
      <c r="CW2671" s="197"/>
      <c r="CX2671" s="197"/>
      <c r="CY2671" s="197"/>
      <c r="CZ2671" s="197"/>
      <c r="DA2671" s="197"/>
      <c r="DB2671" s="197"/>
      <c r="DC2671" s="197"/>
      <c r="DD2671" s="197"/>
      <c r="DE2671" s="197"/>
      <c r="DF2671" s="197"/>
      <c r="DG2671" s="197"/>
      <c r="DH2671" s="197"/>
    </row>
    <row r="2672">
      <c r="A2672" s="41">
        <v>2672.0</v>
      </c>
      <c r="B2672" s="202" t="s">
        <v>107</v>
      </c>
      <c r="C2672" s="196" t="s">
        <v>108</v>
      </c>
      <c r="D2672" s="196" t="s">
        <v>279</v>
      </c>
      <c r="E2672" s="197"/>
      <c r="F2672" s="201" t="s">
        <v>14473</v>
      </c>
      <c r="G2672" s="198" t="s">
        <v>14391</v>
      </c>
      <c r="H2672" s="198" t="s">
        <v>8467</v>
      </c>
      <c r="I2672" s="530">
        <v>45246.0</v>
      </c>
      <c r="J2672" s="2142">
        <v>45807.0</v>
      </c>
      <c r="K2672" s="198" t="s">
        <v>15797</v>
      </c>
      <c r="L2672" s="202" t="s">
        <v>15798</v>
      </c>
      <c r="M2672" s="198" t="s">
        <v>14466</v>
      </c>
      <c r="N2672" s="198" t="s">
        <v>14467</v>
      </c>
      <c r="O2672" s="202">
        <v>1.0</v>
      </c>
      <c r="P2672" s="198" t="s">
        <v>14468</v>
      </c>
      <c r="Q2672" s="2183" t="str">
        <f> hyperlink(vlookup(lower(N2672),'File Links'!E:F, 2, FALSE), "LINK")</f>
        <v>LINK</v>
      </c>
      <c r="R2672" s="198" t="s">
        <v>14398</v>
      </c>
      <c r="S2672" s="198" t="s">
        <v>14399</v>
      </c>
      <c r="T2672" s="438" t="s">
        <v>15763</v>
      </c>
      <c r="U2672" s="202">
        <v>1.0</v>
      </c>
      <c r="V2672" s="198" t="s">
        <v>14400</v>
      </c>
      <c r="W2672" s="202" t="s">
        <v>202</v>
      </c>
      <c r="X2672" s="2184" t="str">
        <f> hyperlink(vlookup(lower(S2672),'File Links'!E:F, 2, FALSE), "LINK")</f>
        <v>LINK</v>
      </c>
      <c r="Y2672" s="198"/>
      <c r="Z2672" s="198" t="s">
        <v>1072</v>
      </c>
      <c r="AA2672" s="198" t="s">
        <v>14474</v>
      </c>
      <c r="AB2672" s="198" t="s">
        <v>14402</v>
      </c>
      <c r="AC2672" s="198" t="s">
        <v>14474</v>
      </c>
      <c r="AD2672" s="202" t="s">
        <v>131</v>
      </c>
      <c r="AE2672" s="202" t="s">
        <v>131</v>
      </c>
      <c r="AF2672" s="205">
        <v>194.0</v>
      </c>
      <c r="AG2672" s="205" t="s">
        <v>14475</v>
      </c>
      <c r="AH2672" s="198" t="s">
        <v>208</v>
      </c>
      <c r="AI2672" s="203" t="s">
        <v>15799</v>
      </c>
      <c r="AJ2672" s="204" t="s">
        <v>131</v>
      </c>
      <c r="AK2672" s="204" t="s">
        <v>131</v>
      </c>
      <c r="AL2672" s="198" t="s">
        <v>179</v>
      </c>
      <c r="AM2672" s="204" t="s">
        <v>131</v>
      </c>
      <c r="AN2672" s="198" t="s">
        <v>131</v>
      </c>
      <c r="AO2672" s="205">
        <v>1505.0</v>
      </c>
      <c r="AP2672" s="203">
        <v>0.42</v>
      </c>
      <c r="AQ2672" s="198" t="s">
        <v>208</v>
      </c>
      <c r="AR2672" s="148" t="s">
        <v>14406</v>
      </c>
      <c r="AS2672" s="198" t="s">
        <v>131</v>
      </c>
      <c r="AT2672" s="198" t="s">
        <v>131</v>
      </c>
      <c r="AU2672" s="198" t="s">
        <v>179</v>
      </c>
      <c r="AV2672" s="198" t="s">
        <v>130</v>
      </c>
      <c r="AW2672" s="2185" t="s">
        <v>15766</v>
      </c>
      <c r="AX2672" s="198" t="s">
        <v>136</v>
      </c>
      <c r="AY2672" s="197"/>
      <c r="AZ2672" s="284" t="s">
        <v>1263</v>
      </c>
      <c r="BA2672" s="197"/>
      <c r="BB2672" s="197"/>
      <c r="BC2672" s="197"/>
      <c r="BD2672" s="197"/>
      <c r="BE2672" s="197"/>
      <c r="BF2672" s="197"/>
      <c r="BG2672" s="197"/>
      <c r="BH2672" s="197"/>
      <c r="BI2672" s="197"/>
      <c r="BJ2672" s="197"/>
      <c r="BK2672" s="197"/>
      <c r="BL2672" s="197"/>
      <c r="BM2672" s="197"/>
      <c r="BN2672" s="197"/>
      <c r="BO2672" s="197"/>
      <c r="BP2672" s="197"/>
      <c r="BQ2672" s="197"/>
      <c r="BR2672" s="197"/>
      <c r="BS2672" s="197"/>
      <c r="BT2672" s="197"/>
      <c r="BU2672" s="197"/>
      <c r="BV2672" s="197"/>
      <c r="BW2672" s="197"/>
      <c r="BX2672" s="197"/>
      <c r="BY2672" s="197"/>
      <c r="BZ2672" s="197"/>
      <c r="CA2672" s="197"/>
      <c r="CB2672" s="197"/>
      <c r="CC2672" s="197"/>
      <c r="CD2672" s="197"/>
      <c r="CE2672" s="197"/>
      <c r="CF2672" s="197"/>
      <c r="CG2672" s="197"/>
      <c r="CH2672" s="197"/>
      <c r="CI2672" s="197"/>
      <c r="CJ2672" s="197"/>
      <c r="CK2672" s="197"/>
      <c r="CL2672" s="197"/>
      <c r="CM2672" s="197"/>
      <c r="CN2672" s="197"/>
      <c r="CO2672" s="197"/>
      <c r="CP2672" s="197"/>
      <c r="CQ2672" s="197"/>
      <c r="CR2672" s="197"/>
      <c r="CS2672" s="197"/>
      <c r="CT2672" s="197"/>
      <c r="CU2672" s="197"/>
      <c r="CV2672" s="197"/>
      <c r="CW2672" s="197"/>
      <c r="CX2672" s="197"/>
      <c r="CY2672" s="197"/>
      <c r="CZ2672" s="197"/>
      <c r="DA2672" s="197"/>
      <c r="DB2672" s="197"/>
      <c r="DC2672" s="197"/>
      <c r="DD2672" s="197"/>
      <c r="DE2672" s="197"/>
      <c r="DF2672" s="197"/>
      <c r="DG2672" s="197"/>
      <c r="DH2672" s="197"/>
    </row>
    <row r="2673">
      <c r="A2673" s="41">
        <v>2673.0</v>
      </c>
      <c r="B2673" s="202" t="s">
        <v>107</v>
      </c>
      <c r="C2673" s="196" t="s">
        <v>108</v>
      </c>
      <c r="D2673" s="196" t="s">
        <v>279</v>
      </c>
      <c r="E2673" s="197"/>
      <c r="F2673" s="201" t="s">
        <v>14476</v>
      </c>
      <c r="G2673" s="198" t="s">
        <v>14391</v>
      </c>
      <c r="H2673" s="198" t="s">
        <v>8467</v>
      </c>
      <c r="I2673" s="530">
        <v>45246.0</v>
      </c>
      <c r="J2673" s="2142">
        <v>45807.0</v>
      </c>
      <c r="K2673" s="198" t="s">
        <v>15797</v>
      </c>
      <c r="L2673" s="202" t="s">
        <v>15798</v>
      </c>
      <c r="M2673" s="198" t="s">
        <v>14466</v>
      </c>
      <c r="N2673" s="198" t="s">
        <v>14467</v>
      </c>
      <c r="O2673" s="202">
        <v>1.0</v>
      </c>
      <c r="P2673" s="198" t="s">
        <v>14468</v>
      </c>
      <c r="Q2673" s="2183" t="str">
        <f> hyperlink(vlookup(lower(N2673),'File Links'!E:F, 2, FALSE), "LINK")</f>
        <v>LINK</v>
      </c>
      <c r="R2673" s="198" t="s">
        <v>14398</v>
      </c>
      <c r="S2673" s="198" t="s">
        <v>14399</v>
      </c>
      <c r="T2673" s="438" t="s">
        <v>15763</v>
      </c>
      <c r="U2673" s="202">
        <v>1.0</v>
      </c>
      <c r="V2673" s="198" t="s">
        <v>14400</v>
      </c>
      <c r="W2673" s="202" t="s">
        <v>202</v>
      </c>
      <c r="X2673" s="2184" t="str">
        <f> hyperlink(vlookup(lower(S2673),'File Links'!E:F, 2, FALSE), "LINK")</f>
        <v>LINK</v>
      </c>
      <c r="Y2673" s="198"/>
      <c r="Z2673" s="198" t="s">
        <v>1072</v>
      </c>
      <c r="AA2673" s="198" t="s">
        <v>14477</v>
      </c>
      <c r="AB2673" s="198" t="s">
        <v>14402</v>
      </c>
      <c r="AC2673" s="198" t="s">
        <v>14477</v>
      </c>
      <c r="AD2673" s="202" t="s">
        <v>131</v>
      </c>
      <c r="AE2673" s="202" t="s">
        <v>131</v>
      </c>
      <c r="AF2673" s="205">
        <v>194.0</v>
      </c>
      <c r="AG2673" s="205" t="s">
        <v>14478</v>
      </c>
      <c r="AH2673" s="198" t="s">
        <v>208</v>
      </c>
      <c r="AI2673" s="203" t="s">
        <v>15799</v>
      </c>
      <c r="AJ2673" s="204" t="s">
        <v>131</v>
      </c>
      <c r="AK2673" s="204" t="s">
        <v>131</v>
      </c>
      <c r="AL2673" s="198" t="s">
        <v>179</v>
      </c>
      <c r="AM2673" s="204" t="s">
        <v>131</v>
      </c>
      <c r="AN2673" s="198" t="s">
        <v>131</v>
      </c>
      <c r="AO2673" s="205">
        <v>1505.0</v>
      </c>
      <c r="AP2673" s="203">
        <v>0.41</v>
      </c>
      <c r="AQ2673" s="198" t="s">
        <v>208</v>
      </c>
      <c r="AR2673" s="148" t="s">
        <v>14406</v>
      </c>
      <c r="AS2673" s="198" t="s">
        <v>131</v>
      </c>
      <c r="AT2673" s="198" t="s">
        <v>131</v>
      </c>
      <c r="AU2673" s="198" t="s">
        <v>179</v>
      </c>
      <c r="AV2673" s="198" t="s">
        <v>130</v>
      </c>
      <c r="AW2673" s="2185" t="s">
        <v>15766</v>
      </c>
      <c r="AX2673" s="198" t="s">
        <v>136</v>
      </c>
      <c r="AY2673" s="197"/>
      <c r="AZ2673" s="284" t="s">
        <v>1263</v>
      </c>
      <c r="BA2673" s="197"/>
      <c r="BB2673" s="197"/>
      <c r="BC2673" s="197"/>
      <c r="BD2673" s="197"/>
      <c r="BE2673" s="197"/>
      <c r="BF2673" s="197"/>
      <c r="BG2673" s="197"/>
      <c r="BH2673" s="197"/>
      <c r="BI2673" s="197"/>
      <c r="BJ2673" s="197"/>
      <c r="BK2673" s="197"/>
      <c r="BL2673" s="197"/>
      <c r="BM2673" s="197"/>
      <c r="BN2673" s="197"/>
      <c r="BO2673" s="197"/>
      <c r="BP2673" s="197"/>
      <c r="BQ2673" s="197"/>
      <c r="BR2673" s="197"/>
      <c r="BS2673" s="197"/>
      <c r="BT2673" s="197"/>
      <c r="BU2673" s="197"/>
      <c r="BV2673" s="197"/>
      <c r="BW2673" s="197"/>
      <c r="BX2673" s="197"/>
      <c r="BY2673" s="197"/>
      <c r="BZ2673" s="197"/>
      <c r="CA2673" s="197"/>
      <c r="CB2673" s="197"/>
      <c r="CC2673" s="197"/>
      <c r="CD2673" s="197"/>
      <c r="CE2673" s="197"/>
      <c r="CF2673" s="197"/>
      <c r="CG2673" s="197"/>
      <c r="CH2673" s="197"/>
      <c r="CI2673" s="197"/>
      <c r="CJ2673" s="197"/>
      <c r="CK2673" s="197"/>
      <c r="CL2673" s="197"/>
      <c r="CM2673" s="197"/>
      <c r="CN2673" s="197"/>
      <c r="CO2673" s="197"/>
      <c r="CP2673" s="197"/>
      <c r="CQ2673" s="197"/>
      <c r="CR2673" s="197"/>
      <c r="CS2673" s="197"/>
      <c r="CT2673" s="197"/>
      <c r="CU2673" s="197"/>
      <c r="CV2673" s="197"/>
      <c r="CW2673" s="197"/>
      <c r="CX2673" s="197"/>
      <c r="CY2673" s="197"/>
      <c r="CZ2673" s="197"/>
      <c r="DA2673" s="197"/>
      <c r="DB2673" s="197"/>
      <c r="DC2673" s="197"/>
      <c r="DD2673" s="197"/>
      <c r="DE2673" s="197"/>
      <c r="DF2673" s="197"/>
      <c r="DG2673" s="197"/>
      <c r="DH2673" s="197"/>
    </row>
    <row r="2674">
      <c r="A2674" s="41">
        <v>2674.0</v>
      </c>
      <c r="B2674" s="126" t="s">
        <v>145</v>
      </c>
      <c r="C2674" s="59" t="s">
        <v>108</v>
      </c>
      <c r="D2674" s="59" t="s">
        <v>279</v>
      </c>
      <c r="F2674" s="65" t="s">
        <v>14479</v>
      </c>
      <c r="G2674" s="156" t="s">
        <v>14391</v>
      </c>
      <c r="H2674" s="156" t="s">
        <v>8467</v>
      </c>
      <c r="I2674" s="431">
        <v>45251.0</v>
      </c>
      <c r="J2674" s="2142">
        <v>45807.0</v>
      </c>
      <c r="K2674" s="156" t="s">
        <v>15800</v>
      </c>
      <c r="L2674" s="126" t="s">
        <v>15801</v>
      </c>
      <c r="M2674" s="156" t="s">
        <v>14481</v>
      </c>
      <c r="N2674" s="156" t="s">
        <v>14482</v>
      </c>
      <c r="O2674" s="153">
        <v>2.0</v>
      </c>
      <c r="P2674" s="379" t="s">
        <v>14483</v>
      </c>
      <c r="Q2674" s="49" t="str">
        <f t="array" ref="Q2674"> IF(ISERROR(MATCH(V2674, 'File Links'!C:C, 0)), "N/A", HYPERLINK(INDEX('File Links'!B:B, MATCH(P2674, 'File Links'!C:C, 0))))</f>
        <v>https://drive.google.com/file/d/1KF3EmUMvFgpP_JffHNBHYjTtKalpvzRE/view?usp=drivesdk</v>
      </c>
      <c r="R2674" s="156" t="s">
        <v>14398</v>
      </c>
      <c r="S2674" s="156" t="s">
        <v>14399</v>
      </c>
      <c r="T2674" s="438" t="s">
        <v>15763</v>
      </c>
      <c r="U2674" s="126">
        <v>1.0</v>
      </c>
      <c r="V2674" s="379" t="s">
        <v>14400</v>
      </c>
      <c r="W2674" s="202" t="s">
        <v>202</v>
      </c>
      <c r="X2674" s="1544" t="str">
        <f> hyperlink(vlookup(lower(S2674),'File Links'!E:F, 2, FALSE), "LINK")</f>
        <v>LINK</v>
      </c>
      <c r="Y2674" s="357"/>
      <c r="Z2674" s="156" t="s">
        <v>1072</v>
      </c>
      <c r="AA2674" s="156" t="s">
        <v>15802</v>
      </c>
      <c r="AB2674" s="156" t="s">
        <v>14402</v>
      </c>
      <c r="AC2674" s="156" t="s">
        <v>14485</v>
      </c>
      <c r="AD2674" s="148" t="s">
        <v>14486</v>
      </c>
      <c r="AE2674" s="158" t="s">
        <v>621</v>
      </c>
      <c r="AF2674" s="153">
        <v>1228.0</v>
      </c>
      <c r="AG2674" s="153">
        <v>0.32</v>
      </c>
      <c r="AH2674" s="156" t="s">
        <v>208</v>
      </c>
      <c r="AI2674" s="158" t="s">
        <v>621</v>
      </c>
      <c r="AJ2674" s="153">
        <v>0.01</v>
      </c>
      <c r="AK2674" s="156" t="s">
        <v>128</v>
      </c>
      <c r="AL2674" s="357" t="s">
        <v>179</v>
      </c>
      <c r="AM2674" s="156" t="s">
        <v>130</v>
      </c>
      <c r="AN2674" s="156" t="s">
        <v>131</v>
      </c>
      <c r="AO2674" s="153">
        <v>1559.0</v>
      </c>
      <c r="AP2674" s="148">
        <v>0.37</v>
      </c>
      <c r="AQ2674" s="198" t="s">
        <v>208</v>
      </c>
      <c r="AR2674" s="148" t="s">
        <v>14406</v>
      </c>
      <c r="AS2674" s="2086">
        <v>6.33652557377656E-52</v>
      </c>
      <c r="AT2674" s="1785" t="s">
        <v>165</v>
      </c>
      <c r="AU2674" s="2180" t="s">
        <v>129</v>
      </c>
      <c r="AV2674" s="156" t="s">
        <v>130</v>
      </c>
      <c r="AW2674" s="307" t="s">
        <v>15766</v>
      </c>
      <c r="AX2674" s="156" t="s">
        <v>136</v>
      </c>
      <c r="AZ2674" s="284" t="s">
        <v>1263</v>
      </c>
    </row>
    <row r="2675">
      <c r="A2675" s="41">
        <v>2675.0</v>
      </c>
      <c r="B2675" s="126" t="s">
        <v>145</v>
      </c>
      <c r="C2675" s="59" t="s">
        <v>108</v>
      </c>
      <c r="D2675" s="59" t="s">
        <v>279</v>
      </c>
      <c r="F2675" s="65" t="s">
        <v>14488</v>
      </c>
      <c r="G2675" s="156" t="s">
        <v>14391</v>
      </c>
      <c r="H2675" s="156" t="s">
        <v>8467</v>
      </c>
      <c r="I2675" s="149">
        <v>45251.0</v>
      </c>
      <c r="J2675" s="2142">
        <v>45807.0</v>
      </c>
      <c r="K2675" s="156" t="s">
        <v>15803</v>
      </c>
      <c r="L2675" s="126" t="s">
        <v>15804</v>
      </c>
      <c r="M2675" s="156" t="s">
        <v>14481</v>
      </c>
      <c r="N2675" s="156" t="s">
        <v>14482</v>
      </c>
      <c r="O2675" s="153">
        <v>2.0</v>
      </c>
      <c r="P2675" s="379" t="s">
        <v>14483</v>
      </c>
      <c r="Q2675" s="49" t="str">
        <f t="array" ref="Q2675"> if(iserror(MATCH(V2675, 'File Links'!C:C, 0)), "N/A", HYPERLINK(INDEX('File Links'!B:B, MATCH(P2675, 'File Links'!C:C, 0))))</f>
        <v>https://drive.google.com/file/d/1KF3EmUMvFgpP_JffHNBHYjTtKalpvzRE/view?usp=drivesdk</v>
      </c>
      <c r="R2675" s="156" t="s">
        <v>14398</v>
      </c>
      <c r="S2675" s="156" t="s">
        <v>14399</v>
      </c>
      <c r="T2675" s="438" t="s">
        <v>15763</v>
      </c>
      <c r="U2675" s="126">
        <v>1.0</v>
      </c>
      <c r="V2675" s="379" t="s">
        <v>14400</v>
      </c>
      <c r="W2675" s="202" t="s">
        <v>202</v>
      </c>
      <c r="X2675" s="1544" t="str">
        <f> hyperlink(vlookup(lower(S2675),'File Links'!E:F, 2, FALSE), "LINK")</f>
        <v>LINK</v>
      </c>
      <c r="Y2675" s="357"/>
      <c r="Z2675" s="156" t="s">
        <v>1072</v>
      </c>
      <c r="AA2675" s="156" t="s">
        <v>15805</v>
      </c>
      <c r="AB2675" s="156" t="s">
        <v>14402</v>
      </c>
      <c r="AC2675" s="156" t="s">
        <v>14491</v>
      </c>
      <c r="AD2675" s="148" t="s">
        <v>14492</v>
      </c>
      <c r="AE2675" s="158" t="s">
        <v>621</v>
      </c>
      <c r="AF2675" s="153">
        <v>1228.0</v>
      </c>
      <c r="AG2675" s="153">
        <v>0.41</v>
      </c>
      <c r="AH2675" s="156" t="s">
        <v>208</v>
      </c>
      <c r="AI2675" s="158" t="s">
        <v>621</v>
      </c>
      <c r="AJ2675" s="153">
        <v>0.01</v>
      </c>
      <c r="AK2675" s="156" t="s">
        <v>128</v>
      </c>
      <c r="AL2675" s="357" t="s">
        <v>179</v>
      </c>
      <c r="AM2675" s="156" t="s">
        <v>130</v>
      </c>
      <c r="AN2675" s="156" t="s">
        <v>131</v>
      </c>
      <c r="AO2675" s="153">
        <v>1559.0</v>
      </c>
      <c r="AP2675" s="148">
        <v>0.54</v>
      </c>
      <c r="AQ2675" s="198" t="s">
        <v>208</v>
      </c>
      <c r="AR2675" s="148" t="s">
        <v>14406</v>
      </c>
      <c r="AS2675" s="2086">
        <v>3.08233450393398E-105</v>
      </c>
      <c r="AT2675" s="1785" t="s">
        <v>165</v>
      </c>
      <c r="AU2675" s="2180" t="s">
        <v>129</v>
      </c>
      <c r="AV2675" s="156" t="s">
        <v>130</v>
      </c>
      <c r="AW2675" s="307" t="s">
        <v>15766</v>
      </c>
      <c r="AX2675" s="156" t="s">
        <v>136</v>
      </c>
      <c r="AZ2675" s="284" t="s">
        <v>1263</v>
      </c>
    </row>
    <row r="2676">
      <c r="A2676" s="41">
        <v>2676.0</v>
      </c>
      <c r="B2676" s="209" t="s">
        <v>107</v>
      </c>
      <c r="C2676" s="2087" t="s">
        <v>108</v>
      </c>
      <c r="D2676" s="2087" t="s">
        <v>279</v>
      </c>
      <c r="E2676" s="2088"/>
      <c r="F2676" s="2089" t="s">
        <v>14493</v>
      </c>
      <c r="G2676" s="2090" t="s">
        <v>14391</v>
      </c>
      <c r="H2676" s="2090" t="s">
        <v>8467</v>
      </c>
      <c r="I2676" s="2186">
        <v>45251.0</v>
      </c>
      <c r="J2676" s="2142">
        <v>45807.0</v>
      </c>
      <c r="K2676" s="2090" t="s">
        <v>15806</v>
      </c>
      <c r="L2676" s="209" t="s">
        <v>15807</v>
      </c>
      <c r="M2676" s="2090" t="s">
        <v>14495</v>
      </c>
      <c r="N2676" s="2090" t="s">
        <v>14496</v>
      </c>
      <c r="O2676" s="209">
        <v>1.0</v>
      </c>
      <c r="P2676" s="2090" t="s">
        <v>14497</v>
      </c>
      <c r="Q2676" s="2187" t="str">
        <f> hyperlink(vlookup(lower(N2676),'File Links'!E:F, 2, FALSE), "LINK")</f>
        <v>LINK</v>
      </c>
      <c r="R2676" s="2090" t="s">
        <v>14398</v>
      </c>
      <c r="S2676" s="2090" t="s">
        <v>14399</v>
      </c>
      <c r="T2676" s="438" t="s">
        <v>15763</v>
      </c>
      <c r="U2676" s="209">
        <v>1.0</v>
      </c>
      <c r="V2676" s="2090" t="s">
        <v>14400</v>
      </c>
      <c r="W2676" s="202" t="s">
        <v>202</v>
      </c>
      <c r="X2676" s="2188" t="str">
        <f> hyperlink(vlookup(lower(S2676),'File Links'!E:F, 2, FALSE), "LINK")</f>
        <v>LINK</v>
      </c>
      <c r="Y2676" s="2090"/>
      <c r="Z2676" s="2090" t="s">
        <v>1072</v>
      </c>
      <c r="AA2676" s="2090" t="s">
        <v>15808</v>
      </c>
      <c r="AB2676" s="2090" t="s">
        <v>14402</v>
      </c>
      <c r="AC2676" s="2090" t="s">
        <v>14499</v>
      </c>
      <c r="AD2676" s="2090" t="s">
        <v>14500</v>
      </c>
      <c r="AE2676" s="2094" t="s">
        <v>210</v>
      </c>
      <c r="AF2676" s="2095">
        <v>140.0</v>
      </c>
      <c r="AG2676" s="2095">
        <v>0.58</v>
      </c>
      <c r="AH2676" s="2090" t="s">
        <v>208</v>
      </c>
      <c r="AI2676" s="2094" t="s">
        <v>843</v>
      </c>
      <c r="AJ2676" s="2095">
        <v>0.01</v>
      </c>
      <c r="AK2676" s="2090" t="s">
        <v>128</v>
      </c>
      <c r="AL2676" s="2090" t="s">
        <v>179</v>
      </c>
      <c r="AM2676" s="2090" t="s">
        <v>130</v>
      </c>
      <c r="AN2676" s="2090" t="s">
        <v>131</v>
      </c>
      <c r="AO2676" s="2095">
        <v>1550.0</v>
      </c>
      <c r="AP2676" s="1416">
        <v>0.57</v>
      </c>
      <c r="AQ2676" s="198" t="s">
        <v>208</v>
      </c>
      <c r="AR2676" s="148" t="s">
        <v>14406</v>
      </c>
      <c r="AS2676" s="2097">
        <v>9.89133616410579E-76</v>
      </c>
      <c r="AT2676" s="1785" t="s">
        <v>165</v>
      </c>
      <c r="AU2676" s="2180" t="s">
        <v>129</v>
      </c>
      <c r="AV2676" s="2090" t="s">
        <v>130</v>
      </c>
      <c r="AW2676" s="2189" t="s">
        <v>15766</v>
      </c>
      <c r="AX2676" s="2090" t="s">
        <v>136</v>
      </c>
      <c r="AY2676" s="2088"/>
      <c r="AZ2676" s="284" t="s">
        <v>1263</v>
      </c>
      <c r="BA2676" s="2088"/>
      <c r="BB2676" s="2088"/>
      <c r="BC2676" s="2088"/>
      <c r="BD2676" s="2088"/>
      <c r="BE2676" s="2088"/>
      <c r="BF2676" s="2088"/>
      <c r="BG2676" s="2088"/>
      <c r="BH2676" s="2088"/>
      <c r="BI2676" s="2088"/>
      <c r="BJ2676" s="2088"/>
      <c r="BK2676" s="2088"/>
      <c r="BL2676" s="2088"/>
      <c r="BM2676" s="2088"/>
      <c r="BN2676" s="2088"/>
      <c r="BO2676" s="2088"/>
      <c r="BP2676" s="2088"/>
      <c r="BQ2676" s="2088"/>
      <c r="BR2676" s="2088"/>
      <c r="BS2676" s="2088"/>
      <c r="BT2676" s="2088"/>
      <c r="BU2676" s="2088"/>
      <c r="BV2676" s="2088"/>
      <c r="BW2676" s="2088"/>
      <c r="BX2676" s="2088"/>
      <c r="BY2676" s="2088"/>
      <c r="BZ2676" s="2088"/>
      <c r="CA2676" s="2088"/>
      <c r="CB2676" s="2088"/>
      <c r="CC2676" s="2088"/>
      <c r="CD2676" s="2088"/>
      <c r="CE2676" s="2088"/>
      <c r="CF2676" s="2088"/>
      <c r="CG2676" s="2088"/>
      <c r="CH2676" s="2088"/>
      <c r="CI2676" s="2088"/>
      <c r="CJ2676" s="2088"/>
      <c r="CK2676" s="2088"/>
      <c r="CL2676" s="2088"/>
      <c r="CM2676" s="2088"/>
      <c r="CN2676" s="2088"/>
      <c r="CO2676" s="2088"/>
      <c r="CP2676" s="2088"/>
      <c r="CQ2676" s="2088"/>
      <c r="CR2676" s="2088"/>
      <c r="CS2676" s="2088"/>
      <c r="CT2676" s="2088"/>
      <c r="CU2676" s="2088"/>
      <c r="CV2676" s="2088"/>
      <c r="CW2676" s="2088"/>
      <c r="CX2676" s="2088"/>
      <c r="CY2676" s="2088"/>
      <c r="CZ2676" s="2088"/>
      <c r="DA2676" s="2088"/>
      <c r="DB2676" s="2088"/>
      <c r="DC2676" s="2088"/>
      <c r="DD2676" s="2088"/>
      <c r="DE2676" s="2088"/>
      <c r="DF2676" s="2088"/>
      <c r="DG2676" s="2088"/>
      <c r="DH2676" s="2088"/>
    </row>
    <row r="2677">
      <c r="A2677" s="41">
        <v>2677.0</v>
      </c>
      <c r="B2677" s="126" t="s">
        <v>145</v>
      </c>
      <c r="C2677" s="59" t="s">
        <v>108</v>
      </c>
      <c r="D2677" s="59" t="s">
        <v>279</v>
      </c>
      <c r="F2677" s="65" t="s">
        <v>14502</v>
      </c>
      <c r="G2677" s="156" t="s">
        <v>14391</v>
      </c>
      <c r="H2677" s="156" t="s">
        <v>8467</v>
      </c>
      <c r="I2677" s="149">
        <v>45251.0</v>
      </c>
      <c r="J2677" s="2142">
        <v>45807.0</v>
      </c>
      <c r="K2677" s="156" t="s">
        <v>15809</v>
      </c>
      <c r="L2677" s="126" t="s">
        <v>15810</v>
      </c>
      <c r="M2677" s="156" t="s">
        <v>14504</v>
      </c>
      <c r="N2677" s="156" t="s">
        <v>14505</v>
      </c>
      <c r="O2677" s="126">
        <v>1.0</v>
      </c>
      <c r="P2677" s="379" t="s">
        <v>14506</v>
      </c>
      <c r="Q2677" s="2153" t="str">
        <f> hyperlink(vlookup(lower(N2677),'File Links'!E:F, 2, FALSE), "LINK")</f>
        <v>LINK</v>
      </c>
      <c r="R2677" s="156" t="s">
        <v>14398</v>
      </c>
      <c r="S2677" s="156" t="s">
        <v>14399</v>
      </c>
      <c r="T2677" s="438" t="s">
        <v>15763</v>
      </c>
      <c r="U2677" s="126">
        <v>1.0</v>
      </c>
      <c r="V2677" s="379" t="s">
        <v>14400</v>
      </c>
      <c r="W2677" s="202" t="s">
        <v>202</v>
      </c>
      <c r="X2677" s="1544" t="str">
        <f> hyperlink(vlookup(lower(S2677),'File Links'!E:F, 2, FALSE), "LINK")</f>
        <v>LINK</v>
      </c>
      <c r="Y2677" s="357"/>
      <c r="Z2677" s="156" t="s">
        <v>1072</v>
      </c>
      <c r="AA2677" s="156" t="s">
        <v>15811</v>
      </c>
      <c r="AB2677" s="156" t="s">
        <v>14402</v>
      </c>
      <c r="AC2677" s="156" t="s">
        <v>14507</v>
      </c>
      <c r="AD2677" s="156" t="s">
        <v>14508</v>
      </c>
      <c r="AE2677" s="158" t="s">
        <v>429</v>
      </c>
      <c r="AF2677" s="153">
        <v>9131.0</v>
      </c>
      <c r="AG2677" s="153">
        <v>0.17</v>
      </c>
      <c r="AH2677" s="2090" t="s">
        <v>208</v>
      </c>
      <c r="AI2677" s="148" t="s">
        <v>429</v>
      </c>
      <c r="AJ2677" s="158">
        <v>0.01</v>
      </c>
      <c r="AK2677" s="156" t="s">
        <v>128</v>
      </c>
      <c r="AL2677" s="357" t="s">
        <v>179</v>
      </c>
      <c r="AM2677" s="156" t="s">
        <v>130</v>
      </c>
      <c r="AN2677" s="156" t="s">
        <v>131</v>
      </c>
      <c r="AO2677" s="153">
        <v>1559.0</v>
      </c>
      <c r="AP2677" s="148">
        <v>0.39</v>
      </c>
      <c r="AQ2677" s="198" t="s">
        <v>208</v>
      </c>
      <c r="AR2677" s="148" t="s">
        <v>14406</v>
      </c>
      <c r="AS2677" s="156" t="s">
        <v>131</v>
      </c>
      <c r="AT2677" s="156" t="s">
        <v>131</v>
      </c>
      <c r="AU2677" s="156" t="s">
        <v>179</v>
      </c>
      <c r="AV2677" s="156" t="s">
        <v>130</v>
      </c>
      <c r="AW2677" s="307" t="s">
        <v>15766</v>
      </c>
      <c r="AX2677" s="156" t="s">
        <v>136</v>
      </c>
      <c r="AZ2677" s="284" t="s">
        <v>1263</v>
      </c>
    </row>
    <row r="2678">
      <c r="A2678" s="41">
        <v>2678.0</v>
      </c>
      <c r="B2678" s="126" t="s">
        <v>145</v>
      </c>
      <c r="C2678" s="59" t="s">
        <v>108</v>
      </c>
      <c r="D2678" s="59" t="s">
        <v>279</v>
      </c>
      <c r="F2678" s="65" t="s">
        <v>14510</v>
      </c>
      <c r="G2678" s="156" t="s">
        <v>14391</v>
      </c>
      <c r="H2678" s="156" t="s">
        <v>8467</v>
      </c>
      <c r="I2678" s="149">
        <v>45251.0</v>
      </c>
      <c r="J2678" s="2142">
        <v>45807.0</v>
      </c>
      <c r="K2678" s="156" t="s">
        <v>15812</v>
      </c>
      <c r="L2678" s="126" t="s">
        <v>15810</v>
      </c>
      <c r="M2678" s="156" t="s">
        <v>14504</v>
      </c>
      <c r="N2678" s="156" t="s">
        <v>14505</v>
      </c>
      <c r="O2678" s="126">
        <v>1.0</v>
      </c>
      <c r="P2678" s="379" t="s">
        <v>14506</v>
      </c>
      <c r="Q2678" s="2153" t="str">
        <f> hyperlink(vlookup(lower(N2678),'File Links'!E:F, 2, FALSE), "LINK")</f>
        <v>LINK</v>
      </c>
      <c r="R2678" s="156" t="s">
        <v>14398</v>
      </c>
      <c r="S2678" s="156" t="s">
        <v>14399</v>
      </c>
      <c r="T2678" s="438" t="s">
        <v>15763</v>
      </c>
      <c r="U2678" s="126">
        <v>1.0</v>
      </c>
      <c r="V2678" s="379" t="s">
        <v>14400</v>
      </c>
      <c r="W2678" s="202" t="s">
        <v>202</v>
      </c>
      <c r="X2678" s="1544" t="str">
        <f> hyperlink(vlookup(lower(S2678),'File Links'!E:F, 2, FALSE), "LINK")</f>
        <v>LINK</v>
      </c>
      <c r="Y2678" s="357"/>
      <c r="Z2678" s="156" t="s">
        <v>1072</v>
      </c>
      <c r="AA2678" s="156" t="s">
        <v>15813</v>
      </c>
      <c r="AB2678" s="156" t="s">
        <v>14402</v>
      </c>
      <c r="AC2678" s="156" t="s">
        <v>14511</v>
      </c>
      <c r="AD2678" s="156" t="s">
        <v>14508</v>
      </c>
      <c r="AE2678" s="158" t="s">
        <v>429</v>
      </c>
      <c r="AF2678" s="153">
        <v>7869.0</v>
      </c>
      <c r="AG2678" s="153">
        <v>-0.22</v>
      </c>
      <c r="AH2678" s="2090" t="s">
        <v>208</v>
      </c>
      <c r="AI2678" s="148" t="s">
        <v>429</v>
      </c>
      <c r="AJ2678" s="158">
        <v>0.01</v>
      </c>
      <c r="AK2678" s="156" t="s">
        <v>128</v>
      </c>
      <c r="AL2678" s="357" t="s">
        <v>179</v>
      </c>
      <c r="AM2678" s="156" t="s">
        <v>130</v>
      </c>
      <c r="AN2678" s="156" t="s">
        <v>131</v>
      </c>
      <c r="AO2678" s="153">
        <v>1559.0</v>
      </c>
      <c r="AP2678" s="148">
        <v>-0.54</v>
      </c>
      <c r="AQ2678" s="198" t="s">
        <v>208</v>
      </c>
      <c r="AR2678" s="148" t="s">
        <v>14406</v>
      </c>
      <c r="AS2678" s="156" t="s">
        <v>131</v>
      </c>
      <c r="AT2678" s="156" t="s">
        <v>131</v>
      </c>
      <c r="AU2678" s="156" t="s">
        <v>179</v>
      </c>
      <c r="AV2678" s="156" t="s">
        <v>130</v>
      </c>
      <c r="AW2678" s="307" t="s">
        <v>15766</v>
      </c>
      <c r="AX2678" s="156" t="s">
        <v>136</v>
      </c>
      <c r="AZ2678" s="284" t="s">
        <v>1263</v>
      </c>
    </row>
    <row r="2679">
      <c r="A2679" s="41">
        <v>2679.0</v>
      </c>
      <c r="B2679" s="216" t="s">
        <v>145</v>
      </c>
      <c r="C2679" s="121" t="s">
        <v>108</v>
      </c>
      <c r="D2679" s="121" t="s">
        <v>279</v>
      </c>
      <c r="E2679" s="104"/>
      <c r="F2679" s="122" t="s">
        <v>14512</v>
      </c>
      <c r="G2679" s="137" t="s">
        <v>14391</v>
      </c>
      <c r="H2679" s="137" t="s">
        <v>8467</v>
      </c>
      <c r="I2679" s="314">
        <v>45251.0</v>
      </c>
      <c r="J2679" s="218">
        <v>45807.0</v>
      </c>
      <c r="K2679" s="137" t="s">
        <v>15814</v>
      </c>
      <c r="L2679" s="692" t="s">
        <v>14513</v>
      </c>
      <c r="M2679" s="137" t="s">
        <v>14514</v>
      </c>
      <c r="N2679" s="137" t="s">
        <v>14515</v>
      </c>
      <c r="O2679" s="122"/>
      <c r="P2679" s="137" t="s">
        <v>14516</v>
      </c>
      <c r="Q2679" s="903" t="str">
        <f t="array" ref="Q2679"> if(iserror(MATCH(V2679, 'File Links'!C:C, 0)), "N/A", HYPERLINK(INDEX('File Links'!B:B, MATCH(P2679, 'File Links'!C:C, 0))))</f>
        <v>https://drive.google.com/file/d/15-Qaf3mc5XQEsuoEm8ghrVO5S8iGirFd/view?usp=drivesdk</v>
      </c>
      <c r="R2679" s="137" t="s">
        <v>14398</v>
      </c>
      <c r="S2679" s="137" t="s">
        <v>14399</v>
      </c>
      <c r="T2679" s="122"/>
      <c r="U2679" s="122"/>
      <c r="V2679" s="137" t="s">
        <v>14400</v>
      </c>
      <c r="W2679" s="122"/>
      <c r="X2679" s="2190" t="str">
        <f> hyperlink(vlookup(lower(S2679),'File Links'!E:F, 2, FALSE), "LINK")</f>
        <v>LINK</v>
      </c>
      <c r="Y2679" s="216" t="s">
        <v>134</v>
      </c>
      <c r="Z2679" s="137" t="s">
        <v>1072</v>
      </c>
      <c r="AA2679" s="122"/>
      <c r="AB2679" s="137" t="s">
        <v>14402</v>
      </c>
      <c r="AC2679" s="137" t="s">
        <v>14517</v>
      </c>
      <c r="AD2679" s="137" t="s">
        <v>14517</v>
      </c>
      <c r="AE2679" s="137" t="s">
        <v>131</v>
      </c>
      <c r="AF2679" s="779">
        <v>1108.0</v>
      </c>
      <c r="AG2679" s="137" t="s">
        <v>131</v>
      </c>
      <c r="AH2679" s="137" t="s">
        <v>131</v>
      </c>
      <c r="AI2679" s="137" t="s">
        <v>131</v>
      </c>
      <c r="AJ2679" s="137" t="s">
        <v>131</v>
      </c>
      <c r="AK2679" s="137" t="s">
        <v>131</v>
      </c>
      <c r="AL2679" s="137" t="s">
        <v>179</v>
      </c>
      <c r="AM2679" s="137" t="s">
        <v>130</v>
      </c>
      <c r="AN2679" s="137" t="s">
        <v>131</v>
      </c>
      <c r="AO2679" s="779">
        <v>1235.0</v>
      </c>
      <c r="AP2679" s="116">
        <v>-0.04</v>
      </c>
      <c r="AQ2679" s="137" t="s">
        <v>208</v>
      </c>
      <c r="AR2679" s="137" t="s">
        <v>15786</v>
      </c>
      <c r="AS2679" s="137" t="s">
        <v>131</v>
      </c>
      <c r="AT2679" s="137" t="s">
        <v>131</v>
      </c>
      <c r="AU2679" s="137" t="s">
        <v>179</v>
      </c>
      <c r="AV2679" s="137" t="s">
        <v>130</v>
      </c>
      <c r="AW2679" s="1696" t="s">
        <v>15766</v>
      </c>
      <c r="AX2679" s="137" t="s">
        <v>136</v>
      </c>
      <c r="AY2679" s="104"/>
      <c r="AZ2679" s="121" t="s">
        <v>1263</v>
      </c>
      <c r="BA2679" s="104"/>
      <c r="BB2679" s="104"/>
      <c r="BC2679" s="104"/>
      <c r="BD2679" s="104"/>
      <c r="BE2679" s="104"/>
      <c r="BF2679" s="104"/>
      <c r="BG2679" s="104"/>
      <c r="BH2679" s="104"/>
      <c r="BI2679" s="104"/>
      <c r="BJ2679" s="104"/>
      <c r="BK2679" s="104"/>
      <c r="BL2679" s="104"/>
      <c r="BM2679" s="104"/>
      <c r="BN2679" s="104"/>
      <c r="BO2679" s="104"/>
      <c r="BP2679" s="104"/>
      <c r="BQ2679" s="104"/>
      <c r="BR2679" s="104"/>
      <c r="BS2679" s="104"/>
      <c r="BT2679" s="104"/>
      <c r="BU2679" s="104"/>
      <c r="BV2679" s="104"/>
      <c r="BW2679" s="104"/>
      <c r="BX2679" s="104"/>
      <c r="BY2679" s="104"/>
      <c r="BZ2679" s="104"/>
      <c r="CA2679" s="104"/>
      <c r="CB2679" s="104"/>
      <c r="CC2679" s="104"/>
      <c r="CD2679" s="104"/>
      <c r="CE2679" s="104"/>
      <c r="CF2679" s="104"/>
      <c r="CG2679" s="104"/>
      <c r="CH2679" s="104"/>
      <c r="CI2679" s="104"/>
      <c r="CJ2679" s="104"/>
      <c r="CK2679" s="104"/>
      <c r="CL2679" s="104"/>
      <c r="CM2679" s="104"/>
      <c r="CN2679" s="104"/>
      <c r="CO2679" s="104"/>
      <c r="CP2679" s="104"/>
      <c r="CQ2679" s="104"/>
      <c r="CR2679" s="104"/>
      <c r="CS2679" s="104"/>
      <c r="CT2679" s="104"/>
      <c r="CU2679" s="104"/>
      <c r="CV2679" s="104"/>
      <c r="CW2679" s="104"/>
      <c r="CX2679" s="104"/>
      <c r="CY2679" s="104"/>
      <c r="CZ2679" s="104"/>
      <c r="DA2679" s="104"/>
      <c r="DB2679" s="104"/>
      <c r="DC2679" s="104"/>
      <c r="DD2679" s="104"/>
      <c r="DE2679" s="104"/>
      <c r="DF2679" s="104"/>
      <c r="DG2679" s="104"/>
      <c r="DH2679" s="104"/>
    </row>
    <row r="2680">
      <c r="A2680" s="41">
        <v>2680.0</v>
      </c>
      <c r="B2680" s="126" t="s">
        <v>107</v>
      </c>
      <c r="C2680" s="59" t="s">
        <v>108</v>
      </c>
      <c r="D2680" s="59" t="s">
        <v>279</v>
      </c>
      <c r="F2680" s="65" t="s">
        <v>14519</v>
      </c>
      <c r="G2680" s="156" t="s">
        <v>14391</v>
      </c>
      <c r="H2680" s="156" t="s">
        <v>8467</v>
      </c>
      <c r="I2680" s="149">
        <v>45251.0</v>
      </c>
      <c r="J2680" s="218">
        <v>45807.0</v>
      </c>
      <c r="K2680" s="156" t="s">
        <v>15815</v>
      </c>
      <c r="L2680" s="126" t="s">
        <v>15816</v>
      </c>
      <c r="M2680" s="156" t="s">
        <v>14521</v>
      </c>
      <c r="N2680" s="156" t="s">
        <v>14522</v>
      </c>
      <c r="O2680" s="126">
        <v>1.0</v>
      </c>
      <c r="P2680" s="379" t="s">
        <v>14523</v>
      </c>
      <c r="Q2680" s="2153" t="str">
        <f> hyperlink(vlookup(lower(N2680),'File Links'!E:F, 2, FALSE), "LINK")</f>
        <v>LINK</v>
      </c>
      <c r="R2680" s="156" t="s">
        <v>14398</v>
      </c>
      <c r="S2680" s="156" t="s">
        <v>14399</v>
      </c>
      <c r="T2680" s="944" t="s">
        <v>15763</v>
      </c>
      <c r="U2680" s="126">
        <v>1.0</v>
      </c>
      <c r="V2680" s="379" t="s">
        <v>14400</v>
      </c>
      <c r="W2680" s="202" t="s">
        <v>202</v>
      </c>
      <c r="X2680" s="1544" t="str">
        <f> hyperlink(vlookup(lower(S2680),'File Links'!E:F, 2, FALSE), "LINK")</f>
        <v>LINK</v>
      </c>
      <c r="Y2680" s="126"/>
      <c r="Z2680" s="156" t="s">
        <v>1072</v>
      </c>
      <c r="AA2680" s="156" t="s">
        <v>14524</v>
      </c>
      <c r="AB2680" s="156" t="s">
        <v>14402</v>
      </c>
      <c r="AC2680" s="156" t="s">
        <v>14524</v>
      </c>
      <c r="AD2680" s="126" t="s">
        <v>14525</v>
      </c>
      <c r="AE2680" s="126" t="s">
        <v>210</v>
      </c>
      <c r="AF2680" s="153">
        <v>138.0</v>
      </c>
      <c r="AG2680" s="148">
        <v>0.19</v>
      </c>
      <c r="AH2680" s="2090" t="s">
        <v>208</v>
      </c>
      <c r="AI2680" s="126" t="s">
        <v>210</v>
      </c>
      <c r="AJ2680" s="153">
        <v>0.05</v>
      </c>
      <c r="AK2680" s="232" t="s">
        <v>128</v>
      </c>
      <c r="AL2680" s="2090" t="s">
        <v>179</v>
      </c>
      <c r="AM2680" s="156" t="s">
        <v>130</v>
      </c>
      <c r="AN2680" s="156" t="s">
        <v>131</v>
      </c>
      <c r="AO2680" s="153">
        <v>1505.0</v>
      </c>
      <c r="AP2680" s="148">
        <v>0.18</v>
      </c>
      <c r="AQ2680" s="137" t="s">
        <v>208</v>
      </c>
      <c r="AR2680" s="148" t="s">
        <v>14406</v>
      </c>
      <c r="AS2680" s="2191">
        <v>9.52825986633411E-10</v>
      </c>
      <c r="AT2680" s="1785" t="s">
        <v>165</v>
      </c>
      <c r="AU2680" s="1784" t="s">
        <v>129</v>
      </c>
      <c r="AV2680" s="156" t="s">
        <v>130</v>
      </c>
      <c r="AW2680" s="307" t="s">
        <v>15766</v>
      </c>
      <c r="AX2680" s="156" t="s">
        <v>136</v>
      </c>
      <c r="AZ2680" s="121" t="s">
        <v>1263</v>
      </c>
    </row>
    <row r="2681">
      <c r="A2681" s="41">
        <v>2681.0</v>
      </c>
      <c r="B2681" s="628" t="s">
        <v>145</v>
      </c>
      <c r="C2681" s="394" t="s">
        <v>108</v>
      </c>
      <c r="D2681" s="394" t="s">
        <v>279</v>
      </c>
      <c r="E2681" s="217"/>
      <c r="F2681" s="395" t="s">
        <v>14528</v>
      </c>
      <c r="G2681" s="404" t="s">
        <v>14391</v>
      </c>
      <c r="H2681" s="404" t="s">
        <v>8467</v>
      </c>
      <c r="I2681" s="397">
        <v>45251.0</v>
      </c>
      <c r="J2681" s="2102">
        <v>45814.0</v>
      </c>
      <c r="K2681" s="404" t="s">
        <v>15817</v>
      </c>
      <c r="L2681" s="628" t="s">
        <v>15818</v>
      </c>
      <c r="M2681" s="404" t="s">
        <v>14530</v>
      </c>
      <c r="N2681" s="404" t="s">
        <v>14531</v>
      </c>
      <c r="O2681" s="628">
        <v>1.0</v>
      </c>
      <c r="P2681" s="404" t="s">
        <v>14532</v>
      </c>
      <c r="Q2681" s="2181" t="str">
        <f> hyperlink(vlookup(lower(N2681),'File Links'!E:F, 2, FALSE), "LINK")</f>
        <v>LINK</v>
      </c>
      <c r="R2681" s="404" t="s">
        <v>14398</v>
      </c>
      <c r="S2681" s="404" t="s">
        <v>14399</v>
      </c>
      <c r="T2681" s="2192" t="s">
        <v>15763</v>
      </c>
      <c r="U2681" s="628">
        <v>1.0</v>
      </c>
      <c r="V2681" s="404" t="s">
        <v>14400</v>
      </c>
      <c r="W2681" s="628" t="s">
        <v>202</v>
      </c>
      <c r="X2681" s="2182" t="str">
        <f> hyperlink(vlookup(lower(S2681),'File Links'!E:F, 2, FALSE), "LINK")</f>
        <v>LINK</v>
      </c>
      <c r="Y2681" s="628"/>
      <c r="Z2681" s="404" t="s">
        <v>1072</v>
      </c>
      <c r="AA2681" s="404" t="s">
        <v>15819</v>
      </c>
      <c r="AB2681" s="404" t="s">
        <v>14402</v>
      </c>
      <c r="AC2681" s="404" t="s">
        <v>14533</v>
      </c>
      <c r="AD2681" s="404" t="s">
        <v>14534</v>
      </c>
      <c r="AE2681" s="725">
        <v>6.0</v>
      </c>
      <c r="AF2681" s="725">
        <v>468.0</v>
      </c>
      <c r="AG2681" s="725">
        <v>-0.22</v>
      </c>
      <c r="AH2681" s="156" t="s">
        <v>354</v>
      </c>
      <c r="AI2681" s="641" t="s">
        <v>133</v>
      </c>
      <c r="AJ2681" s="725">
        <v>0.001</v>
      </c>
      <c r="AK2681" s="404" t="s">
        <v>128</v>
      </c>
      <c r="AL2681" s="404" t="s">
        <v>179</v>
      </c>
      <c r="AM2681" s="404" t="s">
        <v>130</v>
      </c>
      <c r="AN2681" s="404" t="s">
        <v>131</v>
      </c>
      <c r="AO2681" s="725">
        <v>1505.0</v>
      </c>
      <c r="AP2681" s="637">
        <v>-0.06</v>
      </c>
      <c r="AQ2681" s="137" t="s">
        <v>208</v>
      </c>
      <c r="AR2681" s="148" t="s">
        <v>14406</v>
      </c>
      <c r="AS2681" s="2103">
        <v>0.0132070207386067</v>
      </c>
      <c r="AT2681" s="1785" t="s">
        <v>165</v>
      </c>
      <c r="AU2681" s="1784" t="s">
        <v>129</v>
      </c>
      <c r="AV2681" s="404" t="s">
        <v>130</v>
      </c>
      <c r="AW2681" s="768" t="s">
        <v>15766</v>
      </c>
      <c r="AX2681" s="404" t="s">
        <v>136</v>
      </c>
      <c r="AY2681" s="217"/>
      <c r="AZ2681" s="121" t="s">
        <v>1263</v>
      </c>
      <c r="BA2681" s="217"/>
      <c r="BB2681" s="217"/>
      <c r="BC2681" s="217"/>
      <c r="BD2681" s="217"/>
      <c r="BE2681" s="217"/>
      <c r="BF2681" s="217"/>
      <c r="BG2681" s="217"/>
      <c r="BH2681" s="217"/>
      <c r="BI2681" s="217"/>
      <c r="BJ2681" s="217"/>
      <c r="BK2681" s="217"/>
      <c r="BL2681" s="217"/>
      <c r="BM2681" s="217"/>
      <c r="BN2681" s="217"/>
      <c r="BO2681" s="217"/>
      <c r="BP2681" s="217"/>
      <c r="BQ2681" s="217"/>
      <c r="BR2681" s="217"/>
      <c r="BS2681" s="217"/>
      <c r="BT2681" s="217"/>
      <c r="BU2681" s="217"/>
      <c r="BV2681" s="217"/>
      <c r="BW2681" s="217"/>
      <c r="BX2681" s="217"/>
      <c r="BY2681" s="217"/>
      <c r="BZ2681" s="217"/>
      <c r="CA2681" s="217"/>
      <c r="CB2681" s="217"/>
      <c r="CC2681" s="217"/>
      <c r="CD2681" s="217"/>
      <c r="CE2681" s="217"/>
      <c r="CF2681" s="217"/>
      <c r="CG2681" s="217"/>
      <c r="CH2681" s="217"/>
      <c r="CI2681" s="217"/>
      <c r="CJ2681" s="217"/>
      <c r="CK2681" s="217"/>
      <c r="CL2681" s="217"/>
      <c r="CM2681" s="217"/>
      <c r="CN2681" s="217"/>
      <c r="CO2681" s="217"/>
      <c r="CP2681" s="217"/>
      <c r="CQ2681" s="217"/>
      <c r="CR2681" s="217"/>
      <c r="CS2681" s="217"/>
      <c r="CT2681" s="217"/>
      <c r="CU2681" s="217"/>
      <c r="CV2681" s="217"/>
      <c r="CW2681" s="217"/>
      <c r="CX2681" s="217"/>
      <c r="CY2681" s="217"/>
      <c r="CZ2681" s="217"/>
      <c r="DA2681" s="217"/>
      <c r="DB2681" s="217"/>
      <c r="DC2681" s="217"/>
      <c r="DD2681" s="217"/>
      <c r="DE2681" s="217"/>
      <c r="DF2681" s="217"/>
      <c r="DG2681" s="217"/>
      <c r="DH2681" s="217"/>
    </row>
    <row r="2682">
      <c r="A2682" s="41">
        <v>2682.0</v>
      </c>
      <c r="B2682" s="126" t="s">
        <v>145</v>
      </c>
      <c r="C2682" s="59" t="s">
        <v>108</v>
      </c>
      <c r="D2682" s="59" t="s">
        <v>279</v>
      </c>
      <c r="F2682" s="65" t="s">
        <v>14535</v>
      </c>
      <c r="G2682" s="156" t="s">
        <v>14391</v>
      </c>
      <c r="H2682" s="156" t="s">
        <v>8467</v>
      </c>
      <c r="I2682" s="149">
        <v>45251.0</v>
      </c>
      <c r="J2682" s="2102">
        <v>45814.0</v>
      </c>
      <c r="K2682" s="156" t="s">
        <v>15820</v>
      </c>
      <c r="L2682" s="126" t="s">
        <v>15821</v>
      </c>
      <c r="M2682" s="156" t="s">
        <v>14530</v>
      </c>
      <c r="N2682" s="156" t="s">
        <v>14531</v>
      </c>
      <c r="O2682" s="126">
        <v>1.0</v>
      </c>
      <c r="P2682" s="379" t="s">
        <v>14532</v>
      </c>
      <c r="Q2682" s="2153" t="str">
        <f> hyperlink(vlookup(lower(N2682),'File Links'!E:F, 2, FALSE), "LINK")</f>
        <v>LINK</v>
      </c>
      <c r="R2682" s="156" t="s">
        <v>14398</v>
      </c>
      <c r="S2682" s="156" t="s">
        <v>14399</v>
      </c>
      <c r="T2682" s="438" t="s">
        <v>15763</v>
      </c>
      <c r="U2682" s="126">
        <v>1.0</v>
      </c>
      <c r="V2682" s="379" t="s">
        <v>14400</v>
      </c>
      <c r="W2682" s="1077" t="s">
        <v>202</v>
      </c>
      <c r="X2682" s="1544" t="str">
        <f> hyperlink(vlookup(lower(S2682),'File Links'!E:F, 2, FALSE), "LINK")</f>
        <v>LINK</v>
      </c>
      <c r="Y2682" s="126"/>
      <c r="Z2682" s="156" t="s">
        <v>1072</v>
      </c>
      <c r="AA2682" s="156" t="s">
        <v>15822</v>
      </c>
      <c r="AB2682" s="156" t="s">
        <v>14402</v>
      </c>
      <c r="AC2682" s="156" t="s">
        <v>14536</v>
      </c>
      <c r="AD2682" s="156" t="s">
        <v>14537</v>
      </c>
      <c r="AE2682" s="153">
        <v>6.0</v>
      </c>
      <c r="AF2682" s="153">
        <v>468.0</v>
      </c>
      <c r="AG2682" s="153">
        <v>0.15</v>
      </c>
      <c r="AH2682" s="156" t="s">
        <v>354</v>
      </c>
      <c r="AI2682" s="641" t="s">
        <v>133</v>
      </c>
      <c r="AJ2682" s="153">
        <v>0.01</v>
      </c>
      <c r="AK2682" s="156" t="s">
        <v>128</v>
      </c>
      <c r="AL2682" s="156" t="s">
        <v>179</v>
      </c>
      <c r="AM2682" s="156" t="s">
        <v>130</v>
      </c>
      <c r="AN2682" s="156" t="s">
        <v>131</v>
      </c>
      <c r="AO2682" s="153">
        <v>1505.0</v>
      </c>
      <c r="AP2682" s="148">
        <v>0.02</v>
      </c>
      <c r="AQ2682" s="137" t="s">
        <v>208</v>
      </c>
      <c r="AR2682" s="148" t="s">
        <v>14406</v>
      </c>
      <c r="AS2682" s="2103">
        <v>0.404568083514753</v>
      </c>
      <c r="AT2682" s="1785" t="s">
        <v>165</v>
      </c>
      <c r="AU2682" s="1784" t="s">
        <v>129</v>
      </c>
      <c r="AV2682" s="156" t="s">
        <v>130</v>
      </c>
      <c r="AW2682" s="307" t="s">
        <v>15766</v>
      </c>
      <c r="AX2682" s="156" t="s">
        <v>136</v>
      </c>
      <c r="AZ2682" s="121" t="s">
        <v>1263</v>
      </c>
    </row>
    <row r="2683">
      <c r="A2683" s="41">
        <v>2683.0</v>
      </c>
      <c r="B2683" s="126" t="s">
        <v>145</v>
      </c>
      <c r="C2683" s="59" t="s">
        <v>108</v>
      </c>
      <c r="D2683" s="59" t="s">
        <v>279</v>
      </c>
      <c r="F2683" s="65" t="s">
        <v>14538</v>
      </c>
      <c r="G2683" s="156" t="s">
        <v>14391</v>
      </c>
      <c r="H2683" s="156" t="s">
        <v>8467</v>
      </c>
      <c r="I2683" s="149">
        <v>45251.0</v>
      </c>
      <c r="J2683" s="2102">
        <v>45814.0</v>
      </c>
      <c r="K2683" s="156" t="s">
        <v>15823</v>
      </c>
      <c r="L2683" s="126" t="s">
        <v>15824</v>
      </c>
      <c r="M2683" s="156" t="s">
        <v>14530</v>
      </c>
      <c r="N2683" s="156" t="s">
        <v>14531</v>
      </c>
      <c r="O2683" s="126">
        <v>1.0</v>
      </c>
      <c r="P2683" s="379" t="s">
        <v>14532</v>
      </c>
      <c r="Q2683" s="2153" t="str">
        <f> hyperlink(vlookup(lower(N2683),'File Links'!E:F, 2, FALSE), "LINK")</f>
        <v>LINK</v>
      </c>
      <c r="R2683" s="156" t="s">
        <v>14398</v>
      </c>
      <c r="S2683" s="156" t="s">
        <v>14399</v>
      </c>
      <c r="T2683" s="438" t="s">
        <v>15763</v>
      </c>
      <c r="U2683" s="126">
        <v>1.0</v>
      </c>
      <c r="V2683" s="379" t="s">
        <v>14400</v>
      </c>
      <c r="W2683" s="1077" t="s">
        <v>202</v>
      </c>
      <c r="X2683" s="1544" t="str">
        <f> hyperlink(vlookup(lower(S2683),'File Links'!E:F, 2, FALSE), "LINK")</f>
        <v>LINK</v>
      </c>
      <c r="Y2683" s="126"/>
      <c r="Z2683" s="156" t="s">
        <v>1072</v>
      </c>
      <c r="AA2683" s="156" t="s">
        <v>15825</v>
      </c>
      <c r="AB2683" s="156" t="s">
        <v>14402</v>
      </c>
      <c r="AC2683" s="156" t="s">
        <v>14539</v>
      </c>
      <c r="AD2683" s="148" t="s">
        <v>14540</v>
      </c>
      <c r="AE2683" s="153">
        <v>6.0</v>
      </c>
      <c r="AF2683" s="153">
        <v>468.0</v>
      </c>
      <c r="AG2683" s="153">
        <v>0.17</v>
      </c>
      <c r="AH2683" s="156" t="s">
        <v>354</v>
      </c>
      <c r="AI2683" s="641" t="s">
        <v>133</v>
      </c>
      <c r="AJ2683" s="153">
        <v>0.001</v>
      </c>
      <c r="AK2683" s="156" t="s">
        <v>128</v>
      </c>
      <c r="AL2683" s="156" t="s">
        <v>179</v>
      </c>
      <c r="AM2683" s="156" t="s">
        <v>130</v>
      </c>
      <c r="AN2683" s="156" t="s">
        <v>131</v>
      </c>
      <c r="AO2683" s="153">
        <v>1505.0</v>
      </c>
      <c r="AP2683" s="148">
        <v>0.31</v>
      </c>
      <c r="AQ2683" s="137" t="s">
        <v>208</v>
      </c>
      <c r="AR2683" s="148" t="s">
        <v>14406</v>
      </c>
      <c r="AS2683" s="2103">
        <v>3.92302815609495E-34</v>
      </c>
      <c r="AT2683" s="1785" t="s">
        <v>165</v>
      </c>
      <c r="AU2683" s="1784" t="s">
        <v>129</v>
      </c>
      <c r="AV2683" s="156" t="s">
        <v>130</v>
      </c>
      <c r="AW2683" s="307" t="s">
        <v>15766</v>
      </c>
      <c r="AX2683" s="156" t="s">
        <v>136</v>
      </c>
      <c r="AZ2683" s="121" t="s">
        <v>1263</v>
      </c>
    </row>
    <row r="2684">
      <c r="A2684" s="41">
        <v>2684.0</v>
      </c>
      <c r="B2684" s="126" t="s">
        <v>145</v>
      </c>
      <c r="C2684" s="59" t="s">
        <v>108</v>
      </c>
      <c r="D2684" s="59" t="s">
        <v>279</v>
      </c>
      <c r="F2684" s="65" t="s">
        <v>14541</v>
      </c>
      <c r="G2684" s="156" t="s">
        <v>14391</v>
      </c>
      <c r="H2684" s="156" t="s">
        <v>8467</v>
      </c>
      <c r="I2684" s="149">
        <v>45251.0</v>
      </c>
      <c r="J2684" s="2102">
        <v>45814.0</v>
      </c>
      <c r="K2684" s="156" t="s">
        <v>15826</v>
      </c>
      <c r="L2684" s="126" t="s">
        <v>15827</v>
      </c>
      <c r="M2684" s="156" t="s">
        <v>14530</v>
      </c>
      <c r="N2684" s="156" t="s">
        <v>14531</v>
      </c>
      <c r="O2684" s="126">
        <v>1.0</v>
      </c>
      <c r="P2684" s="379" t="s">
        <v>14532</v>
      </c>
      <c r="Q2684" s="2153" t="str">
        <f> hyperlink(vlookup(lower(N2684),'File Links'!E:F, 2, FALSE), "LINK")</f>
        <v>LINK</v>
      </c>
      <c r="R2684" s="156" t="s">
        <v>14398</v>
      </c>
      <c r="S2684" s="156" t="s">
        <v>14399</v>
      </c>
      <c r="T2684" s="438" t="s">
        <v>15763</v>
      </c>
      <c r="U2684" s="126">
        <v>1.0</v>
      </c>
      <c r="V2684" s="379" t="s">
        <v>14400</v>
      </c>
      <c r="W2684" s="1077" t="s">
        <v>202</v>
      </c>
      <c r="X2684" s="1544" t="str">
        <f> hyperlink(vlookup(lower(S2684),'File Links'!E:F, 2, FALSE), "LINK")</f>
        <v>LINK</v>
      </c>
      <c r="Y2684" s="126"/>
      <c r="Z2684" s="156" t="s">
        <v>1072</v>
      </c>
      <c r="AA2684" s="156" t="s">
        <v>15828</v>
      </c>
      <c r="AB2684" s="156" t="s">
        <v>14402</v>
      </c>
      <c r="AC2684" s="156" t="s">
        <v>14543</v>
      </c>
      <c r="AD2684" s="148" t="s">
        <v>14544</v>
      </c>
      <c r="AE2684" s="153">
        <v>6.0</v>
      </c>
      <c r="AF2684" s="153">
        <v>468.0</v>
      </c>
      <c r="AG2684" s="153">
        <v>-0.19</v>
      </c>
      <c r="AH2684" s="156" t="s">
        <v>354</v>
      </c>
      <c r="AI2684" s="641" t="s">
        <v>133</v>
      </c>
      <c r="AJ2684" s="153">
        <v>0.001</v>
      </c>
      <c r="AK2684" s="156" t="s">
        <v>128</v>
      </c>
      <c r="AL2684" s="156" t="s">
        <v>179</v>
      </c>
      <c r="AM2684" s="156" t="s">
        <v>130</v>
      </c>
      <c r="AN2684" s="156" t="s">
        <v>131</v>
      </c>
      <c r="AO2684" s="153">
        <v>1505.0</v>
      </c>
      <c r="AP2684" s="148">
        <v>-0.13</v>
      </c>
      <c r="AQ2684" s="137" t="s">
        <v>208</v>
      </c>
      <c r="AR2684" s="148" t="s">
        <v>14406</v>
      </c>
      <c r="AS2684" s="2103">
        <v>1.00924446171511E-6</v>
      </c>
      <c r="AT2684" s="1785" t="s">
        <v>165</v>
      </c>
      <c r="AU2684" s="1784" t="s">
        <v>129</v>
      </c>
      <c r="AV2684" s="156" t="s">
        <v>130</v>
      </c>
      <c r="AW2684" s="307" t="s">
        <v>15766</v>
      </c>
      <c r="AX2684" s="156" t="s">
        <v>136</v>
      </c>
      <c r="AZ2684" s="121" t="s">
        <v>1263</v>
      </c>
    </row>
    <row r="2685">
      <c r="A2685" s="41">
        <v>2685.0</v>
      </c>
      <c r="B2685" s="628" t="s">
        <v>145</v>
      </c>
      <c r="C2685" s="394" t="s">
        <v>108</v>
      </c>
      <c r="D2685" s="394" t="s">
        <v>279</v>
      </c>
      <c r="E2685" s="217"/>
      <c r="F2685" s="395" t="s">
        <v>14545</v>
      </c>
      <c r="G2685" s="404" t="s">
        <v>14391</v>
      </c>
      <c r="H2685" s="404" t="s">
        <v>8467</v>
      </c>
      <c r="I2685" s="397">
        <v>45251.0</v>
      </c>
      <c r="J2685" s="2102">
        <v>45814.0</v>
      </c>
      <c r="K2685" s="404" t="s">
        <v>15829</v>
      </c>
      <c r="L2685" s="126" t="s">
        <v>15827</v>
      </c>
      <c r="M2685" s="404" t="s">
        <v>14530</v>
      </c>
      <c r="N2685" s="404" t="s">
        <v>14531</v>
      </c>
      <c r="O2685" s="628">
        <v>1.0</v>
      </c>
      <c r="P2685" s="404" t="s">
        <v>14532</v>
      </c>
      <c r="Q2685" s="2181" t="str">
        <f> hyperlink(vlookup(lower(N2685),'File Links'!E:F, 2, FALSE), "LINK")</f>
        <v>LINK</v>
      </c>
      <c r="R2685" s="404" t="s">
        <v>14398</v>
      </c>
      <c r="S2685" s="404" t="s">
        <v>14399</v>
      </c>
      <c r="T2685" s="2192" t="s">
        <v>15763</v>
      </c>
      <c r="U2685" s="628">
        <v>1.0</v>
      </c>
      <c r="V2685" s="404" t="s">
        <v>14400</v>
      </c>
      <c r="W2685" s="1077" t="s">
        <v>202</v>
      </c>
      <c r="X2685" s="2182" t="str">
        <f> hyperlink(vlookup(lower(S2685),'File Links'!E:F, 2, FALSE), "LINK")</f>
        <v>LINK</v>
      </c>
      <c r="Y2685" s="628"/>
      <c r="Z2685" s="404" t="s">
        <v>1072</v>
      </c>
      <c r="AA2685" s="404" t="s">
        <v>15830</v>
      </c>
      <c r="AB2685" s="404" t="s">
        <v>14402</v>
      </c>
      <c r="AC2685" s="404" t="s">
        <v>14546</v>
      </c>
      <c r="AD2685" s="637" t="s">
        <v>14547</v>
      </c>
      <c r="AE2685" s="725">
        <v>6.0</v>
      </c>
      <c r="AF2685" s="725">
        <v>468.0</v>
      </c>
      <c r="AG2685" s="725">
        <v>0.2</v>
      </c>
      <c r="AH2685" s="404" t="s">
        <v>354</v>
      </c>
      <c r="AI2685" s="641" t="s">
        <v>133</v>
      </c>
      <c r="AJ2685" s="725">
        <v>0.001</v>
      </c>
      <c r="AK2685" s="404" t="s">
        <v>128</v>
      </c>
      <c r="AL2685" s="404" t="s">
        <v>179</v>
      </c>
      <c r="AM2685" s="404" t="s">
        <v>130</v>
      </c>
      <c r="AN2685" s="404" t="s">
        <v>131</v>
      </c>
      <c r="AO2685" s="725">
        <v>1505.0</v>
      </c>
      <c r="AP2685" s="637">
        <v>0.31</v>
      </c>
      <c r="AQ2685" s="137" t="s">
        <v>208</v>
      </c>
      <c r="AR2685" s="148" t="s">
        <v>14406</v>
      </c>
      <c r="AS2685" s="2103">
        <v>2.09847944447644E-20</v>
      </c>
      <c r="AT2685" s="1785" t="s">
        <v>165</v>
      </c>
      <c r="AU2685" s="1784" t="s">
        <v>129</v>
      </c>
      <c r="AV2685" s="404" t="s">
        <v>130</v>
      </c>
      <c r="AW2685" s="768" t="s">
        <v>15766</v>
      </c>
      <c r="AX2685" s="404" t="s">
        <v>136</v>
      </c>
      <c r="AY2685" s="217"/>
      <c r="AZ2685" s="121" t="s">
        <v>1263</v>
      </c>
      <c r="BA2685" s="217"/>
      <c r="BB2685" s="217"/>
      <c r="BC2685" s="217"/>
      <c r="BD2685" s="217"/>
      <c r="BE2685" s="217"/>
      <c r="BF2685" s="217"/>
      <c r="BG2685" s="217"/>
      <c r="BH2685" s="217"/>
      <c r="BI2685" s="217"/>
      <c r="BJ2685" s="217"/>
      <c r="BK2685" s="217"/>
      <c r="BL2685" s="217"/>
      <c r="BM2685" s="217"/>
      <c r="BN2685" s="217"/>
      <c r="BO2685" s="217"/>
      <c r="BP2685" s="217"/>
      <c r="BQ2685" s="217"/>
      <c r="BR2685" s="217"/>
      <c r="BS2685" s="217"/>
      <c r="BT2685" s="217"/>
      <c r="BU2685" s="217"/>
      <c r="BV2685" s="217"/>
      <c r="BW2685" s="217"/>
      <c r="BX2685" s="217"/>
      <c r="BY2685" s="217"/>
      <c r="BZ2685" s="217"/>
      <c r="CA2685" s="217"/>
      <c r="CB2685" s="217"/>
      <c r="CC2685" s="217"/>
      <c r="CD2685" s="217"/>
      <c r="CE2685" s="217"/>
      <c r="CF2685" s="217"/>
      <c r="CG2685" s="217"/>
      <c r="CH2685" s="217"/>
      <c r="CI2685" s="217"/>
      <c r="CJ2685" s="217"/>
      <c r="CK2685" s="217"/>
      <c r="CL2685" s="217"/>
      <c r="CM2685" s="217"/>
      <c r="CN2685" s="217"/>
      <c r="CO2685" s="217"/>
      <c r="CP2685" s="217"/>
      <c r="CQ2685" s="217"/>
      <c r="CR2685" s="217"/>
      <c r="CS2685" s="217"/>
      <c r="CT2685" s="217"/>
      <c r="CU2685" s="217"/>
      <c r="CV2685" s="217"/>
      <c r="CW2685" s="217"/>
      <c r="CX2685" s="217"/>
      <c r="CY2685" s="217"/>
      <c r="CZ2685" s="217"/>
      <c r="DA2685" s="217"/>
      <c r="DB2685" s="217"/>
      <c r="DC2685" s="217"/>
      <c r="DD2685" s="217"/>
      <c r="DE2685" s="217"/>
      <c r="DF2685" s="217"/>
      <c r="DG2685" s="217"/>
      <c r="DH2685" s="217"/>
    </row>
    <row r="2686">
      <c r="A2686" s="41">
        <v>2686.0</v>
      </c>
      <c r="B2686" s="126" t="s">
        <v>145</v>
      </c>
      <c r="C2686" s="59" t="s">
        <v>108</v>
      </c>
      <c r="D2686" s="59" t="s">
        <v>279</v>
      </c>
      <c r="F2686" s="156" t="s">
        <v>14548</v>
      </c>
      <c r="G2686" s="156" t="s">
        <v>14391</v>
      </c>
      <c r="H2686" s="156" t="s">
        <v>8467</v>
      </c>
      <c r="I2686" s="149">
        <v>45251.0</v>
      </c>
      <c r="J2686" s="2102">
        <v>45814.0</v>
      </c>
      <c r="K2686" s="156" t="s">
        <v>15831</v>
      </c>
      <c r="L2686" s="126" t="s">
        <v>15832</v>
      </c>
      <c r="M2686" s="156" t="s">
        <v>14550</v>
      </c>
      <c r="N2686" s="156" t="s">
        <v>14551</v>
      </c>
      <c r="O2686" s="126">
        <v>1.0</v>
      </c>
      <c r="P2686" s="379" t="s">
        <v>14552</v>
      </c>
      <c r="Q2686" s="49" t="str">
        <f t="array" ref="Q2686"> if(iserror(MATCH(V2686, 'File Links'!C:C, 0)), "N/A", HYPERLINK(INDEX('File Links'!B:B, MATCH(P2686, 'File Links'!C:C, 0))))</f>
        <v>https://drive.google.com/file/d/1Jok6c7VCZtMN99P6fMSmmpu_xIq7tlFM/view?usp=drivesdk</v>
      </c>
      <c r="R2686" s="156" t="s">
        <v>14398</v>
      </c>
      <c r="S2686" s="156" t="s">
        <v>14399</v>
      </c>
      <c r="T2686" s="2192" t="s">
        <v>15763</v>
      </c>
      <c r="U2686" s="126">
        <v>1.0</v>
      </c>
      <c r="V2686" s="379" t="s">
        <v>14400</v>
      </c>
      <c r="W2686" s="1077" t="s">
        <v>202</v>
      </c>
      <c r="X2686" s="1544" t="str">
        <f> hyperlink(vlookup(lower(S2686),'File Links'!E:F, 2, FALSE), "LINK")</f>
        <v>LINK</v>
      </c>
      <c r="Y2686" s="126"/>
      <c r="Z2686" s="156" t="s">
        <v>1072</v>
      </c>
      <c r="AA2686" s="126" t="s">
        <v>15833</v>
      </c>
      <c r="AB2686" s="156" t="s">
        <v>14402</v>
      </c>
      <c r="AC2686" s="156" t="s">
        <v>14553</v>
      </c>
      <c r="AD2686" s="148" t="s">
        <v>14554</v>
      </c>
      <c r="AE2686" s="153">
        <v>11.0</v>
      </c>
      <c r="AF2686" s="153">
        <v>198.0</v>
      </c>
      <c r="AG2686" s="153">
        <v>0.3</v>
      </c>
      <c r="AH2686" s="156" t="s">
        <v>208</v>
      </c>
      <c r="AI2686" s="158" t="s">
        <v>300</v>
      </c>
      <c r="AJ2686" s="153">
        <v>0.001</v>
      </c>
      <c r="AK2686" s="156" t="s">
        <v>128</v>
      </c>
      <c r="AL2686" s="156" t="s">
        <v>179</v>
      </c>
      <c r="AM2686" s="156" t="s">
        <v>130</v>
      </c>
      <c r="AN2686" s="156" t="s">
        <v>131</v>
      </c>
      <c r="AO2686" s="153">
        <v>1550.0</v>
      </c>
      <c r="AP2686" s="148">
        <v>0.25</v>
      </c>
      <c r="AQ2686" s="137" t="s">
        <v>208</v>
      </c>
      <c r="AR2686" s="148" t="s">
        <v>14406</v>
      </c>
      <c r="AS2686" s="156" t="s">
        <v>131</v>
      </c>
      <c r="AT2686" s="156" t="s">
        <v>131</v>
      </c>
      <c r="AU2686" s="156" t="s">
        <v>179</v>
      </c>
      <c r="AV2686" s="156" t="s">
        <v>130</v>
      </c>
      <c r="AW2686" s="307" t="s">
        <v>15766</v>
      </c>
      <c r="AX2686" s="156" t="s">
        <v>136</v>
      </c>
      <c r="AZ2686" s="121" t="s">
        <v>1263</v>
      </c>
    </row>
    <row r="2687">
      <c r="A2687" s="41">
        <v>2687.0</v>
      </c>
      <c r="B2687" s="126" t="s">
        <v>145</v>
      </c>
      <c r="C2687" s="59" t="s">
        <v>108</v>
      </c>
      <c r="D2687" s="59" t="s">
        <v>279</v>
      </c>
      <c r="F2687" s="156" t="s">
        <v>14555</v>
      </c>
      <c r="G2687" s="156" t="s">
        <v>14391</v>
      </c>
      <c r="H2687" s="156" t="s">
        <v>8467</v>
      </c>
      <c r="I2687" s="149">
        <v>45251.0</v>
      </c>
      <c r="J2687" s="2102">
        <v>45814.0</v>
      </c>
      <c r="K2687" s="156" t="s">
        <v>15834</v>
      </c>
      <c r="L2687" s="126" t="s">
        <v>15835</v>
      </c>
      <c r="M2687" s="156" t="s">
        <v>14550</v>
      </c>
      <c r="N2687" s="156" t="s">
        <v>14551</v>
      </c>
      <c r="O2687" s="126">
        <v>1.0</v>
      </c>
      <c r="P2687" s="379" t="s">
        <v>14552</v>
      </c>
      <c r="Q2687" s="49" t="str">
        <f t="array" ref="Q2687"> if(iserror(MATCH(V2687, 'File Links'!C:C, 0)), "N/A", HYPERLINK(INDEX('File Links'!B:B, MATCH(P2687, 'File Links'!C:C, 0))))</f>
        <v>https://drive.google.com/file/d/1Jok6c7VCZtMN99P6fMSmmpu_xIq7tlFM/view?usp=drivesdk</v>
      </c>
      <c r="R2687" s="156" t="s">
        <v>14398</v>
      </c>
      <c r="S2687" s="156" t="s">
        <v>14399</v>
      </c>
      <c r="T2687" s="2192" t="s">
        <v>15763</v>
      </c>
      <c r="U2687" s="126">
        <v>1.0</v>
      </c>
      <c r="V2687" s="379" t="s">
        <v>14400</v>
      </c>
      <c r="W2687" s="1077" t="s">
        <v>202</v>
      </c>
      <c r="X2687" s="1544" t="str">
        <f> hyperlink(vlookup(lower(S2687),'File Links'!E:F, 2, FALSE), "LINK")</f>
        <v>LINK</v>
      </c>
      <c r="Y2687" s="126"/>
      <c r="Z2687" s="156" t="s">
        <v>1072</v>
      </c>
      <c r="AA2687" s="126" t="s">
        <v>15836</v>
      </c>
      <c r="AB2687" s="156" t="s">
        <v>14402</v>
      </c>
      <c r="AC2687" s="156" t="s">
        <v>14556</v>
      </c>
      <c r="AD2687" s="148" t="s">
        <v>14557</v>
      </c>
      <c r="AE2687" s="153">
        <v>10.0</v>
      </c>
      <c r="AF2687" s="153">
        <v>198.0</v>
      </c>
      <c r="AG2687" s="153">
        <v>-0.5</v>
      </c>
      <c r="AH2687" s="156" t="s">
        <v>208</v>
      </c>
      <c r="AI2687" s="158" t="s">
        <v>625</v>
      </c>
      <c r="AJ2687" s="153">
        <v>0.001</v>
      </c>
      <c r="AK2687" s="156" t="s">
        <v>128</v>
      </c>
      <c r="AL2687" s="156" t="s">
        <v>179</v>
      </c>
      <c r="AM2687" s="156" t="s">
        <v>130</v>
      </c>
      <c r="AN2687" s="156" t="s">
        <v>131</v>
      </c>
      <c r="AO2687" s="153">
        <v>1550.0</v>
      </c>
      <c r="AP2687" s="148">
        <v>-0.35</v>
      </c>
      <c r="AQ2687" s="137" t="s">
        <v>208</v>
      </c>
      <c r="AR2687" s="148" t="s">
        <v>14406</v>
      </c>
      <c r="AS2687" s="156" t="s">
        <v>131</v>
      </c>
      <c r="AT2687" s="156" t="s">
        <v>131</v>
      </c>
      <c r="AU2687" s="156" t="s">
        <v>179</v>
      </c>
      <c r="AV2687" s="156" t="s">
        <v>130</v>
      </c>
      <c r="AW2687" s="307" t="s">
        <v>15766</v>
      </c>
      <c r="AX2687" s="156" t="s">
        <v>136</v>
      </c>
      <c r="AZ2687" s="121" t="s">
        <v>1263</v>
      </c>
    </row>
    <row r="2688">
      <c r="A2688" s="41">
        <v>2688.0</v>
      </c>
      <c r="B2688" s="126" t="s">
        <v>145</v>
      </c>
      <c r="C2688" s="59" t="s">
        <v>108</v>
      </c>
      <c r="D2688" s="59" t="s">
        <v>279</v>
      </c>
      <c r="F2688" s="156" t="s">
        <v>14558</v>
      </c>
      <c r="G2688" s="156" t="s">
        <v>14391</v>
      </c>
      <c r="H2688" s="156" t="s">
        <v>8467</v>
      </c>
      <c r="I2688" s="149">
        <v>45251.0</v>
      </c>
      <c r="J2688" s="2102">
        <v>45814.0</v>
      </c>
      <c r="K2688" s="156" t="s">
        <v>15837</v>
      </c>
      <c r="L2688" s="126" t="s">
        <v>15838</v>
      </c>
      <c r="M2688" s="156" t="s">
        <v>14560</v>
      </c>
      <c r="N2688" s="156" t="s">
        <v>14561</v>
      </c>
      <c r="O2688" s="126">
        <v>1.0</v>
      </c>
      <c r="P2688" s="379" t="s">
        <v>14562</v>
      </c>
      <c r="Q2688" s="49" t="str">
        <f t="array" ref="Q2688"> if(iserror(MATCH(V2688, 'File Links'!C:C, 0)), "N/A", HYPERLINK(INDEX('File Links'!B:B, MATCH(P2688, 'File Links'!C:C, 0))))</f>
        <v>https://drive.google.com/file/d/1-pDt7XIQ8gHle_zOW9q4-7M5_5yCo3db/view?usp=drivesdk</v>
      </c>
      <c r="R2688" s="156" t="s">
        <v>14398</v>
      </c>
      <c r="S2688" s="156" t="s">
        <v>14399</v>
      </c>
      <c r="T2688" s="2192" t="s">
        <v>15763</v>
      </c>
      <c r="U2688" s="126">
        <v>1.0</v>
      </c>
      <c r="V2688" s="379" t="s">
        <v>14400</v>
      </c>
      <c r="W2688" s="1077" t="s">
        <v>202</v>
      </c>
      <c r="X2688" s="1544" t="str">
        <f> hyperlink(vlookup(lower(S2688),'File Links'!E:F, 2, FALSE), "LINK")</f>
        <v>LINK</v>
      </c>
      <c r="Y2688" s="126"/>
      <c r="Z2688" s="156" t="s">
        <v>1072</v>
      </c>
      <c r="AA2688" s="126" t="s">
        <v>15839</v>
      </c>
      <c r="AB2688" s="156" t="s">
        <v>14402</v>
      </c>
      <c r="AC2688" s="156" t="s">
        <v>14563</v>
      </c>
      <c r="AD2688" s="148" t="s">
        <v>14564</v>
      </c>
      <c r="AE2688" s="126">
        <v>9.0</v>
      </c>
      <c r="AF2688" s="153">
        <v>111.0</v>
      </c>
      <c r="AG2688" s="153">
        <v>0.22</v>
      </c>
      <c r="AH2688" s="156" t="s">
        <v>354</v>
      </c>
      <c r="AI2688" s="158" t="s">
        <v>621</v>
      </c>
      <c r="AJ2688" s="153">
        <v>0.05</v>
      </c>
      <c r="AK2688" s="156" t="s">
        <v>128</v>
      </c>
      <c r="AL2688" s="156" t="s">
        <v>179</v>
      </c>
      <c r="AM2688" s="156" t="s">
        <v>130</v>
      </c>
      <c r="AN2688" s="156" t="s">
        <v>131</v>
      </c>
      <c r="AO2688" s="153">
        <v>804.0</v>
      </c>
      <c r="AP2688" s="148">
        <v>-0.57</v>
      </c>
      <c r="AQ2688" s="156" t="s">
        <v>354</v>
      </c>
      <c r="AR2688" s="148" t="s">
        <v>14406</v>
      </c>
      <c r="AS2688" s="156" t="s">
        <v>131</v>
      </c>
      <c r="AT2688" s="156" t="s">
        <v>131</v>
      </c>
      <c r="AU2688" s="156" t="s">
        <v>179</v>
      </c>
      <c r="AV2688" s="156" t="s">
        <v>130</v>
      </c>
      <c r="AW2688" s="307" t="s">
        <v>15766</v>
      </c>
      <c r="AX2688" s="156" t="s">
        <v>136</v>
      </c>
      <c r="AZ2688" s="121" t="s">
        <v>1263</v>
      </c>
    </row>
    <row r="2689">
      <c r="A2689" s="41">
        <v>2689.0</v>
      </c>
      <c r="B2689" s="126" t="s">
        <v>145</v>
      </c>
      <c r="C2689" s="59" t="s">
        <v>108</v>
      </c>
      <c r="D2689" s="59" t="s">
        <v>279</v>
      </c>
      <c r="F2689" s="156" t="s">
        <v>14566</v>
      </c>
      <c r="G2689" s="156" t="s">
        <v>14391</v>
      </c>
      <c r="H2689" s="156" t="s">
        <v>8467</v>
      </c>
      <c r="I2689" s="149">
        <v>45251.0</v>
      </c>
      <c r="J2689" s="2102">
        <v>45814.0</v>
      </c>
      <c r="K2689" s="156" t="s">
        <v>15837</v>
      </c>
      <c r="L2689" s="126" t="s">
        <v>15838</v>
      </c>
      <c r="M2689" s="156" t="s">
        <v>14560</v>
      </c>
      <c r="N2689" s="156" t="s">
        <v>14561</v>
      </c>
      <c r="O2689" s="126">
        <v>1.0</v>
      </c>
      <c r="P2689" s="379" t="s">
        <v>14562</v>
      </c>
      <c r="Q2689" s="49" t="str">
        <f t="array" ref="Q2689"> if(iserror(MATCH(V2689, 'File Links'!C:C, 0)), "N/A", HYPERLINK(INDEX('File Links'!B:B, MATCH(P2689, 'File Links'!C:C, 0))))</f>
        <v>https://drive.google.com/file/d/1-pDt7XIQ8gHle_zOW9q4-7M5_5yCo3db/view?usp=drivesdk</v>
      </c>
      <c r="R2689" s="156" t="s">
        <v>14398</v>
      </c>
      <c r="S2689" s="156" t="s">
        <v>14399</v>
      </c>
      <c r="T2689" s="2192" t="s">
        <v>15763</v>
      </c>
      <c r="U2689" s="126">
        <v>1.0</v>
      </c>
      <c r="V2689" s="379" t="s">
        <v>14400</v>
      </c>
      <c r="W2689" s="1077" t="s">
        <v>202</v>
      </c>
      <c r="X2689" s="1544" t="str">
        <f> hyperlink(vlookup(lower(S2689),'File Links'!E:F, 2, FALSE), "LINK")</f>
        <v>LINK</v>
      </c>
      <c r="Y2689" s="126"/>
      <c r="Z2689" s="156" t="s">
        <v>1072</v>
      </c>
      <c r="AA2689" s="126" t="s">
        <v>15840</v>
      </c>
      <c r="AB2689" s="156" t="s">
        <v>14402</v>
      </c>
      <c r="AC2689" s="156" t="s">
        <v>14567</v>
      </c>
      <c r="AD2689" s="148" t="s">
        <v>14568</v>
      </c>
      <c r="AE2689" s="126">
        <v>9.0</v>
      </c>
      <c r="AF2689" s="153">
        <v>111.0</v>
      </c>
      <c r="AG2689" s="153">
        <v>0.27</v>
      </c>
      <c r="AH2689" s="156" t="s">
        <v>354</v>
      </c>
      <c r="AI2689" s="158" t="s">
        <v>621</v>
      </c>
      <c r="AJ2689" s="153">
        <v>0.05</v>
      </c>
      <c r="AK2689" s="156" t="s">
        <v>128</v>
      </c>
      <c r="AL2689" s="156" t="s">
        <v>179</v>
      </c>
      <c r="AM2689" s="156" t="s">
        <v>130</v>
      </c>
      <c r="AN2689" s="156" t="s">
        <v>131</v>
      </c>
      <c r="AO2689" s="153">
        <v>804.0</v>
      </c>
      <c r="AP2689" s="148">
        <v>0.25</v>
      </c>
      <c r="AQ2689" s="156" t="s">
        <v>354</v>
      </c>
      <c r="AR2689" s="148" t="s">
        <v>14406</v>
      </c>
      <c r="AS2689" s="156" t="s">
        <v>131</v>
      </c>
      <c r="AT2689" s="156" t="s">
        <v>131</v>
      </c>
      <c r="AU2689" s="156" t="s">
        <v>179</v>
      </c>
      <c r="AV2689" s="156" t="s">
        <v>130</v>
      </c>
      <c r="AW2689" s="307" t="s">
        <v>15766</v>
      </c>
      <c r="AX2689" s="156" t="s">
        <v>136</v>
      </c>
      <c r="AZ2689" s="121" t="s">
        <v>1263</v>
      </c>
    </row>
    <row r="2690">
      <c r="A2690" s="41">
        <v>2690.0</v>
      </c>
      <c r="B2690" s="126" t="s">
        <v>145</v>
      </c>
      <c r="C2690" s="59" t="s">
        <v>108</v>
      </c>
      <c r="D2690" s="59" t="s">
        <v>279</v>
      </c>
      <c r="F2690" s="156" t="s">
        <v>14569</v>
      </c>
      <c r="G2690" s="156" t="s">
        <v>14391</v>
      </c>
      <c r="H2690" s="156" t="s">
        <v>8467</v>
      </c>
      <c r="I2690" s="149">
        <v>45251.0</v>
      </c>
      <c r="J2690" s="2102">
        <v>45814.0</v>
      </c>
      <c r="K2690" s="156" t="s">
        <v>15841</v>
      </c>
      <c r="L2690" s="126" t="s">
        <v>15842</v>
      </c>
      <c r="M2690" s="156" t="s">
        <v>14570</v>
      </c>
      <c r="N2690" s="156" t="s">
        <v>14571</v>
      </c>
      <c r="O2690" s="126">
        <v>1.0</v>
      </c>
      <c r="P2690" s="379" t="s">
        <v>14572</v>
      </c>
      <c r="Q2690" s="49" t="str">
        <f t="array" ref="Q2690"> if(iserror(MATCH(V2690, 'File Links'!C:C, 0)), "N/A", HYPERLINK(INDEX('File Links'!B:B, MATCH(P2690, 'File Links'!C:C, 0))))</f>
        <v>https://drive.google.com/file/d/1OQXfdOsmBPcEjb_PF9uWD_g_s1g9BKLK/view?usp=drivesdk</v>
      </c>
      <c r="R2690" s="156" t="s">
        <v>14398</v>
      </c>
      <c r="S2690" s="156" t="s">
        <v>14399</v>
      </c>
      <c r="T2690" s="2192" t="s">
        <v>15763</v>
      </c>
      <c r="U2690" s="126">
        <v>1.0</v>
      </c>
      <c r="V2690" s="379" t="s">
        <v>14400</v>
      </c>
      <c r="W2690" s="1077" t="s">
        <v>202</v>
      </c>
      <c r="X2690" s="1544" t="str">
        <f> hyperlink(vlookup(lower(S2690),'File Links'!E:F, 2, FALSE), "LINK")</f>
        <v>LINK</v>
      </c>
      <c r="Y2690" s="126"/>
      <c r="Z2690" s="156" t="s">
        <v>1072</v>
      </c>
      <c r="AA2690" s="156" t="s">
        <v>15843</v>
      </c>
      <c r="AB2690" s="156" t="s">
        <v>14402</v>
      </c>
      <c r="AC2690" s="156" t="s">
        <v>14573</v>
      </c>
      <c r="AD2690" s="148" t="s">
        <v>14574</v>
      </c>
      <c r="AE2690" s="153">
        <v>4.0</v>
      </c>
      <c r="AF2690" s="153">
        <v>164.0</v>
      </c>
      <c r="AG2690" s="153">
        <v>0.2</v>
      </c>
      <c r="AH2690" s="156" t="s">
        <v>354</v>
      </c>
      <c r="AI2690" s="158" t="s">
        <v>843</v>
      </c>
      <c r="AJ2690" s="153">
        <v>0.05</v>
      </c>
      <c r="AK2690" s="156" t="s">
        <v>128</v>
      </c>
      <c r="AL2690" s="156" t="s">
        <v>179</v>
      </c>
      <c r="AM2690" s="156" t="s">
        <v>130</v>
      </c>
      <c r="AN2690" s="156" t="s">
        <v>131</v>
      </c>
      <c r="AO2690" s="153">
        <v>181.0</v>
      </c>
      <c r="AP2690" s="148">
        <v>0.18</v>
      </c>
      <c r="AQ2690" s="156" t="s">
        <v>354</v>
      </c>
      <c r="AR2690" s="148" t="s">
        <v>14406</v>
      </c>
      <c r="AS2690" s="2105">
        <v>0.0217651902491802</v>
      </c>
      <c r="AT2690" s="1785" t="s">
        <v>165</v>
      </c>
      <c r="AU2690" s="1784" t="s">
        <v>129</v>
      </c>
      <c r="AV2690" s="156" t="s">
        <v>130</v>
      </c>
      <c r="AW2690" s="307" t="s">
        <v>15766</v>
      </c>
      <c r="AX2690" s="156" t="s">
        <v>136</v>
      </c>
      <c r="AZ2690" s="121" t="s">
        <v>1263</v>
      </c>
    </row>
    <row r="2691">
      <c r="A2691" s="41">
        <v>2691.0</v>
      </c>
      <c r="B2691" s="126" t="s">
        <v>145</v>
      </c>
      <c r="C2691" s="59" t="s">
        <v>108</v>
      </c>
      <c r="D2691" s="59" t="s">
        <v>279</v>
      </c>
      <c r="F2691" s="65" t="s">
        <v>14576</v>
      </c>
      <c r="G2691" s="156" t="s">
        <v>14391</v>
      </c>
      <c r="H2691" s="156" t="s">
        <v>8467</v>
      </c>
      <c r="I2691" s="149">
        <v>45251.0</v>
      </c>
      <c r="J2691" s="2102">
        <v>45814.0</v>
      </c>
      <c r="K2691" s="156" t="s">
        <v>15844</v>
      </c>
      <c r="L2691" s="126" t="s">
        <v>15842</v>
      </c>
      <c r="M2691" s="156" t="s">
        <v>14570</v>
      </c>
      <c r="N2691" s="156" t="s">
        <v>14571</v>
      </c>
      <c r="O2691" s="126">
        <v>1.0</v>
      </c>
      <c r="P2691" s="379" t="s">
        <v>14572</v>
      </c>
      <c r="Q2691" s="49" t="str">
        <f t="array" ref="Q2691"> if(iserror(MATCH(V2691, 'File Links'!C:C, 0)), "N/A", HYPERLINK(INDEX('File Links'!B:B, MATCH(P2691, 'File Links'!C:C, 0))))</f>
        <v>https://drive.google.com/file/d/1OQXfdOsmBPcEjb_PF9uWD_g_s1g9BKLK/view?usp=drivesdk</v>
      </c>
      <c r="R2691" s="156" t="s">
        <v>14398</v>
      </c>
      <c r="S2691" s="156" t="s">
        <v>14399</v>
      </c>
      <c r="T2691" s="2192" t="s">
        <v>15763</v>
      </c>
      <c r="U2691" s="126">
        <v>1.0</v>
      </c>
      <c r="V2691" s="379" t="s">
        <v>14400</v>
      </c>
      <c r="W2691" s="1077" t="s">
        <v>202</v>
      </c>
      <c r="X2691" s="1544" t="str">
        <f> hyperlink(vlookup(lower(S2691),'File Links'!E:F, 2, FALSE), "LINK")</f>
        <v>LINK</v>
      </c>
      <c r="Y2691" s="126"/>
      <c r="Z2691" s="156" t="s">
        <v>1072</v>
      </c>
      <c r="AA2691" s="156" t="s">
        <v>15845</v>
      </c>
      <c r="AB2691" s="156" t="s">
        <v>14402</v>
      </c>
      <c r="AC2691" s="156" t="s">
        <v>14578</v>
      </c>
      <c r="AD2691" s="148" t="s">
        <v>14579</v>
      </c>
      <c r="AE2691" s="153">
        <v>4.0</v>
      </c>
      <c r="AF2691" s="153">
        <v>164.0</v>
      </c>
      <c r="AG2691" s="153">
        <v>0.35</v>
      </c>
      <c r="AH2691" s="156" t="s">
        <v>354</v>
      </c>
      <c r="AI2691" s="158" t="s">
        <v>843</v>
      </c>
      <c r="AJ2691" s="153">
        <v>0.01</v>
      </c>
      <c r="AK2691" s="156" t="s">
        <v>128</v>
      </c>
      <c r="AL2691" s="156" t="s">
        <v>179</v>
      </c>
      <c r="AM2691" s="156" t="s">
        <v>130</v>
      </c>
      <c r="AN2691" s="156" t="s">
        <v>131</v>
      </c>
      <c r="AO2691" s="153">
        <v>181.0</v>
      </c>
      <c r="AP2691" s="148">
        <v>0.1</v>
      </c>
      <c r="AQ2691" s="156" t="s">
        <v>354</v>
      </c>
      <c r="AR2691" s="148" t="s">
        <v>14406</v>
      </c>
      <c r="AS2691" s="148">
        <v>0.201168908324766</v>
      </c>
      <c r="AT2691" s="1785" t="s">
        <v>165</v>
      </c>
      <c r="AU2691" s="1784" t="s">
        <v>129</v>
      </c>
      <c r="AV2691" s="156" t="s">
        <v>130</v>
      </c>
      <c r="AW2691" s="307" t="s">
        <v>15766</v>
      </c>
      <c r="AX2691" s="156" t="s">
        <v>136</v>
      </c>
      <c r="AZ2691" s="121" t="s">
        <v>1263</v>
      </c>
    </row>
    <row r="2692">
      <c r="A2692" s="41">
        <v>2692.0</v>
      </c>
      <c r="B2692" s="126" t="s">
        <v>145</v>
      </c>
      <c r="C2692" s="59" t="s">
        <v>108</v>
      </c>
      <c r="D2692" s="59" t="s">
        <v>279</v>
      </c>
      <c r="F2692" s="65" t="s">
        <v>14580</v>
      </c>
      <c r="G2692" s="156" t="s">
        <v>14391</v>
      </c>
      <c r="H2692" s="156" t="s">
        <v>8467</v>
      </c>
      <c r="I2692" s="149">
        <v>45251.0</v>
      </c>
      <c r="J2692" s="2102">
        <v>45814.0</v>
      </c>
      <c r="K2692" s="156" t="s">
        <v>15846</v>
      </c>
      <c r="L2692" s="126" t="s">
        <v>15842</v>
      </c>
      <c r="M2692" s="156" t="s">
        <v>14570</v>
      </c>
      <c r="N2692" s="156" t="s">
        <v>14571</v>
      </c>
      <c r="O2692" s="126">
        <v>1.0</v>
      </c>
      <c r="P2692" s="379" t="s">
        <v>14572</v>
      </c>
      <c r="Q2692" s="49" t="str">
        <f t="array" ref="Q2692"> if(iserror(MATCH(V2692, 'File Links'!C:C, 0)), "N/A", HYPERLINK(INDEX('File Links'!B:B, MATCH(P2692, 'File Links'!C:C, 0))))</f>
        <v>https://drive.google.com/file/d/1OQXfdOsmBPcEjb_PF9uWD_g_s1g9BKLK/view?usp=drivesdk</v>
      </c>
      <c r="R2692" s="156" t="s">
        <v>14398</v>
      </c>
      <c r="S2692" s="156" t="s">
        <v>14399</v>
      </c>
      <c r="T2692" s="2192" t="s">
        <v>15763</v>
      </c>
      <c r="U2692" s="126">
        <v>1.0</v>
      </c>
      <c r="V2692" s="379" t="s">
        <v>14400</v>
      </c>
      <c r="W2692" s="1077" t="s">
        <v>202</v>
      </c>
      <c r="X2692" s="1544" t="str">
        <f> hyperlink(vlookup(lower(S2692),'File Links'!E:F, 2, FALSE), "LINK")</f>
        <v>LINK</v>
      </c>
      <c r="Y2692" s="126"/>
      <c r="Z2692" s="156" t="s">
        <v>1072</v>
      </c>
      <c r="AA2692" s="156" t="s">
        <v>15847</v>
      </c>
      <c r="AB2692" s="156" t="s">
        <v>14402</v>
      </c>
      <c r="AC2692" s="156" t="s">
        <v>14581</v>
      </c>
      <c r="AD2692" s="148" t="s">
        <v>14582</v>
      </c>
      <c r="AE2692" s="153">
        <v>4.0</v>
      </c>
      <c r="AF2692" s="153">
        <v>164.0</v>
      </c>
      <c r="AG2692" s="153">
        <v>0.28</v>
      </c>
      <c r="AH2692" s="156" t="s">
        <v>354</v>
      </c>
      <c r="AI2692" s="158" t="s">
        <v>843</v>
      </c>
      <c r="AJ2692" s="153">
        <v>0.01</v>
      </c>
      <c r="AK2692" s="156" t="s">
        <v>128</v>
      </c>
      <c r="AL2692" s="156" t="s">
        <v>179</v>
      </c>
      <c r="AM2692" s="156" t="s">
        <v>130</v>
      </c>
      <c r="AN2692" s="156" t="s">
        <v>131</v>
      </c>
      <c r="AO2692" s="153">
        <v>181.0</v>
      </c>
      <c r="AP2692" s="148">
        <v>0.12</v>
      </c>
      <c r="AQ2692" s="156" t="s">
        <v>354</v>
      </c>
      <c r="AR2692" s="148" t="s">
        <v>14406</v>
      </c>
      <c r="AS2692" s="148">
        <v>0.145383750270403</v>
      </c>
      <c r="AT2692" s="1785" t="s">
        <v>165</v>
      </c>
      <c r="AU2692" s="1784" t="s">
        <v>129</v>
      </c>
      <c r="AV2692" s="156" t="s">
        <v>130</v>
      </c>
      <c r="AW2692" s="307" t="s">
        <v>15766</v>
      </c>
      <c r="AX2692" s="156" t="s">
        <v>136</v>
      </c>
      <c r="AZ2692" s="121" t="s">
        <v>1263</v>
      </c>
    </row>
    <row r="2693">
      <c r="A2693" s="41">
        <v>2693.0</v>
      </c>
      <c r="B2693" s="126" t="s">
        <v>145</v>
      </c>
      <c r="C2693" s="59" t="s">
        <v>108</v>
      </c>
      <c r="D2693" s="59" t="s">
        <v>279</v>
      </c>
      <c r="F2693" s="65" t="s">
        <v>14583</v>
      </c>
      <c r="G2693" s="156" t="s">
        <v>14391</v>
      </c>
      <c r="H2693" s="156" t="s">
        <v>8467</v>
      </c>
      <c r="I2693" s="149">
        <v>45251.0</v>
      </c>
      <c r="J2693" s="2102">
        <v>45814.0</v>
      </c>
      <c r="K2693" s="156" t="s">
        <v>15848</v>
      </c>
      <c r="L2693" s="126" t="s">
        <v>15849</v>
      </c>
      <c r="M2693" s="156" t="s">
        <v>14585</v>
      </c>
      <c r="N2693" s="156" t="s">
        <v>14586</v>
      </c>
      <c r="O2693" s="126"/>
      <c r="P2693" s="379" t="s">
        <v>14587</v>
      </c>
      <c r="Q2693" s="2153" t="str">
        <f> hyperlink(vlookup(lower(N2693),'File Links'!E:F, 2, FALSE), "LINK")</f>
        <v>LINK</v>
      </c>
      <c r="R2693" s="156" t="s">
        <v>14398</v>
      </c>
      <c r="S2693" s="156" t="s">
        <v>14399</v>
      </c>
      <c r="T2693" s="65"/>
      <c r="U2693" s="65"/>
      <c r="V2693" s="379" t="s">
        <v>14400</v>
      </c>
      <c r="W2693" s="1077" t="s">
        <v>202</v>
      </c>
      <c r="X2693" s="1544" t="str">
        <f> hyperlink(vlookup(lower(S2693),'File Links'!E:F, 2, FALSE), "LINK")</f>
        <v>LINK</v>
      </c>
      <c r="Y2693" s="126" t="s">
        <v>15850</v>
      </c>
      <c r="Z2693" s="156" t="s">
        <v>1072</v>
      </c>
      <c r="AA2693" s="65"/>
      <c r="AB2693" s="156" t="s">
        <v>14402</v>
      </c>
      <c r="AC2693" s="156" t="s">
        <v>14588</v>
      </c>
      <c r="AD2693" s="156" t="s">
        <v>14588</v>
      </c>
      <c r="AE2693" s="156" t="s">
        <v>131</v>
      </c>
      <c r="AF2693" s="153">
        <v>980.0</v>
      </c>
      <c r="AG2693" s="156" t="s">
        <v>131</v>
      </c>
      <c r="AH2693" s="156" t="s">
        <v>131</v>
      </c>
      <c r="AI2693" s="156" t="s">
        <v>131</v>
      </c>
      <c r="AJ2693" s="156" t="s">
        <v>131</v>
      </c>
      <c r="AK2693" s="156" t="s">
        <v>131</v>
      </c>
      <c r="AL2693" s="156" t="s">
        <v>179</v>
      </c>
      <c r="AM2693" s="156" t="s">
        <v>130</v>
      </c>
      <c r="AN2693" s="156" t="s">
        <v>131</v>
      </c>
      <c r="AO2693" s="153">
        <v>1466.0</v>
      </c>
      <c r="AP2693" s="156" t="s">
        <v>15851</v>
      </c>
      <c r="AQ2693" s="156" t="s">
        <v>354</v>
      </c>
      <c r="AR2693" s="156" t="s">
        <v>15786</v>
      </c>
      <c r="AS2693" s="156" t="s">
        <v>131</v>
      </c>
      <c r="AT2693" s="156" t="s">
        <v>131</v>
      </c>
      <c r="AU2693" s="156" t="s">
        <v>179</v>
      </c>
      <c r="AV2693" s="156" t="s">
        <v>130</v>
      </c>
      <c r="AW2693" s="307" t="s">
        <v>15766</v>
      </c>
      <c r="AX2693" s="156" t="s">
        <v>136</v>
      </c>
      <c r="AZ2693" s="121" t="s">
        <v>1263</v>
      </c>
    </row>
    <row r="2694">
      <c r="A2694" s="41">
        <v>2694.0</v>
      </c>
      <c r="B2694" s="126" t="s">
        <v>145</v>
      </c>
      <c r="C2694" s="59" t="s">
        <v>108</v>
      </c>
      <c r="D2694" s="59" t="s">
        <v>279</v>
      </c>
      <c r="F2694" s="65" t="s">
        <v>14590</v>
      </c>
      <c r="G2694" s="156" t="s">
        <v>14391</v>
      </c>
      <c r="H2694" s="156" t="s">
        <v>8467</v>
      </c>
      <c r="I2694" s="149">
        <v>45251.0</v>
      </c>
      <c r="J2694" s="2102">
        <v>45814.0</v>
      </c>
      <c r="K2694" s="156" t="s">
        <v>15852</v>
      </c>
      <c r="L2694" s="126" t="s">
        <v>15853</v>
      </c>
      <c r="M2694" s="156" t="s">
        <v>14585</v>
      </c>
      <c r="N2694" s="156" t="s">
        <v>14586</v>
      </c>
      <c r="O2694" s="126">
        <v>1.0</v>
      </c>
      <c r="P2694" s="379" t="s">
        <v>14587</v>
      </c>
      <c r="Q2694" s="2153" t="str">
        <f> hyperlink(vlookup(lower(N2694),'File Links'!E:F, 2, FALSE), "LINK")</f>
        <v>LINK</v>
      </c>
      <c r="R2694" s="156" t="s">
        <v>14398</v>
      </c>
      <c r="S2694" s="156" t="s">
        <v>14399</v>
      </c>
      <c r="T2694" s="2192" t="s">
        <v>15763</v>
      </c>
      <c r="U2694" s="126">
        <v>1.0</v>
      </c>
      <c r="V2694" s="379" t="s">
        <v>14400</v>
      </c>
      <c r="W2694" s="1077" t="s">
        <v>202</v>
      </c>
      <c r="X2694" s="1544" t="str">
        <f> hyperlink(vlookup(lower(S2694),'File Links'!E:F, 2, FALSE), "LINK")</f>
        <v>LINK</v>
      </c>
      <c r="Y2694" s="126"/>
      <c r="Z2694" s="156" t="s">
        <v>1072</v>
      </c>
      <c r="AA2694" s="156" t="s">
        <v>15854</v>
      </c>
      <c r="AB2694" s="156" t="s">
        <v>14402</v>
      </c>
      <c r="AC2694" s="156" t="s">
        <v>14592</v>
      </c>
      <c r="AD2694" s="156" t="s">
        <v>14593</v>
      </c>
      <c r="AE2694" s="158" t="s">
        <v>625</v>
      </c>
      <c r="AF2694" s="153">
        <v>980.0</v>
      </c>
      <c r="AG2694" s="153">
        <v>-0.1</v>
      </c>
      <c r="AH2694" s="156" t="s">
        <v>353</v>
      </c>
      <c r="AI2694" s="158" t="s">
        <v>125</v>
      </c>
      <c r="AJ2694" s="153">
        <v>0.01</v>
      </c>
      <c r="AK2694" s="156" t="s">
        <v>128</v>
      </c>
      <c r="AL2694" s="156" t="s">
        <v>179</v>
      </c>
      <c r="AM2694" s="156" t="s">
        <v>130</v>
      </c>
      <c r="AN2694" s="156" t="s">
        <v>131</v>
      </c>
      <c r="AO2694" s="153">
        <v>1489.0</v>
      </c>
      <c r="AP2694" s="148">
        <v>-0.19</v>
      </c>
      <c r="AQ2694" s="156" t="s">
        <v>354</v>
      </c>
      <c r="AR2694" s="148" t="s">
        <v>15855</v>
      </c>
      <c r="AS2694" s="156" t="s">
        <v>131</v>
      </c>
      <c r="AT2694" s="156" t="s">
        <v>131</v>
      </c>
      <c r="AU2694" s="156" t="s">
        <v>179</v>
      </c>
      <c r="AV2694" s="156" t="s">
        <v>130</v>
      </c>
      <c r="AW2694" s="307" t="s">
        <v>15766</v>
      </c>
      <c r="AX2694" s="156" t="s">
        <v>136</v>
      </c>
      <c r="AZ2694" s="121" t="s">
        <v>1263</v>
      </c>
    </row>
    <row r="2695" ht="25.5" customHeight="1">
      <c r="A2695" s="41">
        <v>3016.0</v>
      </c>
      <c r="B2695" s="717" t="s">
        <v>107</v>
      </c>
      <c r="C2695" s="713" t="s">
        <v>108</v>
      </c>
      <c r="D2695" s="713" t="s">
        <v>146</v>
      </c>
      <c r="E2695" s="694"/>
      <c r="F2695" s="1421" t="s">
        <v>15856</v>
      </c>
      <c r="G2695" s="1421" t="s">
        <v>15857</v>
      </c>
      <c r="H2695" s="1426" t="s">
        <v>15858</v>
      </c>
      <c r="I2695" s="2193">
        <v>45821.0</v>
      </c>
      <c r="J2695" s="1498">
        <v>45840.0</v>
      </c>
      <c r="K2695" s="1421" t="s">
        <v>15859</v>
      </c>
      <c r="L2695" s="717" t="s">
        <v>15860</v>
      </c>
      <c r="M2695" s="1421" t="s">
        <v>15861</v>
      </c>
      <c r="N2695" s="1421" t="s">
        <v>15862</v>
      </c>
      <c r="O2695" s="1420"/>
      <c r="P2695" s="1421" t="s">
        <v>15863</v>
      </c>
      <c r="Q2695" s="2194" t="str">
        <f t="array" ref="Q2695"> if(iserror(MATCH(V2695, 'File Links'!C:C, 0)), "N/A", HYPERLINK(INDEX('File Links'!B:B, MATCH(P2695, 'File Links'!C:C, 0))))</f>
        <v>https://drive.google.com/file/d/1pIS8rz3Zhsg-K0XmlUgVtJjkBAX-gomL/view?usp=drivesdk</v>
      </c>
      <c r="R2695" s="2195" t="s">
        <v>15864</v>
      </c>
      <c r="S2695" s="1421" t="s">
        <v>15865</v>
      </c>
      <c r="T2695" s="1420"/>
      <c r="U2695" s="1420"/>
      <c r="V2695" s="1421" t="s">
        <v>15866</v>
      </c>
      <c r="W2695" s="1420"/>
      <c r="X2695" s="1503" t="str">
        <f t="array" ref="X2695"> if(iserror(MATCH(V2695, 'File Links'!C:C, 0)), "N/A", HYPERLINK(INDEX('File Links'!B:B, MATCH(V2695, 'File Links'!C:C, 0))))</f>
        <v>https://drive.google.com/file/d/18k1ykE5KGu6_zuNz9VCrn4DkEVOO1LJH/view?usp=drivesdk</v>
      </c>
      <c r="Y2695" s="1421" t="s">
        <v>15867</v>
      </c>
      <c r="Z2695" s="1421" t="s">
        <v>1802</v>
      </c>
      <c r="AA2695" s="1426" t="s">
        <v>234</v>
      </c>
      <c r="AB2695" s="1421" t="s">
        <v>15868</v>
      </c>
      <c r="AC2695" s="1420"/>
      <c r="AD2695" s="1420"/>
      <c r="AE2695" s="1420"/>
      <c r="AF2695" s="1420"/>
      <c r="AG2695" s="1420"/>
      <c r="AH2695" s="1420"/>
      <c r="AI2695" s="1420"/>
      <c r="AJ2695" s="1420"/>
      <c r="AK2695" s="1420"/>
      <c r="AL2695" s="1420"/>
      <c r="AM2695" s="1420"/>
      <c r="AN2695" s="1421" t="s">
        <v>131</v>
      </c>
      <c r="AO2695" s="1420"/>
      <c r="AP2695" s="2196"/>
      <c r="AQ2695" s="1420"/>
      <c r="AR2695" s="1420"/>
      <c r="AS2695" s="1420"/>
      <c r="AT2695" s="1420"/>
      <c r="AU2695" s="1420"/>
      <c r="AV2695" s="1420"/>
      <c r="AW2695" s="1421" t="s">
        <v>131</v>
      </c>
      <c r="AX2695" s="1420"/>
      <c r="AY2695" s="694"/>
      <c r="AZ2695" s="713" t="s">
        <v>13230</v>
      </c>
      <c r="BA2695" s="694"/>
      <c r="BB2695" s="694"/>
      <c r="BC2695" s="694"/>
      <c r="BD2695" s="694"/>
      <c r="BE2695" s="694"/>
      <c r="BF2695" s="694"/>
      <c r="BG2695" s="694"/>
      <c r="BH2695" s="694"/>
      <c r="BI2695" s="694"/>
      <c r="BJ2695" s="694"/>
      <c r="BK2695" s="694"/>
      <c r="BL2695" s="694"/>
      <c r="BM2695" s="694"/>
      <c r="BN2695" s="694"/>
      <c r="BO2695" s="694"/>
      <c r="BP2695" s="694"/>
      <c r="BQ2695" s="694"/>
      <c r="BR2695" s="694"/>
      <c r="BS2695" s="694"/>
      <c r="BT2695" s="694"/>
      <c r="BU2695" s="694"/>
      <c r="BV2695" s="694"/>
      <c r="BW2695" s="694"/>
      <c r="BX2695" s="694"/>
      <c r="BY2695" s="694"/>
      <c r="BZ2695" s="694"/>
      <c r="CA2695" s="694"/>
      <c r="CB2695" s="694"/>
      <c r="CC2695" s="694"/>
      <c r="CD2695" s="694"/>
      <c r="CE2695" s="694"/>
      <c r="CF2695" s="694"/>
      <c r="CG2695" s="694"/>
      <c r="CH2695" s="694"/>
      <c r="CI2695" s="694"/>
      <c r="CJ2695" s="694"/>
      <c r="CK2695" s="694"/>
      <c r="CL2695" s="694"/>
      <c r="CM2695" s="694"/>
      <c r="CN2695" s="694"/>
      <c r="CO2695" s="694"/>
      <c r="CP2695" s="694"/>
      <c r="CQ2695" s="694"/>
      <c r="CR2695" s="694"/>
      <c r="CS2695" s="694"/>
      <c r="CT2695" s="694"/>
      <c r="CU2695" s="694"/>
      <c r="CV2695" s="694"/>
      <c r="CW2695" s="694"/>
      <c r="CX2695" s="694"/>
      <c r="CY2695" s="694"/>
      <c r="CZ2695" s="694"/>
      <c r="DA2695" s="694"/>
      <c r="DB2695" s="694"/>
      <c r="DC2695" s="694"/>
      <c r="DD2695" s="694"/>
      <c r="DE2695" s="694"/>
      <c r="DF2695" s="694"/>
      <c r="DG2695" s="694"/>
      <c r="DH2695" s="694"/>
    </row>
    <row r="2696">
      <c r="A2696" s="41">
        <v>3161.0</v>
      </c>
      <c r="B2696" s="717" t="s">
        <v>107</v>
      </c>
      <c r="C2696" s="713" t="s">
        <v>108</v>
      </c>
      <c r="D2696" s="713" t="s">
        <v>1451</v>
      </c>
      <c r="E2696" s="694"/>
      <c r="F2696" s="1420" t="s">
        <v>15856</v>
      </c>
      <c r="G2696" s="714" t="s">
        <v>15857</v>
      </c>
      <c r="H2696" s="1995" t="s">
        <v>1511</v>
      </c>
      <c r="I2696" s="2197"/>
      <c r="J2696" s="1498">
        <v>45840.0</v>
      </c>
      <c r="K2696" s="714" t="s">
        <v>15869</v>
      </c>
      <c r="L2696" s="717" t="s">
        <v>15860</v>
      </c>
      <c r="M2696" s="714" t="s">
        <v>15861</v>
      </c>
      <c r="N2696" s="714" t="s">
        <v>15862</v>
      </c>
      <c r="O2696" s="1422">
        <v>1.0</v>
      </c>
      <c r="P2696" s="714" t="s">
        <v>15863</v>
      </c>
      <c r="Q2696" s="2194" t="str">
        <f t="array" ref="Q2696"> if(iserror(MATCH(V2696, 'File Links'!C:C, 0)), "N/A", HYPERLINK(INDEX('File Links'!B:B, MATCH(P2696, 'File Links'!C:C, 0))))</f>
        <v>https://drive.google.com/file/d/1pIS8rz3Zhsg-K0XmlUgVtJjkBAX-gomL/view?usp=drivesdk</v>
      </c>
      <c r="R2696" s="714" t="s">
        <v>15870</v>
      </c>
      <c r="S2696" s="714" t="s">
        <v>15865</v>
      </c>
      <c r="T2696" s="714" t="s">
        <v>131</v>
      </c>
      <c r="U2696" s="1422">
        <v>1.0</v>
      </c>
      <c r="V2696" s="714" t="s">
        <v>15866</v>
      </c>
      <c r="W2696" s="1420"/>
      <c r="X2696" s="1503" t="str">
        <f t="array" ref="X2696"> if(iserror(MATCH(V2696, 'File Links'!C:C, 0)), "N/A", HYPERLINK(INDEX('File Links'!B:B, MATCH(V2696, 'File Links'!C:C, 0))))</f>
        <v>https://drive.google.com/file/d/18k1ykE5KGu6_zuNz9VCrn4DkEVOO1LJH/view?usp=drivesdk</v>
      </c>
      <c r="Y2696" s="714" t="s">
        <v>131</v>
      </c>
      <c r="Z2696" s="714" t="s">
        <v>1802</v>
      </c>
      <c r="AA2696" s="714" t="s">
        <v>15871</v>
      </c>
      <c r="AB2696" s="714" t="s">
        <v>15872</v>
      </c>
      <c r="AC2696" s="714" t="s">
        <v>15873</v>
      </c>
      <c r="AD2696" s="1420" t="s">
        <v>15874</v>
      </c>
      <c r="AE2696" s="714" t="s">
        <v>3049</v>
      </c>
      <c r="AF2696" s="1422">
        <v>334.0</v>
      </c>
      <c r="AG2696" s="1422">
        <v>0.177</v>
      </c>
      <c r="AH2696" s="714" t="s">
        <v>354</v>
      </c>
      <c r="AI2696" s="714" t="s">
        <v>1166</v>
      </c>
      <c r="AJ2696" s="1422">
        <v>0.05</v>
      </c>
      <c r="AK2696" s="714" t="s">
        <v>128</v>
      </c>
      <c r="AL2696" s="714" t="s">
        <v>179</v>
      </c>
      <c r="AM2696" s="714" t="s">
        <v>134</v>
      </c>
      <c r="AN2696" s="714" t="s">
        <v>131</v>
      </c>
      <c r="AO2696" s="1422">
        <v>334.0</v>
      </c>
      <c r="AP2696" s="1422">
        <v>0.216</v>
      </c>
      <c r="AQ2696" s="714" t="s">
        <v>354</v>
      </c>
      <c r="AR2696" s="714" t="s">
        <v>875</v>
      </c>
      <c r="AS2696" s="1422">
        <v>0.01</v>
      </c>
      <c r="AT2696" s="714" t="s">
        <v>128</v>
      </c>
      <c r="AU2696" s="714" t="s">
        <v>179</v>
      </c>
      <c r="AV2696" s="714" t="s">
        <v>134</v>
      </c>
      <c r="AW2696" s="1420" t="s">
        <v>131</v>
      </c>
      <c r="AX2696" s="714" t="s">
        <v>136</v>
      </c>
      <c r="AY2696" s="694"/>
      <c r="AZ2696" s="713" t="s">
        <v>13230</v>
      </c>
      <c r="BA2696" s="694"/>
      <c r="BB2696" s="694"/>
      <c r="BC2696" s="694"/>
      <c r="BD2696" s="694"/>
      <c r="BE2696" s="694"/>
      <c r="BF2696" s="694"/>
      <c r="BG2696" s="694"/>
      <c r="BH2696" s="694"/>
      <c r="BI2696" s="694"/>
      <c r="BJ2696" s="694"/>
      <c r="BK2696" s="694"/>
      <c r="BL2696" s="694"/>
      <c r="BM2696" s="694"/>
      <c r="BN2696" s="694"/>
      <c r="BO2696" s="694"/>
      <c r="BP2696" s="694"/>
      <c r="BQ2696" s="694"/>
      <c r="BR2696" s="694"/>
      <c r="BS2696" s="694"/>
      <c r="BT2696" s="694"/>
      <c r="BU2696" s="694"/>
      <c r="BV2696" s="694"/>
      <c r="BW2696" s="694"/>
      <c r="BX2696" s="694"/>
      <c r="BY2696" s="694"/>
      <c r="BZ2696" s="694"/>
      <c r="CA2696" s="694"/>
      <c r="CB2696" s="694"/>
      <c r="CC2696" s="694"/>
      <c r="CD2696" s="694"/>
      <c r="CE2696" s="694"/>
      <c r="CF2696" s="694"/>
      <c r="CG2696" s="694"/>
      <c r="CH2696" s="694"/>
      <c r="CI2696" s="694"/>
      <c r="CJ2696" s="694"/>
      <c r="CK2696" s="694"/>
      <c r="CL2696" s="694"/>
      <c r="CM2696" s="694"/>
      <c r="CN2696" s="694"/>
      <c r="CO2696" s="694"/>
      <c r="CP2696" s="694"/>
      <c r="CQ2696" s="694"/>
      <c r="CR2696" s="694"/>
      <c r="CS2696" s="694"/>
      <c r="CT2696" s="694"/>
      <c r="CU2696" s="694"/>
      <c r="CV2696" s="694"/>
      <c r="CW2696" s="694"/>
      <c r="CX2696" s="694"/>
      <c r="CY2696" s="694"/>
      <c r="CZ2696" s="694"/>
      <c r="DA2696" s="694"/>
      <c r="DB2696" s="694"/>
      <c r="DC2696" s="694"/>
      <c r="DD2696" s="694"/>
      <c r="DE2696" s="694"/>
      <c r="DF2696" s="694"/>
      <c r="DG2696" s="694"/>
      <c r="DH2696" s="694"/>
    </row>
    <row r="2697">
      <c r="A2697" s="41">
        <v>3162.0</v>
      </c>
      <c r="B2697" s="717" t="s">
        <v>107</v>
      </c>
      <c r="C2697" s="713" t="s">
        <v>108</v>
      </c>
      <c r="D2697" s="713" t="s">
        <v>1451</v>
      </c>
      <c r="E2697" s="694"/>
      <c r="F2697" s="1420" t="s">
        <v>15856</v>
      </c>
      <c r="G2697" s="714" t="s">
        <v>15875</v>
      </c>
      <c r="H2697" s="1995" t="s">
        <v>1511</v>
      </c>
      <c r="I2697" s="2197"/>
      <c r="J2697" s="1498">
        <v>45840.0</v>
      </c>
      <c r="K2697" s="714" t="s">
        <v>15876</v>
      </c>
      <c r="L2697" s="717" t="s">
        <v>15860</v>
      </c>
      <c r="M2697" s="714" t="s">
        <v>15861</v>
      </c>
      <c r="N2697" s="714" t="s">
        <v>15862</v>
      </c>
      <c r="O2697" s="1422">
        <v>1.0</v>
      </c>
      <c r="P2697" s="714" t="s">
        <v>15863</v>
      </c>
      <c r="Q2697" s="2194" t="str">
        <f t="array" ref="Q2697"> if(iserror(MATCH(V2697, 'File Links'!C:C, 0)), "N/A", HYPERLINK(INDEX('File Links'!B:B, MATCH(P2697, 'File Links'!C:C, 0))))</f>
        <v>https://drive.google.com/file/d/1pIS8rz3Zhsg-K0XmlUgVtJjkBAX-gomL/view?usp=drivesdk</v>
      </c>
      <c r="R2697" s="714" t="s">
        <v>15870</v>
      </c>
      <c r="S2697" s="714" t="s">
        <v>15865</v>
      </c>
      <c r="T2697" s="714" t="s">
        <v>131</v>
      </c>
      <c r="U2697" s="1422">
        <v>1.0</v>
      </c>
      <c r="V2697" s="714" t="s">
        <v>15866</v>
      </c>
      <c r="W2697" s="1420"/>
      <c r="X2697" s="1503" t="str">
        <f t="array" ref="X2697"> if(iserror(MATCH(V2697, 'File Links'!C:C, 0)), "N/A", HYPERLINK(INDEX('File Links'!B:B, MATCH(V2697, 'File Links'!C:C, 0))))</f>
        <v>https://drive.google.com/file/d/18k1ykE5KGu6_zuNz9VCrn4DkEVOO1LJH/view?usp=drivesdk</v>
      </c>
      <c r="Y2697" s="714" t="s">
        <v>131</v>
      </c>
      <c r="Z2697" s="714" t="s">
        <v>1802</v>
      </c>
      <c r="AA2697" s="714" t="s">
        <v>15871</v>
      </c>
      <c r="AB2697" s="714" t="s">
        <v>15872</v>
      </c>
      <c r="AC2697" s="714" t="s">
        <v>15877</v>
      </c>
      <c r="AD2697" s="714" t="s">
        <v>15878</v>
      </c>
      <c r="AE2697" s="1422">
        <v>22.0</v>
      </c>
      <c r="AF2697" s="1422">
        <v>334.0</v>
      </c>
      <c r="AG2697" s="1422">
        <v>0.215</v>
      </c>
      <c r="AH2697" s="714" t="s">
        <v>354</v>
      </c>
      <c r="AI2697" s="714" t="s">
        <v>3600</v>
      </c>
      <c r="AJ2697" s="1422">
        <v>0.01</v>
      </c>
      <c r="AK2697" s="714" t="s">
        <v>128</v>
      </c>
      <c r="AL2697" s="714" t="s">
        <v>179</v>
      </c>
      <c r="AM2697" s="714" t="s">
        <v>134</v>
      </c>
      <c r="AN2697" s="714" t="s">
        <v>131</v>
      </c>
      <c r="AO2697" s="1422">
        <v>334.0</v>
      </c>
      <c r="AP2697" s="1422">
        <v>0.215</v>
      </c>
      <c r="AQ2697" s="714" t="s">
        <v>354</v>
      </c>
      <c r="AR2697" s="714" t="s">
        <v>875</v>
      </c>
      <c r="AS2697" s="1422">
        <v>0.01</v>
      </c>
      <c r="AT2697" s="714" t="s">
        <v>128</v>
      </c>
      <c r="AU2697" s="714" t="s">
        <v>179</v>
      </c>
      <c r="AV2697" s="714" t="s">
        <v>134</v>
      </c>
      <c r="AW2697" s="1420" t="s">
        <v>131</v>
      </c>
      <c r="AX2697" s="714" t="s">
        <v>136</v>
      </c>
      <c r="AY2697" s="694"/>
      <c r="AZ2697" s="713" t="s">
        <v>13230</v>
      </c>
      <c r="BA2697" s="694"/>
      <c r="BB2697" s="694"/>
      <c r="BC2697" s="694"/>
      <c r="BD2697" s="694"/>
      <c r="BE2697" s="694"/>
      <c r="BF2697" s="694"/>
      <c r="BG2697" s="694"/>
      <c r="BH2697" s="694"/>
      <c r="BI2697" s="694"/>
      <c r="BJ2697" s="694"/>
      <c r="BK2697" s="694"/>
      <c r="BL2697" s="694"/>
      <c r="BM2697" s="694"/>
      <c r="BN2697" s="694"/>
      <c r="BO2697" s="694"/>
      <c r="BP2697" s="694"/>
      <c r="BQ2697" s="694"/>
      <c r="BR2697" s="694"/>
      <c r="BS2697" s="694"/>
      <c r="BT2697" s="694"/>
      <c r="BU2697" s="694"/>
      <c r="BV2697" s="694"/>
      <c r="BW2697" s="694"/>
      <c r="BX2697" s="694"/>
      <c r="BY2697" s="694"/>
      <c r="BZ2697" s="694"/>
      <c r="CA2697" s="694"/>
      <c r="CB2697" s="694"/>
      <c r="CC2697" s="694"/>
      <c r="CD2697" s="694"/>
      <c r="CE2697" s="694"/>
      <c r="CF2697" s="694"/>
      <c r="CG2697" s="694"/>
      <c r="CH2697" s="694"/>
      <c r="CI2697" s="694"/>
      <c r="CJ2697" s="694"/>
      <c r="CK2697" s="694"/>
      <c r="CL2697" s="694"/>
      <c r="CM2697" s="694"/>
      <c r="CN2697" s="694"/>
      <c r="CO2697" s="694"/>
      <c r="CP2697" s="694"/>
      <c r="CQ2697" s="694"/>
      <c r="CR2697" s="694"/>
      <c r="CS2697" s="694"/>
      <c r="CT2697" s="694"/>
      <c r="CU2697" s="694"/>
      <c r="CV2697" s="694"/>
      <c r="CW2697" s="694"/>
      <c r="CX2697" s="694"/>
      <c r="CY2697" s="694"/>
      <c r="CZ2697" s="694"/>
      <c r="DA2697" s="694"/>
      <c r="DB2697" s="694"/>
      <c r="DC2697" s="694"/>
      <c r="DD2697" s="694"/>
      <c r="DE2697" s="694"/>
      <c r="DF2697" s="694"/>
      <c r="DG2697" s="694"/>
      <c r="DH2697" s="694"/>
    </row>
    <row r="2698">
      <c r="A2698" s="41">
        <v>3128.0</v>
      </c>
      <c r="B2698" s="1482" t="s">
        <v>107</v>
      </c>
      <c r="C2698" s="1483" t="s">
        <v>108</v>
      </c>
      <c r="D2698" s="1483" t="s">
        <v>146</v>
      </c>
      <c r="E2698" s="1484"/>
      <c r="F2698" s="2198" t="s">
        <v>15879</v>
      </c>
      <c r="G2698" s="2199" t="s">
        <v>15880</v>
      </c>
      <c r="H2698" s="2200" t="s">
        <v>15858</v>
      </c>
      <c r="I2698" s="2201">
        <v>45821.0</v>
      </c>
      <c r="J2698" s="1487">
        <v>45840.0</v>
      </c>
      <c r="K2698" s="2199" t="s">
        <v>15881</v>
      </c>
      <c r="L2698" s="2202"/>
      <c r="M2698" s="2199" t="s">
        <v>15882</v>
      </c>
      <c r="N2698" s="2199" t="s">
        <v>15883</v>
      </c>
      <c r="O2698" s="2202"/>
      <c r="P2698" s="2199" t="s">
        <v>15884</v>
      </c>
      <c r="Q2698" s="2203" t="str">
        <f t="array" ref="Q2698"> if(iserror(MATCH(V2698, 'File Links'!C:C, 0)), "N/A", HYPERLINK(INDEX('File Links'!B:B, MATCH(P2698, 'File Links'!C:C, 0))))</f>
        <v>https://drive.google.com/file/d/1EeW99WGRe7l9yyIocyrku0wXNCMoCNIE/view?usp=drivesdk</v>
      </c>
      <c r="R2698" s="2199" t="s">
        <v>15885</v>
      </c>
      <c r="S2698" s="2199" t="s">
        <v>15886</v>
      </c>
      <c r="T2698" s="2202"/>
      <c r="U2698" s="2202"/>
      <c r="V2698" s="2199" t="s">
        <v>15887</v>
      </c>
      <c r="W2698" s="2202"/>
      <c r="X2698" s="1494" t="str">
        <f t="array" ref="X2698"> if(iserror(MATCH(V2698, 'File Links'!C:C, 0)), "N/A", HYPERLINK(INDEX('File Links'!B:B, MATCH(V2698, 'File Links'!C:C, 0))))</f>
        <v>https://drive.google.com/file/d/1zQMuON3k0VJxo26pOuz9c7JIB74DnNZS/view?usp=drivesdk</v>
      </c>
      <c r="Y2698" s="2200" t="s">
        <v>15888</v>
      </c>
      <c r="Z2698" s="2199" t="s">
        <v>2788</v>
      </c>
      <c r="AA2698" s="2199" t="s">
        <v>15889</v>
      </c>
      <c r="AB2698" s="2199" t="s">
        <v>15890</v>
      </c>
      <c r="AC2698" s="2202"/>
      <c r="AD2698" s="2202"/>
      <c r="AE2698" s="2202"/>
      <c r="AF2698" s="2204">
        <v>106.0</v>
      </c>
      <c r="AG2698" s="2202"/>
      <c r="AH2698" s="2202"/>
      <c r="AI2698" s="2202"/>
      <c r="AJ2698" s="2202"/>
      <c r="AK2698" s="2202"/>
      <c r="AL2698" s="2202"/>
      <c r="AM2698" s="2202"/>
      <c r="AN2698" s="2199" t="s">
        <v>131</v>
      </c>
      <c r="AO2698" s="2204">
        <v>3764.0</v>
      </c>
      <c r="AP2698" s="2202"/>
      <c r="AQ2698" s="2202"/>
      <c r="AR2698" s="2202"/>
      <c r="AS2698" s="2202"/>
      <c r="AT2698" s="2202"/>
      <c r="AU2698" s="2202"/>
      <c r="AV2698" s="2202"/>
      <c r="AW2698" s="2199" t="s">
        <v>131</v>
      </c>
      <c r="AX2698" s="2202"/>
      <c r="AY2698" s="1484"/>
      <c r="AZ2698" s="1483" t="s">
        <v>13230</v>
      </c>
      <c r="BA2698" s="1484"/>
      <c r="BB2698" s="1484"/>
      <c r="BC2698" s="1484"/>
      <c r="BD2698" s="1484"/>
      <c r="BE2698" s="1484"/>
      <c r="BF2698" s="1484"/>
      <c r="BG2698" s="1484"/>
      <c r="BH2698" s="1484"/>
      <c r="BI2698" s="1484"/>
      <c r="BJ2698" s="1484"/>
      <c r="BK2698" s="1484"/>
      <c r="BL2698" s="1484"/>
      <c r="BM2698" s="1484"/>
      <c r="BN2698" s="1484"/>
      <c r="BO2698" s="1484"/>
      <c r="BP2698" s="1484"/>
      <c r="BQ2698" s="1484"/>
      <c r="BR2698" s="1484"/>
      <c r="BS2698" s="1484"/>
      <c r="BT2698" s="1484"/>
      <c r="BU2698" s="1484"/>
      <c r="BV2698" s="1484"/>
      <c r="BW2698" s="1484"/>
      <c r="BX2698" s="1484"/>
      <c r="BY2698" s="1484"/>
      <c r="BZ2698" s="1484"/>
      <c r="CA2698" s="1484"/>
      <c r="CB2698" s="1484"/>
      <c r="CC2698" s="1484"/>
      <c r="CD2698" s="1484"/>
      <c r="CE2698" s="1484"/>
      <c r="CF2698" s="1484"/>
      <c r="CG2698" s="1484"/>
      <c r="CH2698" s="1484"/>
      <c r="CI2698" s="1484"/>
      <c r="CJ2698" s="1484"/>
      <c r="CK2698" s="1484"/>
      <c r="CL2698" s="1484"/>
      <c r="CM2698" s="1484"/>
      <c r="CN2698" s="1484"/>
      <c r="CO2698" s="1484"/>
      <c r="CP2698" s="1484"/>
      <c r="CQ2698" s="1484"/>
      <c r="CR2698" s="1484"/>
      <c r="CS2698" s="1484"/>
      <c r="CT2698" s="1484"/>
      <c r="CU2698" s="1484"/>
      <c r="CV2698" s="1484"/>
      <c r="CW2698" s="1484"/>
      <c r="CX2698" s="1484"/>
      <c r="CY2698" s="1484"/>
      <c r="CZ2698" s="1484"/>
      <c r="DA2698" s="1484"/>
      <c r="DB2698" s="1484"/>
      <c r="DC2698" s="1484"/>
      <c r="DD2698" s="1484"/>
      <c r="DE2698" s="1484"/>
      <c r="DF2698" s="1484"/>
      <c r="DG2698" s="1484"/>
      <c r="DH2698" s="1484"/>
    </row>
    <row r="2699" ht="15.75" customHeight="1">
      <c r="A2699" s="1481">
        <v>3106.0</v>
      </c>
      <c r="B2699" s="1482" t="s">
        <v>107</v>
      </c>
      <c r="C2699" s="1483" t="s">
        <v>108</v>
      </c>
      <c r="D2699" s="1483" t="s">
        <v>146</v>
      </c>
      <c r="E2699" s="1484"/>
      <c r="F2699" s="2198" t="s">
        <v>15891</v>
      </c>
      <c r="G2699" s="2199" t="s">
        <v>15892</v>
      </c>
      <c r="H2699" s="2200" t="s">
        <v>15858</v>
      </c>
      <c r="I2699" s="2201">
        <v>45821.0</v>
      </c>
      <c r="J2699" s="1487">
        <v>45840.0</v>
      </c>
      <c r="K2699" s="2199" t="s">
        <v>15893</v>
      </c>
      <c r="L2699" s="2202"/>
      <c r="M2699" s="2199" t="s">
        <v>15894</v>
      </c>
      <c r="N2699" s="2199" t="s">
        <v>15895</v>
      </c>
      <c r="O2699" s="2202"/>
      <c r="P2699" s="2199" t="s">
        <v>15896</v>
      </c>
      <c r="Q2699" s="2203" t="str">
        <f t="array" ref="Q2699"> if(iserror(MATCH(V2699, 'File Links'!C:C, 0)), "N/A", HYPERLINK(INDEX('File Links'!B:B, MATCH(P2699, 'File Links'!C:C, 0))))</f>
        <v>https://drive.google.com/file/d/1mopdcftXz_M_O--Fgwij9iA3MHwAEogr/view?usp=drivesdk</v>
      </c>
      <c r="R2699" s="2199" t="s">
        <v>15897</v>
      </c>
      <c r="S2699" s="2199" t="s">
        <v>15898</v>
      </c>
      <c r="T2699" s="2202"/>
      <c r="U2699" s="2202"/>
      <c r="V2699" s="2199" t="s">
        <v>15899</v>
      </c>
      <c r="W2699" s="2202"/>
      <c r="X2699" s="1494" t="str">
        <f t="array" ref="X2699"> if(iserror(MATCH(V2699, 'File Links'!C:C, 0)), "N/A", HYPERLINK(INDEX('File Links'!B:B, MATCH(V2699, 'File Links'!C:C, 0))))</f>
        <v>https://drive.google.com/file/d/1RdD1ka1AcuuAkIp42PaRdSSjjGkIdVnj/view?usp=drivesdk</v>
      </c>
      <c r="Y2699" s="2200" t="s">
        <v>15888</v>
      </c>
      <c r="Z2699" s="2199" t="s">
        <v>1593</v>
      </c>
      <c r="AA2699" s="2199" t="s">
        <v>15900</v>
      </c>
      <c r="AB2699" s="2202"/>
      <c r="AC2699" s="2202"/>
      <c r="AD2699" s="2202"/>
      <c r="AE2699" s="2202"/>
      <c r="AF2699" s="2204">
        <v>204.0</v>
      </c>
      <c r="AG2699" s="2202"/>
      <c r="AH2699" s="2202"/>
      <c r="AI2699" s="2202"/>
      <c r="AJ2699" s="2202"/>
      <c r="AK2699" s="2202"/>
      <c r="AL2699" s="2202"/>
      <c r="AM2699" s="2202"/>
      <c r="AN2699" s="2199" t="s">
        <v>131</v>
      </c>
      <c r="AO2699" s="2204">
        <v>361.0</v>
      </c>
      <c r="AP2699" s="2202"/>
      <c r="AQ2699" s="2202"/>
      <c r="AR2699" s="2202"/>
      <c r="AS2699" s="2202"/>
      <c r="AT2699" s="2202"/>
      <c r="AU2699" s="2202"/>
      <c r="AV2699" s="2202"/>
      <c r="AW2699" s="2199" t="s">
        <v>131</v>
      </c>
      <c r="AX2699" s="2199" t="s">
        <v>144</v>
      </c>
      <c r="AY2699" s="1484"/>
      <c r="AZ2699" s="1483" t="s">
        <v>13230</v>
      </c>
      <c r="BA2699" s="1484"/>
      <c r="BB2699" s="1484"/>
      <c r="BC2699" s="1484"/>
      <c r="BD2699" s="1484"/>
      <c r="BE2699" s="1484"/>
      <c r="BF2699" s="1484"/>
      <c r="BG2699" s="1484"/>
      <c r="BH2699" s="1484"/>
      <c r="BI2699" s="1484"/>
      <c r="BJ2699" s="1484"/>
      <c r="BK2699" s="1484"/>
      <c r="BL2699" s="1484"/>
      <c r="BM2699" s="1484"/>
      <c r="BN2699" s="1484"/>
      <c r="BO2699" s="1484"/>
      <c r="BP2699" s="1484"/>
      <c r="BQ2699" s="1484"/>
      <c r="BR2699" s="1484"/>
      <c r="BS2699" s="1484"/>
      <c r="BT2699" s="1484"/>
      <c r="BU2699" s="1484"/>
      <c r="BV2699" s="1484"/>
      <c r="BW2699" s="1484"/>
      <c r="BX2699" s="1484"/>
      <c r="BY2699" s="1484"/>
      <c r="BZ2699" s="1484"/>
      <c r="CA2699" s="1484"/>
      <c r="CB2699" s="1484"/>
      <c r="CC2699" s="1484"/>
      <c r="CD2699" s="1484"/>
      <c r="CE2699" s="1484"/>
      <c r="CF2699" s="1484"/>
      <c r="CG2699" s="1484"/>
      <c r="CH2699" s="1484"/>
      <c r="CI2699" s="1484"/>
      <c r="CJ2699" s="1484"/>
      <c r="CK2699" s="1484"/>
      <c r="CL2699" s="1484"/>
      <c r="CM2699" s="1484"/>
      <c r="CN2699" s="1484"/>
      <c r="CO2699" s="1484"/>
      <c r="CP2699" s="1484"/>
      <c r="CQ2699" s="1484"/>
      <c r="CR2699" s="1484"/>
      <c r="CS2699" s="1484"/>
      <c r="CT2699" s="1484"/>
      <c r="CU2699" s="1484"/>
      <c r="CV2699" s="1484"/>
      <c r="CW2699" s="1484"/>
      <c r="CX2699" s="1484"/>
      <c r="CY2699" s="1484"/>
      <c r="CZ2699" s="1484"/>
      <c r="DA2699" s="1484"/>
      <c r="DB2699" s="1484"/>
      <c r="DC2699" s="1484"/>
      <c r="DD2699" s="1484"/>
      <c r="DE2699" s="1484"/>
      <c r="DF2699" s="1484"/>
      <c r="DG2699" s="1484"/>
      <c r="DH2699" s="1484"/>
    </row>
    <row r="2700" ht="23.25" customHeight="1">
      <c r="A2700" s="1481">
        <v>3149.0</v>
      </c>
      <c r="B2700" s="1482" t="s">
        <v>107</v>
      </c>
      <c r="C2700" s="1483" t="s">
        <v>108</v>
      </c>
      <c r="D2700" s="1483" t="s">
        <v>1451</v>
      </c>
      <c r="E2700" s="1484"/>
      <c r="F2700" s="1488" t="s">
        <v>15901</v>
      </c>
      <c r="G2700" s="1488" t="s">
        <v>15902</v>
      </c>
      <c r="H2700" s="2205" t="s">
        <v>1511</v>
      </c>
      <c r="I2700" s="2206"/>
      <c r="J2700" s="2207">
        <v>45820.0</v>
      </c>
      <c r="K2700" s="1488" t="s">
        <v>15903</v>
      </c>
      <c r="L2700" s="2202"/>
      <c r="M2700" s="1488" t="s">
        <v>15904</v>
      </c>
      <c r="N2700" s="1488" t="s">
        <v>15905</v>
      </c>
      <c r="O2700" s="2208">
        <v>1.0</v>
      </c>
      <c r="P2700" s="1488" t="s">
        <v>15906</v>
      </c>
      <c r="Q2700" s="2203" t="str">
        <f t="array" ref="Q2700"> if(iserror(MATCH(V2700, 'File Links'!C:C, 0)), "N/A", HYPERLINK(INDEX('File Links'!B:B, MATCH(P2700, 'File Links'!C:C, 0))))</f>
        <v>https://drive.google.com/file/d/17ZEzUuXHixyudMb6cJV15e7wnM4cCqCh/view?usp=drivesdk</v>
      </c>
      <c r="R2700" s="1488" t="s">
        <v>15907</v>
      </c>
      <c r="S2700" s="1488" t="s">
        <v>15908</v>
      </c>
      <c r="T2700" s="1488" t="s">
        <v>131</v>
      </c>
      <c r="U2700" s="2208">
        <v>1.0</v>
      </c>
      <c r="V2700" s="1488" t="s">
        <v>15909</v>
      </c>
      <c r="W2700" s="2202"/>
      <c r="X2700" s="1494" t="str">
        <f t="array" ref="X2700"> if(iserror(MATCH(V2700, 'File Links'!C:C, 0)), "N/A", HYPERLINK(INDEX('File Links'!B:B, MATCH(V2700, 'File Links'!C:C, 0))))</f>
        <v>https://drive.google.com/file/d/1lsnR2vyytLKoStGhel4Zy_F4FB1RdvbN/view?usp=drivesdk</v>
      </c>
      <c r="Y2700" s="2202"/>
      <c r="Z2700" s="1488" t="s">
        <v>496</v>
      </c>
      <c r="AA2700" s="1488" t="s">
        <v>15910</v>
      </c>
      <c r="AB2700" s="1488" t="s">
        <v>15911</v>
      </c>
      <c r="AC2700" s="1488" t="s">
        <v>15912</v>
      </c>
      <c r="AD2700" s="1488" t="s">
        <v>15913</v>
      </c>
      <c r="AE2700" s="2208">
        <v>6.0</v>
      </c>
      <c r="AF2700" s="2208">
        <v>32.0</v>
      </c>
      <c r="AG2700" s="1488" t="s">
        <v>15914</v>
      </c>
      <c r="AH2700" s="1488" t="s">
        <v>127</v>
      </c>
      <c r="AI2700" s="1488" t="s">
        <v>1035</v>
      </c>
      <c r="AJ2700" s="2208">
        <v>0.99</v>
      </c>
      <c r="AK2700" s="1488" t="s">
        <v>165</v>
      </c>
      <c r="AL2700" s="1488" t="s">
        <v>211</v>
      </c>
      <c r="AM2700" s="1488" t="s">
        <v>134</v>
      </c>
      <c r="AN2700" s="2209" t="s">
        <v>15915</v>
      </c>
      <c r="AO2700" s="2210">
        <v>41.0</v>
      </c>
      <c r="AP2700" s="2211" t="s">
        <v>15916</v>
      </c>
      <c r="AQ2700" s="1488" t="s">
        <v>127</v>
      </c>
      <c r="AR2700" s="1488" t="s">
        <v>1167</v>
      </c>
      <c r="AS2700" s="2208">
        <v>0.0852</v>
      </c>
      <c r="AT2700" s="1488" t="s">
        <v>165</v>
      </c>
      <c r="AU2700" s="1488" t="s">
        <v>211</v>
      </c>
      <c r="AV2700" s="1488" t="s">
        <v>134</v>
      </c>
      <c r="AW2700" s="2209" t="s">
        <v>15917</v>
      </c>
      <c r="AX2700" s="2212" t="s">
        <v>144</v>
      </c>
      <c r="AY2700" s="1484"/>
      <c r="AZ2700" s="1483" t="s">
        <v>13230</v>
      </c>
      <c r="BA2700" s="1484"/>
      <c r="BB2700" s="1484"/>
      <c r="BC2700" s="1484"/>
      <c r="BD2700" s="1484"/>
      <c r="BE2700" s="1484"/>
      <c r="BF2700" s="1484"/>
      <c r="BG2700" s="1484"/>
      <c r="BH2700" s="1484"/>
      <c r="BI2700" s="1484"/>
      <c r="BJ2700" s="1484"/>
      <c r="BK2700" s="1484"/>
      <c r="BL2700" s="1484"/>
      <c r="BM2700" s="1484"/>
      <c r="BN2700" s="1484"/>
      <c r="BO2700" s="1484"/>
      <c r="BP2700" s="1484"/>
      <c r="BQ2700" s="1484"/>
      <c r="BR2700" s="1484"/>
      <c r="BS2700" s="1484"/>
      <c r="BT2700" s="1484"/>
      <c r="BU2700" s="1484"/>
      <c r="BV2700" s="1484"/>
      <c r="BW2700" s="1484"/>
      <c r="BX2700" s="1484"/>
      <c r="BY2700" s="1484"/>
      <c r="BZ2700" s="1484"/>
      <c r="CA2700" s="1484"/>
      <c r="CB2700" s="1484"/>
      <c r="CC2700" s="1484"/>
      <c r="CD2700" s="1484"/>
      <c r="CE2700" s="1484"/>
      <c r="CF2700" s="1484"/>
      <c r="CG2700" s="1484"/>
      <c r="CH2700" s="1484"/>
      <c r="CI2700" s="1484"/>
      <c r="CJ2700" s="1484"/>
      <c r="CK2700" s="1484"/>
      <c r="CL2700" s="1484"/>
      <c r="CM2700" s="1484"/>
      <c r="CN2700" s="1484"/>
      <c r="CO2700" s="1484"/>
      <c r="CP2700" s="1484"/>
      <c r="CQ2700" s="1484"/>
      <c r="CR2700" s="1484"/>
      <c r="CS2700" s="1484"/>
      <c r="CT2700" s="1484"/>
      <c r="CU2700" s="1484"/>
      <c r="CV2700" s="1484"/>
      <c r="CW2700" s="1484"/>
      <c r="CX2700" s="1484"/>
      <c r="CY2700" s="1484"/>
      <c r="CZ2700" s="1484"/>
      <c r="DA2700" s="1484"/>
      <c r="DB2700" s="1484"/>
      <c r="DC2700" s="1484"/>
      <c r="DD2700" s="1484"/>
      <c r="DE2700" s="1484"/>
      <c r="DF2700" s="1484"/>
      <c r="DG2700" s="1484"/>
      <c r="DH2700" s="1484"/>
    </row>
    <row r="2701">
      <c r="A2701" s="1481">
        <v>3152.0</v>
      </c>
      <c r="B2701" s="1482" t="s">
        <v>107</v>
      </c>
      <c r="C2701" s="1483" t="s">
        <v>108</v>
      </c>
      <c r="D2701" s="1483" t="s">
        <v>1451</v>
      </c>
      <c r="E2701" s="1484"/>
      <c r="F2701" s="2202" t="s">
        <v>15918</v>
      </c>
      <c r="G2701" s="1488" t="s">
        <v>15919</v>
      </c>
      <c r="H2701" s="2205" t="s">
        <v>1511</v>
      </c>
      <c r="I2701" s="2206"/>
      <c r="J2701" s="2207">
        <v>45822.0</v>
      </c>
      <c r="K2701" s="1488" t="s">
        <v>15920</v>
      </c>
      <c r="L2701" s="2202"/>
      <c r="M2701" s="1488" t="s">
        <v>15921</v>
      </c>
      <c r="N2701" s="1488" t="s">
        <v>15922</v>
      </c>
      <c r="O2701" s="2202"/>
      <c r="P2701" s="1488" t="s">
        <v>15923</v>
      </c>
      <c r="Q2701" s="2203" t="str">
        <f t="array" ref="Q2701"> if(iserror(MATCH(V2701, 'File Links'!C:C, 0)), "N/A", HYPERLINK(INDEX('File Links'!B:B, MATCH(P2701, 'File Links'!C:C, 0))))</f>
        <v>https://drive.google.com/file/d/11weNHLGnxj4KDY_B4C5ruXp3HlO5mWfo/view?usp=drivesdk</v>
      </c>
      <c r="R2701" s="1488" t="s">
        <v>15924</v>
      </c>
      <c r="S2701" s="1488" t="s">
        <v>15925</v>
      </c>
      <c r="T2701" s="1488" t="s">
        <v>131</v>
      </c>
      <c r="U2701" s="2202"/>
      <c r="V2701" s="1488" t="s">
        <v>15926</v>
      </c>
      <c r="W2701" s="2202"/>
      <c r="X2701" s="1494" t="str">
        <f t="array" ref="X2701"> if(iserror(MATCH(V2701, 'File Links'!C:C, 0)), "N/A", HYPERLINK(INDEX('File Links'!B:B, MATCH(V2701, 'File Links'!C:C, 0))))</f>
        <v>https://drive.google.com/file/d/1_iZrTUyZXaycbPsVfM-74FyaJ3MB4oLV/view?usp=drivesdk</v>
      </c>
      <c r="Y2701" s="1488" t="s">
        <v>15927</v>
      </c>
      <c r="Z2701" s="2202"/>
      <c r="AA2701" s="2202"/>
      <c r="AB2701" s="2202"/>
      <c r="AC2701" s="2202"/>
      <c r="AD2701" s="2202"/>
      <c r="AE2701" s="2202"/>
      <c r="AF2701" s="2202"/>
      <c r="AG2701" s="2202"/>
      <c r="AH2701" s="2202"/>
      <c r="AI2701" s="2202"/>
      <c r="AJ2701" s="2202"/>
      <c r="AK2701" s="2202"/>
      <c r="AL2701" s="2202"/>
      <c r="AM2701" s="2202"/>
      <c r="AN2701" s="2202"/>
      <c r="AO2701" s="2202"/>
      <c r="AP2701" s="2213"/>
      <c r="AQ2701" s="2202"/>
      <c r="AR2701" s="2202"/>
      <c r="AS2701" s="2202"/>
      <c r="AT2701" s="2202"/>
      <c r="AU2701" s="2202"/>
      <c r="AV2701" s="2202"/>
      <c r="AW2701" s="2202"/>
      <c r="AX2701" s="2202"/>
      <c r="AY2701" s="1484"/>
      <c r="AZ2701" s="1483" t="s">
        <v>13230</v>
      </c>
      <c r="BA2701" s="1484"/>
      <c r="BB2701" s="1484"/>
      <c r="BC2701" s="1484"/>
      <c r="BD2701" s="1484"/>
      <c r="BE2701" s="1484"/>
      <c r="BF2701" s="1484"/>
      <c r="BG2701" s="1484"/>
      <c r="BH2701" s="1484"/>
      <c r="BI2701" s="1484"/>
      <c r="BJ2701" s="1484"/>
      <c r="BK2701" s="1484"/>
      <c r="BL2701" s="1484"/>
      <c r="BM2701" s="1484"/>
      <c r="BN2701" s="1484"/>
      <c r="BO2701" s="1484"/>
      <c r="BP2701" s="1484"/>
      <c r="BQ2701" s="1484"/>
      <c r="BR2701" s="1484"/>
      <c r="BS2701" s="1484"/>
      <c r="BT2701" s="1484"/>
      <c r="BU2701" s="1484"/>
      <c r="BV2701" s="1484"/>
      <c r="BW2701" s="1484"/>
      <c r="BX2701" s="1484"/>
      <c r="BY2701" s="1484"/>
      <c r="BZ2701" s="1484"/>
      <c r="CA2701" s="1484"/>
      <c r="CB2701" s="1484"/>
      <c r="CC2701" s="1484"/>
      <c r="CD2701" s="1484"/>
      <c r="CE2701" s="1484"/>
      <c r="CF2701" s="1484"/>
      <c r="CG2701" s="1484"/>
      <c r="CH2701" s="1484"/>
      <c r="CI2701" s="1484"/>
      <c r="CJ2701" s="1484"/>
      <c r="CK2701" s="1484"/>
      <c r="CL2701" s="1484"/>
      <c r="CM2701" s="1484"/>
      <c r="CN2701" s="1484"/>
      <c r="CO2701" s="1484"/>
      <c r="CP2701" s="1484"/>
      <c r="CQ2701" s="1484"/>
      <c r="CR2701" s="1484"/>
      <c r="CS2701" s="1484"/>
      <c r="CT2701" s="1484"/>
      <c r="CU2701" s="1484"/>
      <c r="CV2701" s="1484"/>
      <c r="CW2701" s="1484"/>
      <c r="CX2701" s="1484"/>
      <c r="CY2701" s="1484"/>
      <c r="CZ2701" s="1484"/>
      <c r="DA2701" s="1484"/>
      <c r="DB2701" s="1484"/>
      <c r="DC2701" s="1484"/>
      <c r="DD2701" s="1484"/>
      <c r="DE2701" s="1484"/>
      <c r="DF2701" s="1484"/>
      <c r="DG2701" s="1484"/>
      <c r="DH2701" s="1484"/>
    </row>
    <row r="2702" ht="24.75" customHeight="1">
      <c r="A2702" s="41">
        <v>3185.0</v>
      </c>
      <c r="B2702" s="126" t="s">
        <v>516</v>
      </c>
      <c r="C2702" s="59" t="s">
        <v>108</v>
      </c>
      <c r="D2702" s="59" t="s">
        <v>15928</v>
      </c>
      <c r="F2702" s="156" t="s">
        <v>15929</v>
      </c>
      <c r="G2702" s="156" t="s">
        <v>15930</v>
      </c>
      <c r="H2702" s="1284" t="s">
        <v>15931</v>
      </c>
      <c r="I2702" s="2214">
        <v>45813.0</v>
      </c>
      <c r="J2702" s="65"/>
      <c r="K2702" s="65"/>
      <c r="L2702" s="65"/>
      <c r="M2702" s="2052" t="s">
        <v>15932</v>
      </c>
      <c r="N2702" s="2052" t="s">
        <v>15933</v>
      </c>
      <c r="O2702" s="65"/>
      <c r="P2702" s="2215" t="s">
        <v>15934</v>
      </c>
      <c r="Q2702" s="2216" t="str">
        <f t="array" ref="Q2702"> if(iserror(MATCH(V2702, 'File Links'!C:C, 0)), "N/A", HYPERLINK(INDEX('File Links'!B:B, MATCH(P2702, 'File Links'!C:C, 0))))</f>
        <v>https://drive.google.com/file/d/1zTMlOFWNTfGXuxYg38c1Rclwf7vMtQVs/view?usp=drivesdk</v>
      </c>
      <c r="R2702" s="2217" t="s">
        <v>15935</v>
      </c>
      <c r="S2702" s="677" t="s">
        <v>15936</v>
      </c>
      <c r="T2702" s="65"/>
      <c r="U2702" s="65"/>
      <c r="V2702" s="156" t="s">
        <v>15937</v>
      </c>
      <c r="W2702" s="65"/>
      <c r="X2702" s="51" t="str">
        <f t="array" ref="X2702"> if(iserror(MATCH(V2702, 'File Links'!C:C, 0)), "N/A", HYPERLINK(INDEX('File Links'!B:B, MATCH(V2702, 'File Links'!C:C, 0))))</f>
        <v>https://drive.google.com/file/d/1zlIibgTl_xuo-gJvDI1iuFuL7MwgpJud/view?usp=drivesdk</v>
      </c>
      <c r="Y2702" s="65"/>
      <c r="Z2702" s="156" t="s">
        <v>1593</v>
      </c>
      <c r="AA2702" s="65" t="s">
        <v>15938</v>
      </c>
      <c r="AB2702" s="65" t="s">
        <v>15939</v>
      </c>
      <c r="AC2702" s="65" t="s">
        <v>15940</v>
      </c>
      <c r="AD2702" s="65" t="s">
        <v>15941</v>
      </c>
      <c r="AE2702" s="65" t="s">
        <v>15942</v>
      </c>
      <c r="AF2702" s="333">
        <v>3.0</v>
      </c>
      <c r="AG2702" s="333">
        <v>0.125</v>
      </c>
      <c r="AH2702" s="65" t="s">
        <v>715</v>
      </c>
      <c r="AI2702" s="1904" t="s">
        <v>15943</v>
      </c>
      <c r="AJ2702" s="333">
        <v>0.01</v>
      </c>
      <c r="AK2702" s="65" t="s">
        <v>128</v>
      </c>
      <c r="AL2702" s="156" t="s">
        <v>179</v>
      </c>
      <c r="AM2702" s="156" t="s">
        <v>130</v>
      </c>
      <c r="AN2702" s="156" t="s">
        <v>131</v>
      </c>
      <c r="AO2702" s="333">
        <v>3.0</v>
      </c>
      <c r="AP2702" s="333">
        <v>0.363</v>
      </c>
      <c r="AQ2702" s="65" t="s">
        <v>715</v>
      </c>
      <c r="AR2702" s="1904" t="s">
        <v>15944</v>
      </c>
      <c r="AS2702" s="65" t="s">
        <v>131</v>
      </c>
      <c r="AT2702" s="65"/>
      <c r="AU2702" s="65" t="s">
        <v>179</v>
      </c>
      <c r="AV2702" s="65" t="s">
        <v>130</v>
      </c>
      <c r="AW2702" s="65" t="s">
        <v>131</v>
      </c>
      <c r="AX2702" s="65" t="s">
        <v>136</v>
      </c>
      <c r="AZ2702" s="713" t="s">
        <v>13230</v>
      </c>
    </row>
    <row r="2703" ht="26.25" customHeight="1">
      <c r="A2703" s="41">
        <v>3119.0</v>
      </c>
      <c r="B2703" s="126" t="s">
        <v>107</v>
      </c>
      <c r="C2703" s="59" t="s">
        <v>108</v>
      </c>
      <c r="D2703" s="59" t="s">
        <v>146</v>
      </c>
      <c r="F2703" s="2218" t="s">
        <v>15929</v>
      </c>
      <c r="G2703" s="2219" t="s">
        <v>15945</v>
      </c>
      <c r="H2703" s="2218" t="s">
        <v>15858</v>
      </c>
      <c r="I2703" s="2220">
        <v>45821.0</v>
      </c>
      <c r="J2703" s="859"/>
      <c r="K2703" s="2219" t="s">
        <v>15946</v>
      </c>
      <c r="L2703" s="65"/>
      <c r="M2703" s="2219" t="s">
        <v>15932</v>
      </c>
      <c r="N2703" s="2219" t="s">
        <v>15933</v>
      </c>
      <c r="O2703" s="65"/>
      <c r="P2703" s="2221" t="s">
        <v>15934</v>
      </c>
      <c r="Q2703" s="2216" t="str">
        <f t="array" ref="Q2703"> if(iserror(MATCH(V2703, 'File Links'!C:C, 0)), "N/A", HYPERLINK(INDEX('File Links'!B:B, MATCH(P2703, 'File Links'!C:C, 0))))</f>
        <v>https://drive.google.com/file/d/1zTMlOFWNTfGXuxYg38c1Rclwf7vMtQVs/view?usp=drivesdk</v>
      </c>
      <c r="R2703" s="2222" t="s">
        <v>15947</v>
      </c>
      <c r="S2703" s="2219" t="s">
        <v>15936</v>
      </c>
      <c r="T2703" s="65"/>
      <c r="U2703" s="65"/>
      <c r="V2703" s="2223" t="s">
        <v>15937</v>
      </c>
      <c r="W2703" s="1225"/>
      <c r="X2703" s="51" t="str">
        <f t="array" ref="X2703"> if(iserror(MATCH(V2703, 'File Links'!C:C, 0)), "N/A", HYPERLINK(INDEX('File Links'!B:B, MATCH(V2703, 'File Links'!C:C, 0))))</f>
        <v>https://drive.google.com/file/d/1zlIibgTl_xuo-gJvDI1iuFuL7MwgpJud/view?usp=drivesdk</v>
      </c>
      <c r="Y2703" s="2218" t="s">
        <v>15948</v>
      </c>
      <c r="Z2703" s="2219" t="s">
        <v>288</v>
      </c>
      <c r="AA2703" s="2219" t="s">
        <v>15938</v>
      </c>
      <c r="AB2703" s="2219" t="s">
        <v>15949</v>
      </c>
      <c r="AC2703" s="2219" t="s">
        <v>15950</v>
      </c>
      <c r="AD2703" s="2218" t="s">
        <v>15951</v>
      </c>
      <c r="AE2703" s="2224">
        <v>24.0</v>
      </c>
      <c r="AF2703" s="2224">
        <v>5.0</v>
      </c>
      <c r="AG2703" s="65"/>
      <c r="AH2703" s="65"/>
      <c r="AI2703" s="65"/>
      <c r="AJ2703" s="65"/>
      <c r="AK2703" s="65"/>
      <c r="AL2703" s="2219" t="s">
        <v>179</v>
      </c>
      <c r="AM2703" s="2219" t="s">
        <v>130</v>
      </c>
      <c r="AN2703" s="2219" t="s">
        <v>131</v>
      </c>
      <c r="AO2703" s="2224">
        <v>3.0</v>
      </c>
      <c r="AP2703" s="2225">
        <f>(0.57/(1-0.57))/(0.74/(1-0.74))</f>
        <v>0.4657448146</v>
      </c>
      <c r="AQ2703" s="2219" t="s">
        <v>715</v>
      </c>
      <c r="AR2703" s="2219" t="s">
        <v>125</v>
      </c>
      <c r="AS2703" s="65"/>
      <c r="AT2703" s="65"/>
      <c r="AU2703" s="2219" t="s">
        <v>179</v>
      </c>
      <c r="AV2703" s="2219" t="s">
        <v>130</v>
      </c>
      <c r="AW2703" s="2219" t="s">
        <v>131</v>
      </c>
      <c r="AX2703" s="2219" t="s">
        <v>136</v>
      </c>
      <c r="AZ2703" s="196" t="s">
        <v>3756</v>
      </c>
    </row>
    <row r="2704" ht="21.75" customHeight="1">
      <c r="A2704" s="41">
        <v>3120.0</v>
      </c>
      <c r="B2704" s="126" t="s">
        <v>107</v>
      </c>
      <c r="C2704" s="59" t="s">
        <v>108</v>
      </c>
      <c r="D2704" s="59" t="s">
        <v>146</v>
      </c>
      <c r="F2704" s="2218" t="s">
        <v>15929</v>
      </c>
      <c r="G2704" s="2219" t="s">
        <v>15952</v>
      </c>
      <c r="H2704" s="2218" t="s">
        <v>15858</v>
      </c>
      <c r="I2704" s="2220">
        <v>45821.0</v>
      </c>
      <c r="J2704" s="859"/>
      <c r="K2704" s="2219" t="s">
        <v>15946</v>
      </c>
      <c r="L2704" s="65"/>
      <c r="M2704" s="2219" t="s">
        <v>15932</v>
      </c>
      <c r="N2704" s="2219" t="s">
        <v>15933</v>
      </c>
      <c r="O2704" s="65"/>
      <c r="P2704" s="2221" t="s">
        <v>15934</v>
      </c>
      <c r="Q2704" s="2216" t="str">
        <f t="array" ref="Q2704"> if(iserror(MATCH(V2704, 'File Links'!C:C, 0)), "N/A", HYPERLINK(INDEX('File Links'!B:B, MATCH(P2704, 'File Links'!C:C, 0))))</f>
        <v>https://drive.google.com/file/d/1zTMlOFWNTfGXuxYg38c1Rclwf7vMtQVs/view?usp=drivesdk</v>
      </c>
      <c r="R2704" s="2222" t="s">
        <v>15947</v>
      </c>
      <c r="S2704" s="2219" t="s">
        <v>15936</v>
      </c>
      <c r="T2704" s="65"/>
      <c r="U2704" s="65"/>
      <c r="V2704" s="2223" t="s">
        <v>15937</v>
      </c>
      <c r="W2704" s="1225"/>
      <c r="X2704" s="51" t="str">
        <f t="array" ref="X2704"> if(iserror(MATCH(V2704, 'File Links'!C:C, 0)), "N/A", HYPERLINK(INDEX('File Links'!B:B, MATCH(V2704, 'File Links'!C:C, 0))))</f>
        <v>https://drive.google.com/file/d/1zlIibgTl_xuo-gJvDI1iuFuL7MwgpJud/view?usp=drivesdk</v>
      </c>
      <c r="Y2704" s="2218" t="s">
        <v>15948</v>
      </c>
      <c r="Z2704" s="2219" t="s">
        <v>288</v>
      </c>
      <c r="AA2704" s="2219" t="s">
        <v>15938</v>
      </c>
      <c r="AB2704" s="2219" t="s">
        <v>15949</v>
      </c>
      <c r="AC2704" s="2219" t="s">
        <v>15953</v>
      </c>
      <c r="AD2704" s="2218" t="s">
        <v>15951</v>
      </c>
      <c r="AE2704" s="2224">
        <v>24.0</v>
      </c>
      <c r="AF2704" s="2224">
        <v>5.0</v>
      </c>
      <c r="AG2704" s="65"/>
      <c r="AH2704" s="65"/>
      <c r="AI2704" s="65"/>
      <c r="AJ2704" s="65"/>
      <c r="AK2704" s="65"/>
      <c r="AL2704" s="2219" t="s">
        <v>179</v>
      </c>
      <c r="AM2704" s="2219" t="s">
        <v>130</v>
      </c>
      <c r="AN2704" s="2219" t="s">
        <v>131</v>
      </c>
      <c r="AO2704" s="2224">
        <v>3.0</v>
      </c>
      <c r="AP2704" s="2225">
        <f>(0.57/(1-0.57))/(0.785/(1-0.785))</f>
        <v>0.3630573248</v>
      </c>
      <c r="AQ2704" s="2219" t="s">
        <v>715</v>
      </c>
      <c r="AR2704" s="2219" t="s">
        <v>125</v>
      </c>
      <c r="AS2704" s="65"/>
      <c r="AT2704" s="65"/>
      <c r="AU2704" s="2219" t="s">
        <v>179</v>
      </c>
      <c r="AV2704" s="2219" t="s">
        <v>130</v>
      </c>
      <c r="AW2704" s="2219" t="s">
        <v>131</v>
      </c>
      <c r="AX2704" s="2219" t="s">
        <v>136</v>
      </c>
      <c r="AZ2704" s="196" t="s">
        <v>3756</v>
      </c>
    </row>
    <row r="2705" ht="19.5" customHeight="1">
      <c r="A2705" s="41">
        <v>3186.0</v>
      </c>
      <c r="B2705" s="126" t="s">
        <v>516</v>
      </c>
      <c r="C2705" s="59" t="s">
        <v>108</v>
      </c>
      <c r="D2705" s="59" t="s">
        <v>15928</v>
      </c>
      <c r="F2705" s="156" t="s">
        <v>15929</v>
      </c>
      <c r="G2705" s="156" t="s">
        <v>15952</v>
      </c>
      <c r="H2705" s="1284" t="s">
        <v>15931</v>
      </c>
      <c r="I2705" s="2214">
        <v>45813.0</v>
      </c>
      <c r="J2705" s="65"/>
      <c r="K2705" s="65"/>
      <c r="L2705" s="65"/>
      <c r="M2705" s="2052" t="s">
        <v>15932</v>
      </c>
      <c r="N2705" s="2052" t="s">
        <v>15933</v>
      </c>
      <c r="O2705" s="65"/>
      <c r="P2705" s="2215" t="s">
        <v>15934</v>
      </c>
      <c r="Q2705" s="2216" t="str">
        <f t="array" ref="Q2705"> if(iserror(MATCH(V2705, 'File Links'!C:C, 0)), "N/A", HYPERLINK(INDEX('File Links'!B:B, MATCH(P2705, 'File Links'!C:C, 0))))</f>
        <v>https://drive.google.com/file/d/1zTMlOFWNTfGXuxYg38c1Rclwf7vMtQVs/view?usp=drivesdk</v>
      </c>
      <c r="R2705" s="2217" t="s">
        <v>15954</v>
      </c>
      <c r="S2705" s="677" t="s">
        <v>15936</v>
      </c>
      <c r="T2705" s="65"/>
      <c r="U2705" s="65"/>
      <c r="V2705" s="156" t="s">
        <v>15937</v>
      </c>
      <c r="W2705" s="65"/>
      <c r="X2705" s="51" t="str">
        <f t="array" ref="X2705"> if(iserror(MATCH(V2705, 'File Links'!C:C, 0)), "N/A", HYPERLINK(INDEX('File Links'!B:B, MATCH(V2705, 'File Links'!C:C, 0))))</f>
        <v>https://drive.google.com/file/d/1zlIibgTl_xuo-gJvDI1iuFuL7MwgpJud/view?usp=drivesdk</v>
      </c>
      <c r="Y2705" s="65"/>
      <c r="Z2705" s="156" t="s">
        <v>1593</v>
      </c>
      <c r="AA2705" s="65" t="s">
        <v>15938</v>
      </c>
      <c r="AB2705" s="65" t="s">
        <v>15939</v>
      </c>
      <c r="AC2705" s="65" t="s">
        <v>15955</v>
      </c>
      <c r="AD2705" s="65" t="s">
        <v>15941</v>
      </c>
      <c r="AE2705" s="65" t="s">
        <v>15942</v>
      </c>
      <c r="AF2705" s="333">
        <v>3.0</v>
      </c>
      <c r="AG2705" s="333">
        <v>0.158</v>
      </c>
      <c r="AH2705" s="65" t="s">
        <v>715</v>
      </c>
      <c r="AI2705" s="1904" t="s">
        <v>15956</v>
      </c>
      <c r="AJ2705" s="333">
        <v>0.01</v>
      </c>
      <c r="AK2705" s="65" t="s">
        <v>128</v>
      </c>
      <c r="AL2705" s="156" t="s">
        <v>179</v>
      </c>
      <c r="AM2705" s="156" t="s">
        <v>130</v>
      </c>
      <c r="AN2705" s="156" t="s">
        <v>131</v>
      </c>
      <c r="AO2705" s="333">
        <v>3.0</v>
      </c>
      <c r="AP2705" s="333">
        <v>0.503</v>
      </c>
      <c r="AQ2705" s="65" t="s">
        <v>715</v>
      </c>
      <c r="AR2705" s="1904" t="s">
        <v>15957</v>
      </c>
      <c r="AS2705" s="65" t="s">
        <v>131</v>
      </c>
      <c r="AT2705" s="65"/>
      <c r="AU2705" s="65" t="s">
        <v>179</v>
      </c>
      <c r="AV2705" s="65" t="s">
        <v>130</v>
      </c>
      <c r="AW2705" s="65" t="s">
        <v>131</v>
      </c>
      <c r="AX2705" s="65" t="s">
        <v>136</v>
      </c>
      <c r="AZ2705" s="196" t="s">
        <v>15958</v>
      </c>
    </row>
    <row r="2706" ht="24.75" customHeight="1">
      <c r="A2706" s="41">
        <v>3121.0</v>
      </c>
      <c r="B2706" s="126" t="s">
        <v>107</v>
      </c>
      <c r="C2706" s="59" t="s">
        <v>108</v>
      </c>
      <c r="D2706" s="59" t="s">
        <v>146</v>
      </c>
      <c r="F2706" s="2218" t="s">
        <v>15929</v>
      </c>
      <c r="G2706" s="2219" t="s">
        <v>15959</v>
      </c>
      <c r="H2706" s="2218" t="s">
        <v>15858</v>
      </c>
      <c r="I2706" s="2220">
        <v>45821.0</v>
      </c>
      <c r="J2706" s="859"/>
      <c r="K2706" s="2219" t="s">
        <v>15946</v>
      </c>
      <c r="L2706" s="65"/>
      <c r="M2706" s="2219" t="s">
        <v>15932</v>
      </c>
      <c r="N2706" s="2219" t="s">
        <v>15933</v>
      </c>
      <c r="O2706" s="65"/>
      <c r="P2706" s="2221" t="s">
        <v>15934</v>
      </c>
      <c r="Q2706" s="2216" t="str">
        <f t="array" ref="Q2706"> if(iserror(MATCH(V2706, 'File Links'!C:C, 0)), "N/A", HYPERLINK(INDEX('File Links'!B:B, MATCH(P2706, 'File Links'!C:C, 0))))</f>
        <v>https://drive.google.com/file/d/1zTMlOFWNTfGXuxYg38c1Rclwf7vMtQVs/view?usp=drivesdk</v>
      </c>
      <c r="R2706" s="2222" t="s">
        <v>15947</v>
      </c>
      <c r="S2706" s="2219" t="s">
        <v>15936</v>
      </c>
      <c r="T2706" s="65"/>
      <c r="U2706" s="65"/>
      <c r="V2706" s="2223" t="s">
        <v>15937</v>
      </c>
      <c r="W2706" s="1225"/>
      <c r="X2706" s="51" t="str">
        <f t="array" ref="X2706"> if(iserror(MATCH(V2706, 'File Links'!C:C, 0)), "N/A", HYPERLINK(INDEX('File Links'!B:B, MATCH(V2706, 'File Links'!C:C, 0))))</f>
        <v>https://drive.google.com/file/d/1zlIibgTl_xuo-gJvDI1iuFuL7MwgpJud/view?usp=drivesdk</v>
      </c>
      <c r="Y2706" s="2218" t="s">
        <v>15948</v>
      </c>
      <c r="Z2706" s="2219" t="s">
        <v>288</v>
      </c>
      <c r="AA2706" s="2219" t="s">
        <v>15938</v>
      </c>
      <c r="AB2706" s="2219" t="s">
        <v>15949</v>
      </c>
      <c r="AC2706" s="2219" t="s">
        <v>15960</v>
      </c>
      <c r="AD2706" s="2218" t="s">
        <v>15951</v>
      </c>
      <c r="AE2706" s="2224">
        <v>24.0</v>
      </c>
      <c r="AF2706" s="2224">
        <v>5.0</v>
      </c>
      <c r="AG2706" s="65"/>
      <c r="AH2706" s="65"/>
      <c r="AI2706" s="65"/>
      <c r="AJ2706" s="65"/>
      <c r="AK2706" s="65"/>
      <c r="AL2706" s="2219" t="s">
        <v>179</v>
      </c>
      <c r="AM2706" s="2219" t="s">
        <v>130</v>
      </c>
      <c r="AN2706" s="2219" t="s">
        <v>131</v>
      </c>
      <c r="AO2706" s="2224">
        <v>3.0</v>
      </c>
      <c r="AP2706" s="2225">
        <f>(0.74/(1-0.74))/(0.785/(1-0.785))</f>
        <v>0.7795198432</v>
      </c>
      <c r="AQ2706" s="2219" t="s">
        <v>715</v>
      </c>
      <c r="AR2706" s="2219" t="s">
        <v>125</v>
      </c>
      <c r="AS2706" s="65"/>
      <c r="AT2706" s="65"/>
      <c r="AU2706" s="2219" t="s">
        <v>179</v>
      </c>
      <c r="AV2706" s="2219" t="s">
        <v>130</v>
      </c>
      <c r="AW2706" s="2219" t="s">
        <v>131</v>
      </c>
      <c r="AX2706" s="2219" t="s">
        <v>136</v>
      </c>
      <c r="AZ2706" s="196" t="s">
        <v>3756</v>
      </c>
    </row>
    <row r="2707" ht="33.75" customHeight="1">
      <c r="A2707" s="41">
        <v>3122.0</v>
      </c>
      <c r="B2707" s="126" t="s">
        <v>107</v>
      </c>
      <c r="C2707" s="59" t="s">
        <v>108</v>
      </c>
      <c r="D2707" s="59" t="s">
        <v>146</v>
      </c>
      <c r="F2707" s="2218" t="s">
        <v>15929</v>
      </c>
      <c r="G2707" s="2219" t="s">
        <v>15961</v>
      </c>
      <c r="H2707" s="2218" t="s">
        <v>15858</v>
      </c>
      <c r="I2707" s="2220">
        <v>45821.0</v>
      </c>
      <c r="J2707" s="859"/>
      <c r="K2707" s="2219" t="s">
        <v>15946</v>
      </c>
      <c r="L2707" s="65"/>
      <c r="M2707" s="2219" t="s">
        <v>15932</v>
      </c>
      <c r="N2707" s="2219" t="s">
        <v>15933</v>
      </c>
      <c r="O2707" s="65"/>
      <c r="P2707" s="2221" t="s">
        <v>15934</v>
      </c>
      <c r="Q2707" s="2216" t="str">
        <f t="array" ref="Q2707"> if(iserror(MATCH(V2707, 'File Links'!C:C, 0)), "N/A", HYPERLINK(INDEX('File Links'!B:B, MATCH(P2707, 'File Links'!C:C, 0))))</f>
        <v>https://drive.google.com/file/d/1zTMlOFWNTfGXuxYg38c1Rclwf7vMtQVs/view?usp=drivesdk</v>
      </c>
      <c r="R2707" s="2222" t="s">
        <v>15947</v>
      </c>
      <c r="S2707" s="2219" t="s">
        <v>15936</v>
      </c>
      <c r="T2707" s="65"/>
      <c r="U2707" s="65"/>
      <c r="V2707" s="2223" t="s">
        <v>15937</v>
      </c>
      <c r="W2707" s="1225"/>
      <c r="X2707" s="51" t="str">
        <f t="array" ref="X2707"> if(iserror(MATCH(V2707, 'File Links'!C:C, 0)), "N/A", HYPERLINK(INDEX('File Links'!B:B, MATCH(V2707, 'File Links'!C:C, 0))))</f>
        <v>https://drive.google.com/file/d/1zlIibgTl_xuo-gJvDI1iuFuL7MwgpJud/view?usp=drivesdk</v>
      </c>
      <c r="Y2707" s="2218" t="s">
        <v>15948</v>
      </c>
      <c r="Z2707" s="2219" t="s">
        <v>288</v>
      </c>
      <c r="AA2707" s="2219" t="s">
        <v>15938</v>
      </c>
      <c r="AB2707" s="2219" t="s">
        <v>15949</v>
      </c>
      <c r="AC2707" s="2219" t="s">
        <v>15962</v>
      </c>
      <c r="AD2707" s="2218" t="s">
        <v>15963</v>
      </c>
      <c r="AE2707" s="2224">
        <v>24.0</v>
      </c>
      <c r="AF2707" s="2224">
        <v>5.0</v>
      </c>
      <c r="AG2707" s="65"/>
      <c r="AH2707" s="65"/>
      <c r="AI2707" s="65"/>
      <c r="AJ2707" s="65"/>
      <c r="AK2707" s="65"/>
      <c r="AL2707" s="2219" t="s">
        <v>179</v>
      </c>
      <c r="AM2707" s="2219" t="s">
        <v>130</v>
      </c>
      <c r="AN2707" s="2219" t="s">
        <v>131</v>
      </c>
      <c r="AO2707" s="2224">
        <v>3.0</v>
      </c>
      <c r="AP2707" s="2225">
        <f>(0.43/(1-0.43))/(0.55/(1-0.55))</f>
        <v>0.6172248804</v>
      </c>
      <c r="AQ2707" s="2219" t="s">
        <v>715</v>
      </c>
      <c r="AR2707" s="2219" t="s">
        <v>125</v>
      </c>
      <c r="AS2707" s="65"/>
      <c r="AT2707" s="65"/>
      <c r="AU2707" s="2219" t="s">
        <v>179</v>
      </c>
      <c r="AV2707" s="2219" t="s">
        <v>130</v>
      </c>
      <c r="AW2707" s="2219" t="s">
        <v>131</v>
      </c>
      <c r="AX2707" s="2219" t="s">
        <v>136</v>
      </c>
      <c r="AZ2707" s="196" t="s">
        <v>3756</v>
      </c>
    </row>
    <row r="2708" ht="32.25" customHeight="1">
      <c r="A2708" s="41">
        <v>3123.0</v>
      </c>
      <c r="B2708" s="126" t="s">
        <v>107</v>
      </c>
      <c r="C2708" s="59" t="s">
        <v>108</v>
      </c>
      <c r="D2708" s="59" t="s">
        <v>146</v>
      </c>
      <c r="F2708" s="2218" t="s">
        <v>15929</v>
      </c>
      <c r="G2708" s="2219" t="s">
        <v>15964</v>
      </c>
      <c r="H2708" s="2218" t="s">
        <v>15858</v>
      </c>
      <c r="I2708" s="2220">
        <v>45821.0</v>
      </c>
      <c r="J2708" s="859"/>
      <c r="K2708" s="2219" t="s">
        <v>15946</v>
      </c>
      <c r="L2708" s="65"/>
      <c r="M2708" s="2219" t="s">
        <v>15932</v>
      </c>
      <c r="N2708" s="2219" t="s">
        <v>15933</v>
      </c>
      <c r="O2708" s="65"/>
      <c r="P2708" s="2221" t="s">
        <v>15934</v>
      </c>
      <c r="Q2708" s="2216" t="str">
        <f t="array" ref="Q2708"> if(iserror(MATCH(V2708, 'File Links'!C:C, 0)), "N/A", HYPERLINK(INDEX('File Links'!B:B, MATCH(P2708, 'File Links'!C:C, 0))))</f>
        <v>https://drive.google.com/file/d/1zTMlOFWNTfGXuxYg38c1Rclwf7vMtQVs/view?usp=drivesdk</v>
      </c>
      <c r="R2708" s="2222" t="s">
        <v>15947</v>
      </c>
      <c r="S2708" s="2219" t="s">
        <v>15936</v>
      </c>
      <c r="T2708" s="65"/>
      <c r="U2708" s="65"/>
      <c r="V2708" s="2223" t="s">
        <v>15937</v>
      </c>
      <c r="W2708" s="1225"/>
      <c r="X2708" s="51" t="str">
        <f t="array" ref="X2708"> if(iserror(MATCH(V2708, 'File Links'!C:C, 0)), "N/A", HYPERLINK(INDEX('File Links'!B:B, MATCH(V2708, 'File Links'!C:C, 0))))</f>
        <v>https://drive.google.com/file/d/1zlIibgTl_xuo-gJvDI1iuFuL7MwgpJud/view?usp=drivesdk</v>
      </c>
      <c r="Y2708" s="2218" t="s">
        <v>15948</v>
      </c>
      <c r="Z2708" s="2219" t="s">
        <v>288</v>
      </c>
      <c r="AA2708" s="2219" t="s">
        <v>15938</v>
      </c>
      <c r="AB2708" s="2219" t="s">
        <v>15949</v>
      </c>
      <c r="AC2708" s="2219" t="s">
        <v>15965</v>
      </c>
      <c r="AD2708" s="2218" t="s">
        <v>15963</v>
      </c>
      <c r="AE2708" s="2224">
        <v>24.0</v>
      </c>
      <c r="AF2708" s="2224">
        <v>5.0</v>
      </c>
      <c r="AG2708" s="65"/>
      <c r="AH2708" s="65"/>
      <c r="AI2708" s="65"/>
      <c r="AJ2708" s="65"/>
      <c r="AK2708" s="65"/>
      <c r="AL2708" s="2219" t="s">
        <v>179</v>
      </c>
      <c r="AM2708" s="2219" t="s">
        <v>130</v>
      </c>
      <c r="AN2708" s="2219" t="s">
        <v>131</v>
      </c>
      <c r="AO2708" s="2224">
        <v>3.0</v>
      </c>
      <c r="AP2708" s="2225">
        <f>(0.43/(1-0.43))/(0.6/(1-0.6))</f>
        <v>0.5029239766</v>
      </c>
      <c r="AQ2708" s="2219" t="s">
        <v>715</v>
      </c>
      <c r="AR2708" s="2219" t="s">
        <v>125</v>
      </c>
      <c r="AS2708" s="65"/>
      <c r="AT2708" s="65"/>
      <c r="AU2708" s="2219" t="s">
        <v>179</v>
      </c>
      <c r="AV2708" s="2219" t="s">
        <v>130</v>
      </c>
      <c r="AW2708" s="2219" t="s">
        <v>131</v>
      </c>
      <c r="AX2708" s="2219" t="s">
        <v>136</v>
      </c>
      <c r="AZ2708" s="196" t="s">
        <v>3756</v>
      </c>
    </row>
    <row r="2709" ht="28.5" customHeight="1">
      <c r="A2709" s="41">
        <v>3124.0</v>
      </c>
      <c r="B2709" s="126" t="s">
        <v>107</v>
      </c>
      <c r="C2709" s="59" t="s">
        <v>108</v>
      </c>
      <c r="D2709" s="59" t="s">
        <v>146</v>
      </c>
      <c r="F2709" s="2218" t="s">
        <v>15929</v>
      </c>
      <c r="G2709" s="2219" t="s">
        <v>15966</v>
      </c>
      <c r="H2709" s="2218" t="s">
        <v>15858</v>
      </c>
      <c r="I2709" s="2220">
        <v>45821.0</v>
      </c>
      <c r="J2709" s="859"/>
      <c r="K2709" s="2219" t="s">
        <v>15946</v>
      </c>
      <c r="L2709" s="65"/>
      <c r="M2709" s="2219" t="s">
        <v>15932</v>
      </c>
      <c r="N2709" s="2219" t="s">
        <v>15933</v>
      </c>
      <c r="O2709" s="65"/>
      <c r="P2709" s="2221" t="s">
        <v>15934</v>
      </c>
      <c r="Q2709" s="2216" t="str">
        <f t="array" ref="Q2709"> if(iserror(MATCH(V2709, 'File Links'!C:C, 0)), "N/A", HYPERLINK(INDEX('File Links'!B:B, MATCH(P2709, 'File Links'!C:C, 0))))</f>
        <v>https://drive.google.com/file/d/1zTMlOFWNTfGXuxYg38c1Rclwf7vMtQVs/view?usp=drivesdk</v>
      </c>
      <c r="R2709" s="2222" t="s">
        <v>15947</v>
      </c>
      <c r="S2709" s="2219" t="s">
        <v>15936</v>
      </c>
      <c r="T2709" s="65"/>
      <c r="U2709" s="65"/>
      <c r="V2709" s="2223" t="s">
        <v>15937</v>
      </c>
      <c r="W2709" s="1225"/>
      <c r="X2709" s="51" t="str">
        <f t="array" ref="X2709"> if(iserror(MATCH(V2709, 'File Links'!C:C, 0)), "N/A", HYPERLINK(INDEX('File Links'!B:B, MATCH(V2709, 'File Links'!C:C, 0))))</f>
        <v>https://drive.google.com/file/d/1zlIibgTl_xuo-gJvDI1iuFuL7MwgpJud/view?usp=drivesdk</v>
      </c>
      <c r="Y2709" s="2218" t="s">
        <v>15948</v>
      </c>
      <c r="Z2709" s="2219" t="s">
        <v>288</v>
      </c>
      <c r="AA2709" s="2219" t="s">
        <v>15938</v>
      </c>
      <c r="AB2709" s="2219" t="s">
        <v>15949</v>
      </c>
      <c r="AC2709" s="2219" t="s">
        <v>15967</v>
      </c>
      <c r="AD2709" s="2218" t="s">
        <v>15963</v>
      </c>
      <c r="AE2709" s="2224">
        <v>24.0</v>
      </c>
      <c r="AF2709" s="2224">
        <v>5.0</v>
      </c>
      <c r="AG2709" s="65"/>
      <c r="AH2709" s="65"/>
      <c r="AI2709" s="65"/>
      <c r="AJ2709" s="65"/>
      <c r="AK2709" s="65"/>
      <c r="AL2709" s="2219" t="s">
        <v>179</v>
      </c>
      <c r="AM2709" s="2219" t="s">
        <v>130</v>
      </c>
      <c r="AN2709" s="2219" t="s">
        <v>131</v>
      </c>
      <c r="AO2709" s="2224">
        <v>3.0</v>
      </c>
      <c r="AP2709" s="2225">
        <f>(0.55/(1-0.55))/(0.6/(1-0.6))</f>
        <v>0.8148148148</v>
      </c>
      <c r="AQ2709" s="2219" t="s">
        <v>715</v>
      </c>
      <c r="AR2709" s="2219" t="s">
        <v>125</v>
      </c>
      <c r="AS2709" s="65"/>
      <c r="AT2709" s="65"/>
      <c r="AU2709" s="2219" t="s">
        <v>179</v>
      </c>
      <c r="AV2709" s="2219" t="s">
        <v>130</v>
      </c>
      <c r="AW2709" s="2219" t="s">
        <v>131</v>
      </c>
      <c r="AX2709" s="2219" t="s">
        <v>136</v>
      </c>
      <c r="AZ2709" s="196" t="s">
        <v>15958</v>
      </c>
    </row>
    <row r="2710" ht="20.25" customHeight="1">
      <c r="A2710" s="41">
        <v>3200.0</v>
      </c>
      <c r="B2710" s="209" t="s">
        <v>516</v>
      </c>
      <c r="C2710" s="2087" t="s">
        <v>108</v>
      </c>
      <c r="D2710" s="2087" t="s">
        <v>15928</v>
      </c>
      <c r="E2710" s="2088"/>
      <c r="F2710" s="2090" t="s">
        <v>15968</v>
      </c>
      <c r="G2710" s="2090" t="s">
        <v>15969</v>
      </c>
      <c r="H2710" s="2091" t="s">
        <v>15931</v>
      </c>
      <c r="I2710" s="2226">
        <v>45811.0</v>
      </c>
      <c r="J2710" s="2089"/>
      <c r="K2710" s="2089"/>
      <c r="L2710" s="2089"/>
      <c r="M2710" s="2227" t="s">
        <v>15970</v>
      </c>
      <c r="N2710" s="2227" t="s">
        <v>15971</v>
      </c>
      <c r="O2710" s="2089"/>
      <c r="P2710" s="2227" t="s">
        <v>15972</v>
      </c>
      <c r="Q2710" s="2228" t="str">
        <f t="array" ref="Q2710"> if(iserror(MATCH(V2710, 'File Links'!C:C, 0)), "N/A", HYPERLINK(INDEX('File Links'!B:B, MATCH(P2710, 'File Links'!C:C, 0))))</f>
        <v>https://drive.google.com/file/d/1zwo0Z9c95_nMMyR8_YF91_12LgVySkVG/view?usp=drivesdk</v>
      </c>
      <c r="R2710" s="2227" t="s">
        <v>15973</v>
      </c>
      <c r="S2710" s="2229" t="s">
        <v>15974</v>
      </c>
      <c r="T2710" s="2089"/>
      <c r="U2710" s="2095">
        <v>1.0</v>
      </c>
      <c r="V2710" s="2090" t="s">
        <v>15975</v>
      </c>
      <c r="W2710" s="2089"/>
      <c r="X2710" s="2093" t="str">
        <f t="array" ref="X2710"> if(iserror(MATCH(V2710, 'File Links'!C:C, 0)), "N/A", HYPERLINK(INDEX('File Links'!B:B, MATCH(V2710, 'File Links'!C:C, 0))))</f>
        <v>https://drive.google.com/file/d/1QuBW1YTzJmF7ZZ5KLsu8m14qTEgfOrf4/view?usp=drivesdk</v>
      </c>
      <c r="Y2710" s="2089"/>
      <c r="Z2710" s="2089" t="s">
        <v>831</v>
      </c>
      <c r="AA2710" s="2089" t="s">
        <v>15976</v>
      </c>
      <c r="AB2710" s="2089" t="s">
        <v>15977</v>
      </c>
      <c r="AC2710" s="2089" t="s">
        <v>15978</v>
      </c>
      <c r="AD2710" s="2089" t="s">
        <v>15979</v>
      </c>
      <c r="AE2710" s="2089" t="s">
        <v>500</v>
      </c>
      <c r="AF2710" s="2096">
        <v>41.0</v>
      </c>
      <c r="AG2710" s="2096">
        <v>0.707</v>
      </c>
      <c r="AH2710" s="2089" t="s">
        <v>166</v>
      </c>
      <c r="AI2710" s="2230" t="s">
        <v>15980</v>
      </c>
      <c r="AJ2710" s="2096">
        <v>0.04</v>
      </c>
      <c r="AK2710" s="2089" t="s">
        <v>165</v>
      </c>
      <c r="AL2710" s="2089" t="s">
        <v>179</v>
      </c>
      <c r="AM2710" s="2089" t="s">
        <v>130</v>
      </c>
      <c r="AN2710" s="2089" t="s">
        <v>131</v>
      </c>
      <c r="AO2710" s="2096">
        <v>148.0</v>
      </c>
      <c r="AP2710" s="2096">
        <v>0.002</v>
      </c>
      <c r="AQ2710" s="2089" t="s">
        <v>166</v>
      </c>
      <c r="AR2710" s="2230" t="s">
        <v>15981</v>
      </c>
      <c r="AS2710" s="2096">
        <v>0.99</v>
      </c>
      <c r="AT2710" s="2089" t="s">
        <v>165</v>
      </c>
      <c r="AU2710" s="2089" t="s">
        <v>179</v>
      </c>
      <c r="AV2710" s="2089" t="s">
        <v>130</v>
      </c>
      <c r="AW2710" s="2098" t="s">
        <v>15982</v>
      </c>
      <c r="AX2710" s="2231" t="s">
        <v>136</v>
      </c>
      <c r="AY2710" s="2088"/>
      <c r="AZ2710" s="2087" t="s">
        <v>15958</v>
      </c>
      <c r="BA2710" s="2088"/>
      <c r="BB2710" s="2088"/>
      <c r="BC2710" s="2088"/>
      <c r="BD2710" s="2088"/>
      <c r="BE2710" s="2088"/>
      <c r="BF2710" s="2088"/>
      <c r="BG2710" s="2088"/>
      <c r="BH2710" s="2088"/>
      <c r="BI2710" s="2088"/>
      <c r="BJ2710" s="2088"/>
      <c r="BK2710" s="2088"/>
      <c r="BL2710" s="2088"/>
      <c r="BM2710" s="2088"/>
      <c r="BN2710" s="2088"/>
      <c r="BO2710" s="2088"/>
      <c r="BP2710" s="2088"/>
      <c r="BQ2710" s="2088"/>
      <c r="BR2710" s="2088"/>
      <c r="BS2710" s="2088"/>
      <c r="BT2710" s="2088"/>
      <c r="BU2710" s="2088"/>
      <c r="BV2710" s="2088"/>
      <c r="BW2710" s="2088"/>
      <c r="BX2710" s="2088"/>
      <c r="BY2710" s="2088"/>
      <c r="BZ2710" s="2088"/>
      <c r="CA2710" s="2088"/>
      <c r="CB2710" s="2088"/>
      <c r="CC2710" s="2088"/>
      <c r="CD2710" s="2088"/>
      <c r="CE2710" s="2088"/>
      <c r="CF2710" s="2088"/>
      <c r="CG2710" s="2088"/>
      <c r="CH2710" s="2088"/>
      <c r="CI2710" s="2088"/>
      <c r="CJ2710" s="2088"/>
      <c r="CK2710" s="2088"/>
      <c r="CL2710" s="2088"/>
      <c r="CM2710" s="2088"/>
      <c r="CN2710" s="2088"/>
      <c r="CO2710" s="2088"/>
      <c r="CP2710" s="2088"/>
      <c r="CQ2710" s="2088"/>
      <c r="CR2710" s="2088"/>
      <c r="CS2710" s="2088"/>
      <c r="CT2710" s="2088"/>
      <c r="CU2710" s="2088"/>
      <c r="CV2710" s="2088"/>
      <c r="CW2710" s="2088"/>
      <c r="CX2710" s="2088"/>
      <c r="CY2710" s="2088"/>
      <c r="CZ2710" s="2088"/>
      <c r="DA2710" s="2088"/>
      <c r="DB2710" s="2088"/>
      <c r="DC2710" s="2088"/>
      <c r="DD2710" s="2088"/>
      <c r="DE2710" s="2088"/>
      <c r="DF2710" s="2088"/>
      <c r="DG2710" s="2088"/>
      <c r="DH2710" s="2088"/>
    </row>
    <row r="2711">
      <c r="A2711" s="41">
        <v>3131.0</v>
      </c>
      <c r="B2711" s="209" t="s">
        <v>516</v>
      </c>
      <c r="C2711" s="2087" t="s">
        <v>108</v>
      </c>
      <c r="D2711" s="2087" t="s">
        <v>146</v>
      </c>
      <c r="E2711" s="2088"/>
      <c r="F2711" s="2232" t="s">
        <v>15968</v>
      </c>
      <c r="G2711" s="2233" t="s">
        <v>15983</v>
      </c>
      <c r="H2711" s="2232" t="s">
        <v>15858</v>
      </c>
      <c r="I2711" s="2234">
        <v>45821.0</v>
      </c>
      <c r="J2711" s="2235"/>
      <c r="K2711" s="2089"/>
      <c r="L2711" s="2089"/>
      <c r="M2711" s="2233" t="s">
        <v>15970</v>
      </c>
      <c r="N2711" s="2233" t="s">
        <v>15971</v>
      </c>
      <c r="O2711" s="2089"/>
      <c r="P2711" s="2233" t="s">
        <v>15972</v>
      </c>
      <c r="Q2711" s="2228" t="str">
        <f t="array" ref="Q2711"> if(iserror(MATCH(V2711, 'File Links'!C:C, 0)), "N/A", HYPERLINK(INDEX('File Links'!B:B, MATCH(P2711, 'File Links'!C:C, 0))))</f>
        <v>https://drive.google.com/file/d/1zwo0Z9c95_nMMyR8_YF91_12LgVySkVG/view?usp=drivesdk</v>
      </c>
      <c r="R2711" s="2233" t="s">
        <v>15973</v>
      </c>
      <c r="S2711" s="2233" t="s">
        <v>15974</v>
      </c>
      <c r="T2711" s="2089"/>
      <c r="U2711" s="2089"/>
      <c r="V2711" s="2233" t="s">
        <v>15975</v>
      </c>
      <c r="W2711" s="2089"/>
      <c r="X2711" s="2093" t="str">
        <f t="array" ref="X2711"> if(iserror(MATCH(V2711, 'File Links'!C:C, 0)), "N/A", HYPERLINK(INDEX('File Links'!B:B, MATCH(V2711, 'File Links'!C:C, 0))))</f>
        <v>https://drive.google.com/file/d/1QuBW1YTzJmF7ZZ5KLsu8m14qTEgfOrf4/view?usp=drivesdk</v>
      </c>
      <c r="Y2711" s="2089"/>
      <c r="Z2711" s="2233" t="s">
        <v>219</v>
      </c>
      <c r="AA2711" s="2233" t="s">
        <v>15984</v>
      </c>
      <c r="AB2711" s="2233" t="s">
        <v>15985</v>
      </c>
      <c r="AC2711" s="2233" t="s">
        <v>15986</v>
      </c>
      <c r="AD2711" s="2232" t="s">
        <v>15987</v>
      </c>
      <c r="AE2711" s="2236">
        <v>2.0</v>
      </c>
      <c r="AF2711" s="2236">
        <v>41.0</v>
      </c>
      <c r="AG2711" s="2236">
        <v>0.1</v>
      </c>
      <c r="AH2711" s="2233" t="s">
        <v>867</v>
      </c>
      <c r="AI2711" s="2233" t="s">
        <v>868</v>
      </c>
      <c r="AJ2711" s="2236">
        <v>0.04</v>
      </c>
      <c r="AK2711" s="2233" t="s">
        <v>165</v>
      </c>
      <c r="AL2711" s="2233" t="s">
        <v>179</v>
      </c>
      <c r="AM2711" s="2233" t="s">
        <v>130</v>
      </c>
      <c r="AN2711" s="2233" t="s">
        <v>131</v>
      </c>
      <c r="AO2711" s="2236">
        <v>148.0</v>
      </c>
      <c r="AP2711" s="2236">
        <v>0.002</v>
      </c>
      <c r="AQ2711" s="2233" t="s">
        <v>595</v>
      </c>
      <c r="AR2711" s="2233" t="s">
        <v>210</v>
      </c>
      <c r="AS2711" s="2236">
        <v>0.99</v>
      </c>
      <c r="AT2711" s="2233" t="s">
        <v>165</v>
      </c>
      <c r="AU2711" s="2233" t="s">
        <v>179</v>
      </c>
      <c r="AV2711" s="2233" t="s">
        <v>130</v>
      </c>
      <c r="AW2711" s="2237" t="s">
        <v>15982</v>
      </c>
      <c r="AX2711" s="2233" t="s">
        <v>136</v>
      </c>
      <c r="AY2711" s="2088"/>
      <c r="AZ2711" s="2087" t="s">
        <v>15958</v>
      </c>
      <c r="BA2711" s="2088"/>
      <c r="BB2711" s="2088"/>
      <c r="BC2711" s="2088"/>
      <c r="BD2711" s="2088"/>
      <c r="BE2711" s="2088"/>
      <c r="BF2711" s="2088"/>
      <c r="BG2711" s="2088"/>
      <c r="BH2711" s="2088"/>
      <c r="BI2711" s="2088"/>
      <c r="BJ2711" s="2088"/>
      <c r="BK2711" s="2088"/>
      <c r="BL2711" s="2088"/>
      <c r="BM2711" s="2088"/>
      <c r="BN2711" s="2088"/>
      <c r="BO2711" s="2088"/>
      <c r="BP2711" s="2088"/>
      <c r="BQ2711" s="2088"/>
      <c r="BR2711" s="2088"/>
      <c r="BS2711" s="2088"/>
      <c r="BT2711" s="2088"/>
      <c r="BU2711" s="2088"/>
      <c r="BV2711" s="2088"/>
      <c r="BW2711" s="2088"/>
      <c r="BX2711" s="2088"/>
      <c r="BY2711" s="2088"/>
      <c r="BZ2711" s="2088"/>
      <c r="CA2711" s="2088"/>
      <c r="CB2711" s="2088"/>
      <c r="CC2711" s="2088"/>
      <c r="CD2711" s="2088"/>
      <c r="CE2711" s="2088"/>
      <c r="CF2711" s="2088"/>
      <c r="CG2711" s="2088"/>
      <c r="CH2711" s="2088"/>
      <c r="CI2711" s="2088"/>
      <c r="CJ2711" s="2088"/>
      <c r="CK2711" s="2088"/>
      <c r="CL2711" s="2088"/>
      <c r="CM2711" s="2088"/>
      <c r="CN2711" s="2088"/>
      <c r="CO2711" s="2088"/>
      <c r="CP2711" s="2088"/>
      <c r="CQ2711" s="2088"/>
      <c r="CR2711" s="2088"/>
      <c r="CS2711" s="2088"/>
      <c r="CT2711" s="2088"/>
      <c r="CU2711" s="2088"/>
      <c r="CV2711" s="2088"/>
      <c r="CW2711" s="2088"/>
      <c r="CX2711" s="2088"/>
      <c r="CY2711" s="2088"/>
      <c r="CZ2711" s="2088"/>
      <c r="DA2711" s="2088"/>
      <c r="DB2711" s="2088"/>
      <c r="DC2711" s="2088"/>
      <c r="DD2711" s="2088"/>
      <c r="DE2711" s="2088"/>
      <c r="DF2711" s="2088"/>
      <c r="DG2711" s="2088"/>
      <c r="DH2711" s="2088"/>
    </row>
    <row r="2712">
      <c r="A2712" s="41">
        <v>3132.0</v>
      </c>
      <c r="B2712" s="209" t="s">
        <v>516</v>
      </c>
      <c r="C2712" s="2087" t="s">
        <v>108</v>
      </c>
      <c r="D2712" s="2087" t="s">
        <v>146</v>
      </c>
      <c r="E2712" s="2088"/>
      <c r="F2712" s="2232" t="s">
        <v>15968</v>
      </c>
      <c r="G2712" s="2233" t="s">
        <v>15988</v>
      </c>
      <c r="H2712" s="2232" t="s">
        <v>15858</v>
      </c>
      <c r="I2712" s="2234">
        <v>45821.0</v>
      </c>
      <c r="J2712" s="2235"/>
      <c r="K2712" s="2089"/>
      <c r="L2712" s="2089"/>
      <c r="M2712" s="2233" t="s">
        <v>15970</v>
      </c>
      <c r="N2712" s="2233" t="s">
        <v>15971</v>
      </c>
      <c r="O2712" s="2089"/>
      <c r="P2712" s="2233" t="s">
        <v>15972</v>
      </c>
      <c r="Q2712" s="2228" t="str">
        <f t="array" ref="Q2712"> if(iserror(MATCH(V2712, 'File Links'!C:C, 0)), "N/A", HYPERLINK(INDEX('File Links'!B:B, MATCH(P2712, 'File Links'!C:C, 0))))</f>
        <v>https://drive.google.com/file/d/1zwo0Z9c95_nMMyR8_YF91_12LgVySkVG/view?usp=drivesdk</v>
      </c>
      <c r="R2712" s="2233" t="s">
        <v>15973</v>
      </c>
      <c r="S2712" s="2233" t="s">
        <v>15974</v>
      </c>
      <c r="T2712" s="2089"/>
      <c r="U2712" s="2089"/>
      <c r="V2712" s="2233" t="s">
        <v>15975</v>
      </c>
      <c r="W2712" s="2089"/>
      <c r="X2712" s="2093" t="str">
        <f t="array" ref="X2712"> if(iserror(MATCH(V2712, 'File Links'!C:C, 0)), "N/A", HYPERLINK(INDEX('File Links'!B:B, MATCH(V2712, 'File Links'!C:C, 0))))</f>
        <v>https://drive.google.com/file/d/1QuBW1YTzJmF7ZZ5KLsu8m14qTEgfOrf4/view?usp=drivesdk</v>
      </c>
      <c r="Y2712" s="2089"/>
      <c r="Z2712" s="2233" t="s">
        <v>219</v>
      </c>
      <c r="AA2712" s="2233" t="s">
        <v>15984</v>
      </c>
      <c r="AB2712" s="2233" t="s">
        <v>15985</v>
      </c>
      <c r="AC2712" s="2232" t="s">
        <v>15989</v>
      </c>
      <c r="AD2712" s="2232" t="s">
        <v>15990</v>
      </c>
      <c r="AE2712" s="2238">
        <v>45718.0</v>
      </c>
      <c r="AF2712" s="2239">
        <v>41.0</v>
      </c>
      <c r="AG2712" s="2236">
        <v>0.1</v>
      </c>
      <c r="AH2712" s="2233" t="s">
        <v>867</v>
      </c>
      <c r="AI2712" s="2233" t="s">
        <v>210</v>
      </c>
      <c r="AJ2712" s="2239">
        <v>0.05</v>
      </c>
      <c r="AK2712" s="2233" t="s">
        <v>165</v>
      </c>
      <c r="AL2712" s="2233" t="s">
        <v>179</v>
      </c>
      <c r="AM2712" s="2233" t="s">
        <v>130</v>
      </c>
      <c r="AN2712" s="2233" t="s">
        <v>131</v>
      </c>
      <c r="AO2712" s="2236">
        <v>148.0</v>
      </c>
      <c r="AP2712" s="2239">
        <v>-0.07</v>
      </c>
      <c r="AQ2712" s="2233" t="s">
        <v>595</v>
      </c>
      <c r="AR2712" s="2233" t="s">
        <v>210</v>
      </c>
      <c r="AS2712" s="2239">
        <v>0.672</v>
      </c>
      <c r="AT2712" s="2233" t="s">
        <v>165</v>
      </c>
      <c r="AU2712" s="2233" t="s">
        <v>179</v>
      </c>
      <c r="AV2712" s="2233" t="s">
        <v>130</v>
      </c>
      <c r="AW2712" s="2237" t="s">
        <v>15982</v>
      </c>
      <c r="AX2712" s="2233" t="s">
        <v>136</v>
      </c>
      <c r="AY2712" s="2088"/>
      <c r="AZ2712" s="2087" t="s">
        <v>15958</v>
      </c>
      <c r="BA2712" s="2088"/>
      <c r="BB2712" s="2088"/>
      <c r="BC2712" s="2088"/>
      <c r="BD2712" s="2088"/>
      <c r="BE2712" s="2088"/>
      <c r="BF2712" s="2088"/>
      <c r="BG2712" s="2088"/>
      <c r="BH2712" s="2088"/>
      <c r="BI2712" s="2088"/>
      <c r="BJ2712" s="2088"/>
      <c r="BK2712" s="2088"/>
      <c r="BL2712" s="2088"/>
      <c r="BM2712" s="2088"/>
      <c r="BN2712" s="2088"/>
      <c r="BO2712" s="2088"/>
      <c r="BP2712" s="2088"/>
      <c r="BQ2712" s="2088"/>
      <c r="BR2712" s="2088"/>
      <c r="BS2712" s="2088"/>
      <c r="BT2712" s="2088"/>
      <c r="BU2712" s="2088"/>
      <c r="BV2712" s="2088"/>
      <c r="BW2712" s="2088"/>
      <c r="BX2712" s="2088"/>
      <c r="BY2712" s="2088"/>
      <c r="BZ2712" s="2088"/>
      <c r="CA2712" s="2088"/>
      <c r="CB2712" s="2088"/>
      <c r="CC2712" s="2088"/>
      <c r="CD2712" s="2088"/>
      <c r="CE2712" s="2088"/>
      <c r="CF2712" s="2088"/>
      <c r="CG2712" s="2088"/>
      <c r="CH2712" s="2088"/>
      <c r="CI2712" s="2088"/>
      <c r="CJ2712" s="2088"/>
      <c r="CK2712" s="2088"/>
      <c r="CL2712" s="2088"/>
      <c r="CM2712" s="2088"/>
      <c r="CN2712" s="2088"/>
      <c r="CO2712" s="2088"/>
      <c r="CP2712" s="2088"/>
      <c r="CQ2712" s="2088"/>
      <c r="CR2712" s="2088"/>
      <c r="CS2712" s="2088"/>
      <c r="CT2712" s="2088"/>
      <c r="CU2712" s="2088"/>
      <c r="CV2712" s="2088"/>
      <c r="CW2712" s="2088"/>
      <c r="CX2712" s="2088"/>
      <c r="CY2712" s="2088"/>
      <c r="CZ2712" s="2088"/>
      <c r="DA2712" s="2088"/>
      <c r="DB2712" s="2088"/>
      <c r="DC2712" s="2088"/>
      <c r="DD2712" s="2088"/>
      <c r="DE2712" s="2088"/>
      <c r="DF2712" s="2088"/>
      <c r="DG2712" s="2088"/>
      <c r="DH2712" s="2088"/>
    </row>
    <row r="2713">
      <c r="A2713" s="41">
        <v>3133.0</v>
      </c>
      <c r="B2713" s="209" t="s">
        <v>516</v>
      </c>
      <c r="C2713" s="2087" t="s">
        <v>108</v>
      </c>
      <c r="D2713" s="2087" t="s">
        <v>146</v>
      </c>
      <c r="E2713" s="2088"/>
      <c r="F2713" s="2232" t="s">
        <v>15968</v>
      </c>
      <c r="G2713" s="2233" t="s">
        <v>15991</v>
      </c>
      <c r="H2713" s="2232" t="s">
        <v>15858</v>
      </c>
      <c r="I2713" s="2234">
        <v>45821.0</v>
      </c>
      <c r="J2713" s="2235"/>
      <c r="K2713" s="2089"/>
      <c r="L2713" s="2089"/>
      <c r="M2713" s="2233" t="s">
        <v>15970</v>
      </c>
      <c r="N2713" s="2233" t="s">
        <v>15971</v>
      </c>
      <c r="O2713" s="2089"/>
      <c r="P2713" s="2233" t="s">
        <v>15972</v>
      </c>
      <c r="Q2713" s="2228" t="str">
        <f t="array" ref="Q2713"> if(iserror(MATCH(V2713, 'File Links'!C:C, 0)), "N/A", HYPERLINK(INDEX('File Links'!B:B, MATCH(P2713, 'File Links'!C:C, 0))))</f>
        <v>https://drive.google.com/file/d/1zwo0Z9c95_nMMyR8_YF91_12LgVySkVG/view?usp=drivesdk</v>
      </c>
      <c r="R2713" s="2233" t="s">
        <v>15973</v>
      </c>
      <c r="S2713" s="2233" t="s">
        <v>15974</v>
      </c>
      <c r="T2713" s="2089"/>
      <c r="U2713" s="2089"/>
      <c r="V2713" s="2233" t="s">
        <v>15975</v>
      </c>
      <c r="W2713" s="2089"/>
      <c r="X2713" s="2093" t="str">
        <f t="array" ref="X2713"> if(iserror(MATCH(V2713, 'File Links'!C:C, 0)), "N/A", HYPERLINK(INDEX('File Links'!B:B, MATCH(V2713, 'File Links'!C:C, 0))))</f>
        <v>https://drive.google.com/file/d/1QuBW1YTzJmF7ZZ5KLsu8m14qTEgfOrf4/view?usp=drivesdk</v>
      </c>
      <c r="Y2713" s="2089"/>
      <c r="Z2713" s="2233" t="s">
        <v>219</v>
      </c>
      <c r="AA2713" s="2233" t="s">
        <v>15984</v>
      </c>
      <c r="AB2713" s="2233" t="s">
        <v>15985</v>
      </c>
      <c r="AC2713" s="2232" t="s">
        <v>15992</v>
      </c>
      <c r="AD2713" s="2232" t="s">
        <v>15993</v>
      </c>
      <c r="AE2713" s="2238">
        <v>45718.0</v>
      </c>
      <c r="AF2713" s="2239">
        <v>41.0</v>
      </c>
      <c r="AG2713" s="2236">
        <v>0.1</v>
      </c>
      <c r="AH2713" s="2233" t="s">
        <v>867</v>
      </c>
      <c r="AI2713" s="2233" t="s">
        <v>210</v>
      </c>
      <c r="AJ2713" s="2239">
        <v>0.05</v>
      </c>
      <c r="AK2713" s="2233" t="s">
        <v>165</v>
      </c>
      <c r="AL2713" s="2233" t="s">
        <v>179</v>
      </c>
      <c r="AM2713" s="2233" t="s">
        <v>130</v>
      </c>
      <c r="AN2713" s="2233" t="s">
        <v>131</v>
      </c>
      <c r="AO2713" s="2236">
        <v>148.0</v>
      </c>
      <c r="AP2713" s="2239">
        <v>-0.03</v>
      </c>
      <c r="AQ2713" s="2233" t="s">
        <v>595</v>
      </c>
      <c r="AR2713" s="2233" t="s">
        <v>210</v>
      </c>
      <c r="AS2713" s="2239">
        <v>0.842</v>
      </c>
      <c r="AT2713" s="2233" t="s">
        <v>165</v>
      </c>
      <c r="AU2713" s="2233" t="s">
        <v>179</v>
      </c>
      <c r="AV2713" s="2233" t="s">
        <v>130</v>
      </c>
      <c r="AW2713" s="2237" t="s">
        <v>15982</v>
      </c>
      <c r="AX2713" s="2233" t="s">
        <v>136</v>
      </c>
      <c r="AY2713" s="2088"/>
      <c r="AZ2713" s="2087" t="s">
        <v>15958</v>
      </c>
      <c r="BA2713" s="2088"/>
      <c r="BB2713" s="2088"/>
      <c r="BC2713" s="2088"/>
      <c r="BD2713" s="2088"/>
      <c r="BE2713" s="2088"/>
      <c r="BF2713" s="2088"/>
      <c r="BG2713" s="2088"/>
      <c r="BH2713" s="2088"/>
      <c r="BI2713" s="2088"/>
      <c r="BJ2713" s="2088"/>
      <c r="BK2713" s="2088"/>
      <c r="BL2713" s="2088"/>
      <c r="BM2713" s="2088"/>
      <c r="BN2713" s="2088"/>
      <c r="BO2713" s="2088"/>
      <c r="BP2713" s="2088"/>
      <c r="BQ2713" s="2088"/>
      <c r="BR2713" s="2088"/>
      <c r="BS2713" s="2088"/>
      <c r="BT2713" s="2088"/>
      <c r="BU2713" s="2088"/>
      <c r="BV2713" s="2088"/>
      <c r="BW2713" s="2088"/>
      <c r="BX2713" s="2088"/>
      <c r="BY2713" s="2088"/>
      <c r="BZ2713" s="2088"/>
      <c r="CA2713" s="2088"/>
      <c r="CB2713" s="2088"/>
      <c r="CC2713" s="2088"/>
      <c r="CD2713" s="2088"/>
      <c r="CE2713" s="2088"/>
      <c r="CF2713" s="2088"/>
      <c r="CG2713" s="2088"/>
      <c r="CH2713" s="2088"/>
      <c r="CI2713" s="2088"/>
      <c r="CJ2713" s="2088"/>
      <c r="CK2713" s="2088"/>
      <c r="CL2713" s="2088"/>
      <c r="CM2713" s="2088"/>
      <c r="CN2713" s="2088"/>
      <c r="CO2713" s="2088"/>
      <c r="CP2713" s="2088"/>
      <c r="CQ2713" s="2088"/>
      <c r="CR2713" s="2088"/>
      <c r="CS2713" s="2088"/>
      <c r="CT2713" s="2088"/>
      <c r="CU2713" s="2088"/>
      <c r="CV2713" s="2088"/>
      <c r="CW2713" s="2088"/>
      <c r="CX2713" s="2088"/>
      <c r="CY2713" s="2088"/>
      <c r="CZ2713" s="2088"/>
      <c r="DA2713" s="2088"/>
      <c r="DB2713" s="2088"/>
      <c r="DC2713" s="2088"/>
      <c r="DD2713" s="2088"/>
      <c r="DE2713" s="2088"/>
      <c r="DF2713" s="2088"/>
      <c r="DG2713" s="2088"/>
      <c r="DH2713" s="2088"/>
    </row>
    <row r="2714">
      <c r="A2714" s="41">
        <v>3134.0</v>
      </c>
      <c r="B2714" s="209" t="s">
        <v>516</v>
      </c>
      <c r="C2714" s="2087" t="s">
        <v>108</v>
      </c>
      <c r="D2714" s="2087" t="s">
        <v>146</v>
      </c>
      <c r="E2714" s="2088"/>
      <c r="F2714" s="2232" t="s">
        <v>15968</v>
      </c>
      <c r="G2714" s="2233" t="s">
        <v>15994</v>
      </c>
      <c r="H2714" s="2232" t="s">
        <v>15858</v>
      </c>
      <c r="I2714" s="2234">
        <v>45821.0</v>
      </c>
      <c r="J2714" s="2235"/>
      <c r="K2714" s="2089"/>
      <c r="L2714" s="2089"/>
      <c r="M2714" s="2233" t="s">
        <v>15970</v>
      </c>
      <c r="N2714" s="2233" t="s">
        <v>15971</v>
      </c>
      <c r="O2714" s="2089"/>
      <c r="P2714" s="2233" t="s">
        <v>15972</v>
      </c>
      <c r="Q2714" s="2228" t="str">
        <f t="array" ref="Q2714"> if(iserror(MATCH(V2714, 'File Links'!C:C, 0)), "N/A", HYPERLINK(INDEX('File Links'!B:B, MATCH(P2714, 'File Links'!C:C, 0))))</f>
        <v>https://drive.google.com/file/d/1zwo0Z9c95_nMMyR8_YF91_12LgVySkVG/view?usp=drivesdk</v>
      </c>
      <c r="R2714" s="2233" t="s">
        <v>15973</v>
      </c>
      <c r="S2714" s="2233" t="s">
        <v>15974</v>
      </c>
      <c r="T2714" s="2089"/>
      <c r="U2714" s="2089"/>
      <c r="V2714" s="2233" t="s">
        <v>15975</v>
      </c>
      <c r="W2714" s="2089"/>
      <c r="X2714" s="2093" t="str">
        <f t="array" ref="X2714"> if(iserror(MATCH(V2714, 'File Links'!C:C, 0)), "N/A", HYPERLINK(INDEX('File Links'!B:B, MATCH(V2714, 'File Links'!C:C, 0))))</f>
        <v>https://drive.google.com/file/d/1QuBW1YTzJmF7ZZ5KLsu8m14qTEgfOrf4/view?usp=drivesdk</v>
      </c>
      <c r="Y2714" s="2089"/>
      <c r="Z2714" s="2233" t="s">
        <v>219</v>
      </c>
      <c r="AA2714" s="2233" t="s">
        <v>15984</v>
      </c>
      <c r="AB2714" s="2233" t="s">
        <v>15985</v>
      </c>
      <c r="AC2714" s="2232" t="s">
        <v>15995</v>
      </c>
      <c r="AD2714" s="2232" t="s">
        <v>15996</v>
      </c>
      <c r="AE2714" s="2238">
        <v>45718.0</v>
      </c>
      <c r="AF2714" s="2239">
        <v>41.0</v>
      </c>
      <c r="AG2714" s="2239">
        <v>0.06</v>
      </c>
      <c r="AH2714" s="2233" t="s">
        <v>867</v>
      </c>
      <c r="AI2714" s="2233" t="s">
        <v>210</v>
      </c>
      <c r="AJ2714" s="2239">
        <v>0.12</v>
      </c>
      <c r="AK2714" s="2233" t="s">
        <v>165</v>
      </c>
      <c r="AL2714" s="2233" t="s">
        <v>179</v>
      </c>
      <c r="AM2714" s="2233" t="s">
        <v>130</v>
      </c>
      <c r="AN2714" s="2233" t="s">
        <v>131</v>
      </c>
      <c r="AO2714" s="2236">
        <v>148.0</v>
      </c>
      <c r="AP2714" s="2239">
        <v>0.08</v>
      </c>
      <c r="AQ2714" s="2233" t="s">
        <v>595</v>
      </c>
      <c r="AR2714" s="2233" t="s">
        <v>210</v>
      </c>
      <c r="AS2714" s="2239">
        <v>0.646</v>
      </c>
      <c r="AT2714" s="2233" t="s">
        <v>165</v>
      </c>
      <c r="AU2714" s="2233" t="s">
        <v>179</v>
      </c>
      <c r="AV2714" s="2233" t="s">
        <v>130</v>
      </c>
      <c r="AW2714" s="2237" t="s">
        <v>15982</v>
      </c>
      <c r="AX2714" s="2233" t="s">
        <v>136</v>
      </c>
      <c r="AY2714" s="2088"/>
      <c r="AZ2714" s="2087" t="s">
        <v>15958</v>
      </c>
      <c r="BA2714" s="2088"/>
      <c r="BB2714" s="2088"/>
      <c r="BC2714" s="2088"/>
      <c r="BD2714" s="2088"/>
      <c r="BE2714" s="2088"/>
      <c r="BF2714" s="2088"/>
      <c r="BG2714" s="2088"/>
      <c r="BH2714" s="2088"/>
      <c r="BI2714" s="2088"/>
      <c r="BJ2714" s="2088"/>
      <c r="BK2714" s="2088"/>
      <c r="BL2714" s="2088"/>
      <c r="BM2714" s="2088"/>
      <c r="BN2714" s="2088"/>
      <c r="BO2714" s="2088"/>
      <c r="BP2714" s="2088"/>
      <c r="BQ2714" s="2088"/>
      <c r="BR2714" s="2088"/>
      <c r="BS2714" s="2088"/>
      <c r="BT2714" s="2088"/>
      <c r="BU2714" s="2088"/>
      <c r="BV2714" s="2088"/>
      <c r="BW2714" s="2088"/>
      <c r="BX2714" s="2088"/>
      <c r="BY2714" s="2088"/>
      <c r="BZ2714" s="2088"/>
      <c r="CA2714" s="2088"/>
      <c r="CB2714" s="2088"/>
      <c r="CC2714" s="2088"/>
      <c r="CD2714" s="2088"/>
      <c r="CE2714" s="2088"/>
      <c r="CF2714" s="2088"/>
      <c r="CG2714" s="2088"/>
      <c r="CH2714" s="2088"/>
      <c r="CI2714" s="2088"/>
      <c r="CJ2714" s="2088"/>
      <c r="CK2714" s="2088"/>
      <c r="CL2714" s="2088"/>
      <c r="CM2714" s="2088"/>
      <c r="CN2714" s="2088"/>
      <c r="CO2714" s="2088"/>
      <c r="CP2714" s="2088"/>
      <c r="CQ2714" s="2088"/>
      <c r="CR2714" s="2088"/>
      <c r="CS2714" s="2088"/>
      <c r="CT2714" s="2088"/>
      <c r="CU2714" s="2088"/>
      <c r="CV2714" s="2088"/>
      <c r="CW2714" s="2088"/>
      <c r="CX2714" s="2088"/>
      <c r="CY2714" s="2088"/>
      <c r="CZ2714" s="2088"/>
      <c r="DA2714" s="2088"/>
      <c r="DB2714" s="2088"/>
      <c r="DC2714" s="2088"/>
      <c r="DD2714" s="2088"/>
      <c r="DE2714" s="2088"/>
      <c r="DF2714" s="2088"/>
      <c r="DG2714" s="2088"/>
      <c r="DH2714" s="2088"/>
    </row>
    <row r="2715">
      <c r="A2715" s="41">
        <v>3135.0</v>
      </c>
      <c r="B2715" s="209" t="s">
        <v>516</v>
      </c>
      <c r="C2715" s="2087" t="s">
        <v>108</v>
      </c>
      <c r="D2715" s="2087" t="s">
        <v>146</v>
      </c>
      <c r="E2715" s="2088"/>
      <c r="F2715" s="2232" t="s">
        <v>15968</v>
      </c>
      <c r="G2715" s="2233" t="s">
        <v>15997</v>
      </c>
      <c r="H2715" s="2232" t="s">
        <v>15858</v>
      </c>
      <c r="I2715" s="2234">
        <v>45821.0</v>
      </c>
      <c r="J2715" s="2235"/>
      <c r="K2715" s="2089"/>
      <c r="L2715" s="2089"/>
      <c r="M2715" s="2233" t="s">
        <v>15970</v>
      </c>
      <c r="N2715" s="2233" t="s">
        <v>15971</v>
      </c>
      <c r="O2715" s="2089"/>
      <c r="P2715" s="2233" t="s">
        <v>15972</v>
      </c>
      <c r="Q2715" s="2228" t="str">
        <f t="array" ref="Q2715"> if(iserror(MATCH(V2715, 'File Links'!C:C, 0)), "N/A", HYPERLINK(INDEX('File Links'!B:B, MATCH(P2715, 'File Links'!C:C, 0))))</f>
        <v>https://drive.google.com/file/d/1zwo0Z9c95_nMMyR8_YF91_12LgVySkVG/view?usp=drivesdk</v>
      </c>
      <c r="R2715" s="2233" t="s">
        <v>15973</v>
      </c>
      <c r="S2715" s="2233" t="s">
        <v>15974</v>
      </c>
      <c r="T2715" s="2089"/>
      <c r="U2715" s="2089"/>
      <c r="V2715" s="2233" t="s">
        <v>15975</v>
      </c>
      <c r="W2715" s="2089"/>
      <c r="X2715" s="2093" t="str">
        <f t="array" ref="X2715"> if(iserror(MATCH(V2715, 'File Links'!C:C, 0)), "N/A", HYPERLINK(INDEX('File Links'!B:B, MATCH(V2715, 'File Links'!C:C, 0))))</f>
        <v>https://drive.google.com/file/d/1QuBW1YTzJmF7ZZ5KLsu8m14qTEgfOrf4/view?usp=drivesdk</v>
      </c>
      <c r="Y2715" s="2089"/>
      <c r="Z2715" s="2233" t="s">
        <v>219</v>
      </c>
      <c r="AA2715" s="2233" t="s">
        <v>15984</v>
      </c>
      <c r="AB2715" s="2233" t="s">
        <v>15985</v>
      </c>
      <c r="AC2715" s="2233" t="s">
        <v>15998</v>
      </c>
      <c r="AD2715" s="2232" t="s">
        <v>15987</v>
      </c>
      <c r="AE2715" s="2236">
        <v>2.0</v>
      </c>
      <c r="AF2715" s="2236">
        <v>41.0</v>
      </c>
      <c r="AG2715" s="2239">
        <v>1.11</v>
      </c>
      <c r="AH2715" s="2233" t="s">
        <v>166</v>
      </c>
      <c r="AI2715" s="2233" t="s">
        <v>210</v>
      </c>
      <c r="AJ2715" s="2239">
        <v>0.01</v>
      </c>
      <c r="AK2715" s="2233" t="s">
        <v>128</v>
      </c>
      <c r="AL2715" s="2233" t="s">
        <v>179</v>
      </c>
      <c r="AM2715" s="2233" t="s">
        <v>130</v>
      </c>
      <c r="AN2715" s="2233" t="s">
        <v>131</v>
      </c>
      <c r="AO2715" s="2236">
        <v>148.0</v>
      </c>
      <c r="AP2715" s="2239" t="s">
        <v>15999</v>
      </c>
      <c r="AQ2715" s="2233" t="s">
        <v>127</v>
      </c>
      <c r="AR2715" s="2232" t="s">
        <v>843</v>
      </c>
      <c r="AS2715" s="2239">
        <v>0.868</v>
      </c>
      <c r="AT2715" s="2233" t="s">
        <v>165</v>
      </c>
      <c r="AU2715" s="2233" t="s">
        <v>179</v>
      </c>
      <c r="AV2715" s="2233" t="s">
        <v>130</v>
      </c>
      <c r="AW2715" s="2237" t="s">
        <v>15982</v>
      </c>
      <c r="AX2715" s="2233" t="s">
        <v>136</v>
      </c>
      <c r="AY2715" s="2088"/>
      <c r="AZ2715" s="2087" t="s">
        <v>15958</v>
      </c>
      <c r="BA2715" s="2088"/>
      <c r="BB2715" s="2088"/>
      <c r="BC2715" s="2088"/>
      <c r="BD2715" s="2088"/>
      <c r="BE2715" s="2088"/>
      <c r="BF2715" s="2088"/>
      <c r="BG2715" s="2088"/>
      <c r="BH2715" s="2088"/>
      <c r="BI2715" s="2088"/>
      <c r="BJ2715" s="2088"/>
      <c r="BK2715" s="2088"/>
      <c r="BL2715" s="2088"/>
      <c r="BM2715" s="2088"/>
      <c r="BN2715" s="2088"/>
      <c r="BO2715" s="2088"/>
      <c r="BP2715" s="2088"/>
      <c r="BQ2715" s="2088"/>
      <c r="BR2715" s="2088"/>
      <c r="BS2715" s="2088"/>
      <c r="BT2715" s="2088"/>
      <c r="BU2715" s="2088"/>
      <c r="BV2715" s="2088"/>
      <c r="BW2715" s="2088"/>
      <c r="BX2715" s="2088"/>
      <c r="BY2715" s="2088"/>
      <c r="BZ2715" s="2088"/>
      <c r="CA2715" s="2088"/>
      <c r="CB2715" s="2088"/>
      <c r="CC2715" s="2088"/>
      <c r="CD2715" s="2088"/>
      <c r="CE2715" s="2088"/>
      <c r="CF2715" s="2088"/>
      <c r="CG2715" s="2088"/>
      <c r="CH2715" s="2088"/>
      <c r="CI2715" s="2088"/>
      <c r="CJ2715" s="2088"/>
      <c r="CK2715" s="2088"/>
      <c r="CL2715" s="2088"/>
      <c r="CM2715" s="2088"/>
      <c r="CN2715" s="2088"/>
      <c r="CO2715" s="2088"/>
      <c r="CP2715" s="2088"/>
      <c r="CQ2715" s="2088"/>
      <c r="CR2715" s="2088"/>
      <c r="CS2715" s="2088"/>
      <c r="CT2715" s="2088"/>
      <c r="CU2715" s="2088"/>
      <c r="CV2715" s="2088"/>
      <c r="CW2715" s="2088"/>
      <c r="CX2715" s="2088"/>
      <c r="CY2715" s="2088"/>
      <c r="CZ2715" s="2088"/>
      <c r="DA2715" s="2088"/>
      <c r="DB2715" s="2088"/>
      <c r="DC2715" s="2088"/>
      <c r="DD2715" s="2088"/>
      <c r="DE2715" s="2088"/>
      <c r="DF2715" s="2088"/>
      <c r="DG2715" s="2088"/>
      <c r="DH2715" s="2088"/>
    </row>
    <row r="2716" ht="18.0" customHeight="1">
      <c r="A2716" s="41">
        <v>3163.0</v>
      </c>
      <c r="B2716" s="126" t="s">
        <v>516</v>
      </c>
      <c r="C2716" s="59" t="s">
        <v>108</v>
      </c>
      <c r="D2716" s="59" t="s">
        <v>15928</v>
      </c>
      <c r="F2716" s="156" t="s">
        <v>16000</v>
      </c>
      <c r="G2716" s="156" t="s">
        <v>16001</v>
      </c>
      <c r="H2716" s="1284" t="s">
        <v>15931</v>
      </c>
      <c r="I2716" s="2214">
        <v>45813.0</v>
      </c>
      <c r="J2716" s="769"/>
      <c r="K2716" s="65"/>
      <c r="L2716" s="65"/>
      <c r="M2716" s="2052" t="s">
        <v>16002</v>
      </c>
      <c r="N2716" s="2052" t="s">
        <v>16003</v>
      </c>
      <c r="O2716" s="65"/>
      <c r="P2716" s="2240" t="s">
        <v>16004</v>
      </c>
      <c r="Q2716" s="2241" t="str">
        <f t="array" ref="Q2716"> if(iserror(MATCH(V2716, 'File Links'!C:C, 0)), "N/A", HYPERLINK(INDEX('File Links'!B:B, MATCH(P2716, 'File Links'!C:C, 0))))</f>
        <v>https://drive.google.com/file/d/1k662Z55nvL6fVuQppJtmXmZEAg6B8OlN/view?usp=drivesdk</v>
      </c>
      <c r="R2716" s="2240" t="s">
        <v>16005</v>
      </c>
      <c r="S2716" s="2070" t="s">
        <v>16006</v>
      </c>
      <c r="T2716" s="65"/>
      <c r="U2716" s="65"/>
      <c r="V2716" s="379" t="s">
        <v>16007</v>
      </c>
      <c r="W2716" s="65"/>
      <c r="X2716" s="51" t="str">
        <f t="array" ref="X2716"> if(iserror(MATCH(V2716, 'File Links'!C:C, 0)), "N/A", HYPERLINK(INDEX('File Links'!B:B, MATCH(V2716, 'File Links'!C:C, 0))))</f>
        <v>https://drive.google.com/file/d/1JY6wiPwPcUGEqQWiVBUp46lcizQn8Xp6/view?usp=drivesdk</v>
      </c>
      <c r="Y2716" s="65"/>
      <c r="Z2716" s="156" t="s">
        <v>16008</v>
      </c>
      <c r="AA2716" s="65" t="s">
        <v>16009</v>
      </c>
      <c r="AB2716" s="65" t="s">
        <v>16010</v>
      </c>
      <c r="AC2716" s="156" t="s">
        <v>16011</v>
      </c>
      <c r="AD2716" s="156" t="s">
        <v>16012</v>
      </c>
      <c r="AE2716" s="156" t="s">
        <v>1167</v>
      </c>
      <c r="AF2716" s="153">
        <v>175.0</v>
      </c>
      <c r="AG2716" s="1117">
        <v>0.62</v>
      </c>
      <c r="AH2716" s="156" t="s">
        <v>3325</v>
      </c>
      <c r="AI2716" s="156" t="s">
        <v>3714</v>
      </c>
      <c r="AJ2716" s="156" t="s">
        <v>131</v>
      </c>
      <c r="AK2716" s="156" t="s">
        <v>165</v>
      </c>
      <c r="AL2716" s="156" t="s">
        <v>179</v>
      </c>
      <c r="AM2716" s="156" t="s">
        <v>130</v>
      </c>
      <c r="AN2716" s="156" t="s">
        <v>131</v>
      </c>
      <c r="AO2716" s="153">
        <v>65.0</v>
      </c>
      <c r="AP2716" s="333">
        <v>0.559</v>
      </c>
      <c r="AQ2716" s="156" t="s">
        <v>166</v>
      </c>
      <c r="AR2716" s="156" t="s">
        <v>2015</v>
      </c>
      <c r="AS2716" s="156" t="s">
        <v>131</v>
      </c>
      <c r="AT2716" s="65" t="s">
        <v>165</v>
      </c>
      <c r="AU2716" s="65" t="s">
        <v>179</v>
      </c>
      <c r="AV2716" s="65" t="s">
        <v>130</v>
      </c>
      <c r="AW2716" s="65" t="s">
        <v>131</v>
      </c>
      <c r="AX2716" s="65" t="s">
        <v>136</v>
      </c>
      <c r="AZ2716" s="196" t="s">
        <v>15958</v>
      </c>
    </row>
    <row r="2717" ht="18.0" customHeight="1">
      <c r="A2717" s="41">
        <v>3164.0</v>
      </c>
      <c r="B2717" s="126" t="s">
        <v>516</v>
      </c>
      <c r="C2717" s="59" t="s">
        <v>108</v>
      </c>
      <c r="D2717" s="59" t="s">
        <v>15928</v>
      </c>
      <c r="F2717" s="156" t="s">
        <v>16000</v>
      </c>
      <c r="G2717" s="156" t="s">
        <v>16013</v>
      </c>
      <c r="H2717" s="1284" t="s">
        <v>15931</v>
      </c>
      <c r="I2717" s="2214">
        <v>45813.0</v>
      </c>
      <c r="J2717" s="769"/>
      <c r="K2717" s="65"/>
      <c r="L2717" s="65"/>
      <c r="M2717" s="2052" t="s">
        <v>16002</v>
      </c>
      <c r="N2717" s="2052" t="s">
        <v>16003</v>
      </c>
      <c r="O2717" s="65"/>
      <c r="P2717" s="2240" t="s">
        <v>16004</v>
      </c>
      <c r="Q2717" s="2241" t="str">
        <f t="array" ref="Q2717"> if(iserror(MATCH(V2717, 'File Links'!C:C, 0)), "N/A", HYPERLINK(INDEX('File Links'!B:B, MATCH(P2717, 'File Links'!C:C, 0))))</f>
        <v>https://drive.google.com/file/d/1k662Z55nvL6fVuQppJtmXmZEAg6B8OlN/view?usp=drivesdk</v>
      </c>
      <c r="R2717" s="2240" t="s">
        <v>16005</v>
      </c>
      <c r="S2717" s="2070" t="s">
        <v>16006</v>
      </c>
      <c r="T2717" s="65"/>
      <c r="U2717" s="65"/>
      <c r="V2717" s="379" t="s">
        <v>16007</v>
      </c>
      <c r="W2717" s="65"/>
      <c r="X2717" s="51" t="str">
        <f t="array" ref="X2717"> if(iserror(MATCH(V2717, 'File Links'!C:C, 0)), "N/A", HYPERLINK(INDEX('File Links'!B:B, MATCH(V2717, 'File Links'!C:C, 0))))</f>
        <v>https://drive.google.com/file/d/1JY6wiPwPcUGEqQWiVBUp46lcizQn8Xp6/view?usp=drivesdk</v>
      </c>
      <c r="Y2717" s="65"/>
      <c r="Z2717" s="156" t="s">
        <v>16008</v>
      </c>
      <c r="AA2717" s="65" t="s">
        <v>16009</v>
      </c>
      <c r="AB2717" s="65" t="s">
        <v>16010</v>
      </c>
      <c r="AC2717" s="156" t="s">
        <v>16014</v>
      </c>
      <c r="AD2717" s="156" t="s">
        <v>16012</v>
      </c>
      <c r="AE2717" s="156" t="s">
        <v>1167</v>
      </c>
      <c r="AF2717" s="153">
        <v>175.0</v>
      </c>
      <c r="AG2717" s="1117">
        <v>0.75</v>
      </c>
      <c r="AH2717" s="156" t="s">
        <v>3325</v>
      </c>
      <c r="AI2717" s="156" t="s">
        <v>3714</v>
      </c>
      <c r="AJ2717" s="156" t="s">
        <v>131</v>
      </c>
      <c r="AK2717" s="156" t="s">
        <v>165</v>
      </c>
      <c r="AL2717" s="156" t="s">
        <v>179</v>
      </c>
      <c r="AM2717" s="156" t="s">
        <v>130</v>
      </c>
      <c r="AN2717" s="156" t="s">
        <v>131</v>
      </c>
      <c r="AO2717" s="153">
        <v>65.0</v>
      </c>
      <c r="AP2717" s="333">
        <v>0.5706</v>
      </c>
      <c r="AQ2717" s="156" t="s">
        <v>166</v>
      </c>
      <c r="AR2717" s="156" t="s">
        <v>2015</v>
      </c>
      <c r="AS2717" s="156" t="s">
        <v>131</v>
      </c>
      <c r="AT2717" s="65" t="s">
        <v>165</v>
      </c>
      <c r="AU2717" s="65" t="s">
        <v>179</v>
      </c>
      <c r="AV2717" s="65" t="s">
        <v>130</v>
      </c>
      <c r="AW2717" s="65" t="s">
        <v>131</v>
      </c>
      <c r="AX2717" s="65" t="s">
        <v>136</v>
      </c>
      <c r="AZ2717" s="196" t="s">
        <v>15958</v>
      </c>
    </row>
    <row r="2718" ht="24.75" customHeight="1">
      <c r="A2718" s="41">
        <v>3165.0</v>
      </c>
      <c r="B2718" s="126" t="s">
        <v>516</v>
      </c>
      <c r="C2718" s="59" t="s">
        <v>108</v>
      </c>
      <c r="D2718" s="59" t="s">
        <v>15928</v>
      </c>
      <c r="F2718" s="156" t="s">
        <v>16000</v>
      </c>
      <c r="G2718" s="156" t="s">
        <v>16015</v>
      </c>
      <c r="H2718" s="1284" t="s">
        <v>15931</v>
      </c>
      <c r="I2718" s="2214">
        <v>45813.0</v>
      </c>
      <c r="J2718" s="769"/>
      <c r="K2718" s="65"/>
      <c r="L2718" s="65"/>
      <c r="M2718" s="2052" t="s">
        <v>16002</v>
      </c>
      <c r="N2718" s="2052" t="s">
        <v>16003</v>
      </c>
      <c r="O2718" s="65"/>
      <c r="P2718" s="2240" t="s">
        <v>16004</v>
      </c>
      <c r="Q2718" s="2241" t="str">
        <f t="array" ref="Q2718"> if(iserror(MATCH(V2718, 'File Links'!C:C, 0)), "N/A", HYPERLINK(INDEX('File Links'!B:B, MATCH(P2718, 'File Links'!C:C, 0))))</f>
        <v>https://drive.google.com/file/d/1k662Z55nvL6fVuQppJtmXmZEAg6B8OlN/view?usp=drivesdk</v>
      </c>
      <c r="R2718" s="2240" t="s">
        <v>16005</v>
      </c>
      <c r="S2718" s="2070" t="s">
        <v>16006</v>
      </c>
      <c r="T2718" s="65"/>
      <c r="U2718" s="65"/>
      <c r="V2718" s="156" t="s">
        <v>16007</v>
      </c>
      <c r="W2718" s="65"/>
      <c r="X2718" s="51" t="str">
        <f t="array" ref="X2718"> if(iserror(MATCH(V2718, 'File Links'!C:C, 0)), "N/A", HYPERLINK(INDEX('File Links'!B:B, MATCH(V2718, 'File Links'!C:C, 0))))</f>
        <v>https://drive.google.com/file/d/1JY6wiPwPcUGEqQWiVBUp46lcizQn8Xp6/view?usp=drivesdk</v>
      </c>
      <c r="Y2718" s="65"/>
      <c r="Z2718" s="156" t="s">
        <v>16008</v>
      </c>
      <c r="AA2718" s="65" t="s">
        <v>16009</v>
      </c>
      <c r="AB2718" s="65" t="s">
        <v>16010</v>
      </c>
      <c r="AC2718" s="156" t="s">
        <v>16016</v>
      </c>
      <c r="AD2718" s="156" t="s">
        <v>16012</v>
      </c>
      <c r="AE2718" s="156" t="s">
        <v>1167</v>
      </c>
      <c r="AF2718" s="153">
        <v>175.0</v>
      </c>
      <c r="AG2718" s="1117">
        <v>0.6</v>
      </c>
      <c r="AH2718" s="156" t="s">
        <v>3325</v>
      </c>
      <c r="AI2718" s="156" t="s">
        <v>3714</v>
      </c>
      <c r="AJ2718" s="156" t="s">
        <v>131</v>
      </c>
      <c r="AK2718" s="156" t="s">
        <v>165</v>
      </c>
      <c r="AL2718" s="156" t="s">
        <v>179</v>
      </c>
      <c r="AM2718" s="156" t="s">
        <v>130</v>
      </c>
      <c r="AN2718" s="156" t="s">
        <v>131</v>
      </c>
      <c r="AO2718" s="153">
        <v>65.0</v>
      </c>
      <c r="AP2718" s="333">
        <v>0.2489</v>
      </c>
      <c r="AQ2718" s="156" t="s">
        <v>166</v>
      </c>
      <c r="AR2718" s="156" t="s">
        <v>2015</v>
      </c>
      <c r="AS2718" s="156" t="s">
        <v>131</v>
      </c>
      <c r="AT2718" s="65" t="s">
        <v>165</v>
      </c>
      <c r="AU2718" s="65" t="s">
        <v>179</v>
      </c>
      <c r="AV2718" s="65" t="s">
        <v>130</v>
      </c>
      <c r="AW2718" s="65" t="s">
        <v>131</v>
      </c>
      <c r="AX2718" s="65" t="s">
        <v>136</v>
      </c>
      <c r="AZ2718" s="196" t="s">
        <v>15958</v>
      </c>
    </row>
    <row r="2719" ht="23.25" customHeight="1">
      <c r="A2719" s="41">
        <v>3166.0</v>
      </c>
      <c r="B2719" s="126" t="s">
        <v>516</v>
      </c>
      <c r="C2719" s="59" t="s">
        <v>108</v>
      </c>
      <c r="D2719" s="59" t="s">
        <v>15928</v>
      </c>
      <c r="F2719" s="156" t="s">
        <v>16000</v>
      </c>
      <c r="G2719" s="156" t="s">
        <v>16017</v>
      </c>
      <c r="H2719" s="1284" t="s">
        <v>15931</v>
      </c>
      <c r="I2719" s="2214">
        <v>45813.0</v>
      </c>
      <c r="J2719" s="769"/>
      <c r="K2719" s="65"/>
      <c r="L2719" s="65"/>
      <c r="M2719" s="2052" t="s">
        <v>16002</v>
      </c>
      <c r="N2719" s="2052" t="s">
        <v>16003</v>
      </c>
      <c r="O2719" s="65"/>
      <c r="P2719" s="2240" t="s">
        <v>16004</v>
      </c>
      <c r="Q2719" s="2241" t="str">
        <f t="array" ref="Q2719"> if(iserror(MATCH(V2719, 'File Links'!C:C, 0)), "N/A", HYPERLINK(INDEX('File Links'!B:B, MATCH(P2719, 'File Links'!C:C, 0))))</f>
        <v>https://drive.google.com/file/d/1k662Z55nvL6fVuQppJtmXmZEAg6B8OlN/view?usp=drivesdk</v>
      </c>
      <c r="R2719" s="2240" t="s">
        <v>16005</v>
      </c>
      <c r="S2719" s="2070" t="s">
        <v>16006</v>
      </c>
      <c r="T2719" s="65"/>
      <c r="U2719" s="65"/>
      <c r="V2719" s="156" t="s">
        <v>16007</v>
      </c>
      <c r="W2719" s="65"/>
      <c r="X2719" s="51" t="str">
        <f t="array" ref="X2719"> if(iserror(MATCH(V2719, 'File Links'!C:C, 0)), "N/A", HYPERLINK(INDEX('File Links'!B:B, MATCH(V2719, 'File Links'!C:C, 0))))</f>
        <v>https://drive.google.com/file/d/1JY6wiPwPcUGEqQWiVBUp46lcizQn8Xp6/view?usp=drivesdk</v>
      </c>
      <c r="Y2719" s="65"/>
      <c r="Z2719" s="156" t="s">
        <v>16008</v>
      </c>
      <c r="AA2719" s="65" t="s">
        <v>16009</v>
      </c>
      <c r="AB2719" s="65" t="s">
        <v>16010</v>
      </c>
      <c r="AC2719" s="156" t="s">
        <v>16018</v>
      </c>
      <c r="AD2719" s="156" t="s">
        <v>16012</v>
      </c>
      <c r="AE2719" s="156" t="s">
        <v>1167</v>
      </c>
      <c r="AF2719" s="153">
        <v>175.0</v>
      </c>
      <c r="AG2719" s="1117">
        <v>0.83</v>
      </c>
      <c r="AH2719" s="156" t="s">
        <v>3325</v>
      </c>
      <c r="AI2719" s="156" t="s">
        <v>3714</v>
      </c>
      <c r="AJ2719" s="156" t="s">
        <v>131</v>
      </c>
      <c r="AK2719" s="156" t="s">
        <v>165</v>
      </c>
      <c r="AL2719" s="156" t="s">
        <v>179</v>
      </c>
      <c r="AM2719" s="156" t="s">
        <v>130</v>
      </c>
      <c r="AN2719" s="156" t="s">
        <v>131</v>
      </c>
      <c r="AO2719" s="153">
        <v>65.0</v>
      </c>
      <c r="AP2719" s="333">
        <v>0.81</v>
      </c>
      <c r="AQ2719" s="156" t="s">
        <v>166</v>
      </c>
      <c r="AR2719" s="156" t="s">
        <v>2015</v>
      </c>
      <c r="AS2719" s="156" t="s">
        <v>131</v>
      </c>
      <c r="AT2719" s="65" t="s">
        <v>165</v>
      </c>
      <c r="AU2719" s="65" t="s">
        <v>179</v>
      </c>
      <c r="AV2719" s="65" t="s">
        <v>130</v>
      </c>
      <c r="AW2719" s="65" t="s">
        <v>131</v>
      </c>
      <c r="AX2719" s="65" t="s">
        <v>136</v>
      </c>
      <c r="AZ2719" s="196" t="s">
        <v>15958</v>
      </c>
    </row>
    <row r="2720" ht="24.0" customHeight="1">
      <c r="A2720" s="41">
        <v>3017.0</v>
      </c>
      <c r="B2720" s="126" t="s">
        <v>516</v>
      </c>
      <c r="C2720" s="59" t="s">
        <v>108</v>
      </c>
      <c r="D2720" s="59" t="s">
        <v>146</v>
      </c>
      <c r="F2720" s="2218" t="s">
        <v>16000</v>
      </c>
      <c r="G2720" s="2219" t="s">
        <v>16019</v>
      </c>
      <c r="H2720" s="2218" t="s">
        <v>15858</v>
      </c>
      <c r="I2720" s="2220">
        <v>45821.0</v>
      </c>
      <c r="J2720" s="859"/>
      <c r="K2720" s="2219" t="s">
        <v>16020</v>
      </c>
      <c r="L2720" s="65"/>
      <c r="M2720" s="2219" t="s">
        <v>16002</v>
      </c>
      <c r="N2720" s="2219" t="s">
        <v>16003</v>
      </c>
      <c r="O2720" s="65"/>
      <c r="P2720" s="2223" t="s">
        <v>16004</v>
      </c>
      <c r="Q2720" s="2241" t="str">
        <f t="array" ref="Q2720"> if(iserror(MATCH(V2720, 'File Links'!C:C, 0)), "N/A", HYPERLINK(INDEX('File Links'!B:B, MATCH(P2720, 'File Links'!C:C, 0))))</f>
        <v>https://drive.google.com/file/d/1k662Z55nvL6fVuQppJtmXmZEAg6B8OlN/view?usp=drivesdk</v>
      </c>
      <c r="R2720" s="2223" t="s">
        <v>16005</v>
      </c>
      <c r="S2720" s="2219" t="s">
        <v>16006</v>
      </c>
      <c r="T2720" s="65"/>
      <c r="U2720" s="65"/>
      <c r="V2720" s="2223" t="s">
        <v>16007</v>
      </c>
      <c r="W2720" s="1225"/>
      <c r="X2720" s="51" t="str">
        <f t="array" ref="X2720"> if(iserror(MATCH(V2720, 'File Links'!C:C, 0)), "N/A", HYPERLINK(INDEX('File Links'!B:B, MATCH(V2720, 'File Links'!C:C, 0))))</f>
        <v>https://drive.google.com/file/d/1JY6wiPwPcUGEqQWiVBUp46lcizQn8Xp6/view?usp=drivesdk</v>
      </c>
      <c r="Y2720" s="2218" t="s">
        <v>16021</v>
      </c>
      <c r="Z2720" s="2219" t="s">
        <v>219</v>
      </c>
      <c r="AA2720" s="2219" t="s">
        <v>16022</v>
      </c>
      <c r="AB2720" s="2219" t="s">
        <v>16023</v>
      </c>
      <c r="AC2720" s="2219" t="s">
        <v>16024</v>
      </c>
      <c r="AD2720" s="2219" t="s">
        <v>16025</v>
      </c>
      <c r="AE2720" s="2225">
        <v>11.0</v>
      </c>
      <c r="AF2720" s="2224">
        <v>175.0</v>
      </c>
      <c r="AG2720" s="2224">
        <v>0.62</v>
      </c>
      <c r="AH2720" s="2219" t="s">
        <v>16026</v>
      </c>
      <c r="AI2720" s="2219" t="s">
        <v>605</v>
      </c>
      <c r="AJ2720" s="2219" t="s">
        <v>131</v>
      </c>
      <c r="AK2720" s="65"/>
      <c r="AL2720" s="2219" t="s">
        <v>179</v>
      </c>
      <c r="AM2720" s="2219" t="s">
        <v>130</v>
      </c>
      <c r="AN2720" s="2219" t="s">
        <v>131</v>
      </c>
      <c r="AO2720" s="2224">
        <v>65.0</v>
      </c>
      <c r="AP2720" s="2225">
        <v>0.559</v>
      </c>
      <c r="AQ2720" s="2219" t="s">
        <v>16026</v>
      </c>
      <c r="AR2720" s="2219" t="s">
        <v>429</v>
      </c>
      <c r="AS2720" s="2219" t="s">
        <v>131</v>
      </c>
      <c r="AT2720" s="65"/>
      <c r="AU2720" s="2219" t="s">
        <v>179</v>
      </c>
      <c r="AV2720" s="2219" t="s">
        <v>130</v>
      </c>
      <c r="AW2720" s="2219" t="s">
        <v>131</v>
      </c>
      <c r="AX2720" s="2219" t="s">
        <v>431</v>
      </c>
      <c r="AZ2720" s="196" t="s">
        <v>15958</v>
      </c>
    </row>
    <row r="2721" ht="27.0" customHeight="1">
      <c r="A2721" s="41">
        <v>3018.0</v>
      </c>
      <c r="B2721" s="126" t="s">
        <v>516</v>
      </c>
      <c r="C2721" s="59" t="s">
        <v>108</v>
      </c>
      <c r="D2721" s="59" t="s">
        <v>146</v>
      </c>
      <c r="F2721" s="2218" t="s">
        <v>16000</v>
      </c>
      <c r="G2721" s="2219" t="s">
        <v>16027</v>
      </c>
      <c r="H2721" s="2218" t="s">
        <v>15858</v>
      </c>
      <c r="I2721" s="2220">
        <v>45821.0</v>
      </c>
      <c r="J2721" s="859"/>
      <c r="K2721" s="2219" t="s">
        <v>16020</v>
      </c>
      <c r="L2721" s="65"/>
      <c r="M2721" s="2219" t="s">
        <v>16002</v>
      </c>
      <c r="N2721" s="2219" t="s">
        <v>16003</v>
      </c>
      <c r="O2721" s="65"/>
      <c r="P2721" s="2223" t="s">
        <v>16004</v>
      </c>
      <c r="Q2721" s="2241" t="str">
        <f t="array" ref="Q2721"> if(iserror(MATCH(V2721, 'File Links'!C:C, 0)), "N/A", HYPERLINK(INDEX('File Links'!B:B, MATCH(P2721, 'File Links'!C:C, 0))))</f>
        <v>https://drive.google.com/file/d/1k662Z55nvL6fVuQppJtmXmZEAg6B8OlN/view?usp=drivesdk</v>
      </c>
      <c r="R2721" s="2223" t="s">
        <v>16005</v>
      </c>
      <c r="S2721" s="2219" t="s">
        <v>16006</v>
      </c>
      <c r="T2721" s="65"/>
      <c r="U2721" s="65"/>
      <c r="V2721" s="2223" t="s">
        <v>16007</v>
      </c>
      <c r="W2721" s="1225"/>
      <c r="X2721" s="51" t="str">
        <f t="array" ref="X2721"> if(iserror(MATCH(V2721, 'File Links'!C:C, 0)), "N/A", HYPERLINK(INDEX('File Links'!B:B, MATCH(V2721, 'File Links'!C:C, 0))))</f>
        <v>https://drive.google.com/file/d/1JY6wiPwPcUGEqQWiVBUp46lcizQn8Xp6/view?usp=drivesdk</v>
      </c>
      <c r="Y2721" s="2218" t="s">
        <v>16021</v>
      </c>
      <c r="Z2721" s="2219" t="s">
        <v>219</v>
      </c>
      <c r="AA2721" s="2219" t="s">
        <v>16022</v>
      </c>
      <c r="AB2721" s="2219" t="s">
        <v>16023</v>
      </c>
      <c r="AC2721" s="2219" t="s">
        <v>16028</v>
      </c>
      <c r="AD2721" s="2219" t="s">
        <v>16025</v>
      </c>
      <c r="AE2721" s="2225">
        <v>11.0</v>
      </c>
      <c r="AF2721" s="2224">
        <v>175.0</v>
      </c>
      <c r="AG2721" s="2224">
        <v>0.75</v>
      </c>
      <c r="AH2721" s="2219" t="s">
        <v>16026</v>
      </c>
      <c r="AI2721" s="2219" t="s">
        <v>605</v>
      </c>
      <c r="AJ2721" s="2219" t="s">
        <v>131</v>
      </c>
      <c r="AK2721" s="65"/>
      <c r="AL2721" s="2219" t="s">
        <v>179</v>
      </c>
      <c r="AM2721" s="2219" t="s">
        <v>130</v>
      </c>
      <c r="AN2721" s="2219" t="s">
        <v>131</v>
      </c>
      <c r="AO2721" s="2224">
        <v>65.0</v>
      </c>
      <c r="AP2721" s="2225">
        <v>0.5706</v>
      </c>
      <c r="AQ2721" s="2219" t="s">
        <v>16026</v>
      </c>
      <c r="AR2721" s="2219" t="s">
        <v>429</v>
      </c>
      <c r="AS2721" s="2219" t="s">
        <v>131</v>
      </c>
      <c r="AT2721" s="65"/>
      <c r="AU2721" s="2219" t="s">
        <v>179</v>
      </c>
      <c r="AV2721" s="2219" t="s">
        <v>130</v>
      </c>
      <c r="AW2721" s="2219" t="s">
        <v>131</v>
      </c>
      <c r="AX2721" s="2219" t="s">
        <v>431</v>
      </c>
      <c r="AZ2721" s="196" t="s">
        <v>15958</v>
      </c>
    </row>
    <row r="2722" ht="24.0" customHeight="1">
      <c r="A2722" s="41">
        <v>3019.0</v>
      </c>
      <c r="B2722" s="126" t="s">
        <v>516</v>
      </c>
      <c r="C2722" s="59" t="s">
        <v>108</v>
      </c>
      <c r="D2722" s="59" t="s">
        <v>146</v>
      </c>
      <c r="F2722" s="2218" t="s">
        <v>16000</v>
      </c>
      <c r="G2722" s="2219" t="s">
        <v>16029</v>
      </c>
      <c r="H2722" s="2218" t="s">
        <v>15858</v>
      </c>
      <c r="I2722" s="2220">
        <v>45821.0</v>
      </c>
      <c r="J2722" s="859"/>
      <c r="K2722" s="2219" t="s">
        <v>16020</v>
      </c>
      <c r="L2722" s="65"/>
      <c r="M2722" s="2219" t="s">
        <v>16002</v>
      </c>
      <c r="N2722" s="2219" t="s">
        <v>16003</v>
      </c>
      <c r="O2722" s="65"/>
      <c r="P2722" s="2223" t="s">
        <v>16004</v>
      </c>
      <c r="Q2722" s="2241" t="str">
        <f t="array" ref="Q2722"> if(iserror(MATCH(V2722, 'File Links'!C:C, 0)), "N/A", HYPERLINK(INDEX('File Links'!B:B, MATCH(P2722, 'File Links'!C:C, 0))))</f>
        <v>https://drive.google.com/file/d/1k662Z55nvL6fVuQppJtmXmZEAg6B8OlN/view?usp=drivesdk</v>
      </c>
      <c r="R2722" s="2223" t="s">
        <v>16005</v>
      </c>
      <c r="S2722" s="2219" t="s">
        <v>16006</v>
      </c>
      <c r="T2722" s="65"/>
      <c r="U2722" s="65"/>
      <c r="V2722" s="2223" t="s">
        <v>16007</v>
      </c>
      <c r="W2722" s="1225"/>
      <c r="X2722" s="51" t="str">
        <f t="array" ref="X2722"> if(iserror(MATCH(V2722, 'File Links'!C:C, 0)), "N/A", HYPERLINK(INDEX('File Links'!B:B, MATCH(V2722, 'File Links'!C:C, 0))))</f>
        <v>https://drive.google.com/file/d/1JY6wiPwPcUGEqQWiVBUp46lcizQn8Xp6/view?usp=drivesdk</v>
      </c>
      <c r="Y2722" s="2218" t="s">
        <v>16021</v>
      </c>
      <c r="Z2722" s="2219" t="s">
        <v>219</v>
      </c>
      <c r="AA2722" s="2219" t="s">
        <v>16022</v>
      </c>
      <c r="AB2722" s="2219" t="s">
        <v>16023</v>
      </c>
      <c r="AC2722" s="2219" t="s">
        <v>16030</v>
      </c>
      <c r="AD2722" s="2219" t="s">
        <v>16025</v>
      </c>
      <c r="AE2722" s="2225">
        <v>11.0</v>
      </c>
      <c r="AF2722" s="2224">
        <v>175.0</v>
      </c>
      <c r="AG2722" s="2224">
        <v>0.6</v>
      </c>
      <c r="AH2722" s="2219" t="s">
        <v>16026</v>
      </c>
      <c r="AI2722" s="2219" t="s">
        <v>605</v>
      </c>
      <c r="AJ2722" s="2219" t="s">
        <v>131</v>
      </c>
      <c r="AK2722" s="65"/>
      <c r="AL2722" s="2219" t="s">
        <v>179</v>
      </c>
      <c r="AM2722" s="2219" t="s">
        <v>130</v>
      </c>
      <c r="AN2722" s="2219" t="s">
        <v>131</v>
      </c>
      <c r="AO2722" s="2224">
        <v>65.0</v>
      </c>
      <c r="AP2722" s="2225">
        <v>0.2489</v>
      </c>
      <c r="AQ2722" s="2219" t="s">
        <v>16026</v>
      </c>
      <c r="AR2722" s="2219" t="s">
        <v>429</v>
      </c>
      <c r="AS2722" s="2219" t="s">
        <v>131</v>
      </c>
      <c r="AT2722" s="65"/>
      <c r="AU2722" s="2219" t="s">
        <v>179</v>
      </c>
      <c r="AV2722" s="2219" t="s">
        <v>130</v>
      </c>
      <c r="AW2722" s="2219" t="s">
        <v>131</v>
      </c>
      <c r="AX2722" s="2219" t="s">
        <v>431</v>
      </c>
      <c r="AZ2722" s="196" t="s">
        <v>15958</v>
      </c>
    </row>
    <row r="2723" ht="27.75" customHeight="1">
      <c r="A2723" s="41">
        <v>3020.0</v>
      </c>
      <c r="B2723" s="126" t="s">
        <v>516</v>
      </c>
      <c r="C2723" s="59" t="s">
        <v>108</v>
      </c>
      <c r="D2723" s="59" t="s">
        <v>146</v>
      </c>
      <c r="F2723" s="2218" t="s">
        <v>16000</v>
      </c>
      <c r="G2723" s="2219" t="s">
        <v>16031</v>
      </c>
      <c r="H2723" s="2218" t="s">
        <v>15858</v>
      </c>
      <c r="I2723" s="2220">
        <v>45821.0</v>
      </c>
      <c r="J2723" s="859"/>
      <c r="K2723" s="2219" t="s">
        <v>16020</v>
      </c>
      <c r="L2723" s="65"/>
      <c r="M2723" s="2219" t="s">
        <v>16002</v>
      </c>
      <c r="N2723" s="2219" t="s">
        <v>16003</v>
      </c>
      <c r="O2723" s="65"/>
      <c r="P2723" s="2223" t="s">
        <v>16004</v>
      </c>
      <c r="Q2723" s="2241" t="str">
        <f t="array" ref="Q2723"> if(iserror(MATCH(V2723, 'File Links'!C:C, 0)), "N/A", HYPERLINK(INDEX('File Links'!B:B, MATCH(P2723, 'File Links'!C:C, 0))))</f>
        <v>https://drive.google.com/file/d/1k662Z55nvL6fVuQppJtmXmZEAg6B8OlN/view?usp=drivesdk</v>
      </c>
      <c r="R2723" s="2223" t="s">
        <v>16005</v>
      </c>
      <c r="S2723" s="2219" t="s">
        <v>16006</v>
      </c>
      <c r="T2723" s="65"/>
      <c r="U2723" s="65"/>
      <c r="V2723" s="2223" t="s">
        <v>16007</v>
      </c>
      <c r="W2723" s="1225"/>
      <c r="X2723" s="51" t="str">
        <f t="array" ref="X2723"> if(iserror(MATCH(V2723, 'File Links'!C:C, 0)), "N/A", HYPERLINK(INDEX('File Links'!B:B, MATCH(V2723, 'File Links'!C:C, 0))))</f>
        <v>https://drive.google.com/file/d/1JY6wiPwPcUGEqQWiVBUp46lcizQn8Xp6/view?usp=drivesdk</v>
      </c>
      <c r="Y2723" s="2218" t="s">
        <v>16021</v>
      </c>
      <c r="Z2723" s="2219" t="s">
        <v>219</v>
      </c>
      <c r="AA2723" s="2219" t="s">
        <v>16022</v>
      </c>
      <c r="AB2723" s="2219" t="s">
        <v>16023</v>
      </c>
      <c r="AC2723" s="2219" t="s">
        <v>16032</v>
      </c>
      <c r="AD2723" s="2219" t="s">
        <v>16025</v>
      </c>
      <c r="AE2723" s="2225">
        <v>11.0</v>
      </c>
      <c r="AF2723" s="2224">
        <v>175.0</v>
      </c>
      <c r="AG2723" s="2224">
        <v>0.83</v>
      </c>
      <c r="AH2723" s="2219" t="s">
        <v>16026</v>
      </c>
      <c r="AI2723" s="2219" t="s">
        <v>605</v>
      </c>
      <c r="AJ2723" s="2219" t="s">
        <v>131</v>
      </c>
      <c r="AK2723" s="65"/>
      <c r="AL2723" s="2219" t="s">
        <v>179</v>
      </c>
      <c r="AM2723" s="2219" t="s">
        <v>130</v>
      </c>
      <c r="AN2723" s="2219" t="s">
        <v>131</v>
      </c>
      <c r="AO2723" s="2224">
        <v>65.0</v>
      </c>
      <c r="AP2723" s="2225">
        <v>0.81</v>
      </c>
      <c r="AQ2723" s="2219" t="s">
        <v>16026</v>
      </c>
      <c r="AR2723" s="2219" t="s">
        <v>429</v>
      </c>
      <c r="AS2723" s="2219" t="s">
        <v>131</v>
      </c>
      <c r="AT2723" s="65"/>
      <c r="AU2723" s="2219" t="s">
        <v>179</v>
      </c>
      <c r="AV2723" s="2219" t="s">
        <v>130</v>
      </c>
      <c r="AW2723" s="2219" t="s">
        <v>131</v>
      </c>
      <c r="AX2723" s="2219" t="s">
        <v>431</v>
      </c>
      <c r="AZ2723" s="196" t="s">
        <v>15958</v>
      </c>
    </row>
    <row r="2724" ht="26.25" customHeight="1">
      <c r="A2724" s="41">
        <v>3187.0</v>
      </c>
      <c r="B2724" s="126" t="s">
        <v>516</v>
      </c>
      <c r="C2724" s="59" t="s">
        <v>108</v>
      </c>
      <c r="D2724" s="59" t="s">
        <v>15928</v>
      </c>
      <c r="F2724" s="156" t="s">
        <v>16033</v>
      </c>
      <c r="G2724" s="156" t="s">
        <v>16034</v>
      </c>
      <c r="H2724" s="1284" t="s">
        <v>15931</v>
      </c>
      <c r="I2724" s="2214">
        <v>45813.0</v>
      </c>
      <c r="J2724" s="65"/>
      <c r="K2724" s="65"/>
      <c r="L2724" s="65"/>
      <c r="M2724" s="2052" t="s">
        <v>16035</v>
      </c>
      <c r="N2724" s="2052" t="s">
        <v>16036</v>
      </c>
      <c r="O2724" s="65"/>
      <c r="P2724" s="2240" t="s">
        <v>16037</v>
      </c>
      <c r="Q2724" s="2241" t="str">
        <f t="array" ref="Q2724"> if(iserror(MATCH(V2724, 'File Links'!C:C, 0)), "N/A", HYPERLINK(INDEX('File Links'!B:B, MATCH(P2724, 'File Links'!C:C, 0))))</f>
        <v>https://drive.google.com/file/d/1UAZP-7EFUjtBAC0eRgBKAvSYCJnbPMpz/view?usp=drivesdk</v>
      </c>
      <c r="R2724" s="2240" t="s">
        <v>16038</v>
      </c>
      <c r="S2724" s="2070" t="s">
        <v>16039</v>
      </c>
      <c r="T2724" s="65"/>
      <c r="U2724" s="65"/>
      <c r="V2724" s="156" t="s">
        <v>16040</v>
      </c>
      <c r="W2724" s="65"/>
      <c r="X2724" s="51" t="str">
        <f t="array" ref="X2724"> if(iserror(MATCH(V2724, 'File Links'!C:C, 0)), "N/A", HYPERLINK(INDEX('File Links'!B:B, MATCH(V2724, 'File Links'!C:C, 0))))</f>
        <v>https://drive.google.com/file/d/16uoJ6bzNUexR0mdpdovXBeytBzvN_136/view?usp=drivesdk</v>
      </c>
      <c r="Y2724" s="65"/>
      <c r="Z2724" s="156" t="s">
        <v>219</v>
      </c>
      <c r="AA2724" s="65" t="s">
        <v>16041</v>
      </c>
      <c r="AB2724" s="65"/>
      <c r="AC2724" s="65" t="s">
        <v>16042</v>
      </c>
      <c r="AD2724" s="65" t="s">
        <v>16043</v>
      </c>
      <c r="AE2724" s="65" t="s">
        <v>875</v>
      </c>
      <c r="AF2724" s="333">
        <v>124.0</v>
      </c>
      <c r="AG2724" s="333">
        <v>0.883</v>
      </c>
      <c r="AH2724" s="65" t="s">
        <v>166</v>
      </c>
      <c r="AI2724" s="65" t="s">
        <v>489</v>
      </c>
      <c r="AJ2724" s="333">
        <v>0.05</v>
      </c>
      <c r="AK2724" s="65" t="s">
        <v>128</v>
      </c>
      <c r="AL2724" s="156" t="s">
        <v>179</v>
      </c>
      <c r="AM2724" s="156" t="s">
        <v>130</v>
      </c>
      <c r="AN2724" s="156" t="s">
        <v>131</v>
      </c>
      <c r="AO2724" s="333">
        <v>66.0</v>
      </c>
      <c r="AP2724" s="333">
        <v>2.843</v>
      </c>
      <c r="AQ2724" s="65" t="s">
        <v>166</v>
      </c>
      <c r="AR2724" s="1904" t="s">
        <v>16044</v>
      </c>
      <c r="AS2724" s="333">
        <v>0.05</v>
      </c>
      <c r="AT2724" s="65" t="s">
        <v>128</v>
      </c>
      <c r="AU2724" s="65" t="s">
        <v>179</v>
      </c>
      <c r="AV2724" s="65" t="s">
        <v>130</v>
      </c>
      <c r="AW2724" s="65" t="s">
        <v>131</v>
      </c>
      <c r="AX2724" s="65" t="s">
        <v>136</v>
      </c>
      <c r="AZ2724" s="196" t="s">
        <v>15958</v>
      </c>
    </row>
    <row r="2725">
      <c r="A2725" s="41">
        <v>3125.0</v>
      </c>
      <c r="B2725" s="126" t="s">
        <v>516</v>
      </c>
      <c r="C2725" s="59" t="s">
        <v>108</v>
      </c>
      <c r="D2725" s="59" t="s">
        <v>146</v>
      </c>
      <c r="F2725" s="829" t="s">
        <v>16033</v>
      </c>
      <c r="G2725" s="434" t="s">
        <v>16045</v>
      </c>
      <c r="H2725" s="829" t="s">
        <v>15858</v>
      </c>
      <c r="I2725" s="2242">
        <v>45821.0</v>
      </c>
      <c r="J2725" s="859"/>
      <c r="K2725" s="434" t="s">
        <v>16046</v>
      </c>
      <c r="L2725" s="65"/>
      <c r="M2725" s="434" t="s">
        <v>16035</v>
      </c>
      <c r="N2725" s="434" t="s">
        <v>16036</v>
      </c>
      <c r="O2725" s="65"/>
      <c r="P2725" s="1439" t="s">
        <v>16037</v>
      </c>
      <c r="Q2725" s="2241" t="str">
        <f t="array" ref="Q2725"> if(iserror(MATCH(V2725, 'File Links'!C:C, 0)), "N/A", HYPERLINK(INDEX('File Links'!B:B, MATCH(P2725, 'File Links'!C:C, 0))))</f>
        <v>https://drive.google.com/file/d/1UAZP-7EFUjtBAC0eRgBKAvSYCJnbPMpz/view?usp=drivesdk</v>
      </c>
      <c r="R2725" s="1439" t="s">
        <v>16038</v>
      </c>
      <c r="S2725" s="434" t="s">
        <v>16039</v>
      </c>
      <c r="T2725" s="65"/>
      <c r="U2725" s="65"/>
      <c r="V2725" s="1439" t="s">
        <v>16040</v>
      </c>
      <c r="W2725" s="1225"/>
      <c r="X2725" s="51" t="str">
        <f t="array" ref="X2725"> if(iserror(MATCH(V2725, 'File Links'!C:C, 0)), "N/A", HYPERLINK(INDEX('File Links'!B:B, MATCH(V2725, 'File Links'!C:C, 0))))</f>
        <v>https://drive.google.com/file/d/16uoJ6bzNUexR0mdpdovXBeytBzvN_136/view?usp=drivesdk</v>
      </c>
      <c r="Y2725" s="65"/>
      <c r="Z2725" s="434" t="s">
        <v>219</v>
      </c>
      <c r="AA2725" s="434" t="s">
        <v>16047</v>
      </c>
      <c r="AB2725" s="434" t="s">
        <v>16048</v>
      </c>
      <c r="AC2725" s="434" t="s">
        <v>16049</v>
      </c>
      <c r="AD2725" s="434" t="s">
        <v>16050</v>
      </c>
      <c r="AE2725" s="825">
        <v>4.0</v>
      </c>
      <c r="AF2725" s="825">
        <v>300.0</v>
      </c>
      <c r="AG2725" s="825">
        <v>0.883</v>
      </c>
      <c r="AH2725" s="434" t="s">
        <v>208</v>
      </c>
      <c r="AI2725" s="434" t="s">
        <v>843</v>
      </c>
      <c r="AJ2725" s="825">
        <v>0.01</v>
      </c>
      <c r="AK2725" s="434" t="s">
        <v>128</v>
      </c>
      <c r="AL2725" s="434" t="s">
        <v>179</v>
      </c>
      <c r="AM2725" s="434" t="s">
        <v>130</v>
      </c>
      <c r="AN2725" s="434" t="s">
        <v>131</v>
      </c>
      <c r="AO2725" s="825">
        <v>66.0</v>
      </c>
      <c r="AP2725" s="825">
        <f>(11.7-16.28)/SQRT(((37-1)*4.34^2+(29-1)*2.82^2)/(37+29-2))</f>
        <v>-1.220825575</v>
      </c>
      <c r="AQ2725" s="434" t="s">
        <v>166</v>
      </c>
      <c r="AR2725" s="434" t="s">
        <v>868</v>
      </c>
      <c r="AS2725" s="825">
        <v>0.01</v>
      </c>
      <c r="AT2725" s="434" t="s">
        <v>128</v>
      </c>
      <c r="AU2725" s="434" t="s">
        <v>179</v>
      </c>
      <c r="AV2725" s="434" t="s">
        <v>130</v>
      </c>
      <c r="AW2725" s="434" t="s">
        <v>131</v>
      </c>
      <c r="AX2725" s="434" t="s">
        <v>144</v>
      </c>
      <c r="AZ2725" s="196" t="s">
        <v>15958</v>
      </c>
    </row>
    <row r="2726">
      <c r="A2726" s="41">
        <v>3126.0</v>
      </c>
      <c r="B2726" s="126" t="s">
        <v>516</v>
      </c>
      <c r="C2726" s="59" t="s">
        <v>108</v>
      </c>
      <c r="D2726" s="59" t="s">
        <v>146</v>
      </c>
      <c r="F2726" s="829" t="s">
        <v>16033</v>
      </c>
      <c r="G2726" s="434" t="s">
        <v>16051</v>
      </c>
      <c r="H2726" s="829" t="s">
        <v>15858</v>
      </c>
      <c r="I2726" s="2242">
        <v>45821.0</v>
      </c>
      <c r="J2726" s="859"/>
      <c r="K2726" s="434" t="s">
        <v>16046</v>
      </c>
      <c r="L2726" s="65"/>
      <c r="M2726" s="434" t="s">
        <v>16035</v>
      </c>
      <c r="N2726" s="434" t="s">
        <v>16036</v>
      </c>
      <c r="O2726" s="65"/>
      <c r="P2726" s="1439" t="s">
        <v>16037</v>
      </c>
      <c r="Q2726" s="2241" t="str">
        <f t="array" ref="Q2726"> if(iserror(MATCH(V2726, 'File Links'!C:C, 0)), "N/A", HYPERLINK(INDEX('File Links'!B:B, MATCH(P2726, 'File Links'!C:C, 0))))</f>
        <v>https://drive.google.com/file/d/1UAZP-7EFUjtBAC0eRgBKAvSYCJnbPMpz/view?usp=drivesdk</v>
      </c>
      <c r="R2726" s="1439" t="s">
        <v>16038</v>
      </c>
      <c r="S2726" s="434" t="s">
        <v>16039</v>
      </c>
      <c r="T2726" s="65"/>
      <c r="U2726" s="65"/>
      <c r="V2726" s="1439" t="s">
        <v>16040</v>
      </c>
      <c r="W2726" s="1225"/>
      <c r="X2726" s="51" t="str">
        <f t="array" ref="X2726"> if(iserror(MATCH(V2726, 'File Links'!C:C, 0)), "N/A", HYPERLINK(INDEX('File Links'!B:B, MATCH(V2726, 'File Links'!C:C, 0))))</f>
        <v>https://drive.google.com/file/d/16uoJ6bzNUexR0mdpdovXBeytBzvN_136/view?usp=drivesdk</v>
      </c>
      <c r="Y2726" s="65"/>
      <c r="Z2726" s="434" t="s">
        <v>219</v>
      </c>
      <c r="AA2726" s="434" t="s">
        <v>16047</v>
      </c>
      <c r="AB2726" s="434" t="s">
        <v>16048</v>
      </c>
      <c r="AC2726" s="434" t="s">
        <v>16049</v>
      </c>
      <c r="AD2726" s="434" t="s">
        <v>16050</v>
      </c>
      <c r="AE2726" s="825">
        <v>4.0</v>
      </c>
      <c r="AF2726" s="825">
        <v>300.0</v>
      </c>
      <c r="AG2726" s="825">
        <v>0.883</v>
      </c>
      <c r="AH2726" s="434" t="s">
        <v>208</v>
      </c>
      <c r="AI2726" s="434" t="s">
        <v>843</v>
      </c>
      <c r="AJ2726" s="825">
        <v>0.01</v>
      </c>
      <c r="AK2726" s="434" t="s">
        <v>128</v>
      </c>
      <c r="AL2726" s="434" t="s">
        <v>179</v>
      </c>
      <c r="AM2726" s="434" t="s">
        <v>130</v>
      </c>
      <c r="AN2726" s="434" t="s">
        <v>131</v>
      </c>
      <c r="AO2726" s="825">
        <v>66.0</v>
      </c>
      <c r="AP2726" s="2243">
        <v>0.63</v>
      </c>
      <c r="AQ2726" s="434" t="s">
        <v>208</v>
      </c>
      <c r="AR2726" s="829" t="s">
        <v>210</v>
      </c>
      <c r="AS2726" s="2243">
        <v>0.01</v>
      </c>
      <c r="AT2726" s="434" t="s">
        <v>128</v>
      </c>
      <c r="AU2726" s="434" t="s">
        <v>179</v>
      </c>
      <c r="AV2726" s="434" t="s">
        <v>130</v>
      </c>
      <c r="AW2726" s="434" t="s">
        <v>131</v>
      </c>
      <c r="AX2726" s="434" t="s">
        <v>144</v>
      </c>
      <c r="AZ2726" s="196" t="s">
        <v>15958</v>
      </c>
      <c r="BB2726" s="234"/>
      <c r="BC2726" s="234"/>
      <c r="BD2726" s="234"/>
      <c r="BE2726" s="234"/>
      <c r="BF2726" s="234"/>
      <c r="BG2726" s="234"/>
      <c r="BH2726" s="234"/>
      <c r="BI2726" s="234"/>
      <c r="BJ2726" s="234"/>
      <c r="BK2726" s="234"/>
      <c r="BL2726" s="234"/>
      <c r="BM2726" s="234"/>
      <c r="BN2726" s="234"/>
      <c r="BO2726" s="234"/>
      <c r="BP2726" s="234"/>
      <c r="BQ2726" s="234"/>
      <c r="BR2726" s="234"/>
      <c r="BS2726" s="234"/>
      <c r="BT2726" s="234"/>
      <c r="BU2726" s="234"/>
      <c r="BV2726" s="234"/>
      <c r="BW2726" s="234"/>
      <c r="BX2726" s="234"/>
      <c r="BY2726" s="234"/>
      <c r="BZ2726" s="234"/>
      <c r="CA2726" s="234"/>
      <c r="CB2726" s="234"/>
      <c r="CC2726" s="234"/>
      <c r="CD2726" s="234"/>
      <c r="CE2726" s="234"/>
      <c r="CF2726" s="234"/>
      <c r="CG2726" s="234"/>
      <c r="CH2726" s="234"/>
      <c r="CI2726" s="234"/>
      <c r="CJ2726" s="234"/>
      <c r="CK2726" s="234"/>
      <c r="CL2726" s="234"/>
      <c r="CM2726" s="234"/>
      <c r="CN2726" s="234"/>
      <c r="CO2726" s="234"/>
      <c r="CP2726" s="234"/>
      <c r="CQ2726" s="234"/>
      <c r="CR2726" s="234"/>
      <c r="CS2726" s="234"/>
      <c r="CT2726" s="234"/>
      <c r="CU2726" s="234"/>
      <c r="CV2726" s="234"/>
      <c r="CW2726" s="234"/>
      <c r="CX2726" s="234"/>
      <c r="CY2726" s="234"/>
      <c r="CZ2726" s="234"/>
      <c r="DA2726" s="234"/>
      <c r="DB2726" s="234"/>
      <c r="DC2726" s="234"/>
      <c r="DD2726" s="234"/>
      <c r="DE2726" s="225"/>
      <c r="DF2726" s="225"/>
      <c r="DG2726" s="225"/>
      <c r="DH2726" s="225"/>
    </row>
    <row r="2727">
      <c r="A2727" s="41">
        <v>3150.0</v>
      </c>
      <c r="B2727" s="126" t="s">
        <v>516</v>
      </c>
      <c r="C2727" s="59" t="s">
        <v>108</v>
      </c>
      <c r="D2727" s="59" t="s">
        <v>1451</v>
      </c>
      <c r="F2727" s="156" t="s">
        <v>16052</v>
      </c>
      <c r="G2727" s="156" t="s">
        <v>16053</v>
      </c>
      <c r="H2727" s="1284" t="s">
        <v>1511</v>
      </c>
      <c r="I2727" s="2244"/>
      <c r="J2727" s="149">
        <v>45822.0</v>
      </c>
      <c r="K2727" s="156" t="s">
        <v>16054</v>
      </c>
      <c r="L2727" s="65"/>
      <c r="M2727" s="156" t="s">
        <v>16055</v>
      </c>
      <c r="N2727" s="156" t="s">
        <v>16056</v>
      </c>
      <c r="O2727" s="153">
        <v>1.0</v>
      </c>
      <c r="P2727" s="1573" t="s">
        <v>16057</v>
      </c>
      <c r="Q2727" s="2241" t="str">
        <f t="array" ref="Q2727"> if(iserror(MATCH(V2727, 'File Links'!C:C, 0)), "N/A", HYPERLINK(INDEX('File Links'!B:B, MATCH(P2727, 'File Links'!C:C, 0))))</f>
        <v>https://drive.google.com/file/d/1Dqew43Y8v38P1r4gR5u_w-Qmg53Bl1k5/view?usp=drivesdk</v>
      </c>
      <c r="R2727" s="379" t="s">
        <v>16058</v>
      </c>
      <c r="S2727" s="156" t="s">
        <v>16059</v>
      </c>
      <c r="T2727" s="156" t="s">
        <v>131</v>
      </c>
      <c r="U2727" s="153">
        <v>1.0</v>
      </c>
      <c r="V2727" s="379" t="s">
        <v>16060</v>
      </c>
      <c r="W2727" s="1225"/>
      <c r="X2727" s="51" t="str">
        <f t="array" ref="X2727"> if(iserror(MATCH(V2727, 'File Links'!C:C, 0)), "N/A", HYPERLINK(INDEX('File Links'!B:B, MATCH(V2727, 'File Links'!C:C, 0))))</f>
        <v>https://drive.google.com/file/d/1E7eIQbprHd2AUw9X5A-g5L9xxHpTZ0P1/view?usp=drivesdk</v>
      </c>
      <c r="Y2727" s="156" t="s">
        <v>131</v>
      </c>
      <c r="Z2727" s="156" t="s">
        <v>1593</v>
      </c>
      <c r="AA2727" s="156" t="s">
        <v>16061</v>
      </c>
      <c r="AB2727" s="156" t="s">
        <v>16062</v>
      </c>
      <c r="AC2727" s="156" t="s">
        <v>16063</v>
      </c>
      <c r="AD2727" s="156" t="s">
        <v>16064</v>
      </c>
      <c r="AE2727" s="156" t="s">
        <v>16065</v>
      </c>
      <c r="AF2727" s="153">
        <v>16.0</v>
      </c>
      <c r="AG2727" s="156" t="s">
        <v>131</v>
      </c>
      <c r="AH2727" s="156" t="s">
        <v>131</v>
      </c>
      <c r="AI2727" s="156" t="s">
        <v>131</v>
      </c>
      <c r="AJ2727" s="156" t="s">
        <v>131</v>
      </c>
      <c r="AK2727" s="156" t="s">
        <v>131</v>
      </c>
      <c r="AL2727" s="156" t="s">
        <v>131</v>
      </c>
      <c r="AM2727" s="156" t="s">
        <v>131</v>
      </c>
      <c r="AN2727" s="156" t="s">
        <v>131</v>
      </c>
      <c r="AO2727" s="153">
        <v>82.0</v>
      </c>
      <c r="AP2727" s="2245" t="s">
        <v>131</v>
      </c>
      <c r="AQ2727" s="2245" t="s">
        <v>131</v>
      </c>
      <c r="AR2727" s="2245" t="s">
        <v>131</v>
      </c>
      <c r="AS2727" s="153">
        <v>0.001</v>
      </c>
      <c r="AT2727" s="156" t="s">
        <v>128</v>
      </c>
      <c r="AU2727" s="156" t="s">
        <v>211</v>
      </c>
      <c r="AV2727" s="156" t="s">
        <v>1898</v>
      </c>
      <c r="AW2727" s="156" t="s">
        <v>131</v>
      </c>
      <c r="AX2727" s="156" t="s">
        <v>136</v>
      </c>
      <c r="AZ2727" s="196" t="s">
        <v>15958</v>
      </c>
      <c r="BB2727" s="339"/>
      <c r="BC2727" s="65"/>
      <c r="BD2727" s="65"/>
      <c r="BE2727" s="65"/>
      <c r="BF2727" s="65"/>
      <c r="BG2727" s="65"/>
      <c r="BH2727" s="65"/>
      <c r="BI2727" s="65"/>
      <c r="BJ2727" s="65"/>
      <c r="BK2727" s="65"/>
      <c r="BL2727" s="65"/>
      <c r="BM2727" s="65"/>
      <c r="BN2727" s="65"/>
      <c r="BO2727" s="65"/>
      <c r="BP2727" s="65"/>
      <c r="BQ2727" s="65"/>
      <c r="BR2727" s="65"/>
      <c r="BS2727" s="65"/>
      <c r="BT2727" s="65"/>
      <c r="BU2727" s="65"/>
      <c r="BV2727" s="65"/>
      <c r="BW2727" s="65"/>
      <c r="BX2727" s="65"/>
      <c r="BY2727" s="65"/>
      <c r="BZ2727" s="65"/>
      <c r="CA2727" s="65"/>
      <c r="CB2727" s="65"/>
      <c r="CC2727" s="65"/>
      <c r="CD2727" s="65"/>
      <c r="CE2727" s="65"/>
      <c r="CF2727" s="65"/>
      <c r="CG2727" s="65"/>
      <c r="CH2727" s="65"/>
      <c r="CI2727" s="65"/>
      <c r="CJ2727" s="65"/>
      <c r="CK2727" s="65"/>
      <c r="CL2727" s="65"/>
      <c r="CM2727" s="65"/>
      <c r="CN2727" s="65"/>
      <c r="CO2727" s="65"/>
      <c r="CP2727" s="65"/>
      <c r="CQ2727" s="65"/>
      <c r="CR2727" s="65"/>
      <c r="CS2727" s="65"/>
      <c r="CT2727" s="65"/>
      <c r="CU2727" s="65"/>
      <c r="CV2727" s="65"/>
      <c r="CW2727" s="65"/>
      <c r="CX2727" s="65"/>
      <c r="CY2727" s="65"/>
      <c r="CZ2727" s="65"/>
      <c r="DA2727" s="65"/>
      <c r="DB2727" s="65"/>
      <c r="DC2727" s="65"/>
      <c r="DD2727" s="65"/>
    </row>
    <row r="2728">
      <c r="A2728" s="41">
        <v>3151.0</v>
      </c>
      <c r="B2728" s="126" t="s">
        <v>516</v>
      </c>
      <c r="C2728" s="59" t="s">
        <v>108</v>
      </c>
      <c r="D2728" s="59" t="s">
        <v>1451</v>
      </c>
      <c r="F2728" s="156" t="s">
        <v>16052</v>
      </c>
      <c r="G2728" s="156" t="s">
        <v>16066</v>
      </c>
      <c r="H2728" s="1284" t="s">
        <v>1511</v>
      </c>
      <c r="I2728" s="2244"/>
      <c r="J2728" s="149">
        <v>45822.0</v>
      </c>
      <c r="K2728" s="156" t="s">
        <v>16067</v>
      </c>
      <c r="L2728" s="65"/>
      <c r="M2728" s="156" t="s">
        <v>16055</v>
      </c>
      <c r="N2728" s="156" t="s">
        <v>16056</v>
      </c>
      <c r="O2728" s="153">
        <v>1.0</v>
      </c>
      <c r="P2728" s="379" t="s">
        <v>16057</v>
      </c>
      <c r="Q2728" s="2241" t="str">
        <f t="array" ref="Q2728"> if(iserror(MATCH(V2728, 'File Links'!C:C, 0)), "N/A", HYPERLINK(INDEX('File Links'!B:B, MATCH(P2728, 'File Links'!C:C, 0))))</f>
        <v>https://drive.google.com/file/d/1Dqew43Y8v38P1r4gR5u_w-Qmg53Bl1k5/view?usp=drivesdk</v>
      </c>
      <c r="R2728" s="379" t="s">
        <v>16058</v>
      </c>
      <c r="S2728" s="156" t="s">
        <v>16059</v>
      </c>
      <c r="T2728" s="156" t="s">
        <v>131</v>
      </c>
      <c r="U2728" s="153">
        <v>2.0</v>
      </c>
      <c r="V2728" s="379" t="s">
        <v>16060</v>
      </c>
      <c r="W2728" s="1225"/>
      <c r="X2728" s="51" t="str">
        <f t="array" ref="X2728"> if(iserror(MATCH(V2728, 'File Links'!C:C, 0)), "N/A", HYPERLINK(INDEX('File Links'!B:B, MATCH(V2728, 'File Links'!C:C, 0))))</f>
        <v>https://drive.google.com/file/d/1E7eIQbprHd2AUw9X5A-g5L9xxHpTZ0P1/view?usp=drivesdk</v>
      </c>
      <c r="Y2728" s="156" t="s">
        <v>131</v>
      </c>
      <c r="Z2728" s="156" t="s">
        <v>1593</v>
      </c>
      <c r="AA2728" s="156" t="s">
        <v>16061</v>
      </c>
      <c r="AB2728" s="156" t="s">
        <v>16062</v>
      </c>
      <c r="AC2728" s="156" t="s">
        <v>16063</v>
      </c>
      <c r="AD2728" s="156" t="s">
        <v>16064</v>
      </c>
      <c r="AE2728" s="156" t="s">
        <v>16065</v>
      </c>
      <c r="AF2728" s="153">
        <v>16.0</v>
      </c>
      <c r="AG2728" s="156" t="s">
        <v>131</v>
      </c>
      <c r="AH2728" s="156" t="s">
        <v>131</v>
      </c>
      <c r="AI2728" s="156" t="s">
        <v>131</v>
      </c>
      <c r="AJ2728" s="156" t="s">
        <v>131</v>
      </c>
      <c r="AK2728" s="156" t="s">
        <v>131</v>
      </c>
      <c r="AL2728" s="156" t="s">
        <v>131</v>
      </c>
      <c r="AM2728" s="156" t="s">
        <v>131</v>
      </c>
      <c r="AN2728" s="156" t="s">
        <v>131</v>
      </c>
      <c r="AO2728" s="153">
        <v>133.0</v>
      </c>
      <c r="AP2728" s="2245" t="s">
        <v>131</v>
      </c>
      <c r="AQ2728" s="2245" t="s">
        <v>131</v>
      </c>
      <c r="AR2728" s="2245" t="s">
        <v>131</v>
      </c>
      <c r="AS2728" s="153">
        <v>0.5469</v>
      </c>
      <c r="AT2728" s="156" t="s">
        <v>165</v>
      </c>
      <c r="AU2728" s="156" t="s">
        <v>211</v>
      </c>
      <c r="AV2728" s="156" t="s">
        <v>1898</v>
      </c>
      <c r="AW2728" s="156" t="s">
        <v>131</v>
      </c>
      <c r="AX2728" s="156" t="s">
        <v>136</v>
      </c>
      <c r="AZ2728" s="196" t="s">
        <v>15958</v>
      </c>
      <c r="BB2728" s="69"/>
      <c r="BC2728" s="65"/>
      <c r="BD2728" s="65"/>
      <c r="BE2728" s="65"/>
      <c r="BF2728" s="65"/>
      <c r="BG2728" s="65"/>
      <c r="BH2728" s="65"/>
      <c r="BI2728" s="65"/>
      <c r="BJ2728" s="65"/>
      <c r="BK2728" s="65"/>
      <c r="BL2728" s="65"/>
      <c r="BM2728" s="65"/>
      <c r="BN2728" s="65"/>
      <c r="BO2728" s="65"/>
      <c r="BP2728" s="65"/>
      <c r="BQ2728" s="65"/>
      <c r="BR2728" s="65"/>
      <c r="BS2728" s="65"/>
      <c r="BT2728" s="65"/>
      <c r="BU2728" s="65"/>
      <c r="BV2728" s="65"/>
      <c r="BW2728" s="65"/>
      <c r="BX2728" s="65"/>
      <c r="BY2728" s="65"/>
      <c r="BZ2728" s="65"/>
      <c r="CA2728" s="65"/>
      <c r="CB2728" s="65"/>
      <c r="CC2728" s="65"/>
      <c r="CD2728" s="65"/>
      <c r="CE2728" s="65"/>
      <c r="CF2728" s="65"/>
      <c r="CG2728" s="65"/>
      <c r="CH2728" s="65"/>
      <c r="CI2728" s="65"/>
      <c r="CJ2728" s="65"/>
      <c r="CK2728" s="65"/>
      <c r="CL2728" s="65"/>
      <c r="CM2728" s="65"/>
      <c r="CN2728" s="65"/>
      <c r="CO2728" s="65"/>
      <c r="CP2728" s="65"/>
      <c r="CQ2728" s="65"/>
      <c r="CR2728" s="65"/>
      <c r="CS2728" s="65"/>
      <c r="CT2728" s="65"/>
      <c r="CU2728" s="65"/>
      <c r="CV2728" s="65"/>
      <c r="CW2728" s="65"/>
      <c r="CX2728" s="65"/>
      <c r="CY2728" s="65"/>
      <c r="CZ2728" s="65"/>
      <c r="DA2728" s="65"/>
      <c r="DB2728" s="65"/>
      <c r="DC2728" s="65"/>
      <c r="DD2728" s="65"/>
    </row>
    <row r="2729" ht="24.75" customHeight="1">
      <c r="A2729" s="41">
        <v>3188.0</v>
      </c>
      <c r="B2729" s="126" t="s">
        <v>516</v>
      </c>
      <c r="C2729" s="59" t="s">
        <v>108</v>
      </c>
      <c r="D2729" s="59" t="s">
        <v>15928</v>
      </c>
      <c r="F2729" s="156" t="s">
        <v>16068</v>
      </c>
      <c r="G2729" s="156" t="s">
        <v>16066</v>
      </c>
      <c r="H2729" s="1284" t="s">
        <v>15931</v>
      </c>
      <c r="I2729" s="2214">
        <v>45813.0</v>
      </c>
      <c r="J2729" s="65"/>
      <c r="K2729" s="65"/>
      <c r="L2729" s="65"/>
      <c r="M2729" s="2052" t="s">
        <v>16035</v>
      </c>
      <c r="N2729" s="2052" t="s">
        <v>16036</v>
      </c>
      <c r="O2729" s="65"/>
      <c r="P2729" s="2240" t="s">
        <v>16037</v>
      </c>
      <c r="Q2729" s="2241" t="str">
        <f t="array" ref="Q2729"> if(iserror(MATCH(V2729, 'File Links'!C:C, 0)), "N/A", HYPERLINK(INDEX('File Links'!B:B, MATCH(P2729, 'File Links'!C:C, 0))))</f>
        <v>https://drive.google.com/file/d/1UAZP-7EFUjtBAC0eRgBKAvSYCJnbPMpz/view?usp=drivesdk</v>
      </c>
      <c r="R2729" s="2240" t="s">
        <v>16069</v>
      </c>
      <c r="S2729" s="2070" t="s">
        <v>16070</v>
      </c>
      <c r="T2729" s="65"/>
      <c r="U2729" s="65"/>
      <c r="V2729" s="156" t="s">
        <v>16040</v>
      </c>
      <c r="W2729" s="65"/>
      <c r="X2729" s="51" t="str">
        <f t="array" ref="X2729"> if(iserror(MATCH(V2729, 'File Links'!C:C, 0)), "N/A", HYPERLINK(INDEX('File Links'!B:B, MATCH(V2729, 'File Links'!C:C, 0))))</f>
        <v>https://drive.google.com/file/d/16uoJ6bzNUexR0mdpdovXBeytBzvN_136/view?usp=drivesdk</v>
      </c>
      <c r="Y2729" s="65"/>
      <c r="Z2729" s="156" t="s">
        <v>219</v>
      </c>
      <c r="AA2729" s="65" t="s">
        <v>16041</v>
      </c>
      <c r="AB2729" s="65"/>
      <c r="AC2729" s="65" t="s">
        <v>16071</v>
      </c>
      <c r="AD2729" s="65" t="s">
        <v>16043</v>
      </c>
      <c r="AE2729" s="65" t="s">
        <v>875</v>
      </c>
      <c r="AF2729" s="333">
        <v>124.0</v>
      </c>
      <c r="AG2729" s="333">
        <v>0.676</v>
      </c>
      <c r="AH2729" s="65" t="s">
        <v>166</v>
      </c>
      <c r="AI2729" s="65" t="s">
        <v>489</v>
      </c>
      <c r="AJ2729" s="333">
        <v>0.05</v>
      </c>
      <c r="AK2729" s="65" t="s">
        <v>128</v>
      </c>
      <c r="AL2729" s="156" t="s">
        <v>179</v>
      </c>
      <c r="AM2729" s="156" t="s">
        <v>130</v>
      </c>
      <c r="AN2729" s="156" t="s">
        <v>131</v>
      </c>
      <c r="AO2729" s="333">
        <v>66.0</v>
      </c>
      <c r="AP2729" s="333">
        <v>0.072</v>
      </c>
      <c r="AQ2729" s="65" t="s">
        <v>166</v>
      </c>
      <c r="AR2729" s="1904" t="s">
        <v>16072</v>
      </c>
      <c r="AS2729" s="333">
        <v>0.05</v>
      </c>
      <c r="AT2729" s="65" t="s">
        <v>128</v>
      </c>
      <c r="AU2729" s="65" t="s">
        <v>179</v>
      </c>
      <c r="AV2729" s="65" t="s">
        <v>130</v>
      </c>
      <c r="AW2729" s="65" t="s">
        <v>131</v>
      </c>
      <c r="AX2729" s="65" t="s">
        <v>136</v>
      </c>
      <c r="AZ2729" s="196" t="s">
        <v>15958</v>
      </c>
      <c r="BB2729" s="479"/>
      <c r="BC2729" s="479"/>
      <c r="BD2729" s="479"/>
      <c r="BE2729" s="479"/>
      <c r="BF2729" s="479"/>
      <c r="BG2729" s="479"/>
      <c r="BH2729" s="479"/>
      <c r="BI2729" s="479"/>
      <c r="BJ2729" s="479"/>
      <c r="BK2729" s="479"/>
      <c r="BL2729" s="479"/>
      <c r="BM2729" s="479"/>
      <c r="BN2729" s="479"/>
      <c r="BO2729" s="479"/>
      <c r="BP2729" s="479"/>
      <c r="BQ2729" s="479"/>
      <c r="BR2729" s="479"/>
      <c r="BS2729" s="479"/>
      <c r="BT2729" s="479"/>
      <c r="BU2729" s="479"/>
      <c r="BV2729" s="479"/>
      <c r="BW2729" s="479"/>
      <c r="BX2729" s="479"/>
      <c r="BY2729" s="479"/>
      <c r="BZ2729" s="479"/>
      <c r="CA2729" s="479"/>
      <c r="CB2729" s="479"/>
      <c r="CC2729" s="479"/>
      <c r="CD2729" s="479"/>
      <c r="CE2729" s="479"/>
      <c r="CF2729" s="479"/>
      <c r="CG2729" s="479"/>
      <c r="CH2729" s="479"/>
      <c r="CI2729" s="479"/>
      <c r="CJ2729" s="479"/>
      <c r="CK2729" s="479"/>
      <c r="CL2729" s="479"/>
      <c r="CM2729" s="479"/>
      <c r="CN2729" s="479"/>
      <c r="CO2729" s="479"/>
      <c r="CP2729" s="479"/>
      <c r="CQ2729" s="479"/>
      <c r="CR2729" s="479"/>
      <c r="CS2729" s="479"/>
      <c r="CT2729" s="479"/>
      <c r="CU2729" s="479"/>
      <c r="CV2729" s="479"/>
      <c r="CW2729" s="479"/>
      <c r="CX2729" s="479"/>
      <c r="CY2729" s="479"/>
      <c r="CZ2729" s="479"/>
      <c r="DA2729" s="479"/>
      <c r="DB2729" s="479"/>
      <c r="DC2729" s="479"/>
      <c r="DD2729" s="479"/>
      <c r="DE2729" s="465"/>
      <c r="DF2729" s="465"/>
      <c r="DG2729" s="465"/>
      <c r="DH2729" s="465"/>
    </row>
    <row r="2730">
      <c r="A2730" s="41">
        <v>3157.0</v>
      </c>
      <c r="B2730" s="126" t="s">
        <v>516</v>
      </c>
      <c r="C2730" s="59" t="s">
        <v>108</v>
      </c>
      <c r="D2730" s="59" t="s">
        <v>1451</v>
      </c>
      <c r="F2730" s="65" t="s">
        <v>16073</v>
      </c>
      <c r="G2730" s="156" t="s">
        <v>16074</v>
      </c>
      <c r="H2730" s="1284" t="s">
        <v>1511</v>
      </c>
      <c r="I2730" s="859"/>
      <c r="J2730" s="149">
        <v>45823.0</v>
      </c>
      <c r="K2730" s="156" t="s">
        <v>16075</v>
      </c>
      <c r="L2730" s="65"/>
      <c r="M2730" s="156" t="s">
        <v>16076</v>
      </c>
      <c r="N2730" s="156" t="s">
        <v>16077</v>
      </c>
      <c r="O2730" s="153">
        <v>1.0</v>
      </c>
      <c r="P2730" s="379" t="s">
        <v>16078</v>
      </c>
      <c r="Q2730" s="2241" t="str">
        <f t="array" ref="Q2730"> if(iserror(MATCH(V2730, 'File Links'!C:C, 0)), "N/A", HYPERLINK(INDEX('File Links'!B:B, MATCH(P2730, 'File Links'!C:C, 0))))</f>
        <v>N/A</v>
      </c>
      <c r="R2730" s="379" t="s">
        <v>16079</v>
      </c>
      <c r="S2730" s="156" t="s">
        <v>16080</v>
      </c>
      <c r="T2730" s="156" t="s">
        <v>131</v>
      </c>
      <c r="U2730" s="153">
        <v>1.0</v>
      </c>
      <c r="V2730" s="379" t="s">
        <v>16081</v>
      </c>
      <c r="W2730" s="1225"/>
      <c r="X2730" s="46" t="str">
        <f t="array" ref="X2730"> if(iserror(MATCH(V2730, 'File Links'!C:C, 0)), "N/A", HYPERLINK(INDEX('File Links'!B:B, MATCH(V2730, 'File Links'!C:C, 0))))</f>
        <v>N/A</v>
      </c>
      <c r="Y2730" s="156" t="s">
        <v>131</v>
      </c>
      <c r="Z2730" s="156" t="s">
        <v>219</v>
      </c>
      <c r="AA2730" s="156" t="s">
        <v>16082</v>
      </c>
      <c r="AB2730" s="156" t="s">
        <v>16083</v>
      </c>
      <c r="AC2730" s="156" t="s">
        <v>16084</v>
      </c>
      <c r="AD2730" s="156" t="s">
        <v>16085</v>
      </c>
      <c r="AE2730" s="156" t="s">
        <v>10570</v>
      </c>
      <c r="AF2730" s="153">
        <v>6769.0</v>
      </c>
      <c r="AG2730" s="153">
        <v>-0.318</v>
      </c>
      <c r="AH2730" s="156" t="s">
        <v>354</v>
      </c>
      <c r="AI2730" s="156" t="s">
        <v>3714</v>
      </c>
      <c r="AJ2730" s="153">
        <v>0.05</v>
      </c>
      <c r="AK2730" s="156" t="s">
        <v>128</v>
      </c>
      <c r="AL2730" s="156" t="s">
        <v>179</v>
      </c>
      <c r="AM2730" s="156" t="s">
        <v>134</v>
      </c>
      <c r="AN2730" s="156" t="s">
        <v>131</v>
      </c>
      <c r="AO2730" s="153">
        <v>5005.0</v>
      </c>
      <c r="AP2730" s="153">
        <v>-0.36</v>
      </c>
      <c r="AQ2730" s="156" t="s">
        <v>354</v>
      </c>
      <c r="AR2730" s="156" t="s">
        <v>16086</v>
      </c>
      <c r="AS2730" s="153">
        <v>0.05</v>
      </c>
      <c r="AT2730" s="156" t="s">
        <v>328</v>
      </c>
      <c r="AU2730" s="156" t="s">
        <v>179</v>
      </c>
      <c r="AV2730" s="156" t="s">
        <v>134</v>
      </c>
      <c r="AW2730" s="432" t="s">
        <v>16087</v>
      </c>
      <c r="AX2730" s="677" t="s">
        <v>136</v>
      </c>
      <c r="AZ2730" s="196" t="s">
        <v>15958</v>
      </c>
      <c r="BB2730" s="65"/>
      <c r="BC2730" s="65"/>
      <c r="BD2730" s="65"/>
      <c r="BE2730" s="65"/>
      <c r="BF2730" s="65"/>
      <c r="BG2730" s="65"/>
      <c r="BH2730" s="65"/>
      <c r="BI2730" s="65"/>
      <c r="BJ2730" s="65"/>
      <c r="BK2730" s="65"/>
      <c r="BL2730" s="65"/>
      <c r="BM2730" s="65"/>
      <c r="BN2730" s="65"/>
      <c r="BO2730" s="65"/>
      <c r="BP2730" s="65"/>
      <c r="BQ2730" s="65"/>
      <c r="BR2730" s="65"/>
      <c r="BS2730" s="65"/>
      <c r="BT2730" s="65"/>
      <c r="BU2730" s="65"/>
      <c r="BV2730" s="65"/>
      <c r="BW2730" s="65"/>
      <c r="BX2730" s="65"/>
      <c r="BY2730" s="65"/>
      <c r="BZ2730" s="65"/>
      <c r="CA2730" s="65"/>
      <c r="CB2730" s="65"/>
      <c r="CC2730" s="65"/>
      <c r="CD2730" s="65"/>
      <c r="CE2730" s="65"/>
      <c r="CF2730" s="65"/>
      <c r="CG2730" s="65"/>
      <c r="CH2730" s="65"/>
      <c r="CI2730" s="65"/>
      <c r="CJ2730" s="65"/>
      <c r="CK2730" s="65"/>
      <c r="CL2730" s="65"/>
      <c r="CM2730" s="65"/>
      <c r="CN2730" s="65"/>
      <c r="CO2730" s="65"/>
      <c r="CP2730" s="65"/>
      <c r="CQ2730" s="65"/>
      <c r="CR2730" s="65"/>
      <c r="CS2730" s="65"/>
      <c r="CT2730" s="65"/>
      <c r="CU2730" s="65"/>
      <c r="CV2730" s="65"/>
      <c r="CW2730" s="65"/>
      <c r="CX2730" s="65"/>
      <c r="CY2730" s="65"/>
      <c r="CZ2730" s="65"/>
      <c r="DA2730" s="65"/>
      <c r="DB2730" s="65"/>
      <c r="DC2730" s="65"/>
      <c r="DD2730" s="65"/>
    </row>
    <row r="2731">
      <c r="A2731" s="41">
        <v>3158.0</v>
      </c>
      <c r="B2731" s="126" t="s">
        <v>516</v>
      </c>
      <c r="C2731" s="59" t="s">
        <v>108</v>
      </c>
      <c r="D2731" s="59" t="s">
        <v>1451</v>
      </c>
      <c r="F2731" s="65" t="s">
        <v>16073</v>
      </c>
      <c r="G2731" s="156" t="s">
        <v>16088</v>
      </c>
      <c r="H2731" s="1284" t="s">
        <v>1511</v>
      </c>
      <c r="I2731" s="859"/>
      <c r="J2731" s="149">
        <v>45823.0</v>
      </c>
      <c r="K2731" s="156" t="s">
        <v>16089</v>
      </c>
      <c r="L2731" s="65"/>
      <c r="M2731" s="156" t="s">
        <v>16076</v>
      </c>
      <c r="N2731" s="156" t="s">
        <v>16077</v>
      </c>
      <c r="O2731" s="153">
        <v>1.0</v>
      </c>
      <c r="P2731" s="379" t="s">
        <v>16078</v>
      </c>
      <c r="Q2731" s="2241" t="str">
        <f t="array" ref="Q2731"> if(iserror(MATCH(V2731, 'File Links'!C:C, 0)), "N/A", HYPERLINK(INDEX('File Links'!B:B, MATCH(P2731, 'File Links'!C:C, 0))))</f>
        <v>N/A</v>
      </c>
      <c r="R2731" s="379" t="s">
        <v>16079</v>
      </c>
      <c r="S2731" s="156" t="s">
        <v>16080</v>
      </c>
      <c r="T2731" s="156" t="s">
        <v>131</v>
      </c>
      <c r="U2731" s="153">
        <v>1.0</v>
      </c>
      <c r="V2731" s="379" t="s">
        <v>16081</v>
      </c>
      <c r="W2731" s="1225"/>
      <c r="X2731" s="46" t="str">
        <f t="array" ref="X2731"> if(iserror(MATCH(V2731, 'File Links'!C:C, 0)), "N/A", HYPERLINK(INDEX('File Links'!B:B, MATCH(V2731, 'File Links'!C:C, 0))))</f>
        <v>N/A</v>
      </c>
      <c r="Y2731" s="156" t="s">
        <v>131</v>
      </c>
      <c r="Z2731" s="156" t="s">
        <v>219</v>
      </c>
      <c r="AA2731" s="156" t="s">
        <v>16082</v>
      </c>
      <c r="AB2731" s="156" t="s">
        <v>16083</v>
      </c>
      <c r="AC2731" s="156" t="s">
        <v>16090</v>
      </c>
      <c r="AD2731" s="156" t="s">
        <v>16091</v>
      </c>
      <c r="AE2731" s="156" t="s">
        <v>16092</v>
      </c>
      <c r="AF2731" s="153">
        <v>6769.0</v>
      </c>
      <c r="AG2731" s="153">
        <v>0.021</v>
      </c>
      <c r="AH2731" s="156" t="s">
        <v>354</v>
      </c>
      <c r="AI2731" s="156" t="s">
        <v>3714</v>
      </c>
      <c r="AJ2731" s="153">
        <v>0.05</v>
      </c>
      <c r="AK2731" s="156" t="s">
        <v>328</v>
      </c>
      <c r="AL2731" s="156" t="s">
        <v>179</v>
      </c>
      <c r="AM2731" s="156" t="s">
        <v>134</v>
      </c>
      <c r="AN2731" s="156" t="s">
        <v>131</v>
      </c>
      <c r="AO2731" s="153">
        <v>5005.0</v>
      </c>
      <c r="AP2731" s="153">
        <v>-0.52</v>
      </c>
      <c r="AQ2731" s="156" t="s">
        <v>354</v>
      </c>
      <c r="AR2731" s="156" t="s">
        <v>16086</v>
      </c>
      <c r="AS2731" s="153">
        <v>0.05</v>
      </c>
      <c r="AT2731" s="156" t="s">
        <v>128</v>
      </c>
      <c r="AU2731" s="156" t="s">
        <v>179</v>
      </c>
      <c r="AV2731" s="156" t="s">
        <v>134</v>
      </c>
      <c r="AW2731" s="432" t="s">
        <v>16087</v>
      </c>
      <c r="AX2731" s="677" t="s">
        <v>136</v>
      </c>
      <c r="AZ2731" s="196" t="s">
        <v>15958</v>
      </c>
      <c r="BB2731" s="65"/>
      <c r="BC2731" s="65"/>
      <c r="BD2731" s="65"/>
      <c r="BE2731" s="65"/>
      <c r="BF2731" s="65"/>
      <c r="BG2731" s="65"/>
      <c r="BH2731" s="65"/>
      <c r="BI2731" s="65"/>
      <c r="BJ2731" s="65"/>
      <c r="BK2731" s="65"/>
      <c r="BL2731" s="65"/>
      <c r="BM2731" s="65"/>
      <c r="BN2731" s="65"/>
      <c r="BO2731" s="65"/>
      <c r="BP2731" s="65"/>
      <c r="BQ2731" s="65"/>
      <c r="BR2731" s="65"/>
      <c r="BS2731" s="65"/>
      <c r="BT2731" s="65"/>
      <c r="BU2731" s="65"/>
      <c r="BV2731" s="65"/>
      <c r="BW2731" s="65"/>
      <c r="BX2731" s="65"/>
      <c r="BY2731" s="65"/>
      <c r="BZ2731" s="65"/>
      <c r="CA2731" s="65"/>
      <c r="CB2731" s="65"/>
      <c r="CC2731" s="65"/>
      <c r="CD2731" s="65"/>
      <c r="CE2731" s="65"/>
      <c r="CF2731" s="65"/>
      <c r="CG2731" s="65"/>
      <c r="CH2731" s="65"/>
      <c r="CI2731" s="65"/>
      <c r="CJ2731" s="65"/>
      <c r="CK2731" s="65"/>
      <c r="CL2731" s="65"/>
      <c r="CM2731" s="65"/>
      <c r="CN2731" s="65"/>
      <c r="CO2731" s="65"/>
      <c r="CP2731" s="65"/>
      <c r="CQ2731" s="65"/>
      <c r="CR2731" s="65"/>
      <c r="CS2731" s="65"/>
      <c r="CT2731" s="65"/>
      <c r="CU2731" s="65"/>
      <c r="CV2731" s="65"/>
      <c r="CW2731" s="65"/>
      <c r="CX2731" s="65"/>
      <c r="CY2731" s="65"/>
      <c r="CZ2731" s="65"/>
      <c r="DA2731" s="65"/>
      <c r="DB2731" s="65"/>
      <c r="DC2731" s="65"/>
      <c r="DD2731" s="65"/>
    </row>
    <row r="2732">
      <c r="A2732" s="41">
        <v>3155.0</v>
      </c>
      <c r="B2732" s="126" t="s">
        <v>516</v>
      </c>
      <c r="C2732" s="59" t="s">
        <v>108</v>
      </c>
      <c r="D2732" s="59" t="s">
        <v>1451</v>
      </c>
      <c r="F2732" s="65" t="s">
        <v>16093</v>
      </c>
      <c r="G2732" s="156" t="s">
        <v>16094</v>
      </c>
      <c r="H2732" s="1284" t="s">
        <v>1511</v>
      </c>
      <c r="I2732" s="859"/>
      <c r="J2732" s="149">
        <v>45822.0</v>
      </c>
      <c r="K2732" s="677" t="s">
        <v>16095</v>
      </c>
      <c r="L2732" s="65"/>
      <c r="M2732" s="156" t="s">
        <v>16096</v>
      </c>
      <c r="N2732" s="156" t="s">
        <v>16097</v>
      </c>
      <c r="O2732" s="153">
        <v>1.0</v>
      </c>
      <c r="P2732" s="379" t="s">
        <v>16098</v>
      </c>
      <c r="Q2732" s="2241" t="str">
        <f t="array" ref="Q2732"> if(iserror(MATCH(V2732, 'File Links'!C:C, 0)), "N/A", HYPERLINK(INDEX('File Links'!B:B, MATCH(P2732, 'File Links'!C:C, 0))))</f>
        <v>https://drive.google.com/file/d/1LJBcuUB-1LSu2INXB7EcSdI9cC8lr-qR/view?usp=drivesdk</v>
      </c>
      <c r="R2732" s="379" t="s">
        <v>16099</v>
      </c>
      <c r="S2732" s="156" t="s">
        <v>16100</v>
      </c>
      <c r="T2732" s="156" t="s">
        <v>131</v>
      </c>
      <c r="U2732" s="153">
        <v>1.0</v>
      </c>
      <c r="V2732" s="379" t="s">
        <v>16101</v>
      </c>
      <c r="W2732" s="1225"/>
      <c r="X2732" s="51" t="str">
        <f t="array" ref="X2732"> if(iserror(MATCH(V2732, 'File Links'!C:C, 0)), "N/A", HYPERLINK(INDEX('File Links'!B:B, MATCH(V2732, 'File Links'!C:C, 0))))</f>
        <v>https://drive.google.com/file/d/1eOwIQbIkrHsQvdXq-eYfL5pNKC_uHX0V/view?usp=drivesdk</v>
      </c>
      <c r="Y2732" s="156" t="s">
        <v>131</v>
      </c>
      <c r="Z2732" s="156" t="s">
        <v>219</v>
      </c>
      <c r="AA2732" s="156" t="s">
        <v>16102</v>
      </c>
      <c r="AB2732" s="156" t="s">
        <v>16103</v>
      </c>
      <c r="AC2732" s="156" t="s">
        <v>16104</v>
      </c>
      <c r="AD2732" s="156" t="s">
        <v>16105</v>
      </c>
      <c r="AE2732" s="153">
        <v>6.0</v>
      </c>
      <c r="AF2732" s="153">
        <v>60.0</v>
      </c>
      <c r="AG2732" s="153">
        <v>0.16</v>
      </c>
      <c r="AH2732" s="156" t="s">
        <v>166</v>
      </c>
      <c r="AI2732" s="156" t="s">
        <v>1035</v>
      </c>
      <c r="AJ2732" s="153">
        <v>0.046</v>
      </c>
      <c r="AK2732" s="156" t="s">
        <v>165</v>
      </c>
      <c r="AL2732" s="156" t="s">
        <v>211</v>
      </c>
      <c r="AM2732" s="156" t="s">
        <v>130</v>
      </c>
      <c r="AN2732" s="156" t="s">
        <v>131</v>
      </c>
      <c r="AO2732" s="153">
        <v>598.0</v>
      </c>
      <c r="AP2732" s="156" t="s">
        <v>131</v>
      </c>
      <c r="AQ2732" s="156" t="s">
        <v>131</v>
      </c>
      <c r="AR2732" s="156" t="s">
        <v>16106</v>
      </c>
      <c r="AS2732" s="153">
        <v>0.013</v>
      </c>
      <c r="AT2732" s="156" t="s">
        <v>165</v>
      </c>
      <c r="AU2732" s="156" t="s">
        <v>211</v>
      </c>
      <c r="AV2732" s="156" t="s">
        <v>130</v>
      </c>
      <c r="AW2732" s="65" t="s">
        <v>131</v>
      </c>
      <c r="AX2732" s="156" t="s">
        <v>144</v>
      </c>
      <c r="AZ2732" s="196" t="s">
        <v>15958</v>
      </c>
      <c r="BB2732" s="65"/>
      <c r="BC2732" s="65"/>
      <c r="BD2732" s="65"/>
      <c r="BE2732" s="65"/>
      <c r="BF2732" s="65"/>
      <c r="BG2732" s="65"/>
      <c r="BH2732" s="65"/>
      <c r="BI2732" s="65"/>
      <c r="BJ2732" s="65"/>
      <c r="BK2732" s="65"/>
      <c r="BL2732" s="65"/>
      <c r="BM2732" s="65"/>
      <c r="BN2732" s="65"/>
      <c r="BO2732" s="65"/>
      <c r="BP2732" s="65"/>
      <c r="BQ2732" s="65"/>
      <c r="BR2732" s="65"/>
      <c r="BS2732" s="65"/>
      <c r="BT2732" s="65"/>
      <c r="BU2732" s="65"/>
      <c r="BV2732" s="65"/>
      <c r="BW2732" s="65"/>
      <c r="BX2732" s="65"/>
      <c r="BY2732" s="65"/>
      <c r="BZ2732" s="65"/>
      <c r="CA2732" s="65"/>
      <c r="CB2732" s="65"/>
      <c r="CC2732" s="65"/>
      <c r="CD2732" s="65"/>
      <c r="CE2732" s="65"/>
      <c r="CF2732" s="65"/>
      <c r="CG2732" s="65"/>
      <c r="CH2732" s="65"/>
      <c r="CI2732" s="65"/>
      <c r="CJ2732" s="65"/>
      <c r="CK2732" s="65"/>
      <c r="CL2732" s="65"/>
      <c r="CM2732" s="65"/>
      <c r="CN2732" s="65"/>
      <c r="CO2732" s="65"/>
      <c r="CP2732" s="65"/>
      <c r="CQ2732" s="65"/>
      <c r="CR2732" s="65"/>
      <c r="CS2732" s="65"/>
      <c r="CT2732" s="65"/>
      <c r="CU2732" s="65"/>
      <c r="CV2732" s="65"/>
      <c r="CW2732" s="65"/>
      <c r="CX2732" s="65"/>
      <c r="CY2732" s="65"/>
      <c r="CZ2732" s="65"/>
      <c r="DA2732" s="65"/>
      <c r="DB2732" s="65"/>
      <c r="DC2732" s="65"/>
      <c r="DD2732" s="65"/>
    </row>
    <row r="2733" ht="24.75" customHeight="1">
      <c r="A2733" s="41">
        <v>3127.0</v>
      </c>
      <c r="B2733" s="126" t="s">
        <v>516</v>
      </c>
      <c r="C2733" s="59" t="s">
        <v>108</v>
      </c>
      <c r="D2733" s="59" t="s">
        <v>146</v>
      </c>
      <c r="F2733" s="2218" t="s">
        <v>16107</v>
      </c>
      <c r="G2733" s="434" t="s">
        <v>16108</v>
      </c>
      <c r="H2733" s="829" t="s">
        <v>15858</v>
      </c>
      <c r="I2733" s="2242">
        <v>45821.0</v>
      </c>
      <c r="J2733" s="859"/>
      <c r="K2733" s="434" t="s">
        <v>16109</v>
      </c>
      <c r="L2733" s="65"/>
      <c r="M2733" s="434" t="s">
        <v>16110</v>
      </c>
      <c r="N2733" s="434" t="s">
        <v>16111</v>
      </c>
      <c r="O2733" s="65"/>
      <c r="P2733" s="1439" t="s">
        <v>16112</v>
      </c>
      <c r="Q2733" s="2241" t="str">
        <f t="array" ref="Q2733"> if(iserror(MATCH(V2733, 'File Links'!C:C, 0)), "N/A", HYPERLINK(INDEX('File Links'!B:B, MATCH(P2733, 'File Links'!C:C, 0))))</f>
        <v>https://drive.google.com/file/d/1D5KouvqlIJwsDCgn3ccM349xsg2h_lLc/view?usp=drivesdk</v>
      </c>
      <c r="R2733" s="1439" t="s">
        <v>16113</v>
      </c>
      <c r="S2733" s="434" t="s">
        <v>16114</v>
      </c>
      <c r="T2733" s="65"/>
      <c r="U2733" s="65"/>
      <c r="V2733" s="1439" t="s">
        <v>16115</v>
      </c>
      <c r="W2733" s="1225"/>
      <c r="X2733" s="51" t="str">
        <f t="array" ref="X2733"> if(iserror(MATCH(V2733, 'File Links'!C:C, 0)), "N/A", HYPERLINK(INDEX('File Links'!B:B, MATCH(V2733, 'File Links'!C:C, 0))))</f>
        <v>https://drive.google.com/file/d/1Ocpr95kOyFZwuINmIl1HrSazLpP5IR0A/view?usp=drivesdk</v>
      </c>
      <c r="Y2733" s="829" t="s">
        <v>15888</v>
      </c>
      <c r="Z2733" s="434" t="s">
        <v>219</v>
      </c>
      <c r="AA2733" s="434" t="s">
        <v>16116</v>
      </c>
      <c r="AB2733" s="434" t="s">
        <v>16117</v>
      </c>
      <c r="AC2733" s="65"/>
      <c r="AD2733" s="43"/>
      <c r="AE2733" s="65"/>
      <c r="AF2733" s="825">
        <v>234.0</v>
      </c>
      <c r="AG2733" s="65"/>
      <c r="AH2733" s="65"/>
      <c r="AI2733" s="65"/>
      <c r="AJ2733" s="65"/>
      <c r="AK2733" s="65"/>
      <c r="AL2733" s="65"/>
      <c r="AM2733" s="65"/>
      <c r="AN2733" s="65"/>
      <c r="AO2733" s="825">
        <v>46.0</v>
      </c>
      <c r="AP2733" s="65"/>
      <c r="AQ2733" s="65"/>
      <c r="AR2733" s="65"/>
      <c r="AS2733" s="65"/>
      <c r="AT2733" s="65"/>
      <c r="AU2733" s="65"/>
      <c r="AV2733" s="65"/>
      <c r="AW2733" s="65"/>
      <c r="AX2733" s="434" t="s">
        <v>136</v>
      </c>
      <c r="AZ2733" s="196" t="s">
        <v>15958</v>
      </c>
      <c r="BB2733" s="65"/>
      <c r="BC2733" s="65"/>
      <c r="BD2733" s="65"/>
      <c r="BE2733" s="65"/>
      <c r="BF2733" s="65"/>
      <c r="BG2733" s="65"/>
      <c r="BH2733" s="65"/>
      <c r="BI2733" s="65"/>
      <c r="BJ2733" s="65"/>
      <c r="BK2733" s="65"/>
      <c r="BL2733" s="65"/>
      <c r="BM2733" s="65"/>
      <c r="BN2733" s="65"/>
      <c r="BO2733" s="65"/>
      <c r="BP2733" s="65"/>
      <c r="BQ2733" s="65"/>
      <c r="BR2733" s="65"/>
      <c r="BS2733" s="65"/>
      <c r="BT2733" s="65"/>
      <c r="BU2733" s="65"/>
      <c r="BV2733" s="65"/>
      <c r="BW2733" s="65"/>
      <c r="BX2733" s="65"/>
      <c r="BY2733" s="65"/>
      <c r="BZ2733" s="65"/>
      <c r="CA2733" s="65"/>
      <c r="CB2733" s="65"/>
      <c r="CC2733" s="65"/>
      <c r="CD2733" s="65"/>
      <c r="CE2733" s="65"/>
      <c r="CF2733" s="65"/>
      <c r="CG2733" s="65"/>
      <c r="CH2733" s="65"/>
      <c r="CI2733" s="65"/>
      <c r="CJ2733" s="65"/>
      <c r="CK2733" s="65"/>
      <c r="CL2733" s="65"/>
      <c r="CM2733" s="65"/>
      <c r="CN2733" s="65"/>
      <c r="CO2733" s="65"/>
      <c r="CP2733" s="65"/>
      <c r="CQ2733" s="65"/>
      <c r="CR2733" s="65"/>
      <c r="CS2733" s="65"/>
      <c r="CT2733" s="65"/>
      <c r="CU2733" s="65"/>
      <c r="CV2733" s="65"/>
      <c r="CW2733" s="65"/>
      <c r="CX2733" s="65"/>
      <c r="CY2733" s="65"/>
      <c r="CZ2733" s="65"/>
      <c r="DA2733" s="65"/>
      <c r="DB2733" s="65"/>
      <c r="DC2733" s="65"/>
      <c r="DD2733" s="65"/>
    </row>
    <row r="2734" ht="23.25" customHeight="1">
      <c r="A2734" s="41">
        <v>3189.0</v>
      </c>
      <c r="B2734" s="126" t="s">
        <v>516</v>
      </c>
      <c r="C2734" s="59" t="s">
        <v>108</v>
      </c>
      <c r="D2734" s="59" t="s">
        <v>15928</v>
      </c>
      <c r="F2734" s="156" t="s">
        <v>16107</v>
      </c>
      <c r="G2734" s="156" t="s">
        <v>16108</v>
      </c>
      <c r="H2734" s="1284" t="s">
        <v>15931</v>
      </c>
      <c r="I2734" s="2214">
        <v>45814.0</v>
      </c>
      <c r="J2734" s="65"/>
      <c r="K2734" s="156" t="s">
        <v>16118</v>
      </c>
      <c r="L2734" s="65"/>
      <c r="M2734" s="2052" t="s">
        <v>16110</v>
      </c>
      <c r="N2734" s="2052" t="s">
        <v>16111</v>
      </c>
      <c r="O2734" s="65"/>
      <c r="P2734" s="2240" t="s">
        <v>16112</v>
      </c>
      <c r="Q2734" s="2241" t="str">
        <f t="array" ref="Q2734"> if(iserror(MATCH(V2734, 'File Links'!C:C, 0)), "N/A", HYPERLINK(INDEX('File Links'!B:B, MATCH(P2734, 'File Links'!C:C, 0))))</f>
        <v>https://drive.google.com/file/d/1D5KouvqlIJwsDCgn3ccM349xsg2h_lLc/view?usp=drivesdk</v>
      </c>
      <c r="R2734" s="2240" t="s">
        <v>16113</v>
      </c>
      <c r="S2734" s="2070" t="s">
        <v>16114</v>
      </c>
      <c r="T2734" s="65"/>
      <c r="U2734" s="65"/>
      <c r="V2734" s="156" t="s">
        <v>16115</v>
      </c>
      <c r="W2734" s="65"/>
      <c r="X2734" s="51" t="str">
        <f t="array" ref="X2734"> if(iserror(MATCH(V2734, 'File Links'!C:C, 0)), "N/A", HYPERLINK(INDEX('File Links'!B:B, MATCH(V2734, 'File Links'!C:C, 0))))</f>
        <v>https://drive.google.com/file/d/1Ocpr95kOyFZwuINmIl1HrSazLpP5IR0A/view?usp=drivesdk</v>
      </c>
      <c r="Y2734" s="65"/>
      <c r="Z2734" s="65"/>
      <c r="AA2734" s="65"/>
      <c r="AB2734" s="65"/>
      <c r="AC2734" s="65"/>
      <c r="AD2734" s="65"/>
      <c r="AE2734" s="65"/>
      <c r="AF2734" s="65"/>
      <c r="AG2734" s="65"/>
      <c r="AH2734" s="65"/>
      <c r="AI2734" s="65"/>
      <c r="AJ2734" s="65"/>
      <c r="AK2734" s="65"/>
      <c r="AL2734" s="65"/>
      <c r="AM2734" s="65"/>
      <c r="AN2734" s="65"/>
      <c r="AO2734" s="65"/>
      <c r="AP2734" s="65"/>
      <c r="AQ2734" s="65"/>
      <c r="AR2734" s="65"/>
      <c r="AS2734" s="65"/>
      <c r="AT2734" s="65"/>
      <c r="AU2734" s="65"/>
      <c r="AV2734" s="65"/>
      <c r="AW2734" s="65"/>
      <c r="AX2734" s="65"/>
      <c r="AZ2734" s="196" t="s">
        <v>15958</v>
      </c>
      <c r="BB2734" s="65"/>
      <c r="BC2734" s="65"/>
      <c r="BD2734" s="65"/>
      <c r="BE2734" s="65"/>
      <c r="BF2734" s="65"/>
      <c r="BG2734" s="65"/>
      <c r="BH2734" s="65"/>
      <c r="BI2734" s="65"/>
      <c r="BJ2734" s="65"/>
      <c r="BK2734" s="65"/>
      <c r="BL2734" s="65"/>
      <c r="BM2734" s="65"/>
      <c r="BN2734" s="65"/>
      <c r="BO2734" s="65"/>
      <c r="BP2734" s="65"/>
      <c r="BQ2734" s="65"/>
      <c r="BR2734" s="65"/>
      <c r="BS2734" s="65"/>
      <c r="BT2734" s="65"/>
      <c r="BU2734" s="65"/>
      <c r="BV2734" s="65"/>
      <c r="BW2734" s="65"/>
      <c r="BX2734" s="65"/>
      <c r="BY2734" s="65"/>
      <c r="BZ2734" s="65"/>
      <c r="CA2734" s="65"/>
      <c r="CB2734" s="65"/>
      <c r="CC2734" s="65"/>
      <c r="CD2734" s="65"/>
      <c r="CE2734" s="65"/>
      <c r="CF2734" s="65"/>
      <c r="CG2734" s="65"/>
      <c r="CH2734" s="65"/>
      <c r="CI2734" s="65"/>
      <c r="CJ2734" s="65"/>
      <c r="CK2734" s="65"/>
      <c r="CL2734" s="65"/>
      <c r="CM2734" s="65"/>
      <c r="CN2734" s="65"/>
      <c r="CO2734" s="65"/>
      <c r="CP2734" s="65"/>
      <c r="CQ2734" s="65"/>
      <c r="CR2734" s="65"/>
      <c r="CS2734" s="65"/>
      <c r="CT2734" s="65"/>
      <c r="CU2734" s="65"/>
      <c r="CV2734" s="65"/>
      <c r="CW2734" s="65"/>
      <c r="CX2734" s="65"/>
      <c r="CY2734" s="65"/>
      <c r="CZ2734" s="65"/>
      <c r="DA2734" s="65"/>
      <c r="DB2734" s="65"/>
      <c r="DC2734" s="65"/>
      <c r="DD2734" s="65"/>
    </row>
    <row r="2735">
      <c r="A2735" s="41">
        <v>3136.0</v>
      </c>
      <c r="B2735" s="126" t="s">
        <v>516</v>
      </c>
      <c r="C2735" s="59" t="s">
        <v>108</v>
      </c>
      <c r="D2735" s="59" t="s">
        <v>146</v>
      </c>
      <c r="F2735" s="829" t="s">
        <v>16119</v>
      </c>
      <c r="G2735" s="434" t="s">
        <v>16120</v>
      </c>
      <c r="H2735" s="829" t="s">
        <v>15858</v>
      </c>
      <c r="I2735" s="2242">
        <v>45821.0</v>
      </c>
      <c r="J2735" s="859"/>
      <c r="K2735" s="434" t="s">
        <v>16121</v>
      </c>
      <c r="L2735" s="65"/>
      <c r="M2735" s="434" t="s">
        <v>16122</v>
      </c>
      <c r="N2735" s="434" t="s">
        <v>16123</v>
      </c>
      <c r="O2735" s="65"/>
      <c r="P2735" s="1439" t="s">
        <v>16124</v>
      </c>
      <c r="Q2735" s="2241" t="str">
        <f t="array" ref="Q2735"> if(iserror(MATCH(V2735, 'File Links'!C:C, 0)), "N/A", HYPERLINK(INDEX('File Links'!B:B, MATCH(P2735, 'File Links'!C:C, 0))))</f>
        <v>https://drive.google.com/file/d/1xzLvdgc-M6xgRxS1XPmZCMV1KJ6e91RS/view?usp=drivesdk</v>
      </c>
      <c r="R2735" s="1439" t="s">
        <v>16125</v>
      </c>
      <c r="S2735" s="434" t="s">
        <v>16126</v>
      </c>
      <c r="T2735" s="65"/>
      <c r="U2735" s="65"/>
      <c r="V2735" s="1439" t="s">
        <v>16127</v>
      </c>
      <c r="W2735" s="1225"/>
      <c r="X2735" s="51" t="str">
        <f t="array" ref="X2735"> if(iserror(MATCH(V2735, 'File Links'!C:C, 0)), "N/A", HYPERLINK(INDEX('File Links'!B:B, MATCH(V2735, 'File Links'!C:C, 0))))</f>
        <v>https://drive.google.com/file/d/1P2HkNQwXMDHx-bxDaQ0QetAgbUaJlYq7/view?usp=drivesdk</v>
      </c>
      <c r="Y2735" s="65"/>
      <c r="Z2735" s="434" t="s">
        <v>288</v>
      </c>
      <c r="AA2735" s="434" t="s">
        <v>4045</v>
      </c>
      <c r="AB2735" s="434" t="s">
        <v>16128</v>
      </c>
      <c r="AC2735" s="434" t="s">
        <v>16129</v>
      </c>
      <c r="AD2735" s="434" t="s">
        <v>16130</v>
      </c>
      <c r="AE2735" s="825">
        <v>14.0</v>
      </c>
      <c r="AF2735" s="825">
        <v>94.0</v>
      </c>
      <c r="AG2735" s="2243">
        <f>1.88*10^(11)</f>
        <v>188000000000</v>
      </c>
      <c r="AH2735" s="434" t="s">
        <v>715</v>
      </c>
      <c r="AI2735" s="434" t="s">
        <v>2222</v>
      </c>
      <c r="AJ2735" s="2243">
        <v>0.001</v>
      </c>
      <c r="AK2735" s="434" t="s">
        <v>128</v>
      </c>
      <c r="AL2735" s="434" t="s">
        <v>179</v>
      </c>
      <c r="AM2735" s="434" t="s">
        <v>130</v>
      </c>
      <c r="AN2735" s="434" t="s">
        <v>131</v>
      </c>
      <c r="AO2735" s="825">
        <f>29+186+192+204</f>
        <v>611</v>
      </c>
      <c r="AP2735" s="825">
        <v>0.88</v>
      </c>
      <c r="AQ2735" s="434" t="s">
        <v>208</v>
      </c>
      <c r="AR2735" s="434" t="s">
        <v>1250</v>
      </c>
      <c r="AS2735" s="825">
        <f>2.2*10^-16</f>
        <v>0</v>
      </c>
      <c r="AT2735" s="434" t="s">
        <v>128</v>
      </c>
      <c r="AU2735" s="434" t="s">
        <v>179</v>
      </c>
      <c r="AV2735" s="434" t="s">
        <v>130</v>
      </c>
      <c r="AW2735" s="434" t="s">
        <v>131</v>
      </c>
      <c r="AX2735" s="434" t="s">
        <v>144</v>
      </c>
      <c r="AZ2735" s="196" t="s">
        <v>15958</v>
      </c>
      <c r="BC2735" s="65"/>
      <c r="BD2735" s="65"/>
      <c r="BE2735" s="65"/>
      <c r="BF2735" s="65"/>
      <c r="BG2735" s="65"/>
      <c r="BH2735" s="65"/>
      <c r="BI2735" s="65"/>
      <c r="BJ2735" s="65"/>
      <c r="BK2735" s="65"/>
      <c r="BL2735" s="65"/>
      <c r="BM2735" s="65"/>
      <c r="BN2735" s="65"/>
      <c r="BO2735" s="65"/>
      <c r="BP2735" s="65"/>
      <c r="BQ2735" s="65"/>
      <c r="BR2735" s="65"/>
      <c r="BS2735" s="65"/>
      <c r="BT2735" s="65"/>
      <c r="BU2735" s="65"/>
      <c r="BV2735" s="65"/>
      <c r="BW2735" s="65"/>
      <c r="BX2735" s="65"/>
      <c r="BY2735" s="65"/>
      <c r="BZ2735" s="65"/>
      <c r="CA2735" s="65"/>
      <c r="CB2735" s="65"/>
      <c r="CC2735" s="65"/>
      <c r="CD2735" s="65"/>
      <c r="CE2735" s="65"/>
      <c r="CF2735" s="65"/>
      <c r="CG2735" s="65"/>
      <c r="CH2735" s="65"/>
      <c r="CI2735" s="65"/>
      <c r="CJ2735" s="65"/>
      <c r="CK2735" s="65"/>
      <c r="CL2735" s="65"/>
      <c r="CM2735" s="65"/>
      <c r="CN2735" s="65"/>
      <c r="CO2735" s="65"/>
      <c r="CP2735" s="65"/>
      <c r="CQ2735" s="65"/>
      <c r="CR2735" s="65"/>
      <c r="CS2735" s="65"/>
      <c r="CT2735" s="65"/>
      <c r="CU2735" s="65"/>
      <c r="CV2735" s="65"/>
      <c r="CW2735" s="65"/>
      <c r="CX2735" s="65"/>
      <c r="CY2735" s="65"/>
      <c r="CZ2735" s="65"/>
      <c r="DA2735" s="65"/>
      <c r="DB2735" s="65"/>
      <c r="DC2735" s="65"/>
      <c r="DD2735" s="65"/>
    </row>
    <row r="2736" ht="17.25" customHeight="1">
      <c r="A2736" s="41">
        <v>3201.0</v>
      </c>
      <c r="B2736" s="126" t="s">
        <v>516</v>
      </c>
      <c r="C2736" s="59" t="s">
        <v>108</v>
      </c>
      <c r="D2736" s="59" t="s">
        <v>15928</v>
      </c>
      <c r="F2736" s="156" t="s">
        <v>16119</v>
      </c>
      <c r="G2736" s="156" t="s">
        <v>16120</v>
      </c>
      <c r="H2736" s="1284" t="s">
        <v>15931</v>
      </c>
      <c r="I2736" s="2214">
        <v>45811.0</v>
      </c>
      <c r="J2736" s="65"/>
      <c r="K2736" s="65"/>
      <c r="L2736" s="65"/>
      <c r="M2736" s="2052" t="s">
        <v>16122</v>
      </c>
      <c r="N2736" s="2052" t="s">
        <v>16123</v>
      </c>
      <c r="O2736" s="65"/>
      <c r="P2736" s="2240" t="s">
        <v>16124</v>
      </c>
      <c r="Q2736" s="2241" t="str">
        <f t="array" ref="Q2736"> if(iserror(MATCH(V2736, 'File Links'!C:C, 0)), "N/A", HYPERLINK(INDEX('File Links'!B:B, MATCH(P2736, 'File Links'!C:C, 0))))</f>
        <v>https://drive.google.com/file/d/1xzLvdgc-M6xgRxS1XPmZCMV1KJ6e91RS/view?usp=drivesdk</v>
      </c>
      <c r="R2736" s="2246" t="s">
        <v>16131</v>
      </c>
      <c r="S2736" s="677" t="s">
        <v>16126</v>
      </c>
      <c r="T2736" s="65"/>
      <c r="U2736" s="65"/>
      <c r="V2736" s="156" t="s">
        <v>16127</v>
      </c>
      <c r="W2736" s="65"/>
      <c r="X2736" s="51" t="str">
        <f t="array" ref="X2736"> if(iserror(MATCH(V2736, 'File Links'!C:C, 0)), "N/A", HYPERLINK(INDEX('File Links'!B:B, MATCH(V2736, 'File Links'!C:C, 0))))</f>
        <v>https://drive.google.com/file/d/1P2HkNQwXMDHx-bxDaQ0QetAgbUaJlYq7/view?usp=drivesdk</v>
      </c>
      <c r="Y2736" s="65"/>
      <c r="Z2736" s="65" t="s">
        <v>288</v>
      </c>
      <c r="AA2736" s="65" t="s">
        <v>16132</v>
      </c>
      <c r="AB2736" s="65" t="s">
        <v>16133</v>
      </c>
      <c r="AC2736" s="65" t="s">
        <v>16134</v>
      </c>
      <c r="AD2736" s="65" t="s">
        <v>16135</v>
      </c>
      <c r="AE2736" s="65" t="s">
        <v>3714</v>
      </c>
      <c r="AF2736" s="333">
        <v>3343.0</v>
      </c>
      <c r="AG2736" s="333">
        <v>0.479</v>
      </c>
      <c r="AH2736" s="65" t="s">
        <v>715</v>
      </c>
      <c r="AI2736" s="1904" t="s">
        <v>16136</v>
      </c>
      <c r="AJ2736" s="333">
        <v>0.05</v>
      </c>
      <c r="AK2736" s="65" t="s">
        <v>128</v>
      </c>
      <c r="AL2736" s="65" t="s">
        <v>179</v>
      </c>
      <c r="AM2736" s="65" t="s">
        <v>130</v>
      </c>
      <c r="AN2736" s="65" t="s">
        <v>131</v>
      </c>
      <c r="AO2736" s="333">
        <v>300.0</v>
      </c>
      <c r="AP2736" s="333">
        <v>0.88</v>
      </c>
      <c r="AQ2736" s="65" t="s">
        <v>208</v>
      </c>
      <c r="AR2736" s="65" t="s">
        <v>2434</v>
      </c>
      <c r="AS2736" s="333">
        <v>0.05</v>
      </c>
      <c r="AT2736" s="65" t="s">
        <v>128</v>
      </c>
      <c r="AU2736" s="65" t="s">
        <v>179</v>
      </c>
      <c r="AV2736" s="65" t="s">
        <v>130</v>
      </c>
      <c r="AW2736" s="65" t="s">
        <v>131</v>
      </c>
      <c r="AX2736" s="65" t="s">
        <v>144</v>
      </c>
      <c r="AZ2736" s="196" t="s">
        <v>15958</v>
      </c>
      <c r="BC2736" s="65"/>
      <c r="BD2736" s="65"/>
      <c r="BE2736" s="65"/>
      <c r="BF2736" s="65"/>
      <c r="BG2736" s="65"/>
      <c r="BH2736" s="65"/>
      <c r="BI2736" s="65"/>
      <c r="BJ2736" s="65"/>
      <c r="BK2736" s="65"/>
      <c r="BL2736" s="65"/>
      <c r="BM2736" s="65"/>
      <c r="BN2736" s="65"/>
      <c r="BO2736" s="65"/>
      <c r="BP2736" s="65"/>
      <c r="BQ2736" s="65"/>
      <c r="BR2736" s="65"/>
      <c r="BS2736" s="65"/>
      <c r="BT2736" s="65"/>
      <c r="BU2736" s="65"/>
      <c r="BV2736" s="65"/>
      <c r="BW2736" s="65"/>
      <c r="BX2736" s="65"/>
      <c r="BY2736" s="65"/>
      <c r="BZ2736" s="65"/>
      <c r="CA2736" s="65"/>
      <c r="CB2736" s="65"/>
      <c r="CC2736" s="65"/>
      <c r="CD2736" s="65"/>
      <c r="CE2736" s="65"/>
      <c r="CF2736" s="65"/>
      <c r="CG2736" s="65"/>
      <c r="CH2736" s="65"/>
      <c r="CI2736" s="65"/>
      <c r="CJ2736" s="65"/>
      <c r="CK2736" s="65"/>
      <c r="CL2736" s="65"/>
      <c r="CM2736" s="65"/>
      <c r="CN2736" s="65"/>
      <c r="CO2736" s="65"/>
      <c r="CP2736" s="65"/>
      <c r="CQ2736" s="65"/>
      <c r="CR2736" s="65"/>
      <c r="CS2736" s="65"/>
      <c r="CT2736" s="65"/>
      <c r="CU2736" s="65"/>
      <c r="CV2736" s="65"/>
      <c r="CW2736" s="65"/>
      <c r="CX2736" s="65"/>
      <c r="CY2736" s="65"/>
      <c r="CZ2736" s="65"/>
      <c r="DA2736" s="65"/>
      <c r="DB2736" s="65"/>
      <c r="DC2736" s="65"/>
      <c r="DD2736" s="65"/>
    </row>
    <row r="2737">
      <c r="A2737" s="41">
        <v>3137.0</v>
      </c>
      <c r="B2737" s="2000" t="s">
        <v>516</v>
      </c>
      <c r="C2737" s="2001" t="s">
        <v>108</v>
      </c>
      <c r="D2737" s="2001" t="s">
        <v>146</v>
      </c>
      <c r="E2737" s="2002"/>
      <c r="F2737" s="2247" t="s">
        <v>16119</v>
      </c>
      <c r="G2737" s="2248" t="s">
        <v>16137</v>
      </c>
      <c r="H2737" s="2247" t="s">
        <v>15858</v>
      </c>
      <c r="I2737" s="2249">
        <v>45821.0</v>
      </c>
      <c r="J2737" s="2250"/>
      <c r="K2737" s="2248" t="s">
        <v>16121</v>
      </c>
      <c r="L2737" s="2005"/>
      <c r="M2737" s="2248" t="s">
        <v>16122</v>
      </c>
      <c r="N2737" s="2248" t="s">
        <v>16123</v>
      </c>
      <c r="O2737" s="2005"/>
      <c r="P2737" s="2248" t="s">
        <v>16124</v>
      </c>
      <c r="Q2737" s="2251" t="str">
        <f t="array" ref="Q2737"> if(iserror(MATCH(V2737, 'File Links'!C:C, 0)), "N/A", HYPERLINK(INDEX('File Links'!B:B, MATCH(P2737, 'File Links'!C:C, 0))))</f>
        <v>https://drive.google.com/file/d/1xzLvdgc-M6xgRxS1XPmZCMV1KJ6e91RS/view?usp=drivesdk</v>
      </c>
      <c r="R2737" s="2248" t="s">
        <v>16125</v>
      </c>
      <c r="S2737" s="2248" t="s">
        <v>16126</v>
      </c>
      <c r="T2737" s="2005"/>
      <c r="U2737" s="2005"/>
      <c r="V2737" s="2248" t="s">
        <v>16127</v>
      </c>
      <c r="W2737" s="2005"/>
      <c r="X2737" s="51" t="str">
        <f t="array" ref="X2737"> if(iserror(MATCH(V2737, 'File Links'!C:C, 0)), "N/A", HYPERLINK(INDEX('File Links'!B:B, MATCH(V2737, 'File Links'!C:C, 0))))</f>
        <v>https://drive.google.com/file/d/1P2HkNQwXMDHx-bxDaQ0QetAgbUaJlYq7/view?usp=drivesdk</v>
      </c>
      <c r="Y2737" s="2005"/>
      <c r="Z2737" s="2248" t="s">
        <v>288</v>
      </c>
      <c r="AA2737" s="2248" t="s">
        <v>4045</v>
      </c>
      <c r="AB2737" s="2248" t="s">
        <v>16128</v>
      </c>
      <c r="AC2737" s="2248" t="s">
        <v>16138</v>
      </c>
      <c r="AD2737" s="2248" t="s">
        <v>16130</v>
      </c>
      <c r="AE2737" s="2252">
        <v>14.0</v>
      </c>
      <c r="AF2737" s="2252">
        <v>94.0</v>
      </c>
      <c r="AG2737" s="2253">
        <f>1.88*10^(11)</f>
        <v>188000000000</v>
      </c>
      <c r="AH2737" s="2248" t="s">
        <v>715</v>
      </c>
      <c r="AI2737" s="2248" t="s">
        <v>2222</v>
      </c>
      <c r="AJ2737" s="2253">
        <v>0.001</v>
      </c>
      <c r="AK2737" s="2248" t="s">
        <v>128</v>
      </c>
      <c r="AL2737" s="2248" t="s">
        <v>179</v>
      </c>
      <c r="AM2737" s="2248" t="s">
        <v>130</v>
      </c>
      <c r="AN2737" s="2248" t="s">
        <v>131</v>
      </c>
      <c r="AO2737" s="2252">
        <f>29+186+192+204</f>
        <v>611</v>
      </c>
      <c r="AP2737" s="2253">
        <v>0.83</v>
      </c>
      <c r="AQ2737" s="2248" t="s">
        <v>208</v>
      </c>
      <c r="AR2737" s="2248" t="s">
        <v>1250</v>
      </c>
      <c r="AS2737" s="2252">
        <f>2.2*10^-16</f>
        <v>0</v>
      </c>
      <c r="AT2737" s="2248" t="s">
        <v>128</v>
      </c>
      <c r="AU2737" s="2248" t="s">
        <v>179</v>
      </c>
      <c r="AV2737" s="2248" t="s">
        <v>130</v>
      </c>
      <c r="AW2737" s="2248" t="s">
        <v>131</v>
      </c>
      <c r="AX2737" s="2248" t="s">
        <v>144</v>
      </c>
      <c r="AY2737" s="2002"/>
      <c r="AZ2737" s="2001" t="s">
        <v>15958</v>
      </c>
      <c r="BA2737" s="2002"/>
    </row>
    <row r="2738" ht="22.5" customHeight="1">
      <c r="A2738" s="41">
        <v>3202.0</v>
      </c>
      <c r="B2738" s="2000" t="s">
        <v>516</v>
      </c>
      <c r="C2738" s="2001" t="s">
        <v>108</v>
      </c>
      <c r="D2738" s="2001" t="s">
        <v>15928</v>
      </c>
      <c r="E2738" s="2002"/>
      <c r="F2738" s="2006" t="s">
        <v>16119</v>
      </c>
      <c r="G2738" s="2006" t="s">
        <v>16137</v>
      </c>
      <c r="H2738" s="2254" t="s">
        <v>15931</v>
      </c>
      <c r="I2738" s="2255">
        <v>45811.0</v>
      </c>
      <c r="J2738" s="2005"/>
      <c r="K2738" s="2005"/>
      <c r="L2738" s="2005"/>
      <c r="M2738" s="2256" t="s">
        <v>16122</v>
      </c>
      <c r="N2738" s="2256" t="s">
        <v>16123</v>
      </c>
      <c r="O2738" s="2005"/>
      <c r="P2738" s="2256" t="s">
        <v>16124</v>
      </c>
      <c r="Q2738" s="2251" t="str">
        <f t="array" ref="Q2738"> if(iserror(MATCH(V2738, 'File Links'!C:C, 0)), "N/A", HYPERLINK(INDEX('File Links'!B:B, MATCH(P2738, 'File Links'!C:C, 0))))</f>
        <v>https://drive.google.com/file/d/1xzLvdgc-M6xgRxS1XPmZCMV1KJ6e91RS/view?usp=drivesdk</v>
      </c>
      <c r="R2738" s="2257" t="s">
        <v>16139</v>
      </c>
      <c r="S2738" s="2258" t="s">
        <v>16126</v>
      </c>
      <c r="T2738" s="2005"/>
      <c r="U2738" s="2005"/>
      <c r="V2738" s="2006" t="s">
        <v>16127</v>
      </c>
      <c r="W2738" s="2005"/>
      <c r="X2738" s="51" t="str">
        <f t="array" ref="X2738"> if(iserror(MATCH(V2738, 'File Links'!C:C, 0)), "N/A", HYPERLINK(INDEX('File Links'!B:B, MATCH(V2738, 'File Links'!C:C, 0))))</f>
        <v>https://drive.google.com/file/d/1P2HkNQwXMDHx-bxDaQ0QetAgbUaJlYq7/view?usp=drivesdk</v>
      </c>
      <c r="Y2738" s="2005"/>
      <c r="Z2738" s="2005" t="s">
        <v>288</v>
      </c>
      <c r="AA2738" s="2005" t="s">
        <v>16132</v>
      </c>
      <c r="AB2738" s="2005" t="s">
        <v>16133</v>
      </c>
      <c r="AC2738" s="2005" t="s">
        <v>16134</v>
      </c>
      <c r="AD2738" s="2005" t="s">
        <v>16135</v>
      </c>
      <c r="AE2738" s="2005" t="s">
        <v>3714</v>
      </c>
      <c r="AF2738" s="2011">
        <v>3343.0</v>
      </c>
      <c r="AG2738" s="2011">
        <v>0.479</v>
      </c>
      <c r="AH2738" s="2005" t="s">
        <v>715</v>
      </c>
      <c r="AI2738" s="2259" t="s">
        <v>16136</v>
      </c>
      <c r="AJ2738" s="2011">
        <v>0.05</v>
      </c>
      <c r="AK2738" s="2005" t="s">
        <v>128</v>
      </c>
      <c r="AL2738" s="2005" t="s">
        <v>179</v>
      </c>
      <c r="AM2738" s="2005" t="s">
        <v>130</v>
      </c>
      <c r="AN2738" s="2005" t="s">
        <v>131</v>
      </c>
      <c r="AO2738" s="2011">
        <v>129.0</v>
      </c>
      <c r="AP2738" s="2011">
        <v>0.83</v>
      </c>
      <c r="AQ2738" s="2005" t="s">
        <v>208</v>
      </c>
      <c r="AR2738" s="2005" t="s">
        <v>2434</v>
      </c>
      <c r="AS2738" s="2011">
        <v>0.05</v>
      </c>
      <c r="AT2738" s="2005" t="s">
        <v>128</v>
      </c>
      <c r="AU2738" s="2005" t="s">
        <v>179</v>
      </c>
      <c r="AV2738" s="2005" t="s">
        <v>130</v>
      </c>
      <c r="AW2738" s="2005" t="s">
        <v>131</v>
      </c>
      <c r="AX2738" s="2005" t="s">
        <v>144</v>
      </c>
      <c r="AY2738" s="2002"/>
      <c r="AZ2738" s="2001" t="s">
        <v>15958</v>
      </c>
      <c r="BA2738" s="2002"/>
    </row>
    <row r="2739">
      <c r="A2739" s="41">
        <v>3159.0</v>
      </c>
      <c r="B2739" s="126" t="s">
        <v>516</v>
      </c>
      <c r="C2739" s="59" t="s">
        <v>108</v>
      </c>
      <c r="D2739" s="59" t="s">
        <v>1451</v>
      </c>
      <c r="F2739" s="65" t="s">
        <v>16140</v>
      </c>
      <c r="G2739" s="156" t="s">
        <v>16141</v>
      </c>
      <c r="H2739" s="1284" t="s">
        <v>1511</v>
      </c>
      <c r="I2739" s="859"/>
      <c r="J2739" s="149">
        <v>45823.0</v>
      </c>
      <c r="K2739" s="156" t="s">
        <v>16142</v>
      </c>
      <c r="L2739" s="65"/>
      <c r="M2739" s="156" t="s">
        <v>16143</v>
      </c>
      <c r="N2739" s="156" t="s">
        <v>16144</v>
      </c>
      <c r="O2739" s="153">
        <v>1.0</v>
      </c>
      <c r="P2739" s="379" t="s">
        <v>16145</v>
      </c>
      <c r="Q2739" s="2241" t="str">
        <f t="array" ref="Q2739"> if(iserror(MATCH(V2739, 'File Links'!C:C, 0)), "N/A", HYPERLINK(INDEX('File Links'!B:B, MATCH(P2739, 'File Links'!C:C, 0))))</f>
        <v>https://drive.google.com/file/d/1AMpF3dCTaGRtKAW4uDl20NZ94oGS-IrJ/view?usp=drivesdk</v>
      </c>
      <c r="R2739" s="379" t="s">
        <v>16146</v>
      </c>
      <c r="S2739" s="156" t="s">
        <v>16147</v>
      </c>
      <c r="T2739" s="156" t="s">
        <v>131</v>
      </c>
      <c r="U2739" s="153">
        <v>1.0</v>
      </c>
      <c r="V2739" s="379" t="s">
        <v>16148</v>
      </c>
      <c r="W2739" s="1225"/>
      <c r="X2739" s="51" t="str">
        <f t="array" ref="X2739"> if(iserror(MATCH(V2739, 'File Links'!C:C, 0)), "N/A", HYPERLINK(INDEX('File Links'!B:B, MATCH(V2739, 'File Links'!C:C, 0))))</f>
        <v>https://drive.google.com/file/d/1vaP6T4GI5EG6QfiY7faW4sxmJhrkKcVJ/view?usp=drivesdk</v>
      </c>
      <c r="Y2739" s="156" t="s">
        <v>131</v>
      </c>
      <c r="Z2739" s="156" t="s">
        <v>16149</v>
      </c>
      <c r="AA2739" s="156" t="s">
        <v>16150</v>
      </c>
      <c r="AB2739" s="156" t="s">
        <v>16151</v>
      </c>
      <c r="AC2739" s="156" t="s">
        <v>16152</v>
      </c>
      <c r="AD2739" s="156" t="s">
        <v>131</v>
      </c>
      <c r="AE2739" s="156" t="s">
        <v>131</v>
      </c>
      <c r="AF2739" s="153">
        <v>27745.0</v>
      </c>
      <c r="AG2739" s="156" t="s">
        <v>131</v>
      </c>
      <c r="AH2739" s="156" t="s">
        <v>131</v>
      </c>
      <c r="AI2739" s="156" t="s">
        <v>131</v>
      </c>
      <c r="AJ2739" s="156" t="s">
        <v>131</v>
      </c>
      <c r="AK2739" s="156" t="s">
        <v>131</v>
      </c>
      <c r="AL2739" s="156" t="s">
        <v>131</v>
      </c>
      <c r="AM2739" s="156" t="s">
        <v>131</v>
      </c>
      <c r="AN2739" s="156" t="s">
        <v>131</v>
      </c>
      <c r="AO2739" s="153">
        <v>23649.0</v>
      </c>
      <c r="AP2739" s="156" t="s">
        <v>131</v>
      </c>
      <c r="AQ2739" s="156" t="s">
        <v>131</v>
      </c>
      <c r="AR2739" s="156" t="s">
        <v>131</v>
      </c>
      <c r="AS2739" s="156" t="s">
        <v>131</v>
      </c>
      <c r="AT2739" s="156" t="s">
        <v>131</v>
      </c>
      <c r="AU2739" s="156" t="s">
        <v>131</v>
      </c>
      <c r="AV2739" s="156" t="s">
        <v>131</v>
      </c>
      <c r="AW2739" s="65" t="s">
        <v>131</v>
      </c>
      <c r="AX2739" s="156" t="s">
        <v>144</v>
      </c>
      <c r="AZ2739" s="196" t="s">
        <v>15958</v>
      </c>
    </row>
    <row r="2740" ht="21.75" customHeight="1">
      <c r="A2740" s="41">
        <v>3167.0</v>
      </c>
      <c r="B2740" s="126" t="s">
        <v>516</v>
      </c>
      <c r="C2740" s="59" t="s">
        <v>108</v>
      </c>
      <c r="D2740" s="59" t="s">
        <v>15928</v>
      </c>
      <c r="F2740" s="156" t="s">
        <v>16153</v>
      </c>
      <c r="G2740" s="156" t="s">
        <v>16154</v>
      </c>
      <c r="H2740" s="1284" t="s">
        <v>15931</v>
      </c>
      <c r="I2740" s="2214">
        <v>45809.0</v>
      </c>
      <c r="J2740" s="769"/>
      <c r="K2740" s="65"/>
      <c r="L2740" s="65"/>
      <c r="M2740" s="2052" t="s">
        <v>16155</v>
      </c>
      <c r="N2740" s="2052" t="s">
        <v>12741</v>
      </c>
      <c r="O2740" s="153">
        <v>3.0</v>
      </c>
      <c r="P2740" s="2240" t="s">
        <v>12742</v>
      </c>
      <c r="Q2740" s="2241" t="str">
        <f t="array" ref="Q2740"> if(iserror(MATCH(V2740, 'File Links'!C:C, 0)), "N/A", HYPERLINK(INDEX('File Links'!B:B, MATCH(P2740, 'File Links'!C:C, 0))))</f>
        <v>https://drive.google.com/file/d/1LFgNyzLqTELlP9tfS2pwZ6Egg431WCHQ/view?usp=drivesdk</v>
      </c>
      <c r="R2740" s="2240" t="s">
        <v>16156</v>
      </c>
      <c r="S2740" s="2070" t="s">
        <v>16157</v>
      </c>
      <c r="T2740" s="65"/>
      <c r="U2740" s="65"/>
      <c r="V2740" s="156" t="s">
        <v>16158</v>
      </c>
      <c r="W2740" s="65"/>
      <c r="X2740" s="51" t="str">
        <f t="array" ref="X2740"> if(iserror(MATCH(V2740, 'File Links'!C:C, 0)), "N/A", HYPERLINK(INDEX('File Links'!B:B, MATCH(V2740, 'File Links'!C:C, 0))))</f>
        <v>https://drive.google.com/file/d/1ew0OSVU876rPzVsDvpN47BF_OOdkLKHm/view?usp=drivesdk</v>
      </c>
      <c r="Y2740" s="65"/>
      <c r="Z2740" s="156" t="s">
        <v>219</v>
      </c>
      <c r="AA2740" s="65" t="s">
        <v>16159</v>
      </c>
      <c r="AB2740" s="65" t="s">
        <v>16160</v>
      </c>
      <c r="AC2740" s="156" t="s">
        <v>16161</v>
      </c>
      <c r="AD2740" s="156" t="s">
        <v>16162</v>
      </c>
      <c r="AE2740" s="156" t="s">
        <v>16163</v>
      </c>
      <c r="AF2740" s="153">
        <v>24.0</v>
      </c>
      <c r="AG2740" s="153">
        <v>1.0</v>
      </c>
      <c r="AH2740" s="156" t="s">
        <v>715</v>
      </c>
      <c r="AI2740" s="2075" t="s">
        <v>16164</v>
      </c>
      <c r="AJ2740" s="153">
        <v>0.05</v>
      </c>
      <c r="AK2740" s="156" t="s">
        <v>328</v>
      </c>
      <c r="AL2740" s="156" t="s">
        <v>129</v>
      </c>
      <c r="AM2740" s="156" t="s">
        <v>130</v>
      </c>
      <c r="AN2740" s="156" t="s">
        <v>131</v>
      </c>
      <c r="AO2740" s="153">
        <v>391.0</v>
      </c>
      <c r="AP2740" s="153">
        <v>1.452</v>
      </c>
      <c r="AQ2740" s="156" t="s">
        <v>715</v>
      </c>
      <c r="AR2740" s="1904" t="s">
        <v>16165</v>
      </c>
      <c r="AS2740" s="153">
        <v>0.146</v>
      </c>
      <c r="AT2740" s="65" t="s">
        <v>165</v>
      </c>
      <c r="AU2740" s="65" t="s">
        <v>179</v>
      </c>
      <c r="AV2740" s="65" t="s">
        <v>130</v>
      </c>
      <c r="AW2740" s="432" t="s">
        <v>12752</v>
      </c>
      <c r="AX2740" s="591" t="s">
        <v>136</v>
      </c>
      <c r="AZ2740" s="196" t="s">
        <v>15958</v>
      </c>
    </row>
    <row r="2741" ht="19.5" customHeight="1">
      <c r="A2741" s="41">
        <v>3168.0</v>
      </c>
      <c r="B2741" s="126" t="s">
        <v>516</v>
      </c>
      <c r="C2741" s="59" t="s">
        <v>108</v>
      </c>
      <c r="D2741" s="59" t="s">
        <v>15928</v>
      </c>
      <c r="F2741" s="156" t="s">
        <v>16153</v>
      </c>
      <c r="G2741" s="156" t="s">
        <v>16166</v>
      </c>
      <c r="H2741" s="1284" t="s">
        <v>15931</v>
      </c>
      <c r="I2741" s="2214">
        <v>45809.0</v>
      </c>
      <c r="J2741" s="769"/>
      <c r="K2741" s="65"/>
      <c r="L2741" s="65"/>
      <c r="M2741" s="2052" t="s">
        <v>16155</v>
      </c>
      <c r="N2741" s="2052" t="s">
        <v>12741</v>
      </c>
      <c r="O2741" s="153">
        <v>3.0</v>
      </c>
      <c r="P2741" s="2240" t="s">
        <v>12742</v>
      </c>
      <c r="Q2741" s="2241" t="str">
        <f t="array" ref="Q2741"> if(iserror(MATCH(V2741, 'File Links'!C:C, 0)), "N/A", HYPERLINK(INDEX('File Links'!B:B, MATCH(P2741, 'File Links'!C:C, 0))))</f>
        <v>https://drive.google.com/file/d/1LFgNyzLqTELlP9tfS2pwZ6Egg431WCHQ/view?usp=drivesdk</v>
      </c>
      <c r="R2741" s="2240" t="s">
        <v>16156</v>
      </c>
      <c r="S2741" s="2070" t="s">
        <v>16157</v>
      </c>
      <c r="T2741" s="65"/>
      <c r="U2741" s="65"/>
      <c r="V2741" s="156" t="s">
        <v>16158</v>
      </c>
      <c r="W2741" s="65"/>
      <c r="X2741" s="51" t="str">
        <f t="array" ref="X2741"> if(iserror(MATCH(V2741, 'File Links'!C:C, 0)), "N/A", HYPERLINK(INDEX('File Links'!B:B, MATCH(V2741, 'File Links'!C:C, 0))))</f>
        <v>https://drive.google.com/file/d/1ew0OSVU876rPzVsDvpN47BF_OOdkLKHm/view?usp=drivesdk</v>
      </c>
      <c r="Y2741" s="65"/>
      <c r="Z2741" s="156" t="s">
        <v>219</v>
      </c>
      <c r="AA2741" s="65" t="s">
        <v>16159</v>
      </c>
      <c r="AB2741" s="65" t="s">
        <v>16160</v>
      </c>
      <c r="AC2741" s="156" t="s">
        <v>16167</v>
      </c>
      <c r="AD2741" s="156" t="s">
        <v>16168</v>
      </c>
      <c r="AE2741" s="156" t="s">
        <v>16163</v>
      </c>
      <c r="AF2741" s="153">
        <v>24.0</v>
      </c>
      <c r="AG2741" s="153">
        <v>0.59</v>
      </c>
      <c r="AH2741" s="156" t="s">
        <v>715</v>
      </c>
      <c r="AI2741" s="2075" t="s">
        <v>16169</v>
      </c>
      <c r="AJ2741" s="153">
        <v>0.091</v>
      </c>
      <c r="AK2741" s="156" t="s">
        <v>165</v>
      </c>
      <c r="AL2741" s="156" t="s">
        <v>129</v>
      </c>
      <c r="AM2741" s="156" t="s">
        <v>130</v>
      </c>
      <c r="AN2741" s="156" t="s">
        <v>131</v>
      </c>
      <c r="AO2741" s="153">
        <v>391.0</v>
      </c>
      <c r="AP2741" s="153">
        <v>0.48</v>
      </c>
      <c r="AQ2741" s="156" t="s">
        <v>715</v>
      </c>
      <c r="AR2741" s="1904" t="s">
        <v>16170</v>
      </c>
      <c r="AS2741" s="153">
        <v>0.001</v>
      </c>
      <c r="AT2741" s="65" t="s">
        <v>165</v>
      </c>
      <c r="AU2741" s="65" t="s">
        <v>179</v>
      </c>
      <c r="AV2741" s="65" t="s">
        <v>130</v>
      </c>
      <c r="AW2741" s="432" t="s">
        <v>12752</v>
      </c>
      <c r="AX2741" s="591" t="s">
        <v>136</v>
      </c>
      <c r="AZ2741" s="196" t="s">
        <v>15958</v>
      </c>
    </row>
    <row r="2742">
      <c r="A2742" s="41">
        <v>3022.0</v>
      </c>
      <c r="B2742" s="126" t="s">
        <v>516</v>
      </c>
      <c r="C2742" s="59" t="s">
        <v>108</v>
      </c>
      <c r="D2742" s="59" t="s">
        <v>146</v>
      </c>
      <c r="F2742" s="829" t="s">
        <v>16153</v>
      </c>
      <c r="G2742" s="434" t="s">
        <v>16171</v>
      </c>
      <c r="H2742" s="829" t="s">
        <v>15858</v>
      </c>
      <c r="I2742" s="2242">
        <v>45821.0</v>
      </c>
      <c r="J2742" s="859"/>
      <c r="K2742" s="434" t="s">
        <v>16172</v>
      </c>
      <c r="L2742" s="65"/>
      <c r="M2742" s="434" t="s">
        <v>16155</v>
      </c>
      <c r="N2742" s="434" t="s">
        <v>12741</v>
      </c>
      <c r="O2742" s="65"/>
      <c r="P2742" s="1439" t="s">
        <v>12742</v>
      </c>
      <c r="Q2742" s="2241" t="str">
        <f t="array" ref="Q2742"> if(iserror(MATCH(V2742, 'File Links'!C:C, 0)), "N/A", HYPERLINK(INDEX('File Links'!B:B, MATCH(P2742, 'File Links'!C:C, 0))))</f>
        <v>https://drive.google.com/file/d/1LFgNyzLqTELlP9tfS2pwZ6Egg431WCHQ/view?usp=drivesdk</v>
      </c>
      <c r="R2742" s="1439" t="s">
        <v>16156</v>
      </c>
      <c r="S2742" s="434" t="s">
        <v>16157</v>
      </c>
      <c r="T2742" s="65"/>
      <c r="U2742" s="65"/>
      <c r="V2742" s="1439" t="s">
        <v>16158</v>
      </c>
      <c r="W2742" s="1225"/>
      <c r="X2742" s="51" t="str">
        <f t="array" ref="X2742"> if(iserror(MATCH(V2742, 'File Links'!C:C, 0)), "N/A", HYPERLINK(INDEX('File Links'!B:B, MATCH(V2742, 'File Links'!C:C, 0))))</f>
        <v>https://drive.google.com/file/d/1ew0OSVU876rPzVsDvpN47BF_OOdkLKHm/view?usp=drivesdk</v>
      </c>
      <c r="Y2742" s="65"/>
      <c r="Z2742" s="434" t="s">
        <v>219</v>
      </c>
      <c r="AA2742" s="434" t="s">
        <v>16173</v>
      </c>
      <c r="AB2742" s="434" t="s">
        <v>16174</v>
      </c>
      <c r="AC2742" s="434" t="s">
        <v>16175</v>
      </c>
      <c r="AD2742" s="434" t="s">
        <v>16176</v>
      </c>
      <c r="AE2742" s="825">
        <v>7.0</v>
      </c>
      <c r="AF2742" s="825">
        <v>72.0</v>
      </c>
      <c r="AG2742" s="825" t="s">
        <v>16177</v>
      </c>
      <c r="AH2742" s="434" t="s">
        <v>127</v>
      </c>
      <c r="AI2742" s="434" t="s">
        <v>125</v>
      </c>
      <c r="AJ2742" s="2243">
        <v>0.091</v>
      </c>
      <c r="AK2742" s="434" t="s">
        <v>165</v>
      </c>
      <c r="AL2742" s="434" t="s">
        <v>129</v>
      </c>
      <c r="AM2742" s="434" t="s">
        <v>130</v>
      </c>
      <c r="AN2742" s="434" t="s">
        <v>131</v>
      </c>
      <c r="AO2742" s="825">
        <v>391.0</v>
      </c>
      <c r="AP2742" s="2243" t="s">
        <v>16178</v>
      </c>
      <c r="AQ2742" s="434" t="s">
        <v>127</v>
      </c>
      <c r="AR2742" s="434" t="s">
        <v>620</v>
      </c>
      <c r="AS2742" s="2243">
        <v>0.001</v>
      </c>
      <c r="AT2742" s="434" t="s">
        <v>165</v>
      </c>
      <c r="AU2742" s="434" t="s">
        <v>179</v>
      </c>
      <c r="AV2742" s="434" t="s">
        <v>130</v>
      </c>
      <c r="AW2742" s="1615" t="s">
        <v>12752</v>
      </c>
      <c r="AX2742" s="434" t="s">
        <v>136</v>
      </c>
      <c r="AZ2742" s="196" t="s">
        <v>15958</v>
      </c>
    </row>
    <row r="2743" ht="22.5" customHeight="1">
      <c r="A2743" s="41">
        <v>3026.0</v>
      </c>
      <c r="B2743" s="126" t="s">
        <v>516</v>
      </c>
      <c r="C2743" s="59" t="s">
        <v>108</v>
      </c>
      <c r="D2743" s="59" t="s">
        <v>146</v>
      </c>
      <c r="F2743" s="829" t="s">
        <v>16153</v>
      </c>
      <c r="G2743" s="434" t="s">
        <v>16179</v>
      </c>
      <c r="H2743" s="829" t="s">
        <v>15858</v>
      </c>
      <c r="I2743" s="2242">
        <v>45821.0</v>
      </c>
      <c r="J2743" s="859"/>
      <c r="K2743" s="434" t="s">
        <v>16180</v>
      </c>
      <c r="L2743" s="65"/>
      <c r="M2743" s="434" t="s">
        <v>16155</v>
      </c>
      <c r="N2743" s="434" t="s">
        <v>12741</v>
      </c>
      <c r="O2743" s="65"/>
      <c r="P2743" s="1439" t="s">
        <v>12742</v>
      </c>
      <c r="Q2743" s="2241" t="str">
        <f t="array" ref="Q2743"> if(iserror(MATCH(V2743, 'File Links'!C:C, 0)), "N/A", HYPERLINK(INDEX('File Links'!B:B, MATCH(P2743, 'File Links'!C:C, 0))))</f>
        <v>https://drive.google.com/file/d/1LFgNyzLqTELlP9tfS2pwZ6Egg431WCHQ/view?usp=drivesdk</v>
      </c>
      <c r="R2743" s="1439" t="s">
        <v>16156</v>
      </c>
      <c r="S2743" s="434" t="s">
        <v>16157</v>
      </c>
      <c r="T2743" s="65"/>
      <c r="U2743" s="65"/>
      <c r="V2743" s="1439" t="s">
        <v>16158</v>
      </c>
      <c r="W2743" s="1225"/>
      <c r="X2743" s="51" t="str">
        <f t="array" ref="X2743"> if(iserror(MATCH(V2743, 'File Links'!C:C, 0)), "N/A", HYPERLINK(INDEX('File Links'!B:B, MATCH(V2743, 'File Links'!C:C, 0))))</f>
        <v>https://drive.google.com/file/d/1ew0OSVU876rPzVsDvpN47BF_OOdkLKHm/view?usp=drivesdk</v>
      </c>
      <c r="Y2743" s="65"/>
      <c r="Z2743" s="434" t="s">
        <v>219</v>
      </c>
      <c r="AA2743" s="434" t="s">
        <v>16173</v>
      </c>
      <c r="AB2743" s="434" t="s">
        <v>16174</v>
      </c>
      <c r="AC2743" s="434" t="s">
        <v>16181</v>
      </c>
      <c r="AD2743" s="434" t="s">
        <v>16182</v>
      </c>
      <c r="AE2743" s="825">
        <v>7.0</v>
      </c>
      <c r="AF2743" s="825">
        <v>72.0</v>
      </c>
      <c r="AG2743" s="825" t="s">
        <v>16177</v>
      </c>
      <c r="AH2743" s="434" t="s">
        <v>127</v>
      </c>
      <c r="AI2743" s="434" t="s">
        <v>125</v>
      </c>
      <c r="AJ2743" s="2243">
        <v>0.091</v>
      </c>
      <c r="AK2743" s="65"/>
      <c r="AL2743" s="434" t="s">
        <v>129</v>
      </c>
      <c r="AM2743" s="434" t="s">
        <v>130</v>
      </c>
      <c r="AN2743" s="434" t="s">
        <v>131</v>
      </c>
      <c r="AO2743" s="2243">
        <f>391-43</f>
        <v>348</v>
      </c>
      <c r="AP2743" s="2243" t="s">
        <v>16183</v>
      </c>
      <c r="AQ2743" s="434" t="s">
        <v>127</v>
      </c>
      <c r="AR2743" s="829" t="s">
        <v>175</v>
      </c>
      <c r="AS2743" s="2243">
        <v>0.001</v>
      </c>
      <c r="AT2743" s="434" t="s">
        <v>128</v>
      </c>
      <c r="AU2743" s="434" t="s">
        <v>179</v>
      </c>
      <c r="AV2743" s="434" t="s">
        <v>130</v>
      </c>
      <c r="AW2743" s="1615" t="s">
        <v>12752</v>
      </c>
      <c r="AX2743" s="434" t="s">
        <v>136</v>
      </c>
      <c r="AZ2743" s="196" t="s">
        <v>15958</v>
      </c>
    </row>
    <row r="2744">
      <c r="A2744" s="41">
        <v>3021.0</v>
      </c>
      <c r="B2744" s="126" t="s">
        <v>516</v>
      </c>
      <c r="C2744" s="59" t="s">
        <v>108</v>
      </c>
      <c r="D2744" s="59" t="s">
        <v>146</v>
      </c>
      <c r="F2744" s="829" t="s">
        <v>16153</v>
      </c>
      <c r="G2744" s="434" t="s">
        <v>16184</v>
      </c>
      <c r="H2744" s="829" t="s">
        <v>15858</v>
      </c>
      <c r="I2744" s="2242">
        <v>45821.0</v>
      </c>
      <c r="J2744" s="859"/>
      <c r="K2744" s="434" t="s">
        <v>16172</v>
      </c>
      <c r="L2744" s="65"/>
      <c r="M2744" s="434" t="s">
        <v>16155</v>
      </c>
      <c r="N2744" s="434" t="s">
        <v>12741</v>
      </c>
      <c r="O2744" s="65"/>
      <c r="P2744" s="1439" t="s">
        <v>12742</v>
      </c>
      <c r="Q2744" s="2241" t="str">
        <f t="array" ref="Q2744"> if(iserror(MATCH(V2744, 'File Links'!C:C, 0)), "N/A", HYPERLINK(INDEX('File Links'!B:B, MATCH(P2744, 'File Links'!C:C, 0))))</f>
        <v>https://drive.google.com/file/d/1LFgNyzLqTELlP9tfS2pwZ6Egg431WCHQ/view?usp=drivesdk</v>
      </c>
      <c r="R2744" s="1439" t="s">
        <v>16156</v>
      </c>
      <c r="S2744" s="434" t="s">
        <v>16157</v>
      </c>
      <c r="T2744" s="65"/>
      <c r="U2744" s="65"/>
      <c r="V2744" s="1439" t="s">
        <v>16158</v>
      </c>
      <c r="W2744" s="1225"/>
      <c r="X2744" s="51" t="str">
        <f t="array" ref="X2744"> if(iserror(MATCH(V2744, 'File Links'!C:C, 0)), "N/A", HYPERLINK(INDEX('File Links'!B:B, MATCH(V2744, 'File Links'!C:C, 0))))</f>
        <v>https://drive.google.com/file/d/1ew0OSVU876rPzVsDvpN47BF_OOdkLKHm/view?usp=drivesdk</v>
      </c>
      <c r="Y2744" s="65"/>
      <c r="Z2744" s="434" t="s">
        <v>219</v>
      </c>
      <c r="AA2744" s="434" t="s">
        <v>16173</v>
      </c>
      <c r="AB2744" s="434" t="s">
        <v>16174</v>
      </c>
      <c r="AC2744" s="434" t="s">
        <v>16185</v>
      </c>
      <c r="AD2744" s="434" t="s">
        <v>16182</v>
      </c>
      <c r="AE2744" s="825">
        <v>7.0</v>
      </c>
      <c r="AF2744" s="825">
        <v>72.0</v>
      </c>
      <c r="AG2744" s="825">
        <v>0.0</v>
      </c>
      <c r="AH2744" s="434" t="s">
        <v>127</v>
      </c>
      <c r="AI2744" s="434" t="s">
        <v>125</v>
      </c>
      <c r="AJ2744" s="65"/>
      <c r="AK2744" s="65"/>
      <c r="AL2744" s="434" t="s">
        <v>129</v>
      </c>
      <c r="AM2744" s="434" t="s">
        <v>130</v>
      </c>
      <c r="AN2744" s="434" t="s">
        <v>131</v>
      </c>
      <c r="AO2744" s="825">
        <v>391.0</v>
      </c>
      <c r="AP2744" s="825" t="s">
        <v>16186</v>
      </c>
      <c r="AQ2744" s="434" t="s">
        <v>127</v>
      </c>
      <c r="AR2744" s="434" t="s">
        <v>620</v>
      </c>
      <c r="AS2744" s="825">
        <v>0.1</v>
      </c>
      <c r="AT2744" s="434" t="s">
        <v>165</v>
      </c>
      <c r="AU2744" s="434" t="s">
        <v>179</v>
      </c>
      <c r="AV2744" s="434" t="s">
        <v>130</v>
      </c>
      <c r="AW2744" s="1615" t="s">
        <v>12752</v>
      </c>
      <c r="AX2744" s="434" t="s">
        <v>136</v>
      </c>
      <c r="AZ2744" s="196" t="s">
        <v>15958</v>
      </c>
    </row>
    <row r="2745" ht="24.0" customHeight="1">
      <c r="A2745" s="41">
        <v>3025.0</v>
      </c>
      <c r="B2745" s="126" t="s">
        <v>516</v>
      </c>
      <c r="C2745" s="59" t="s">
        <v>108</v>
      </c>
      <c r="D2745" s="59" t="s">
        <v>146</v>
      </c>
      <c r="F2745" s="829" t="s">
        <v>16153</v>
      </c>
      <c r="G2745" s="434" t="s">
        <v>16187</v>
      </c>
      <c r="H2745" s="829" t="s">
        <v>15858</v>
      </c>
      <c r="I2745" s="2242">
        <v>45821.0</v>
      </c>
      <c r="J2745" s="859"/>
      <c r="K2745" s="434" t="s">
        <v>16180</v>
      </c>
      <c r="L2745" s="65"/>
      <c r="M2745" s="434" t="s">
        <v>16155</v>
      </c>
      <c r="N2745" s="434" t="s">
        <v>12741</v>
      </c>
      <c r="O2745" s="65"/>
      <c r="P2745" s="1439" t="s">
        <v>12742</v>
      </c>
      <c r="Q2745" s="2241" t="str">
        <f t="array" ref="Q2745"> if(iserror(MATCH(V2745, 'File Links'!C:C, 0)), "N/A", HYPERLINK(INDEX('File Links'!B:B, MATCH(P2745, 'File Links'!C:C, 0))))</f>
        <v>https://drive.google.com/file/d/1LFgNyzLqTELlP9tfS2pwZ6Egg431WCHQ/view?usp=drivesdk</v>
      </c>
      <c r="R2745" s="1439" t="s">
        <v>16156</v>
      </c>
      <c r="S2745" s="434" t="s">
        <v>16157</v>
      </c>
      <c r="T2745" s="65"/>
      <c r="U2745" s="65"/>
      <c r="V2745" s="1439" t="s">
        <v>16158</v>
      </c>
      <c r="W2745" s="1225"/>
      <c r="X2745" s="51" t="str">
        <f t="array" ref="X2745"> if(iserror(MATCH(V2745, 'File Links'!C:C, 0)), "N/A", HYPERLINK(INDEX('File Links'!B:B, MATCH(V2745, 'File Links'!C:C, 0))))</f>
        <v>https://drive.google.com/file/d/1ew0OSVU876rPzVsDvpN47BF_OOdkLKHm/view?usp=drivesdk</v>
      </c>
      <c r="Y2745" s="65"/>
      <c r="Z2745" s="434" t="s">
        <v>219</v>
      </c>
      <c r="AA2745" s="434" t="s">
        <v>16173</v>
      </c>
      <c r="AB2745" s="434" t="s">
        <v>16174</v>
      </c>
      <c r="AC2745" s="434" t="s">
        <v>16188</v>
      </c>
      <c r="AD2745" s="434" t="s">
        <v>16182</v>
      </c>
      <c r="AE2745" s="825">
        <v>7.0</v>
      </c>
      <c r="AF2745" s="825">
        <v>72.0</v>
      </c>
      <c r="AG2745" s="825">
        <v>0.0</v>
      </c>
      <c r="AH2745" s="434" t="s">
        <v>127</v>
      </c>
      <c r="AI2745" s="434" t="s">
        <v>125</v>
      </c>
      <c r="AJ2745" s="65"/>
      <c r="AK2745" s="65"/>
      <c r="AL2745" s="434" t="s">
        <v>129</v>
      </c>
      <c r="AM2745" s="434" t="s">
        <v>130</v>
      </c>
      <c r="AN2745" s="434" t="s">
        <v>131</v>
      </c>
      <c r="AO2745" s="2243">
        <f>391-43</f>
        <v>348</v>
      </c>
      <c r="AP2745" s="2243" t="s">
        <v>16189</v>
      </c>
      <c r="AQ2745" s="434" t="s">
        <v>127</v>
      </c>
      <c r="AR2745" s="829" t="s">
        <v>175</v>
      </c>
      <c r="AS2745" s="2243">
        <v>0.001</v>
      </c>
      <c r="AT2745" s="434" t="s">
        <v>128</v>
      </c>
      <c r="AU2745" s="434" t="s">
        <v>179</v>
      </c>
      <c r="AV2745" s="434" t="s">
        <v>130</v>
      </c>
      <c r="AW2745" s="1615" t="s">
        <v>12752</v>
      </c>
      <c r="AX2745" s="434" t="s">
        <v>136</v>
      </c>
      <c r="AZ2745" s="196" t="s">
        <v>15958</v>
      </c>
    </row>
    <row r="2746">
      <c r="A2746" s="41">
        <v>3023.0</v>
      </c>
      <c r="B2746" s="126" t="s">
        <v>516</v>
      </c>
      <c r="C2746" s="59" t="s">
        <v>108</v>
      </c>
      <c r="D2746" s="59" t="s">
        <v>146</v>
      </c>
      <c r="F2746" s="829" t="s">
        <v>16153</v>
      </c>
      <c r="G2746" s="434" t="s">
        <v>16190</v>
      </c>
      <c r="H2746" s="829" t="s">
        <v>15858</v>
      </c>
      <c r="I2746" s="2242">
        <v>45821.0</v>
      </c>
      <c r="J2746" s="859"/>
      <c r="K2746" s="434" t="s">
        <v>16172</v>
      </c>
      <c r="L2746" s="65"/>
      <c r="M2746" s="434" t="s">
        <v>16155</v>
      </c>
      <c r="N2746" s="434" t="s">
        <v>12741</v>
      </c>
      <c r="O2746" s="65"/>
      <c r="P2746" s="1439" t="s">
        <v>12742</v>
      </c>
      <c r="Q2746" s="2241" t="str">
        <f t="array" ref="Q2746"> if(iserror(MATCH(V2746, 'File Links'!C:C, 0)), "N/A", HYPERLINK(INDEX('File Links'!B:B, MATCH(P2746, 'File Links'!C:C, 0))))</f>
        <v>https://drive.google.com/file/d/1LFgNyzLqTELlP9tfS2pwZ6Egg431WCHQ/view?usp=drivesdk</v>
      </c>
      <c r="R2746" s="1439" t="s">
        <v>16156</v>
      </c>
      <c r="S2746" s="434" t="s">
        <v>16157</v>
      </c>
      <c r="T2746" s="65"/>
      <c r="U2746" s="65"/>
      <c r="V2746" s="1439" t="s">
        <v>16158</v>
      </c>
      <c r="W2746" s="1225"/>
      <c r="X2746" s="51" t="str">
        <f t="array" ref="X2746"> if(iserror(MATCH(V2746, 'File Links'!C:C, 0)), "N/A", HYPERLINK(INDEX('File Links'!B:B, MATCH(V2746, 'File Links'!C:C, 0))))</f>
        <v>https://drive.google.com/file/d/1ew0OSVU876rPzVsDvpN47BF_OOdkLKHm/view?usp=drivesdk</v>
      </c>
      <c r="Y2746" s="65"/>
      <c r="Z2746" s="434" t="s">
        <v>219</v>
      </c>
      <c r="AA2746" s="434" t="s">
        <v>16173</v>
      </c>
      <c r="AB2746" s="434" t="s">
        <v>16174</v>
      </c>
      <c r="AC2746" s="434" t="s">
        <v>16191</v>
      </c>
      <c r="AD2746" s="434" t="s">
        <v>16192</v>
      </c>
      <c r="AE2746" s="825">
        <v>7.0</v>
      </c>
      <c r="AF2746" s="825">
        <v>72.0</v>
      </c>
      <c r="AG2746" s="825">
        <f t="shared" ref="AG2746:AG2749" si="138">(0.541/(1-0.541))/(0.333/(1-0.333))</f>
        <v>2.360837962</v>
      </c>
      <c r="AH2746" s="434" t="s">
        <v>715</v>
      </c>
      <c r="AI2746" s="434" t="s">
        <v>125</v>
      </c>
      <c r="AJ2746" s="65"/>
      <c r="AK2746" s="65"/>
      <c r="AL2746" s="434" t="s">
        <v>129</v>
      </c>
      <c r="AM2746" s="434" t="s">
        <v>130</v>
      </c>
      <c r="AN2746" s="434" t="s">
        <v>131</v>
      </c>
      <c r="AO2746" s="825">
        <v>391.0</v>
      </c>
      <c r="AP2746" s="2243" t="s">
        <v>16193</v>
      </c>
      <c r="AQ2746" s="434" t="s">
        <v>127</v>
      </c>
      <c r="AR2746" s="434" t="s">
        <v>620</v>
      </c>
      <c r="AS2746" s="2243">
        <v>0.034</v>
      </c>
      <c r="AT2746" s="434" t="s">
        <v>165</v>
      </c>
      <c r="AU2746" s="434" t="s">
        <v>179</v>
      </c>
      <c r="AV2746" s="434" t="s">
        <v>130</v>
      </c>
      <c r="AW2746" s="1615" t="s">
        <v>12752</v>
      </c>
      <c r="AX2746" s="434" t="s">
        <v>136</v>
      </c>
      <c r="AZ2746" s="196" t="s">
        <v>15958</v>
      </c>
    </row>
    <row r="2747" ht="21.0" customHeight="1">
      <c r="A2747" s="41">
        <v>3027.0</v>
      </c>
      <c r="B2747" s="126" t="s">
        <v>516</v>
      </c>
      <c r="C2747" s="59" t="s">
        <v>108</v>
      </c>
      <c r="D2747" s="59" t="s">
        <v>146</v>
      </c>
      <c r="F2747" s="829" t="s">
        <v>16153</v>
      </c>
      <c r="G2747" s="434" t="s">
        <v>16194</v>
      </c>
      <c r="H2747" s="829" t="s">
        <v>15858</v>
      </c>
      <c r="I2747" s="2242">
        <v>45821.0</v>
      </c>
      <c r="J2747" s="859"/>
      <c r="K2747" s="434" t="s">
        <v>16180</v>
      </c>
      <c r="L2747" s="65"/>
      <c r="M2747" s="434" t="s">
        <v>16155</v>
      </c>
      <c r="N2747" s="434" t="s">
        <v>12741</v>
      </c>
      <c r="O2747" s="65"/>
      <c r="P2747" s="1439" t="s">
        <v>12742</v>
      </c>
      <c r="Q2747" s="2241" t="str">
        <f t="array" ref="Q2747"> if(iserror(MATCH(V2747, 'File Links'!C:C, 0)), "N/A", HYPERLINK(INDEX('File Links'!B:B, MATCH(P2747, 'File Links'!C:C, 0))))</f>
        <v>https://drive.google.com/file/d/1LFgNyzLqTELlP9tfS2pwZ6Egg431WCHQ/view?usp=drivesdk</v>
      </c>
      <c r="R2747" s="1439" t="s">
        <v>16156</v>
      </c>
      <c r="S2747" s="434" t="s">
        <v>16157</v>
      </c>
      <c r="T2747" s="65"/>
      <c r="U2747" s="65"/>
      <c r="V2747" s="1439" t="s">
        <v>16158</v>
      </c>
      <c r="W2747" s="1225"/>
      <c r="X2747" s="51" t="str">
        <f t="array" ref="X2747"> if(iserror(MATCH(V2747, 'File Links'!C:C, 0)), "N/A", HYPERLINK(INDEX('File Links'!B:B, MATCH(V2747, 'File Links'!C:C, 0))))</f>
        <v>https://drive.google.com/file/d/1ew0OSVU876rPzVsDvpN47BF_OOdkLKHm/view?usp=drivesdk</v>
      </c>
      <c r="Y2747" s="65"/>
      <c r="Z2747" s="434" t="s">
        <v>219</v>
      </c>
      <c r="AA2747" s="434" t="s">
        <v>16173</v>
      </c>
      <c r="AB2747" s="434" t="s">
        <v>16174</v>
      </c>
      <c r="AC2747" s="434" t="s">
        <v>16195</v>
      </c>
      <c r="AD2747" s="434" t="s">
        <v>16182</v>
      </c>
      <c r="AE2747" s="825">
        <v>7.0</v>
      </c>
      <c r="AF2747" s="825">
        <v>72.0</v>
      </c>
      <c r="AG2747" s="825">
        <f t="shared" si="138"/>
        <v>2.360837962</v>
      </c>
      <c r="AH2747" s="434" t="s">
        <v>127</v>
      </c>
      <c r="AI2747" s="434" t="s">
        <v>125</v>
      </c>
      <c r="AJ2747" s="65"/>
      <c r="AK2747" s="65"/>
      <c r="AL2747" s="434" t="s">
        <v>129</v>
      </c>
      <c r="AM2747" s="434" t="s">
        <v>130</v>
      </c>
      <c r="AN2747" s="434" t="s">
        <v>131</v>
      </c>
      <c r="AO2747" s="2243">
        <f>391-43</f>
        <v>348</v>
      </c>
      <c r="AP2747" s="2243" t="s">
        <v>16193</v>
      </c>
      <c r="AQ2747" s="434" t="s">
        <v>127</v>
      </c>
      <c r="AR2747" s="829" t="s">
        <v>175</v>
      </c>
      <c r="AS2747" s="2243">
        <v>0.034</v>
      </c>
      <c r="AT2747" s="434" t="s">
        <v>165</v>
      </c>
      <c r="AU2747" s="434" t="s">
        <v>179</v>
      </c>
      <c r="AV2747" s="434" t="s">
        <v>130</v>
      </c>
      <c r="AW2747" s="1615" t="s">
        <v>12752</v>
      </c>
      <c r="AX2747" s="434" t="s">
        <v>136</v>
      </c>
      <c r="AZ2747" s="196" t="s">
        <v>15958</v>
      </c>
    </row>
    <row r="2748">
      <c r="A2748" s="41">
        <v>3024.0</v>
      </c>
      <c r="B2748" s="126" t="s">
        <v>516</v>
      </c>
      <c r="C2748" s="59" t="s">
        <v>108</v>
      </c>
      <c r="D2748" s="59" t="s">
        <v>146</v>
      </c>
      <c r="F2748" s="829" t="s">
        <v>16153</v>
      </c>
      <c r="G2748" s="434" t="s">
        <v>16196</v>
      </c>
      <c r="H2748" s="829" t="s">
        <v>15858</v>
      </c>
      <c r="I2748" s="2242">
        <v>45821.0</v>
      </c>
      <c r="J2748" s="859"/>
      <c r="K2748" s="434" t="s">
        <v>16172</v>
      </c>
      <c r="L2748" s="65"/>
      <c r="M2748" s="434" t="s">
        <v>16155</v>
      </c>
      <c r="N2748" s="434" t="s">
        <v>12741</v>
      </c>
      <c r="O2748" s="65"/>
      <c r="P2748" s="1439" t="s">
        <v>12742</v>
      </c>
      <c r="Q2748" s="2241" t="str">
        <f t="array" ref="Q2748"> if(iserror(MATCH(V2748, 'File Links'!C:C, 0)), "N/A", HYPERLINK(INDEX('File Links'!B:B, MATCH(P2748, 'File Links'!C:C, 0))))</f>
        <v>https://drive.google.com/file/d/1LFgNyzLqTELlP9tfS2pwZ6Egg431WCHQ/view?usp=drivesdk</v>
      </c>
      <c r="R2748" s="1439" t="s">
        <v>16156</v>
      </c>
      <c r="S2748" s="434" t="s">
        <v>16157</v>
      </c>
      <c r="T2748" s="65"/>
      <c r="U2748" s="65"/>
      <c r="V2748" s="1439" t="s">
        <v>16158</v>
      </c>
      <c r="W2748" s="1225"/>
      <c r="X2748" s="51" t="str">
        <f t="array" ref="X2748"> if(iserror(MATCH(V2748, 'File Links'!C:C, 0)), "N/A", HYPERLINK(INDEX('File Links'!B:B, MATCH(V2748, 'File Links'!C:C, 0))))</f>
        <v>https://drive.google.com/file/d/1ew0OSVU876rPzVsDvpN47BF_OOdkLKHm/view?usp=drivesdk</v>
      </c>
      <c r="Y2748" s="65"/>
      <c r="Z2748" s="434" t="s">
        <v>219</v>
      </c>
      <c r="AA2748" s="434" t="s">
        <v>16173</v>
      </c>
      <c r="AB2748" s="434" t="s">
        <v>16174</v>
      </c>
      <c r="AC2748" s="434" t="s">
        <v>16197</v>
      </c>
      <c r="AD2748" s="434" t="s">
        <v>16192</v>
      </c>
      <c r="AE2748" s="825">
        <v>7.0</v>
      </c>
      <c r="AF2748" s="825">
        <v>72.0</v>
      </c>
      <c r="AG2748" s="825">
        <f t="shared" si="138"/>
        <v>2.360837962</v>
      </c>
      <c r="AH2748" s="434" t="s">
        <v>715</v>
      </c>
      <c r="AI2748" s="434" t="s">
        <v>125</v>
      </c>
      <c r="AJ2748" s="65"/>
      <c r="AK2748" s="65"/>
      <c r="AL2748" s="434" t="s">
        <v>129</v>
      </c>
      <c r="AM2748" s="434" t="s">
        <v>130</v>
      </c>
      <c r="AN2748" s="434" t="s">
        <v>131</v>
      </c>
      <c r="AO2748" s="825">
        <v>391.0</v>
      </c>
      <c r="AP2748" s="2243" t="s">
        <v>16198</v>
      </c>
      <c r="AQ2748" s="434" t="s">
        <v>127</v>
      </c>
      <c r="AR2748" s="434" t="s">
        <v>620</v>
      </c>
      <c r="AS2748" s="2243">
        <v>0.001</v>
      </c>
      <c r="AT2748" s="434" t="s">
        <v>128</v>
      </c>
      <c r="AU2748" s="434" t="s">
        <v>179</v>
      </c>
      <c r="AV2748" s="434" t="s">
        <v>130</v>
      </c>
      <c r="AW2748" s="1615" t="s">
        <v>12752</v>
      </c>
      <c r="AX2748" s="434" t="s">
        <v>136</v>
      </c>
      <c r="AZ2748" s="196" t="s">
        <v>15958</v>
      </c>
    </row>
    <row r="2749" ht="19.5" customHeight="1">
      <c r="A2749" s="41">
        <v>3028.0</v>
      </c>
      <c r="B2749" s="126" t="s">
        <v>516</v>
      </c>
      <c r="C2749" s="59" t="s">
        <v>108</v>
      </c>
      <c r="D2749" s="59" t="s">
        <v>146</v>
      </c>
      <c r="F2749" s="829" t="s">
        <v>16153</v>
      </c>
      <c r="G2749" s="434" t="s">
        <v>16199</v>
      </c>
      <c r="H2749" s="829" t="s">
        <v>15858</v>
      </c>
      <c r="I2749" s="2242">
        <v>45821.0</v>
      </c>
      <c r="J2749" s="859"/>
      <c r="K2749" s="434" t="s">
        <v>16180</v>
      </c>
      <c r="L2749" s="65"/>
      <c r="M2749" s="434" t="s">
        <v>16155</v>
      </c>
      <c r="N2749" s="434" t="s">
        <v>12741</v>
      </c>
      <c r="O2749" s="65"/>
      <c r="P2749" s="1439" t="s">
        <v>12742</v>
      </c>
      <c r="Q2749" s="2241" t="str">
        <f t="array" ref="Q2749"> if(iserror(MATCH(V2749, 'File Links'!C:C, 0)), "N/A", HYPERLINK(INDEX('File Links'!B:B, MATCH(P2749, 'File Links'!C:C, 0))))</f>
        <v>https://drive.google.com/file/d/1LFgNyzLqTELlP9tfS2pwZ6Egg431WCHQ/view?usp=drivesdk</v>
      </c>
      <c r="R2749" s="1439" t="s">
        <v>16156</v>
      </c>
      <c r="S2749" s="434" t="s">
        <v>16157</v>
      </c>
      <c r="T2749" s="65"/>
      <c r="U2749" s="65"/>
      <c r="V2749" s="1439" t="s">
        <v>16158</v>
      </c>
      <c r="W2749" s="1225"/>
      <c r="X2749" s="51" t="str">
        <f t="array" ref="X2749"> if(iserror(MATCH(V2749, 'File Links'!C:C, 0)), "N/A", HYPERLINK(INDEX('File Links'!B:B, MATCH(V2749, 'File Links'!C:C, 0))))</f>
        <v>https://drive.google.com/file/d/1ew0OSVU876rPzVsDvpN47BF_OOdkLKHm/view?usp=drivesdk</v>
      </c>
      <c r="Y2749" s="65"/>
      <c r="Z2749" s="434" t="s">
        <v>219</v>
      </c>
      <c r="AA2749" s="434" t="s">
        <v>16173</v>
      </c>
      <c r="AB2749" s="434" t="s">
        <v>16174</v>
      </c>
      <c r="AC2749" s="434" t="s">
        <v>16200</v>
      </c>
      <c r="AD2749" s="434" t="s">
        <v>16182</v>
      </c>
      <c r="AE2749" s="825">
        <v>7.0</v>
      </c>
      <c r="AF2749" s="825">
        <v>72.0</v>
      </c>
      <c r="AG2749" s="825">
        <f t="shared" si="138"/>
        <v>2.360837962</v>
      </c>
      <c r="AH2749" s="434" t="s">
        <v>127</v>
      </c>
      <c r="AI2749" s="434" t="s">
        <v>125</v>
      </c>
      <c r="AJ2749" s="65"/>
      <c r="AK2749" s="65"/>
      <c r="AL2749" s="434" t="s">
        <v>129</v>
      </c>
      <c r="AM2749" s="434" t="s">
        <v>130</v>
      </c>
      <c r="AN2749" s="434" t="s">
        <v>131</v>
      </c>
      <c r="AO2749" s="2243">
        <f>391-43</f>
        <v>348</v>
      </c>
      <c r="AP2749" s="2243" t="s">
        <v>16201</v>
      </c>
      <c r="AQ2749" s="434" t="s">
        <v>127</v>
      </c>
      <c r="AR2749" s="829" t="s">
        <v>175</v>
      </c>
      <c r="AS2749" s="2243">
        <v>0.001</v>
      </c>
      <c r="AT2749" s="434" t="s">
        <v>128</v>
      </c>
      <c r="AU2749" s="434" t="s">
        <v>179</v>
      </c>
      <c r="AV2749" s="434" t="s">
        <v>130</v>
      </c>
      <c r="AW2749" s="1615" t="s">
        <v>12752</v>
      </c>
      <c r="AX2749" s="434" t="s">
        <v>136</v>
      </c>
      <c r="AZ2749" s="196" t="s">
        <v>15958</v>
      </c>
    </row>
    <row r="2750" ht="25.5" customHeight="1">
      <c r="A2750" s="41">
        <v>3170.0</v>
      </c>
      <c r="B2750" s="209" t="s">
        <v>516</v>
      </c>
      <c r="C2750" s="2087" t="s">
        <v>108</v>
      </c>
      <c r="D2750" s="2087" t="s">
        <v>15928</v>
      </c>
      <c r="E2750" s="2088"/>
      <c r="F2750" s="2090" t="s">
        <v>16202</v>
      </c>
      <c r="G2750" s="2090" t="s">
        <v>16203</v>
      </c>
      <c r="H2750" s="2091" t="s">
        <v>15931</v>
      </c>
      <c r="I2750" s="2226">
        <v>45809.0</v>
      </c>
      <c r="J2750" s="2260">
        <v>45840.0</v>
      </c>
      <c r="K2750" s="2089"/>
      <c r="L2750" s="209" t="s">
        <v>16204</v>
      </c>
      <c r="M2750" s="2227" t="s">
        <v>16205</v>
      </c>
      <c r="N2750" s="2227" t="s">
        <v>16206</v>
      </c>
      <c r="O2750" s="2089"/>
      <c r="P2750" s="2233" t="s">
        <v>16207</v>
      </c>
      <c r="Q2750" s="2261" t="s">
        <v>16208</v>
      </c>
      <c r="R2750" s="2262" t="s">
        <v>16209</v>
      </c>
      <c r="S2750" s="2229" t="s">
        <v>16210</v>
      </c>
      <c r="T2750" s="2089"/>
      <c r="U2750" s="2089"/>
      <c r="V2750" s="2090" t="s">
        <v>16211</v>
      </c>
      <c r="W2750" s="2089"/>
      <c r="X2750" s="2263" t="s">
        <v>16212</v>
      </c>
      <c r="Y2750" s="2089"/>
      <c r="Z2750" s="2090" t="s">
        <v>219</v>
      </c>
      <c r="AA2750" s="2089" t="s">
        <v>16213</v>
      </c>
      <c r="AB2750" s="2089" t="s">
        <v>16214</v>
      </c>
      <c r="AC2750" s="2089" t="s">
        <v>16215</v>
      </c>
      <c r="AD2750" s="2089" t="s">
        <v>16216</v>
      </c>
      <c r="AE2750" s="2089" t="s">
        <v>623</v>
      </c>
      <c r="AF2750" s="2096">
        <v>33.0</v>
      </c>
      <c r="AG2750" s="2096">
        <v>0.76</v>
      </c>
      <c r="AH2750" s="2089" t="s">
        <v>208</v>
      </c>
      <c r="AI2750" s="2089" t="s">
        <v>623</v>
      </c>
      <c r="AJ2750" s="2096">
        <v>0.001</v>
      </c>
      <c r="AK2750" s="2089" t="s">
        <v>128</v>
      </c>
      <c r="AL2750" s="2090" t="s">
        <v>179</v>
      </c>
      <c r="AM2750" s="2090" t="s">
        <v>130</v>
      </c>
      <c r="AN2750" s="2090" t="s">
        <v>131</v>
      </c>
      <c r="AO2750" s="2264">
        <v>3073.0</v>
      </c>
      <c r="AP2750" s="2089" t="s">
        <v>16217</v>
      </c>
      <c r="AQ2750" s="2089" t="s">
        <v>127</v>
      </c>
      <c r="AR2750" s="2089" t="s">
        <v>489</v>
      </c>
      <c r="AS2750" s="2096">
        <v>0.001</v>
      </c>
      <c r="AT2750" s="2089" t="s">
        <v>128</v>
      </c>
      <c r="AU2750" s="2089" t="s">
        <v>179</v>
      </c>
      <c r="AV2750" s="2089" t="s">
        <v>130</v>
      </c>
      <c r="AW2750" s="2089" t="s">
        <v>131</v>
      </c>
      <c r="AX2750" s="2089" t="s">
        <v>136</v>
      </c>
      <c r="AY2750" s="2088"/>
      <c r="AZ2750" s="2087" t="s">
        <v>13230</v>
      </c>
      <c r="BA2750" s="2088"/>
      <c r="BB2750" s="2088"/>
      <c r="BC2750" s="2088"/>
      <c r="BD2750" s="2088"/>
      <c r="BE2750" s="2088"/>
      <c r="BF2750" s="2088"/>
      <c r="BG2750" s="2088"/>
      <c r="BH2750" s="2088"/>
      <c r="BI2750" s="2088"/>
      <c r="BJ2750" s="2088"/>
      <c r="BK2750" s="2088"/>
      <c r="BL2750" s="2088"/>
      <c r="BM2750" s="2088"/>
      <c r="BN2750" s="2088"/>
      <c r="BO2750" s="2088"/>
      <c r="BP2750" s="2088"/>
      <c r="BQ2750" s="2088"/>
      <c r="BR2750" s="2088"/>
      <c r="BS2750" s="2088"/>
      <c r="BT2750" s="2088"/>
      <c r="BU2750" s="2088"/>
      <c r="BV2750" s="2088"/>
      <c r="BW2750" s="2088"/>
      <c r="BX2750" s="2088"/>
      <c r="BY2750" s="2088"/>
      <c r="BZ2750" s="2088"/>
      <c r="CA2750" s="2088"/>
      <c r="CB2750" s="2088"/>
      <c r="CC2750" s="2088"/>
      <c r="CD2750" s="2088"/>
      <c r="CE2750" s="2088"/>
      <c r="CF2750" s="2088"/>
      <c r="CG2750" s="2088"/>
      <c r="CH2750" s="2088"/>
      <c r="CI2750" s="2088"/>
      <c r="CJ2750" s="2088"/>
      <c r="CK2750" s="2088"/>
      <c r="CL2750" s="2088"/>
      <c r="CM2750" s="2088"/>
      <c r="CN2750" s="2088"/>
      <c r="CO2750" s="2088"/>
      <c r="CP2750" s="2088"/>
      <c r="CQ2750" s="2088"/>
      <c r="CR2750" s="2088"/>
      <c r="CS2750" s="2088"/>
      <c r="CT2750" s="2088"/>
      <c r="CU2750" s="2088"/>
      <c r="CV2750" s="2088"/>
      <c r="CW2750" s="2088"/>
      <c r="CX2750" s="2088"/>
      <c r="CY2750" s="2088"/>
      <c r="CZ2750" s="2088"/>
      <c r="DA2750" s="2088"/>
      <c r="DB2750" s="2088"/>
      <c r="DC2750" s="2088"/>
      <c r="DD2750" s="2088"/>
      <c r="DE2750" s="2088"/>
      <c r="DF2750" s="2088"/>
      <c r="DG2750" s="2088"/>
      <c r="DH2750" s="2088"/>
    </row>
    <row r="2751" ht="27.75" customHeight="1">
      <c r="A2751" s="41">
        <v>3107.0</v>
      </c>
      <c r="B2751" s="209" t="s">
        <v>516</v>
      </c>
      <c r="C2751" s="2087" t="s">
        <v>108</v>
      </c>
      <c r="D2751" s="2087" t="s">
        <v>146</v>
      </c>
      <c r="E2751" s="2088"/>
      <c r="F2751" s="2232" t="s">
        <v>16202</v>
      </c>
      <c r="G2751" s="2233" t="s">
        <v>16218</v>
      </c>
      <c r="H2751" s="2232" t="s">
        <v>15858</v>
      </c>
      <c r="I2751" s="2234">
        <v>45821.0</v>
      </c>
      <c r="J2751" s="2260">
        <v>45840.0</v>
      </c>
      <c r="K2751" s="2233" t="s">
        <v>16219</v>
      </c>
      <c r="L2751" s="209" t="s">
        <v>16204</v>
      </c>
      <c r="M2751" s="2233" t="s">
        <v>16205</v>
      </c>
      <c r="N2751" s="2233" t="s">
        <v>16206</v>
      </c>
      <c r="O2751" s="2089"/>
      <c r="P2751" s="2233" t="s">
        <v>16207</v>
      </c>
      <c r="Q2751" s="1381" t="s">
        <v>16208</v>
      </c>
      <c r="R2751" s="2233" t="s">
        <v>16220</v>
      </c>
      <c r="S2751" s="2233" t="s">
        <v>16210</v>
      </c>
      <c r="T2751" s="2089"/>
      <c r="U2751" s="2089"/>
      <c r="V2751" s="2233" t="s">
        <v>16211</v>
      </c>
      <c r="W2751" s="2089"/>
      <c r="X2751" s="2263" t="s">
        <v>16212</v>
      </c>
      <c r="Y2751" s="2089"/>
      <c r="Z2751" s="2233" t="s">
        <v>2933</v>
      </c>
      <c r="AA2751" s="2233" t="s">
        <v>16221</v>
      </c>
      <c r="AB2751" s="2233" t="s">
        <v>16222</v>
      </c>
      <c r="AC2751" s="2232" t="s">
        <v>16223</v>
      </c>
      <c r="AD2751" s="2232" t="s">
        <v>16224</v>
      </c>
      <c r="AE2751" s="2239">
        <v>11.0</v>
      </c>
      <c r="AF2751" s="2239">
        <v>33.0</v>
      </c>
      <c r="AG2751" s="2239">
        <v>-0.43</v>
      </c>
      <c r="AH2751" s="2233" t="s">
        <v>208</v>
      </c>
      <c r="AI2751" s="2232" t="s">
        <v>300</v>
      </c>
      <c r="AJ2751" s="2239">
        <v>0.05</v>
      </c>
      <c r="AK2751" s="2233" t="s">
        <v>128</v>
      </c>
      <c r="AL2751" s="2233" t="s">
        <v>179</v>
      </c>
      <c r="AM2751" s="2233" t="s">
        <v>130</v>
      </c>
      <c r="AN2751" s="2233" t="s">
        <v>131</v>
      </c>
      <c r="AO2751" s="2239">
        <v>2986.0</v>
      </c>
      <c r="AP2751" s="2236" t="s">
        <v>16225</v>
      </c>
      <c r="AQ2751" s="2089"/>
      <c r="AR2751" s="2232" t="s">
        <v>843</v>
      </c>
      <c r="AS2751" s="2239">
        <v>0.06</v>
      </c>
      <c r="AT2751" s="2233" t="s">
        <v>165</v>
      </c>
      <c r="AU2751" s="2233" t="s">
        <v>179</v>
      </c>
      <c r="AV2751" s="2233" t="s">
        <v>130</v>
      </c>
      <c r="AW2751" s="2233" t="s">
        <v>131</v>
      </c>
      <c r="AX2751" s="2233" t="s">
        <v>136</v>
      </c>
      <c r="AY2751" s="2088"/>
      <c r="AZ2751" s="2087" t="s">
        <v>13230</v>
      </c>
      <c r="BA2751" s="2088"/>
      <c r="BB2751" s="2088"/>
      <c r="BC2751" s="2088"/>
      <c r="BD2751" s="2088"/>
      <c r="BE2751" s="2088"/>
      <c r="BF2751" s="2088"/>
      <c r="BG2751" s="2088"/>
      <c r="BH2751" s="2088"/>
      <c r="BI2751" s="2088"/>
      <c r="BJ2751" s="2088"/>
      <c r="BK2751" s="2088"/>
      <c r="BL2751" s="2088"/>
      <c r="BM2751" s="2088"/>
      <c r="BN2751" s="2088"/>
      <c r="BO2751" s="2088"/>
      <c r="BP2751" s="2088"/>
      <c r="BQ2751" s="2088"/>
      <c r="BR2751" s="2088"/>
      <c r="BS2751" s="2088"/>
      <c r="BT2751" s="2088"/>
      <c r="BU2751" s="2088"/>
      <c r="BV2751" s="2088"/>
      <c r="BW2751" s="2088"/>
      <c r="BX2751" s="2088"/>
      <c r="BY2751" s="2088"/>
      <c r="BZ2751" s="2088"/>
      <c r="CA2751" s="2088"/>
      <c r="CB2751" s="2088"/>
      <c r="CC2751" s="2088"/>
      <c r="CD2751" s="2088"/>
      <c r="CE2751" s="2088"/>
      <c r="CF2751" s="2088"/>
      <c r="CG2751" s="2088"/>
      <c r="CH2751" s="2088"/>
      <c r="CI2751" s="2088"/>
      <c r="CJ2751" s="2088"/>
      <c r="CK2751" s="2088"/>
      <c r="CL2751" s="2088"/>
      <c r="CM2751" s="2088"/>
      <c r="CN2751" s="2088"/>
      <c r="CO2751" s="2088"/>
      <c r="CP2751" s="2088"/>
      <c r="CQ2751" s="2088"/>
      <c r="CR2751" s="2088"/>
      <c r="CS2751" s="2088"/>
      <c r="CT2751" s="2088"/>
      <c r="CU2751" s="2088"/>
      <c r="CV2751" s="2088"/>
      <c r="CW2751" s="2088"/>
      <c r="CX2751" s="2088"/>
      <c r="CY2751" s="2088"/>
      <c r="CZ2751" s="2088"/>
      <c r="DA2751" s="2088"/>
      <c r="DB2751" s="2088"/>
      <c r="DC2751" s="2088"/>
      <c r="DD2751" s="2088"/>
      <c r="DE2751" s="2088"/>
      <c r="DF2751" s="2088"/>
      <c r="DG2751" s="2088"/>
      <c r="DH2751" s="2088"/>
    </row>
    <row r="2752" ht="21.0" customHeight="1">
      <c r="A2752" s="41">
        <v>3108.0</v>
      </c>
      <c r="B2752" s="209" t="s">
        <v>516</v>
      </c>
      <c r="C2752" s="2087" t="s">
        <v>108</v>
      </c>
      <c r="D2752" s="2087" t="s">
        <v>146</v>
      </c>
      <c r="E2752" s="2088"/>
      <c r="F2752" s="2232" t="s">
        <v>16202</v>
      </c>
      <c r="G2752" s="2233" t="s">
        <v>16226</v>
      </c>
      <c r="H2752" s="2232" t="s">
        <v>15858</v>
      </c>
      <c r="I2752" s="2234">
        <v>45821.0</v>
      </c>
      <c r="J2752" s="2260">
        <v>45840.0</v>
      </c>
      <c r="K2752" s="2233" t="s">
        <v>16219</v>
      </c>
      <c r="L2752" s="209" t="s">
        <v>16204</v>
      </c>
      <c r="M2752" s="2233" t="s">
        <v>16205</v>
      </c>
      <c r="N2752" s="2233" t="s">
        <v>16206</v>
      </c>
      <c r="O2752" s="2089"/>
      <c r="P2752" s="2233" t="s">
        <v>16207</v>
      </c>
      <c r="Q2752" s="1381" t="s">
        <v>16208</v>
      </c>
      <c r="R2752" s="2233" t="s">
        <v>16220</v>
      </c>
      <c r="S2752" s="2233" t="s">
        <v>16210</v>
      </c>
      <c r="T2752" s="2089"/>
      <c r="U2752" s="2089"/>
      <c r="V2752" s="2233" t="s">
        <v>16211</v>
      </c>
      <c r="W2752" s="2089"/>
      <c r="X2752" s="2263" t="s">
        <v>16212</v>
      </c>
      <c r="Y2752" s="2089"/>
      <c r="Z2752" s="2233" t="s">
        <v>2933</v>
      </c>
      <c r="AA2752" s="2233" t="s">
        <v>16221</v>
      </c>
      <c r="AB2752" s="2233" t="s">
        <v>16222</v>
      </c>
      <c r="AC2752" s="2232" t="s">
        <v>16227</v>
      </c>
      <c r="AD2752" s="2232" t="s">
        <v>16224</v>
      </c>
      <c r="AE2752" s="2239">
        <v>11.0</v>
      </c>
      <c r="AF2752" s="2239">
        <v>33.0</v>
      </c>
      <c r="AG2752" s="2239">
        <v>-0.62</v>
      </c>
      <c r="AH2752" s="2233" t="s">
        <v>208</v>
      </c>
      <c r="AI2752" s="2232" t="s">
        <v>300</v>
      </c>
      <c r="AJ2752" s="2239">
        <v>0.001</v>
      </c>
      <c r="AK2752" s="2233" t="s">
        <v>128</v>
      </c>
      <c r="AL2752" s="2233" t="s">
        <v>179</v>
      </c>
      <c r="AM2752" s="2233" t="s">
        <v>130</v>
      </c>
      <c r="AN2752" s="2233" t="s">
        <v>131</v>
      </c>
      <c r="AO2752" s="2239">
        <v>2986.0</v>
      </c>
      <c r="AP2752" s="2239" t="s">
        <v>16228</v>
      </c>
      <c r="AQ2752" s="2089"/>
      <c r="AR2752" s="2232" t="s">
        <v>843</v>
      </c>
      <c r="AS2752" s="2239">
        <v>0.73</v>
      </c>
      <c r="AT2752" s="2233" t="s">
        <v>165</v>
      </c>
      <c r="AU2752" s="2233" t="s">
        <v>179</v>
      </c>
      <c r="AV2752" s="2233" t="s">
        <v>130</v>
      </c>
      <c r="AW2752" s="2233" t="s">
        <v>131</v>
      </c>
      <c r="AX2752" s="2233" t="s">
        <v>136</v>
      </c>
      <c r="AY2752" s="2088"/>
      <c r="AZ2752" s="2087" t="s">
        <v>13230</v>
      </c>
      <c r="BA2752" s="2088"/>
      <c r="BB2752" s="2088"/>
      <c r="BC2752" s="2088"/>
      <c r="BD2752" s="2088"/>
      <c r="BE2752" s="2088"/>
      <c r="BF2752" s="2088"/>
      <c r="BG2752" s="2088"/>
      <c r="BH2752" s="2088"/>
      <c r="BI2752" s="2088"/>
      <c r="BJ2752" s="2088"/>
      <c r="BK2752" s="2088"/>
      <c r="BL2752" s="2088"/>
      <c r="BM2752" s="2088"/>
      <c r="BN2752" s="2088"/>
      <c r="BO2752" s="2088"/>
      <c r="BP2752" s="2088"/>
      <c r="BQ2752" s="2088"/>
      <c r="BR2752" s="2088"/>
      <c r="BS2752" s="2088"/>
      <c r="BT2752" s="2088"/>
      <c r="BU2752" s="2088"/>
      <c r="BV2752" s="2088"/>
      <c r="BW2752" s="2088"/>
      <c r="BX2752" s="2088"/>
      <c r="BY2752" s="2088"/>
      <c r="BZ2752" s="2088"/>
      <c r="CA2752" s="2088"/>
      <c r="CB2752" s="2088"/>
      <c r="CC2752" s="2088"/>
      <c r="CD2752" s="2088"/>
      <c r="CE2752" s="2088"/>
      <c r="CF2752" s="2088"/>
      <c r="CG2752" s="2088"/>
      <c r="CH2752" s="2088"/>
      <c r="CI2752" s="2088"/>
      <c r="CJ2752" s="2088"/>
      <c r="CK2752" s="2088"/>
      <c r="CL2752" s="2088"/>
      <c r="CM2752" s="2088"/>
      <c r="CN2752" s="2088"/>
      <c r="CO2752" s="2088"/>
      <c r="CP2752" s="2088"/>
      <c r="CQ2752" s="2088"/>
      <c r="CR2752" s="2088"/>
      <c r="CS2752" s="2088"/>
      <c r="CT2752" s="2088"/>
      <c r="CU2752" s="2088"/>
      <c r="CV2752" s="2088"/>
      <c r="CW2752" s="2088"/>
      <c r="CX2752" s="2088"/>
      <c r="CY2752" s="2088"/>
      <c r="CZ2752" s="2088"/>
      <c r="DA2752" s="2088"/>
      <c r="DB2752" s="2088"/>
      <c r="DC2752" s="2088"/>
      <c r="DD2752" s="2088"/>
      <c r="DE2752" s="2088"/>
      <c r="DF2752" s="2088"/>
      <c r="DG2752" s="2088"/>
      <c r="DH2752" s="2088"/>
    </row>
    <row r="2753" ht="27.0" customHeight="1">
      <c r="A2753" s="41">
        <v>3171.0</v>
      </c>
      <c r="B2753" s="209" t="s">
        <v>516</v>
      </c>
      <c r="C2753" s="2087" t="s">
        <v>108</v>
      </c>
      <c r="D2753" s="2087" t="s">
        <v>15928</v>
      </c>
      <c r="E2753" s="2088"/>
      <c r="F2753" s="2090" t="s">
        <v>16202</v>
      </c>
      <c r="G2753" s="2090" t="s">
        <v>16226</v>
      </c>
      <c r="H2753" s="2091" t="s">
        <v>15931</v>
      </c>
      <c r="I2753" s="2226">
        <v>45809.0</v>
      </c>
      <c r="J2753" s="2260">
        <v>45840.0</v>
      </c>
      <c r="K2753" s="2089"/>
      <c r="L2753" s="209" t="s">
        <v>16204</v>
      </c>
      <c r="M2753" s="2227" t="s">
        <v>16205</v>
      </c>
      <c r="N2753" s="2227" t="s">
        <v>16206</v>
      </c>
      <c r="O2753" s="2089"/>
      <c r="P2753" s="2227" t="s">
        <v>16207</v>
      </c>
      <c r="Q2753" s="1381" t="s">
        <v>16208</v>
      </c>
      <c r="R2753" s="2227" t="s">
        <v>16220</v>
      </c>
      <c r="S2753" s="2229" t="s">
        <v>16210</v>
      </c>
      <c r="T2753" s="2089"/>
      <c r="U2753" s="2089"/>
      <c r="V2753" s="2090" t="s">
        <v>16211</v>
      </c>
      <c r="W2753" s="2089"/>
      <c r="X2753" s="2263" t="s">
        <v>16212</v>
      </c>
      <c r="Y2753" s="2089"/>
      <c r="Z2753" s="2090" t="s">
        <v>219</v>
      </c>
      <c r="AA2753" s="2089" t="s">
        <v>16213</v>
      </c>
      <c r="AB2753" s="2089" t="s">
        <v>16214</v>
      </c>
      <c r="AC2753" s="2089" t="s">
        <v>16229</v>
      </c>
      <c r="AD2753" s="2089" t="s">
        <v>16230</v>
      </c>
      <c r="AE2753" s="2089" t="s">
        <v>623</v>
      </c>
      <c r="AF2753" s="2096">
        <v>33.0</v>
      </c>
      <c r="AG2753" s="2096">
        <v>0.68</v>
      </c>
      <c r="AH2753" s="2089" t="s">
        <v>208</v>
      </c>
      <c r="AI2753" s="2089" t="s">
        <v>623</v>
      </c>
      <c r="AJ2753" s="2096">
        <v>0.001</v>
      </c>
      <c r="AK2753" s="2089" t="s">
        <v>128</v>
      </c>
      <c r="AL2753" s="2090" t="s">
        <v>179</v>
      </c>
      <c r="AM2753" s="2090" t="s">
        <v>130</v>
      </c>
      <c r="AN2753" s="2090" t="s">
        <v>131</v>
      </c>
      <c r="AO2753" s="2264">
        <v>3073.0</v>
      </c>
      <c r="AP2753" s="2089" t="s">
        <v>16231</v>
      </c>
      <c r="AQ2753" s="2089" t="s">
        <v>127</v>
      </c>
      <c r="AR2753" s="2089" t="s">
        <v>489</v>
      </c>
      <c r="AS2753" s="2096">
        <v>0.003</v>
      </c>
      <c r="AT2753" s="2089" t="s">
        <v>165</v>
      </c>
      <c r="AU2753" s="2089" t="s">
        <v>179</v>
      </c>
      <c r="AV2753" s="2089" t="s">
        <v>130</v>
      </c>
      <c r="AW2753" s="2089" t="s">
        <v>131</v>
      </c>
      <c r="AX2753" s="2089" t="s">
        <v>136</v>
      </c>
      <c r="AY2753" s="2088"/>
      <c r="AZ2753" s="2087" t="s">
        <v>13230</v>
      </c>
      <c r="BA2753" s="2088"/>
      <c r="BB2753" s="2088"/>
      <c r="BC2753" s="2088"/>
      <c r="BD2753" s="2088"/>
      <c r="BE2753" s="2088"/>
      <c r="BF2753" s="2088"/>
      <c r="BG2753" s="2088"/>
      <c r="BH2753" s="2088"/>
      <c r="BI2753" s="2088"/>
      <c r="BJ2753" s="2088"/>
      <c r="BK2753" s="2088"/>
      <c r="BL2753" s="2088"/>
      <c r="BM2753" s="2088"/>
      <c r="BN2753" s="2088"/>
      <c r="BO2753" s="2088"/>
      <c r="BP2753" s="2088"/>
      <c r="BQ2753" s="2088"/>
      <c r="BR2753" s="2088"/>
      <c r="BS2753" s="2088"/>
      <c r="BT2753" s="2088"/>
      <c r="BU2753" s="2088"/>
      <c r="BV2753" s="2088"/>
      <c r="BW2753" s="2088"/>
      <c r="BX2753" s="2088"/>
      <c r="BY2753" s="2088"/>
      <c r="BZ2753" s="2088"/>
      <c r="CA2753" s="2088"/>
      <c r="CB2753" s="2088"/>
      <c r="CC2753" s="2088"/>
      <c r="CD2753" s="2088"/>
      <c r="CE2753" s="2088"/>
      <c r="CF2753" s="2088"/>
      <c r="CG2753" s="2088"/>
      <c r="CH2753" s="2088"/>
      <c r="CI2753" s="2088"/>
      <c r="CJ2753" s="2088"/>
      <c r="CK2753" s="2088"/>
      <c r="CL2753" s="2088"/>
      <c r="CM2753" s="2088"/>
      <c r="CN2753" s="2088"/>
      <c r="CO2753" s="2088"/>
      <c r="CP2753" s="2088"/>
      <c r="CQ2753" s="2088"/>
      <c r="CR2753" s="2088"/>
      <c r="CS2753" s="2088"/>
      <c r="CT2753" s="2088"/>
      <c r="CU2753" s="2088"/>
      <c r="CV2753" s="2088"/>
      <c r="CW2753" s="2088"/>
      <c r="CX2753" s="2088"/>
      <c r="CY2753" s="2088"/>
      <c r="CZ2753" s="2088"/>
      <c r="DA2753" s="2088"/>
      <c r="DB2753" s="2088"/>
      <c r="DC2753" s="2088"/>
      <c r="DD2753" s="2088"/>
      <c r="DE2753" s="2088"/>
      <c r="DF2753" s="2088"/>
      <c r="DG2753" s="2088"/>
      <c r="DH2753" s="2088"/>
    </row>
    <row r="2754" ht="27.75" customHeight="1">
      <c r="A2754" s="41">
        <v>3109.0</v>
      </c>
      <c r="B2754" s="209" t="s">
        <v>516</v>
      </c>
      <c r="C2754" s="2087" t="s">
        <v>108</v>
      </c>
      <c r="D2754" s="2087" t="s">
        <v>146</v>
      </c>
      <c r="E2754" s="2088"/>
      <c r="F2754" s="2232" t="s">
        <v>16202</v>
      </c>
      <c r="G2754" s="2233" t="s">
        <v>16232</v>
      </c>
      <c r="H2754" s="2232" t="s">
        <v>15858</v>
      </c>
      <c r="I2754" s="2234">
        <v>45821.0</v>
      </c>
      <c r="J2754" s="2260">
        <v>45840.0</v>
      </c>
      <c r="K2754" s="2233" t="s">
        <v>16219</v>
      </c>
      <c r="L2754" s="209" t="s">
        <v>16204</v>
      </c>
      <c r="M2754" s="2233" t="s">
        <v>16205</v>
      </c>
      <c r="N2754" s="2233" t="s">
        <v>16206</v>
      </c>
      <c r="O2754" s="2089"/>
      <c r="P2754" s="2233" t="s">
        <v>16207</v>
      </c>
      <c r="Q2754" s="1381" t="s">
        <v>16208</v>
      </c>
      <c r="R2754" s="2233" t="s">
        <v>16220</v>
      </c>
      <c r="S2754" s="2233" t="s">
        <v>16210</v>
      </c>
      <c r="T2754" s="2089"/>
      <c r="U2754" s="2089"/>
      <c r="V2754" s="2233" t="s">
        <v>16211</v>
      </c>
      <c r="W2754" s="2089"/>
      <c r="X2754" s="2263" t="s">
        <v>16212</v>
      </c>
      <c r="Y2754" s="2089"/>
      <c r="Z2754" s="2233" t="s">
        <v>2933</v>
      </c>
      <c r="AA2754" s="2233" t="s">
        <v>16221</v>
      </c>
      <c r="AB2754" s="2233" t="s">
        <v>16222</v>
      </c>
      <c r="AC2754" s="2232" t="s">
        <v>16233</v>
      </c>
      <c r="AD2754" s="2232" t="s">
        <v>16224</v>
      </c>
      <c r="AE2754" s="2239">
        <v>11.0</v>
      </c>
      <c r="AF2754" s="2239">
        <v>33.0</v>
      </c>
      <c r="AG2754" s="2239">
        <v>0.13</v>
      </c>
      <c r="AH2754" s="2233" t="s">
        <v>208</v>
      </c>
      <c r="AI2754" s="2232" t="s">
        <v>300</v>
      </c>
      <c r="AJ2754" s="2239">
        <v>0.1</v>
      </c>
      <c r="AK2754" s="2233" t="s">
        <v>328</v>
      </c>
      <c r="AL2754" s="2233" t="s">
        <v>179</v>
      </c>
      <c r="AM2754" s="2233" t="s">
        <v>130</v>
      </c>
      <c r="AN2754" s="2233" t="s">
        <v>131</v>
      </c>
      <c r="AO2754" s="2239">
        <v>2986.0</v>
      </c>
      <c r="AP2754" s="2239" t="s">
        <v>16234</v>
      </c>
      <c r="AQ2754" s="2089"/>
      <c r="AR2754" s="2232" t="s">
        <v>843</v>
      </c>
      <c r="AS2754" s="2239">
        <v>0.06</v>
      </c>
      <c r="AT2754" s="2233" t="s">
        <v>165</v>
      </c>
      <c r="AU2754" s="2233" t="s">
        <v>179</v>
      </c>
      <c r="AV2754" s="2233" t="s">
        <v>130</v>
      </c>
      <c r="AW2754" s="2233" t="s">
        <v>131</v>
      </c>
      <c r="AX2754" s="2233" t="s">
        <v>136</v>
      </c>
      <c r="AY2754" s="2088"/>
      <c r="AZ2754" s="2087" t="s">
        <v>13230</v>
      </c>
      <c r="BA2754" s="2088"/>
      <c r="BB2754" s="2088"/>
      <c r="BC2754" s="2088"/>
      <c r="BD2754" s="2088"/>
      <c r="BE2754" s="2088"/>
      <c r="BF2754" s="2088"/>
      <c r="BG2754" s="2088"/>
      <c r="BH2754" s="2088"/>
      <c r="BI2754" s="2088"/>
      <c r="BJ2754" s="2088"/>
      <c r="BK2754" s="2088"/>
      <c r="BL2754" s="2088"/>
      <c r="BM2754" s="2088"/>
      <c r="BN2754" s="2088"/>
      <c r="BO2754" s="2088"/>
      <c r="BP2754" s="2088"/>
      <c r="BQ2754" s="2088"/>
      <c r="BR2754" s="2088"/>
      <c r="BS2754" s="2088"/>
      <c r="BT2754" s="2088"/>
      <c r="BU2754" s="2088"/>
      <c r="BV2754" s="2088"/>
      <c r="BW2754" s="2088"/>
      <c r="BX2754" s="2088"/>
      <c r="BY2754" s="2088"/>
      <c r="BZ2754" s="2088"/>
      <c r="CA2754" s="2088"/>
      <c r="CB2754" s="2088"/>
      <c r="CC2754" s="2088"/>
      <c r="CD2754" s="2088"/>
      <c r="CE2754" s="2088"/>
      <c r="CF2754" s="2088"/>
      <c r="CG2754" s="2088"/>
      <c r="CH2754" s="2088"/>
      <c r="CI2754" s="2088"/>
      <c r="CJ2754" s="2088"/>
      <c r="CK2754" s="2088"/>
      <c r="CL2754" s="2088"/>
      <c r="CM2754" s="2088"/>
      <c r="CN2754" s="2088"/>
      <c r="CO2754" s="2088"/>
      <c r="CP2754" s="2088"/>
      <c r="CQ2754" s="2088"/>
      <c r="CR2754" s="2088"/>
      <c r="CS2754" s="2088"/>
      <c r="CT2754" s="2088"/>
      <c r="CU2754" s="2088"/>
      <c r="CV2754" s="2088"/>
      <c r="CW2754" s="2088"/>
      <c r="CX2754" s="2088"/>
      <c r="CY2754" s="2088"/>
      <c r="CZ2754" s="2088"/>
      <c r="DA2754" s="2088"/>
      <c r="DB2754" s="2088"/>
      <c r="DC2754" s="2088"/>
      <c r="DD2754" s="2088"/>
      <c r="DE2754" s="2088"/>
      <c r="DF2754" s="2088"/>
      <c r="DG2754" s="2088"/>
      <c r="DH2754" s="2088"/>
    </row>
    <row r="2755" ht="29.25" customHeight="1">
      <c r="A2755" s="41">
        <v>3172.0</v>
      </c>
      <c r="B2755" s="209" t="s">
        <v>516</v>
      </c>
      <c r="C2755" s="2087" t="s">
        <v>108</v>
      </c>
      <c r="D2755" s="2087" t="s">
        <v>15928</v>
      </c>
      <c r="E2755" s="2088"/>
      <c r="F2755" s="2090" t="s">
        <v>16202</v>
      </c>
      <c r="G2755" s="2090" t="s">
        <v>16232</v>
      </c>
      <c r="H2755" s="2091" t="s">
        <v>15931</v>
      </c>
      <c r="I2755" s="2226">
        <v>45809.0</v>
      </c>
      <c r="J2755" s="2260">
        <v>45840.0</v>
      </c>
      <c r="K2755" s="2089"/>
      <c r="L2755" s="209" t="s">
        <v>16204</v>
      </c>
      <c r="M2755" s="2227" t="s">
        <v>16205</v>
      </c>
      <c r="N2755" s="2227" t="s">
        <v>16206</v>
      </c>
      <c r="O2755" s="2089"/>
      <c r="P2755" s="2227" t="s">
        <v>16207</v>
      </c>
      <c r="Q2755" s="1381" t="s">
        <v>16208</v>
      </c>
      <c r="R2755" s="2227" t="s">
        <v>16220</v>
      </c>
      <c r="S2755" s="2229" t="s">
        <v>16210</v>
      </c>
      <c r="T2755" s="2089"/>
      <c r="U2755" s="2089"/>
      <c r="V2755" s="2090" t="s">
        <v>16211</v>
      </c>
      <c r="W2755" s="2089"/>
      <c r="X2755" s="2263" t="s">
        <v>16212</v>
      </c>
      <c r="Y2755" s="2089"/>
      <c r="Z2755" s="2090" t="s">
        <v>219</v>
      </c>
      <c r="AA2755" s="2089" t="s">
        <v>16213</v>
      </c>
      <c r="AB2755" s="2089" t="s">
        <v>16214</v>
      </c>
      <c r="AC2755" s="2089" t="s">
        <v>16235</v>
      </c>
      <c r="AD2755" s="2089" t="s">
        <v>16236</v>
      </c>
      <c r="AE2755" s="2089" t="s">
        <v>623</v>
      </c>
      <c r="AF2755" s="2096">
        <v>33.0</v>
      </c>
      <c r="AG2755" s="2096">
        <v>0.34</v>
      </c>
      <c r="AH2755" s="2089" t="s">
        <v>208</v>
      </c>
      <c r="AI2755" s="2089" t="s">
        <v>623</v>
      </c>
      <c r="AJ2755" s="2096">
        <v>0.05</v>
      </c>
      <c r="AK2755" s="2089" t="s">
        <v>128</v>
      </c>
      <c r="AL2755" s="2090" t="s">
        <v>179</v>
      </c>
      <c r="AM2755" s="2090" t="s">
        <v>130</v>
      </c>
      <c r="AN2755" s="2090" t="s">
        <v>131</v>
      </c>
      <c r="AO2755" s="2264">
        <v>3073.0</v>
      </c>
      <c r="AP2755" s="2089" t="s">
        <v>16237</v>
      </c>
      <c r="AQ2755" s="2089" t="s">
        <v>127</v>
      </c>
      <c r="AR2755" s="2089" t="s">
        <v>489</v>
      </c>
      <c r="AS2755" s="2096">
        <v>0.1</v>
      </c>
      <c r="AT2755" s="2089" t="s">
        <v>328</v>
      </c>
      <c r="AU2755" s="2089" t="s">
        <v>179</v>
      </c>
      <c r="AV2755" s="2089" t="s">
        <v>130</v>
      </c>
      <c r="AW2755" s="2089" t="s">
        <v>131</v>
      </c>
      <c r="AX2755" s="2089" t="s">
        <v>136</v>
      </c>
      <c r="AY2755" s="2088"/>
      <c r="AZ2755" s="2087" t="s">
        <v>13230</v>
      </c>
      <c r="BA2755" s="2088"/>
      <c r="BB2755" s="2088"/>
      <c r="BC2755" s="2088"/>
      <c r="BD2755" s="2088"/>
      <c r="BE2755" s="2088"/>
      <c r="BF2755" s="2088"/>
      <c r="BG2755" s="2088"/>
      <c r="BH2755" s="2088"/>
      <c r="BI2755" s="2088"/>
      <c r="BJ2755" s="2088"/>
      <c r="BK2755" s="2088"/>
      <c r="BL2755" s="2088"/>
      <c r="BM2755" s="2088"/>
      <c r="BN2755" s="2088"/>
      <c r="BO2755" s="2088"/>
      <c r="BP2755" s="2088"/>
      <c r="BQ2755" s="2088"/>
      <c r="BR2755" s="2088"/>
      <c r="BS2755" s="2088"/>
      <c r="BT2755" s="2088"/>
      <c r="BU2755" s="2088"/>
      <c r="BV2755" s="2088"/>
      <c r="BW2755" s="2088"/>
      <c r="BX2755" s="2088"/>
      <c r="BY2755" s="2088"/>
      <c r="BZ2755" s="2088"/>
      <c r="CA2755" s="2088"/>
      <c r="CB2755" s="2088"/>
      <c r="CC2755" s="2088"/>
      <c r="CD2755" s="2088"/>
      <c r="CE2755" s="2088"/>
      <c r="CF2755" s="2088"/>
      <c r="CG2755" s="2088"/>
      <c r="CH2755" s="2088"/>
      <c r="CI2755" s="2088"/>
      <c r="CJ2755" s="2088"/>
      <c r="CK2755" s="2088"/>
      <c r="CL2755" s="2088"/>
      <c r="CM2755" s="2088"/>
      <c r="CN2755" s="2088"/>
      <c r="CO2755" s="2088"/>
      <c r="CP2755" s="2088"/>
      <c r="CQ2755" s="2088"/>
      <c r="CR2755" s="2088"/>
      <c r="CS2755" s="2088"/>
      <c r="CT2755" s="2088"/>
      <c r="CU2755" s="2088"/>
      <c r="CV2755" s="2088"/>
      <c r="CW2755" s="2088"/>
      <c r="CX2755" s="2088"/>
      <c r="CY2755" s="2088"/>
      <c r="CZ2755" s="2088"/>
      <c r="DA2755" s="2088"/>
      <c r="DB2755" s="2088"/>
      <c r="DC2755" s="2088"/>
      <c r="DD2755" s="2088"/>
      <c r="DE2755" s="2088"/>
      <c r="DF2755" s="2088"/>
      <c r="DG2755" s="2088"/>
      <c r="DH2755" s="2088"/>
    </row>
    <row r="2756" ht="26.25" customHeight="1">
      <c r="A2756" s="41">
        <v>3110.0</v>
      </c>
      <c r="B2756" s="209" t="s">
        <v>516</v>
      </c>
      <c r="C2756" s="2087" t="s">
        <v>108</v>
      </c>
      <c r="D2756" s="2087" t="s">
        <v>146</v>
      </c>
      <c r="E2756" s="2088"/>
      <c r="F2756" s="2232" t="s">
        <v>16202</v>
      </c>
      <c r="G2756" s="2233" t="s">
        <v>16238</v>
      </c>
      <c r="H2756" s="2232" t="s">
        <v>15858</v>
      </c>
      <c r="I2756" s="2234">
        <v>45821.0</v>
      </c>
      <c r="J2756" s="2260">
        <v>45840.0</v>
      </c>
      <c r="K2756" s="2233" t="s">
        <v>16219</v>
      </c>
      <c r="L2756" s="209" t="s">
        <v>16204</v>
      </c>
      <c r="M2756" s="2233" t="s">
        <v>16205</v>
      </c>
      <c r="N2756" s="2233" t="s">
        <v>16206</v>
      </c>
      <c r="O2756" s="2089"/>
      <c r="P2756" s="2233" t="s">
        <v>16207</v>
      </c>
      <c r="Q2756" s="1381" t="s">
        <v>16208</v>
      </c>
      <c r="R2756" s="2233" t="s">
        <v>16220</v>
      </c>
      <c r="S2756" s="2233" t="s">
        <v>16210</v>
      </c>
      <c r="T2756" s="2089"/>
      <c r="U2756" s="2089"/>
      <c r="V2756" s="2233" t="s">
        <v>16211</v>
      </c>
      <c r="W2756" s="2089"/>
      <c r="X2756" s="2263" t="s">
        <v>16212</v>
      </c>
      <c r="Y2756" s="2089"/>
      <c r="Z2756" s="2233" t="s">
        <v>2933</v>
      </c>
      <c r="AA2756" s="2233" t="s">
        <v>16221</v>
      </c>
      <c r="AB2756" s="2233" t="s">
        <v>16222</v>
      </c>
      <c r="AC2756" s="2232" t="s">
        <v>16239</v>
      </c>
      <c r="AD2756" s="2232" t="s">
        <v>16224</v>
      </c>
      <c r="AE2756" s="2239">
        <v>11.0</v>
      </c>
      <c r="AF2756" s="2239">
        <v>34.0</v>
      </c>
      <c r="AG2756" s="2239">
        <v>-0.33</v>
      </c>
      <c r="AH2756" s="2233" t="s">
        <v>208</v>
      </c>
      <c r="AI2756" s="2232" t="s">
        <v>300</v>
      </c>
      <c r="AJ2756" s="2239">
        <v>0.1</v>
      </c>
      <c r="AK2756" s="2233" t="s">
        <v>128</v>
      </c>
      <c r="AL2756" s="2233" t="s">
        <v>179</v>
      </c>
      <c r="AM2756" s="2233" t="s">
        <v>130</v>
      </c>
      <c r="AN2756" s="2233" t="s">
        <v>131</v>
      </c>
      <c r="AO2756" s="2239">
        <v>2986.0</v>
      </c>
      <c r="AP2756" s="2239" t="s">
        <v>16240</v>
      </c>
      <c r="AQ2756" s="2089"/>
      <c r="AR2756" s="2232" t="s">
        <v>843</v>
      </c>
      <c r="AS2756" s="2239">
        <v>0.58</v>
      </c>
      <c r="AT2756" s="2233" t="s">
        <v>165</v>
      </c>
      <c r="AU2756" s="2233" t="s">
        <v>179</v>
      </c>
      <c r="AV2756" s="2233" t="s">
        <v>130</v>
      </c>
      <c r="AW2756" s="2233" t="s">
        <v>131</v>
      </c>
      <c r="AX2756" s="2233" t="s">
        <v>136</v>
      </c>
      <c r="AY2756" s="2088"/>
      <c r="AZ2756" s="2087" t="s">
        <v>13230</v>
      </c>
      <c r="BA2756" s="2088"/>
      <c r="BB2756" s="2088"/>
      <c r="BC2756" s="2088"/>
      <c r="BD2756" s="2088"/>
      <c r="BE2756" s="2088"/>
      <c r="BF2756" s="2088"/>
      <c r="BG2756" s="2088"/>
      <c r="BH2756" s="2088"/>
      <c r="BI2756" s="2088"/>
      <c r="BJ2756" s="2088"/>
      <c r="BK2756" s="2088"/>
      <c r="BL2756" s="2088"/>
      <c r="BM2756" s="2088"/>
      <c r="BN2756" s="2088"/>
      <c r="BO2756" s="2088"/>
      <c r="BP2756" s="2088"/>
      <c r="BQ2756" s="2088"/>
      <c r="BR2756" s="2088"/>
      <c r="BS2756" s="2088"/>
      <c r="BT2756" s="2088"/>
      <c r="BU2756" s="2088"/>
      <c r="BV2756" s="2088"/>
      <c r="BW2756" s="2088"/>
      <c r="BX2756" s="2088"/>
      <c r="BY2756" s="2088"/>
      <c r="BZ2756" s="2088"/>
      <c r="CA2756" s="2088"/>
      <c r="CB2756" s="2088"/>
      <c r="CC2756" s="2088"/>
      <c r="CD2756" s="2088"/>
      <c r="CE2756" s="2088"/>
      <c r="CF2756" s="2088"/>
      <c r="CG2756" s="2088"/>
      <c r="CH2756" s="2088"/>
      <c r="CI2756" s="2088"/>
      <c r="CJ2756" s="2088"/>
      <c r="CK2756" s="2088"/>
      <c r="CL2756" s="2088"/>
      <c r="CM2756" s="2088"/>
      <c r="CN2756" s="2088"/>
      <c r="CO2756" s="2088"/>
      <c r="CP2756" s="2088"/>
      <c r="CQ2756" s="2088"/>
      <c r="CR2756" s="2088"/>
      <c r="CS2756" s="2088"/>
      <c r="CT2756" s="2088"/>
      <c r="CU2756" s="2088"/>
      <c r="CV2756" s="2088"/>
      <c r="CW2756" s="2088"/>
      <c r="CX2756" s="2088"/>
      <c r="CY2756" s="2088"/>
      <c r="CZ2756" s="2088"/>
      <c r="DA2756" s="2088"/>
      <c r="DB2756" s="2088"/>
      <c r="DC2756" s="2088"/>
      <c r="DD2756" s="2088"/>
      <c r="DE2756" s="2088"/>
      <c r="DF2756" s="2088"/>
      <c r="DG2756" s="2088"/>
      <c r="DH2756" s="2088"/>
    </row>
    <row r="2757" ht="20.25" customHeight="1">
      <c r="A2757" s="41">
        <v>3173.0</v>
      </c>
      <c r="B2757" s="209" t="s">
        <v>516</v>
      </c>
      <c r="C2757" s="2087" t="s">
        <v>108</v>
      </c>
      <c r="D2757" s="2087" t="s">
        <v>15928</v>
      </c>
      <c r="E2757" s="2088"/>
      <c r="F2757" s="2090" t="s">
        <v>16202</v>
      </c>
      <c r="G2757" s="2090" t="s">
        <v>16238</v>
      </c>
      <c r="H2757" s="2091" t="s">
        <v>15931</v>
      </c>
      <c r="I2757" s="2226">
        <v>45809.0</v>
      </c>
      <c r="J2757" s="2260">
        <v>45840.0</v>
      </c>
      <c r="K2757" s="2089"/>
      <c r="L2757" s="209" t="s">
        <v>16204</v>
      </c>
      <c r="M2757" s="2227" t="s">
        <v>16205</v>
      </c>
      <c r="N2757" s="2227" t="s">
        <v>16206</v>
      </c>
      <c r="O2757" s="2089"/>
      <c r="P2757" s="2227" t="s">
        <v>16207</v>
      </c>
      <c r="Q2757" s="1381" t="s">
        <v>16208</v>
      </c>
      <c r="R2757" s="2227" t="s">
        <v>16220</v>
      </c>
      <c r="S2757" s="2229" t="s">
        <v>16210</v>
      </c>
      <c r="T2757" s="2089"/>
      <c r="U2757" s="2089"/>
      <c r="V2757" s="2090" t="s">
        <v>16211</v>
      </c>
      <c r="W2757" s="2089"/>
      <c r="X2757" s="2263" t="s">
        <v>16212</v>
      </c>
      <c r="Y2757" s="2089"/>
      <c r="Z2757" s="2090" t="s">
        <v>219</v>
      </c>
      <c r="AA2757" s="2089" t="s">
        <v>16213</v>
      </c>
      <c r="AB2757" s="2089" t="s">
        <v>16214</v>
      </c>
      <c r="AC2757" s="2089" t="s">
        <v>16241</v>
      </c>
      <c r="AD2757" s="2089" t="s">
        <v>16242</v>
      </c>
      <c r="AE2757" s="2089" t="s">
        <v>1167</v>
      </c>
      <c r="AF2757" s="2096">
        <v>35.0</v>
      </c>
      <c r="AG2757" s="2089" t="s">
        <v>16243</v>
      </c>
      <c r="AH2757" s="2089"/>
      <c r="AI2757" s="2089" t="s">
        <v>1167</v>
      </c>
      <c r="AJ2757" s="2089" t="s">
        <v>131</v>
      </c>
      <c r="AK2757" s="2089" t="s">
        <v>165</v>
      </c>
      <c r="AL2757" s="2090" t="s">
        <v>179</v>
      </c>
      <c r="AM2757" s="2090" t="s">
        <v>130</v>
      </c>
      <c r="AN2757" s="2090" t="s">
        <v>131</v>
      </c>
      <c r="AO2757" s="2264">
        <v>3073.0</v>
      </c>
      <c r="AP2757" s="2089" t="s">
        <v>16244</v>
      </c>
      <c r="AQ2757" s="2089" t="s">
        <v>127</v>
      </c>
      <c r="AR2757" s="2089" t="s">
        <v>489</v>
      </c>
      <c r="AS2757" s="2096">
        <v>0.1</v>
      </c>
      <c r="AT2757" s="2089" t="s">
        <v>328</v>
      </c>
      <c r="AU2757" s="2089" t="s">
        <v>179</v>
      </c>
      <c r="AV2757" s="2089" t="s">
        <v>130</v>
      </c>
      <c r="AW2757" s="2089" t="s">
        <v>131</v>
      </c>
      <c r="AX2757" s="2089" t="s">
        <v>136</v>
      </c>
      <c r="AY2757" s="2088"/>
      <c r="AZ2757" s="2087" t="s">
        <v>13230</v>
      </c>
      <c r="BA2757" s="2088"/>
      <c r="BB2757" s="2088"/>
      <c r="BC2757" s="2088"/>
      <c r="BD2757" s="2088"/>
      <c r="BE2757" s="2088"/>
      <c r="BF2757" s="2088"/>
      <c r="BG2757" s="2088"/>
      <c r="BH2757" s="2088"/>
      <c r="BI2757" s="2088"/>
      <c r="BJ2757" s="2088"/>
      <c r="BK2757" s="2088"/>
      <c r="BL2757" s="2088"/>
      <c r="BM2757" s="2088"/>
      <c r="BN2757" s="2088"/>
      <c r="BO2757" s="2088"/>
      <c r="BP2757" s="2088"/>
      <c r="BQ2757" s="2088"/>
      <c r="BR2757" s="2088"/>
      <c r="BS2757" s="2088"/>
      <c r="BT2757" s="2088"/>
      <c r="BU2757" s="2088"/>
      <c r="BV2757" s="2088"/>
      <c r="BW2757" s="2088"/>
      <c r="BX2757" s="2088"/>
      <c r="BY2757" s="2088"/>
      <c r="BZ2757" s="2088"/>
      <c r="CA2757" s="2088"/>
      <c r="CB2757" s="2088"/>
      <c r="CC2757" s="2088"/>
      <c r="CD2757" s="2088"/>
      <c r="CE2757" s="2088"/>
      <c r="CF2757" s="2088"/>
      <c r="CG2757" s="2088"/>
      <c r="CH2757" s="2088"/>
      <c r="CI2757" s="2088"/>
      <c r="CJ2757" s="2088"/>
      <c r="CK2757" s="2088"/>
      <c r="CL2757" s="2088"/>
      <c r="CM2757" s="2088"/>
      <c r="CN2757" s="2088"/>
      <c r="CO2757" s="2088"/>
      <c r="CP2757" s="2088"/>
      <c r="CQ2757" s="2088"/>
      <c r="CR2757" s="2088"/>
      <c r="CS2757" s="2088"/>
      <c r="CT2757" s="2088"/>
      <c r="CU2757" s="2088"/>
      <c r="CV2757" s="2088"/>
      <c r="CW2757" s="2088"/>
      <c r="CX2757" s="2088"/>
      <c r="CY2757" s="2088"/>
      <c r="CZ2757" s="2088"/>
      <c r="DA2757" s="2088"/>
      <c r="DB2757" s="2088"/>
      <c r="DC2757" s="2088"/>
      <c r="DD2757" s="2088"/>
      <c r="DE2757" s="2088"/>
      <c r="DF2757" s="2088"/>
      <c r="DG2757" s="2088"/>
      <c r="DH2757" s="2088"/>
    </row>
    <row r="2758" ht="24.0" customHeight="1">
      <c r="A2758" s="41">
        <v>3111.0</v>
      </c>
      <c r="B2758" s="209" t="s">
        <v>516</v>
      </c>
      <c r="C2758" s="2087" t="s">
        <v>108</v>
      </c>
      <c r="D2758" s="2087" t="s">
        <v>146</v>
      </c>
      <c r="E2758" s="2088"/>
      <c r="F2758" s="2232" t="s">
        <v>16202</v>
      </c>
      <c r="G2758" s="2233" t="s">
        <v>16245</v>
      </c>
      <c r="H2758" s="2232" t="s">
        <v>15858</v>
      </c>
      <c r="I2758" s="2234">
        <v>45821.0</v>
      </c>
      <c r="J2758" s="2260">
        <v>45840.0</v>
      </c>
      <c r="K2758" s="2233" t="s">
        <v>16219</v>
      </c>
      <c r="L2758" s="209" t="s">
        <v>16204</v>
      </c>
      <c r="M2758" s="2233" t="s">
        <v>16205</v>
      </c>
      <c r="N2758" s="2233" t="s">
        <v>16206</v>
      </c>
      <c r="O2758" s="2089"/>
      <c r="P2758" s="2233" t="s">
        <v>16207</v>
      </c>
      <c r="Q2758" s="1381" t="s">
        <v>16208</v>
      </c>
      <c r="R2758" s="2233" t="s">
        <v>16220</v>
      </c>
      <c r="S2758" s="2233" t="s">
        <v>16210</v>
      </c>
      <c r="T2758" s="2089"/>
      <c r="U2758" s="2089"/>
      <c r="V2758" s="2233" t="s">
        <v>16211</v>
      </c>
      <c r="W2758" s="2089"/>
      <c r="X2758" s="2263" t="s">
        <v>16212</v>
      </c>
      <c r="Y2758" s="2089"/>
      <c r="Z2758" s="2233" t="s">
        <v>2933</v>
      </c>
      <c r="AA2758" s="2233" t="s">
        <v>16221</v>
      </c>
      <c r="AB2758" s="2233" t="s">
        <v>16222</v>
      </c>
      <c r="AC2758" s="2232" t="s">
        <v>16246</v>
      </c>
      <c r="AD2758" s="2232" t="s">
        <v>16224</v>
      </c>
      <c r="AE2758" s="2239">
        <v>11.0</v>
      </c>
      <c r="AF2758" s="2239">
        <v>34.0</v>
      </c>
      <c r="AG2758" s="2239">
        <v>-0.54</v>
      </c>
      <c r="AH2758" s="2233" t="s">
        <v>208</v>
      </c>
      <c r="AI2758" s="2232" t="s">
        <v>300</v>
      </c>
      <c r="AJ2758" s="2239">
        <v>0.01</v>
      </c>
      <c r="AK2758" s="2233" t="s">
        <v>128</v>
      </c>
      <c r="AL2758" s="2233" t="s">
        <v>179</v>
      </c>
      <c r="AM2758" s="2233" t="s">
        <v>130</v>
      </c>
      <c r="AN2758" s="2233" t="s">
        <v>131</v>
      </c>
      <c r="AO2758" s="2239">
        <v>2986.0</v>
      </c>
      <c r="AP2758" s="2239" t="s">
        <v>16247</v>
      </c>
      <c r="AQ2758" s="2089"/>
      <c r="AR2758" s="2232" t="s">
        <v>843</v>
      </c>
      <c r="AS2758" s="2239">
        <v>0.5</v>
      </c>
      <c r="AT2758" s="2233" t="s">
        <v>165</v>
      </c>
      <c r="AU2758" s="2233" t="s">
        <v>179</v>
      </c>
      <c r="AV2758" s="2233" t="s">
        <v>130</v>
      </c>
      <c r="AW2758" s="2233" t="s">
        <v>131</v>
      </c>
      <c r="AX2758" s="2233" t="s">
        <v>136</v>
      </c>
      <c r="AY2758" s="2088"/>
      <c r="AZ2758" s="2087" t="s">
        <v>13230</v>
      </c>
      <c r="BA2758" s="2088"/>
      <c r="BB2758" s="2088"/>
      <c r="BC2758" s="2088"/>
      <c r="BD2758" s="2088"/>
      <c r="BE2758" s="2088"/>
      <c r="BF2758" s="2088"/>
      <c r="BG2758" s="2088"/>
      <c r="BH2758" s="2088"/>
      <c r="BI2758" s="2088"/>
      <c r="BJ2758" s="2088"/>
      <c r="BK2758" s="2088"/>
      <c r="BL2758" s="2088"/>
      <c r="BM2758" s="2088"/>
      <c r="BN2758" s="2088"/>
      <c r="BO2758" s="2088"/>
      <c r="BP2758" s="2088"/>
      <c r="BQ2758" s="2088"/>
      <c r="BR2758" s="2088"/>
      <c r="BS2758" s="2088"/>
      <c r="BT2758" s="2088"/>
      <c r="BU2758" s="2088"/>
      <c r="BV2758" s="2088"/>
      <c r="BW2758" s="2088"/>
      <c r="BX2758" s="2088"/>
      <c r="BY2758" s="2088"/>
      <c r="BZ2758" s="2088"/>
      <c r="CA2758" s="2088"/>
      <c r="CB2758" s="2088"/>
      <c r="CC2758" s="2088"/>
      <c r="CD2758" s="2088"/>
      <c r="CE2758" s="2088"/>
      <c r="CF2758" s="2088"/>
      <c r="CG2758" s="2088"/>
      <c r="CH2758" s="2088"/>
      <c r="CI2758" s="2088"/>
      <c r="CJ2758" s="2088"/>
      <c r="CK2758" s="2088"/>
      <c r="CL2758" s="2088"/>
      <c r="CM2758" s="2088"/>
      <c r="CN2758" s="2088"/>
      <c r="CO2758" s="2088"/>
      <c r="CP2758" s="2088"/>
      <c r="CQ2758" s="2088"/>
      <c r="CR2758" s="2088"/>
      <c r="CS2758" s="2088"/>
      <c r="CT2758" s="2088"/>
      <c r="CU2758" s="2088"/>
      <c r="CV2758" s="2088"/>
      <c r="CW2758" s="2088"/>
      <c r="CX2758" s="2088"/>
      <c r="CY2758" s="2088"/>
      <c r="CZ2758" s="2088"/>
      <c r="DA2758" s="2088"/>
      <c r="DB2758" s="2088"/>
      <c r="DC2758" s="2088"/>
      <c r="DD2758" s="2088"/>
      <c r="DE2758" s="2088"/>
      <c r="DF2758" s="2088"/>
      <c r="DG2758" s="2088"/>
      <c r="DH2758" s="2088"/>
    </row>
    <row r="2759" ht="22.5" customHeight="1">
      <c r="A2759" s="41">
        <v>3174.0</v>
      </c>
      <c r="B2759" s="209" t="s">
        <v>516</v>
      </c>
      <c r="C2759" s="2087" t="s">
        <v>108</v>
      </c>
      <c r="D2759" s="2087" t="s">
        <v>15928</v>
      </c>
      <c r="E2759" s="2088"/>
      <c r="F2759" s="2090" t="s">
        <v>16202</v>
      </c>
      <c r="G2759" s="2090" t="s">
        <v>16245</v>
      </c>
      <c r="H2759" s="2091" t="s">
        <v>15931</v>
      </c>
      <c r="I2759" s="2226">
        <v>45809.0</v>
      </c>
      <c r="J2759" s="2260">
        <v>45840.0</v>
      </c>
      <c r="K2759" s="2089"/>
      <c r="L2759" s="209" t="s">
        <v>16204</v>
      </c>
      <c r="M2759" s="2227" t="s">
        <v>16205</v>
      </c>
      <c r="N2759" s="2227" t="s">
        <v>16206</v>
      </c>
      <c r="O2759" s="2089"/>
      <c r="P2759" s="2227" t="s">
        <v>16207</v>
      </c>
      <c r="Q2759" s="1381" t="s">
        <v>16208</v>
      </c>
      <c r="R2759" s="2227" t="s">
        <v>16220</v>
      </c>
      <c r="S2759" s="2229" t="s">
        <v>16210</v>
      </c>
      <c r="T2759" s="2089"/>
      <c r="U2759" s="2089"/>
      <c r="V2759" s="2090" t="s">
        <v>16211</v>
      </c>
      <c r="W2759" s="2089"/>
      <c r="X2759" s="2263" t="s">
        <v>16212</v>
      </c>
      <c r="Y2759" s="2089"/>
      <c r="Z2759" s="2090" t="s">
        <v>219</v>
      </c>
      <c r="AA2759" s="2089" t="s">
        <v>16213</v>
      </c>
      <c r="AB2759" s="2089" t="s">
        <v>16214</v>
      </c>
      <c r="AC2759" s="2089" t="s">
        <v>16248</v>
      </c>
      <c r="AD2759" s="2089" t="s">
        <v>16249</v>
      </c>
      <c r="AE2759" s="2089" t="s">
        <v>1167</v>
      </c>
      <c r="AF2759" s="2096">
        <v>33.0</v>
      </c>
      <c r="AG2759" s="2089" t="s">
        <v>16250</v>
      </c>
      <c r="AH2759" s="2089"/>
      <c r="AI2759" s="2089" t="s">
        <v>1167</v>
      </c>
      <c r="AJ2759" s="2089" t="s">
        <v>131</v>
      </c>
      <c r="AK2759" s="2089" t="s">
        <v>165</v>
      </c>
      <c r="AL2759" s="2090" t="s">
        <v>179</v>
      </c>
      <c r="AM2759" s="2090" t="s">
        <v>130</v>
      </c>
      <c r="AN2759" s="2090" t="s">
        <v>131</v>
      </c>
      <c r="AO2759" s="2264">
        <v>3073.0</v>
      </c>
      <c r="AP2759" s="2089" t="s">
        <v>16251</v>
      </c>
      <c r="AQ2759" s="2089" t="s">
        <v>127</v>
      </c>
      <c r="AR2759" s="2089" t="s">
        <v>489</v>
      </c>
      <c r="AS2759" s="2096">
        <v>0.1</v>
      </c>
      <c r="AT2759" s="2089" t="s">
        <v>328</v>
      </c>
      <c r="AU2759" s="2089" t="s">
        <v>179</v>
      </c>
      <c r="AV2759" s="2089" t="s">
        <v>130</v>
      </c>
      <c r="AW2759" s="2089" t="s">
        <v>131</v>
      </c>
      <c r="AX2759" s="2089" t="s">
        <v>136</v>
      </c>
      <c r="AY2759" s="2088"/>
      <c r="AZ2759" s="2087" t="s">
        <v>13230</v>
      </c>
      <c r="BA2759" s="2088"/>
      <c r="BB2759" s="2088"/>
      <c r="BC2759" s="2088"/>
      <c r="BD2759" s="2088"/>
      <c r="BE2759" s="2088"/>
      <c r="BF2759" s="2088"/>
      <c r="BG2759" s="2088"/>
      <c r="BH2759" s="2088"/>
      <c r="BI2759" s="2088"/>
      <c r="BJ2759" s="2088"/>
      <c r="BK2759" s="2088"/>
      <c r="BL2759" s="2088"/>
      <c r="BM2759" s="2088"/>
      <c r="BN2759" s="2088"/>
      <c r="BO2759" s="2088"/>
      <c r="BP2759" s="2088"/>
      <c r="BQ2759" s="2088"/>
      <c r="BR2759" s="2088"/>
      <c r="BS2759" s="2088"/>
      <c r="BT2759" s="2088"/>
      <c r="BU2759" s="2088"/>
      <c r="BV2759" s="2088"/>
      <c r="BW2759" s="2088"/>
      <c r="BX2759" s="2088"/>
      <c r="BY2759" s="2088"/>
      <c r="BZ2759" s="2088"/>
      <c r="CA2759" s="2088"/>
      <c r="CB2759" s="2088"/>
      <c r="CC2759" s="2088"/>
      <c r="CD2759" s="2088"/>
      <c r="CE2759" s="2088"/>
      <c r="CF2759" s="2088"/>
      <c r="CG2759" s="2088"/>
      <c r="CH2759" s="2088"/>
      <c r="CI2759" s="2088"/>
      <c r="CJ2759" s="2088"/>
      <c r="CK2759" s="2088"/>
      <c r="CL2759" s="2088"/>
      <c r="CM2759" s="2088"/>
      <c r="CN2759" s="2088"/>
      <c r="CO2759" s="2088"/>
      <c r="CP2759" s="2088"/>
      <c r="CQ2759" s="2088"/>
      <c r="CR2759" s="2088"/>
      <c r="CS2759" s="2088"/>
      <c r="CT2759" s="2088"/>
      <c r="CU2759" s="2088"/>
      <c r="CV2759" s="2088"/>
      <c r="CW2759" s="2088"/>
      <c r="CX2759" s="2088"/>
      <c r="CY2759" s="2088"/>
      <c r="CZ2759" s="2088"/>
      <c r="DA2759" s="2088"/>
      <c r="DB2759" s="2088"/>
      <c r="DC2759" s="2088"/>
      <c r="DD2759" s="2088"/>
      <c r="DE2759" s="2088"/>
      <c r="DF2759" s="2088"/>
      <c r="DG2759" s="2088"/>
      <c r="DH2759" s="2088"/>
    </row>
    <row r="2760" ht="23.25" customHeight="1">
      <c r="A2760" s="41">
        <v>3112.0</v>
      </c>
      <c r="B2760" s="209" t="s">
        <v>516</v>
      </c>
      <c r="C2760" s="2087" t="s">
        <v>108</v>
      </c>
      <c r="D2760" s="2087" t="s">
        <v>146</v>
      </c>
      <c r="E2760" s="2088"/>
      <c r="F2760" s="2232" t="s">
        <v>16202</v>
      </c>
      <c r="G2760" s="2233" t="s">
        <v>16252</v>
      </c>
      <c r="H2760" s="2232" t="s">
        <v>15858</v>
      </c>
      <c r="I2760" s="2234">
        <v>45821.0</v>
      </c>
      <c r="J2760" s="2260">
        <v>45840.0</v>
      </c>
      <c r="K2760" s="2233" t="s">
        <v>16219</v>
      </c>
      <c r="L2760" s="209" t="s">
        <v>16204</v>
      </c>
      <c r="M2760" s="2233" t="s">
        <v>16205</v>
      </c>
      <c r="N2760" s="2233" t="s">
        <v>16206</v>
      </c>
      <c r="O2760" s="2089"/>
      <c r="P2760" s="2233" t="s">
        <v>16207</v>
      </c>
      <c r="Q2760" s="1381" t="s">
        <v>16208</v>
      </c>
      <c r="R2760" s="2233" t="s">
        <v>16220</v>
      </c>
      <c r="S2760" s="2233" t="s">
        <v>16210</v>
      </c>
      <c r="T2760" s="2089"/>
      <c r="U2760" s="2089"/>
      <c r="V2760" s="2233" t="s">
        <v>16211</v>
      </c>
      <c r="W2760" s="2089"/>
      <c r="X2760" s="2263" t="s">
        <v>16212</v>
      </c>
      <c r="Y2760" s="2089"/>
      <c r="Z2760" s="2233" t="s">
        <v>2933</v>
      </c>
      <c r="AA2760" s="2233" t="s">
        <v>16221</v>
      </c>
      <c r="AB2760" s="2233" t="s">
        <v>16222</v>
      </c>
      <c r="AC2760" s="2232" t="s">
        <v>16253</v>
      </c>
      <c r="AD2760" s="2232" t="s">
        <v>16224</v>
      </c>
      <c r="AE2760" s="2239">
        <v>11.0</v>
      </c>
      <c r="AF2760" s="2239">
        <v>34.0</v>
      </c>
      <c r="AG2760" s="2239">
        <v>-0.12</v>
      </c>
      <c r="AH2760" s="2233" t="s">
        <v>208</v>
      </c>
      <c r="AI2760" s="2232" t="s">
        <v>300</v>
      </c>
      <c r="AJ2760" s="2239">
        <v>0.1</v>
      </c>
      <c r="AK2760" s="2233" t="s">
        <v>328</v>
      </c>
      <c r="AL2760" s="2233" t="s">
        <v>179</v>
      </c>
      <c r="AM2760" s="2233" t="s">
        <v>130</v>
      </c>
      <c r="AN2760" s="2233" t="s">
        <v>131</v>
      </c>
      <c r="AO2760" s="2239">
        <v>2986.0</v>
      </c>
      <c r="AP2760" s="2239" t="s">
        <v>16254</v>
      </c>
      <c r="AQ2760" s="2089"/>
      <c r="AR2760" s="2232" t="s">
        <v>843</v>
      </c>
      <c r="AS2760" s="2239">
        <v>0.41</v>
      </c>
      <c r="AT2760" s="2233" t="s">
        <v>165</v>
      </c>
      <c r="AU2760" s="2233" t="s">
        <v>179</v>
      </c>
      <c r="AV2760" s="2233" t="s">
        <v>130</v>
      </c>
      <c r="AW2760" s="2233" t="s">
        <v>131</v>
      </c>
      <c r="AX2760" s="2233" t="s">
        <v>136</v>
      </c>
      <c r="AY2760" s="2088"/>
      <c r="AZ2760" s="2087" t="s">
        <v>13230</v>
      </c>
      <c r="BA2760" s="2088"/>
      <c r="BB2760" s="2088"/>
      <c r="BC2760" s="2088"/>
      <c r="BD2760" s="2088"/>
      <c r="BE2760" s="2088"/>
      <c r="BF2760" s="2088"/>
      <c r="BG2760" s="2088"/>
      <c r="BH2760" s="2088"/>
      <c r="BI2760" s="2088"/>
      <c r="BJ2760" s="2088"/>
      <c r="BK2760" s="2088"/>
      <c r="BL2760" s="2088"/>
      <c r="BM2760" s="2088"/>
      <c r="BN2760" s="2088"/>
      <c r="BO2760" s="2088"/>
      <c r="BP2760" s="2088"/>
      <c r="BQ2760" s="2088"/>
      <c r="BR2760" s="2088"/>
      <c r="BS2760" s="2088"/>
      <c r="BT2760" s="2088"/>
      <c r="BU2760" s="2088"/>
      <c r="BV2760" s="2088"/>
      <c r="BW2760" s="2088"/>
      <c r="BX2760" s="2088"/>
      <c r="BY2760" s="2088"/>
      <c r="BZ2760" s="2088"/>
      <c r="CA2760" s="2088"/>
      <c r="CB2760" s="2088"/>
      <c r="CC2760" s="2088"/>
      <c r="CD2760" s="2088"/>
      <c r="CE2760" s="2088"/>
      <c r="CF2760" s="2088"/>
      <c r="CG2760" s="2088"/>
      <c r="CH2760" s="2088"/>
      <c r="CI2760" s="2088"/>
      <c r="CJ2760" s="2088"/>
      <c r="CK2760" s="2088"/>
      <c r="CL2760" s="2088"/>
      <c r="CM2760" s="2088"/>
      <c r="CN2760" s="2088"/>
      <c r="CO2760" s="2088"/>
      <c r="CP2760" s="2088"/>
      <c r="CQ2760" s="2088"/>
      <c r="CR2760" s="2088"/>
      <c r="CS2760" s="2088"/>
      <c r="CT2760" s="2088"/>
      <c r="CU2760" s="2088"/>
      <c r="CV2760" s="2088"/>
      <c r="CW2760" s="2088"/>
      <c r="CX2760" s="2088"/>
      <c r="CY2760" s="2088"/>
      <c r="CZ2760" s="2088"/>
      <c r="DA2760" s="2088"/>
      <c r="DB2760" s="2088"/>
      <c r="DC2760" s="2088"/>
      <c r="DD2760" s="2088"/>
      <c r="DE2760" s="2088"/>
      <c r="DF2760" s="2088"/>
      <c r="DG2760" s="2088"/>
      <c r="DH2760" s="2088"/>
    </row>
    <row r="2761" ht="18.75" customHeight="1">
      <c r="A2761" s="41">
        <v>3175.0</v>
      </c>
      <c r="B2761" s="209" t="s">
        <v>516</v>
      </c>
      <c r="C2761" s="2087" t="s">
        <v>108</v>
      </c>
      <c r="D2761" s="2087" t="s">
        <v>15928</v>
      </c>
      <c r="E2761" s="2088"/>
      <c r="F2761" s="2090" t="s">
        <v>16202</v>
      </c>
      <c r="G2761" s="2090" t="s">
        <v>16252</v>
      </c>
      <c r="H2761" s="2091" t="s">
        <v>15931</v>
      </c>
      <c r="I2761" s="2226">
        <v>45809.0</v>
      </c>
      <c r="J2761" s="2260">
        <v>45840.0</v>
      </c>
      <c r="K2761" s="2089"/>
      <c r="L2761" s="209" t="s">
        <v>16204</v>
      </c>
      <c r="M2761" s="2227" t="s">
        <v>16205</v>
      </c>
      <c r="N2761" s="2227" t="s">
        <v>16206</v>
      </c>
      <c r="O2761" s="2089"/>
      <c r="P2761" s="2227" t="s">
        <v>16207</v>
      </c>
      <c r="Q2761" s="1381" t="s">
        <v>16208</v>
      </c>
      <c r="R2761" s="2227" t="s">
        <v>16220</v>
      </c>
      <c r="S2761" s="2229" t="s">
        <v>16210</v>
      </c>
      <c r="T2761" s="2089"/>
      <c r="U2761" s="2089"/>
      <c r="V2761" s="2090" t="s">
        <v>16211</v>
      </c>
      <c r="W2761" s="2089"/>
      <c r="X2761" s="2263" t="s">
        <v>16212</v>
      </c>
      <c r="Y2761" s="2089"/>
      <c r="Z2761" s="2090" t="s">
        <v>219</v>
      </c>
      <c r="AA2761" s="2089" t="s">
        <v>16213</v>
      </c>
      <c r="AB2761" s="2089" t="s">
        <v>16214</v>
      </c>
      <c r="AC2761" s="2089" t="s">
        <v>16255</v>
      </c>
      <c r="AD2761" s="2089"/>
      <c r="AE2761" s="2089" t="s">
        <v>1167</v>
      </c>
      <c r="AF2761" s="2096">
        <v>36.0</v>
      </c>
      <c r="AG2761" s="2265" t="s">
        <v>16256</v>
      </c>
      <c r="AH2761" s="2089"/>
      <c r="AI2761" s="2089" t="s">
        <v>1167</v>
      </c>
      <c r="AJ2761" s="2089" t="s">
        <v>131</v>
      </c>
      <c r="AK2761" s="2089" t="s">
        <v>165</v>
      </c>
      <c r="AL2761" s="2090" t="s">
        <v>179</v>
      </c>
      <c r="AM2761" s="2090" t="s">
        <v>130</v>
      </c>
      <c r="AN2761" s="2090" t="s">
        <v>131</v>
      </c>
      <c r="AO2761" s="2264">
        <v>3073.0</v>
      </c>
      <c r="AP2761" s="2089" t="s">
        <v>16257</v>
      </c>
      <c r="AQ2761" s="2089" t="s">
        <v>127</v>
      </c>
      <c r="AR2761" s="2089" t="s">
        <v>489</v>
      </c>
      <c r="AS2761" s="2096">
        <v>0.1</v>
      </c>
      <c r="AT2761" s="2089" t="s">
        <v>328</v>
      </c>
      <c r="AU2761" s="2089" t="s">
        <v>179</v>
      </c>
      <c r="AV2761" s="2089" t="s">
        <v>130</v>
      </c>
      <c r="AW2761" s="2089" t="s">
        <v>131</v>
      </c>
      <c r="AX2761" s="2089" t="s">
        <v>136</v>
      </c>
      <c r="AY2761" s="2088"/>
      <c r="AZ2761" s="2087" t="s">
        <v>13230</v>
      </c>
      <c r="BA2761" s="2088"/>
      <c r="BB2761" s="2088"/>
      <c r="BC2761" s="2088"/>
      <c r="BD2761" s="2088"/>
      <c r="BE2761" s="2088"/>
      <c r="BF2761" s="2088"/>
      <c r="BG2761" s="2088"/>
      <c r="BH2761" s="2088"/>
      <c r="BI2761" s="2088"/>
      <c r="BJ2761" s="2088"/>
      <c r="BK2761" s="2088"/>
      <c r="BL2761" s="2088"/>
      <c r="BM2761" s="2088"/>
      <c r="BN2761" s="2088"/>
      <c r="BO2761" s="2088"/>
      <c r="BP2761" s="2088"/>
      <c r="BQ2761" s="2088"/>
      <c r="BR2761" s="2088"/>
      <c r="BS2761" s="2088"/>
      <c r="BT2761" s="2088"/>
      <c r="BU2761" s="2088"/>
      <c r="BV2761" s="2088"/>
      <c r="BW2761" s="2088"/>
      <c r="BX2761" s="2088"/>
      <c r="BY2761" s="2088"/>
      <c r="BZ2761" s="2088"/>
      <c r="CA2761" s="2088"/>
      <c r="CB2761" s="2088"/>
      <c r="CC2761" s="2088"/>
      <c r="CD2761" s="2088"/>
      <c r="CE2761" s="2088"/>
      <c r="CF2761" s="2088"/>
      <c r="CG2761" s="2088"/>
      <c r="CH2761" s="2088"/>
      <c r="CI2761" s="2088"/>
      <c r="CJ2761" s="2088"/>
      <c r="CK2761" s="2088"/>
      <c r="CL2761" s="2088"/>
      <c r="CM2761" s="2088"/>
      <c r="CN2761" s="2088"/>
      <c r="CO2761" s="2088"/>
      <c r="CP2761" s="2088"/>
      <c r="CQ2761" s="2088"/>
      <c r="CR2761" s="2088"/>
      <c r="CS2761" s="2088"/>
      <c r="CT2761" s="2088"/>
      <c r="CU2761" s="2088"/>
      <c r="CV2761" s="2088"/>
      <c r="CW2761" s="2088"/>
      <c r="CX2761" s="2088"/>
      <c r="CY2761" s="2088"/>
      <c r="CZ2761" s="2088"/>
      <c r="DA2761" s="2088"/>
      <c r="DB2761" s="2088"/>
      <c r="DC2761" s="2088"/>
      <c r="DD2761" s="2088"/>
      <c r="DE2761" s="2088"/>
      <c r="DF2761" s="2088"/>
      <c r="DG2761" s="2088"/>
      <c r="DH2761" s="2088"/>
    </row>
    <row r="2762" ht="27.0" customHeight="1">
      <c r="A2762" s="41">
        <v>3113.0</v>
      </c>
      <c r="B2762" s="209" t="s">
        <v>516</v>
      </c>
      <c r="C2762" s="2087" t="s">
        <v>108</v>
      </c>
      <c r="D2762" s="2087" t="s">
        <v>146</v>
      </c>
      <c r="E2762" s="2088"/>
      <c r="F2762" s="2232" t="s">
        <v>16202</v>
      </c>
      <c r="G2762" s="2233" t="s">
        <v>16258</v>
      </c>
      <c r="H2762" s="2232" t="s">
        <v>15858</v>
      </c>
      <c r="I2762" s="2234">
        <v>45821.0</v>
      </c>
      <c r="J2762" s="2260">
        <v>45840.0</v>
      </c>
      <c r="K2762" s="2233" t="s">
        <v>16219</v>
      </c>
      <c r="L2762" s="209" t="s">
        <v>16204</v>
      </c>
      <c r="M2762" s="2233" t="s">
        <v>16205</v>
      </c>
      <c r="N2762" s="2233" t="s">
        <v>16206</v>
      </c>
      <c r="O2762" s="2089"/>
      <c r="P2762" s="2233" t="s">
        <v>16207</v>
      </c>
      <c r="Q2762" s="1381" t="s">
        <v>16208</v>
      </c>
      <c r="R2762" s="2233" t="s">
        <v>16220</v>
      </c>
      <c r="S2762" s="2233" t="s">
        <v>16210</v>
      </c>
      <c r="T2762" s="2089"/>
      <c r="U2762" s="2089"/>
      <c r="V2762" s="2233" t="s">
        <v>16211</v>
      </c>
      <c r="W2762" s="2089"/>
      <c r="X2762" s="2263" t="s">
        <v>16212</v>
      </c>
      <c r="Y2762" s="2089"/>
      <c r="Z2762" s="2233" t="s">
        <v>2933</v>
      </c>
      <c r="AA2762" s="2233" t="s">
        <v>16221</v>
      </c>
      <c r="AB2762" s="2233" t="s">
        <v>16222</v>
      </c>
      <c r="AC2762" s="2232" t="s">
        <v>16259</v>
      </c>
      <c r="AD2762" s="2232" t="s">
        <v>16224</v>
      </c>
      <c r="AE2762" s="2239">
        <v>11.0</v>
      </c>
      <c r="AF2762" s="2239">
        <v>35.0</v>
      </c>
      <c r="AG2762" s="2239">
        <v>-0.29</v>
      </c>
      <c r="AH2762" s="2233" t="s">
        <v>208</v>
      </c>
      <c r="AI2762" s="2232" t="s">
        <v>300</v>
      </c>
      <c r="AJ2762" s="2239">
        <v>0.1</v>
      </c>
      <c r="AK2762" s="2233" t="s">
        <v>128</v>
      </c>
      <c r="AL2762" s="2233" t="s">
        <v>179</v>
      </c>
      <c r="AM2762" s="2233" t="s">
        <v>130</v>
      </c>
      <c r="AN2762" s="2233" t="s">
        <v>131</v>
      </c>
      <c r="AO2762" s="2239">
        <v>2524.0</v>
      </c>
      <c r="AP2762" s="2239" t="s">
        <v>16260</v>
      </c>
      <c r="AQ2762" s="2089"/>
      <c r="AR2762" s="2232" t="s">
        <v>843</v>
      </c>
      <c r="AS2762" s="2239">
        <v>0.19</v>
      </c>
      <c r="AT2762" s="2233" t="s">
        <v>165</v>
      </c>
      <c r="AU2762" s="2233" t="s">
        <v>179</v>
      </c>
      <c r="AV2762" s="2233" t="s">
        <v>130</v>
      </c>
      <c r="AW2762" s="2233" t="s">
        <v>131</v>
      </c>
      <c r="AX2762" s="2233" t="s">
        <v>136</v>
      </c>
      <c r="AY2762" s="2088"/>
      <c r="AZ2762" s="2087" t="s">
        <v>13230</v>
      </c>
      <c r="BA2762" s="2088"/>
      <c r="BB2762" s="2088"/>
      <c r="BC2762" s="2088"/>
      <c r="BD2762" s="2088"/>
      <c r="BE2762" s="2088"/>
      <c r="BF2762" s="2088"/>
      <c r="BG2762" s="2088"/>
      <c r="BH2762" s="2088"/>
      <c r="BI2762" s="2088"/>
      <c r="BJ2762" s="2088"/>
      <c r="BK2762" s="2088"/>
      <c r="BL2762" s="2088"/>
      <c r="BM2762" s="2088"/>
      <c r="BN2762" s="2088"/>
      <c r="BO2762" s="2088"/>
      <c r="BP2762" s="2088"/>
      <c r="BQ2762" s="2088"/>
      <c r="BR2762" s="2088"/>
      <c r="BS2762" s="2088"/>
      <c r="BT2762" s="2088"/>
      <c r="BU2762" s="2088"/>
      <c r="BV2762" s="2088"/>
      <c r="BW2762" s="2088"/>
      <c r="BX2762" s="2088"/>
      <c r="BY2762" s="2088"/>
      <c r="BZ2762" s="2088"/>
      <c r="CA2762" s="2088"/>
      <c r="CB2762" s="2088"/>
      <c r="CC2762" s="2088"/>
      <c r="CD2762" s="2088"/>
      <c r="CE2762" s="2088"/>
      <c r="CF2762" s="2088"/>
      <c r="CG2762" s="2088"/>
      <c r="CH2762" s="2088"/>
      <c r="CI2762" s="2088"/>
      <c r="CJ2762" s="2088"/>
      <c r="CK2762" s="2088"/>
      <c r="CL2762" s="2088"/>
      <c r="CM2762" s="2088"/>
      <c r="CN2762" s="2088"/>
      <c r="CO2762" s="2088"/>
      <c r="CP2762" s="2088"/>
      <c r="CQ2762" s="2088"/>
      <c r="CR2762" s="2088"/>
      <c r="CS2762" s="2088"/>
      <c r="CT2762" s="2088"/>
      <c r="CU2762" s="2088"/>
      <c r="CV2762" s="2088"/>
      <c r="CW2762" s="2088"/>
      <c r="CX2762" s="2088"/>
      <c r="CY2762" s="2088"/>
      <c r="CZ2762" s="2088"/>
      <c r="DA2762" s="2088"/>
      <c r="DB2762" s="2088"/>
      <c r="DC2762" s="2088"/>
      <c r="DD2762" s="2088"/>
      <c r="DE2762" s="2088"/>
      <c r="DF2762" s="2088"/>
      <c r="DG2762" s="2088"/>
      <c r="DH2762" s="2088"/>
    </row>
    <row r="2763" ht="19.5" customHeight="1">
      <c r="A2763" s="41">
        <v>3176.0</v>
      </c>
      <c r="B2763" s="209" t="s">
        <v>516</v>
      </c>
      <c r="C2763" s="2087" t="s">
        <v>108</v>
      </c>
      <c r="D2763" s="2087" t="s">
        <v>15928</v>
      </c>
      <c r="E2763" s="2088"/>
      <c r="F2763" s="2090" t="s">
        <v>16202</v>
      </c>
      <c r="G2763" s="2090" t="s">
        <v>16258</v>
      </c>
      <c r="H2763" s="2091" t="s">
        <v>15931</v>
      </c>
      <c r="I2763" s="2226">
        <v>45809.0</v>
      </c>
      <c r="J2763" s="2260">
        <v>45840.0</v>
      </c>
      <c r="K2763" s="2089"/>
      <c r="L2763" s="209" t="s">
        <v>16204</v>
      </c>
      <c r="M2763" s="2227" t="s">
        <v>16205</v>
      </c>
      <c r="N2763" s="2227" t="s">
        <v>16206</v>
      </c>
      <c r="O2763" s="2089"/>
      <c r="P2763" s="2227" t="s">
        <v>16207</v>
      </c>
      <c r="Q2763" s="1381" t="s">
        <v>16208</v>
      </c>
      <c r="R2763" s="2227" t="s">
        <v>16220</v>
      </c>
      <c r="S2763" s="2229" t="s">
        <v>16210</v>
      </c>
      <c r="T2763" s="2089"/>
      <c r="U2763" s="2089"/>
      <c r="V2763" s="2090" t="s">
        <v>16211</v>
      </c>
      <c r="W2763" s="2089"/>
      <c r="X2763" s="2263" t="s">
        <v>16212</v>
      </c>
      <c r="Y2763" s="2089"/>
      <c r="Z2763" s="2090" t="s">
        <v>219</v>
      </c>
      <c r="AA2763" s="2089" t="s">
        <v>16213</v>
      </c>
      <c r="AB2763" s="2089" t="s">
        <v>16214</v>
      </c>
      <c r="AC2763" s="2089" t="s">
        <v>16261</v>
      </c>
      <c r="AD2763" s="2089" t="s">
        <v>16262</v>
      </c>
      <c r="AE2763" s="2089" t="s">
        <v>1167</v>
      </c>
      <c r="AF2763" s="2096">
        <v>34.0</v>
      </c>
      <c r="AG2763" s="2089" t="s">
        <v>16263</v>
      </c>
      <c r="AH2763" s="2089"/>
      <c r="AI2763" s="2089" t="s">
        <v>1167</v>
      </c>
      <c r="AJ2763" s="2089" t="s">
        <v>131</v>
      </c>
      <c r="AK2763" s="2089" t="s">
        <v>165</v>
      </c>
      <c r="AL2763" s="2090" t="s">
        <v>179</v>
      </c>
      <c r="AM2763" s="2090" t="s">
        <v>130</v>
      </c>
      <c r="AN2763" s="2090" t="s">
        <v>131</v>
      </c>
      <c r="AO2763" s="2264">
        <v>3073.0</v>
      </c>
      <c r="AP2763" s="2089" t="s">
        <v>16264</v>
      </c>
      <c r="AQ2763" s="2089" t="s">
        <v>127</v>
      </c>
      <c r="AR2763" s="2089" t="s">
        <v>489</v>
      </c>
      <c r="AS2763" s="2096">
        <v>0.1</v>
      </c>
      <c r="AT2763" s="2089" t="s">
        <v>328</v>
      </c>
      <c r="AU2763" s="2089" t="s">
        <v>179</v>
      </c>
      <c r="AV2763" s="2089" t="s">
        <v>130</v>
      </c>
      <c r="AW2763" s="2089" t="s">
        <v>131</v>
      </c>
      <c r="AX2763" s="2089" t="s">
        <v>136</v>
      </c>
      <c r="AY2763" s="2088"/>
      <c r="AZ2763" s="2087" t="s">
        <v>13230</v>
      </c>
      <c r="BA2763" s="2088"/>
      <c r="BB2763" s="2088"/>
      <c r="BC2763" s="2088"/>
      <c r="BD2763" s="2088"/>
      <c r="BE2763" s="2088"/>
      <c r="BF2763" s="2088"/>
      <c r="BG2763" s="2088"/>
      <c r="BH2763" s="2088"/>
      <c r="BI2763" s="2088"/>
      <c r="BJ2763" s="2088"/>
      <c r="BK2763" s="2088"/>
      <c r="BL2763" s="2088"/>
      <c r="BM2763" s="2088"/>
      <c r="BN2763" s="2088"/>
      <c r="BO2763" s="2088"/>
      <c r="BP2763" s="2088"/>
      <c r="BQ2763" s="2088"/>
      <c r="BR2763" s="2088"/>
      <c r="BS2763" s="2088"/>
      <c r="BT2763" s="2088"/>
      <c r="BU2763" s="2088"/>
      <c r="BV2763" s="2088"/>
      <c r="BW2763" s="2088"/>
      <c r="BX2763" s="2088"/>
      <c r="BY2763" s="2088"/>
      <c r="BZ2763" s="2088"/>
      <c r="CA2763" s="2088"/>
      <c r="CB2763" s="2088"/>
      <c r="CC2763" s="2088"/>
      <c r="CD2763" s="2088"/>
      <c r="CE2763" s="2088"/>
      <c r="CF2763" s="2088"/>
      <c r="CG2763" s="2088"/>
      <c r="CH2763" s="2088"/>
      <c r="CI2763" s="2088"/>
      <c r="CJ2763" s="2088"/>
      <c r="CK2763" s="2088"/>
      <c r="CL2763" s="2088"/>
      <c r="CM2763" s="2088"/>
      <c r="CN2763" s="2088"/>
      <c r="CO2763" s="2088"/>
      <c r="CP2763" s="2088"/>
      <c r="CQ2763" s="2088"/>
      <c r="CR2763" s="2088"/>
      <c r="CS2763" s="2088"/>
      <c r="CT2763" s="2088"/>
      <c r="CU2763" s="2088"/>
      <c r="CV2763" s="2088"/>
      <c r="CW2763" s="2088"/>
      <c r="CX2763" s="2088"/>
      <c r="CY2763" s="2088"/>
      <c r="CZ2763" s="2088"/>
      <c r="DA2763" s="2088"/>
      <c r="DB2763" s="2088"/>
      <c r="DC2763" s="2088"/>
      <c r="DD2763" s="2088"/>
      <c r="DE2763" s="2088"/>
      <c r="DF2763" s="2088"/>
      <c r="DG2763" s="2088"/>
      <c r="DH2763" s="2088"/>
    </row>
    <row r="2764" ht="27.75" customHeight="1">
      <c r="A2764" s="41">
        <v>3114.0</v>
      </c>
      <c r="B2764" s="209" t="s">
        <v>516</v>
      </c>
      <c r="C2764" s="2087" t="s">
        <v>108</v>
      </c>
      <c r="D2764" s="2087" t="s">
        <v>146</v>
      </c>
      <c r="E2764" s="2088"/>
      <c r="F2764" s="2232" t="s">
        <v>16202</v>
      </c>
      <c r="G2764" s="2233" t="s">
        <v>16265</v>
      </c>
      <c r="H2764" s="2232" t="s">
        <v>15858</v>
      </c>
      <c r="I2764" s="2234">
        <v>45821.0</v>
      </c>
      <c r="J2764" s="2260">
        <v>45840.0</v>
      </c>
      <c r="K2764" s="2233" t="s">
        <v>16219</v>
      </c>
      <c r="L2764" s="209" t="s">
        <v>16204</v>
      </c>
      <c r="M2764" s="2233" t="s">
        <v>16205</v>
      </c>
      <c r="N2764" s="2233" t="s">
        <v>16206</v>
      </c>
      <c r="O2764" s="2089"/>
      <c r="P2764" s="2233" t="s">
        <v>16207</v>
      </c>
      <c r="Q2764" s="1381" t="s">
        <v>16208</v>
      </c>
      <c r="R2764" s="2233" t="s">
        <v>16220</v>
      </c>
      <c r="S2764" s="2233" t="s">
        <v>16210</v>
      </c>
      <c r="T2764" s="2089"/>
      <c r="U2764" s="2089"/>
      <c r="V2764" s="2233" t="s">
        <v>16211</v>
      </c>
      <c r="W2764" s="2089"/>
      <c r="X2764" s="2263" t="s">
        <v>16212</v>
      </c>
      <c r="Y2764" s="2089"/>
      <c r="Z2764" s="2233" t="s">
        <v>2933</v>
      </c>
      <c r="AA2764" s="2233" t="s">
        <v>16221</v>
      </c>
      <c r="AB2764" s="2233" t="s">
        <v>16222</v>
      </c>
      <c r="AC2764" s="2232" t="s">
        <v>16266</v>
      </c>
      <c r="AD2764" s="2232" t="s">
        <v>16224</v>
      </c>
      <c r="AE2764" s="2239">
        <v>11.0</v>
      </c>
      <c r="AF2764" s="2239">
        <v>35.0</v>
      </c>
      <c r="AG2764" s="2239">
        <v>-0.61</v>
      </c>
      <c r="AH2764" s="2233" t="s">
        <v>208</v>
      </c>
      <c r="AI2764" s="2232" t="s">
        <v>300</v>
      </c>
      <c r="AJ2764" s="2239">
        <v>0.001</v>
      </c>
      <c r="AK2764" s="2233" t="s">
        <v>128</v>
      </c>
      <c r="AL2764" s="2233" t="s">
        <v>179</v>
      </c>
      <c r="AM2764" s="2233" t="s">
        <v>130</v>
      </c>
      <c r="AN2764" s="2233" t="s">
        <v>131</v>
      </c>
      <c r="AO2764" s="2239">
        <v>2524.0</v>
      </c>
      <c r="AP2764" s="2239" t="s">
        <v>16267</v>
      </c>
      <c r="AQ2764" s="2089"/>
      <c r="AR2764" s="2232" t="s">
        <v>843</v>
      </c>
      <c r="AS2764" s="2239">
        <v>0.09</v>
      </c>
      <c r="AT2764" s="2233" t="s">
        <v>165</v>
      </c>
      <c r="AU2764" s="2233" t="s">
        <v>179</v>
      </c>
      <c r="AV2764" s="2233" t="s">
        <v>130</v>
      </c>
      <c r="AW2764" s="2233" t="s">
        <v>131</v>
      </c>
      <c r="AX2764" s="2233" t="s">
        <v>136</v>
      </c>
      <c r="AY2764" s="2088"/>
      <c r="AZ2764" s="2087" t="s">
        <v>13230</v>
      </c>
      <c r="BA2764" s="2088"/>
      <c r="BB2764" s="2088"/>
      <c r="BC2764" s="2088"/>
      <c r="BD2764" s="2088"/>
      <c r="BE2764" s="2088"/>
      <c r="BF2764" s="2088"/>
      <c r="BG2764" s="2088"/>
      <c r="BH2764" s="2088"/>
      <c r="BI2764" s="2088"/>
      <c r="BJ2764" s="2088"/>
      <c r="BK2764" s="2088"/>
      <c r="BL2764" s="2088"/>
      <c r="BM2764" s="2088"/>
      <c r="BN2764" s="2088"/>
      <c r="BO2764" s="2088"/>
      <c r="BP2764" s="2088"/>
      <c r="BQ2764" s="2088"/>
      <c r="BR2764" s="2088"/>
      <c r="BS2764" s="2088"/>
      <c r="BT2764" s="2088"/>
      <c r="BU2764" s="2088"/>
      <c r="BV2764" s="2088"/>
      <c r="BW2764" s="2088"/>
      <c r="BX2764" s="2088"/>
      <c r="BY2764" s="2088"/>
      <c r="BZ2764" s="2088"/>
      <c r="CA2764" s="2088"/>
      <c r="CB2764" s="2088"/>
      <c r="CC2764" s="2088"/>
      <c r="CD2764" s="2088"/>
      <c r="CE2764" s="2088"/>
      <c r="CF2764" s="2088"/>
      <c r="CG2764" s="2088"/>
      <c r="CH2764" s="2088"/>
      <c r="CI2764" s="2088"/>
      <c r="CJ2764" s="2088"/>
      <c r="CK2764" s="2088"/>
      <c r="CL2764" s="2088"/>
      <c r="CM2764" s="2088"/>
      <c r="CN2764" s="2088"/>
      <c r="CO2764" s="2088"/>
      <c r="CP2764" s="2088"/>
      <c r="CQ2764" s="2088"/>
      <c r="CR2764" s="2088"/>
      <c r="CS2764" s="2088"/>
      <c r="CT2764" s="2088"/>
      <c r="CU2764" s="2088"/>
      <c r="CV2764" s="2088"/>
      <c r="CW2764" s="2088"/>
      <c r="CX2764" s="2088"/>
      <c r="CY2764" s="2088"/>
      <c r="CZ2764" s="2088"/>
      <c r="DA2764" s="2088"/>
      <c r="DB2764" s="2088"/>
      <c r="DC2764" s="2088"/>
      <c r="DD2764" s="2088"/>
      <c r="DE2764" s="2088"/>
      <c r="DF2764" s="2088"/>
      <c r="DG2764" s="2088"/>
      <c r="DH2764" s="2088"/>
    </row>
    <row r="2765" ht="25.5" customHeight="1">
      <c r="A2765" s="41">
        <v>3177.0</v>
      </c>
      <c r="B2765" s="209" t="s">
        <v>516</v>
      </c>
      <c r="C2765" s="2087" t="s">
        <v>108</v>
      </c>
      <c r="D2765" s="2087" t="s">
        <v>15928</v>
      </c>
      <c r="E2765" s="2088"/>
      <c r="F2765" s="2090" t="s">
        <v>16202</v>
      </c>
      <c r="G2765" s="2090" t="s">
        <v>16265</v>
      </c>
      <c r="H2765" s="2091" t="s">
        <v>15931</v>
      </c>
      <c r="I2765" s="2226">
        <v>45809.0</v>
      </c>
      <c r="J2765" s="2260">
        <v>45840.0</v>
      </c>
      <c r="K2765" s="2089"/>
      <c r="L2765" s="209" t="s">
        <v>16204</v>
      </c>
      <c r="M2765" s="2227" t="s">
        <v>16205</v>
      </c>
      <c r="N2765" s="2227" t="s">
        <v>16206</v>
      </c>
      <c r="O2765" s="2089"/>
      <c r="P2765" s="2227" t="s">
        <v>16207</v>
      </c>
      <c r="Q2765" s="1381" t="s">
        <v>16208</v>
      </c>
      <c r="R2765" s="2227" t="s">
        <v>16220</v>
      </c>
      <c r="S2765" s="2229" t="s">
        <v>16210</v>
      </c>
      <c r="T2765" s="2089"/>
      <c r="U2765" s="2089"/>
      <c r="V2765" s="2090" t="s">
        <v>16211</v>
      </c>
      <c r="W2765" s="2089"/>
      <c r="X2765" s="2263" t="s">
        <v>16212</v>
      </c>
      <c r="Y2765" s="2089"/>
      <c r="Z2765" s="2090" t="s">
        <v>219</v>
      </c>
      <c r="AA2765" s="2089" t="s">
        <v>16213</v>
      </c>
      <c r="AB2765" s="2089" t="s">
        <v>16214</v>
      </c>
      <c r="AC2765" s="2089" t="s">
        <v>16268</v>
      </c>
      <c r="AD2765" s="2089" t="s">
        <v>16269</v>
      </c>
      <c r="AE2765" s="2089" t="s">
        <v>1167</v>
      </c>
      <c r="AF2765" s="2096">
        <v>35.0</v>
      </c>
      <c r="AG2765" s="2089" t="s">
        <v>16270</v>
      </c>
      <c r="AH2765" s="2089"/>
      <c r="AI2765" s="2089" t="s">
        <v>1167</v>
      </c>
      <c r="AJ2765" s="2096">
        <v>0.1</v>
      </c>
      <c r="AK2765" s="2089" t="s">
        <v>128</v>
      </c>
      <c r="AL2765" s="2090" t="s">
        <v>179</v>
      </c>
      <c r="AM2765" s="2090" t="s">
        <v>130</v>
      </c>
      <c r="AN2765" s="2090" t="s">
        <v>131</v>
      </c>
      <c r="AO2765" s="2264">
        <v>3073.0</v>
      </c>
      <c r="AP2765" s="2089" t="s">
        <v>16271</v>
      </c>
      <c r="AQ2765" s="2089" t="s">
        <v>127</v>
      </c>
      <c r="AR2765" s="2089" t="s">
        <v>489</v>
      </c>
      <c r="AS2765" s="2096">
        <v>0.1</v>
      </c>
      <c r="AT2765" s="2089" t="s">
        <v>328</v>
      </c>
      <c r="AU2765" s="2089" t="s">
        <v>179</v>
      </c>
      <c r="AV2765" s="2089" t="s">
        <v>130</v>
      </c>
      <c r="AW2765" s="2089" t="s">
        <v>131</v>
      </c>
      <c r="AX2765" s="2089" t="s">
        <v>136</v>
      </c>
      <c r="AY2765" s="2088"/>
      <c r="AZ2765" s="2087" t="s">
        <v>13230</v>
      </c>
      <c r="BA2765" s="2088"/>
      <c r="BB2765" s="2088"/>
      <c r="BC2765" s="2088"/>
      <c r="BD2765" s="2088"/>
      <c r="BE2765" s="2088"/>
      <c r="BF2765" s="2088"/>
      <c r="BG2765" s="2088"/>
      <c r="BH2765" s="2088"/>
      <c r="BI2765" s="2088"/>
      <c r="BJ2765" s="2088"/>
      <c r="BK2765" s="2088"/>
      <c r="BL2765" s="2088"/>
      <c r="BM2765" s="2088"/>
      <c r="BN2765" s="2088"/>
      <c r="BO2765" s="2088"/>
      <c r="BP2765" s="2088"/>
      <c r="BQ2765" s="2088"/>
      <c r="BR2765" s="2088"/>
      <c r="BS2765" s="2088"/>
      <c r="BT2765" s="2088"/>
      <c r="BU2765" s="2088"/>
      <c r="BV2765" s="2088"/>
      <c r="BW2765" s="2088"/>
      <c r="BX2765" s="2088"/>
      <c r="BY2765" s="2088"/>
      <c r="BZ2765" s="2088"/>
      <c r="CA2765" s="2088"/>
      <c r="CB2765" s="2088"/>
      <c r="CC2765" s="2088"/>
      <c r="CD2765" s="2088"/>
      <c r="CE2765" s="2088"/>
      <c r="CF2765" s="2088"/>
      <c r="CG2765" s="2088"/>
      <c r="CH2765" s="2088"/>
      <c r="CI2765" s="2088"/>
      <c r="CJ2765" s="2088"/>
      <c r="CK2765" s="2088"/>
      <c r="CL2765" s="2088"/>
      <c r="CM2765" s="2088"/>
      <c r="CN2765" s="2088"/>
      <c r="CO2765" s="2088"/>
      <c r="CP2765" s="2088"/>
      <c r="CQ2765" s="2088"/>
      <c r="CR2765" s="2088"/>
      <c r="CS2765" s="2088"/>
      <c r="CT2765" s="2088"/>
      <c r="CU2765" s="2088"/>
      <c r="CV2765" s="2088"/>
      <c r="CW2765" s="2088"/>
      <c r="CX2765" s="2088"/>
      <c r="CY2765" s="2088"/>
      <c r="CZ2765" s="2088"/>
      <c r="DA2765" s="2088"/>
      <c r="DB2765" s="2088"/>
      <c r="DC2765" s="2088"/>
      <c r="DD2765" s="2088"/>
      <c r="DE2765" s="2088"/>
      <c r="DF2765" s="2088"/>
      <c r="DG2765" s="2088"/>
      <c r="DH2765" s="2088"/>
    </row>
    <row r="2766" ht="22.5" customHeight="1">
      <c r="A2766" s="41">
        <v>3115.0</v>
      </c>
      <c r="B2766" s="209" t="s">
        <v>516</v>
      </c>
      <c r="C2766" s="2087" t="s">
        <v>108</v>
      </c>
      <c r="D2766" s="2087" t="s">
        <v>146</v>
      </c>
      <c r="E2766" s="2088"/>
      <c r="F2766" s="2232" t="s">
        <v>16202</v>
      </c>
      <c r="G2766" s="2233" t="s">
        <v>16272</v>
      </c>
      <c r="H2766" s="2232" t="s">
        <v>15858</v>
      </c>
      <c r="I2766" s="2234">
        <v>45821.0</v>
      </c>
      <c r="J2766" s="2260">
        <v>45840.0</v>
      </c>
      <c r="K2766" s="2233" t="s">
        <v>16219</v>
      </c>
      <c r="L2766" s="209" t="s">
        <v>16204</v>
      </c>
      <c r="M2766" s="2233" t="s">
        <v>16205</v>
      </c>
      <c r="N2766" s="2233" t="s">
        <v>16206</v>
      </c>
      <c r="O2766" s="2089"/>
      <c r="P2766" s="2233" t="s">
        <v>16207</v>
      </c>
      <c r="Q2766" s="1381" t="s">
        <v>16208</v>
      </c>
      <c r="R2766" s="2233" t="s">
        <v>16220</v>
      </c>
      <c r="S2766" s="2233" t="s">
        <v>16210</v>
      </c>
      <c r="T2766" s="2089"/>
      <c r="U2766" s="2089"/>
      <c r="V2766" s="2233" t="s">
        <v>16211</v>
      </c>
      <c r="W2766" s="2089"/>
      <c r="X2766" s="2263" t="s">
        <v>16212</v>
      </c>
      <c r="Y2766" s="2089"/>
      <c r="Z2766" s="2233" t="s">
        <v>2933</v>
      </c>
      <c r="AA2766" s="2233" t="s">
        <v>16221</v>
      </c>
      <c r="AB2766" s="2233" t="s">
        <v>16222</v>
      </c>
      <c r="AC2766" s="2232" t="s">
        <v>16273</v>
      </c>
      <c r="AD2766" s="2232" t="s">
        <v>16224</v>
      </c>
      <c r="AE2766" s="2239">
        <v>11.0</v>
      </c>
      <c r="AF2766" s="2239">
        <v>35.0</v>
      </c>
      <c r="AG2766" s="2239">
        <v>0.2</v>
      </c>
      <c r="AH2766" s="2233" t="s">
        <v>208</v>
      </c>
      <c r="AI2766" s="2232" t="s">
        <v>300</v>
      </c>
      <c r="AJ2766" s="2239">
        <v>0.1</v>
      </c>
      <c r="AK2766" s="2233" t="s">
        <v>328</v>
      </c>
      <c r="AL2766" s="2233" t="s">
        <v>179</v>
      </c>
      <c r="AM2766" s="2233" t="s">
        <v>130</v>
      </c>
      <c r="AN2766" s="2233" t="s">
        <v>131</v>
      </c>
      <c r="AO2766" s="2239">
        <v>2524.0</v>
      </c>
      <c r="AP2766" s="2239" t="s">
        <v>16274</v>
      </c>
      <c r="AQ2766" s="2089"/>
      <c r="AR2766" s="2232" t="s">
        <v>843</v>
      </c>
      <c r="AS2766" s="2239">
        <v>0.1</v>
      </c>
      <c r="AT2766" s="2233" t="s">
        <v>165</v>
      </c>
      <c r="AU2766" s="2233" t="s">
        <v>179</v>
      </c>
      <c r="AV2766" s="2233" t="s">
        <v>130</v>
      </c>
      <c r="AW2766" s="2233" t="s">
        <v>131</v>
      </c>
      <c r="AX2766" s="2233" t="s">
        <v>136</v>
      </c>
      <c r="AY2766" s="2088"/>
      <c r="AZ2766" s="2087" t="s">
        <v>13230</v>
      </c>
      <c r="BA2766" s="2088"/>
      <c r="BB2766" s="2088"/>
      <c r="BC2766" s="2088"/>
      <c r="BD2766" s="2088"/>
      <c r="BE2766" s="2088"/>
      <c r="BF2766" s="2088"/>
      <c r="BG2766" s="2088"/>
      <c r="BH2766" s="2088"/>
      <c r="BI2766" s="2088"/>
      <c r="BJ2766" s="2088"/>
      <c r="BK2766" s="2088"/>
      <c r="BL2766" s="2088"/>
      <c r="BM2766" s="2088"/>
      <c r="BN2766" s="2088"/>
      <c r="BO2766" s="2088"/>
      <c r="BP2766" s="2088"/>
      <c r="BQ2766" s="2088"/>
      <c r="BR2766" s="2088"/>
      <c r="BS2766" s="2088"/>
      <c r="BT2766" s="2088"/>
      <c r="BU2766" s="2088"/>
      <c r="BV2766" s="2088"/>
      <c r="BW2766" s="2088"/>
      <c r="BX2766" s="2088"/>
      <c r="BY2766" s="2088"/>
      <c r="BZ2766" s="2088"/>
      <c r="CA2766" s="2088"/>
      <c r="CB2766" s="2088"/>
      <c r="CC2766" s="2088"/>
      <c r="CD2766" s="2088"/>
      <c r="CE2766" s="2088"/>
      <c r="CF2766" s="2088"/>
      <c r="CG2766" s="2088"/>
      <c r="CH2766" s="2088"/>
      <c r="CI2766" s="2088"/>
      <c r="CJ2766" s="2088"/>
      <c r="CK2766" s="2088"/>
      <c r="CL2766" s="2088"/>
      <c r="CM2766" s="2088"/>
      <c r="CN2766" s="2088"/>
      <c r="CO2766" s="2088"/>
      <c r="CP2766" s="2088"/>
      <c r="CQ2766" s="2088"/>
      <c r="CR2766" s="2088"/>
      <c r="CS2766" s="2088"/>
      <c r="CT2766" s="2088"/>
      <c r="CU2766" s="2088"/>
      <c r="CV2766" s="2088"/>
      <c r="CW2766" s="2088"/>
      <c r="CX2766" s="2088"/>
      <c r="CY2766" s="2088"/>
      <c r="CZ2766" s="2088"/>
      <c r="DA2766" s="2088"/>
      <c r="DB2766" s="2088"/>
      <c r="DC2766" s="2088"/>
      <c r="DD2766" s="2088"/>
      <c r="DE2766" s="2088"/>
      <c r="DF2766" s="2088"/>
      <c r="DG2766" s="2088"/>
      <c r="DH2766" s="2088"/>
    </row>
    <row r="2767" ht="23.25" customHeight="1">
      <c r="A2767" s="41">
        <v>3178.0</v>
      </c>
      <c r="B2767" s="209" t="s">
        <v>516</v>
      </c>
      <c r="C2767" s="2087" t="s">
        <v>108</v>
      </c>
      <c r="D2767" s="2087" t="s">
        <v>15928</v>
      </c>
      <c r="E2767" s="2088"/>
      <c r="F2767" s="2090" t="s">
        <v>16202</v>
      </c>
      <c r="G2767" s="2090" t="s">
        <v>16272</v>
      </c>
      <c r="H2767" s="2091" t="s">
        <v>15931</v>
      </c>
      <c r="I2767" s="2226">
        <v>45809.0</v>
      </c>
      <c r="J2767" s="2260">
        <v>45840.0</v>
      </c>
      <c r="K2767" s="2089"/>
      <c r="L2767" s="209" t="s">
        <v>16204</v>
      </c>
      <c r="M2767" s="2227" t="s">
        <v>16205</v>
      </c>
      <c r="N2767" s="2227" t="s">
        <v>16206</v>
      </c>
      <c r="O2767" s="2089"/>
      <c r="P2767" s="2227" t="s">
        <v>16207</v>
      </c>
      <c r="Q2767" s="1381" t="s">
        <v>16208</v>
      </c>
      <c r="R2767" s="2227" t="s">
        <v>16220</v>
      </c>
      <c r="S2767" s="2229" t="s">
        <v>16210</v>
      </c>
      <c r="T2767" s="2089"/>
      <c r="U2767" s="2089"/>
      <c r="V2767" s="2090" t="s">
        <v>16211</v>
      </c>
      <c r="W2767" s="2089"/>
      <c r="X2767" s="2263" t="s">
        <v>16212</v>
      </c>
      <c r="Y2767" s="2089"/>
      <c r="Z2767" s="2090" t="s">
        <v>219</v>
      </c>
      <c r="AA2767" s="2089" t="s">
        <v>16213</v>
      </c>
      <c r="AB2767" s="2089" t="s">
        <v>16214</v>
      </c>
      <c r="AC2767" s="2089" t="s">
        <v>16275</v>
      </c>
      <c r="AD2767" s="2089" t="s">
        <v>16276</v>
      </c>
      <c r="AE2767" s="2089" t="s">
        <v>1167</v>
      </c>
      <c r="AF2767" s="2096">
        <v>33.0</v>
      </c>
      <c r="AG2767" s="2089" t="s">
        <v>16277</v>
      </c>
      <c r="AH2767" s="2089"/>
      <c r="AI2767" s="2089" t="s">
        <v>1167</v>
      </c>
      <c r="AJ2767" s="2096">
        <v>0.05</v>
      </c>
      <c r="AK2767" s="2089" t="s">
        <v>128</v>
      </c>
      <c r="AL2767" s="2090" t="s">
        <v>179</v>
      </c>
      <c r="AM2767" s="2090" t="s">
        <v>130</v>
      </c>
      <c r="AN2767" s="2090" t="s">
        <v>131</v>
      </c>
      <c r="AO2767" s="2264">
        <v>3073.0</v>
      </c>
      <c r="AP2767" s="2089" t="s">
        <v>16278</v>
      </c>
      <c r="AQ2767" s="2089" t="s">
        <v>127</v>
      </c>
      <c r="AR2767" s="2089" t="s">
        <v>489</v>
      </c>
      <c r="AS2767" s="2096">
        <v>0.06</v>
      </c>
      <c r="AT2767" s="2089" t="s">
        <v>165</v>
      </c>
      <c r="AU2767" s="2089" t="s">
        <v>179</v>
      </c>
      <c r="AV2767" s="2089" t="s">
        <v>130</v>
      </c>
      <c r="AW2767" s="2089" t="s">
        <v>131</v>
      </c>
      <c r="AX2767" s="2089" t="s">
        <v>136</v>
      </c>
      <c r="AY2767" s="2088"/>
      <c r="AZ2767" s="2087" t="s">
        <v>13230</v>
      </c>
      <c r="BA2767" s="2088"/>
      <c r="BB2767" s="2088"/>
      <c r="BC2767" s="2088"/>
      <c r="BD2767" s="2088"/>
      <c r="BE2767" s="2088"/>
      <c r="BF2767" s="2088"/>
      <c r="BG2767" s="2088"/>
      <c r="BH2767" s="2088"/>
      <c r="BI2767" s="2088"/>
      <c r="BJ2767" s="2088"/>
      <c r="BK2767" s="2088"/>
      <c r="BL2767" s="2088"/>
      <c r="BM2767" s="2088"/>
      <c r="BN2767" s="2088"/>
      <c r="BO2767" s="2088"/>
      <c r="BP2767" s="2088"/>
      <c r="BQ2767" s="2088"/>
      <c r="BR2767" s="2088"/>
      <c r="BS2767" s="2088"/>
      <c r="BT2767" s="2088"/>
      <c r="BU2767" s="2088"/>
      <c r="BV2767" s="2088"/>
      <c r="BW2767" s="2088"/>
      <c r="BX2767" s="2088"/>
      <c r="BY2767" s="2088"/>
      <c r="BZ2767" s="2088"/>
      <c r="CA2767" s="2088"/>
      <c r="CB2767" s="2088"/>
      <c r="CC2767" s="2088"/>
      <c r="CD2767" s="2088"/>
      <c r="CE2767" s="2088"/>
      <c r="CF2767" s="2088"/>
      <c r="CG2767" s="2088"/>
      <c r="CH2767" s="2088"/>
      <c r="CI2767" s="2088"/>
      <c r="CJ2767" s="2088"/>
      <c r="CK2767" s="2088"/>
      <c r="CL2767" s="2088"/>
      <c r="CM2767" s="2088"/>
      <c r="CN2767" s="2088"/>
      <c r="CO2767" s="2088"/>
      <c r="CP2767" s="2088"/>
      <c r="CQ2767" s="2088"/>
      <c r="CR2767" s="2088"/>
      <c r="CS2767" s="2088"/>
      <c r="CT2767" s="2088"/>
      <c r="CU2767" s="2088"/>
      <c r="CV2767" s="2088"/>
      <c r="CW2767" s="2088"/>
      <c r="CX2767" s="2088"/>
      <c r="CY2767" s="2088"/>
      <c r="CZ2767" s="2088"/>
      <c r="DA2767" s="2088"/>
      <c r="DB2767" s="2088"/>
      <c r="DC2767" s="2088"/>
      <c r="DD2767" s="2088"/>
      <c r="DE2767" s="2088"/>
      <c r="DF2767" s="2088"/>
      <c r="DG2767" s="2088"/>
      <c r="DH2767" s="2088"/>
    </row>
    <row r="2768" ht="22.5" customHeight="1">
      <c r="A2768" s="41">
        <v>3116.0</v>
      </c>
      <c r="B2768" s="209" t="s">
        <v>516</v>
      </c>
      <c r="C2768" s="2087" t="s">
        <v>108</v>
      </c>
      <c r="D2768" s="2087" t="s">
        <v>146</v>
      </c>
      <c r="E2768" s="2088"/>
      <c r="F2768" s="2232" t="s">
        <v>16202</v>
      </c>
      <c r="G2768" s="2233" t="s">
        <v>16279</v>
      </c>
      <c r="H2768" s="2232" t="s">
        <v>15858</v>
      </c>
      <c r="I2768" s="2234">
        <v>45821.0</v>
      </c>
      <c r="J2768" s="2260">
        <v>45840.0</v>
      </c>
      <c r="K2768" s="2233" t="s">
        <v>16219</v>
      </c>
      <c r="L2768" s="209" t="s">
        <v>16204</v>
      </c>
      <c r="M2768" s="2233" t="s">
        <v>16205</v>
      </c>
      <c r="N2768" s="2233" t="s">
        <v>16206</v>
      </c>
      <c r="O2768" s="2089"/>
      <c r="P2768" s="2233" t="s">
        <v>16207</v>
      </c>
      <c r="Q2768" s="1381" t="s">
        <v>16208</v>
      </c>
      <c r="R2768" s="2233" t="s">
        <v>16220</v>
      </c>
      <c r="S2768" s="2233" t="s">
        <v>16210</v>
      </c>
      <c r="T2768" s="2089"/>
      <c r="U2768" s="2089"/>
      <c r="V2768" s="2233" t="s">
        <v>16211</v>
      </c>
      <c r="W2768" s="2089"/>
      <c r="X2768" s="2263" t="s">
        <v>16212</v>
      </c>
      <c r="Y2768" s="2089"/>
      <c r="Z2768" s="2233" t="s">
        <v>2933</v>
      </c>
      <c r="AA2768" s="2233" t="s">
        <v>16221</v>
      </c>
      <c r="AB2768" s="2233" t="s">
        <v>16222</v>
      </c>
      <c r="AC2768" s="2232" t="s">
        <v>16280</v>
      </c>
      <c r="AD2768" s="2232" t="s">
        <v>16224</v>
      </c>
      <c r="AE2768" s="2239">
        <v>11.0</v>
      </c>
      <c r="AF2768" s="2239">
        <v>36.0</v>
      </c>
      <c r="AG2768" s="2239">
        <v>-0.23</v>
      </c>
      <c r="AH2768" s="2233" t="s">
        <v>208</v>
      </c>
      <c r="AI2768" s="2232" t="s">
        <v>300</v>
      </c>
      <c r="AJ2768" s="2089"/>
      <c r="AK2768" s="2089"/>
      <c r="AL2768" s="2233" t="s">
        <v>179</v>
      </c>
      <c r="AM2768" s="2233" t="s">
        <v>130</v>
      </c>
      <c r="AN2768" s="2233" t="s">
        <v>131</v>
      </c>
      <c r="AO2768" s="2239">
        <v>2524.0</v>
      </c>
      <c r="AP2768" s="2239" t="s">
        <v>16281</v>
      </c>
      <c r="AQ2768" s="2089"/>
      <c r="AR2768" s="2232" t="s">
        <v>843</v>
      </c>
      <c r="AS2768" s="2239">
        <v>0.76</v>
      </c>
      <c r="AT2768" s="2233" t="s">
        <v>165</v>
      </c>
      <c r="AU2768" s="2233" t="s">
        <v>179</v>
      </c>
      <c r="AV2768" s="2233" t="s">
        <v>130</v>
      </c>
      <c r="AW2768" s="2233" t="s">
        <v>131</v>
      </c>
      <c r="AX2768" s="2233" t="s">
        <v>136</v>
      </c>
      <c r="AY2768" s="2088"/>
      <c r="AZ2768" s="2087" t="s">
        <v>13230</v>
      </c>
      <c r="BA2768" s="2088"/>
      <c r="BB2768" s="2088"/>
      <c r="BC2768" s="2088"/>
      <c r="BD2768" s="2088"/>
      <c r="BE2768" s="2088"/>
      <c r="BF2768" s="2088"/>
      <c r="BG2768" s="2088"/>
      <c r="BH2768" s="2088"/>
      <c r="BI2768" s="2088"/>
      <c r="BJ2768" s="2088"/>
      <c r="BK2768" s="2088"/>
      <c r="BL2768" s="2088"/>
      <c r="BM2768" s="2088"/>
      <c r="BN2768" s="2088"/>
      <c r="BO2768" s="2088"/>
      <c r="BP2768" s="2088"/>
      <c r="BQ2768" s="2088"/>
      <c r="BR2768" s="2088"/>
      <c r="BS2768" s="2088"/>
      <c r="BT2768" s="2088"/>
      <c r="BU2768" s="2088"/>
      <c r="BV2768" s="2088"/>
      <c r="BW2768" s="2088"/>
      <c r="BX2768" s="2088"/>
      <c r="BY2768" s="2088"/>
      <c r="BZ2768" s="2088"/>
      <c r="CA2768" s="2088"/>
      <c r="CB2768" s="2088"/>
      <c r="CC2768" s="2088"/>
      <c r="CD2768" s="2088"/>
      <c r="CE2768" s="2088"/>
      <c r="CF2768" s="2088"/>
      <c r="CG2768" s="2088"/>
      <c r="CH2768" s="2088"/>
      <c r="CI2768" s="2088"/>
      <c r="CJ2768" s="2088"/>
      <c r="CK2768" s="2088"/>
      <c r="CL2768" s="2088"/>
      <c r="CM2768" s="2088"/>
      <c r="CN2768" s="2088"/>
      <c r="CO2768" s="2088"/>
      <c r="CP2768" s="2088"/>
      <c r="CQ2768" s="2088"/>
      <c r="CR2768" s="2088"/>
      <c r="CS2768" s="2088"/>
      <c r="CT2768" s="2088"/>
      <c r="CU2768" s="2088"/>
      <c r="CV2768" s="2088"/>
      <c r="CW2768" s="2088"/>
      <c r="CX2768" s="2088"/>
      <c r="CY2768" s="2088"/>
      <c r="CZ2768" s="2088"/>
      <c r="DA2768" s="2088"/>
      <c r="DB2768" s="2088"/>
      <c r="DC2768" s="2088"/>
      <c r="DD2768" s="2088"/>
      <c r="DE2768" s="2088"/>
      <c r="DF2768" s="2088"/>
      <c r="DG2768" s="2088"/>
      <c r="DH2768" s="2088"/>
    </row>
    <row r="2769" ht="24.0" customHeight="1">
      <c r="A2769" s="41">
        <v>3179.0</v>
      </c>
      <c r="B2769" s="209" t="s">
        <v>516</v>
      </c>
      <c r="C2769" s="2087" t="s">
        <v>108</v>
      </c>
      <c r="D2769" s="2087" t="s">
        <v>15928</v>
      </c>
      <c r="E2769" s="2088"/>
      <c r="F2769" s="2090" t="s">
        <v>16202</v>
      </c>
      <c r="G2769" s="2090" t="s">
        <v>16279</v>
      </c>
      <c r="H2769" s="2091" t="s">
        <v>15931</v>
      </c>
      <c r="I2769" s="2226">
        <v>45809.0</v>
      </c>
      <c r="J2769" s="2260">
        <v>45840.0</v>
      </c>
      <c r="K2769" s="2089"/>
      <c r="L2769" s="209" t="s">
        <v>16204</v>
      </c>
      <c r="M2769" s="2227" t="s">
        <v>16205</v>
      </c>
      <c r="N2769" s="2227" t="s">
        <v>16206</v>
      </c>
      <c r="O2769" s="2089"/>
      <c r="P2769" s="2227" t="s">
        <v>16207</v>
      </c>
      <c r="Q2769" s="1381" t="s">
        <v>16208</v>
      </c>
      <c r="R2769" s="2227" t="s">
        <v>16220</v>
      </c>
      <c r="S2769" s="2229" t="s">
        <v>16210</v>
      </c>
      <c r="T2769" s="2089"/>
      <c r="U2769" s="2089"/>
      <c r="V2769" s="2090" t="s">
        <v>16211</v>
      </c>
      <c r="W2769" s="2089"/>
      <c r="X2769" s="2263" t="s">
        <v>16212</v>
      </c>
      <c r="Y2769" s="2089"/>
      <c r="Z2769" s="2090" t="s">
        <v>219</v>
      </c>
      <c r="AA2769" s="2089" t="s">
        <v>16213</v>
      </c>
      <c r="AB2769" s="2089" t="s">
        <v>16214</v>
      </c>
      <c r="AC2769" s="2089" t="s">
        <v>16282</v>
      </c>
      <c r="AD2769" s="2089"/>
      <c r="AE2769" s="2089" t="s">
        <v>1167</v>
      </c>
      <c r="AF2769" s="2096">
        <v>36.0</v>
      </c>
      <c r="AG2769" s="2089" t="s">
        <v>16283</v>
      </c>
      <c r="AH2769" s="2089"/>
      <c r="AI2769" s="2089" t="s">
        <v>1167</v>
      </c>
      <c r="AJ2769" s="2089" t="s">
        <v>131</v>
      </c>
      <c r="AK2769" s="2089" t="s">
        <v>165</v>
      </c>
      <c r="AL2769" s="2090" t="s">
        <v>179</v>
      </c>
      <c r="AM2769" s="2090" t="s">
        <v>130</v>
      </c>
      <c r="AN2769" s="2090" t="s">
        <v>131</v>
      </c>
      <c r="AO2769" s="2264">
        <v>3073.0</v>
      </c>
      <c r="AP2769" s="2089" t="s">
        <v>16284</v>
      </c>
      <c r="AQ2769" s="2089" t="s">
        <v>127</v>
      </c>
      <c r="AR2769" s="2089" t="s">
        <v>489</v>
      </c>
      <c r="AS2769" s="2096">
        <v>0.1</v>
      </c>
      <c r="AT2769" s="2089" t="s">
        <v>328</v>
      </c>
      <c r="AU2769" s="2089" t="s">
        <v>179</v>
      </c>
      <c r="AV2769" s="2089" t="s">
        <v>130</v>
      </c>
      <c r="AW2769" s="2089" t="s">
        <v>131</v>
      </c>
      <c r="AX2769" s="2089" t="s">
        <v>136</v>
      </c>
      <c r="AY2769" s="2088"/>
      <c r="AZ2769" s="2087" t="s">
        <v>13230</v>
      </c>
      <c r="BA2769" s="2088"/>
      <c r="BB2769" s="2088"/>
      <c r="BC2769" s="2088"/>
      <c r="BD2769" s="2088"/>
      <c r="BE2769" s="2088"/>
      <c r="BF2769" s="2088"/>
      <c r="BG2769" s="2088"/>
      <c r="BH2769" s="2088"/>
      <c r="BI2769" s="2088"/>
      <c r="BJ2769" s="2088"/>
      <c r="BK2769" s="2088"/>
      <c r="BL2769" s="2088"/>
      <c r="BM2769" s="2088"/>
      <c r="BN2769" s="2088"/>
      <c r="BO2769" s="2088"/>
      <c r="BP2769" s="2088"/>
      <c r="BQ2769" s="2088"/>
      <c r="BR2769" s="2088"/>
      <c r="BS2769" s="2088"/>
      <c r="BT2769" s="2088"/>
      <c r="BU2769" s="2088"/>
      <c r="BV2769" s="2088"/>
      <c r="BW2769" s="2088"/>
      <c r="BX2769" s="2088"/>
      <c r="BY2769" s="2088"/>
      <c r="BZ2769" s="2088"/>
      <c r="CA2769" s="2088"/>
      <c r="CB2769" s="2088"/>
      <c r="CC2769" s="2088"/>
      <c r="CD2769" s="2088"/>
      <c r="CE2769" s="2088"/>
      <c r="CF2769" s="2088"/>
      <c r="CG2769" s="2088"/>
      <c r="CH2769" s="2088"/>
      <c r="CI2769" s="2088"/>
      <c r="CJ2769" s="2088"/>
      <c r="CK2769" s="2088"/>
      <c r="CL2769" s="2088"/>
      <c r="CM2769" s="2088"/>
      <c r="CN2769" s="2088"/>
      <c r="CO2769" s="2088"/>
      <c r="CP2769" s="2088"/>
      <c r="CQ2769" s="2088"/>
      <c r="CR2769" s="2088"/>
      <c r="CS2769" s="2088"/>
      <c r="CT2769" s="2088"/>
      <c r="CU2769" s="2088"/>
      <c r="CV2769" s="2088"/>
      <c r="CW2769" s="2088"/>
      <c r="CX2769" s="2088"/>
      <c r="CY2769" s="2088"/>
      <c r="CZ2769" s="2088"/>
      <c r="DA2769" s="2088"/>
      <c r="DB2769" s="2088"/>
      <c r="DC2769" s="2088"/>
      <c r="DD2769" s="2088"/>
      <c r="DE2769" s="2088"/>
      <c r="DF2769" s="2088"/>
      <c r="DG2769" s="2088"/>
      <c r="DH2769" s="2088"/>
    </row>
    <row r="2770" ht="25.5" customHeight="1">
      <c r="A2770" s="41">
        <v>3117.0</v>
      </c>
      <c r="B2770" s="209" t="s">
        <v>516</v>
      </c>
      <c r="C2770" s="2087" t="s">
        <v>108</v>
      </c>
      <c r="D2770" s="2087" t="s">
        <v>146</v>
      </c>
      <c r="E2770" s="2088"/>
      <c r="F2770" s="2232" t="s">
        <v>16202</v>
      </c>
      <c r="G2770" s="2233" t="s">
        <v>16285</v>
      </c>
      <c r="H2770" s="2232" t="s">
        <v>15858</v>
      </c>
      <c r="I2770" s="2234">
        <v>45821.0</v>
      </c>
      <c r="J2770" s="2260">
        <v>45840.0</v>
      </c>
      <c r="K2770" s="2233" t="s">
        <v>16219</v>
      </c>
      <c r="L2770" s="209" t="s">
        <v>16204</v>
      </c>
      <c r="M2770" s="2233" t="s">
        <v>16205</v>
      </c>
      <c r="N2770" s="2233" t="s">
        <v>16206</v>
      </c>
      <c r="O2770" s="2089"/>
      <c r="P2770" s="2233" t="s">
        <v>16207</v>
      </c>
      <c r="Q2770" s="1381" t="s">
        <v>16208</v>
      </c>
      <c r="R2770" s="2233" t="s">
        <v>16220</v>
      </c>
      <c r="S2770" s="2233" t="s">
        <v>16210</v>
      </c>
      <c r="T2770" s="2089"/>
      <c r="U2770" s="2089"/>
      <c r="V2770" s="2233" t="s">
        <v>16211</v>
      </c>
      <c r="W2770" s="2089"/>
      <c r="X2770" s="2263" t="s">
        <v>16212</v>
      </c>
      <c r="Y2770" s="2089"/>
      <c r="Z2770" s="2233" t="s">
        <v>2933</v>
      </c>
      <c r="AA2770" s="2233" t="s">
        <v>16221</v>
      </c>
      <c r="AB2770" s="2233" t="s">
        <v>16222</v>
      </c>
      <c r="AC2770" s="2232" t="s">
        <v>16286</v>
      </c>
      <c r="AD2770" s="2232" t="s">
        <v>16224</v>
      </c>
      <c r="AE2770" s="2239">
        <v>11.0</v>
      </c>
      <c r="AF2770" s="2239">
        <v>36.0</v>
      </c>
      <c r="AG2770" s="2239">
        <v>-0.54</v>
      </c>
      <c r="AH2770" s="2233" t="s">
        <v>208</v>
      </c>
      <c r="AI2770" s="2232" t="s">
        <v>300</v>
      </c>
      <c r="AJ2770" s="2239">
        <v>0.01</v>
      </c>
      <c r="AK2770" s="2233" t="s">
        <v>128</v>
      </c>
      <c r="AL2770" s="2233" t="s">
        <v>179</v>
      </c>
      <c r="AM2770" s="2233" t="s">
        <v>130</v>
      </c>
      <c r="AN2770" s="2233" t="s">
        <v>131</v>
      </c>
      <c r="AO2770" s="2239">
        <v>2524.0</v>
      </c>
      <c r="AP2770" s="2239" t="s">
        <v>16287</v>
      </c>
      <c r="AQ2770" s="2089"/>
      <c r="AR2770" s="2232" t="s">
        <v>843</v>
      </c>
      <c r="AS2770" s="2239">
        <v>0.73</v>
      </c>
      <c r="AT2770" s="2233" t="s">
        <v>165</v>
      </c>
      <c r="AU2770" s="2233" t="s">
        <v>179</v>
      </c>
      <c r="AV2770" s="2233" t="s">
        <v>130</v>
      </c>
      <c r="AW2770" s="2233" t="s">
        <v>131</v>
      </c>
      <c r="AX2770" s="2233" t="s">
        <v>136</v>
      </c>
      <c r="AY2770" s="2088"/>
      <c r="AZ2770" s="2087" t="s">
        <v>13230</v>
      </c>
      <c r="BA2770" s="2088"/>
      <c r="BB2770" s="2088"/>
      <c r="BC2770" s="2088"/>
      <c r="BD2770" s="2088"/>
      <c r="BE2770" s="2088"/>
      <c r="BF2770" s="2088"/>
      <c r="BG2770" s="2088"/>
      <c r="BH2770" s="2088"/>
      <c r="BI2770" s="2088"/>
      <c r="BJ2770" s="2088"/>
      <c r="BK2770" s="2088"/>
      <c r="BL2770" s="2088"/>
      <c r="BM2770" s="2088"/>
      <c r="BN2770" s="2088"/>
      <c r="BO2770" s="2088"/>
      <c r="BP2770" s="2088"/>
      <c r="BQ2770" s="2088"/>
      <c r="BR2770" s="2088"/>
      <c r="BS2770" s="2088"/>
      <c r="BT2770" s="2088"/>
      <c r="BU2770" s="2088"/>
      <c r="BV2770" s="2088"/>
      <c r="BW2770" s="2088"/>
      <c r="BX2770" s="2088"/>
      <c r="BY2770" s="2088"/>
      <c r="BZ2770" s="2088"/>
      <c r="CA2770" s="2088"/>
      <c r="CB2770" s="2088"/>
      <c r="CC2770" s="2088"/>
      <c r="CD2770" s="2088"/>
      <c r="CE2770" s="2088"/>
      <c r="CF2770" s="2088"/>
      <c r="CG2770" s="2088"/>
      <c r="CH2770" s="2088"/>
      <c r="CI2770" s="2088"/>
      <c r="CJ2770" s="2088"/>
      <c r="CK2770" s="2088"/>
      <c r="CL2770" s="2088"/>
      <c r="CM2770" s="2088"/>
      <c r="CN2770" s="2088"/>
      <c r="CO2770" s="2088"/>
      <c r="CP2770" s="2088"/>
      <c r="CQ2770" s="2088"/>
      <c r="CR2770" s="2088"/>
      <c r="CS2770" s="2088"/>
      <c r="CT2770" s="2088"/>
      <c r="CU2770" s="2088"/>
      <c r="CV2770" s="2088"/>
      <c r="CW2770" s="2088"/>
      <c r="CX2770" s="2088"/>
      <c r="CY2770" s="2088"/>
      <c r="CZ2770" s="2088"/>
      <c r="DA2770" s="2088"/>
      <c r="DB2770" s="2088"/>
      <c r="DC2770" s="2088"/>
      <c r="DD2770" s="2088"/>
      <c r="DE2770" s="2088"/>
      <c r="DF2770" s="2088"/>
      <c r="DG2770" s="2088"/>
      <c r="DH2770" s="2088"/>
    </row>
    <row r="2771" ht="21.75" customHeight="1">
      <c r="A2771" s="41">
        <v>3180.0</v>
      </c>
      <c r="B2771" s="209" t="s">
        <v>516</v>
      </c>
      <c r="C2771" s="2087" t="s">
        <v>108</v>
      </c>
      <c r="D2771" s="2087" t="s">
        <v>15928</v>
      </c>
      <c r="E2771" s="2088"/>
      <c r="F2771" s="2090" t="s">
        <v>16202</v>
      </c>
      <c r="G2771" s="2090" t="s">
        <v>16285</v>
      </c>
      <c r="H2771" s="2091" t="s">
        <v>15931</v>
      </c>
      <c r="I2771" s="2226">
        <v>45809.0</v>
      </c>
      <c r="J2771" s="2260">
        <v>45840.0</v>
      </c>
      <c r="K2771" s="2089"/>
      <c r="L2771" s="209" t="s">
        <v>16204</v>
      </c>
      <c r="M2771" s="2227" t="s">
        <v>16205</v>
      </c>
      <c r="N2771" s="2227" t="s">
        <v>16206</v>
      </c>
      <c r="O2771" s="2089"/>
      <c r="P2771" s="2227" t="s">
        <v>16207</v>
      </c>
      <c r="Q2771" s="1381" t="s">
        <v>16208</v>
      </c>
      <c r="R2771" s="2227" t="s">
        <v>16220</v>
      </c>
      <c r="S2771" s="2229" t="s">
        <v>16210</v>
      </c>
      <c r="T2771" s="2089"/>
      <c r="U2771" s="2089"/>
      <c r="V2771" s="2090" t="s">
        <v>16211</v>
      </c>
      <c r="W2771" s="2089"/>
      <c r="X2771" s="2263" t="s">
        <v>16212</v>
      </c>
      <c r="Y2771" s="2089"/>
      <c r="Z2771" s="2090" t="s">
        <v>219</v>
      </c>
      <c r="AA2771" s="2089" t="s">
        <v>16213</v>
      </c>
      <c r="AB2771" s="2089" t="s">
        <v>16214</v>
      </c>
      <c r="AC2771" s="2089" t="s">
        <v>16288</v>
      </c>
      <c r="AD2771" s="2089" t="s">
        <v>16289</v>
      </c>
      <c r="AE2771" s="2089" t="s">
        <v>1167</v>
      </c>
      <c r="AF2771" s="2096">
        <v>34.0</v>
      </c>
      <c r="AG2771" s="2089" t="s">
        <v>16290</v>
      </c>
      <c r="AH2771" s="2089"/>
      <c r="AI2771" s="2089" t="s">
        <v>1167</v>
      </c>
      <c r="AJ2771" s="2096">
        <v>0.1</v>
      </c>
      <c r="AK2771" s="2089" t="s">
        <v>128</v>
      </c>
      <c r="AL2771" s="2090" t="s">
        <v>179</v>
      </c>
      <c r="AM2771" s="2090" t="s">
        <v>130</v>
      </c>
      <c r="AN2771" s="2090" t="s">
        <v>131</v>
      </c>
      <c r="AO2771" s="2264">
        <v>3073.0</v>
      </c>
      <c r="AP2771" s="2089" t="s">
        <v>16291</v>
      </c>
      <c r="AQ2771" s="2089" t="s">
        <v>127</v>
      </c>
      <c r="AR2771" s="2089" t="s">
        <v>489</v>
      </c>
      <c r="AS2771" s="2096">
        <v>0.1</v>
      </c>
      <c r="AT2771" s="2089" t="s">
        <v>328</v>
      </c>
      <c r="AU2771" s="2089" t="s">
        <v>179</v>
      </c>
      <c r="AV2771" s="2089" t="s">
        <v>130</v>
      </c>
      <c r="AW2771" s="2089" t="s">
        <v>131</v>
      </c>
      <c r="AX2771" s="2089" t="s">
        <v>136</v>
      </c>
      <c r="AY2771" s="2088"/>
      <c r="AZ2771" s="2087" t="s">
        <v>13230</v>
      </c>
      <c r="BA2771" s="2088"/>
      <c r="BB2771" s="2088"/>
      <c r="BC2771" s="2088"/>
      <c r="BD2771" s="2088"/>
      <c r="BE2771" s="2088"/>
      <c r="BF2771" s="2088"/>
      <c r="BG2771" s="2088"/>
      <c r="BH2771" s="2088"/>
      <c r="BI2771" s="2088"/>
      <c r="BJ2771" s="2088"/>
      <c r="BK2771" s="2088"/>
      <c r="BL2771" s="2088"/>
      <c r="BM2771" s="2088"/>
      <c r="BN2771" s="2088"/>
      <c r="BO2771" s="2088"/>
      <c r="BP2771" s="2088"/>
      <c r="BQ2771" s="2088"/>
      <c r="BR2771" s="2088"/>
      <c r="BS2771" s="2088"/>
      <c r="BT2771" s="2088"/>
      <c r="BU2771" s="2088"/>
      <c r="BV2771" s="2088"/>
      <c r="BW2771" s="2088"/>
      <c r="BX2771" s="2088"/>
      <c r="BY2771" s="2088"/>
      <c r="BZ2771" s="2088"/>
      <c r="CA2771" s="2088"/>
      <c r="CB2771" s="2088"/>
      <c r="CC2771" s="2088"/>
      <c r="CD2771" s="2088"/>
      <c r="CE2771" s="2088"/>
      <c r="CF2771" s="2088"/>
      <c r="CG2771" s="2088"/>
      <c r="CH2771" s="2088"/>
      <c r="CI2771" s="2088"/>
      <c r="CJ2771" s="2088"/>
      <c r="CK2771" s="2088"/>
      <c r="CL2771" s="2088"/>
      <c r="CM2771" s="2088"/>
      <c r="CN2771" s="2088"/>
      <c r="CO2771" s="2088"/>
      <c r="CP2771" s="2088"/>
      <c r="CQ2771" s="2088"/>
      <c r="CR2771" s="2088"/>
      <c r="CS2771" s="2088"/>
      <c r="CT2771" s="2088"/>
      <c r="CU2771" s="2088"/>
      <c r="CV2771" s="2088"/>
      <c r="CW2771" s="2088"/>
      <c r="CX2771" s="2088"/>
      <c r="CY2771" s="2088"/>
      <c r="CZ2771" s="2088"/>
      <c r="DA2771" s="2088"/>
      <c r="DB2771" s="2088"/>
      <c r="DC2771" s="2088"/>
      <c r="DD2771" s="2088"/>
      <c r="DE2771" s="2088"/>
      <c r="DF2771" s="2088"/>
      <c r="DG2771" s="2088"/>
      <c r="DH2771" s="2088"/>
    </row>
    <row r="2772" ht="19.5" customHeight="1">
      <c r="A2772" s="41">
        <v>3118.0</v>
      </c>
      <c r="B2772" s="209" t="s">
        <v>516</v>
      </c>
      <c r="C2772" s="2087" t="s">
        <v>108</v>
      </c>
      <c r="D2772" s="2087" t="s">
        <v>146</v>
      </c>
      <c r="E2772" s="2088"/>
      <c r="F2772" s="2232" t="s">
        <v>16202</v>
      </c>
      <c r="G2772" s="2233" t="s">
        <v>16292</v>
      </c>
      <c r="H2772" s="2232" t="s">
        <v>15858</v>
      </c>
      <c r="I2772" s="2234">
        <v>45821.0</v>
      </c>
      <c r="J2772" s="2260">
        <v>45840.0</v>
      </c>
      <c r="K2772" s="2233" t="s">
        <v>16219</v>
      </c>
      <c r="L2772" s="209" t="s">
        <v>16204</v>
      </c>
      <c r="M2772" s="2233" t="s">
        <v>16205</v>
      </c>
      <c r="N2772" s="2233" t="s">
        <v>16206</v>
      </c>
      <c r="O2772" s="2089"/>
      <c r="P2772" s="2233" t="s">
        <v>16207</v>
      </c>
      <c r="Q2772" s="1381" t="s">
        <v>16208</v>
      </c>
      <c r="R2772" s="2233" t="s">
        <v>16220</v>
      </c>
      <c r="S2772" s="2233" t="s">
        <v>16210</v>
      </c>
      <c r="T2772" s="2089"/>
      <c r="U2772" s="2089"/>
      <c r="V2772" s="2233" t="s">
        <v>16211</v>
      </c>
      <c r="W2772" s="2089"/>
      <c r="X2772" s="2263" t="s">
        <v>16212</v>
      </c>
      <c r="Y2772" s="2089"/>
      <c r="Z2772" s="2233" t="s">
        <v>2933</v>
      </c>
      <c r="AA2772" s="2233" t="s">
        <v>16221</v>
      </c>
      <c r="AB2772" s="2233" t="s">
        <v>16222</v>
      </c>
      <c r="AC2772" s="2232" t="s">
        <v>16293</v>
      </c>
      <c r="AD2772" s="2232" t="s">
        <v>16224</v>
      </c>
      <c r="AE2772" s="2239">
        <v>11.0</v>
      </c>
      <c r="AF2772" s="2239">
        <v>36.0</v>
      </c>
      <c r="AG2772" s="2239">
        <v>0.18</v>
      </c>
      <c r="AH2772" s="2233" t="s">
        <v>208</v>
      </c>
      <c r="AI2772" s="2232" t="s">
        <v>300</v>
      </c>
      <c r="AJ2772" s="2089"/>
      <c r="AK2772" s="2089"/>
      <c r="AL2772" s="2233" t="s">
        <v>179</v>
      </c>
      <c r="AM2772" s="2233" t="s">
        <v>130</v>
      </c>
      <c r="AN2772" s="2233" t="s">
        <v>131</v>
      </c>
      <c r="AO2772" s="2239">
        <v>2524.0</v>
      </c>
      <c r="AP2772" s="2239" t="s">
        <v>16294</v>
      </c>
      <c r="AQ2772" s="2089"/>
      <c r="AR2772" s="2232" t="s">
        <v>843</v>
      </c>
      <c r="AS2772" s="2239">
        <v>0.55</v>
      </c>
      <c r="AT2772" s="2233" t="s">
        <v>165</v>
      </c>
      <c r="AU2772" s="2233" t="s">
        <v>179</v>
      </c>
      <c r="AV2772" s="2233" t="s">
        <v>130</v>
      </c>
      <c r="AW2772" s="2233" t="s">
        <v>131</v>
      </c>
      <c r="AX2772" s="2233" t="s">
        <v>136</v>
      </c>
      <c r="AY2772" s="2088"/>
      <c r="AZ2772" s="2087" t="s">
        <v>13230</v>
      </c>
      <c r="BA2772" s="2088"/>
      <c r="BB2772" s="2088"/>
      <c r="BC2772" s="2088"/>
      <c r="BD2772" s="2088"/>
      <c r="BE2772" s="2088"/>
      <c r="BF2772" s="2088"/>
      <c r="BG2772" s="2088"/>
      <c r="BH2772" s="2088"/>
      <c r="BI2772" s="2088"/>
      <c r="BJ2772" s="2088"/>
      <c r="BK2772" s="2088"/>
      <c r="BL2772" s="2088"/>
      <c r="BM2772" s="2088"/>
      <c r="BN2772" s="2088"/>
      <c r="BO2772" s="2088"/>
      <c r="BP2772" s="2088"/>
      <c r="BQ2772" s="2088"/>
      <c r="BR2772" s="2088"/>
      <c r="BS2772" s="2088"/>
      <c r="BT2772" s="2088"/>
      <c r="BU2772" s="2088"/>
      <c r="BV2772" s="2088"/>
      <c r="BW2772" s="2088"/>
      <c r="BX2772" s="2088"/>
      <c r="BY2772" s="2088"/>
      <c r="BZ2772" s="2088"/>
      <c r="CA2772" s="2088"/>
      <c r="CB2772" s="2088"/>
      <c r="CC2772" s="2088"/>
      <c r="CD2772" s="2088"/>
      <c r="CE2772" s="2088"/>
      <c r="CF2772" s="2088"/>
      <c r="CG2772" s="2088"/>
      <c r="CH2772" s="2088"/>
      <c r="CI2772" s="2088"/>
      <c r="CJ2772" s="2088"/>
      <c r="CK2772" s="2088"/>
      <c r="CL2772" s="2088"/>
      <c r="CM2772" s="2088"/>
      <c r="CN2772" s="2088"/>
      <c r="CO2772" s="2088"/>
      <c r="CP2772" s="2088"/>
      <c r="CQ2772" s="2088"/>
      <c r="CR2772" s="2088"/>
      <c r="CS2772" s="2088"/>
      <c r="CT2772" s="2088"/>
      <c r="CU2772" s="2088"/>
      <c r="CV2772" s="2088"/>
      <c r="CW2772" s="2088"/>
      <c r="CX2772" s="2088"/>
      <c r="CY2772" s="2088"/>
      <c r="CZ2772" s="2088"/>
      <c r="DA2772" s="2088"/>
      <c r="DB2772" s="2088"/>
      <c r="DC2772" s="2088"/>
      <c r="DD2772" s="2088"/>
      <c r="DE2772" s="2088"/>
      <c r="DF2772" s="2088"/>
      <c r="DG2772" s="2088"/>
      <c r="DH2772" s="2088"/>
    </row>
    <row r="2773" ht="21.0" customHeight="1">
      <c r="A2773" s="41">
        <v>3181.0</v>
      </c>
      <c r="B2773" s="209" t="s">
        <v>516</v>
      </c>
      <c r="C2773" s="2087" t="s">
        <v>108</v>
      </c>
      <c r="D2773" s="2087" t="s">
        <v>15928</v>
      </c>
      <c r="E2773" s="2088"/>
      <c r="F2773" s="2090" t="s">
        <v>16202</v>
      </c>
      <c r="G2773" s="2090" t="s">
        <v>16292</v>
      </c>
      <c r="H2773" s="2091" t="s">
        <v>15931</v>
      </c>
      <c r="I2773" s="2226">
        <v>45809.0</v>
      </c>
      <c r="J2773" s="2260">
        <v>45840.0</v>
      </c>
      <c r="K2773" s="2089"/>
      <c r="L2773" s="209" t="s">
        <v>16204</v>
      </c>
      <c r="M2773" s="2227" t="s">
        <v>16205</v>
      </c>
      <c r="N2773" s="2227" t="s">
        <v>16206</v>
      </c>
      <c r="O2773" s="2089"/>
      <c r="P2773" s="2227" t="s">
        <v>16207</v>
      </c>
      <c r="Q2773" s="1381" t="s">
        <v>16208</v>
      </c>
      <c r="R2773" s="2227" t="s">
        <v>16220</v>
      </c>
      <c r="S2773" s="2229" t="s">
        <v>16210</v>
      </c>
      <c r="T2773" s="2089"/>
      <c r="U2773" s="2089"/>
      <c r="V2773" s="2090" t="s">
        <v>16211</v>
      </c>
      <c r="W2773" s="2089"/>
      <c r="X2773" s="2263" t="s">
        <v>16212</v>
      </c>
      <c r="Y2773" s="2089"/>
      <c r="Z2773" s="2090" t="s">
        <v>219</v>
      </c>
      <c r="AA2773" s="2089" t="s">
        <v>16213</v>
      </c>
      <c r="AB2773" s="2089" t="s">
        <v>16214</v>
      </c>
      <c r="AC2773" s="2089" t="s">
        <v>16295</v>
      </c>
      <c r="AD2773" s="2089" t="s">
        <v>16296</v>
      </c>
      <c r="AE2773" s="2089" t="s">
        <v>1167</v>
      </c>
      <c r="AF2773" s="2096">
        <v>35.0</v>
      </c>
      <c r="AG2773" s="2089" t="s">
        <v>16297</v>
      </c>
      <c r="AH2773" s="2089"/>
      <c r="AI2773" s="2089" t="s">
        <v>1167</v>
      </c>
      <c r="AJ2773" s="2096">
        <v>0.001</v>
      </c>
      <c r="AK2773" s="2089" t="s">
        <v>128</v>
      </c>
      <c r="AL2773" s="2090" t="s">
        <v>179</v>
      </c>
      <c r="AM2773" s="2090" t="s">
        <v>130</v>
      </c>
      <c r="AN2773" s="2090" t="s">
        <v>131</v>
      </c>
      <c r="AO2773" s="2264">
        <v>3073.0</v>
      </c>
      <c r="AP2773" s="2089" t="s">
        <v>16298</v>
      </c>
      <c r="AQ2773" s="2089" t="s">
        <v>127</v>
      </c>
      <c r="AR2773" s="2089" t="s">
        <v>489</v>
      </c>
      <c r="AS2773" s="2096">
        <v>0.09</v>
      </c>
      <c r="AT2773" s="2089" t="s">
        <v>165</v>
      </c>
      <c r="AU2773" s="2089" t="s">
        <v>179</v>
      </c>
      <c r="AV2773" s="2089" t="s">
        <v>130</v>
      </c>
      <c r="AW2773" s="2089" t="s">
        <v>131</v>
      </c>
      <c r="AX2773" s="2089" t="s">
        <v>136</v>
      </c>
      <c r="AY2773" s="2088"/>
      <c r="AZ2773" s="2087" t="s">
        <v>13230</v>
      </c>
      <c r="BA2773" s="2088"/>
      <c r="BB2773" s="2088"/>
      <c r="BC2773" s="2088"/>
      <c r="BD2773" s="2088"/>
      <c r="BE2773" s="2088"/>
      <c r="BF2773" s="2088"/>
      <c r="BG2773" s="2088"/>
      <c r="BH2773" s="2088"/>
      <c r="BI2773" s="2088"/>
      <c r="BJ2773" s="2088"/>
      <c r="BK2773" s="2088"/>
      <c r="BL2773" s="2088"/>
      <c r="BM2773" s="2088"/>
      <c r="BN2773" s="2088"/>
      <c r="BO2773" s="2088"/>
      <c r="BP2773" s="2088"/>
      <c r="BQ2773" s="2088"/>
      <c r="BR2773" s="2088"/>
      <c r="BS2773" s="2088"/>
      <c r="BT2773" s="2088"/>
      <c r="BU2773" s="2088"/>
      <c r="BV2773" s="2088"/>
      <c r="BW2773" s="2088"/>
      <c r="BX2773" s="2088"/>
      <c r="BY2773" s="2088"/>
      <c r="BZ2773" s="2088"/>
      <c r="CA2773" s="2088"/>
      <c r="CB2773" s="2088"/>
      <c r="CC2773" s="2088"/>
      <c r="CD2773" s="2088"/>
      <c r="CE2773" s="2088"/>
      <c r="CF2773" s="2088"/>
      <c r="CG2773" s="2088"/>
      <c r="CH2773" s="2088"/>
      <c r="CI2773" s="2088"/>
      <c r="CJ2773" s="2088"/>
      <c r="CK2773" s="2088"/>
      <c r="CL2773" s="2088"/>
      <c r="CM2773" s="2088"/>
      <c r="CN2773" s="2088"/>
      <c r="CO2773" s="2088"/>
      <c r="CP2773" s="2088"/>
      <c r="CQ2773" s="2088"/>
      <c r="CR2773" s="2088"/>
      <c r="CS2773" s="2088"/>
      <c r="CT2773" s="2088"/>
      <c r="CU2773" s="2088"/>
      <c r="CV2773" s="2088"/>
      <c r="CW2773" s="2088"/>
      <c r="CX2773" s="2088"/>
      <c r="CY2773" s="2088"/>
      <c r="CZ2773" s="2088"/>
      <c r="DA2773" s="2088"/>
      <c r="DB2773" s="2088"/>
      <c r="DC2773" s="2088"/>
      <c r="DD2773" s="2088"/>
      <c r="DE2773" s="2088"/>
      <c r="DF2773" s="2088"/>
      <c r="DG2773" s="2088"/>
      <c r="DH2773" s="2088"/>
    </row>
    <row r="2774" ht="23.25" customHeight="1">
      <c r="A2774" s="41">
        <v>3182.0</v>
      </c>
      <c r="B2774" s="209" t="s">
        <v>516</v>
      </c>
      <c r="C2774" s="2087" t="s">
        <v>108</v>
      </c>
      <c r="D2774" s="2087" t="s">
        <v>15928</v>
      </c>
      <c r="E2774" s="2088"/>
      <c r="F2774" s="2090" t="s">
        <v>16202</v>
      </c>
      <c r="G2774" s="2090" t="s">
        <v>16299</v>
      </c>
      <c r="H2774" s="2091" t="s">
        <v>15931</v>
      </c>
      <c r="I2774" s="2226">
        <v>45809.0</v>
      </c>
      <c r="J2774" s="2260">
        <v>45840.0</v>
      </c>
      <c r="K2774" s="2089"/>
      <c r="L2774" s="209" t="s">
        <v>16204</v>
      </c>
      <c r="M2774" s="2227" t="s">
        <v>16205</v>
      </c>
      <c r="N2774" s="2227" t="s">
        <v>16206</v>
      </c>
      <c r="O2774" s="2089"/>
      <c r="P2774" s="2227" t="s">
        <v>16207</v>
      </c>
      <c r="Q2774" s="1381" t="s">
        <v>16208</v>
      </c>
      <c r="R2774" s="2227" t="s">
        <v>16220</v>
      </c>
      <c r="S2774" s="2229" t="s">
        <v>16210</v>
      </c>
      <c r="T2774" s="2089"/>
      <c r="U2774" s="2089"/>
      <c r="V2774" s="2090" t="s">
        <v>16211</v>
      </c>
      <c r="W2774" s="2089"/>
      <c r="X2774" s="2263" t="s">
        <v>16212</v>
      </c>
      <c r="Y2774" s="2089"/>
      <c r="Z2774" s="2090" t="s">
        <v>219</v>
      </c>
      <c r="AA2774" s="2089" t="s">
        <v>16213</v>
      </c>
      <c r="AB2774" s="2089" t="s">
        <v>16214</v>
      </c>
      <c r="AC2774" s="2089" t="s">
        <v>16300</v>
      </c>
      <c r="AD2774" s="2089" t="s">
        <v>16296</v>
      </c>
      <c r="AE2774" s="2089" t="s">
        <v>1167</v>
      </c>
      <c r="AF2774" s="2096">
        <v>33.0</v>
      </c>
      <c r="AG2774" s="2089" t="s">
        <v>16301</v>
      </c>
      <c r="AH2774" s="2089"/>
      <c r="AI2774" s="2089" t="s">
        <v>1167</v>
      </c>
      <c r="AJ2774" s="2096">
        <v>0.001</v>
      </c>
      <c r="AK2774" s="2089" t="s">
        <v>128</v>
      </c>
      <c r="AL2774" s="2090" t="s">
        <v>179</v>
      </c>
      <c r="AM2774" s="2090" t="s">
        <v>130</v>
      </c>
      <c r="AN2774" s="2090" t="s">
        <v>131</v>
      </c>
      <c r="AO2774" s="2264">
        <v>3073.0</v>
      </c>
      <c r="AP2774" s="2089" t="s">
        <v>16302</v>
      </c>
      <c r="AQ2774" s="2089" t="s">
        <v>127</v>
      </c>
      <c r="AR2774" s="2089" t="s">
        <v>489</v>
      </c>
      <c r="AS2774" s="2096">
        <v>0.1</v>
      </c>
      <c r="AT2774" s="2089" t="s">
        <v>328</v>
      </c>
      <c r="AU2774" s="2089" t="s">
        <v>179</v>
      </c>
      <c r="AV2774" s="2089" t="s">
        <v>130</v>
      </c>
      <c r="AW2774" s="2089" t="s">
        <v>131</v>
      </c>
      <c r="AX2774" s="2089" t="s">
        <v>136</v>
      </c>
      <c r="AY2774" s="2088"/>
      <c r="AZ2774" s="2087" t="s">
        <v>13230</v>
      </c>
      <c r="BA2774" s="2088"/>
      <c r="BB2774" s="2088"/>
      <c r="BC2774" s="2088"/>
      <c r="BD2774" s="2088"/>
      <c r="BE2774" s="2088"/>
      <c r="BF2774" s="2088"/>
      <c r="BG2774" s="2088"/>
      <c r="BH2774" s="2088"/>
      <c r="BI2774" s="2088"/>
      <c r="BJ2774" s="2088"/>
      <c r="BK2774" s="2088"/>
      <c r="BL2774" s="2088"/>
      <c r="BM2774" s="2088"/>
      <c r="BN2774" s="2088"/>
      <c r="BO2774" s="2088"/>
      <c r="BP2774" s="2088"/>
      <c r="BQ2774" s="2088"/>
      <c r="BR2774" s="2088"/>
      <c r="BS2774" s="2088"/>
      <c r="BT2774" s="2088"/>
      <c r="BU2774" s="2088"/>
      <c r="BV2774" s="2088"/>
      <c r="BW2774" s="2088"/>
      <c r="BX2774" s="2088"/>
      <c r="BY2774" s="2088"/>
      <c r="BZ2774" s="2088"/>
      <c r="CA2774" s="2088"/>
      <c r="CB2774" s="2088"/>
      <c r="CC2774" s="2088"/>
      <c r="CD2774" s="2088"/>
      <c r="CE2774" s="2088"/>
      <c r="CF2774" s="2088"/>
      <c r="CG2774" s="2088"/>
      <c r="CH2774" s="2088"/>
      <c r="CI2774" s="2088"/>
      <c r="CJ2774" s="2088"/>
      <c r="CK2774" s="2088"/>
      <c r="CL2774" s="2088"/>
      <c r="CM2774" s="2088"/>
      <c r="CN2774" s="2088"/>
      <c r="CO2774" s="2088"/>
      <c r="CP2774" s="2088"/>
      <c r="CQ2774" s="2088"/>
      <c r="CR2774" s="2088"/>
      <c r="CS2774" s="2088"/>
      <c r="CT2774" s="2088"/>
      <c r="CU2774" s="2088"/>
      <c r="CV2774" s="2088"/>
      <c r="CW2774" s="2088"/>
      <c r="CX2774" s="2088"/>
      <c r="CY2774" s="2088"/>
      <c r="CZ2774" s="2088"/>
      <c r="DA2774" s="2088"/>
      <c r="DB2774" s="2088"/>
      <c r="DC2774" s="2088"/>
      <c r="DD2774" s="2088"/>
      <c r="DE2774" s="2088"/>
      <c r="DF2774" s="2088"/>
      <c r="DG2774" s="2088"/>
      <c r="DH2774" s="2088"/>
    </row>
    <row r="2775" ht="23.25" customHeight="1">
      <c r="A2775" s="41">
        <v>3183.0</v>
      </c>
      <c r="B2775" s="209" t="s">
        <v>516</v>
      </c>
      <c r="C2775" s="2087" t="s">
        <v>108</v>
      </c>
      <c r="D2775" s="2087" t="s">
        <v>15928</v>
      </c>
      <c r="E2775" s="2088"/>
      <c r="F2775" s="2090" t="s">
        <v>16202</v>
      </c>
      <c r="G2775" s="2090" t="s">
        <v>16303</v>
      </c>
      <c r="H2775" s="2091" t="s">
        <v>15931</v>
      </c>
      <c r="I2775" s="2226">
        <v>45809.0</v>
      </c>
      <c r="J2775" s="2260">
        <v>45840.0</v>
      </c>
      <c r="K2775" s="2089"/>
      <c r="L2775" s="209" t="s">
        <v>16204</v>
      </c>
      <c r="M2775" s="2227" t="s">
        <v>16205</v>
      </c>
      <c r="N2775" s="2227" t="s">
        <v>16206</v>
      </c>
      <c r="O2775" s="2089"/>
      <c r="P2775" s="2227" t="s">
        <v>16207</v>
      </c>
      <c r="Q2775" s="1381" t="s">
        <v>16208</v>
      </c>
      <c r="R2775" s="2227" t="s">
        <v>16220</v>
      </c>
      <c r="S2775" s="2229" t="s">
        <v>16210</v>
      </c>
      <c r="T2775" s="2089"/>
      <c r="U2775" s="2089"/>
      <c r="V2775" s="2090" t="s">
        <v>16211</v>
      </c>
      <c r="W2775" s="2089"/>
      <c r="X2775" s="2263" t="s">
        <v>16212</v>
      </c>
      <c r="Y2775" s="2089"/>
      <c r="Z2775" s="2090" t="s">
        <v>219</v>
      </c>
      <c r="AA2775" s="2089" t="s">
        <v>16213</v>
      </c>
      <c r="AB2775" s="2089" t="s">
        <v>16214</v>
      </c>
      <c r="AC2775" s="2089" t="s">
        <v>16304</v>
      </c>
      <c r="AD2775" s="2089" t="s">
        <v>16305</v>
      </c>
      <c r="AE2775" s="2089" t="s">
        <v>1167</v>
      </c>
      <c r="AF2775" s="2096">
        <v>36.0</v>
      </c>
      <c r="AG2775" s="2089" t="s">
        <v>16306</v>
      </c>
      <c r="AH2775" s="2089"/>
      <c r="AI2775" s="2089" t="s">
        <v>1167</v>
      </c>
      <c r="AJ2775" s="2096">
        <v>0.05</v>
      </c>
      <c r="AK2775" s="2089" t="s">
        <v>128</v>
      </c>
      <c r="AL2775" s="2090" t="s">
        <v>179</v>
      </c>
      <c r="AM2775" s="2090" t="s">
        <v>130</v>
      </c>
      <c r="AN2775" s="2090" t="s">
        <v>131</v>
      </c>
      <c r="AO2775" s="2264">
        <v>3073.0</v>
      </c>
      <c r="AP2775" s="2089" t="s">
        <v>16307</v>
      </c>
      <c r="AQ2775" s="2089" t="s">
        <v>127</v>
      </c>
      <c r="AR2775" s="2089" t="s">
        <v>489</v>
      </c>
      <c r="AS2775" s="2096">
        <v>0.1</v>
      </c>
      <c r="AT2775" s="2089" t="s">
        <v>328</v>
      </c>
      <c r="AU2775" s="2089" t="s">
        <v>179</v>
      </c>
      <c r="AV2775" s="2089" t="s">
        <v>130</v>
      </c>
      <c r="AW2775" s="2089" t="s">
        <v>131</v>
      </c>
      <c r="AX2775" s="2089" t="s">
        <v>136</v>
      </c>
      <c r="AY2775" s="2088"/>
      <c r="AZ2775" s="2087" t="s">
        <v>13230</v>
      </c>
      <c r="BA2775" s="2088"/>
      <c r="BB2775" s="2088"/>
      <c r="BC2775" s="2088"/>
      <c r="BD2775" s="2088"/>
      <c r="BE2775" s="2088"/>
      <c r="BF2775" s="2088"/>
      <c r="BG2775" s="2088"/>
      <c r="BH2775" s="2088"/>
      <c r="BI2775" s="2088"/>
      <c r="BJ2775" s="2088"/>
      <c r="BK2775" s="2088"/>
      <c r="BL2775" s="2088"/>
      <c r="BM2775" s="2088"/>
      <c r="BN2775" s="2088"/>
      <c r="BO2775" s="2088"/>
      <c r="BP2775" s="2088"/>
      <c r="BQ2775" s="2088"/>
      <c r="BR2775" s="2088"/>
      <c r="BS2775" s="2088"/>
      <c r="BT2775" s="2088"/>
      <c r="BU2775" s="2088"/>
      <c r="BV2775" s="2088"/>
      <c r="BW2775" s="2088"/>
      <c r="BX2775" s="2088"/>
      <c r="BY2775" s="2088"/>
      <c r="BZ2775" s="2088"/>
      <c r="CA2775" s="2088"/>
      <c r="CB2775" s="2088"/>
      <c r="CC2775" s="2088"/>
      <c r="CD2775" s="2088"/>
      <c r="CE2775" s="2088"/>
      <c r="CF2775" s="2088"/>
      <c r="CG2775" s="2088"/>
      <c r="CH2775" s="2088"/>
      <c r="CI2775" s="2088"/>
      <c r="CJ2775" s="2088"/>
      <c r="CK2775" s="2088"/>
      <c r="CL2775" s="2088"/>
      <c r="CM2775" s="2088"/>
      <c r="CN2775" s="2088"/>
      <c r="CO2775" s="2088"/>
      <c r="CP2775" s="2088"/>
      <c r="CQ2775" s="2088"/>
      <c r="CR2775" s="2088"/>
      <c r="CS2775" s="2088"/>
      <c r="CT2775" s="2088"/>
      <c r="CU2775" s="2088"/>
      <c r="CV2775" s="2088"/>
      <c r="CW2775" s="2088"/>
      <c r="CX2775" s="2088"/>
      <c r="CY2775" s="2088"/>
      <c r="CZ2775" s="2088"/>
      <c r="DA2775" s="2088"/>
      <c r="DB2775" s="2088"/>
      <c r="DC2775" s="2088"/>
      <c r="DD2775" s="2088"/>
      <c r="DE2775" s="2088"/>
      <c r="DF2775" s="2088"/>
      <c r="DG2775" s="2088"/>
      <c r="DH2775" s="2088"/>
    </row>
    <row r="2776" ht="22.5" customHeight="1">
      <c r="A2776" s="41">
        <v>3184.0</v>
      </c>
      <c r="B2776" s="209" t="s">
        <v>516</v>
      </c>
      <c r="C2776" s="2087" t="s">
        <v>108</v>
      </c>
      <c r="D2776" s="2087" t="s">
        <v>15928</v>
      </c>
      <c r="E2776" s="2088"/>
      <c r="F2776" s="2090" t="s">
        <v>16202</v>
      </c>
      <c r="G2776" s="2090" t="s">
        <v>16308</v>
      </c>
      <c r="H2776" s="2091" t="s">
        <v>15931</v>
      </c>
      <c r="I2776" s="2226">
        <v>45809.0</v>
      </c>
      <c r="J2776" s="2260">
        <v>45840.0</v>
      </c>
      <c r="K2776" s="2089"/>
      <c r="L2776" s="209" t="s">
        <v>16204</v>
      </c>
      <c r="M2776" s="2227" t="s">
        <v>16205</v>
      </c>
      <c r="N2776" s="2227" t="s">
        <v>16206</v>
      </c>
      <c r="O2776" s="2089"/>
      <c r="P2776" s="2227" t="s">
        <v>16207</v>
      </c>
      <c r="Q2776" s="1381" t="s">
        <v>16208</v>
      </c>
      <c r="R2776" s="2227" t="s">
        <v>16220</v>
      </c>
      <c r="S2776" s="2229" t="s">
        <v>16210</v>
      </c>
      <c r="T2776" s="2089"/>
      <c r="U2776" s="2089"/>
      <c r="V2776" s="2090" t="s">
        <v>16211</v>
      </c>
      <c r="W2776" s="2089"/>
      <c r="X2776" s="2263" t="s">
        <v>16212</v>
      </c>
      <c r="Y2776" s="2089"/>
      <c r="Z2776" s="2090" t="s">
        <v>219</v>
      </c>
      <c r="AA2776" s="2089" t="s">
        <v>16213</v>
      </c>
      <c r="AB2776" s="2089" t="s">
        <v>16214</v>
      </c>
      <c r="AC2776" s="2089" t="s">
        <v>16309</v>
      </c>
      <c r="AD2776" s="2089" t="s">
        <v>16305</v>
      </c>
      <c r="AE2776" s="2089" t="s">
        <v>1167</v>
      </c>
      <c r="AF2776" s="2096">
        <v>34.0</v>
      </c>
      <c r="AG2776" s="2089" t="s">
        <v>16306</v>
      </c>
      <c r="AH2776" s="2089"/>
      <c r="AI2776" s="2089" t="s">
        <v>1167</v>
      </c>
      <c r="AJ2776" s="2096">
        <v>0.05</v>
      </c>
      <c r="AK2776" s="2089" t="s">
        <v>128</v>
      </c>
      <c r="AL2776" s="2090" t="s">
        <v>179</v>
      </c>
      <c r="AM2776" s="2090" t="s">
        <v>130</v>
      </c>
      <c r="AN2776" s="2090" t="s">
        <v>131</v>
      </c>
      <c r="AO2776" s="2264">
        <v>3073.0</v>
      </c>
      <c r="AP2776" s="2089" t="s">
        <v>16310</v>
      </c>
      <c r="AQ2776" s="2089" t="s">
        <v>127</v>
      </c>
      <c r="AR2776" s="2089" t="s">
        <v>489</v>
      </c>
      <c r="AS2776" s="2096">
        <v>0.1</v>
      </c>
      <c r="AT2776" s="2089" t="s">
        <v>328</v>
      </c>
      <c r="AU2776" s="2089" t="s">
        <v>179</v>
      </c>
      <c r="AV2776" s="2089" t="s">
        <v>130</v>
      </c>
      <c r="AW2776" s="2089" t="s">
        <v>131</v>
      </c>
      <c r="AX2776" s="2089" t="s">
        <v>136</v>
      </c>
      <c r="AY2776" s="2088"/>
      <c r="AZ2776" s="2087" t="s">
        <v>13230</v>
      </c>
      <c r="BA2776" s="2088"/>
      <c r="BB2776" s="2088"/>
      <c r="BC2776" s="2088"/>
      <c r="BD2776" s="2088"/>
      <c r="BE2776" s="2088"/>
      <c r="BF2776" s="2088"/>
      <c r="BG2776" s="2088"/>
      <c r="BH2776" s="2088"/>
      <c r="BI2776" s="2088"/>
      <c r="BJ2776" s="2088"/>
      <c r="BK2776" s="2088"/>
      <c r="BL2776" s="2088"/>
      <c r="BM2776" s="2088"/>
      <c r="BN2776" s="2088"/>
      <c r="BO2776" s="2088"/>
      <c r="BP2776" s="2088"/>
      <c r="BQ2776" s="2088"/>
      <c r="BR2776" s="2088"/>
      <c r="BS2776" s="2088"/>
      <c r="BT2776" s="2088"/>
      <c r="BU2776" s="2088"/>
      <c r="BV2776" s="2088"/>
      <c r="BW2776" s="2088"/>
      <c r="BX2776" s="2088"/>
      <c r="BY2776" s="2088"/>
      <c r="BZ2776" s="2088"/>
      <c r="CA2776" s="2088"/>
      <c r="CB2776" s="2088"/>
      <c r="CC2776" s="2088"/>
      <c r="CD2776" s="2088"/>
      <c r="CE2776" s="2088"/>
      <c r="CF2776" s="2088"/>
      <c r="CG2776" s="2088"/>
      <c r="CH2776" s="2088"/>
      <c r="CI2776" s="2088"/>
      <c r="CJ2776" s="2088"/>
      <c r="CK2776" s="2088"/>
      <c r="CL2776" s="2088"/>
      <c r="CM2776" s="2088"/>
      <c r="CN2776" s="2088"/>
      <c r="CO2776" s="2088"/>
      <c r="CP2776" s="2088"/>
      <c r="CQ2776" s="2088"/>
      <c r="CR2776" s="2088"/>
      <c r="CS2776" s="2088"/>
      <c r="CT2776" s="2088"/>
      <c r="CU2776" s="2088"/>
      <c r="CV2776" s="2088"/>
      <c r="CW2776" s="2088"/>
      <c r="CX2776" s="2088"/>
      <c r="CY2776" s="2088"/>
      <c r="CZ2776" s="2088"/>
      <c r="DA2776" s="2088"/>
      <c r="DB2776" s="2088"/>
      <c r="DC2776" s="2088"/>
      <c r="DD2776" s="2088"/>
      <c r="DE2776" s="2088"/>
      <c r="DF2776" s="2088"/>
      <c r="DG2776" s="2088"/>
      <c r="DH2776" s="2088"/>
    </row>
    <row r="2777" ht="26.25" customHeight="1">
      <c r="A2777" s="41">
        <v>3190.0</v>
      </c>
      <c r="B2777" s="53" t="s">
        <v>516</v>
      </c>
      <c r="C2777" s="338" t="s">
        <v>108</v>
      </c>
      <c r="D2777" s="338" t="s">
        <v>15928</v>
      </c>
      <c r="E2777" s="339"/>
      <c r="F2777" s="357" t="s">
        <v>16311</v>
      </c>
      <c r="G2777" s="357" t="s">
        <v>16312</v>
      </c>
      <c r="H2777" s="1684" t="s">
        <v>15931</v>
      </c>
      <c r="I2777" s="2266">
        <v>45812.0</v>
      </c>
      <c r="J2777" s="43"/>
      <c r="K2777" s="43"/>
      <c r="L2777" s="43"/>
      <c r="M2777" s="2215" t="s">
        <v>16313</v>
      </c>
      <c r="N2777" s="2215" t="s">
        <v>16314</v>
      </c>
      <c r="O2777" s="43"/>
      <c r="P2777" s="2215" t="s">
        <v>16315</v>
      </c>
      <c r="Q2777" s="2167" t="str">
        <f> hyperlink(vlookup(lower(N2777),'File Links'!F:G, 2, FALSE), "LINK")</f>
        <v>LINK</v>
      </c>
      <c r="R2777" s="2267" t="s">
        <v>16316</v>
      </c>
      <c r="S2777" s="506" t="s">
        <v>16317</v>
      </c>
      <c r="T2777" s="43"/>
      <c r="U2777" s="43"/>
      <c r="V2777" s="357" t="s">
        <v>16318</v>
      </c>
      <c r="W2777" s="43"/>
      <c r="X2777" s="46" t="str">
        <f t="array" ref="X2777"> if(iserror(MATCH(V2777, 'File Links'!C:C, 0)), "N/A", HYPERLINK(INDEX('File Links'!B:B, MATCH(V2777, 'File Links'!C:C, 0))))</f>
        <v>N/A</v>
      </c>
      <c r="Y2777" s="43"/>
      <c r="Z2777" s="43" t="s">
        <v>219</v>
      </c>
      <c r="AA2777" s="43" t="s">
        <v>16319</v>
      </c>
      <c r="AB2777" s="43" t="s">
        <v>16320</v>
      </c>
      <c r="AC2777" s="43" t="s">
        <v>16321</v>
      </c>
      <c r="AD2777" s="43" t="s">
        <v>16322</v>
      </c>
      <c r="AE2777" s="43" t="s">
        <v>1035</v>
      </c>
      <c r="AF2777" s="382">
        <v>39.0</v>
      </c>
      <c r="AG2777" s="382">
        <v>1.11</v>
      </c>
      <c r="AH2777" s="43" t="s">
        <v>166</v>
      </c>
      <c r="AI2777" s="43" t="s">
        <v>1035</v>
      </c>
      <c r="AJ2777" s="382">
        <v>0.01</v>
      </c>
      <c r="AK2777" s="43" t="s">
        <v>128</v>
      </c>
      <c r="AL2777" s="43" t="s">
        <v>179</v>
      </c>
      <c r="AM2777" s="43" t="s">
        <v>130</v>
      </c>
      <c r="AN2777" s="43" t="s">
        <v>131</v>
      </c>
      <c r="AO2777" s="382">
        <v>31.0</v>
      </c>
      <c r="AP2777" s="382">
        <v>1.73</v>
      </c>
      <c r="AQ2777" s="43" t="s">
        <v>595</v>
      </c>
      <c r="AR2777" s="43" t="s">
        <v>2434</v>
      </c>
      <c r="AS2777" s="382">
        <v>0.05</v>
      </c>
      <c r="AT2777" s="43" t="s">
        <v>128</v>
      </c>
      <c r="AU2777" s="43" t="s">
        <v>179</v>
      </c>
      <c r="AV2777" s="43" t="s">
        <v>130</v>
      </c>
      <c r="AW2777" s="43" t="s">
        <v>131</v>
      </c>
      <c r="AX2777" s="43" t="s">
        <v>136</v>
      </c>
      <c r="AY2777" s="339"/>
      <c r="AZ2777" s="338" t="s">
        <v>15958</v>
      </c>
      <c r="BA2777" s="339"/>
      <c r="BB2777" s="339"/>
      <c r="BC2777" s="339"/>
      <c r="BD2777" s="339"/>
      <c r="BE2777" s="339"/>
      <c r="BF2777" s="339"/>
      <c r="BG2777" s="339"/>
      <c r="BH2777" s="339"/>
      <c r="BI2777" s="339"/>
      <c r="BJ2777" s="339"/>
      <c r="BK2777" s="339"/>
      <c r="BL2777" s="339"/>
      <c r="BM2777" s="339"/>
      <c r="BN2777" s="339"/>
      <c r="BO2777" s="339"/>
      <c r="BP2777" s="339"/>
      <c r="BQ2777" s="339"/>
      <c r="BR2777" s="339"/>
      <c r="BS2777" s="339"/>
      <c r="BT2777" s="339"/>
      <c r="BU2777" s="339"/>
      <c r="BV2777" s="339"/>
      <c r="BW2777" s="339"/>
      <c r="BX2777" s="339"/>
      <c r="BY2777" s="339"/>
      <c r="BZ2777" s="339"/>
      <c r="CA2777" s="339"/>
      <c r="CB2777" s="339"/>
      <c r="CC2777" s="339"/>
      <c r="CD2777" s="339"/>
      <c r="CE2777" s="339"/>
      <c r="CF2777" s="339"/>
      <c r="CG2777" s="339"/>
      <c r="CH2777" s="339"/>
      <c r="CI2777" s="339"/>
      <c r="CJ2777" s="339"/>
      <c r="CK2777" s="339"/>
      <c r="CL2777" s="339"/>
      <c r="CM2777" s="339"/>
      <c r="CN2777" s="339"/>
      <c r="CO2777" s="339"/>
      <c r="CP2777" s="339"/>
      <c r="CQ2777" s="339"/>
      <c r="CR2777" s="339"/>
      <c r="CS2777" s="339"/>
      <c r="CT2777" s="339"/>
      <c r="CU2777" s="339"/>
      <c r="CV2777" s="339"/>
      <c r="CW2777" s="339"/>
      <c r="CX2777" s="339"/>
      <c r="CY2777" s="339"/>
      <c r="CZ2777" s="339"/>
      <c r="DA2777" s="339"/>
      <c r="DB2777" s="339"/>
      <c r="DC2777" s="339"/>
      <c r="DD2777" s="339"/>
      <c r="DE2777" s="339"/>
      <c r="DF2777" s="339"/>
      <c r="DG2777" s="339"/>
      <c r="DH2777" s="339"/>
    </row>
    <row r="2778">
      <c r="A2778" s="41">
        <v>3129.0</v>
      </c>
      <c r="B2778" s="126" t="s">
        <v>516</v>
      </c>
      <c r="C2778" s="59" t="s">
        <v>108</v>
      </c>
      <c r="D2778" s="59" t="s">
        <v>146</v>
      </c>
      <c r="F2778" s="829" t="s">
        <v>16311</v>
      </c>
      <c r="G2778" s="434" t="s">
        <v>16323</v>
      </c>
      <c r="H2778" s="829" t="s">
        <v>15858</v>
      </c>
      <c r="I2778" s="2242">
        <v>45821.0</v>
      </c>
      <c r="J2778" s="859"/>
      <c r="K2778" s="434" t="s">
        <v>16324</v>
      </c>
      <c r="L2778" s="65"/>
      <c r="M2778" s="434" t="s">
        <v>16313</v>
      </c>
      <c r="N2778" s="434" t="s">
        <v>16314</v>
      </c>
      <c r="O2778" s="65"/>
      <c r="P2778" s="1439" t="s">
        <v>16315</v>
      </c>
      <c r="Q2778" s="2268" t="str">
        <f> hyperlink(vlookup(lower(N2778),'File Links'!E:F, 2, FALSE), "LINK")</f>
        <v>LINK</v>
      </c>
      <c r="R2778" s="434" t="s">
        <v>16325</v>
      </c>
      <c r="S2778" s="434" t="s">
        <v>16317</v>
      </c>
      <c r="T2778" s="65"/>
      <c r="U2778" s="65"/>
      <c r="V2778" s="1439" t="s">
        <v>16318</v>
      </c>
      <c r="W2778" s="1225"/>
      <c r="X2778" s="46" t="str">
        <f t="array" ref="X2778"> if(iserror(MATCH(V2778, 'File Links'!C:C, 0)), "N/A", HYPERLINK(INDEX('File Links'!B:B, MATCH(V2778, 'File Links'!C:C, 0))))</f>
        <v>N/A</v>
      </c>
      <c r="Y2778" s="65"/>
      <c r="Z2778" s="434" t="s">
        <v>141</v>
      </c>
      <c r="AA2778" s="829" t="s">
        <v>16326</v>
      </c>
      <c r="AB2778" s="434" t="s">
        <v>16327</v>
      </c>
      <c r="AC2778" s="434" t="s">
        <v>16328</v>
      </c>
      <c r="AD2778" s="829" t="s">
        <v>16329</v>
      </c>
      <c r="AE2778" s="825">
        <v>5.0</v>
      </c>
      <c r="AF2778" s="825">
        <v>40.0</v>
      </c>
      <c r="AG2778" s="825" t="s">
        <v>16330</v>
      </c>
      <c r="AH2778" s="434" t="s">
        <v>127</v>
      </c>
      <c r="AI2778" s="434" t="s">
        <v>806</v>
      </c>
      <c r="AJ2778" s="825">
        <v>0.32</v>
      </c>
      <c r="AK2778" s="434" t="s">
        <v>165</v>
      </c>
      <c r="AL2778" s="434" t="s">
        <v>179</v>
      </c>
      <c r="AM2778" s="434" t="s">
        <v>130</v>
      </c>
      <c r="AN2778" s="434" t="s">
        <v>131</v>
      </c>
      <c r="AO2778" s="2243">
        <v>486.0</v>
      </c>
      <c r="AP2778" s="825">
        <v>0.02</v>
      </c>
      <c r="AQ2778" s="434" t="s">
        <v>867</v>
      </c>
      <c r="AR2778" s="829" t="s">
        <v>3248</v>
      </c>
      <c r="AS2778" s="825">
        <v>0.365</v>
      </c>
      <c r="AT2778" s="434" t="s">
        <v>165</v>
      </c>
      <c r="AU2778" s="434" t="s">
        <v>179</v>
      </c>
      <c r="AV2778" s="434" t="s">
        <v>134</v>
      </c>
      <c r="AW2778" s="1546" t="s">
        <v>16331</v>
      </c>
      <c r="AX2778" s="434" t="s">
        <v>136</v>
      </c>
      <c r="AZ2778" s="196" t="s">
        <v>15958</v>
      </c>
    </row>
    <row r="2779">
      <c r="A2779" s="41">
        <v>3130.0</v>
      </c>
      <c r="B2779" s="126" t="s">
        <v>516</v>
      </c>
      <c r="C2779" s="59" t="s">
        <v>108</v>
      </c>
      <c r="D2779" s="59" t="s">
        <v>146</v>
      </c>
      <c r="F2779" s="829" t="s">
        <v>16311</v>
      </c>
      <c r="G2779" s="434" t="s">
        <v>16332</v>
      </c>
      <c r="H2779" s="829" t="s">
        <v>15858</v>
      </c>
      <c r="I2779" s="2242">
        <v>45821.0</v>
      </c>
      <c r="J2779" s="859"/>
      <c r="K2779" s="434" t="s">
        <v>16324</v>
      </c>
      <c r="L2779" s="65"/>
      <c r="M2779" s="434" t="s">
        <v>16313</v>
      </c>
      <c r="N2779" s="434" t="s">
        <v>16314</v>
      </c>
      <c r="O2779" s="65"/>
      <c r="P2779" s="1439" t="s">
        <v>16315</v>
      </c>
      <c r="Q2779" s="2268" t="str">
        <f> hyperlink(vlookup(lower(N2779),'File Links'!E:F, 2, FALSE), "LINK")</f>
        <v>LINK</v>
      </c>
      <c r="R2779" s="434" t="s">
        <v>16325</v>
      </c>
      <c r="S2779" s="434" t="s">
        <v>16317</v>
      </c>
      <c r="T2779" s="65"/>
      <c r="U2779" s="65"/>
      <c r="V2779" s="1439" t="s">
        <v>16318</v>
      </c>
      <c r="W2779" s="1225"/>
      <c r="X2779" s="46" t="str">
        <f t="array" ref="X2779"> if(iserror(MATCH(V2779, 'File Links'!C:C, 0)), "N/A", HYPERLINK(INDEX('File Links'!B:B, MATCH(V2779, 'File Links'!C:C, 0))))</f>
        <v>N/A</v>
      </c>
      <c r="Y2779" s="65"/>
      <c r="Z2779" s="434" t="s">
        <v>141</v>
      </c>
      <c r="AA2779" s="829" t="s">
        <v>16326</v>
      </c>
      <c r="AB2779" s="434" t="s">
        <v>16327</v>
      </c>
      <c r="AC2779" s="829" t="s">
        <v>16333</v>
      </c>
      <c r="AD2779" s="829" t="s">
        <v>16334</v>
      </c>
      <c r="AE2779" s="2243">
        <v>6.0</v>
      </c>
      <c r="AF2779" s="825">
        <v>40.0</v>
      </c>
      <c r="AG2779" s="2243">
        <v>1.11</v>
      </c>
      <c r="AH2779" s="434" t="s">
        <v>166</v>
      </c>
      <c r="AI2779" s="829" t="s">
        <v>133</v>
      </c>
      <c r="AJ2779" s="2243">
        <v>0.01</v>
      </c>
      <c r="AK2779" s="434" t="s">
        <v>128</v>
      </c>
      <c r="AL2779" s="434" t="s">
        <v>179</v>
      </c>
      <c r="AM2779" s="434" t="s">
        <v>130</v>
      </c>
      <c r="AN2779" s="434" t="s">
        <v>131</v>
      </c>
      <c r="AO2779" s="2243">
        <v>486.0</v>
      </c>
      <c r="AP2779" s="2243">
        <v>0.63</v>
      </c>
      <c r="AQ2779" s="434" t="s">
        <v>867</v>
      </c>
      <c r="AR2779" s="829" t="s">
        <v>3248</v>
      </c>
      <c r="AS2779" s="2243">
        <v>0.001</v>
      </c>
      <c r="AT2779" s="434" t="s">
        <v>128</v>
      </c>
      <c r="AU2779" s="434" t="s">
        <v>179</v>
      </c>
      <c r="AV2779" s="434" t="s">
        <v>134</v>
      </c>
      <c r="AW2779" s="1546" t="s">
        <v>16331</v>
      </c>
      <c r="AX2779" s="434" t="s">
        <v>136</v>
      </c>
      <c r="AZ2779" s="196" t="s">
        <v>15958</v>
      </c>
    </row>
    <row r="2780" ht="26.25" customHeight="1">
      <c r="A2780" s="41">
        <v>3191.0</v>
      </c>
      <c r="B2780" s="126" t="s">
        <v>516</v>
      </c>
      <c r="C2780" s="59" t="s">
        <v>108</v>
      </c>
      <c r="D2780" s="59" t="s">
        <v>15928</v>
      </c>
      <c r="F2780" s="156" t="s">
        <v>16311</v>
      </c>
      <c r="G2780" s="156" t="s">
        <v>16332</v>
      </c>
      <c r="H2780" s="1284" t="s">
        <v>15931</v>
      </c>
      <c r="I2780" s="2214">
        <v>45812.0</v>
      </c>
      <c r="J2780" s="65"/>
      <c r="K2780" s="65"/>
      <c r="L2780" s="65"/>
      <c r="M2780" s="2052" t="s">
        <v>16313</v>
      </c>
      <c r="N2780" s="2052" t="s">
        <v>16314</v>
      </c>
      <c r="O2780" s="65"/>
      <c r="P2780" s="2052" t="s">
        <v>16315</v>
      </c>
      <c r="Q2780" s="2153" t="str">
        <f> hyperlink(vlookup(lower(N2780),'File Links'!F:G, 2, FALSE), "LINK")</f>
        <v>LINK</v>
      </c>
      <c r="R2780" s="2269" t="s">
        <v>16335</v>
      </c>
      <c r="S2780" s="677" t="s">
        <v>16317</v>
      </c>
      <c r="T2780" s="65"/>
      <c r="U2780" s="65"/>
      <c r="V2780" s="156" t="s">
        <v>16318</v>
      </c>
      <c r="W2780" s="65"/>
      <c r="X2780" s="46" t="str">
        <f t="array" ref="X2780"> if(iserror(MATCH(V2780, 'File Links'!C:C, 0)), "N/A", HYPERLINK(INDEX('File Links'!B:B, MATCH(V2780, 'File Links'!C:C, 0))))</f>
        <v>N/A</v>
      </c>
      <c r="Y2780" s="65"/>
      <c r="Z2780" s="65" t="s">
        <v>219</v>
      </c>
      <c r="AA2780" s="65" t="s">
        <v>16319</v>
      </c>
      <c r="AB2780" s="65" t="s">
        <v>16320</v>
      </c>
      <c r="AC2780" s="65" t="s">
        <v>16336</v>
      </c>
      <c r="AD2780" s="65" t="s">
        <v>16322</v>
      </c>
      <c r="AE2780" s="65" t="s">
        <v>1035</v>
      </c>
      <c r="AF2780" s="333">
        <v>39.0</v>
      </c>
      <c r="AG2780" s="333">
        <v>1.11</v>
      </c>
      <c r="AH2780" s="65" t="s">
        <v>166</v>
      </c>
      <c r="AI2780" s="65" t="s">
        <v>1035</v>
      </c>
      <c r="AJ2780" s="333">
        <v>0.01</v>
      </c>
      <c r="AK2780" s="65" t="s">
        <v>128</v>
      </c>
      <c r="AL2780" s="65" t="s">
        <v>179</v>
      </c>
      <c r="AM2780" s="65" t="s">
        <v>130</v>
      </c>
      <c r="AN2780" s="65" t="s">
        <v>131</v>
      </c>
      <c r="AO2780" s="333">
        <v>41.0</v>
      </c>
      <c r="AP2780" s="333">
        <v>1.15</v>
      </c>
      <c r="AQ2780" s="65" t="s">
        <v>595</v>
      </c>
      <c r="AR2780" s="65" t="s">
        <v>2434</v>
      </c>
      <c r="AS2780" s="333">
        <v>0.05</v>
      </c>
      <c r="AT2780" s="65" t="s">
        <v>128</v>
      </c>
      <c r="AU2780" s="65" t="s">
        <v>179</v>
      </c>
      <c r="AV2780" s="65" t="s">
        <v>130</v>
      </c>
      <c r="AW2780" s="65" t="s">
        <v>131</v>
      </c>
      <c r="AX2780" s="65" t="s">
        <v>136</v>
      </c>
      <c r="AZ2780" s="196" t="s">
        <v>15958</v>
      </c>
    </row>
    <row r="2781" ht="23.25" customHeight="1">
      <c r="A2781" s="41">
        <v>3192.0</v>
      </c>
      <c r="B2781" s="126" t="s">
        <v>516</v>
      </c>
      <c r="C2781" s="59" t="s">
        <v>108</v>
      </c>
      <c r="D2781" s="59" t="s">
        <v>15928</v>
      </c>
      <c r="F2781" s="156" t="s">
        <v>16311</v>
      </c>
      <c r="G2781" s="156" t="s">
        <v>16337</v>
      </c>
      <c r="H2781" s="1284" t="s">
        <v>15931</v>
      </c>
      <c r="I2781" s="2214">
        <v>45812.0</v>
      </c>
      <c r="J2781" s="65"/>
      <c r="K2781" s="65"/>
      <c r="L2781" s="65"/>
      <c r="M2781" s="2052" t="s">
        <v>16313</v>
      </c>
      <c r="N2781" s="2052" t="s">
        <v>16314</v>
      </c>
      <c r="O2781" s="65"/>
      <c r="P2781" s="2052" t="s">
        <v>16315</v>
      </c>
      <c r="Q2781" s="2153" t="str">
        <f> hyperlink(vlookup(lower(N2781),'File Links'!F:G, 2, FALSE), "LINK")</f>
        <v>LINK</v>
      </c>
      <c r="R2781" s="2269" t="s">
        <v>16338</v>
      </c>
      <c r="S2781" s="677" t="s">
        <v>16317</v>
      </c>
      <c r="T2781" s="65"/>
      <c r="U2781" s="65"/>
      <c r="V2781" s="156" t="s">
        <v>16318</v>
      </c>
      <c r="W2781" s="65"/>
      <c r="X2781" s="46" t="str">
        <f t="array" ref="X2781"> if(iserror(MATCH(V2781, 'File Links'!C:C, 0)), "N/A", HYPERLINK(INDEX('File Links'!B:B, MATCH(V2781, 'File Links'!C:C, 0))))</f>
        <v>N/A</v>
      </c>
      <c r="Y2781" s="65"/>
      <c r="Z2781" s="65" t="s">
        <v>219</v>
      </c>
      <c r="AA2781" s="65" t="s">
        <v>16319</v>
      </c>
      <c r="AB2781" s="65" t="s">
        <v>16320</v>
      </c>
      <c r="AC2781" s="65" t="s">
        <v>16339</v>
      </c>
      <c r="AD2781" s="65" t="s">
        <v>16322</v>
      </c>
      <c r="AE2781" s="65" t="s">
        <v>1035</v>
      </c>
      <c r="AF2781" s="333">
        <v>39.0</v>
      </c>
      <c r="AG2781" s="333">
        <v>1.11</v>
      </c>
      <c r="AH2781" s="65" t="s">
        <v>166</v>
      </c>
      <c r="AI2781" s="65" t="s">
        <v>1035</v>
      </c>
      <c r="AJ2781" s="333">
        <v>0.01</v>
      </c>
      <c r="AK2781" s="65" t="s">
        <v>128</v>
      </c>
      <c r="AL2781" s="65" t="s">
        <v>179</v>
      </c>
      <c r="AM2781" s="65" t="s">
        <v>130</v>
      </c>
      <c r="AN2781" s="65" t="s">
        <v>131</v>
      </c>
      <c r="AO2781" s="333">
        <v>35.0</v>
      </c>
      <c r="AP2781" s="333">
        <v>1.01</v>
      </c>
      <c r="AQ2781" s="65" t="s">
        <v>595</v>
      </c>
      <c r="AR2781" s="65" t="s">
        <v>2434</v>
      </c>
      <c r="AS2781" s="333">
        <v>0.05</v>
      </c>
      <c r="AT2781" s="65" t="s">
        <v>128</v>
      </c>
      <c r="AU2781" s="65" t="s">
        <v>179</v>
      </c>
      <c r="AV2781" s="65" t="s">
        <v>130</v>
      </c>
      <c r="AW2781" s="65" t="s">
        <v>131</v>
      </c>
      <c r="AX2781" s="65" t="s">
        <v>136</v>
      </c>
      <c r="AZ2781" s="196" t="s">
        <v>15958</v>
      </c>
    </row>
    <row r="2782" ht="24.75" customHeight="1">
      <c r="A2782" s="41">
        <v>3193.0</v>
      </c>
      <c r="B2782" s="126" t="s">
        <v>516</v>
      </c>
      <c r="C2782" s="59" t="s">
        <v>108</v>
      </c>
      <c r="D2782" s="59" t="s">
        <v>15928</v>
      </c>
      <c r="F2782" s="156" t="s">
        <v>16311</v>
      </c>
      <c r="G2782" s="156" t="s">
        <v>16340</v>
      </c>
      <c r="H2782" s="1284" t="s">
        <v>15931</v>
      </c>
      <c r="I2782" s="2214">
        <v>45812.0</v>
      </c>
      <c r="J2782" s="65"/>
      <c r="K2782" s="65"/>
      <c r="L2782" s="65"/>
      <c r="M2782" s="2052" t="s">
        <v>16313</v>
      </c>
      <c r="N2782" s="2052" t="s">
        <v>16314</v>
      </c>
      <c r="O2782" s="65"/>
      <c r="P2782" s="2052" t="s">
        <v>16315</v>
      </c>
      <c r="Q2782" s="2153" t="str">
        <f> hyperlink(vlookup(lower(N2782),'File Links'!F:G, 2, FALSE), "LINK")</f>
        <v>LINK</v>
      </c>
      <c r="R2782" s="2269" t="s">
        <v>16341</v>
      </c>
      <c r="S2782" s="677" t="s">
        <v>16317</v>
      </c>
      <c r="T2782" s="65"/>
      <c r="U2782" s="65"/>
      <c r="V2782" s="156" t="s">
        <v>16318</v>
      </c>
      <c r="W2782" s="65"/>
      <c r="X2782" s="46" t="str">
        <f t="array" ref="X2782"> if(iserror(MATCH(V2782, 'File Links'!C:C, 0)), "N/A", HYPERLINK(INDEX('File Links'!B:B, MATCH(V2782, 'File Links'!C:C, 0))))</f>
        <v>N/A</v>
      </c>
      <c r="Y2782" s="65"/>
      <c r="Z2782" s="65" t="s">
        <v>219</v>
      </c>
      <c r="AA2782" s="65" t="s">
        <v>16319</v>
      </c>
      <c r="AB2782" s="65" t="s">
        <v>16320</v>
      </c>
      <c r="AC2782" s="65" t="s">
        <v>16342</v>
      </c>
      <c r="AD2782" s="65" t="s">
        <v>16322</v>
      </c>
      <c r="AE2782" s="65" t="s">
        <v>1035</v>
      </c>
      <c r="AF2782" s="333">
        <v>39.0</v>
      </c>
      <c r="AG2782" s="333">
        <v>1.11</v>
      </c>
      <c r="AH2782" s="65" t="s">
        <v>166</v>
      </c>
      <c r="AI2782" s="65" t="s">
        <v>1035</v>
      </c>
      <c r="AJ2782" s="333">
        <v>0.01</v>
      </c>
      <c r="AK2782" s="65" t="s">
        <v>128</v>
      </c>
      <c r="AL2782" s="65" t="s">
        <v>179</v>
      </c>
      <c r="AM2782" s="65" t="s">
        <v>130</v>
      </c>
      <c r="AN2782" s="65" t="s">
        <v>131</v>
      </c>
      <c r="AO2782" s="333">
        <v>34.0</v>
      </c>
      <c r="AP2782" s="333">
        <v>1.22</v>
      </c>
      <c r="AQ2782" s="65" t="s">
        <v>595</v>
      </c>
      <c r="AR2782" s="65" t="s">
        <v>2434</v>
      </c>
      <c r="AS2782" s="333">
        <v>0.05</v>
      </c>
      <c r="AT2782" s="65" t="s">
        <v>128</v>
      </c>
      <c r="AU2782" s="65" t="s">
        <v>179</v>
      </c>
      <c r="AV2782" s="65" t="s">
        <v>130</v>
      </c>
      <c r="AW2782" s="65" t="s">
        <v>131</v>
      </c>
      <c r="AX2782" s="65" t="s">
        <v>136</v>
      </c>
      <c r="AZ2782" s="196" t="s">
        <v>15958</v>
      </c>
    </row>
    <row r="2783" ht="25.5" customHeight="1">
      <c r="A2783" s="41">
        <v>3194.0</v>
      </c>
      <c r="B2783" s="126" t="s">
        <v>516</v>
      </c>
      <c r="C2783" s="59" t="s">
        <v>108</v>
      </c>
      <c r="D2783" s="59" t="s">
        <v>15928</v>
      </c>
      <c r="F2783" s="156" t="s">
        <v>16311</v>
      </c>
      <c r="G2783" s="156" t="s">
        <v>16343</v>
      </c>
      <c r="H2783" s="1284" t="s">
        <v>15931</v>
      </c>
      <c r="I2783" s="2214">
        <v>45812.0</v>
      </c>
      <c r="J2783" s="65"/>
      <c r="K2783" s="65"/>
      <c r="L2783" s="65"/>
      <c r="M2783" s="2052" t="s">
        <v>16313</v>
      </c>
      <c r="N2783" s="2052" t="s">
        <v>16314</v>
      </c>
      <c r="O2783" s="65"/>
      <c r="P2783" s="2052" t="s">
        <v>16315</v>
      </c>
      <c r="Q2783" s="2153" t="str">
        <f> hyperlink(vlookup(lower(N2783),'File Links'!F:G, 2, FALSE), "LINK")</f>
        <v>LINK</v>
      </c>
      <c r="R2783" s="2269" t="s">
        <v>16344</v>
      </c>
      <c r="S2783" s="677" t="s">
        <v>16317</v>
      </c>
      <c r="T2783" s="65"/>
      <c r="U2783" s="65"/>
      <c r="V2783" s="156" t="s">
        <v>16318</v>
      </c>
      <c r="W2783" s="65"/>
      <c r="X2783" s="46" t="str">
        <f t="array" ref="X2783"> if(iserror(MATCH(V2783, 'File Links'!C:C, 0)), "N/A", HYPERLINK(INDEX('File Links'!B:B, MATCH(V2783, 'File Links'!C:C, 0))))</f>
        <v>N/A</v>
      </c>
      <c r="Y2783" s="65"/>
      <c r="Z2783" s="65" t="s">
        <v>219</v>
      </c>
      <c r="AA2783" s="65" t="s">
        <v>16319</v>
      </c>
      <c r="AB2783" s="65" t="s">
        <v>16320</v>
      </c>
      <c r="AC2783" s="65" t="s">
        <v>16345</v>
      </c>
      <c r="AD2783" s="65" t="s">
        <v>16322</v>
      </c>
      <c r="AE2783" s="65" t="s">
        <v>1035</v>
      </c>
      <c r="AF2783" s="333">
        <v>39.0</v>
      </c>
      <c r="AG2783" s="333">
        <v>1.11</v>
      </c>
      <c r="AH2783" s="65" t="s">
        <v>166</v>
      </c>
      <c r="AI2783" s="65" t="s">
        <v>1035</v>
      </c>
      <c r="AJ2783" s="333">
        <v>0.01</v>
      </c>
      <c r="AK2783" s="65" t="s">
        <v>128</v>
      </c>
      <c r="AL2783" s="65" t="s">
        <v>179</v>
      </c>
      <c r="AM2783" s="65" t="s">
        <v>130</v>
      </c>
      <c r="AN2783" s="65" t="s">
        <v>131</v>
      </c>
      <c r="AO2783" s="333">
        <v>35.0</v>
      </c>
      <c r="AP2783" s="333">
        <v>2.97</v>
      </c>
      <c r="AQ2783" s="65" t="s">
        <v>595</v>
      </c>
      <c r="AR2783" s="65" t="s">
        <v>2434</v>
      </c>
      <c r="AS2783" s="333">
        <v>0.05</v>
      </c>
      <c r="AT2783" s="65" t="s">
        <v>128</v>
      </c>
      <c r="AU2783" s="65" t="s">
        <v>179</v>
      </c>
      <c r="AV2783" s="65" t="s">
        <v>130</v>
      </c>
      <c r="AW2783" s="65" t="s">
        <v>131</v>
      </c>
      <c r="AX2783" s="65" t="s">
        <v>136</v>
      </c>
      <c r="AZ2783" s="196" t="s">
        <v>15958</v>
      </c>
    </row>
    <row r="2784" ht="26.25" customHeight="1">
      <c r="A2784" s="41">
        <v>3195.0</v>
      </c>
      <c r="B2784" s="126" t="s">
        <v>516</v>
      </c>
      <c r="C2784" s="59" t="s">
        <v>108</v>
      </c>
      <c r="D2784" s="59" t="s">
        <v>15928</v>
      </c>
      <c r="F2784" s="156" t="s">
        <v>16311</v>
      </c>
      <c r="G2784" s="156" t="s">
        <v>16346</v>
      </c>
      <c r="H2784" s="1284" t="s">
        <v>15931</v>
      </c>
      <c r="I2784" s="2214">
        <v>45812.0</v>
      </c>
      <c r="J2784" s="65"/>
      <c r="K2784" s="65"/>
      <c r="L2784" s="65"/>
      <c r="M2784" s="2052" t="s">
        <v>16313</v>
      </c>
      <c r="N2784" s="2052" t="s">
        <v>16314</v>
      </c>
      <c r="O2784" s="65"/>
      <c r="P2784" s="2052" t="s">
        <v>16315</v>
      </c>
      <c r="Q2784" s="2153" t="str">
        <f> hyperlink(vlookup(lower(N2784),'File Links'!F:G, 2, FALSE), "LINK")</f>
        <v>LINK</v>
      </c>
      <c r="R2784" s="2269" t="s">
        <v>16347</v>
      </c>
      <c r="S2784" s="677" t="s">
        <v>16317</v>
      </c>
      <c r="T2784" s="65"/>
      <c r="U2784" s="65"/>
      <c r="V2784" s="156" t="s">
        <v>16318</v>
      </c>
      <c r="W2784" s="65"/>
      <c r="X2784" s="46" t="str">
        <f t="array" ref="X2784"> if(iserror(MATCH(V2784, 'File Links'!C:C, 0)), "N/A", HYPERLINK(INDEX('File Links'!B:B, MATCH(V2784, 'File Links'!C:C, 0))))</f>
        <v>N/A</v>
      </c>
      <c r="Y2784" s="65"/>
      <c r="Z2784" s="65" t="s">
        <v>219</v>
      </c>
      <c r="AA2784" s="65" t="s">
        <v>16319</v>
      </c>
      <c r="AB2784" s="65" t="s">
        <v>16320</v>
      </c>
      <c r="AC2784" s="65" t="s">
        <v>16348</v>
      </c>
      <c r="AD2784" s="65" t="s">
        <v>16322</v>
      </c>
      <c r="AE2784" s="65" t="s">
        <v>1035</v>
      </c>
      <c r="AF2784" s="333">
        <v>39.0</v>
      </c>
      <c r="AG2784" s="333">
        <v>1.11</v>
      </c>
      <c r="AH2784" s="65" t="s">
        <v>166</v>
      </c>
      <c r="AI2784" s="65" t="s">
        <v>1035</v>
      </c>
      <c r="AJ2784" s="333">
        <v>0.01</v>
      </c>
      <c r="AK2784" s="65" t="s">
        <v>128</v>
      </c>
      <c r="AL2784" s="65" t="s">
        <v>179</v>
      </c>
      <c r="AM2784" s="65" t="s">
        <v>130</v>
      </c>
      <c r="AN2784" s="65" t="s">
        <v>131</v>
      </c>
      <c r="AO2784" s="333">
        <v>51.0</v>
      </c>
      <c r="AP2784" s="333">
        <v>1.8</v>
      </c>
      <c r="AQ2784" s="65" t="s">
        <v>595</v>
      </c>
      <c r="AR2784" s="65" t="s">
        <v>2434</v>
      </c>
      <c r="AS2784" s="333">
        <v>0.05</v>
      </c>
      <c r="AT2784" s="65" t="s">
        <v>128</v>
      </c>
      <c r="AU2784" s="65" t="s">
        <v>179</v>
      </c>
      <c r="AV2784" s="65" t="s">
        <v>130</v>
      </c>
      <c r="AW2784" s="65" t="s">
        <v>131</v>
      </c>
      <c r="AX2784" s="65" t="s">
        <v>136</v>
      </c>
      <c r="AZ2784" s="196" t="s">
        <v>15958</v>
      </c>
    </row>
    <row r="2785" ht="20.25" customHeight="1">
      <c r="A2785" s="41">
        <v>3196.0</v>
      </c>
      <c r="B2785" s="126" t="s">
        <v>516</v>
      </c>
      <c r="C2785" s="59" t="s">
        <v>108</v>
      </c>
      <c r="D2785" s="59" t="s">
        <v>15928</v>
      </c>
      <c r="F2785" s="156" t="s">
        <v>16311</v>
      </c>
      <c r="G2785" s="156" t="s">
        <v>16349</v>
      </c>
      <c r="H2785" s="1284" t="s">
        <v>15931</v>
      </c>
      <c r="I2785" s="2214">
        <v>45812.0</v>
      </c>
      <c r="J2785" s="65"/>
      <c r="K2785" s="65"/>
      <c r="L2785" s="65"/>
      <c r="M2785" s="2052" t="s">
        <v>16313</v>
      </c>
      <c r="N2785" s="2052" t="s">
        <v>16314</v>
      </c>
      <c r="O2785" s="65"/>
      <c r="P2785" s="2052" t="s">
        <v>16315</v>
      </c>
      <c r="Q2785" s="2153" t="str">
        <f> hyperlink(vlookup(lower(N2785),'File Links'!F:G, 2, FALSE), "LINK")</f>
        <v>LINK</v>
      </c>
      <c r="R2785" s="2269" t="s">
        <v>16350</v>
      </c>
      <c r="S2785" s="677" t="s">
        <v>16317</v>
      </c>
      <c r="T2785" s="65"/>
      <c r="U2785" s="65"/>
      <c r="V2785" s="156" t="s">
        <v>16318</v>
      </c>
      <c r="W2785" s="65"/>
      <c r="X2785" s="46" t="str">
        <f t="array" ref="X2785"> if(iserror(MATCH(V2785, 'File Links'!C:C, 0)), "N/A", HYPERLINK(INDEX('File Links'!B:B, MATCH(V2785, 'File Links'!C:C, 0))))</f>
        <v>N/A</v>
      </c>
      <c r="Y2785" s="65"/>
      <c r="Z2785" s="65" t="s">
        <v>219</v>
      </c>
      <c r="AA2785" s="65" t="s">
        <v>16319</v>
      </c>
      <c r="AB2785" s="65" t="s">
        <v>16320</v>
      </c>
      <c r="AC2785" s="65" t="s">
        <v>16351</v>
      </c>
      <c r="AD2785" s="65" t="s">
        <v>16322</v>
      </c>
      <c r="AE2785" s="65" t="s">
        <v>1035</v>
      </c>
      <c r="AF2785" s="333">
        <v>39.0</v>
      </c>
      <c r="AG2785" s="333">
        <v>1.11</v>
      </c>
      <c r="AH2785" s="65" t="s">
        <v>166</v>
      </c>
      <c r="AI2785" s="65" t="s">
        <v>1035</v>
      </c>
      <c r="AJ2785" s="333">
        <v>0.01</v>
      </c>
      <c r="AK2785" s="65" t="s">
        <v>128</v>
      </c>
      <c r="AL2785" s="65" t="s">
        <v>179</v>
      </c>
      <c r="AM2785" s="65" t="s">
        <v>130</v>
      </c>
      <c r="AN2785" s="65" t="s">
        <v>131</v>
      </c>
      <c r="AO2785" s="333">
        <v>55.0</v>
      </c>
      <c r="AP2785" s="333">
        <v>1.92</v>
      </c>
      <c r="AQ2785" s="65" t="s">
        <v>595</v>
      </c>
      <c r="AR2785" s="65" t="s">
        <v>2434</v>
      </c>
      <c r="AS2785" s="333">
        <v>0.05</v>
      </c>
      <c r="AT2785" s="65" t="s">
        <v>128</v>
      </c>
      <c r="AU2785" s="65" t="s">
        <v>179</v>
      </c>
      <c r="AV2785" s="65" t="s">
        <v>130</v>
      </c>
      <c r="AW2785" s="65" t="s">
        <v>131</v>
      </c>
      <c r="AX2785" s="65" t="s">
        <v>136</v>
      </c>
      <c r="AZ2785" s="196" t="s">
        <v>15958</v>
      </c>
    </row>
    <row r="2786" ht="23.25" customHeight="1">
      <c r="A2786" s="41">
        <v>3197.0</v>
      </c>
      <c r="B2786" s="126" t="s">
        <v>516</v>
      </c>
      <c r="C2786" s="59" t="s">
        <v>108</v>
      </c>
      <c r="D2786" s="59" t="s">
        <v>15928</v>
      </c>
      <c r="F2786" s="156" t="s">
        <v>16311</v>
      </c>
      <c r="G2786" s="156" t="s">
        <v>16352</v>
      </c>
      <c r="H2786" s="1284" t="s">
        <v>15931</v>
      </c>
      <c r="I2786" s="2214">
        <v>45812.0</v>
      </c>
      <c r="J2786" s="65"/>
      <c r="K2786" s="65"/>
      <c r="L2786" s="65"/>
      <c r="M2786" s="2052" t="s">
        <v>16313</v>
      </c>
      <c r="N2786" s="2052" t="s">
        <v>16314</v>
      </c>
      <c r="O2786" s="65"/>
      <c r="P2786" s="2052" t="s">
        <v>16315</v>
      </c>
      <c r="Q2786" s="2153" t="str">
        <f> hyperlink(vlookup(lower(N2786),'File Links'!F:G, 2, FALSE), "LINK")</f>
        <v>LINK</v>
      </c>
      <c r="R2786" s="2269" t="s">
        <v>16353</v>
      </c>
      <c r="S2786" s="677" t="s">
        <v>16317</v>
      </c>
      <c r="T2786" s="65"/>
      <c r="U2786" s="65"/>
      <c r="V2786" s="156" t="s">
        <v>16318</v>
      </c>
      <c r="W2786" s="65"/>
      <c r="X2786" s="46" t="str">
        <f t="array" ref="X2786"> if(iserror(MATCH(V2786, 'File Links'!C:C, 0)), "N/A", HYPERLINK(INDEX('File Links'!B:B, MATCH(V2786, 'File Links'!C:C, 0))))</f>
        <v>N/A</v>
      </c>
      <c r="Y2786" s="65"/>
      <c r="Z2786" s="65" t="s">
        <v>219</v>
      </c>
      <c r="AA2786" s="65" t="s">
        <v>16319</v>
      </c>
      <c r="AB2786" s="65" t="s">
        <v>16320</v>
      </c>
      <c r="AC2786" s="65" t="s">
        <v>16354</v>
      </c>
      <c r="AD2786" s="65" t="s">
        <v>16322</v>
      </c>
      <c r="AE2786" s="65" t="s">
        <v>1035</v>
      </c>
      <c r="AF2786" s="333">
        <v>39.0</v>
      </c>
      <c r="AG2786" s="333">
        <v>1.11</v>
      </c>
      <c r="AH2786" s="65" t="s">
        <v>166</v>
      </c>
      <c r="AI2786" s="65" t="s">
        <v>1035</v>
      </c>
      <c r="AJ2786" s="333">
        <v>0.01</v>
      </c>
      <c r="AK2786" s="65" t="s">
        <v>128</v>
      </c>
      <c r="AL2786" s="65" t="s">
        <v>179</v>
      </c>
      <c r="AM2786" s="65" t="s">
        <v>130</v>
      </c>
      <c r="AN2786" s="65" t="s">
        <v>131</v>
      </c>
      <c r="AO2786" s="333">
        <v>35.0</v>
      </c>
      <c r="AP2786" s="333">
        <v>1.92</v>
      </c>
      <c r="AQ2786" s="65" t="s">
        <v>595</v>
      </c>
      <c r="AR2786" s="65" t="s">
        <v>2434</v>
      </c>
      <c r="AS2786" s="333">
        <v>0.05</v>
      </c>
      <c r="AT2786" s="65" t="s">
        <v>128</v>
      </c>
      <c r="AU2786" s="65" t="s">
        <v>179</v>
      </c>
      <c r="AV2786" s="65" t="s">
        <v>130</v>
      </c>
      <c r="AW2786" s="65" t="s">
        <v>131</v>
      </c>
      <c r="AX2786" s="65" t="s">
        <v>136</v>
      </c>
      <c r="AZ2786" s="196" t="s">
        <v>15958</v>
      </c>
    </row>
    <row r="2787" ht="21.0" customHeight="1">
      <c r="A2787" s="41">
        <v>3198.0</v>
      </c>
      <c r="B2787" s="126" t="s">
        <v>516</v>
      </c>
      <c r="C2787" s="59" t="s">
        <v>108</v>
      </c>
      <c r="D2787" s="59" t="s">
        <v>15928</v>
      </c>
      <c r="F2787" s="156" t="s">
        <v>16311</v>
      </c>
      <c r="G2787" s="156" t="s">
        <v>16355</v>
      </c>
      <c r="H2787" s="1284" t="s">
        <v>15931</v>
      </c>
      <c r="I2787" s="2214">
        <v>45812.0</v>
      </c>
      <c r="J2787" s="65"/>
      <c r="K2787" s="65"/>
      <c r="L2787" s="65"/>
      <c r="M2787" s="2052" t="s">
        <v>16313</v>
      </c>
      <c r="N2787" s="2052" t="s">
        <v>16314</v>
      </c>
      <c r="O2787" s="65"/>
      <c r="P2787" s="2052" t="s">
        <v>16315</v>
      </c>
      <c r="Q2787" s="2153" t="str">
        <f> hyperlink(vlookup(lower(N2787),'File Links'!F:G, 2, FALSE), "LINK")</f>
        <v>LINK</v>
      </c>
      <c r="R2787" s="2269" t="s">
        <v>16356</v>
      </c>
      <c r="S2787" s="677" t="s">
        <v>16317</v>
      </c>
      <c r="T2787" s="65"/>
      <c r="U2787" s="65"/>
      <c r="V2787" s="156" t="s">
        <v>16318</v>
      </c>
      <c r="W2787" s="65"/>
      <c r="X2787" s="46" t="str">
        <f t="array" ref="X2787"> if(iserror(MATCH(V2787, 'File Links'!C:C, 0)), "N/A", HYPERLINK(INDEX('File Links'!B:B, MATCH(V2787, 'File Links'!C:C, 0))))</f>
        <v>N/A</v>
      </c>
      <c r="Y2787" s="65"/>
      <c r="Z2787" s="65" t="s">
        <v>219</v>
      </c>
      <c r="AA2787" s="65" t="s">
        <v>16319</v>
      </c>
      <c r="AB2787" s="65" t="s">
        <v>16320</v>
      </c>
      <c r="AC2787" s="65" t="s">
        <v>16357</v>
      </c>
      <c r="AD2787" s="65" t="s">
        <v>16322</v>
      </c>
      <c r="AE2787" s="65" t="s">
        <v>1035</v>
      </c>
      <c r="AF2787" s="333">
        <v>39.0</v>
      </c>
      <c r="AG2787" s="333">
        <v>1.11</v>
      </c>
      <c r="AH2787" s="65" t="s">
        <v>166</v>
      </c>
      <c r="AI2787" s="65" t="s">
        <v>1035</v>
      </c>
      <c r="AJ2787" s="333">
        <v>0.01</v>
      </c>
      <c r="AK2787" s="65" t="s">
        <v>128</v>
      </c>
      <c r="AL2787" s="65" t="s">
        <v>179</v>
      </c>
      <c r="AM2787" s="65" t="s">
        <v>130</v>
      </c>
      <c r="AN2787" s="65" t="s">
        <v>131</v>
      </c>
      <c r="AO2787" s="333">
        <v>49.0</v>
      </c>
      <c r="AP2787" s="333">
        <v>2.28</v>
      </c>
      <c r="AQ2787" s="65" t="s">
        <v>595</v>
      </c>
      <c r="AR2787" s="65" t="s">
        <v>2434</v>
      </c>
      <c r="AS2787" s="333">
        <v>0.05</v>
      </c>
      <c r="AT2787" s="65" t="s">
        <v>128</v>
      </c>
      <c r="AU2787" s="65" t="s">
        <v>179</v>
      </c>
      <c r="AV2787" s="65" t="s">
        <v>130</v>
      </c>
      <c r="AW2787" s="65" t="s">
        <v>131</v>
      </c>
      <c r="AX2787" s="65" t="s">
        <v>136</v>
      </c>
      <c r="AZ2787" s="196" t="s">
        <v>15958</v>
      </c>
    </row>
    <row r="2788" ht="20.25" customHeight="1">
      <c r="A2788" s="41">
        <v>3199.0</v>
      </c>
      <c r="B2788" s="126" t="s">
        <v>516</v>
      </c>
      <c r="C2788" s="59" t="s">
        <v>108</v>
      </c>
      <c r="D2788" s="59" t="s">
        <v>15928</v>
      </c>
      <c r="F2788" s="156" t="s">
        <v>16311</v>
      </c>
      <c r="G2788" s="156" t="s">
        <v>16358</v>
      </c>
      <c r="H2788" s="1284" t="s">
        <v>15931</v>
      </c>
      <c r="I2788" s="2214">
        <v>45812.0</v>
      </c>
      <c r="J2788" s="65"/>
      <c r="K2788" s="65"/>
      <c r="L2788" s="65"/>
      <c r="M2788" s="2052" t="s">
        <v>16313</v>
      </c>
      <c r="N2788" s="2052" t="s">
        <v>16314</v>
      </c>
      <c r="O2788" s="65"/>
      <c r="P2788" s="2052" t="s">
        <v>16315</v>
      </c>
      <c r="Q2788" s="2153" t="str">
        <f> hyperlink(vlookup(lower(N2788),'File Links'!F:G, 2, FALSE), "LINK")</f>
        <v>LINK</v>
      </c>
      <c r="R2788" s="2269" t="s">
        <v>16359</v>
      </c>
      <c r="S2788" s="677" t="s">
        <v>16317</v>
      </c>
      <c r="T2788" s="65"/>
      <c r="U2788" s="65"/>
      <c r="V2788" s="156" t="s">
        <v>16318</v>
      </c>
      <c r="W2788" s="65"/>
      <c r="X2788" s="46" t="str">
        <f t="array" ref="X2788"> if(iserror(MATCH(V2788, 'File Links'!C:C, 0)), "N/A", HYPERLINK(INDEX('File Links'!B:B, MATCH(V2788, 'File Links'!C:C, 0))))</f>
        <v>N/A</v>
      </c>
      <c r="Y2788" s="65"/>
      <c r="Z2788" s="65" t="s">
        <v>219</v>
      </c>
      <c r="AA2788" s="65" t="s">
        <v>16319</v>
      </c>
      <c r="AB2788" s="65" t="s">
        <v>16320</v>
      </c>
      <c r="AC2788" s="65" t="s">
        <v>16360</v>
      </c>
      <c r="AD2788" s="65" t="s">
        <v>16322</v>
      </c>
      <c r="AE2788" s="65" t="s">
        <v>1035</v>
      </c>
      <c r="AF2788" s="333">
        <v>39.0</v>
      </c>
      <c r="AG2788" s="333">
        <v>1.11</v>
      </c>
      <c r="AH2788" s="65" t="s">
        <v>166</v>
      </c>
      <c r="AI2788" s="65" t="s">
        <v>1035</v>
      </c>
      <c r="AJ2788" s="333">
        <v>0.01</v>
      </c>
      <c r="AK2788" s="65" t="s">
        <v>128</v>
      </c>
      <c r="AL2788" s="65" t="s">
        <v>179</v>
      </c>
      <c r="AM2788" s="65" t="s">
        <v>130</v>
      </c>
      <c r="AN2788" s="65" t="s">
        <v>131</v>
      </c>
      <c r="AO2788" s="333">
        <v>49.0</v>
      </c>
      <c r="AP2788" s="333">
        <v>1.75</v>
      </c>
      <c r="AQ2788" s="65" t="s">
        <v>595</v>
      </c>
      <c r="AR2788" s="65" t="s">
        <v>2434</v>
      </c>
      <c r="AS2788" s="333">
        <v>0.05</v>
      </c>
      <c r="AT2788" s="65" t="s">
        <v>128</v>
      </c>
      <c r="AU2788" s="65" t="s">
        <v>179</v>
      </c>
      <c r="AV2788" s="65" t="s">
        <v>130</v>
      </c>
      <c r="AW2788" s="65" t="s">
        <v>131</v>
      </c>
      <c r="AX2788" s="65" t="s">
        <v>136</v>
      </c>
      <c r="AZ2788" s="196" t="s">
        <v>15958</v>
      </c>
    </row>
    <row r="2789" ht="21.75" customHeight="1">
      <c r="A2789" s="41">
        <v>3169.0</v>
      </c>
      <c r="B2789" s="126" t="s">
        <v>516</v>
      </c>
      <c r="C2789" s="59" t="s">
        <v>108</v>
      </c>
      <c r="D2789" s="59" t="s">
        <v>15928</v>
      </c>
      <c r="F2789" s="156" t="s">
        <v>16361</v>
      </c>
      <c r="G2789" s="156" t="s">
        <v>16362</v>
      </c>
      <c r="H2789" s="1284" t="s">
        <v>15931</v>
      </c>
      <c r="I2789" s="2214">
        <v>45812.0</v>
      </c>
      <c r="J2789" s="65"/>
      <c r="K2789" s="156" t="s">
        <v>16363</v>
      </c>
      <c r="L2789" s="65"/>
      <c r="M2789" s="2052" t="s">
        <v>16364</v>
      </c>
      <c r="N2789" s="2052" t="s">
        <v>16365</v>
      </c>
      <c r="O2789" s="65"/>
      <c r="P2789" s="2052" t="s">
        <v>16366</v>
      </c>
      <c r="Q2789" s="2153" t="str">
        <f> hyperlink(vlookup(lower(N2789),'File Links'!F:G, 2, FALSE), "LINK")</f>
        <v>LINK</v>
      </c>
      <c r="R2789" s="2269" t="s">
        <v>16367</v>
      </c>
      <c r="S2789" s="677" t="s">
        <v>16368</v>
      </c>
      <c r="T2789" s="65"/>
      <c r="U2789" s="65"/>
      <c r="V2789" s="156" t="s">
        <v>16369</v>
      </c>
      <c r="W2789" s="65"/>
      <c r="X2789" s="51" t="str">
        <f t="array" ref="X2789"> if(iserror(MATCH(V2789, 'File Links'!C:C, 0)), "N/A", HYPERLINK(INDEX('File Links'!B:B, MATCH(V2789, 'File Links'!C:C, 0))))</f>
        <v>https://drive.google.com/file/d/16V6fX6zed8MKZ53zcmG18UMG8cS5fmS4/view?usp=drivesdk</v>
      </c>
      <c r="Y2789" s="65"/>
      <c r="Z2789" s="156" t="s">
        <v>1672</v>
      </c>
      <c r="AA2789" s="65" t="s">
        <v>16370</v>
      </c>
      <c r="AB2789" s="65" t="s">
        <v>16371</v>
      </c>
      <c r="AC2789" s="65" t="s">
        <v>16372</v>
      </c>
      <c r="AD2789" s="65" t="s">
        <v>16373</v>
      </c>
      <c r="AE2789" s="65" t="s">
        <v>4966</v>
      </c>
      <c r="AF2789" s="65"/>
      <c r="AG2789" s="65"/>
      <c r="AH2789" s="65"/>
      <c r="AI2789" s="65"/>
      <c r="AJ2789" s="65"/>
      <c r="AK2789" s="65"/>
      <c r="AL2789" s="65"/>
      <c r="AM2789" s="65"/>
      <c r="AN2789" s="65"/>
      <c r="AO2789" s="65"/>
      <c r="AP2789" s="65"/>
      <c r="AQ2789" s="65"/>
      <c r="AR2789" s="65"/>
      <c r="AS2789" s="65"/>
      <c r="AT2789" s="65"/>
      <c r="AU2789" s="65"/>
      <c r="AV2789" s="65"/>
      <c r="AW2789" s="65"/>
      <c r="AX2789" s="65"/>
      <c r="AZ2789" s="196" t="s">
        <v>15958</v>
      </c>
    </row>
    <row r="2790">
      <c r="A2790" s="41">
        <v>3029.0</v>
      </c>
      <c r="B2790" s="126" t="s">
        <v>516</v>
      </c>
      <c r="C2790" s="59" t="s">
        <v>108</v>
      </c>
      <c r="D2790" s="59" t="s">
        <v>146</v>
      </c>
      <c r="F2790" s="829" t="s">
        <v>16361</v>
      </c>
      <c r="G2790" s="434" t="s">
        <v>16374</v>
      </c>
      <c r="H2790" s="829" t="s">
        <v>15858</v>
      </c>
      <c r="I2790" s="2242">
        <v>45821.0</v>
      </c>
      <c r="J2790" s="859"/>
      <c r="K2790" s="434" t="s">
        <v>16375</v>
      </c>
      <c r="L2790" s="65"/>
      <c r="M2790" s="434" t="s">
        <v>16364</v>
      </c>
      <c r="N2790" s="434" t="s">
        <v>16365</v>
      </c>
      <c r="O2790" s="65"/>
      <c r="P2790" s="1439" t="s">
        <v>16366</v>
      </c>
      <c r="Q2790" s="2268" t="str">
        <f> hyperlink(vlookup(lower(N2790),'File Links'!E:F, 2, FALSE), "LINK")</f>
        <v>LINK</v>
      </c>
      <c r="R2790" s="434" t="s">
        <v>16376</v>
      </c>
      <c r="S2790" s="434" t="s">
        <v>16368</v>
      </c>
      <c r="T2790" s="65"/>
      <c r="U2790" s="65"/>
      <c r="V2790" s="1439" t="s">
        <v>16369</v>
      </c>
      <c r="W2790" s="1225"/>
      <c r="X2790" s="51" t="str">
        <f t="array" ref="X2790"> if(iserror(MATCH(V2790, 'File Links'!C:C, 0)), "N/A", HYPERLINK(INDEX('File Links'!B:B, MATCH(V2790, 'File Links'!C:C, 0))))</f>
        <v>https://drive.google.com/file/d/16V6fX6zed8MKZ53zcmG18UMG8cS5fmS4/view?usp=drivesdk</v>
      </c>
      <c r="Y2790" s="65"/>
      <c r="Z2790" s="434" t="s">
        <v>1672</v>
      </c>
      <c r="AA2790" s="829" t="s">
        <v>16377</v>
      </c>
      <c r="AB2790" s="434" t="s">
        <v>16378</v>
      </c>
      <c r="AC2790" s="829" t="s">
        <v>16379</v>
      </c>
      <c r="AD2790" s="829" t="s">
        <v>16380</v>
      </c>
      <c r="AE2790" s="2243">
        <v>6.0</v>
      </c>
      <c r="AF2790" s="825">
        <v>485.0</v>
      </c>
      <c r="AG2790" s="825">
        <v>0.363</v>
      </c>
      <c r="AH2790" s="434" t="s">
        <v>354</v>
      </c>
      <c r="AI2790" s="434" t="s">
        <v>133</v>
      </c>
      <c r="AJ2790" s="825">
        <v>1.0E-4</v>
      </c>
      <c r="AK2790" s="434" t="s">
        <v>128</v>
      </c>
      <c r="AL2790" s="434" t="s">
        <v>179</v>
      </c>
      <c r="AM2790" s="434" t="s">
        <v>130</v>
      </c>
      <c r="AN2790" s="65"/>
      <c r="AO2790" s="825">
        <v>285.0</v>
      </c>
      <c r="AP2790" s="2243">
        <v>0.101</v>
      </c>
      <c r="AQ2790" s="434" t="s">
        <v>354</v>
      </c>
      <c r="AR2790" s="829" t="s">
        <v>621</v>
      </c>
      <c r="AS2790" s="2243">
        <v>0.05</v>
      </c>
      <c r="AT2790" s="434" t="s">
        <v>328</v>
      </c>
      <c r="AU2790" s="434" t="s">
        <v>179</v>
      </c>
      <c r="AV2790" s="434" t="s">
        <v>130</v>
      </c>
      <c r="AW2790" s="434" t="s">
        <v>131</v>
      </c>
      <c r="AX2790" s="434" t="s">
        <v>136</v>
      </c>
      <c r="AZ2790" s="196" t="s">
        <v>15958</v>
      </c>
    </row>
    <row r="2791">
      <c r="A2791" s="41">
        <v>3055.0</v>
      </c>
      <c r="B2791" s="126" t="s">
        <v>516</v>
      </c>
      <c r="C2791" s="59" t="s">
        <v>108</v>
      </c>
      <c r="D2791" s="59" t="s">
        <v>146</v>
      </c>
      <c r="F2791" s="829" t="s">
        <v>16361</v>
      </c>
      <c r="G2791" s="434" t="s">
        <v>16381</v>
      </c>
      <c r="H2791" s="829" t="s">
        <v>15858</v>
      </c>
      <c r="I2791" s="2242">
        <v>45821.0</v>
      </c>
      <c r="J2791" s="859"/>
      <c r="K2791" s="434" t="s">
        <v>16382</v>
      </c>
      <c r="L2791" s="65"/>
      <c r="M2791" s="434" t="s">
        <v>16364</v>
      </c>
      <c r="N2791" s="434" t="s">
        <v>16365</v>
      </c>
      <c r="O2791" s="65"/>
      <c r="P2791" s="1439" t="s">
        <v>16366</v>
      </c>
      <c r="Q2791" s="2268" t="str">
        <f> hyperlink(vlookup(lower(N2791),'File Links'!E:F, 2, FALSE), "LINK")</f>
        <v>LINK</v>
      </c>
      <c r="R2791" s="434" t="s">
        <v>16376</v>
      </c>
      <c r="S2791" s="434" t="s">
        <v>16368</v>
      </c>
      <c r="T2791" s="65"/>
      <c r="U2791" s="65"/>
      <c r="V2791" s="1439" t="s">
        <v>16369</v>
      </c>
      <c r="W2791" s="1225"/>
      <c r="X2791" s="51" t="str">
        <f t="array" ref="X2791"> if(iserror(MATCH(V2791, 'File Links'!C:C, 0)), "N/A", HYPERLINK(INDEX('File Links'!B:B, MATCH(V2791, 'File Links'!C:C, 0))))</f>
        <v>https://drive.google.com/file/d/16V6fX6zed8MKZ53zcmG18UMG8cS5fmS4/view?usp=drivesdk</v>
      </c>
      <c r="Y2791" s="65"/>
      <c r="Z2791" s="434" t="s">
        <v>1672</v>
      </c>
      <c r="AA2791" s="829" t="s">
        <v>16377</v>
      </c>
      <c r="AB2791" s="434" t="s">
        <v>16378</v>
      </c>
      <c r="AC2791" s="829" t="s">
        <v>16383</v>
      </c>
      <c r="AD2791" s="434" t="s">
        <v>16384</v>
      </c>
      <c r="AE2791" s="2243">
        <v>7.0</v>
      </c>
      <c r="AF2791" s="2270">
        <f>485*0.44</f>
        <v>213.4</v>
      </c>
      <c r="AG2791" s="2243">
        <v>0.172</v>
      </c>
      <c r="AH2791" s="434" t="s">
        <v>354</v>
      </c>
      <c r="AI2791" s="434" t="s">
        <v>605</v>
      </c>
      <c r="AJ2791" s="2243">
        <v>0.0679</v>
      </c>
      <c r="AK2791" s="434" t="s">
        <v>165</v>
      </c>
      <c r="AL2791" s="434" t="s">
        <v>179</v>
      </c>
      <c r="AM2791" s="434" t="s">
        <v>130</v>
      </c>
      <c r="AN2791" s="434" t="s">
        <v>131</v>
      </c>
      <c r="AO2791" s="825">
        <v>285.0</v>
      </c>
      <c r="AP2791" s="825">
        <v>0.135</v>
      </c>
      <c r="AQ2791" s="434" t="s">
        <v>354</v>
      </c>
      <c r="AR2791" s="829" t="s">
        <v>621</v>
      </c>
      <c r="AS2791" s="825">
        <v>0.05</v>
      </c>
      <c r="AT2791" s="434" t="s">
        <v>128</v>
      </c>
      <c r="AU2791" s="434" t="s">
        <v>179</v>
      </c>
      <c r="AV2791" s="434" t="s">
        <v>130</v>
      </c>
      <c r="AW2791" s="434" t="s">
        <v>131</v>
      </c>
      <c r="AX2791" s="434" t="s">
        <v>136</v>
      </c>
      <c r="AZ2791" s="196" t="s">
        <v>15958</v>
      </c>
    </row>
    <row r="2792">
      <c r="A2792" s="41">
        <v>3081.0</v>
      </c>
      <c r="B2792" s="126" t="s">
        <v>516</v>
      </c>
      <c r="C2792" s="59" t="s">
        <v>108</v>
      </c>
      <c r="D2792" s="59" t="s">
        <v>146</v>
      </c>
      <c r="F2792" s="829" t="s">
        <v>16361</v>
      </c>
      <c r="G2792" s="434" t="s">
        <v>16385</v>
      </c>
      <c r="H2792" s="829" t="s">
        <v>15858</v>
      </c>
      <c r="I2792" s="2242">
        <v>45821.0</v>
      </c>
      <c r="J2792" s="859"/>
      <c r="K2792" s="434" t="s">
        <v>16382</v>
      </c>
      <c r="L2792" s="65"/>
      <c r="M2792" s="434" t="s">
        <v>16364</v>
      </c>
      <c r="N2792" s="434" t="s">
        <v>16365</v>
      </c>
      <c r="O2792" s="65"/>
      <c r="P2792" s="1439" t="s">
        <v>16366</v>
      </c>
      <c r="Q2792" s="2268" t="str">
        <f> hyperlink(vlookup(lower(N2792),'File Links'!E:F, 2, FALSE), "LINK")</f>
        <v>LINK</v>
      </c>
      <c r="R2792" s="434" t="s">
        <v>16376</v>
      </c>
      <c r="S2792" s="434" t="s">
        <v>16368</v>
      </c>
      <c r="T2792" s="65"/>
      <c r="U2792" s="65"/>
      <c r="V2792" s="1439" t="s">
        <v>16369</v>
      </c>
      <c r="W2792" s="1225"/>
      <c r="X2792" s="51" t="str">
        <f t="array" ref="X2792"> if(iserror(MATCH(V2792, 'File Links'!C:C, 0)), "N/A", HYPERLINK(INDEX('File Links'!B:B, MATCH(V2792, 'File Links'!C:C, 0))))</f>
        <v>https://drive.google.com/file/d/16V6fX6zed8MKZ53zcmG18UMG8cS5fmS4/view?usp=drivesdk</v>
      </c>
      <c r="Y2792" s="65"/>
      <c r="Z2792" s="434" t="s">
        <v>1672</v>
      </c>
      <c r="AA2792" s="829" t="s">
        <v>16377</v>
      </c>
      <c r="AB2792" s="434" t="s">
        <v>16378</v>
      </c>
      <c r="AC2792" s="829" t="s">
        <v>16386</v>
      </c>
      <c r="AD2792" s="434" t="s">
        <v>16384</v>
      </c>
      <c r="AE2792" s="2243">
        <v>7.0</v>
      </c>
      <c r="AF2792" s="2270">
        <f>485*0.26</f>
        <v>126.1</v>
      </c>
      <c r="AG2792" s="2243">
        <v>0.094</v>
      </c>
      <c r="AH2792" s="434" t="s">
        <v>16387</v>
      </c>
      <c r="AI2792" s="434" t="s">
        <v>605</v>
      </c>
      <c r="AJ2792" s="65"/>
      <c r="AK2792" s="65"/>
      <c r="AL2792" s="434" t="s">
        <v>179</v>
      </c>
      <c r="AM2792" s="434" t="s">
        <v>130</v>
      </c>
      <c r="AN2792" s="434" t="s">
        <v>131</v>
      </c>
      <c r="AO2792" s="825">
        <v>285.0</v>
      </c>
      <c r="AP2792" s="2243">
        <v>0.057</v>
      </c>
      <c r="AQ2792" s="434" t="s">
        <v>16387</v>
      </c>
      <c r="AR2792" s="829" t="s">
        <v>621</v>
      </c>
      <c r="AS2792" s="434" t="s">
        <v>131</v>
      </c>
      <c r="AT2792" s="65"/>
      <c r="AU2792" s="434" t="s">
        <v>179</v>
      </c>
      <c r="AV2792" s="434" t="s">
        <v>130</v>
      </c>
      <c r="AW2792" s="434" t="s">
        <v>131</v>
      </c>
      <c r="AX2792" s="434" t="s">
        <v>136</v>
      </c>
      <c r="AZ2792" s="196" t="s">
        <v>15958</v>
      </c>
    </row>
    <row r="2793">
      <c r="A2793" s="41">
        <v>3030.0</v>
      </c>
      <c r="B2793" s="126" t="s">
        <v>516</v>
      </c>
      <c r="C2793" s="59" t="s">
        <v>108</v>
      </c>
      <c r="D2793" s="59" t="s">
        <v>146</v>
      </c>
      <c r="F2793" s="829" t="s">
        <v>16361</v>
      </c>
      <c r="G2793" s="434" t="s">
        <v>16388</v>
      </c>
      <c r="H2793" s="829" t="s">
        <v>15858</v>
      </c>
      <c r="I2793" s="2242">
        <v>45821.0</v>
      </c>
      <c r="J2793" s="859"/>
      <c r="K2793" s="434" t="s">
        <v>16375</v>
      </c>
      <c r="L2793" s="65"/>
      <c r="M2793" s="434" t="s">
        <v>16364</v>
      </c>
      <c r="N2793" s="434" t="s">
        <v>16365</v>
      </c>
      <c r="O2793" s="65"/>
      <c r="P2793" s="1439" t="s">
        <v>16366</v>
      </c>
      <c r="Q2793" s="2268" t="str">
        <f> hyperlink(vlookup(lower(N2793),'File Links'!E:F, 2, FALSE), "LINK")</f>
        <v>LINK</v>
      </c>
      <c r="R2793" s="434" t="s">
        <v>16376</v>
      </c>
      <c r="S2793" s="434" t="s">
        <v>16368</v>
      </c>
      <c r="T2793" s="65"/>
      <c r="U2793" s="65"/>
      <c r="V2793" s="1439" t="s">
        <v>16369</v>
      </c>
      <c r="W2793" s="1225"/>
      <c r="X2793" s="51" t="str">
        <f t="array" ref="X2793"> if(iserror(MATCH(V2793, 'File Links'!C:C, 0)), "N/A", HYPERLINK(INDEX('File Links'!B:B, MATCH(V2793, 'File Links'!C:C, 0))))</f>
        <v>https://drive.google.com/file/d/16V6fX6zed8MKZ53zcmG18UMG8cS5fmS4/view?usp=drivesdk</v>
      </c>
      <c r="Y2793" s="65"/>
      <c r="Z2793" s="434" t="s">
        <v>1672</v>
      </c>
      <c r="AA2793" s="829" t="s">
        <v>16377</v>
      </c>
      <c r="AB2793" s="434" t="s">
        <v>16378</v>
      </c>
      <c r="AC2793" s="829" t="s">
        <v>16389</v>
      </c>
      <c r="AD2793" s="829" t="s">
        <v>16380</v>
      </c>
      <c r="AE2793" s="2243">
        <v>6.0</v>
      </c>
      <c r="AF2793" s="825">
        <v>485.0</v>
      </c>
      <c r="AG2793" s="825">
        <v>0.409</v>
      </c>
      <c r="AH2793" s="434" t="s">
        <v>354</v>
      </c>
      <c r="AI2793" s="434" t="s">
        <v>133</v>
      </c>
      <c r="AJ2793" s="825">
        <v>1.0E-4</v>
      </c>
      <c r="AK2793" s="434" t="s">
        <v>128</v>
      </c>
      <c r="AL2793" s="434" t="s">
        <v>179</v>
      </c>
      <c r="AM2793" s="434" t="s">
        <v>130</v>
      </c>
      <c r="AN2793" s="65"/>
      <c r="AO2793" s="825">
        <v>285.0</v>
      </c>
      <c r="AP2793" s="2243">
        <v>0.174</v>
      </c>
      <c r="AQ2793" s="434" t="s">
        <v>354</v>
      </c>
      <c r="AR2793" s="829" t="s">
        <v>621</v>
      </c>
      <c r="AS2793" s="2243">
        <v>0.01</v>
      </c>
      <c r="AT2793" s="434" t="s">
        <v>128</v>
      </c>
      <c r="AU2793" s="434" t="s">
        <v>179</v>
      </c>
      <c r="AV2793" s="434" t="s">
        <v>130</v>
      </c>
      <c r="AW2793" s="434" t="s">
        <v>131</v>
      </c>
      <c r="AX2793" s="434" t="s">
        <v>136</v>
      </c>
      <c r="AZ2793" s="196" t="s">
        <v>15958</v>
      </c>
    </row>
    <row r="2794">
      <c r="A2794" s="41">
        <v>3056.0</v>
      </c>
      <c r="B2794" s="126" t="s">
        <v>516</v>
      </c>
      <c r="C2794" s="59" t="s">
        <v>108</v>
      </c>
      <c r="D2794" s="59" t="s">
        <v>146</v>
      </c>
      <c r="F2794" s="829" t="s">
        <v>16361</v>
      </c>
      <c r="G2794" s="434" t="s">
        <v>16390</v>
      </c>
      <c r="H2794" s="829" t="s">
        <v>15858</v>
      </c>
      <c r="I2794" s="2242">
        <v>45821.0</v>
      </c>
      <c r="J2794" s="859"/>
      <c r="K2794" s="434" t="s">
        <v>16382</v>
      </c>
      <c r="L2794" s="65"/>
      <c r="M2794" s="434" t="s">
        <v>16364</v>
      </c>
      <c r="N2794" s="434" t="s">
        <v>16365</v>
      </c>
      <c r="O2794" s="65"/>
      <c r="P2794" s="1439" t="s">
        <v>16366</v>
      </c>
      <c r="Q2794" s="2268" t="str">
        <f> hyperlink(vlookup(lower(N2794),'File Links'!E:F, 2, FALSE), "LINK")</f>
        <v>LINK</v>
      </c>
      <c r="R2794" s="434" t="s">
        <v>16376</v>
      </c>
      <c r="S2794" s="434" t="s">
        <v>16368</v>
      </c>
      <c r="T2794" s="65"/>
      <c r="U2794" s="65"/>
      <c r="V2794" s="1439" t="s">
        <v>16369</v>
      </c>
      <c r="W2794" s="1225"/>
      <c r="X2794" s="51" t="str">
        <f t="array" ref="X2794"> if(iserror(MATCH(V2794, 'File Links'!C:C, 0)), "N/A", HYPERLINK(INDEX('File Links'!B:B, MATCH(V2794, 'File Links'!C:C, 0))))</f>
        <v>https://drive.google.com/file/d/16V6fX6zed8MKZ53zcmG18UMG8cS5fmS4/view?usp=drivesdk</v>
      </c>
      <c r="Y2794" s="65"/>
      <c r="Z2794" s="434" t="s">
        <v>1672</v>
      </c>
      <c r="AA2794" s="829" t="s">
        <v>16377</v>
      </c>
      <c r="AB2794" s="434" t="s">
        <v>16378</v>
      </c>
      <c r="AC2794" s="829" t="s">
        <v>16391</v>
      </c>
      <c r="AD2794" s="434" t="s">
        <v>16384</v>
      </c>
      <c r="AE2794" s="2243">
        <v>7.0</v>
      </c>
      <c r="AF2794" s="2270">
        <f>485*0.44</f>
        <v>213.4</v>
      </c>
      <c r="AG2794" s="2243">
        <v>0.177</v>
      </c>
      <c r="AH2794" s="434" t="s">
        <v>354</v>
      </c>
      <c r="AI2794" s="434" t="s">
        <v>605</v>
      </c>
      <c r="AJ2794" s="825">
        <v>0.0623</v>
      </c>
      <c r="AK2794" s="65"/>
      <c r="AL2794" s="434" t="s">
        <v>179</v>
      </c>
      <c r="AM2794" s="434" t="s">
        <v>130</v>
      </c>
      <c r="AN2794" s="434" t="s">
        <v>131</v>
      </c>
      <c r="AO2794" s="825">
        <v>285.0</v>
      </c>
      <c r="AP2794" s="825">
        <v>0.236</v>
      </c>
      <c r="AQ2794" s="434" t="s">
        <v>354</v>
      </c>
      <c r="AR2794" s="829" t="s">
        <v>621</v>
      </c>
      <c r="AS2794" s="825">
        <v>0.001</v>
      </c>
      <c r="AT2794" s="434" t="s">
        <v>128</v>
      </c>
      <c r="AU2794" s="434" t="s">
        <v>179</v>
      </c>
      <c r="AV2794" s="434" t="s">
        <v>130</v>
      </c>
      <c r="AW2794" s="434" t="s">
        <v>131</v>
      </c>
      <c r="AX2794" s="434" t="s">
        <v>136</v>
      </c>
      <c r="AZ2794" s="196" t="s">
        <v>15958</v>
      </c>
    </row>
    <row r="2795">
      <c r="A2795" s="41">
        <v>3082.0</v>
      </c>
      <c r="B2795" s="126" t="s">
        <v>516</v>
      </c>
      <c r="C2795" s="59" t="s">
        <v>108</v>
      </c>
      <c r="D2795" s="59" t="s">
        <v>146</v>
      </c>
      <c r="F2795" s="829" t="s">
        <v>16361</v>
      </c>
      <c r="G2795" s="434" t="s">
        <v>16392</v>
      </c>
      <c r="H2795" s="829" t="s">
        <v>15858</v>
      </c>
      <c r="I2795" s="2242">
        <v>45821.0</v>
      </c>
      <c r="J2795" s="859"/>
      <c r="K2795" s="434" t="s">
        <v>16382</v>
      </c>
      <c r="L2795" s="65"/>
      <c r="M2795" s="434" t="s">
        <v>16364</v>
      </c>
      <c r="N2795" s="434" t="s">
        <v>16365</v>
      </c>
      <c r="O2795" s="65"/>
      <c r="P2795" s="1439" t="s">
        <v>16366</v>
      </c>
      <c r="Q2795" s="2268" t="str">
        <f> hyperlink(vlookup(lower(N2795),'File Links'!E:F, 2, FALSE), "LINK")</f>
        <v>LINK</v>
      </c>
      <c r="R2795" s="434" t="s">
        <v>16376</v>
      </c>
      <c r="S2795" s="434" t="s">
        <v>16368</v>
      </c>
      <c r="T2795" s="65"/>
      <c r="U2795" s="65"/>
      <c r="V2795" s="1439" t="s">
        <v>16369</v>
      </c>
      <c r="W2795" s="1225"/>
      <c r="X2795" s="51" t="str">
        <f t="array" ref="X2795"> if(iserror(MATCH(V2795, 'File Links'!C:C, 0)), "N/A", HYPERLINK(INDEX('File Links'!B:B, MATCH(V2795, 'File Links'!C:C, 0))))</f>
        <v>https://drive.google.com/file/d/16V6fX6zed8MKZ53zcmG18UMG8cS5fmS4/view?usp=drivesdk</v>
      </c>
      <c r="Y2795" s="65"/>
      <c r="Z2795" s="434" t="s">
        <v>1672</v>
      </c>
      <c r="AA2795" s="829" t="s">
        <v>16377</v>
      </c>
      <c r="AB2795" s="434" t="s">
        <v>16378</v>
      </c>
      <c r="AC2795" s="829" t="s">
        <v>16393</v>
      </c>
      <c r="AD2795" s="434" t="s">
        <v>16384</v>
      </c>
      <c r="AE2795" s="2243">
        <v>7.0</v>
      </c>
      <c r="AF2795" s="2270">
        <f>485*0.26</f>
        <v>126.1</v>
      </c>
      <c r="AG2795" s="2243">
        <v>0.187</v>
      </c>
      <c r="AH2795" s="434" t="s">
        <v>16387</v>
      </c>
      <c r="AI2795" s="434" t="s">
        <v>429</v>
      </c>
      <c r="AJ2795" s="65"/>
      <c r="AK2795" s="65"/>
      <c r="AL2795" s="434" t="s">
        <v>179</v>
      </c>
      <c r="AM2795" s="434" t="s">
        <v>130</v>
      </c>
      <c r="AN2795" s="434" t="s">
        <v>131</v>
      </c>
      <c r="AO2795" s="825">
        <v>285.0</v>
      </c>
      <c r="AP2795" s="2243">
        <v>0.037</v>
      </c>
      <c r="AQ2795" s="434" t="s">
        <v>16387</v>
      </c>
      <c r="AR2795" s="829" t="s">
        <v>621</v>
      </c>
      <c r="AS2795" s="434" t="s">
        <v>131</v>
      </c>
      <c r="AT2795" s="65"/>
      <c r="AU2795" s="434" t="s">
        <v>179</v>
      </c>
      <c r="AV2795" s="434" t="s">
        <v>130</v>
      </c>
      <c r="AW2795" s="434" t="s">
        <v>131</v>
      </c>
      <c r="AX2795" s="434" t="s">
        <v>136</v>
      </c>
      <c r="AZ2795" s="196" t="s">
        <v>15958</v>
      </c>
    </row>
    <row r="2796">
      <c r="A2796" s="41">
        <v>3031.0</v>
      </c>
      <c r="B2796" s="126" t="s">
        <v>516</v>
      </c>
      <c r="C2796" s="59" t="s">
        <v>108</v>
      </c>
      <c r="D2796" s="59" t="s">
        <v>146</v>
      </c>
      <c r="F2796" s="829" t="s">
        <v>16361</v>
      </c>
      <c r="G2796" s="434" t="s">
        <v>16394</v>
      </c>
      <c r="H2796" s="829" t="s">
        <v>15858</v>
      </c>
      <c r="I2796" s="2242">
        <v>45821.0</v>
      </c>
      <c r="J2796" s="859"/>
      <c r="K2796" s="434" t="s">
        <v>16375</v>
      </c>
      <c r="L2796" s="65"/>
      <c r="M2796" s="434" t="s">
        <v>16364</v>
      </c>
      <c r="N2796" s="434" t="s">
        <v>16365</v>
      </c>
      <c r="O2796" s="65"/>
      <c r="P2796" s="1439" t="s">
        <v>16366</v>
      </c>
      <c r="Q2796" s="2268" t="str">
        <f> hyperlink(vlookup(lower(N2796),'File Links'!E:F, 2, FALSE), "LINK")</f>
        <v>LINK</v>
      </c>
      <c r="R2796" s="434" t="s">
        <v>16376</v>
      </c>
      <c r="S2796" s="434" t="s">
        <v>16368</v>
      </c>
      <c r="T2796" s="65"/>
      <c r="U2796" s="65"/>
      <c r="V2796" s="1439" t="s">
        <v>16369</v>
      </c>
      <c r="W2796" s="1225"/>
      <c r="X2796" s="51" t="str">
        <f t="array" ref="X2796"> if(iserror(MATCH(V2796, 'File Links'!C:C, 0)), "N/A", HYPERLINK(INDEX('File Links'!B:B, MATCH(V2796, 'File Links'!C:C, 0))))</f>
        <v>https://drive.google.com/file/d/16V6fX6zed8MKZ53zcmG18UMG8cS5fmS4/view?usp=drivesdk</v>
      </c>
      <c r="Y2796" s="65"/>
      <c r="Z2796" s="434" t="s">
        <v>1672</v>
      </c>
      <c r="AA2796" s="829" t="s">
        <v>16377</v>
      </c>
      <c r="AB2796" s="434" t="s">
        <v>16378</v>
      </c>
      <c r="AC2796" s="829" t="s">
        <v>16395</v>
      </c>
      <c r="AD2796" s="829" t="s">
        <v>16380</v>
      </c>
      <c r="AE2796" s="2243">
        <v>6.0</v>
      </c>
      <c r="AF2796" s="825">
        <v>485.0</v>
      </c>
      <c r="AG2796" s="825">
        <v>0.241</v>
      </c>
      <c r="AH2796" s="434" t="s">
        <v>354</v>
      </c>
      <c r="AI2796" s="434" t="s">
        <v>133</v>
      </c>
      <c r="AJ2796" s="825">
        <v>9.0E-4</v>
      </c>
      <c r="AK2796" s="434" t="s">
        <v>165</v>
      </c>
      <c r="AL2796" s="434" t="s">
        <v>179</v>
      </c>
      <c r="AM2796" s="434" t="s">
        <v>130</v>
      </c>
      <c r="AN2796" s="65"/>
      <c r="AO2796" s="825">
        <v>285.0</v>
      </c>
      <c r="AP2796" s="2243">
        <v>0.174</v>
      </c>
      <c r="AQ2796" s="434" t="s">
        <v>354</v>
      </c>
      <c r="AR2796" s="829" t="s">
        <v>621</v>
      </c>
      <c r="AS2796" s="2243">
        <v>0.01</v>
      </c>
      <c r="AT2796" s="434" t="s">
        <v>128</v>
      </c>
      <c r="AU2796" s="434" t="s">
        <v>179</v>
      </c>
      <c r="AV2796" s="434" t="s">
        <v>130</v>
      </c>
      <c r="AW2796" s="434" t="s">
        <v>131</v>
      </c>
      <c r="AX2796" s="434" t="s">
        <v>136</v>
      </c>
      <c r="AZ2796" s="196" t="s">
        <v>15958</v>
      </c>
    </row>
    <row r="2797">
      <c r="A2797" s="41">
        <v>3057.0</v>
      </c>
      <c r="B2797" s="126" t="s">
        <v>516</v>
      </c>
      <c r="C2797" s="59" t="s">
        <v>108</v>
      </c>
      <c r="D2797" s="59" t="s">
        <v>146</v>
      </c>
      <c r="F2797" s="829" t="s">
        <v>16361</v>
      </c>
      <c r="G2797" s="434" t="s">
        <v>16396</v>
      </c>
      <c r="H2797" s="829" t="s">
        <v>15858</v>
      </c>
      <c r="I2797" s="2242">
        <v>45821.0</v>
      </c>
      <c r="J2797" s="859"/>
      <c r="K2797" s="434" t="s">
        <v>16382</v>
      </c>
      <c r="L2797" s="65"/>
      <c r="M2797" s="434" t="s">
        <v>16364</v>
      </c>
      <c r="N2797" s="434" t="s">
        <v>16365</v>
      </c>
      <c r="O2797" s="65"/>
      <c r="P2797" s="1439" t="s">
        <v>16366</v>
      </c>
      <c r="Q2797" s="2268" t="str">
        <f> hyperlink(vlookup(lower(N2797),'File Links'!E:F, 2, FALSE), "LINK")</f>
        <v>LINK</v>
      </c>
      <c r="R2797" s="434" t="s">
        <v>16376</v>
      </c>
      <c r="S2797" s="434" t="s">
        <v>16368</v>
      </c>
      <c r="T2797" s="65"/>
      <c r="U2797" s="65"/>
      <c r="V2797" s="1439" t="s">
        <v>16369</v>
      </c>
      <c r="W2797" s="1225"/>
      <c r="X2797" s="51" t="str">
        <f t="array" ref="X2797"> if(iserror(MATCH(V2797, 'File Links'!C:C, 0)), "N/A", HYPERLINK(INDEX('File Links'!B:B, MATCH(V2797, 'File Links'!C:C, 0))))</f>
        <v>https://drive.google.com/file/d/16V6fX6zed8MKZ53zcmG18UMG8cS5fmS4/view?usp=drivesdk</v>
      </c>
      <c r="Y2797" s="65"/>
      <c r="Z2797" s="434" t="s">
        <v>1672</v>
      </c>
      <c r="AA2797" s="829" t="s">
        <v>16377</v>
      </c>
      <c r="AB2797" s="434" t="s">
        <v>16378</v>
      </c>
      <c r="AC2797" s="829" t="s">
        <v>16397</v>
      </c>
      <c r="AD2797" s="434" t="s">
        <v>16384</v>
      </c>
      <c r="AE2797" s="2243">
        <v>7.0</v>
      </c>
      <c r="AF2797" s="2270">
        <f>485*0.44</f>
        <v>213.4</v>
      </c>
      <c r="AG2797" s="825">
        <v>0.192</v>
      </c>
      <c r="AH2797" s="434" t="s">
        <v>354</v>
      </c>
      <c r="AI2797" s="434" t="s">
        <v>605</v>
      </c>
      <c r="AJ2797" s="2243">
        <v>0.038</v>
      </c>
      <c r="AK2797" s="434" t="s">
        <v>165</v>
      </c>
      <c r="AL2797" s="434" t="s">
        <v>179</v>
      </c>
      <c r="AM2797" s="434" t="s">
        <v>130</v>
      </c>
      <c r="AN2797" s="434" t="s">
        <v>131</v>
      </c>
      <c r="AO2797" s="825">
        <v>285.0</v>
      </c>
      <c r="AP2797" s="2243">
        <v>0.106</v>
      </c>
      <c r="AQ2797" s="434" t="s">
        <v>354</v>
      </c>
      <c r="AR2797" s="829" t="s">
        <v>621</v>
      </c>
      <c r="AS2797" s="825">
        <v>0.05</v>
      </c>
      <c r="AT2797" s="434" t="s">
        <v>328</v>
      </c>
      <c r="AU2797" s="434" t="s">
        <v>179</v>
      </c>
      <c r="AV2797" s="434" t="s">
        <v>130</v>
      </c>
      <c r="AW2797" s="434" t="s">
        <v>131</v>
      </c>
      <c r="AX2797" s="434" t="s">
        <v>136</v>
      </c>
      <c r="AZ2797" s="196" t="s">
        <v>15958</v>
      </c>
    </row>
    <row r="2798">
      <c r="A2798" s="41">
        <v>3083.0</v>
      </c>
      <c r="B2798" s="126" t="s">
        <v>516</v>
      </c>
      <c r="C2798" s="59" t="s">
        <v>108</v>
      </c>
      <c r="D2798" s="59" t="s">
        <v>146</v>
      </c>
      <c r="F2798" s="829" t="s">
        <v>16361</v>
      </c>
      <c r="G2798" s="434" t="s">
        <v>16398</v>
      </c>
      <c r="H2798" s="829" t="s">
        <v>15858</v>
      </c>
      <c r="I2798" s="2242">
        <v>45821.0</v>
      </c>
      <c r="J2798" s="859"/>
      <c r="K2798" s="434" t="s">
        <v>16382</v>
      </c>
      <c r="L2798" s="65"/>
      <c r="M2798" s="434" t="s">
        <v>16364</v>
      </c>
      <c r="N2798" s="434" t="s">
        <v>16365</v>
      </c>
      <c r="O2798" s="65"/>
      <c r="P2798" s="1439" t="s">
        <v>16366</v>
      </c>
      <c r="Q2798" s="2268" t="str">
        <f> hyperlink(vlookup(lower(N2798),'File Links'!E:F, 2, FALSE), "LINK")</f>
        <v>LINK</v>
      </c>
      <c r="R2798" s="434" t="s">
        <v>16376</v>
      </c>
      <c r="S2798" s="434" t="s">
        <v>16368</v>
      </c>
      <c r="T2798" s="65"/>
      <c r="U2798" s="65"/>
      <c r="V2798" s="1439" t="s">
        <v>16369</v>
      </c>
      <c r="W2798" s="1225"/>
      <c r="X2798" s="51" t="str">
        <f t="array" ref="X2798"> if(iserror(MATCH(V2798, 'File Links'!C:C, 0)), "N/A", HYPERLINK(INDEX('File Links'!B:B, MATCH(V2798, 'File Links'!C:C, 0))))</f>
        <v>https://drive.google.com/file/d/16V6fX6zed8MKZ53zcmG18UMG8cS5fmS4/view?usp=drivesdk</v>
      </c>
      <c r="Y2798" s="65"/>
      <c r="Z2798" s="434" t="s">
        <v>1672</v>
      </c>
      <c r="AA2798" s="829" t="s">
        <v>16377</v>
      </c>
      <c r="AB2798" s="434" t="s">
        <v>16378</v>
      </c>
      <c r="AC2798" s="829" t="s">
        <v>16399</v>
      </c>
      <c r="AD2798" s="434" t="s">
        <v>16384</v>
      </c>
      <c r="AE2798" s="2243">
        <v>7.0</v>
      </c>
      <c r="AF2798" s="2270">
        <f>485*0.26</f>
        <v>126.1</v>
      </c>
      <c r="AG2798" s="2243">
        <v>0.123</v>
      </c>
      <c r="AH2798" s="434" t="s">
        <v>16387</v>
      </c>
      <c r="AI2798" s="434" t="s">
        <v>429</v>
      </c>
      <c r="AJ2798" s="65"/>
      <c r="AK2798" s="65"/>
      <c r="AL2798" s="434" t="s">
        <v>179</v>
      </c>
      <c r="AM2798" s="434" t="s">
        <v>130</v>
      </c>
      <c r="AN2798" s="434" t="s">
        <v>131</v>
      </c>
      <c r="AO2798" s="825">
        <v>285.0</v>
      </c>
      <c r="AP2798" s="2243">
        <v>0.071</v>
      </c>
      <c r="AQ2798" s="434" t="s">
        <v>16387</v>
      </c>
      <c r="AR2798" s="829" t="s">
        <v>621</v>
      </c>
      <c r="AS2798" s="434" t="s">
        <v>131</v>
      </c>
      <c r="AT2798" s="65"/>
      <c r="AU2798" s="434" t="s">
        <v>179</v>
      </c>
      <c r="AV2798" s="434" t="s">
        <v>130</v>
      </c>
      <c r="AW2798" s="434" t="s">
        <v>131</v>
      </c>
      <c r="AX2798" s="434" t="s">
        <v>136</v>
      </c>
      <c r="AZ2798" s="196" t="s">
        <v>15958</v>
      </c>
    </row>
    <row r="2799">
      <c r="A2799" s="41">
        <v>3032.0</v>
      </c>
      <c r="B2799" s="126" t="s">
        <v>516</v>
      </c>
      <c r="C2799" s="59" t="s">
        <v>108</v>
      </c>
      <c r="D2799" s="59" t="s">
        <v>146</v>
      </c>
      <c r="F2799" s="829" t="s">
        <v>16361</v>
      </c>
      <c r="G2799" s="434" t="s">
        <v>16400</v>
      </c>
      <c r="H2799" s="829" t="s">
        <v>15858</v>
      </c>
      <c r="I2799" s="2242">
        <v>45821.0</v>
      </c>
      <c r="J2799" s="859"/>
      <c r="K2799" s="434" t="s">
        <v>16375</v>
      </c>
      <c r="L2799" s="65"/>
      <c r="M2799" s="434" t="s">
        <v>16364</v>
      </c>
      <c r="N2799" s="434" t="s">
        <v>16365</v>
      </c>
      <c r="O2799" s="65"/>
      <c r="P2799" s="1439" t="s">
        <v>16366</v>
      </c>
      <c r="Q2799" s="2268" t="str">
        <f> hyperlink(vlookup(lower(N2799),'File Links'!E:F, 2, FALSE), "LINK")</f>
        <v>LINK</v>
      </c>
      <c r="R2799" s="434" t="s">
        <v>16376</v>
      </c>
      <c r="S2799" s="434" t="s">
        <v>16368</v>
      </c>
      <c r="T2799" s="65"/>
      <c r="U2799" s="65"/>
      <c r="V2799" s="1439" t="s">
        <v>16369</v>
      </c>
      <c r="W2799" s="1225"/>
      <c r="X2799" s="51" t="str">
        <f t="array" ref="X2799"> if(iserror(MATCH(V2799, 'File Links'!C:C, 0)), "N/A", HYPERLINK(INDEX('File Links'!B:B, MATCH(V2799, 'File Links'!C:C, 0))))</f>
        <v>https://drive.google.com/file/d/16V6fX6zed8MKZ53zcmG18UMG8cS5fmS4/view?usp=drivesdk</v>
      </c>
      <c r="Y2799" s="65"/>
      <c r="Z2799" s="434" t="s">
        <v>1672</v>
      </c>
      <c r="AA2799" s="829" t="s">
        <v>16377</v>
      </c>
      <c r="AB2799" s="434" t="s">
        <v>16378</v>
      </c>
      <c r="AC2799" s="829" t="s">
        <v>16401</v>
      </c>
      <c r="AD2799" s="829" t="s">
        <v>16380</v>
      </c>
      <c r="AE2799" s="2243">
        <v>6.0</v>
      </c>
      <c r="AF2799" s="825">
        <v>485.0</v>
      </c>
      <c r="AG2799" s="2243">
        <v>0.089</v>
      </c>
      <c r="AH2799" s="434" t="s">
        <v>354</v>
      </c>
      <c r="AI2799" s="434" t="s">
        <v>133</v>
      </c>
      <c r="AJ2799" s="2243">
        <v>0.0997</v>
      </c>
      <c r="AK2799" s="434" t="s">
        <v>165</v>
      </c>
      <c r="AL2799" s="434" t="s">
        <v>179</v>
      </c>
      <c r="AM2799" s="434" t="s">
        <v>130</v>
      </c>
      <c r="AN2799" s="65"/>
      <c r="AO2799" s="825">
        <v>285.0</v>
      </c>
      <c r="AP2799" s="825">
        <v>0.151</v>
      </c>
      <c r="AQ2799" s="434" t="s">
        <v>354</v>
      </c>
      <c r="AR2799" s="829" t="s">
        <v>621</v>
      </c>
      <c r="AS2799" s="2243">
        <v>0.05</v>
      </c>
      <c r="AT2799" s="434" t="s">
        <v>128</v>
      </c>
      <c r="AU2799" s="434" t="s">
        <v>179</v>
      </c>
      <c r="AV2799" s="434" t="s">
        <v>130</v>
      </c>
      <c r="AW2799" s="434" t="s">
        <v>131</v>
      </c>
      <c r="AX2799" s="434" t="s">
        <v>136</v>
      </c>
      <c r="AZ2799" s="196" t="s">
        <v>15958</v>
      </c>
    </row>
    <row r="2800">
      <c r="A2800" s="41">
        <v>3058.0</v>
      </c>
      <c r="B2800" s="126" t="s">
        <v>516</v>
      </c>
      <c r="C2800" s="59" t="s">
        <v>108</v>
      </c>
      <c r="D2800" s="59" t="s">
        <v>146</v>
      </c>
      <c r="F2800" s="829" t="s">
        <v>16361</v>
      </c>
      <c r="G2800" s="434" t="s">
        <v>16402</v>
      </c>
      <c r="H2800" s="829" t="s">
        <v>15858</v>
      </c>
      <c r="I2800" s="2242">
        <v>45821.0</v>
      </c>
      <c r="J2800" s="859"/>
      <c r="K2800" s="434" t="s">
        <v>16382</v>
      </c>
      <c r="L2800" s="65"/>
      <c r="M2800" s="434" t="s">
        <v>16364</v>
      </c>
      <c r="N2800" s="434" t="s">
        <v>16365</v>
      </c>
      <c r="O2800" s="65"/>
      <c r="P2800" s="1439" t="s">
        <v>16366</v>
      </c>
      <c r="Q2800" s="2268" t="str">
        <f> hyperlink(vlookup(lower(N2800),'File Links'!E:F, 2, FALSE), "LINK")</f>
        <v>LINK</v>
      </c>
      <c r="R2800" s="434" t="s">
        <v>16376</v>
      </c>
      <c r="S2800" s="434" t="s">
        <v>16368</v>
      </c>
      <c r="T2800" s="65"/>
      <c r="U2800" s="65"/>
      <c r="V2800" s="1439" t="s">
        <v>16369</v>
      </c>
      <c r="W2800" s="1225"/>
      <c r="X2800" s="51" t="str">
        <f t="array" ref="X2800"> if(iserror(MATCH(V2800, 'File Links'!C:C, 0)), "N/A", HYPERLINK(INDEX('File Links'!B:B, MATCH(V2800, 'File Links'!C:C, 0))))</f>
        <v>https://drive.google.com/file/d/16V6fX6zed8MKZ53zcmG18UMG8cS5fmS4/view?usp=drivesdk</v>
      </c>
      <c r="Y2800" s="65"/>
      <c r="Z2800" s="434" t="s">
        <v>1672</v>
      </c>
      <c r="AA2800" s="829" t="s">
        <v>16377</v>
      </c>
      <c r="AB2800" s="434" t="s">
        <v>16378</v>
      </c>
      <c r="AC2800" s="829" t="s">
        <v>16403</v>
      </c>
      <c r="AD2800" s="434" t="s">
        <v>16384</v>
      </c>
      <c r="AE2800" s="2243">
        <v>7.0</v>
      </c>
      <c r="AF2800" s="2270">
        <f>485*0.44</f>
        <v>213.4</v>
      </c>
      <c r="AG2800" s="825">
        <v>0.327</v>
      </c>
      <c r="AH2800" s="434" t="s">
        <v>354</v>
      </c>
      <c r="AI2800" s="434" t="s">
        <v>605</v>
      </c>
      <c r="AJ2800" s="2243">
        <v>2.0E-4</v>
      </c>
      <c r="AK2800" s="434" t="s">
        <v>165</v>
      </c>
      <c r="AL2800" s="434" t="s">
        <v>179</v>
      </c>
      <c r="AM2800" s="434" t="s">
        <v>130</v>
      </c>
      <c r="AN2800" s="434" t="s">
        <v>131</v>
      </c>
      <c r="AO2800" s="825">
        <v>285.0</v>
      </c>
      <c r="AP2800" s="2243">
        <v>0.106</v>
      </c>
      <c r="AQ2800" s="434" t="s">
        <v>354</v>
      </c>
      <c r="AR2800" s="829" t="s">
        <v>621</v>
      </c>
      <c r="AS2800" s="825">
        <v>0.05</v>
      </c>
      <c r="AT2800" s="434" t="s">
        <v>328</v>
      </c>
      <c r="AU2800" s="434" t="s">
        <v>179</v>
      </c>
      <c r="AV2800" s="434" t="s">
        <v>130</v>
      </c>
      <c r="AW2800" s="434" t="s">
        <v>131</v>
      </c>
      <c r="AX2800" s="434" t="s">
        <v>136</v>
      </c>
      <c r="AZ2800" s="196" t="s">
        <v>15958</v>
      </c>
    </row>
    <row r="2801">
      <c r="A2801" s="41">
        <v>3084.0</v>
      </c>
      <c r="B2801" s="126" t="s">
        <v>516</v>
      </c>
      <c r="C2801" s="59" t="s">
        <v>108</v>
      </c>
      <c r="D2801" s="59" t="s">
        <v>146</v>
      </c>
      <c r="F2801" s="829" t="s">
        <v>16361</v>
      </c>
      <c r="G2801" s="434" t="s">
        <v>16404</v>
      </c>
      <c r="H2801" s="829" t="s">
        <v>15858</v>
      </c>
      <c r="I2801" s="2242">
        <v>45821.0</v>
      </c>
      <c r="J2801" s="859"/>
      <c r="K2801" s="434" t="s">
        <v>16382</v>
      </c>
      <c r="L2801" s="65"/>
      <c r="M2801" s="434" t="s">
        <v>16364</v>
      </c>
      <c r="N2801" s="434" t="s">
        <v>16365</v>
      </c>
      <c r="O2801" s="65"/>
      <c r="P2801" s="1439" t="s">
        <v>16366</v>
      </c>
      <c r="Q2801" s="2268" t="str">
        <f> hyperlink(vlookup(lower(N2801),'File Links'!E:F, 2, FALSE), "LINK")</f>
        <v>LINK</v>
      </c>
      <c r="R2801" s="434" t="s">
        <v>16376</v>
      </c>
      <c r="S2801" s="434" t="s">
        <v>16368</v>
      </c>
      <c r="T2801" s="65"/>
      <c r="U2801" s="65"/>
      <c r="V2801" s="1439" t="s">
        <v>16369</v>
      </c>
      <c r="W2801" s="1225"/>
      <c r="X2801" s="51" t="str">
        <f t="array" ref="X2801"> if(iserror(MATCH(V2801, 'File Links'!C:C, 0)), "N/A", HYPERLINK(INDEX('File Links'!B:B, MATCH(V2801, 'File Links'!C:C, 0))))</f>
        <v>https://drive.google.com/file/d/16V6fX6zed8MKZ53zcmG18UMG8cS5fmS4/view?usp=drivesdk</v>
      </c>
      <c r="Y2801" s="65"/>
      <c r="Z2801" s="434" t="s">
        <v>1672</v>
      </c>
      <c r="AA2801" s="829" t="s">
        <v>16377</v>
      </c>
      <c r="AB2801" s="434" t="s">
        <v>16378</v>
      </c>
      <c r="AC2801" s="829" t="s">
        <v>16405</v>
      </c>
      <c r="AD2801" s="434" t="s">
        <v>16384</v>
      </c>
      <c r="AE2801" s="2243">
        <v>7.0</v>
      </c>
      <c r="AF2801" s="2270">
        <f>485*0.14</f>
        <v>67.9</v>
      </c>
      <c r="AG2801" s="825">
        <v>0.361</v>
      </c>
      <c r="AH2801" s="434" t="s">
        <v>354</v>
      </c>
      <c r="AI2801" s="434" t="s">
        <v>429</v>
      </c>
      <c r="AJ2801" s="825">
        <v>0.0403</v>
      </c>
      <c r="AK2801" s="434" t="s">
        <v>165</v>
      </c>
      <c r="AL2801" s="434" t="s">
        <v>179</v>
      </c>
      <c r="AM2801" s="434" t="s">
        <v>130</v>
      </c>
      <c r="AN2801" s="434" t="s">
        <v>131</v>
      </c>
      <c r="AO2801" s="825">
        <v>285.0</v>
      </c>
      <c r="AP2801" s="2243">
        <v>0.174</v>
      </c>
      <c r="AQ2801" s="434" t="s">
        <v>354</v>
      </c>
      <c r="AR2801" s="829" t="s">
        <v>621</v>
      </c>
      <c r="AS2801" s="2243">
        <v>0.01</v>
      </c>
      <c r="AT2801" s="434" t="s">
        <v>128</v>
      </c>
      <c r="AU2801" s="434" t="s">
        <v>179</v>
      </c>
      <c r="AV2801" s="434" t="s">
        <v>130</v>
      </c>
      <c r="AW2801" s="434" t="s">
        <v>131</v>
      </c>
      <c r="AX2801" s="434" t="s">
        <v>136</v>
      </c>
      <c r="AZ2801" s="196" t="s">
        <v>15958</v>
      </c>
    </row>
    <row r="2802">
      <c r="A2802" s="41">
        <v>3033.0</v>
      </c>
      <c r="B2802" s="126" t="s">
        <v>516</v>
      </c>
      <c r="C2802" s="59" t="s">
        <v>108</v>
      </c>
      <c r="D2802" s="59" t="s">
        <v>146</v>
      </c>
      <c r="F2802" s="829" t="s">
        <v>16361</v>
      </c>
      <c r="G2802" s="434" t="s">
        <v>16406</v>
      </c>
      <c r="H2802" s="829" t="s">
        <v>15858</v>
      </c>
      <c r="I2802" s="2242">
        <v>45821.0</v>
      </c>
      <c r="J2802" s="859"/>
      <c r="K2802" s="434" t="s">
        <v>16375</v>
      </c>
      <c r="L2802" s="65"/>
      <c r="M2802" s="434" t="s">
        <v>16364</v>
      </c>
      <c r="N2802" s="434" t="s">
        <v>16365</v>
      </c>
      <c r="O2802" s="65"/>
      <c r="P2802" s="1439" t="s">
        <v>16366</v>
      </c>
      <c r="Q2802" s="2268" t="str">
        <f> hyperlink(vlookup(lower(N2802),'File Links'!E:F, 2, FALSE), "LINK")</f>
        <v>LINK</v>
      </c>
      <c r="R2802" s="434" t="s">
        <v>16376</v>
      </c>
      <c r="S2802" s="434" t="s">
        <v>16368</v>
      </c>
      <c r="T2802" s="65"/>
      <c r="U2802" s="65"/>
      <c r="V2802" s="1439" t="s">
        <v>16369</v>
      </c>
      <c r="W2802" s="1225"/>
      <c r="X2802" s="51" t="str">
        <f t="array" ref="X2802"> if(iserror(MATCH(V2802, 'File Links'!C:C, 0)), "N/A", HYPERLINK(INDEX('File Links'!B:B, MATCH(V2802, 'File Links'!C:C, 0))))</f>
        <v>https://drive.google.com/file/d/16V6fX6zed8MKZ53zcmG18UMG8cS5fmS4/view?usp=drivesdk</v>
      </c>
      <c r="Y2802" s="65"/>
      <c r="Z2802" s="434" t="s">
        <v>1672</v>
      </c>
      <c r="AA2802" s="829" t="s">
        <v>16377</v>
      </c>
      <c r="AB2802" s="434" t="s">
        <v>16378</v>
      </c>
      <c r="AC2802" s="829" t="s">
        <v>16407</v>
      </c>
      <c r="AD2802" s="829" t="s">
        <v>16380</v>
      </c>
      <c r="AE2802" s="2243">
        <v>6.0</v>
      </c>
      <c r="AF2802" s="825">
        <v>485.0</v>
      </c>
      <c r="AG2802" s="2243">
        <v>0.205</v>
      </c>
      <c r="AH2802" s="434" t="s">
        <v>354</v>
      </c>
      <c r="AI2802" s="434" t="s">
        <v>133</v>
      </c>
      <c r="AJ2802" s="2243">
        <v>2.0E-4</v>
      </c>
      <c r="AK2802" s="434" t="s">
        <v>165</v>
      </c>
      <c r="AL2802" s="434" t="s">
        <v>179</v>
      </c>
      <c r="AM2802" s="434" t="s">
        <v>130</v>
      </c>
      <c r="AN2802" s="65"/>
      <c r="AO2802" s="825">
        <v>285.0</v>
      </c>
      <c r="AP2802" s="825">
        <v>0.151</v>
      </c>
      <c r="AQ2802" s="434" t="s">
        <v>354</v>
      </c>
      <c r="AR2802" s="829" t="s">
        <v>621</v>
      </c>
      <c r="AS2802" s="2243">
        <v>0.05</v>
      </c>
      <c r="AT2802" s="434" t="s">
        <v>128</v>
      </c>
      <c r="AU2802" s="434" t="s">
        <v>179</v>
      </c>
      <c r="AV2802" s="434" t="s">
        <v>130</v>
      </c>
      <c r="AW2802" s="434" t="s">
        <v>131</v>
      </c>
      <c r="AX2802" s="434" t="s">
        <v>136</v>
      </c>
      <c r="AZ2802" s="196" t="s">
        <v>15958</v>
      </c>
    </row>
    <row r="2803">
      <c r="A2803" s="41">
        <v>3059.0</v>
      </c>
      <c r="B2803" s="126" t="s">
        <v>516</v>
      </c>
      <c r="C2803" s="59" t="s">
        <v>108</v>
      </c>
      <c r="D2803" s="59" t="s">
        <v>146</v>
      </c>
      <c r="F2803" s="829" t="s">
        <v>16361</v>
      </c>
      <c r="G2803" s="434" t="s">
        <v>16408</v>
      </c>
      <c r="H2803" s="829" t="s">
        <v>15858</v>
      </c>
      <c r="I2803" s="2242">
        <v>45821.0</v>
      </c>
      <c r="J2803" s="859"/>
      <c r="K2803" s="434" t="s">
        <v>16382</v>
      </c>
      <c r="L2803" s="65"/>
      <c r="M2803" s="434" t="s">
        <v>16364</v>
      </c>
      <c r="N2803" s="434" t="s">
        <v>16365</v>
      </c>
      <c r="O2803" s="65"/>
      <c r="P2803" s="1439" t="s">
        <v>16366</v>
      </c>
      <c r="Q2803" s="2268" t="str">
        <f> hyperlink(vlookup(lower(N2803),'File Links'!E:F, 2, FALSE), "LINK")</f>
        <v>LINK</v>
      </c>
      <c r="R2803" s="434" t="s">
        <v>16376</v>
      </c>
      <c r="S2803" s="434" t="s">
        <v>16368</v>
      </c>
      <c r="T2803" s="65"/>
      <c r="U2803" s="65"/>
      <c r="V2803" s="1439" t="s">
        <v>16369</v>
      </c>
      <c r="W2803" s="1225"/>
      <c r="X2803" s="51" t="str">
        <f t="array" ref="X2803"> if(iserror(MATCH(V2803, 'File Links'!C:C, 0)), "N/A", HYPERLINK(INDEX('File Links'!B:B, MATCH(V2803, 'File Links'!C:C, 0))))</f>
        <v>https://drive.google.com/file/d/16V6fX6zed8MKZ53zcmG18UMG8cS5fmS4/view?usp=drivesdk</v>
      </c>
      <c r="Y2803" s="65"/>
      <c r="Z2803" s="434" t="s">
        <v>1672</v>
      </c>
      <c r="AA2803" s="829" t="s">
        <v>16377</v>
      </c>
      <c r="AB2803" s="434" t="s">
        <v>16378</v>
      </c>
      <c r="AC2803" s="829" t="s">
        <v>16409</v>
      </c>
      <c r="AD2803" s="434" t="s">
        <v>16384</v>
      </c>
      <c r="AE2803" s="2243">
        <v>7.0</v>
      </c>
      <c r="AF2803" s="2270">
        <f>485*0.44</f>
        <v>213.4</v>
      </c>
      <c r="AG2803" s="2243">
        <v>0.217</v>
      </c>
      <c r="AH2803" s="434" t="s">
        <v>354</v>
      </c>
      <c r="AI2803" s="434" t="s">
        <v>605</v>
      </c>
      <c r="AJ2803" s="2243">
        <v>0.0244</v>
      </c>
      <c r="AK2803" s="434" t="s">
        <v>165</v>
      </c>
      <c r="AL2803" s="434" t="s">
        <v>179</v>
      </c>
      <c r="AM2803" s="434" t="s">
        <v>130</v>
      </c>
      <c r="AN2803" s="434" t="s">
        <v>131</v>
      </c>
      <c r="AO2803" s="825">
        <v>285.0</v>
      </c>
      <c r="AP2803" s="2243">
        <v>0.106</v>
      </c>
      <c r="AQ2803" s="434" t="s">
        <v>354</v>
      </c>
      <c r="AR2803" s="829" t="s">
        <v>621</v>
      </c>
      <c r="AS2803" s="825">
        <v>0.05</v>
      </c>
      <c r="AT2803" s="434" t="s">
        <v>328</v>
      </c>
      <c r="AU2803" s="434" t="s">
        <v>179</v>
      </c>
      <c r="AV2803" s="434" t="s">
        <v>130</v>
      </c>
      <c r="AW2803" s="434" t="s">
        <v>131</v>
      </c>
      <c r="AX2803" s="434" t="s">
        <v>136</v>
      </c>
      <c r="AZ2803" s="196" t="s">
        <v>15958</v>
      </c>
    </row>
    <row r="2804">
      <c r="A2804" s="41">
        <v>3085.0</v>
      </c>
      <c r="B2804" s="126" t="s">
        <v>516</v>
      </c>
      <c r="C2804" s="59" t="s">
        <v>108</v>
      </c>
      <c r="D2804" s="59" t="s">
        <v>146</v>
      </c>
      <c r="F2804" s="829" t="s">
        <v>16361</v>
      </c>
      <c r="G2804" s="434" t="s">
        <v>16410</v>
      </c>
      <c r="H2804" s="829" t="s">
        <v>15858</v>
      </c>
      <c r="I2804" s="2242">
        <v>45821.0</v>
      </c>
      <c r="J2804" s="859"/>
      <c r="K2804" s="434" t="s">
        <v>16382</v>
      </c>
      <c r="L2804" s="65"/>
      <c r="M2804" s="434" t="s">
        <v>16364</v>
      </c>
      <c r="N2804" s="434" t="s">
        <v>16365</v>
      </c>
      <c r="O2804" s="65"/>
      <c r="P2804" s="1439" t="s">
        <v>16366</v>
      </c>
      <c r="Q2804" s="2268" t="str">
        <f> hyperlink(vlookup(lower(N2804),'File Links'!E:F, 2, FALSE), "LINK")</f>
        <v>LINK</v>
      </c>
      <c r="R2804" s="434" t="s">
        <v>16376</v>
      </c>
      <c r="S2804" s="434" t="s">
        <v>16368</v>
      </c>
      <c r="T2804" s="65"/>
      <c r="U2804" s="65"/>
      <c r="V2804" s="1439" t="s">
        <v>16369</v>
      </c>
      <c r="W2804" s="1225"/>
      <c r="X2804" s="51" t="str">
        <f t="array" ref="X2804"> if(iserror(MATCH(V2804, 'File Links'!C:C, 0)), "N/A", HYPERLINK(INDEX('File Links'!B:B, MATCH(V2804, 'File Links'!C:C, 0))))</f>
        <v>https://drive.google.com/file/d/16V6fX6zed8MKZ53zcmG18UMG8cS5fmS4/view?usp=drivesdk</v>
      </c>
      <c r="Y2804" s="65"/>
      <c r="Z2804" s="434" t="s">
        <v>1672</v>
      </c>
      <c r="AA2804" s="829" t="s">
        <v>16377</v>
      </c>
      <c r="AB2804" s="434" t="s">
        <v>16378</v>
      </c>
      <c r="AC2804" s="829" t="s">
        <v>16411</v>
      </c>
      <c r="AD2804" s="434" t="s">
        <v>16384</v>
      </c>
      <c r="AE2804" s="2243">
        <v>7.0</v>
      </c>
      <c r="AF2804" s="2270">
        <f>485*0.14</f>
        <v>67.9</v>
      </c>
      <c r="AG2804" s="2243">
        <v>0.329</v>
      </c>
      <c r="AH2804" s="434" t="s">
        <v>354</v>
      </c>
      <c r="AI2804" s="434" t="s">
        <v>429</v>
      </c>
      <c r="AJ2804" s="2243">
        <v>0.0727</v>
      </c>
      <c r="AK2804" s="434" t="s">
        <v>165</v>
      </c>
      <c r="AL2804" s="434" t="s">
        <v>179</v>
      </c>
      <c r="AM2804" s="434" t="s">
        <v>130</v>
      </c>
      <c r="AN2804" s="434" t="s">
        <v>131</v>
      </c>
      <c r="AO2804" s="825">
        <v>285.0</v>
      </c>
      <c r="AP2804" s="2243">
        <v>0.174</v>
      </c>
      <c r="AQ2804" s="434" t="s">
        <v>354</v>
      </c>
      <c r="AR2804" s="829" t="s">
        <v>621</v>
      </c>
      <c r="AS2804" s="2243">
        <v>0.01</v>
      </c>
      <c r="AT2804" s="434" t="s">
        <v>128</v>
      </c>
      <c r="AU2804" s="434" t="s">
        <v>179</v>
      </c>
      <c r="AV2804" s="434" t="s">
        <v>130</v>
      </c>
      <c r="AW2804" s="434" t="s">
        <v>131</v>
      </c>
      <c r="AX2804" s="434" t="s">
        <v>136</v>
      </c>
      <c r="AZ2804" s="196" t="s">
        <v>15958</v>
      </c>
    </row>
    <row r="2805">
      <c r="A2805" s="41">
        <v>3034.0</v>
      </c>
      <c r="B2805" s="126" t="s">
        <v>516</v>
      </c>
      <c r="C2805" s="59" t="s">
        <v>108</v>
      </c>
      <c r="D2805" s="59" t="s">
        <v>146</v>
      </c>
      <c r="F2805" s="829" t="s">
        <v>16361</v>
      </c>
      <c r="G2805" s="434" t="s">
        <v>16412</v>
      </c>
      <c r="H2805" s="829" t="s">
        <v>15858</v>
      </c>
      <c r="I2805" s="2242">
        <v>45821.0</v>
      </c>
      <c r="J2805" s="859"/>
      <c r="K2805" s="434" t="s">
        <v>16375</v>
      </c>
      <c r="L2805" s="65"/>
      <c r="M2805" s="434" t="s">
        <v>16364</v>
      </c>
      <c r="N2805" s="434" t="s">
        <v>16365</v>
      </c>
      <c r="O2805" s="65"/>
      <c r="P2805" s="1439" t="s">
        <v>16366</v>
      </c>
      <c r="Q2805" s="2268" t="str">
        <f> hyperlink(vlookup(lower(N2805),'File Links'!E:F, 2, FALSE), "LINK")</f>
        <v>LINK</v>
      </c>
      <c r="R2805" s="434" t="s">
        <v>16376</v>
      </c>
      <c r="S2805" s="434" t="s">
        <v>16368</v>
      </c>
      <c r="T2805" s="65"/>
      <c r="U2805" s="65"/>
      <c r="V2805" s="1439" t="s">
        <v>16369</v>
      </c>
      <c r="W2805" s="1225"/>
      <c r="X2805" s="51" t="str">
        <f t="array" ref="X2805"> if(iserror(MATCH(V2805, 'File Links'!C:C, 0)), "N/A", HYPERLINK(INDEX('File Links'!B:B, MATCH(V2805, 'File Links'!C:C, 0))))</f>
        <v>https://drive.google.com/file/d/16V6fX6zed8MKZ53zcmG18UMG8cS5fmS4/view?usp=drivesdk</v>
      </c>
      <c r="Y2805" s="65"/>
      <c r="Z2805" s="434" t="s">
        <v>1672</v>
      </c>
      <c r="AA2805" s="829" t="s">
        <v>16377</v>
      </c>
      <c r="AB2805" s="434" t="s">
        <v>16378</v>
      </c>
      <c r="AC2805" s="829" t="s">
        <v>16413</v>
      </c>
      <c r="AD2805" s="829" t="s">
        <v>16380</v>
      </c>
      <c r="AE2805" s="2243">
        <v>6.0</v>
      </c>
      <c r="AF2805" s="825">
        <v>485.0</v>
      </c>
      <c r="AG2805" s="2243">
        <v>0.21</v>
      </c>
      <c r="AH2805" s="434" t="s">
        <v>354</v>
      </c>
      <c r="AI2805" s="434" t="s">
        <v>133</v>
      </c>
      <c r="AJ2805" s="825">
        <v>0.0015</v>
      </c>
      <c r="AK2805" s="434" t="s">
        <v>165</v>
      </c>
      <c r="AL2805" s="434" t="s">
        <v>179</v>
      </c>
      <c r="AM2805" s="434" t="s">
        <v>130</v>
      </c>
      <c r="AN2805" s="65"/>
      <c r="AO2805" s="825">
        <v>285.0</v>
      </c>
      <c r="AP2805" s="2243">
        <v>0.283</v>
      </c>
      <c r="AQ2805" s="434" t="s">
        <v>354</v>
      </c>
      <c r="AR2805" s="829" t="s">
        <v>621</v>
      </c>
      <c r="AS2805" s="2243">
        <v>0.001</v>
      </c>
      <c r="AT2805" s="434" t="s">
        <v>128</v>
      </c>
      <c r="AU2805" s="434" t="s">
        <v>179</v>
      </c>
      <c r="AV2805" s="434" t="s">
        <v>130</v>
      </c>
      <c r="AW2805" s="434" t="s">
        <v>131</v>
      </c>
      <c r="AX2805" s="434" t="s">
        <v>136</v>
      </c>
      <c r="AZ2805" s="196" t="s">
        <v>15958</v>
      </c>
    </row>
    <row r="2806">
      <c r="A2806" s="41">
        <v>3060.0</v>
      </c>
      <c r="B2806" s="126" t="s">
        <v>516</v>
      </c>
      <c r="C2806" s="59" t="s">
        <v>108</v>
      </c>
      <c r="D2806" s="59" t="s">
        <v>146</v>
      </c>
      <c r="F2806" s="829" t="s">
        <v>16361</v>
      </c>
      <c r="G2806" s="434" t="s">
        <v>16414</v>
      </c>
      <c r="H2806" s="829" t="s">
        <v>15858</v>
      </c>
      <c r="I2806" s="2242">
        <v>45821.0</v>
      </c>
      <c r="J2806" s="859"/>
      <c r="K2806" s="434" t="s">
        <v>16382</v>
      </c>
      <c r="L2806" s="65"/>
      <c r="M2806" s="434" t="s">
        <v>16364</v>
      </c>
      <c r="N2806" s="434" t="s">
        <v>16365</v>
      </c>
      <c r="O2806" s="65"/>
      <c r="P2806" s="1439" t="s">
        <v>16366</v>
      </c>
      <c r="Q2806" s="2268" t="str">
        <f> hyperlink(vlookup(lower(N2806),'File Links'!E:F, 2, FALSE), "LINK")</f>
        <v>LINK</v>
      </c>
      <c r="R2806" s="434" t="s">
        <v>16376</v>
      </c>
      <c r="S2806" s="434" t="s">
        <v>16368</v>
      </c>
      <c r="T2806" s="65"/>
      <c r="U2806" s="65"/>
      <c r="V2806" s="1439" t="s">
        <v>16369</v>
      </c>
      <c r="W2806" s="1225"/>
      <c r="X2806" s="51" t="str">
        <f t="array" ref="X2806"> if(iserror(MATCH(V2806, 'File Links'!C:C, 0)), "N/A", HYPERLINK(INDEX('File Links'!B:B, MATCH(V2806, 'File Links'!C:C, 0))))</f>
        <v>https://drive.google.com/file/d/16V6fX6zed8MKZ53zcmG18UMG8cS5fmS4/view?usp=drivesdk</v>
      </c>
      <c r="Y2806" s="65"/>
      <c r="Z2806" s="434" t="s">
        <v>1672</v>
      </c>
      <c r="AA2806" s="829" t="s">
        <v>16377</v>
      </c>
      <c r="AB2806" s="434" t="s">
        <v>16378</v>
      </c>
      <c r="AC2806" s="829" t="s">
        <v>16415</v>
      </c>
      <c r="AD2806" s="434" t="s">
        <v>16384</v>
      </c>
      <c r="AE2806" s="2243">
        <v>7.0</v>
      </c>
      <c r="AF2806" s="2270">
        <f>485*0.44</f>
        <v>213.4</v>
      </c>
      <c r="AG2806" s="2243">
        <v>0.225</v>
      </c>
      <c r="AH2806" s="434" t="s">
        <v>354</v>
      </c>
      <c r="AI2806" s="434" t="s">
        <v>605</v>
      </c>
      <c r="AJ2806" s="2243">
        <v>0.0368</v>
      </c>
      <c r="AK2806" s="434" t="s">
        <v>165</v>
      </c>
      <c r="AL2806" s="434" t="s">
        <v>179</v>
      </c>
      <c r="AM2806" s="434" t="s">
        <v>130</v>
      </c>
      <c r="AN2806" s="434" t="s">
        <v>131</v>
      </c>
      <c r="AO2806" s="825">
        <v>285.0</v>
      </c>
      <c r="AP2806" s="2243">
        <v>0.106</v>
      </c>
      <c r="AQ2806" s="434" t="s">
        <v>354</v>
      </c>
      <c r="AR2806" s="829" t="s">
        <v>621</v>
      </c>
      <c r="AS2806" s="825">
        <v>0.05</v>
      </c>
      <c r="AT2806" s="434" t="s">
        <v>328</v>
      </c>
      <c r="AU2806" s="434" t="s">
        <v>179</v>
      </c>
      <c r="AV2806" s="434" t="s">
        <v>130</v>
      </c>
      <c r="AW2806" s="434" t="s">
        <v>131</v>
      </c>
      <c r="AX2806" s="434" t="s">
        <v>136</v>
      </c>
      <c r="AZ2806" s="196" t="s">
        <v>15958</v>
      </c>
    </row>
    <row r="2807">
      <c r="A2807" s="41">
        <v>3086.0</v>
      </c>
      <c r="B2807" s="126" t="s">
        <v>516</v>
      </c>
      <c r="C2807" s="59" t="s">
        <v>108</v>
      </c>
      <c r="D2807" s="59" t="s">
        <v>146</v>
      </c>
      <c r="F2807" s="829" t="s">
        <v>16361</v>
      </c>
      <c r="G2807" s="434" t="s">
        <v>16416</v>
      </c>
      <c r="H2807" s="829" t="s">
        <v>15858</v>
      </c>
      <c r="I2807" s="2242">
        <v>45821.0</v>
      </c>
      <c r="J2807" s="859"/>
      <c r="K2807" s="434" t="s">
        <v>16382</v>
      </c>
      <c r="L2807" s="65"/>
      <c r="M2807" s="434" t="s">
        <v>16364</v>
      </c>
      <c r="N2807" s="434" t="s">
        <v>16365</v>
      </c>
      <c r="O2807" s="65"/>
      <c r="P2807" s="1439" t="s">
        <v>16366</v>
      </c>
      <c r="Q2807" s="2268" t="str">
        <f> hyperlink(vlookup(lower(N2807),'File Links'!E:F, 2, FALSE), "LINK")</f>
        <v>LINK</v>
      </c>
      <c r="R2807" s="434" t="s">
        <v>16376</v>
      </c>
      <c r="S2807" s="434" t="s">
        <v>16368</v>
      </c>
      <c r="T2807" s="65"/>
      <c r="U2807" s="65"/>
      <c r="V2807" s="1439" t="s">
        <v>16369</v>
      </c>
      <c r="W2807" s="1225"/>
      <c r="X2807" s="51" t="str">
        <f t="array" ref="X2807"> if(iserror(MATCH(V2807, 'File Links'!C:C, 0)), "N/A", HYPERLINK(INDEX('File Links'!B:B, MATCH(V2807, 'File Links'!C:C, 0))))</f>
        <v>https://drive.google.com/file/d/16V6fX6zed8MKZ53zcmG18UMG8cS5fmS4/view?usp=drivesdk</v>
      </c>
      <c r="Y2807" s="65"/>
      <c r="Z2807" s="434" t="s">
        <v>1672</v>
      </c>
      <c r="AA2807" s="829" t="s">
        <v>16377</v>
      </c>
      <c r="AB2807" s="434" t="s">
        <v>16378</v>
      </c>
      <c r="AC2807" s="829" t="s">
        <v>16417</v>
      </c>
      <c r="AD2807" s="434" t="s">
        <v>16384</v>
      </c>
      <c r="AE2807" s="2243">
        <v>7.0</v>
      </c>
      <c r="AF2807" s="2270">
        <f>485*0.14</f>
        <v>67.9</v>
      </c>
      <c r="AG2807" s="2243">
        <v>0.318</v>
      </c>
      <c r="AH2807" s="434" t="s">
        <v>354</v>
      </c>
      <c r="AI2807" s="434" t="s">
        <v>429</v>
      </c>
      <c r="AJ2807" s="2243">
        <v>0.0029</v>
      </c>
      <c r="AK2807" s="434" t="s">
        <v>165</v>
      </c>
      <c r="AL2807" s="434" t="s">
        <v>179</v>
      </c>
      <c r="AM2807" s="434" t="s">
        <v>130</v>
      </c>
      <c r="AN2807" s="434" t="s">
        <v>131</v>
      </c>
      <c r="AO2807" s="825">
        <v>285.0</v>
      </c>
      <c r="AP2807" s="825">
        <v>0.151</v>
      </c>
      <c r="AQ2807" s="434" t="s">
        <v>354</v>
      </c>
      <c r="AR2807" s="829" t="s">
        <v>621</v>
      </c>
      <c r="AS2807" s="2243">
        <v>0.05</v>
      </c>
      <c r="AT2807" s="434" t="s">
        <v>128</v>
      </c>
      <c r="AU2807" s="434" t="s">
        <v>179</v>
      </c>
      <c r="AV2807" s="434" t="s">
        <v>130</v>
      </c>
      <c r="AW2807" s="434" t="s">
        <v>131</v>
      </c>
      <c r="AX2807" s="434" t="s">
        <v>136</v>
      </c>
      <c r="AZ2807" s="196" t="s">
        <v>15958</v>
      </c>
    </row>
    <row r="2808">
      <c r="A2808" s="41">
        <v>3035.0</v>
      </c>
      <c r="B2808" s="126" t="s">
        <v>516</v>
      </c>
      <c r="C2808" s="59" t="s">
        <v>108</v>
      </c>
      <c r="D2808" s="59" t="s">
        <v>146</v>
      </c>
      <c r="F2808" s="829" t="s">
        <v>16361</v>
      </c>
      <c r="G2808" s="434" t="s">
        <v>16418</v>
      </c>
      <c r="H2808" s="829" t="s">
        <v>15858</v>
      </c>
      <c r="I2808" s="2242">
        <v>45821.0</v>
      </c>
      <c r="J2808" s="859"/>
      <c r="K2808" s="434" t="s">
        <v>16375</v>
      </c>
      <c r="L2808" s="65"/>
      <c r="M2808" s="434" t="s">
        <v>16364</v>
      </c>
      <c r="N2808" s="434" t="s">
        <v>16365</v>
      </c>
      <c r="O2808" s="65"/>
      <c r="P2808" s="1439" t="s">
        <v>16366</v>
      </c>
      <c r="Q2808" s="2268" t="str">
        <f> hyperlink(vlookup(lower(N2808),'File Links'!E:F, 2, FALSE), "LINK")</f>
        <v>LINK</v>
      </c>
      <c r="R2808" s="434" t="s">
        <v>16376</v>
      </c>
      <c r="S2808" s="434" t="s">
        <v>16368</v>
      </c>
      <c r="T2808" s="65"/>
      <c r="U2808" s="65"/>
      <c r="V2808" s="1439" t="s">
        <v>16369</v>
      </c>
      <c r="W2808" s="1225"/>
      <c r="X2808" s="51" t="str">
        <f t="array" ref="X2808"> if(iserror(MATCH(V2808, 'File Links'!C:C, 0)), "N/A", HYPERLINK(INDEX('File Links'!B:B, MATCH(V2808, 'File Links'!C:C, 0))))</f>
        <v>https://drive.google.com/file/d/16V6fX6zed8MKZ53zcmG18UMG8cS5fmS4/view?usp=drivesdk</v>
      </c>
      <c r="Y2808" s="65"/>
      <c r="Z2808" s="434" t="s">
        <v>1672</v>
      </c>
      <c r="AA2808" s="829" t="s">
        <v>16377</v>
      </c>
      <c r="AB2808" s="434" t="s">
        <v>16378</v>
      </c>
      <c r="AC2808" s="829" t="s">
        <v>16419</v>
      </c>
      <c r="AD2808" s="829" t="s">
        <v>16380</v>
      </c>
      <c r="AE2808" s="2243">
        <v>6.0</v>
      </c>
      <c r="AF2808" s="825">
        <v>485.0</v>
      </c>
      <c r="AG2808" s="2243">
        <v>0.126</v>
      </c>
      <c r="AH2808" s="434" t="s">
        <v>354</v>
      </c>
      <c r="AI2808" s="434" t="s">
        <v>133</v>
      </c>
      <c r="AJ2808" s="2243">
        <v>0.0214</v>
      </c>
      <c r="AK2808" s="434" t="s">
        <v>165</v>
      </c>
      <c r="AL2808" s="434" t="s">
        <v>179</v>
      </c>
      <c r="AM2808" s="434" t="s">
        <v>130</v>
      </c>
      <c r="AN2808" s="65"/>
      <c r="AO2808" s="825">
        <v>285.0</v>
      </c>
      <c r="AP2808" s="825">
        <v>0.135</v>
      </c>
      <c r="AQ2808" s="434" t="s">
        <v>354</v>
      </c>
      <c r="AR2808" s="829" t="s">
        <v>621</v>
      </c>
      <c r="AS2808" s="825">
        <v>0.05</v>
      </c>
      <c r="AT2808" s="434" t="s">
        <v>128</v>
      </c>
      <c r="AU2808" s="434" t="s">
        <v>179</v>
      </c>
      <c r="AV2808" s="434" t="s">
        <v>130</v>
      </c>
      <c r="AW2808" s="434" t="s">
        <v>131</v>
      </c>
      <c r="AX2808" s="434" t="s">
        <v>136</v>
      </c>
      <c r="AZ2808" s="196" t="s">
        <v>15958</v>
      </c>
    </row>
    <row r="2809">
      <c r="A2809" s="41">
        <v>3061.0</v>
      </c>
      <c r="B2809" s="126" t="s">
        <v>516</v>
      </c>
      <c r="C2809" s="59" t="s">
        <v>108</v>
      </c>
      <c r="D2809" s="59" t="s">
        <v>146</v>
      </c>
      <c r="F2809" s="829" t="s">
        <v>16361</v>
      </c>
      <c r="G2809" s="434" t="s">
        <v>16420</v>
      </c>
      <c r="H2809" s="829" t="s">
        <v>15858</v>
      </c>
      <c r="I2809" s="2242">
        <v>45821.0</v>
      </c>
      <c r="J2809" s="859"/>
      <c r="K2809" s="434" t="s">
        <v>16382</v>
      </c>
      <c r="L2809" s="65"/>
      <c r="M2809" s="434" t="s">
        <v>16364</v>
      </c>
      <c r="N2809" s="434" t="s">
        <v>16365</v>
      </c>
      <c r="O2809" s="65"/>
      <c r="P2809" s="1439" t="s">
        <v>16366</v>
      </c>
      <c r="Q2809" s="2268" t="str">
        <f> hyperlink(vlookup(lower(N2809),'File Links'!E:F, 2, FALSE), "LINK")</f>
        <v>LINK</v>
      </c>
      <c r="R2809" s="434" t="s">
        <v>16376</v>
      </c>
      <c r="S2809" s="434" t="s">
        <v>16368</v>
      </c>
      <c r="T2809" s="65"/>
      <c r="U2809" s="65"/>
      <c r="V2809" s="1439" t="s">
        <v>16369</v>
      </c>
      <c r="W2809" s="1225"/>
      <c r="X2809" s="51" t="str">
        <f t="array" ref="X2809"> if(iserror(MATCH(V2809, 'File Links'!C:C, 0)), "N/A", HYPERLINK(INDEX('File Links'!B:B, MATCH(V2809, 'File Links'!C:C, 0))))</f>
        <v>https://drive.google.com/file/d/16V6fX6zed8MKZ53zcmG18UMG8cS5fmS4/view?usp=drivesdk</v>
      </c>
      <c r="Y2809" s="65"/>
      <c r="Z2809" s="434" t="s">
        <v>1672</v>
      </c>
      <c r="AA2809" s="829" t="s">
        <v>16377</v>
      </c>
      <c r="AB2809" s="434" t="s">
        <v>16378</v>
      </c>
      <c r="AC2809" s="829" t="s">
        <v>16421</v>
      </c>
      <c r="AD2809" s="434" t="s">
        <v>16384</v>
      </c>
      <c r="AE2809" s="2243">
        <v>7.0</v>
      </c>
      <c r="AF2809" s="2270">
        <f>485*0.44</f>
        <v>213.4</v>
      </c>
      <c r="AG2809" s="2243">
        <v>0.249</v>
      </c>
      <c r="AH2809" s="434" t="s">
        <v>354</v>
      </c>
      <c r="AI2809" s="434" t="s">
        <v>605</v>
      </c>
      <c r="AJ2809" s="2243">
        <v>0.0139</v>
      </c>
      <c r="AK2809" s="434" t="s">
        <v>165</v>
      </c>
      <c r="AL2809" s="434" t="s">
        <v>179</v>
      </c>
      <c r="AM2809" s="434" t="s">
        <v>130</v>
      </c>
      <c r="AN2809" s="434" t="s">
        <v>131</v>
      </c>
      <c r="AO2809" s="825">
        <v>285.0</v>
      </c>
      <c r="AP2809" s="825">
        <v>0.267</v>
      </c>
      <c r="AQ2809" s="434" t="s">
        <v>354</v>
      </c>
      <c r="AR2809" s="829" t="s">
        <v>621</v>
      </c>
      <c r="AS2809" s="825">
        <v>0.001</v>
      </c>
      <c r="AT2809" s="434" t="s">
        <v>128</v>
      </c>
      <c r="AU2809" s="434" t="s">
        <v>179</v>
      </c>
      <c r="AV2809" s="434" t="s">
        <v>130</v>
      </c>
      <c r="AW2809" s="434" t="s">
        <v>131</v>
      </c>
      <c r="AX2809" s="434" t="s">
        <v>136</v>
      </c>
      <c r="AZ2809" s="196" t="s">
        <v>15958</v>
      </c>
    </row>
    <row r="2810">
      <c r="A2810" s="41">
        <v>3087.0</v>
      </c>
      <c r="B2810" s="126" t="s">
        <v>516</v>
      </c>
      <c r="C2810" s="59" t="s">
        <v>108</v>
      </c>
      <c r="D2810" s="59" t="s">
        <v>146</v>
      </c>
      <c r="F2810" s="829" t="s">
        <v>16361</v>
      </c>
      <c r="G2810" s="434" t="s">
        <v>16422</v>
      </c>
      <c r="H2810" s="829" t="s">
        <v>15858</v>
      </c>
      <c r="I2810" s="2242">
        <v>45821.0</v>
      </c>
      <c r="J2810" s="859"/>
      <c r="K2810" s="434" t="s">
        <v>16382</v>
      </c>
      <c r="L2810" s="65"/>
      <c r="M2810" s="434" t="s">
        <v>16364</v>
      </c>
      <c r="N2810" s="434" t="s">
        <v>16365</v>
      </c>
      <c r="O2810" s="65"/>
      <c r="P2810" s="1439" t="s">
        <v>16366</v>
      </c>
      <c r="Q2810" s="2268" t="str">
        <f> hyperlink(vlookup(lower(N2810),'File Links'!E:F, 2, FALSE), "LINK")</f>
        <v>LINK</v>
      </c>
      <c r="R2810" s="434" t="s">
        <v>16376</v>
      </c>
      <c r="S2810" s="434" t="s">
        <v>16368</v>
      </c>
      <c r="T2810" s="65"/>
      <c r="U2810" s="65"/>
      <c r="V2810" s="1439" t="s">
        <v>16369</v>
      </c>
      <c r="W2810" s="1225"/>
      <c r="X2810" s="51" t="str">
        <f t="array" ref="X2810"> if(iserror(MATCH(V2810, 'File Links'!C:C, 0)), "N/A", HYPERLINK(INDEX('File Links'!B:B, MATCH(V2810, 'File Links'!C:C, 0))))</f>
        <v>https://drive.google.com/file/d/16V6fX6zed8MKZ53zcmG18UMG8cS5fmS4/view?usp=drivesdk</v>
      </c>
      <c r="Y2810" s="65"/>
      <c r="Z2810" s="434" t="s">
        <v>1672</v>
      </c>
      <c r="AA2810" s="829" t="s">
        <v>16377</v>
      </c>
      <c r="AB2810" s="434" t="s">
        <v>16378</v>
      </c>
      <c r="AC2810" s="829" t="s">
        <v>16423</v>
      </c>
      <c r="AD2810" s="434" t="s">
        <v>16384</v>
      </c>
      <c r="AE2810" s="2243">
        <v>7.0</v>
      </c>
      <c r="AF2810" s="2270">
        <f>485*0.14</f>
        <v>67.9</v>
      </c>
      <c r="AG2810" s="2243">
        <v>0.384</v>
      </c>
      <c r="AH2810" s="434" t="s">
        <v>354</v>
      </c>
      <c r="AI2810" s="434" t="s">
        <v>429</v>
      </c>
      <c r="AJ2810" s="2243">
        <v>0.001</v>
      </c>
      <c r="AK2810" s="434" t="s">
        <v>165</v>
      </c>
      <c r="AL2810" s="434" t="s">
        <v>179</v>
      </c>
      <c r="AM2810" s="434" t="s">
        <v>130</v>
      </c>
      <c r="AN2810" s="434" t="s">
        <v>131</v>
      </c>
      <c r="AO2810" s="825">
        <v>285.0</v>
      </c>
      <c r="AP2810" s="825">
        <v>0.151</v>
      </c>
      <c r="AQ2810" s="434" t="s">
        <v>354</v>
      </c>
      <c r="AR2810" s="829" t="s">
        <v>621</v>
      </c>
      <c r="AS2810" s="2243">
        <v>0.05</v>
      </c>
      <c r="AT2810" s="434" t="s">
        <v>128</v>
      </c>
      <c r="AU2810" s="434" t="s">
        <v>179</v>
      </c>
      <c r="AV2810" s="434" t="s">
        <v>130</v>
      </c>
      <c r="AW2810" s="434" t="s">
        <v>131</v>
      </c>
      <c r="AX2810" s="434" t="s">
        <v>136</v>
      </c>
      <c r="AZ2810" s="196" t="s">
        <v>15958</v>
      </c>
    </row>
    <row r="2811">
      <c r="A2811" s="41">
        <v>3036.0</v>
      </c>
      <c r="B2811" s="126" t="s">
        <v>516</v>
      </c>
      <c r="C2811" s="59" t="s">
        <v>108</v>
      </c>
      <c r="D2811" s="59" t="s">
        <v>146</v>
      </c>
      <c r="F2811" s="829" t="s">
        <v>16361</v>
      </c>
      <c r="G2811" s="434" t="s">
        <v>16424</v>
      </c>
      <c r="H2811" s="829" t="s">
        <v>15858</v>
      </c>
      <c r="I2811" s="2242">
        <v>45821.0</v>
      </c>
      <c r="J2811" s="859"/>
      <c r="K2811" s="434" t="s">
        <v>16375</v>
      </c>
      <c r="L2811" s="65"/>
      <c r="M2811" s="434" t="s">
        <v>16364</v>
      </c>
      <c r="N2811" s="434" t="s">
        <v>16365</v>
      </c>
      <c r="O2811" s="65"/>
      <c r="P2811" s="1439" t="s">
        <v>16366</v>
      </c>
      <c r="Q2811" s="2268" t="str">
        <f> hyperlink(vlookup(lower(N2811),'File Links'!E:F, 2, FALSE), "LINK")</f>
        <v>LINK</v>
      </c>
      <c r="R2811" s="434" t="s">
        <v>16376</v>
      </c>
      <c r="S2811" s="434" t="s">
        <v>16368</v>
      </c>
      <c r="T2811" s="65"/>
      <c r="U2811" s="65"/>
      <c r="V2811" s="1439" t="s">
        <v>16369</v>
      </c>
      <c r="W2811" s="1225"/>
      <c r="X2811" s="51" t="str">
        <f t="array" ref="X2811"> if(iserror(MATCH(V2811, 'File Links'!C:C, 0)), "N/A", HYPERLINK(INDEX('File Links'!B:B, MATCH(V2811, 'File Links'!C:C, 0))))</f>
        <v>https://drive.google.com/file/d/16V6fX6zed8MKZ53zcmG18UMG8cS5fmS4/view?usp=drivesdk</v>
      </c>
      <c r="Y2811" s="65"/>
      <c r="Z2811" s="434" t="s">
        <v>1672</v>
      </c>
      <c r="AA2811" s="829" t="s">
        <v>16377</v>
      </c>
      <c r="AB2811" s="434" t="s">
        <v>16378</v>
      </c>
      <c r="AC2811" s="829" t="s">
        <v>16425</v>
      </c>
      <c r="AD2811" s="829" t="s">
        <v>16380</v>
      </c>
      <c r="AE2811" s="2243">
        <v>6.0</v>
      </c>
      <c r="AF2811" s="825">
        <v>485.0</v>
      </c>
      <c r="AG2811" s="2243">
        <v>0.201</v>
      </c>
      <c r="AH2811" s="434" t="s">
        <v>354</v>
      </c>
      <c r="AI2811" s="434" t="s">
        <v>133</v>
      </c>
      <c r="AJ2811" s="65"/>
      <c r="AK2811" s="65"/>
      <c r="AL2811" s="434" t="s">
        <v>179</v>
      </c>
      <c r="AM2811" s="434" t="s">
        <v>130</v>
      </c>
      <c r="AN2811" s="65"/>
      <c r="AO2811" s="825">
        <v>285.0</v>
      </c>
      <c r="AP2811" s="825">
        <v>0.236</v>
      </c>
      <c r="AQ2811" s="434" t="s">
        <v>354</v>
      </c>
      <c r="AR2811" s="829" t="s">
        <v>621</v>
      </c>
      <c r="AS2811" s="825">
        <v>0.001</v>
      </c>
      <c r="AT2811" s="434" t="s">
        <v>128</v>
      </c>
      <c r="AU2811" s="434" t="s">
        <v>179</v>
      </c>
      <c r="AV2811" s="434" t="s">
        <v>130</v>
      </c>
      <c r="AW2811" s="434" t="s">
        <v>131</v>
      </c>
      <c r="AX2811" s="434" t="s">
        <v>136</v>
      </c>
      <c r="AZ2811" s="196" t="s">
        <v>15958</v>
      </c>
    </row>
    <row r="2812">
      <c r="A2812" s="41">
        <v>3062.0</v>
      </c>
      <c r="B2812" s="126" t="s">
        <v>516</v>
      </c>
      <c r="C2812" s="59" t="s">
        <v>108</v>
      </c>
      <c r="D2812" s="59" t="s">
        <v>146</v>
      </c>
      <c r="F2812" s="829" t="s">
        <v>16361</v>
      </c>
      <c r="G2812" s="434" t="s">
        <v>16426</v>
      </c>
      <c r="H2812" s="829" t="s">
        <v>15858</v>
      </c>
      <c r="I2812" s="2242">
        <v>45821.0</v>
      </c>
      <c r="J2812" s="859"/>
      <c r="K2812" s="434" t="s">
        <v>16382</v>
      </c>
      <c r="L2812" s="65"/>
      <c r="M2812" s="434" t="s">
        <v>16364</v>
      </c>
      <c r="N2812" s="434" t="s">
        <v>16365</v>
      </c>
      <c r="O2812" s="65"/>
      <c r="P2812" s="1439" t="s">
        <v>16366</v>
      </c>
      <c r="Q2812" s="2268" t="str">
        <f> hyperlink(vlookup(lower(N2812),'File Links'!E:F, 2, FALSE), "LINK")</f>
        <v>LINK</v>
      </c>
      <c r="R2812" s="434" t="s">
        <v>16376</v>
      </c>
      <c r="S2812" s="434" t="s">
        <v>16368</v>
      </c>
      <c r="T2812" s="65"/>
      <c r="U2812" s="65"/>
      <c r="V2812" s="1439" t="s">
        <v>16369</v>
      </c>
      <c r="W2812" s="1225"/>
      <c r="X2812" s="51" t="str">
        <f t="array" ref="X2812"> if(iserror(MATCH(V2812, 'File Links'!C:C, 0)), "N/A", HYPERLINK(INDEX('File Links'!B:B, MATCH(V2812, 'File Links'!C:C, 0))))</f>
        <v>https://drive.google.com/file/d/16V6fX6zed8MKZ53zcmG18UMG8cS5fmS4/view?usp=drivesdk</v>
      </c>
      <c r="Y2812" s="65"/>
      <c r="Z2812" s="434" t="s">
        <v>1672</v>
      </c>
      <c r="AA2812" s="829" t="s">
        <v>16377</v>
      </c>
      <c r="AB2812" s="434" t="s">
        <v>16378</v>
      </c>
      <c r="AC2812" s="829" t="s">
        <v>16427</v>
      </c>
      <c r="AD2812" s="434" t="s">
        <v>16384</v>
      </c>
      <c r="AE2812" s="2243">
        <v>7.0</v>
      </c>
      <c r="AF2812" s="2270">
        <f>485*0.44</f>
        <v>213.4</v>
      </c>
      <c r="AG2812" s="2243">
        <v>0.271</v>
      </c>
      <c r="AH2812" s="434" t="s">
        <v>16387</v>
      </c>
      <c r="AI2812" s="434" t="s">
        <v>605</v>
      </c>
      <c r="AJ2812" s="65"/>
      <c r="AK2812" s="65"/>
      <c r="AL2812" s="434" t="s">
        <v>179</v>
      </c>
      <c r="AM2812" s="434" t="s">
        <v>130</v>
      </c>
      <c r="AN2812" s="434" t="s">
        <v>131</v>
      </c>
      <c r="AO2812" s="825">
        <v>285.0</v>
      </c>
      <c r="AP2812" s="2243">
        <v>0.02</v>
      </c>
      <c r="AQ2812" s="434" t="s">
        <v>16387</v>
      </c>
      <c r="AR2812" s="829" t="s">
        <v>621</v>
      </c>
      <c r="AS2812" s="434" t="s">
        <v>131</v>
      </c>
      <c r="AT2812" s="65"/>
      <c r="AU2812" s="434" t="s">
        <v>179</v>
      </c>
      <c r="AV2812" s="434" t="s">
        <v>130</v>
      </c>
      <c r="AW2812" s="434" t="s">
        <v>131</v>
      </c>
      <c r="AX2812" s="434" t="s">
        <v>136</v>
      </c>
      <c r="AZ2812" s="196" t="s">
        <v>15958</v>
      </c>
    </row>
    <row r="2813">
      <c r="A2813" s="41">
        <v>3088.0</v>
      </c>
      <c r="B2813" s="126" t="s">
        <v>516</v>
      </c>
      <c r="C2813" s="59" t="s">
        <v>108</v>
      </c>
      <c r="D2813" s="59" t="s">
        <v>146</v>
      </c>
      <c r="F2813" s="829" t="s">
        <v>16361</v>
      </c>
      <c r="G2813" s="434" t="s">
        <v>16428</v>
      </c>
      <c r="H2813" s="829" t="s">
        <v>15858</v>
      </c>
      <c r="I2813" s="2242">
        <v>45821.0</v>
      </c>
      <c r="J2813" s="859"/>
      <c r="K2813" s="434" t="s">
        <v>16382</v>
      </c>
      <c r="L2813" s="65"/>
      <c r="M2813" s="434" t="s">
        <v>16364</v>
      </c>
      <c r="N2813" s="434" t="s">
        <v>16365</v>
      </c>
      <c r="O2813" s="65"/>
      <c r="P2813" s="1439" t="s">
        <v>16366</v>
      </c>
      <c r="Q2813" s="2268" t="str">
        <f> hyperlink(vlookup(lower(N2813),'File Links'!E:F, 2, FALSE), "LINK")</f>
        <v>LINK</v>
      </c>
      <c r="R2813" s="434" t="s">
        <v>16376</v>
      </c>
      <c r="S2813" s="434" t="s">
        <v>16368</v>
      </c>
      <c r="T2813" s="65"/>
      <c r="U2813" s="65"/>
      <c r="V2813" s="1439" t="s">
        <v>16369</v>
      </c>
      <c r="W2813" s="1225"/>
      <c r="X2813" s="51" t="str">
        <f t="array" ref="X2813"> if(iserror(MATCH(V2813, 'File Links'!C:C, 0)), "N/A", HYPERLINK(INDEX('File Links'!B:B, MATCH(V2813, 'File Links'!C:C, 0))))</f>
        <v>https://drive.google.com/file/d/16V6fX6zed8MKZ53zcmG18UMG8cS5fmS4/view?usp=drivesdk</v>
      </c>
      <c r="Y2813" s="65"/>
      <c r="Z2813" s="434" t="s">
        <v>1672</v>
      </c>
      <c r="AA2813" s="829" t="s">
        <v>16377</v>
      </c>
      <c r="AB2813" s="434" t="s">
        <v>16378</v>
      </c>
      <c r="AC2813" s="829" t="s">
        <v>16429</v>
      </c>
      <c r="AD2813" s="434" t="s">
        <v>16384</v>
      </c>
      <c r="AE2813" s="2243">
        <v>7.0</v>
      </c>
      <c r="AF2813" s="2270">
        <f>485*0.14</f>
        <v>67.9</v>
      </c>
      <c r="AG2813" s="2243">
        <v>-0.195</v>
      </c>
      <c r="AH2813" s="434" t="s">
        <v>354</v>
      </c>
      <c r="AI2813" s="434" t="s">
        <v>429</v>
      </c>
      <c r="AJ2813" s="2243">
        <v>0.0902</v>
      </c>
      <c r="AK2813" s="434" t="s">
        <v>165</v>
      </c>
      <c r="AL2813" s="434" t="s">
        <v>179</v>
      </c>
      <c r="AM2813" s="434" t="s">
        <v>130</v>
      </c>
      <c r="AN2813" s="434" t="s">
        <v>131</v>
      </c>
      <c r="AO2813" s="825">
        <v>285.0</v>
      </c>
      <c r="AP2813" s="2243">
        <v>0.106</v>
      </c>
      <c r="AQ2813" s="434" t="s">
        <v>354</v>
      </c>
      <c r="AR2813" s="829" t="s">
        <v>621</v>
      </c>
      <c r="AS2813" s="825">
        <v>0.05</v>
      </c>
      <c r="AT2813" s="434" t="s">
        <v>328</v>
      </c>
      <c r="AU2813" s="434" t="s">
        <v>179</v>
      </c>
      <c r="AV2813" s="434" t="s">
        <v>130</v>
      </c>
      <c r="AW2813" s="434" t="s">
        <v>131</v>
      </c>
      <c r="AX2813" s="434" t="s">
        <v>136</v>
      </c>
      <c r="AZ2813" s="196" t="s">
        <v>15958</v>
      </c>
    </row>
    <row r="2814">
      <c r="A2814" s="41">
        <v>3037.0</v>
      </c>
      <c r="B2814" s="126" t="s">
        <v>516</v>
      </c>
      <c r="C2814" s="59" t="s">
        <v>108</v>
      </c>
      <c r="D2814" s="59" t="s">
        <v>146</v>
      </c>
      <c r="F2814" s="829" t="s">
        <v>16361</v>
      </c>
      <c r="G2814" s="434" t="s">
        <v>16430</v>
      </c>
      <c r="H2814" s="829" t="s">
        <v>15858</v>
      </c>
      <c r="I2814" s="2242">
        <v>45821.0</v>
      </c>
      <c r="J2814" s="859"/>
      <c r="K2814" s="434" t="s">
        <v>16375</v>
      </c>
      <c r="L2814" s="65"/>
      <c r="M2814" s="434" t="s">
        <v>16364</v>
      </c>
      <c r="N2814" s="434" t="s">
        <v>16365</v>
      </c>
      <c r="O2814" s="65"/>
      <c r="P2814" s="1439" t="s">
        <v>16366</v>
      </c>
      <c r="Q2814" s="2268" t="str">
        <f> hyperlink(vlookup(lower(N2814),'File Links'!E:F, 2, FALSE), "LINK")</f>
        <v>LINK</v>
      </c>
      <c r="R2814" s="434" t="s">
        <v>16376</v>
      </c>
      <c r="S2814" s="434" t="s">
        <v>16368</v>
      </c>
      <c r="T2814" s="65"/>
      <c r="U2814" s="65"/>
      <c r="V2814" s="1439" t="s">
        <v>16369</v>
      </c>
      <c r="W2814" s="1225"/>
      <c r="X2814" s="51" t="str">
        <f t="array" ref="X2814"> if(iserror(MATCH(V2814, 'File Links'!C:C, 0)), "N/A", HYPERLINK(INDEX('File Links'!B:B, MATCH(V2814, 'File Links'!C:C, 0))))</f>
        <v>https://drive.google.com/file/d/16V6fX6zed8MKZ53zcmG18UMG8cS5fmS4/view?usp=drivesdk</v>
      </c>
      <c r="Y2814" s="65"/>
      <c r="Z2814" s="434" t="s">
        <v>1672</v>
      </c>
      <c r="AA2814" s="829" t="s">
        <v>16377</v>
      </c>
      <c r="AB2814" s="434" t="s">
        <v>16378</v>
      </c>
      <c r="AC2814" s="829" t="s">
        <v>16431</v>
      </c>
      <c r="AD2814" s="829" t="s">
        <v>16380</v>
      </c>
      <c r="AE2814" s="2243">
        <v>6.0</v>
      </c>
      <c r="AF2814" s="825">
        <v>485.0</v>
      </c>
      <c r="AG2814" s="825">
        <v>0.115</v>
      </c>
      <c r="AH2814" s="434" t="s">
        <v>354</v>
      </c>
      <c r="AI2814" s="434" t="s">
        <v>133</v>
      </c>
      <c r="AJ2814" s="2243">
        <v>0.0263</v>
      </c>
      <c r="AK2814" s="434" t="s">
        <v>165</v>
      </c>
      <c r="AL2814" s="434" t="s">
        <v>179</v>
      </c>
      <c r="AM2814" s="434" t="s">
        <v>130</v>
      </c>
      <c r="AN2814" s="65"/>
      <c r="AO2814" s="825">
        <v>285.0</v>
      </c>
      <c r="AP2814" s="2243">
        <v>0.106</v>
      </c>
      <c r="AQ2814" s="434" t="s">
        <v>354</v>
      </c>
      <c r="AR2814" s="829" t="s">
        <v>621</v>
      </c>
      <c r="AS2814" s="825">
        <v>0.05</v>
      </c>
      <c r="AT2814" s="434" t="s">
        <v>328</v>
      </c>
      <c r="AU2814" s="434" t="s">
        <v>179</v>
      </c>
      <c r="AV2814" s="434" t="s">
        <v>130</v>
      </c>
      <c r="AW2814" s="434" t="s">
        <v>131</v>
      </c>
      <c r="AX2814" s="434" t="s">
        <v>136</v>
      </c>
      <c r="AZ2814" s="196" t="s">
        <v>15958</v>
      </c>
    </row>
    <row r="2815">
      <c r="A2815" s="41">
        <v>3063.0</v>
      </c>
      <c r="B2815" s="126" t="s">
        <v>516</v>
      </c>
      <c r="C2815" s="59" t="s">
        <v>108</v>
      </c>
      <c r="D2815" s="59" t="s">
        <v>146</v>
      </c>
      <c r="F2815" s="829" t="s">
        <v>16361</v>
      </c>
      <c r="G2815" s="434" t="s">
        <v>16432</v>
      </c>
      <c r="H2815" s="829" t="s">
        <v>15858</v>
      </c>
      <c r="I2815" s="2242">
        <v>45821.0</v>
      </c>
      <c r="J2815" s="859"/>
      <c r="K2815" s="434" t="s">
        <v>16382</v>
      </c>
      <c r="L2815" s="65"/>
      <c r="M2815" s="434" t="s">
        <v>16364</v>
      </c>
      <c r="N2815" s="434" t="s">
        <v>16365</v>
      </c>
      <c r="O2815" s="65"/>
      <c r="P2815" s="1439" t="s">
        <v>16366</v>
      </c>
      <c r="Q2815" s="2268" t="str">
        <f> hyperlink(vlookup(lower(N2815),'File Links'!E:F, 2, FALSE), "LINK")</f>
        <v>LINK</v>
      </c>
      <c r="R2815" s="434" t="s">
        <v>16376</v>
      </c>
      <c r="S2815" s="434" t="s">
        <v>16368</v>
      </c>
      <c r="T2815" s="65"/>
      <c r="U2815" s="65"/>
      <c r="V2815" s="1439" t="s">
        <v>16369</v>
      </c>
      <c r="W2815" s="1225"/>
      <c r="X2815" s="51" t="str">
        <f t="array" ref="X2815"> if(iserror(MATCH(V2815, 'File Links'!C:C, 0)), "N/A", HYPERLINK(INDEX('File Links'!B:B, MATCH(V2815, 'File Links'!C:C, 0))))</f>
        <v>https://drive.google.com/file/d/16V6fX6zed8MKZ53zcmG18UMG8cS5fmS4/view?usp=drivesdk</v>
      </c>
      <c r="Y2815" s="65"/>
      <c r="Z2815" s="434" t="s">
        <v>1672</v>
      </c>
      <c r="AA2815" s="829" t="s">
        <v>16377</v>
      </c>
      <c r="AB2815" s="434" t="s">
        <v>16378</v>
      </c>
      <c r="AC2815" s="829" t="s">
        <v>16433</v>
      </c>
      <c r="AD2815" s="434" t="s">
        <v>16384</v>
      </c>
      <c r="AE2815" s="2243">
        <v>7.0</v>
      </c>
      <c r="AF2815" s="2270">
        <f>485*0.44</f>
        <v>213.4</v>
      </c>
      <c r="AG2815" s="2243">
        <v>0.295</v>
      </c>
      <c r="AH2815" s="434" t="s">
        <v>16387</v>
      </c>
      <c r="AI2815" s="434" t="s">
        <v>605</v>
      </c>
      <c r="AJ2815" s="65"/>
      <c r="AK2815" s="65"/>
      <c r="AL2815" s="434" t="s">
        <v>179</v>
      </c>
      <c r="AM2815" s="434" t="s">
        <v>130</v>
      </c>
      <c r="AN2815" s="434" t="s">
        <v>131</v>
      </c>
      <c r="AO2815" s="825">
        <v>285.0</v>
      </c>
      <c r="AP2815" s="2243">
        <v>0.034</v>
      </c>
      <c r="AQ2815" s="434" t="s">
        <v>16387</v>
      </c>
      <c r="AR2815" s="829" t="s">
        <v>621</v>
      </c>
      <c r="AS2815" s="434" t="s">
        <v>131</v>
      </c>
      <c r="AT2815" s="65"/>
      <c r="AU2815" s="434" t="s">
        <v>179</v>
      </c>
      <c r="AV2815" s="434" t="s">
        <v>130</v>
      </c>
      <c r="AW2815" s="434" t="s">
        <v>131</v>
      </c>
      <c r="AX2815" s="434" t="s">
        <v>136</v>
      </c>
      <c r="AZ2815" s="196" t="s">
        <v>15958</v>
      </c>
    </row>
    <row r="2816">
      <c r="A2816" s="41">
        <v>3089.0</v>
      </c>
      <c r="B2816" s="126" t="s">
        <v>516</v>
      </c>
      <c r="C2816" s="59" t="s">
        <v>108</v>
      </c>
      <c r="D2816" s="59" t="s">
        <v>146</v>
      </c>
      <c r="F2816" s="829" t="s">
        <v>16361</v>
      </c>
      <c r="G2816" s="434" t="s">
        <v>16434</v>
      </c>
      <c r="H2816" s="829" t="s">
        <v>15858</v>
      </c>
      <c r="I2816" s="2242">
        <v>45821.0</v>
      </c>
      <c r="J2816" s="859"/>
      <c r="K2816" s="434" t="s">
        <v>16382</v>
      </c>
      <c r="L2816" s="65"/>
      <c r="M2816" s="434" t="s">
        <v>16364</v>
      </c>
      <c r="N2816" s="434" t="s">
        <v>16365</v>
      </c>
      <c r="O2816" s="65"/>
      <c r="P2816" s="1439" t="s">
        <v>16366</v>
      </c>
      <c r="Q2816" s="2268" t="str">
        <f> hyperlink(vlookup(lower(N2816),'File Links'!E:F, 2, FALSE), "LINK")</f>
        <v>LINK</v>
      </c>
      <c r="R2816" s="434" t="s">
        <v>16376</v>
      </c>
      <c r="S2816" s="434" t="s">
        <v>16368</v>
      </c>
      <c r="T2816" s="65"/>
      <c r="U2816" s="65"/>
      <c r="V2816" s="1439" t="s">
        <v>16369</v>
      </c>
      <c r="W2816" s="1225"/>
      <c r="X2816" s="51" t="str">
        <f t="array" ref="X2816"> if(iserror(MATCH(V2816, 'File Links'!C:C, 0)), "N/A", HYPERLINK(INDEX('File Links'!B:B, MATCH(V2816, 'File Links'!C:C, 0))))</f>
        <v>https://drive.google.com/file/d/16V6fX6zed8MKZ53zcmG18UMG8cS5fmS4/view?usp=drivesdk</v>
      </c>
      <c r="Y2816" s="65"/>
      <c r="Z2816" s="434" t="s">
        <v>1672</v>
      </c>
      <c r="AA2816" s="829" t="s">
        <v>16377</v>
      </c>
      <c r="AB2816" s="434" t="s">
        <v>16378</v>
      </c>
      <c r="AC2816" s="829" t="s">
        <v>16435</v>
      </c>
      <c r="AD2816" s="434" t="s">
        <v>16384</v>
      </c>
      <c r="AE2816" s="2243">
        <v>7.0</v>
      </c>
      <c r="AF2816" s="2270">
        <f>485*0.14</f>
        <v>67.9</v>
      </c>
      <c r="AG2816" s="2243">
        <v>0.351</v>
      </c>
      <c r="AH2816" s="434" t="s">
        <v>354</v>
      </c>
      <c r="AI2816" s="434" t="s">
        <v>429</v>
      </c>
      <c r="AJ2816" s="2243">
        <v>0.0361</v>
      </c>
      <c r="AK2816" s="434" t="s">
        <v>165</v>
      </c>
      <c r="AL2816" s="434" t="s">
        <v>179</v>
      </c>
      <c r="AM2816" s="434" t="s">
        <v>130</v>
      </c>
      <c r="AN2816" s="434" t="s">
        <v>131</v>
      </c>
      <c r="AO2816" s="825">
        <v>285.0</v>
      </c>
      <c r="AP2816" s="825">
        <v>0.267</v>
      </c>
      <c r="AQ2816" s="434" t="s">
        <v>354</v>
      </c>
      <c r="AR2816" s="829" t="s">
        <v>621</v>
      </c>
      <c r="AS2816" s="825">
        <v>0.001</v>
      </c>
      <c r="AT2816" s="434" t="s">
        <v>128</v>
      </c>
      <c r="AU2816" s="434" t="s">
        <v>179</v>
      </c>
      <c r="AV2816" s="434" t="s">
        <v>130</v>
      </c>
      <c r="AW2816" s="434" t="s">
        <v>131</v>
      </c>
      <c r="AX2816" s="434" t="s">
        <v>136</v>
      </c>
      <c r="AZ2816" s="196" t="s">
        <v>15958</v>
      </c>
    </row>
    <row r="2817">
      <c r="A2817" s="41">
        <v>3038.0</v>
      </c>
      <c r="B2817" s="126" t="s">
        <v>516</v>
      </c>
      <c r="C2817" s="59" t="s">
        <v>108</v>
      </c>
      <c r="D2817" s="59" t="s">
        <v>146</v>
      </c>
      <c r="F2817" s="829" t="s">
        <v>16361</v>
      </c>
      <c r="G2817" s="434" t="s">
        <v>16436</v>
      </c>
      <c r="H2817" s="829" t="s">
        <v>15858</v>
      </c>
      <c r="I2817" s="2242">
        <v>45821.0</v>
      </c>
      <c r="J2817" s="859"/>
      <c r="K2817" s="434" t="s">
        <v>16375</v>
      </c>
      <c r="L2817" s="65"/>
      <c r="M2817" s="434" t="s">
        <v>16364</v>
      </c>
      <c r="N2817" s="434" t="s">
        <v>16365</v>
      </c>
      <c r="O2817" s="65"/>
      <c r="P2817" s="1439" t="s">
        <v>16366</v>
      </c>
      <c r="Q2817" s="2268" t="str">
        <f> hyperlink(vlookup(lower(N2817),'File Links'!E:F, 2, FALSE), "LINK")</f>
        <v>LINK</v>
      </c>
      <c r="R2817" s="434" t="s">
        <v>16376</v>
      </c>
      <c r="S2817" s="434" t="s">
        <v>16368</v>
      </c>
      <c r="T2817" s="65"/>
      <c r="U2817" s="65"/>
      <c r="V2817" s="1439" t="s">
        <v>16369</v>
      </c>
      <c r="W2817" s="1225"/>
      <c r="X2817" s="51" t="str">
        <f t="array" ref="X2817"> if(iserror(MATCH(V2817, 'File Links'!C:C, 0)), "N/A", HYPERLINK(INDEX('File Links'!B:B, MATCH(V2817, 'File Links'!C:C, 0))))</f>
        <v>https://drive.google.com/file/d/16V6fX6zed8MKZ53zcmG18UMG8cS5fmS4/view?usp=drivesdk</v>
      </c>
      <c r="Y2817" s="65"/>
      <c r="Z2817" s="434" t="s">
        <v>1672</v>
      </c>
      <c r="AA2817" s="829" t="s">
        <v>16377</v>
      </c>
      <c r="AB2817" s="434" t="s">
        <v>16378</v>
      </c>
      <c r="AC2817" s="829" t="s">
        <v>16437</v>
      </c>
      <c r="AD2817" s="829" t="s">
        <v>16380</v>
      </c>
      <c r="AE2817" s="2243">
        <v>6.0</v>
      </c>
      <c r="AF2817" s="825">
        <v>485.0</v>
      </c>
      <c r="AG2817" s="825">
        <v>0.242</v>
      </c>
      <c r="AH2817" s="434" t="s">
        <v>354</v>
      </c>
      <c r="AI2817" s="434" t="s">
        <v>133</v>
      </c>
      <c r="AJ2817" s="2243">
        <v>1.0E-4</v>
      </c>
      <c r="AK2817" s="434" t="s">
        <v>128</v>
      </c>
      <c r="AL2817" s="434" t="s">
        <v>179</v>
      </c>
      <c r="AM2817" s="434" t="s">
        <v>130</v>
      </c>
      <c r="AN2817" s="65"/>
      <c r="AO2817" s="825">
        <v>285.0</v>
      </c>
      <c r="AP2817" s="2243">
        <v>0.106</v>
      </c>
      <c r="AQ2817" s="434" t="s">
        <v>354</v>
      </c>
      <c r="AR2817" s="829" t="s">
        <v>621</v>
      </c>
      <c r="AS2817" s="825">
        <v>0.05</v>
      </c>
      <c r="AT2817" s="434" t="s">
        <v>328</v>
      </c>
      <c r="AU2817" s="434" t="s">
        <v>179</v>
      </c>
      <c r="AV2817" s="434" t="s">
        <v>130</v>
      </c>
      <c r="AW2817" s="434" t="s">
        <v>131</v>
      </c>
      <c r="AX2817" s="434" t="s">
        <v>136</v>
      </c>
      <c r="AZ2817" s="196" t="s">
        <v>15958</v>
      </c>
    </row>
    <row r="2818">
      <c r="A2818" s="41">
        <v>3064.0</v>
      </c>
      <c r="B2818" s="126" t="s">
        <v>516</v>
      </c>
      <c r="C2818" s="59" t="s">
        <v>108</v>
      </c>
      <c r="D2818" s="59" t="s">
        <v>146</v>
      </c>
      <c r="F2818" s="829" t="s">
        <v>16361</v>
      </c>
      <c r="G2818" s="434" t="s">
        <v>16438</v>
      </c>
      <c r="H2818" s="829" t="s">
        <v>15858</v>
      </c>
      <c r="I2818" s="2242">
        <v>45821.0</v>
      </c>
      <c r="J2818" s="859"/>
      <c r="K2818" s="434" t="s">
        <v>16382</v>
      </c>
      <c r="L2818" s="65"/>
      <c r="M2818" s="434" t="s">
        <v>16364</v>
      </c>
      <c r="N2818" s="434" t="s">
        <v>16365</v>
      </c>
      <c r="O2818" s="65"/>
      <c r="P2818" s="1439" t="s">
        <v>16366</v>
      </c>
      <c r="Q2818" s="2268" t="str">
        <f> hyperlink(vlookup(lower(N2818),'File Links'!E:F, 2, FALSE), "LINK")</f>
        <v>LINK</v>
      </c>
      <c r="R2818" s="434" t="s">
        <v>16376</v>
      </c>
      <c r="S2818" s="434" t="s">
        <v>16368</v>
      </c>
      <c r="T2818" s="65"/>
      <c r="U2818" s="65"/>
      <c r="V2818" s="1439" t="s">
        <v>16369</v>
      </c>
      <c r="W2818" s="1225"/>
      <c r="X2818" s="51" t="str">
        <f t="array" ref="X2818"> if(iserror(MATCH(V2818, 'File Links'!C:C, 0)), "N/A", HYPERLINK(INDEX('File Links'!B:B, MATCH(V2818, 'File Links'!C:C, 0))))</f>
        <v>https://drive.google.com/file/d/16V6fX6zed8MKZ53zcmG18UMG8cS5fmS4/view?usp=drivesdk</v>
      </c>
      <c r="Y2818" s="65"/>
      <c r="Z2818" s="434" t="s">
        <v>1672</v>
      </c>
      <c r="AA2818" s="829" t="s">
        <v>16377</v>
      </c>
      <c r="AB2818" s="434" t="s">
        <v>16378</v>
      </c>
      <c r="AC2818" s="829" t="s">
        <v>16439</v>
      </c>
      <c r="AD2818" s="434" t="s">
        <v>16384</v>
      </c>
      <c r="AE2818" s="2243">
        <v>7.0</v>
      </c>
      <c r="AF2818" s="2270">
        <f>485*0.44</f>
        <v>213.4</v>
      </c>
      <c r="AG2818" s="2243">
        <v>0.248</v>
      </c>
      <c r="AH2818" s="434" t="s">
        <v>16387</v>
      </c>
      <c r="AI2818" s="434" t="s">
        <v>605</v>
      </c>
      <c r="AJ2818" s="65"/>
      <c r="AK2818" s="65"/>
      <c r="AL2818" s="434" t="s">
        <v>179</v>
      </c>
      <c r="AM2818" s="434" t="s">
        <v>130</v>
      </c>
      <c r="AN2818" s="434" t="s">
        <v>131</v>
      </c>
      <c r="AO2818" s="825">
        <v>285.0</v>
      </c>
      <c r="AP2818" s="2243">
        <v>0.048</v>
      </c>
      <c r="AQ2818" s="434" t="s">
        <v>16387</v>
      </c>
      <c r="AR2818" s="829" t="s">
        <v>621</v>
      </c>
      <c r="AS2818" s="434" t="s">
        <v>131</v>
      </c>
      <c r="AT2818" s="65"/>
      <c r="AU2818" s="434" t="s">
        <v>179</v>
      </c>
      <c r="AV2818" s="434" t="s">
        <v>130</v>
      </c>
      <c r="AW2818" s="434" t="s">
        <v>131</v>
      </c>
      <c r="AX2818" s="434" t="s">
        <v>136</v>
      </c>
      <c r="AZ2818" s="196" t="s">
        <v>15958</v>
      </c>
    </row>
    <row r="2819">
      <c r="A2819" s="41">
        <v>3090.0</v>
      </c>
      <c r="B2819" s="126" t="s">
        <v>516</v>
      </c>
      <c r="C2819" s="59" t="s">
        <v>108</v>
      </c>
      <c r="D2819" s="59" t="s">
        <v>146</v>
      </c>
      <c r="F2819" s="829" t="s">
        <v>16361</v>
      </c>
      <c r="G2819" s="434" t="s">
        <v>16440</v>
      </c>
      <c r="H2819" s="829" t="s">
        <v>15858</v>
      </c>
      <c r="I2819" s="2242">
        <v>45821.0</v>
      </c>
      <c r="J2819" s="859"/>
      <c r="K2819" s="434" t="s">
        <v>16382</v>
      </c>
      <c r="L2819" s="65"/>
      <c r="M2819" s="434" t="s">
        <v>16364</v>
      </c>
      <c r="N2819" s="434" t="s">
        <v>16365</v>
      </c>
      <c r="O2819" s="65"/>
      <c r="P2819" s="1439" t="s">
        <v>16366</v>
      </c>
      <c r="Q2819" s="2268" t="str">
        <f> hyperlink(vlookup(lower(N2819),'File Links'!E:F, 2, FALSE), "LINK")</f>
        <v>LINK</v>
      </c>
      <c r="R2819" s="434" t="s">
        <v>16376</v>
      </c>
      <c r="S2819" s="434" t="s">
        <v>16368</v>
      </c>
      <c r="T2819" s="65"/>
      <c r="U2819" s="65"/>
      <c r="V2819" s="1439" t="s">
        <v>16369</v>
      </c>
      <c r="W2819" s="1225"/>
      <c r="X2819" s="51" t="str">
        <f t="array" ref="X2819"> if(iserror(MATCH(V2819, 'File Links'!C:C, 0)), "N/A", HYPERLINK(INDEX('File Links'!B:B, MATCH(V2819, 'File Links'!C:C, 0))))</f>
        <v>https://drive.google.com/file/d/16V6fX6zed8MKZ53zcmG18UMG8cS5fmS4/view?usp=drivesdk</v>
      </c>
      <c r="Y2819" s="65"/>
      <c r="Z2819" s="434" t="s">
        <v>1672</v>
      </c>
      <c r="AA2819" s="829" t="s">
        <v>16377</v>
      </c>
      <c r="AB2819" s="434" t="s">
        <v>16378</v>
      </c>
      <c r="AC2819" s="829" t="s">
        <v>16433</v>
      </c>
      <c r="AD2819" s="434" t="s">
        <v>16384</v>
      </c>
      <c r="AE2819" s="2243">
        <v>7.0</v>
      </c>
      <c r="AF2819" s="2270">
        <f>485*0.14</f>
        <v>67.9</v>
      </c>
      <c r="AG2819" s="2243">
        <v>0.239</v>
      </c>
      <c r="AH2819" s="434" t="s">
        <v>16387</v>
      </c>
      <c r="AI2819" s="434" t="s">
        <v>429</v>
      </c>
      <c r="AJ2819" s="65"/>
      <c r="AK2819" s="65"/>
      <c r="AL2819" s="434" t="s">
        <v>179</v>
      </c>
      <c r="AM2819" s="434" t="s">
        <v>130</v>
      </c>
      <c r="AN2819" s="434" t="s">
        <v>131</v>
      </c>
      <c r="AO2819" s="825">
        <v>285.0</v>
      </c>
      <c r="AP2819" s="2243">
        <v>0.034</v>
      </c>
      <c r="AQ2819" s="434" t="s">
        <v>16387</v>
      </c>
      <c r="AR2819" s="829" t="s">
        <v>621</v>
      </c>
      <c r="AS2819" s="434" t="s">
        <v>131</v>
      </c>
      <c r="AT2819" s="65"/>
      <c r="AU2819" s="434" t="s">
        <v>179</v>
      </c>
      <c r="AV2819" s="434" t="s">
        <v>130</v>
      </c>
      <c r="AW2819" s="434" t="s">
        <v>131</v>
      </c>
      <c r="AX2819" s="434" t="s">
        <v>136</v>
      </c>
      <c r="AZ2819" s="196" t="s">
        <v>15958</v>
      </c>
    </row>
    <row r="2820">
      <c r="A2820" s="41">
        <v>3039.0</v>
      </c>
      <c r="B2820" s="126" t="s">
        <v>516</v>
      </c>
      <c r="C2820" s="59" t="s">
        <v>108</v>
      </c>
      <c r="D2820" s="59" t="s">
        <v>146</v>
      </c>
      <c r="F2820" s="829" t="s">
        <v>16361</v>
      </c>
      <c r="G2820" s="434" t="s">
        <v>16441</v>
      </c>
      <c r="H2820" s="829" t="s">
        <v>15858</v>
      </c>
      <c r="I2820" s="2242">
        <v>45821.0</v>
      </c>
      <c r="J2820" s="859"/>
      <c r="K2820" s="434" t="s">
        <v>16375</v>
      </c>
      <c r="L2820" s="65"/>
      <c r="M2820" s="434" t="s">
        <v>16364</v>
      </c>
      <c r="N2820" s="434" t="s">
        <v>16365</v>
      </c>
      <c r="O2820" s="65"/>
      <c r="P2820" s="1439" t="s">
        <v>16366</v>
      </c>
      <c r="Q2820" s="2268" t="str">
        <f> hyperlink(vlookup(lower(N2820),'File Links'!E:F, 2, FALSE), "LINK")</f>
        <v>LINK</v>
      </c>
      <c r="R2820" s="434" t="s">
        <v>16376</v>
      </c>
      <c r="S2820" s="434" t="s">
        <v>16368</v>
      </c>
      <c r="T2820" s="65"/>
      <c r="U2820" s="65"/>
      <c r="V2820" s="1439" t="s">
        <v>16369</v>
      </c>
      <c r="W2820" s="1225"/>
      <c r="X2820" s="51" t="str">
        <f t="array" ref="X2820"> if(iserror(MATCH(V2820, 'File Links'!C:C, 0)), "N/A", HYPERLINK(INDEX('File Links'!B:B, MATCH(V2820, 'File Links'!C:C, 0))))</f>
        <v>https://drive.google.com/file/d/16V6fX6zed8MKZ53zcmG18UMG8cS5fmS4/view?usp=drivesdk</v>
      </c>
      <c r="Y2820" s="65"/>
      <c r="Z2820" s="434" t="s">
        <v>1672</v>
      </c>
      <c r="AA2820" s="829" t="s">
        <v>16377</v>
      </c>
      <c r="AB2820" s="434" t="s">
        <v>16378</v>
      </c>
      <c r="AC2820" s="829" t="s">
        <v>16442</v>
      </c>
      <c r="AD2820" s="829" t="s">
        <v>16380</v>
      </c>
      <c r="AE2820" s="2243">
        <v>6.0</v>
      </c>
      <c r="AF2820" s="825">
        <v>485.0</v>
      </c>
      <c r="AG2820" s="2243">
        <v>0.14</v>
      </c>
      <c r="AH2820" s="434" t="s">
        <v>354</v>
      </c>
      <c r="AI2820" s="434" t="s">
        <v>133</v>
      </c>
      <c r="AJ2820" s="2243">
        <v>0.0082</v>
      </c>
      <c r="AK2820" s="434" t="s">
        <v>165</v>
      </c>
      <c r="AL2820" s="434" t="s">
        <v>179</v>
      </c>
      <c r="AM2820" s="434" t="s">
        <v>130</v>
      </c>
      <c r="AN2820" s="65"/>
      <c r="AO2820" s="825">
        <v>285.0</v>
      </c>
      <c r="AP2820" s="2243">
        <v>0.106</v>
      </c>
      <c r="AQ2820" s="434" t="s">
        <v>354</v>
      </c>
      <c r="AR2820" s="829" t="s">
        <v>621</v>
      </c>
      <c r="AS2820" s="825">
        <v>0.05</v>
      </c>
      <c r="AT2820" s="434" t="s">
        <v>328</v>
      </c>
      <c r="AU2820" s="434" t="s">
        <v>179</v>
      </c>
      <c r="AV2820" s="434" t="s">
        <v>130</v>
      </c>
      <c r="AW2820" s="434" t="s">
        <v>131</v>
      </c>
      <c r="AX2820" s="434" t="s">
        <v>136</v>
      </c>
      <c r="AZ2820" s="196" t="s">
        <v>15958</v>
      </c>
    </row>
    <row r="2821">
      <c r="A2821" s="41">
        <v>3065.0</v>
      </c>
      <c r="B2821" s="126" t="s">
        <v>516</v>
      </c>
      <c r="C2821" s="59" t="s">
        <v>108</v>
      </c>
      <c r="D2821" s="59" t="s">
        <v>146</v>
      </c>
      <c r="F2821" s="829" t="s">
        <v>16361</v>
      </c>
      <c r="G2821" s="434" t="s">
        <v>16443</v>
      </c>
      <c r="H2821" s="829" t="s">
        <v>15858</v>
      </c>
      <c r="I2821" s="2242">
        <v>45821.0</v>
      </c>
      <c r="J2821" s="859"/>
      <c r="K2821" s="434" t="s">
        <v>16382</v>
      </c>
      <c r="L2821" s="65"/>
      <c r="M2821" s="434" t="s">
        <v>16364</v>
      </c>
      <c r="N2821" s="434" t="s">
        <v>16365</v>
      </c>
      <c r="O2821" s="65"/>
      <c r="P2821" s="1439" t="s">
        <v>16366</v>
      </c>
      <c r="Q2821" s="2268" t="str">
        <f> hyperlink(vlookup(lower(N2821),'File Links'!E:F, 2, FALSE), "LINK")</f>
        <v>LINK</v>
      </c>
      <c r="R2821" s="434" t="s">
        <v>16376</v>
      </c>
      <c r="S2821" s="434" t="s">
        <v>16368</v>
      </c>
      <c r="T2821" s="65"/>
      <c r="U2821" s="65"/>
      <c r="V2821" s="1439" t="s">
        <v>16369</v>
      </c>
      <c r="W2821" s="1225"/>
      <c r="X2821" s="51" t="str">
        <f t="array" ref="X2821"> if(iserror(MATCH(V2821, 'File Links'!C:C, 0)), "N/A", HYPERLINK(INDEX('File Links'!B:B, MATCH(V2821, 'File Links'!C:C, 0))))</f>
        <v>https://drive.google.com/file/d/16V6fX6zed8MKZ53zcmG18UMG8cS5fmS4/view?usp=drivesdk</v>
      </c>
      <c r="Y2821" s="65"/>
      <c r="Z2821" s="434" t="s">
        <v>1672</v>
      </c>
      <c r="AA2821" s="829" t="s">
        <v>16377</v>
      </c>
      <c r="AB2821" s="434" t="s">
        <v>16378</v>
      </c>
      <c r="AC2821" s="829" t="s">
        <v>16444</v>
      </c>
      <c r="AD2821" s="434" t="s">
        <v>16384</v>
      </c>
      <c r="AE2821" s="2243">
        <v>7.0</v>
      </c>
      <c r="AF2821" s="2270">
        <f>485*0.44</f>
        <v>213.4</v>
      </c>
      <c r="AG2821" s="2243">
        <v>0.188</v>
      </c>
      <c r="AH2821" s="434" t="s">
        <v>16387</v>
      </c>
      <c r="AI2821" s="434" t="s">
        <v>605</v>
      </c>
      <c r="AJ2821" s="65"/>
      <c r="AK2821" s="65"/>
      <c r="AL2821" s="434" t="s">
        <v>179</v>
      </c>
      <c r="AM2821" s="434" t="s">
        <v>130</v>
      </c>
      <c r="AN2821" s="434" t="s">
        <v>131</v>
      </c>
      <c r="AO2821" s="825">
        <v>285.0</v>
      </c>
      <c r="AP2821" s="825">
        <v>0.081</v>
      </c>
      <c r="AQ2821" s="434" t="s">
        <v>16387</v>
      </c>
      <c r="AR2821" s="829" t="s">
        <v>621</v>
      </c>
      <c r="AS2821" s="434" t="s">
        <v>131</v>
      </c>
      <c r="AT2821" s="65"/>
      <c r="AU2821" s="434" t="s">
        <v>179</v>
      </c>
      <c r="AV2821" s="434" t="s">
        <v>130</v>
      </c>
      <c r="AW2821" s="434" t="s">
        <v>131</v>
      </c>
      <c r="AX2821" s="434" t="s">
        <v>136</v>
      </c>
      <c r="AZ2821" s="196" t="s">
        <v>15958</v>
      </c>
    </row>
    <row r="2822">
      <c r="A2822" s="41">
        <v>3091.0</v>
      </c>
      <c r="B2822" s="126" t="s">
        <v>516</v>
      </c>
      <c r="C2822" s="59" t="s">
        <v>108</v>
      </c>
      <c r="D2822" s="59" t="s">
        <v>146</v>
      </c>
      <c r="F2822" s="829" t="s">
        <v>16361</v>
      </c>
      <c r="G2822" s="434" t="s">
        <v>16445</v>
      </c>
      <c r="H2822" s="829" t="s">
        <v>15858</v>
      </c>
      <c r="I2822" s="2242">
        <v>45821.0</v>
      </c>
      <c r="J2822" s="859"/>
      <c r="K2822" s="434" t="s">
        <v>16382</v>
      </c>
      <c r="L2822" s="65"/>
      <c r="M2822" s="434" t="s">
        <v>16364</v>
      </c>
      <c r="N2822" s="434" t="s">
        <v>16365</v>
      </c>
      <c r="O2822" s="65"/>
      <c r="P2822" s="1439" t="s">
        <v>16366</v>
      </c>
      <c r="Q2822" s="2268" t="str">
        <f> hyperlink(vlookup(lower(N2822),'File Links'!E:F, 2, FALSE), "LINK")</f>
        <v>LINK</v>
      </c>
      <c r="R2822" s="434" t="s">
        <v>16376</v>
      </c>
      <c r="S2822" s="434" t="s">
        <v>16368</v>
      </c>
      <c r="T2822" s="65"/>
      <c r="U2822" s="65"/>
      <c r="V2822" s="1439" t="s">
        <v>16369</v>
      </c>
      <c r="W2822" s="1225"/>
      <c r="X2822" s="51" t="str">
        <f t="array" ref="X2822"> if(iserror(MATCH(V2822, 'File Links'!C:C, 0)), "N/A", HYPERLINK(INDEX('File Links'!B:B, MATCH(V2822, 'File Links'!C:C, 0))))</f>
        <v>https://drive.google.com/file/d/16V6fX6zed8MKZ53zcmG18UMG8cS5fmS4/view?usp=drivesdk</v>
      </c>
      <c r="Y2822" s="65"/>
      <c r="Z2822" s="434" t="s">
        <v>1672</v>
      </c>
      <c r="AA2822" s="829" t="s">
        <v>16377</v>
      </c>
      <c r="AB2822" s="434" t="s">
        <v>16378</v>
      </c>
      <c r="AC2822" s="829" t="s">
        <v>16439</v>
      </c>
      <c r="AD2822" s="434" t="s">
        <v>16384</v>
      </c>
      <c r="AE2822" s="2243">
        <v>7.0</v>
      </c>
      <c r="AF2822" s="2270">
        <f>485*0.14</f>
        <v>67.9</v>
      </c>
      <c r="AG2822" s="2243">
        <v>0.345</v>
      </c>
      <c r="AH2822" s="434" t="s">
        <v>16387</v>
      </c>
      <c r="AI2822" s="434" t="s">
        <v>429</v>
      </c>
      <c r="AJ2822" s="65"/>
      <c r="AK2822" s="65"/>
      <c r="AL2822" s="434" t="s">
        <v>179</v>
      </c>
      <c r="AM2822" s="434" t="s">
        <v>130</v>
      </c>
      <c r="AN2822" s="434" t="s">
        <v>131</v>
      </c>
      <c r="AO2822" s="825">
        <v>285.0</v>
      </c>
      <c r="AP2822" s="2243">
        <v>0.048</v>
      </c>
      <c r="AQ2822" s="434" t="s">
        <v>16387</v>
      </c>
      <c r="AR2822" s="829" t="s">
        <v>621</v>
      </c>
      <c r="AS2822" s="434" t="s">
        <v>131</v>
      </c>
      <c r="AT2822" s="65"/>
      <c r="AU2822" s="434" t="s">
        <v>179</v>
      </c>
      <c r="AV2822" s="434" t="s">
        <v>130</v>
      </c>
      <c r="AW2822" s="434" t="s">
        <v>131</v>
      </c>
      <c r="AX2822" s="434" t="s">
        <v>136</v>
      </c>
      <c r="AZ2822" s="196" t="s">
        <v>15958</v>
      </c>
    </row>
    <row r="2823">
      <c r="A2823" s="41">
        <v>3040.0</v>
      </c>
      <c r="B2823" s="126" t="s">
        <v>516</v>
      </c>
      <c r="C2823" s="59" t="s">
        <v>108</v>
      </c>
      <c r="D2823" s="59" t="s">
        <v>146</v>
      </c>
      <c r="F2823" s="829" t="s">
        <v>16361</v>
      </c>
      <c r="G2823" s="434" t="s">
        <v>16446</v>
      </c>
      <c r="H2823" s="829" t="s">
        <v>15858</v>
      </c>
      <c r="I2823" s="2242">
        <v>45821.0</v>
      </c>
      <c r="J2823" s="859"/>
      <c r="K2823" s="434" t="s">
        <v>16375</v>
      </c>
      <c r="L2823" s="65"/>
      <c r="M2823" s="434" t="s">
        <v>16364</v>
      </c>
      <c r="N2823" s="434" t="s">
        <v>16365</v>
      </c>
      <c r="O2823" s="65"/>
      <c r="P2823" s="1439" t="s">
        <v>16366</v>
      </c>
      <c r="Q2823" s="2268" t="str">
        <f> hyperlink(vlookup(lower(N2823),'File Links'!E:F, 2, FALSE), "LINK")</f>
        <v>LINK</v>
      </c>
      <c r="R2823" s="434" t="s">
        <v>16376</v>
      </c>
      <c r="S2823" s="434" t="s">
        <v>16368</v>
      </c>
      <c r="T2823" s="65"/>
      <c r="U2823" s="65"/>
      <c r="V2823" s="1439" t="s">
        <v>16369</v>
      </c>
      <c r="W2823" s="1225"/>
      <c r="X2823" s="51" t="str">
        <f t="array" ref="X2823"> if(iserror(MATCH(V2823, 'File Links'!C:C, 0)), "N/A", HYPERLINK(INDEX('File Links'!B:B, MATCH(V2823, 'File Links'!C:C, 0))))</f>
        <v>https://drive.google.com/file/d/16V6fX6zed8MKZ53zcmG18UMG8cS5fmS4/view?usp=drivesdk</v>
      </c>
      <c r="Y2823" s="65"/>
      <c r="Z2823" s="434" t="s">
        <v>1672</v>
      </c>
      <c r="AA2823" s="829" t="s">
        <v>16377</v>
      </c>
      <c r="AB2823" s="434" t="s">
        <v>16378</v>
      </c>
      <c r="AC2823" s="829" t="s">
        <v>16447</v>
      </c>
      <c r="AD2823" s="829" t="s">
        <v>16380</v>
      </c>
      <c r="AE2823" s="2243">
        <v>6.0</v>
      </c>
      <c r="AF2823" s="825">
        <v>485.0</v>
      </c>
      <c r="AG2823" s="2243">
        <v>0.124</v>
      </c>
      <c r="AH2823" s="434" t="s">
        <v>354</v>
      </c>
      <c r="AI2823" s="434" t="s">
        <v>133</v>
      </c>
      <c r="AJ2823" s="2243">
        <v>0.0258</v>
      </c>
      <c r="AK2823" s="434" t="s">
        <v>165</v>
      </c>
      <c r="AL2823" s="434" t="s">
        <v>179</v>
      </c>
      <c r="AM2823" s="434" t="s">
        <v>130</v>
      </c>
      <c r="AN2823" s="65"/>
      <c r="AO2823" s="825">
        <v>285.0</v>
      </c>
      <c r="AP2823" s="2243">
        <v>0.106</v>
      </c>
      <c r="AQ2823" s="434" t="s">
        <v>354</v>
      </c>
      <c r="AR2823" s="829" t="s">
        <v>621</v>
      </c>
      <c r="AS2823" s="825">
        <v>0.05</v>
      </c>
      <c r="AT2823" s="434" t="s">
        <v>328</v>
      </c>
      <c r="AU2823" s="434" t="s">
        <v>179</v>
      </c>
      <c r="AV2823" s="434" t="s">
        <v>130</v>
      </c>
      <c r="AW2823" s="434" t="s">
        <v>131</v>
      </c>
      <c r="AX2823" s="434" t="s">
        <v>136</v>
      </c>
      <c r="AZ2823" s="196" t="s">
        <v>15958</v>
      </c>
    </row>
    <row r="2824">
      <c r="A2824" s="41">
        <v>3066.0</v>
      </c>
      <c r="B2824" s="126" t="s">
        <v>516</v>
      </c>
      <c r="C2824" s="59" t="s">
        <v>108</v>
      </c>
      <c r="D2824" s="59" t="s">
        <v>146</v>
      </c>
      <c r="F2824" s="829" t="s">
        <v>16361</v>
      </c>
      <c r="G2824" s="434" t="s">
        <v>16448</v>
      </c>
      <c r="H2824" s="829" t="s">
        <v>15858</v>
      </c>
      <c r="I2824" s="2242">
        <v>45821.0</v>
      </c>
      <c r="J2824" s="859"/>
      <c r="K2824" s="434" t="s">
        <v>16382</v>
      </c>
      <c r="L2824" s="65"/>
      <c r="M2824" s="434" t="s">
        <v>16364</v>
      </c>
      <c r="N2824" s="434" t="s">
        <v>16365</v>
      </c>
      <c r="O2824" s="65"/>
      <c r="P2824" s="1439" t="s">
        <v>16366</v>
      </c>
      <c r="Q2824" s="2268" t="str">
        <f> hyperlink(vlookup(lower(N2824),'File Links'!E:F, 2, FALSE), "LINK")</f>
        <v>LINK</v>
      </c>
      <c r="R2824" s="434" t="s">
        <v>16376</v>
      </c>
      <c r="S2824" s="434" t="s">
        <v>16368</v>
      </c>
      <c r="T2824" s="65"/>
      <c r="U2824" s="65"/>
      <c r="V2824" s="1439" t="s">
        <v>16369</v>
      </c>
      <c r="W2824" s="1225"/>
      <c r="X2824" s="51" t="str">
        <f t="array" ref="X2824"> if(iserror(MATCH(V2824, 'File Links'!C:C, 0)), "N/A", HYPERLINK(INDEX('File Links'!B:B, MATCH(V2824, 'File Links'!C:C, 0))))</f>
        <v>https://drive.google.com/file/d/16V6fX6zed8MKZ53zcmG18UMG8cS5fmS4/view?usp=drivesdk</v>
      </c>
      <c r="Y2824" s="65"/>
      <c r="Z2824" s="434" t="s">
        <v>1672</v>
      </c>
      <c r="AA2824" s="829" t="s">
        <v>16377</v>
      </c>
      <c r="AB2824" s="434" t="s">
        <v>16378</v>
      </c>
      <c r="AC2824" s="829" t="s">
        <v>16449</v>
      </c>
      <c r="AD2824" s="434" t="s">
        <v>16384</v>
      </c>
      <c r="AE2824" s="2243">
        <v>7.0</v>
      </c>
      <c r="AF2824" s="2270">
        <f>485*0.44</f>
        <v>213.4</v>
      </c>
      <c r="AG2824" s="2243">
        <v>0.271</v>
      </c>
      <c r="AH2824" s="434" t="s">
        <v>16387</v>
      </c>
      <c r="AI2824" s="434" t="s">
        <v>605</v>
      </c>
      <c r="AJ2824" s="65"/>
      <c r="AK2824" s="65"/>
      <c r="AL2824" s="434" t="s">
        <v>179</v>
      </c>
      <c r="AM2824" s="434" t="s">
        <v>130</v>
      </c>
      <c r="AN2824" s="434" t="s">
        <v>131</v>
      </c>
      <c r="AO2824" s="825">
        <v>285.0</v>
      </c>
      <c r="AP2824" s="2243">
        <v>0.027</v>
      </c>
      <c r="AQ2824" s="434" t="s">
        <v>16387</v>
      </c>
      <c r="AR2824" s="829" t="s">
        <v>621</v>
      </c>
      <c r="AS2824" s="434" t="s">
        <v>131</v>
      </c>
      <c r="AT2824" s="65"/>
      <c r="AU2824" s="434" t="s">
        <v>179</v>
      </c>
      <c r="AV2824" s="434" t="s">
        <v>130</v>
      </c>
      <c r="AW2824" s="434" t="s">
        <v>131</v>
      </c>
      <c r="AX2824" s="434" t="s">
        <v>136</v>
      </c>
      <c r="AZ2824" s="196" t="s">
        <v>15958</v>
      </c>
    </row>
    <row r="2825">
      <c r="A2825" s="41">
        <v>3092.0</v>
      </c>
      <c r="B2825" s="126" t="s">
        <v>516</v>
      </c>
      <c r="C2825" s="59" t="s">
        <v>108</v>
      </c>
      <c r="D2825" s="59" t="s">
        <v>146</v>
      </c>
      <c r="F2825" s="829" t="s">
        <v>16361</v>
      </c>
      <c r="G2825" s="434" t="s">
        <v>16450</v>
      </c>
      <c r="H2825" s="829" t="s">
        <v>15858</v>
      </c>
      <c r="I2825" s="2242">
        <v>45821.0</v>
      </c>
      <c r="J2825" s="859"/>
      <c r="K2825" s="434" t="s">
        <v>16382</v>
      </c>
      <c r="L2825" s="65"/>
      <c r="M2825" s="434" t="s">
        <v>16364</v>
      </c>
      <c r="N2825" s="434" t="s">
        <v>16365</v>
      </c>
      <c r="O2825" s="65"/>
      <c r="P2825" s="1439" t="s">
        <v>16366</v>
      </c>
      <c r="Q2825" s="2268" t="str">
        <f> hyperlink(vlookup(lower(N2825),'File Links'!E:F, 2, FALSE), "LINK")</f>
        <v>LINK</v>
      </c>
      <c r="R2825" s="434" t="s">
        <v>16376</v>
      </c>
      <c r="S2825" s="434" t="s">
        <v>16368</v>
      </c>
      <c r="T2825" s="65"/>
      <c r="U2825" s="65"/>
      <c r="V2825" s="1439" t="s">
        <v>16369</v>
      </c>
      <c r="W2825" s="1225"/>
      <c r="X2825" s="51" t="str">
        <f t="array" ref="X2825"> if(iserror(MATCH(V2825, 'File Links'!C:C, 0)), "N/A", HYPERLINK(INDEX('File Links'!B:B, MATCH(V2825, 'File Links'!C:C, 0))))</f>
        <v>https://drive.google.com/file/d/16V6fX6zed8MKZ53zcmG18UMG8cS5fmS4/view?usp=drivesdk</v>
      </c>
      <c r="Y2825" s="65"/>
      <c r="Z2825" s="434" t="s">
        <v>1672</v>
      </c>
      <c r="AA2825" s="829" t="s">
        <v>16377</v>
      </c>
      <c r="AB2825" s="434" t="s">
        <v>16378</v>
      </c>
      <c r="AC2825" s="829" t="s">
        <v>16444</v>
      </c>
      <c r="AD2825" s="434" t="s">
        <v>16384</v>
      </c>
      <c r="AE2825" s="2243">
        <v>7.0</v>
      </c>
      <c r="AF2825" s="2270">
        <f>485*0.14</f>
        <v>67.9</v>
      </c>
      <c r="AG2825" s="2243">
        <v>0.227</v>
      </c>
      <c r="AH2825" s="434" t="s">
        <v>16387</v>
      </c>
      <c r="AI2825" s="434" t="s">
        <v>429</v>
      </c>
      <c r="AJ2825" s="65"/>
      <c r="AK2825" s="65"/>
      <c r="AL2825" s="434" t="s">
        <v>179</v>
      </c>
      <c r="AM2825" s="434" t="s">
        <v>130</v>
      </c>
      <c r="AN2825" s="434" t="s">
        <v>131</v>
      </c>
      <c r="AO2825" s="825">
        <v>285.0</v>
      </c>
      <c r="AP2825" s="825">
        <v>0.081</v>
      </c>
      <c r="AQ2825" s="434" t="s">
        <v>16387</v>
      </c>
      <c r="AR2825" s="829" t="s">
        <v>621</v>
      </c>
      <c r="AS2825" s="434" t="s">
        <v>131</v>
      </c>
      <c r="AT2825" s="65"/>
      <c r="AU2825" s="434" t="s">
        <v>179</v>
      </c>
      <c r="AV2825" s="434" t="s">
        <v>130</v>
      </c>
      <c r="AW2825" s="434" t="s">
        <v>131</v>
      </c>
      <c r="AX2825" s="434" t="s">
        <v>136</v>
      </c>
      <c r="AZ2825" s="196" t="s">
        <v>15958</v>
      </c>
    </row>
    <row r="2826">
      <c r="A2826" s="41">
        <v>3041.0</v>
      </c>
      <c r="B2826" s="126" t="s">
        <v>516</v>
      </c>
      <c r="C2826" s="59" t="s">
        <v>108</v>
      </c>
      <c r="D2826" s="59" t="s">
        <v>146</v>
      </c>
      <c r="F2826" s="829" t="s">
        <v>16361</v>
      </c>
      <c r="G2826" s="434" t="s">
        <v>16451</v>
      </c>
      <c r="H2826" s="829" t="s">
        <v>15858</v>
      </c>
      <c r="I2826" s="2242">
        <v>45821.0</v>
      </c>
      <c r="J2826" s="859"/>
      <c r="K2826" s="434" t="s">
        <v>16375</v>
      </c>
      <c r="L2826" s="65"/>
      <c r="M2826" s="434" t="s">
        <v>16364</v>
      </c>
      <c r="N2826" s="434" t="s">
        <v>16365</v>
      </c>
      <c r="O2826" s="65"/>
      <c r="P2826" s="1439" t="s">
        <v>16366</v>
      </c>
      <c r="Q2826" s="2268" t="str">
        <f> hyperlink(vlookup(lower(N2826),'File Links'!E:F, 2, FALSE), "LINK")</f>
        <v>LINK</v>
      </c>
      <c r="R2826" s="434" t="s">
        <v>16376</v>
      </c>
      <c r="S2826" s="434" t="s">
        <v>16368</v>
      </c>
      <c r="T2826" s="65"/>
      <c r="U2826" s="65"/>
      <c r="V2826" s="1439" t="s">
        <v>16369</v>
      </c>
      <c r="W2826" s="1225"/>
      <c r="X2826" s="51" t="str">
        <f t="array" ref="X2826"> if(iserror(MATCH(V2826, 'File Links'!C:C, 0)), "N/A", HYPERLINK(INDEX('File Links'!B:B, MATCH(V2826, 'File Links'!C:C, 0))))</f>
        <v>https://drive.google.com/file/d/16V6fX6zed8MKZ53zcmG18UMG8cS5fmS4/view?usp=drivesdk</v>
      </c>
      <c r="Y2826" s="65"/>
      <c r="Z2826" s="434" t="s">
        <v>1672</v>
      </c>
      <c r="AA2826" s="829" t="s">
        <v>16377</v>
      </c>
      <c r="AB2826" s="434" t="s">
        <v>16378</v>
      </c>
      <c r="AC2826" s="829" t="s">
        <v>16452</v>
      </c>
      <c r="AD2826" s="829" t="s">
        <v>16380</v>
      </c>
      <c r="AE2826" s="2243">
        <v>6.0</v>
      </c>
      <c r="AF2826" s="825">
        <v>485.0</v>
      </c>
      <c r="AG2826" s="2243">
        <v>0.107</v>
      </c>
      <c r="AH2826" s="434" t="s">
        <v>354</v>
      </c>
      <c r="AI2826" s="434" t="s">
        <v>133</v>
      </c>
      <c r="AJ2826" s="2243">
        <v>0.0975</v>
      </c>
      <c r="AK2826" s="434" t="s">
        <v>165</v>
      </c>
      <c r="AL2826" s="434" t="s">
        <v>179</v>
      </c>
      <c r="AM2826" s="434" t="s">
        <v>130</v>
      </c>
      <c r="AN2826" s="65"/>
      <c r="AO2826" s="825">
        <v>285.0</v>
      </c>
      <c r="AP2826" s="825">
        <v>0.267</v>
      </c>
      <c r="AQ2826" s="434" t="s">
        <v>354</v>
      </c>
      <c r="AR2826" s="829" t="s">
        <v>621</v>
      </c>
      <c r="AS2826" s="825">
        <v>0.001</v>
      </c>
      <c r="AT2826" s="434" t="s">
        <v>128</v>
      </c>
      <c r="AU2826" s="434" t="s">
        <v>179</v>
      </c>
      <c r="AV2826" s="434" t="s">
        <v>130</v>
      </c>
      <c r="AW2826" s="434" t="s">
        <v>131</v>
      </c>
      <c r="AX2826" s="434" t="s">
        <v>136</v>
      </c>
      <c r="AZ2826" s="196" t="s">
        <v>15958</v>
      </c>
    </row>
    <row r="2827">
      <c r="A2827" s="41">
        <v>3067.0</v>
      </c>
      <c r="B2827" s="126" t="s">
        <v>516</v>
      </c>
      <c r="C2827" s="59" t="s">
        <v>108</v>
      </c>
      <c r="D2827" s="59" t="s">
        <v>146</v>
      </c>
      <c r="F2827" s="829" t="s">
        <v>16361</v>
      </c>
      <c r="G2827" s="434" t="s">
        <v>16453</v>
      </c>
      <c r="H2827" s="829" t="s">
        <v>15858</v>
      </c>
      <c r="I2827" s="2242">
        <v>45821.0</v>
      </c>
      <c r="J2827" s="859"/>
      <c r="K2827" s="434" t="s">
        <v>16382</v>
      </c>
      <c r="L2827" s="65"/>
      <c r="M2827" s="434" t="s">
        <v>16364</v>
      </c>
      <c r="N2827" s="434" t="s">
        <v>16365</v>
      </c>
      <c r="O2827" s="65"/>
      <c r="P2827" s="1439" t="s">
        <v>16366</v>
      </c>
      <c r="Q2827" s="2268" t="str">
        <f> hyperlink(vlookup(lower(N2827),'File Links'!E:F, 2, FALSE), "LINK")</f>
        <v>LINK</v>
      </c>
      <c r="R2827" s="434" t="s">
        <v>16376</v>
      </c>
      <c r="S2827" s="434" t="s">
        <v>16368</v>
      </c>
      <c r="T2827" s="65"/>
      <c r="U2827" s="65"/>
      <c r="V2827" s="1439" t="s">
        <v>16369</v>
      </c>
      <c r="W2827" s="1225"/>
      <c r="X2827" s="51" t="str">
        <f t="array" ref="X2827"> if(iserror(MATCH(V2827, 'File Links'!C:C, 0)), "N/A", HYPERLINK(INDEX('File Links'!B:B, MATCH(V2827, 'File Links'!C:C, 0))))</f>
        <v>https://drive.google.com/file/d/16V6fX6zed8MKZ53zcmG18UMG8cS5fmS4/view?usp=drivesdk</v>
      </c>
      <c r="Y2827" s="65"/>
      <c r="Z2827" s="434" t="s">
        <v>1672</v>
      </c>
      <c r="AA2827" s="829" t="s">
        <v>16377</v>
      </c>
      <c r="AB2827" s="434" t="s">
        <v>16378</v>
      </c>
      <c r="AC2827" s="829" t="s">
        <v>16386</v>
      </c>
      <c r="AD2827" s="434" t="s">
        <v>16384</v>
      </c>
      <c r="AE2827" s="2243">
        <v>7.0</v>
      </c>
      <c r="AF2827" s="2270">
        <f>485*0.44</f>
        <v>213.4</v>
      </c>
      <c r="AG2827" s="2243">
        <v>0.295</v>
      </c>
      <c r="AH2827" s="434" t="s">
        <v>16387</v>
      </c>
      <c r="AI2827" s="434" t="s">
        <v>605</v>
      </c>
      <c r="AJ2827" s="65"/>
      <c r="AK2827" s="65"/>
      <c r="AL2827" s="434" t="s">
        <v>179</v>
      </c>
      <c r="AM2827" s="434" t="s">
        <v>130</v>
      </c>
      <c r="AN2827" s="434" t="s">
        <v>131</v>
      </c>
      <c r="AO2827" s="825">
        <v>285.0</v>
      </c>
      <c r="AP2827" s="2243">
        <v>0.057</v>
      </c>
      <c r="AQ2827" s="434" t="s">
        <v>16387</v>
      </c>
      <c r="AR2827" s="829" t="s">
        <v>621</v>
      </c>
      <c r="AS2827" s="434" t="s">
        <v>131</v>
      </c>
      <c r="AT2827" s="65"/>
      <c r="AU2827" s="434" t="s">
        <v>179</v>
      </c>
      <c r="AV2827" s="434" t="s">
        <v>130</v>
      </c>
      <c r="AW2827" s="434" t="s">
        <v>131</v>
      </c>
      <c r="AX2827" s="434" t="s">
        <v>136</v>
      </c>
      <c r="AZ2827" s="196" t="s">
        <v>15958</v>
      </c>
    </row>
    <row r="2828">
      <c r="A2828" s="41">
        <v>3093.0</v>
      </c>
      <c r="B2828" s="126" t="s">
        <v>516</v>
      </c>
      <c r="C2828" s="59" t="s">
        <v>108</v>
      </c>
      <c r="D2828" s="59" t="s">
        <v>146</v>
      </c>
      <c r="F2828" s="829" t="s">
        <v>16361</v>
      </c>
      <c r="G2828" s="434" t="s">
        <v>16454</v>
      </c>
      <c r="H2828" s="829" t="s">
        <v>15858</v>
      </c>
      <c r="I2828" s="2242">
        <v>45821.0</v>
      </c>
      <c r="J2828" s="859"/>
      <c r="K2828" s="434" t="s">
        <v>16382</v>
      </c>
      <c r="L2828" s="65"/>
      <c r="M2828" s="434" t="s">
        <v>16364</v>
      </c>
      <c r="N2828" s="434" t="s">
        <v>16365</v>
      </c>
      <c r="O2828" s="65"/>
      <c r="P2828" s="1439" t="s">
        <v>16366</v>
      </c>
      <c r="Q2828" s="2268" t="str">
        <f> hyperlink(vlookup(lower(N2828),'File Links'!E:F, 2, FALSE), "LINK")</f>
        <v>LINK</v>
      </c>
      <c r="R2828" s="434" t="s">
        <v>16376</v>
      </c>
      <c r="S2828" s="434" t="s">
        <v>16368</v>
      </c>
      <c r="T2828" s="65"/>
      <c r="U2828" s="65"/>
      <c r="V2828" s="1439" t="s">
        <v>16369</v>
      </c>
      <c r="W2828" s="1225"/>
      <c r="X2828" s="51" t="str">
        <f t="array" ref="X2828"> if(iserror(MATCH(V2828, 'File Links'!C:C, 0)), "N/A", HYPERLINK(INDEX('File Links'!B:B, MATCH(V2828, 'File Links'!C:C, 0))))</f>
        <v>https://drive.google.com/file/d/16V6fX6zed8MKZ53zcmG18UMG8cS5fmS4/view?usp=drivesdk</v>
      </c>
      <c r="Y2828" s="65"/>
      <c r="Z2828" s="434" t="s">
        <v>1672</v>
      </c>
      <c r="AA2828" s="829" t="s">
        <v>16377</v>
      </c>
      <c r="AB2828" s="434" t="s">
        <v>16378</v>
      </c>
      <c r="AC2828" s="829" t="s">
        <v>16386</v>
      </c>
      <c r="AD2828" s="434" t="s">
        <v>16384</v>
      </c>
      <c r="AE2828" s="2243">
        <v>7.0</v>
      </c>
      <c r="AF2828" s="2270">
        <f>485*0.14</f>
        <v>67.9</v>
      </c>
      <c r="AG2828" s="2243">
        <v>0.239</v>
      </c>
      <c r="AH2828" s="434" t="s">
        <v>16387</v>
      </c>
      <c r="AI2828" s="434" t="s">
        <v>429</v>
      </c>
      <c r="AJ2828" s="65"/>
      <c r="AK2828" s="65"/>
      <c r="AL2828" s="434" t="s">
        <v>179</v>
      </c>
      <c r="AM2828" s="434" t="s">
        <v>130</v>
      </c>
      <c r="AN2828" s="434" t="s">
        <v>131</v>
      </c>
      <c r="AO2828" s="825">
        <v>285.0</v>
      </c>
      <c r="AP2828" s="2243">
        <v>0.057</v>
      </c>
      <c r="AQ2828" s="434" t="s">
        <v>16387</v>
      </c>
      <c r="AR2828" s="829" t="s">
        <v>621</v>
      </c>
      <c r="AS2828" s="434" t="s">
        <v>131</v>
      </c>
      <c r="AT2828" s="65"/>
      <c r="AU2828" s="434" t="s">
        <v>179</v>
      </c>
      <c r="AV2828" s="434" t="s">
        <v>130</v>
      </c>
      <c r="AW2828" s="434" t="s">
        <v>131</v>
      </c>
      <c r="AX2828" s="434" t="s">
        <v>136</v>
      </c>
      <c r="AZ2828" s="196" t="s">
        <v>15958</v>
      </c>
    </row>
    <row r="2829">
      <c r="A2829" s="41">
        <v>3042.0</v>
      </c>
      <c r="B2829" s="126" t="s">
        <v>516</v>
      </c>
      <c r="C2829" s="59" t="s">
        <v>108</v>
      </c>
      <c r="D2829" s="59" t="s">
        <v>146</v>
      </c>
      <c r="F2829" s="829" t="s">
        <v>16361</v>
      </c>
      <c r="G2829" s="434" t="s">
        <v>16455</v>
      </c>
      <c r="H2829" s="829" t="s">
        <v>15858</v>
      </c>
      <c r="I2829" s="2242">
        <v>45821.0</v>
      </c>
      <c r="J2829" s="859"/>
      <c r="K2829" s="434" t="s">
        <v>16375</v>
      </c>
      <c r="L2829" s="65"/>
      <c r="M2829" s="434" t="s">
        <v>16364</v>
      </c>
      <c r="N2829" s="434" t="s">
        <v>16365</v>
      </c>
      <c r="O2829" s="65"/>
      <c r="P2829" s="1439" t="s">
        <v>16366</v>
      </c>
      <c r="Q2829" s="2268" t="str">
        <f> hyperlink(vlookup(lower(N2829),'File Links'!E:F, 2, FALSE), "LINK")</f>
        <v>LINK</v>
      </c>
      <c r="R2829" s="434" t="s">
        <v>16376</v>
      </c>
      <c r="S2829" s="434" t="s">
        <v>16368</v>
      </c>
      <c r="T2829" s="65"/>
      <c r="U2829" s="65"/>
      <c r="V2829" s="1439" t="s">
        <v>16369</v>
      </c>
      <c r="W2829" s="1225"/>
      <c r="X2829" s="51" t="str">
        <f t="array" ref="X2829"> if(iserror(MATCH(V2829, 'File Links'!C:C, 0)), "N/A", HYPERLINK(INDEX('File Links'!B:B, MATCH(V2829, 'File Links'!C:C, 0))))</f>
        <v>https://drive.google.com/file/d/16V6fX6zed8MKZ53zcmG18UMG8cS5fmS4/view?usp=drivesdk</v>
      </c>
      <c r="Y2829" s="65"/>
      <c r="Z2829" s="434" t="s">
        <v>1672</v>
      </c>
      <c r="AA2829" s="829" t="s">
        <v>16377</v>
      </c>
      <c r="AB2829" s="434" t="s">
        <v>16378</v>
      </c>
      <c r="AC2829" s="829" t="s">
        <v>16456</v>
      </c>
      <c r="AD2829" s="829" t="s">
        <v>16380</v>
      </c>
      <c r="AE2829" s="2243">
        <v>6.0</v>
      </c>
      <c r="AF2829" s="825">
        <v>485.0</v>
      </c>
      <c r="AG2829" s="2243">
        <v>0.19</v>
      </c>
      <c r="AH2829" s="434" t="s">
        <v>354</v>
      </c>
      <c r="AI2829" s="434" t="s">
        <v>133</v>
      </c>
      <c r="AJ2829" s="2243">
        <v>0.0032</v>
      </c>
      <c r="AK2829" s="434" t="s">
        <v>165</v>
      </c>
      <c r="AL2829" s="434" t="s">
        <v>179</v>
      </c>
      <c r="AM2829" s="434" t="s">
        <v>130</v>
      </c>
      <c r="AN2829" s="65"/>
      <c r="AO2829" s="825">
        <v>285.0</v>
      </c>
      <c r="AP2829" s="825">
        <v>0.267</v>
      </c>
      <c r="AQ2829" s="434" t="s">
        <v>354</v>
      </c>
      <c r="AR2829" s="829" t="s">
        <v>621</v>
      </c>
      <c r="AS2829" s="825">
        <v>0.001</v>
      </c>
      <c r="AT2829" s="434" t="s">
        <v>128</v>
      </c>
      <c r="AU2829" s="434" t="s">
        <v>179</v>
      </c>
      <c r="AV2829" s="434" t="s">
        <v>130</v>
      </c>
      <c r="AW2829" s="434" t="s">
        <v>131</v>
      </c>
      <c r="AX2829" s="434" t="s">
        <v>136</v>
      </c>
      <c r="AZ2829" s="196" t="s">
        <v>15958</v>
      </c>
    </row>
    <row r="2830">
      <c r="A2830" s="41">
        <v>3068.0</v>
      </c>
      <c r="B2830" s="126" t="s">
        <v>516</v>
      </c>
      <c r="C2830" s="59" t="s">
        <v>108</v>
      </c>
      <c r="D2830" s="59" t="s">
        <v>146</v>
      </c>
      <c r="F2830" s="829" t="s">
        <v>16361</v>
      </c>
      <c r="G2830" s="434" t="s">
        <v>16457</v>
      </c>
      <c r="H2830" s="829" t="s">
        <v>15858</v>
      </c>
      <c r="I2830" s="2242">
        <v>45821.0</v>
      </c>
      <c r="J2830" s="859"/>
      <c r="K2830" s="434" t="s">
        <v>16382</v>
      </c>
      <c r="L2830" s="65"/>
      <c r="M2830" s="434" t="s">
        <v>16364</v>
      </c>
      <c r="N2830" s="434" t="s">
        <v>16365</v>
      </c>
      <c r="O2830" s="65"/>
      <c r="P2830" s="1439" t="s">
        <v>16366</v>
      </c>
      <c r="Q2830" s="2268" t="str">
        <f> hyperlink(vlookup(lower(N2830),'File Links'!E:F, 2, FALSE), "LINK")</f>
        <v>LINK</v>
      </c>
      <c r="R2830" s="434" t="s">
        <v>16376</v>
      </c>
      <c r="S2830" s="434" t="s">
        <v>16368</v>
      </c>
      <c r="T2830" s="65"/>
      <c r="U2830" s="65"/>
      <c r="V2830" s="1439" t="s">
        <v>16369</v>
      </c>
      <c r="W2830" s="1225"/>
      <c r="X2830" s="51" t="str">
        <f t="array" ref="X2830"> if(iserror(MATCH(V2830, 'File Links'!C:C, 0)), "N/A", HYPERLINK(INDEX('File Links'!B:B, MATCH(V2830, 'File Links'!C:C, 0))))</f>
        <v>https://drive.google.com/file/d/16V6fX6zed8MKZ53zcmG18UMG8cS5fmS4/view?usp=drivesdk</v>
      </c>
      <c r="Y2830" s="65"/>
      <c r="Z2830" s="434" t="s">
        <v>1672</v>
      </c>
      <c r="AA2830" s="829" t="s">
        <v>16377</v>
      </c>
      <c r="AB2830" s="434" t="s">
        <v>16378</v>
      </c>
      <c r="AC2830" s="829" t="s">
        <v>16393</v>
      </c>
      <c r="AD2830" s="434" t="s">
        <v>16384</v>
      </c>
      <c r="AE2830" s="2243">
        <v>7.0</v>
      </c>
      <c r="AF2830" s="2270">
        <f>485*0.44</f>
        <v>213.4</v>
      </c>
      <c r="AG2830" s="2243">
        <v>0.248</v>
      </c>
      <c r="AH2830" s="434" t="s">
        <v>16387</v>
      </c>
      <c r="AI2830" s="434" t="s">
        <v>605</v>
      </c>
      <c r="AJ2830" s="65"/>
      <c r="AK2830" s="65"/>
      <c r="AL2830" s="434" t="s">
        <v>179</v>
      </c>
      <c r="AM2830" s="434" t="s">
        <v>130</v>
      </c>
      <c r="AN2830" s="434" t="s">
        <v>131</v>
      </c>
      <c r="AO2830" s="825">
        <v>285.0</v>
      </c>
      <c r="AP2830" s="2243">
        <v>0.037</v>
      </c>
      <c r="AQ2830" s="434" t="s">
        <v>16387</v>
      </c>
      <c r="AR2830" s="829" t="s">
        <v>621</v>
      </c>
      <c r="AS2830" s="434" t="s">
        <v>131</v>
      </c>
      <c r="AT2830" s="65"/>
      <c r="AU2830" s="434" t="s">
        <v>179</v>
      </c>
      <c r="AV2830" s="434" t="s">
        <v>130</v>
      </c>
      <c r="AW2830" s="434" t="s">
        <v>131</v>
      </c>
      <c r="AX2830" s="434" t="s">
        <v>136</v>
      </c>
      <c r="AZ2830" s="196" t="s">
        <v>15958</v>
      </c>
    </row>
    <row r="2831">
      <c r="A2831" s="41">
        <v>3094.0</v>
      </c>
      <c r="B2831" s="126" t="s">
        <v>516</v>
      </c>
      <c r="C2831" s="59" t="s">
        <v>108</v>
      </c>
      <c r="D2831" s="59" t="s">
        <v>146</v>
      </c>
      <c r="F2831" s="829" t="s">
        <v>16361</v>
      </c>
      <c r="G2831" s="434" t="s">
        <v>16458</v>
      </c>
      <c r="H2831" s="829" t="s">
        <v>15858</v>
      </c>
      <c r="I2831" s="2242">
        <v>45821.0</v>
      </c>
      <c r="J2831" s="859"/>
      <c r="K2831" s="434" t="s">
        <v>16382</v>
      </c>
      <c r="L2831" s="65"/>
      <c r="M2831" s="434" t="s">
        <v>16364</v>
      </c>
      <c r="N2831" s="434" t="s">
        <v>16365</v>
      </c>
      <c r="O2831" s="65"/>
      <c r="P2831" s="1439" t="s">
        <v>16366</v>
      </c>
      <c r="Q2831" s="2268" t="str">
        <f> hyperlink(vlookup(lower(N2831),'File Links'!E:F, 2, FALSE), "LINK")</f>
        <v>LINK</v>
      </c>
      <c r="R2831" s="434" t="s">
        <v>16376</v>
      </c>
      <c r="S2831" s="434" t="s">
        <v>16368</v>
      </c>
      <c r="T2831" s="65"/>
      <c r="U2831" s="65"/>
      <c r="V2831" s="1439" t="s">
        <v>16369</v>
      </c>
      <c r="W2831" s="1225"/>
      <c r="X2831" s="51" t="str">
        <f t="array" ref="X2831"> if(iserror(MATCH(V2831, 'File Links'!C:C, 0)), "N/A", HYPERLINK(INDEX('File Links'!B:B, MATCH(V2831, 'File Links'!C:C, 0))))</f>
        <v>https://drive.google.com/file/d/16V6fX6zed8MKZ53zcmG18UMG8cS5fmS4/view?usp=drivesdk</v>
      </c>
      <c r="Y2831" s="65"/>
      <c r="Z2831" s="434" t="s">
        <v>1672</v>
      </c>
      <c r="AA2831" s="829" t="s">
        <v>16377</v>
      </c>
      <c r="AB2831" s="434" t="s">
        <v>16378</v>
      </c>
      <c r="AC2831" s="829" t="s">
        <v>16393</v>
      </c>
      <c r="AD2831" s="434" t="s">
        <v>16384</v>
      </c>
      <c r="AE2831" s="2243">
        <v>7.0</v>
      </c>
      <c r="AF2831" s="2270">
        <f>485*0.14</f>
        <v>67.9</v>
      </c>
      <c r="AG2831" s="2243">
        <v>0.345</v>
      </c>
      <c r="AH2831" s="434" t="s">
        <v>16387</v>
      </c>
      <c r="AI2831" s="434" t="s">
        <v>429</v>
      </c>
      <c r="AJ2831" s="65"/>
      <c r="AK2831" s="65"/>
      <c r="AL2831" s="434" t="s">
        <v>179</v>
      </c>
      <c r="AM2831" s="434" t="s">
        <v>130</v>
      </c>
      <c r="AN2831" s="434" t="s">
        <v>131</v>
      </c>
      <c r="AO2831" s="825">
        <v>285.0</v>
      </c>
      <c r="AP2831" s="2243">
        <v>0.037</v>
      </c>
      <c r="AQ2831" s="434" t="s">
        <v>16387</v>
      </c>
      <c r="AR2831" s="829" t="s">
        <v>621</v>
      </c>
      <c r="AS2831" s="434" t="s">
        <v>131</v>
      </c>
      <c r="AT2831" s="65"/>
      <c r="AU2831" s="434" t="s">
        <v>179</v>
      </c>
      <c r="AV2831" s="434" t="s">
        <v>130</v>
      </c>
      <c r="AW2831" s="434" t="s">
        <v>131</v>
      </c>
      <c r="AX2831" s="434" t="s">
        <v>136</v>
      </c>
      <c r="AZ2831" s="196" t="s">
        <v>15958</v>
      </c>
    </row>
    <row r="2832">
      <c r="A2832" s="41">
        <v>3043.0</v>
      </c>
      <c r="B2832" s="126" t="s">
        <v>516</v>
      </c>
      <c r="C2832" s="59" t="s">
        <v>108</v>
      </c>
      <c r="D2832" s="59" t="s">
        <v>146</v>
      </c>
      <c r="F2832" s="829" t="s">
        <v>16361</v>
      </c>
      <c r="G2832" s="434" t="s">
        <v>16459</v>
      </c>
      <c r="H2832" s="829" t="s">
        <v>15858</v>
      </c>
      <c r="I2832" s="2242">
        <v>45821.0</v>
      </c>
      <c r="J2832" s="859"/>
      <c r="K2832" s="434" t="s">
        <v>16375</v>
      </c>
      <c r="L2832" s="65"/>
      <c r="M2832" s="434" t="s">
        <v>16364</v>
      </c>
      <c r="N2832" s="434" t="s">
        <v>16365</v>
      </c>
      <c r="O2832" s="65"/>
      <c r="P2832" s="1439" t="s">
        <v>16366</v>
      </c>
      <c r="Q2832" s="2268" t="str">
        <f> hyperlink(vlookup(lower(N2832),'File Links'!E:F, 2, FALSE), "LINK")</f>
        <v>LINK</v>
      </c>
      <c r="R2832" s="434" t="s">
        <v>16376</v>
      </c>
      <c r="S2832" s="434" t="s">
        <v>16368</v>
      </c>
      <c r="T2832" s="65"/>
      <c r="U2832" s="65"/>
      <c r="V2832" s="1439" t="s">
        <v>16369</v>
      </c>
      <c r="W2832" s="1225"/>
      <c r="X2832" s="51" t="str">
        <f t="array" ref="X2832"> if(iserror(MATCH(V2832, 'File Links'!C:C, 0)), "N/A", HYPERLINK(INDEX('File Links'!B:B, MATCH(V2832, 'File Links'!C:C, 0))))</f>
        <v>https://drive.google.com/file/d/16V6fX6zed8MKZ53zcmG18UMG8cS5fmS4/view?usp=drivesdk</v>
      </c>
      <c r="Y2832" s="65"/>
      <c r="Z2832" s="434" t="s">
        <v>1672</v>
      </c>
      <c r="AA2832" s="829" t="s">
        <v>16377</v>
      </c>
      <c r="AB2832" s="434" t="s">
        <v>16378</v>
      </c>
      <c r="AC2832" s="829" t="s">
        <v>16427</v>
      </c>
      <c r="AD2832" s="829" t="s">
        <v>16460</v>
      </c>
      <c r="AE2832" s="2243">
        <v>7.0</v>
      </c>
      <c r="AF2832" s="825">
        <v>485.0</v>
      </c>
      <c r="AG2832" s="2243">
        <v>0.192</v>
      </c>
      <c r="AH2832" s="434" t="s">
        <v>16387</v>
      </c>
      <c r="AI2832" s="434" t="s">
        <v>133</v>
      </c>
      <c r="AJ2832" s="65"/>
      <c r="AK2832" s="65"/>
      <c r="AL2832" s="434" t="s">
        <v>179</v>
      </c>
      <c r="AM2832" s="434" t="s">
        <v>130</v>
      </c>
      <c r="AN2832" s="65"/>
      <c r="AO2832" s="825">
        <v>285.0</v>
      </c>
      <c r="AP2832" s="2243">
        <v>0.02</v>
      </c>
      <c r="AQ2832" s="434" t="s">
        <v>16387</v>
      </c>
      <c r="AR2832" s="829" t="s">
        <v>621</v>
      </c>
      <c r="AS2832" s="434" t="s">
        <v>131</v>
      </c>
      <c r="AT2832" s="65"/>
      <c r="AU2832" s="434" t="s">
        <v>179</v>
      </c>
      <c r="AV2832" s="434" t="s">
        <v>130</v>
      </c>
      <c r="AW2832" s="434" t="s">
        <v>131</v>
      </c>
      <c r="AX2832" s="434" t="s">
        <v>136</v>
      </c>
      <c r="AZ2832" s="196" t="s">
        <v>15958</v>
      </c>
    </row>
    <row r="2833">
      <c r="A2833" s="41">
        <v>3069.0</v>
      </c>
      <c r="B2833" s="126" t="s">
        <v>516</v>
      </c>
      <c r="C2833" s="59" t="s">
        <v>108</v>
      </c>
      <c r="D2833" s="59" t="s">
        <v>146</v>
      </c>
      <c r="F2833" s="829" t="s">
        <v>16361</v>
      </c>
      <c r="G2833" s="434" t="s">
        <v>16461</v>
      </c>
      <c r="H2833" s="829" t="s">
        <v>15858</v>
      </c>
      <c r="I2833" s="2242">
        <v>45821.0</v>
      </c>
      <c r="J2833" s="859"/>
      <c r="K2833" s="434" t="s">
        <v>16382</v>
      </c>
      <c r="L2833" s="65"/>
      <c r="M2833" s="434" t="s">
        <v>16364</v>
      </c>
      <c r="N2833" s="434" t="s">
        <v>16365</v>
      </c>
      <c r="O2833" s="65"/>
      <c r="P2833" s="1439" t="s">
        <v>16366</v>
      </c>
      <c r="Q2833" s="2268" t="str">
        <f> hyperlink(vlookup(lower(N2833),'File Links'!E:F, 2, FALSE), "LINK")</f>
        <v>LINK</v>
      </c>
      <c r="R2833" s="434" t="s">
        <v>16376</v>
      </c>
      <c r="S2833" s="434" t="s">
        <v>16368</v>
      </c>
      <c r="T2833" s="65"/>
      <c r="U2833" s="65"/>
      <c r="V2833" s="1439" t="s">
        <v>16369</v>
      </c>
      <c r="W2833" s="1225"/>
      <c r="X2833" s="51" t="str">
        <f t="array" ref="X2833"> if(iserror(MATCH(V2833, 'File Links'!C:C, 0)), "N/A", HYPERLINK(INDEX('File Links'!B:B, MATCH(V2833, 'File Links'!C:C, 0))))</f>
        <v>https://drive.google.com/file/d/16V6fX6zed8MKZ53zcmG18UMG8cS5fmS4/view?usp=drivesdk</v>
      </c>
      <c r="Y2833" s="65"/>
      <c r="Z2833" s="434" t="s">
        <v>1672</v>
      </c>
      <c r="AA2833" s="829" t="s">
        <v>16377</v>
      </c>
      <c r="AB2833" s="434" t="s">
        <v>16378</v>
      </c>
      <c r="AC2833" s="829" t="s">
        <v>16399</v>
      </c>
      <c r="AD2833" s="434" t="s">
        <v>16384</v>
      </c>
      <c r="AE2833" s="2243">
        <v>7.0</v>
      </c>
      <c r="AF2833" s="2270">
        <f>485*0.44</f>
        <v>213.4</v>
      </c>
      <c r="AG2833" s="2243">
        <v>0.188</v>
      </c>
      <c r="AH2833" s="434" t="s">
        <v>16387</v>
      </c>
      <c r="AI2833" s="434" t="s">
        <v>605</v>
      </c>
      <c r="AJ2833" s="65"/>
      <c r="AK2833" s="65"/>
      <c r="AL2833" s="434" t="s">
        <v>179</v>
      </c>
      <c r="AM2833" s="434" t="s">
        <v>130</v>
      </c>
      <c r="AN2833" s="434" t="s">
        <v>131</v>
      </c>
      <c r="AO2833" s="825">
        <v>285.0</v>
      </c>
      <c r="AP2833" s="2243">
        <v>0.071</v>
      </c>
      <c r="AQ2833" s="434" t="s">
        <v>16387</v>
      </c>
      <c r="AR2833" s="829" t="s">
        <v>621</v>
      </c>
      <c r="AS2833" s="434" t="s">
        <v>131</v>
      </c>
      <c r="AT2833" s="65"/>
      <c r="AU2833" s="434" t="s">
        <v>179</v>
      </c>
      <c r="AV2833" s="434" t="s">
        <v>130</v>
      </c>
      <c r="AW2833" s="434" t="s">
        <v>131</v>
      </c>
      <c r="AX2833" s="434" t="s">
        <v>136</v>
      </c>
      <c r="AZ2833" s="196" t="s">
        <v>15958</v>
      </c>
    </row>
    <row r="2834">
      <c r="A2834" s="41">
        <v>3095.0</v>
      </c>
      <c r="B2834" s="126" t="s">
        <v>516</v>
      </c>
      <c r="C2834" s="59" t="s">
        <v>108</v>
      </c>
      <c r="D2834" s="59" t="s">
        <v>146</v>
      </c>
      <c r="F2834" s="829" t="s">
        <v>16361</v>
      </c>
      <c r="G2834" s="434" t="s">
        <v>16462</v>
      </c>
      <c r="H2834" s="829" t="s">
        <v>15858</v>
      </c>
      <c r="I2834" s="2242">
        <v>45821.0</v>
      </c>
      <c r="J2834" s="859"/>
      <c r="K2834" s="434" t="s">
        <v>16382</v>
      </c>
      <c r="L2834" s="65"/>
      <c r="M2834" s="434" t="s">
        <v>16364</v>
      </c>
      <c r="N2834" s="434" t="s">
        <v>16365</v>
      </c>
      <c r="O2834" s="65"/>
      <c r="P2834" s="1439" t="s">
        <v>16366</v>
      </c>
      <c r="Q2834" s="2268" t="str">
        <f> hyperlink(vlookup(lower(N2834),'File Links'!E:F, 2, FALSE), "LINK")</f>
        <v>LINK</v>
      </c>
      <c r="R2834" s="434" t="s">
        <v>16376</v>
      </c>
      <c r="S2834" s="434" t="s">
        <v>16368</v>
      </c>
      <c r="T2834" s="65"/>
      <c r="U2834" s="65"/>
      <c r="V2834" s="1439" t="s">
        <v>16369</v>
      </c>
      <c r="W2834" s="1225"/>
      <c r="X2834" s="51" t="str">
        <f t="array" ref="X2834"> if(iserror(MATCH(V2834, 'File Links'!C:C, 0)), "N/A", HYPERLINK(INDEX('File Links'!B:B, MATCH(V2834, 'File Links'!C:C, 0))))</f>
        <v>https://drive.google.com/file/d/16V6fX6zed8MKZ53zcmG18UMG8cS5fmS4/view?usp=drivesdk</v>
      </c>
      <c r="Y2834" s="65"/>
      <c r="Z2834" s="434" t="s">
        <v>1672</v>
      </c>
      <c r="AA2834" s="829" t="s">
        <v>16377</v>
      </c>
      <c r="AB2834" s="434" t="s">
        <v>16378</v>
      </c>
      <c r="AC2834" s="829" t="s">
        <v>16399</v>
      </c>
      <c r="AD2834" s="434" t="s">
        <v>16384</v>
      </c>
      <c r="AE2834" s="2243">
        <v>7.0</v>
      </c>
      <c r="AF2834" s="2270">
        <f>485*0.14</f>
        <v>67.9</v>
      </c>
      <c r="AG2834" s="2243">
        <v>0.227</v>
      </c>
      <c r="AH2834" s="434" t="s">
        <v>16387</v>
      </c>
      <c r="AI2834" s="434" t="s">
        <v>429</v>
      </c>
      <c r="AJ2834" s="65"/>
      <c r="AK2834" s="65"/>
      <c r="AL2834" s="434" t="s">
        <v>179</v>
      </c>
      <c r="AM2834" s="434" t="s">
        <v>130</v>
      </c>
      <c r="AN2834" s="434" t="s">
        <v>131</v>
      </c>
      <c r="AO2834" s="825">
        <v>285.0</v>
      </c>
      <c r="AP2834" s="2243">
        <v>0.071</v>
      </c>
      <c r="AQ2834" s="434" t="s">
        <v>16387</v>
      </c>
      <c r="AR2834" s="829" t="s">
        <v>621</v>
      </c>
      <c r="AS2834" s="434" t="s">
        <v>131</v>
      </c>
      <c r="AT2834" s="65"/>
      <c r="AU2834" s="434" t="s">
        <v>179</v>
      </c>
      <c r="AV2834" s="434" t="s">
        <v>130</v>
      </c>
      <c r="AW2834" s="434" t="s">
        <v>131</v>
      </c>
      <c r="AX2834" s="434" t="s">
        <v>136</v>
      </c>
      <c r="AZ2834" s="196" t="s">
        <v>15958</v>
      </c>
    </row>
    <row r="2835">
      <c r="A2835" s="41">
        <v>3044.0</v>
      </c>
      <c r="B2835" s="126" t="s">
        <v>516</v>
      </c>
      <c r="C2835" s="59" t="s">
        <v>108</v>
      </c>
      <c r="D2835" s="59" t="s">
        <v>146</v>
      </c>
      <c r="F2835" s="829" t="s">
        <v>16361</v>
      </c>
      <c r="G2835" s="434" t="s">
        <v>16463</v>
      </c>
      <c r="H2835" s="829" t="s">
        <v>15858</v>
      </c>
      <c r="I2835" s="2242">
        <v>45821.0</v>
      </c>
      <c r="J2835" s="859"/>
      <c r="K2835" s="434" t="s">
        <v>16375</v>
      </c>
      <c r="L2835" s="65"/>
      <c r="M2835" s="434" t="s">
        <v>16364</v>
      </c>
      <c r="N2835" s="434" t="s">
        <v>16365</v>
      </c>
      <c r="O2835" s="65"/>
      <c r="P2835" s="1439" t="s">
        <v>16366</v>
      </c>
      <c r="Q2835" s="2268" t="str">
        <f> hyperlink(vlookup(lower(N2835),'File Links'!E:F, 2, FALSE), "LINK")</f>
        <v>LINK</v>
      </c>
      <c r="R2835" s="434" t="s">
        <v>16376</v>
      </c>
      <c r="S2835" s="434" t="s">
        <v>16368</v>
      </c>
      <c r="T2835" s="65"/>
      <c r="U2835" s="65"/>
      <c r="V2835" s="1439" t="s">
        <v>16369</v>
      </c>
      <c r="W2835" s="1225"/>
      <c r="X2835" s="51" t="str">
        <f t="array" ref="X2835"> if(iserror(MATCH(V2835, 'File Links'!C:C, 0)), "N/A", HYPERLINK(INDEX('File Links'!B:B, MATCH(V2835, 'File Links'!C:C, 0))))</f>
        <v>https://drive.google.com/file/d/16V6fX6zed8MKZ53zcmG18UMG8cS5fmS4/view?usp=drivesdk</v>
      </c>
      <c r="Y2835" s="65"/>
      <c r="Z2835" s="434" t="s">
        <v>1672</v>
      </c>
      <c r="AA2835" s="829" t="s">
        <v>16377</v>
      </c>
      <c r="AB2835" s="434" t="s">
        <v>16378</v>
      </c>
      <c r="AC2835" s="829" t="s">
        <v>16433</v>
      </c>
      <c r="AD2835" s="829" t="s">
        <v>16460</v>
      </c>
      <c r="AE2835" s="2243">
        <v>7.0</v>
      </c>
      <c r="AF2835" s="825">
        <v>485.0</v>
      </c>
      <c r="AG2835" s="2243">
        <v>0.176</v>
      </c>
      <c r="AH2835" s="434" t="s">
        <v>16387</v>
      </c>
      <c r="AI2835" s="434" t="s">
        <v>133</v>
      </c>
      <c r="AJ2835" s="65"/>
      <c r="AK2835" s="65"/>
      <c r="AL2835" s="434" t="s">
        <v>179</v>
      </c>
      <c r="AM2835" s="434" t="s">
        <v>130</v>
      </c>
      <c r="AN2835" s="65"/>
      <c r="AO2835" s="825">
        <v>285.0</v>
      </c>
      <c r="AP2835" s="2243">
        <v>0.034</v>
      </c>
      <c r="AQ2835" s="434" t="s">
        <v>16387</v>
      </c>
      <c r="AR2835" s="829" t="s">
        <v>621</v>
      </c>
      <c r="AS2835" s="434" t="s">
        <v>131</v>
      </c>
      <c r="AT2835" s="65"/>
      <c r="AU2835" s="434" t="s">
        <v>179</v>
      </c>
      <c r="AV2835" s="434" t="s">
        <v>130</v>
      </c>
      <c r="AW2835" s="434" t="s">
        <v>131</v>
      </c>
      <c r="AX2835" s="434" t="s">
        <v>136</v>
      </c>
      <c r="AZ2835" s="196" t="s">
        <v>15958</v>
      </c>
    </row>
    <row r="2836">
      <c r="A2836" s="41">
        <v>3070.0</v>
      </c>
      <c r="B2836" s="126" t="s">
        <v>516</v>
      </c>
      <c r="C2836" s="59" t="s">
        <v>108</v>
      </c>
      <c r="D2836" s="59" t="s">
        <v>146</v>
      </c>
      <c r="F2836" s="829" t="s">
        <v>16361</v>
      </c>
      <c r="G2836" s="434" t="s">
        <v>16464</v>
      </c>
      <c r="H2836" s="829" t="s">
        <v>15858</v>
      </c>
      <c r="I2836" s="2242">
        <v>45821.0</v>
      </c>
      <c r="J2836" s="859"/>
      <c r="K2836" s="434" t="s">
        <v>16382</v>
      </c>
      <c r="L2836" s="65"/>
      <c r="M2836" s="434" t="s">
        <v>16364</v>
      </c>
      <c r="N2836" s="434" t="s">
        <v>16365</v>
      </c>
      <c r="O2836" s="65"/>
      <c r="P2836" s="1439" t="s">
        <v>16366</v>
      </c>
      <c r="Q2836" s="2268" t="str">
        <f> hyperlink(vlookup(lower(N2836),'File Links'!E:F, 2, FALSE), "LINK")</f>
        <v>LINK</v>
      </c>
      <c r="R2836" s="434" t="s">
        <v>16376</v>
      </c>
      <c r="S2836" s="434" t="s">
        <v>16368</v>
      </c>
      <c r="T2836" s="65"/>
      <c r="U2836" s="65"/>
      <c r="V2836" s="1439" t="s">
        <v>16369</v>
      </c>
      <c r="W2836" s="1225"/>
      <c r="X2836" s="51" t="str">
        <f t="array" ref="X2836"> if(iserror(MATCH(V2836, 'File Links'!C:C, 0)), "N/A", HYPERLINK(INDEX('File Links'!B:B, MATCH(V2836, 'File Links'!C:C, 0))))</f>
        <v>https://drive.google.com/file/d/16V6fX6zed8MKZ53zcmG18UMG8cS5fmS4/view?usp=drivesdk</v>
      </c>
      <c r="Y2836" s="65"/>
      <c r="Z2836" s="434" t="s">
        <v>1672</v>
      </c>
      <c r="AA2836" s="829" t="s">
        <v>16377</v>
      </c>
      <c r="AB2836" s="434" t="s">
        <v>16378</v>
      </c>
      <c r="AC2836" s="829" t="s">
        <v>16465</v>
      </c>
      <c r="AD2836" s="434" t="s">
        <v>16384</v>
      </c>
      <c r="AE2836" s="2243">
        <v>7.0</v>
      </c>
      <c r="AF2836" s="2270">
        <f>485*0.26</f>
        <v>126.1</v>
      </c>
      <c r="AG2836" s="825">
        <v>0.342</v>
      </c>
      <c r="AH2836" s="434" t="s">
        <v>354</v>
      </c>
      <c r="AI2836" s="434" t="s">
        <v>605</v>
      </c>
      <c r="AJ2836" s="825">
        <v>8.0E-4</v>
      </c>
      <c r="AK2836" s="434" t="s">
        <v>165</v>
      </c>
      <c r="AL2836" s="434" t="s">
        <v>179</v>
      </c>
      <c r="AM2836" s="434" t="s">
        <v>130</v>
      </c>
      <c r="AN2836" s="434" t="s">
        <v>131</v>
      </c>
      <c r="AO2836" s="825">
        <v>285.0</v>
      </c>
      <c r="AP2836" s="2243">
        <v>0.101</v>
      </c>
      <c r="AQ2836" s="434" t="s">
        <v>354</v>
      </c>
      <c r="AR2836" s="829" t="s">
        <v>621</v>
      </c>
      <c r="AS2836" s="2243">
        <v>0.05</v>
      </c>
      <c r="AT2836" s="434" t="s">
        <v>328</v>
      </c>
      <c r="AU2836" s="434" t="s">
        <v>179</v>
      </c>
      <c r="AV2836" s="434" t="s">
        <v>130</v>
      </c>
      <c r="AW2836" s="434" t="s">
        <v>131</v>
      </c>
      <c r="AX2836" s="434" t="s">
        <v>136</v>
      </c>
      <c r="AZ2836" s="196" t="s">
        <v>15958</v>
      </c>
    </row>
    <row r="2837">
      <c r="A2837" s="41">
        <v>3096.0</v>
      </c>
      <c r="B2837" s="126" t="s">
        <v>516</v>
      </c>
      <c r="C2837" s="59" t="s">
        <v>108</v>
      </c>
      <c r="D2837" s="59" t="s">
        <v>146</v>
      </c>
      <c r="F2837" s="829" t="s">
        <v>16361</v>
      </c>
      <c r="G2837" s="434" t="s">
        <v>16466</v>
      </c>
      <c r="H2837" s="829" t="s">
        <v>15858</v>
      </c>
      <c r="I2837" s="2242">
        <v>45821.0</v>
      </c>
      <c r="J2837" s="859"/>
      <c r="K2837" s="434" t="s">
        <v>16382</v>
      </c>
      <c r="L2837" s="65"/>
      <c r="M2837" s="434" t="s">
        <v>16364</v>
      </c>
      <c r="N2837" s="434" t="s">
        <v>16365</v>
      </c>
      <c r="O2837" s="65"/>
      <c r="P2837" s="1439" t="s">
        <v>16366</v>
      </c>
      <c r="Q2837" s="2268" t="str">
        <f> hyperlink(vlookup(lower(N2837),'File Links'!E:F, 2, FALSE), "LINK")</f>
        <v>LINK</v>
      </c>
      <c r="R2837" s="434" t="s">
        <v>16376</v>
      </c>
      <c r="S2837" s="434" t="s">
        <v>16368</v>
      </c>
      <c r="T2837" s="65"/>
      <c r="U2837" s="65"/>
      <c r="V2837" s="1439" t="s">
        <v>16369</v>
      </c>
      <c r="W2837" s="1225"/>
      <c r="X2837" s="51" t="str">
        <f t="array" ref="X2837"> if(iserror(MATCH(V2837, 'File Links'!C:C, 0)), "N/A", HYPERLINK(INDEX('File Links'!B:B, MATCH(V2837, 'File Links'!C:C, 0))))</f>
        <v>https://drive.google.com/file/d/16V6fX6zed8MKZ53zcmG18UMG8cS5fmS4/view?usp=drivesdk</v>
      </c>
      <c r="Y2837" s="65"/>
      <c r="Z2837" s="434" t="s">
        <v>1672</v>
      </c>
      <c r="AA2837" s="829" t="s">
        <v>16377</v>
      </c>
      <c r="AB2837" s="434" t="s">
        <v>16378</v>
      </c>
      <c r="AC2837" s="829" t="s">
        <v>16467</v>
      </c>
      <c r="AD2837" s="434" t="s">
        <v>16384</v>
      </c>
      <c r="AE2837" s="2243">
        <v>7.0</v>
      </c>
      <c r="AF2837" s="2270">
        <f>485*0.13</f>
        <v>63.05</v>
      </c>
      <c r="AG2837" s="825">
        <v>0.606</v>
      </c>
      <c r="AH2837" s="434" t="s">
        <v>354</v>
      </c>
      <c r="AI2837" s="434" t="s">
        <v>2222</v>
      </c>
      <c r="AJ2837" s="825">
        <v>0.0019</v>
      </c>
      <c r="AK2837" s="434" t="s">
        <v>165</v>
      </c>
      <c r="AL2837" s="434" t="s">
        <v>179</v>
      </c>
      <c r="AM2837" s="434" t="s">
        <v>130</v>
      </c>
      <c r="AN2837" s="434" t="s">
        <v>131</v>
      </c>
      <c r="AO2837" s="825">
        <v>285.0</v>
      </c>
      <c r="AP2837" s="2243">
        <v>0.101</v>
      </c>
      <c r="AQ2837" s="434" t="s">
        <v>354</v>
      </c>
      <c r="AR2837" s="829" t="s">
        <v>621</v>
      </c>
      <c r="AS2837" s="2243">
        <v>0.05</v>
      </c>
      <c r="AT2837" s="434" t="s">
        <v>328</v>
      </c>
      <c r="AU2837" s="434" t="s">
        <v>179</v>
      </c>
      <c r="AV2837" s="434" t="s">
        <v>130</v>
      </c>
      <c r="AW2837" s="434" t="s">
        <v>131</v>
      </c>
      <c r="AX2837" s="434" t="s">
        <v>136</v>
      </c>
      <c r="AZ2837" s="196" t="s">
        <v>15958</v>
      </c>
    </row>
    <row r="2838">
      <c r="A2838" s="41">
        <v>3045.0</v>
      </c>
      <c r="B2838" s="126" t="s">
        <v>516</v>
      </c>
      <c r="C2838" s="59" t="s">
        <v>108</v>
      </c>
      <c r="D2838" s="59" t="s">
        <v>146</v>
      </c>
      <c r="F2838" s="829" t="s">
        <v>16361</v>
      </c>
      <c r="G2838" s="434" t="s">
        <v>16468</v>
      </c>
      <c r="H2838" s="829" t="s">
        <v>15858</v>
      </c>
      <c r="I2838" s="2242">
        <v>45821.0</v>
      </c>
      <c r="J2838" s="859"/>
      <c r="K2838" s="434" t="s">
        <v>16375</v>
      </c>
      <c r="L2838" s="65"/>
      <c r="M2838" s="434" t="s">
        <v>16364</v>
      </c>
      <c r="N2838" s="434" t="s">
        <v>16365</v>
      </c>
      <c r="O2838" s="65"/>
      <c r="P2838" s="1439" t="s">
        <v>16366</v>
      </c>
      <c r="Q2838" s="2268" t="str">
        <f> hyperlink(vlookup(lower(N2838),'File Links'!E:F, 2, FALSE), "LINK")</f>
        <v>LINK</v>
      </c>
      <c r="R2838" s="434" t="s">
        <v>16376</v>
      </c>
      <c r="S2838" s="434" t="s">
        <v>16368</v>
      </c>
      <c r="T2838" s="65"/>
      <c r="U2838" s="65"/>
      <c r="V2838" s="1439" t="s">
        <v>16369</v>
      </c>
      <c r="W2838" s="1225"/>
      <c r="X2838" s="51" t="str">
        <f t="array" ref="X2838"> if(iserror(MATCH(V2838, 'File Links'!C:C, 0)), "N/A", HYPERLINK(INDEX('File Links'!B:B, MATCH(V2838, 'File Links'!C:C, 0))))</f>
        <v>https://drive.google.com/file/d/16V6fX6zed8MKZ53zcmG18UMG8cS5fmS4/view?usp=drivesdk</v>
      </c>
      <c r="Y2838" s="65"/>
      <c r="Z2838" s="434" t="s">
        <v>1672</v>
      </c>
      <c r="AA2838" s="829" t="s">
        <v>16377</v>
      </c>
      <c r="AB2838" s="434" t="s">
        <v>16378</v>
      </c>
      <c r="AC2838" s="829" t="s">
        <v>16439</v>
      </c>
      <c r="AD2838" s="829" t="s">
        <v>16460</v>
      </c>
      <c r="AE2838" s="2243">
        <v>7.0</v>
      </c>
      <c r="AF2838" s="825">
        <v>485.0</v>
      </c>
      <c r="AG2838" s="2243">
        <v>0.194</v>
      </c>
      <c r="AH2838" s="434" t="s">
        <v>16387</v>
      </c>
      <c r="AI2838" s="434" t="s">
        <v>133</v>
      </c>
      <c r="AJ2838" s="65"/>
      <c r="AK2838" s="65"/>
      <c r="AL2838" s="434" t="s">
        <v>179</v>
      </c>
      <c r="AM2838" s="434" t="s">
        <v>130</v>
      </c>
      <c r="AN2838" s="65"/>
      <c r="AO2838" s="825">
        <v>285.0</v>
      </c>
      <c r="AP2838" s="2243">
        <v>0.048</v>
      </c>
      <c r="AQ2838" s="434" t="s">
        <v>16387</v>
      </c>
      <c r="AR2838" s="829" t="s">
        <v>621</v>
      </c>
      <c r="AS2838" s="434" t="s">
        <v>131</v>
      </c>
      <c r="AT2838" s="65"/>
      <c r="AU2838" s="434" t="s">
        <v>179</v>
      </c>
      <c r="AV2838" s="434" t="s">
        <v>130</v>
      </c>
      <c r="AW2838" s="434" t="s">
        <v>131</v>
      </c>
      <c r="AX2838" s="434" t="s">
        <v>136</v>
      </c>
      <c r="AZ2838" s="196" t="s">
        <v>15958</v>
      </c>
    </row>
    <row r="2839">
      <c r="A2839" s="41">
        <v>3071.0</v>
      </c>
      <c r="B2839" s="126" t="s">
        <v>516</v>
      </c>
      <c r="C2839" s="59" t="s">
        <v>108</v>
      </c>
      <c r="D2839" s="59" t="s">
        <v>146</v>
      </c>
      <c r="F2839" s="829" t="s">
        <v>16361</v>
      </c>
      <c r="G2839" s="434" t="s">
        <v>16469</v>
      </c>
      <c r="H2839" s="829" t="s">
        <v>15858</v>
      </c>
      <c r="I2839" s="2242">
        <v>45821.0</v>
      </c>
      <c r="J2839" s="859"/>
      <c r="K2839" s="434" t="s">
        <v>16382</v>
      </c>
      <c r="L2839" s="65"/>
      <c r="M2839" s="434" t="s">
        <v>16364</v>
      </c>
      <c r="N2839" s="434" t="s">
        <v>16365</v>
      </c>
      <c r="O2839" s="65"/>
      <c r="P2839" s="1439" t="s">
        <v>16366</v>
      </c>
      <c r="Q2839" s="2268" t="str">
        <f> hyperlink(vlookup(lower(N2839),'File Links'!E:F, 2, FALSE), "LINK")</f>
        <v>LINK</v>
      </c>
      <c r="R2839" s="434" t="s">
        <v>16376</v>
      </c>
      <c r="S2839" s="434" t="s">
        <v>16368</v>
      </c>
      <c r="T2839" s="65"/>
      <c r="U2839" s="65"/>
      <c r="V2839" s="1439" t="s">
        <v>16369</v>
      </c>
      <c r="W2839" s="1225"/>
      <c r="X2839" s="51" t="str">
        <f t="array" ref="X2839"> if(iserror(MATCH(V2839, 'File Links'!C:C, 0)), "N/A", HYPERLINK(INDEX('File Links'!B:B, MATCH(V2839, 'File Links'!C:C, 0))))</f>
        <v>https://drive.google.com/file/d/16V6fX6zed8MKZ53zcmG18UMG8cS5fmS4/view?usp=drivesdk</v>
      </c>
      <c r="Y2839" s="65"/>
      <c r="Z2839" s="434" t="s">
        <v>1672</v>
      </c>
      <c r="AA2839" s="829" t="s">
        <v>16377</v>
      </c>
      <c r="AB2839" s="434" t="s">
        <v>16378</v>
      </c>
      <c r="AC2839" s="829" t="s">
        <v>16470</v>
      </c>
      <c r="AD2839" s="434" t="s">
        <v>16384</v>
      </c>
      <c r="AE2839" s="2243">
        <v>7.0</v>
      </c>
      <c r="AF2839" s="2270">
        <f>485*0.26</f>
        <v>126.1</v>
      </c>
      <c r="AG2839" s="825">
        <v>0.336</v>
      </c>
      <c r="AH2839" s="434" t="s">
        <v>354</v>
      </c>
      <c r="AI2839" s="434" t="s">
        <v>605</v>
      </c>
      <c r="AJ2839" s="825">
        <v>0.022</v>
      </c>
      <c r="AK2839" s="434" t="s">
        <v>165</v>
      </c>
      <c r="AL2839" s="434" t="s">
        <v>179</v>
      </c>
      <c r="AM2839" s="434" t="s">
        <v>130</v>
      </c>
      <c r="AN2839" s="434" t="s">
        <v>131</v>
      </c>
      <c r="AO2839" s="825">
        <v>285.0</v>
      </c>
      <c r="AP2839" s="2243">
        <v>0.174</v>
      </c>
      <c r="AQ2839" s="434" t="s">
        <v>354</v>
      </c>
      <c r="AR2839" s="829" t="s">
        <v>621</v>
      </c>
      <c r="AS2839" s="2243">
        <v>0.01</v>
      </c>
      <c r="AT2839" s="434" t="s">
        <v>128</v>
      </c>
      <c r="AU2839" s="434" t="s">
        <v>179</v>
      </c>
      <c r="AV2839" s="434" t="s">
        <v>130</v>
      </c>
      <c r="AW2839" s="434" t="s">
        <v>131</v>
      </c>
      <c r="AX2839" s="434" t="s">
        <v>136</v>
      </c>
      <c r="AZ2839" s="196" t="s">
        <v>15958</v>
      </c>
    </row>
    <row r="2840">
      <c r="A2840" s="41">
        <v>3097.0</v>
      </c>
      <c r="B2840" s="126" t="s">
        <v>516</v>
      </c>
      <c r="C2840" s="59" t="s">
        <v>108</v>
      </c>
      <c r="D2840" s="59" t="s">
        <v>146</v>
      </c>
      <c r="F2840" s="829" t="s">
        <v>16361</v>
      </c>
      <c r="G2840" s="434" t="s">
        <v>16471</v>
      </c>
      <c r="H2840" s="829" t="s">
        <v>15858</v>
      </c>
      <c r="I2840" s="2242">
        <v>45821.0</v>
      </c>
      <c r="J2840" s="859"/>
      <c r="K2840" s="434" t="s">
        <v>16382</v>
      </c>
      <c r="L2840" s="65"/>
      <c r="M2840" s="434" t="s">
        <v>16364</v>
      </c>
      <c r="N2840" s="434" t="s">
        <v>16365</v>
      </c>
      <c r="O2840" s="65"/>
      <c r="P2840" s="1439" t="s">
        <v>16366</v>
      </c>
      <c r="Q2840" s="2268" t="str">
        <f> hyperlink(vlookup(lower(N2840),'File Links'!E:F, 2, FALSE), "LINK")</f>
        <v>LINK</v>
      </c>
      <c r="R2840" s="434" t="s">
        <v>16376</v>
      </c>
      <c r="S2840" s="434" t="s">
        <v>16368</v>
      </c>
      <c r="T2840" s="65"/>
      <c r="U2840" s="65"/>
      <c r="V2840" s="1439" t="s">
        <v>16369</v>
      </c>
      <c r="W2840" s="1225"/>
      <c r="X2840" s="51" t="str">
        <f t="array" ref="X2840"> if(iserror(MATCH(V2840, 'File Links'!C:C, 0)), "N/A", HYPERLINK(INDEX('File Links'!B:B, MATCH(V2840, 'File Links'!C:C, 0))))</f>
        <v>https://drive.google.com/file/d/16V6fX6zed8MKZ53zcmG18UMG8cS5fmS4/view?usp=drivesdk</v>
      </c>
      <c r="Y2840" s="65"/>
      <c r="Z2840" s="434" t="s">
        <v>1672</v>
      </c>
      <c r="AA2840" s="829" t="s">
        <v>16377</v>
      </c>
      <c r="AB2840" s="434" t="s">
        <v>16378</v>
      </c>
      <c r="AC2840" s="829" t="s">
        <v>16472</v>
      </c>
      <c r="AD2840" s="434" t="s">
        <v>16384</v>
      </c>
      <c r="AE2840" s="2243">
        <v>7.0</v>
      </c>
      <c r="AF2840" s="2270">
        <f>485*0.13</f>
        <v>63.05</v>
      </c>
      <c r="AG2840" s="825">
        <v>0.702</v>
      </c>
      <c r="AH2840" s="434" t="s">
        <v>354</v>
      </c>
      <c r="AI2840" s="434" t="s">
        <v>2222</v>
      </c>
      <c r="AJ2840" s="825">
        <v>0.0248</v>
      </c>
      <c r="AK2840" s="434" t="s">
        <v>165</v>
      </c>
      <c r="AL2840" s="434" t="s">
        <v>179</v>
      </c>
      <c r="AM2840" s="434" t="s">
        <v>130</v>
      </c>
      <c r="AN2840" s="434" t="s">
        <v>131</v>
      </c>
      <c r="AO2840" s="825">
        <v>285.0</v>
      </c>
      <c r="AP2840" s="2243">
        <v>0.174</v>
      </c>
      <c r="AQ2840" s="434" t="s">
        <v>354</v>
      </c>
      <c r="AR2840" s="829" t="s">
        <v>621</v>
      </c>
      <c r="AS2840" s="2243">
        <v>0.01</v>
      </c>
      <c r="AT2840" s="434" t="s">
        <v>128</v>
      </c>
      <c r="AU2840" s="434" t="s">
        <v>179</v>
      </c>
      <c r="AV2840" s="434" t="s">
        <v>130</v>
      </c>
      <c r="AW2840" s="434" t="s">
        <v>131</v>
      </c>
      <c r="AX2840" s="434" t="s">
        <v>136</v>
      </c>
      <c r="AZ2840" s="196" t="s">
        <v>15958</v>
      </c>
    </row>
    <row r="2841">
      <c r="A2841" s="41">
        <v>3046.0</v>
      </c>
      <c r="B2841" s="126" t="s">
        <v>516</v>
      </c>
      <c r="C2841" s="59" t="s">
        <v>108</v>
      </c>
      <c r="D2841" s="59" t="s">
        <v>146</v>
      </c>
      <c r="F2841" s="829" t="s">
        <v>16361</v>
      </c>
      <c r="G2841" s="434" t="s">
        <v>16473</v>
      </c>
      <c r="H2841" s="829" t="s">
        <v>15858</v>
      </c>
      <c r="I2841" s="2242">
        <v>45821.0</v>
      </c>
      <c r="J2841" s="859"/>
      <c r="K2841" s="434" t="s">
        <v>16375</v>
      </c>
      <c r="L2841" s="65"/>
      <c r="M2841" s="434" t="s">
        <v>16364</v>
      </c>
      <c r="N2841" s="434" t="s">
        <v>16365</v>
      </c>
      <c r="O2841" s="65"/>
      <c r="P2841" s="1439" t="s">
        <v>16366</v>
      </c>
      <c r="Q2841" s="2268" t="str">
        <f> hyperlink(vlookup(lower(N2841),'File Links'!E:F, 2, FALSE), "LINK")</f>
        <v>LINK</v>
      </c>
      <c r="R2841" s="434" t="s">
        <v>16376</v>
      </c>
      <c r="S2841" s="434" t="s">
        <v>16368</v>
      </c>
      <c r="T2841" s="65"/>
      <c r="U2841" s="65"/>
      <c r="V2841" s="1439" t="s">
        <v>16369</v>
      </c>
      <c r="W2841" s="1225"/>
      <c r="X2841" s="51" t="str">
        <f t="array" ref="X2841"> if(iserror(MATCH(V2841, 'File Links'!C:C, 0)), "N/A", HYPERLINK(INDEX('File Links'!B:B, MATCH(V2841, 'File Links'!C:C, 0))))</f>
        <v>https://drive.google.com/file/d/16V6fX6zed8MKZ53zcmG18UMG8cS5fmS4/view?usp=drivesdk</v>
      </c>
      <c r="Y2841" s="65"/>
      <c r="Z2841" s="434" t="s">
        <v>1672</v>
      </c>
      <c r="AA2841" s="829" t="s">
        <v>16377</v>
      </c>
      <c r="AB2841" s="434" t="s">
        <v>16378</v>
      </c>
      <c r="AC2841" s="829" t="s">
        <v>16444</v>
      </c>
      <c r="AD2841" s="829" t="s">
        <v>16460</v>
      </c>
      <c r="AE2841" s="2243">
        <v>7.0</v>
      </c>
      <c r="AF2841" s="825">
        <v>485.0</v>
      </c>
      <c r="AG2841" s="2243">
        <v>0.113</v>
      </c>
      <c r="AH2841" s="434" t="s">
        <v>16387</v>
      </c>
      <c r="AI2841" s="434" t="s">
        <v>133</v>
      </c>
      <c r="AJ2841" s="65"/>
      <c r="AK2841" s="65"/>
      <c r="AL2841" s="434" t="s">
        <v>179</v>
      </c>
      <c r="AM2841" s="434" t="s">
        <v>130</v>
      </c>
      <c r="AN2841" s="65"/>
      <c r="AO2841" s="825">
        <v>285.0</v>
      </c>
      <c r="AP2841" s="825">
        <v>0.081</v>
      </c>
      <c r="AQ2841" s="434" t="s">
        <v>16387</v>
      </c>
      <c r="AR2841" s="829" t="s">
        <v>621</v>
      </c>
      <c r="AS2841" s="434" t="s">
        <v>131</v>
      </c>
      <c r="AT2841" s="65"/>
      <c r="AU2841" s="434" t="s">
        <v>179</v>
      </c>
      <c r="AV2841" s="434" t="s">
        <v>130</v>
      </c>
      <c r="AW2841" s="434" t="s">
        <v>131</v>
      </c>
      <c r="AX2841" s="434" t="s">
        <v>136</v>
      </c>
      <c r="AZ2841" s="196" t="s">
        <v>15958</v>
      </c>
      <c r="BB2841" s="1061"/>
      <c r="BC2841" s="1061"/>
      <c r="BD2841" s="1061"/>
      <c r="BE2841" s="1061"/>
      <c r="BF2841" s="1061"/>
      <c r="BG2841" s="1061"/>
      <c r="BH2841" s="1061"/>
      <c r="BI2841" s="1061"/>
      <c r="BJ2841" s="1061"/>
      <c r="BK2841" s="1061"/>
      <c r="BL2841" s="1061"/>
      <c r="BM2841" s="1061"/>
      <c r="BN2841" s="1061"/>
      <c r="BO2841" s="1061"/>
      <c r="BP2841" s="1061"/>
      <c r="BQ2841" s="1061"/>
      <c r="BR2841" s="1061"/>
      <c r="BS2841" s="1061"/>
      <c r="BT2841" s="1061"/>
      <c r="BU2841" s="1061"/>
      <c r="BV2841" s="1061"/>
      <c r="BW2841" s="1061"/>
      <c r="BX2841" s="1061"/>
      <c r="BY2841" s="1061"/>
      <c r="BZ2841" s="1061"/>
      <c r="CA2841" s="1061"/>
      <c r="CB2841" s="1061"/>
      <c r="CC2841" s="1061"/>
      <c r="CD2841" s="1061"/>
      <c r="CE2841" s="1061"/>
      <c r="CF2841" s="1061"/>
      <c r="CG2841" s="1061"/>
      <c r="CH2841" s="1061"/>
      <c r="CI2841" s="1061"/>
      <c r="CJ2841" s="1061"/>
      <c r="CK2841" s="1061"/>
      <c r="CL2841" s="1061"/>
      <c r="CM2841" s="1061"/>
      <c r="CN2841" s="1061"/>
      <c r="CO2841" s="1061"/>
      <c r="CP2841" s="1061"/>
      <c r="CQ2841" s="1061"/>
      <c r="CR2841" s="1061"/>
      <c r="CS2841" s="1061"/>
      <c r="CT2841" s="1061"/>
      <c r="CU2841" s="1061"/>
      <c r="CV2841" s="1061"/>
      <c r="CW2841" s="1061"/>
      <c r="CX2841" s="1061"/>
      <c r="CY2841" s="1061"/>
      <c r="CZ2841" s="1061"/>
      <c r="DA2841" s="1061"/>
      <c r="DB2841" s="1061"/>
      <c r="DC2841" s="1061"/>
      <c r="DD2841" s="1061"/>
      <c r="DE2841" s="1061"/>
      <c r="DF2841" s="1061"/>
      <c r="DG2841" s="1061"/>
      <c r="DH2841" s="1061"/>
    </row>
    <row r="2842">
      <c r="A2842" s="41">
        <v>3072.0</v>
      </c>
      <c r="B2842" s="126" t="s">
        <v>516</v>
      </c>
      <c r="C2842" s="59" t="s">
        <v>108</v>
      </c>
      <c r="D2842" s="59" t="s">
        <v>146</v>
      </c>
      <c r="F2842" s="829" t="s">
        <v>16361</v>
      </c>
      <c r="G2842" s="434" t="s">
        <v>16474</v>
      </c>
      <c r="H2842" s="829" t="s">
        <v>15858</v>
      </c>
      <c r="I2842" s="2242">
        <v>45821.0</v>
      </c>
      <c r="J2842" s="859"/>
      <c r="K2842" s="434" t="s">
        <v>16382</v>
      </c>
      <c r="L2842" s="65"/>
      <c r="M2842" s="434" t="s">
        <v>16364</v>
      </c>
      <c r="N2842" s="434" t="s">
        <v>16365</v>
      </c>
      <c r="O2842" s="65"/>
      <c r="P2842" s="1439" t="s">
        <v>16366</v>
      </c>
      <c r="Q2842" s="2268" t="str">
        <f> hyperlink(vlookup(lower(N2842),'File Links'!E:F, 2, FALSE), "LINK")</f>
        <v>LINK</v>
      </c>
      <c r="R2842" s="434" t="s">
        <v>16376</v>
      </c>
      <c r="S2842" s="434" t="s">
        <v>16368</v>
      </c>
      <c r="T2842" s="65"/>
      <c r="U2842" s="65"/>
      <c r="V2842" s="1439" t="s">
        <v>16369</v>
      </c>
      <c r="W2842" s="1225"/>
      <c r="X2842" s="51" t="str">
        <f t="array" ref="X2842"> if(iserror(MATCH(V2842, 'File Links'!C:C, 0)), "N/A", HYPERLINK(INDEX('File Links'!B:B, MATCH(V2842, 'File Links'!C:C, 0))))</f>
        <v>https://drive.google.com/file/d/16V6fX6zed8MKZ53zcmG18UMG8cS5fmS4/view?usp=drivesdk</v>
      </c>
      <c r="Y2842" s="65"/>
      <c r="Z2842" s="434" t="s">
        <v>1672</v>
      </c>
      <c r="AA2842" s="829" t="s">
        <v>16377</v>
      </c>
      <c r="AB2842" s="434" t="s">
        <v>16378</v>
      </c>
      <c r="AC2842" s="829" t="s">
        <v>16475</v>
      </c>
      <c r="AD2842" s="434" t="s">
        <v>16384</v>
      </c>
      <c r="AE2842" s="2243">
        <v>7.0</v>
      </c>
      <c r="AF2842" s="2270">
        <f>485*0.26</f>
        <v>126.1</v>
      </c>
      <c r="AG2842" s="2243">
        <v>0.257</v>
      </c>
      <c r="AH2842" s="434" t="s">
        <v>354</v>
      </c>
      <c r="AI2842" s="434" t="s">
        <v>429</v>
      </c>
      <c r="AJ2842" s="2243">
        <v>0.0064</v>
      </c>
      <c r="AK2842" s="434" t="s">
        <v>165</v>
      </c>
      <c r="AL2842" s="434" t="s">
        <v>179</v>
      </c>
      <c r="AM2842" s="434" t="s">
        <v>130</v>
      </c>
      <c r="AN2842" s="434" t="s">
        <v>131</v>
      </c>
      <c r="AO2842" s="825">
        <v>285.0</v>
      </c>
      <c r="AP2842" s="825">
        <v>0.151</v>
      </c>
      <c r="AQ2842" s="434" t="s">
        <v>354</v>
      </c>
      <c r="AR2842" s="829" t="s">
        <v>621</v>
      </c>
      <c r="AS2842" s="2243">
        <v>0.05</v>
      </c>
      <c r="AT2842" s="434" t="s">
        <v>128</v>
      </c>
      <c r="AU2842" s="434" t="s">
        <v>179</v>
      </c>
      <c r="AV2842" s="434" t="s">
        <v>130</v>
      </c>
      <c r="AW2842" s="434" t="s">
        <v>131</v>
      </c>
      <c r="AX2842" s="434" t="s">
        <v>136</v>
      </c>
      <c r="AZ2842" s="196" t="s">
        <v>15958</v>
      </c>
    </row>
    <row r="2843">
      <c r="A2843" s="41">
        <v>3098.0</v>
      </c>
      <c r="B2843" s="126" t="s">
        <v>516</v>
      </c>
      <c r="C2843" s="59" t="s">
        <v>108</v>
      </c>
      <c r="D2843" s="59" t="s">
        <v>146</v>
      </c>
      <c r="F2843" s="829" t="s">
        <v>16361</v>
      </c>
      <c r="G2843" s="434" t="s">
        <v>16476</v>
      </c>
      <c r="H2843" s="829" t="s">
        <v>15858</v>
      </c>
      <c r="I2843" s="2242">
        <v>45821.0</v>
      </c>
      <c r="J2843" s="859"/>
      <c r="K2843" s="434" t="s">
        <v>16382</v>
      </c>
      <c r="L2843" s="65"/>
      <c r="M2843" s="434" t="s">
        <v>16364</v>
      </c>
      <c r="N2843" s="434" t="s">
        <v>16365</v>
      </c>
      <c r="O2843" s="65"/>
      <c r="P2843" s="1439" t="s">
        <v>16366</v>
      </c>
      <c r="Q2843" s="2268" t="str">
        <f> hyperlink(vlookup(lower(N2843),'File Links'!E:F, 2, FALSE), "LINK")</f>
        <v>LINK</v>
      </c>
      <c r="R2843" s="434" t="s">
        <v>16376</v>
      </c>
      <c r="S2843" s="434" t="s">
        <v>16368</v>
      </c>
      <c r="T2843" s="65"/>
      <c r="U2843" s="65"/>
      <c r="V2843" s="1439" t="s">
        <v>16369</v>
      </c>
      <c r="W2843" s="1225"/>
      <c r="X2843" s="51" t="str">
        <f t="array" ref="X2843"> if(iserror(MATCH(V2843, 'File Links'!C:C, 0)), "N/A", HYPERLINK(INDEX('File Links'!B:B, MATCH(V2843, 'File Links'!C:C, 0))))</f>
        <v>https://drive.google.com/file/d/16V6fX6zed8MKZ53zcmG18UMG8cS5fmS4/view?usp=drivesdk</v>
      </c>
      <c r="Y2843" s="65"/>
      <c r="Z2843" s="434" t="s">
        <v>1672</v>
      </c>
      <c r="AA2843" s="829" t="s">
        <v>16377</v>
      </c>
      <c r="AB2843" s="434" t="s">
        <v>16378</v>
      </c>
      <c r="AC2843" s="829" t="s">
        <v>16477</v>
      </c>
      <c r="AD2843" s="434" t="s">
        <v>16384</v>
      </c>
      <c r="AE2843" s="2243">
        <v>7.0</v>
      </c>
      <c r="AF2843" s="2270">
        <f>485*0.13</f>
        <v>63.05</v>
      </c>
      <c r="AG2843" s="2243">
        <v>0.395</v>
      </c>
      <c r="AH2843" s="434" t="s">
        <v>354</v>
      </c>
      <c r="AI2843" s="434" t="s">
        <v>2222</v>
      </c>
      <c r="AJ2843" s="2243">
        <v>0.0218</v>
      </c>
      <c r="AK2843" s="434" t="s">
        <v>165</v>
      </c>
      <c r="AL2843" s="434" t="s">
        <v>179</v>
      </c>
      <c r="AM2843" s="434" t="s">
        <v>130</v>
      </c>
      <c r="AN2843" s="434" t="s">
        <v>131</v>
      </c>
      <c r="AO2843" s="825">
        <v>285.0</v>
      </c>
      <c r="AP2843" s="2243">
        <v>0.106</v>
      </c>
      <c r="AQ2843" s="434" t="s">
        <v>354</v>
      </c>
      <c r="AR2843" s="829" t="s">
        <v>621</v>
      </c>
      <c r="AS2843" s="825">
        <v>0.05</v>
      </c>
      <c r="AT2843" s="434" t="s">
        <v>328</v>
      </c>
      <c r="AU2843" s="434" t="s">
        <v>179</v>
      </c>
      <c r="AV2843" s="434" t="s">
        <v>130</v>
      </c>
      <c r="AW2843" s="434" t="s">
        <v>131</v>
      </c>
      <c r="AX2843" s="434" t="s">
        <v>136</v>
      </c>
      <c r="AZ2843" s="196" t="s">
        <v>15958</v>
      </c>
    </row>
    <row r="2844">
      <c r="A2844" s="41">
        <v>3047.0</v>
      </c>
      <c r="B2844" s="126" t="s">
        <v>516</v>
      </c>
      <c r="C2844" s="59" t="s">
        <v>108</v>
      </c>
      <c r="D2844" s="59" t="s">
        <v>146</v>
      </c>
      <c r="F2844" s="829" t="s">
        <v>16361</v>
      </c>
      <c r="G2844" s="434" t="s">
        <v>16478</v>
      </c>
      <c r="H2844" s="829" t="s">
        <v>15858</v>
      </c>
      <c r="I2844" s="2242">
        <v>45821.0</v>
      </c>
      <c r="J2844" s="859"/>
      <c r="K2844" s="434" t="s">
        <v>16375</v>
      </c>
      <c r="L2844" s="65"/>
      <c r="M2844" s="434" t="s">
        <v>16364</v>
      </c>
      <c r="N2844" s="434" t="s">
        <v>16365</v>
      </c>
      <c r="O2844" s="65"/>
      <c r="P2844" s="1439" t="s">
        <v>16366</v>
      </c>
      <c r="Q2844" s="2268" t="str">
        <f> hyperlink(vlookup(lower(N2844),'File Links'!E:F, 2, FALSE), "LINK")</f>
        <v>LINK</v>
      </c>
      <c r="R2844" s="434" t="s">
        <v>16376</v>
      </c>
      <c r="S2844" s="434" t="s">
        <v>16368</v>
      </c>
      <c r="T2844" s="65"/>
      <c r="U2844" s="65"/>
      <c r="V2844" s="1439" t="s">
        <v>16369</v>
      </c>
      <c r="W2844" s="1225"/>
      <c r="X2844" s="51" t="str">
        <f t="array" ref="X2844"> if(iserror(MATCH(V2844, 'File Links'!C:C, 0)), "N/A", HYPERLINK(INDEX('File Links'!B:B, MATCH(V2844, 'File Links'!C:C, 0))))</f>
        <v>https://drive.google.com/file/d/16V6fX6zed8MKZ53zcmG18UMG8cS5fmS4/view?usp=drivesdk</v>
      </c>
      <c r="Y2844" s="65"/>
      <c r="Z2844" s="434" t="s">
        <v>1672</v>
      </c>
      <c r="AA2844" s="829" t="s">
        <v>16377</v>
      </c>
      <c r="AB2844" s="434" t="s">
        <v>16378</v>
      </c>
      <c r="AC2844" s="829" t="s">
        <v>16449</v>
      </c>
      <c r="AD2844" s="829" t="s">
        <v>16460</v>
      </c>
      <c r="AE2844" s="2243">
        <v>7.0</v>
      </c>
      <c r="AF2844" s="825">
        <v>485.0</v>
      </c>
      <c r="AG2844" s="2243">
        <v>0.192</v>
      </c>
      <c r="AH2844" s="434" t="s">
        <v>16387</v>
      </c>
      <c r="AI2844" s="434" t="s">
        <v>133</v>
      </c>
      <c r="AJ2844" s="65"/>
      <c r="AK2844" s="65"/>
      <c r="AL2844" s="434" t="s">
        <v>179</v>
      </c>
      <c r="AM2844" s="434" t="s">
        <v>130</v>
      </c>
      <c r="AN2844" s="65"/>
      <c r="AO2844" s="825">
        <v>285.0</v>
      </c>
      <c r="AP2844" s="2243">
        <v>0.027</v>
      </c>
      <c r="AQ2844" s="434" t="s">
        <v>16387</v>
      </c>
      <c r="AR2844" s="829" t="s">
        <v>621</v>
      </c>
      <c r="AS2844" s="434" t="s">
        <v>131</v>
      </c>
      <c r="AT2844" s="65"/>
      <c r="AU2844" s="434" t="s">
        <v>179</v>
      </c>
      <c r="AV2844" s="434" t="s">
        <v>130</v>
      </c>
      <c r="AW2844" s="434" t="s">
        <v>131</v>
      </c>
      <c r="AX2844" s="434" t="s">
        <v>136</v>
      </c>
      <c r="AZ2844" s="196" t="s">
        <v>15958</v>
      </c>
    </row>
    <row r="2845">
      <c r="A2845" s="41">
        <v>3073.0</v>
      </c>
      <c r="B2845" s="126" t="s">
        <v>516</v>
      </c>
      <c r="C2845" s="59" t="s">
        <v>108</v>
      </c>
      <c r="D2845" s="59" t="s">
        <v>146</v>
      </c>
      <c r="F2845" s="829" t="s">
        <v>16361</v>
      </c>
      <c r="G2845" s="434" t="s">
        <v>16479</v>
      </c>
      <c r="H2845" s="829" t="s">
        <v>15858</v>
      </c>
      <c r="I2845" s="2242">
        <v>45821.0</v>
      </c>
      <c r="J2845" s="859"/>
      <c r="K2845" s="434" t="s">
        <v>16382</v>
      </c>
      <c r="L2845" s="65"/>
      <c r="M2845" s="434" t="s">
        <v>16364</v>
      </c>
      <c r="N2845" s="434" t="s">
        <v>16365</v>
      </c>
      <c r="O2845" s="65"/>
      <c r="P2845" s="1439" t="s">
        <v>16366</v>
      </c>
      <c r="Q2845" s="2268" t="str">
        <f> hyperlink(vlookup(lower(N2845),'File Links'!E:F, 2, FALSE), "LINK")</f>
        <v>LINK</v>
      </c>
      <c r="R2845" s="434" t="s">
        <v>16376</v>
      </c>
      <c r="S2845" s="434" t="s">
        <v>16368</v>
      </c>
      <c r="T2845" s="65"/>
      <c r="U2845" s="65"/>
      <c r="V2845" s="1439" t="s">
        <v>16369</v>
      </c>
      <c r="W2845" s="1225"/>
      <c r="X2845" s="51" t="str">
        <f t="array" ref="X2845"> if(iserror(MATCH(V2845, 'File Links'!C:C, 0)), "N/A", HYPERLINK(INDEX('File Links'!B:B, MATCH(V2845, 'File Links'!C:C, 0))))</f>
        <v>https://drive.google.com/file/d/16V6fX6zed8MKZ53zcmG18UMG8cS5fmS4/view?usp=drivesdk</v>
      </c>
      <c r="Y2845" s="65"/>
      <c r="Z2845" s="434" t="s">
        <v>1672</v>
      </c>
      <c r="AA2845" s="829" t="s">
        <v>16377</v>
      </c>
      <c r="AB2845" s="434" t="s">
        <v>16378</v>
      </c>
      <c r="AC2845" s="829" t="s">
        <v>16480</v>
      </c>
      <c r="AD2845" s="434" t="s">
        <v>16384</v>
      </c>
      <c r="AE2845" s="2243">
        <v>7.0</v>
      </c>
      <c r="AF2845" s="2270">
        <f>485*0.26</f>
        <v>126.1</v>
      </c>
      <c r="AG2845" s="2243">
        <v>0.255</v>
      </c>
      <c r="AH2845" s="434" t="s">
        <v>354</v>
      </c>
      <c r="AI2845" s="434" t="s">
        <v>429</v>
      </c>
      <c r="AJ2845" s="825">
        <v>0.0346</v>
      </c>
      <c r="AK2845" s="434" t="s">
        <v>165</v>
      </c>
      <c r="AL2845" s="434" t="s">
        <v>179</v>
      </c>
      <c r="AM2845" s="434" t="s">
        <v>130</v>
      </c>
      <c r="AN2845" s="434" t="s">
        <v>131</v>
      </c>
      <c r="AO2845" s="825">
        <v>285.0</v>
      </c>
      <c r="AP2845" s="2243">
        <v>0.283</v>
      </c>
      <c r="AQ2845" s="434" t="s">
        <v>354</v>
      </c>
      <c r="AR2845" s="829" t="s">
        <v>621</v>
      </c>
      <c r="AS2845" s="2243">
        <v>0.001</v>
      </c>
      <c r="AT2845" s="434" t="s">
        <v>128</v>
      </c>
      <c r="AU2845" s="434" t="s">
        <v>179</v>
      </c>
      <c r="AV2845" s="434" t="s">
        <v>130</v>
      </c>
      <c r="AW2845" s="434" t="s">
        <v>131</v>
      </c>
      <c r="AX2845" s="434" t="s">
        <v>136</v>
      </c>
      <c r="AZ2845" s="196" t="s">
        <v>15958</v>
      </c>
    </row>
    <row r="2846">
      <c r="A2846" s="41">
        <v>3099.0</v>
      </c>
      <c r="B2846" s="126" t="s">
        <v>516</v>
      </c>
      <c r="C2846" s="59" t="s">
        <v>108</v>
      </c>
      <c r="D2846" s="59" t="s">
        <v>146</v>
      </c>
      <c r="F2846" s="829" t="s">
        <v>16361</v>
      </c>
      <c r="G2846" s="434" t="s">
        <v>16481</v>
      </c>
      <c r="H2846" s="829" t="s">
        <v>15858</v>
      </c>
      <c r="I2846" s="2242">
        <v>45821.0</v>
      </c>
      <c r="J2846" s="859"/>
      <c r="K2846" s="434" t="s">
        <v>16382</v>
      </c>
      <c r="L2846" s="65"/>
      <c r="M2846" s="434" t="s">
        <v>16364</v>
      </c>
      <c r="N2846" s="434" t="s">
        <v>16365</v>
      </c>
      <c r="O2846" s="65"/>
      <c r="P2846" s="1439" t="s">
        <v>16366</v>
      </c>
      <c r="Q2846" s="2268" t="str">
        <f> hyperlink(vlookup(lower(N2846),'File Links'!E:F, 2, FALSE), "LINK")</f>
        <v>LINK</v>
      </c>
      <c r="R2846" s="434" t="s">
        <v>16376</v>
      </c>
      <c r="S2846" s="434" t="s">
        <v>16368</v>
      </c>
      <c r="T2846" s="65"/>
      <c r="U2846" s="65"/>
      <c r="V2846" s="1439" t="s">
        <v>16369</v>
      </c>
      <c r="W2846" s="1225"/>
      <c r="X2846" s="51" t="str">
        <f t="array" ref="X2846"> if(iserror(MATCH(V2846, 'File Links'!C:C, 0)), "N/A", HYPERLINK(INDEX('File Links'!B:B, MATCH(V2846, 'File Links'!C:C, 0))))</f>
        <v>https://drive.google.com/file/d/16V6fX6zed8MKZ53zcmG18UMG8cS5fmS4/view?usp=drivesdk</v>
      </c>
      <c r="Y2846" s="65"/>
      <c r="Z2846" s="434" t="s">
        <v>1672</v>
      </c>
      <c r="AA2846" s="829" t="s">
        <v>16377</v>
      </c>
      <c r="AB2846" s="434" t="s">
        <v>16378</v>
      </c>
      <c r="AC2846" s="829" t="s">
        <v>16482</v>
      </c>
      <c r="AD2846" s="434" t="s">
        <v>16384</v>
      </c>
      <c r="AE2846" s="2243">
        <v>7.0</v>
      </c>
      <c r="AF2846" s="2270">
        <f>485*0.13</f>
        <v>63.05</v>
      </c>
      <c r="AG2846" s="2243">
        <v>0.351</v>
      </c>
      <c r="AH2846" s="434" t="s">
        <v>354</v>
      </c>
      <c r="AI2846" s="434" t="s">
        <v>2222</v>
      </c>
      <c r="AJ2846" s="2243">
        <v>0.0768</v>
      </c>
      <c r="AK2846" s="434" t="s">
        <v>165</v>
      </c>
      <c r="AL2846" s="434" t="s">
        <v>179</v>
      </c>
      <c r="AM2846" s="434" t="s">
        <v>130</v>
      </c>
      <c r="AN2846" s="434" t="s">
        <v>131</v>
      </c>
      <c r="AO2846" s="825">
        <v>285.0</v>
      </c>
      <c r="AP2846" s="2243">
        <v>0.106</v>
      </c>
      <c r="AQ2846" s="434" t="s">
        <v>354</v>
      </c>
      <c r="AR2846" s="829" t="s">
        <v>621</v>
      </c>
      <c r="AS2846" s="825">
        <v>0.05</v>
      </c>
      <c r="AT2846" s="434" t="s">
        <v>328</v>
      </c>
      <c r="AU2846" s="434" t="s">
        <v>179</v>
      </c>
      <c r="AV2846" s="434" t="s">
        <v>130</v>
      </c>
      <c r="AW2846" s="434" t="s">
        <v>131</v>
      </c>
      <c r="AX2846" s="434" t="s">
        <v>136</v>
      </c>
      <c r="AZ2846" s="196" t="s">
        <v>15958</v>
      </c>
    </row>
    <row r="2847">
      <c r="A2847" s="41">
        <v>3048.0</v>
      </c>
      <c r="B2847" s="126" t="s">
        <v>516</v>
      </c>
      <c r="C2847" s="59" t="s">
        <v>108</v>
      </c>
      <c r="D2847" s="59" t="s">
        <v>146</v>
      </c>
      <c r="F2847" s="829" t="s">
        <v>16361</v>
      </c>
      <c r="G2847" s="434" t="s">
        <v>16483</v>
      </c>
      <c r="H2847" s="829" t="s">
        <v>15858</v>
      </c>
      <c r="I2847" s="2242">
        <v>45821.0</v>
      </c>
      <c r="J2847" s="859"/>
      <c r="K2847" s="434" t="s">
        <v>16375</v>
      </c>
      <c r="L2847" s="65"/>
      <c r="M2847" s="434" t="s">
        <v>16364</v>
      </c>
      <c r="N2847" s="434" t="s">
        <v>16365</v>
      </c>
      <c r="O2847" s="65"/>
      <c r="P2847" s="1439" t="s">
        <v>16366</v>
      </c>
      <c r="Q2847" s="2268" t="str">
        <f> hyperlink(vlookup(lower(N2847),'File Links'!E:F, 2, FALSE), "LINK")</f>
        <v>LINK</v>
      </c>
      <c r="R2847" s="434" t="s">
        <v>16376</v>
      </c>
      <c r="S2847" s="434" t="s">
        <v>16368</v>
      </c>
      <c r="T2847" s="65"/>
      <c r="U2847" s="65"/>
      <c r="V2847" s="1439" t="s">
        <v>16369</v>
      </c>
      <c r="W2847" s="1225"/>
      <c r="X2847" s="51" t="str">
        <f t="array" ref="X2847"> if(iserror(MATCH(V2847, 'File Links'!C:C, 0)), "N/A", HYPERLINK(INDEX('File Links'!B:B, MATCH(V2847, 'File Links'!C:C, 0))))</f>
        <v>https://drive.google.com/file/d/16V6fX6zed8MKZ53zcmG18UMG8cS5fmS4/view?usp=drivesdk</v>
      </c>
      <c r="Y2847" s="65"/>
      <c r="Z2847" s="434" t="s">
        <v>1672</v>
      </c>
      <c r="AA2847" s="829" t="s">
        <v>16377</v>
      </c>
      <c r="AB2847" s="434" t="s">
        <v>16378</v>
      </c>
      <c r="AC2847" s="829" t="s">
        <v>16386</v>
      </c>
      <c r="AD2847" s="829" t="s">
        <v>16460</v>
      </c>
      <c r="AE2847" s="2243">
        <v>7.0</v>
      </c>
      <c r="AF2847" s="825">
        <v>485.0</v>
      </c>
      <c r="AG2847" s="2243">
        <v>0.176</v>
      </c>
      <c r="AH2847" s="434" t="s">
        <v>16387</v>
      </c>
      <c r="AI2847" s="434" t="s">
        <v>133</v>
      </c>
      <c r="AJ2847" s="65"/>
      <c r="AK2847" s="65"/>
      <c r="AL2847" s="434" t="s">
        <v>179</v>
      </c>
      <c r="AM2847" s="434" t="s">
        <v>130</v>
      </c>
      <c r="AN2847" s="65"/>
      <c r="AO2847" s="825">
        <v>285.0</v>
      </c>
      <c r="AP2847" s="2243">
        <v>0.057</v>
      </c>
      <c r="AQ2847" s="434" t="s">
        <v>16387</v>
      </c>
      <c r="AR2847" s="829" t="s">
        <v>621</v>
      </c>
      <c r="AS2847" s="434" t="s">
        <v>131</v>
      </c>
      <c r="AT2847" s="65"/>
      <c r="AU2847" s="434" t="s">
        <v>179</v>
      </c>
      <c r="AV2847" s="434" t="s">
        <v>130</v>
      </c>
      <c r="AW2847" s="434" t="s">
        <v>131</v>
      </c>
      <c r="AX2847" s="434" t="s">
        <v>136</v>
      </c>
      <c r="AZ2847" s="196" t="s">
        <v>15958</v>
      </c>
    </row>
    <row r="2848">
      <c r="A2848" s="41">
        <v>3074.0</v>
      </c>
      <c r="B2848" s="126" t="s">
        <v>516</v>
      </c>
      <c r="C2848" s="59" t="s">
        <v>108</v>
      </c>
      <c r="D2848" s="59" t="s">
        <v>146</v>
      </c>
      <c r="F2848" s="829" t="s">
        <v>16361</v>
      </c>
      <c r="G2848" s="434" t="s">
        <v>16484</v>
      </c>
      <c r="H2848" s="829" t="s">
        <v>15858</v>
      </c>
      <c r="I2848" s="2242">
        <v>45821.0</v>
      </c>
      <c r="J2848" s="859"/>
      <c r="K2848" s="434" t="s">
        <v>16382</v>
      </c>
      <c r="L2848" s="65"/>
      <c r="M2848" s="434" t="s">
        <v>16364</v>
      </c>
      <c r="N2848" s="434" t="s">
        <v>16365</v>
      </c>
      <c r="O2848" s="65"/>
      <c r="P2848" s="1439" t="s">
        <v>16366</v>
      </c>
      <c r="Q2848" s="2268" t="str">
        <f> hyperlink(vlookup(lower(N2848),'File Links'!E:F, 2, FALSE), "LINK")</f>
        <v>LINK</v>
      </c>
      <c r="R2848" s="434" t="s">
        <v>16376</v>
      </c>
      <c r="S2848" s="434" t="s">
        <v>16368</v>
      </c>
      <c r="T2848" s="65"/>
      <c r="U2848" s="65"/>
      <c r="V2848" s="1439" t="s">
        <v>16369</v>
      </c>
      <c r="W2848" s="1225"/>
      <c r="X2848" s="51" t="str">
        <f t="array" ref="X2848"> if(iserror(MATCH(V2848, 'File Links'!C:C, 0)), "N/A", HYPERLINK(INDEX('File Links'!B:B, MATCH(V2848, 'File Links'!C:C, 0))))</f>
        <v>https://drive.google.com/file/d/16V6fX6zed8MKZ53zcmG18UMG8cS5fmS4/view?usp=drivesdk</v>
      </c>
      <c r="Y2848" s="65"/>
      <c r="Z2848" s="434" t="s">
        <v>1672</v>
      </c>
      <c r="AA2848" s="829" t="s">
        <v>16377</v>
      </c>
      <c r="AB2848" s="434" t="s">
        <v>16378</v>
      </c>
      <c r="AC2848" s="829" t="s">
        <v>16485</v>
      </c>
      <c r="AD2848" s="434" t="s">
        <v>16384</v>
      </c>
      <c r="AE2848" s="2243">
        <v>7.0</v>
      </c>
      <c r="AF2848" s="2270">
        <f>485*0.26</f>
        <v>126.1</v>
      </c>
      <c r="AG2848" s="2243">
        <v>0.221</v>
      </c>
      <c r="AH2848" s="434" t="s">
        <v>354</v>
      </c>
      <c r="AI2848" s="434" t="s">
        <v>429</v>
      </c>
      <c r="AJ2848" s="825">
        <v>0.0106</v>
      </c>
      <c r="AK2848" s="65"/>
      <c r="AL2848" s="434" t="s">
        <v>179</v>
      </c>
      <c r="AM2848" s="434" t="s">
        <v>130</v>
      </c>
      <c r="AN2848" s="434" t="s">
        <v>131</v>
      </c>
      <c r="AO2848" s="825">
        <v>285.0</v>
      </c>
      <c r="AP2848" s="825">
        <v>0.236</v>
      </c>
      <c r="AQ2848" s="434" t="s">
        <v>354</v>
      </c>
      <c r="AR2848" s="829" t="s">
        <v>621</v>
      </c>
      <c r="AS2848" s="825">
        <v>0.001</v>
      </c>
      <c r="AT2848" s="434" t="s">
        <v>128</v>
      </c>
      <c r="AU2848" s="434" t="s">
        <v>179</v>
      </c>
      <c r="AV2848" s="434" t="s">
        <v>130</v>
      </c>
      <c r="AW2848" s="434" t="s">
        <v>131</v>
      </c>
      <c r="AX2848" s="434" t="s">
        <v>136</v>
      </c>
      <c r="AZ2848" s="196" t="s">
        <v>15958</v>
      </c>
      <c r="BB2848" s="186"/>
      <c r="BC2848" s="186"/>
      <c r="BD2848" s="186"/>
      <c r="BE2848" s="186"/>
      <c r="BF2848" s="186"/>
      <c r="BG2848" s="186"/>
      <c r="BH2848" s="186"/>
      <c r="BI2848" s="186"/>
      <c r="BJ2848" s="186"/>
      <c r="BK2848" s="186"/>
      <c r="BL2848" s="186"/>
      <c r="BM2848" s="186"/>
      <c r="BN2848" s="186"/>
      <c r="BO2848" s="186"/>
      <c r="BP2848" s="186"/>
      <c r="BQ2848" s="186"/>
      <c r="BR2848" s="186"/>
      <c r="BS2848" s="186"/>
      <c r="BT2848" s="186"/>
      <c r="BU2848" s="186"/>
      <c r="BV2848" s="186"/>
      <c r="BW2848" s="186"/>
      <c r="BX2848" s="186"/>
      <c r="BY2848" s="186"/>
      <c r="BZ2848" s="186"/>
      <c r="CA2848" s="186"/>
      <c r="CB2848" s="186"/>
      <c r="CC2848" s="186"/>
      <c r="CD2848" s="186"/>
      <c r="CE2848" s="186"/>
      <c r="CF2848" s="186"/>
      <c r="CG2848" s="186"/>
      <c r="CH2848" s="186"/>
      <c r="CI2848" s="186"/>
      <c r="CJ2848" s="186"/>
      <c r="CK2848" s="186"/>
      <c r="CL2848" s="186"/>
      <c r="CM2848" s="186"/>
      <c r="CN2848" s="186"/>
      <c r="CO2848" s="186"/>
      <c r="CP2848" s="186"/>
      <c r="CQ2848" s="186"/>
      <c r="CR2848" s="186"/>
      <c r="CS2848" s="186"/>
      <c r="CT2848" s="186"/>
      <c r="CU2848" s="186"/>
      <c r="CV2848" s="186"/>
      <c r="CW2848" s="186"/>
      <c r="CX2848" s="186"/>
      <c r="CY2848" s="186"/>
      <c r="CZ2848" s="186"/>
      <c r="DA2848" s="186"/>
      <c r="DB2848" s="186"/>
      <c r="DC2848" s="186"/>
      <c r="DD2848" s="186"/>
      <c r="DE2848" s="186"/>
      <c r="DF2848" s="186"/>
      <c r="DG2848" s="186"/>
      <c r="DH2848" s="186"/>
    </row>
    <row r="2849">
      <c r="A2849" s="41">
        <v>3100.0</v>
      </c>
      <c r="B2849" s="126" t="s">
        <v>516</v>
      </c>
      <c r="C2849" s="59" t="s">
        <v>108</v>
      </c>
      <c r="D2849" s="59" t="s">
        <v>146</v>
      </c>
      <c r="F2849" s="829" t="s">
        <v>16361</v>
      </c>
      <c r="G2849" s="434" t="s">
        <v>16486</v>
      </c>
      <c r="H2849" s="829" t="s">
        <v>15858</v>
      </c>
      <c r="I2849" s="2242">
        <v>45821.0</v>
      </c>
      <c r="J2849" s="859"/>
      <c r="K2849" s="434" t="s">
        <v>16382</v>
      </c>
      <c r="L2849" s="65"/>
      <c r="M2849" s="434" t="s">
        <v>16364</v>
      </c>
      <c r="N2849" s="434" t="s">
        <v>16365</v>
      </c>
      <c r="O2849" s="65"/>
      <c r="P2849" s="1439" t="s">
        <v>16366</v>
      </c>
      <c r="Q2849" s="2268" t="str">
        <f> hyperlink(vlookup(lower(N2849),'File Links'!E:F, 2, FALSE), "LINK")</f>
        <v>LINK</v>
      </c>
      <c r="R2849" s="434" t="s">
        <v>16376</v>
      </c>
      <c r="S2849" s="434" t="s">
        <v>16368</v>
      </c>
      <c r="T2849" s="65"/>
      <c r="U2849" s="65"/>
      <c r="V2849" s="1439" t="s">
        <v>16369</v>
      </c>
      <c r="W2849" s="1225"/>
      <c r="X2849" s="51" t="str">
        <f t="array" ref="X2849"> if(iserror(MATCH(V2849, 'File Links'!C:C, 0)), "N/A", HYPERLINK(INDEX('File Links'!B:B, MATCH(V2849, 'File Links'!C:C, 0))))</f>
        <v>https://drive.google.com/file/d/16V6fX6zed8MKZ53zcmG18UMG8cS5fmS4/view?usp=drivesdk</v>
      </c>
      <c r="Y2849" s="65"/>
      <c r="Z2849" s="434" t="s">
        <v>1672</v>
      </c>
      <c r="AA2849" s="829" t="s">
        <v>16377</v>
      </c>
      <c r="AB2849" s="434" t="s">
        <v>16378</v>
      </c>
      <c r="AC2849" s="829" t="s">
        <v>16427</v>
      </c>
      <c r="AD2849" s="434" t="s">
        <v>16384</v>
      </c>
      <c r="AE2849" s="2243">
        <v>7.0</v>
      </c>
      <c r="AF2849" s="2270">
        <f>485*0.13</f>
        <v>63.05</v>
      </c>
      <c r="AG2849" s="2243">
        <v>0.413</v>
      </c>
      <c r="AH2849" s="434" t="s">
        <v>16387</v>
      </c>
      <c r="AI2849" s="434" t="s">
        <v>2222</v>
      </c>
      <c r="AJ2849" s="65"/>
      <c r="AK2849" s="65"/>
      <c r="AL2849" s="434" t="s">
        <v>179</v>
      </c>
      <c r="AM2849" s="434" t="s">
        <v>130</v>
      </c>
      <c r="AN2849" s="434" t="s">
        <v>131</v>
      </c>
      <c r="AO2849" s="825">
        <v>285.0</v>
      </c>
      <c r="AP2849" s="2243">
        <v>0.02</v>
      </c>
      <c r="AQ2849" s="434" t="s">
        <v>16387</v>
      </c>
      <c r="AR2849" s="829" t="s">
        <v>621</v>
      </c>
      <c r="AS2849" s="434" t="s">
        <v>131</v>
      </c>
      <c r="AT2849" s="65"/>
      <c r="AU2849" s="434" t="s">
        <v>179</v>
      </c>
      <c r="AV2849" s="434" t="s">
        <v>130</v>
      </c>
      <c r="AW2849" s="434" t="s">
        <v>131</v>
      </c>
      <c r="AX2849" s="434" t="s">
        <v>136</v>
      </c>
      <c r="AZ2849" s="196" t="s">
        <v>15958</v>
      </c>
    </row>
    <row r="2850">
      <c r="A2850" s="41">
        <v>3049.0</v>
      </c>
      <c r="B2850" s="126" t="s">
        <v>516</v>
      </c>
      <c r="C2850" s="59" t="s">
        <v>108</v>
      </c>
      <c r="D2850" s="59" t="s">
        <v>146</v>
      </c>
      <c r="F2850" s="829" t="s">
        <v>16361</v>
      </c>
      <c r="G2850" s="434" t="s">
        <v>16487</v>
      </c>
      <c r="H2850" s="829" t="s">
        <v>15858</v>
      </c>
      <c r="I2850" s="2242">
        <v>45821.0</v>
      </c>
      <c r="J2850" s="859"/>
      <c r="K2850" s="434" t="s">
        <v>16375</v>
      </c>
      <c r="L2850" s="65"/>
      <c r="M2850" s="434" t="s">
        <v>16364</v>
      </c>
      <c r="N2850" s="434" t="s">
        <v>16365</v>
      </c>
      <c r="O2850" s="65"/>
      <c r="P2850" s="1439" t="s">
        <v>16366</v>
      </c>
      <c r="Q2850" s="2268" t="str">
        <f> hyperlink(vlookup(lower(N2850),'File Links'!E:F, 2, FALSE), "LINK")</f>
        <v>LINK</v>
      </c>
      <c r="R2850" s="434" t="s">
        <v>16376</v>
      </c>
      <c r="S2850" s="434" t="s">
        <v>16368</v>
      </c>
      <c r="T2850" s="65"/>
      <c r="U2850" s="65"/>
      <c r="V2850" s="1439" t="s">
        <v>16369</v>
      </c>
      <c r="W2850" s="1225"/>
      <c r="X2850" s="51" t="str">
        <f t="array" ref="X2850"> if(iserror(MATCH(V2850, 'File Links'!C:C, 0)), "N/A", HYPERLINK(INDEX('File Links'!B:B, MATCH(V2850, 'File Links'!C:C, 0))))</f>
        <v>https://drive.google.com/file/d/16V6fX6zed8MKZ53zcmG18UMG8cS5fmS4/view?usp=drivesdk</v>
      </c>
      <c r="Y2850" s="65"/>
      <c r="Z2850" s="434" t="s">
        <v>1672</v>
      </c>
      <c r="AA2850" s="829" t="s">
        <v>16377</v>
      </c>
      <c r="AB2850" s="434" t="s">
        <v>16378</v>
      </c>
      <c r="AC2850" s="829" t="s">
        <v>16393</v>
      </c>
      <c r="AD2850" s="829" t="s">
        <v>16460</v>
      </c>
      <c r="AE2850" s="2243">
        <v>7.0</v>
      </c>
      <c r="AF2850" s="825">
        <v>485.0</v>
      </c>
      <c r="AG2850" s="2243">
        <v>0.194</v>
      </c>
      <c r="AH2850" s="434" t="s">
        <v>16387</v>
      </c>
      <c r="AI2850" s="434" t="s">
        <v>133</v>
      </c>
      <c r="AJ2850" s="65"/>
      <c r="AK2850" s="65"/>
      <c r="AL2850" s="434" t="s">
        <v>179</v>
      </c>
      <c r="AM2850" s="434" t="s">
        <v>130</v>
      </c>
      <c r="AN2850" s="65"/>
      <c r="AO2850" s="825">
        <v>285.0</v>
      </c>
      <c r="AP2850" s="2243">
        <v>0.037</v>
      </c>
      <c r="AQ2850" s="434" t="s">
        <v>16387</v>
      </c>
      <c r="AR2850" s="829" t="s">
        <v>621</v>
      </c>
      <c r="AS2850" s="434" t="s">
        <v>131</v>
      </c>
      <c r="AT2850" s="65"/>
      <c r="AU2850" s="434" t="s">
        <v>179</v>
      </c>
      <c r="AV2850" s="434" t="s">
        <v>130</v>
      </c>
      <c r="AW2850" s="434" t="s">
        <v>131</v>
      </c>
      <c r="AX2850" s="434" t="s">
        <v>136</v>
      </c>
      <c r="AZ2850" s="196" t="s">
        <v>15958</v>
      </c>
    </row>
    <row r="2851">
      <c r="A2851" s="41">
        <v>3075.0</v>
      </c>
      <c r="B2851" s="126" t="s">
        <v>516</v>
      </c>
      <c r="C2851" s="59" t="s">
        <v>108</v>
      </c>
      <c r="D2851" s="59" t="s">
        <v>146</v>
      </c>
      <c r="F2851" s="829" t="s">
        <v>16361</v>
      </c>
      <c r="G2851" s="434" t="s">
        <v>16488</v>
      </c>
      <c r="H2851" s="829" t="s">
        <v>15858</v>
      </c>
      <c r="I2851" s="2242">
        <v>45821.0</v>
      </c>
      <c r="J2851" s="859"/>
      <c r="K2851" s="434" t="s">
        <v>16382</v>
      </c>
      <c r="L2851" s="65"/>
      <c r="M2851" s="434" t="s">
        <v>16364</v>
      </c>
      <c r="N2851" s="434" t="s">
        <v>16365</v>
      </c>
      <c r="O2851" s="65"/>
      <c r="P2851" s="1439" t="s">
        <v>16366</v>
      </c>
      <c r="Q2851" s="2268" t="str">
        <f> hyperlink(vlookup(lower(N2851),'File Links'!E:F, 2, FALSE), "LINK")</f>
        <v>LINK</v>
      </c>
      <c r="R2851" s="434" t="s">
        <v>16376</v>
      </c>
      <c r="S2851" s="434" t="s">
        <v>16368</v>
      </c>
      <c r="T2851" s="65"/>
      <c r="U2851" s="65"/>
      <c r="V2851" s="1439" t="s">
        <v>16369</v>
      </c>
      <c r="W2851" s="1225"/>
      <c r="X2851" s="51" t="str">
        <f t="array" ref="X2851"> if(iserror(MATCH(V2851, 'File Links'!C:C, 0)), "N/A", HYPERLINK(INDEX('File Links'!B:B, MATCH(V2851, 'File Links'!C:C, 0))))</f>
        <v>https://drive.google.com/file/d/16V6fX6zed8MKZ53zcmG18UMG8cS5fmS4/view?usp=drivesdk</v>
      </c>
      <c r="Y2851" s="65"/>
      <c r="Z2851" s="434" t="s">
        <v>1672</v>
      </c>
      <c r="AA2851" s="829" t="s">
        <v>16377</v>
      </c>
      <c r="AB2851" s="434" t="s">
        <v>16378</v>
      </c>
      <c r="AC2851" s="829" t="s">
        <v>16489</v>
      </c>
      <c r="AD2851" s="434" t="s">
        <v>16384</v>
      </c>
      <c r="AE2851" s="2243">
        <v>7.0</v>
      </c>
      <c r="AF2851" s="2270">
        <f>485*0.26</f>
        <v>126.1</v>
      </c>
      <c r="AG2851" s="825">
        <v>0.232</v>
      </c>
      <c r="AH2851" s="434" t="s">
        <v>354</v>
      </c>
      <c r="AI2851" s="434" t="s">
        <v>429</v>
      </c>
      <c r="AJ2851" s="2243">
        <v>0.0259</v>
      </c>
      <c r="AK2851" s="434" t="s">
        <v>165</v>
      </c>
      <c r="AL2851" s="434" t="s">
        <v>179</v>
      </c>
      <c r="AM2851" s="434" t="s">
        <v>130</v>
      </c>
      <c r="AN2851" s="434" t="s">
        <v>131</v>
      </c>
      <c r="AO2851" s="825">
        <v>285.0</v>
      </c>
      <c r="AP2851" s="2243">
        <v>0.106</v>
      </c>
      <c r="AQ2851" s="434" t="s">
        <v>354</v>
      </c>
      <c r="AR2851" s="829" t="s">
        <v>621</v>
      </c>
      <c r="AS2851" s="825">
        <v>0.05</v>
      </c>
      <c r="AT2851" s="434" t="s">
        <v>328</v>
      </c>
      <c r="AU2851" s="434" t="s">
        <v>179</v>
      </c>
      <c r="AV2851" s="434" t="s">
        <v>130</v>
      </c>
      <c r="AW2851" s="434" t="s">
        <v>131</v>
      </c>
      <c r="AX2851" s="434" t="s">
        <v>136</v>
      </c>
      <c r="AZ2851" s="196" t="s">
        <v>15958</v>
      </c>
    </row>
    <row r="2852">
      <c r="A2852" s="41">
        <v>3101.0</v>
      </c>
      <c r="B2852" s="126" t="s">
        <v>516</v>
      </c>
      <c r="C2852" s="59" t="s">
        <v>108</v>
      </c>
      <c r="D2852" s="59" t="s">
        <v>146</v>
      </c>
      <c r="F2852" s="829" t="s">
        <v>16361</v>
      </c>
      <c r="G2852" s="434" t="s">
        <v>16490</v>
      </c>
      <c r="H2852" s="829" t="s">
        <v>15858</v>
      </c>
      <c r="I2852" s="2242">
        <v>45821.0</v>
      </c>
      <c r="J2852" s="859"/>
      <c r="K2852" s="434" t="s">
        <v>16382</v>
      </c>
      <c r="L2852" s="65"/>
      <c r="M2852" s="434" t="s">
        <v>16364</v>
      </c>
      <c r="N2852" s="434" t="s">
        <v>16365</v>
      </c>
      <c r="O2852" s="65"/>
      <c r="P2852" s="1439" t="s">
        <v>16366</v>
      </c>
      <c r="Q2852" s="2268" t="str">
        <f> hyperlink(vlookup(lower(N2852),'File Links'!E:F, 2, FALSE), "LINK")</f>
        <v>LINK</v>
      </c>
      <c r="R2852" s="434" t="s">
        <v>16376</v>
      </c>
      <c r="S2852" s="434" t="s">
        <v>16368</v>
      </c>
      <c r="T2852" s="65"/>
      <c r="U2852" s="65"/>
      <c r="V2852" s="1439" t="s">
        <v>16369</v>
      </c>
      <c r="W2852" s="1225"/>
      <c r="X2852" s="51" t="str">
        <f t="array" ref="X2852"> if(iserror(MATCH(V2852, 'File Links'!C:C, 0)), "N/A", HYPERLINK(INDEX('File Links'!B:B, MATCH(V2852, 'File Links'!C:C, 0))))</f>
        <v>https://drive.google.com/file/d/16V6fX6zed8MKZ53zcmG18UMG8cS5fmS4/view?usp=drivesdk</v>
      </c>
      <c r="Y2852" s="65"/>
      <c r="Z2852" s="434" t="s">
        <v>1672</v>
      </c>
      <c r="AA2852" s="829" t="s">
        <v>16377</v>
      </c>
      <c r="AB2852" s="434" t="s">
        <v>16378</v>
      </c>
      <c r="AC2852" s="829" t="s">
        <v>16433</v>
      </c>
      <c r="AD2852" s="434" t="s">
        <v>16384</v>
      </c>
      <c r="AE2852" s="2243">
        <v>7.0</v>
      </c>
      <c r="AF2852" s="2270">
        <f>485*0.13</f>
        <v>63.05</v>
      </c>
      <c r="AG2852" s="2243">
        <v>0.347</v>
      </c>
      <c r="AH2852" s="434" t="s">
        <v>16387</v>
      </c>
      <c r="AI2852" s="434" t="s">
        <v>2222</v>
      </c>
      <c r="AJ2852" s="65"/>
      <c r="AK2852" s="65"/>
      <c r="AL2852" s="434" t="s">
        <v>179</v>
      </c>
      <c r="AM2852" s="434" t="s">
        <v>130</v>
      </c>
      <c r="AN2852" s="434" t="s">
        <v>131</v>
      </c>
      <c r="AO2852" s="825">
        <v>285.0</v>
      </c>
      <c r="AP2852" s="2243">
        <v>0.034</v>
      </c>
      <c r="AQ2852" s="434" t="s">
        <v>16387</v>
      </c>
      <c r="AR2852" s="829" t="s">
        <v>621</v>
      </c>
      <c r="AS2852" s="434" t="s">
        <v>131</v>
      </c>
      <c r="AT2852" s="65"/>
      <c r="AU2852" s="434" t="s">
        <v>179</v>
      </c>
      <c r="AV2852" s="434" t="s">
        <v>130</v>
      </c>
      <c r="AW2852" s="434" t="s">
        <v>131</v>
      </c>
      <c r="AX2852" s="434" t="s">
        <v>136</v>
      </c>
      <c r="AZ2852" s="196" t="s">
        <v>15958</v>
      </c>
      <c r="BB2852" s="69"/>
      <c r="BC2852" s="69"/>
      <c r="BD2852" s="69"/>
      <c r="BE2852" s="69"/>
      <c r="BF2852" s="69"/>
      <c r="BG2852" s="69"/>
      <c r="BH2852" s="69"/>
      <c r="BI2852" s="69"/>
      <c r="BJ2852" s="69"/>
      <c r="BK2852" s="69"/>
      <c r="BL2852" s="69"/>
      <c r="BM2852" s="69"/>
      <c r="BN2852" s="69"/>
      <c r="BO2852" s="69"/>
      <c r="BP2852" s="69"/>
      <c r="BQ2852" s="69"/>
      <c r="BR2852" s="69"/>
      <c r="BS2852" s="69"/>
      <c r="BT2852" s="69"/>
      <c r="BU2852" s="69"/>
      <c r="BV2852" s="69"/>
      <c r="BW2852" s="69"/>
      <c r="BX2852" s="69"/>
      <c r="BY2852" s="69"/>
      <c r="BZ2852" s="69"/>
      <c r="CA2852" s="69"/>
      <c r="CB2852" s="69"/>
      <c r="CC2852" s="69"/>
      <c r="CD2852" s="69"/>
      <c r="CE2852" s="69"/>
      <c r="CF2852" s="69"/>
      <c r="CG2852" s="69"/>
      <c r="CH2852" s="69"/>
      <c r="CI2852" s="69"/>
      <c r="CJ2852" s="69"/>
      <c r="CK2852" s="69"/>
      <c r="CL2852" s="69"/>
      <c r="CM2852" s="69"/>
      <c r="CN2852" s="69"/>
      <c r="CO2852" s="69"/>
      <c r="CP2852" s="69"/>
      <c r="CQ2852" s="69"/>
      <c r="CR2852" s="69"/>
      <c r="CS2852" s="69"/>
      <c r="CT2852" s="69"/>
      <c r="CU2852" s="69"/>
      <c r="CV2852" s="69"/>
      <c r="CW2852" s="69"/>
      <c r="CX2852" s="69"/>
      <c r="CY2852" s="69"/>
      <c r="CZ2852" s="69"/>
      <c r="DA2852" s="69"/>
      <c r="DB2852" s="69"/>
      <c r="DC2852" s="69"/>
      <c r="DD2852" s="69"/>
      <c r="DE2852" s="69"/>
      <c r="DF2852" s="69"/>
      <c r="DG2852" s="69"/>
      <c r="DH2852" s="69"/>
    </row>
    <row r="2853">
      <c r="A2853" s="41">
        <v>3050.0</v>
      </c>
      <c r="B2853" s="126" t="s">
        <v>516</v>
      </c>
      <c r="C2853" s="59" t="s">
        <v>108</v>
      </c>
      <c r="D2853" s="59" t="s">
        <v>146</v>
      </c>
      <c r="F2853" s="829" t="s">
        <v>16361</v>
      </c>
      <c r="G2853" s="434" t="s">
        <v>16491</v>
      </c>
      <c r="H2853" s="829" t="s">
        <v>15858</v>
      </c>
      <c r="I2853" s="2242">
        <v>45821.0</v>
      </c>
      <c r="J2853" s="859"/>
      <c r="K2853" s="434" t="s">
        <v>16375</v>
      </c>
      <c r="L2853" s="65"/>
      <c r="M2853" s="434" t="s">
        <v>16364</v>
      </c>
      <c r="N2853" s="434" t="s">
        <v>16365</v>
      </c>
      <c r="O2853" s="65"/>
      <c r="P2853" s="1439" t="s">
        <v>16366</v>
      </c>
      <c r="Q2853" s="2268" t="str">
        <f> hyperlink(vlookup(lower(N2853),'File Links'!E:F, 2, FALSE), "LINK")</f>
        <v>LINK</v>
      </c>
      <c r="R2853" s="434" t="s">
        <v>16376</v>
      </c>
      <c r="S2853" s="434" t="s">
        <v>16368</v>
      </c>
      <c r="T2853" s="65"/>
      <c r="U2853" s="65"/>
      <c r="V2853" s="1439" t="s">
        <v>16369</v>
      </c>
      <c r="W2853" s="1225"/>
      <c r="X2853" s="51" t="str">
        <f t="array" ref="X2853"> if(iserror(MATCH(V2853, 'File Links'!C:C, 0)), "N/A", HYPERLINK(INDEX('File Links'!B:B, MATCH(V2853, 'File Links'!C:C, 0))))</f>
        <v>https://drive.google.com/file/d/16V6fX6zed8MKZ53zcmG18UMG8cS5fmS4/view?usp=drivesdk</v>
      </c>
      <c r="Y2853" s="65"/>
      <c r="Z2853" s="434" t="s">
        <v>1672</v>
      </c>
      <c r="AA2853" s="829" t="s">
        <v>16377</v>
      </c>
      <c r="AB2853" s="434" t="s">
        <v>16378</v>
      </c>
      <c r="AC2853" s="829" t="s">
        <v>16399</v>
      </c>
      <c r="AD2853" s="829" t="s">
        <v>16460</v>
      </c>
      <c r="AE2853" s="2243">
        <v>7.0</v>
      </c>
      <c r="AF2853" s="825">
        <v>485.0</v>
      </c>
      <c r="AG2853" s="2243">
        <v>0.113</v>
      </c>
      <c r="AH2853" s="434" t="s">
        <v>16387</v>
      </c>
      <c r="AI2853" s="434" t="s">
        <v>133</v>
      </c>
      <c r="AJ2853" s="65"/>
      <c r="AK2853" s="65"/>
      <c r="AL2853" s="434" t="s">
        <v>179</v>
      </c>
      <c r="AM2853" s="434" t="s">
        <v>130</v>
      </c>
      <c r="AN2853" s="65"/>
      <c r="AO2853" s="825">
        <v>285.0</v>
      </c>
      <c r="AP2853" s="2243">
        <v>0.071</v>
      </c>
      <c r="AQ2853" s="434" t="s">
        <v>16387</v>
      </c>
      <c r="AR2853" s="829" t="s">
        <v>621</v>
      </c>
      <c r="AS2853" s="434" t="s">
        <v>131</v>
      </c>
      <c r="AT2853" s="65"/>
      <c r="AU2853" s="434" t="s">
        <v>179</v>
      </c>
      <c r="AV2853" s="434" t="s">
        <v>130</v>
      </c>
      <c r="AW2853" s="434" t="s">
        <v>131</v>
      </c>
      <c r="AX2853" s="434" t="s">
        <v>136</v>
      </c>
      <c r="AZ2853" s="196" t="s">
        <v>15958</v>
      </c>
    </row>
    <row r="2854">
      <c r="A2854" s="41">
        <v>3076.0</v>
      </c>
      <c r="B2854" s="126" t="s">
        <v>516</v>
      </c>
      <c r="C2854" s="59" t="s">
        <v>108</v>
      </c>
      <c r="D2854" s="59" t="s">
        <v>146</v>
      </c>
      <c r="F2854" s="829" t="s">
        <v>16361</v>
      </c>
      <c r="G2854" s="434" t="s">
        <v>16492</v>
      </c>
      <c r="H2854" s="829" t="s">
        <v>15858</v>
      </c>
      <c r="I2854" s="2242">
        <v>45821.0</v>
      </c>
      <c r="J2854" s="859"/>
      <c r="K2854" s="434" t="s">
        <v>16382</v>
      </c>
      <c r="L2854" s="65"/>
      <c r="M2854" s="434" t="s">
        <v>16364</v>
      </c>
      <c r="N2854" s="434" t="s">
        <v>16365</v>
      </c>
      <c r="O2854" s="65"/>
      <c r="P2854" s="1439" t="s">
        <v>16366</v>
      </c>
      <c r="Q2854" s="2268" t="str">
        <f> hyperlink(vlookup(lower(N2854),'File Links'!E:F, 2, FALSE), "LINK")</f>
        <v>LINK</v>
      </c>
      <c r="R2854" s="434" t="s">
        <v>16376</v>
      </c>
      <c r="S2854" s="434" t="s">
        <v>16368</v>
      </c>
      <c r="T2854" s="65"/>
      <c r="U2854" s="65"/>
      <c r="V2854" s="1439" t="s">
        <v>16369</v>
      </c>
      <c r="W2854" s="1225"/>
      <c r="X2854" s="51" t="str">
        <f t="array" ref="X2854"> if(iserror(MATCH(V2854, 'File Links'!C:C, 0)), "N/A", HYPERLINK(INDEX('File Links'!B:B, MATCH(V2854, 'File Links'!C:C, 0))))</f>
        <v>https://drive.google.com/file/d/16V6fX6zed8MKZ53zcmG18UMG8cS5fmS4/view?usp=drivesdk</v>
      </c>
      <c r="Y2854" s="65"/>
      <c r="Z2854" s="434" t="s">
        <v>1672</v>
      </c>
      <c r="AA2854" s="829" t="s">
        <v>16377</v>
      </c>
      <c r="AB2854" s="434" t="s">
        <v>16378</v>
      </c>
      <c r="AC2854" s="829" t="s">
        <v>16427</v>
      </c>
      <c r="AD2854" s="434" t="s">
        <v>16384</v>
      </c>
      <c r="AE2854" s="2243">
        <v>7.0</v>
      </c>
      <c r="AF2854" s="2270">
        <f>485*0.26</f>
        <v>126.1</v>
      </c>
      <c r="AG2854" s="2243">
        <v>0.196</v>
      </c>
      <c r="AH2854" s="434" t="s">
        <v>16387</v>
      </c>
      <c r="AI2854" s="434" t="s">
        <v>605</v>
      </c>
      <c r="AJ2854" s="65"/>
      <c r="AK2854" s="65"/>
      <c r="AL2854" s="434" t="s">
        <v>179</v>
      </c>
      <c r="AM2854" s="434" t="s">
        <v>130</v>
      </c>
      <c r="AN2854" s="434" t="s">
        <v>131</v>
      </c>
      <c r="AO2854" s="825">
        <v>285.0</v>
      </c>
      <c r="AP2854" s="2243">
        <v>0.02</v>
      </c>
      <c r="AQ2854" s="434" t="s">
        <v>16387</v>
      </c>
      <c r="AR2854" s="829" t="s">
        <v>621</v>
      </c>
      <c r="AS2854" s="434" t="s">
        <v>131</v>
      </c>
      <c r="AT2854" s="65"/>
      <c r="AU2854" s="434" t="s">
        <v>179</v>
      </c>
      <c r="AV2854" s="434" t="s">
        <v>130</v>
      </c>
      <c r="AW2854" s="434" t="s">
        <v>131</v>
      </c>
      <c r="AX2854" s="434" t="s">
        <v>136</v>
      </c>
      <c r="AZ2854" s="196" t="s">
        <v>15958</v>
      </c>
    </row>
    <row r="2855">
      <c r="A2855" s="41">
        <v>3102.0</v>
      </c>
      <c r="B2855" s="126" t="s">
        <v>516</v>
      </c>
      <c r="C2855" s="59" t="s">
        <v>108</v>
      </c>
      <c r="D2855" s="59" t="s">
        <v>146</v>
      </c>
      <c r="F2855" s="829" t="s">
        <v>16361</v>
      </c>
      <c r="G2855" s="434" t="s">
        <v>16493</v>
      </c>
      <c r="H2855" s="829" t="s">
        <v>15858</v>
      </c>
      <c r="I2855" s="2242">
        <v>45821.0</v>
      </c>
      <c r="J2855" s="859"/>
      <c r="K2855" s="434" t="s">
        <v>16382</v>
      </c>
      <c r="L2855" s="65"/>
      <c r="M2855" s="434" t="s">
        <v>16364</v>
      </c>
      <c r="N2855" s="434" t="s">
        <v>16365</v>
      </c>
      <c r="O2855" s="65"/>
      <c r="P2855" s="1439" t="s">
        <v>16366</v>
      </c>
      <c r="Q2855" s="2268" t="str">
        <f> hyperlink(vlookup(lower(N2855),'File Links'!E:F, 2, FALSE), "LINK")</f>
        <v>LINK</v>
      </c>
      <c r="R2855" s="434" t="s">
        <v>16376</v>
      </c>
      <c r="S2855" s="434" t="s">
        <v>16368</v>
      </c>
      <c r="T2855" s="65"/>
      <c r="U2855" s="65"/>
      <c r="V2855" s="1439" t="s">
        <v>16369</v>
      </c>
      <c r="W2855" s="1225"/>
      <c r="X2855" s="51" t="str">
        <f t="array" ref="X2855"> if(iserror(MATCH(V2855, 'File Links'!C:C, 0)), "N/A", HYPERLINK(INDEX('File Links'!B:B, MATCH(V2855, 'File Links'!C:C, 0))))</f>
        <v>https://drive.google.com/file/d/16V6fX6zed8MKZ53zcmG18UMG8cS5fmS4/view?usp=drivesdk</v>
      </c>
      <c r="Y2855" s="65"/>
      <c r="Z2855" s="434" t="s">
        <v>1672</v>
      </c>
      <c r="AA2855" s="829" t="s">
        <v>16377</v>
      </c>
      <c r="AB2855" s="434" t="s">
        <v>16378</v>
      </c>
      <c r="AC2855" s="829" t="s">
        <v>16439</v>
      </c>
      <c r="AD2855" s="434" t="s">
        <v>16384</v>
      </c>
      <c r="AE2855" s="2243">
        <v>7.0</v>
      </c>
      <c r="AF2855" s="2270">
        <f>485*0.13</f>
        <v>63.05</v>
      </c>
      <c r="AG2855" s="2243">
        <v>0.082</v>
      </c>
      <c r="AH2855" s="434" t="s">
        <v>16387</v>
      </c>
      <c r="AI2855" s="434" t="s">
        <v>2222</v>
      </c>
      <c r="AJ2855" s="65"/>
      <c r="AK2855" s="65"/>
      <c r="AL2855" s="434" t="s">
        <v>179</v>
      </c>
      <c r="AM2855" s="434" t="s">
        <v>130</v>
      </c>
      <c r="AN2855" s="434" t="s">
        <v>131</v>
      </c>
      <c r="AO2855" s="825">
        <v>285.0</v>
      </c>
      <c r="AP2855" s="2243">
        <v>0.048</v>
      </c>
      <c r="AQ2855" s="434" t="s">
        <v>16387</v>
      </c>
      <c r="AR2855" s="829" t="s">
        <v>621</v>
      </c>
      <c r="AS2855" s="434" t="s">
        <v>131</v>
      </c>
      <c r="AT2855" s="65"/>
      <c r="AU2855" s="434" t="s">
        <v>179</v>
      </c>
      <c r="AV2855" s="434" t="s">
        <v>130</v>
      </c>
      <c r="AW2855" s="434" t="s">
        <v>131</v>
      </c>
      <c r="AX2855" s="434" t="s">
        <v>136</v>
      </c>
      <c r="AZ2855" s="196" t="s">
        <v>15958</v>
      </c>
    </row>
    <row r="2856">
      <c r="A2856" s="41">
        <v>3051.0</v>
      </c>
      <c r="B2856" s="126" t="s">
        <v>516</v>
      </c>
      <c r="C2856" s="59" t="s">
        <v>108</v>
      </c>
      <c r="D2856" s="59" t="s">
        <v>146</v>
      </c>
      <c r="F2856" s="829" t="s">
        <v>16361</v>
      </c>
      <c r="G2856" s="434" t="s">
        <v>16494</v>
      </c>
      <c r="H2856" s="829" t="s">
        <v>15858</v>
      </c>
      <c r="I2856" s="2242">
        <v>45821.0</v>
      </c>
      <c r="J2856" s="859"/>
      <c r="K2856" s="434" t="s">
        <v>16382</v>
      </c>
      <c r="L2856" s="65"/>
      <c r="M2856" s="434" t="s">
        <v>16364</v>
      </c>
      <c r="N2856" s="434" t="s">
        <v>16365</v>
      </c>
      <c r="O2856" s="65"/>
      <c r="P2856" s="1439" t="s">
        <v>16366</v>
      </c>
      <c r="Q2856" s="2268" t="str">
        <f> hyperlink(vlookup(lower(N2856),'File Links'!E:F, 2, FALSE), "LINK")</f>
        <v>LINK</v>
      </c>
      <c r="R2856" s="434" t="s">
        <v>16376</v>
      </c>
      <c r="S2856" s="434" t="s">
        <v>16368</v>
      </c>
      <c r="T2856" s="65"/>
      <c r="U2856" s="65"/>
      <c r="V2856" s="1439" t="s">
        <v>16369</v>
      </c>
      <c r="W2856" s="1225"/>
      <c r="X2856" s="51" t="str">
        <f t="array" ref="X2856"> if(iserror(MATCH(V2856, 'File Links'!C:C, 0)), "N/A", HYPERLINK(INDEX('File Links'!B:B, MATCH(V2856, 'File Links'!C:C, 0))))</f>
        <v>https://drive.google.com/file/d/16V6fX6zed8MKZ53zcmG18UMG8cS5fmS4/view?usp=drivesdk</v>
      </c>
      <c r="Y2856" s="65"/>
      <c r="Z2856" s="434" t="s">
        <v>1672</v>
      </c>
      <c r="AA2856" s="829" t="s">
        <v>16377</v>
      </c>
      <c r="AB2856" s="434" t="s">
        <v>16378</v>
      </c>
      <c r="AC2856" s="829" t="s">
        <v>16495</v>
      </c>
      <c r="AD2856" s="434" t="s">
        <v>16384</v>
      </c>
      <c r="AE2856" s="2243">
        <v>7.0</v>
      </c>
      <c r="AF2856" s="2270">
        <f>485*0.44</f>
        <v>213.4</v>
      </c>
      <c r="AG2856" s="825">
        <v>0.401</v>
      </c>
      <c r="AH2856" s="434" t="s">
        <v>354</v>
      </c>
      <c r="AI2856" s="434" t="s">
        <v>605</v>
      </c>
      <c r="AJ2856" s="825">
        <v>1.0E-4</v>
      </c>
      <c r="AK2856" s="434" t="s">
        <v>128</v>
      </c>
      <c r="AL2856" s="434" t="s">
        <v>179</v>
      </c>
      <c r="AM2856" s="434" t="s">
        <v>130</v>
      </c>
      <c r="AN2856" s="434" t="s">
        <v>131</v>
      </c>
      <c r="AO2856" s="825">
        <v>285.0</v>
      </c>
      <c r="AP2856" s="2243">
        <v>0.101</v>
      </c>
      <c r="AQ2856" s="434" t="s">
        <v>354</v>
      </c>
      <c r="AR2856" s="829" t="s">
        <v>621</v>
      </c>
      <c r="AS2856" s="2243">
        <v>0.05</v>
      </c>
      <c r="AT2856" s="434" t="s">
        <v>328</v>
      </c>
      <c r="AU2856" s="434" t="s">
        <v>179</v>
      </c>
      <c r="AV2856" s="434" t="s">
        <v>130</v>
      </c>
      <c r="AW2856" s="434" t="s">
        <v>131</v>
      </c>
      <c r="AX2856" s="434" t="s">
        <v>136</v>
      </c>
      <c r="AZ2856" s="196" t="s">
        <v>15958</v>
      </c>
    </row>
    <row r="2857">
      <c r="A2857" s="41">
        <v>3077.0</v>
      </c>
      <c r="B2857" s="126" t="s">
        <v>516</v>
      </c>
      <c r="C2857" s="59" t="s">
        <v>108</v>
      </c>
      <c r="D2857" s="59" t="s">
        <v>146</v>
      </c>
      <c r="F2857" s="829" t="s">
        <v>16361</v>
      </c>
      <c r="G2857" s="434" t="s">
        <v>16496</v>
      </c>
      <c r="H2857" s="829" t="s">
        <v>15858</v>
      </c>
      <c r="I2857" s="2242">
        <v>45821.0</v>
      </c>
      <c r="J2857" s="859"/>
      <c r="K2857" s="434" t="s">
        <v>16382</v>
      </c>
      <c r="L2857" s="65"/>
      <c r="M2857" s="434" t="s">
        <v>16364</v>
      </c>
      <c r="N2857" s="434" t="s">
        <v>16365</v>
      </c>
      <c r="O2857" s="65"/>
      <c r="P2857" s="1439" t="s">
        <v>16366</v>
      </c>
      <c r="Q2857" s="2268" t="str">
        <f> hyperlink(vlookup(lower(N2857),'File Links'!E:F, 2, FALSE), "LINK")</f>
        <v>LINK</v>
      </c>
      <c r="R2857" s="434" t="s">
        <v>16376</v>
      </c>
      <c r="S2857" s="434" t="s">
        <v>16368</v>
      </c>
      <c r="T2857" s="65"/>
      <c r="U2857" s="65"/>
      <c r="V2857" s="1439" t="s">
        <v>16369</v>
      </c>
      <c r="W2857" s="1225"/>
      <c r="X2857" s="51" t="str">
        <f t="array" ref="X2857"> if(iserror(MATCH(V2857, 'File Links'!C:C, 0)), "N/A", HYPERLINK(INDEX('File Links'!B:B, MATCH(V2857, 'File Links'!C:C, 0))))</f>
        <v>https://drive.google.com/file/d/16V6fX6zed8MKZ53zcmG18UMG8cS5fmS4/view?usp=drivesdk</v>
      </c>
      <c r="Y2857" s="65"/>
      <c r="Z2857" s="434" t="s">
        <v>1672</v>
      </c>
      <c r="AA2857" s="829" t="s">
        <v>16377</v>
      </c>
      <c r="AB2857" s="434" t="s">
        <v>16378</v>
      </c>
      <c r="AC2857" s="829" t="s">
        <v>16433</v>
      </c>
      <c r="AD2857" s="434" t="s">
        <v>16384</v>
      </c>
      <c r="AE2857" s="2243">
        <v>7.0</v>
      </c>
      <c r="AF2857" s="2270">
        <f>485*0.26</f>
        <v>126.1</v>
      </c>
      <c r="AG2857" s="2243">
        <v>0.094</v>
      </c>
      <c r="AH2857" s="434" t="s">
        <v>16387</v>
      </c>
      <c r="AI2857" s="434" t="s">
        <v>605</v>
      </c>
      <c r="AJ2857" s="65"/>
      <c r="AK2857" s="65"/>
      <c r="AL2857" s="434" t="s">
        <v>179</v>
      </c>
      <c r="AM2857" s="434" t="s">
        <v>130</v>
      </c>
      <c r="AN2857" s="434" t="s">
        <v>131</v>
      </c>
      <c r="AO2857" s="825">
        <v>285.0</v>
      </c>
      <c r="AP2857" s="2243">
        <v>0.034</v>
      </c>
      <c r="AQ2857" s="434" t="s">
        <v>16387</v>
      </c>
      <c r="AR2857" s="829" t="s">
        <v>621</v>
      </c>
      <c r="AS2857" s="434" t="s">
        <v>131</v>
      </c>
      <c r="AT2857" s="65"/>
      <c r="AU2857" s="434" t="s">
        <v>179</v>
      </c>
      <c r="AV2857" s="434" t="s">
        <v>130</v>
      </c>
      <c r="AW2857" s="434" t="s">
        <v>131</v>
      </c>
      <c r="AX2857" s="434" t="s">
        <v>136</v>
      </c>
      <c r="AZ2857" s="196" t="s">
        <v>15958</v>
      </c>
    </row>
    <row r="2858">
      <c r="A2858" s="41">
        <v>3103.0</v>
      </c>
      <c r="B2858" s="126" t="s">
        <v>516</v>
      </c>
      <c r="C2858" s="59" t="s">
        <v>108</v>
      </c>
      <c r="D2858" s="59" t="s">
        <v>146</v>
      </c>
      <c r="F2858" s="829" t="s">
        <v>16361</v>
      </c>
      <c r="G2858" s="434" t="s">
        <v>16497</v>
      </c>
      <c r="H2858" s="829" t="s">
        <v>15858</v>
      </c>
      <c r="I2858" s="2242">
        <v>45821.0</v>
      </c>
      <c r="J2858" s="859"/>
      <c r="K2858" s="434" t="s">
        <v>16382</v>
      </c>
      <c r="L2858" s="65"/>
      <c r="M2858" s="434" t="s">
        <v>16364</v>
      </c>
      <c r="N2858" s="434" t="s">
        <v>16365</v>
      </c>
      <c r="O2858" s="65"/>
      <c r="P2858" s="1439" t="s">
        <v>16366</v>
      </c>
      <c r="Q2858" s="2268" t="str">
        <f> hyperlink(vlookup(lower(N2858),'File Links'!E:F, 2, FALSE), "LINK")</f>
        <v>LINK</v>
      </c>
      <c r="R2858" s="434" t="s">
        <v>16376</v>
      </c>
      <c r="S2858" s="434" t="s">
        <v>16368</v>
      </c>
      <c r="T2858" s="65"/>
      <c r="U2858" s="65"/>
      <c r="V2858" s="1439" t="s">
        <v>16369</v>
      </c>
      <c r="W2858" s="1225"/>
      <c r="X2858" s="51" t="str">
        <f t="array" ref="X2858"> if(iserror(MATCH(V2858, 'File Links'!C:C, 0)), "N/A", HYPERLINK(INDEX('File Links'!B:B, MATCH(V2858, 'File Links'!C:C, 0))))</f>
        <v>https://drive.google.com/file/d/16V6fX6zed8MKZ53zcmG18UMG8cS5fmS4/view?usp=drivesdk</v>
      </c>
      <c r="Y2858" s="65"/>
      <c r="Z2858" s="434" t="s">
        <v>1672</v>
      </c>
      <c r="AA2858" s="829" t="s">
        <v>16377</v>
      </c>
      <c r="AB2858" s="434" t="s">
        <v>16378</v>
      </c>
      <c r="AC2858" s="829" t="s">
        <v>16449</v>
      </c>
      <c r="AD2858" s="434" t="s">
        <v>16384</v>
      </c>
      <c r="AE2858" s="2243">
        <v>7.0</v>
      </c>
      <c r="AF2858" s="2270">
        <f>485*0.13</f>
        <v>63.05</v>
      </c>
      <c r="AG2858" s="2243">
        <v>0.413</v>
      </c>
      <c r="AH2858" s="434" t="s">
        <v>16387</v>
      </c>
      <c r="AI2858" s="434" t="s">
        <v>2222</v>
      </c>
      <c r="AJ2858" s="65"/>
      <c r="AK2858" s="65"/>
      <c r="AL2858" s="434" t="s">
        <v>179</v>
      </c>
      <c r="AM2858" s="434" t="s">
        <v>130</v>
      </c>
      <c r="AN2858" s="434" t="s">
        <v>131</v>
      </c>
      <c r="AO2858" s="825">
        <v>285.0</v>
      </c>
      <c r="AP2858" s="2243">
        <v>0.027</v>
      </c>
      <c r="AQ2858" s="434" t="s">
        <v>16387</v>
      </c>
      <c r="AR2858" s="829" t="s">
        <v>621</v>
      </c>
      <c r="AS2858" s="434" t="s">
        <v>131</v>
      </c>
      <c r="AT2858" s="65"/>
      <c r="AU2858" s="434" t="s">
        <v>179</v>
      </c>
      <c r="AV2858" s="434" t="s">
        <v>130</v>
      </c>
      <c r="AW2858" s="434" t="s">
        <v>131</v>
      </c>
      <c r="AX2858" s="434" t="s">
        <v>136</v>
      </c>
      <c r="AZ2858" s="196" t="s">
        <v>15958</v>
      </c>
    </row>
    <row r="2859">
      <c r="A2859" s="41">
        <v>3052.0</v>
      </c>
      <c r="B2859" s="126" t="s">
        <v>516</v>
      </c>
      <c r="C2859" s="59" t="s">
        <v>108</v>
      </c>
      <c r="D2859" s="59" t="s">
        <v>146</v>
      </c>
      <c r="F2859" s="829" t="s">
        <v>16361</v>
      </c>
      <c r="G2859" s="434" t="s">
        <v>16498</v>
      </c>
      <c r="H2859" s="829" t="s">
        <v>15858</v>
      </c>
      <c r="I2859" s="2242">
        <v>45821.0</v>
      </c>
      <c r="J2859" s="859"/>
      <c r="K2859" s="434" t="s">
        <v>16382</v>
      </c>
      <c r="L2859" s="65"/>
      <c r="M2859" s="434" t="s">
        <v>16364</v>
      </c>
      <c r="N2859" s="434" t="s">
        <v>16365</v>
      </c>
      <c r="O2859" s="65"/>
      <c r="P2859" s="1439" t="s">
        <v>16366</v>
      </c>
      <c r="Q2859" s="2268" t="str">
        <f> hyperlink(vlookup(lower(N2859),'File Links'!E:F, 2, FALSE), "LINK")</f>
        <v>LINK</v>
      </c>
      <c r="R2859" s="434" t="s">
        <v>16376</v>
      </c>
      <c r="S2859" s="434" t="s">
        <v>16368</v>
      </c>
      <c r="T2859" s="65"/>
      <c r="U2859" s="65"/>
      <c r="V2859" s="1439" t="s">
        <v>16369</v>
      </c>
      <c r="W2859" s="1225"/>
      <c r="X2859" s="51" t="str">
        <f t="array" ref="X2859"> if(iserror(MATCH(V2859, 'File Links'!C:C, 0)), "N/A", HYPERLINK(INDEX('File Links'!B:B, MATCH(V2859, 'File Links'!C:C, 0))))</f>
        <v>https://drive.google.com/file/d/16V6fX6zed8MKZ53zcmG18UMG8cS5fmS4/view?usp=drivesdk</v>
      </c>
      <c r="Y2859" s="65"/>
      <c r="Z2859" s="434" t="s">
        <v>1672</v>
      </c>
      <c r="AA2859" s="829" t="s">
        <v>16377</v>
      </c>
      <c r="AB2859" s="434" t="s">
        <v>16378</v>
      </c>
      <c r="AC2859" s="829" t="s">
        <v>16499</v>
      </c>
      <c r="AD2859" s="434" t="s">
        <v>16384</v>
      </c>
      <c r="AE2859" s="2243">
        <v>7.0</v>
      </c>
      <c r="AF2859" s="2270">
        <f>485*0.44</f>
        <v>213.4</v>
      </c>
      <c r="AG2859" s="825">
        <v>0.446</v>
      </c>
      <c r="AH2859" s="434" t="s">
        <v>354</v>
      </c>
      <c r="AI2859" s="434" t="s">
        <v>605</v>
      </c>
      <c r="AJ2859" s="825">
        <v>1.0E-4</v>
      </c>
      <c r="AK2859" s="434" t="s">
        <v>128</v>
      </c>
      <c r="AL2859" s="434" t="s">
        <v>179</v>
      </c>
      <c r="AM2859" s="434" t="s">
        <v>130</v>
      </c>
      <c r="AN2859" s="434" t="s">
        <v>131</v>
      </c>
      <c r="AO2859" s="825">
        <v>285.0</v>
      </c>
      <c r="AP2859" s="2243">
        <v>0.174</v>
      </c>
      <c r="AQ2859" s="434" t="s">
        <v>354</v>
      </c>
      <c r="AR2859" s="829" t="s">
        <v>621</v>
      </c>
      <c r="AS2859" s="2243">
        <v>0.01</v>
      </c>
      <c r="AT2859" s="434" t="s">
        <v>128</v>
      </c>
      <c r="AU2859" s="434" t="s">
        <v>179</v>
      </c>
      <c r="AV2859" s="434" t="s">
        <v>130</v>
      </c>
      <c r="AW2859" s="434" t="s">
        <v>131</v>
      </c>
      <c r="AX2859" s="434" t="s">
        <v>136</v>
      </c>
      <c r="AZ2859" s="196" t="s">
        <v>15958</v>
      </c>
    </row>
    <row r="2860">
      <c r="A2860" s="41">
        <v>3078.0</v>
      </c>
      <c r="B2860" s="126" t="s">
        <v>516</v>
      </c>
      <c r="C2860" s="59" t="s">
        <v>108</v>
      </c>
      <c r="D2860" s="59" t="s">
        <v>146</v>
      </c>
      <c r="F2860" s="829" t="s">
        <v>16361</v>
      </c>
      <c r="G2860" s="434" t="s">
        <v>16500</v>
      </c>
      <c r="H2860" s="829" t="s">
        <v>15858</v>
      </c>
      <c r="I2860" s="2242">
        <v>45821.0</v>
      </c>
      <c r="J2860" s="859"/>
      <c r="K2860" s="434" t="s">
        <v>16382</v>
      </c>
      <c r="L2860" s="65"/>
      <c r="M2860" s="434" t="s">
        <v>16364</v>
      </c>
      <c r="N2860" s="434" t="s">
        <v>16365</v>
      </c>
      <c r="O2860" s="65"/>
      <c r="P2860" s="1439" t="s">
        <v>16366</v>
      </c>
      <c r="Q2860" s="2268" t="str">
        <f> hyperlink(vlookup(lower(N2860),'File Links'!E:F, 2, FALSE), "LINK")</f>
        <v>LINK</v>
      </c>
      <c r="R2860" s="434" t="s">
        <v>16376</v>
      </c>
      <c r="S2860" s="434" t="s">
        <v>16368</v>
      </c>
      <c r="T2860" s="65"/>
      <c r="U2860" s="65"/>
      <c r="V2860" s="1439" t="s">
        <v>16369</v>
      </c>
      <c r="W2860" s="1225"/>
      <c r="X2860" s="51" t="str">
        <f t="array" ref="X2860"> if(iserror(MATCH(V2860, 'File Links'!C:C, 0)), "N/A", HYPERLINK(INDEX('File Links'!B:B, MATCH(V2860, 'File Links'!C:C, 0))))</f>
        <v>https://drive.google.com/file/d/16V6fX6zed8MKZ53zcmG18UMG8cS5fmS4/view?usp=drivesdk</v>
      </c>
      <c r="Y2860" s="65"/>
      <c r="Z2860" s="434" t="s">
        <v>1672</v>
      </c>
      <c r="AA2860" s="829" t="s">
        <v>16377</v>
      </c>
      <c r="AB2860" s="434" t="s">
        <v>16378</v>
      </c>
      <c r="AC2860" s="829" t="s">
        <v>16439</v>
      </c>
      <c r="AD2860" s="434" t="s">
        <v>16384</v>
      </c>
      <c r="AE2860" s="2243">
        <v>7.0</v>
      </c>
      <c r="AF2860" s="2270">
        <f>485*0.26</f>
        <v>126.1</v>
      </c>
      <c r="AG2860" s="2243">
        <v>0.187</v>
      </c>
      <c r="AH2860" s="434" t="s">
        <v>16387</v>
      </c>
      <c r="AI2860" s="434" t="s">
        <v>429</v>
      </c>
      <c r="AJ2860" s="65"/>
      <c r="AK2860" s="65"/>
      <c r="AL2860" s="434" t="s">
        <v>179</v>
      </c>
      <c r="AM2860" s="434" t="s">
        <v>130</v>
      </c>
      <c r="AN2860" s="434" t="s">
        <v>131</v>
      </c>
      <c r="AO2860" s="825">
        <v>285.0</v>
      </c>
      <c r="AP2860" s="2243">
        <v>0.048</v>
      </c>
      <c r="AQ2860" s="434" t="s">
        <v>16387</v>
      </c>
      <c r="AR2860" s="829" t="s">
        <v>621</v>
      </c>
      <c r="AS2860" s="434" t="s">
        <v>131</v>
      </c>
      <c r="AT2860" s="65"/>
      <c r="AU2860" s="434" t="s">
        <v>179</v>
      </c>
      <c r="AV2860" s="434" t="s">
        <v>130</v>
      </c>
      <c r="AW2860" s="434" t="s">
        <v>131</v>
      </c>
      <c r="AX2860" s="434" t="s">
        <v>136</v>
      </c>
      <c r="AZ2860" s="196" t="s">
        <v>15958</v>
      </c>
    </row>
    <row r="2861">
      <c r="A2861" s="41">
        <v>3104.0</v>
      </c>
      <c r="B2861" s="126" t="s">
        <v>516</v>
      </c>
      <c r="C2861" s="59" t="s">
        <v>108</v>
      </c>
      <c r="D2861" s="59" t="s">
        <v>146</v>
      </c>
      <c r="F2861" s="829" t="s">
        <v>16361</v>
      </c>
      <c r="G2861" s="434" t="s">
        <v>16501</v>
      </c>
      <c r="H2861" s="829" t="s">
        <v>15858</v>
      </c>
      <c r="I2861" s="2242">
        <v>45821.0</v>
      </c>
      <c r="J2861" s="859"/>
      <c r="K2861" s="434" t="s">
        <v>16382</v>
      </c>
      <c r="L2861" s="65"/>
      <c r="M2861" s="434" t="s">
        <v>16364</v>
      </c>
      <c r="N2861" s="434" t="s">
        <v>16365</v>
      </c>
      <c r="O2861" s="65"/>
      <c r="P2861" s="1439" t="s">
        <v>16366</v>
      </c>
      <c r="Q2861" s="2268" t="str">
        <f> hyperlink(vlookup(lower(N2861),'File Links'!E:F, 2, FALSE), "LINK")</f>
        <v>LINK</v>
      </c>
      <c r="R2861" s="434" t="s">
        <v>16376</v>
      </c>
      <c r="S2861" s="434" t="s">
        <v>16368</v>
      </c>
      <c r="T2861" s="65"/>
      <c r="U2861" s="65"/>
      <c r="V2861" s="1439" t="s">
        <v>16369</v>
      </c>
      <c r="W2861" s="1225"/>
      <c r="X2861" s="51" t="str">
        <f t="array" ref="X2861"> if(iserror(MATCH(V2861, 'File Links'!C:C, 0)), "N/A", HYPERLINK(INDEX('File Links'!B:B, MATCH(V2861, 'File Links'!C:C, 0))))</f>
        <v>https://drive.google.com/file/d/16V6fX6zed8MKZ53zcmG18UMG8cS5fmS4/view?usp=drivesdk</v>
      </c>
      <c r="Y2861" s="65"/>
      <c r="Z2861" s="434" t="s">
        <v>1672</v>
      </c>
      <c r="AA2861" s="829" t="s">
        <v>16377</v>
      </c>
      <c r="AB2861" s="434" t="s">
        <v>16378</v>
      </c>
      <c r="AC2861" s="829" t="s">
        <v>16386</v>
      </c>
      <c r="AD2861" s="434" t="s">
        <v>16384</v>
      </c>
      <c r="AE2861" s="2243">
        <v>7.0</v>
      </c>
      <c r="AF2861" s="2270">
        <f>485*0.13</f>
        <v>63.05</v>
      </c>
      <c r="AG2861" s="2243">
        <v>0.347</v>
      </c>
      <c r="AH2861" s="434" t="s">
        <v>16387</v>
      </c>
      <c r="AI2861" s="434" t="s">
        <v>2222</v>
      </c>
      <c r="AJ2861" s="65"/>
      <c r="AK2861" s="65"/>
      <c r="AL2861" s="434" t="s">
        <v>179</v>
      </c>
      <c r="AM2861" s="434" t="s">
        <v>130</v>
      </c>
      <c r="AN2861" s="434" t="s">
        <v>131</v>
      </c>
      <c r="AO2861" s="825">
        <v>285.0</v>
      </c>
      <c r="AP2861" s="2243">
        <v>0.057</v>
      </c>
      <c r="AQ2861" s="434" t="s">
        <v>16387</v>
      </c>
      <c r="AR2861" s="829" t="s">
        <v>621</v>
      </c>
      <c r="AS2861" s="434" t="s">
        <v>131</v>
      </c>
      <c r="AT2861" s="65"/>
      <c r="AU2861" s="434" t="s">
        <v>179</v>
      </c>
      <c r="AV2861" s="434" t="s">
        <v>130</v>
      </c>
      <c r="AW2861" s="434" t="s">
        <v>131</v>
      </c>
      <c r="AX2861" s="434" t="s">
        <v>136</v>
      </c>
      <c r="AZ2861" s="196" t="s">
        <v>15958</v>
      </c>
    </row>
    <row r="2862">
      <c r="A2862" s="41">
        <v>3053.0</v>
      </c>
      <c r="B2862" s="126" t="s">
        <v>516</v>
      </c>
      <c r="C2862" s="59" t="s">
        <v>108</v>
      </c>
      <c r="D2862" s="59" t="s">
        <v>146</v>
      </c>
      <c r="F2862" s="829" t="s">
        <v>16361</v>
      </c>
      <c r="G2862" s="434" t="s">
        <v>16502</v>
      </c>
      <c r="H2862" s="829" t="s">
        <v>15858</v>
      </c>
      <c r="I2862" s="2242">
        <v>45821.0</v>
      </c>
      <c r="J2862" s="859"/>
      <c r="K2862" s="434" t="s">
        <v>16382</v>
      </c>
      <c r="L2862" s="65"/>
      <c r="M2862" s="434" t="s">
        <v>16364</v>
      </c>
      <c r="N2862" s="434" t="s">
        <v>16365</v>
      </c>
      <c r="O2862" s="65"/>
      <c r="P2862" s="1439" t="s">
        <v>16366</v>
      </c>
      <c r="Q2862" s="2268" t="str">
        <f> hyperlink(vlookup(lower(N2862),'File Links'!E:F, 2, FALSE), "LINK")</f>
        <v>LINK</v>
      </c>
      <c r="R2862" s="434" t="s">
        <v>16376</v>
      </c>
      <c r="S2862" s="434" t="s">
        <v>16368</v>
      </c>
      <c r="T2862" s="65"/>
      <c r="U2862" s="65"/>
      <c r="V2862" s="1439" t="s">
        <v>16369</v>
      </c>
      <c r="W2862" s="1225"/>
      <c r="X2862" s="51" t="str">
        <f t="array" ref="X2862"> if(iserror(MATCH(V2862, 'File Links'!C:C, 0)), "N/A", HYPERLINK(INDEX('File Links'!B:B, MATCH(V2862, 'File Links'!C:C, 0))))</f>
        <v>https://drive.google.com/file/d/16V6fX6zed8MKZ53zcmG18UMG8cS5fmS4/view?usp=drivesdk</v>
      </c>
      <c r="Y2862" s="65"/>
      <c r="Z2862" s="434" t="s">
        <v>1672</v>
      </c>
      <c r="AA2862" s="829" t="s">
        <v>16377</v>
      </c>
      <c r="AB2862" s="434" t="s">
        <v>16378</v>
      </c>
      <c r="AC2862" s="829" t="s">
        <v>16503</v>
      </c>
      <c r="AD2862" s="434" t="s">
        <v>16384</v>
      </c>
      <c r="AE2862" s="2243">
        <v>7.0</v>
      </c>
      <c r="AF2862" s="2270">
        <f>485*0.44</f>
        <v>213.4</v>
      </c>
      <c r="AG2862" s="825">
        <v>0.346</v>
      </c>
      <c r="AH2862" s="434" t="s">
        <v>354</v>
      </c>
      <c r="AI2862" s="434" t="s">
        <v>605</v>
      </c>
      <c r="AJ2862" s="825">
        <v>0.0023</v>
      </c>
      <c r="AK2862" s="434" t="s">
        <v>165</v>
      </c>
      <c r="AL2862" s="434" t="s">
        <v>179</v>
      </c>
      <c r="AM2862" s="434" t="s">
        <v>130</v>
      </c>
      <c r="AN2862" s="434" t="s">
        <v>131</v>
      </c>
      <c r="AO2862" s="825">
        <v>285.0</v>
      </c>
      <c r="AP2862" s="2243">
        <v>0.174</v>
      </c>
      <c r="AQ2862" s="434" t="s">
        <v>354</v>
      </c>
      <c r="AR2862" s="829" t="s">
        <v>621</v>
      </c>
      <c r="AS2862" s="2243">
        <v>0.01</v>
      </c>
      <c r="AT2862" s="434" t="s">
        <v>128</v>
      </c>
      <c r="AU2862" s="434" t="s">
        <v>179</v>
      </c>
      <c r="AV2862" s="434" t="s">
        <v>130</v>
      </c>
      <c r="AW2862" s="434" t="s">
        <v>131</v>
      </c>
      <c r="AX2862" s="434" t="s">
        <v>136</v>
      </c>
      <c r="AZ2862" s="196" t="s">
        <v>15958</v>
      </c>
    </row>
    <row r="2863">
      <c r="A2863" s="41">
        <v>3079.0</v>
      </c>
      <c r="B2863" s="126" t="s">
        <v>516</v>
      </c>
      <c r="C2863" s="59" t="s">
        <v>108</v>
      </c>
      <c r="D2863" s="59" t="s">
        <v>146</v>
      </c>
      <c r="F2863" s="829" t="s">
        <v>16361</v>
      </c>
      <c r="G2863" s="434" t="s">
        <v>16504</v>
      </c>
      <c r="H2863" s="829" t="s">
        <v>15858</v>
      </c>
      <c r="I2863" s="2242">
        <v>45821.0</v>
      </c>
      <c r="J2863" s="859"/>
      <c r="K2863" s="434" t="s">
        <v>16382</v>
      </c>
      <c r="L2863" s="65"/>
      <c r="M2863" s="434" t="s">
        <v>16364</v>
      </c>
      <c r="N2863" s="434" t="s">
        <v>16365</v>
      </c>
      <c r="O2863" s="65"/>
      <c r="P2863" s="1439" t="s">
        <v>16366</v>
      </c>
      <c r="Q2863" s="2268" t="str">
        <f> hyperlink(vlookup(lower(N2863),'File Links'!E:F, 2, FALSE), "LINK")</f>
        <v>LINK</v>
      </c>
      <c r="R2863" s="434" t="s">
        <v>16376</v>
      </c>
      <c r="S2863" s="434" t="s">
        <v>16368</v>
      </c>
      <c r="T2863" s="65"/>
      <c r="U2863" s="65"/>
      <c r="V2863" s="1439" t="s">
        <v>16369</v>
      </c>
      <c r="W2863" s="1225"/>
      <c r="X2863" s="51" t="str">
        <f t="array" ref="X2863"> if(iserror(MATCH(V2863, 'File Links'!C:C, 0)), "N/A", HYPERLINK(INDEX('File Links'!B:B, MATCH(V2863, 'File Links'!C:C, 0))))</f>
        <v>https://drive.google.com/file/d/16V6fX6zed8MKZ53zcmG18UMG8cS5fmS4/view?usp=drivesdk</v>
      </c>
      <c r="Y2863" s="65"/>
      <c r="Z2863" s="434" t="s">
        <v>1672</v>
      </c>
      <c r="AA2863" s="829" t="s">
        <v>16377</v>
      </c>
      <c r="AB2863" s="434" t="s">
        <v>16378</v>
      </c>
      <c r="AC2863" s="829" t="s">
        <v>16444</v>
      </c>
      <c r="AD2863" s="434" t="s">
        <v>16384</v>
      </c>
      <c r="AE2863" s="2243">
        <v>7.0</v>
      </c>
      <c r="AF2863" s="2270">
        <f>485*0.26</f>
        <v>126.1</v>
      </c>
      <c r="AG2863" s="2243">
        <v>0.123</v>
      </c>
      <c r="AH2863" s="434" t="s">
        <v>16387</v>
      </c>
      <c r="AI2863" s="434" t="s">
        <v>429</v>
      </c>
      <c r="AJ2863" s="65"/>
      <c r="AK2863" s="65"/>
      <c r="AL2863" s="434" t="s">
        <v>179</v>
      </c>
      <c r="AM2863" s="434" t="s">
        <v>130</v>
      </c>
      <c r="AN2863" s="434" t="s">
        <v>131</v>
      </c>
      <c r="AO2863" s="825">
        <v>285.0</v>
      </c>
      <c r="AP2863" s="825">
        <v>0.081</v>
      </c>
      <c r="AQ2863" s="434" t="s">
        <v>16387</v>
      </c>
      <c r="AR2863" s="829" t="s">
        <v>621</v>
      </c>
      <c r="AS2863" s="434" t="s">
        <v>131</v>
      </c>
      <c r="AT2863" s="65"/>
      <c r="AU2863" s="434" t="s">
        <v>179</v>
      </c>
      <c r="AV2863" s="434" t="s">
        <v>130</v>
      </c>
      <c r="AW2863" s="434" t="s">
        <v>131</v>
      </c>
      <c r="AX2863" s="434" t="s">
        <v>136</v>
      </c>
      <c r="AZ2863" s="196" t="s">
        <v>15958</v>
      </c>
    </row>
    <row r="2864">
      <c r="A2864" s="41">
        <v>3105.0</v>
      </c>
      <c r="B2864" s="126" t="s">
        <v>516</v>
      </c>
      <c r="C2864" s="59" t="s">
        <v>108</v>
      </c>
      <c r="D2864" s="59" t="s">
        <v>146</v>
      </c>
      <c r="F2864" s="829" t="s">
        <v>16361</v>
      </c>
      <c r="G2864" s="434" t="s">
        <v>16505</v>
      </c>
      <c r="H2864" s="829" t="s">
        <v>15858</v>
      </c>
      <c r="I2864" s="2242">
        <v>45821.0</v>
      </c>
      <c r="J2864" s="859"/>
      <c r="K2864" s="434" t="s">
        <v>16382</v>
      </c>
      <c r="L2864" s="65"/>
      <c r="M2864" s="434" t="s">
        <v>16364</v>
      </c>
      <c r="N2864" s="434" t="s">
        <v>16365</v>
      </c>
      <c r="O2864" s="65"/>
      <c r="P2864" s="1439" t="s">
        <v>16366</v>
      </c>
      <c r="Q2864" s="2268" t="str">
        <f> hyperlink(vlookup(lower(N2864),'File Links'!E:F, 2, FALSE), "LINK")</f>
        <v>LINK</v>
      </c>
      <c r="R2864" s="434" t="s">
        <v>16376</v>
      </c>
      <c r="S2864" s="434" t="s">
        <v>16368</v>
      </c>
      <c r="T2864" s="65"/>
      <c r="U2864" s="65"/>
      <c r="V2864" s="1439" t="s">
        <v>16369</v>
      </c>
      <c r="W2864" s="1225"/>
      <c r="X2864" s="51" t="str">
        <f t="array" ref="X2864"> if(iserror(MATCH(V2864, 'File Links'!C:C, 0)), "N/A", HYPERLINK(INDEX('File Links'!B:B, MATCH(V2864, 'File Links'!C:C, 0))))</f>
        <v>https://drive.google.com/file/d/16V6fX6zed8MKZ53zcmG18UMG8cS5fmS4/view?usp=drivesdk</v>
      </c>
      <c r="Y2864" s="65"/>
      <c r="Z2864" s="434" t="s">
        <v>1672</v>
      </c>
      <c r="AA2864" s="829" t="s">
        <v>16377</v>
      </c>
      <c r="AB2864" s="434" t="s">
        <v>16378</v>
      </c>
      <c r="AC2864" s="829" t="s">
        <v>16393</v>
      </c>
      <c r="AD2864" s="434" t="s">
        <v>16384</v>
      </c>
      <c r="AE2864" s="2243">
        <v>7.0</v>
      </c>
      <c r="AF2864" s="2270">
        <f>485*0.13</f>
        <v>63.05</v>
      </c>
      <c r="AG2864" s="2243">
        <v>0.082</v>
      </c>
      <c r="AH2864" s="434" t="s">
        <v>16387</v>
      </c>
      <c r="AI2864" s="434" t="s">
        <v>2222</v>
      </c>
      <c r="AJ2864" s="65"/>
      <c r="AK2864" s="65"/>
      <c r="AL2864" s="434" t="s">
        <v>179</v>
      </c>
      <c r="AM2864" s="434" t="s">
        <v>130</v>
      </c>
      <c r="AN2864" s="434" t="s">
        <v>131</v>
      </c>
      <c r="AO2864" s="825">
        <v>285.0</v>
      </c>
      <c r="AP2864" s="2243">
        <v>0.037</v>
      </c>
      <c r="AQ2864" s="434" t="s">
        <v>16387</v>
      </c>
      <c r="AR2864" s="829" t="s">
        <v>621</v>
      </c>
      <c r="AS2864" s="434" t="s">
        <v>131</v>
      </c>
      <c r="AT2864" s="65"/>
      <c r="AU2864" s="434" t="s">
        <v>179</v>
      </c>
      <c r="AV2864" s="434" t="s">
        <v>130</v>
      </c>
      <c r="AW2864" s="434" t="s">
        <v>131</v>
      </c>
      <c r="AX2864" s="434" t="s">
        <v>136</v>
      </c>
      <c r="AZ2864" s="196" t="s">
        <v>15958</v>
      </c>
    </row>
    <row r="2865">
      <c r="A2865" s="41">
        <v>3054.0</v>
      </c>
      <c r="B2865" s="126" t="s">
        <v>516</v>
      </c>
      <c r="C2865" s="59" t="s">
        <v>108</v>
      </c>
      <c r="D2865" s="59" t="s">
        <v>146</v>
      </c>
      <c r="F2865" s="829" t="s">
        <v>16361</v>
      </c>
      <c r="G2865" s="434" t="s">
        <v>16506</v>
      </c>
      <c r="H2865" s="829" t="s">
        <v>15858</v>
      </c>
      <c r="I2865" s="2242">
        <v>45821.0</v>
      </c>
      <c r="J2865" s="859"/>
      <c r="K2865" s="434" t="s">
        <v>16382</v>
      </c>
      <c r="L2865" s="65"/>
      <c r="M2865" s="434" t="s">
        <v>16364</v>
      </c>
      <c r="N2865" s="434" t="s">
        <v>16365</v>
      </c>
      <c r="O2865" s="65"/>
      <c r="P2865" s="1439" t="s">
        <v>16366</v>
      </c>
      <c r="Q2865" s="2268" t="str">
        <f> hyperlink(vlookup(lower(N2865),'File Links'!E:F, 2, FALSE), "LINK")</f>
        <v>LINK</v>
      </c>
      <c r="R2865" s="434" t="s">
        <v>16376</v>
      </c>
      <c r="S2865" s="434" t="s">
        <v>16368</v>
      </c>
      <c r="T2865" s="65"/>
      <c r="U2865" s="65"/>
      <c r="V2865" s="1439" t="s">
        <v>16369</v>
      </c>
      <c r="W2865" s="1225"/>
      <c r="X2865" s="51" t="str">
        <f t="array" ref="X2865"> if(iserror(MATCH(V2865, 'File Links'!C:C, 0)), "N/A", HYPERLINK(INDEX('File Links'!B:B, MATCH(V2865, 'File Links'!C:C, 0))))</f>
        <v>https://drive.google.com/file/d/16V6fX6zed8MKZ53zcmG18UMG8cS5fmS4/view?usp=drivesdk</v>
      </c>
      <c r="Y2865" s="65"/>
      <c r="Z2865" s="434" t="s">
        <v>1672</v>
      </c>
      <c r="AA2865" s="829" t="s">
        <v>16377</v>
      </c>
      <c r="AB2865" s="434" t="s">
        <v>16378</v>
      </c>
      <c r="AC2865" s="829" t="s">
        <v>16507</v>
      </c>
      <c r="AD2865" s="434" t="s">
        <v>16384</v>
      </c>
      <c r="AE2865" s="2243">
        <v>7.0</v>
      </c>
      <c r="AF2865" s="2270">
        <f>485*0.44</f>
        <v>213.4</v>
      </c>
      <c r="AG2865" s="2243">
        <v>0.305</v>
      </c>
      <c r="AH2865" s="434" t="s">
        <v>354</v>
      </c>
      <c r="AI2865" s="434" t="s">
        <v>605</v>
      </c>
      <c r="AJ2865" s="825">
        <v>0.0056</v>
      </c>
      <c r="AK2865" s="434" t="s">
        <v>165</v>
      </c>
      <c r="AL2865" s="434" t="s">
        <v>179</v>
      </c>
      <c r="AM2865" s="434" t="s">
        <v>130</v>
      </c>
      <c r="AN2865" s="434" t="s">
        <v>131</v>
      </c>
      <c r="AO2865" s="825">
        <v>285.0</v>
      </c>
      <c r="AP2865" s="2243">
        <v>0.283</v>
      </c>
      <c r="AQ2865" s="434" t="s">
        <v>354</v>
      </c>
      <c r="AR2865" s="829" t="s">
        <v>621</v>
      </c>
      <c r="AS2865" s="2243">
        <v>0.001</v>
      </c>
      <c r="AT2865" s="434" t="s">
        <v>128</v>
      </c>
      <c r="AU2865" s="434" t="s">
        <v>179</v>
      </c>
      <c r="AV2865" s="434" t="s">
        <v>130</v>
      </c>
      <c r="AW2865" s="434" t="s">
        <v>131</v>
      </c>
      <c r="AX2865" s="434" t="s">
        <v>136</v>
      </c>
      <c r="AZ2865" s="196" t="s">
        <v>15958</v>
      </c>
    </row>
    <row r="2866">
      <c r="A2866" s="41">
        <v>3080.0</v>
      </c>
      <c r="B2866" s="126" t="s">
        <v>516</v>
      </c>
      <c r="C2866" s="59" t="s">
        <v>108</v>
      </c>
      <c r="D2866" s="59" t="s">
        <v>146</v>
      </c>
      <c r="F2866" s="829" t="s">
        <v>16361</v>
      </c>
      <c r="G2866" s="434" t="s">
        <v>16508</v>
      </c>
      <c r="H2866" s="829" t="s">
        <v>15858</v>
      </c>
      <c r="I2866" s="2242">
        <v>45821.0</v>
      </c>
      <c r="J2866" s="859"/>
      <c r="K2866" s="434" t="s">
        <v>16382</v>
      </c>
      <c r="L2866" s="65"/>
      <c r="M2866" s="434" t="s">
        <v>16364</v>
      </c>
      <c r="N2866" s="434" t="s">
        <v>16365</v>
      </c>
      <c r="O2866" s="65"/>
      <c r="P2866" s="1439" t="s">
        <v>16366</v>
      </c>
      <c r="Q2866" s="2268" t="str">
        <f> hyperlink(vlookup(lower(N2866),'File Links'!E:F, 2, FALSE), "LINK")</f>
        <v>LINK</v>
      </c>
      <c r="R2866" s="434" t="s">
        <v>16376</v>
      </c>
      <c r="S2866" s="434" t="s">
        <v>16368</v>
      </c>
      <c r="T2866" s="65"/>
      <c r="U2866" s="65"/>
      <c r="V2866" s="1439" t="s">
        <v>16369</v>
      </c>
      <c r="W2866" s="1225"/>
      <c r="X2866" s="51" t="str">
        <f t="array" ref="X2866"> if(iserror(MATCH(V2866, 'File Links'!C:C, 0)), "N/A", HYPERLINK(INDEX('File Links'!B:B, MATCH(V2866, 'File Links'!C:C, 0))))</f>
        <v>https://drive.google.com/file/d/16V6fX6zed8MKZ53zcmG18UMG8cS5fmS4/view?usp=drivesdk</v>
      </c>
      <c r="Y2866" s="65"/>
      <c r="Z2866" s="434" t="s">
        <v>1672</v>
      </c>
      <c r="AA2866" s="829" t="s">
        <v>16377</v>
      </c>
      <c r="AB2866" s="434" t="s">
        <v>16378</v>
      </c>
      <c r="AC2866" s="829" t="s">
        <v>16449</v>
      </c>
      <c r="AD2866" s="434" t="s">
        <v>16384</v>
      </c>
      <c r="AE2866" s="2243">
        <v>7.0</v>
      </c>
      <c r="AF2866" s="2270">
        <f>485*0.26</f>
        <v>126.1</v>
      </c>
      <c r="AG2866" s="2243">
        <v>0.196</v>
      </c>
      <c r="AH2866" s="434" t="s">
        <v>16387</v>
      </c>
      <c r="AI2866" s="434" t="s">
        <v>605</v>
      </c>
      <c r="AJ2866" s="65"/>
      <c r="AK2866" s="65"/>
      <c r="AL2866" s="434" t="s">
        <v>179</v>
      </c>
      <c r="AM2866" s="434" t="s">
        <v>130</v>
      </c>
      <c r="AN2866" s="434" t="s">
        <v>131</v>
      </c>
      <c r="AO2866" s="825">
        <v>285.0</v>
      </c>
      <c r="AP2866" s="2243">
        <v>0.027</v>
      </c>
      <c r="AQ2866" s="434" t="s">
        <v>16387</v>
      </c>
      <c r="AR2866" s="829" t="s">
        <v>621</v>
      </c>
      <c r="AS2866" s="434" t="s">
        <v>131</v>
      </c>
      <c r="AT2866" s="65"/>
      <c r="AU2866" s="434" t="s">
        <v>179</v>
      </c>
      <c r="AV2866" s="434" t="s">
        <v>130</v>
      </c>
      <c r="AW2866" s="434" t="s">
        <v>131</v>
      </c>
      <c r="AX2866" s="434" t="s">
        <v>136</v>
      </c>
      <c r="AZ2866" s="196" t="s">
        <v>15958</v>
      </c>
    </row>
    <row r="2867">
      <c r="A2867" s="41">
        <v>3153.0</v>
      </c>
      <c r="B2867" s="126" t="s">
        <v>516</v>
      </c>
      <c r="C2867" s="59" t="s">
        <v>108</v>
      </c>
      <c r="D2867" s="59" t="s">
        <v>1451</v>
      </c>
      <c r="F2867" s="65" t="s">
        <v>16509</v>
      </c>
      <c r="G2867" s="156" t="s">
        <v>16510</v>
      </c>
      <c r="H2867" s="1284" t="s">
        <v>1511</v>
      </c>
      <c r="I2867" s="859"/>
      <c r="J2867" s="149">
        <v>45822.0</v>
      </c>
      <c r="K2867" s="156" t="s">
        <v>16511</v>
      </c>
      <c r="L2867" s="65"/>
      <c r="M2867" s="156" t="s">
        <v>16512</v>
      </c>
      <c r="N2867" s="156" t="s">
        <v>16513</v>
      </c>
      <c r="O2867" s="65"/>
      <c r="P2867" s="379" t="s">
        <v>16514</v>
      </c>
      <c r="Q2867" s="2153" t="str">
        <f> hyperlink(vlookup(lower(N2867),'File Links'!F:G, 2, FALSE), "LINK")</f>
        <v>LINK</v>
      </c>
      <c r="R2867" s="156" t="s">
        <v>16515</v>
      </c>
      <c r="S2867" s="156" t="s">
        <v>16516</v>
      </c>
      <c r="T2867" s="156" t="s">
        <v>131</v>
      </c>
      <c r="U2867" s="65"/>
      <c r="V2867" s="379" t="s">
        <v>16517</v>
      </c>
      <c r="W2867" s="1225"/>
      <c r="X2867" s="51" t="str">
        <f t="array" ref="X2867"> if(iserror(MATCH(V2867, 'File Links'!C:C, 0)), "N/A", HYPERLINK(INDEX('File Links'!B:B, MATCH(V2867, 'File Links'!C:C, 0))))</f>
        <v>https://drive.google.com/file/d/10N2GphtISECImbmZiH9vnFKAukkBYpHi/view?usp=drivesdk</v>
      </c>
      <c r="Y2867" s="156" t="s">
        <v>15927</v>
      </c>
      <c r="Z2867" s="65"/>
      <c r="AA2867" s="65"/>
      <c r="AB2867" s="65"/>
      <c r="AC2867" s="65"/>
      <c r="AD2867" s="65"/>
      <c r="AE2867" s="65"/>
      <c r="AF2867" s="65"/>
      <c r="AG2867" s="65"/>
      <c r="AH2867" s="65"/>
      <c r="AI2867" s="65"/>
      <c r="AJ2867" s="65"/>
      <c r="AK2867" s="65"/>
      <c r="AL2867" s="65"/>
      <c r="AM2867" s="65"/>
      <c r="AN2867" s="65"/>
      <c r="AO2867" s="65"/>
      <c r="AP2867" s="65"/>
      <c r="AQ2867" s="65"/>
      <c r="AR2867" s="65"/>
      <c r="AS2867" s="65"/>
      <c r="AT2867" s="65"/>
      <c r="AU2867" s="65"/>
      <c r="AV2867" s="65"/>
      <c r="AW2867" s="65"/>
      <c r="AX2867" s="65"/>
      <c r="AZ2867" s="196" t="s">
        <v>15958</v>
      </c>
      <c r="BB2867" s="104"/>
      <c r="BC2867" s="104"/>
      <c r="BD2867" s="104"/>
      <c r="BE2867" s="104"/>
      <c r="BF2867" s="104"/>
      <c r="BG2867" s="104"/>
      <c r="BH2867" s="104"/>
      <c r="BI2867" s="104"/>
      <c r="BJ2867" s="104"/>
      <c r="BK2867" s="104"/>
      <c r="BL2867" s="104"/>
      <c r="BM2867" s="104"/>
      <c r="BN2867" s="104"/>
      <c r="BO2867" s="104"/>
      <c r="BP2867" s="104"/>
      <c r="BQ2867" s="104"/>
      <c r="BR2867" s="104"/>
      <c r="BS2867" s="104"/>
      <c r="BT2867" s="104"/>
      <c r="BU2867" s="104"/>
      <c r="BV2867" s="104"/>
      <c r="BW2867" s="104"/>
      <c r="BX2867" s="104"/>
      <c r="BY2867" s="104"/>
      <c r="BZ2867" s="104"/>
      <c r="CA2867" s="104"/>
      <c r="CB2867" s="104"/>
      <c r="CC2867" s="104"/>
      <c r="CD2867" s="104"/>
      <c r="CE2867" s="104"/>
      <c r="CF2867" s="104"/>
      <c r="CG2867" s="104"/>
      <c r="CH2867" s="104"/>
      <c r="CI2867" s="104"/>
      <c r="CJ2867" s="104"/>
      <c r="CK2867" s="104"/>
      <c r="CL2867" s="104"/>
      <c r="CM2867" s="104"/>
      <c r="CN2867" s="104"/>
      <c r="CO2867" s="104"/>
      <c r="CP2867" s="104"/>
      <c r="CQ2867" s="104"/>
      <c r="CR2867" s="104"/>
      <c r="CS2867" s="104"/>
      <c r="CT2867" s="104"/>
      <c r="CU2867" s="104"/>
      <c r="CV2867" s="104"/>
      <c r="CW2867" s="104"/>
      <c r="CX2867" s="104"/>
      <c r="CY2867" s="104"/>
      <c r="CZ2867" s="104"/>
      <c r="DA2867" s="104"/>
      <c r="DB2867" s="104"/>
      <c r="DC2867" s="104"/>
      <c r="DD2867" s="104"/>
      <c r="DE2867" s="104"/>
      <c r="DF2867" s="104"/>
      <c r="DG2867" s="104"/>
      <c r="DH2867" s="104"/>
    </row>
    <row r="2868">
      <c r="A2868" s="41">
        <v>3156.0</v>
      </c>
      <c r="B2868" s="126" t="s">
        <v>516</v>
      </c>
      <c r="C2868" s="59" t="s">
        <v>108</v>
      </c>
      <c r="D2868" s="59" t="s">
        <v>1451</v>
      </c>
      <c r="F2868" s="65" t="s">
        <v>16518</v>
      </c>
      <c r="G2868" s="156" t="s">
        <v>16519</v>
      </c>
      <c r="H2868" s="1284" t="s">
        <v>1511</v>
      </c>
      <c r="I2868" s="859"/>
      <c r="J2868" s="149">
        <v>45823.0</v>
      </c>
      <c r="K2868" s="156" t="s">
        <v>16520</v>
      </c>
      <c r="L2868" s="65"/>
      <c r="M2868" s="156" t="s">
        <v>16521</v>
      </c>
      <c r="N2868" s="156" t="s">
        <v>16522</v>
      </c>
      <c r="O2868" s="153">
        <v>1.0</v>
      </c>
      <c r="P2868" s="379" t="s">
        <v>16523</v>
      </c>
      <c r="Q2868" s="2153" t="str">
        <f> hyperlink(vlookup(lower(N2868),'File Links'!F:G, 2, FALSE), "LINK")</f>
        <v>LINK</v>
      </c>
      <c r="R2868" s="156" t="s">
        <v>16524</v>
      </c>
      <c r="S2868" s="156" t="s">
        <v>16525</v>
      </c>
      <c r="T2868" s="156" t="s">
        <v>131</v>
      </c>
      <c r="U2868" s="333">
        <v>1.0</v>
      </c>
      <c r="V2868" s="156" t="s">
        <v>16526</v>
      </c>
      <c r="W2868" s="1225"/>
      <c r="X2868" s="51" t="str">
        <f t="array" ref="X2868"> if(iserror(MATCH(V2868, 'File Links'!C:C, 0)), "N/A", HYPERLINK(INDEX('File Links'!B:B, MATCH(V2868, 'File Links'!C:C, 0))))</f>
        <v>https://drive.google.com/file/d/1NUBAl6Yl2Ll3r0YlezoDr1DQkJrRA7AB/view?usp=drivesdk</v>
      </c>
      <c r="Y2868" s="156" t="s">
        <v>131</v>
      </c>
      <c r="Z2868" s="156" t="s">
        <v>234</v>
      </c>
      <c r="AA2868" s="156" t="s">
        <v>16527</v>
      </c>
      <c r="AB2868" s="156" t="s">
        <v>16528</v>
      </c>
      <c r="AC2868" s="156" t="s">
        <v>16529</v>
      </c>
      <c r="AD2868" s="156" t="s">
        <v>16530</v>
      </c>
      <c r="AE2868" s="153">
        <v>14.0</v>
      </c>
      <c r="AF2868" s="153">
        <v>233.0</v>
      </c>
      <c r="AG2868" s="153">
        <v>0.118</v>
      </c>
      <c r="AH2868" s="156" t="s">
        <v>131</v>
      </c>
      <c r="AI2868" s="156" t="s">
        <v>9212</v>
      </c>
      <c r="AJ2868" s="156" t="s">
        <v>131</v>
      </c>
      <c r="AK2868" s="156" t="s">
        <v>131</v>
      </c>
      <c r="AL2868" s="156" t="s">
        <v>131</v>
      </c>
      <c r="AM2868" s="156" t="s">
        <v>134</v>
      </c>
      <c r="AN2868" s="156" t="s">
        <v>131</v>
      </c>
      <c r="AO2868" s="153">
        <v>648.0</v>
      </c>
      <c r="AP2868" s="153">
        <v>0.29</v>
      </c>
      <c r="AQ2868" s="156" t="s">
        <v>131</v>
      </c>
      <c r="AR2868" s="156" t="s">
        <v>4966</v>
      </c>
      <c r="AS2868" s="156" t="s">
        <v>131</v>
      </c>
      <c r="AT2868" s="156" t="s">
        <v>131</v>
      </c>
      <c r="AU2868" s="156" t="s">
        <v>131</v>
      </c>
      <c r="AV2868" s="156" t="s">
        <v>134</v>
      </c>
      <c r="AW2868" s="65" t="s">
        <v>131</v>
      </c>
      <c r="AX2868" s="156" t="s">
        <v>136</v>
      </c>
      <c r="AZ2868" s="196" t="s">
        <v>15958</v>
      </c>
    </row>
    <row r="2869">
      <c r="A2869" s="41">
        <v>3154.0</v>
      </c>
      <c r="B2869" s="126" t="s">
        <v>516</v>
      </c>
      <c r="C2869" s="59" t="s">
        <v>108</v>
      </c>
      <c r="D2869" s="59" t="s">
        <v>1451</v>
      </c>
      <c r="F2869" s="65" t="s">
        <v>16531</v>
      </c>
      <c r="G2869" s="156" t="s">
        <v>16532</v>
      </c>
      <c r="H2869" s="1284" t="s">
        <v>1511</v>
      </c>
      <c r="I2869" s="859"/>
      <c r="J2869" s="149">
        <v>45822.0</v>
      </c>
      <c r="K2869" s="156" t="s">
        <v>16533</v>
      </c>
      <c r="L2869" s="65"/>
      <c r="M2869" s="156" t="s">
        <v>16534</v>
      </c>
      <c r="N2869" s="156" t="s">
        <v>16535</v>
      </c>
      <c r="O2869" s="153" t="s">
        <v>131</v>
      </c>
      <c r="P2869" s="379" t="s">
        <v>16536</v>
      </c>
      <c r="Q2869" s="2153" t="str">
        <f> hyperlink(vlookup(lower(N2869),'File Links'!F:G, 2, FALSE), "LINK")</f>
        <v>LINK</v>
      </c>
      <c r="R2869" s="156" t="s">
        <v>16537</v>
      </c>
      <c r="S2869" s="156" t="s">
        <v>16538</v>
      </c>
      <c r="T2869" s="156" t="s">
        <v>131</v>
      </c>
      <c r="U2869" s="156" t="s">
        <v>131</v>
      </c>
      <c r="V2869" s="379" t="s">
        <v>16539</v>
      </c>
      <c r="W2869" s="1225"/>
      <c r="X2869" s="51" t="str">
        <f t="array" ref="X2869"> if(iserror(MATCH(V2869, 'File Links'!C:C, 0)), "N/A", HYPERLINK(INDEX('File Links'!B:B, MATCH(V2869, 'File Links'!C:C, 0))))</f>
        <v>https://drive.google.com/file/d/17sVwjrDS913Gts1JisHt0r2QxjDzr5lB/view?usp=drivesdk</v>
      </c>
      <c r="Y2869" s="156" t="s">
        <v>131</v>
      </c>
      <c r="Z2869" s="156" t="s">
        <v>2072</v>
      </c>
      <c r="AA2869" s="156" t="s">
        <v>16540</v>
      </c>
      <c r="AB2869" s="156" t="s">
        <v>16541</v>
      </c>
      <c r="AC2869" s="65"/>
      <c r="AD2869" s="156" t="s">
        <v>131</v>
      </c>
      <c r="AE2869" s="156" t="s">
        <v>131</v>
      </c>
      <c r="AF2869" s="156" t="s">
        <v>131</v>
      </c>
      <c r="AG2869" s="156" t="s">
        <v>131</v>
      </c>
      <c r="AH2869" s="156" t="s">
        <v>131</v>
      </c>
      <c r="AI2869" s="156" t="s">
        <v>131</v>
      </c>
      <c r="AJ2869" s="156" t="s">
        <v>131</v>
      </c>
      <c r="AK2869" s="156" t="s">
        <v>131</v>
      </c>
      <c r="AL2869" s="156" t="s">
        <v>131</v>
      </c>
      <c r="AM2869" s="156" t="s">
        <v>131</v>
      </c>
      <c r="AN2869" s="156" t="s">
        <v>131</v>
      </c>
      <c r="AO2869" s="156" t="s">
        <v>131</v>
      </c>
      <c r="AP2869" s="156" t="s">
        <v>131</v>
      </c>
      <c r="AQ2869" s="156" t="s">
        <v>131</v>
      </c>
      <c r="AR2869" s="156" t="s">
        <v>131</v>
      </c>
      <c r="AS2869" s="156" t="s">
        <v>131</v>
      </c>
      <c r="AT2869" s="156" t="s">
        <v>131</v>
      </c>
      <c r="AU2869" s="156" t="s">
        <v>131</v>
      </c>
      <c r="AV2869" s="156" t="s">
        <v>131</v>
      </c>
      <c r="AW2869" s="156" t="s">
        <v>131</v>
      </c>
      <c r="AX2869" s="156" t="s">
        <v>136</v>
      </c>
      <c r="AZ2869" s="196" t="s">
        <v>15958</v>
      </c>
    </row>
    <row r="2870">
      <c r="A2870" s="41">
        <v>3160.0</v>
      </c>
      <c r="B2870" s="126" t="s">
        <v>516</v>
      </c>
      <c r="C2870" s="59" t="s">
        <v>108</v>
      </c>
      <c r="D2870" s="59" t="s">
        <v>1451</v>
      </c>
      <c r="F2870" s="65" t="s">
        <v>16542</v>
      </c>
      <c r="G2870" s="156" t="s">
        <v>16543</v>
      </c>
      <c r="H2870" s="1284" t="s">
        <v>1511</v>
      </c>
      <c r="I2870" s="859"/>
      <c r="J2870" s="149">
        <v>45823.0</v>
      </c>
      <c r="K2870" s="156" t="s">
        <v>16544</v>
      </c>
      <c r="L2870" s="65"/>
      <c r="M2870" s="156" t="s">
        <v>16545</v>
      </c>
      <c r="N2870" s="156" t="s">
        <v>16546</v>
      </c>
      <c r="O2870" s="153">
        <v>1.0</v>
      </c>
      <c r="P2870" s="379" t="s">
        <v>16547</v>
      </c>
      <c r="Q2870" s="2153" t="str">
        <f> hyperlink(vlookup(lower(N2870),'File Links'!F:G, 2, FALSE), "LINK")</f>
        <v>LINK</v>
      </c>
      <c r="R2870" s="156" t="s">
        <v>16548</v>
      </c>
      <c r="S2870" s="156" t="s">
        <v>16549</v>
      </c>
      <c r="T2870" s="156" t="s">
        <v>131</v>
      </c>
      <c r="U2870" s="153">
        <v>1.0</v>
      </c>
      <c r="V2870" s="379" t="s">
        <v>16550</v>
      </c>
      <c r="W2870" s="1225"/>
      <c r="X2870" s="51" t="str">
        <f t="array" ref="X2870"> if(iserror(MATCH(V2870, 'File Links'!C:C, 0)), "N/A", HYPERLINK(INDEX('File Links'!B:B, MATCH(V2870, 'File Links'!C:C, 0))))</f>
        <v>https://drive.google.com/file/d/1km2L9DNVunqU05rc4Kd_J4czp3x6Xkk1/view?usp=drivesdk</v>
      </c>
      <c r="Y2870" s="156" t="s">
        <v>131</v>
      </c>
      <c r="Z2870" s="156" t="s">
        <v>496</v>
      </c>
      <c r="AA2870" s="156" t="s">
        <v>16551</v>
      </c>
      <c r="AB2870" s="156" t="s">
        <v>16552</v>
      </c>
      <c r="AC2870" s="156" t="s">
        <v>16553</v>
      </c>
      <c r="AD2870" s="156" t="s">
        <v>16554</v>
      </c>
      <c r="AE2870" s="153">
        <v>5.0</v>
      </c>
      <c r="AF2870" s="156" t="s">
        <v>16555</v>
      </c>
      <c r="AG2870" s="153">
        <v>1.51</v>
      </c>
      <c r="AH2870" s="156" t="s">
        <v>715</v>
      </c>
      <c r="AI2870" s="156" t="s">
        <v>875</v>
      </c>
      <c r="AJ2870" s="156" t="s">
        <v>16556</v>
      </c>
      <c r="AK2870" s="156" t="s">
        <v>165</v>
      </c>
      <c r="AL2870" s="156" t="s">
        <v>179</v>
      </c>
      <c r="AM2870" s="156" t="s">
        <v>134</v>
      </c>
      <c r="AN2870" s="156" t="s">
        <v>131</v>
      </c>
      <c r="AO2870" s="156" t="s">
        <v>16557</v>
      </c>
      <c r="AP2870" s="153">
        <v>0.83</v>
      </c>
      <c r="AQ2870" s="156" t="s">
        <v>715</v>
      </c>
      <c r="AR2870" s="156" t="s">
        <v>489</v>
      </c>
      <c r="AS2870" s="153">
        <v>0.19</v>
      </c>
      <c r="AT2870" s="156" t="s">
        <v>165</v>
      </c>
      <c r="AU2870" s="156" t="s">
        <v>179</v>
      </c>
      <c r="AV2870" s="156" t="s">
        <v>134</v>
      </c>
      <c r="AW2870" s="65" t="s">
        <v>131</v>
      </c>
      <c r="AX2870" s="156" t="s">
        <v>136</v>
      </c>
      <c r="AZ2870" s="196" t="s">
        <v>15958</v>
      </c>
    </row>
    <row r="2871" ht="21.0" customHeight="1">
      <c r="A2871" s="41">
        <v>3015.0</v>
      </c>
      <c r="B2871" s="126" t="s">
        <v>516</v>
      </c>
      <c r="C2871" s="59" t="s">
        <v>108</v>
      </c>
      <c r="D2871" s="59" t="s">
        <v>146</v>
      </c>
      <c r="F2871" s="434" t="s">
        <v>16542</v>
      </c>
      <c r="G2871" s="434" t="s">
        <v>16558</v>
      </c>
      <c r="H2871" s="829" t="s">
        <v>15858</v>
      </c>
      <c r="I2871" s="2242">
        <v>45821.0</v>
      </c>
      <c r="J2871" s="859"/>
      <c r="K2871" s="434" t="s">
        <v>16559</v>
      </c>
      <c r="L2871" s="65"/>
      <c r="M2871" s="434" t="s">
        <v>16545</v>
      </c>
      <c r="N2871" s="434" t="s">
        <v>16546</v>
      </c>
      <c r="O2871" s="65"/>
      <c r="P2871" s="1439" t="s">
        <v>16547</v>
      </c>
      <c r="Q2871" s="2268" t="str">
        <f> hyperlink(vlookup(lower(N2871),'File Links'!E:F, 2, FALSE), "LINK")</f>
        <v>LINK</v>
      </c>
      <c r="R2871" s="434" t="s">
        <v>16548</v>
      </c>
      <c r="S2871" s="434" t="s">
        <v>16549</v>
      </c>
      <c r="T2871" s="65"/>
      <c r="U2871" s="65"/>
      <c r="V2871" s="1439" t="s">
        <v>16550</v>
      </c>
      <c r="W2871" s="1225"/>
      <c r="X2871" s="51" t="str">
        <f t="array" ref="X2871"> if(iserror(MATCH(V2871, 'File Links'!C:C, 0)), "N/A", HYPERLINK(INDEX('File Links'!B:B, MATCH(V2871, 'File Links'!C:C, 0))))</f>
        <v>https://drive.google.com/file/d/1km2L9DNVunqU05rc4Kd_J4czp3x6Xkk1/view?usp=drivesdk</v>
      </c>
      <c r="Y2871" s="65"/>
      <c r="Z2871" s="434" t="s">
        <v>496</v>
      </c>
      <c r="AA2871" s="434" t="s">
        <v>16560</v>
      </c>
      <c r="AB2871" s="434" t="s">
        <v>16561</v>
      </c>
      <c r="AC2871" s="434" t="s">
        <v>16562</v>
      </c>
      <c r="AD2871" s="434" t="s">
        <v>16563</v>
      </c>
      <c r="AE2871" s="2271">
        <v>45750.0</v>
      </c>
      <c r="AF2871" s="825">
        <f>246+352</f>
        <v>598</v>
      </c>
      <c r="AG2871" s="825">
        <v>1.15</v>
      </c>
      <c r="AH2871" s="434" t="s">
        <v>715</v>
      </c>
      <c r="AI2871" s="829" t="s">
        <v>210</v>
      </c>
      <c r="AJ2871" s="825">
        <v>0.29</v>
      </c>
      <c r="AK2871" s="434" t="s">
        <v>165</v>
      </c>
      <c r="AL2871" s="434" t="s">
        <v>179</v>
      </c>
      <c r="AM2871" s="434" t="s">
        <v>130</v>
      </c>
      <c r="AN2871" s="434" t="s">
        <v>131</v>
      </c>
      <c r="AO2871" s="825">
        <f t="shared" ref="AO2871:AO2874" si="139">198+265</f>
        <v>463</v>
      </c>
      <c r="AP2871" s="2272">
        <v>0.83</v>
      </c>
      <c r="AQ2871" s="434" t="s">
        <v>715</v>
      </c>
      <c r="AR2871" s="434" t="s">
        <v>843</v>
      </c>
      <c r="AS2871" s="825">
        <v>0.19</v>
      </c>
      <c r="AT2871" s="434" t="s">
        <v>165</v>
      </c>
      <c r="AU2871" s="434" t="s">
        <v>179</v>
      </c>
      <c r="AV2871" s="434" t="s">
        <v>130</v>
      </c>
      <c r="AW2871" s="434" t="s">
        <v>131</v>
      </c>
      <c r="AX2871" s="434" t="s">
        <v>136</v>
      </c>
      <c r="AZ2871" s="196" t="s">
        <v>15958</v>
      </c>
      <c r="BB2871" s="197"/>
      <c r="BC2871" s="197"/>
      <c r="BD2871" s="197"/>
      <c r="BE2871" s="197"/>
      <c r="BF2871" s="197"/>
      <c r="BG2871" s="197"/>
      <c r="BH2871" s="197"/>
      <c r="BI2871" s="197"/>
      <c r="BJ2871" s="197"/>
      <c r="BK2871" s="197"/>
      <c r="BL2871" s="197"/>
      <c r="BM2871" s="197"/>
      <c r="BN2871" s="197"/>
      <c r="BO2871" s="197"/>
      <c r="BP2871" s="197"/>
      <c r="BQ2871" s="197"/>
      <c r="BR2871" s="197"/>
      <c r="BS2871" s="197"/>
      <c r="BT2871" s="197"/>
      <c r="BU2871" s="197"/>
      <c r="BV2871" s="197"/>
      <c r="BW2871" s="197"/>
      <c r="BX2871" s="197"/>
      <c r="BY2871" s="197"/>
      <c r="BZ2871" s="197"/>
      <c r="CA2871" s="197"/>
      <c r="CB2871" s="197"/>
      <c r="CC2871" s="197"/>
      <c r="CD2871" s="197"/>
      <c r="CE2871" s="197"/>
      <c r="CF2871" s="197"/>
      <c r="CG2871" s="197"/>
      <c r="CH2871" s="197"/>
      <c r="CI2871" s="197"/>
      <c r="CJ2871" s="197"/>
      <c r="CK2871" s="197"/>
      <c r="CL2871" s="197"/>
      <c r="CM2871" s="197"/>
      <c r="CN2871" s="197"/>
      <c r="CO2871" s="197"/>
      <c r="CP2871" s="197"/>
      <c r="CQ2871" s="197"/>
      <c r="CR2871" s="197"/>
      <c r="CS2871" s="197"/>
      <c r="CT2871" s="197"/>
      <c r="CU2871" s="197"/>
      <c r="CV2871" s="197"/>
      <c r="CW2871" s="197"/>
      <c r="CX2871" s="197"/>
      <c r="CY2871" s="197"/>
      <c r="CZ2871" s="197"/>
      <c r="DA2871" s="197"/>
      <c r="DB2871" s="197"/>
      <c r="DC2871" s="197"/>
      <c r="DD2871" s="197"/>
      <c r="DE2871" s="197"/>
      <c r="DF2871" s="197"/>
      <c r="DG2871" s="197"/>
      <c r="DH2871" s="197"/>
    </row>
    <row r="2872" ht="21.75" customHeight="1">
      <c r="A2872" s="41">
        <v>3012.0</v>
      </c>
      <c r="B2872" s="2000" t="s">
        <v>516</v>
      </c>
      <c r="C2872" s="2001" t="s">
        <v>108</v>
      </c>
      <c r="D2872" s="2001" t="s">
        <v>146</v>
      </c>
      <c r="E2872" s="2002"/>
      <c r="F2872" s="2248" t="s">
        <v>16542</v>
      </c>
      <c r="G2872" s="2248" t="s">
        <v>16564</v>
      </c>
      <c r="H2872" s="2247" t="s">
        <v>15858</v>
      </c>
      <c r="I2872" s="2249">
        <v>45821.0</v>
      </c>
      <c r="J2872" s="2250"/>
      <c r="K2872" s="2248" t="s">
        <v>16559</v>
      </c>
      <c r="L2872" s="2005"/>
      <c r="M2872" s="2248" t="s">
        <v>16545</v>
      </c>
      <c r="N2872" s="2248" t="s">
        <v>16546</v>
      </c>
      <c r="O2872" s="2005"/>
      <c r="P2872" s="2248" t="s">
        <v>16547</v>
      </c>
      <c r="Q2872" s="2273" t="str">
        <f> hyperlink(vlookup(lower(N2872),'File Links'!E:F, 2, FALSE), "LINK")</f>
        <v>LINK</v>
      </c>
      <c r="R2872" s="2248" t="s">
        <v>16548</v>
      </c>
      <c r="S2872" s="2248" t="s">
        <v>16549</v>
      </c>
      <c r="T2872" s="2005"/>
      <c r="U2872" s="2005"/>
      <c r="V2872" s="2248" t="s">
        <v>16550</v>
      </c>
      <c r="W2872" s="2005"/>
      <c r="X2872" s="51" t="str">
        <f t="array" ref="X2872"> if(iserror(MATCH(V2872, 'File Links'!C:C, 0)), "N/A", HYPERLINK(INDEX('File Links'!B:B, MATCH(V2872, 'File Links'!C:C, 0))))</f>
        <v>https://drive.google.com/file/d/1km2L9DNVunqU05rc4Kd_J4czp3x6Xkk1/view?usp=drivesdk</v>
      </c>
      <c r="Y2872" s="2005"/>
      <c r="Z2872" s="2248" t="s">
        <v>496</v>
      </c>
      <c r="AA2872" s="2248" t="s">
        <v>16560</v>
      </c>
      <c r="AB2872" s="2248" t="s">
        <v>16561</v>
      </c>
      <c r="AC2872" s="2248" t="s">
        <v>16565</v>
      </c>
      <c r="AD2872" s="2248" t="s">
        <v>16566</v>
      </c>
      <c r="AE2872" s="2252">
        <v>2.0</v>
      </c>
      <c r="AF2872" s="2252">
        <f>1291+997</f>
        <v>2288</v>
      </c>
      <c r="AG2872" s="2252">
        <v>1.72</v>
      </c>
      <c r="AH2872" s="2248" t="s">
        <v>715</v>
      </c>
      <c r="AI2872" s="2247" t="s">
        <v>210</v>
      </c>
      <c r="AJ2872" s="2253">
        <f>1.7*10^-9</f>
        <v>0.0000000017</v>
      </c>
      <c r="AK2872" s="2248" t="s">
        <v>165</v>
      </c>
      <c r="AL2872" s="2248" t="s">
        <v>179</v>
      </c>
      <c r="AM2872" s="2248" t="s">
        <v>130</v>
      </c>
      <c r="AN2872" s="2248" t="s">
        <v>131</v>
      </c>
      <c r="AO2872" s="2252">
        <f t="shared" si="139"/>
        <v>463</v>
      </c>
      <c r="AP2872" s="2274">
        <v>0.83</v>
      </c>
      <c r="AQ2872" s="2248" t="s">
        <v>715</v>
      </c>
      <c r="AR2872" s="2248" t="s">
        <v>843</v>
      </c>
      <c r="AS2872" s="2252">
        <v>0.19</v>
      </c>
      <c r="AT2872" s="2248" t="s">
        <v>165</v>
      </c>
      <c r="AU2872" s="2248" t="s">
        <v>179</v>
      </c>
      <c r="AV2872" s="2248" t="s">
        <v>130</v>
      </c>
      <c r="AW2872" s="2248" t="s">
        <v>131</v>
      </c>
      <c r="AX2872" s="2248" t="s">
        <v>136</v>
      </c>
      <c r="AY2872" s="2002"/>
      <c r="AZ2872" s="2001" t="s">
        <v>15958</v>
      </c>
      <c r="BA2872" s="2002"/>
    </row>
    <row r="2873" ht="23.25" customHeight="1">
      <c r="A2873" s="41">
        <v>3013.0</v>
      </c>
      <c r="B2873" s="126" t="s">
        <v>516</v>
      </c>
      <c r="C2873" s="59" t="s">
        <v>108</v>
      </c>
      <c r="D2873" s="59" t="s">
        <v>146</v>
      </c>
      <c r="F2873" s="434" t="s">
        <v>16542</v>
      </c>
      <c r="G2873" s="434" t="s">
        <v>16567</v>
      </c>
      <c r="H2873" s="829" t="s">
        <v>15858</v>
      </c>
      <c r="I2873" s="2242">
        <v>45821.0</v>
      </c>
      <c r="J2873" s="859"/>
      <c r="K2873" s="434" t="s">
        <v>16559</v>
      </c>
      <c r="L2873" s="65"/>
      <c r="M2873" s="434" t="s">
        <v>16545</v>
      </c>
      <c r="N2873" s="434" t="s">
        <v>16546</v>
      </c>
      <c r="O2873" s="65"/>
      <c r="P2873" s="1439" t="s">
        <v>16547</v>
      </c>
      <c r="Q2873" s="2268" t="str">
        <f> hyperlink(vlookup(lower(N2873),'File Links'!E:F, 2, FALSE), "LINK")</f>
        <v>LINK</v>
      </c>
      <c r="R2873" s="434" t="s">
        <v>16548</v>
      </c>
      <c r="S2873" s="434" t="s">
        <v>16549</v>
      </c>
      <c r="T2873" s="65"/>
      <c r="U2873" s="65"/>
      <c r="V2873" s="1439" t="s">
        <v>16550</v>
      </c>
      <c r="W2873" s="1225"/>
      <c r="X2873" s="51" t="str">
        <f t="array" ref="X2873"> if(iserror(MATCH(V2873, 'File Links'!C:C, 0)), "N/A", HYPERLINK(INDEX('File Links'!B:B, MATCH(V2873, 'File Links'!C:C, 0))))</f>
        <v>https://drive.google.com/file/d/1km2L9DNVunqU05rc4Kd_J4czp3x6Xkk1/view?usp=drivesdk</v>
      </c>
      <c r="Y2873" s="65"/>
      <c r="Z2873" s="434" t="s">
        <v>496</v>
      </c>
      <c r="AA2873" s="434" t="s">
        <v>16560</v>
      </c>
      <c r="AB2873" s="434" t="s">
        <v>16561</v>
      </c>
      <c r="AC2873" s="434" t="s">
        <v>16568</v>
      </c>
      <c r="AD2873" s="434" t="s">
        <v>16569</v>
      </c>
      <c r="AE2873" s="2271">
        <v>45718.0</v>
      </c>
      <c r="AF2873" s="825">
        <f>1435+779</f>
        <v>2214</v>
      </c>
      <c r="AG2873" s="825">
        <v>1.29</v>
      </c>
      <c r="AH2873" s="434" t="s">
        <v>715</v>
      </c>
      <c r="AI2873" s="829" t="s">
        <v>210</v>
      </c>
      <c r="AJ2873" s="2243">
        <f>4.5*10^-3</f>
        <v>0.0045</v>
      </c>
      <c r="AK2873" s="434" t="s">
        <v>165</v>
      </c>
      <c r="AL2873" s="434" t="s">
        <v>179</v>
      </c>
      <c r="AM2873" s="434" t="s">
        <v>130</v>
      </c>
      <c r="AN2873" s="434" t="s">
        <v>131</v>
      </c>
      <c r="AO2873" s="825">
        <f t="shared" si="139"/>
        <v>463</v>
      </c>
      <c r="AP2873" s="2272">
        <v>0.83</v>
      </c>
      <c r="AQ2873" s="434" t="s">
        <v>715</v>
      </c>
      <c r="AR2873" s="434" t="s">
        <v>843</v>
      </c>
      <c r="AS2873" s="825">
        <v>0.19</v>
      </c>
      <c r="AT2873" s="434" t="s">
        <v>165</v>
      </c>
      <c r="AU2873" s="434" t="s">
        <v>179</v>
      </c>
      <c r="AV2873" s="434" t="s">
        <v>130</v>
      </c>
      <c r="AW2873" s="434" t="s">
        <v>131</v>
      </c>
      <c r="AX2873" s="434" t="s">
        <v>136</v>
      </c>
      <c r="AZ2873" s="196" t="s">
        <v>15958</v>
      </c>
    </row>
    <row r="2874" ht="24.0" customHeight="1">
      <c r="A2874" s="41">
        <v>3014.0</v>
      </c>
      <c r="B2874" s="126" t="s">
        <v>516</v>
      </c>
      <c r="C2874" s="59" t="s">
        <v>108</v>
      </c>
      <c r="D2874" s="59" t="s">
        <v>146</v>
      </c>
      <c r="F2874" s="434" t="s">
        <v>16542</v>
      </c>
      <c r="G2874" s="434" t="s">
        <v>16570</v>
      </c>
      <c r="H2874" s="829" t="s">
        <v>15858</v>
      </c>
      <c r="I2874" s="2242">
        <v>45821.0</v>
      </c>
      <c r="J2874" s="859"/>
      <c r="K2874" s="434" t="s">
        <v>16571</v>
      </c>
      <c r="L2874" s="65"/>
      <c r="M2874" s="434" t="s">
        <v>16545</v>
      </c>
      <c r="N2874" s="434" t="s">
        <v>16546</v>
      </c>
      <c r="O2874" s="65"/>
      <c r="P2874" s="1439" t="s">
        <v>16547</v>
      </c>
      <c r="Q2874" s="2268" t="str">
        <f> hyperlink(vlookup(lower(N2874),'File Links'!E:F, 2, FALSE), "LINK")</f>
        <v>LINK</v>
      </c>
      <c r="R2874" s="434" t="s">
        <v>16548</v>
      </c>
      <c r="S2874" s="434" t="s">
        <v>16549</v>
      </c>
      <c r="T2874" s="65"/>
      <c r="U2874" s="65"/>
      <c r="V2874" s="1439" t="s">
        <v>16550</v>
      </c>
      <c r="W2874" s="1225"/>
      <c r="X2874" s="51" t="str">
        <f t="array" ref="X2874"> if(iserror(MATCH(V2874, 'File Links'!C:C, 0)), "N/A", HYPERLINK(INDEX('File Links'!B:B, MATCH(V2874, 'File Links'!C:C, 0))))</f>
        <v>https://drive.google.com/file/d/1km2L9DNVunqU05rc4Kd_J4czp3x6Xkk1/view?usp=drivesdk</v>
      </c>
      <c r="Y2874" s="65"/>
      <c r="Z2874" s="434" t="s">
        <v>496</v>
      </c>
      <c r="AA2874" s="434" t="s">
        <v>16560</v>
      </c>
      <c r="AB2874" s="434" t="s">
        <v>16561</v>
      </c>
      <c r="AC2874" s="434" t="s">
        <v>16572</v>
      </c>
      <c r="AD2874" s="434" t="s">
        <v>16569</v>
      </c>
      <c r="AE2874" s="2271">
        <v>45718.0</v>
      </c>
      <c r="AF2874" s="825">
        <f>458+247</f>
        <v>705</v>
      </c>
      <c r="AG2874" s="825">
        <v>1.66</v>
      </c>
      <c r="AH2874" s="434" t="s">
        <v>715</v>
      </c>
      <c r="AI2874" s="829" t="s">
        <v>210</v>
      </c>
      <c r="AJ2874" s="2243">
        <f>6.7*10^-3</f>
        <v>0.0067</v>
      </c>
      <c r="AK2874" s="434" t="s">
        <v>165</v>
      </c>
      <c r="AL2874" s="434" t="s">
        <v>179</v>
      </c>
      <c r="AM2874" s="434" t="s">
        <v>130</v>
      </c>
      <c r="AN2874" s="434" t="s">
        <v>131</v>
      </c>
      <c r="AO2874" s="825">
        <f t="shared" si="139"/>
        <v>463</v>
      </c>
      <c r="AP2874" s="2272">
        <v>0.83</v>
      </c>
      <c r="AQ2874" s="434" t="s">
        <v>715</v>
      </c>
      <c r="AR2874" s="434" t="s">
        <v>843</v>
      </c>
      <c r="AS2874" s="825">
        <v>0.19</v>
      </c>
      <c r="AT2874" s="434" t="s">
        <v>165</v>
      </c>
      <c r="AU2874" s="434" t="s">
        <v>179</v>
      </c>
      <c r="AV2874" s="434" t="s">
        <v>130</v>
      </c>
      <c r="AW2874" s="434" t="s">
        <v>131</v>
      </c>
      <c r="AX2874" s="434" t="s">
        <v>136</v>
      </c>
      <c r="AZ2874" s="196" t="s">
        <v>15958</v>
      </c>
    </row>
    <row r="2875">
      <c r="A2875" s="41">
        <v>3138.0</v>
      </c>
      <c r="B2875" s="126" t="s">
        <v>516</v>
      </c>
      <c r="C2875" s="59" t="s">
        <v>108</v>
      </c>
      <c r="D2875" s="59" t="s">
        <v>214</v>
      </c>
      <c r="F2875" s="156" t="s">
        <v>16573</v>
      </c>
      <c r="G2875" s="156" t="s">
        <v>16574</v>
      </c>
      <c r="H2875" s="1284" t="s">
        <v>215</v>
      </c>
      <c r="I2875" s="149">
        <v>45817.0</v>
      </c>
      <c r="J2875" s="149">
        <v>45817.0</v>
      </c>
      <c r="K2875" s="156" t="s">
        <v>16575</v>
      </c>
      <c r="L2875" s="65"/>
      <c r="M2875" s="156" t="s">
        <v>16576</v>
      </c>
      <c r="N2875" s="677" t="s">
        <v>16577</v>
      </c>
      <c r="O2875" s="65"/>
      <c r="P2875" s="379" t="s">
        <v>16578</v>
      </c>
      <c r="Q2875" s="2153" t="str">
        <f> hyperlink(vlookup(lower(N2875),'File Links'!F:G, 2, FALSE), "LINK")</f>
        <v>LINK</v>
      </c>
      <c r="R2875" s="156" t="s">
        <v>16579</v>
      </c>
      <c r="S2875" s="677" t="s">
        <v>16580</v>
      </c>
      <c r="T2875" s="677" t="s">
        <v>16581</v>
      </c>
      <c r="U2875" s="65"/>
      <c r="V2875" s="1100" t="s">
        <v>16582</v>
      </c>
      <c r="W2875" s="1225"/>
      <c r="X2875" s="2154" t="str">
        <f> hyperlink(vlookup(lower(S2875),'File Links'!F:G, 2, FALSE), "LINK")</f>
        <v>LINK</v>
      </c>
      <c r="Y2875" s="65"/>
      <c r="Z2875" s="156" t="s">
        <v>219</v>
      </c>
      <c r="AA2875" s="156" t="s">
        <v>16583</v>
      </c>
      <c r="AB2875" s="156" t="s">
        <v>16584</v>
      </c>
      <c r="AC2875" s="156" t="s">
        <v>16585</v>
      </c>
      <c r="AD2875" s="156" t="s">
        <v>16586</v>
      </c>
      <c r="AE2875" s="156" t="s">
        <v>868</v>
      </c>
      <c r="AF2875" s="153">
        <v>20.0</v>
      </c>
      <c r="AG2875" s="153">
        <v>0.752</v>
      </c>
      <c r="AH2875" s="156" t="s">
        <v>208</v>
      </c>
      <c r="AI2875" s="156" t="s">
        <v>875</v>
      </c>
      <c r="AJ2875" s="153">
        <v>0.003</v>
      </c>
      <c r="AK2875" s="156" t="s">
        <v>165</v>
      </c>
      <c r="AL2875" s="156" t="s">
        <v>129</v>
      </c>
      <c r="AM2875" s="156" t="s">
        <v>134</v>
      </c>
      <c r="AN2875" s="307" t="s">
        <v>16587</v>
      </c>
      <c r="AO2875" s="2275">
        <v>20.0</v>
      </c>
      <c r="AP2875" s="1471">
        <v>0.89</v>
      </c>
      <c r="AQ2875" s="156" t="s">
        <v>208</v>
      </c>
      <c r="AR2875" s="156" t="s">
        <v>806</v>
      </c>
      <c r="AS2875" s="153">
        <v>0.004</v>
      </c>
      <c r="AT2875" s="156" t="s">
        <v>165</v>
      </c>
      <c r="AU2875" s="156" t="s">
        <v>129</v>
      </c>
      <c r="AV2875" s="156" t="s">
        <v>134</v>
      </c>
      <c r="AW2875" s="307" t="s">
        <v>16588</v>
      </c>
      <c r="AX2875" s="677" t="s">
        <v>144</v>
      </c>
    </row>
    <row r="2876">
      <c r="A2876" s="41">
        <v>3139.0</v>
      </c>
      <c r="B2876" s="126" t="s">
        <v>516</v>
      </c>
      <c r="C2876" s="59" t="s">
        <v>108</v>
      </c>
      <c r="D2876" s="59" t="s">
        <v>214</v>
      </c>
      <c r="F2876" s="156" t="s">
        <v>16589</v>
      </c>
      <c r="G2876" s="156" t="s">
        <v>16590</v>
      </c>
      <c r="H2876" s="1284" t="s">
        <v>215</v>
      </c>
      <c r="I2876" s="149">
        <v>45817.0</v>
      </c>
      <c r="J2876" s="149">
        <v>45817.0</v>
      </c>
      <c r="K2876" s="156" t="s">
        <v>16591</v>
      </c>
      <c r="L2876" s="65"/>
      <c r="M2876" s="156" t="s">
        <v>16592</v>
      </c>
      <c r="N2876" s="677" t="s">
        <v>16593</v>
      </c>
      <c r="O2876" s="65"/>
      <c r="P2876" s="379" t="s">
        <v>16594</v>
      </c>
      <c r="Q2876" s="2153" t="str">
        <f> hyperlink(vlookup(lower(N2876),'File Links'!F:G, 2, FALSE), "LINK")</f>
        <v>LINK</v>
      </c>
      <c r="R2876" s="156" t="s">
        <v>16595</v>
      </c>
      <c r="S2876" s="677" t="s">
        <v>16596</v>
      </c>
      <c r="T2876" s="65"/>
      <c r="U2876" s="65"/>
      <c r="V2876" s="379" t="s">
        <v>16597</v>
      </c>
      <c r="W2876" s="1225"/>
      <c r="X2876" s="1544" t="str">
        <f> hyperlink(vlookup(lower(S2876),'File Links'!F:G, 2, FALSE), "LINK")</f>
        <v>LINK</v>
      </c>
      <c r="Y2876" s="65"/>
      <c r="Z2876" s="156" t="s">
        <v>219</v>
      </c>
      <c r="AA2876" s="156" t="s">
        <v>16598</v>
      </c>
      <c r="AB2876" s="156" t="s">
        <v>16599</v>
      </c>
      <c r="AC2876" s="156" t="s">
        <v>16600</v>
      </c>
      <c r="AD2876" s="156" t="s">
        <v>16601</v>
      </c>
      <c r="AE2876" s="156" t="s">
        <v>125</v>
      </c>
      <c r="AF2876" s="153">
        <v>208.0</v>
      </c>
      <c r="AG2876" s="153">
        <v>0.48</v>
      </c>
      <c r="AH2876" s="156" t="s">
        <v>166</v>
      </c>
      <c r="AI2876" s="156" t="s">
        <v>625</v>
      </c>
      <c r="AJ2876" s="153">
        <v>0.03</v>
      </c>
      <c r="AK2876" s="156" t="s">
        <v>165</v>
      </c>
      <c r="AL2876" s="156" t="s">
        <v>129</v>
      </c>
      <c r="AM2876" s="156" t="s">
        <v>134</v>
      </c>
      <c r="AN2876" s="156" t="s">
        <v>131</v>
      </c>
      <c r="AO2876" s="153">
        <v>180.0</v>
      </c>
      <c r="AP2876" s="1471">
        <v>0.41</v>
      </c>
      <c r="AQ2876" s="156" t="s">
        <v>166</v>
      </c>
      <c r="AR2876" s="156" t="s">
        <v>606</v>
      </c>
      <c r="AS2876" s="153">
        <v>0.004</v>
      </c>
      <c r="AT2876" s="156" t="s">
        <v>165</v>
      </c>
      <c r="AU2876" s="156" t="s">
        <v>129</v>
      </c>
      <c r="AV2876" s="156" t="s">
        <v>134</v>
      </c>
      <c r="AW2876" s="156" t="s">
        <v>131</v>
      </c>
      <c r="AX2876" s="156" t="s">
        <v>136</v>
      </c>
    </row>
    <row r="2877">
      <c r="A2877" s="41">
        <v>3140.0</v>
      </c>
      <c r="B2877" s="126" t="s">
        <v>516</v>
      </c>
      <c r="C2877" s="59" t="s">
        <v>108</v>
      </c>
      <c r="D2877" s="59" t="s">
        <v>214</v>
      </c>
      <c r="F2877" s="65" t="s">
        <v>16602</v>
      </c>
      <c r="G2877" s="156" t="s">
        <v>16603</v>
      </c>
      <c r="H2877" s="1284" t="s">
        <v>215</v>
      </c>
      <c r="I2877" s="149">
        <v>45817.0</v>
      </c>
      <c r="J2877" s="149">
        <v>45817.0</v>
      </c>
      <c r="K2877" s="156" t="s">
        <v>16604</v>
      </c>
      <c r="L2877" s="65"/>
      <c r="M2877" s="156" t="s">
        <v>16605</v>
      </c>
      <c r="N2877" s="677" t="s">
        <v>16606</v>
      </c>
      <c r="O2877" s="65"/>
      <c r="P2877" s="379" t="s">
        <v>16607</v>
      </c>
      <c r="Q2877" s="2153" t="str">
        <f> hyperlink(vlookup(lower(N2877),'File Links'!F:G, 2, FALSE), "LINK")</f>
        <v>LINK</v>
      </c>
      <c r="R2877" s="156" t="s">
        <v>16608</v>
      </c>
      <c r="S2877" s="677" t="s">
        <v>16609</v>
      </c>
      <c r="T2877" s="65"/>
      <c r="U2877" s="65"/>
      <c r="V2877" s="379" t="s">
        <v>16610</v>
      </c>
      <c r="W2877" s="1225"/>
      <c r="X2877" s="1544" t="str">
        <f> hyperlink(vlookup(lower(S2877),'File Links'!F:G, 2, FALSE), "LINK")</f>
        <v>LINK</v>
      </c>
      <c r="Y2877" s="65"/>
      <c r="Z2877" s="156" t="s">
        <v>2038</v>
      </c>
      <c r="AA2877" s="156" t="s">
        <v>16611</v>
      </c>
      <c r="AB2877" s="156" t="s">
        <v>16612</v>
      </c>
      <c r="AC2877" s="156" t="s">
        <v>16613</v>
      </c>
      <c r="AD2877" s="156" t="s">
        <v>16614</v>
      </c>
      <c r="AE2877" s="156" t="s">
        <v>7217</v>
      </c>
      <c r="AF2877" s="153">
        <v>214.0</v>
      </c>
      <c r="AG2877" s="153">
        <v>0.11</v>
      </c>
      <c r="AH2877" s="156" t="s">
        <v>166</v>
      </c>
      <c r="AI2877" s="156" t="s">
        <v>2764</v>
      </c>
      <c r="AJ2877" s="153">
        <v>0.04</v>
      </c>
      <c r="AK2877" s="156" t="s">
        <v>165</v>
      </c>
      <c r="AL2877" s="156" t="s">
        <v>129</v>
      </c>
      <c r="AM2877" s="156" t="s">
        <v>130</v>
      </c>
      <c r="AN2877" s="156" t="s">
        <v>131</v>
      </c>
      <c r="AO2877" s="153">
        <v>3078.0</v>
      </c>
      <c r="AP2877" s="1471">
        <v>0.012</v>
      </c>
      <c r="AQ2877" s="156" t="s">
        <v>166</v>
      </c>
      <c r="AR2877" s="156" t="s">
        <v>4966</v>
      </c>
      <c r="AS2877" s="333">
        <v>0.005</v>
      </c>
      <c r="AT2877" s="156" t="s">
        <v>165</v>
      </c>
      <c r="AU2877" s="156" t="s">
        <v>129</v>
      </c>
      <c r="AV2877" s="156" t="s">
        <v>134</v>
      </c>
      <c r="AW2877" s="156" t="s">
        <v>131</v>
      </c>
      <c r="AX2877" s="156" t="s">
        <v>136</v>
      </c>
      <c r="BB2877" s="1120"/>
      <c r="BC2877" s="1120"/>
      <c r="BD2877" s="1120"/>
      <c r="BE2877" s="1120"/>
      <c r="BF2877" s="1120"/>
      <c r="BG2877" s="1120"/>
      <c r="BH2877" s="1120"/>
      <c r="BI2877" s="1120"/>
      <c r="BJ2877" s="1120"/>
      <c r="BK2877" s="1120"/>
      <c r="BL2877" s="1120"/>
      <c r="BM2877" s="1120"/>
      <c r="BN2877" s="1120"/>
      <c r="BO2877" s="1120"/>
      <c r="BP2877" s="1120"/>
      <c r="BQ2877" s="1120"/>
      <c r="BR2877" s="1120"/>
      <c r="BS2877" s="1120"/>
      <c r="BT2877" s="1120"/>
      <c r="BU2877" s="1120"/>
      <c r="BV2877" s="1120"/>
      <c r="BW2877" s="1120"/>
      <c r="BX2877" s="1120"/>
      <c r="BY2877" s="1120"/>
      <c r="BZ2877" s="1120"/>
      <c r="CA2877" s="1120"/>
      <c r="CB2877" s="1120"/>
      <c r="CC2877" s="1120"/>
      <c r="CD2877" s="1120"/>
      <c r="CE2877" s="1120"/>
      <c r="CF2877" s="1120"/>
      <c r="CG2877" s="1120"/>
      <c r="CH2877" s="1120"/>
      <c r="CI2877" s="1120"/>
      <c r="CJ2877" s="1120"/>
      <c r="CK2877" s="1120"/>
      <c r="CL2877" s="1120"/>
      <c r="CM2877" s="1120"/>
      <c r="CN2877" s="1120"/>
      <c r="CO2877" s="1120"/>
      <c r="CP2877" s="1120"/>
      <c r="CQ2877" s="1120"/>
      <c r="CR2877" s="1120"/>
      <c r="CS2877" s="1120"/>
      <c r="CT2877" s="1120"/>
      <c r="CU2877" s="1120"/>
      <c r="CV2877" s="1120"/>
      <c r="CW2877" s="1120"/>
      <c r="CX2877" s="1120"/>
      <c r="CY2877" s="1120"/>
      <c r="CZ2877" s="1120"/>
      <c r="DA2877" s="1120"/>
      <c r="DB2877" s="1120"/>
      <c r="DC2877" s="1120"/>
      <c r="DD2877" s="1120"/>
      <c r="DE2877" s="1120"/>
      <c r="DF2877" s="1120"/>
      <c r="DG2877" s="1120"/>
      <c r="DH2877" s="1120"/>
    </row>
    <row r="2878">
      <c r="A2878" s="41">
        <v>3141.0</v>
      </c>
      <c r="B2878" s="126" t="s">
        <v>516</v>
      </c>
      <c r="C2878" s="59" t="s">
        <v>108</v>
      </c>
      <c r="D2878" s="59" t="s">
        <v>214</v>
      </c>
      <c r="F2878" s="65" t="s">
        <v>16615</v>
      </c>
      <c r="G2878" s="156" t="s">
        <v>16616</v>
      </c>
      <c r="H2878" s="1284" t="s">
        <v>215</v>
      </c>
      <c r="I2878" s="149">
        <v>45817.0</v>
      </c>
      <c r="J2878" s="149">
        <v>45817.0</v>
      </c>
      <c r="K2878" s="65" t="s">
        <v>16617</v>
      </c>
      <c r="L2878" s="65"/>
      <c r="M2878" s="156" t="s">
        <v>16618</v>
      </c>
      <c r="N2878" s="677" t="s">
        <v>16619</v>
      </c>
      <c r="O2878" s="65"/>
      <c r="P2878" s="379" t="s">
        <v>16620</v>
      </c>
      <c r="Q2878" s="2153" t="str">
        <f> hyperlink(vlookup(lower(N2878),'File Links'!F:G, 2, FALSE), "LINK")</f>
        <v>LINK</v>
      </c>
      <c r="R2878" s="156" t="s">
        <v>16621</v>
      </c>
      <c r="S2878" s="677" t="s">
        <v>16622</v>
      </c>
      <c r="T2878" s="65"/>
      <c r="U2878" s="65"/>
      <c r="V2878" s="379" t="s">
        <v>16623</v>
      </c>
      <c r="W2878" s="1225"/>
      <c r="X2878" s="1544" t="str">
        <f> hyperlink(vlookup(lower(S2878),'File Links'!F:G, 2, FALSE), "LINK")</f>
        <v>LINK</v>
      </c>
      <c r="Y2878" s="65"/>
      <c r="Z2878" s="156" t="s">
        <v>219</v>
      </c>
      <c r="AA2878" s="156" t="s">
        <v>16624</v>
      </c>
      <c r="AB2878" s="156" t="s">
        <v>16625</v>
      </c>
      <c r="AC2878" s="156" t="s">
        <v>16624</v>
      </c>
      <c r="AD2878" s="156" t="s">
        <v>16626</v>
      </c>
      <c r="AE2878" s="156" t="s">
        <v>489</v>
      </c>
      <c r="AF2878" s="153">
        <v>29.0</v>
      </c>
      <c r="AG2878" s="153">
        <v>0.49</v>
      </c>
      <c r="AH2878" s="156" t="s">
        <v>208</v>
      </c>
      <c r="AI2878" s="156" t="s">
        <v>489</v>
      </c>
      <c r="AJ2878" s="153">
        <v>0.007</v>
      </c>
      <c r="AK2878" s="156" t="s">
        <v>165</v>
      </c>
      <c r="AL2878" s="156" t="s">
        <v>129</v>
      </c>
      <c r="AM2878" s="156" t="s">
        <v>130</v>
      </c>
      <c r="AN2878" s="156" t="s">
        <v>131</v>
      </c>
      <c r="AO2878" s="153">
        <v>193.0</v>
      </c>
      <c r="AP2878" s="153">
        <v>0.02</v>
      </c>
      <c r="AQ2878" s="156" t="s">
        <v>208</v>
      </c>
      <c r="AR2878" s="156" t="s">
        <v>489</v>
      </c>
      <c r="AS2878" s="333">
        <v>0.57</v>
      </c>
      <c r="AT2878" s="156" t="s">
        <v>328</v>
      </c>
      <c r="AU2878" s="156" t="s">
        <v>129</v>
      </c>
      <c r="AV2878" s="156" t="s">
        <v>130</v>
      </c>
      <c r="AW2878" s="432" t="s">
        <v>16627</v>
      </c>
      <c r="AX2878" s="677" t="s">
        <v>144</v>
      </c>
    </row>
    <row r="2879">
      <c r="A2879" s="41">
        <v>3142.0</v>
      </c>
      <c r="B2879" s="126" t="s">
        <v>516</v>
      </c>
      <c r="C2879" s="59" t="s">
        <v>108</v>
      </c>
      <c r="D2879" s="59" t="s">
        <v>214</v>
      </c>
      <c r="F2879" s="65" t="s">
        <v>16628</v>
      </c>
      <c r="G2879" s="156" t="s">
        <v>16629</v>
      </c>
      <c r="H2879" s="1284" t="s">
        <v>215</v>
      </c>
      <c r="I2879" s="149">
        <v>45817.0</v>
      </c>
      <c r="J2879" s="149">
        <v>45817.0</v>
      </c>
      <c r="K2879" s="156" t="s">
        <v>16630</v>
      </c>
      <c r="L2879" s="65"/>
      <c r="M2879" s="156" t="s">
        <v>16631</v>
      </c>
      <c r="N2879" s="677" t="s">
        <v>16632</v>
      </c>
      <c r="O2879" s="65"/>
      <c r="P2879" s="379" t="s">
        <v>16633</v>
      </c>
      <c r="Q2879" s="2153" t="str">
        <f> hyperlink(vlookup(lower(N2879),'File Links'!F:G, 2, FALSE), "LINK")</f>
        <v>LINK</v>
      </c>
      <c r="R2879" s="156" t="s">
        <v>16634</v>
      </c>
      <c r="S2879" s="677" t="s">
        <v>16635</v>
      </c>
      <c r="T2879" s="65"/>
      <c r="U2879" s="65"/>
      <c r="V2879" s="379" t="s">
        <v>16636</v>
      </c>
      <c r="W2879" s="1225"/>
      <c r="X2879" s="1544" t="str">
        <f> hyperlink(vlookup(lower(S2879),'File Links'!F:G, 2, FALSE), "LINK")</f>
        <v>LINK</v>
      </c>
      <c r="Y2879" s="65"/>
      <c r="Z2879" s="156" t="s">
        <v>219</v>
      </c>
      <c r="AA2879" s="156" t="s">
        <v>16637</v>
      </c>
      <c r="AB2879" s="156" t="s">
        <v>16638</v>
      </c>
      <c r="AC2879" s="156" t="s">
        <v>16639</v>
      </c>
      <c r="AD2879" s="156" t="s">
        <v>16640</v>
      </c>
      <c r="AE2879" s="156" t="s">
        <v>7217</v>
      </c>
      <c r="AF2879" s="153">
        <v>17964.0</v>
      </c>
      <c r="AG2879" s="153">
        <v>0.13</v>
      </c>
      <c r="AH2879" s="156" t="s">
        <v>208</v>
      </c>
      <c r="AI2879" s="156" t="s">
        <v>7217</v>
      </c>
      <c r="AJ2879" s="333">
        <v>0.001</v>
      </c>
      <c r="AK2879" s="156" t="s">
        <v>128</v>
      </c>
      <c r="AL2879" s="156" t="s">
        <v>129</v>
      </c>
      <c r="AM2879" s="156" t="s">
        <v>130</v>
      </c>
      <c r="AN2879" s="156" t="s">
        <v>131</v>
      </c>
      <c r="AO2879" s="153">
        <v>15349.0</v>
      </c>
      <c r="AP2879" s="333">
        <v>0.1</v>
      </c>
      <c r="AQ2879" s="156" t="s">
        <v>208</v>
      </c>
      <c r="AR2879" s="156" t="s">
        <v>875</v>
      </c>
      <c r="AS2879" s="333">
        <v>0.003</v>
      </c>
      <c r="AT2879" s="156" t="s">
        <v>128</v>
      </c>
      <c r="AU2879" s="156" t="s">
        <v>129</v>
      </c>
      <c r="AV2879" s="156" t="s">
        <v>134</v>
      </c>
      <c r="AW2879" s="156" t="s">
        <v>131</v>
      </c>
      <c r="AX2879" s="156" t="s">
        <v>431</v>
      </c>
      <c r="BB2879" s="1120"/>
      <c r="BC2879" s="1120"/>
      <c r="BD2879" s="1120"/>
      <c r="BE2879" s="1120"/>
      <c r="BF2879" s="1120"/>
      <c r="BG2879" s="1120"/>
      <c r="BH2879" s="1120"/>
      <c r="BI2879" s="1120"/>
      <c r="BJ2879" s="1120"/>
      <c r="BK2879" s="1120"/>
      <c r="BL2879" s="1120"/>
      <c r="BM2879" s="1120"/>
      <c r="BN2879" s="1120"/>
      <c r="BO2879" s="1120"/>
      <c r="BP2879" s="1120"/>
      <c r="BQ2879" s="1120"/>
      <c r="BR2879" s="1120"/>
      <c r="BS2879" s="1120"/>
      <c r="BT2879" s="1120"/>
      <c r="BU2879" s="1120"/>
      <c r="BV2879" s="1120"/>
      <c r="BW2879" s="1120"/>
      <c r="BX2879" s="1120"/>
      <c r="BY2879" s="1120"/>
      <c r="BZ2879" s="1120"/>
      <c r="CA2879" s="1120"/>
      <c r="CB2879" s="1120"/>
      <c r="CC2879" s="1120"/>
      <c r="CD2879" s="1120"/>
      <c r="CE2879" s="1120"/>
      <c r="CF2879" s="1120"/>
      <c r="CG2879" s="1120"/>
      <c r="CH2879" s="1120"/>
      <c r="CI2879" s="1120"/>
      <c r="CJ2879" s="1120"/>
      <c r="CK2879" s="1120"/>
      <c r="CL2879" s="1120"/>
      <c r="CM2879" s="1120"/>
      <c r="CN2879" s="1120"/>
      <c r="CO2879" s="1120"/>
      <c r="CP2879" s="1120"/>
      <c r="CQ2879" s="1120"/>
      <c r="CR2879" s="1120"/>
      <c r="CS2879" s="1120"/>
      <c r="CT2879" s="1120"/>
      <c r="CU2879" s="1120"/>
      <c r="CV2879" s="1120"/>
      <c r="CW2879" s="1120"/>
      <c r="CX2879" s="1120"/>
      <c r="CY2879" s="1120"/>
      <c r="CZ2879" s="1120"/>
      <c r="DA2879" s="1120"/>
      <c r="DB2879" s="1120"/>
      <c r="DC2879" s="1120"/>
      <c r="DD2879" s="1120"/>
      <c r="DE2879" s="1120"/>
      <c r="DF2879" s="1120"/>
      <c r="DG2879" s="1120"/>
      <c r="DH2879" s="1120"/>
    </row>
    <row r="2880">
      <c r="A2880" s="41">
        <v>3143.0</v>
      </c>
      <c r="B2880" s="126" t="s">
        <v>516</v>
      </c>
      <c r="C2880" s="59" t="s">
        <v>108</v>
      </c>
      <c r="D2880" s="59" t="s">
        <v>214</v>
      </c>
      <c r="F2880" s="65" t="s">
        <v>16641</v>
      </c>
      <c r="G2880" s="156" t="s">
        <v>16642</v>
      </c>
      <c r="H2880" s="1284" t="s">
        <v>215</v>
      </c>
      <c r="I2880" s="149">
        <v>45818.0</v>
      </c>
      <c r="J2880" s="149">
        <v>45818.0</v>
      </c>
      <c r="K2880" s="156" t="s">
        <v>16643</v>
      </c>
      <c r="L2880" s="65"/>
      <c r="M2880" s="156" t="s">
        <v>16644</v>
      </c>
      <c r="N2880" s="677" t="s">
        <v>16645</v>
      </c>
      <c r="O2880" s="65"/>
      <c r="P2880" s="379" t="s">
        <v>16646</v>
      </c>
      <c r="Q2880" s="2153" t="str">
        <f> hyperlink(vlookup(lower(N2880),'File Links'!F:G, 2, FALSE), "LINK")</f>
        <v>LINK</v>
      </c>
      <c r="R2880" s="156" t="s">
        <v>16647</v>
      </c>
      <c r="S2880" s="65"/>
      <c r="T2880" s="677" t="s">
        <v>16648</v>
      </c>
      <c r="U2880" s="65"/>
      <c r="V2880" s="1100" t="s">
        <v>16649</v>
      </c>
      <c r="W2880" s="1225"/>
      <c r="X2880" s="2154" t="str">
        <f> hyperlink(vlookup(lower(S2880),'File Links'!F:G, 2, FALSE), "LINK")</f>
        <v>LINK</v>
      </c>
      <c r="Y2880" s="65"/>
      <c r="Z2880" s="156" t="s">
        <v>1072</v>
      </c>
      <c r="AA2880" s="156" t="s">
        <v>16650</v>
      </c>
      <c r="AB2880" s="156" t="s">
        <v>16651</v>
      </c>
      <c r="AC2880" s="156" t="s">
        <v>16652</v>
      </c>
      <c r="AD2880" s="156" t="s">
        <v>16653</v>
      </c>
      <c r="AE2880" s="156" t="s">
        <v>1035</v>
      </c>
      <c r="AF2880" s="153">
        <v>419.0</v>
      </c>
      <c r="AG2880" s="153">
        <v>3.85</v>
      </c>
      <c r="AH2880" s="156" t="s">
        <v>980</v>
      </c>
      <c r="AI2880" s="156" t="s">
        <v>1035</v>
      </c>
      <c r="AJ2880" s="1058">
        <v>1.09E-23</v>
      </c>
      <c r="AK2880" s="156" t="s">
        <v>165</v>
      </c>
      <c r="AL2880" s="156" t="s">
        <v>129</v>
      </c>
      <c r="AM2880" s="156" t="s">
        <v>134</v>
      </c>
      <c r="AN2880" s="307" t="s">
        <v>16654</v>
      </c>
      <c r="AO2880" s="2275">
        <v>453.0</v>
      </c>
      <c r="AP2880" s="153">
        <v>2.01</v>
      </c>
      <c r="AQ2880" s="156" t="s">
        <v>980</v>
      </c>
      <c r="AR2880" s="156" t="s">
        <v>131</v>
      </c>
      <c r="AS2880" s="333">
        <v>1.0E-4</v>
      </c>
      <c r="AT2880" s="156" t="s">
        <v>128</v>
      </c>
      <c r="AU2880" s="156" t="s">
        <v>129</v>
      </c>
      <c r="AV2880" s="156" t="s">
        <v>134</v>
      </c>
      <c r="AW2880" s="156" t="s">
        <v>131</v>
      </c>
      <c r="AX2880" s="156" t="s">
        <v>136</v>
      </c>
    </row>
    <row r="2881">
      <c r="A2881" s="41">
        <v>3144.0</v>
      </c>
      <c r="B2881" s="126" t="s">
        <v>516</v>
      </c>
      <c r="C2881" s="59" t="s">
        <v>108</v>
      </c>
      <c r="D2881" s="59" t="s">
        <v>214</v>
      </c>
      <c r="F2881" s="65" t="s">
        <v>16655</v>
      </c>
      <c r="G2881" s="156" t="s">
        <v>16656</v>
      </c>
      <c r="H2881" s="1284" t="s">
        <v>215</v>
      </c>
      <c r="I2881" s="149">
        <v>45818.0</v>
      </c>
      <c r="J2881" s="149">
        <v>45818.0</v>
      </c>
      <c r="K2881" s="156" t="s">
        <v>16657</v>
      </c>
      <c r="L2881" s="65"/>
      <c r="M2881" s="156" t="s">
        <v>16658</v>
      </c>
      <c r="N2881" s="677" t="s">
        <v>16659</v>
      </c>
      <c r="O2881" s="65"/>
      <c r="P2881" s="379" t="s">
        <v>16660</v>
      </c>
      <c r="Q2881" s="2153" t="str">
        <f> hyperlink(vlookup(lower(N2881),'File Links'!F:G, 2, FALSE), "LINK")</f>
        <v>LINK</v>
      </c>
      <c r="R2881" s="156" t="s">
        <v>16661</v>
      </c>
      <c r="S2881" s="307" t="s">
        <v>16662</v>
      </c>
      <c r="T2881" s="65"/>
      <c r="U2881" s="65"/>
      <c r="V2881" s="156" t="s">
        <v>16663</v>
      </c>
      <c r="W2881" s="1225"/>
      <c r="X2881" s="1544" t="str">
        <f> hyperlink(vlookup(lower(S2881),'File Links'!F:G, 2, FALSE), "LINK")</f>
        <v>LINK</v>
      </c>
      <c r="Y2881" s="65"/>
      <c r="Z2881" s="156" t="s">
        <v>141</v>
      </c>
      <c r="AA2881" s="156" t="s">
        <v>16664</v>
      </c>
      <c r="AB2881" s="156" t="s">
        <v>16665</v>
      </c>
      <c r="AC2881" s="156" t="s">
        <v>16666</v>
      </c>
      <c r="AD2881" s="156" t="s">
        <v>16667</v>
      </c>
      <c r="AE2881" s="156" t="s">
        <v>2764</v>
      </c>
      <c r="AF2881" s="153">
        <v>29.0</v>
      </c>
      <c r="AG2881" s="153">
        <v>0.71</v>
      </c>
      <c r="AH2881" s="156" t="s">
        <v>980</v>
      </c>
      <c r="AI2881" s="156" t="s">
        <v>875</v>
      </c>
      <c r="AJ2881" s="156" t="s">
        <v>16668</v>
      </c>
      <c r="AK2881" s="156" t="s">
        <v>128</v>
      </c>
      <c r="AL2881" s="156" t="s">
        <v>129</v>
      </c>
      <c r="AM2881" s="156" t="s">
        <v>130</v>
      </c>
      <c r="AN2881" s="156" t="s">
        <v>131</v>
      </c>
      <c r="AO2881" s="153">
        <v>133.0</v>
      </c>
      <c r="AP2881" s="156" t="s">
        <v>16669</v>
      </c>
      <c r="AQ2881" s="156" t="s">
        <v>980</v>
      </c>
      <c r="AR2881" s="156" t="s">
        <v>1167</v>
      </c>
      <c r="AS2881" s="156" t="s">
        <v>16668</v>
      </c>
      <c r="AT2881" s="156" t="s">
        <v>128</v>
      </c>
      <c r="AU2881" s="156" t="s">
        <v>129</v>
      </c>
      <c r="AV2881" s="156" t="s">
        <v>134</v>
      </c>
      <c r="AW2881" s="432" t="s">
        <v>16670</v>
      </c>
      <c r="AX2881" s="677" t="s">
        <v>431</v>
      </c>
    </row>
    <row r="2882">
      <c r="A2882" s="41">
        <v>3145.0</v>
      </c>
      <c r="B2882" s="126" t="s">
        <v>516</v>
      </c>
      <c r="C2882" s="59" t="s">
        <v>108</v>
      </c>
      <c r="D2882" s="59" t="s">
        <v>214</v>
      </c>
      <c r="F2882" s="65" t="s">
        <v>16671</v>
      </c>
      <c r="G2882" s="156" t="s">
        <v>16672</v>
      </c>
      <c r="H2882" s="1284" t="s">
        <v>215</v>
      </c>
      <c r="I2882" s="149">
        <v>45819.0</v>
      </c>
      <c r="J2882" s="149">
        <v>45819.0</v>
      </c>
      <c r="K2882" s="156" t="s">
        <v>16673</v>
      </c>
      <c r="L2882" s="65"/>
      <c r="M2882" s="156" t="s">
        <v>16674</v>
      </c>
      <c r="N2882" s="677" t="s">
        <v>16675</v>
      </c>
      <c r="O2882" s="65"/>
      <c r="P2882" s="379" t="s">
        <v>16676</v>
      </c>
      <c r="Q2882" s="2153" t="str">
        <f> hyperlink(vlookup(lower(N2882),'File Links'!F:G, 2, FALSE), "LINK")</f>
        <v>LINK</v>
      </c>
      <c r="R2882" s="156" t="s">
        <v>16674</v>
      </c>
      <c r="S2882" s="677" t="s">
        <v>16675</v>
      </c>
      <c r="T2882" s="65"/>
      <c r="U2882" s="65"/>
      <c r="V2882" s="379" t="s">
        <v>16676</v>
      </c>
      <c r="W2882" s="1225"/>
      <c r="X2882" s="1544" t="str">
        <f> hyperlink(vlookup(lower(S2882),'File Links'!F:G, 2, FALSE), "LINK")</f>
        <v>LINK</v>
      </c>
      <c r="Y2882" s="65"/>
      <c r="Z2882" s="156" t="s">
        <v>141</v>
      </c>
      <c r="AA2882" s="156" t="s">
        <v>16677</v>
      </c>
      <c r="AB2882" s="156" t="s">
        <v>16678</v>
      </c>
      <c r="AC2882" s="156" t="s">
        <v>16679</v>
      </c>
      <c r="AD2882" s="156" t="s">
        <v>16680</v>
      </c>
      <c r="AE2882" s="156" t="s">
        <v>7217</v>
      </c>
      <c r="AF2882" s="153">
        <v>52.0</v>
      </c>
      <c r="AG2882" s="156" t="s">
        <v>131</v>
      </c>
      <c r="AH2882" s="65"/>
      <c r="AI2882" s="65"/>
      <c r="AJ2882" s="65"/>
      <c r="AK2882" s="156" t="s">
        <v>128</v>
      </c>
      <c r="AL2882" s="156" t="s">
        <v>129</v>
      </c>
      <c r="AM2882" s="156" t="s">
        <v>134</v>
      </c>
      <c r="AN2882" s="156" t="s">
        <v>131</v>
      </c>
      <c r="AO2882" s="156" t="s">
        <v>131</v>
      </c>
      <c r="AP2882" s="156" t="s">
        <v>131</v>
      </c>
      <c r="AQ2882" s="65"/>
      <c r="AR2882" s="156" t="s">
        <v>131</v>
      </c>
      <c r="AS2882" s="156" t="s">
        <v>131</v>
      </c>
      <c r="AT2882" s="65"/>
      <c r="AU2882" s="65"/>
      <c r="AV2882" s="156" t="s">
        <v>134</v>
      </c>
      <c r="AW2882" s="156" t="s">
        <v>131</v>
      </c>
      <c r="AX2882" s="156" t="s">
        <v>431</v>
      </c>
    </row>
    <row r="2883">
      <c r="A2883" s="41">
        <v>3146.0</v>
      </c>
      <c r="B2883" s="126" t="s">
        <v>516</v>
      </c>
      <c r="C2883" s="59" t="s">
        <v>108</v>
      </c>
      <c r="D2883" s="59" t="s">
        <v>214</v>
      </c>
      <c r="F2883" s="65" t="s">
        <v>16681</v>
      </c>
      <c r="G2883" s="156" t="s">
        <v>16682</v>
      </c>
      <c r="H2883" s="1284" t="s">
        <v>215</v>
      </c>
      <c r="I2883" s="149">
        <v>45820.0</v>
      </c>
      <c r="J2883" s="149">
        <v>45820.0</v>
      </c>
      <c r="K2883" s="65"/>
      <c r="L2883" s="65"/>
      <c r="M2883" s="156" t="s">
        <v>16683</v>
      </c>
      <c r="N2883" s="677" t="s">
        <v>16684</v>
      </c>
      <c r="O2883" s="65"/>
      <c r="P2883" s="379" t="s">
        <v>16685</v>
      </c>
      <c r="Q2883" s="2153" t="str">
        <f> hyperlink(vlookup(lower(N2883),'File Links'!F:G, 2, FALSE), "LINK")</f>
        <v>LINK</v>
      </c>
      <c r="R2883" s="156" t="s">
        <v>16686</v>
      </c>
      <c r="S2883" s="677" t="s">
        <v>16687</v>
      </c>
      <c r="T2883" s="65"/>
      <c r="U2883" s="65"/>
      <c r="V2883" s="379" t="s">
        <v>16688</v>
      </c>
      <c r="W2883" s="1225"/>
      <c r="X2883" s="1544" t="str">
        <f> hyperlink(vlookup(lower(S2883),'File Links'!F:G, 2, FALSE), "LINK")</f>
        <v>LINK</v>
      </c>
      <c r="Y2883" s="65"/>
      <c r="Z2883" s="156" t="s">
        <v>141</v>
      </c>
      <c r="AA2883" s="156" t="s">
        <v>16689</v>
      </c>
      <c r="AB2883" s="156" t="s">
        <v>16690</v>
      </c>
      <c r="AC2883" s="156" t="s">
        <v>16691</v>
      </c>
      <c r="AD2883" s="156" t="s">
        <v>16692</v>
      </c>
      <c r="AE2883" s="156" t="s">
        <v>489</v>
      </c>
      <c r="AF2883" s="153">
        <v>10.0</v>
      </c>
      <c r="AG2883" s="333">
        <v>0.85</v>
      </c>
      <c r="AH2883" s="156" t="s">
        <v>166</v>
      </c>
      <c r="AI2883" s="156" t="s">
        <v>489</v>
      </c>
      <c r="AJ2883" s="333">
        <v>0.002</v>
      </c>
      <c r="AK2883" s="156" t="s">
        <v>165</v>
      </c>
      <c r="AL2883" s="156" t="s">
        <v>129</v>
      </c>
      <c r="AM2883" s="156" t="s">
        <v>130</v>
      </c>
      <c r="AN2883" s="156" t="s">
        <v>131</v>
      </c>
      <c r="AO2883" s="333">
        <v>20.0</v>
      </c>
      <c r="AP2883" s="153">
        <v>0.8</v>
      </c>
      <c r="AQ2883" s="156" t="s">
        <v>166</v>
      </c>
      <c r="AR2883" s="156" t="s">
        <v>875</v>
      </c>
      <c r="AS2883" s="333">
        <v>0.004</v>
      </c>
      <c r="AT2883" s="156" t="s">
        <v>165</v>
      </c>
      <c r="AU2883" s="156" t="s">
        <v>129</v>
      </c>
      <c r="AV2883" s="156" t="s">
        <v>130</v>
      </c>
      <c r="AW2883" s="65" t="s">
        <v>131</v>
      </c>
      <c r="AX2883" s="156" t="s">
        <v>431</v>
      </c>
    </row>
    <row r="2884">
      <c r="A2884" s="41">
        <v>3147.0</v>
      </c>
      <c r="B2884" s="126" t="s">
        <v>516</v>
      </c>
      <c r="C2884" s="59" t="s">
        <v>108</v>
      </c>
      <c r="D2884" s="59" t="s">
        <v>214</v>
      </c>
      <c r="F2884" s="65" t="s">
        <v>16693</v>
      </c>
      <c r="G2884" s="156" t="s">
        <v>16694</v>
      </c>
      <c r="H2884" s="1284" t="s">
        <v>215</v>
      </c>
      <c r="I2884" s="149">
        <v>45820.0</v>
      </c>
      <c r="J2884" s="149">
        <v>45820.0</v>
      </c>
      <c r="K2884" s="156" t="s">
        <v>16695</v>
      </c>
      <c r="L2884" s="65"/>
      <c r="M2884" s="156" t="s">
        <v>16696</v>
      </c>
      <c r="N2884" s="677" t="s">
        <v>16697</v>
      </c>
      <c r="O2884" s="65"/>
      <c r="P2884" s="379" t="s">
        <v>16698</v>
      </c>
      <c r="Q2884" s="2153" t="str">
        <f> hyperlink(vlookup(lower(N2884),'File Links'!F:G, 2, FALSE), "LINK")</f>
        <v>LINK</v>
      </c>
      <c r="R2884" s="156" t="s">
        <v>16699</v>
      </c>
      <c r="S2884" s="677" t="s">
        <v>16700</v>
      </c>
      <c r="T2884" s="65"/>
      <c r="U2884" s="65"/>
      <c r="V2884" s="379" t="s">
        <v>16701</v>
      </c>
      <c r="W2884" s="1225"/>
      <c r="X2884" s="1544" t="str">
        <f> hyperlink(vlookup(lower(S2884),'File Links'!F:G, 2, FALSE), "LINK")</f>
        <v>LINK</v>
      </c>
      <c r="Y2884" s="65"/>
      <c r="Z2884" s="156" t="s">
        <v>579</v>
      </c>
      <c r="AA2884" s="156" t="s">
        <v>16702</v>
      </c>
      <c r="AB2884" s="156" t="s">
        <v>16703</v>
      </c>
      <c r="AC2884" s="156" t="s">
        <v>16704</v>
      </c>
      <c r="AD2884" s="156" t="s">
        <v>16705</v>
      </c>
      <c r="AE2884" s="156" t="s">
        <v>2764</v>
      </c>
      <c r="AF2884" s="153">
        <v>132.0</v>
      </c>
      <c r="AG2884" s="153">
        <v>0.38</v>
      </c>
      <c r="AH2884" s="156" t="s">
        <v>208</v>
      </c>
      <c r="AI2884" s="156" t="s">
        <v>500</v>
      </c>
      <c r="AJ2884" s="333">
        <v>0.004</v>
      </c>
      <c r="AK2884" s="156" t="s">
        <v>165</v>
      </c>
      <c r="AL2884" s="156" t="s">
        <v>129</v>
      </c>
      <c r="AM2884" s="156" t="s">
        <v>130</v>
      </c>
      <c r="AN2884" s="156" t="s">
        <v>131</v>
      </c>
      <c r="AO2884" s="153">
        <v>136.0</v>
      </c>
      <c r="AP2884" s="153">
        <v>0.35</v>
      </c>
      <c r="AQ2884" s="156" t="s">
        <v>208</v>
      </c>
      <c r="AR2884" s="156" t="s">
        <v>875</v>
      </c>
      <c r="AS2884" s="333">
        <v>0.006</v>
      </c>
      <c r="AT2884" s="156" t="s">
        <v>165</v>
      </c>
      <c r="AU2884" s="156" t="s">
        <v>129</v>
      </c>
      <c r="AV2884" s="156" t="s">
        <v>130</v>
      </c>
      <c r="AW2884" s="65" t="s">
        <v>131</v>
      </c>
      <c r="AX2884" s="156" t="s">
        <v>144</v>
      </c>
    </row>
    <row r="2885">
      <c r="A2885" s="41">
        <v>3148.0</v>
      </c>
      <c r="B2885" s="126" t="s">
        <v>516</v>
      </c>
      <c r="C2885" s="59" t="s">
        <v>108</v>
      </c>
      <c r="D2885" s="59" t="s">
        <v>214</v>
      </c>
      <c r="F2885" s="65" t="s">
        <v>16706</v>
      </c>
      <c r="G2885" s="156" t="s">
        <v>16707</v>
      </c>
      <c r="H2885" s="1284" t="s">
        <v>215</v>
      </c>
      <c r="I2885" s="149">
        <v>45820.0</v>
      </c>
      <c r="J2885" s="149">
        <v>45823.0</v>
      </c>
      <c r="K2885" s="156" t="s">
        <v>16708</v>
      </c>
      <c r="L2885" s="65"/>
      <c r="M2885" s="156" t="s">
        <v>16709</v>
      </c>
      <c r="N2885" s="677" t="s">
        <v>16710</v>
      </c>
      <c r="O2885" s="65"/>
      <c r="P2885" s="379" t="s">
        <v>16711</v>
      </c>
      <c r="Q2885" s="2153" t="str">
        <f> hyperlink(vlookup(lower(N2885),'File Links'!F:G, 2, FALSE), "LINK")</f>
        <v>LINK</v>
      </c>
      <c r="R2885" s="156" t="s">
        <v>16712</v>
      </c>
      <c r="S2885" s="677" t="s">
        <v>16713</v>
      </c>
      <c r="T2885" s="65"/>
      <c r="U2885" s="65"/>
      <c r="V2885" s="379" t="s">
        <v>16714</v>
      </c>
      <c r="W2885" s="1225"/>
      <c r="X2885" s="1544" t="str">
        <f> hyperlink(vlookup(lower(S2885),'File Links'!F:G, 2, FALSE), "LINK")</f>
        <v>LINK</v>
      </c>
      <c r="Y2885" s="65"/>
      <c r="Z2885" s="156" t="s">
        <v>2038</v>
      </c>
      <c r="AA2885" s="156" t="s">
        <v>16715</v>
      </c>
      <c r="AB2885" s="156" t="s">
        <v>16716</v>
      </c>
      <c r="AC2885" s="156" t="s">
        <v>16717</v>
      </c>
      <c r="AD2885" s="156" t="s">
        <v>16718</v>
      </c>
      <c r="AE2885" s="156" t="s">
        <v>7217</v>
      </c>
      <c r="AF2885" s="153">
        <v>94.0</v>
      </c>
      <c r="AG2885" s="156" t="s">
        <v>131</v>
      </c>
      <c r="AH2885" s="65"/>
      <c r="AI2885" s="156" t="s">
        <v>131</v>
      </c>
      <c r="AJ2885" s="156" t="s">
        <v>16719</v>
      </c>
      <c r="AK2885" s="156" t="s">
        <v>128</v>
      </c>
      <c r="AL2885" s="156" t="s">
        <v>129</v>
      </c>
      <c r="AM2885" s="156" t="s">
        <v>134</v>
      </c>
      <c r="AN2885" s="156" t="s">
        <v>131</v>
      </c>
      <c r="AO2885" s="153">
        <v>104.0</v>
      </c>
      <c r="AP2885" s="156" t="s">
        <v>131</v>
      </c>
      <c r="AQ2885" s="65"/>
      <c r="AR2885" s="156" t="s">
        <v>623</v>
      </c>
      <c r="AS2885" s="156" t="s">
        <v>131</v>
      </c>
      <c r="AT2885" s="65"/>
      <c r="AU2885" s="65"/>
      <c r="AV2885" s="156" t="s">
        <v>134</v>
      </c>
      <c r="AW2885" s="432" t="s">
        <v>16720</v>
      </c>
      <c r="AX2885" s="677" t="s">
        <v>431</v>
      </c>
    </row>
    <row r="2886">
      <c r="A2886" s="41">
        <v>2807.0</v>
      </c>
      <c r="B2886" s="126" t="s">
        <v>516</v>
      </c>
      <c r="C2886" s="59" t="s">
        <v>108</v>
      </c>
      <c r="D2886" s="59" t="s">
        <v>1451</v>
      </c>
      <c r="F2886" s="65" t="s">
        <v>16721</v>
      </c>
      <c r="G2886" s="156" t="s">
        <v>16722</v>
      </c>
      <c r="H2886" s="156" t="s">
        <v>1511</v>
      </c>
      <c r="I2886" s="859"/>
      <c r="J2886" s="149">
        <v>45806.0</v>
      </c>
      <c r="K2886" s="156" t="s">
        <v>131</v>
      </c>
      <c r="L2886" s="65"/>
      <c r="M2886" s="156" t="s">
        <v>16723</v>
      </c>
      <c r="N2886" s="677" t="s">
        <v>16724</v>
      </c>
      <c r="O2886" s="153">
        <v>1.0</v>
      </c>
      <c r="P2886" s="379" t="s">
        <v>16725</v>
      </c>
      <c r="Q2886" s="2153" t="str">
        <f> hyperlink(vlookup(lower(N2886),'File Links'!E:F, 2, FALSE), "LINK")</f>
        <v>LINK</v>
      </c>
      <c r="R2886" s="156" t="s">
        <v>16726</v>
      </c>
      <c r="S2886" s="677" t="s">
        <v>16727</v>
      </c>
      <c r="T2886" s="156" t="s">
        <v>131</v>
      </c>
      <c r="U2886" s="153">
        <v>1.0</v>
      </c>
      <c r="V2886" s="379" t="s">
        <v>16728</v>
      </c>
      <c r="W2886" s="1225"/>
      <c r="X2886" s="1544" t="str">
        <f> hyperlink(vlookup(lower(S2886),'File Links'!E:F, 2, FALSE), "LINK")</f>
        <v>LINK</v>
      </c>
      <c r="Y2886" s="156" t="s">
        <v>131</v>
      </c>
      <c r="Z2886" s="156" t="s">
        <v>16729</v>
      </c>
      <c r="AA2886" s="156" t="s">
        <v>16730</v>
      </c>
      <c r="AB2886" s="156" t="s">
        <v>16731</v>
      </c>
      <c r="AC2886" s="156" t="s">
        <v>16732</v>
      </c>
      <c r="AD2886" s="156" t="s">
        <v>16733</v>
      </c>
      <c r="AE2886" s="153">
        <v>3.0</v>
      </c>
      <c r="AF2886" s="153">
        <v>18.0</v>
      </c>
      <c r="AG2886" s="153">
        <v>0.348</v>
      </c>
      <c r="AH2886" s="156" t="s">
        <v>867</v>
      </c>
      <c r="AI2886" s="156" t="s">
        <v>500</v>
      </c>
      <c r="AJ2886" s="153">
        <v>0.001</v>
      </c>
      <c r="AK2886" s="156" t="s">
        <v>128</v>
      </c>
      <c r="AL2886" s="156" t="s">
        <v>211</v>
      </c>
      <c r="AM2886" s="156" t="s">
        <v>130</v>
      </c>
      <c r="AN2886" s="156" t="s">
        <v>131</v>
      </c>
      <c r="AO2886" s="153">
        <v>38.0</v>
      </c>
      <c r="AP2886" s="153">
        <v>0.015</v>
      </c>
      <c r="AQ2886" s="156" t="s">
        <v>867</v>
      </c>
      <c r="AR2886" s="156" t="s">
        <v>4966</v>
      </c>
      <c r="AS2886" s="153">
        <v>0.612</v>
      </c>
      <c r="AT2886" s="156" t="s">
        <v>165</v>
      </c>
      <c r="AU2886" s="156" t="s">
        <v>211</v>
      </c>
      <c r="AV2886" s="156" t="s">
        <v>130</v>
      </c>
      <c r="AW2886" s="432" t="s">
        <v>16734</v>
      </c>
      <c r="AX2886" s="156" t="s">
        <v>136</v>
      </c>
    </row>
    <row r="2887">
      <c r="A2887" s="41">
        <v>2808.0</v>
      </c>
      <c r="B2887" s="126" t="s">
        <v>516</v>
      </c>
      <c r="C2887" s="59" t="s">
        <v>108</v>
      </c>
      <c r="D2887" s="59" t="s">
        <v>1451</v>
      </c>
      <c r="F2887" s="65" t="s">
        <v>16735</v>
      </c>
      <c r="G2887" s="156" t="s">
        <v>16736</v>
      </c>
      <c r="H2887" s="156" t="s">
        <v>1511</v>
      </c>
      <c r="I2887" s="859"/>
      <c r="J2887" s="149">
        <v>45806.0</v>
      </c>
      <c r="K2887" s="156" t="s">
        <v>16737</v>
      </c>
      <c r="L2887" s="65"/>
      <c r="M2887" s="156" t="s">
        <v>16738</v>
      </c>
      <c r="N2887" s="677" t="s">
        <v>16739</v>
      </c>
      <c r="O2887" s="153">
        <v>1.0</v>
      </c>
      <c r="P2887" s="379" t="s">
        <v>16740</v>
      </c>
      <c r="Q2887" s="2153" t="str">
        <f> hyperlink(vlookup(lower(N2887),'File Links'!E:F, 2, FALSE), "LINK")</f>
        <v>LINK</v>
      </c>
      <c r="R2887" s="156" t="s">
        <v>16741</v>
      </c>
      <c r="S2887" s="677" t="s">
        <v>16742</v>
      </c>
      <c r="T2887" s="156" t="s">
        <v>131</v>
      </c>
      <c r="U2887" s="153">
        <v>1.0</v>
      </c>
      <c r="V2887" s="379" t="s">
        <v>16743</v>
      </c>
      <c r="W2887" s="1225"/>
      <c r="X2887" s="1544" t="str">
        <f> hyperlink(vlookup(lower(S2887),'File Links'!E:F, 2, FALSE), "LINK")</f>
        <v>LINK</v>
      </c>
      <c r="Y2887" s="156" t="s">
        <v>131</v>
      </c>
      <c r="Z2887" s="156" t="s">
        <v>219</v>
      </c>
      <c r="AA2887" s="156" t="s">
        <v>11493</v>
      </c>
      <c r="AB2887" s="156" t="s">
        <v>16744</v>
      </c>
      <c r="AC2887" s="156" t="s">
        <v>16745</v>
      </c>
      <c r="AD2887" s="156" t="s">
        <v>16746</v>
      </c>
      <c r="AE2887" s="153">
        <v>2.0</v>
      </c>
      <c r="AF2887" s="153">
        <v>111.0</v>
      </c>
      <c r="AG2887" s="153">
        <v>0.07</v>
      </c>
      <c r="AH2887" s="156" t="s">
        <v>867</v>
      </c>
      <c r="AI2887" s="156" t="s">
        <v>2764</v>
      </c>
      <c r="AJ2887" s="153">
        <v>0.02</v>
      </c>
      <c r="AK2887" s="156" t="s">
        <v>165</v>
      </c>
      <c r="AL2887" s="156" t="s">
        <v>179</v>
      </c>
      <c r="AM2887" s="156" t="s">
        <v>130</v>
      </c>
      <c r="AN2887" s="156" t="s">
        <v>131</v>
      </c>
      <c r="AO2887" s="153">
        <v>8602.0</v>
      </c>
      <c r="AP2887" s="153">
        <v>0.001</v>
      </c>
      <c r="AQ2887" s="156" t="s">
        <v>867</v>
      </c>
      <c r="AR2887" s="156" t="s">
        <v>489</v>
      </c>
      <c r="AS2887" s="153">
        <v>0.06</v>
      </c>
      <c r="AT2887" s="156" t="s">
        <v>165</v>
      </c>
      <c r="AU2887" s="156" t="s">
        <v>179</v>
      </c>
      <c r="AV2887" s="156" t="s">
        <v>130</v>
      </c>
      <c r="AW2887" s="65" t="s">
        <v>131</v>
      </c>
      <c r="AX2887" s="156" t="s">
        <v>144</v>
      </c>
    </row>
    <row r="2888">
      <c r="A2888" s="41">
        <v>2809.0</v>
      </c>
      <c r="B2888" s="126" t="s">
        <v>516</v>
      </c>
      <c r="C2888" s="59" t="s">
        <v>108</v>
      </c>
      <c r="D2888" s="59" t="s">
        <v>1451</v>
      </c>
      <c r="F2888" s="65" t="s">
        <v>16747</v>
      </c>
      <c r="G2888" s="156" t="s">
        <v>16748</v>
      </c>
      <c r="H2888" s="156" t="s">
        <v>1511</v>
      </c>
      <c r="I2888" s="859"/>
      <c r="J2888" s="149">
        <v>45806.0</v>
      </c>
      <c r="K2888" s="156" t="s">
        <v>16749</v>
      </c>
      <c r="L2888" s="65"/>
      <c r="M2888" s="156" t="s">
        <v>16750</v>
      </c>
      <c r="N2888" s="677" t="s">
        <v>16751</v>
      </c>
      <c r="O2888" s="153">
        <v>1.0</v>
      </c>
      <c r="P2888" s="379" t="s">
        <v>16752</v>
      </c>
      <c r="Q2888" s="2153" t="str">
        <f> hyperlink(vlookup(lower(N2888),'File Links'!E:F, 2, FALSE), "LINK")</f>
        <v>LINK</v>
      </c>
      <c r="R2888" s="156" t="s">
        <v>16753</v>
      </c>
      <c r="S2888" s="677" t="s">
        <v>16754</v>
      </c>
      <c r="T2888" s="156" t="s">
        <v>131</v>
      </c>
      <c r="U2888" s="153">
        <v>1.0</v>
      </c>
      <c r="V2888" s="379" t="s">
        <v>16755</v>
      </c>
      <c r="W2888" s="1225"/>
      <c r="X2888" s="1544" t="str">
        <f> hyperlink(vlookup(lower(S2888),'File Links'!E:F, 2, FALSE), "LINK")</f>
        <v>LINK</v>
      </c>
      <c r="Y2888" s="156" t="s">
        <v>131</v>
      </c>
      <c r="Z2888" s="156" t="s">
        <v>141</v>
      </c>
      <c r="AA2888" s="156" t="s">
        <v>16756</v>
      </c>
      <c r="AB2888" s="156" t="s">
        <v>16757</v>
      </c>
      <c r="AC2888" s="156" t="s">
        <v>16758</v>
      </c>
      <c r="AD2888" s="156" t="s">
        <v>16759</v>
      </c>
      <c r="AE2888" s="153">
        <v>10.0</v>
      </c>
      <c r="AF2888" s="153">
        <v>38.0</v>
      </c>
      <c r="AG2888" s="156" t="s">
        <v>16760</v>
      </c>
      <c r="AH2888" s="156" t="s">
        <v>127</v>
      </c>
      <c r="AI2888" s="156" t="s">
        <v>623</v>
      </c>
      <c r="AJ2888" s="153">
        <v>0.01</v>
      </c>
      <c r="AK2888" s="156" t="s">
        <v>128</v>
      </c>
      <c r="AL2888" s="156" t="s">
        <v>179</v>
      </c>
      <c r="AM2888" s="156" t="s">
        <v>134</v>
      </c>
      <c r="AN2888" s="156" t="s">
        <v>131</v>
      </c>
      <c r="AO2888" s="153">
        <v>40.0</v>
      </c>
      <c r="AP2888" s="156" t="s">
        <v>16761</v>
      </c>
      <c r="AQ2888" s="65" t="s">
        <v>127</v>
      </c>
      <c r="AR2888" s="156" t="s">
        <v>1035</v>
      </c>
      <c r="AS2888" s="153">
        <v>0.05</v>
      </c>
      <c r="AT2888" s="156" t="s">
        <v>128</v>
      </c>
      <c r="AU2888" s="156" t="s">
        <v>179</v>
      </c>
      <c r="AV2888" s="156" t="s">
        <v>134</v>
      </c>
      <c r="AW2888" s="65" t="s">
        <v>131</v>
      </c>
      <c r="AX2888" s="156" t="s">
        <v>136</v>
      </c>
      <c r="BB2888" s="1484"/>
      <c r="BC2888" s="1484"/>
      <c r="BD2888" s="1484"/>
      <c r="BE2888" s="1484"/>
      <c r="BF2888" s="1484"/>
      <c r="BG2888" s="1484"/>
      <c r="BH2888" s="1484"/>
      <c r="BI2888" s="1484"/>
      <c r="BJ2888" s="1484"/>
      <c r="BK2888" s="1484"/>
      <c r="BL2888" s="1484"/>
      <c r="BM2888" s="1484"/>
      <c r="BN2888" s="1484"/>
      <c r="BO2888" s="1484"/>
      <c r="BP2888" s="1484"/>
      <c r="BQ2888" s="1484"/>
      <c r="BR2888" s="1484"/>
      <c r="BS2888" s="1484"/>
      <c r="BT2888" s="1484"/>
      <c r="BU2888" s="1484"/>
      <c r="BV2888" s="1484"/>
      <c r="BW2888" s="1484"/>
      <c r="BX2888" s="1484"/>
      <c r="BY2888" s="1484"/>
      <c r="BZ2888" s="1484"/>
      <c r="CA2888" s="1484"/>
      <c r="CB2888" s="1484"/>
      <c r="CC2888" s="1484"/>
      <c r="CD2888" s="1484"/>
      <c r="CE2888" s="1484"/>
      <c r="CF2888" s="1484"/>
      <c r="CG2888" s="1484"/>
      <c r="CH2888" s="1484"/>
      <c r="CI2888" s="1484"/>
      <c r="CJ2888" s="1484"/>
      <c r="CK2888" s="1484"/>
      <c r="CL2888" s="1484"/>
      <c r="CM2888" s="1484"/>
      <c r="CN2888" s="1484"/>
      <c r="CO2888" s="1484"/>
      <c r="CP2888" s="1484"/>
      <c r="CQ2888" s="1484"/>
      <c r="CR2888" s="1484"/>
      <c r="CS2888" s="1484"/>
      <c r="CT2888" s="1484"/>
      <c r="CU2888" s="1484"/>
      <c r="CV2888" s="1484"/>
      <c r="CW2888" s="1484"/>
      <c r="CX2888" s="1484"/>
      <c r="CY2888" s="1484"/>
      <c r="CZ2888" s="1484"/>
      <c r="DA2888" s="1484"/>
      <c r="DB2888" s="1484"/>
      <c r="DC2888" s="1484"/>
      <c r="DD2888" s="1484"/>
      <c r="DE2888" s="1484"/>
      <c r="DF2888" s="1484"/>
      <c r="DG2888" s="1484"/>
      <c r="DH2888" s="1484"/>
    </row>
    <row r="2889">
      <c r="A2889" s="41">
        <v>2810.0</v>
      </c>
      <c r="B2889" s="126" t="s">
        <v>516</v>
      </c>
      <c r="C2889" s="59" t="s">
        <v>108</v>
      </c>
      <c r="D2889" s="59" t="s">
        <v>1451</v>
      </c>
      <c r="F2889" s="65" t="s">
        <v>16762</v>
      </c>
      <c r="G2889" s="156" t="s">
        <v>16763</v>
      </c>
      <c r="H2889" s="156" t="s">
        <v>1511</v>
      </c>
      <c r="I2889" s="859"/>
      <c r="J2889" s="149">
        <v>45806.0</v>
      </c>
      <c r="K2889" s="156" t="s">
        <v>16764</v>
      </c>
      <c r="L2889" s="65"/>
      <c r="M2889" s="156" t="s">
        <v>16765</v>
      </c>
      <c r="N2889" s="156" t="str">
        <f t="shared" ref="N2889:N2893" si="140">lower(SUBSTITUTE(SUBSTITUTE(P2889, "--", "/"), ".pdf", ""))</f>
        <v>10.1080/10503307.2012.731088</v>
      </c>
      <c r="O2889" s="153">
        <v>1.0</v>
      </c>
      <c r="P2889" s="379" t="s">
        <v>16766</v>
      </c>
      <c r="Q2889" s="2153" t="str">
        <f> hyperlink(vlookup(lower(N2889),'File Links'!E:F, 2, FALSE), "LINK")</f>
        <v>LINK</v>
      </c>
      <c r="R2889" s="156" t="s">
        <v>16767</v>
      </c>
      <c r="S2889" s="677" t="s">
        <v>16768</v>
      </c>
      <c r="T2889" s="156" t="s">
        <v>131</v>
      </c>
      <c r="U2889" s="153">
        <v>1.0</v>
      </c>
      <c r="V2889" s="379" t="s">
        <v>16769</v>
      </c>
      <c r="W2889" s="1225"/>
      <c r="X2889" s="1544" t="str">
        <f> hyperlink(vlookup(lower(S2889),'File Links'!E:F, 2, FALSE), "LINK")</f>
        <v>LINK</v>
      </c>
      <c r="Y2889" s="156" t="s">
        <v>131</v>
      </c>
      <c r="Z2889" s="156" t="s">
        <v>2788</v>
      </c>
      <c r="AA2889" s="156" t="s">
        <v>16770</v>
      </c>
      <c r="AB2889" s="156" t="s">
        <v>16771</v>
      </c>
      <c r="AC2889" s="156" t="s">
        <v>16772</v>
      </c>
      <c r="AD2889" s="156" t="s">
        <v>16773</v>
      </c>
      <c r="AE2889" s="153">
        <v>6.0</v>
      </c>
      <c r="AF2889" s="153">
        <v>170.0</v>
      </c>
      <c r="AG2889" s="153">
        <v>0.55</v>
      </c>
      <c r="AH2889" s="156" t="s">
        <v>208</v>
      </c>
      <c r="AI2889" s="156" t="s">
        <v>1035</v>
      </c>
      <c r="AJ2889" s="153">
        <v>0.01</v>
      </c>
      <c r="AK2889" s="156" t="s">
        <v>128</v>
      </c>
      <c r="AL2889" s="156" t="s">
        <v>179</v>
      </c>
      <c r="AM2889" s="156" t="s">
        <v>134</v>
      </c>
      <c r="AN2889" s="156" t="s">
        <v>131</v>
      </c>
      <c r="AO2889" s="153">
        <v>112.0</v>
      </c>
      <c r="AP2889" s="153">
        <v>0.372</v>
      </c>
      <c r="AQ2889" s="156" t="s">
        <v>16774</v>
      </c>
      <c r="AR2889" s="156" t="s">
        <v>875</v>
      </c>
      <c r="AS2889" s="153">
        <v>0.001</v>
      </c>
      <c r="AT2889" s="156" t="s">
        <v>128</v>
      </c>
      <c r="AU2889" s="156" t="s">
        <v>179</v>
      </c>
      <c r="AV2889" s="156" t="s">
        <v>134</v>
      </c>
      <c r="AW2889" s="65" t="s">
        <v>131</v>
      </c>
      <c r="AX2889" s="156" t="s">
        <v>144</v>
      </c>
    </row>
    <row r="2890">
      <c r="A2890" s="41">
        <v>2811.0</v>
      </c>
      <c r="B2890" s="126" t="s">
        <v>516</v>
      </c>
      <c r="C2890" s="59" t="s">
        <v>108</v>
      </c>
      <c r="D2890" s="59" t="s">
        <v>1451</v>
      </c>
      <c r="F2890" s="65" t="s">
        <v>16775</v>
      </c>
      <c r="G2890" s="156" t="s">
        <v>16776</v>
      </c>
      <c r="H2890" s="156" t="s">
        <v>1511</v>
      </c>
      <c r="I2890" s="859"/>
      <c r="J2890" s="149">
        <v>45806.0</v>
      </c>
      <c r="K2890" s="156" t="s">
        <v>16777</v>
      </c>
      <c r="L2890" s="65"/>
      <c r="M2890" s="156" t="s">
        <v>16778</v>
      </c>
      <c r="N2890" s="156" t="str">
        <f t="shared" si="140"/>
        <v>110.1037/a0029395</v>
      </c>
      <c r="O2890" s="153">
        <v>5.0</v>
      </c>
      <c r="P2890" s="379" t="s">
        <v>16779</v>
      </c>
      <c r="Q2890" s="2153" t="str">
        <f> hyperlink(vlookup(lower(N2890),'File Links'!E:F, 2, FALSE), "LINK")</f>
        <v>LINK</v>
      </c>
      <c r="R2890" s="156" t="s">
        <v>16780</v>
      </c>
      <c r="S2890" s="677" t="s">
        <v>16781</v>
      </c>
      <c r="T2890" s="156" t="s">
        <v>131</v>
      </c>
      <c r="U2890" s="153">
        <v>1.0</v>
      </c>
      <c r="V2890" s="379" t="s">
        <v>16782</v>
      </c>
      <c r="W2890" s="1225"/>
      <c r="X2890" s="1544" t="str">
        <f> hyperlink(vlookup(lower(S2890),'File Links'!E:F, 2, FALSE), "LINK")</f>
        <v>LINK</v>
      </c>
      <c r="Y2890" s="156" t="s">
        <v>131</v>
      </c>
      <c r="Z2890" s="156" t="s">
        <v>940</v>
      </c>
      <c r="AA2890" s="156" t="s">
        <v>16783</v>
      </c>
      <c r="AB2890" s="156" t="s">
        <v>16784</v>
      </c>
      <c r="AC2890" s="156" t="s">
        <v>16785</v>
      </c>
      <c r="AD2890" s="156" t="s">
        <v>16786</v>
      </c>
      <c r="AE2890" s="156" t="s">
        <v>16787</v>
      </c>
      <c r="AF2890" s="153">
        <v>77.0</v>
      </c>
      <c r="AG2890" s="153">
        <v>0.42</v>
      </c>
      <c r="AH2890" s="156" t="s">
        <v>354</v>
      </c>
      <c r="AI2890" s="156" t="s">
        <v>16788</v>
      </c>
      <c r="AJ2890" s="153">
        <v>0.01</v>
      </c>
      <c r="AK2890" s="156" t="s">
        <v>165</v>
      </c>
      <c r="AL2890" s="156" t="s">
        <v>179</v>
      </c>
      <c r="AM2890" s="156" t="s">
        <v>1898</v>
      </c>
      <c r="AN2890" s="156" t="s">
        <v>131</v>
      </c>
      <c r="AO2890" s="153">
        <v>550.0</v>
      </c>
      <c r="AP2890" s="153">
        <v>0.19</v>
      </c>
      <c r="AQ2890" s="156" t="s">
        <v>354</v>
      </c>
      <c r="AR2890" s="156" t="s">
        <v>4267</v>
      </c>
      <c r="AS2890" s="153">
        <v>0.001</v>
      </c>
      <c r="AT2890" s="156" t="s">
        <v>128</v>
      </c>
      <c r="AU2890" s="156" t="s">
        <v>179</v>
      </c>
      <c r="AV2890" s="156" t="s">
        <v>1898</v>
      </c>
      <c r="AW2890" s="432" t="s">
        <v>16789</v>
      </c>
      <c r="AX2890" s="156" t="s">
        <v>136</v>
      </c>
    </row>
    <row r="2891">
      <c r="A2891" s="41">
        <v>2812.0</v>
      </c>
      <c r="B2891" s="126" t="s">
        <v>516</v>
      </c>
      <c r="C2891" s="59" t="s">
        <v>108</v>
      </c>
      <c r="D2891" s="59" t="s">
        <v>1451</v>
      </c>
      <c r="F2891" s="65" t="s">
        <v>16790</v>
      </c>
      <c r="G2891" s="156" t="s">
        <v>16791</v>
      </c>
      <c r="H2891" s="156" t="s">
        <v>1511</v>
      </c>
      <c r="I2891" s="859"/>
      <c r="J2891" s="149">
        <v>45806.0</v>
      </c>
      <c r="K2891" s="156" t="s">
        <v>16792</v>
      </c>
      <c r="L2891" s="65"/>
      <c r="M2891" s="156" t="s">
        <v>16793</v>
      </c>
      <c r="N2891" s="156" t="str">
        <f t="shared" si="140"/>
        <v>110.1037/h0093929</v>
      </c>
      <c r="O2891" s="153">
        <v>1.0</v>
      </c>
      <c r="P2891" s="379" t="s">
        <v>16794</v>
      </c>
      <c r="Q2891" s="2153" t="str">
        <f> hyperlink(vlookup(lower(N2891),'File Links'!E:F, 2, FALSE), "LINK")</f>
        <v>LINK</v>
      </c>
      <c r="R2891" s="156" t="s">
        <v>16795</v>
      </c>
      <c r="S2891" s="677" t="s">
        <v>16796</v>
      </c>
      <c r="T2891" s="156" t="s">
        <v>131</v>
      </c>
      <c r="U2891" s="153">
        <v>1.0</v>
      </c>
      <c r="V2891" s="379" t="s">
        <v>16797</v>
      </c>
      <c r="W2891" s="1225"/>
      <c r="X2891" s="1544" t="str">
        <f> hyperlink(vlookup(lower(S2891),'File Links'!E:F, 2, FALSE), "LINK")</f>
        <v>LINK</v>
      </c>
      <c r="Y2891" s="156" t="s">
        <v>131</v>
      </c>
      <c r="Z2891" s="156" t="s">
        <v>16798</v>
      </c>
      <c r="AA2891" s="156" t="s">
        <v>16799</v>
      </c>
      <c r="AB2891" s="156" t="s">
        <v>16800</v>
      </c>
      <c r="AC2891" s="156" t="s">
        <v>16801</v>
      </c>
      <c r="AD2891" s="156" t="s">
        <v>16802</v>
      </c>
      <c r="AE2891" s="153">
        <v>7.0</v>
      </c>
      <c r="AF2891" s="153">
        <v>78.0</v>
      </c>
      <c r="AG2891" s="153">
        <v>2.52</v>
      </c>
      <c r="AH2891" s="156" t="s">
        <v>354</v>
      </c>
      <c r="AI2891" s="156" t="s">
        <v>4966</v>
      </c>
      <c r="AJ2891" s="153">
        <v>0.05</v>
      </c>
      <c r="AK2891" s="156" t="s">
        <v>128</v>
      </c>
      <c r="AL2891" s="156" t="s">
        <v>179</v>
      </c>
      <c r="AM2891" s="156" t="s">
        <v>134</v>
      </c>
      <c r="AN2891" s="156" t="s">
        <v>131</v>
      </c>
      <c r="AO2891" s="153">
        <v>96.0</v>
      </c>
      <c r="AP2891" s="153">
        <v>-0.8</v>
      </c>
      <c r="AQ2891" s="156" t="s">
        <v>354</v>
      </c>
      <c r="AR2891" s="156" t="s">
        <v>4966</v>
      </c>
      <c r="AS2891" s="156" t="s">
        <v>131</v>
      </c>
      <c r="AT2891" s="156" t="s">
        <v>131</v>
      </c>
      <c r="AU2891" s="156" t="s">
        <v>179</v>
      </c>
      <c r="AV2891" s="156" t="s">
        <v>134</v>
      </c>
      <c r="AW2891" s="432" t="s">
        <v>16803</v>
      </c>
      <c r="AX2891" s="156" t="s">
        <v>136</v>
      </c>
    </row>
    <row r="2892">
      <c r="A2892" s="41">
        <v>2813.0</v>
      </c>
      <c r="B2892" s="126" t="s">
        <v>516</v>
      </c>
      <c r="C2892" s="59" t="s">
        <v>108</v>
      </c>
      <c r="D2892" s="59" t="s">
        <v>1451</v>
      </c>
      <c r="F2892" s="65" t="s">
        <v>16804</v>
      </c>
      <c r="G2892" s="156" t="s">
        <v>16805</v>
      </c>
      <c r="H2892" s="156" t="s">
        <v>1511</v>
      </c>
      <c r="I2892" s="859"/>
      <c r="J2892" s="149">
        <v>45806.0</v>
      </c>
      <c r="K2892" s="156" t="s">
        <v>16806</v>
      </c>
      <c r="L2892" s="65"/>
      <c r="M2892" s="156" t="s">
        <v>16807</v>
      </c>
      <c r="N2892" s="156" t="str">
        <f t="shared" si="140"/>
        <v>110.1002/smj.2585</v>
      </c>
      <c r="O2892" s="153">
        <v>1.0</v>
      </c>
      <c r="P2892" s="379" t="s">
        <v>16808</v>
      </c>
      <c r="Q2892" s="2153" t="str">
        <f> hyperlink(vlookup(lower(N2892),'File Links'!E:F, 2, FALSE), "LINK")</f>
        <v>LINK</v>
      </c>
      <c r="R2892" s="156" t="s">
        <v>16809</v>
      </c>
      <c r="S2892" s="677" t="s">
        <v>16810</v>
      </c>
      <c r="T2892" s="156" t="s">
        <v>131</v>
      </c>
      <c r="U2892" s="153">
        <v>1.0</v>
      </c>
      <c r="V2892" s="379" t="s">
        <v>16811</v>
      </c>
      <c r="W2892" s="1225"/>
      <c r="X2892" s="1544" t="str">
        <f> hyperlink(vlookup(lower(S2892),'File Links'!E:F, 2, FALSE), "LINK")</f>
        <v>LINK</v>
      </c>
      <c r="Y2892" s="156" t="s">
        <v>131</v>
      </c>
      <c r="Z2892" s="156" t="s">
        <v>1672</v>
      </c>
      <c r="AA2892" s="156" t="s">
        <v>16812</v>
      </c>
      <c r="AB2892" s="156" t="s">
        <v>16813</v>
      </c>
      <c r="AC2892" s="156" t="s">
        <v>16814</v>
      </c>
      <c r="AD2892" s="156" t="s">
        <v>16815</v>
      </c>
      <c r="AE2892" s="153">
        <v>11.0</v>
      </c>
      <c r="AF2892" s="153">
        <v>9522.0</v>
      </c>
      <c r="AG2892" s="153">
        <v>0.06</v>
      </c>
      <c r="AH2892" s="156" t="s">
        <v>208</v>
      </c>
      <c r="AI2892" s="156" t="s">
        <v>1167</v>
      </c>
      <c r="AJ2892" s="153">
        <v>0.05</v>
      </c>
      <c r="AK2892" s="156" t="s">
        <v>128</v>
      </c>
      <c r="AL2892" s="156" t="s">
        <v>179</v>
      </c>
      <c r="AM2892" s="156" t="s">
        <v>134</v>
      </c>
      <c r="AN2892" s="156" t="s">
        <v>131</v>
      </c>
      <c r="AO2892" s="153">
        <v>9266.0</v>
      </c>
      <c r="AP2892" s="153">
        <v>0.07</v>
      </c>
      <c r="AQ2892" s="156" t="s">
        <v>208</v>
      </c>
      <c r="AR2892" s="156" t="s">
        <v>4966</v>
      </c>
      <c r="AS2892" s="153">
        <v>0.01</v>
      </c>
      <c r="AT2892" s="156" t="s">
        <v>128</v>
      </c>
      <c r="AU2892" s="156" t="s">
        <v>179</v>
      </c>
      <c r="AV2892" s="156" t="s">
        <v>134</v>
      </c>
      <c r="AW2892" s="65" t="s">
        <v>131</v>
      </c>
      <c r="AX2892" s="156" t="s">
        <v>136</v>
      </c>
    </row>
    <row r="2893">
      <c r="A2893" s="41">
        <v>2814.0</v>
      </c>
      <c r="B2893" s="126" t="s">
        <v>516</v>
      </c>
      <c r="C2893" s="59" t="s">
        <v>108</v>
      </c>
      <c r="D2893" s="59" t="s">
        <v>1451</v>
      </c>
      <c r="F2893" s="156" t="s">
        <v>16816</v>
      </c>
      <c r="G2893" s="156" t="s">
        <v>16817</v>
      </c>
      <c r="H2893" s="156" t="s">
        <v>1511</v>
      </c>
      <c r="I2893" s="859"/>
      <c r="J2893" s="149">
        <v>45806.0</v>
      </c>
      <c r="K2893" s="677" t="s">
        <v>16818</v>
      </c>
      <c r="L2893" s="65"/>
      <c r="M2893" s="156" t="s">
        <v>16819</v>
      </c>
      <c r="N2893" s="156" t="str">
        <f t="shared" si="140"/>
        <v>110.1007/s11002-005-0457-y</v>
      </c>
      <c r="O2893" s="153">
        <v>1.0</v>
      </c>
      <c r="P2893" s="379" t="s">
        <v>16820</v>
      </c>
      <c r="Q2893" s="2153" t="str">
        <f> hyperlink(vlookup(lower(N2893),'File Links'!E:F, 2, FALSE), "LINK")</f>
        <v>LINK</v>
      </c>
      <c r="R2893" s="156" t="s">
        <v>16821</v>
      </c>
      <c r="S2893" s="677" t="s">
        <v>16822</v>
      </c>
      <c r="T2893" s="156" t="s">
        <v>131</v>
      </c>
      <c r="U2893" s="153">
        <v>1.0</v>
      </c>
      <c r="V2893" s="379" t="s">
        <v>16823</v>
      </c>
      <c r="W2893" s="1225"/>
      <c r="X2893" s="2154" t="str">
        <f> hyperlink(vlookup(lower(S2893),'File Links'!E:F, 2, FALSE), "LINK")</f>
        <v>LINK</v>
      </c>
      <c r="Y2893" s="156" t="s">
        <v>131</v>
      </c>
      <c r="Z2893" s="156" t="s">
        <v>2072</v>
      </c>
      <c r="AA2893" s="156" t="s">
        <v>16824</v>
      </c>
      <c r="AB2893" s="156" t="s">
        <v>16825</v>
      </c>
      <c r="AC2893" s="156" t="s">
        <v>16826</v>
      </c>
      <c r="AD2893" s="156" t="s">
        <v>16827</v>
      </c>
      <c r="AE2893" s="153">
        <v>5.0</v>
      </c>
      <c r="AF2893" s="153">
        <v>44.0</v>
      </c>
      <c r="AG2893" s="156" t="s">
        <v>16828</v>
      </c>
      <c r="AH2893" s="156" t="s">
        <v>127</v>
      </c>
      <c r="AI2893" s="156" t="s">
        <v>875</v>
      </c>
      <c r="AJ2893" s="153">
        <v>0.01</v>
      </c>
      <c r="AK2893" s="156" t="s">
        <v>128</v>
      </c>
      <c r="AL2893" s="156" t="s">
        <v>179</v>
      </c>
      <c r="AM2893" s="156" t="s">
        <v>130</v>
      </c>
      <c r="AN2893" s="156" t="s">
        <v>131</v>
      </c>
      <c r="AO2893" s="153">
        <v>1097.0</v>
      </c>
      <c r="AP2893" s="156" t="s">
        <v>131</v>
      </c>
      <c r="AQ2893" s="156" t="s">
        <v>131</v>
      </c>
      <c r="AR2893" s="156" t="s">
        <v>875</v>
      </c>
      <c r="AS2893" s="153">
        <v>0.05</v>
      </c>
      <c r="AT2893" s="156" t="s">
        <v>128</v>
      </c>
      <c r="AU2893" s="156" t="s">
        <v>179</v>
      </c>
      <c r="AV2893" s="156" t="s">
        <v>130</v>
      </c>
      <c r="AW2893" s="65" t="s">
        <v>131</v>
      </c>
      <c r="AX2893" s="156" t="s">
        <v>136</v>
      </c>
    </row>
    <row r="2894">
      <c r="A2894" s="41">
        <v>3214.0</v>
      </c>
      <c r="B2894" s="126" t="s">
        <v>516</v>
      </c>
      <c r="C2894" s="59" t="s">
        <v>108</v>
      </c>
      <c r="D2894" s="59" t="s">
        <v>16829</v>
      </c>
      <c r="F2894" s="126" t="s">
        <v>16830</v>
      </c>
      <c r="G2894" s="148" t="s">
        <v>16831</v>
      </c>
      <c r="H2894" s="148" t="s">
        <v>16832</v>
      </c>
      <c r="I2894" s="1534">
        <v>45829.0</v>
      </c>
      <c r="J2894" s="149"/>
      <c r="K2894" s="126" t="s">
        <v>16833</v>
      </c>
      <c r="L2894" s="65"/>
      <c r="M2894" s="148" t="s">
        <v>16834</v>
      </c>
      <c r="N2894" s="148" t="s">
        <v>16835</v>
      </c>
      <c r="O2894" s="65"/>
      <c r="P2894" s="306" t="s">
        <v>16836</v>
      </c>
      <c r="Q2894" s="2276" t="s">
        <v>7250</v>
      </c>
      <c r="R2894" s="148" t="s">
        <v>16837</v>
      </c>
      <c r="S2894" s="148" t="s">
        <v>16838</v>
      </c>
      <c r="T2894" s="65"/>
      <c r="U2894" s="126">
        <v>1.0</v>
      </c>
      <c r="V2894" s="306" t="s">
        <v>16839</v>
      </c>
      <c r="W2894" s="1077"/>
      <c r="X2894" s="2277" t="s">
        <v>7250</v>
      </c>
      <c r="Y2894" s="156"/>
      <c r="Z2894" s="148" t="s">
        <v>2038</v>
      </c>
      <c r="AA2894" s="148" t="s">
        <v>16840</v>
      </c>
      <c r="AB2894" s="148" t="s">
        <v>16841</v>
      </c>
      <c r="AC2894" s="148" t="s">
        <v>16842</v>
      </c>
      <c r="AD2894" s="126" t="s">
        <v>16843</v>
      </c>
      <c r="AE2894" s="126">
        <v>2.0</v>
      </c>
      <c r="AF2894" s="158">
        <v>52.0</v>
      </c>
      <c r="AG2894" s="158">
        <v>0.89</v>
      </c>
      <c r="AH2894" s="148" t="s">
        <v>166</v>
      </c>
      <c r="AI2894" s="148" t="s">
        <v>868</v>
      </c>
      <c r="AJ2894" s="498">
        <v>0.05</v>
      </c>
      <c r="AK2894" s="148" t="s">
        <v>128</v>
      </c>
      <c r="AL2894" s="148" t="s">
        <v>179</v>
      </c>
      <c r="AM2894" s="148" t="s">
        <v>130</v>
      </c>
      <c r="AN2894" s="148" t="s">
        <v>131</v>
      </c>
      <c r="AO2894" s="158">
        <v>86.0</v>
      </c>
      <c r="AP2894" s="158">
        <v>0.19</v>
      </c>
      <c r="AQ2894" s="148" t="s">
        <v>166</v>
      </c>
      <c r="AR2894" s="148" t="s">
        <v>16844</v>
      </c>
      <c r="AS2894" s="158">
        <v>0.374</v>
      </c>
      <c r="AT2894" s="148" t="s">
        <v>165</v>
      </c>
      <c r="AU2894" s="148" t="s">
        <v>179</v>
      </c>
      <c r="AV2894" s="148" t="s">
        <v>130</v>
      </c>
      <c r="AW2894" s="1790" t="s">
        <v>131</v>
      </c>
      <c r="AX2894" s="148" t="s">
        <v>136</v>
      </c>
    </row>
    <row r="2895">
      <c r="A2895" s="41">
        <v>3215.0</v>
      </c>
      <c r="B2895" s="126" t="s">
        <v>516</v>
      </c>
      <c r="C2895" s="59" t="s">
        <v>108</v>
      </c>
      <c r="D2895" s="59" t="s">
        <v>16829</v>
      </c>
      <c r="F2895" s="126" t="s">
        <v>16830</v>
      </c>
      <c r="G2895" s="148" t="s">
        <v>16845</v>
      </c>
      <c r="H2895" s="148" t="s">
        <v>16832</v>
      </c>
      <c r="I2895" s="1534">
        <v>45829.0</v>
      </c>
      <c r="J2895" s="149"/>
      <c r="K2895" s="126" t="s">
        <v>16846</v>
      </c>
      <c r="L2895" s="65"/>
      <c r="M2895" s="148" t="s">
        <v>16834</v>
      </c>
      <c r="N2895" s="148" t="s">
        <v>16847</v>
      </c>
      <c r="O2895" s="65"/>
      <c r="P2895" s="306" t="s">
        <v>16836</v>
      </c>
      <c r="Q2895" s="2153"/>
      <c r="R2895" s="148" t="s">
        <v>16848</v>
      </c>
      <c r="S2895" s="148" t="s">
        <v>16849</v>
      </c>
      <c r="T2895" s="65"/>
      <c r="U2895" s="126">
        <v>1.0</v>
      </c>
      <c r="V2895" s="306" t="s">
        <v>16839</v>
      </c>
      <c r="W2895" s="1077"/>
      <c r="X2895" s="2277" t="s">
        <v>7250</v>
      </c>
      <c r="Y2895" s="156"/>
      <c r="Z2895" s="148" t="s">
        <v>2038</v>
      </c>
      <c r="AA2895" s="148" t="s">
        <v>16840</v>
      </c>
      <c r="AB2895" s="148" t="s">
        <v>16841</v>
      </c>
      <c r="AC2895" s="148" t="s">
        <v>16842</v>
      </c>
      <c r="AD2895" s="126" t="s">
        <v>16843</v>
      </c>
      <c r="AE2895" s="126">
        <v>2.0</v>
      </c>
      <c r="AF2895" s="158">
        <v>52.0</v>
      </c>
      <c r="AG2895" s="158">
        <v>0.89</v>
      </c>
      <c r="AH2895" s="148" t="s">
        <v>166</v>
      </c>
      <c r="AI2895" s="148" t="s">
        <v>868</v>
      </c>
      <c r="AJ2895" s="498">
        <v>0.05</v>
      </c>
      <c r="AK2895" s="148" t="s">
        <v>128</v>
      </c>
      <c r="AL2895" s="148" t="s">
        <v>179</v>
      </c>
      <c r="AM2895" s="148" t="s">
        <v>130</v>
      </c>
      <c r="AN2895" s="148" t="s">
        <v>131</v>
      </c>
      <c r="AO2895" s="158">
        <v>160.0</v>
      </c>
      <c r="AP2895" s="158">
        <v>-0.06</v>
      </c>
      <c r="AQ2895" s="148" t="s">
        <v>166</v>
      </c>
      <c r="AR2895" s="148" t="s">
        <v>16844</v>
      </c>
      <c r="AS2895" s="158">
        <v>0.723</v>
      </c>
      <c r="AT2895" s="148" t="s">
        <v>165</v>
      </c>
      <c r="AU2895" s="148" t="s">
        <v>179</v>
      </c>
      <c r="AV2895" s="148" t="s">
        <v>130</v>
      </c>
      <c r="AW2895" s="1790" t="s">
        <v>131</v>
      </c>
      <c r="AX2895" s="148" t="s">
        <v>136</v>
      </c>
    </row>
    <row r="2896">
      <c r="A2896" s="41">
        <v>3216.0</v>
      </c>
      <c r="B2896" s="126" t="s">
        <v>516</v>
      </c>
      <c r="C2896" s="59" t="s">
        <v>108</v>
      </c>
      <c r="D2896" s="59" t="s">
        <v>16829</v>
      </c>
      <c r="F2896" s="126" t="s">
        <v>16850</v>
      </c>
      <c r="G2896" s="148" t="s">
        <v>16851</v>
      </c>
      <c r="H2896" s="148" t="s">
        <v>16832</v>
      </c>
      <c r="I2896" s="1534">
        <v>45829.0</v>
      </c>
      <c r="J2896" s="149"/>
      <c r="K2896" s="65"/>
      <c r="L2896" s="65"/>
      <c r="M2896" s="148" t="s">
        <v>16852</v>
      </c>
      <c r="N2896" s="148" t="s">
        <v>16853</v>
      </c>
      <c r="O2896" s="65"/>
      <c r="P2896" s="306" t="s">
        <v>16854</v>
      </c>
      <c r="Q2896" s="2276" t="s">
        <v>7250</v>
      </c>
      <c r="R2896" s="148" t="s">
        <v>16855</v>
      </c>
      <c r="S2896" s="148" t="s">
        <v>16856</v>
      </c>
      <c r="T2896" s="65"/>
      <c r="U2896" s="126">
        <v>2.0</v>
      </c>
      <c r="V2896" s="306" t="s">
        <v>16857</v>
      </c>
      <c r="W2896" s="1077"/>
      <c r="X2896" s="2277" t="s">
        <v>7250</v>
      </c>
      <c r="Y2896" s="156"/>
      <c r="Z2896" s="148" t="s">
        <v>141</v>
      </c>
      <c r="AA2896" s="148" t="s">
        <v>16858</v>
      </c>
      <c r="AB2896" s="156"/>
      <c r="AC2896" s="148" t="s">
        <v>16859</v>
      </c>
      <c r="AD2896" s="126" t="s">
        <v>16860</v>
      </c>
      <c r="AE2896" s="126" t="s">
        <v>133</v>
      </c>
      <c r="AF2896" s="158">
        <v>45.0</v>
      </c>
      <c r="AG2896" s="158">
        <v>0.401</v>
      </c>
      <c r="AH2896" s="148" t="s">
        <v>867</v>
      </c>
      <c r="AI2896" s="148" t="s">
        <v>133</v>
      </c>
      <c r="AJ2896" s="498">
        <v>0.001</v>
      </c>
      <c r="AK2896" s="148" t="s">
        <v>128</v>
      </c>
      <c r="AL2896" s="148" t="s">
        <v>179</v>
      </c>
      <c r="AM2896" s="148" t="s">
        <v>134</v>
      </c>
      <c r="AN2896" s="148" t="s">
        <v>131</v>
      </c>
      <c r="AO2896" s="158">
        <v>27.0</v>
      </c>
      <c r="AP2896" s="158">
        <v>0.442</v>
      </c>
      <c r="AQ2896" s="148" t="s">
        <v>867</v>
      </c>
      <c r="AR2896" s="148" t="s">
        <v>606</v>
      </c>
      <c r="AS2896" s="158">
        <v>0.001</v>
      </c>
      <c r="AT2896" s="148" t="s">
        <v>128</v>
      </c>
      <c r="AU2896" s="148" t="s">
        <v>179</v>
      </c>
      <c r="AV2896" s="148" t="s">
        <v>134</v>
      </c>
      <c r="AW2896" s="1790" t="s">
        <v>131</v>
      </c>
      <c r="AX2896" s="148" t="s">
        <v>136</v>
      </c>
    </row>
    <row r="2897">
      <c r="A2897" s="41">
        <v>3217.0</v>
      </c>
      <c r="B2897" s="126" t="s">
        <v>516</v>
      </c>
      <c r="C2897" s="59" t="s">
        <v>108</v>
      </c>
      <c r="D2897" s="59" t="s">
        <v>16861</v>
      </c>
      <c r="F2897" s="65" t="s">
        <v>16862</v>
      </c>
      <c r="G2897" s="156" t="s">
        <v>16863</v>
      </c>
      <c r="H2897" s="156" t="s">
        <v>16864</v>
      </c>
      <c r="I2897" s="149">
        <v>45823.0</v>
      </c>
      <c r="J2897" s="859"/>
      <c r="K2897" s="1740" t="s">
        <v>16865</v>
      </c>
      <c r="L2897" s="65"/>
      <c r="M2897" s="156" t="s">
        <v>16866</v>
      </c>
      <c r="N2897" s="156" t="s">
        <v>16867</v>
      </c>
      <c r="O2897" s="65"/>
      <c r="P2897" s="379" t="s">
        <v>16868</v>
      </c>
      <c r="Q2897" s="2276" t="s">
        <v>7250</v>
      </c>
      <c r="R2897" s="156" t="s">
        <v>16869</v>
      </c>
      <c r="S2897" s="156" t="s">
        <v>16870</v>
      </c>
      <c r="T2897" s="65"/>
      <c r="U2897" s="153">
        <v>1.0</v>
      </c>
      <c r="V2897" s="379" t="s">
        <v>16871</v>
      </c>
      <c r="W2897" s="1225"/>
      <c r="X2897" s="2277" t="s">
        <v>7250</v>
      </c>
      <c r="Y2897" s="65"/>
      <c r="Z2897" s="156" t="s">
        <v>219</v>
      </c>
      <c r="AA2897" s="156" t="s">
        <v>16872</v>
      </c>
      <c r="AB2897" s="156" t="s">
        <v>16873</v>
      </c>
      <c r="AC2897" s="156" t="s">
        <v>16874</v>
      </c>
      <c r="AD2897" s="156" t="s">
        <v>16875</v>
      </c>
      <c r="AE2897" s="333">
        <v>888.0</v>
      </c>
      <c r="AF2897" s="333">
        <v>36.0</v>
      </c>
      <c r="AG2897" s="333">
        <v>0.26</v>
      </c>
      <c r="AH2897" s="65" t="s">
        <v>166</v>
      </c>
      <c r="AI2897" s="65" t="s">
        <v>16876</v>
      </c>
      <c r="AJ2897" s="333">
        <v>0.012</v>
      </c>
      <c r="AK2897" s="1904" t="s">
        <v>16877</v>
      </c>
      <c r="AL2897" s="333">
        <v>2.0</v>
      </c>
      <c r="AM2897" s="65" t="s">
        <v>134</v>
      </c>
      <c r="AN2897" s="65" t="s">
        <v>131</v>
      </c>
      <c r="AO2897" s="153">
        <v>202.0</v>
      </c>
      <c r="AP2897" s="153">
        <v>0.19</v>
      </c>
      <c r="AQ2897" s="65" t="s">
        <v>10972</v>
      </c>
      <c r="AR2897" s="156" t="s">
        <v>16878</v>
      </c>
      <c r="AS2897" s="153">
        <v>0.008</v>
      </c>
      <c r="AT2897" s="2075" t="s">
        <v>16877</v>
      </c>
      <c r="AU2897" s="153">
        <v>2.0</v>
      </c>
      <c r="AV2897" s="156" t="s">
        <v>134</v>
      </c>
      <c r="AW2897" s="65" t="s">
        <v>131</v>
      </c>
      <c r="AX2897" s="333">
        <v>2.0</v>
      </c>
    </row>
    <row r="2898">
      <c r="A2898" s="41">
        <v>3218.0</v>
      </c>
      <c r="B2898" s="126" t="s">
        <v>516</v>
      </c>
      <c r="C2898" s="59" t="s">
        <v>108</v>
      </c>
      <c r="D2898" s="59" t="s">
        <v>16861</v>
      </c>
      <c r="F2898" s="65" t="s">
        <v>16862</v>
      </c>
      <c r="G2898" s="156" t="s">
        <v>16879</v>
      </c>
      <c r="H2898" s="156" t="s">
        <v>16864</v>
      </c>
      <c r="I2898" s="149">
        <v>45823.0</v>
      </c>
      <c r="J2898" s="859"/>
      <c r="K2898" s="1740" t="s">
        <v>16880</v>
      </c>
      <c r="L2898" s="65"/>
      <c r="M2898" s="156" t="s">
        <v>16866</v>
      </c>
      <c r="N2898" s="156" t="s">
        <v>16867</v>
      </c>
      <c r="O2898" s="65"/>
      <c r="P2898" s="379" t="s">
        <v>16868</v>
      </c>
      <c r="Q2898" s="2276" t="s">
        <v>7250</v>
      </c>
      <c r="R2898" s="156" t="s">
        <v>16869</v>
      </c>
      <c r="S2898" s="156" t="s">
        <v>16870</v>
      </c>
      <c r="T2898" s="65"/>
      <c r="U2898" s="333">
        <v>1.0</v>
      </c>
      <c r="V2898" s="570"/>
      <c r="W2898" s="1225"/>
      <c r="X2898" s="2277" t="s">
        <v>7250</v>
      </c>
      <c r="Y2898" s="65"/>
      <c r="Z2898" s="156" t="s">
        <v>219</v>
      </c>
      <c r="AA2898" s="156" t="s">
        <v>16872</v>
      </c>
      <c r="AB2898" s="156" t="s">
        <v>16873</v>
      </c>
      <c r="AC2898" s="156" t="s">
        <v>16874</v>
      </c>
      <c r="AD2898" s="156" t="s">
        <v>16875</v>
      </c>
      <c r="AE2898" s="333">
        <v>888.0</v>
      </c>
      <c r="AF2898" s="153">
        <v>36.0</v>
      </c>
      <c r="AG2898" s="333">
        <v>0.26</v>
      </c>
      <c r="AH2898" s="65" t="s">
        <v>166</v>
      </c>
      <c r="AI2898" s="65" t="s">
        <v>16876</v>
      </c>
      <c r="AJ2898" s="333">
        <v>0.012</v>
      </c>
      <c r="AK2898" s="1904" t="s">
        <v>16877</v>
      </c>
      <c r="AL2898" s="333">
        <v>2.0</v>
      </c>
      <c r="AM2898" s="65" t="s">
        <v>134</v>
      </c>
      <c r="AN2898" s="65" t="s">
        <v>131</v>
      </c>
      <c r="AO2898" s="153">
        <v>203.0</v>
      </c>
      <c r="AP2898" s="333">
        <v>0.24</v>
      </c>
      <c r="AQ2898" s="65" t="s">
        <v>10972</v>
      </c>
      <c r="AR2898" s="65" t="s">
        <v>450</v>
      </c>
      <c r="AS2898" s="333">
        <v>0.001</v>
      </c>
      <c r="AT2898" s="65" t="s">
        <v>16881</v>
      </c>
      <c r="AU2898" s="333">
        <v>2.0</v>
      </c>
      <c r="AV2898" s="156" t="s">
        <v>134</v>
      </c>
      <c r="AW2898" s="65" t="s">
        <v>131</v>
      </c>
      <c r="AX2898" s="333">
        <v>2.0</v>
      </c>
    </row>
    <row r="2899">
      <c r="A2899" s="41">
        <v>3219.0</v>
      </c>
      <c r="B2899" s="126" t="s">
        <v>516</v>
      </c>
      <c r="C2899" s="59" t="s">
        <v>108</v>
      </c>
      <c r="D2899" s="59" t="s">
        <v>16861</v>
      </c>
      <c r="F2899" s="65" t="s">
        <v>16882</v>
      </c>
      <c r="G2899" s="156" t="s">
        <v>16883</v>
      </c>
      <c r="H2899" s="156" t="s">
        <v>16864</v>
      </c>
      <c r="I2899" s="149">
        <v>45823.0</v>
      </c>
      <c r="J2899" s="859"/>
      <c r="K2899" s="156" t="s">
        <v>16884</v>
      </c>
      <c r="L2899" s="65"/>
      <c r="M2899" s="156" t="s">
        <v>16885</v>
      </c>
      <c r="N2899" s="156" t="s">
        <v>16886</v>
      </c>
      <c r="O2899" s="65"/>
      <c r="P2899" s="379" t="s">
        <v>16887</v>
      </c>
      <c r="Q2899" s="2276" t="s">
        <v>7250</v>
      </c>
      <c r="R2899" s="156" t="s">
        <v>16888</v>
      </c>
      <c r="S2899" s="156" t="s">
        <v>16889</v>
      </c>
      <c r="T2899" s="65"/>
      <c r="U2899" s="153">
        <v>1.0</v>
      </c>
      <c r="V2899" s="379" t="s">
        <v>16890</v>
      </c>
      <c r="W2899" s="1225"/>
      <c r="X2899" s="2277" t="s">
        <v>7250</v>
      </c>
      <c r="Y2899" s="65"/>
      <c r="Z2899" s="156" t="s">
        <v>1593</v>
      </c>
      <c r="AA2899" s="156" t="s">
        <v>16891</v>
      </c>
      <c r="AB2899" s="156" t="s">
        <v>16892</v>
      </c>
      <c r="AC2899" s="156" t="s">
        <v>16893</v>
      </c>
      <c r="AD2899" s="156" t="s">
        <v>16894</v>
      </c>
      <c r="AE2899" s="153">
        <v>640.0</v>
      </c>
      <c r="AF2899" s="153">
        <v>32.0</v>
      </c>
      <c r="AG2899" s="156" t="s">
        <v>16895</v>
      </c>
      <c r="AH2899" s="156" t="s">
        <v>127</v>
      </c>
      <c r="AI2899" s="156" t="s">
        <v>16896</v>
      </c>
      <c r="AJ2899" s="153">
        <v>0.001</v>
      </c>
      <c r="AK2899" s="2075" t="s">
        <v>16877</v>
      </c>
      <c r="AL2899" s="156" t="s">
        <v>131</v>
      </c>
      <c r="AM2899" s="156" t="s">
        <v>130</v>
      </c>
      <c r="AN2899" s="65" t="s">
        <v>131</v>
      </c>
      <c r="AO2899" s="153">
        <v>104.0</v>
      </c>
      <c r="AP2899" s="156" t="s">
        <v>16897</v>
      </c>
      <c r="AQ2899" s="156" t="s">
        <v>127</v>
      </c>
      <c r="AR2899" s="156" t="s">
        <v>16898</v>
      </c>
      <c r="AS2899" s="156" t="s">
        <v>16899</v>
      </c>
      <c r="AT2899" s="2075" t="s">
        <v>16877</v>
      </c>
      <c r="AU2899" s="156" t="s">
        <v>131</v>
      </c>
      <c r="AV2899" s="156" t="s">
        <v>130</v>
      </c>
      <c r="AW2899" s="65" t="s">
        <v>131</v>
      </c>
      <c r="AX2899" s="153">
        <v>1.0</v>
      </c>
    </row>
    <row r="2900">
      <c r="A2900" s="41">
        <v>3220.0</v>
      </c>
      <c r="B2900" s="126" t="s">
        <v>516</v>
      </c>
      <c r="C2900" s="59" t="s">
        <v>108</v>
      </c>
      <c r="D2900" s="59" t="s">
        <v>16861</v>
      </c>
      <c r="F2900" s="65" t="s">
        <v>16900</v>
      </c>
      <c r="G2900" s="156" t="s">
        <v>16901</v>
      </c>
      <c r="H2900" s="156" t="s">
        <v>16864</v>
      </c>
      <c r="I2900" s="149">
        <v>45824.0</v>
      </c>
      <c r="J2900" s="859"/>
      <c r="K2900" s="156" t="s">
        <v>16902</v>
      </c>
      <c r="L2900" s="65"/>
      <c r="M2900" s="156" t="s">
        <v>16903</v>
      </c>
      <c r="N2900" s="156" t="s">
        <v>16904</v>
      </c>
      <c r="O2900" s="65"/>
      <c r="P2900" s="379" t="s">
        <v>16905</v>
      </c>
      <c r="Q2900" s="2276" t="s">
        <v>7250</v>
      </c>
      <c r="R2900" s="156" t="s">
        <v>16906</v>
      </c>
      <c r="S2900" s="156" t="s">
        <v>16907</v>
      </c>
      <c r="T2900" s="65"/>
      <c r="U2900" s="153">
        <v>1.0</v>
      </c>
      <c r="V2900" s="379" t="s">
        <v>16908</v>
      </c>
      <c r="W2900" s="1225"/>
      <c r="X2900" s="2277" t="s">
        <v>7250</v>
      </c>
      <c r="Y2900" s="65"/>
      <c r="Z2900" s="156" t="s">
        <v>141</v>
      </c>
      <c r="AA2900" s="156" t="s">
        <v>16909</v>
      </c>
      <c r="AB2900" s="156" t="s">
        <v>16910</v>
      </c>
      <c r="AC2900" s="156" t="s">
        <v>16911</v>
      </c>
      <c r="AD2900" s="156" t="s">
        <v>16912</v>
      </c>
      <c r="AE2900" s="153">
        <v>1377.0</v>
      </c>
      <c r="AF2900" s="153">
        <v>14.0</v>
      </c>
      <c r="AG2900" s="153">
        <v>0.2</v>
      </c>
      <c r="AH2900" s="156" t="s">
        <v>16913</v>
      </c>
      <c r="AI2900" s="156" t="s">
        <v>16914</v>
      </c>
      <c r="AJ2900" s="156" t="s">
        <v>131</v>
      </c>
      <c r="AK2900" s="156" t="s">
        <v>131</v>
      </c>
      <c r="AL2900" s="156" t="s">
        <v>131</v>
      </c>
      <c r="AM2900" s="156" t="s">
        <v>131</v>
      </c>
      <c r="AN2900" s="156" t="s">
        <v>131</v>
      </c>
      <c r="AO2900" s="153">
        <v>50.0</v>
      </c>
      <c r="AP2900" s="156" t="s">
        <v>16915</v>
      </c>
      <c r="AQ2900" s="156" t="s">
        <v>127</v>
      </c>
      <c r="AR2900" s="156" t="s">
        <v>16916</v>
      </c>
      <c r="AS2900" s="153">
        <v>0.001</v>
      </c>
      <c r="AT2900" s="156" t="s">
        <v>16881</v>
      </c>
      <c r="AU2900" s="156" t="s">
        <v>131</v>
      </c>
      <c r="AV2900" s="156" t="s">
        <v>130</v>
      </c>
      <c r="AW2900" s="65" t="s">
        <v>131</v>
      </c>
      <c r="AX2900" s="153">
        <v>2.0</v>
      </c>
    </row>
    <row r="2901">
      <c r="A2901" s="41">
        <v>3221.0</v>
      </c>
      <c r="B2901" s="126" t="s">
        <v>516</v>
      </c>
      <c r="C2901" s="59" t="s">
        <v>108</v>
      </c>
      <c r="D2901" s="59" t="s">
        <v>16861</v>
      </c>
      <c r="F2901" s="65" t="s">
        <v>16917</v>
      </c>
      <c r="G2901" s="156" t="s">
        <v>16918</v>
      </c>
      <c r="H2901" s="156" t="s">
        <v>16864</v>
      </c>
      <c r="I2901" s="149">
        <v>45824.0</v>
      </c>
      <c r="J2901" s="859"/>
      <c r="K2901" s="156" t="s">
        <v>16919</v>
      </c>
      <c r="L2901" s="65"/>
      <c r="M2901" s="156" t="s">
        <v>16920</v>
      </c>
      <c r="N2901" s="156" t="s">
        <v>16921</v>
      </c>
      <c r="O2901" s="65"/>
      <c r="P2901" s="379" t="s">
        <v>16922</v>
      </c>
      <c r="Q2901" s="2276" t="s">
        <v>7250</v>
      </c>
      <c r="R2901" s="156" t="s">
        <v>16923</v>
      </c>
      <c r="S2901" s="156" t="s">
        <v>16924</v>
      </c>
      <c r="T2901" s="65"/>
      <c r="U2901" s="153">
        <v>1.0</v>
      </c>
      <c r="V2901" s="379" t="s">
        <v>16925</v>
      </c>
      <c r="W2901" s="1225"/>
      <c r="X2901" s="2277" t="s">
        <v>7250</v>
      </c>
      <c r="Y2901" s="65"/>
      <c r="Z2901" s="156" t="s">
        <v>219</v>
      </c>
      <c r="AA2901" s="156" t="s">
        <v>16926</v>
      </c>
      <c r="AB2901" s="156" t="s">
        <v>16927</v>
      </c>
      <c r="AC2901" s="156" t="s">
        <v>16928</v>
      </c>
      <c r="AD2901" s="156" t="s">
        <v>16929</v>
      </c>
      <c r="AE2901" s="153">
        <v>473.0</v>
      </c>
      <c r="AF2901" s="153">
        <v>121.0</v>
      </c>
      <c r="AG2901" s="156" t="s">
        <v>16930</v>
      </c>
      <c r="AH2901" s="156" t="s">
        <v>16931</v>
      </c>
      <c r="AI2901" s="156" t="s">
        <v>16932</v>
      </c>
      <c r="AJ2901" s="156" t="s">
        <v>16933</v>
      </c>
      <c r="AK2901" s="2075" t="s">
        <v>16881</v>
      </c>
      <c r="AL2901" s="156" t="s">
        <v>131</v>
      </c>
      <c r="AM2901" s="156" t="s">
        <v>134</v>
      </c>
      <c r="AN2901" s="156" t="s">
        <v>131</v>
      </c>
      <c r="AO2901" s="153">
        <v>517.0</v>
      </c>
      <c r="AP2901" s="156" t="s">
        <v>16934</v>
      </c>
      <c r="AQ2901" s="156" t="s">
        <v>127</v>
      </c>
      <c r="AR2901" s="156" t="s">
        <v>16935</v>
      </c>
      <c r="AS2901" s="153">
        <v>0.001</v>
      </c>
      <c r="AT2901" s="156" t="s">
        <v>16881</v>
      </c>
      <c r="AU2901" s="156" t="s">
        <v>131</v>
      </c>
      <c r="AV2901" s="156" t="s">
        <v>130</v>
      </c>
      <c r="AW2901" s="65" t="s">
        <v>131</v>
      </c>
      <c r="AX2901" s="153">
        <v>3.0</v>
      </c>
    </row>
    <row r="2902">
      <c r="A2902" s="41">
        <v>3222.0</v>
      </c>
      <c r="B2902" s="126" t="s">
        <v>516</v>
      </c>
      <c r="C2902" s="59" t="s">
        <v>108</v>
      </c>
      <c r="D2902" s="59" t="s">
        <v>16861</v>
      </c>
      <c r="F2902" s="65" t="s">
        <v>16917</v>
      </c>
      <c r="G2902" s="156" t="s">
        <v>16936</v>
      </c>
      <c r="H2902" s="156" t="s">
        <v>16864</v>
      </c>
      <c r="I2902" s="149">
        <v>45824.0</v>
      </c>
      <c r="J2902" s="859"/>
      <c r="K2902" s="65" t="s">
        <v>16937</v>
      </c>
      <c r="L2902" s="65"/>
      <c r="M2902" s="156" t="s">
        <v>16920</v>
      </c>
      <c r="N2902" s="156" t="s">
        <v>16921</v>
      </c>
      <c r="O2902" s="65"/>
      <c r="P2902" s="379" t="s">
        <v>16922</v>
      </c>
      <c r="Q2902" s="2276" t="s">
        <v>7250</v>
      </c>
      <c r="R2902" s="156" t="s">
        <v>16923</v>
      </c>
      <c r="S2902" s="156" t="s">
        <v>16924</v>
      </c>
      <c r="T2902" s="65"/>
      <c r="U2902" s="153">
        <v>2.0</v>
      </c>
      <c r="V2902" s="570"/>
      <c r="W2902" s="1225"/>
      <c r="X2902" s="2277" t="s">
        <v>7250</v>
      </c>
      <c r="Y2902" s="65"/>
      <c r="Z2902" s="156" t="s">
        <v>219</v>
      </c>
      <c r="AA2902" s="156" t="s">
        <v>16926</v>
      </c>
      <c r="AB2902" s="156" t="s">
        <v>16927</v>
      </c>
      <c r="AC2902" s="156" t="s">
        <v>16928</v>
      </c>
      <c r="AD2902" s="156" t="s">
        <v>16929</v>
      </c>
      <c r="AE2902" s="153">
        <v>473.0</v>
      </c>
      <c r="AF2902" s="153">
        <v>121.0</v>
      </c>
      <c r="AG2902" s="156" t="s">
        <v>16930</v>
      </c>
      <c r="AH2902" s="156" t="s">
        <v>16931</v>
      </c>
      <c r="AI2902" s="156" t="s">
        <v>16932</v>
      </c>
      <c r="AJ2902" s="156" t="s">
        <v>16933</v>
      </c>
      <c r="AK2902" s="2075" t="s">
        <v>16881</v>
      </c>
      <c r="AL2902" s="156" t="s">
        <v>131</v>
      </c>
      <c r="AM2902" s="156" t="s">
        <v>134</v>
      </c>
      <c r="AN2902" s="156" t="s">
        <v>131</v>
      </c>
      <c r="AO2902" s="153">
        <v>216.0</v>
      </c>
      <c r="AP2902" s="156" t="s">
        <v>16938</v>
      </c>
      <c r="AQ2902" s="156" t="s">
        <v>980</v>
      </c>
      <c r="AR2902" s="156" t="s">
        <v>16939</v>
      </c>
      <c r="AS2902" s="156" t="s">
        <v>16940</v>
      </c>
      <c r="AT2902" s="2075" t="s">
        <v>16881</v>
      </c>
      <c r="AU2902" s="156" t="s">
        <v>131</v>
      </c>
      <c r="AV2902" s="65" t="s">
        <v>134</v>
      </c>
      <c r="AW2902" s="65" t="s">
        <v>131</v>
      </c>
      <c r="AX2902" s="333">
        <v>3.0</v>
      </c>
    </row>
    <row r="2903">
      <c r="A2903" s="41">
        <v>3223.0</v>
      </c>
      <c r="B2903" s="126" t="s">
        <v>516</v>
      </c>
      <c r="C2903" s="59" t="s">
        <v>108</v>
      </c>
      <c r="D2903" s="59" t="s">
        <v>16861</v>
      </c>
      <c r="F2903" s="156" t="s">
        <v>16941</v>
      </c>
      <c r="G2903" s="156" t="s">
        <v>16942</v>
      </c>
      <c r="H2903" s="156" t="s">
        <v>16864</v>
      </c>
      <c r="I2903" s="149">
        <v>45824.0</v>
      </c>
      <c r="J2903" s="859"/>
      <c r="K2903" s="156" t="s">
        <v>16943</v>
      </c>
      <c r="L2903" s="65"/>
      <c r="M2903" s="156" t="s">
        <v>16944</v>
      </c>
      <c r="N2903" s="156" t="s">
        <v>16945</v>
      </c>
      <c r="O2903" s="65"/>
      <c r="P2903" s="379" t="s">
        <v>16946</v>
      </c>
      <c r="Q2903" s="2276" t="s">
        <v>7250</v>
      </c>
      <c r="R2903" s="156" t="s">
        <v>16947</v>
      </c>
      <c r="S2903" s="156" t="s">
        <v>16948</v>
      </c>
      <c r="T2903" s="65"/>
      <c r="U2903" s="153">
        <v>1.0</v>
      </c>
      <c r="V2903" s="379" t="s">
        <v>16949</v>
      </c>
      <c r="W2903" s="1225"/>
      <c r="X2903" s="2277" t="s">
        <v>7250</v>
      </c>
      <c r="Y2903" s="65"/>
      <c r="Z2903" s="156" t="s">
        <v>219</v>
      </c>
      <c r="AA2903" s="156" t="s">
        <v>16950</v>
      </c>
      <c r="AB2903" s="156" t="s">
        <v>16951</v>
      </c>
      <c r="AC2903" s="156" t="s">
        <v>16952</v>
      </c>
      <c r="AD2903" s="156" t="s">
        <v>16953</v>
      </c>
      <c r="AE2903" s="153">
        <v>3.0</v>
      </c>
      <c r="AF2903" s="153">
        <v>111.0</v>
      </c>
      <c r="AG2903" s="153">
        <v>-0.34</v>
      </c>
      <c r="AH2903" s="156" t="s">
        <v>16931</v>
      </c>
      <c r="AI2903" s="156" t="s">
        <v>843</v>
      </c>
      <c r="AJ2903" s="153">
        <v>0.01</v>
      </c>
      <c r="AK2903" s="2075" t="s">
        <v>16881</v>
      </c>
      <c r="AL2903" s="156" t="s">
        <v>131</v>
      </c>
      <c r="AM2903" s="65" t="s">
        <v>134</v>
      </c>
      <c r="AN2903" s="156" t="s">
        <v>131</v>
      </c>
      <c r="AO2903" s="153">
        <v>356.0</v>
      </c>
      <c r="AP2903" s="153">
        <v>0.09</v>
      </c>
      <c r="AQ2903" s="156" t="s">
        <v>354</v>
      </c>
      <c r="AR2903" s="156" t="s">
        <v>843</v>
      </c>
      <c r="AS2903" s="153">
        <v>0.1</v>
      </c>
      <c r="AT2903" s="2075" t="s">
        <v>16877</v>
      </c>
      <c r="AU2903" s="156" t="s">
        <v>131</v>
      </c>
      <c r="AV2903" s="65" t="s">
        <v>134</v>
      </c>
      <c r="AW2903" s="65" t="s">
        <v>131</v>
      </c>
      <c r="AX2903" s="333">
        <v>2.0</v>
      </c>
      <c r="BB2903" s="908"/>
      <c r="BC2903" s="908"/>
      <c r="BD2903" s="908"/>
      <c r="BE2903" s="908"/>
      <c r="BF2903" s="908"/>
      <c r="BG2903" s="908"/>
      <c r="BH2903" s="908"/>
      <c r="BI2903" s="908"/>
      <c r="BJ2903" s="908"/>
      <c r="BK2903" s="908"/>
      <c r="BL2903" s="908"/>
      <c r="BM2903" s="908"/>
      <c r="BN2903" s="908"/>
      <c r="BO2903" s="908"/>
      <c r="BP2903" s="908"/>
      <c r="BQ2903" s="908"/>
      <c r="BR2903" s="908"/>
      <c r="BS2903" s="908"/>
      <c r="BT2903" s="908"/>
      <c r="BU2903" s="908"/>
      <c r="BV2903" s="908"/>
      <c r="BW2903" s="908"/>
      <c r="BX2903" s="908"/>
      <c r="BY2903" s="908"/>
      <c r="BZ2903" s="908"/>
      <c r="CA2903" s="908"/>
      <c r="CB2903" s="908"/>
      <c r="CC2903" s="908"/>
      <c r="CD2903" s="908"/>
      <c r="CE2903" s="908"/>
      <c r="CF2903" s="908"/>
      <c r="CG2903" s="908"/>
      <c r="CH2903" s="908"/>
      <c r="CI2903" s="908"/>
      <c r="CJ2903" s="908"/>
      <c r="CK2903" s="908"/>
      <c r="CL2903" s="908"/>
      <c r="CM2903" s="908"/>
      <c r="CN2903" s="908"/>
      <c r="CO2903" s="908"/>
      <c r="CP2903" s="908"/>
      <c r="CQ2903" s="908"/>
      <c r="CR2903" s="908"/>
      <c r="CS2903" s="908"/>
      <c r="CT2903" s="908"/>
      <c r="CU2903" s="908"/>
      <c r="CV2903" s="908"/>
      <c r="CW2903" s="908"/>
      <c r="CX2903" s="908"/>
      <c r="CY2903" s="908"/>
      <c r="CZ2903" s="908"/>
      <c r="DA2903" s="908"/>
      <c r="DB2903" s="908"/>
      <c r="DC2903" s="908"/>
      <c r="DD2903" s="908"/>
      <c r="DE2903" s="908"/>
      <c r="DF2903" s="908"/>
      <c r="DG2903" s="908"/>
      <c r="DH2903" s="908"/>
    </row>
    <row r="2904">
      <c r="A2904" s="41">
        <v>3224.0</v>
      </c>
      <c r="B2904" s="126" t="s">
        <v>516</v>
      </c>
      <c r="C2904" s="59" t="s">
        <v>108</v>
      </c>
      <c r="D2904" s="59" t="s">
        <v>16861</v>
      </c>
      <c r="F2904" s="156" t="s">
        <v>16941</v>
      </c>
      <c r="G2904" s="156" t="s">
        <v>16954</v>
      </c>
      <c r="H2904" s="156" t="s">
        <v>16864</v>
      </c>
      <c r="I2904" s="149">
        <v>45824.0</v>
      </c>
      <c r="J2904" s="859"/>
      <c r="K2904" s="156" t="s">
        <v>16955</v>
      </c>
      <c r="L2904" s="65"/>
      <c r="M2904" s="156" t="s">
        <v>16944</v>
      </c>
      <c r="N2904" s="156" t="s">
        <v>16945</v>
      </c>
      <c r="O2904" s="65"/>
      <c r="P2904" s="379" t="s">
        <v>16946</v>
      </c>
      <c r="Q2904" s="2276" t="s">
        <v>7250</v>
      </c>
      <c r="R2904" s="156" t="s">
        <v>16947</v>
      </c>
      <c r="S2904" s="156" t="s">
        <v>16948</v>
      </c>
      <c r="T2904" s="65"/>
      <c r="U2904" s="153">
        <v>2.0</v>
      </c>
      <c r="V2904" s="570"/>
      <c r="W2904" s="1225"/>
      <c r="X2904" s="2277" t="s">
        <v>7250</v>
      </c>
      <c r="Y2904" s="65"/>
      <c r="Z2904" s="156" t="s">
        <v>219</v>
      </c>
      <c r="AA2904" s="156" t="s">
        <v>16950</v>
      </c>
      <c r="AB2904" s="156" t="s">
        <v>16951</v>
      </c>
      <c r="AC2904" s="156" t="s">
        <v>16952</v>
      </c>
      <c r="AD2904" s="156" t="s">
        <v>16953</v>
      </c>
      <c r="AE2904" s="153">
        <v>3.0</v>
      </c>
      <c r="AF2904" s="153">
        <v>111.0</v>
      </c>
      <c r="AG2904" s="153">
        <v>-0.34</v>
      </c>
      <c r="AH2904" s="156" t="s">
        <v>16931</v>
      </c>
      <c r="AI2904" s="156" t="s">
        <v>843</v>
      </c>
      <c r="AJ2904" s="153">
        <v>0.01</v>
      </c>
      <c r="AK2904" s="2075" t="s">
        <v>16881</v>
      </c>
      <c r="AL2904" s="156" t="s">
        <v>131</v>
      </c>
      <c r="AM2904" s="65" t="s">
        <v>134</v>
      </c>
      <c r="AN2904" s="156" t="s">
        <v>131</v>
      </c>
      <c r="AO2904" s="153">
        <v>225.0</v>
      </c>
      <c r="AP2904" s="153">
        <v>0.05</v>
      </c>
      <c r="AQ2904" s="156" t="s">
        <v>354</v>
      </c>
      <c r="AR2904" s="156" t="s">
        <v>133</v>
      </c>
      <c r="AS2904" s="153">
        <v>0.48</v>
      </c>
      <c r="AT2904" s="2075" t="s">
        <v>16877</v>
      </c>
      <c r="AU2904" s="156" t="s">
        <v>131</v>
      </c>
      <c r="AV2904" s="65" t="s">
        <v>134</v>
      </c>
      <c r="AW2904" s="65" t="s">
        <v>131</v>
      </c>
      <c r="AX2904" s="333">
        <v>2.0</v>
      </c>
      <c r="BB2904" s="908"/>
      <c r="BC2904" s="908"/>
      <c r="BD2904" s="908"/>
      <c r="BE2904" s="908"/>
      <c r="BF2904" s="908"/>
      <c r="BG2904" s="908"/>
      <c r="BH2904" s="908"/>
      <c r="BI2904" s="908"/>
      <c r="BJ2904" s="908"/>
      <c r="BK2904" s="908"/>
      <c r="BL2904" s="908"/>
      <c r="BM2904" s="908"/>
      <c r="BN2904" s="908"/>
      <c r="BO2904" s="908"/>
      <c r="BP2904" s="908"/>
      <c r="BQ2904" s="908"/>
      <c r="BR2904" s="908"/>
      <c r="BS2904" s="908"/>
      <c r="BT2904" s="908"/>
      <c r="BU2904" s="908"/>
      <c r="BV2904" s="908"/>
      <c r="BW2904" s="908"/>
      <c r="BX2904" s="908"/>
      <c r="BY2904" s="908"/>
      <c r="BZ2904" s="908"/>
      <c r="CA2904" s="908"/>
      <c r="CB2904" s="908"/>
      <c r="CC2904" s="908"/>
      <c r="CD2904" s="908"/>
      <c r="CE2904" s="908"/>
      <c r="CF2904" s="908"/>
      <c r="CG2904" s="908"/>
      <c r="CH2904" s="908"/>
      <c r="CI2904" s="908"/>
      <c r="CJ2904" s="908"/>
      <c r="CK2904" s="908"/>
      <c r="CL2904" s="908"/>
      <c r="CM2904" s="908"/>
      <c r="CN2904" s="908"/>
      <c r="CO2904" s="908"/>
      <c r="CP2904" s="908"/>
      <c r="CQ2904" s="908"/>
      <c r="CR2904" s="908"/>
      <c r="CS2904" s="908"/>
      <c r="CT2904" s="908"/>
      <c r="CU2904" s="908"/>
      <c r="CV2904" s="908"/>
      <c r="CW2904" s="908"/>
      <c r="CX2904" s="908"/>
      <c r="CY2904" s="908"/>
      <c r="CZ2904" s="908"/>
      <c r="DA2904" s="908"/>
      <c r="DB2904" s="908"/>
      <c r="DC2904" s="908"/>
      <c r="DD2904" s="908"/>
      <c r="DE2904" s="908"/>
      <c r="DF2904" s="908"/>
      <c r="DG2904" s="908"/>
      <c r="DH2904" s="908"/>
    </row>
    <row r="2905">
      <c r="A2905" s="41">
        <v>3225.0</v>
      </c>
      <c r="B2905" s="126" t="s">
        <v>516</v>
      </c>
      <c r="C2905" s="59" t="s">
        <v>108</v>
      </c>
      <c r="D2905" s="59" t="s">
        <v>16861</v>
      </c>
      <c r="F2905" s="156" t="s">
        <v>16956</v>
      </c>
      <c r="G2905" s="156" t="s">
        <v>16957</v>
      </c>
      <c r="H2905" s="156" t="s">
        <v>16864</v>
      </c>
      <c r="I2905" s="149">
        <v>45823.0</v>
      </c>
      <c r="J2905" s="859"/>
      <c r="K2905" s="156" t="s">
        <v>16958</v>
      </c>
      <c r="L2905" s="65"/>
      <c r="M2905" s="156" t="s">
        <v>16959</v>
      </c>
      <c r="N2905" s="156" t="s">
        <v>16960</v>
      </c>
      <c r="O2905" s="65"/>
      <c r="P2905" s="379" t="s">
        <v>16961</v>
      </c>
      <c r="Q2905" s="2276" t="s">
        <v>7250</v>
      </c>
      <c r="R2905" s="156" t="s">
        <v>16962</v>
      </c>
      <c r="S2905" s="156" t="s">
        <v>16963</v>
      </c>
      <c r="T2905" s="65"/>
      <c r="U2905" s="153">
        <v>1.0</v>
      </c>
      <c r="V2905" s="379" t="s">
        <v>16964</v>
      </c>
      <c r="W2905" s="1225"/>
      <c r="X2905" s="2277" t="s">
        <v>7250</v>
      </c>
      <c r="Y2905" s="65"/>
      <c r="Z2905" s="156" t="s">
        <v>141</v>
      </c>
      <c r="AA2905" s="156" t="s">
        <v>16965</v>
      </c>
      <c r="AB2905" s="156" t="s">
        <v>16966</v>
      </c>
      <c r="AC2905" s="156" t="s">
        <v>16967</v>
      </c>
      <c r="AD2905" s="156" t="s">
        <v>16968</v>
      </c>
      <c r="AE2905" s="153">
        <v>578.0</v>
      </c>
      <c r="AF2905" s="153">
        <v>26.0</v>
      </c>
      <c r="AG2905" s="153">
        <v>0.001</v>
      </c>
      <c r="AH2905" s="156" t="s">
        <v>132</v>
      </c>
      <c r="AI2905" s="156" t="s">
        <v>16969</v>
      </c>
      <c r="AJ2905" s="153">
        <v>0.907</v>
      </c>
      <c r="AK2905" s="2075" t="s">
        <v>16877</v>
      </c>
      <c r="AL2905" s="153">
        <v>2.0</v>
      </c>
      <c r="AM2905" s="65" t="s">
        <v>130</v>
      </c>
      <c r="AN2905" s="65" t="s">
        <v>131</v>
      </c>
      <c r="AO2905" s="153">
        <v>34.0</v>
      </c>
      <c r="AP2905" s="153">
        <v>0.06</v>
      </c>
      <c r="AQ2905" s="156" t="s">
        <v>132</v>
      </c>
      <c r="AR2905" s="156" t="s">
        <v>9923</v>
      </c>
      <c r="AS2905" s="153">
        <v>0.14</v>
      </c>
      <c r="AT2905" s="2075" t="s">
        <v>16877</v>
      </c>
      <c r="AU2905" s="153">
        <v>2.0</v>
      </c>
      <c r="AV2905" s="65" t="s">
        <v>130</v>
      </c>
      <c r="AW2905" s="65" t="s">
        <v>131</v>
      </c>
      <c r="AX2905" s="333">
        <v>1.0</v>
      </c>
      <c r="BB2905" s="908"/>
      <c r="BC2905" s="908"/>
      <c r="BD2905" s="908"/>
      <c r="BE2905" s="908"/>
      <c r="BF2905" s="908"/>
      <c r="BG2905" s="908"/>
      <c r="BH2905" s="908"/>
      <c r="BI2905" s="908"/>
      <c r="BJ2905" s="908"/>
      <c r="BK2905" s="908"/>
      <c r="BL2905" s="908"/>
      <c r="BM2905" s="908"/>
      <c r="BN2905" s="908"/>
      <c r="BO2905" s="908"/>
      <c r="BP2905" s="908"/>
      <c r="BQ2905" s="908"/>
      <c r="BR2905" s="908"/>
      <c r="BS2905" s="908"/>
      <c r="BT2905" s="908"/>
      <c r="BU2905" s="908"/>
      <c r="BV2905" s="908"/>
      <c r="BW2905" s="908"/>
      <c r="BX2905" s="908"/>
      <c r="BY2905" s="908"/>
      <c r="BZ2905" s="908"/>
      <c r="CA2905" s="908"/>
      <c r="CB2905" s="908"/>
      <c r="CC2905" s="908"/>
      <c r="CD2905" s="908"/>
      <c r="CE2905" s="908"/>
      <c r="CF2905" s="908"/>
      <c r="CG2905" s="908"/>
      <c r="CH2905" s="908"/>
      <c r="CI2905" s="908"/>
      <c r="CJ2905" s="908"/>
      <c r="CK2905" s="908"/>
      <c r="CL2905" s="908"/>
      <c r="CM2905" s="908"/>
      <c r="CN2905" s="908"/>
      <c r="CO2905" s="908"/>
      <c r="CP2905" s="908"/>
      <c r="CQ2905" s="908"/>
      <c r="CR2905" s="908"/>
      <c r="CS2905" s="908"/>
      <c r="CT2905" s="908"/>
      <c r="CU2905" s="908"/>
      <c r="CV2905" s="908"/>
      <c r="CW2905" s="908"/>
      <c r="CX2905" s="908"/>
      <c r="CY2905" s="908"/>
      <c r="CZ2905" s="908"/>
      <c r="DA2905" s="908"/>
      <c r="DB2905" s="908"/>
      <c r="DC2905" s="908"/>
      <c r="DD2905" s="908"/>
      <c r="DE2905" s="908"/>
      <c r="DF2905" s="908"/>
      <c r="DG2905" s="908"/>
      <c r="DH2905" s="908"/>
    </row>
    <row r="2906">
      <c r="A2906" s="41">
        <v>3226.0</v>
      </c>
      <c r="B2906" s="126" t="s">
        <v>516</v>
      </c>
      <c r="C2906" s="59" t="s">
        <v>108</v>
      </c>
      <c r="D2906" s="59" t="s">
        <v>16861</v>
      </c>
      <c r="F2906" s="156" t="s">
        <v>16956</v>
      </c>
      <c r="G2906" s="156" t="s">
        <v>16970</v>
      </c>
      <c r="H2906" s="156" t="s">
        <v>16864</v>
      </c>
      <c r="I2906" s="149">
        <v>45823.0</v>
      </c>
      <c r="J2906" s="859"/>
      <c r="K2906" s="156" t="s">
        <v>16958</v>
      </c>
      <c r="L2906" s="65"/>
      <c r="M2906" s="156" t="s">
        <v>16959</v>
      </c>
      <c r="N2906" s="156" t="s">
        <v>16960</v>
      </c>
      <c r="O2906" s="65"/>
      <c r="P2906" s="379" t="s">
        <v>16961</v>
      </c>
      <c r="Q2906" s="2276" t="s">
        <v>7250</v>
      </c>
      <c r="R2906" s="156" t="s">
        <v>16962</v>
      </c>
      <c r="S2906" s="156" t="s">
        <v>16963</v>
      </c>
      <c r="T2906" s="65"/>
      <c r="U2906" s="153">
        <v>1.0</v>
      </c>
      <c r="V2906" s="570"/>
      <c r="W2906" s="1225"/>
      <c r="X2906" s="2277" t="s">
        <v>7250</v>
      </c>
      <c r="Y2906" s="65"/>
      <c r="Z2906" s="156" t="s">
        <v>141</v>
      </c>
      <c r="AA2906" s="156" t="s">
        <v>16965</v>
      </c>
      <c r="AB2906" s="156" t="s">
        <v>16966</v>
      </c>
      <c r="AC2906" s="156" t="s">
        <v>16967</v>
      </c>
      <c r="AD2906" s="156" t="s">
        <v>16968</v>
      </c>
      <c r="AE2906" s="153">
        <v>578.0</v>
      </c>
      <c r="AF2906" s="153">
        <v>26.0</v>
      </c>
      <c r="AG2906" s="153">
        <v>0.001</v>
      </c>
      <c r="AH2906" s="156" t="s">
        <v>132</v>
      </c>
      <c r="AI2906" s="156" t="s">
        <v>16969</v>
      </c>
      <c r="AJ2906" s="153">
        <v>0.907</v>
      </c>
      <c r="AK2906" s="2075" t="s">
        <v>16877</v>
      </c>
      <c r="AL2906" s="153">
        <v>2.0</v>
      </c>
      <c r="AM2906" s="65" t="s">
        <v>130</v>
      </c>
      <c r="AN2906" s="65" t="s">
        <v>131</v>
      </c>
      <c r="AO2906" s="153">
        <v>26.0</v>
      </c>
      <c r="AP2906" s="153">
        <v>0.05</v>
      </c>
      <c r="AQ2906" s="156" t="s">
        <v>132</v>
      </c>
      <c r="AR2906" s="156" t="s">
        <v>9923</v>
      </c>
      <c r="AS2906" s="153">
        <v>0.26</v>
      </c>
      <c r="AT2906" s="2075" t="s">
        <v>16877</v>
      </c>
      <c r="AU2906" s="153">
        <v>2.0</v>
      </c>
      <c r="AV2906" s="65" t="s">
        <v>130</v>
      </c>
      <c r="AW2906" s="65" t="s">
        <v>131</v>
      </c>
      <c r="AX2906" s="333">
        <v>1.0</v>
      </c>
    </row>
    <row r="2907">
      <c r="A2907" s="41">
        <v>3227.0</v>
      </c>
      <c r="B2907" s="126" t="s">
        <v>516</v>
      </c>
      <c r="C2907" s="59" t="s">
        <v>108</v>
      </c>
      <c r="D2907" s="59" t="s">
        <v>16861</v>
      </c>
      <c r="F2907" s="156" t="s">
        <v>16956</v>
      </c>
      <c r="G2907" s="156" t="s">
        <v>16971</v>
      </c>
      <c r="H2907" s="156" t="s">
        <v>16864</v>
      </c>
      <c r="I2907" s="149">
        <v>45823.0</v>
      </c>
      <c r="J2907" s="859"/>
      <c r="K2907" s="156" t="s">
        <v>16972</v>
      </c>
      <c r="L2907" s="65"/>
      <c r="M2907" s="156" t="s">
        <v>16959</v>
      </c>
      <c r="N2907" s="156" t="s">
        <v>16960</v>
      </c>
      <c r="O2907" s="65"/>
      <c r="P2907" s="379" t="s">
        <v>16961</v>
      </c>
      <c r="Q2907" s="2276" t="s">
        <v>7250</v>
      </c>
      <c r="R2907" s="156" t="s">
        <v>16962</v>
      </c>
      <c r="S2907" s="156" t="s">
        <v>16963</v>
      </c>
      <c r="T2907" s="65"/>
      <c r="U2907" s="153">
        <v>1.0</v>
      </c>
      <c r="V2907" s="570"/>
      <c r="W2907" s="1225"/>
      <c r="X2907" s="2277" t="s">
        <v>7250</v>
      </c>
      <c r="Y2907" s="65"/>
      <c r="Z2907" s="156" t="s">
        <v>141</v>
      </c>
      <c r="AA2907" s="156" t="s">
        <v>16965</v>
      </c>
      <c r="AB2907" s="156" t="s">
        <v>16966</v>
      </c>
      <c r="AC2907" s="156" t="s">
        <v>16967</v>
      </c>
      <c r="AD2907" s="156" t="s">
        <v>16968</v>
      </c>
      <c r="AE2907" s="153">
        <v>578.0</v>
      </c>
      <c r="AF2907" s="153">
        <v>26.0</v>
      </c>
      <c r="AG2907" s="153">
        <v>0.001</v>
      </c>
      <c r="AH2907" s="156" t="s">
        <v>132</v>
      </c>
      <c r="AI2907" s="156" t="s">
        <v>16969</v>
      </c>
      <c r="AJ2907" s="153">
        <v>0.907</v>
      </c>
      <c r="AK2907" s="2075" t="s">
        <v>16877</v>
      </c>
      <c r="AL2907" s="153">
        <v>2.0</v>
      </c>
      <c r="AM2907" s="65" t="s">
        <v>130</v>
      </c>
      <c r="AN2907" s="65" t="s">
        <v>131</v>
      </c>
      <c r="AO2907" s="153">
        <v>25.0</v>
      </c>
      <c r="AP2907" s="153">
        <v>0.15</v>
      </c>
      <c r="AQ2907" s="156" t="s">
        <v>132</v>
      </c>
      <c r="AR2907" s="156" t="s">
        <v>9923</v>
      </c>
      <c r="AS2907" s="153">
        <v>0.05</v>
      </c>
      <c r="AT2907" s="2075" t="s">
        <v>16877</v>
      </c>
      <c r="AU2907" s="153">
        <v>2.0</v>
      </c>
      <c r="AV2907" s="65" t="s">
        <v>130</v>
      </c>
      <c r="AW2907" s="65" t="s">
        <v>131</v>
      </c>
      <c r="AX2907" s="333">
        <v>1.0</v>
      </c>
    </row>
    <row r="2908">
      <c r="A2908" s="41">
        <v>3228.0</v>
      </c>
      <c r="B2908" s="126" t="s">
        <v>516</v>
      </c>
      <c r="C2908" s="59" t="s">
        <v>108</v>
      </c>
      <c r="D2908" s="59" t="s">
        <v>16861</v>
      </c>
      <c r="F2908" s="156" t="s">
        <v>16956</v>
      </c>
      <c r="G2908" s="156" t="s">
        <v>16973</v>
      </c>
      <c r="H2908" s="156" t="s">
        <v>16864</v>
      </c>
      <c r="I2908" s="149">
        <v>45823.0</v>
      </c>
      <c r="J2908" s="859"/>
      <c r="K2908" s="156" t="s">
        <v>16974</v>
      </c>
      <c r="L2908" s="65"/>
      <c r="M2908" s="156" t="s">
        <v>16959</v>
      </c>
      <c r="N2908" s="156" t="s">
        <v>16960</v>
      </c>
      <c r="O2908" s="65"/>
      <c r="P2908" s="379" t="s">
        <v>16961</v>
      </c>
      <c r="Q2908" s="2276" t="s">
        <v>7250</v>
      </c>
      <c r="R2908" s="156" t="s">
        <v>16962</v>
      </c>
      <c r="S2908" s="156" t="s">
        <v>16963</v>
      </c>
      <c r="T2908" s="65"/>
      <c r="U2908" s="153">
        <v>1.0</v>
      </c>
      <c r="V2908" s="570"/>
      <c r="W2908" s="1225"/>
      <c r="X2908" s="2277" t="s">
        <v>7250</v>
      </c>
      <c r="Y2908" s="65"/>
      <c r="Z2908" s="156" t="s">
        <v>141</v>
      </c>
      <c r="AA2908" s="156" t="s">
        <v>16965</v>
      </c>
      <c r="AB2908" s="156" t="s">
        <v>16966</v>
      </c>
      <c r="AC2908" s="156" t="s">
        <v>16967</v>
      </c>
      <c r="AD2908" s="156" t="s">
        <v>16968</v>
      </c>
      <c r="AE2908" s="153">
        <v>578.0</v>
      </c>
      <c r="AF2908" s="153">
        <v>26.0</v>
      </c>
      <c r="AG2908" s="153">
        <v>0.001</v>
      </c>
      <c r="AH2908" s="156" t="s">
        <v>132</v>
      </c>
      <c r="AI2908" s="156" t="s">
        <v>16969</v>
      </c>
      <c r="AJ2908" s="153">
        <v>0.907</v>
      </c>
      <c r="AK2908" s="2075" t="s">
        <v>16877</v>
      </c>
      <c r="AL2908" s="153">
        <v>2.0</v>
      </c>
      <c r="AM2908" s="65" t="s">
        <v>130</v>
      </c>
      <c r="AN2908" s="65" t="s">
        <v>131</v>
      </c>
      <c r="AO2908" s="153">
        <v>85.0</v>
      </c>
      <c r="AP2908" s="153">
        <v>0.01</v>
      </c>
      <c r="AQ2908" s="156" t="s">
        <v>132</v>
      </c>
      <c r="AR2908" s="156" t="s">
        <v>9923</v>
      </c>
      <c r="AS2908" s="153">
        <v>0.43</v>
      </c>
      <c r="AT2908" s="2075" t="s">
        <v>16877</v>
      </c>
      <c r="AU2908" s="153">
        <v>2.0</v>
      </c>
      <c r="AV2908" s="65" t="s">
        <v>130</v>
      </c>
      <c r="AW2908" s="65" t="s">
        <v>131</v>
      </c>
      <c r="AX2908" s="333">
        <v>1.0</v>
      </c>
    </row>
    <row r="2909">
      <c r="A2909" s="41">
        <v>3229.0</v>
      </c>
      <c r="B2909" s="126" t="s">
        <v>516</v>
      </c>
      <c r="C2909" s="59" t="s">
        <v>108</v>
      </c>
      <c r="D2909" s="59" t="s">
        <v>16861</v>
      </c>
      <c r="F2909" s="65" t="s">
        <v>16975</v>
      </c>
      <c r="G2909" s="156" t="s">
        <v>16976</v>
      </c>
      <c r="H2909" s="156" t="s">
        <v>16864</v>
      </c>
      <c r="I2909" s="149">
        <v>45823.0</v>
      </c>
      <c r="J2909" s="859"/>
      <c r="K2909" s="156" t="s">
        <v>16977</v>
      </c>
      <c r="L2909" s="65"/>
      <c r="M2909" s="156" t="s">
        <v>16978</v>
      </c>
      <c r="N2909" s="156" t="s">
        <v>16979</v>
      </c>
      <c r="O2909" s="65"/>
      <c r="P2909" s="379" t="s">
        <v>16980</v>
      </c>
      <c r="Q2909" s="2276" t="s">
        <v>7250</v>
      </c>
      <c r="R2909" s="156" t="s">
        <v>16981</v>
      </c>
      <c r="S2909" s="156" t="s">
        <v>16982</v>
      </c>
      <c r="T2909" s="65"/>
      <c r="U2909" s="153">
        <v>1.0</v>
      </c>
      <c r="V2909" s="379" t="s">
        <v>16983</v>
      </c>
      <c r="W2909" s="1225"/>
      <c r="X2909" s="2277" t="s">
        <v>7250</v>
      </c>
      <c r="Y2909" s="65"/>
      <c r="Z2909" s="156" t="s">
        <v>219</v>
      </c>
      <c r="AA2909" s="156" t="s">
        <v>16984</v>
      </c>
      <c r="AB2909" s="156" t="s">
        <v>16985</v>
      </c>
      <c r="AC2909" s="156" t="s">
        <v>16986</v>
      </c>
      <c r="AD2909" s="156" t="s">
        <v>16987</v>
      </c>
      <c r="AE2909" s="153">
        <v>1206.0</v>
      </c>
      <c r="AF2909" s="153">
        <v>58.0</v>
      </c>
      <c r="AG2909" s="153">
        <v>0.37</v>
      </c>
      <c r="AH2909" s="156" t="s">
        <v>208</v>
      </c>
      <c r="AI2909" s="156" t="s">
        <v>16988</v>
      </c>
      <c r="AJ2909" s="153">
        <v>0.01</v>
      </c>
      <c r="AK2909" s="2075" t="s">
        <v>16881</v>
      </c>
      <c r="AL2909" s="156" t="s">
        <v>131</v>
      </c>
      <c r="AM2909" s="65" t="s">
        <v>134</v>
      </c>
      <c r="AN2909" s="156" t="s">
        <v>131</v>
      </c>
      <c r="AO2909" s="153">
        <v>116.0</v>
      </c>
      <c r="AP2909" s="153">
        <v>0.001</v>
      </c>
      <c r="AQ2909" s="156" t="s">
        <v>132</v>
      </c>
      <c r="AR2909" s="156" t="s">
        <v>16989</v>
      </c>
      <c r="AS2909" s="153">
        <v>0.746</v>
      </c>
      <c r="AT2909" s="2075" t="s">
        <v>16877</v>
      </c>
      <c r="AU2909" s="156" t="s">
        <v>131</v>
      </c>
      <c r="AV2909" s="65" t="s">
        <v>134</v>
      </c>
      <c r="AW2909" s="432" t="s">
        <v>16990</v>
      </c>
      <c r="AX2909" s="333">
        <v>2.0</v>
      </c>
    </row>
    <row r="2910">
      <c r="A2910" s="41">
        <v>3230.0</v>
      </c>
      <c r="B2910" s="126" t="s">
        <v>516</v>
      </c>
      <c r="C2910" s="59" t="s">
        <v>108</v>
      </c>
      <c r="D2910" s="59" t="s">
        <v>16861</v>
      </c>
      <c r="F2910" s="65" t="s">
        <v>16975</v>
      </c>
      <c r="G2910" s="156" t="s">
        <v>16991</v>
      </c>
      <c r="H2910" s="156" t="s">
        <v>16864</v>
      </c>
      <c r="I2910" s="149">
        <v>45823.0</v>
      </c>
      <c r="J2910" s="859"/>
      <c r="K2910" s="156" t="s">
        <v>16992</v>
      </c>
      <c r="L2910" s="65"/>
      <c r="M2910" s="156" t="s">
        <v>16978</v>
      </c>
      <c r="N2910" s="156" t="s">
        <v>16979</v>
      </c>
      <c r="O2910" s="65"/>
      <c r="P2910" s="379" t="s">
        <v>16980</v>
      </c>
      <c r="Q2910" s="2276" t="s">
        <v>7250</v>
      </c>
      <c r="R2910" s="156" t="s">
        <v>16981</v>
      </c>
      <c r="S2910" s="156" t="s">
        <v>16982</v>
      </c>
      <c r="T2910" s="65"/>
      <c r="U2910" s="153">
        <v>2.0</v>
      </c>
      <c r="V2910" s="570"/>
      <c r="W2910" s="1225"/>
      <c r="X2910" s="2277" t="s">
        <v>7250</v>
      </c>
      <c r="Y2910" s="65"/>
      <c r="Z2910" s="156" t="s">
        <v>219</v>
      </c>
      <c r="AA2910" s="156" t="s">
        <v>16984</v>
      </c>
      <c r="AB2910" s="156" t="s">
        <v>16985</v>
      </c>
      <c r="AC2910" s="156" t="s">
        <v>16986</v>
      </c>
      <c r="AD2910" s="156" t="s">
        <v>16993</v>
      </c>
      <c r="AE2910" s="153">
        <v>1207.0</v>
      </c>
      <c r="AF2910" s="153">
        <v>40.0</v>
      </c>
      <c r="AG2910" s="153">
        <v>0.35</v>
      </c>
      <c r="AH2910" s="156" t="s">
        <v>208</v>
      </c>
      <c r="AI2910" s="156" t="s">
        <v>16994</v>
      </c>
      <c r="AJ2910" s="153">
        <v>0.05</v>
      </c>
      <c r="AK2910" s="2075" t="s">
        <v>16881</v>
      </c>
      <c r="AL2910" s="156" t="s">
        <v>131</v>
      </c>
      <c r="AM2910" s="65" t="s">
        <v>134</v>
      </c>
      <c r="AN2910" s="156" t="s">
        <v>131</v>
      </c>
      <c r="AO2910" s="153">
        <v>105.0</v>
      </c>
      <c r="AP2910" s="153">
        <v>0.09</v>
      </c>
      <c r="AQ2910" s="156" t="s">
        <v>132</v>
      </c>
      <c r="AR2910" s="156" t="s">
        <v>14023</v>
      </c>
      <c r="AS2910" s="153">
        <v>0.002</v>
      </c>
      <c r="AT2910" s="2075" t="s">
        <v>16877</v>
      </c>
      <c r="AU2910" s="156" t="s">
        <v>131</v>
      </c>
      <c r="AV2910" s="65" t="s">
        <v>134</v>
      </c>
      <c r="AW2910" s="432" t="s">
        <v>16990</v>
      </c>
      <c r="AX2910" s="333">
        <v>2.0</v>
      </c>
    </row>
    <row r="2911">
      <c r="A2911" s="41">
        <v>3231.0</v>
      </c>
      <c r="B2911" s="126" t="s">
        <v>516</v>
      </c>
      <c r="C2911" s="59" t="s">
        <v>108</v>
      </c>
      <c r="D2911" s="59" t="s">
        <v>16861</v>
      </c>
      <c r="F2911" s="65" t="s">
        <v>16975</v>
      </c>
      <c r="G2911" s="156" t="s">
        <v>16995</v>
      </c>
      <c r="H2911" s="156" t="s">
        <v>16864</v>
      </c>
      <c r="I2911" s="149">
        <v>45823.0</v>
      </c>
      <c r="J2911" s="859"/>
      <c r="K2911" s="156" t="s">
        <v>16996</v>
      </c>
      <c r="L2911" s="65"/>
      <c r="M2911" s="156" t="s">
        <v>16978</v>
      </c>
      <c r="N2911" s="156" t="s">
        <v>16979</v>
      </c>
      <c r="O2911" s="65"/>
      <c r="P2911" s="379" t="s">
        <v>16980</v>
      </c>
      <c r="Q2911" s="2276" t="s">
        <v>7250</v>
      </c>
      <c r="R2911" s="156" t="s">
        <v>16981</v>
      </c>
      <c r="S2911" s="156" t="s">
        <v>16982</v>
      </c>
      <c r="T2911" s="65"/>
      <c r="U2911" s="153">
        <v>3.0</v>
      </c>
      <c r="V2911" s="570"/>
      <c r="W2911" s="1225"/>
      <c r="X2911" s="2277" t="s">
        <v>7250</v>
      </c>
      <c r="Y2911" s="65"/>
      <c r="Z2911" s="156" t="s">
        <v>219</v>
      </c>
      <c r="AA2911" s="156" t="s">
        <v>16984</v>
      </c>
      <c r="AB2911" s="156" t="s">
        <v>16985</v>
      </c>
      <c r="AC2911" s="156" t="s">
        <v>16986</v>
      </c>
      <c r="AD2911" s="156" t="s">
        <v>16997</v>
      </c>
      <c r="AE2911" s="153">
        <v>1208.0</v>
      </c>
      <c r="AF2911" s="153">
        <v>47.0</v>
      </c>
      <c r="AG2911" s="153">
        <v>0.38</v>
      </c>
      <c r="AH2911" s="156" t="s">
        <v>208</v>
      </c>
      <c r="AI2911" s="156" t="s">
        <v>16998</v>
      </c>
      <c r="AJ2911" s="153">
        <v>0.01</v>
      </c>
      <c r="AK2911" s="2075" t="s">
        <v>16881</v>
      </c>
      <c r="AL2911" s="156" t="s">
        <v>131</v>
      </c>
      <c r="AM2911" s="65" t="s">
        <v>134</v>
      </c>
      <c r="AN2911" s="156" t="s">
        <v>131</v>
      </c>
      <c r="AO2911" s="153">
        <v>84.0</v>
      </c>
      <c r="AP2911" s="153">
        <v>0.02</v>
      </c>
      <c r="AQ2911" s="156" t="s">
        <v>132</v>
      </c>
      <c r="AR2911" s="156" t="s">
        <v>5211</v>
      </c>
      <c r="AS2911" s="153">
        <v>0.23</v>
      </c>
      <c r="AT2911" s="2075" t="s">
        <v>16877</v>
      </c>
      <c r="AU2911" s="156" t="s">
        <v>131</v>
      </c>
      <c r="AV2911" s="65" t="s">
        <v>134</v>
      </c>
      <c r="AW2911" s="432" t="s">
        <v>16990</v>
      </c>
      <c r="AX2911" s="333">
        <v>2.0</v>
      </c>
    </row>
    <row r="2912">
      <c r="A2912" s="41">
        <v>3232.0</v>
      </c>
      <c r="B2912" s="126" t="s">
        <v>516</v>
      </c>
      <c r="C2912" s="59" t="s">
        <v>108</v>
      </c>
      <c r="D2912" s="59" t="s">
        <v>16861</v>
      </c>
      <c r="F2912" s="65" t="s">
        <v>16999</v>
      </c>
      <c r="G2912" s="156" t="s">
        <v>17000</v>
      </c>
      <c r="H2912" s="156" t="s">
        <v>16864</v>
      </c>
      <c r="I2912" s="149">
        <v>45823.0</v>
      </c>
      <c r="J2912" s="859"/>
      <c r="K2912" s="156" t="s">
        <v>17001</v>
      </c>
      <c r="L2912" s="65"/>
      <c r="M2912" s="156" t="s">
        <v>17002</v>
      </c>
      <c r="N2912" s="156" t="s">
        <v>17003</v>
      </c>
      <c r="O2912" s="65"/>
      <c r="P2912" s="379" t="s">
        <v>17004</v>
      </c>
      <c r="Q2912" s="2276" t="s">
        <v>7250</v>
      </c>
      <c r="R2912" s="156" t="s">
        <v>17005</v>
      </c>
      <c r="S2912" s="156" t="s">
        <v>17006</v>
      </c>
      <c r="T2912" s="65"/>
      <c r="U2912" s="153">
        <v>1.0</v>
      </c>
      <c r="V2912" s="379" t="s">
        <v>17007</v>
      </c>
      <c r="W2912" s="1225"/>
      <c r="X2912" s="2277" t="s">
        <v>7250</v>
      </c>
      <c r="Y2912" s="65"/>
      <c r="Z2912" s="156" t="s">
        <v>219</v>
      </c>
      <c r="AA2912" s="156" t="s">
        <v>17008</v>
      </c>
      <c r="AB2912" s="156" t="s">
        <v>17009</v>
      </c>
      <c r="AC2912" s="156" t="s">
        <v>17010</v>
      </c>
      <c r="AD2912" s="156" t="s">
        <v>17011</v>
      </c>
      <c r="AE2912" s="153">
        <v>112.0</v>
      </c>
      <c r="AF2912" s="153">
        <v>60.0</v>
      </c>
      <c r="AG2912" s="156" t="s">
        <v>17012</v>
      </c>
      <c r="AH2912" s="156" t="s">
        <v>127</v>
      </c>
      <c r="AI2912" s="156" t="s">
        <v>17013</v>
      </c>
      <c r="AJ2912" s="153">
        <v>0.001</v>
      </c>
      <c r="AK2912" s="2075" t="s">
        <v>16881</v>
      </c>
      <c r="AL2912" s="156" t="s">
        <v>131</v>
      </c>
      <c r="AM2912" s="65" t="s">
        <v>131</v>
      </c>
      <c r="AN2912" s="156" t="s">
        <v>131</v>
      </c>
      <c r="AO2912" s="153">
        <v>100.0</v>
      </c>
      <c r="AP2912" s="153">
        <v>1.38</v>
      </c>
      <c r="AQ2912" s="156" t="s">
        <v>17014</v>
      </c>
      <c r="AR2912" s="156" t="s">
        <v>17015</v>
      </c>
      <c r="AS2912" s="156" t="s">
        <v>131</v>
      </c>
      <c r="AT2912" s="156" t="s">
        <v>131</v>
      </c>
      <c r="AU2912" s="156" t="s">
        <v>131</v>
      </c>
      <c r="AV2912" s="65" t="s">
        <v>131</v>
      </c>
      <c r="AW2912" s="432" t="s">
        <v>17016</v>
      </c>
      <c r="AX2912" s="333">
        <v>2.0</v>
      </c>
    </row>
    <row r="2913">
      <c r="A2913" s="41">
        <v>3233.0</v>
      </c>
      <c r="B2913" s="126" t="s">
        <v>516</v>
      </c>
      <c r="C2913" s="59" t="s">
        <v>108</v>
      </c>
      <c r="D2913" s="59" t="s">
        <v>16861</v>
      </c>
      <c r="F2913" s="65" t="s">
        <v>16999</v>
      </c>
      <c r="G2913" s="156" t="s">
        <v>17017</v>
      </c>
      <c r="H2913" s="156" t="s">
        <v>16864</v>
      </c>
      <c r="I2913" s="149">
        <v>45823.0</v>
      </c>
      <c r="J2913" s="859"/>
      <c r="K2913" s="156" t="s">
        <v>17018</v>
      </c>
      <c r="L2913" s="65"/>
      <c r="M2913" s="156" t="s">
        <v>17002</v>
      </c>
      <c r="N2913" s="156" t="s">
        <v>17003</v>
      </c>
      <c r="O2913" s="65"/>
      <c r="P2913" s="379" t="s">
        <v>17004</v>
      </c>
      <c r="Q2913" s="2276" t="s">
        <v>7250</v>
      </c>
      <c r="R2913" s="156" t="s">
        <v>17005</v>
      </c>
      <c r="S2913" s="156" t="s">
        <v>17006</v>
      </c>
      <c r="T2913" s="65"/>
      <c r="U2913" s="153">
        <v>2.0</v>
      </c>
      <c r="V2913" s="570"/>
      <c r="W2913" s="1225"/>
      <c r="X2913" s="2277" t="s">
        <v>7250</v>
      </c>
      <c r="Y2913" s="65"/>
      <c r="Z2913" s="156" t="s">
        <v>219</v>
      </c>
      <c r="AA2913" s="156" t="s">
        <v>17008</v>
      </c>
      <c r="AB2913" s="156" t="s">
        <v>17009</v>
      </c>
      <c r="AC2913" s="156" t="s">
        <v>17010</v>
      </c>
      <c r="AD2913" s="156" t="s">
        <v>17011</v>
      </c>
      <c r="AE2913" s="153">
        <v>112.0</v>
      </c>
      <c r="AF2913" s="153">
        <v>60.0</v>
      </c>
      <c r="AG2913" s="156" t="s">
        <v>17012</v>
      </c>
      <c r="AH2913" s="156" t="s">
        <v>127</v>
      </c>
      <c r="AI2913" s="156" t="s">
        <v>17013</v>
      </c>
      <c r="AJ2913" s="153">
        <v>0.001</v>
      </c>
      <c r="AK2913" s="2075" t="s">
        <v>16881</v>
      </c>
      <c r="AL2913" s="156" t="s">
        <v>131</v>
      </c>
      <c r="AM2913" s="65" t="s">
        <v>131</v>
      </c>
      <c r="AN2913" s="156" t="s">
        <v>131</v>
      </c>
      <c r="AO2913" s="153">
        <v>908.0</v>
      </c>
      <c r="AP2913" s="153">
        <v>10.35</v>
      </c>
      <c r="AQ2913" s="156" t="s">
        <v>17014</v>
      </c>
      <c r="AR2913" s="156" t="s">
        <v>17019</v>
      </c>
      <c r="AS2913" s="156" t="s">
        <v>131</v>
      </c>
      <c r="AT2913" s="156" t="s">
        <v>131</v>
      </c>
      <c r="AU2913" s="156" t="s">
        <v>131</v>
      </c>
      <c r="AV2913" s="156" t="s">
        <v>131</v>
      </c>
      <c r="AW2913" s="432" t="s">
        <v>17016</v>
      </c>
      <c r="AX2913" s="333">
        <v>2.0</v>
      </c>
    </row>
    <row r="2914">
      <c r="A2914" s="41">
        <v>3234.0</v>
      </c>
      <c r="B2914" s="126" t="s">
        <v>516</v>
      </c>
      <c r="C2914" s="59" t="s">
        <v>108</v>
      </c>
      <c r="D2914" s="59" t="s">
        <v>16861</v>
      </c>
      <c r="F2914" s="65" t="s">
        <v>17020</v>
      </c>
      <c r="G2914" s="156" t="s">
        <v>17021</v>
      </c>
      <c r="H2914" s="156" t="s">
        <v>16864</v>
      </c>
      <c r="I2914" s="149">
        <v>45823.0</v>
      </c>
      <c r="J2914" s="859"/>
      <c r="K2914" s="156" t="s">
        <v>17022</v>
      </c>
      <c r="L2914" s="65"/>
      <c r="M2914" s="156" t="s">
        <v>17023</v>
      </c>
      <c r="N2914" s="156" t="s">
        <v>17024</v>
      </c>
      <c r="O2914" s="65"/>
      <c r="P2914" s="379" t="s">
        <v>17025</v>
      </c>
      <c r="Q2914" s="2276" t="s">
        <v>7250</v>
      </c>
      <c r="R2914" s="156" t="s">
        <v>17026</v>
      </c>
      <c r="S2914" s="156" t="s">
        <v>17027</v>
      </c>
      <c r="T2914" s="65"/>
      <c r="U2914" s="156" t="s">
        <v>9816</v>
      </c>
      <c r="V2914" s="379" t="s">
        <v>17028</v>
      </c>
      <c r="W2914" s="1225"/>
      <c r="X2914" s="2277" t="s">
        <v>7250</v>
      </c>
      <c r="Y2914" s="65"/>
      <c r="Z2914" s="156" t="s">
        <v>141</v>
      </c>
      <c r="AA2914" s="156" t="s">
        <v>17029</v>
      </c>
      <c r="AB2914" s="156" t="s">
        <v>17030</v>
      </c>
      <c r="AC2914" s="156" t="s">
        <v>17031</v>
      </c>
      <c r="AD2914" s="156" t="s">
        <v>17032</v>
      </c>
      <c r="AE2914" s="153">
        <v>154.0</v>
      </c>
      <c r="AF2914" s="153">
        <v>47.0</v>
      </c>
      <c r="AG2914" s="153">
        <v>0.058</v>
      </c>
      <c r="AH2914" s="156" t="s">
        <v>132</v>
      </c>
      <c r="AI2914" s="156" t="s">
        <v>17033</v>
      </c>
      <c r="AJ2914" s="153">
        <v>0.139</v>
      </c>
      <c r="AK2914" s="2075" t="s">
        <v>16877</v>
      </c>
      <c r="AL2914" s="156" t="s">
        <v>131</v>
      </c>
      <c r="AM2914" s="65" t="s">
        <v>130</v>
      </c>
      <c r="AN2914" s="65" t="s">
        <v>131</v>
      </c>
      <c r="AO2914" s="153">
        <v>97.0</v>
      </c>
      <c r="AP2914" s="153">
        <v>0.35</v>
      </c>
      <c r="AQ2914" s="156" t="s">
        <v>354</v>
      </c>
      <c r="AR2914" s="156" t="s">
        <v>843</v>
      </c>
      <c r="AS2914" s="153">
        <v>0.001</v>
      </c>
      <c r="AT2914" s="156" t="s">
        <v>16881</v>
      </c>
      <c r="AU2914" s="156" t="s">
        <v>131</v>
      </c>
      <c r="AV2914" s="65" t="s">
        <v>130</v>
      </c>
      <c r="AW2914" s="65" t="s">
        <v>131</v>
      </c>
      <c r="AX2914" s="333">
        <v>2.0</v>
      </c>
      <c r="BB2914" s="1120"/>
      <c r="BC2914" s="1120"/>
      <c r="BD2914" s="1120"/>
      <c r="BE2914" s="1120"/>
      <c r="BF2914" s="1120"/>
      <c r="BG2914" s="1120"/>
      <c r="BH2914" s="1120"/>
      <c r="BI2914" s="1120"/>
      <c r="BJ2914" s="1120"/>
      <c r="BK2914" s="1120"/>
      <c r="BL2914" s="1120"/>
      <c r="BM2914" s="1120"/>
      <c r="BN2914" s="1120"/>
      <c r="BO2914" s="1120"/>
      <c r="BP2914" s="1120"/>
      <c r="BQ2914" s="1120"/>
      <c r="BR2914" s="1120"/>
      <c r="BS2914" s="1120"/>
      <c r="BT2914" s="1120"/>
      <c r="BU2914" s="1120"/>
      <c r="BV2914" s="1120"/>
      <c r="BW2914" s="1120"/>
      <c r="BX2914" s="1120"/>
      <c r="BY2914" s="1120"/>
      <c r="BZ2914" s="1120"/>
      <c r="CA2914" s="1120"/>
      <c r="CB2914" s="1120"/>
      <c r="CC2914" s="1120"/>
      <c r="CD2914" s="1120"/>
      <c r="CE2914" s="1120"/>
      <c r="CF2914" s="1120"/>
      <c r="CG2914" s="1120"/>
      <c r="CH2914" s="1120"/>
      <c r="CI2914" s="1120"/>
      <c r="CJ2914" s="1120"/>
      <c r="CK2914" s="1120"/>
      <c r="CL2914" s="1120"/>
      <c r="CM2914" s="1120"/>
      <c r="CN2914" s="1120"/>
      <c r="CO2914" s="1120"/>
      <c r="CP2914" s="1120"/>
      <c r="CQ2914" s="1120"/>
      <c r="CR2914" s="1120"/>
      <c r="CS2914" s="1120"/>
      <c r="CT2914" s="1120"/>
      <c r="CU2914" s="1120"/>
      <c r="CV2914" s="1120"/>
      <c r="CW2914" s="1120"/>
      <c r="CX2914" s="1120"/>
      <c r="CY2914" s="1120"/>
      <c r="CZ2914" s="1120"/>
      <c r="DA2914" s="1120"/>
      <c r="DB2914" s="1120"/>
      <c r="DC2914" s="1120"/>
      <c r="DD2914" s="1120"/>
      <c r="DE2914" s="1120"/>
      <c r="DF2914" s="1120"/>
      <c r="DG2914" s="1120"/>
      <c r="DH2914" s="1120"/>
    </row>
    <row r="2915">
      <c r="A2915" s="41">
        <v>3235.0</v>
      </c>
      <c r="B2915" s="126" t="s">
        <v>516</v>
      </c>
      <c r="C2915" s="59" t="s">
        <v>108</v>
      </c>
      <c r="D2915" s="59" t="s">
        <v>16861</v>
      </c>
      <c r="F2915" s="65" t="s">
        <v>17020</v>
      </c>
      <c r="G2915" s="156" t="s">
        <v>17034</v>
      </c>
      <c r="H2915" s="156" t="s">
        <v>16864</v>
      </c>
      <c r="I2915" s="149">
        <v>45823.0</v>
      </c>
      <c r="J2915" s="859"/>
      <c r="K2915" s="156" t="s">
        <v>17035</v>
      </c>
      <c r="L2915" s="65"/>
      <c r="M2915" s="156" t="s">
        <v>17023</v>
      </c>
      <c r="N2915" s="156" t="s">
        <v>17024</v>
      </c>
      <c r="O2915" s="65"/>
      <c r="P2915" s="379" t="s">
        <v>17025</v>
      </c>
      <c r="Q2915" s="2276" t="s">
        <v>7250</v>
      </c>
      <c r="R2915" s="156" t="s">
        <v>17026</v>
      </c>
      <c r="S2915" s="156" t="s">
        <v>17027</v>
      </c>
      <c r="T2915" s="65"/>
      <c r="U2915" s="156" t="s">
        <v>17036</v>
      </c>
      <c r="V2915" s="570"/>
      <c r="W2915" s="1225"/>
      <c r="X2915" s="2277" t="s">
        <v>7250</v>
      </c>
      <c r="Y2915" s="65"/>
      <c r="Z2915" s="156" t="s">
        <v>141</v>
      </c>
      <c r="AA2915" s="156" t="s">
        <v>17029</v>
      </c>
      <c r="AB2915" s="156" t="s">
        <v>17030</v>
      </c>
      <c r="AC2915" s="156" t="s">
        <v>17031</v>
      </c>
      <c r="AD2915" s="156" t="s">
        <v>17032</v>
      </c>
      <c r="AE2915" s="153">
        <v>154.0</v>
      </c>
      <c r="AF2915" s="153">
        <v>47.0</v>
      </c>
      <c r="AG2915" s="153">
        <v>0.058</v>
      </c>
      <c r="AH2915" s="156" t="s">
        <v>132</v>
      </c>
      <c r="AI2915" s="156" t="s">
        <v>17033</v>
      </c>
      <c r="AJ2915" s="153">
        <v>0.139</v>
      </c>
      <c r="AK2915" s="2075" t="s">
        <v>16877</v>
      </c>
      <c r="AL2915" s="156" t="s">
        <v>131</v>
      </c>
      <c r="AM2915" s="65" t="s">
        <v>130</v>
      </c>
      <c r="AN2915" s="65" t="s">
        <v>131</v>
      </c>
      <c r="AO2915" s="153">
        <v>94.0</v>
      </c>
      <c r="AP2915" s="153">
        <v>0.36</v>
      </c>
      <c r="AQ2915" s="156" t="s">
        <v>354</v>
      </c>
      <c r="AR2915" s="156" t="s">
        <v>843</v>
      </c>
      <c r="AS2915" s="153">
        <v>0.001</v>
      </c>
      <c r="AT2915" s="156" t="s">
        <v>16881</v>
      </c>
      <c r="AU2915" s="156" t="s">
        <v>131</v>
      </c>
      <c r="AV2915" s="65" t="s">
        <v>130</v>
      </c>
      <c r="AW2915" s="65" t="s">
        <v>131</v>
      </c>
      <c r="AX2915" s="333">
        <v>2.0</v>
      </c>
    </row>
    <row r="2916">
      <c r="A2916" s="41">
        <v>3203.0</v>
      </c>
      <c r="B2916" s="126" t="s">
        <v>516</v>
      </c>
      <c r="C2916" s="59" t="s">
        <v>108</v>
      </c>
      <c r="D2916" s="59" t="s">
        <v>16829</v>
      </c>
      <c r="F2916" s="126" t="s">
        <v>17037</v>
      </c>
      <c r="G2916" s="148" t="s">
        <v>17038</v>
      </c>
      <c r="H2916" s="148" t="s">
        <v>16832</v>
      </c>
      <c r="I2916" s="1534">
        <v>45828.0</v>
      </c>
      <c r="J2916" s="149"/>
      <c r="K2916" s="126" t="s">
        <v>17039</v>
      </c>
      <c r="L2916" s="65"/>
      <c r="M2916" s="148" t="s">
        <v>17040</v>
      </c>
      <c r="N2916" s="148" t="s">
        <v>17041</v>
      </c>
      <c r="O2916" s="65"/>
      <c r="P2916" s="148" t="s">
        <v>17042</v>
      </c>
      <c r="Q2916" s="2276" t="s">
        <v>7250</v>
      </c>
      <c r="R2916" s="148" t="s">
        <v>17043</v>
      </c>
      <c r="S2916" s="148" t="s">
        <v>17044</v>
      </c>
      <c r="T2916" s="65"/>
      <c r="U2916" s="126">
        <v>1.0</v>
      </c>
      <c r="V2916" s="148" t="s">
        <v>17045</v>
      </c>
      <c r="W2916" s="65"/>
      <c r="X2916" s="2278" t="s">
        <v>7250</v>
      </c>
      <c r="Y2916" s="156"/>
      <c r="Z2916" s="148" t="s">
        <v>219</v>
      </c>
      <c r="AA2916" s="148" t="s">
        <v>17046</v>
      </c>
      <c r="AB2916" s="148" t="s">
        <v>17047</v>
      </c>
      <c r="AC2916" s="148" t="s">
        <v>17048</v>
      </c>
      <c r="AD2916" s="126" t="s">
        <v>17049</v>
      </c>
      <c r="AE2916" s="126">
        <v>714.0</v>
      </c>
      <c r="AF2916" s="158">
        <v>6623.0</v>
      </c>
      <c r="AG2916" s="158">
        <v>-6.4</v>
      </c>
      <c r="AH2916" s="148" t="s">
        <v>980</v>
      </c>
      <c r="AI2916" s="148" t="s">
        <v>17050</v>
      </c>
      <c r="AJ2916" s="498">
        <v>0.05</v>
      </c>
      <c r="AK2916" s="148" t="s">
        <v>128</v>
      </c>
      <c r="AL2916" s="148" t="s">
        <v>179</v>
      </c>
      <c r="AM2916" s="148" t="s">
        <v>130</v>
      </c>
      <c r="AN2916" s="148" t="s">
        <v>131</v>
      </c>
      <c r="AO2916" s="158">
        <v>185.0</v>
      </c>
      <c r="AP2916" s="158">
        <v>-1.12</v>
      </c>
      <c r="AQ2916" s="148" t="s">
        <v>980</v>
      </c>
      <c r="AR2916" s="148" t="s">
        <v>17051</v>
      </c>
      <c r="AS2916" s="158">
        <v>0.05</v>
      </c>
      <c r="AT2916" s="148" t="s">
        <v>328</v>
      </c>
      <c r="AU2916" s="148" t="s">
        <v>179</v>
      </c>
      <c r="AV2916" s="148" t="s">
        <v>130</v>
      </c>
      <c r="AW2916" s="1790" t="s">
        <v>131</v>
      </c>
      <c r="AX2916" s="148" t="s">
        <v>144</v>
      </c>
    </row>
    <row r="2917">
      <c r="A2917" s="41">
        <v>3204.0</v>
      </c>
      <c r="B2917" s="126" t="s">
        <v>516</v>
      </c>
      <c r="C2917" s="59" t="s">
        <v>108</v>
      </c>
      <c r="D2917" s="59" t="s">
        <v>16829</v>
      </c>
      <c r="F2917" s="126" t="s">
        <v>17037</v>
      </c>
      <c r="G2917" s="148" t="s">
        <v>17052</v>
      </c>
      <c r="H2917" s="148" t="s">
        <v>16832</v>
      </c>
      <c r="I2917" s="1534">
        <v>45828.0</v>
      </c>
      <c r="J2917" s="149"/>
      <c r="K2917" s="126" t="s">
        <v>17053</v>
      </c>
      <c r="L2917" s="65"/>
      <c r="M2917" s="148" t="s">
        <v>17040</v>
      </c>
      <c r="N2917" s="148" t="s">
        <v>17054</v>
      </c>
      <c r="O2917" s="65"/>
      <c r="P2917" s="148" t="s">
        <v>17042</v>
      </c>
      <c r="Q2917" s="2153"/>
      <c r="R2917" s="148" t="s">
        <v>17055</v>
      </c>
      <c r="S2917" s="148" t="s">
        <v>17056</v>
      </c>
      <c r="T2917" s="65"/>
      <c r="U2917" s="126">
        <v>1.0</v>
      </c>
      <c r="V2917" s="148" t="s">
        <v>17045</v>
      </c>
      <c r="W2917" s="65"/>
      <c r="X2917" s="2137"/>
      <c r="Y2917" s="156"/>
      <c r="Z2917" s="148" t="s">
        <v>219</v>
      </c>
      <c r="AA2917" s="148" t="s">
        <v>17046</v>
      </c>
      <c r="AB2917" s="148" t="s">
        <v>17047</v>
      </c>
      <c r="AC2917" s="148" t="s">
        <v>17048</v>
      </c>
      <c r="AD2917" s="126" t="s">
        <v>17057</v>
      </c>
      <c r="AE2917" s="126">
        <v>714.0</v>
      </c>
      <c r="AF2917" s="158">
        <v>5598.0</v>
      </c>
      <c r="AG2917" s="158">
        <v>-2.35</v>
      </c>
      <c r="AH2917" s="148" t="s">
        <v>980</v>
      </c>
      <c r="AI2917" s="148" t="s">
        <v>17050</v>
      </c>
      <c r="AJ2917" s="498">
        <v>0.05</v>
      </c>
      <c r="AK2917" s="148" t="s">
        <v>128</v>
      </c>
      <c r="AL2917" s="148" t="s">
        <v>179</v>
      </c>
      <c r="AM2917" s="148" t="s">
        <v>130</v>
      </c>
      <c r="AN2917" s="148" t="s">
        <v>131</v>
      </c>
      <c r="AO2917" s="158">
        <v>44.0</v>
      </c>
      <c r="AP2917" s="158">
        <v>-0.63</v>
      </c>
      <c r="AQ2917" s="148" t="s">
        <v>980</v>
      </c>
      <c r="AR2917" s="148" t="s">
        <v>17051</v>
      </c>
      <c r="AS2917" s="158">
        <v>0.05</v>
      </c>
      <c r="AT2917" s="148" t="s">
        <v>328</v>
      </c>
      <c r="AU2917" s="148" t="s">
        <v>179</v>
      </c>
      <c r="AV2917" s="148" t="s">
        <v>130</v>
      </c>
      <c r="AW2917" s="1790" t="s">
        <v>131</v>
      </c>
      <c r="AX2917" s="148" t="s">
        <v>144</v>
      </c>
    </row>
    <row r="2918">
      <c r="A2918" s="41">
        <v>3205.0</v>
      </c>
      <c r="B2918" s="126" t="s">
        <v>516</v>
      </c>
      <c r="C2918" s="59" t="s">
        <v>108</v>
      </c>
      <c r="D2918" s="59" t="s">
        <v>16829</v>
      </c>
      <c r="F2918" s="126" t="s">
        <v>17058</v>
      </c>
      <c r="G2918" s="148" t="s">
        <v>17059</v>
      </c>
      <c r="H2918" s="148" t="s">
        <v>16832</v>
      </c>
      <c r="I2918" s="1534">
        <v>45828.0</v>
      </c>
      <c r="J2918" s="149"/>
      <c r="K2918" s="126" t="s">
        <v>17060</v>
      </c>
      <c r="L2918" s="65"/>
      <c r="M2918" s="148" t="s">
        <v>17061</v>
      </c>
      <c r="N2918" s="148" t="s">
        <v>17062</v>
      </c>
      <c r="O2918" s="65"/>
      <c r="P2918" s="148" t="s">
        <v>17063</v>
      </c>
      <c r="Q2918" s="2276" t="s">
        <v>7250</v>
      </c>
      <c r="R2918" s="148" t="s">
        <v>17064</v>
      </c>
      <c r="S2918" s="148" t="s">
        <v>17065</v>
      </c>
      <c r="T2918" s="65"/>
      <c r="U2918" s="126">
        <v>1.0</v>
      </c>
      <c r="V2918" s="148" t="s">
        <v>17066</v>
      </c>
      <c r="W2918" s="65"/>
      <c r="X2918" s="2278" t="s">
        <v>7250</v>
      </c>
      <c r="Y2918" s="156"/>
      <c r="Z2918" s="148" t="s">
        <v>219</v>
      </c>
      <c r="AA2918" s="148" t="s">
        <v>17067</v>
      </c>
      <c r="AB2918" s="148" t="s">
        <v>17068</v>
      </c>
      <c r="AC2918" s="148" t="s">
        <v>17069</v>
      </c>
      <c r="AD2918" s="126" t="s">
        <v>17070</v>
      </c>
      <c r="AE2918" s="126">
        <v>20.0</v>
      </c>
      <c r="AF2918" s="158">
        <v>55.0</v>
      </c>
      <c r="AG2918" s="158">
        <v>0.45</v>
      </c>
      <c r="AH2918" s="148" t="s">
        <v>354</v>
      </c>
      <c r="AI2918" s="148" t="s">
        <v>8899</v>
      </c>
      <c r="AJ2918" s="498">
        <v>0.05</v>
      </c>
      <c r="AK2918" s="148" t="s">
        <v>128</v>
      </c>
      <c r="AL2918" s="148" t="s">
        <v>179</v>
      </c>
      <c r="AM2918" s="148" t="s">
        <v>130</v>
      </c>
      <c r="AN2918" s="148" t="s">
        <v>131</v>
      </c>
      <c r="AO2918" s="158">
        <v>107.0</v>
      </c>
      <c r="AP2918" s="158">
        <v>1.35</v>
      </c>
      <c r="AQ2918" s="148" t="s">
        <v>980</v>
      </c>
      <c r="AR2918" s="148" t="s">
        <v>8899</v>
      </c>
      <c r="AS2918" s="158">
        <v>0.05</v>
      </c>
      <c r="AT2918" s="148" t="s">
        <v>128</v>
      </c>
      <c r="AU2918" s="148" t="s">
        <v>179</v>
      </c>
      <c r="AV2918" s="148" t="s">
        <v>130</v>
      </c>
      <c r="AW2918" s="1790" t="s">
        <v>131</v>
      </c>
      <c r="AX2918" s="148" t="s">
        <v>144</v>
      </c>
      <c r="BB2918" s="217"/>
      <c r="BC2918" s="217"/>
      <c r="BD2918" s="217"/>
      <c r="BE2918" s="217"/>
      <c r="BF2918" s="217"/>
      <c r="BG2918" s="217"/>
      <c r="BH2918" s="217"/>
      <c r="BI2918" s="217"/>
      <c r="BJ2918" s="217"/>
      <c r="BK2918" s="217"/>
      <c r="BL2918" s="217"/>
      <c r="BM2918" s="217"/>
      <c r="BN2918" s="217"/>
      <c r="BO2918" s="217"/>
      <c r="BP2918" s="217"/>
      <c r="BQ2918" s="217"/>
      <c r="BR2918" s="217"/>
      <c r="BS2918" s="217"/>
      <c r="BT2918" s="217"/>
      <c r="BU2918" s="217"/>
      <c r="BV2918" s="217"/>
      <c r="BW2918" s="217"/>
      <c r="BX2918" s="217"/>
      <c r="BY2918" s="217"/>
      <c r="BZ2918" s="217"/>
      <c r="CA2918" s="217"/>
      <c r="CB2918" s="217"/>
      <c r="CC2918" s="217"/>
      <c r="CD2918" s="217"/>
      <c r="CE2918" s="217"/>
      <c r="CF2918" s="217"/>
      <c r="CG2918" s="217"/>
      <c r="CH2918" s="217"/>
      <c r="CI2918" s="217"/>
      <c r="CJ2918" s="217"/>
      <c r="CK2918" s="217"/>
      <c r="CL2918" s="217"/>
      <c r="CM2918" s="217"/>
      <c r="CN2918" s="217"/>
      <c r="CO2918" s="217"/>
      <c r="CP2918" s="217"/>
      <c r="CQ2918" s="217"/>
      <c r="CR2918" s="217"/>
      <c r="CS2918" s="217"/>
      <c r="CT2918" s="217"/>
      <c r="CU2918" s="217"/>
      <c r="CV2918" s="217"/>
      <c r="CW2918" s="217"/>
      <c r="CX2918" s="217"/>
      <c r="CY2918" s="217"/>
      <c r="CZ2918" s="217"/>
      <c r="DA2918" s="217"/>
      <c r="DB2918" s="217"/>
      <c r="DC2918" s="217"/>
      <c r="DD2918" s="217"/>
      <c r="DE2918" s="217"/>
      <c r="DF2918" s="217"/>
      <c r="DG2918" s="217"/>
      <c r="DH2918" s="217"/>
    </row>
    <row r="2919">
      <c r="A2919" s="41">
        <v>3206.0</v>
      </c>
      <c r="B2919" s="126" t="s">
        <v>516</v>
      </c>
      <c r="C2919" s="59" t="s">
        <v>108</v>
      </c>
      <c r="D2919" s="59" t="s">
        <v>16829</v>
      </c>
      <c r="F2919" s="126" t="s">
        <v>17071</v>
      </c>
      <c r="G2919" s="148" t="s">
        <v>17072</v>
      </c>
      <c r="H2919" s="148" t="s">
        <v>16832</v>
      </c>
      <c r="I2919" s="1534">
        <v>45829.0</v>
      </c>
      <c r="J2919" s="149"/>
      <c r="K2919" s="126" t="s">
        <v>17073</v>
      </c>
      <c r="L2919" s="65"/>
      <c r="M2919" s="148" t="s">
        <v>17074</v>
      </c>
      <c r="N2919" s="148" t="s">
        <v>17075</v>
      </c>
      <c r="O2919" s="65"/>
      <c r="P2919" s="306" t="s">
        <v>17076</v>
      </c>
      <c r="Q2919" s="2276" t="s">
        <v>7250</v>
      </c>
      <c r="R2919" s="148" t="s">
        <v>17077</v>
      </c>
      <c r="S2919" s="148" t="s">
        <v>17078</v>
      </c>
      <c r="T2919" s="65"/>
      <c r="U2919" s="65"/>
      <c r="V2919" s="306" t="s">
        <v>17079</v>
      </c>
      <c r="W2919" s="1225"/>
      <c r="X2919" s="2277" t="s">
        <v>7250</v>
      </c>
      <c r="Y2919" s="156"/>
      <c r="Z2919" s="148" t="s">
        <v>141</v>
      </c>
      <c r="AA2919" s="148" t="s">
        <v>17080</v>
      </c>
      <c r="AB2919" s="148" t="s">
        <v>17081</v>
      </c>
      <c r="AC2919" s="148" t="s">
        <v>17082</v>
      </c>
      <c r="AD2919" s="126" t="s">
        <v>17083</v>
      </c>
      <c r="AE2919" s="126" t="s">
        <v>210</v>
      </c>
      <c r="AF2919" s="158">
        <v>20.0</v>
      </c>
      <c r="AG2919" s="158" t="s">
        <v>17084</v>
      </c>
      <c r="AH2919" s="148" t="s">
        <v>127</v>
      </c>
      <c r="AI2919" s="148" t="s">
        <v>210</v>
      </c>
      <c r="AJ2919" s="498">
        <v>0.03</v>
      </c>
      <c r="AK2919" s="148" t="s">
        <v>128</v>
      </c>
      <c r="AL2919" s="148" t="s">
        <v>211</v>
      </c>
      <c r="AM2919" s="148" t="s">
        <v>134</v>
      </c>
      <c r="AN2919" s="156"/>
      <c r="AO2919" s="158">
        <v>70.0</v>
      </c>
      <c r="AP2919" s="158">
        <v>0.68</v>
      </c>
      <c r="AQ2919" s="148" t="s">
        <v>166</v>
      </c>
      <c r="AR2919" s="148" t="s">
        <v>606</v>
      </c>
      <c r="AS2919" s="158">
        <v>0.001</v>
      </c>
      <c r="AT2919" s="148" t="s">
        <v>128</v>
      </c>
      <c r="AU2919" s="148" t="s">
        <v>179</v>
      </c>
      <c r="AV2919" s="148" t="s">
        <v>130</v>
      </c>
      <c r="AW2919" s="1790" t="s">
        <v>131</v>
      </c>
      <c r="AX2919" s="148" t="s">
        <v>144</v>
      </c>
    </row>
    <row r="2920">
      <c r="A2920" s="41">
        <v>3207.0</v>
      </c>
      <c r="B2920" s="126" t="s">
        <v>516</v>
      </c>
      <c r="C2920" s="59" t="s">
        <v>108</v>
      </c>
      <c r="D2920" s="59" t="s">
        <v>16829</v>
      </c>
      <c r="F2920" s="126" t="s">
        <v>17071</v>
      </c>
      <c r="G2920" s="148" t="s">
        <v>17085</v>
      </c>
      <c r="H2920" s="148" t="s">
        <v>16832</v>
      </c>
      <c r="I2920" s="1534">
        <v>45829.0</v>
      </c>
      <c r="J2920" s="149"/>
      <c r="K2920" s="126" t="s">
        <v>17073</v>
      </c>
      <c r="L2920" s="65"/>
      <c r="M2920" s="148" t="s">
        <v>17086</v>
      </c>
      <c r="N2920" s="148" t="s">
        <v>17087</v>
      </c>
      <c r="O2920" s="65"/>
      <c r="P2920" s="306" t="s">
        <v>17076</v>
      </c>
      <c r="Q2920" s="2276" t="s">
        <v>1528</v>
      </c>
      <c r="R2920" s="148" t="s">
        <v>17088</v>
      </c>
      <c r="S2920" s="148" t="s">
        <v>17089</v>
      </c>
      <c r="T2920" s="65"/>
      <c r="U2920" s="65"/>
      <c r="V2920" s="306" t="s">
        <v>17079</v>
      </c>
      <c r="W2920" s="1225"/>
      <c r="X2920" s="2277" t="s">
        <v>1528</v>
      </c>
      <c r="Y2920" s="156"/>
      <c r="Z2920" s="148" t="s">
        <v>141</v>
      </c>
      <c r="AA2920" s="148" t="s">
        <v>17080</v>
      </c>
      <c r="AB2920" s="148" t="s">
        <v>17081</v>
      </c>
      <c r="AC2920" s="148" t="s">
        <v>17082</v>
      </c>
      <c r="AD2920" s="126" t="s">
        <v>17083</v>
      </c>
      <c r="AE2920" s="126" t="s">
        <v>210</v>
      </c>
      <c r="AF2920" s="158">
        <v>20.0</v>
      </c>
      <c r="AG2920" s="158" t="s">
        <v>17084</v>
      </c>
      <c r="AH2920" s="148" t="s">
        <v>127</v>
      </c>
      <c r="AI2920" s="148" t="s">
        <v>210</v>
      </c>
      <c r="AJ2920" s="498">
        <v>0.03</v>
      </c>
      <c r="AK2920" s="148" t="s">
        <v>128</v>
      </c>
      <c r="AL2920" s="148" t="s">
        <v>211</v>
      </c>
      <c r="AM2920" s="148" t="s">
        <v>134</v>
      </c>
      <c r="AN2920" s="156"/>
      <c r="AO2920" s="158">
        <v>70.0</v>
      </c>
      <c r="AP2920" s="158">
        <v>0.24</v>
      </c>
      <c r="AQ2920" s="148" t="s">
        <v>166</v>
      </c>
      <c r="AR2920" s="148" t="s">
        <v>606</v>
      </c>
      <c r="AS2920" s="158">
        <v>0.043</v>
      </c>
      <c r="AT2920" s="148" t="s">
        <v>165</v>
      </c>
      <c r="AU2920" s="148" t="s">
        <v>179</v>
      </c>
      <c r="AV2920" s="148" t="s">
        <v>130</v>
      </c>
      <c r="AW2920" s="1790" t="s">
        <v>131</v>
      </c>
      <c r="AX2920" s="148" t="s">
        <v>144</v>
      </c>
      <c r="BB2920" s="2279"/>
      <c r="BC2920" s="2279"/>
      <c r="BD2920" s="2279"/>
      <c r="BE2920" s="2279"/>
      <c r="BF2920" s="2279"/>
      <c r="BG2920" s="2279"/>
      <c r="BH2920" s="2279"/>
      <c r="BI2920" s="2279"/>
      <c r="BJ2920" s="2279"/>
      <c r="BK2920" s="2279"/>
      <c r="BL2920" s="2279"/>
      <c r="BM2920" s="2279"/>
      <c r="BN2920" s="2279"/>
      <c r="BO2920" s="2279"/>
      <c r="BP2920" s="2279"/>
      <c r="BQ2920" s="2279"/>
      <c r="BR2920" s="2279"/>
      <c r="BS2920" s="2279"/>
      <c r="BT2920" s="2279"/>
      <c r="BU2920" s="2279"/>
      <c r="BV2920" s="2279"/>
      <c r="BW2920" s="2279"/>
      <c r="BX2920" s="2279"/>
      <c r="BY2920" s="2279"/>
      <c r="BZ2920" s="2279"/>
      <c r="CA2920" s="2279"/>
      <c r="CB2920" s="2279"/>
      <c r="CC2920" s="2279"/>
      <c r="CD2920" s="2279"/>
      <c r="CE2920" s="2279"/>
      <c r="CF2920" s="2279"/>
      <c r="CG2920" s="2279"/>
      <c r="CH2920" s="2279"/>
      <c r="CI2920" s="2279"/>
      <c r="CJ2920" s="2279"/>
      <c r="CK2920" s="2279"/>
      <c r="CL2920" s="2279"/>
      <c r="CM2920" s="2279"/>
      <c r="CN2920" s="2279"/>
      <c r="CO2920" s="2279"/>
      <c r="CP2920" s="2279"/>
      <c r="CQ2920" s="2279"/>
      <c r="CR2920" s="2279"/>
      <c r="CS2920" s="2279"/>
      <c r="CT2920" s="2279"/>
      <c r="CU2920" s="2279"/>
      <c r="CV2920" s="2279"/>
      <c r="CW2920" s="2279"/>
      <c r="CX2920" s="2279"/>
      <c r="CY2920" s="2279"/>
      <c r="CZ2920" s="2279"/>
      <c r="DA2920" s="2279"/>
      <c r="DB2920" s="2279"/>
      <c r="DC2920" s="2279"/>
      <c r="DD2920" s="2279"/>
      <c r="DE2920" s="2279"/>
      <c r="DF2920" s="2279"/>
      <c r="DG2920" s="2279"/>
      <c r="DH2920" s="2279"/>
    </row>
    <row r="2921">
      <c r="A2921" s="41">
        <v>3208.0</v>
      </c>
      <c r="B2921" s="126" t="s">
        <v>516</v>
      </c>
      <c r="C2921" s="59" t="s">
        <v>108</v>
      </c>
      <c r="D2921" s="59" t="s">
        <v>16829</v>
      </c>
      <c r="F2921" s="126" t="s">
        <v>17090</v>
      </c>
      <c r="G2921" s="148" t="s">
        <v>17091</v>
      </c>
      <c r="H2921" s="148" t="s">
        <v>16832</v>
      </c>
      <c r="I2921" s="1534">
        <v>45828.0</v>
      </c>
      <c r="J2921" s="149"/>
      <c r="K2921" s="65"/>
      <c r="L2921" s="65"/>
      <c r="M2921" s="148" t="s">
        <v>17092</v>
      </c>
      <c r="N2921" s="148" t="s">
        <v>17093</v>
      </c>
      <c r="O2921" s="65"/>
      <c r="P2921" s="306" t="s">
        <v>17094</v>
      </c>
      <c r="Q2921" s="2276" t="s">
        <v>7250</v>
      </c>
      <c r="R2921" s="148" t="s">
        <v>17095</v>
      </c>
      <c r="S2921" s="148" t="s">
        <v>17096</v>
      </c>
      <c r="T2921" s="65"/>
      <c r="U2921" s="126">
        <v>1.0</v>
      </c>
      <c r="V2921" s="306" t="s">
        <v>17097</v>
      </c>
      <c r="W2921" s="1225"/>
      <c r="X2921" s="2277" t="s">
        <v>7250</v>
      </c>
      <c r="Y2921" s="156"/>
      <c r="Z2921" s="148" t="s">
        <v>141</v>
      </c>
      <c r="AA2921" s="148" t="s">
        <v>17098</v>
      </c>
      <c r="AB2921" s="148" t="s">
        <v>17099</v>
      </c>
      <c r="AC2921" s="148" t="s">
        <v>17100</v>
      </c>
      <c r="AD2921" s="126" t="s">
        <v>17101</v>
      </c>
      <c r="AE2921" s="126">
        <v>54.0</v>
      </c>
      <c r="AF2921" s="158">
        <v>144.0</v>
      </c>
      <c r="AG2921" s="158">
        <v>0.39</v>
      </c>
      <c r="AH2921" s="148" t="s">
        <v>867</v>
      </c>
      <c r="AI2921" s="148" t="s">
        <v>6936</v>
      </c>
      <c r="AJ2921" s="498">
        <v>1.0E-4</v>
      </c>
      <c r="AK2921" s="148" t="s">
        <v>128</v>
      </c>
      <c r="AL2921" s="148" t="s">
        <v>179</v>
      </c>
      <c r="AM2921" s="148" t="s">
        <v>134</v>
      </c>
      <c r="AN2921" s="148" t="s">
        <v>131</v>
      </c>
      <c r="AO2921" s="158">
        <v>131.0</v>
      </c>
      <c r="AP2921" s="158">
        <v>0.33</v>
      </c>
      <c r="AQ2921" s="148" t="s">
        <v>867</v>
      </c>
      <c r="AR2921" s="148" t="s">
        <v>843</v>
      </c>
      <c r="AS2921" s="158">
        <v>0.001</v>
      </c>
      <c r="AT2921" s="148" t="s">
        <v>128</v>
      </c>
      <c r="AU2921" s="148" t="s">
        <v>179</v>
      </c>
      <c r="AV2921" s="148" t="s">
        <v>134</v>
      </c>
      <c r="AW2921" s="1790" t="s">
        <v>131</v>
      </c>
      <c r="AX2921" s="148" t="s">
        <v>431</v>
      </c>
    </row>
    <row r="2922">
      <c r="A2922" s="41">
        <v>3209.0</v>
      </c>
      <c r="B2922" s="126" t="s">
        <v>516</v>
      </c>
      <c r="C2922" s="59" t="s">
        <v>108</v>
      </c>
      <c r="D2922" s="59" t="s">
        <v>16829</v>
      </c>
      <c r="F2922" s="126" t="s">
        <v>17102</v>
      </c>
      <c r="G2922" s="148" t="s">
        <v>17103</v>
      </c>
      <c r="H2922" s="148" t="s">
        <v>16832</v>
      </c>
      <c r="I2922" s="1534">
        <v>45828.0</v>
      </c>
      <c r="J2922" s="149"/>
      <c r="K2922" s="65"/>
      <c r="L2922" s="65"/>
      <c r="M2922" s="148" t="s">
        <v>17104</v>
      </c>
      <c r="N2922" s="148" t="s">
        <v>17105</v>
      </c>
      <c r="O2922" s="65"/>
      <c r="P2922" s="306" t="s">
        <v>17106</v>
      </c>
      <c r="Q2922" s="2276" t="s">
        <v>7250</v>
      </c>
      <c r="R2922" s="148" t="s">
        <v>17107</v>
      </c>
      <c r="S2922" s="148" t="s">
        <v>17108</v>
      </c>
      <c r="T2922" s="65"/>
      <c r="U2922" s="126">
        <v>3.0</v>
      </c>
      <c r="V2922" s="306" t="s">
        <v>17109</v>
      </c>
      <c r="W2922" s="1225"/>
      <c r="X2922" s="2277" t="s">
        <v>7250</v>
      </c>
      <c r="Y2922" s="148" t="s">
        <v>17110</v>
      </c>
      <c r="Z2922" s="148" t="s">
        <v>1593</v>
      </c>
      <c r="AA2922" s="148" t="s">
        <v>17111</v>
      </c>
      <c r="AB2922" s="148" t="s">
        <v>17112</v>
      </c>
      <c r="AC2922" s="148" t="s">
        <v>17113</v>
      </c>
      <c r="AD2922" s="126" t="s">
        <v>17114</v>
      </c>
      <c r="AE2922" s="126">
        <v>725.0</v>
      </c>
      <c r="AF2922" s="158">
        <v>36.0</v>
      </c>
      <c r="AG2922" s="158">
        <v>0.27</v>
      </c>
      <c r="AH2922" s="148" t="s">
        <v>867</v>
      </c>
      <c r="AI2922" s="148" t="s">
        <v>17115</v>
      </c>
      <c r="AJ2922" s="498">
        <v>0.01</v>
      </c>
      <c r="AK2922" s="148" t="s">
        <v>128</v>
      </c>
      <c r="AL2922" s="148" t="s">
        <v>179</v>
      </c>
      <c r="AM2922" s="148" t="s">
        <v>134</v>
      </c>
      <c r="AN2922" s="148" t="s">
        <v>131</v>
      </c>
      <c r="AO2922" s="158">
        <v>24.0</v>
      </c>
      <c r="AP2922" s="158" t="s">
        <v>17116</v>
      </c>
      <c r="AQ2922" s="148" t="s">
        <v>127</v>
      </c>
      <c r="AR2922" s="148" t="s">
        <v>17117</v>
      </c>
      <c r="AS2922" s="158">
        <v>0.05</v>
      </c>
      <c r="AT2922" s="148" t="s">
        <v>128</v>
      </c>
      <c r="AU2922" s="148" t="s">
        <v>179</v>
      </c>
      <c r="AV2922" s="148" t="s">
        <v>134</v>
      </c>
      <c r="AW2922" s="1790" t="s">
        <v>131</v>
      </c>
      <c r="AX2922" s="148" t="s">
        <v>144</v>
      </c>
    </row>
    <row r="2923">
      <c r="A2923" s="41">
        <v>3210.0</v>
      </c>
      <c r="B2923" s="126" t="s">
        <v>516</v>
      </c>
      <c r="C2923" s="59" t="s">
        <v>108</v>
      </c>
      <c r="D2923" s="59" t="s">
        <v>16829</v>
      </c>
      <c r="F2923" s="126" t="s">
        <v>17118</v>
      </c>
      <c r="G2923" s="148" t="s">
        <v>17119</v>
      </c>
      <c r="H2923" s="148" t="s">
        <v>16832</v>
      </c>
      <c r="I2923" s="1534">
        <v>45828.0</v>
      </c>
      <c r="J2923" s="149"/>
      <c r="K2923" s="126" t="s">
        <v>17120</v>
      </c>
      <c r="L2923" s="65"/>
      <c r="M2923" s="148" t="s">
        <v>17121</v>
      </c>
      <c r="N2923" s="148" t="s">
        <v>17122</v>
      </c>
      <c r="O2923" s="65"/>
      <c r="P2923" s="306" t="s">
        <v>17123</v>
      </c>
      <c r="Q2923" s="2276" t="s">
        <v>7250</v>
      </c>
      <c r="R2923" s="148" t="s">
        <v>17124</v>
      </c>
      <c r="S2923" s="148" t="s">
        <v>17125</v>
      </c>
      <c r="T2923" s="65"/>
      <c r="U2923" s="126">
        <v>1.0</v>
      </c>
      <c r="V2923" s="306" t="s">
        <v>17126</v>
      </c>
      <c r="W2923" s="1225"/>
      <c r="X2923" s="2277" t="s">
        <v>7250</v>
      </c>
      <c r="Y2923" s="156"/>
      <c r="Z2923" s="148" t="s">
        <v>141</v>
      </c>
      <c r="AA2923" s="148" t="s">
        <v>17127</v>
      </c>
      <c r="AB2923" s="148" t="s">
        <v>17128</v>
      </c>
      <c r="AC2923" s="148" t="s">
        <v>17129</v>
      </c>
      <c r="AD2923" s="126" t="s">
        <v>17130</v>
      </c>
      <c r="AE2923" s="65"/>
      <c r="AF2923" s="158">
        <v>30.0</v>
      </c>
      <c r="AG2923" s="158" t="s">
        <v>17131</v>
      </c>
      <c r="AH2923" s="148" t="s">
        <v>127</v>
      </c>
      <c r="AI2923" s="148" t="s">
        <v>131</v>
      </c>
      <c r="AJ2923" s="498">
        <v>0.02</v>
      </c>
      <c r="AK2923" s="148" t="s">
        <v>128</v>
      </c>
      <c r="AL2923" s="148" t="s">
        <v>179</v>
      </c>
      <c r="AM2923" s="148" t="s">
        <v>134</v>
      </c>
      <c r="AN2923" s="148" t="s">
        <v>131</v>
      </c>
      <c r="AO2923" s="158">
        <v>64.0</v>
      </c>
      <c r="AP2923" s="158">
        <v>0.428</v>
      </c>
      <c r="AQ2923" s="148" t="s">
        <v>867</v>
      </c>
      <c r="AR2923" s="148" t="s">
        <v>17132</v>
      </c>
      <c r="AS2923" s="158">
        <v>0.001</v>
      </c>
      <c r="AT2923" s="148" t="s">
        <v>128</v>
      </c>
      <c r="AU2923" s="148" t="s">
        <v>179</v>
      </c>
      <c r="AV2923" s="148" t="s">
        <v>134</v>
      </c>
      <c r="AW2923" s="1790" t="s">
        <v>131</v>
      </c>
      <c r="AX2923" s="148" t="s">
        <v>144</v>
      </c>
    </row>
    <row r="2924">
      <c r="A2924" s="41">
        <v>3211.0</v>
      </c>
      <c r="B2924" s="126" t="s">
        <v>516</v>
      </c>
      <c r="C2924" s="59" t="s">
        <v>108</v>
      </c>
      <c r="D2924" s="59" t="s">
        <v>16829</v>
      </c>
      <c r="F2924" s="126" t="s">
        <v>17133</v>
      </c>
      <c r="G2924" s="148" t="s">
        <v>17134</v>
      </c>
      <c r="H2924" s="148" t="s">
        <v>16832</v>
      </c>
      <c r="I2924" s="1534">
        <v>45828.0</v>
      </c>
      <c r="J2924" s="149"/>
      <c r="K2924" s="65"/>
      <c r="L2924" s="65"/>
      <c r="M2924" s="148" t="s">
        <v>17135</v>
      </c>
      <c r="N2924" s="148" t="s">
        <v>17136</v>
      </c>
      <c r="O2924" s="65"/>
      <c r="P2924" s="306" t="s">
        <v>17137</v>
      </c>
      <c r="Q2924" s="2276" t="s">
        <v>7250</v>
      </c>
      <c r="R2924" s="148" t="s">
        <v>17138</v>
      </c>
      <c r="S2924" s="148" t="s">
        <v>17139</v>
      </c>
      <c r="T2924" s="65"/>
      <c r="U2924" s="126">
        <v>5.0</v>
      </c>
      <c r="V2924" s="306" t="s">
        <v>17140</v>
      </c>
      <c r="W2924" s="1225"/>
      <c r="X2924" s="2277" t="s">
        <v>7250</v>
      </c>
      <c r="Y2924" s="156"/>
      <c r="Z2924" s="148" t="s">
        <v>141</v>
      </c>
      <c r="AA2924" s="148" t="s">
        <v>17141</v>
      </c>
      <c r="AB2924" s="148" t="s">
        <v>17142</v>
      </c>
      <c r="AC2924" s="148" t="s">
        <v>17143</v>
      </c>
      <c r="AD2924" s="126" t="s">
        <v>17144</v>
      </c>
      <c r="AE2924" s="126">
        <v>338.0</v>
      </c>
      <c r="AF2924" s="158">
        <v>40.0</v>
      </c>
      <c r="AG2924" s="158" t="s">
        <v>17145</v>
      </c>
      <c r="AH2924" s="148" t="s">
        <v>127</v>
      </c>
      <c r="AI2924" s="148" t="s">
        <v>131</v>
      </c>
      <c r="AJ2924" s="498">
        <v>0.01</v>
      </c>
      <c r="AK2924" s="148" t="s">
        <v>128</v>
      </c>
      <c r="AL2924" s="148" t="s">
        <v>179</v>
      </c>
      <c r="AM2924" s="148" t="s">
        <v>134</v>
      </c>
      <c r="AN2924" s="148" t="s">
        <v>131</v>
      </c>
      <c r="AO2924" s="158">
        <v>18.0</v>
      </c>
      <c r="AP2924" s="158" t="s">
        <v>17146</v>
      </c>
      <c r="AQ2924" s="148" t="s">
        <v>127</v>
      </c>
      <c r="AR2924" s="148" t="s">
        <v>17013</v>
      </c>
      <c r="AS2924" s="158">
        <v>0.01</v>
      </c>
      <c r="AT2924" s="148" t="s">
        <v>128</v>
      </c>
      <c r="AU2924" s="148" t="s">
        <v>179</v>
      </c>
      <c r="AV2924" s="148" t="s">
        <v>134</v>
      </c>
      <c r="AW2924" s="1790" t="s">
        <v>131</v>
      </c>
      <c r="AX2924" s="148" t="s">
        <v>144</v>
      </c>
    </row>
    <row r="2925">
      <c r="A2925" s="41">
        <v>3212.0</v>
      </c>
      <c r="B2925" s="126" t="s">
        <v>516</v>
      </c>
      <c r="C2925" s="59" t="s">
        <v>108</v>
      </c>
      <c r="D2925" s="59" t="s">
        <v>16829</v>
      </c>
      <c r="F2925" s="126" t="s">
        <v>17147</v>
      </c>
      <c r="G2925" s="148" t="s">
        <v>17148</v>
      </c>
      <c r="H2925" s="148" t="s">
        <v>16832</v>
      </c>
      <c r="I2925" s="1534">
        <v>45829.0</v>
      </c>
      <c r="J2925" s="149"/>
      <c r="K2925" s="126" t="s">
        <v>17149</v>
      </c>
      <c r="L2925" s="65"/>
      <c r="M2925" s="148" t="s">
        <v>17150</v>
      </c>
      <c r="N2925" s="148" t="s">
        <v>17151</v>
      </c>
      <c r="O2925" s="65"/>
      <c r="P2925" s="306" t="s">
        <v>17152</v>
      </c>
      <c r="Q2925" s="2276" t="s">
        <v>7250</v>
      </c>
      <c r="R2925" s="148" t="s">
        <v>17153</v>
      </c>
      <c r="S2925" s="148" t="s">
        <v>17154</v>
      </c>
      <c r="T2925" s="65"/>
      <c r="U2925" s="126" t="s">
        <v>4085</v>
      </c>
      <c r="V2925" s="306" t="s">
        <v>17155</v>
      </c>
      <c r="W2925" s="1225"/>
      <c r="X2925" s="2277" t="s">
        <v>7250</v>
      </c>
      <c r="Y2925" s="156"/>
      <c r="Z2925" s="148" t="s">
        <v>141</v>
      </c>
      <c r="AA2925" s="148" t="s">
        <v>17156</v>
      </c>
      <c r="AB2925" s="148" t="s">
        <v>17157</v>
      </c>
      <c r="AC2925" s="148" t="s">
        <v>17158</v>
      </c>
      <c r="AD2925" s="126" t="s">
        <v>17159</v>
      </c>
      <c r="AE2925" s="126">
        <v>12.0</v>
      </c>
      <c r="AF2925" s="158">
        <v>32.0</v>
      </c>
      <c r="AG2925" s="158">
        <v>0.64</v>
      </c>
      <c r="AH2925" s="148" t="s">
        <v>867</v>
      </c>
      <c r="AI2925" s="148" t="s">
        <v>605</v>
      </c>
      <c r="AJ2925" s="498">
        <v>0.001</v>
      </c>
      <c r="AK2925" s="148" t="s">
        <v>128</v>
      </c>
      <c r="AL2925" s="148" t="s">
        <v>179</v>
      </c>
      <c r="AM2925" s="148" t="s">
        <v>134</v>
      </c>
      <c r="AN2925" s="148" t="s">
        <v>131</v>
      </c>
      <c r="AO2925" s="158">
        <v>24.0</v>
      </c>
      <c r="AP2925" s="158">
        <v>0.462</v>
      </c>
      <c r="AQ2925" s="148" t="s">
        <v>867</v>
      </c>
      <c r="AR2925" s="148" t="s">
        <v>17160</v>
      </c>
      <c r="AS2925" s="158">
        <v>0.001</v>
      </c>
      <c r="AT2925" s="148" t="s">
        <v>128</v>
      </c>
      <c r="AU2925" s="148" t="s">
        <v>179</v>
      </c>
      <c r="AV2925" s="148" t="s">
        <v>134</v>
      </c>
      <c r="AW2925" s="1790" t="s">
        <v>131</v>
      </c>
      <c r="AX2925" s="148" t="s">
        <v>136</v>
      </c>
    </row>
    <row r="2926">
      <c r="A2926" s="41">
        <v>3213.0</v>
      </c>
      <c r="B2926" s="126" t="s">
        <v>516</v>
      </c>
      <c r="C2926" s="59" t="s">
        <v>108</v>
      </c>
      <c r="D2926" s="59" t="s">
        <v>16829</v>
      </c>
      <c r="F2926" s="126" t="s">
        <v>17147</v>
      </c>
      <c r="G2926" s="148" t="s">
        <v>17161</v>
      </c>
      <c r="H2926" s="148" t="s">
        <v>16832</v>
      </c>
      <c r="I2926" s="1534">
        <v>45829.0</v>
      </c>
      <c r="J2926" s="149"/>
      <c r="K2926" s="126" t="s">
        <v>17162</v>
      </c>
      <c r="L2926" s="65"/>
      <c r="M2926" s="148" t="s">
        <v>17163</v>
      </c>
      <c r="N2926" s="148" t="s">
        <v>17164</v>
      </c>
      <c r="O2926" s="65"/>
      <c r="P2926" s="306" t="s">
        <v>17152</v>
      </c>
      <c r="Q2926" s="2276" t="s">
        <v>1528</v>
      </c>
      <c r="R2926" s="148" t="s">
        <v>17153</v>
      </c>
      <c r="S2926" s="148" t="s">
        <v>17154</v>
      </c>
      <c r="T2926" s="65"/>
      <c r="U2926" s="126" t="s">
        <v>4085</v>
      </c>
      <c r="V2926" s="306" t="s">
        <v>17155</v>
      </c>
      <c r="W2926" s="1225"/>
      <c r="X2926" s="2277" t="s">
        <v>7250</v>
      </c>
      <c r="Y2926" s="156"/>
      <c r="Z2926" s="148" t="s">
        <v>141</v>
      </c>
      <c r="AA2926" s="148" t="s">
        <v>17156</v>
      </c>
      <c r="AB2926" s="148" t="s">
        <v>17157</v>
      </c>
      <c r="AC2926" s="148" t="s">
        <v>17158</v>
      </c>
      <c r="AD2926" s="126" t="s">
        <v>17165</v>
      </c>
      <c r="AE2926" s="126">
        <v>12.0</v>
      </c>
      <c r="AF2926" s="158">
        <v>32.0</v>
      </c>
      <c r="AG2926" s="158">
        <v>0.43</v>
      </c>
      <c r="AH2926" s="148" t="s">
        <v>867</v>
      </c>
      <c r="AI2926" s="148" t="s">
        <v>429</v>
      </c>
      <c r="AJ2926" s="498">
        <v>0.05</v>
      </c>
      <c r="AK2926" s="148" t="s">
        <v>128</v>
      </c>
      <c r="AL2926" s="148" t="s">
        <v>179</v>
      </c>
      <c r="AM2926" s="148" t="s">
        <v>134</v>
      </c>
      <c r="AN2926" s="148" t="s">
        <v>131</v>
      </c>
      <c r="AO2926" s="158">
        <v>24.0</v>
      </c>
      <c r="AP2926" s="158">
        <v>0.276</v>
      </c>
      <c r="AQ2926" s="148" t="s">
        <v>867</v>
      </c>
      <c r="AR2926" s="148" t="s">
        <v>17160</v>
      </c>
      <c r="AS2926" s="158">
        <v>0.007</v>
      </c>
      <c r="AT2926" s="148" t="s">
        <v>165</v>
      </c>
      <c r="AU2926" s="148" t="s">
        <v>179</v>
      </c>
      <c r="AV2926" s="148" t="s">
        <v>134</v>
      </c>
      <c r="AW2926" s="1790" t="s">
        <v>131</v>
      </c>
      <c r="AX2926" s="148" t="s">
        <v>136</v>
      </c>
    </row>
    <row r="2927">
      <c r="A2927" s="41">
        <v>2726.0</v>
      </c>
      <c r="B2927" s="692" t="s">
        <v>107</v>
      </c>
      <c r="C2927" s="224" t="s">
        <v>108</v>
      </c>
      <c r="D2927" s="224" t="s">
        <v>15410</v>
      </c>
      <c r="E2927" s="225"/>
      <c r="F2927" s="2280" t="s">
        <v>7243</v>
      </c>
      <c r="G2927" s="2281" t="s">
        <v>7244</v>
      </c>
      <c r="H2927" s="2281" t="s">
        <v>17166</v>
      </c>
      <c r="I2927" s="2282">
        <v>45331.0</v>
      </c>
      <c r="J2927" s="2283">
        <v>45828.0</v>
      </c>
      <c r="K2927" s="2280" t="s">
        <v>17167</v>
      </c>
      <c r="L2927" s="2284" t="s">
        <v>17168</v>
      </c>
      <c r="M2927" s="2281" t="s">
        <v>17169</v>
      </c>
      <c r="N2927" s="2281" t="s">
        <v>7248</v>
      </c>
      <c r="O2927" s="2285">
        <v>1.0</v>
      </c>
      <c r="P2927" s="2281" t="s">
        <v>7249</v>
      </c>
      <c r="Q2927" s="2286" t="str">
        <f> hyperlink(vlookup(lower(N2927),'File Links'!E:F, 2, FALSE), "LINK")</f>
        <v>LINK</v>
      </c>
      <c r="R2927" s="691" t="s">
        <v>7251</v>
      </c>
      <c r="S2927" s="232" t="s">
        <v>7252</v>
      </c>
      <c r="T2927" s="691" t="s">
        <v>7253</v>
      </c>
      <c r="U2927" s="2287">
        <v>1.0</v>
      </c>
      <c r="V2927" s="232" t="s">
        <v>7254</v>
      </c>
      <c r="W2927" s="692" t="s">
        <v>7255</v>
      </c>
      <c r="X2927" s="2288" t="str">
        <f> hyperlink(vlookup(lower(S2927),'File Links'!E:F, 2, FALSE), "LINK")</f>
        <v>LINK</v>
      </c>
      <c r="Y2927" s="234"/>
      <c r="Z2927" s="232" t="s">
        <v>940</v>
      </c>
      <c r="AA2927" s="232" t="s">
        <v>17170</v>
      </c>
      <c r="AB2927" s="232" t="s">
        <v>7257</v>
      </c>
      <c r="AC2927" s="231" t="s">
        <v>17171</v>
      </c>
      <c r="AD2927" s="692" t="s">
        <v>17172</v>
      </c>
      <c r="AE2927" s="2287">
        <v>4.0</v>
      </c>
      <c r="AF2927" s="2287">
        <v>37.0</v>
      </c>
      <c r="AG2927" s="156" t="s">
        <v>131</v>
      </c>
      <c r="AH2927" s="156" t="s">
        <v>131</v>
      </c>
      <c r="AI2927" s="234" t="s">
        <v>489</v>
      </c>
      <c r="AJ2927" s="2287">
        <v>0.01</v>
      </c>
      <c r="AK2927" s="234" t="s">
        <v>128</v>
      </c>
      <c r="AL2927" s="234" t="s">
        <v>179</v>
      </c>
      <c r="AM2927" s="234" t="s">
        <v>130</v>
      </c>
      <c r="AN2927" s="234"/>
      <c r="AO2927" s="2287">
        <v>240.0</v>
      </c>
      <c r="AP2927" s="156" t="s">
        <v>131</v>
      </c>
      <c r="AQ2927" s="156" t="s">
        <v>131</v>
      </c>
      <c r="AR2927" s="234" t="s">
        <v>1166</v>
      </c>
      <c r="AS2927" s="2287">
        <v>0.001</v>
      </c>
      <c r="AT2927" s="234" t="s">
        <v>128</v>
      </c>
      <c r="AU2927" s="234" t="s">
        <v>179</v>
      </c>
      <c r="AV2927" s="234" t="s">
        <v>130</v>
      </c>
      <c r="AW2927" s="2099" t="s">
        <v>17173</v>
      </c>
      <c r="AX2927" s="234" t="s">
        <v>136</v>
      </c>
      <c r="AY2927" s="225"/>
      <c r="AZ2927" s="224" t="s">
        <v>807</v>
      </c>
      <c r="BA2927" s="234"/>
    </row>
    <row r="2928">
      <c r="A2928" s="41">
        <v>2940.0</v>
      </c>
      <c r="B2928" s="126" t="s">
        <v>516</v>
      </c>
      <c r="C2928" s="59" t="s">
        <v>108</v>
      </c>
      <c r="D2928" s="59" t="s">
        <v>241</v>
      </c>
      <c r="F2928" s="65" t="s">
        <v>17174</v>
      </c>
      <c r="G2928" s="65" t="s">
        <v>17175</v>
      </c>
      <c r="H2928" s="65" t="s">
        <v>242</v>
      </c>
      <c r="I2928" s="526">
        <v>45813.0</v>
      </c>
      <c r="J2928" s="859"/>
      <c r="K2928" s="65" t="s">
        <v>17176</v>
      </c>
      <c r="L2928" s="65"/>
      <c r="M2928" s="65" t="s">
        <v>17177</v>
      </c>
      <c r="N2928" s="65" t="s">
        <v>17178</v>
      </c>
      <c r="O2928" s="65"/>
      <c r="P2928" s="570" t="s">
        <v>17179</v>
      </c>
      <c r="Q2928" s="2289" t="str">
        <f> hyperlink(vlookup(lower(N2928),'File Links'!E:F, 2, FALSE), "LINK")</f>
        <v>LINK</v>
      </c>
      <c r="R2928" s="65" t="s">
        <v>17180</v>
      </c>
      <c r="S2928" s="65" t="s">
        <v>17181</v>
      </c>
      <c r="T2928" s="65"/>
      <c r="U2928" s="65"/>
      <c r="V2928" s="570" t="s">
        <v>17182</v>
      </c>
      <c r="W2928" s="1225"/>
      <c r="X2928" s="2290" t="str">
        <f> hyperlink(vlookup(lower(S2928),'File Links'!E:F, 2, FALSE), "LINK")</f>
        <v>LINK</v>
      </c>
      <c r="Y2928" s="65"/>
      <c r="Z2928" s="65" t="s">
        <v>940</v>
      </c>
      <c r="AA2928" s="65" t="s">
        <v>17183</v>
      </c>
      <c r="AB2928" s="65" t="s">
        <v>7257</v>
      </c>
      <c r="AC2928" s="65" t="s">
        <v>17184</v>
      </c>
      <c r="AD2928" s="65" t="s">
        <v>17185</v>
      </c>
      <c r="AE2928" s="65" t="s">
        <v>489</v>
      </c>
      <c r="AF2928" s="333">
        <v>100.0</v>
      </c>
      <c r="AG2928" s="333">
        <v>0.64</v>
      </c>
      <c r="AH2928" s="65" t="s">
        <v>208</v>
      </c>
      <c r="AI2928" s="65" t="s">
        <v>489</v>
      </c>
      <c r="AJ2928" s="65" t="s">
        <v>131</v>
      </c>
      <c r="AK2928" s="65" t="s">
        <v>165</v>
      </c>
      <c r="AL2928" s="65" t="s">
        <v>179</v>
      </c>
      <c r="AM2928" s="65" t="s">
        <v>130</v>
      </c>
      <c r="AN2928" s="65" t="s">
        <v>131</v>
      </c>
      <c r="AO2928" s="333">
        <v>46.0</v>
      </c>
      <c r="AP2928" s="333">
        <v>0.4</v>
      </c>
      <c r="AQ2928" s="65" t="s">
        <v>208</v>
      </c>
      <c r="AR2928" s="65" t="s">
        <v>17186</v>
      </c>
      <c r="AS2928" s="65"/>
      <c r="AT2928" s="65"/>
      <c r="AU2928" s="65"/>
      <c r="AV2928" s="65"/>
      <c r="AW2928" s="432" t="s">
        <v>17187</v>
      </c>
      <c r="AX2928" s="65" t="s">
        <v>136</v>
      </c>
      <c r="AY2928" s="65"/>
      <c r="AZ2928" s="59" t="s">
        <v>7268</v>
      </c>
    </row>
    <row r="2929">
      <c r="A2929" s="41">
        <v>2999.0</v>
      </c>
      <c r="B2929" s="126" t="s">
        <v>516</v>
      </c>
      <c r="C2929" s="59" t="s">
        <v>108</v>
      </c>
      <c r="D2929" s="59" t="s">
        <v>15410</v>
      </c>
      <c r="F2929" s="65" t="s">
        <v>17174</v>
      </c>
      <c r="G2929" s="156" t="s">
        <v>17175</v>
      </c>
      <c r="H2929" s="156" t="s">
        <v>17188</v>
      </c>
      <c r="I2929" s="149">
        <v>45331.0</v>
      </c>
      <c r="J2929" s="526">
        <v>45819.0</v>
      </c>
      <c r="K2929" s="65"/>
      <c r="L2929" s="156" t="s">
        <v>17189</v>
      </c>
      <c r="M2929" s="156" t="s">
        <v>17177</v>
      </c>
      <c r="N2929" s="156" t="s">
        <v>17178</v>
      </c>
      <c r="O2929" s="333">
        <v>2.0</v>
      </c>
      <c r="P2929" s="156" t="s">
        <v>17179</v>
      </c>
      <c r="Q2929" s="2139" t="str">
        <f> hyperlink(vlookup(lower(N2929),'File Links'!E:F, 2, FALSE), "LINK")</f>
        <v>LINK</v>
      </c>
      <c r="R2929" s="156" t="s">
        <v>17180</v>
      </c>
      <c r="S2929" s="156" t="s">
        <v>17181</v>
      </c>
      <c r="T2929" s="65"/>
      <c r="U2929" s="333">
        <v>2.0</v>
      </c>
      <c r="V2929" s="156" t="s">
        <v>17182</v>
      </c>
      <c r="W2929" s="65"/>
      <c r="X2929" s="2291" t="str">
        <f> hyperlink(vlookup(lower(S2929),'File Links'!E:F, 2, FALSE), "LINK")</f>
        <v>LINK</v>
      </c>
      <c r="Y2929" s="65"/>
      <c r="Z2929" s="156" t="s">
        <v>940</v>
      </c>
      <c r="AA2929" s="156" t="s">
        <v>17183</v>
      </c>
      <c r="AB2929" s="156" t="s">
        <v>7257</v>
      </c>
      <c r="AC2929" s="156" t="s">
        <v>17184</v>
      </c>
      <c r="AD2929" s="65" t="s">
        <v>17190</v>
      </c>
      <c r="AE2929" s="333">
        <v>4.0</v>
      </c>
      <c r="AF2929" s="333">
        <v>56.0</v>
      </c>
      <c r="AG2929" s="333">
        <v>0.8</v>
      </c>
      <c r="AH2929" s="65" t="s">
        <v>208</v>
      </c>
      <c r="AI2929" s="65" t="s">
        <v>489</v>
      </c>
      <c r="AJ2929" s="65" t="s">
        <v>17191</v>
      </c>
      <c r="AK2929" s="65" t="s">
        <v>165</v>
      </c>
      <c r="AL2929" s="65" t="s">
        <v>179</v>
      </c>
      <c r="AM2929" s="65" t="s">
        <v>1898</v>
      </c>
      <c r="AN2929" s="65"/>
      <c r="AO2929" s="333">
        <v>46.0</v>
      </c>
      <c r="AP2929" s="333">
        <v>0.77</v>
      </c>
      <c r="AQ2929" s="65" t="s">
        <v>208</v>
      </c>
      <c r="AR2929" s="65" t="s">
        <v>489</v>
      </c>
      <c r="AS2929" s="65" t="s">
        <v>17192</v>
      </c>
      <c r="AT2929" s="65" t="s">
        <v>165</v>
      </c>
      <c r="AU2929" s="65" t="s">
        <v>179</v>
      </c>
      <c r="AV2929" s="65" t="s">
        <v>130</v>
      </c>
      <c r="AW2929" s="432" t="s">
        <v>17193</v>
      </c>
      <c r="AX2929" s="65" t="s">
        <v>136</v>
      </c>
      <c r="AY2929" s="65"/>
      <c r="AZ2929" s="59" t="s">
        <v>7268</v>
      </c>
    </row>
    <row r="2930">
      <c r="A2930" s="41">
        <v>2941.0</v>
      </c>
      <c r="B2930" s="126" t="s">
        <v>516</v>
      </c>
      <c r="C2930" s="59" t="s">
        <v>108</v>
      </c>
      <c r="D2930" s="59" t="s">
        <v>241</v>
      </c>
      <c r="F2930" s="65" t="s">
        <v>17174</v>
      </c>
      <c r="G2930" s="65" t="s">
        <v>17194</v>
      </c>
      <c r="H2930" s="65" t="s">
        <v>242</v>
      </c>
      <c r="I2930" s="526">
        <v>45813.0</v>
      </c>
      <c r="J2930" s="859"/>
      <c r="K2930" s="65" t="s">
        <v>17176</v>
      </c>
      <c r="L2930" s="65"/>
      <c r="M2930" s="65" t="s">
        <v>17177</v>
      </c>
      <c r="N2930" s="65" t="s">
        <v>17178</v>
      </c>
      <c r="O2930" s="65"/>
      <c r="P2930" s="570" t="s">
        <v>17179</v>
      </c>
      <c r="Q2930" s="2289" t="str">
        <f> hyperlink(vlookup(lower(N2930),'File Links'!E:F, 2, FALSE), "LINK")</f>
        <v>LINK</v>
      </c>
      <c r="R2930" s="65" t="s">
        <v>17180</v>
      </c>
      <c r="S2930" s="65" t="s">
        <v>17181</v>
      </c>
      <c r="T2930" s="65"/>
      <c r="U2930" s="65"/>
      <c r="V2930" s="570" t="s">
        <v>17182</v>
      </c>
      <c r="W2930" s="1225"/>
      <c r="X2930" s="2290" t="str">
        <f> hyperlink(vlookup(lower(S2930),'File Links'!E:F, 2, FALSE), "LINK")</f>
        <v>LINK</v>
      </c>
      <c r="Y2930" s="65"/>
      <c r="Z2930" s="65" t="s">
        <v>940</v>
      </c>
      <c r="AA2930" s="65" t="s">
        <v>17183</v>
      </c>
      <c r="AB2930" s="65" t="s">
        <v>7257</v>
      </c>
      <c r="AC2930" s="65" t="s">
        <v>17184</v>
      </c>
      <c r="AD2930" s="65" t="s">
        <v>17185</v>
      </c>
      <c r="AE2930" s="65" t="s">
        <v>489</v>
      </c>
      <c r="AF2930" s="333">
        <v>100.0</v>
      </c>
      <c r="AG2930" s="333">
        <v>0.64</v>
      </c>
      <c r="AH2930" s="65" t="s">
        <v>208</v>
      </c>
      <c r="AI2930" s="65" t="s">
        <v>489</v>
      </c>
      <c r="AJ2930" s="65" t="s">
        <v>131</v>
      </c>
      <c r="AK2930" s="65" t="s">
        <v>165</v>
      </c>
      <c r="AL2930" s="65" t="s">
        <v>179</v>
      </c>
      <c r="AM2930" s="65" t="s">
        <v>130</v>
      </c>
      <c r="AN2930" s="65" t="s">
        <v>131</v>
      </c>
      <c r="AO2930" s="333">
        <v>835.0</v>
      </c>
      <c r="AP2930" s="333">
        <v>0.59</v>
      </c>
      <c r="AQ2930" s="65" t="s">
        <v>208</v>
      </c>
      <c r="AR2930" s="65" t="s">
        <v>17186</v>
      </c>
      <c r="AS2930" s="65"/>
      <c r="AT2930" s="65"/>
      <c r="AU2930" s="65"/>
      <c r="AV2930" s="65"/>
      <c r="AW2930" s="432" t="s">
        <v>17187</v>
      </c>
      <c r="AX2930" s="65" t="s">
        <v>136</v>
      </c>
      <c r="AY2930" s="65"/>
      <c r="AZ2930" s="59" t="s">
        <v>7268</v>
      </c>
    </row>
    <row r="2931">
      <c r="A2931" s="41">
        <v>2942.0</v>
      </c>
      <c r="B2931" s="126" t="s">
        <v>516</v>
      </c>
      <c r="C2931" s="59" t="s">
        <v>108</v>
      </c>
      <c r="D2931" s="59" t="s">
        <v>241</v>
      </c>
      <c r="F2931" s="65" t="s">
        <v>17174</v>
      </c>
      <c r="G2931" s="65" t="s">
        <v>17195</v>
      </c>
      <c r="H2931" s="65" t="s">
        <v>242</v>
      </c>
      <c r="I2931" s="526">
        <v>45813.0</v>
      </c>
      <c r="J2931" s="859"/>
      <c r="K2931" s="65" t="s">
        <v>17176</v>
      </c>
      <c r="L2931" s="65"/>
      <c r="M2931" s="65" t="s">
        <v>17177</v>
      </c>
      <c r="N2931" s="65" t="s">
        <v>17178</v>
      </c>
      <c r="O2931" s="65"/>
      <c r="P2931" s="570" t="s">
        <v>17179</v>
      </c>
      <c r="Q2931" s="2289" t="str">
        <f> hyperlink(vlookup(lower(N2931),'File Links'!E:F, 2, FALSE), "LINK")</f>
        <v>LINK</v>
      </c>
      <c r="R2931" s="65" t="s">
        <v>17180</v>
      </c>
      <c r="S2931" s="65" t="s">
        <v>17181</v>
      </c>
      <c r="T2931" s="65"/>
      <c r="U2931" s="65"/>
      <c r="V2931" s="570" t="s">
        <v>17182</v>
      </c>
      <c r="W2931" s="1225"/>
      <c r="X2931" s="2290" t="str">
        <f> hyperlink(vlookup(lower(S2931),'File Links'!E:F, 2, FALSE), "LINK")</f>
        <v>LINK</v>
      </c>
      <c r="Y2931" s="65"/>
      <c r="Z2931" s="65" t="s">
        <v>940</v>
      </c>
      <c r="AA2931" s="65" t="s">
        <v>17183</v>
      </c>
      <c r="AB2931" s="65" t="s">
        <v>7257</v>
      </c>
      <c r="AC2931" s="65" t="s">
        <v>17184</v>
      </c>
      <c r="AD2931" s="65" t="s">
        <v>17196</v>
      </c>
      <c r="AE2931" s="65" t="s">
        <v>489</v>
      </c>
      <c r="AF2931" s="333">
        <v>100.0</v>
      </c>
      <c r="AG2931" s="333">
        <v>0.8</v>
      </c>
      <c r="AH2931" s="65" t="s">
        <v>208</v>
      </c>
      <c r="AI2931" s="65" t="s">
        <v>489</v>
      </c>
      <c r="AJ2931" s="65" t="s">
        <v>131</v>
      </c>
      <c r="AK2931" s="65" t="s">
        <v>165</v>
      </c>
      <c r="AL2931" s="65" t="s">
        <v>179</v>
      </c>
      <c r="AM2931" s="65" t="s">
        <v>130</v>
      </c>
      <c r="AN2931" s="65" t="s">
        <v>131</v>
      </c>
      <c r="AO2931" s="333">
        <v>46.0</v>
      </c>
      <c r="AP2931" s="333">
        <v>0.62</v>
      </c>
      <c r="AQ2931" s="65" t="s">
        <v>208</v>
      </c>
      <c r="AR2931" s="65" t="s">
        <v>17186</v>
      </c>
      <c r="AS2931" s="65"/>
      <c r="AT2931" s="65"/>
      <c r="AU2931" s="65"/>
      <c r="AV2931" s="65"/>
      <c r="AW2931" s="432" t="s">
        <v>17187</v>
      </c>
      <c r="AX2931" s="65" t="s">
        <v>136</v>
      </c>
      <c r="AY2931" s="65"/>
      <c r="AZ2931" s="59" t="s">
        <v>7268</v>
      </c>
    </row>
    <row r="2932">
      <c r="A2932" s="41">
        <v>2943.0</v>
      </c>
      <c r="B2932" s="126" t="s">
        <v>516</v>
      </c>
      <c r="C2932" s="59" t="s">
        <v>108</v>
      </c>
      <c r="D2932" s="59" t="s">
        <v>241</v>
      </c>
      <c r="F2932" s="65" t="s">
        <v>17174</v>
      </c>
      <c r="G2932" s="65" t="s">
        <v>17197</v>
      </c>
      <c r="H2932" s="65" t="s">
        <v>242</v>
      </c>
      <c r="I2932" s="526">
        <v>45813.0</v>
      </c>
      <c r="J2932" s="859"/>
      <c r="K2932" s="65" t="s">
        <v>17176</v>
      </c>
      <c r="L2932" s="65"/>
      <c r="M2932" s="65" t="s">
        <v>17177</v>
      </c>
      <c r="N2932" s="65" t="s">
        <v>17178</v>
      </c>
      <c r="O2932" s="65"/>
      <c r="P2932" s="570" t="s">
        <v>17179</v>
      </c>
      <c r="Q2932" s="2289" t="str">
        <f> hyperlink(vlookup(lower(N2932),'File Links'!E:F, 2, FALSE), "LINK")</f>
        <v>LINK</v>
      </c>
      <c r="R2932" s="65" t="s">
        <v>17180</v>
      </c>
      <c r="S2932" s="65" t="s">
        <v>17181</v>
      </c>
      <c r="T2932" s="65"/>
      <c r="U2932" s="65"/>
      <c r="V2932" s="570" t="s">
        <v>17182</v>
      </c>
      <c r="W2932" s="1225"/>
      <c r="X2932" s="2290" t="str">
        <f> hyperlink(vlookup(lower(S2932),'File Links'!E:F, 2, FALSE), "LINK")</f>
        <v>LINK</v>
      </c>
      <c r="Y2932" s="65"/>
      <c r="Z2932" s="65" t="s">
        <v>940</v>
      </c>
      <c r="AA2932" s="65" t="s">
        <v>17183</v>
      </c>
      <c r="AB2932" s="65" t="s">
        <v>7257</v>
      </c>
      <c r="AC2932" s="65" t="s">
        <v>17184</v>
      </c>
      <c r="AD2932" s="65" t="s">
        <v>17196</v>
      </c>
      <c r="AE2932" s="65" t="s">
        <v>489</v>
      </c>
      <c r="AF2932" s="333">
        <v>100.0</v>
      </c>
      <c r="AG2932" s="333">
        <v>0.8</v>
      </c>
      <c r="AH2932" s="65" t="s">
        <v>208</v>
      </c>
      <c r="AI2932" s="65" t="s">
        <v>489</v>
      </c>
      <c r="AJ2932" s="65" t="s">
        <v>131</v>
      </c>
      <c r="AK2932" s="65" t="s">
        <v>165</v>
      </c>
      <c r="AL2932" s="65" t="s">
        <v>179</v>
      </c>
      <c r="AM2932" s="65" t="s">
        <v>130</v>
      </c>
      <c r="AN2932" s="65" t="s">
        <v>131</v>
      </c>
      <c r="AO2932" s="333">
        <v>835.0</v>
      </c>
      <c r="AP2932" s="333">
        <v>0.77</v>
      </c>
      <c r="AQ2932" s="65" t="s">
        <v>208</v>
      </c>
      <c r="AR2932" s="65" t="s">
        <v>17186</v>
      </c>
      <c r="AS2932" s="65"/>
      <c r="AT2932" s="65"/>
      <c r="AU2932" s="65"/>
      <c r="AV2932" s="65"/>
      <c r="AW2932" s="432" t="s">
        <v>17187</v>
      </c>
      <c r="AX2932" s="65" t="s">
        <v>136</v>
      </c>
      <c r="AY2932" s="65"/>
      <c r="AZ2932" s="59" t="s">
        <v>7268</v>
      </c>
    </row>
    <row r="2933">
      <c r="A2933" s="41">
        <v>2944.0</v>
      </c>
      <c r="B2933" s="126" t="s">
        <v>516</v>
      </c>
      <c r="C2933" s="59" t="s">
        <v>108</v>
      </c>
      <c r="D2933" s="59" t="s">
        <v>241</v>
      </c>
      <c r="F2933" s="65" t="s">
        <v>17174</v>
      </c>
      <c r="G2933" s="65" t="s">
        <v>17198</v>
      </c>
      <c r="H2933" s="65" t="s">
        <v>242</v>
      </c>
      <c r="I2933" s="526">
        <v>45813.0</v>
      </c>
      <c r="J2933" s="859"/>
      <c r="K2933" s="65"/>
      <c r="L2933" s="65"/>
      <c r="M2933" s="65" t="s">
        <v>17177</v>
      </c>
      <c r="N2933" s="65" t="s">
        <v>17178</v>
      </c>
      <c r="O2933" s="65"/>
      <c r="P2933" s="570" t="s">
        <v>17179</v>
      </c>
      <c r="Q2933" s="2289" t="str">
        <f> hyperlink(vlookup(lower(N2933),'File Links'!E:F, 2, FALSE), "LINK")</f>
        <v>LINK</v>
      </c>
      <c r="R2933" s="65" t="s">
        <v>17180</v>
      </c>
      <c r="S2933" s="65" t="s">
        <v>17181</v>
      </c>
      <c r="T2933" s="65"/>
      <c r="U2933" s="65"/>
      <c r="V2933" s="570" t="s">
        <v>17182</v>
      </c>
      <c r="W2933" s="1225"/>
      <c r="X2933" s="2290" t="str">
        <f> hyperlink(vlookup(lower(S2933),'File Links'!E:F, 2, FALSE), "LINK")</f>
        <v>LINK</v>
      </c>
      <c r="Y2933" s="65"/>
      <c r="Z2933" s="65" t="s">
        <v>940</v>
      </c>
      <c r="AA2933" s="65" t="s">
        <v>17183</v>
      </c>
      <c r="AB2933" s="65" t="s">
        <v>7257</v>
      </c>
      <c r="AC2933" s="65" t="s">
        <v>17184</v>
      </c>
      <c r="AD2933" s="65" t="s">
        <v>17199</v>
      </c>
      <c r="AE2933" s="65" t="s">
        <v>489</v>
      </c>
      <c r="AF2933" s="333">
        <v>100.0</v>
      </c>
      <c r="AG2933" s="333">
        <v>0.79</v>
      </c>
      <c r="AH2933" s="65"/>
      <c r="AI2933" s="65" t="s">
        <v>489</v>
      </c>
      <c r="AJ2933" s="65" t="s">
        <v>131</v>
      </c>
      <c r="AK2933" s="65" t="s">
        <v>165</v>
      </c>
      <c r="AL2933" s="65" t="s">
        <v>179</v>
      </c>
      <c r="AM2933" s="65" t="s">
        <v>130</v>
      </c>
      <c r="AN2933" s="65" t="s">
        <v>131</v>
      </c>
      <c r="AO2933" s="333">
        <v>835.0</v>
      </c>
      <c r="AP2933" s="333">
        <v>0.79</v>
      </c>
      <c r="AQ2933" s="65" t="s">
        <v>208</v>
      </c>
      <c r="AR2933" s="65" t="s">
        <v>17186</v>
      </c>
      <c r="AS2933" s="65"/>
      <c r="AT2933" s="65"/>
      <c r="AU2933" s="65"/>
      <c r="AV2933" s="65"/>
      <c r="AW2933" s="432" t="s">
        <v>17187</v>
      </c>
      <c r="AX2933" s="65" t="s">
        <v>136</v>
      </c>
      <c r="AY2933" s="65"/>
      <c r="AZ2933" s="59" t="s">
        <v>7268</v>
      </c>
    </row>
    <row r="2934">
      <c r="A2934" s="41">
        <v>2945.0</v>
      </c>
      <c r="B2934" s="126" t="s">
        <v>516</v>
      </c>
      <c r="C2934" s="59" t="s">
        <v>108</v>
      </c>
      <c r="D2934" s="59" t="s">
        <v>241</v>
      </c>
      <c r="F2934" s="65" t="s">
        <v>17174</v>
      </c>
      <c r="G2934" s="65" t="s">
        <v>17200</v>
      </c>
      <c r="H2934" s="65" t="s">
        <v>242</v>
      </c>
      <c r="I2934" s="526">
        <v>45813.0</v>
      </c>
      <c r="J2934" s="859"/>
      <c r="K2934" s="65"/>
      <c r="L2934" s="65"/>
      <c r="M2934" s="65" t="s">
        <v>17177</v>
      </c>
      <c r="N2934" s="65" t="s">
        <v>17178</v>
      </c>
      <c r="O2934" s="65"/>
      <c r="P2934" s="570" t="s">
        <v>17179</v>
      </c>
      <c r="Q2934" s="2289" t="str">
        <f> hyperlink(vlookup(lower(N2934),'File Links'!E:F, 2, FALSE), "LINK")</f>
        <v>LINK</v>
      </c>
      <c r="R2934" s="65" t="s">
        <v>17180</v>
      </c>
      <c r="S2934" s="65" t="s">
        <v>17181</v>
      </c>
      <c r="T2934" s="65"/>
      <c r="U2934" s="65"/>
      <c r="V2934" s="570" t="s">
        <v>17182</v>
      </c>
      <c r="W2934" s="1225"/>
      <c r="X2934" s="2290" t="str">
        <f> hyperlink(vlookup(lower(S2934),'File Links'!E:F, 2, FALSE), "LINK")</f>
        <v>LINK</v>
      </c>
      <c r="Y2934" s="65"/>
      <c r="Z2934" s="65" t="s">
        <v>940</v>
      </c>
      <c r="AA2934" s="65" t="s">
        <v>17183</v>
      </c>
      <c r="AB2934" s="65" t="s">
        <v>7257</v>
      </c>
      <c r="AC2934" s="65" t="s">
        <v>17184</v>
      </c>
      <c r="AD2934" s="65" t="s">
        <v>17201</v>
      </c>
      <c r="AE2934" s="65" t="s">
        <v>489</v>
      </c>
      <c r="AF2934" s="333">
        <v>100.0</v>
      </c>
      <c r="AG2934" s="333">
        <v>0.79</v>
      </c>
      <c r="AH2934" s="65"/>
      <c r="AI2934" s="65" t="s">
        <v>489</v>
      </c>
      <c r="AJ2934" s="65" t="s">
        <v>131</v>
      </c>
      <c r="AK2934" s="65" t="s">
        <v>165</v>
      </c>
      <c r="AL2934" s="65" t="s">
        <v>179</v>
      </c>
      <c r="AM2934" s="65" t="s">
        <v>130</v>
      </c>
      <c r="AN2934" s="65" t="s">
        <v>131</v>
      </c>
      <c r="AO2934" s="333">
        <v>835.0</v>
      </c>
      <c r="AP2934" s="333">
        <v>0.75</v>
      </c>
      <c r="AQ2934" s="65" t="s">
        <v>208</v>
      </c>
      <c r="AR2934" s="65" t="s">
        <v>17186</v>
      </c>
      <c r="AS2934" s="65"/>
      <c r="AT2934" s="65"/>
      <c r="AU2934" s="65"/>
      <c r="AV2934" s="65"/>
      <c r="AW2934" s="432" t="s">
        <v>17187</v>
      </c>
      <c r="AX2934" s="65" t="s">
        <v>136</v>
      </c>
      <c r="AY2934" s="65"/>
      <c r="AZ2934" s="59" t="s">
        <v>7268</v>
      </c>
    </row>
    <row r="2935">
      <c r="A2935" s="41">
        <v>2946.0</v>
      </c>
      <c r="B2935" s="126" t="s">
        <v>516</v>
      </c>
      <c r="C2935" s="59" t="s">
        <v>108</v>
      </c>
      <c r="D2935" s="59" t="s">
        <v>241</v>
      </c>
      <c r="F2935" s="65" t="s">
        <v>17174</v>
      </c>
      <c r="G2935" s="65" t="s">
        <v>17202</v>
      </c>
      <c r="H2935" s="65" t="s">
        <v>242</v>
      </c>
      <c r="I2935" s="526">
        <v>45813.0</v>
      </c>
      <c r="J2935" s="859"/>
      <c r="K2935" s="65"/>
      <c r="L2935" s="65"/>
      <c r="M2935" s="65" t="s">
        <v>17177</v>
      </c>
      <c r="N2935" s="65" t="s">
        <v>17178</v>
      </c>
      <c r="O2935" s="65"/>
      <c r="P2935" s="570" t="s">
        <v>17179</v>
      </c>
      <c r="Q2935" s="2289" t="str">
        <f> hyperlink(vlookup(lower(N2935),'File Links'!E:F, 2, FALSE), "LINK")</f>
        <v>LINK</v>
      </c>
      <c r="R2935" s="65" t="s">
        <v>17180</v>
      </c>
      <c r="S2935" s="65" t="s">
        <v>17181</v>
      </c>
      <c r="T2935" s="65"/>
      <c r="U2935" s="65"/>
      <c r="V2935" s="570" t="s">
        <v>17182</v>
      </c>
      <c r="W2935" s="1225"/>
      <c r="X2935" s="2290" t="str">
        <f> hyperlink(vlookup(lower(S2935),'File Links'!E:F, 2, FALSE), "LINK")</f>
        <v>LINK</v>
      </c>
      <c r="Y2935" s="65"/>
      <c r="Z2935" s="65" t="s">
        <v>940</v>
      </c>
      <c r="AA2935" s="65" t="s">
        <v>17183</v>
      </c>
      <c r="AB2935" s="65" t="s">
        <v>7257</v>
      </c>
      <c r="AC2935" s="65" t="s">
        <v>17184</v>
      </c>
      <c r="AD2935" s="65" t="s">
        <v>17203</v>
      </c>
      <c r="AE2935" s="65" t="s">
        <v>489</v>
      </c>
      <c r="AF2935" s="333">
        <v>100.0</v>
      </c>
      <c r="AG2935" s="333">
        <v>0.77</v>
      </c>
      <c r="AH2935" s="65"/>
      <c r="AI2935" s="65" t="s">
        <v>489</v>
      </c>
      <c r="AJ2935" s="65" t="s">
        <v>131</v>
      </c>
      <c r="AK2935" s="65" t="s">
        <v>165</v>
      </c>
      <c r="AL2935" s="65" t="s">
        <v>179</v>
      </c>
      <c r="AM2935" s="65" t="s">
        <v>130</v>
      </c>
      <c r="AN2935" s="65" t="s">
        <v>131</v>
      </c>
      <c r="AO2935" s="333">
        <v>835.0</v>
      </c>
      <c r="AP2935" s="333">
        <v>0.77</v>
      </c>
      <c r="AQ2935" s="65" t="s">
        <v>208</v>
      </c>
      <c r="AR2935" s="65" t="s">
        <v>17186</v>
      </c>
      <c r="AS2935" s="65"/>
      <c r="AT2935" s="65"/>
      <c r="AU2935" s="65"/>
      <c r="AV2935" s="65"/>
      <c r="AW2935" s="432" t="s">
        <v>17187</v>
      </c>
      <c r="AX2935" s="65" t="s">
        <v>136</v>
      </c>
      <c r="AY2935" s="65"/>
      <c r="AZ2935" s="59" t="s">
        <v>7268</v>
      </c>
    </row>
    <row r="2936">
      <c r="A2936" s="41">
        <v>2947.0</v>
      </c>
      <c r="B2936" s="126" t="s">
        <v>516</v>
      </c>
      <c r="C2936" s="59" t="s">
        <v>108</v>
      </c>
      <c r="D2936" s="59" t="s">
        <v>241</v>
      </c>
      <c r="F2936" s="65" t="s">
        <v>17174</v>
      </c>
      <c r="G2936" s="65" t="s">
        <v>17204</v>
      </c>
      <c r="H2936" s="65" t="s">
        <v>242</v>
      </c>
      <c r="I2936" s="526">
        <v>45813.0</v>
      </c>
      <c r="J2936" s="859"/>
      <c r="K2936" s="65"/>
      <c r="L2936" s="65"/>
      <c r="M2936" s="65" t="s">
        <v>17177</v>
      </c>
      <c r="N2936" s="65" t="s">
        <v>17178</v>
      </c>
      <c r="O2936" s="65"/>
      <c r="P2936" s="570" t="s">
        <v>17179</v>
      </c>
      <c r="Q2936" s="2289" t="str">
        <f> hyperlink(vlookup(lower(N2936),'File Links'!E:F, 2, FALSE), "LINK")</f>
        <v>LINK</v>
      </c>
      <c r="R2936" s="65" t="s">
        <v>17180</v>
      </c>
      <c r="S2936" s="65" t="s">
        <v>17181</v>
      </c>
      <c r="T2936" s="65"/>
      <c r="U2936" s="65"/>
      <c r="V2936" s="570" t="s">
        <v>17182</v>
      </c>
      <c r="W2936" s="1225"/>
      <c r="X2936" s="2290" t="str">
        <f> hyperlink(vlookup(lower(S2936),'File Links'!E:F, 2, FALSE), "LINK")</f>
        <v>LINK</v>
      </c>
      <c r="Y2936" s="65"/>
      <c r="Z2936" s="65" t="s">
        <v>940</v>
      </c>
      <c r="AA2936" s="65" t="s">
        <v>17183</v>
      </c>
      <c r="AB2936" s="65" t="s">
        <v>7257</v>
      </c>
      <c r="AC2936" s="65" t="s">
        <v>17184</v>
      </c>
      <c r="AD2936" s="65" t="s">
        <v>17205</v>
      </c>
      <c r="AE2936" s="65" t="s">
        <v>489</v>
      </c>
      <c r="AF2936" s="333">
        <v>100.0</v>
      </c>
      <c r="AG2936" s="333">
        <v>0.8</v>
      </c>
      <c r="AH2936" s="65"/>
      <c r="AI2936" s="65" t="s">
        <v>489</v>
      </c>
      <c r="AJ2936" s="65" t="s">
        <v>131</v>
      </c>
      <c r="AK2936" s="65" t="s">
        <v>165</v>
      </c>
      <c r="AL2936" s="65" t="s">
        <v>179</v>
      </c>
      <c r="AM2936" s="65" t="s">
        <v>130</v>
      </c>
      <c r="AN2936" s="65" t="s">
        <v>131</v>
      </c>
      <c r="AO2936" s="333">
        <v>835.0</v>
      </c>
      <c r="AP2936" s="333">
        <v>0.77</v>
      </c>
      <c r="AQ2936" s="65" t="s">
        <v>208</v>
      </c>
      <c r="AR2936" s="65" t="s">
        <v>17186</v>
      </c>
      <c r="AS2936" s="65"/>
      <c r="AT2936" s="65"/>
      <c r="AU2936" s="65"/>
      <c r="AV2936" s="65"/>
      <c r="AW2936" s="432" t="s">
        <v>17187</v>
      </c>
      <c r="AX2936" s="65" t="s">
        <v>136</v>
      </c>
      <c r="AY2936" s="65"/>
      <c r="AZ2936" s="59" t="s">
        <v>7268</v>
      </c>
    </row>
    <row r="2937">
      <c r="A2937" s="41">
        <v>2948.0</v>
      </c>
      <c r="B2937" s="126" t="s">
        <v>516</v>
      </c>
      <c r="C2937" s="59" t="s">
        <v>108</v>
      </c>
      <c r="D2937" s="59" t="s">
        <v>241</v>
      </c>
      <c r="F2937" s="65" t="s">
        <v>17206</v>
      </c>
      <c r="G2937" s="65" t="s">
        <v>17207</v>
      </c>
      <c r="H2937" s="65" t="s">
        <v>242</v>
      </c>
      <c r="I2937" s="526">
        <v>45813.0</v>
      </c>
      <c r="J2937" s="859"/>
      <c r="K2937" s="65"/>
      <c r="L2937" s="65"/>
      <c r="M2937" s="65" t="s">
        <v>17208</v>
      </c>
      <c r="N2937" s="65" t="s">
        <v>17209</v>
      </c>
      <c r="O2937" s="65"/>
      <c r="P2937" s="570" t="s">
        <v>17210</v>
      </c>
      <c r="Q2937" s="2289" t="str">
        <f> hyperlink(vlookup(lower(N2937),'File Links'!E:F, 2, FALSE), "LINK")</f>
        <v>LINK</v>
      </c>
      <c r="R2937" s="65" t="s">
        <v>17211</v>
      </c>
      <c r="S2937" s="65" t="s">
        <v>17212</v>
      </c>
      <c r="T2937" s="65"/>
      <c r="U2937" s="65"/>
      <c r="V2937" s="570" t="s">
        <v>17213</v>
      </c>
      <c r="W2937" s="1225"/>
      <c r="X2937" s="2290" t="str">
        <f> hyperlink(vlookup(lower(S2937),'File Links'!E:F, 2, FALSE), "LINK")</f>
        <v>LINK</v>
      </c>
      <c r="Y2937" s="65"/>
      <c r="Z2937" s="65" t="s">
        <v>940</v>
      </c>
      <c r="AA2937" s="65" t="s">
        <v>17214</v>
      </c>
      <c r="AB2937" s="65" t="s">
        <v>7257</v>
      </c>
      <c r="AC2937" s="65" t="s">
        <v>17215</v>
      </c>
      <c r="AD2937" s="65" t="s">
        <v>17216</v>
      </c>
      <c r="AE2937" s="65" t="s">
        <v>489</v>
      </c>
      <c r="AF2937" s="333">
        <v>62.0</v>
      </c>
      <c r="AG2937" s="126" t="s">
        <v>17217</v>
      </c>
      <c r="AH2937" s="65" t="s">
        <v>127</v>
      </c>
      <c r="AI2937" s="126" t="s">
        <v>17218</v>
      </c>
      <c r="AJ2937" s="333">
        <v>0.04</v>
      </c>
      <c r="AK2937" s="65" t="s">
        <v>165</v>
      </c>
      <c r="AL2937" s="65" t="s">
        <v>179</v>
      </c>
      <c r="AM2937" s="65" t="s">
        <v>130</v>
      </c>
      <c r="AN2937" s="65" t="s">
        <v>131</v>
      </c>
      <c r="AO2937" s="333">
        <v>990.0</v>
      </c>
      <c r="AP2937" s="333">
        <v>0.18</v>
      </c>
      <c r="AQ2937" s="65" t="s">
        <v>867</v>
      </c>
      <c r="AR2937" s="65" t="s">
        <v>17219</v>
      </c>
      <c r="AS2937" s="333">
        <v>0.001</v>
      </c>
      <c r="AT2937" s="65" t="s">
        <v>128</v>
      </c>
      <c r="AU2937" s="65" t="s">
        <v>179</v>
      </c>
      <c r="AV2937" s="65" t="s">
        <v>130</v>
      </c>
      <c r="AW2937" s="432" t="s">
        <v>17220</v>
      </c>
      <c r="AX2937" s="65" t="s">
        <v>136</v>
      </c>
      <c r="AY2937" s="65"/>
      <c r="AZ2937" s="59" t="s">
        <v>7268</v>
      </c>
    </row>
    <row r="2938">
      <c r="A2938" s="41">
        <v>3000.0</v>
      </c>
      <c r="B2938" s="126" t="s">
        <v>516</v>
      </c>
      <c r="C2938" s="59" t="s">
        <v>108</v>
      </c>
      <c r="D2938" s="59" t="s">
        <v>15410</v>
      </c>
      <c r="F2938" s="65" t="s">
        <v>17206</v>
      </c>
      <c r="G2938" s="156" t="s">
        <v>17207</v>
      </c>
      <c r="H2938" s="156" t="s">
        <v>17221</v>
      </c>
      <c r="I2938" s="149">
        <v>45331.0</v>
      </c>
      <c r="J2938" s="859"/>
      <c r="K2938" s="65"/>
      <c r="L2938" s="156" t="s">
        <v>17222</v>
      </c>
      <c r="M2938" s="156" t="s">
        <v>17208</v>
      </c>
      <c r="N2938" s="156" t="s">
        <v>17209</v>
      </c>
      <c r="O2938" s="333">
        <v>1.0</v>
      </c>
      <c r="P2938" s="156" t="s">
        <v>17210</v>
      </c>
      <c r="Q2938" s="2139" t="str">
        <f> hyperlink(vlookup(lower(N2938),'File Links'!E:F, 2, FALSE), "LINK")</f>
        <v>LINK</v>
      </c>
      <c r="R2938" s="156" t="s">
        <v>17211</v>
      </c>
      <c r="S2938" s="156" t="s">
        <v>17212</v>
      </c>
      <c r="T2938" s="65"/>
      <c r="U2938" s="333">
        <v>2.0</v>
      </c>
      <c r="V2938" s="156" t="s">
        <v>17213</v>
      </c>
      <c r="W2938" s="65"/>
      <c r="X2938" s="2291" t="str">
        <f> hyperlink(vlookup(lower(S2938),'File Links'!E:F, 2, FALSE), "LINK")</f>
        <v>LINK</v>
      </c>
      <c r="Y2938" s="65"/>
      <c r="Z2938" s="156" t="s">
        <v>940</v>
      </c>
      <c r="AA2938" s="156" t="s">
        <v>17214</v>
      </c>
      <c r="AB2938" s="156" t="s">
        <v>7257</v>
      </c>
      <c r="AC2938" s="156" t="s">
        <v>17215</v>
      </c>
      <c r="AD2938" s="126" t="s">
        <v>17223</v>
      </c>
      <c r="AE2938" s="333">
        <v>4.0</v>
      </c>
      <c r="AF2938" s="333">
        <v>62.0</v>
      </c>
      <c r="AG2938" s="126" t="s">
        <v>17224</v>
      </c>
      <c r="AH2938" s="65" t="s">
        <v>127</v>
      </c>
      <c r="AI2938" s="65" t="s">
        <v>489</v>
      </c>
      <c r="AJ2938" s="333">
        <v>0.04</v>
      </c>
      <c r="AK2938" s="65" t="s">
        <v>165</v>
      </c>
      <c r="AL2938" s="65" t="s">
        <v>129</v>
      </c>
      <c r="AM2938" s="65" t="s">
        <v>130</v>
      </c>
      <c r="AN2938" s="65"/>
      <c r="AO2938" s="333">
        <v>990.0</v>
      </c>
      <c r="AP2938" s="333">
        <v>0.14</v>
      </c>
      <c r="AQ2938" s="65" t="s">
        <v>2798</v>
      </c>
      <c r="AR2938" s="65" t="s">
        <v>15630</v>
      </c>
      <c r="AS2938" s="333">
        <v>0.017</v>
      </c>
      <c r="AT2938" s="65" t="s">
        <v>165</v>
      </c>
      <c r="AU2938" s="65" t="s">
        <v>129</v>
      </c>
      <c r="AV2938" s="65" t="s">
        <v>130</v>
      </c>
      <c r="AW2938" s="432" t="s">
        <v>17225</v>
      </c>
      <c r="AX2938" s="65" t="s">
        <v>136</v>
      </c>
      <c r="AY2938" s="65"/>
      <c r="AZ2938" s="59" t="s">
        <v>7268</v>
      </c>
    </row>
    <row r="2939">
      <c r="A2939" s="41">
        <v>2949.0</v>
      </c>
      <c r="B2939" s="126" t="s">
        <v>516</v>
      </c>
      <c r="C2939" s="59" t="s">
        <v>108</v>
      </c>
      <c r="D2939" s="59" t="s">
        <v>241</v>
      </c>
      <c r="F2939" s="65" t="s">
        <v>17206</v>
      </c>
      <c r="G2939" s="65" t="s">
        <v>17226</v>
      </c>
      <c r="H2939" s="65" t="s">
        <v>242</v>
      </c>
      <c r="I2939" s="526">
        <v>45813.0</v>
      </c>
      <c r="J2939" s="859"/>
      <c r="K2939" s="65"/>
      <c r="L2939" s="65"/>
      <c r="M2939" s="65" t="s">
        <v>17208</v>
      </c>
      <c r="N2939" s="65" t="s">
        <v>17209</v>
      </c>
      <c r="O2939" s="65"/>
      <c r="P2939" s="570" t="s">
        <v>17210</v>
      </c>
      <c r="Q2939" s="2289" t="str">
        <f> hyperlink(vlookup(lower(N2939),'File Links'!E:F, 2, FALSE), "LINK")</f>
        <v>LINK</v>
      </c>
      <c r="R2939" s="65" t="s">
        <v>17211</v>
      </c>
      <c r="S2939" s="65" t="s">
        <v>17212</v>
      </c>
      <c r="T2939" s="65"/>
      <c r="U2939" s="65"/>
      <c r="V2939" s="570" t="s">
        <v>17213</v>
      </c>
      <c r="W2939" s="1225"/>
      <c r="X2939" s="2290" t="str">
        <f> hyperlink(vlookup(lower(S2939),'File Links'!E:F, 2, FALSE), "LINK")</f>
        <v>LINK</v>
      </c>
      <c r="Y2939" s="65"/>
      <c r="Z2939" s="65" t="s">
        <v>940</v>
      </c>
      <c r="AA2939" s="65" t="s">
        <v>17214</v>
      </c>
      <c r="AB2939" s="65" t="s">
        <v>7257</v>
      </c>
      <c r="AC2939" s="65" t="s">
        <v>17215</v>
      </c>
      <c r="AD2939" s="65" t="s">
        <v>17227</v>
      </c>
      <c r="AE2939" s="65" t="s">
        <v>489</v>
      </c>
      <c r="AF2939" s="333">
        <v>62.0</v>
      </c>
      <c r="AG2939" s="126" t="s">
        <v>17217</v>
      </c>
      <c r="AH2939" s="65" t="s">
        <v>127</v>
      </c>
      <c r="AI2939" s="65" t="s">
        <v>17228</v>
      </c>
      <c r="AJ2939" s="333">
        <v>0.0</v>
      </c>
      <c r="AK2939" s="65" t="s">
        <v>165</v>
      </c>
      <c r="AL2939" s="65" t="s">
        <v>179</v>
      </c>
      <c r="AM2939" s="65" t="s">
        <v>130</v>
      </c>
      <c r="AN2939" s="65" t="s">
        <v>131</v>
      </c>
      <c r="AO2939" s="333">
        <v>337.0</v>
      </c>
      <c r="AP2939" s="333">
        <v>0.29</v>
      </c>
      <c r="AQ2939" s="65" t="s">
        <v>2798</v>
      </c>
      <c r="AR2939" s="65" t="s">
        <v>17229</v>
      </c>
      <c r="AS2939" s="333">
        <v>0.001</v>
      </c>
      <c r="AT2939" s="65" t="s">
        <v>128</v>
      </c>
      <c r="AU2939" s="65" t="s">
        <v>179</v>
      </c>
      <c r="AV2939" s="65" t="s">
        <v>130</v>
      </c>
      <c r="AW2939" s="432" t="s">
        <v>17220</v>
      </c>
      <c r="AX2939" s="65" t="s">
        <v>136</v>
      </c>
      <c r="AY2939" s="65"/>
      <c r="AZ2939" s="59" t="s">
        <v>7268</v>
      </c>
    </row>
    <row r="2940">
      <c r="A2940" s="41">
        <v>2950.0</v>
      </c>
      <c r="B2940" s="126" t="s">
        <v>516</v>
      </c>
      <c r="C2940" s="59" t="s">
        <v>108</v>
      </c>
      <c r="D2940" s="59" t="s">
        <v>241</v>
      </c>
      <c r="F2940" s="65" t="s">
        <v>17206</v>
      </c>
      <c r="G2940" s="65" t="s">
        <v>17230</v>
      </c>
      <c r="H2940" s="65" t="s">
        <v>242</v>
      </c>
      <c r="I2940" s="526">
        <v>45813.0</v>
      </c>
      <c r="J2940" s="859"/>
      <c r="K2940" s="65"/>
      <c r="L2940" s="65"/>
      <c r="M2940" s="65" t="s">
        <v>17208</v>
      </c>
      <c r="N2940" s="65" t="s">
        <v>17209</v>
      </c>
      <c r="O2940" s="65"/>
      <c r="P2940" s="570" t="s">
        <v>17210</v>
      </c>
      <c r="Q2940" s="2289" t="str">
        <f> hyperlink(vlookup(lower(N2940),'File Links'!E:F, 2, FALSE), "LINK")</f>
        <v>LINK</v>
      </c>
      <c r="R2940" s="65" t="s">
        <v>17211</v>
      </c>
      <c r="S2940" s="65" t="s">
        <v>17212</v>
      </c>
      <c r="T2940" s="65"/>
      <c r="U2940" s="65"/>
      <c r="V2940" s="570" t="s">
        <v>17213</v>
      </c>
      <c r="W2940" s="1225"/>
      <c r="X2940" s="2290" t="str">
        <f> hyperlink(vlookup(lower(S2940),'File Links'!E:F, 2, FALSE), "LINK")</f>
        <v>LINK</v>
      </c>
      <c r="Y2940" s="65"/>
      <c r="Z2940" s="65" t="s">
        <v>940</v>
      </c>
      <c r="AA2940" s="65" t="s">
        <v>17214</v>
      </c>
      <c r="AB2940" s="65" t="s">
        <v>7257</v>
      </c>
      <c r="AC2940" s="65" t="s">
        <v>17215</v>
      </c>
      <c r="AD2940" s="65" t="s">
        <v>17231</v>
      </c>
      <c r="AE2940" s="65" t="s">
        <v>489</v>
      </c>
      <c r="AF2940" s="333">
        <v>62.0</v>
      </c>
      <c r="AG2940" s="126" t="s">
        <v>17217</v>
      </c>
      <c r="AH2940" s="65" t="s">
        <v>127</v>
      </c>
      <c r="AI2940" s="65" t="s">
        <v>17232</v>
      </c>
      <c r="AJ2940" s="333">
        <v>0.2</v>
      </c>
      <c r="AK2940" s="65" t="s">
        <v>165</v>
      </c>
      <c r="AL2940" s="65" t="s">
        <v>179</v>
      </c>
      <c r="AM2940" s="65" t="s">
        <v>130</v>
      </c>
      <c r="AN2940" s="65" t="s">
        <v>131</v>
      </c>
      <c r="AO2940" s="333">
        <v>326.0</v>
      </c>
      <c r="AP2940" s="333">
        <v>0.14</v>
      </c>
      <c r="AQ2940" s="65" t="s">
        <v>2798</v>
      </c>
      <c r="AR2940" s="65" t="s">
        <v>17233</v>
      </c>
      <c r="AS2940" s="333">
        <v>0.017</v>
      </c>
      <c r="AT2940" s="65" t="s">
        <v>128</v>
      </c>
      <c r="AU2940" s="65" t="s">
        <v>179</v>
      </c>
      <c r="AV2940" s="65" t="s">
        <v>130</v>
      </c>
      <c r="AW2940" s="432" t="s">
        <v>17220</v>
      </c>
      <c r="AX2940" s="65" t="s">
        <v>136</v>
      </c>
      <c r="AY2940" s="65"/>
      <c r="AZ2940" s="59" t="s">
        <v>7268</v>
      </c>
    </row>
    <row r="2941">
      <c r="A2941" s="41">
        <v>2951.0</v>
      </c>
      <c r="B2941" s="126" t="s">
        <v>516</v>
      </c>
      <c r="C2941" s="59" t="s">
        <v>108</v>
      </c>
      <c r="D2941" s="59" t="s">
        <v>241</v>
      </c>
      <c r="F2941" s="65" t="s">
        <v>17206</v>
      </c>
      <c r="G2941" s="65" t="s">
        <v>17234</v>
      </c>
      <c r="H2941" s="65" t="s">
        <v>242</v>
      </c>
      <c r="I2941" s="526">
        <v>45813.0</v>
      </c>
      <c r="J2941" s="859"/>
      <c r="K2941" s="65"/>
      <c r="L2941" s="65"/>
      <c r="M2941" s="65" t="s">
        <v>17208</v>
      </c>
      <c r="N2941" s="65" t="s">
        <v>17209</v>
      </c>
      <c r="O2941" s="65"/>
      <c r="P2941" s="570" t="s">
        <v>17210</v>
      </c>
      <c r="Q2941" s="2289" t="str">
        <f> hyperlink(vlookup(lower(N2941),'File Links'!E:F, 2, FALSE), "LINK")</f>
        <v>LINK</v>
      </c>
      <c r="R2941" s="65" t="s">
        <v>17211</v>
      </c>
      <c r="S2941" s="65" t="s">
        <v>17212</v>
      </c>
      <c r="T2941" s="65"/>
      <c r="U2941" s="65"/>
      <c r="V2941" s="570" t="s">
        <v>17213</v>
      </c>
      <c r="W2941" s="1225"/>
      <c r="X2941" s="2290" t="str">
        <f> hyperlink(vlookup(lower(S2941),'File Links'!E:F, 2, FALSE), "LINK")</f>
        <v>LINK</v>
      </c>
      <c r="Y2941" s="65"/>
      <c r="Z2941" s="65" t="s">
        <v>940</v>
      </c>
      <c r="AA2941" s="65" t="s">
        <v>17214</v>
      </c>
      <c r="AB2941" s="65" t="s">
        <v>7257</v>
      </c>
      <c r="AC2941" s="65" t="s">
        <v>17215</v>
      </c>
      <c r="AD2941" s="65" t="s">
        <v>17235</v>
      </c>
      <c r="AE2941" s="65" t="s">
        <v>489</v>
      </c>
      <c r="AF2941" s="333">
        <v>62.0</v>
      </c>
      <c r="AG2941" s="333">
        <v>0.11</v>
      </c>
      <c r="AH2941" s="65" t="s">
        <v>867</v>
      </c>
      <c r="AI2941" s="65" t="s">
        <v>17236</v>
      </c>
      <c r="AJ2941" s="333">
        <v>0.01</v>
      </c>
      <c r="AK2941" s="65" t="s">
        <v>165</v>
      </c>
      <c r="AL2941" s="65" t="s">
        <v>179</v>
      </c>
      <c r="AM2941" s="65" t="s">
        <v>130</v>
      </c>
      <c r="AN2941" s="65" t="s">
        <v>131</v>
      </c>
      <c r="AO2941" s="333">
        <v>987.0</v>
      </c>
      <c r="AP2941" s="333">
        <v>0.001</v>
      </c>
      <c r="AQ2941" s="65" t="s">
        <v>867</v>
      </c>
      <c r="AR2941" s="65" t="s">
        <v>17237</v>
      </c>
      <c r="AS2941" s="333">
        <v>0.73</v>
      </c>
      <c r="AT2941" s="65" t="s">
        <v>165</v>
      </c>
      <c r="AU2941" s="65" t="s">
        <v>179</v>
      </c>
      <c r="AV2941" s="65" t="s">
        <v>130</v>
      </c>
      <c r="AW2941" s="432" t="s">
        <v>17220</v>
      </c>
      <c r="AX2941" s="65" t="s">
        <v>136</v>
      </c>
      <c r="AY2941" s="65"/>
      <c r="AZ2941" s="59" t="s">
        <v>7268</v>
      </c>
    </row>
    <row r="2942">
      <c r="A2942" s="41">
        <v>2952.0</v>
      </c>
      <c r="B2942" s="126" t="s">
        <v>278</v>
      </c>
      <c r="C2942" s="59" t="s">
        <v>108</v>
      </c>
      <c r="D2942" s="59" t="s">
        <v>241</v>
      </c>
      <c r="F2942" s="65" t="s">
        <v>17238</v>
      </c>
      <c r="G2942" s="65" t="s">
        <v>17239</v>
      </c>
      <c r="H2942" s="65" t="s">
        <v>242</v>
      </c>
      <c r="I2942" s="526">
        <v>45813.0</v>
      </c>
      <c r="J2942" s="859"/>
      <c r="K2942" s="65" t="s">
        <v>17240</v>
      </c>
      <c r="L2942" s="65"/>
      <c r="M2942" s="65" t="s">
        <v>17241</v>
      </c>
      <c r="N2942" s="65" t="s">
        <v>17242</v>
      </c>
      <c r="O2942" s="65"/>
      <c r="P2942" s="570" t="s">
        <v>17243</v>
      </c>
      <c r="Q2942" s="2289" t="str">
        <f> hyperlink(vlookup(lower(N2942),'File Links'!E:F, 2, FALSE), "LINK")</f>
        <v>LINK</v>
      </c>
      <c r="R2942" s="65" t="s">
        <v>17244</v>
      </c>
      <c r="S2942" s="65" t="s">
        <v>17245</v>
      </c>
      <c r="T2942" s="65"/>
      <c r="U2942" s="333">
        <v>1.0</v>
      </c>
      <c r="V2942" s="570" t="s">
        <v>17246</v>
      </c>
      <c r="W2942" s="1225"/>
      <c r="X2942" s="2290" t="str">
        <f> hyperlink(vlookup(lower(S2942),'File Links'!E:F, 2, FALSE), "LINK")</f>
        <v>LINK</v>
      </c>
      <c r="Y2942" s="65"/>
      <c r="Z2942" s="65" t="s">
        <v>940</v>
      </c>
      <c r="AA2942" s="65" t="s">
        <v>17247</v>
      </c>
      <c r="AB2942" s="65" t="s">
        <v>7257</v>
      </c>
      <c r="AC2942" s="65" t="s">
        <v>17248</v>
      </c>
      <c r="AD2942" s="65" t="s">
        <v>17249</v>
      </c>
      <c r="AE2942" s="65" t="s">
        <v>875</v>
      </c>
      <c r="AF2942" s="333">
        <v>54.0</v>
      </c>
      <c r="AG2942" s="65" t="s">
        <v>17250</v>
      </c>
      <c r="AH2942" s="65" t="s">
        <v>127</v>
      </c>
      <c r="AI2942" s="65" t="s">
        <v>17251</v>
      </c>
      <c r="AJ2942" s="333">
        <v>0.01</v>
      </c>
      <c r="AK2942" s="65" t="s">
        <v>128</v>
      </c>
      <c r="AL2942" s="65" t="s">
        <v>179</v>
      </c>
      <c r="AM2942" s="65" t="s">
        <v>130</v>
      </c>
      <c r="AN2942" s="65" t="s">
        <v>131</v>
      </c>
      <c r="AO2942" s="333">
        <v>386.0</v>
      </c>
      <c r="AP2942" s="333">
        <v>0.06</v>
      </c>
      <c r="AQ2942" s="65" t="s">
        <v>867</v>
      </c>
      <c r="AR2942" s="65" t="s">
        <v>17252</v>
      </c>
      <c r="AS2942" s="333">
        <v>0.001</v>
      </c>
      <c r="AT2942" s="65" t="s">
        <v>128</v>
      </c>
      <c r="AU2942" s="65" t="s">
        <v>179</v>
      </c>
      <c r="AV2942" s="65" t="s">
        <v>130</v>
      </c>
      <c r="AW2942" s="432" t="s">
        <v>17253</v>
      </c>
      <c r="AX2942" s="65" t="s">
        <v>136</v>
      </c>
      <c r="AZ2942" s="59" t="s">
        <v>3123</v>
      </c>
    </row>
    <row r="2943">
      <c r="A2943" s="41">
        <v>2953.0</v>
      </c>
      <c r="B2943" s="126" t="s">
        <v>278</v>
      </c>
      <c r="C2943" s="59" t="s">
        <v>108</v>
      </c>
      <c r="D2943" s="59" t="s">
        <v>241</v>
      </c>
      <c r="F2943" s="65" t="s">
        <v>17238</v>
      </c>
      <c r="G2943" s="65" t="s">
        <v>17254</v>
      </c>
      <c r="H2943" s="65" t="s">
        <v>242</v>
      </c>
      <c r="I2943" s="526">
        <v>45813.0</v>
      </c>
      <c r="J2943" s="859"/>
      <c r="K2943" s="65" t="s">
        <v>17240</v>
      </c>
      <c r="L2943" s="65"/>
      <c r="M2943" s="65" t="s">
        <v>17241</v>
      </c>
      <c r="N2943" s="65" t="s">
        <v>17242</v>
      </c>
      <c r="O2943" s="65"/>
      <c r="P2943" s="570" t="s">
        <v>17243</v>
      </c>
      <c r="Q2943" s="2289" t="str">
        <f> hyperlink(vlookup(lower(N2943),'File Links'!E:F, 2, FALSE), "LINK")</f>
        <v>LINK</v>
      </c>
      <c r="R2943" s="65" t="s">
        <v>17244</v>
      </c>
      <c r="S2943" s="65" t="s">
        <v>17245</v>
      </c>
      <c r="T2943" s="65"/>
      <c r="U2943" s="333">
        <v>1.0</v>
      </c>
      <c r="V2943" s="570" t="s">
        <v>17246</v>
      </c>
      <c r="W2943" s="1225"/>
      <c r="X2943" s="2290" t="str">
        <f> hyperlink(vlookup(lower(S2943),'File Links'!E:F, 2, FALSE), "LINK")</f>
        <v>LINK</v>
      </c>
      <c r="Y2943" s="65"/>
      <c r="Z2943" s="65" t="s">
        <v>940</v>
      </c>
      <c r="AA2943" s="65" t="s">
        <v>17247</v>
      </c>
      <c r="AB2943" s="65" t="s">
        <v>7257</v>
      </c>
      <c r="AC2943" s="65" t="s">
        <v>17248</v>
      </c>
      <c r="AD2943" s="65" t="s">
        <v>17255</v>
      </c>
      <c r="AE2943" s="65" t="s">
        <v>875</v>
      </c>
      <c r="AF2943" s="333">
        <v>23.0</v>
      </c>
      <c r="AG2943" s="65" t="s">
        <v>17256</v>
      </c>
      <c r="AH2943" s="65" t="s">
        <v>127</v>
      </c>
      <c r="AI2943" s="65" t="s">
        <v>17257</v>
      </c>
      <c r="AJ2943" s="333">
        <v>0.06</v>
      </c>
      <c r="AK2943" s="65" t="s">
        <v>165</v>
      </c>
      <c r="AL2943" s="65" t="s">
        <v>179</v>
      </c>
      <c r="AM2943" s="65" t="s">
        <v>130</v>
      </c>
      <c r="AN2943" s="65" t="s">
        <v>131</v>
      </c>
      <c r="AO2943" s="333">
        <v>386.0</v>
      </c>
      <c r="AP2943" s="333">
        <v>0.24</v>
      </c>
      <c r="AQ2943" s="65" t="s">
        <v>166</v>
      </c>
      <c r="AR2943" s="65" t="s">
        <v>17258</v>
      </c>
      <c r="AS2943" s="333">
        <v>0.001</v>
      </c>
      <c r="AT2943" s="65" t="s">
        <v>128</v>
      </c>
      <c r="AU2943" s="65" t="s">
        <v>179</v>
      </c>
      <c r="AV2943" s="65" t="s">
        <v>130</v>
      </c>
      <c r="AW2943" s="432" t="s">
        <v>17253</v>
      </c>
      <c r="AX2943" s="65" t="s">
        <v>136</v>
      </c>
    </row>
    <row r="2944">
      <c r="A2944" s="41">
        <v>2954.0</v>
      </c>
      <c r="B2944" s="126" t="s">
        <v>278</v>
      </c>
      <c r="C2944" s="59" t="s">
        <v>108</v>
      </c>
      <c r="D2944" s="59" t="s">
        <v>241</v>
      </c>
      <c r="F2944" s="65" t="s">
        <v>17238</v>
      </c>
      <c r="G2944" s="65" t="s">
        <v>17259</v>
      </c>
      <c r="H2944" s="65" t="s">
        <v>242</v>
      </c>
      <c r="I2944" s="526">
        <v>45813.0</v>
      </c>
      <c r="J2944" s="859"/>
      <c r="K2944" s="65" t="s">
        <v>17260</v>
      </c>
      <c r="L2944" s="65"/>
      <c r="M2944" s="65" t="s">
        <v>17241</v>
      </c>
      <c r="N2944" s="65" t="s">
        <v>17242</v>
      </c>
      <c r="O2944" s="65"/>
      <c r="P2944" s="570" t="s">
        <v>17243</v>
      </c>
      <c r="Q2944" s="2289" t="str">
        <f> hyperlink(vlookup(lower(N2944),'File Links'!E:F, 2, FALSE), "LINK")</f>
        <v>LINK</v>
      </c>
      <c r="R2944" s="65" t="s">
        <v>17244</v>
      </c>
      <c r="S2944" s="65" t="s">
        <v>17245</v>
      </c>
      <c r="T2944" s="65"/>
      <c r="U2944" s="333">
        <v>1.0</v>
      </c>
      <c r="V2944" s="570" t="s">
        <v>17246</v>
      </c>
      <c r="W2944" s="1225"/>
      <c r="X2944" s="2290" t="str">
        <f> hyperlink(vlookup(lower(S2944),'File Links'!E:F, 2, FALSE), "LINK")</f>
        <v>LINK</v>
      </c>
      <c r="Y2944" s="65"/>
      <c r="Z2944" s="65" t="s">
        <v>940</v>
      </c>
      <c r="AA2944" s="65" t="s">
        <v>17247</v>
      </c>
      <c r="AB2944" s="65" t="s">
        <v>7257</v>
      </c>
      <c r="AC2944" s="65" t="s">
        <v>17248</v>
      </c>
      <c r="AD2944" s="65" t="s">
        <v>17249</v>
      </c>
      <c r="AE2944" s="65" t="s">
        <v>875</v>
      </c>
      <c r="AF2944" s="333">
        <v>54.0</v>
      </c>
      <c r="AG2944" s="65" t="s">
        <v>17250</v>
      </c>
      <c r="AH2944" s="65" t="s">
        <v>127</v>
      </c>
      <c r="AI2944" s="65" t="s">
        <v>17251</v>
      </c>
      <c r="AJ2944" s="333">
        <v>0.01</v>
      </c>
      <c r="AK2944" s="65" t="s">
        <v>128</v>
      </c>
      <c r="AL2944" s="65" t="s">
        <v>179</v>
      </c>
      <c r="AM2944" s="65" t="s">
        <v>130</v>
      </c>
      <c r="AN2944" s="65" t="s">
        <v>131</v>
      </c>
      <c r="AO2944" s="333">
        <v>723.0</v>
      </c>
      <c r="AP2944" s="333">
        <v>0.01</v>
      </c>
      <c r="AQ2944" s="65" t="s">
        <v>867</v>
      </c>
      <c r="AR2944" s="65" t="s">
        <v>17261</v>
      </c>
      <c r="AS2944" s="333">
        <v>0.001</v>
      </c>
      <c r="AT2944" s="65" t="s">
        <v>165</v>
      </c>
      <c r="AU2944" s="65" t="s">
        <v>179</v>
      </c>
      <c r="AV2944" s="65" t="s">
        <v>134</v>
      </c>
      <c r="AW2944" s="432" t="s">
        <v>17262</v>
      </c>
      <c r="AX2944" s="65" t="s">
        <v>136</v>
      </c>
    </row>
    <row r="2945">
      <c r="A2945" s="41">
        <v>2955.0</v>
      </c>
      <c r="B2945" s="126" t="s">
        <v>278</v>
      </c>
      <c r="C2945" s="59" t="s">
        <v>108</v>
      </c>
      <c r="D2945" s="59" t="s">
        <v>241</v>
      </c>
      <c r="F2945" s="65" t="s">
        <v>17238</v>
      </c>
      <c r="G2945" s="65" t="s">
        <v>17263</v>
      </c>
      <c r="H2945" s="65" t="s">
        <v>242</v>
      </c>
      <c r="I2945" s="526">
        <v>45813.0</v>
      </c>
      <c r="J2945" s="859"/>
      <c r="K2945" s="65" t="s">
        <v>17260</v>
      </c>
      <c r="L2945" s="65"/>
      <c r="M2945" s="65" t="s">
        <v>17241</v>
      </c>
      <c r="N2945" s="65" t="s">
        <v>17242</v>
      </c>
      <c r="O2945" s="65"/>
      <c r="P2945" s="570" t="s">
        <v>17243</v>
      </c>
      <c r="Q2945" s="2289" t="str">
        <f> hyperlink(vlookup(lower(N2945),'File Links'!E:F, 2, FALSE), "LINK")</f>
        <v>LINK</v>
      </c>
      <c r="R2945" s="65" t="s">
        <v>17244</v>
      </c>
      <c r="S2945" s="65" t="s">
        <v>17245</v>
      </c>
      <c r="T2945" s="65"/>
      <c r="U2945" s="333">
        <v>1.0</v>
      </c>
      <c r="V2945" s="570" t="s">
        <v>17246</v>
      </c>
      <c r="W2945" s="1225"/>
      <c r="X2945" s="2290" t="str">
        <f> hyperlink(vlookup(lower(S2945),'File Links'!E:F, 2, FALSE), "LINK")</f>
        <v>LINK</v>
      </c>
      <c r="Y2945" s="65"/>
      <c r="Z2945" s="65" t="s">
        <v>940</v>
      </c>
      <c r="AA2945" s="65" t="s">
        <v>17247</v>
      </c>
      <c r="AB2945" s="65" t="s">
        <v>7257</v>
      </c>
      <c r="AC2945" s="65" t="s">
        <v>17248</v>
      </c>
      <c r="AD2945" s="65" t="s">
        <v>17255</v>
      </c>
      <c r="AE2945" s="65" t="s">
        <v>875</v>
      </c>
      <c r="AF2945" s="333">
        <v>23.0</v>
      </c>
      <c r="AG2945" s="65" t="s">
        <v>17256</v>
      </c>
      <c r="AH2945" s="65" t="s">
        <v>127</v>
      </c>
      <c r="AI2945" s="65" t="s">
        <v>17257</v>
      </c>
      <c r="AJ2945" s="333">
        <v>0.06</v>
      </c>
      <c r="AK2945" s="65" t="s">
        <v>165</v>
      </c>
      <c r="AL2945" s="65" t="s">
        <v>179</v>
      </c>
      <c r="AM2945" s="65" t="s">
        <v>130</v>
      </c>
      <c r="AN2945" s="65" t="s">
        <v>131</v>
      </c>
      <c r="AO2945" s="333">
        <v>723.0</v>
      </c>
      <c r="AP2945" s="333">
        <v>0.4</v>
      </c>
      <c r="AQ2945" s="65" t="s">
        <v>166</v>
      </c>
      <c r="AR2945" s="65" t="s">
        <v>17264</v>
      </c>
      <c r="AS2945" s="333">
        <v>0.001</v>
      </c>
      <c r="AT2945" s="65" t="s">
        <v>128</v>
      </c>
      <c r="AU2945" s="65" t="s">
        <v>179</v>
      </c>
      <c r="AV2945" s="65" t="s">
        <v>134</v>
      </c>
      <c r="AW2945" s="432" t="s">
        <v>17262</v>
      </c>
      <c r="AX2945" s="65" t="s">
        <v>136</v>
      </c>
    </row>
    <row r="2946">
      <c r="A2946" s="41">
        <v>2956.0</v>
      </c>
      <c r="B2946" s="126" t="s">
        <v>278</v>
      </c>
      <c r="C2946" s="59" t="s">
        <v>108</v>
      </c>
      <c r="D2946" s="59" t="s">
        <v>241</v>
      </c>
      <c r="F2946" s="65" t="s">
        <v>17238</v>
      </c>
      <c r="G2946" s="65" t="s">
        <v>17265</v>
      </c>
      <c r="H2946" s="65" t="s">
        <v>242</v>
      </c>
      <c r="I2946" s="526">
        <v>45813.0</v>
      </c>
      <c r="J2946" s="859"/>
      <c r="K2946" s="65" t="s">
        <v>17266</v>
      </c>
      <c r="L2946" s="65"/>
      <c r="M2946" s="65" t="s">
        <v>17241</v>
      </c>
      <c r="N2946" s="65" t="s">
        <v>17242</v>
      </c>
      <c r="O2946" s="65"/>
      <c r="P2946" s="570" t="s">
        <v>17243</v>
      </c>
      <c r="Q2946" s="2289" t="str">
        <f> hyperlink(vlookup(lower(N2946),'File Links'!E:F, 2, FALSE), "LINK")</f>
        <v>LINK</v>
      </c>
      <c r="R2946" s="65" t="s">
        <v>17244</v>
      </c>
      <c r="S2946" s="65" t="s">
        <v>17245</v>
      </c>
      <c r="T2946" s="65"/>
      <c r="U2946" s="333">
        <v>1.0</v>
      </c>
      <c r="V2946" s="570" t="s">
        <v>17246</v>
      </c>
      <c r="W2946" s="1225"/>
      <c r="X2946" s="2290" t="str">
        <f> hyperlink(vlookup(lower(S2946),'File Links'!E:F, 2, FALSE), "LINK")</f>
        <v>LINK</v>
      </c>
      <c r="Y2946" s="65"/>
      <c r="Z2946" s="65" t="s">
        <v>940</v>
      </c>
      <c r="AA2946" s="65" t="s">
        <v>17247</v>
      </c>
      <c r="AB2946" s="65" t="s">
        <v>7257</v>
      </c>
      <c r="AC2946" s="65" t="s">
        <v>17248</v>
      </c>
      <c r="AD2946" s="65" t="s">
        <v>17249</v>
      </c>
      <c r="AE2946" s="65" t="s">
        <v>875</v>
      </c>
      <c r="AF2946" s="333">
        <v>54.0</v>
      </c>
      <c r="AG2946" s="65" t="s">
        <v>17250</v>
      </c>
      <c r="AH2946" s="65" t="s">
        <v>127</v>
      </c>
      <c r="AI2946" s="65" t="s">
        <v>17251</v>
      </c>
      <c r="AJ2946" s="333">
        <v>0.01</v>
      </c>
      <c r="AK2946" s="65" t="s">
        <v>128</v>
      </c>
      <c r="AL2946" s="65" t="s">
        <v>179</v>
      </c>
      <c r="AM2946" s="65" t="s">
        <v>130</v>
      </c>
      <c r="AN2946" s="65" t="s">
        <v>131</v>
      </c>
      <c r="AO2946" s="333">
        <v>437.0</v>
      </c>
      <c r="AP2946" s="333">
        <v>0.09</v>
      </c>
      <c r="AQ2946" s="65" t="s">
        <v>867</v>
      </c>
      <c r="AR2946" s="65" t="s">
        <v>17267</v>
      </c>
      <c r="AS2946" s="333">
        <v>0.001</v>
      </c>
      <c r="AT2946" s="65" t="s">
        <v>165</v>
      </c>
      <c r="AU2946" s="65" t="s">
        <v>179</v>
      </c>
      <c r="AV2946" s="65" t="s">
        <v>134</v>
      </c>
      <c r="AW2946" s="432" t="s">
        <v>17268</v>
      </c>
      <c r="AX2946" s="65" t="s">
        <v>136</v>
      </c>
    </row>
    <row r="2947">
      <c r="A2947" s="41">
        <v>2957.0</v>
      </c>
      <c r="B2947" s="126" t="s">
        <v>278</v>
      </c>
      <c r="C2947" s="59" t="s">
        <v>108</v>
      </c>
      <c r="D2947" s="59" t="s">
        <v>241</v>
      </c>
      <c r="F2947" s="65" t="s">
        <v>17238</v>
      </c>
      <c r="G2947" s="65" t="s">
        <v>17269</v>
      </c>
      <c r="H2947" s="65" t="s">
        <v>242</v>
      </c>
      <c r="I2947" s="526">
        <v>45813.0</v>
      </c>
      <c r="J2947" s="859"/>
      <c r="K2947" s="65" t="s">
        <v>17266</v>
      </c>
      <c r="L2947" s="65"/>
      <c r="M2947" s="65" t="s">
        <v>17241</v>
      </c>
      <c r="N2947" s="65" t="s">
        <v>17242</v>
      </c>
      <c r="O2947" s="65"/>
      <c r="P2947" s="570" t="s">
        <v>17243</v>
      </c>
      <c r="Q2947" s="2289" t="str">
        <f> hyperlink(vlookup(lower(N2947),'File Links'!E:F, 2, FALSE), "LINK")</f>
        <v>LINK</v>
      </c>
      <c r="R2947" s="65" t="s">
        <v>17244</v>
      </c>
      <c r="S2947" s="65" t="s">
        <v>17245</v>
      </c>
      <c r="T2947" s="65"/>
      <c r="U2947" s="333">
        <v>1.0</v>
      </c>
      <c r="V2947" s="570" t="s">
        <v>17246</v>
      </c>
      <c r="W2947" s="1225"/>
      <c r="X2947" s="2290" t="str">
        <f> hyperlink(vlookup(lower(S2947),'File Links'!E:F, 2, FALSE), "LINK")</f>
        <v>LINK</v>
      </c>
      <c r="Y2947" s="65"/>
      <c r="Z2947" s="65" t="s">
        <v>940</v>
      </c>
      <c r="AA2947" s="65" t="s">
        <v>17247</v>
      </c>
      <c r="AB2947" s="65" t="s">
        <v>7257</v>
      </c>
      <c r="AC2947" s="65" t="s">
        <v>17248</v>
      </c>
      <c r="AD2947" s="65" t="s">
        <v>17255</v>
      </c>
      <c r="AE2947" s="65" t="s">
        <v>875</v>
      </c>
      <c r="AF2947" s="333">
        <v>23.0</v>
      </c>
      <c r="AG2947" s="65" t="s">
        <v>17256</v>
      </c>
      <c r="AH2947" s="65" t="s">
        <v>127</v>
      </c>
      <c r="AI2947" s="65" t="s">
        <v>17257</v>
      </c>
      <c r="AJ2947" s="333">
        <v>0.06</v>
      </c>
      <c r="AK2947" s="65" t="s">
        <v>165</v>
      </c>
      <c r="AL2947" s="65" t="s">
        <v>179</v>
      </c>
      <c r="AM2947" s="65" t="s">
        <v>130</v>
      </c>
      <c r="AN2947" s="65" t="s">
        <v>131</v>
      </c>
      <c r="AO2947" s="333">
        <v>309.0</v>
      </c>
      <c r="AP2947" s="333">
        <v>0.06</v>
      </c>
      <c r="AQ2947" s="65" t="s">
        <v>867</v>
      </c>
      <c r="AR2947" s="65" t="s">
        <v>17270</v>
      </c>
      <c r="AS2947" s="333">
        <v>0.001</v>
      </c>
      <c r="AT2947" s="65" t="s">
        <v>128</v>
      </c>
      <c r="AU2947" s="65" t="s">
        <v>179</v>
      </c>
      <c r="AV2947" s="65" t="s">
        <v>134</v>
      </c>
      <c r="AW2947" s="432" t="s">
        <v>17268</v>
      </c>
      <c r="AX2947" s="65" t="s">
        <v>136</v>
      </c>
    </row>
    <row r="2948">
      <c r="A2948" s="41">
        <v>2958.0</v>
      </c>
      <c r="B2948" s="126" t="s">
        <v>278</v>
      </c>
      <c r="C2948" s="59" t="s">
        <v>108</v>
      </c>
      <c r="D2948" s="59" t="s">
        <v>241</v>
      </c>
      <c r="F2948" s="65" t="s">
        <v>17238</v>
      </c>
      <c r="G2948" s="65" t="s">
        <v>17271</v>
      </c>
      <c r="H2948" s="65" t="s">
        <v>242</v>
      </c>
      <c r="I2948" s="526">
        <v>45813.0</v>
      </c>
      <c r="J2948" s="859"/>
      <c r="K2948" s="65" t="s">
        <v>17272</v>
      </c>
      <c r="L2948" s="65"/>
      <c r="M2948" s="65" t="s">
        <v>17241</v>
      </c>
      <c r="N2948" s="65" t="s">
        <v>17242</v>
      </c>
      <c r="O2948" s="65"/>
      <c r="P2948" s="570" t="s">
        <v>17243</v>
      </c>
      <c r="Q2948" s="2289" t="str">
        <f> hyperlink(vlookup(lower(N2948),'File Links'!E:F, 2, FALSE), "LINK")</f>
        <v>LINK</v>
      </c>
      <c r="R2948" s="65" t="s">
        <v>17244</v>
      </c>
      <c r="S2948" s="65" t="s">
        <v>17245</v>
      </c>
      <c r="T2948" s="65"/>
      <c r="U2948" s="333">
        <v>2.0</v>
      </c>
      <c r="V2948" s="570" t="s">
        <v>17246</v>
      </c>
      <c r="W2948" s="1225"/>
      <c r="X2948" s="2290" t="str">
        <f> hyperlink(vlookup(lower(S2948),'File Links'!E:F, 2, FALSE), "LINK")</f>
        <v>LINK</v>
      </c>
      <c r="Y2948" s="65"/>
      <c r="Z2948" s="65" t="s">
        <v>940</v>
      </c>
      <c r="AA2948" s="65" t="s">
        <v>17247</v>
      </c>
      <c r="AB2948" s="65" t="s">
        <v>7257</v>
      </c>
      <c r="AC2948" s="65" t="s">
        <v>17248</v>
      </c>
      <c r="AD2948" s="65" t="s">
        <v>17273</v>
      </c>
      <c r="AE2948" s="65" t="s">
        <v>617</v>
      </c>
      <c r="AF2948" s="333">
        <v>134.0</v>
      </c>
      <c r="AG2948" s="65" t="s">
        <v>17274</v>
      </c>
      <c r="AH2948" s="65" t="s">
        <v>127</v>
      </c>
      <c r="AI2948" s="65" t="s">
        <v>17275</v>
      </c>
      <c r="AJ2948" s="333">
        <v>0.001</v>
      </c>
      <c r="AK2948" s="65" t="s">
        <v>128</v>
      </c>
      <c r="AL2948" s="65" t="s">
        <v>179</v>
      </c>
      <c r="AM2948" s="65" t="s">
        <v>130</v>
      </c>
      <c r="AN2948" s="65" t="s">
        <v>131</v>
      </c>
      <c r="AO2948" s="333">
        <v>499.0</v>
      </c>
      <c r="AP2948" s="333">
        <v>0.62</v>
      </c>
      <c r="AQ2948" s="65" t="s">
        <v>867</v>
      </c>
      <c r="AR2948" s="65" t="s">
        <v>17276</v>
      </c>
      <c r="AS2948" s="333">
        <v>0.001</v>
      </c>
      <c r="AT2948" s="65" t="s">
        <v>128</v>
      </c>
      <c r="AU2948" s="65" t="s">
        <v>179</v>
      </c>
      <c r="AV2948" s="65" t="s">
        <v>130</v>
      </c>
      <c r="AW2948" s="432" t="s">
        <v>17277</v>
      </c>
      <c r="AX2948" s="65" t="s">
        <v>136</v>
      </c>
    </row>
    <row r="2949">
      <c r="A2949" s="41">
        <v>2959.0</v>
      </c>
      <c r="B2949" s="126" t="s">
        <v>278</v>
      </c>
      <c r="C2949" s="59" t="s">
        <v>108</v>
      </c>
      <c r="D2949" s="59" t="s">
        <v>241</v>
      </c>
      <c r="F2949" s="65" t="s">
        <v>17238</v>
      </c>
      <c r="G2949" s="65" t="s">
        <v>17278</v>
      </c>
      <c r="H2949" s="65" t="s">
        <v>242</v>
      </c>
      <c r="I2949" s="526">
        <v>45813.0</v>
      </c>
      <c r="J2949" s="859"/>
      <c r="K2949" s="65" t="s">
        <v>17279</v>
      </c>
      <c r="L2949" s="65"/>
      <c r="M2949" s="65" t="s">
        <v>17241</v>
      </c>
      <c r="N2949" s="65" t="s">
        <v>17242</v>
      </c>
      <c r="O2949" s="65"/>
      <c r="P2949" s="570" t="s">
        <v>17243</v>
      </c>
      <c r="Q2949" s="2289" t="str">
        <f> hyperlink(vlookup(lower(N2949),'File Links'!E:F, 2, FALSE), "LINK")</f>
        <v>LINK</v>
      </c>
      <c r="R2949" s="65" t="s">
        <v>17244</v>
      </c>
      <c r="S2949" s="65" t="s">
        <v>17245</v>
      </c>
      <c r="T2949" s="65"/>
      <c r="U2949" s="333">
        <v>2.0</v>
      </c>
      <c r="V2949" s="570" t="s">
        <v>17246</v>
      </c>
      <c r="W2949" s="1225"/>
      <c r="X2949" s="2290" t="str">
        <f> hyperlink(vlookup(lower(S2949),'File Links'!E:F, 2, FALSE), "LINK")</f>
        <v>LINK</v>
      </c>
      <c r="Y2949" s="65"/>
      <c r="Z2949" s="65" t="s">
        <v>940</v>
      </c>
      <c r="AA2949" s="65" t="s">
        <v>17247</v>
      </c>
      <c r="AB2949" s="65" t="s">
        <v>7257</v>
      </c>
      <c r="AC2949" s="65" t="s">
        <v>17248</v>
      </c>
      <c r="AD2949" s="65" t="s">
        <v>17280</v>
      </c>
      <c r="AE2949" s="65" t="s">
        <v>617</v>
      </c>
      <c r="AF2949" s="333">
        <v>134.0</v>
      </c>
      <c r="AG2949" s="65" t="s">
        <v>17281</v>
      </c>
      <c r="AH2949" s="65" t="s">
        <v>127</v>
      </c>
      <c r="AI2949" s="65" t="s">
        <v>17282</v>
      </c>
      <c r="AJ2949" s="333">
        <v>0.001</v>
      </c>
      <c r="AK2949" s="65" t="s">
        <v>128</v>
      </c>
      <c r="AL2949" s="65" t="s">
        <v>179</v>
      </c>
      <c r="AM2949" s="65" t="s">
        <v>130</v>
      </c>
      <c r="AN2949" s="65" t="s">
        <v>131</v>
      </c>
      <c r="AO2949" s="333">
        <v>499.0</v>
      </c>
      <c r="AP2949" s="333">
        <v>0.08</v>
      </c>
      <c r="AQ2949" s="65" t="s">
        <v>867</v>
      </c>
      <c r="AR2949" s="65" t="s">
        <v>17283</v>
      </c>
      <c r="AS2949" s="333">
        <v>0.001</v>
      </c>
      <c r="AT2949" s="65" t="s">
        <v>128</v>
      </c>
      <c r="AU2949" s="65" t="s">
        <v>179</v>
      </c>
      <c r="AV2949" s="65" t="s">
        <v>130</v>
      </c>
      <c r="AW2949" s="432" t="s">
        <v>17277</v>
      </c>
      <c r="AX2949" s="65" t="s">
        <v>136</v>
      </c>
    </row>
    <row r="2950">
      <c r="A2950" s="41">
        <v>2960.0</v>
      </c>
      <c r="B2950" s="126" t="s">
        <v>278</v>
      </c>
      <c r="C2950" s="59" t="s">
        <v>108</v>
      </c>
      <c r="D2950" s="59" t="s">
        <v>241</v>
      </c>
      <c r="F2950" s="65" t="s">
        <v>17238</v>
      </c>
      <c r="G2950" s="65" t="s">
        <v>17284</v>
      </c>
      <c r="H2950" s="65" t="s">
        <v>242</v>
      </c>
      <c r="I2950" s="526">
        <v>45813.0</v>
      </c>
      <c r="J2950" s="859"/>
      <c r="K2950" s="65" t="s">
        <v>17279</v>
      </c>
      <c r="L2950" s="65"/>
      <c r="M2950" s="65" t="s">
        <v>17241</v>
      </c>
      <c r="N2950" s="65" t="s">
        <v>17242</v>
      </c>
      <c r="O2950" s="65"/>
      <c r="P2950" s="570" t="s">
        <v>17243</v>
      </c>
      <c r="Q2950" s="2289" t="str">
        <f> hyperlink(vlookup(lower(N2950),'File Links'!E:F, 2, FALSE), "LINK")</f>
        <v>LINK</v>
      </c>
      <c r="R2950" s="65" t="s">
        <v>17244</v>
      </c>
      <c r="S2950" s="65" t="s">
        <v>17245</v>
      </c>
      <c r="T2950" s="65"/>
      <c r="U2950" s="333">
        <v>2.0</v>
      </c>
      <c r="V2950" s="570" t="s">
        <v>17246</v>
      </c>
      <c r="W2950" s="1225"/>
      <c r="X2950" s="2290" t="str">
        <f> hyperlink(vlookup(lower(S2950),'File Links'!E:F, 2, FALSE), "LINK")</f>
        <v>LINK</v>
      </c>
      <c r="Y2950" s="65"/>
      <c r="Z2950" s="65" t="s">
        <v>940</v>
      </c>
      <c r="AA2950" s="65" t="s">
        <v>17247</v>
      </c>
      <c r="AB2950" s="65" t="s">
        <v>7257</v>
      </c>
      <c r="AC2950" s="65" t="s">
        <v>17248</v>
      </c>
      <c r="AD2950" s="65" t="s">
        <v>17285</v>
      </c>
      <c r="AE2950" s="65" t="s">
        <v>617</v>
      </c>
      <c r="AF2950" s="333">
        <v>134.0</v>
      </c>
      <c r="AG2950" s="65" t="s">
        <v>17286</v>
      </c>
      <c r="AH2950" s="65" t="s">
        <v>127</v>
      </c>
      <c r="AI2950" s="65" t="s">
        <v>17287</v>
      </c>
      <c r="AJ2950" s="333">
        <v>0.001</v>
      </c>
      <c r="AK2950" s="65" t="s">
        <v>128</v>
      </c>
      <c r="AL2950" s="65" t="s">
        <v>179</v>
      </c>
      <c r="AM2950" s="65" t="s">
        <v>130</v>
      </c>
      <c r="AN2950" s="65" t="s">
        <v>131</v>
      </c>
      <c r="AO2950" s="333">
        <v>499.0</v>
      </c>
      <c r="AP2950" s="333">
        <v>0.01</v>
      </c>
      <c r="AQ2950" s="65" t="s">
        <v>867</v>
      </c>
      <c r="AR2950" s="65" t="s">
        <v>17288</v>
      </c>
      <c r="AS2950" s="333">
        <v>0.029</v>
      </c>
      <c r="AT2950" s="65" t="s">
        <v>165</v>
      </c>
      <c r="AU2950" s="65" t="s">
        <v>179</v>
      </c>
      <c r="AV2950" s="65" t="s">
        <v>130</v>
      </c>
      <c r="AW2950" s="432" t="s">
        <v>17277</v>
      </c>
      <c r="AX2950" s="65" t="s">
        <v>136</v>
      </c>
    </row>
    <row r="2951">
      <c r="A2951" s="41">
        <v>2961.0</v>
      </c>
      <c r="B2951" s="126" t="s">
        <v>278</v>
      </c>
      <c r="C2951" s="59" t="s">
        <v>108</v>
      </c>
      <c r="D2951" s="59" t="s">
        <v>241</v>
      </c>
      <c r="F2951" s="65" t="s">
        <v>17238</v>
      </c>
      <c r="G2951" s="65" t="s">
        <v>17289</v>
      </c>
      <c r="H2951" s="65" t="s">
        <v>242</v>
      </c>
      <c r="I2951" s="526">
        <v>45813.0</v>
      </c>
      <c r="J2951" s="859"/>
      <c r="K2951" s="65" t="s">
        <v>17290</v>
      </c>
      <c r="L2951" s="65"/>
      <c r="M2951" s="65" t="s">
        <v>17241</v>
      </c>
      <c r="N2951" s="65" t="s">
        <v>17242</v>
      </c>
      <c r="O2951" s="65"/>
      <c r="P2951" s="570" t="s">
        <v>17243</v>
      </c>
      <c r="Q2951" s="2289" t="str">
        <f> hyperlink(vlookup(lower(N2951),'File Links'!E:F, 2, FALSE), "LINK")</f>
        <v>LINK</v>
      </c>
      <c r="R2951" s="65" t="s">
        <v>17244</v>
      </c>
      <c r="S2951" s="65" t="s">
        <v>17245</v>
      </c>
      <c r="T2951" s="65"/>
      <c r="U2951" s="333">
        <v>2.0</v>
      </c>
      <c r="V2951" s="570" t="s">
        <v>17246</v>
      </c>
      <c r="W2951" s="1225"/>
      <c r="X2951" s="2290" t="str">
        <f> hyperlink(vlookup(lower(S2951),'File Links'!E:F, 2, FALSE), "LINK")</f>
        <v>LINK</v>
      </c>
      <c r="Y2951" s="65"/>
      <c r="Z2951" s="65" t="s">
        <v>940</v>
      </c>
      <c r="AA2951" s="65" t="s">
        <v>17247</v>
      </c>
      <c r="AB2951" s="65" t="s">
        <v>7257</v>
      </c>
      <c r="AC2951" s="65" t="s">
        <v>17248</v>
      </c>
      <c r="AD2951" s="65" t="s">
        <v>17285</v>
      </c>
      <c r="AE2951" s="65" t="s">
        <v>617</v>
      </c>
      <c r="AF2951" s="333">
        <v>134.0</v>
      </c>
      <c r="AG2951" s="65" t="s">
        <v>17286</v>
      </c>
      <c r="AH2951" s="65" t="s">
        <v>127</v>
      </c>
      <c r="AI2951" s="65" t="s">
        <v>17287</v>
      </c>
      <c r="AJ2951" s="333">
        <v>0.001</v>
      </c>
      <c r="AK2951" s="65" t="s">
        <v>128</v>
      </c>
      <c r="AL2951" s="65" t="s">
        <v>179</v>
      </c>
      <c r="AM2951" s="65" t="s">
        <v>130</v>
      </c>
      <c r="AN2951" s="65" t="s">
        <v>131</v>
      </c>
      <c r="AO2951" s="333">
        <v>1606.0</v>
      </c>
      <c r="AP2951" s="333">
        <v>0.24</v>
      </c>
      <c r="AQ2951" s="65" t="s">
        <v>867</v>
      </c>
      <c r="AR2951" s="65" t="s">
        <v>17291</v>
      </c>
      <c r="AS2951" s="333">
        <v>0.01</v>
      </c>
      <c r="AT2951" s="65" t="s">
        <v>128</v>
      </c>
      <c r="AU2951" s="65" t="s">
        <v>179</v>
      </c>
      <c r="AV2951" s="65" t="s">
        <v>130</v>
      </c>
      <c r="AW2951" s="432" t="s">
        <v>17277</v>
      </c>
      <c r="AX2951" s="65" t="s">
        <v>136</v>
      </c>
    </row>
    <row r="2952">
      <c r="A2952" s="41">
        <v>2962.0</v>
      </c>
      <c r="B2952" s="126" t="s">
        <v>278</v>
      </c>
      <c r="C2952" s="59" t="s">
        <v>108</v>
      </c>
      <c r="D2952" s="59" t="s">
        <v>241</v>
      </c>
      <c r="F2952" s="65" t="s">
        <v>17238</v>
      </c>
      <c r="G2952" s="65" t="s">
        <v>17292</v>
      </c>
      <c r="H2952" s="65" t="s">
        <v>242</v>
      </c>
      <c r="I2952" s="526">
        <v>45813.0</v>
      </c>
      <c r="J2952" s="859"/>
      <c r="K2952" s="65" t="s">
        <v>17290</v>
      </c>
      <c r="L2952" s="65"/>
      <c r="M2952" s="65" t="s">
        <v>17241</v>
      </c>
      <c r="N2952" s="65" t="s">
        <v>17242</v>
      </c>
      <c r="O2952" s="65"/>
      <c r="P2952" s="570" t="s">
        <v>17243</v>
      </c>
      <c r="Q2952" s="2289" t="str">
        <f> hyperlink(vlookup(lower(N2952),'File Links'!E:F, 2, FALSE), "LINK")</f>
        <v>LINK</v>
      </c>
      <c r="R2952" s="65" t="s">
        <v>17244</v>
      </c>
      <c r="S2952" s="65" t="s">
        <v>17245</v>
      </c>
      <c r="T2952" s="65"/>
      <c r="U2952" s="333">
        <v>2.0</v>
      </c>
      <c r="V2952" s="570" t="s">
        <v>17246</v>
      </c>
      <c r="W2952" s="1225"/>
      <c r="X2952" s="2290" t="str">
        <f> hyperlink(vlookup(lower(S2952),'File Links'!E:F, 2, FALSE), "LINK")</f>
        <v>LINK</v>
      </c>
      <c r="Y2952" s="65"/>
      <c r="Z2952" s="65" t="s">
        <v>940</v>
      </c>
      <c r="AA2952" s="65" t="s">
        <v>17247</v>
      </c>
      <c r="AB2952" s="65" t="s">
        <v>7257</v>
      </c>
      <c r="AC2952" s="65" t="s">
        <v>17248</v>
      </c>
      <c r="AD2952" s="65" t="s">
        <v>17285</v>
      </c>
      <c r="AE2952" s="65" t="s">
        <v>617</v>
      </c>
      <c r="AF2952" s="333">
        <v>134.0</v>
      </c>
      <c r="AG2952" s="65" t="s">
        <v>17286</v>
      </c>
      <c r="AH2952" s="65" t="s">
        <v>127</v>
      </c>
      <c r="AI2952" s="65" t="s">
        <v>17287</v>
      </c>
      <c r="AJ2952" s="333">
        <v>0.001</v>
      </c>
      <c r="AK2952" s="65" t="s">
        <v>128</v>
      </c>
      <c r="AL2952" s="65" t="s">
        <v>179</v>
      </c>
      <c r="AM2952" s="65" t="s">
        <v>130</v>
      </c>
      <c r="AN2952" s="65" t="s">
        <v>131</v>
      </c>
      <c r="AO2952" s="333">
        <v>1606.0</v>
      </c>
      <c r="AP2952" s="333">
        <v>0.01</v>
      </c>
      <c r="AQ2952" s="65" t="s">
        <v>867</v>
      </c>
      <c r="AR2952" s="65" t="s">
        <v>17293</v>
      </c>
      <c r="AS2952" s="333">
        <v>0.003</v>
      </c>
      <c r="AT2952" s="65" t="s">
        <v>165</v>
      </c>
      <c r="AU2952" s="65" t="s">
        <v>179</v>
      </c>
      <c r="AV2952" s="65" t="s">
        <v>130</v>
      </c>
      <c r="AW2952" s="432" t="s">
        <v>17277</v>
      </c>
      <c r="AX2952" s="65" t="s">
        <v>136</v>
      </c>
    </row>
    <row r="2953">
      <c r="A2953" s="41">
        <v>2963.0</v>
      </c>
      <c r="B2953" s="126" t="s">
        <v>278</v>
      </c>
      <c r="C2953" s="59" t="s">
        <v>108</v>
      </c>
      <c r="D2953" s="59" t="s">
        <v>241</v>
      </c>
      <c r="F2953" s="65" t="s">
        <v>17238</v>
      </c>
      <c r="G2953" s="65" t="s">
        <v>17294</v>
      </c>
      <c r="H2953" s="65" t="s">
        <v>242</v>
      </c>
      <c r="I2953" s="526">
        <v>45813.0</v>
      </c>
      <c r="J2953" s="859"/>
      <c r="K2953" s="65" t="s">
        <v>17290</v>
      </c>
      <c r="L2953" s="65"/>
      <c r="M2953" s="65" t="s">
        <v>17241</v>
      </c>
      <c r="N2953" s="65" t="s">
        <v>17242</v>
      </c>
      <c r="O2953" s="65"/>
      <c r="P2953" s="570" t="s">
        <v>17243</v>
      </c>
      <c r="Q2953" s="2289" t="str">
        <f> hyperlink(vlookup(lower(N2953),'File Links'!E:F, 2, FALSE), "LINK")</f>
        <v>LINK</v>
      </c>
      <c r="R2953" s="65" t="s">
        <v>17244</v>
      </c>
      <c r="S2953" s="65" t="s">
        <v>17245</v>
      </c>
      <c r="T2953" s="65"/>
      <c r="U2953" s="333">
        <v>2.0</v>
      </c>
      <c r="V2953" s="570" t="s">
        <v>17246</v>
      </c>
      <c r="W2953" s="1225"/>
      <c r="X2953" s="2290" t="str">
        <f> hyperlink(vlookup(lower(S2953),'File Links'!E:F, 2, FALSE), "LINK")</f>
        <v>LINK</v>
      </c>
      <c r="Y2953" s="65"/>
      <c r="Z2953" s="65" t="s">
        <v>940</v>
      </c>
      <c r="AA2953" s="65" t="s">
        <v>17247</v>
      </c>
      <c r="AB2953" s="65" t="s">
        <v>7257</v>
      </c>
      <c r="AC2953" s="65" t="s">
        <v>17248</v>
      </c>
      <c r="AD2953" s="65" t="s">
        <v>17285</v>
      </c>
      <c r="AE2953" s="65" t="s">
        <v>617</v>
      </c>
      <c r="AF2953" s="333">
        <v>134.0</v>
      </c>
      <c r="AG2953" s="65" t="s">
        <v>17286</v>
      </c>
      <c r="AH2953" s="65" t="s">
        <v>127</v>
      </c>
      <c r="AI2953" s="65" t="s">
        <v>17287</v>
      </c>
      <c r="AJ2953" s="333">
        <v>0.001</v>
      </c>
      <c r="AK2953" s="65" t="s">
        <v>128</v>
      </c>
      <c r="AL2953" s="65" t="s">
        <v>179</v>
      </c>
      <c r="AM2953" s="65" t="s">
        <v>130</v>
      </c>
      <c r="AN2953" s="65" t="s">
        <v>131</v>
      </c>
      <c r="AO2953" s="333">
        <v>1606.0</v>
      </c>
      <c r="AP2953" s="333">
        <v>0.05</v>
      </c>
      <c r="AQ2953" s="65" t="s">
        <v>867</v>
      </c>
      <c r="AR2953" s="65" t="s">
        <v>17295</v>
      </c>
      <c r="AS2953" s="333">
        <v>0.001</v>
      </c>
      <c r="AT2953" s="65" t="s">
        <v>128</v>
      </c>
      <c r="AU2953" s="65" t="s">
        <v>179</v>
      </c>
      <c r="AV2953" s="65" t="s">
        <v>130</v>
      </c>
      <c r="AW2953" s="432" t="s">
        <v>17277</v>
      </c>
      <c r="AX2953" s="65" t="s">
        <v>136</v>
      </c>
    </row>
    <row r="2954">
      <c r="A2954" s="41">
        <v>2695.0</v>
      </c>
      <c r="B2954" s="126" t="s">
        <v>278</v>
      </c>
      <c r="C2954" s="59" t="s">
        <v>108</v>
      </c>
      <c r="D2954" s="59" t="s">
        <v>2923</v>
      </c>
      <c r="F2954" s="156" t="s">
        <v>17296</v>
      </c>
      <c r="G2954" s="156" t="s">
        <v>17297</v>
      </c>
      <c r="H2954" s="156" t="s">
        <v>17298</v>
      </c>
      <c r="I2954" s="149">
        <v>45799.0</v>
      </c>
      <c r="J2954" s="859"/>
      <c r="K2954" s="156" t="s">
        <v>17299</v>
      </c>
      <c r="L2954" s="65"/>
      <c r="M2954" s="156" t="s">
        <v>15513</v>
      </c>
      <c r="N2954" s="156" t="s">
        <v>15514</v>
      </c>
      <c r="O2954" s="153">
        <v>2.0</v>
      </c>
      <c r="P2954" s="379" t="s">
        <v>15515</v>
      </c>
      <c r="Q2954" s="2153" t="str">
        <f> hyperlink(vlookup(lower(N2954),'File Links'!E:F, 2, FALSE), "LINK")</f>
        <v>LINK</v>
      </c>
      <c r="R2954" s="156" t="s">
        <v>17300</v>
      </c>
      <c r="S2954" s="156" t="s">
        <v>17301</v>
      </c>
      <c r="T2954" s="156" t="s">
        <v>131</v>
      </c>
      <c r="U2954" s="153">
        <v>2.0</v>
      </c>
      <c r="V2954" s="379" t="s">
        <v>17302</v>
      </c>
      <c r="W2954" s="1228" t="s">
        <v>17303</v>
      </c>
      <c r="X2954" s="1544" t="str">
        <f> hyperlink(vlookup(lower(S2954),'File Links'!E:F, 2, FALSE), "LINK")</f>
        <v>LINK</v>
      </c>
      <c r="Y2954" s="65"/>
      <c r="Z2954" s="156" t="s">
        <v>940</v>
      </c>
      <c r="AA2954" s="156" t="s">
        <v>17304</v>
      </c>
      <c r="AB2954" s="156" t="s">
        <v>17305</v>
      </c>
      <c r="AC2954" s="156" t="s">
        <v>17306</v>
      </c>
      <c r="AD2954" s="156" t="s">
        <v>17307</v>
      </c>
      <c r="AE2954" s="153">
        <v>1.0</v>
      </c>
      <c r="AF2954" s="153">
        <v>277.0</v>
      </c>
      <c r="AG2954" s="153">
        <v>3.29</v>
      </c>
      <c r="AH2954" s="156" t="s">
        <v>715</v>
      </c>
      <c r="AI2954" s="156" t="s">
        <v>17308</v>
      </c>
      <c r="AJ2954" s="156" t="s">
        <v>131</v>
      </c>
      <c r="AK2954" s="156" t="s">
        <v>131</v>
      </c>
      <c r="AL2954" s="156" t="s">
        <v>131</v>
      </c>
      <c r="AM2954" s="156" t="s">
        <v>130</v>
      </c>
      <c r="AN2954" s="156" t="s">
        <v>131</v>
      </c>
      <c r="AO2954" s="153">
        <v>1920.0</v>
      </c>
      <c r="AP2954" s="153">
        <v>0.66</v>
      </c>
      <c r="AQ2954" s="156" t="s">
        <v>715</v>
      </c>
      <c r="AR2954" s="156" t="s">
        <v>625</v>
      </c>
      <c r="AS2954" s="156" t="s">
        <v>131</v>
      </c>
      <c r="AT2954" s="156" t="s">
        <v>131</v>
      </c>
      <c r="AU2954" s="156" t="s">
        <v>131</v>
      </c>
      <c r="AV2954" s="156" t="s">
        <v>130</v>
      </c>
      <c r="AW2954" s="307" t="s">
        <v>17309</v>
      </c>
      <c r="AX2954" s="156" t="s">
        <v>317</v>
      </c>
    </row>
    <row r="2955">
      <c r="A2955" s="41">
        <v>2696.0</v>
      </c>
      <c r="B2955" s="126" t="s">
        <v>278</v>
      </c>
      <c r="C2955" s="59" t="s">
        <v>108</v>
      </c>
      <c r="D2955" s="59" t="s">
        <v>2923</v>
      </c>
      <c r="F2955" s="156" t="s">
        <v>17310</v>
      </c>
      <c r="G2955" s="156" t="s">
        <v>17311</v>
      </c>
      <c r="H2955" s="156" t="s">
        <v>17298</v>
      </c>
      <c r="I2955" s="149">
        <v>45801.0</v>
      </c>
      <c r="J2955" s="859"/>
      <c r="K2955" s="156" t="s">
        <v>17312</v>
      </c>
      <c r="L2955" s="65"/>
      <c r="M2955" s="156" t="s">
        <v>17313</v>
      </c>
      <c r="N2955" s="156" t="s">
        <v>17314</v>
      </c>
      <c r="O2955" s="156" t="s">
        <v>131</v>
      </c>
      <c r="P2955" s="379" t="s">
        <v>17315</v>
      </c>
      <c r="Q2955" s="2153" t="str">
        <f> hyperlink(vlookup(lower(N2955),'File Links'!E:F, 2, FALSE), "LINK")</f>
        <v>LINK</v>
      </c>
      <c r="R2955" s="156" t="s">
        <v>17316</v>
      </c>
      <c r="S2955" s="156" t="s">
        <v>17317</v>
      </c>
      <c r="T2955" s="156" t="s">
        <v>131</v>
      </c>
      <c r="U2955" s="153">
        <v>1.0</v>
      </c>
      <c r="V2955" s="379" t="s">
        <v>17318</v>
      </c>
      <c r="W2955" s="1228" t="s">
        <v>17303</v>
      </c>
      <c r="X2955" s="1544" t="str">
        <f> hyperlink(vlookup(lower(S2955),'File Links'!E:F, 2, FALSE), "LINK")</f>
        <v>LINK</v>
      </c>
      <c r="Y2955" s="65"/>
      <c r="Z2955" s="156" t="s">
        <v>940</v>
      </c>
      <c r="AA2955" s="156" t="s">
        <v>17319</v>
      </c>
      <c r="AB2955" s="156" t="s">
        <v>17320</v>
      </c>
      <c r="AC2955" s="156" t="s">
        <v>17321</v>
      </c>
      <c r="AD2955" s="156" t="s">
        <v>17322</v>
      </c>
      <c r="AE2955" s="156" t="s">
        <v>17323</v>
      </c>
      <c r="AF2955" s="156" t="s">
        <v>131</v>
      </c>
      <c r="AG2955" s="153">
        <v>0.59</v>
      </c>
      <c r="AH2955" s="156" t="s">
        <v>166</v>
      </c>
      <c r="AI2955" s="156" t="s">
        <v>17324</v>
      </c>
      <c r="AJ2955" s="156" t="s">
        <v>131</v>
      </c>
      <c r="AK2955" s="156" t="s">
        <v>131</v>
      </c>
      <c r="AL2955" s="156" t="s">
        <v>131</v>
      </c>
      <c r="AM2955" s="156" t="s">
        <v>130</v>
      </c>
      <c r="AN2955" s="156" t="s">
        <v>131</v>
      </c>
      <c r="AO2955" s="153">
        <v>1032.0</v>
      </c>
      <c r="AP2955" s="153">
        <v>0.49</v>
      </c>
      <c r="AQ2955" s="156" t="s">
        <v>166</v>
      </c>
      <c r="AR2955" s="156" t="s">
        <v>210</v>
      </c>
      <c r="AS2955" s="156" t="s">
        <v>131</v>
      </c>
      <c r="AT2955" s="156" t="s">
        <v>131</v>
      </c>
      <c r="AU2955" s="156" t="s">
        <v>131</v>
      </c>
      <c r="AV2955" s="156" t="s">
        <v>130</v>
      </c>
      <c r="AW2955" s="307" t="s">
        <v>17325</v>
      </c>
      <c r="AX2955" s="156" t="s">
        <v>317</v>
      </c>
    </row>
    <row r="2956">
      <c r="A2956" s="41">
        <v>2697.0</v>
      </c>
      <c r="B2956" s="126" t="s">
        <v>278</v>
      </c>
      <c r="C2956" s="59" t="s">
        <v>108</v>
      </c>
      <c r="D2956" s="59" t="s">
        <v>2923</v>
      </c>
      <c r="F2956" s="156" t="s">
        <v>17326</v>
      </c>
      <c r="G2956" s="156" t="s">
        <v>17327</v>
      </c>
      <c r="H2956" s="156" t="s">
        <v>17298</v>
      </c>
      <c r="I2956" s="149">
        <v>45801.0</v>
      </c>
      <c r="J2956" s="859"/>
      <c r="K2956" s="156" t="s">
        <v>17328</v>
      </c>
      <c r="L2956" s="65"/>
      <c r="M2956" s="156" t="s">
        <v>17329</v>
      </c>
      <c r="N2956" s="156" t="s">
        <v>17330</v>
      </c>
      <c r="O2956" s="153">
        <v>1.0</v>
      </c>
      <c r="P2956" s="379" t="s">
        <v>17331</v>
      </c>
      <c r="Q2956" s="2153" t="str">
        <f> hyperlink(vlookup(lower(N2956),'File Links'!E:F, 2, FALSE), "LINK")</f>
        <v>LINK</v>
      </c>
      <c r="R2956" s="156" t="s">
        <v>17332</v>
      </c>
      <c r="S2956" s="156" t="s">
        <v>17333</v>
      </c>
      <c r="T2956" s="156" t="s">
        <v>131</v>
      </c>
      <c r="U2956" s="153">
        <v>1.0</v>
      </c>
      <c r="V2956" s="379" t="s">
        <v>17334</v>
      </c>
      <c r="W2956" s="1228" t="s">
        <v>17335</v>
      </c>
      <c r="X2956" s="1544" t="str">
        <f> hyperlink(vlookup(lower(S2956),'File Links'!E:F, 2, FALSE), "LINK")</f>
        <v>LINK</v>
      </c>
      <c r="Y2956" s="65"/>
      <c r="Z2956" s="156" t="s">
        <v>940</v>
      </c>
      <c r="AA2956" s="156" t="s">
        <v>17336</v>
      </c>
      <c r="AB2956" s="156" t="s">
        <v>17337</v>
      </c>
      <c r="AC2956" s="156" t="s">
        <v>17338</v>
      </c>
      <c r="AD2956" s="156" t="s">
        <v>17339</v>
      </c>
      <c r="AE2956" s="156" t="s">
        <v>131</v>
      </c>
      <c r="AF2956" s="153">
        <v>199.0</v>
      </c>
      <c r="AG2956" s="153">
        <v>0.22</v>
      </c>
      <c r="AH2956" s="156" t="s">
        <v>1249</v>
      </c>
      <c r="AI2956" s="156" t="s">
        <v>17323</v>
      </c>
      <c r="AJ2956" s="156" t="s">
        <v>131</v>
      </c>
      <c r="AK2956" s="156" t="s">
        <v>131</v>
      </c>
      <c r="AL2956" s="156" t="s">
        <v>131</v>
      </c>
      <c r="AM2956" s="156" t="s">
        <v>130</v>
      </c>
      <c r="AN2956" s="156" t="s">
        <v>131</v>
      </c>
      <c r="AO2956" s="153">
        <v>445.0</v>
      </c>
      <c r="AP2956" s="1289">
        <v>0.3</v>
      </c>
      <c r="AQ2956" s="156" t="s">
        <v>1249</v>
      </c>
      <c r="AR2956" s="156" t="s">
        <v>210</v>
      </c>
      <c r="AS2956" s="156" t="s">
        <v>131</v>
      </c>
      <c r="AT2956" s="156" t="s">
        <v>131</v>
      </c>
      <c r="AU2956" s="156" t="s">
        <v>131</v>
      </c>
      <c r="AV2956" s="156" t="s">
        <v>130</v>
      </c>
      <c r="AW2956" s="307" t="s">
        <v>17340</v>
      </c>
      <c r="AX2956" s="156" t="s">
        <v>317</v>
      </c>
    </row>
    <row r="2957">
      <c r="A2957" s="41">
        <v>2698.0</v>
      </c>
      <c r="B2957" s="126" t="s">
        <v>278</v>
      </c>
      <c r="C2957" s="59" t="s">
        <v>108</v>
      </c>
      <c r="D2957" s="59" t="s">
        <v>2923</v>
      </c>
      <c r="F2957" s="156" t="s">
        <v>17341</v>
      </c>
      <c r="G2957" s="156" t="s">
        <v>17342</v>
      </c>
      <c r="H2957" s="156" t="s">
        <v>17298</v>
      </c>
      <c r="I2957" s="149">
        <v>45801.0</v>
      </c>
      <c r="J2957" s="859"/>
      <c r="K2957" s="156" t="s">
        <v>17343</v>
      </c>
      <c r="L2957" s="65"/>
      <c r="M2957" s="156" t="s">
        <v>17344</v>
      </c>
      <c r="N2957" s="156" t="s">
        <v>17345</v>
      </c>
      <c r="O2957" s="153">
        <v>1.0</v>
      </c>
      <c r="P2957" s="379" t="s">
        <v>17346</v>
      </c>
      <c r="Q2957" s="2153" t="str">
        <f> hyperlink(vlookup(lower(N2957),'File Links'!E:F, 2, FALSE), "LINK")</f>
        <v>LINK</v>
      </c>
      <c r="R2957" s="156" t="s">
        <v>17347</v>
      </c>
      <c r="S2957" s="156" t="s">
        <v>17348</v>
      </c>
      <c r="T2957" s="156" t="s">
        <v>131</v>
      </c>
      <c r="U2957" s="153">
        <v>1.0</v>
      </c>
      <c r="V2957" s="379" t="s">
        <v>17349</v>
      </c>
      <c r="W2957" s="1228" t="s">
        <v>202</v>
      </c>
      <c r="X2957" s="1544" t="str">
        <f> hyperlink(vlookup(lower(S2957),'File Links'!E:F, 2, FALSE), "LINK")</f>
        <v>LINK</v>
      </c>
      <c r="Y2957" s="65"/>
      <c r="Z2957" s="156" t="s">
        <v>940</v>
      </c>
      <c r="AA2957" s="156" t="s">
        <v>17350</v>
      </c>
      <c r="AB2957" s="156" t="s">
        <v>17351</v>
      </c>
      <c r="AC2957" s="156" t="s">
        <v>17352</v>
      </c>
      <c r="AD2957" s="156" t="s">
        <v>131</v>
      </c>
      <c r="AE2957" s="156" t="s">
        <v>131</v>
      </c>
      <c r="AF2957" s="153">
        <v>108.0</v>
      </c>
      <c r="AG2957" s="156" t="s">
        <v>131</v>
      </c>
      <c r="AH2957" s="156" t="s">
        <v>131</v>
      </c>
      <c r="AI2957" s="156" t="s">
        <v>131</v>
      </c>
      <c r="AJ2957" s="156" t="s">
        <v>131</v>
      </c>
      <c r="AK2957" s="156" t="s">
        <v>131</v>
      </c>
      <c r="AL2957" s="156" t="s">
        <v>131</v>
      </c>
      <c r="AM2957" s="156" t="s">
        <v>130</v>
      </c>
      <c r="AN2957" s="156" t="s">
        <v>131</v>
      </c>
      <c r="AO2957" s="153">
        <v>43.0</v>
      </c>
      <c r="AP2957" s="153">
        <v>0.02</v>
      </c>
      <c r="AQ2957" s="156" t="s">
        <v>132</v>
      </c>
      <c r="AR2957" s="156" t="s">
        <v>620</v>
      </c>
      <c r="AS2957" s="156" t="s">
        <v>131</v>
      </c>
      <c r="AT2957" s="156" t="s">
        <v>131</v>
      </c>
      <c r="AU2957" s="156" t="s">
        <v>131</v>
      </c>
      <c r="AV2957" s="156" t="s">
        <v>130</v>
      </c>
      <c r="AW2957" s="307" t="s">
        <v>17353</v>
      </c>
      <c r="AX2957" s="156" t="s">
        <v>317</v>
      </c>
    </row>
    <row r="2958">
      <c r="A2958" s="41">
        <v>2699.0</v>
      </c>
      <c r="B2958" s="126" t="s">
        <v>278</v>
      </c>
      <c r="C2958" s="59" t="s">
        <v>108</v>
      </c>
      <c r="D2958" s="59" t="s">
        <v>2923</v>
      </c>
      <c r="F2958" s="156" t="s">
        <v>17354</v>
      </c>
      <c r="G2958" s="156" t="s">
        <v>17355</v>
      </c>
      <c r="H2958" s="156" t="s">
        <v>17298</v>
      </c>
      <c r="I2958" s="149">
        <v>45801.0</v>
      </c>
      <c r="J2958" s="859"/>
      <c r="K2958" s="156" t="s">
        <v>17356</v>
      </c>
      <c r="L2958" s="65"/>
      <c r="M2958" s="156" t="s">
        <v>17357</v>
      </c>
      <c r="N2958" s="156" t="s">
        <v>17358</v>
      </c>
      <c r="O2958" s="153">
        <v>1.0</v>
      </c>
      <c r="P2958" s="379" t="s">
        <v>17359</v>
      </c>
      <c r="Q2958" s="2153" t="str">
        <f> hyperlink(vlookup(lower(N2958),'File Links'!E:F, 2, FALSE), "LINK")</f>
        <v>LINK</v>
      </c>
      <c r="R2958" s="156" t="s">
        <v>17360</v>
      </c>
      <c r="S2958" s="156" t="s">
        <v>17361</v>
      </c>
      <c r="T2958" s="156" t="s">
        <v>131</v>
      </c>
      <c r="U2958" s="153">
        <v>1.0</v>
      </c>
      <c r="V2958" s="379" t="s">
        <v>17362</v>
      </c>
      <c r="W2958" s="1228" t="s">
        <v>17303</v>
      </c>
      <c r="X2958" s="1544" t="str">
        <f> hyperlink(vlookup(lower(S2958),'File Links'!E:F, 2, FALSE), "LINK")</f>
        <v>LINK</v>
      </c>
      <c r="Y2958" s="65"/>
      <c r="Z2958" s="156" t="s">
        <v>940</v>
      </c>
      <c r="AA2958" s="156" t="s">
        <v>17363</v>
      </c>
      <c r="AB2958" s="156" t="s">
        <v>17364</v>
      </c>
      <c r="AC2958" s="156" t="s">
        <v>17365</v>
      </c>
      <c r="AD2958" s="156" t="s">
        <v>17366</v>
      </c>
      <c r="AE2958" s="156" t="s">
        <v>17367</v>
      </c>
      <c r="AF2958" s="153">
        <v>123.0</v>
      </c>
      <c r="AG2958" s="153">
        <v>0.35</v>
      </c>
      <c r="AH2958" s="156" t="s">
        <v>3556</v>
      </c>
      <c r="AI2958" s="156" t="s">
        <v>17367</v>
      </c>
      <c r="AJ2958" s="156" t="s">
        <v>131</v>
      </c>
      <c r="AK2958" s="156" t="s">
        <v>131</v>
      </c>
      <c r="AL2958" s="156" t="s">
        <v>131</v>
      </c>
      <c r="AM2958" s="156" t="s">
        <v>130</v>
      </c>
      <c r="AN2958" s="156" t="s">
        <v>131</v>
      </c>
      <c r="AO2958" s="153">
        <v>438.0</v>
      </c>
      <c r="AP2958" s="1289">
        <v>0.1</v>
      </c>
      <c r="AQ2958" s="156" t="s">
        <v>3556</v>
      </c>
      <c r="AR2958" s="156" t="s">
        <v>625</v>
      </c>
      <c r="AS2958" s="156" t="s">
        <v>131</v>
      </c>
      <c r="AT2958" s="156" t="s">
        <v>131</v>
      </c>
      <c r="AU2958" s="156" t="s">
        <v>131</v>
      </c>
      <c r="AV2958" s="156" t="s">
        <v>130</v>
      </c>
      <c r="AW2958" s="677" t="s">
        <v>17368</v>
      </c>
      <c r="AX2958" s="156" t="s">
        <v>17369</v>
      </c>
    </row>
    <row r="2959">
      <c r="A2959" s="41">
        <v>2700.0</v>
      </c>
      <c r="B2959" s="126" t="s">
        <v>278</v>
      </c>
      <c r="C2959" s="59" t="s">
        <v>108</v>
      </c>
      <c r="D2959" s="59" t="s">
        <v>2923</v>
      </c>
      <c r="F2959" s="156" t="s">
        <v>17370</v>
      </c>
      <c r="G2959" s="156" t="s">
        <v>17371</v>
      </c>
      <c r="H2959" s="156" t="s">
        <v>17298</v>
      </c>
      <c r="I2959" s="149">
        <v>45801.0</v>
      </c>
      <c r="J2959" s="859"/>
      <c r="K2959" s="156" t="s">
        <v>17372</v>
      </c>
      <c r="L2959" s="156" t="s">
        <v>17373</v>
      </c>
      <c r="M2959" s="156" t="s">
        <v>17374</v>
      </c>
      <c r="N2959" s="156" t="s">
        <v>17375</v>
      </c>
      <c r="O2959" s="153">
        <v>1.0</v>
      </c>
      <c r="P2959" s="379" t="s">
        <v>17376</v>
      </c>
      <c r="Q2959" s="2153" t="str">
        <f> hyperlink(vlookup(lower(N2959),'File Links'!E:F, 2, FALSE), "LINK")</f>
        <v>LINK</v>
      </c>
      <c r="R2959" s="156" t="s">
        <v>17377</v>
      </c>
      <c r="S2959" s="156" t="s">
        <v>17378</v>
      </c>
      <c r="T2959" s="156" t="s">
        <v>131</v>
      </c>
      <c r="U2959" s="153">
        <v>1.0</v>
      </c>
      <c r="V2959" s="379" t="s">
        <v>17379</v>
      </c>
      <c r="W2959" s="1228" t="s">
        <v>17303</v>
      </c>
      <c r="X2959" s="1544" t="str">
        <f> hyperlink(vlookup(lower(S2959),'File Links'!E:F, 2, FALSE), "LINK")</f>
        <v>LINK</v>
      </c>
      <c r="Y2959" s="65"/>
      <c r="Z2959" s="156" t="s">
        <v>940</v>
      </c>
      <c r="AA2959" s="156" t="s">
        <v>14248</v>
      </c>
      <c r="AB2959" s="156" t="s">
        <v>17380</v>
      </c>
      <c r="AC2959" s="156" t="s">
        <v>17381</v>
      </c>
      <c r="AD2959" s="156" t="s">
        <v>131</v>
      </c>
      <c r="AE2959" s="156" t="s">
        <v>131</v>
      </c>
      <c r="AF2959" s="153">
        <v>116.0</v>
      </c>
      <c r="AG2959" s="153">
        <v>0.43</v>
      </c>
      <c r="AH2959" s="156" t="s">
        <v>166</v>
      </c>
      <c r="AI2959" s="156" t="s">
        <v>17382</v>
      </c>
      <c r="AJ2959" s="156" t="s">
        <v>131</v>
      </c>
      <c r="AK2959" s="156" t="s">
        <v>131</v>
      </c>
      <c r="AL2959" s="156" t="s">
        <v>131</v>
      </c>
      <c r="AM2959" s="156" t="s">
        <v>130</v>
      </c>
      <c r="AN2959" s="156" t="s">
        <v>131</v>
      </c>
      <c r="AO2959" s="153">
        <v>423.0</v>
      </c>
      <c r="AP2959" s="153">
        <v>0.13</v>
      </c>
      <c r="AQ2959" s="156" t="s">
        <v>166</v>
      </c>
      <c r="AR2959" s="156" t="s">
        <v>606</v>
      </c>
      <c r="AS2959" s="156" t="s">
        <v>131</v>
      </c>
      <c r="AT2959" s="156" t="s">
        <v>131</v>
      </c>
      <c r="AU2959" s="156" t="s">
        <v>131</v>
      </c>
      <c r="AV2959" s="156" t="s">
        <v>130</v>
      </c>
      <c r="AW2959" s="677" t="s">
        <v>17383</v>
      </c>
      <c r="AX2959" s="156" t="s">
        <v>17369</v>
      </c>
    </row>
    <row r="2960">
      <c r="A2960" s="41">
        <v>2701.0</v>
      </c>
      <c r="B2960" s="126" t="s">
        <v>278</v>
      </c>
      <c r="C2960" s="59" t="s">
        <v>108</v>
      </c>
      <c r="D2960" s="59" t="s">
        <v>2923</v>
      </c>
      <c r="F2960" s="156" t="s">
        <v>17384</v>
      </c>
      <c r="G2960" s="156" t="s">
        <v>17385</v>
      </c>
      <c r="H2960" s="156" t="s">
        <v>17298</v>
      </c>
      <c r="I2960" s="149">
        <v>45801.0</v>
      </c>
      <c r="J2960" s="859"/>
      <c r="K2960" s="156" t="s">
        <v>17372</v>
      </c>
      <c r="L2960" s="65"/>
      <c r="M2960" s="156" t="s">
        <v>17386</v>
      </c>
      <c r="N2960" s="156" t="s">
        <v>17387</v>
      </c>
      <c r="O2960" s="153">
        <v>1.0</v>
      </c>
      <c r="P2960" s="379" t="s">
        <v>17388</v>
      </c>
      <c r="Q2960" s="2153" t="str">
        <f> hyperlink(vlookup(lower(N2960),'File Links'!E:F, 2, FALSE), "LINK")</f>
        <v>LINK</v>
      </c>
      <c r="R2960" s="156" t="s">
        <v>17377</v>
      </c>
      <c r="S2960" s="156" t="s">
        <v>17378</v>
      </c>
      <c r="T2960" s="156" t="s">
        <v>131</v>
      </c>
      <c r="U2960" s="153">
        <v>1.0</v>
      </c>
      <c r="V2960" s="379" t="s">
        <v>17379</v>
      </c>
      <c r="W2960" s="1228" t="s">
        <v>17303</v>
      </c>
      <c r="X2960" s="1544" t="str">
        <f> hyperlink(vlookup(lower(S2960),'File Links'!E:F, 2, FALSE), "LINK")</f>
        <v>LINK</v>
      </c>
      <c r="Y2960" s="65"/>
      <c r="Z2960" s="156" t="s">
        <v>940</v>
      </c>
      <c r="AA2960" s="156" t="s">
        <v>17389</v>
      </c>
      <c r="AB2960" s="156" t="s">
        <v>17390</v>
      </c>
      <c r="AC2960" s="156" t="s">
        <v>17391</v>
      </c>
      <c r="AD2960" s="156" t="s">
        <v>131</v>
      </c>
      <c r="AE2960" s="156" t="s">
        <v>131</v>
      </c>
      <c r="AF2960" s="153">
        <v>121.0</v>
      </c>
      <c r="AG2960" s="153">
        <v>0.41</v>
      </c>
      <c r="AH2960" s="156" t="s">
        <v>166</v>
      </c>
      <c r="AI2960" s="156" t="s">
        <v>17382</v>
      </c>
      <c r="AJ2960" s="156" t="s">
        <v>131</v>
      </c>
      <c r="AK2960" s="156" t="s">
        <v>131</v>
      </c>
      <c r="AL2960" s="156" t="s">
        <v>131</v>
      </c>
      <c r="AM2960" s="156" t="s">
        <v>130</v>
      </c>
      <c r="AN2960" s="156" t="s">
        <v>131</v>
      </c>
      <c r="AO2960" s="153">
        <v>211.0</v>
      </c>
      <c r="AP2960" s="153">
        <v>0.03</v>
      </c>
      <c r="AQ2960" s="156" t="s">
        <v>166</v>
      </c>
      <c r="AR2960" s="156" t="s">
        <v>606</v>
      </c>
      <c r="AS2960" s="156" t="s">
        <v>131</v>
      </c>
      <c r="AT2960" s="156" t="s">
        <v>131</v>
      </c>
      <c r="AU2960" s="156" t="s">
        <v>131</v>
      </c>
      <c r="AV2960" s="156" t="s">
        <v>130</v>
      </c>
      <c r="AW2960" s="677" t="s">
        <v>17392</v>
      </c>
      <c r="AX2960" s="156" t="s">
        <v>17369</v>
      </c>
    </row>
    <row r="2961">
      <c r="A2961" s="41">
        <v>2702.0</v>
      </c>
      <c r="B2961" s="126" t="s">
        <v>278</v>
      </c>
      <c r="C2961" s="59" t="s">
        <v>108</v>
      </c>
      <c r="D2961" s="59" t="s">
        <v>2923</v>
      </c>
      <c r="F2961" s="156" t="s">
        <v>17393</v>
      </c>
      <c r="G2961" s="156" t="s">
        <v>17394</v>
      </c>
      <c r="H2961" s="156" t="s">
        <v>17298</v>
      </c>
      <c r="I2961" s="149">
        <v>45801.0</v>
      </c>
      <c r="J2961" s="859"/>
      <c r="K2961" s="156" t="s">
        <v>17395</v>
      </c>
      <c r="L2961" s="156" t="s">
        <v>17396</v>
      </c>
      <c r="M2961" s="156" t="s">
        <v>17397</v>
      </c>
      <c r="N2961" s="156" t="s">
        <v>9934</v>
      </c>
      <c r="O2961" s="153">
        <v>1.0</v>
      </c>
      <c r="P2961" s="379" t="s">
        <v>17398</v>
      </c>
      <c r="Q2961" s="2153" t="str">
        <f> hyperlink(vlookup(lower(N2961),'File Links'!E:F, 2, FALSE), "LINK")</f>
        <v>LINK</v>
      </c>
      <c r="R2961" s="156" t="s">
        <v>17399</v>
      </c>
      <c r="S2961" s="156" t="s">
        <v>17400</v>
      </c>
      <c r="T2961" s="156" t="s">
        <v>131</v>
      </c>
      <c r="U2961" s="153">
        <v>1.0</v>
      </c>
      <c r="V2961" s="379" t="s">
        <v>17401</v>
      </c>
      <c r="W2961" s="1228" t="s">
        <v>17303</v>
      </c>
      <c r="X2961" s="1544" t="str">
        <f> hyperlink(vlookup(lower(S2961),'File Links'!E:F, 2, FALSE), "LINK")</f>
        <v>LINK</v>
      </c>
      <c r="Y2961" s="65"/>
      <c r="Z2961" s="156" t="s">
        <v>940</v>
      </c>
      <c r="AA2961" s="156" t="s">
        <v>17402</v>
      </c>
      <c r="AB2961" s="156" t="s">
        <v>17403</v>
      </c>
      <c r="AC2961" s="156" t="s">
        <v>17404</v>
      </c>
      <c r="AD2961" s="156" t="s">
        <v>131</v>
      </c>
      <c r="AE2961" s="156" t="s">
        <v>131</v>
      </c>
      <c r="AF2961" s="153">
        <v>170.0</v>
      </c>
      <c r="AG2961" s="153">
        <v>0.39</v>
      </c>
      <c r="AH2961" s="156" t="s">
        <v>166</v>
      </c>
      <c r="AI2961" s="156" t="s">
        <v>17405</v>
      </c>
      <c r="AJ2961" s="156" t="s">
        <v>131</v>
      </c>
      <c r="AK2961" s="156" t="s">
        <v>131</v>
      </c>
      <c r="AL2961" s="156" t="s">
        <v>131</v>
      </c>
      <c r="AM2961" s="156" t="s">
        <v>130</v>
      </c>
      <c r="AN2961" s="156" t="s">
        <v>131</v>
      </c>
      <c r="AO2961" s="153">
        <v>1026.0</v>
      </c>
      <c r="AP2961" s="153">
        <v>0.04</v>
      </c>
      <c r="AQ2961" s="156" t="s">
        <v>166</v>
      </c>
      <c r="AR2961" s="156" t="s">
        <v>806</v>
      </c>
      <c r="AS2961" s="156" t="s">
        <v>131</v>
      </c>
      <c r="AT2961" s="156" t="s">
        <v>131</v>
      </c>
      <c r="AU2961" s="156" t="s">
        <v>131</v>
      </c>
      <c r="AV2961" s="156" t="s">
        <v>130</v>
      </c>
      <c r="AW2961" s="307" t="s">
        <v>17406</v>
      </c>
      <c r="AX2961" s="156" t="s">
        <v>317</v>
      </c>
    </row>
    <row r="2962">
      <c r="A2962" s="41">
        <v>2703.0</v>
      </c>
      <c r="B2962" s="126" t="s">
        <v>278</v>
      </c>
      <c r="C2962" s="59" t="s">
        <v>108</v>
      </c>
      <c r="D2962" s="59" t="s">
        <v>2923</v>
      </c>
      <c r="F2962" s="156" t="s">
        <v>17407</v>
      </c>
      <c r="G2962" s="156" t="s">
        <v>17408</v>
      </c>
      <c r="H2962" s="156" t="s">
        <v>17298</v>
      </c>
      <c r="I2962" s="149">
        <v>45799.0</v>
      </c>
      <c r="J2962" s="859"/>
      <c r="K2962" s="156" t="s">
        <v>17409</v>
      </c>
      <c r="L2962" s="65"/>
      <c r="M2962" s="156" t="s">
        <v>17410</v>
      </c>
      <c r="N2962" s="156" t="s">
        <v>17411</v>
      </c>
      <c r="O2962" s="153">
        <v>1.0</v>
      </c>
      <c r="P2962" s="379" t="s">
        <v>17412</v>
      </c>
      <c r="Q2962" s="2153" t="str">
        <f> hyperlink(vlookup(lower(N2962),'File Links'!E:F, 2, FALSE), "LINK")</f>
        <v>LINK</v>
      </c>
      <c r="R2962" s="156" t="s">
        <v>17413</v>
      </c>
      <c r="S2962" s="156" t="s">
        <v>17414</v>
      </c>
      <c r="T2962" s="156" t="s">
        <v>131</v>
      </c>
      <c r="U2962" s="153">
        <v>1.0</v>
      </c>
      <c r="V2962" s="379" t="s">
        <v>17415</v>
      </c>
      <c r="W2962" s="1228" t="s">
        <v>313</v>
      </c>
      <c r="X2962" s="1544" t="str">
        <f> hyperlink(vlookup(lower(S2962),'File Links'!E:F, 2, FALSE), "LINK")</f>
        <v>LINK</v>
      </c>
      <c r="Y2962" s="65"/>
      <c r="Z2962" s="156" t="s">
        <v>940</v>
      </c>
      <c r="AA2962" s="156" t="s">
        <v>17416</v>
      </c>
      <c r="AB2962" s="156" t="s">
        <v>17417</v>
      </c>
      <c r="AC2962" s="156" t="s">
        <v>17418</v>
      </c>
      <c r="AD2962" s="156" t="s">
        <v>17419</v>
      </c>
      <c r="AE2962" s="153">
        <v>5.0</v>
      </c>
      <c r="AF2962" s="153">
        <v>168.0</v>
      </c>
      <c r="AG2962" s="156" t="s">
        <v>17420</v>
      </c>
      <c r="AH2962" s="116" t="s">
        <v>127</v>
      </c>
      <c r="AI2962" s="156" t="s">
        <v>806</v>
      </c>
      <c r="AJ2962" s="153">
        <v>1.0E-4</v>
      </c>
      <c r="AK2962" s="156" t="s">
        <v>128</v>
      </c>
      <c r="AL2962" s="156" t="s">
        <v>131</v>
      </c>
      <c r="AM2962" s="156" t="s">
        <v>130</v>
      </c>
      <c r="AN2962" s="156" t="s">
        <v>131</v>
      </c>
      <c r="AO2962" s="153">
        <v>1272.0</v>
      </c>
      <c r="AP2962" s="153">
        <v>0.13</v>
      </c>
      <c r="AQ2962" s="156" t="s">
        <v>132</v>
      </c>
      <c r="AR2962" s="156" t="s">
        <v>300</v>
      </c>
      <c r="AS2962" s="156" t="s">
        <v>131</v>
      </c>
      <c r="AT2962" s="156" t="s">
        <v>131</v>
      </c>
      <c r="AU2962" s="156" t="s">
        <v>131</v>
      </c>
      <c r="AV2962" s="156" t="s">
        <v>130</v>
      </c>
      <c r="AW2962" s="307" t="s">
        <v>17421</v>
      </c>
      <c r="AX2962" s="156" t="s">
        <v>317</v>
      </c>
    </row>
    <row r="2963">
      <c r="A2963" s="41">
        <v>2704.0</v>
      </c>
      <c r="B2963" s="126" t="s">
        <v>278</v>
      </c>
      <c r="C2963" s="59" t="s">
        <v>108</v>
      </c>
      <c r="D2963" s="59" t="s">
        <v>2923</v>
      </c>
      <c r="F2963" s="156" t="s">
        <v>17422</v>
      </c>
      <c r="G2963" s="156" t="s">
        <v>17423</v>
      </c>
      <c r="H2963" s="156" t="s">
        <v>17298</v>
      </c>
      <c r="I2963" s="149">
        <v>45799.0</v>
      </c>
      <c r="J2963" s="859"/>
      <c r="K2963" s="156" t="s">
        <v>17424</v>
      </c>
      <c r="L2963" s="65"/>
      <c r="M2963" s="156" t="s">
        <v>17425</v>
      </c>
      <c r="N2963" s="156" t="s">
        <v>17426</v>
      </c>
      <c r="O2963" s="153">
        <v>1.0</v>
      </c>
      <c r="P2963" s="379" t="s">
        <v>17427</v>
      </c>
      <c r="Q2963" s="2153" t="str">
        <f> hyperlink(vlookup(lower(N2963),'File Links'!E:F, 2, FALSE), "LINK")</f>
        <v>LINK</v>
      </c>
      <c r="R2963" s="156" t="s">
        <v>17428</v>
      </c>
      <c r="S2963" s="156" t="s">
        <v>17429</v>
      </c>
      <c r="T2963" s="156" t="s">
        <v>131</v>
      </c>
      <c r="U2963" s="153">
        <v>1.0</v>
      </c>
      <c r="V2963" s="379" t="s">
        <v>17430</v>
      </c>
      <c r="W2963" s="1228" t="s">
        <v>17303</v>
      </c>
      <c r="X2963" s="1544" t="str">
        <f> hyperlink(vlookup(lower(S2963),'File Links'!E:F, 2, FALSE), "LINK")</f>
        <v>LINK</v>
      </c>
      <c r="Y2963" s="65"/>
      <c r="Z2963" s="156" t="s">
        <v>940</v>
      </c>
      <c r="AA2963" s="156" t="s">
        <v>17431</v>
      </c>
      <c r="AB2963" s="156" t="s">
        <v>17432</v>
      </c>
      <c r="AC2963" s="156" t="s">
        <v>17433</v>
      </c>
      <c r="AD2963" s="156" t="s">
        <v>17434</v>
      </c>
      <c r="AE2963" s="153">
        <v>4.0</v>
      </c>
      <c r="AF2963" s="153">
        <v>20.0</v>
      </c>
      <c r="AG2963" s="153">
        <v>0.21</v>
      </c>
      <c r="AH2963" s="156" t="s">
        <v>166</v>
      </c>
      <c r="AI2963" s="156" t="s">
        <v>17435</v>
      </c>
      <c r="AJ2963" s="156" t="s">
        <v>131</v>
      </c>
      <c r="AK2963" s="156" t="s">
        <v>131</v>
      </c>
      <c r="AL2963" s="156" t="s">
        <v>131</v>
      </c>
      <c r="AM2963" s="156" t="s">
        <v>130</v>
      </c>
      <c r="AN2963" s="156" t="s">
        <v>131</v>
      </c>
      <c r="AO2963" s="153">
        <v>707.0</v>
      </c>
      <c r="AP2963" s="153">
        <v>0.77</v>
      </c>
      <c r="AQ2963" s="156" t="s">
        <v>166</v>
      </c>
      <c r="AR2963" s="156" t="s">
        <v>125</v>
      </c>
      <c r="AS2963" s="156" t="s">
        <v>131</v>
      </c>
      <c r="AT2963" s="156" t="s">
        <v>131</v>
      </c>
      <c r="AU2963" s="156" t="s">
        <v>131</v>
      </c>
      <c r="AV2963" s="156" t="s">
        <v>130</v>
      </c>
      <c r="AW2963" s="307" t="s">
        <v>17436</v>
      </c>
      <c r="AX2963" s="156" t="s">
        <v>317</v>
      </c>
    </row>
    <row r="2964">
      <c r="A2964" s="41">
        <v>2705.0</v>
      </c>
      <c r="B2964" s="126" t="s">
        <v>278</v>
      </c>
      <c r="C2964" s="59" t="s">
        <v>108</v>
      </c>
      <c r="D2964" s="59" t="s">
        <v>2923</v>
      </c>
      <c r="F2964" s="156" t="s">
        <v>17437</v>
      </c>
      <c r="G2964" s="156" t="s">
        <v>17438</v>
      </c>
      <c r="H2964" s="156" t="s">
        <v>17298</v>
      </c>
      <c r="I2964" s="149">
        <v>45799.0</v>
      </c>
      <c r="J2964" s="859"/>
      <c r="K2964" s="156" t="s">
        <v>17424</v>
      </c>
      <c r="L2964" s="65"/>
      <c r="M2964" s="156" t="s">
        <v>17439</v>
      </c>
      <c r="N2964" s="156" t="s">
        <v>17440</v>
      </c>
      <c r="O2964" s="153">
        <v>1.0</v>
      </c>
      <c r="P2964" s="379" t="s">
        <v>17441</v>
      </c>
      <c r="Q2964" s="2153" t="str">
        <f> hyperlink(vlookup(lower(N2964),'File Links'!E:F, 2, FALSE), "LINK")</f>
        <v>LINK</v>
      </c>
      <c r="R2964" s="156" t="s">
        <v>17442</v>
      </c>
      <c r="S2964" s="156" t="s">
        <v>17443</v>
      </c>
      <c r="T2964" s="156" t="s">
        <v>131</v>
      </c>
      <c r="U2964" s="153">
        <v>1.0</v>
      </c>
      <c r="V2964" s="379" t="s">
        <v>17444</v>
      </c>
      <c r="W2964" s="1228" t="s">
        <v>17445</v>
      </c>
      <c r="X2964" s="1544" t="str">
        <f> hyperlink(vlookup(lower(S2964),'File Links'!E:F, 2, FALSE), "LINK")</f>
        <v>LINK</v>
      </c>
      <c r="Y2964" s="65"/>
      <c r="Z2964" s="156" t="s">
        <v>940</v>
      </c>
      <c r="AA2964" s="156" t="s">
        <v>17446</v>
      </c>
      <c r="AB2964" s="156" t="s">
        <v>17447</v>
      </c>
      <c r="AC2964" s="156" t="s">
        <v>17448</v>
      </c>
      <c r="AD2964" s="156" t="s">
        <v>17449</v>
      </c>
      <c r="AE2964" s="153">
        <v>3.0</v>
      </c>
      <c r="AF2964" s="153">
        <v>403.0</v>
      </c>
      <c r="AG2964" s="1289">
        <v>0.7</v>
      </c>
      <c r="AH2964" s="156" t="s">
        <v>166</v>
      </c>
      <c r="AI2964" s="156" t="s">
        <v>17435</v>
      </c>
      <c r="AJ2964" s="156" t="s">
        <v>131</v>
      </c>
      <c r="AK2964" s="156" t="s">
        <v>131</v>
      </c>
      <c r="AL2964" s="156" t="s">
        <v>131</v>
      </c>
      <c r="AM2964" s="156" t="s">
        <v>130</v>
      </c>
      <c r="AN2964" s="156" t="s">
        <v>131</v>
      </c>
      <c r="AO2964" s="153">
        <v>131.0</v>
      </c>
      <c r="AP2964" s="153">
        <v>0.99</v>
      </c>
      <c r="AQ2964" s="156" t="s">
        <v>166</v>
      </c>
      <c r="AR2964" s="156" t="s">
        <v>210</v>
      </c>
      <c r="AS2964" s="156" t="s">
        <v>131</v>
      </c>
      <c r="AT2964" s="156" t="s">
        <v>131</v>
      </c>
      <c r="AU2964" s="156" t="s">
        <v>131</v>
      </c>
      <c r="AV2964" s="156" t="s">
        <v>130</v>
      </c>
      <c r="AW2964" s="307" t="s">
        <v>17450</v>
      </c>
      <c r="AX2964" s="156" t="s">
        <v>317</v>
      </c>
    </row>
    <row r="2965">
      <c r="A2965" s="41">
        <v>2706.0</v>
      </c>
      <c r="B2965" s="126" t="s">
        <v>278</v>
      </c>
      <c r="C2965" s="59" t="s">
        <v>108</v>
      </c>
      <c r="D2965" s="59" t="s">
        <v>2923</v>
      </c>
      <c r="F2965" s="156" t="s">
        <v>17451</v>
      </c>
      <c r="G2965" s="156" t="s">
        <v>17452</v>
      </c>
      <c r="H2965" s="156" t="s">
        <v>17298</v>
      </c>
      <c r="I2965" s="149">
        <v>45799.0</v>
      </c>
      <c r="J2965" s="859"/>
      <c r="K2965" s="65"/>
      <c r="L2965" s="65"/>
      <c r="M2965" s="156" t="s">
        <v>17453</v>
      </c>
      <c r="N2965" s="156" t="s">
        <v>17454</v>
      </c>
      <c r="O2965" s="153">
        <v>1.0</v>
      </c>
      <c r="P2965" s="379" t="s">
        <v>17455</v>
      </c>
      <c r="Q2965" s="2153" t="str">
        <f> hyperlink(vlookup(lower(N2965),'File Links'!E:F, 2, FALSE), "LINK")</f>
        <v>LINK</v>
      </c>
      <c r="R2965" s="156" t="s">
        <v>17456</v>
      </c>
      <c r="S2965" s="307" t="s">
        <v>17457</v>
      </c>
      <c r="T2965" s="156" t="s">
        <v>131</v>
      </c>
      <c r="U2965" s="153">
        <v>1.0</v>
      </c>
      <c r="V2965" s="379" t="s">
        <v>17458</v>
      </c>
      <c r="W2965" s="1228" t="s">
        <v>17445</v>
      </c>
      <c r="X2965" s="1544" t="str">
        <f> hyperlink(vlookup(lower(S2965),'File Links'!E:F, 2, FALSE), "LINK")</f>
        <v>LINK</v>
      </c>
      <c r="Y2965" s="65"/>
      <c r="Z2965" s="156" t="s">
        <v>940</v>
      </c>
      <c r="AA2965" s="156" t="s">
        <v>17459</v>
      </c>
      <c r="AB2965" s="156" t="s">
        <v>17460</v>
      </c>
      <c r="AC2965" s="156" t="s">
        <v>17461</v>
      </c>
      <c r="AD2965" s="156" t="s">
        <v>17462</v>
      </c>
      <c r="AE2965" s="153">
        <v>3.0</v>
      </c>
      <c r="AF2965" s="153">
        <v>138.0</v>
      </c>
      <c r="AG2965" s="153">
        <v>0.34</v>
      </c>
      <c r="AH2965" s="156" t="s">
        <v>166</v>
      </c>
      <c r="AI2965" s="156" t="s">
        <v>17463</v>
      </c>
      <c r="AJ2965" s="156" t="s">
        <v>131</v>
      </c>
      <c r="AK2965" s="156" t="s">
        <v>131</v>
      </c>
      <c r="AL2965" s="156" t="s">
        <v>131</v>
      </c>
      <c r="AM2965" s="156" t="s">
        <v>130</v>
      </c>
      <c r="AN2965" s="156" t="s">
        <v>131</v>
      </c>
      <c r="AO2965" s="153">
        <v>1405.0</v>
      </c>
      <c r="AP2965" s="153">
        <v>-0.05</v>
      </c>
      <c r="AQ2965" s="156" t="s">
        <v>166</v>
      </c>
      <c r="AR2965" s="156" t="s">
        <v>625</v>
      </c>
      <c r="AS2965" s="156" t="s">
        <v>131</v>
      </c>
      <c r="AT2965" s="156" t="s">
        <v>131</v>
      </c>
      <c r="AU2965" s="156" t="s">
        <v>131</v>
      </c>
      <c r="AV2965" s="156" t="s">
        <v>130</v>
      </c>
      <c r="AW2965" s="307" t="s">
        <v>17464</v>
      </c>
      <c r="AX2965" s="156" t="s">
        <v>317</v>
      </c>
    </row>
    <row r="2966">
      <c r="A2966" s="41">
        <v>2707.0</v>
      </c>
      <c r="B2966" s="126" t="s">
        <v>278</v>
      </c>
      <c r="C2966" s="59" t="s">
        <v>108</v>
      </c>
      <c r="D2966" s="59" t="s">
        <v>2923</v>
      </c>
      <c r="F2966" s="156" t="s">
        <v>17465</v>
      </c>
      <c r="G2966" s="156" t="s">
        <v>17466</v>
      </c>
      <c r="H2966" s="156" t="s">
        <v>17298</v>
      </c>
      <c r="I2966" s="149">
        <v>45800.0</v>
      </c>
      <c r="J2966" s="859"/>
      <c r="K2966" s="156" t="s">
        <v>17467</v>
      </c>
      <c r="L2966" s="156" t="s">
        <v>17468</v>
      </c>
      <c r="M2966" s="156" t="s">
        <v>17469</v>
      </c>
      <c r="N2966" s="156" t="s">
        <v>17470</v>
      </c>
      <c r="O2966" s="153">
        <v>2.0</v>
      </c>
      <c r="P2966" s="379" t="s">
        <v>17471</v>
      </c>
      <c r="Q2966" s="2153" t="str">
        <f> hyperlink(vlookup(lower(N2966),'File Links'!E:F, 2, FALSE), "LINK")</f>
        <v>LINK</v>
      </c>
      <c r="R2966" s="156" t="s">
        <v>17472</v>
      </c>
      <c r="S2966" s="156" t="s">
        <v>17473</v>
      </c>
      <c r="T2966" s="156" t="s">
        <v>131</v>
      </c>
      <c r="U2966" s="153">
        <v>2.0</v>
      </c>
      <c r="V2966" s="379" t="s">
        <v>17474</v>
      </c>
      <c r="W2966" s="1228" t="s">
        <v>17303</v>
      </c>
      <c r="X2966" s="1544" t="str">
        <f> hyperlink(vlookup(lower(S2966),'File Links'!E:F, 2, FALSE), "LINK")</f>
        <v>LINK</v>
      </c>
      <c r="Y2966" s="65"/>
      <c r="Z2966" s="156" t="s">
        <v>940</v>
      </c>
      <c r="AA2966" s="156" t="s">
        <v>17475</v>
      </c>
      <c r="AB2966" s="156" t="s">
        <v>17476</v>
      </c>
      <c r="AC2966" s="156" t="s">
        <v>17477</v>
      </c>
      <c r="AD2966" s="156" t="s">
        <v>17478</v>
      </c>
      <c r="AE2966" s="153">
        <v>7.0</v>
      </c>
      <c r="AF2966" s="153">
        <v>112.0</v>
      </c>
      <c r="AG2966" s="153">
        <v>0.062</v>
      </c>
      <c r="AH2966" s="156" t="s">
        <v>132</v>
      </c>
      <c r="AI2966" s="156" t="s">
        <v>7669</v>
      </c>
      <c r="AJ2966" s="153">
        <v>0.009</v>
      </c>
      <c r="AK2966" s="156" t="s">
        <v>165</v>
      </c>
      <c r="AL2966" s="156" t="s">
        <v>131</v>
      </c>
      <c r="AM2966" s="156" t="s">
        <v>130</v>
      </c>
      <c r="AN2966" s="156" t="s">
        <v>131</v>
      </c>
      <c r="AO2966" s="153">
        <v>2003.0</v>
      </c>
      <c r="AP2966" s="1289">
        <v>0.0</v>
      </c>
      <c r="AQ2966" s="156" t="s">
        <v>132</v>
      </c>
      <c r="AR2966" s="156" t="s">
        <v>133</v>
      </c>
      <c r="AS2966" s="153">
        <v>0.666</v>
      </c>
      <c r="AT2966" s="156" t="s">
        <v>165</v>
      </c>
      <c r="AU2966" s="156" t="s">
        <v>131</v>
      </c>
      <c r="AV2966" s="156" t="s">
        <v>130</v>
      </c>
      <c r="AW2966" s="307" t="s">
        <v>17479</v>
      </c>
      <c r="AX2966" s="156" t="s">
        <v>317</v>
      </c>
    </row>
    <row r="2967">
      <c r="A2967" s="41">
        <v>2708.0</v>
      </c>
      <c r="B2967" s="126" t="s">
        <v>278</v>
      </c>
      <c r="C2967" s="59" t="s">
        <v>108</v>
      </c>
      <c r="D2967" s="59" t="s">
        <v>2923</v>
      </c>
      <c r="F2967" s="156" t="s">
        <v>17480</v>
      </c>
      <c r="G2967" s="156" t="s">
        <v>17481</v>
      </c>
      <c r="H2967" s="156" t="s">
        <v>17298</v>
      </c>
      <c r="I2967" s="149">
        <v>45800.0</v>
      </c>
      <c r="J2967" s="859"/>
      <c r="K2967" s="65"/>
      <c r="L2967" s="65"/>
      <c r="M2967" s="156" t="s">
        <v>17482</v>
      </c>
      <c r="N2967" s="156" t="s">
        <v>17483</v>
      </c>
      <c r="O2967" s="153">
        <v>1.0</v>
      </c>
      <c r="P2967" s="379" t="s">
        <v>17484</v>
      </c>
      <c r="Q2967" s="2153" t="str">
        <f> hyperlink(vlookup(lower(N2967),'File Links'!E:F, 2, FALSE), "LINK")</f>
        <v>LINK</v>
      </c>
      <c r="R2967" s="156" t="s">
        <v>17485</v>
      </c>
      <c r="S2967" s="307" t="s">
        <v>17486</v>
      </c>
      <c r="T2967" s="156" t="s">
        <v>131</v>
      </c>
      <c r="U2967" s="153">
        <v>1.0</v>
      </c>
      <c r="V2967" s="379" t="s">
        <v>17487</v>
      </c>
      <c r="W2967" s="1228" t="s">
        <v>17303</v>
      </c>
      <c r="X2967" s="1544" t="str">
        <f> hyperlink(vlookup(lower(S2967),'File Links'!E:F, 2, FALSE), "LINK")</f>
        <v>LINK</v>
      </c>
      <c r="Y2967" s="65"/>
      <c r="Z2967" s="156" t="s">
        <v>940</v>
      </c>
      <c r="AA2967" s="156" t="s">
        <v>17488</v>
      </c>
      <c r="AB2967" s="156" t="s">
        <v>17489</v>
      </c>
      <c r="AC2967" s="156" t="s">
        <v>17490</v>
      </c>
      <c r="AD2967" s="156" t="s">
        <v>17491</v>
      </c>
      <c r="AE2967" s="153">
        <v>4.0</v>
      </c>
      <c r="AF2967" s="153">
        <v>121.0</v>
      </c>
      <c r="AG2967" s="1117">
        <v>0.06</v>
      </c>
      <c r="AH2967" s="156" t="s">
        <v>132</v>
      </c>
      <c r="AI2967" s="156" t="s">
        <v>843</v>
      </c>
      <c r="AJ2967" s="156" t="s">
        <v>131</v>
      </c>
      <c r="AK2967" s="156" t="s">
        <v>131</v>
      </c>
      <c r="AL2967" s="156" t="s">
        <v>131</v>
      </c>
      <c r="AM2967" s="156" t="s">
        <v>130</v>
      </c>
      <c r="AN2967" s="156" t="s">
        <v>131</v>
      </c>
      <c r="AO2967" s="153">
        <v>1004.0</v>
      </c>
      <c r="AP2967" s="1289">
        <v>0.0</v>
      </c>
      <c r="AQ2967" s="156" t="s">
        <v>132</v>
      </c>
      <c r="AR2967" s="156" t="s">
        <v>605</v>
      </c>
      <c r="AS2967" s="156" t="s">
        <v>131</v>
      </c>
      <c r="AT2967" s="156" t="s">
        <v>131</v>
      </c>
      <c r="AU2967" s="156" t="s">
        <v>131</v>
      </c>
      <c r="AV2967" s="156" t="s">
        <v>130</v>
      </c>
      <c r="AW2967" s="307" t="s">
        <v>17492</v>
      </c>
      <c r="AX2967" s="156" t="s">
        <v>317</v>
      </c>
    </row>
    <row r="2968">
      <c r="A2968" s="41">
        <v>2709.0</v>
      </c>
      <c r="B2968" s="126" t="s">
        <v>278</v>
      </c>
      <c r="C2968" s="59" t="s">
        <v>108</v>
      </c>
      <c r="D2968" s="59" t="s">
        <v>2923</v>
      </c>
      <c r="F2968" s="156" t="s">
        <v>17493</v>
      </c>
      <c r="G2968" s="156" t="s">
        <v>17494</v>
      </c>
      <c r="H2968" s="156" t="s">
        <v>17298</v>
      </c>
      <c r="I2968" s="149">
        <v>45800.0</v>
      </c>
      <c r="J2968" s="859"/>
      <c r="K2968" s="156" t="s">
        <v>17495</v>
      </c>
      <c r="L2968" s="65"/>
      <c r="M2968" s="156" t="s">
        <v>17496</v>
      </c>
      <c r="N2968" s="156" t="s">
        <v>17497</v>
      </c>
      <c r="O2968" s="156" t="s">
        <v>131</v>
      </c>
      <c r="P2968" s="379" t="s">
        <v>17498</v>
      </c>
      <c r="Q2968" s="2153" t="str">
        <f> hyperlink(vlookup(lower(N2968),'File Links'!E:F, 2, FALSE), "LINK")</f>
        <v>LINK</v>
      </c>
      <c r="R2968" s="156" t="s">
        <v>17499</v>
      </c>
      <c r="S2968" s="156" t="s">
        <v>131</v>
      </c>
      <c r="T2968" s="156" t="s">
        <v>131</v>
      </c>
      <c r="U2968" s="156" t="s">
        <v>131</v>
      </c>
      <c r="V2968" s="379" t="s">
        <v>131</v>
      </c>
      <c r="W2968" s="1228" t="s">
        <v>131</v>
      </c>
      <c r="X2968" s="2292" t="str">
        <f> hyperlink(vlookup(lower(S2968),'File Links'!E:F, 2, FALSE), "LINK")</f>
        <v>LINK</v>
      </c>
      <c r="Y2968" s="156" t="s">
        <v>17500</v>
      </c>
      <c r="Z2968" s="156" t="s">
        <v>940</v>
      </c>
      <c r="AA2968" s="156" t="s">
        <v>17501</v>
      </c>
      <c r="AB2968" s="156" t="s">
        <v>7257</v>
      </c>
      <c r="AC2968" s="65"/>
      <c r="AD2968" s="156" t="s">
        <v>131</v>
      </c>
      <c r="AE2968" s="156" t="s">
        <v>131</v>
      </c>
      <c r="AF2968" s="156" t="s">
        <v>131</v>
      </c>
      <c r="AG2968" s="156" t="s">
        <v>131</v>
      </c>
      <c r="AH2968" s="156" t="s">
        <v>131</v>
      </c>
      <c r="AI2968" s="156" t="s">
        <v>131</v>
      </c>
      <c r="AJ2968" s="156" t="s">
        <v>131</v>
      </c>
      <c r="AK2968" s="156" t="s">
        <v>131</v>
      </c>
      <c r="AL2968" s="156" t="s">
        <v>131</v>
      </c>
      <c r="AM2968" s="156" t="s">
        <v>131</v>
      </c>
      <c r="AN2968" s="156" t="s">
        <v>131</v>
      </c>
      <c r="AO2968" s="156" t="s">
        <v>131</v>
      </c>
      <c r="AP2968" s="156" t="s">
        <v>131</v>
      </c>
      <c r="AQ2968" s="156" t="s">
        <v>131</v>
      </c>
      <c r="AR2968" s="156" t="s">
        <v>131</v>
      </c>
      <c r="AS2968" s="156" t="s">
        <v>131</v>
      </c>
      <c r="AT2968" s="156" t="s">
        <v>131</v>
      </c>
      <c r="AU2968" s="156" t="s">
        <v>131</v>
      </c>
      <c r="AV2968" s="156" t="s">
        <v>131</v>
      </c>
      <c r="AW2968" s="156" t="s">
        <v>131</v>
      </c>
      <c r="AX2968" s="156" t="s">
        <v>131</v>
      </c>
    </row>
    <row r="2969">
      <c r="A2969" s="41">
        <v>2710.0</v>
      </c>
      <c r="B2969" s="126" t="s">
        <v>278</v>
      </c>
      <c r="C2969" s="59" t="s">
        <v>108</v>
      </c>
      <c r="D2969" s="59" t="s">
        <v>2923</v>
      </c>
      <c r="F2969" s="156" t="s">
        <v>17502</v>
      </c>
      <c r="G2969" s="156" t="s">
        <v>17503</v>
      </c>
      <c r="H2969" s="156" t="s">
        <v>17298</v>
      </c>
      <c r="I2969" s="149">
        <v>45805.0</v>
      </c>
      <c r="J2969" s="859"/>
      <c r="K2969" s="156" t="s">
        <v>17328</v>
      </c>
      <c r="L2969" s="65"/>
      <c r="M2969" s="2293" t="s">
        <v>17504</v>
      </c>
      <c r="N2969" s="156" t="s">
        <v>17505</v>
      </c>
      <c r="O2969" s="153">
        <v>1.0</v>
      </c>
      <c r="P2969" s="379" t="s">
        <v>17506</v>
      </c>
      <c r="Q2969" s="2294" t="str">
        <f> hyperlink(vlookup(lower(N2969),'File Links'!E:F, 2, FALSE), "LINK")</f>
        <v>LINK</v>
      </c>
      <c r="R2969" s="156" t="s">
        <v>17507</v>
      </c>
      <c r="S2969" s="156" t="s">
        <v>131</v>
      </c>
      <c r="T2969" s="156" t="s">
        <v>131</v>
      </c>
      <c r="U2969" s="153">
        <v>1.0</v>
      </c>
      <c r="V2969" s="379" t="s">
        <v>17508</v>
      </c>
      <c r="W2969" s="1228" t="s">
        <v>202</v>
      </c>
      <c r="X2969" s="2154" t="str">
        <f> hyperlink(vlookup(lower(S2969),'File Links'!E:F, 2, FALSE), "LINK")</f>
        <v>LINK</v>
      </c>
      <c r="Y2969" s="65"/>
      <c r="Z2969" s="156" t="s">
        <v>940</v>
      </c>
      <c r="AA2969" s="156" t="s">
        <v>17509</v>
      </c>
      <c r="AB2969" s="156" t="s">
        <v>17510</v>
      </c>
      <c r="AC2969" s="1057" t="s">
        <v>17511</v>
      </c>
      <c r="AD2969" s="156" t="s">
        <v>131</v>
      </c>
      <c r="AE2969" s="156" t="s">
        <v>131</v>
      </c>
      <c r="AF2969" s="153">
        <v>45.0</v>
      </c>
      <c r="AG2969" s="153">
        <v>1.57</v>
      </c>
      <c r="AH2969" s="156" t="s">
        <v>166</v>
      </c>
      <c r="AI2969" s="156" t="s">
        <v>17512</v>
      </c>
      <c r="AJ2969" s="156" t="s">
        <v>131</v>
      </c>
      <c r="AK2969" s="156" t="s">
        <v>131</v>
      </c>
      <c r="AL2969" s="156" t="s">
        <v>131</v>
      </c>
      <c r="AM2969" s="156" t="s">
        <v>130</v>
      </c>
      <c r="AN2969" s="156" t="s">
        <v>131</v>
      </c>
      <c r="AO2969" s="153">
        <v>377.0</v>
      </c>
      <c r="AP2969" s="153">
        <v>0.98</v>
      </c>
      <c r="AQ2969" s="156" t="s">
        <v>166</v>
      </c>
      <c r="AR2969" s="156" t="s">
        <v>17513</v>
      </c>
      <c r="AS2969" s="156" t="s">
        <v>131</v>
      </c>
      <c r="AT2969" s="156" t="s">
        <v>131</v>
      </c>
      <c r="AU2969" s="156" t="s">
        <v>131</v>
      </c>
      <c r="AV2969" s="156" t="s">
        <v>130</v>
      </c>
      <c r="AW2969" s="307" t="s">
        <v>17514</v>
      </c>
      <c r="AX2969" s="156" t="s">
        <v>317</v>
      </c>
    </row>
    <row r="2970">
      <c r="A2970" s="41">
        <v>2711.0</v>
      </c>
      <c r="B2970" s="126" t="s">
        <v>278</v>
      </c>
      <c r="C2970" s="59" t="s">
        <v>108</v>
      </c>
      <c r="D2970" s="59" t="s">
        <v>2923</v>
      </c>
      <c r="F2970" s="156" t="s">
        <v>17515</v>
      </c>
      <c r="G2970" s="156" t="s">
        <v>17516</v>
      </c>
      <c r="H2970" s="156" t="s">
        <v>17298</v>
      </c>
      <c r="I2970" s="149">
        <v>45800.0</v>
      </c>
      <c r="J2970" s="859"/>
      <c r="K2970" s="65"/>
      <c r="L2970" s="65"/>
      <c r="M2970" s="156" t="s">
        <v>17517</v>
      </c>
      <c r="N2970" s="156" t="s">
        <v>17518</v>
      </c>
      <c r="O2970" s="153">
        <v>1.0</v>
      </c>
      <c r="P2970" s="379" t="s">
        <v>17519</v>
      </c>
      <c r="Q2970" s="2153" t="str">
        <f> hyperlink(vlookup(lower(N2970),'File Links'!E:F, 2, FALSE), "LINK")</f>
        <v>LINK</v>
      </c>
      <c r="R2970" s="156" t="s">
        <v>17520</v>
      </c>
      <c r="S2970" s="156" t="s">
        <v>131</v>
      </c>
      <c r="T2970" s="156" t="s">
        <v>131</v>
      </c>
      <c r="U2970" s="153">
        <v>1.0</v>
      </c>
      <c r="V2970" s="379" t="s">
        <v>17521</v>
      </c>
      <c r="W2970" s="1228" t="s">
        <v>17303</v>
      </c>
      <c r="X2970" s="2154" t="str">
        <f> hyperlink(vlookup(lower(S2970),'File Links'!E:F, 2, FALSE), "LINK")</f>
        <v>LINK</v>
      </c>
      <c r="Y2970" s="65"/>
      <c r="Z2970" s="156" t="s">
        <v>940</v>
      </c>
      <c r="AA2970" s="156" t="s">
        <v>17522</v>
      </c>
      <c r="AB2970" s="156" t="s">
        <v>17523</v>
      </c>
      <c r="AC2970" s="156" t="s">
        <v>17524</v>
      </c>
      <c r="AD2970" s="156" t="s">
        <v>17525</v>
      </c>
      <c r="AE2970" s="153">
        <v>3.0</v>
      </c>
      <c r="AF2970" s="153">
        <v>148.0</v>
      </c>
      <c r="AG2970" s="153">
        <v>0.43</v>
      </c>
      <c r="AH2970" s="156" t="s">
        <v>131</v>
      </c>
      <c r="AI2970" s="156" t="s">
        <v>17526</v>
      </c>
      <c r="AJ2970" s="156" t="s">
        <v>131</v>
      </c>
      <c r="AK2970" s="156" t="s">
        <v>131</v>
      </c>
      <c r="AL2970" s="156" t="s">
        <v>131</v>
      </c>
      <c r="AM2970" s="156" t="s">
        <v>130</v>
      </c>
      <c r="AN2970" s="156" t="s">
        <v>131</v>
      </c>
      <c r="AO2970" s="153">
        <v>983.0</v>
      </c>
      <c r="AP2970" s="153">
        <v>0.49</v>
      </c>
      <c r="AQ2970" s="156" t="s">
        <v>166</v>
      </c>
      <c r="AR2970" s="156" t="s">
        <v>17527</v>
      </c>
      <c r="AS2970" s="153">
        <v>1.0E-4</v>
      </c>
      <c r="AT2970" s="156" t="s">
        <v>128</v>
      </c>
      <c r="AU2970" s="156" t="s">
        <v>131</v>
      </c>
      <c r="AV2970" s="156" t="s">
        <v>130</v>
      </c>
      <c r="AW2970" s="307" t="s">
        <v>17528</v>
      </c>
      <c r="AX2970" s="156" t="s">
        <v>317</v>
      </c>
    </row>
    <row r="2971">
      <c r="A2971" s="41">
        <v>2712.0</v>
      </c>
      <c r="B2971" s="126" t="s">
        <v>278</v>
      </c>
      <c r="C2971" s="59" t="s">
        <v>108</v>
      </c>
      <c r="D2971" s="59" t="s">
        <v>2923</v>
      </c>
      <c r="F2971" s="156" t="s">
        <v>17529</v>
      </c>
      <c r="G2971" s="156" t="s">
        <v>17530</v>
      </c>
      <c r="H2971" s="156" t="s">
        <v>17298</v>
      </c>
      <c r="I2971" s="149">
        <v>45800.0</v>
      </c>
      <c r="J2971" s="859"/>
      <c r="K2971" s="65"/>
      <c r="L2971" s="156" t="s">
        <v>17531</v>
      </c>
      <c r="M2971" s="156" t="s">
        <v>17532</v>
      </c>
      <c r="N2971" s="156" t="s">
        <v>17533</v>
      </c>
      <c r="O2971" s="153">
        <v>2.0</v>
      </c>
      <c r="P2971" s="379" t="s">
        <v>17534</v>
      </c>
      <c r="Q2971" s="2153" t="str">
        <f> hyperlink(vlookup(lower(N2971),'File Links'!E:F, 2, FALSE), "LINK")</f>
        <v>LINK</v>
      </c>
      <c r="R2971" s="156" t="s">
        <v>17535</v>
      </c>
      <c r="S2971" s="156" t="s">
        <v>131</v>
      </c>
      <c r="T2971" s="195" t="s">
        <v>131</v>
      </c>
      <c r="U2971" s="153">
        <v>2.0</v>
      </c>
      <c r="V2971" s="379" t="s">
        <v>131</v>
      </c>
      <c r="W2971" s="1228" t="s">
        <v>17303</v>
      </c>
      <c r="X2971" s="2154" t="str">
        <f> hyperlink(vlookup(lower(S2971),'File Links'!E:F, 2, FALSE), "LINK")</f>
        <v>LINK</v>
      </c>
      <c r="Y2971" s="65"/>
      <c r="Z2971" s="156" t="s">
        <v>940</v>
      </c>
      <c r="AA2971" s="156" t="s">
        <v>17536</v>
      </c>
      <c r="AB2971" s="156" t="s">
        <v>17537</v>
      </c>
      <c r="AC2971" s="156" t="s">
        <v>17538</v>
      </c>
      <c r="AD2971" s="156" t="s">
        <v>17539</v>
      </c>
      <c r="AE2971" s="156" t="s">
        <v>17540</v>
      </c>
      <c r="AF2971" s="153">
        <v>138.0</v>
      </c>
      <c r="AG2971" s="153">
        <v>-0.75</v>
      </c>
      <c r="AH2971" s="156" t="s">
        <v>166</v>
      </c>
      <c r="AI2971" s="156" t="s">
        <v>17540</v>
      </c>
      <c r="AJ2971" s="156" t="s">
        <v>131</v>
      </c>
      <c r="AK2971" s="156" t="s">
        <v>131</v>
      </c>
      <c r="AL2971" s="156" t="s">
        <v>131</v>
      </c>
      <c r="AM2971" s="156" t="s">
        <v>130</v>
      </c>
      <c r="AN2971" s="156" t="s">
        <v>131</v>
      </c>
      <c r="AO2971" s="153">
        <v>480.0</v>
      </c>
      <c r="AP2971" s="1289">
        <v>-0.4</v>
      </c>
      <c r="AQ2971" s="156" t="s">
        <v>166</v>
      </c>
      <c r="AR2971" s="156" t="s">
        <v>10360</v>
      </c>
      <c r="AS2971" s="156" t="s">
        <v>131</v>
      </c>
      <c r="AT2971" s="156" t="s">
        <v>131</v>
      </c>
      <c r="AU2971" s="156" t="s">
        <v>131</v>
      </c>
      <c r="AV2971" s="156" t="s">
        <v>130</v>
      </c>
      <c r="AW2971" s="307" t="s">
        <v>17541</v>
      </c>
      <c r="AX2971" s="156" t="s">
        <v>317</v>
      </c>
    </row>
    <row r="2972">
      <c r="A2972" s="41">
        <v>2713.0</v>
      </c>
      <c r="B2972" s="126" t="s">
        <v>278</v>
      </c>
      <c r="C2972" s="59" t="s">
        <v>108</v>
      </c>
      <c r="D2972" s="59" t="s">
        <v>2923</v>
      </c>
      <c r="F2972" s="156" t="s">
        <v>17542</v>
      </c>
      <c r="G2972" s="156" t="s">
        <v>17543</v>
      </c>
      <c r="H2972" s="156" t="s">
        <v>17298</v>
      </c>
      <c r="I2972" s="149">
        <v>45800.0</v>
      </c>
      <c r="J2972" s="859"/>
      <c r="K2972" s="156" t="s">
        <v>17544</v>
      </c>
      <c r="L2972" s="65"/>
      <c r="M2972" s="156" t="s">
        <v>17545</v>
      </c>
      <c r="N2972" s="156" t="s">
        <v>17546</v>
      </c>
      <c r="O2972" s="156" t="s">
        <v>131</v>
      </c>
      <c r="P2972" s="379" t="s">
        <v>17547</v>
      </c>
      <c r="Q2972" s="2153" t="str">
        <f> hyperlink(vlookup(lower(N2972),'File Links'!E:F, 2, FALSE), "LINK")</f>
        <v>LINK</v>
      </c>
      <c r="R2972" s="156" t="s">
        <v>17548</v>
      </c>
      <c r="S2972" s="156" t="s">
        <v>131</v>
      </c>
      <c r="T2972" s="156" t="s">
        <v>131</v>
      </c>
      <c r="U2972" s="156" t="s">
        <v>131</v>
      </c>
      <c r="V2972" s="379" t="s">
        <v>570</v>
      </c>
      <c r="W2972" s="1228" t="s">
        <v>131</v>
      </c>
      <c r="X2972" s="2292" t="str">
        <f> hyperlink(vlookup(lower(S2972),'File Links'!E:F, 2, FALSE), "LINK")</f>
        <v>LINK</v>
      </c>
      <c r="Y2972" s="156" t="s">
        <v>17544</v>
      </c>
      <c r="Z2972" s="156" t="s">
        <v>940</v>
      </c>
      <c r="AA2972" s="156" t="s">
        <v>17549</v>
      </c>
      <c r="AB2972" s="156" t="s">
        <v>7257</v>
      </c>
      <c r="AC2972" s="65"/>
      <c r="AD2972" s="156" t="s">
        <v>131</v>
      </c>
      <c r="AE2972" s="156" t="s">
        <v>131</v>
      </c>
      <c r="AF2972" s="156" t="s">
        <v>131</v>
      </c>
      <c r="AG2972" s="156" t="s">
        <v>131</v>
      </c>
      <c r="AH2972" s="156" t="s">
        <v>131</v>
      </c>
      <c r="AI2972" s="156" t="s">
        <v>131</v>
      </c>
      <c r="AJ2972" s="156" t="s">
        <v>131</v>
      </c>
      <c r="AK2972" s="156" t="s">
        <v>131</v>
      </c>
      <c r="AL2972" s="156" t="s">
        <v>131</v>
      </c>
      <c r="AM2972" s="156" t="s">
        <v>131</v>
      </c>
      <c r="AN2972" s="156" t="s">
        <v>131</v>
      </c>
      <c r="AO2972" s="156" t="s">
        <v>131</v>
      </c>
      <c r="AP2972" s="156" t="s">
        <v>131</v>
      </c>
      <c r="AQ2972" s="156" t="s">
        <v>131</v>
      </c>
      <c r="AR2972" s="156" t="s">
        <v>131</v>
      </c>
      <c r="AS2972" s="156" t="s">
        <v>131</v>
      </c>
      <c r="AT2972" s="156" t="s">
        <v>131</v>
      </c>
      <c r="AU2972" s="156" t="s">
        <v>131</v>
      </c>
      <c r="AV2972" s="156" t="s">
        <v>131</v>
      </c>
      <c r="AW2972" s="156" t="s">
        <v>131</v>
      </c>
      <c r="AX2972" s="156" t="s">
        <v>131</v>
      </c>
    </row>
    <row r="2973">
      <c r="A2973" s="41">
        <v>2714.0</v>
      </c>
      <c r="B2973" s="126" t="s">
        <v>278</v>
      </c>
      <c r="C2973" s="59" t="s">
        <v>108</v>
      </c>
      <c r="D2973" s="59" t="s">
        <v>2923</v>
      </c>
      <c r="F2973" s="156" t="s">
        <v>17550</v>
      </c>
      <c r="G2973" s="156" t="s">
        <v>17551</v>
      </c>
      <c r="H2973" s="156" t="s">
        <v>17298</v>
      </c>
      <c r="I2973" s="149">
        <v>45800.0</v>
      </c>
      <c r="J2973" s="859"/>
      <c r="K2973" s="156" t="s">
        <v>17552</v>
      </c>
      <c r="L2973" s="65"/>
      <c r="M2973" s="156" t="s">
        <v>17553</v>
      </c>
      <c r="N2973" s="156" t="s">
        <v>17554</v>
      </c>
      <c r="O2973" s="153">
        <v>4.0</v>
      </c>
      <c r="P2973" s="379" t="s">
        <v>17555</v>
      </c>
      <c r="Q2973" s="2153" t="str">
        <f> hyperlink(vlookup(lower(N2973),'File Links'!E:F, 2, FALSE), "LINK")</f>
        <v>LINK</v>
      </c>
      <c r="R2973" s="156" t="s">
        <v>17556</v>
      </c>
      <c r="S2973" s="307" t="s">
        <v>17557</v>
      </c>
      <c r="T2973" s="677" t="s">
        <v>17558</v>
      </c>
      <c r="U2973" s="153">
        <v>4.0</v>
      </c>
      <c r="V2973" s="379" t="s">
        <v>17559</v>
      </c>
      <c r="W2973" s="1228" t="s">
        <v>17303</v>
      </c>
      <c r="X2973" s="1544" t="str">
        <f> hyperlink(vlookup(lower(S2973),'File Links'!E:F, 2, FALSE), "LINK")</f>
        <v>LINK</v>
      </c>
      <c r="Y2973" s="65"/>
      <c r="Z2973" s="156" t="s">
        <v>940</v>
      </c>
      <c r="AA2973" s="156" t="s">
        <v>17560</v>
      </c>
      <c r="AB2973" s="156" t="s">
        <v>17561</v>
      </c>
      <c r="AC2973" s="156" t="s">
        <v>17562</v>
      </c>
      <c r="AD2973" s="156" t="s">
        <v>17563</v>
      </c>
      <c r="AE2973" s="156" t="s">
        <v>7669</v>
      </c>
      <c r="AF2973" s="153">
        <v>66.0</v>
      </c>
      <c r="AG2973" s="153">
        <v>-0.58</v>
      </c>
      <c r="AH2973" s="156" t="s">
        <v>166</v>
      </c>
      <c r="AI2973" s="153">
        <v>8.0</v>
      </c>
      <c r="AJ2973" s="156" t="s">
        <v>131</v>
      </c>
      <c r="AK2973" s="156" t="s">
        <v>131</v>
      </c>
      <c r="AL2973" s="156" t="s">
        <v>131</v>
      </c>
      <c r="AM2973" s="156" t="s">
        <v>131</v>
      </c>
      <c r="AN2973" s="156" t="s">
        <v>131</v>
      </c>
      <c r="AO2973" s="153">
        <v>240.0</v>
      </c>
      <c r="AP2973" s="153">
        <v>-0.09</v>
      </c>
      <c r="AQ2973" s="156" t="s">
        <v>166</v>
      </c>
      <c r="AR2973" s="156" t="s">
        <v>2359</v>
      </c>
      <c r="AS2973" s="156" t="s">
        <v>131</v>
      </c>
      <c r="AT2973" s="156" t="s">
        <v>131</v>
      </c>
      <c r="AU2973" s="156" t="s">
        <v>131</v>
      </c>
      <c r="AV2973" s="156" t="s">
        <v>130</v>
      </c>
      <c r="AW2973" s="156" t="s">
        <v>131</v>
      </c>
      <c r="AX2973" s="156" t="s">
        <v>317</v>
      </c>
    </row>
    <row r="2974">
      <c r="A2974" s="41">
        <v>2977.0</v>
      </c>
      <c r="B2974" s="126" t="s">
        <v>107</v>
      </c>
      <c r="C2974" s="59" t="s">
        <v>108</v>
      </c>
      <c r="D2974" s="59" t="s">
        <v>15410</v>
      </c>
      <c r="F2974" s="65" t="s">
        <v>15494</v>
      </c>
      <c r="G2974" s="156" t="s">
        <v>15495</v>
      </c>
      <c r="H2974" s="156" t="s">
        <v>17166</v>
      </c>
      <c r="I2974" s="149">
        <v>45331.0</v>
      </c>
      <c r="J2974" s="2295">
        <v>45828.0</v>
      </c>
      <c r="K2974" s="65"/>
      <c r="L2974" s="126" t="s">
        <v>17564</v>
      </c>
      <c r="M2974" s="156" t="s">
        <v>15497</v>
      </c>
      <c r="N2974" s="156" t="s">
        <v>15498</v>
      </c>
      <c r="O2974" s="333">
        <v>1.0</v>
      </c>
      <c r="P2974" s="156" t="s">
        <v>15499</v>
      </c>
      <c r="Q2974" s="2139" t="str">
        <f> hyperlink(vlookup(lower(N2974),'File Links'!E:F, 2, FALSE), "LINK")</f>
        <v>LINK</v>
      </c>
      <c r="R2974" s="677" t="s">
        <v>17565</v>
      </c>
      <c r="S2974" s="156" t="s">
        <v>15501</v>
      </c>
      <c r="T2974" s="307" t="s">
        <v>15502</v>
      </c>
      <c r="U2974" s="333">
        <v>1.0</v>
      </c>
      <c r="V2974" s="156" t="s">
        <v>15503</v>
      </c>
      <c r="W2974" s="203" t="s">
        <v>1115</v>
      </c>
      <c r="X2974" s="2291" t="str">
        <f> hyperlink(vlookup(lower(S2974),'File Links'!E:F, 2, FALSE), "LINK")</f>
        <v>LINK</v>
      </c>
      <c r="Y2974" s="65"/>
      <c r="Z2974" s="156" t="s">
        <v>940</v>
      </c>
      <c r="AA2974" s="156" t="s">
        <v>15504</v>
      </c>
      <c r="AB2974" s="156" t="s">
        <v>7257</v>
      </c>
      <c r="AC2974" s="156" t="s">
        <v>15505</v>
      </c>
      <c r="AD2974" s="126" t="s">
        <v>17566</v>
      </c>
      <c r="AE2974" s="2296">
        <v>45689.0</v>
      </c>
      <c r="AF2974" s="333">
        <v>161.0</v>
      </c>
      <c r="AG2974" s="158" t="s">
        <v>131</v>
      </c>
      <c r="AH2974" s="148" t="s">
        <v>131</v>
      </c>
      <c r="AI2974" s="65" t="s">
        <v>2764</v>
      </c>
      <c r="AJ2974" s="333">
        <v>0.02</v>
      </c>
      <c r="AK2974" s="65" t="s">
        <v>128</v>
      </c>
      <c r="AL2974" s="65" t="s">
        <v>179</v>
      </c>
      <c r="AM2974" s="65" t="s">
        <v>130</v>
      </c>
      <c r="AN2974" s="126" t="s">
        <v>131</v>
      </c>
      <c r="AO2974" s="158">
        <v>970.0</v>
      </c>
      <c r="AP2974" s="158">
        <v>1.38</v>
      </c>
      <c r="AQ2974" s="148" t="s">
        <v>715</v>
      </c>
      <c r="AR2974" s="148" t="s">
        <v>15508</v>
      </c>
      <c r="AS2974" s="158">
        <v>0.021</v>
      </c>
      <c r="AT2974" s="148" t="s">
        <v>165</v>
      </c>
      <c r="AU2974" s="65" t="s">
        <v>179</v>
      </c>
      <c r="AV2974" s="65" t="s">
        <v>130</v>
      </c>
      <c r="AW2974" s="432" t="s">
        <v>17567</v>
      </c>
      <c r="AX2974" s="65" t="s">
        <v>136</v>
      </c>
      <c r="AZ2974" s="196" t="s">
        <v>807</v>
      </c>
    </row>
    <row r="2975">
      <c r="A2975" s="41">
        <v>2715.0</v>
      </c>
      <c r="B2975" s="126" t="s">
        <v>278</v>
      </c>
      <c r="C2975" s="59" t="s">
        <v>108</v>
      </c>
      <c r="D2975" s="59" t="s">
        <v>2923</v>
      </c>
      <c r="F2975" s="156" t="s">
        <v>17568</v>
      </c>
      <c r="G2975" s="156" t="s">
        <v>17569</v>
      </c>
      <c r="H2975" s="156" t="s">
        <v>17298</v>
      </c>
      <c r="I2975" s="149">
        <v>45800.0</v>
      </c>
      <c r="J2975" s="859"/>
      <c r="K2975" s="156" t="s">
        <v>17570</v>
      </c>
      <c r="L2975" s="65"/>
      <c r="M2975" s="156" t="s">
        <v>17571</v>
      </c>
      <c r="N2975" s="156" t="s">
        <v>17572</v>
      </c>
      <c r="O2975" s="153">
        <v>1.0</v>
      </c>
      <c r="P2975" s="379" t="s">
        <v>17573</v>
      </c>
      <c r="Q2975" s="2153" t="str">
        <f> hyperlink(vlookup(lower(N2975),'File Links'!E:F, 2, FALSE), "LINK")</f>
        <v>LINK</v>
      </c>
      <c r="R2975" s="156" t="s">
        <v>17574</v>
      </c>
      <c r="S2975" s="156" t="s">
        <v>131</v>
      </c>
      <c r="T2975" s="990" t="s">
        <v>17575</v>
      </c>
      <c r="U2975" s="153">
        <v>1.0</v>
      </c>
      <c r="V2975" s="379" t="s">
        <v>570</v>
      </c>
      <c r="W2975" s="1228" t="s">
        <v>17303</v>
      </c>
      <c r="X2975" s="2154" t="str">
        <f> hyperlink(vlookup(lower(S2975),'File Links'!E:F, 2, FALSE), "LINK")</f>
        <v>LINK</v>
      </c>
      <c r="Y2975" s="65"/>
      <c r="Z2975" s="156" t="s">
        <v>940</v>
      </c>
      <c r="AA2975" s="156" t="s">
        <v>17576</v>
      </c>
      <c r="AB2975" s="156" t="s">
        <v>17577</v>
      </c>
      <c r="AC2975" s="156" t="s">
        <v>17578</v>
      </c>
      <c r="AD2975" s="156" t="s">
        <v>17579</v>
      </c>
      <c r="AE2975" s="153">
        <v>3.0</v>
      </c>
      <c r="AF2975" s="153">
        <v>95.0</v>
      </c>
      <c r="AG2975" s="153">
        <v>-0.76</v>
      </c>
      <c r="AH2975" s="156" t="s">
        <v>166</v>
      </c>
      <c r="AI2975" s="153">
        <v>3.0</v>
      </c>
      <c r="AJ2975" s="153">
        <v>1.0E-4</v>
      </c>
      <c r="AK2975" s="156" t="s">
        <v>128</v>
      </c>
      <c r="AL2975" s="156" t="s">
        <v>131</v>
      </c>
      <c r="AM2975" s="156" t="s">
        <v>130</v>
      </c>
      <c r="AN2975" s="156" t="s">
        <v>131</v>
      </c>
      <c r="AO2975" s="153">
        <v>584.0</v>
      </c>
      <c r="AP2975" s="1289">
        <v>-0.6</v>
      </c>
      <c r="AQ2975" s="156" t="s">
        <v>166</v>
      </c>
      <c r="AR2975" s="156" t="s">
        <v>17580</v>
      </c>
      <c r="AS2975" s="156" t="s">
        <v>131</v>
      </c>
      <c r="AT2975" s="156" t="s">
        <v>131</v>
      </c>
      <c r="AU2975" s="156" t="s">
        <v>131</v>
      </c>
      <c r="AV2975" s="156" t="s">
        <v>130</v>
      </c>
      <c r="AW2975" s="307" t="s">
        <v>17581</v>
      </c>
      <c r="AX2975" s="156" t="s">
        <v>317</v>
      </c>
    </row>
    <row r="2976">
      <c r="A2976" s="41">
        <v>2729.0</v>
      </c>
      <c r="B2976" s="471" t="s">
        <v>145</v>
      </c>
      <c r="C2976" s="464" t="s">
        <v>108</v>
      </c>
      <c r="D2976" s="464" t="s">
        <v>15410</v>
      </c>
      <c r="E2976" s="465"/>
      <c r="F2976" s="2297" t="s">
        <v>15510</v>
      </c>
      <c r="G2976" s="2298" t="s">
        <v>15511</v>
      </c>
      <c r="H2976" s="2298" t="s">
        <v>17166</v>
      </c>
      <c r="I2976" s="2299">
        <v>45331.0</v>
      </c>
      <c r="J2976" s="2283">
        <v>45828.0</v>
      </c>
      <c r="K2976" s="2297"/>
      <c r="L2976" s="2300" t="s">
        <v>17582</v>
      </c>
      <c r="M2976" s="2298" t="s">
        <v>15513</v>
      </c>
      <c r="N2976" s="2298" t="s">
        <v>15514</v>
      </c>
      <c r="O2976" s="2301">
        <v>2.0</v>
      </c>
      <c r="P2976" s="2298" t="s">
        <v>15515</v>
      </c>
      <c r="Q2976" s="2302" t="str">
        <f> hyperlink(vlookup(lower(N2976),'File Links'!E:F, 2, FALSE), "LINK")</f>
        <v>LINK</v>
      </c>
      <c r="R2976" s="2303" t="s">
        <v>17583</v>
      </c>
      <c r="S2976" s="466" t="s">
        <v>15501</v>
      </c>
      <c r="T2976" s="2303" t="s">
        <v>15502</v>
      </c>
      <c r="U2976" s="2304">
        <v>2.0</v>
      </c>
      <c r="V2976" s="466" t="s">
        <v>15503</v>
      </c>
      <c r="W2976" s="692" t="s">
        <v>7255</v>
      </c>
      <c r="X2976" s="2305" t="str">
        <f> hyperlink(vlookup(lower(S2976),'File Links'!E:F, 2, FALSE), "LINK")</f>
        <v>LINK</v>
      </c>
      <c r="Y2976" s="479"/>
      <c r="Z2976" s="2306" t="s">
        <v>940</v>
      </c>
      <c r="AA2976" s="2306" t="s">
        <v>15504</v>
      </c>
      <c r="AB2976" s="2306" t="s">
        <v>7257</v>
      </c>
      <c r="AC2976" s="2306" t="s">
        <v>15516</v>
      </c>
      <c r="AD2976" s="2307" t="s">
        <v>15517</v>
      </c>
      <c r="AE2976" s="2308">
        <v>8.0</v>
      </c>
      <c r="AF2976" s="2308">
        <v>235.0</v>
      </c>
      <c r="AG2976" s="2309" t="s">
        <v>17584</v>
      </c>
      <c r="AH2976" s="2309" t="s">
        <v>127</v>
      </c>
      <c r="AI2976" s="2309" t="s">
        <v>597</v>
      </c>
      <c r="AJ2976" s="2308">
        <v>0.001</v>
      </c>
      <c r="AK2976" s="2309" t="s">
        <v>128</v>
      </c>
      <c r="AL2976" s="2309" t="s">
        <v>179</v>
      </c>
      <c r="AM2976" s="2309" t="s">
        <v>130</v>
      </c>
      <c r="AN2976" s="471" t="s">
        <v>131</v>
      </c>
      <c r="AO2976" s="2308">
        <v>1920.0</v>
      </c>
      <c r="AP2976" s="2308">
        <v>0.75</v>
      </c>
      <c r="AQ2976" s="2309" t="s">
        <v>715</v>
      </c>
      <c r="AR2976" s="2307" t="s">
        <v>125</v>
      </c>
      <c r="AS2976" s="2310">
        <v>0.095</v>
      </c>
      <c r="AT2976" s="156" t="s">
        <v>165</v>
      </c>
      <c r="AU2976" s="2309" t="s">
        <v>179</v>
      </c>
      <c r="AV2976" s="2309" t="s">
        <v>130</v>
      </c>
      <c r="AW2976" s="2311" t="s">
        <v>17567</v>
      </c>
      <c r="AX2976" s="2309" t="s">
        <v>136</v>
      </c>
      <c r="AY2976" s="465"/>
      <c r="AZ2976" s="464" t="s">
        <v>807</v>
      </c>
      <c r="BA2976" s="479"/>
      <c r="BB2976" s="197"/>
      <c r="BC2976" s="197"/>
      <c r="BD2976" s="197"/>
      <c r="BE2976" s="197"/>
      <c r="BF2976" s="197"/>
      <c r="BG2976" s="197"/>
      <c r="BH2976" s="197"/>
      <c r="BI2976" s="197"/>
      <c r="BJ2976" s="197"/>
      <c r="BK2976" s="197"/>
      <c r="BL2976" s="197"/>
      <c r="BM2976" s="197"/>
      <c r="BN2976" s="197"/>
      <c r="BO2976" s="197"/>
      <c r="BP2976" s="197"/>
      <c r="BQ2976" s="197"/>
      <c r="BR2976" s="197"/>
      <c r="BS2976" s="197"/>
      <c r="BT2976" s="197"/>
      <c r="BU2976" s="197"/>
      <c r="BV2976" s="197"/>
      <c r="BW2976" s="197"/>
      <c r="BX2976" s="197"/>
      <c r="BY2976" s="197"/>
      <c r="BZ2976" s="197"/>
      <c r="CA2976" s="197"/>
      <c r="CB2976" s="197"/>
      <c r="CC2976" s="197"/>
      <c r="CD2976" s="197"/>
      <c r="CE2976" s="197"/>
      <c r="CF2976" s="197"/>
      <c r="CG2976" s="197"/>
      <c r="CH2976" s="197"/>
      <c r="CI2976" s="197"/>
      <c r="CJ2976" s="197"/>
      <c r="CK2976" s="197"/>
      <c r="CL2976" s="197"/>
      <c r="CM2976" s="197"/>
      <c r="CN2976" s="197"/>
      <c r="CO2976" s="197"/>
      <c r="CP2976" s="197"/>
      <c r="CQ2976" s="197"/>
      <c r="CR2976" s="197"/>
      <c r="CS2976" s="197"/>
      <c r="CT2976" s="197"/>
      <c r="CU2976" s="197"/>
      <c r="CV2976" s="197"/>
      <c r="CW2976" s="197"/>
      <c r="CX2976" s="197"/>
      <c r="CY2976" s="197"/>
      <c r="CZ2976" s="197"/>
      <c r="DA2976" s="197"/>
      <c r="DB2976" s="197"/>
      <c r="DC2976" s="197"/>
      <c r="DD2976" s="197"/>
      <c r="DE2976" s="197"/>
      <c r="DF2976" s="197"/>
      <c r="DG2976" s="197"/>
      <c r="DH2976" s="197"/>
    </row>
    <row r="2977">
      <c r="A2977" s="41">
        <v>2716.0</v>
      </c>
      <c r="B2977" s="126" t="s">
        <v>278</v>
      </c>
      <c r="C2977" s="59" t="s">
        <v>108</v>
      </c>
      <c r="D2977" s="59" t="s">
        <v>2923</v>
      </c>
      <c r="F2977" s="156" t="s">
        <v>17585</v>
      </c>
      <c r="G2977" s="156" t="s">
        <v>17586</v>
      </c>
      <c r="H2977" s="156" t="s">
        <v>17298</v>
      </c>
      <c r="I2977" s="149">
        <v>45802.0</v>
      </c>
      <c r="J2977" s="859"/>
      <c r="K2977" s="65"/>
      <c r="L2977" s="65"/>
      <c r="M2977" s="156" t="s">
        <v>17587</v>
      </c>
      <c r="N2977" s="156" t="s">
        <v>17588</v>
      </c>
      <c r="O2977" s="156" t="s">
        <v>9816</v>
      </c>
      <c r="P2977" s="379" t="s">
        <v>17589</v>
      </c>
      <c r="Q2977" s="2153" t="str">
        <f> hyperlink(vlookup(lower(N2977),'File Links'!E:F, 2, FALSE), "LINK")</f>
        <v>LINK</v>
      </c>
      <c r="R2977" s="156" t="s">
        <v>17590</v>
      </c>
      <c r="S2977" s="307" t="s">
        <v>17591</v>
      </c>
      <c r="T2977" s="677" t="s">
        <v>17592</v>
      </c>
      <c r="U2977" s="156" t="s">
        <v>9816</v>
      </c>
      <c r="V2977" s="379" t="s">
        <v>17593</v>
      </c>
      <c r="W2977" s="1228" t="s">
        <v>17303</v>
      </c>
      <c r="X2977" s="1544" t="str">
        <f> hyperlink(vlookup(lower(S2977),'File Links'!E:F, 2, FALSE), "LINK")</f>
        <v>LINK</v>
      </c>
      <c r="Y2977" s="65"/>
      <c r="Z2977" s="156" t="s">
        <v>940</v>
      </c>
      <c r="AA2977" s="156" t="s">
        <v>17594</v>
      </c>
      <c r="AB2977" s="156" t="s">
        <v>17595</v>
      </c>
      <c r="AC2977" s="156" t="s">
        <v>17596</v>
      </c>
      <c r="AD2977" s="156" t="s">
        <v>17597</v>
      </c>
      <c r="AE2977" s="153">
        <v>4.0</v>
      </c>
      <c r="AF2977" s="153">
        <v>241.0</v>
      </c>
      <c r="AG2977" s="153">
        <v>0.15</v>
      </c>
      <c r="AH2977" s="156" t="s">
        <v>867</v>
      </c>
      <c r="AI2977" s="153">
        <v>4.0</v>
      </c>
      <c r="AJ2977" s="156" t="s">
        <v>131</v>
      </c>
      <c r="AK2977" s="156" t="s">
        <v>131</v>
      </c>
      <c r="AL2977" s="156" t="s">
        <v>131</v>
      </c>
      <c r="AM2977" s="156" t="s">
        <v>130</v>
      </c>
      <c r="AN2977" s="156" t="s">
        <v>131</v>
      </c>
      <c r="AO2977" s="153">
        <v>1009.0</v>
      </c>
      <c r="AP2977" s="153">
        <v>0.28</v>
      </c>
      <c r="AQ2977" s="156" t="s">
        <v>867</v>
      </c>
      <c r="AR2977" s="156" t="s">
        <v>14162</v>
      </c>
      <c r="AS2977" s="156" t="s">
        <v>131</v>
      </c>
      <c r="AT2977" s="156" t="s">
        <v>131</v>
      </c>
      <c r="AU2977" s="156" t="s">
        <v>131</v>
      </c>
      <c r="AV2977" s="156" t="s">
        <v>130</v>
      </c>
      <c r="AW2977" s="307" t="s">
        <v>17598</v>
      </c>
      <c r="AX2977" s="156" t="s">
        <v>317</v>
      </c>
    </row>
    <row r="2978">
      <c r="A2978" s="41">
        <v>2717.0</v>
      </c>
      <c r="B2978" s="126" t="s">
        <v>278</v>
      </c>
      <c r="C2978" s="59" t="s">
        <v>108</v>
      </c>
      <c r="D2978" s="59" t="s">
        <v>2923</v>
      </c>
      <c r="F2978" s="156" t="s">
        <v>17599</v>
      </c>
      <c r="G2978" s="156" t="s">
        <v>17600</v>
      </c>
      <c r="H2978" s="156" t="s">
        <v>17298</v>
      </c>
      <c r="I2978" s="149">
        <v>45802.0</v>
      </c>
      <c r="J2978" s="859"/>
      <c r="K2978" s="65"/>
      <c r="L2978" s="65"/>
      <c r="M2978" s="156" t="s">
        <v>17587</v>
      </c>
      <c r="N2978" s="156" t="s">
        <v>17588</v>
      </c>
      <c r="O2978" s="153">
        <v>2.0</v>
      </c>
      <c r="P2978" s="379" t="s">
        <v>17589</v>
      </c>
      <c r="Q2978" s="2312" t="str">
        <f> hyperlink(vlookup(lower(N2978),'File Links'!E:F, 2, FALSE), "LINK")</f>
        <v>LINK</v>
      </c>
      <c r="R2978" s="156" t="s">
        <v>17590</v>
      </c>
      <c r="S2978" s="307" t="s">
        <v>17601</v>
      </c>
      <c r="T2978" s="677" t="s">
        <v>17592</v>
      </c>
      <c r="U2978" s="153">
        <v>2.0</v>
      </c>
      <c r="V2978" s="379" t="s">
        <v>17593</v>
      </c>
      <c r="W2978" s="1228" t="s">
        <v>17303</v>
      </c>
      <c r="X2978" s="2313" t="str">
        <f> hyperlink(vlookup(lower(S2978),'File Links'!E:F, 2, FALSE), "LINK")</f>
        <v>LINK</v>
      </c>
      <c r="Y2978" s="65"/>
      <c r="Z2978" s="156" t="s">
        <v>940</v>
      </c>
      <c r="AA2978" s="156" t="s">
        <v>17594</v>
      </c>
      <c r="AB2978" s="156" t="s">
        <v>17602</v>
      </c>
      <c r="AC2978" s="156" t="s">
        <v>17603</v>
      </c>
      <c r="AD2978" s="156" t="s">
        <v>17604</v>
      </c>
      <c r="AE2978" s="153">
        <v>5.0</v>
      </c>
      <c r="AF2978" s="153">
        <v>320.0</v>
      </c>
      <c r="AG2978" s="156" t="s">
        <v>17605</v>
      </c>
      <c r="AH2978" s="116" t="s">
        <v>127</v>
      </c>
      <c r="AI2978" s="153">
        <v>6.0</v>
      </c>
      <c r="AJ2978" s="156" t="s">
        <v>131</v>
      </c>
      <c r="AK2978" s="156" t="s">
        <v>131</v>
      </c>
      <c r="AL2978" s="156" t="s">
        <v>131</v>
      </c>
      <c r="AM2978" s="156" t="s">
        <v>130</v>
      </c>
      <c r="AN2978" s="156" t="s">
        <v>131</v>
      </c>
      <c r="AO2978" s="153">
        <v>1009.0</v>
      </c>
      <c r="AP2978" s="153">
        <v>0.05</v>
      </c>
      <c r="AQ2978" s="156" t="s">
        <v>867</v>
      </c>
      <c r="AR2978" s="156" t="s">
        <v>7364</v>
      </c>
      <c r="AS2978" s="156" t="s">
        <v>131</v>
      </c>
      <c r="AT2978" s="156" t="s">
        <v>131</v>
      </c>
      <c r="AU2978" s="156" t="s">
        <v>131</v>
      </c>
      <c r="AV2978" s="156" t="s">
        <v>130</v>
      </c>
      <c r="AW2978" s="307" t="s">
        <v>17598</v>
      </c>
      <c r="AX2978" s="156" t="s">
        <v>317</v>
      </c>
    </row>
    <row r="2979">
      <c r="A2979" s="41">
        <v>2718.0</v>
      </c>
      <c r="B2979" s="126" t="s">
        <v>278</v>
      </c>
      <c r="C2979" s="59" t="s">
        <v>108</v>
      </c>
      <c r="D2979" s="59" t="s">
        <v>2923</v>
      </c>
      <c r="F2979" s="156" t="s">
        <v>17606</v>
      </c>
      <c r="G2979" s="156" t="s">
        <v>17607</v>
      </c>
      <c r="H2979" s="156" t="s">
        <v>17298</v>
      </c>
      <c r="I2979" s="149">
        <v>45802.0</v>
      </c>
      <c r="J2979" s="859"/>
      <c r="K2979" s="65"/>
      <c r="L2979" s="65"/>
      <c r="M2979" s="156" t="s">
        <v>17587</v>
      </c>
      <c r="N2979" s="156" t="s">
        <v>17588</v>
      </c>
      <c r="O2979" s="153">
        <v>3.0</v>
      </c>
      <c r="P2979" s="379" t="s">
        <v>17589</v>
      </c>
      <c r="Q2979" s="2312" t="str">
        <f> hyperlink(vlookup(lower(N2979),'File Links'!E:F, 2, FALSE), "LINK")</f>
        <v>LINK</v>
      </c>
      <c r="R2979" s="156" t="s">
        <v>17590</v>
      </c>
      <c r="S2979" s="307" t="s">
        <v>17608</v>
      </c>
      <c r="T2979" s="677" t="s">
        <v>17592</v>
      </c>
      <c r="U2979" s="153">
        <v>3.0</v>
      </c>
      <c r="V2979" s="379" t="s">
        <v>17593</v>
      </c>
      <c r="W2979" s="1228" t="s">
        <v>17303</v>
      </c>
      <c r="X2979" s="2313" t="str">
        <f> hyperlink(vlookup(lower(S2979),'File Links'!E:F, 2, FALSE), "LINK")</f>
        <v>LINK</v>
      </c>
      <c r="Y2979" s="65"/>
      <c r="Z2979" s="156" t="s">
        <v>940</v>
      </c>
      <c r="AA2979" s="156" t="s">
        <v>17594</v>
      </c>
      <c r="AB2979" s="156" t="s">
        <v>17609</v>
      </c>
      <c r="AC2979" s="156" t="s">
        <v>17610</v>
      </c>
      <c r="AD2979" s="156" t="s">
        <v>17611</v>
      </c>
      <c r="AE2979" s="153">
        <v>6.0</v>
      </c>
      <c r="AF2979" s="153">
        <v>160.0</v>
      </c>
      <c r="AG2979" s="153">
        <v>0.03</v>
      </c>
      <c r="AH2979" s="156" t="s">
        <v>867</v>
      </c>
      <c r="AI2979" s="153">
        <v>6.0</v>
      </c>
      <c r="AJ2979" s="156" t="s">
        <v>131</v>
      </c>
      <c r="AK2979" s="156" t="s">
        <v>131</v>
      </c>
      <c r="AL2979" s="156" t="s">
        <v>131</v>
      </c>
      <c r="AM2979" s="156" t="s">
        <v>130</v>
      </c>
      <c r="AN2979" s="156" t="s">
        <v>131</v>
      </c>
      <c r="AO2979" s="153">
        <v>1009.0</v>
      </c>
      <c r="AP2979" s="153">
        <v>0.12</v>
      </c>
      <c r="AQ2979" s="156" t="s">
        <v>867</v>
      </c>
      <c r="AR2979" s="156" t="s">
        <v>2406</v>
      </c>
      <c r="AS2979" s="156" t="s">
        <v>131</v>
      </c>
      <c r="AT2979" s="156" t="s">
        <v>131</v>
      </c>
      <c r="AU2979" s="156" t="s">
        <v>131</v>
      </c>
      <c r="AV2979" s="156" t="s">
        <v>130</v>
      </c>
      <c r="AW2979" s="307" t="s">
        <v>17598</v>
      </c>
      <c r="AX2979" s="156" t="s">
        <v>317</v>
      </c>
      <c r="BB2979" s="225"/>
      <c r="BC2979" s="225"/>
      <c r="BD2979" s="225"/>
      <c r="BE2979" s="225"/>
      <c r="BF2979" s="225"/>
      <c r="BG2979" s="225"/>
      <c r="BH2979" s="225"/>
      <c r="BI2979" s="225"/>
      <c r="BJ2979" s="225"/>
      <c r="BK2979" s="225"/>
      <c r="BL2979" s="225"/>
      <c r="BM2979" s="225"/>
      <c r="BN2979" s="225"/>
      <c r="BO2979" s="225"/>
      <c r="BP2979" s="225"/>
      <c r="BQ2979" s="225"/>
      <c r="BR2979" s="225"/>
      <c r="BS2979" s="225"/>
      <c r="BT2979" s="225"/>
      <c r="BU2979" s="225"/>
      <c r="BV2979" s="225"/>
      <c r="BW2979" s="225"/>
      <c r="BX2979" s="225"/>
      <c r="BY2979" s="225"/>
      <c r="BZ2979" s="225"/>
      <c r="CA2979" s="225"/>
      <c r="CB2979" s="225"/>
      <c r="CC2979" s="225"/>
      <c r="CD2979" s="225"/>
      <c r="CE2979" s="225"/>
      <c r="CF2979" s="225"/>
      <c r="CG2979" s="225"/>
      <c r="CH2979" s="225"/>
      <c r="CI2979" s="225"/>
      <c r="CJ2979" s="225"/>
      <c r="CK2979" s="225"/>
      <c r="CL2979" s="225"/>
      <c r="CM2979" s="225"/>
      <c r="CN2979" s="225"/>
      <c r="CO2979" s="225"/>
      <c r="CP2979" s="225"/>
      <c r="CQ2979" s="225"/>
      <c r="CR2979" s="225"/>
      <c r="CS2979" s="225"/>
      <c r="CT2979" s="225"/>
      <c r="CU2979" s="225"/>
      <c r="CV2979" s="225"/>
      <c r="CW2979" s="225"/>
      <c r="CX2979" s="225"/>
      <c r="CY2979" s="225"/>
      <c r="CZ2979" s="225"/>
      <c r="DA2979" s="225"/>
      <c r="DB2979" s="225"/>
      <c r="DC2979" s="225"/>
      <c r="DD2979" s="225"/>
      <c r="DE2979" s="225"/>
      <c r="DF2979" s="225"/>
      <c r="DG2979" s="225"/>
      <c r="DH2979" s="225"/>
    </row>
    <row r="2980">
      <c r="A2980" s="41">
        <v>2719.0</v>
      </c>
      <c r="B2980" s="126" t="s">
        <v>278</v>
      </c>
      <c r="C2980" s="59" t="s">
        <v>108</v>
      </c>
      <c r="D2980" s="59" t="s">
        <v>2923</v>
      </c>
      <c r="F2980" s="156" t="s">
        <v>17612</v>
      </c>
      <c r="G2980" s="156" t="s">
        <v>17613</v>
      </c>
      <c r="H2980" s="156" t="s">
        <v>17298</v>
      </c>
      <c r="I2980" s="149">
        <v>45802.0</v>
      </c>
      <c r="J2980" s="859"/>
      <c r="K2980" s="156" t="s">
        <v>17424</v>
      </c>
      <c r="L2980" s="65"/>
      <c r="M2980" s="156" t="s">
        <v>17587</v>
      </c>
      <c r="N2980" s="156" t="s">
        <v>17588</v>
      </c>
      <c r="O2980" s="153">
        <v>4.0</v>
      </c>
      <c r="P2980" s="379" t="s">
        <v>17589</v>
      </c>
      <c r="Q2980" s="2312" t="str">
        <f> hyperlink(vlookup(lower(N2980),'File Links'!E:F, 2, FALSE), "LINK")</f>
        <v>LINK</v>
      </c>
      <c r="R2980" s="156" t="s">
        <v>17590</v>
      </c>
      <c r="S2980" s="307" t="s">
        <v>17614</v>
      </c>
      <c r="T2980" s="677" t="s">
        <v>17592</v>
      </c>
      <c r="U2980" s="153">
        <v>4.0</v>
      </c>
      <c r="V2980" s="379" t="s">
        <v>17593</v>
      </c>
      <c r="W2980" s="1228" t="s">
        <v>17303</v>
      </c>
      <c r="X2980" s="2313" t="str">
        <f> hyperlink(vlookup(lower(S2980),'File Links'!E:F, 2, FALSE), "LINK")</f>
        <v>LINK</v>
      </c>
      <c r="Y2980" s="65"/>
      <c r="Z2980" s="156" t="s">
        <v>940</v>
      </c>
      <c r="AA2980" s="156" t="s">
        <v>17594</v>
      </c>
      <c r="AB2980" s="156" t="s">
        <v>17615</v>
      </c>
      <c r="AC2980" s="156" t="s">
        <v>17616</v>
      </c>
      <c r="AD2980" s="156" t="s">
        <v>131</v>
      </c>
      <c r="AE2980" s="156" t="s">
        <v>131</v>
      </c>
      <c r="AF2980" s="153">
        <v>177.0</v>
      </c>
      <c r="AG2980" s="153">
        <v>1.62</v>
      </c>
      <c r="AH2980" s="156" t="s">
        <v>166</v>
      </c>
      <c r="AI2980" s="156" t="s">
        <v>17617</v>
      </c>
      <c r="AJ2980" s="156" t="s">
        <v>131</v>
      </c>
      <c r="AK2980" s="156" t="s">
        <v>131</v>
      </c>
      <c r="AL2980" s="156" t="s">
        <v>131</v>
      </c>
      <c r="AM2980" s="156" t="s">
        <v>130</v>
      </c>
      <c r="AN2980" s="156" t="s">
        <v>131</v>
      </c>
      <c r="AO2980" s="153">
        <v>1009.0</v>
      </c>
      <c r="AP2980" s="153">
        <v>0.32</v>
      </c>
      <c r="AQ2980" s="156" t="s">
        <v>166</v>
      </c>
      <c r="AR2980" s="156" t="s">
        <v>2406</v>
      </c>
      <c r="AS2980" s="156" t="s">
        <v>131</v>
      </c>
      <c r="AT2980" s="156" t="s">
        <v>131</v>
      </c>
      <c r="AU2980" s="156" t="s">
        <v>131</v>
      </c>
      <c r="AV2980" s="156" t="s">
        <v>130</v>
      </c>
      <c r="AW2980" s="307" t="s">
        <v>17598</v>
      </c>
      <c r="AX2980" s="156" t="s">
        <v>317</v>
      </c>
      <c r="BB2980" s="225"/>
      <c r="BC2980" s="225"/>
      <c r="BD2980" s="225"/>
      <c r="BE2980" s="225"/>
      <c r="BF2980" s="225"/>
      <c r="BG2980" s="225"/>
      <c r="BH2980" s="225"/>
      <c r="BI2980" s="225"/>
      <c r="BJ2980" s="225"/>
      <c r="BK2980" s="225"/>
      <c r="BL2980" s="225"/>
      <c r="BM2980" s="225"/>
      <c r="BN2980" s="225"/>
      <c r="BO2980" s="225"/>
      <c r="BP2980" s="225"/>
      <c r="BQ2980" s="225"/>
      <c r="BR2980" s="225"/>
      <c r="BS2980" s="225"/>
      <c r="BT2980" s="225"/>
      <c r="BU2980" s="225"/>
      <c r="BV2980" s="225"/>
      <c r="BW2980" s="225"/>
      <c r="BX2980" s="225"/>
      <c r="BY2980" s="225"/>
      <c r="BZ2980" s="225"/>
      <c r="CA2980" s="225"/>
      <c r="CB2980" s="225"/>
      <c r="CC2980" s="225"/>
      <c r="CD2980" s="225"/>
      <c r="CE2980" s="225"/>
      <c r="CF2980" s="225"/>
      <c r="CG2980" s="225"/>
      <c r="CH2980" s="225"/>
      <c r="CI2980" s="225"/>
      <c r="CJ2980" s="225"/>
      <c r="CK2980" s="225"/>
      <c r="CL2980" s="225"/>
      <c r="CM2980" s="225"/>
      <c r="CN2980" s="225"/>
      <c r="CO2980" s="225"/>
      <c r="CP2980" s="225"/>
      <c r="CQ2980" s="225"/>
      <c r="CR2980" s="225"/>
      <c r="CS2980" s="225"/>
      <c r="CT2980" s="225"/>
      <c r="CU2980" s="225"/>
      <c r="CV2980" s="225"/>
      <c r="CW2980" s="225"/>
      <c r="CX2980" s="225"/>
      <c r="CY2980" s="225"/>
      <c r="CZ2980" s="225"/>
      <c r="DA2980" s="225"/>
      <c r="DB2980" s="225"/>
      <c r="DC2980" s="225"/>
      <c r="DD2980" s="225"/>
      <c r="DE2980" s="225"/>
      <c r="DF2980" s="225"/>
      <c r="DG2980" s="225"/>
      <c r="DH2980" s="225"/>
    </row>
    <row r="2981">
      <c r="A2981" s="41">
        <v>2964.0</v>
      </c>
      <c r="B2981" s="126" t="s">
        <v>278</v>
      </c>
      <c r="C2981" s="59" t="s">
        <v>108</v>
      </c>
      <c r="D2981" s="59" t="s">
        <v>241</v>
      </c>
      <c r="F2981" s="65" t="s">
        <v>17618</v>
      </c>
      <c r="G2981" s="65" t="s">
        <v>17619</v>
      </c>
      <c r="H2981" s="65" t="s">
        <v>242</v>
      </c>
      <c r="I2981" s="526">
        <v>45813.0</v>
      </c>
      <c r="J2981" s="859"/>
      <c r="K2981" s="65" t="s">
        <v>17620</v>
      </c>
      <c r="L2981" s="65"/>
      <c r="M2981" s="65" t="s">
        <v>17621</v>
      </c>
      <c r="N2981" s="65" t="s">
        <v>17622</v>
      </c>
      <c r="O2981" s="65" t="s">
        <v>131</v>
      </c>
      <c r="P2981" s="570" t="s">
        <v>17623</v>
      </c>
      <c r="Q2981" s="2314" t="str">
        <f> hyperlink(vlookup(lower(N2981),'File Links'!E:F, 2, FALSE), "LINK")</f>
        <v>LINK</v>
      </c>
      <c r="R2981" s="65" t="s">
        <v>17624</v>
      </c>
      <c r="S2981" s="2315" t="s">
        <v>131</v>
      </c>
      <c r="T2981" s="432" t="s">
        <v>17625</v>
      </c>
      <c r="U2981" s="65"/>
      <c r="V2981" s="570"/>
      <c r="W2981" s="1225"/>
      <c r="X2981" s="2316" t="s">
        <v>17626</v>
      </c>
      <c r="Y2981" s="65"/>
      <c r="Z2981" s="65" t="s">
        <v>940</v>
      </c>
      <c r="AA2981" s="65" t="s">
        <v>17627</v>
      </c>
      <c r="AB2981" s="65" t="s">
        <v>7257</v>
      </c>
      <c r="AC2981" s="65"/>
      <c r="AD2981" s="65" t="s">
        <v>17628</v>
      </c>
      <c r="AE2981" s="65" t="s">
        <v>500</v>
      </c>
      <c r="AF2981" s="333">
        <v>36.0</v>
      </c>
      <c r="AG2981" s="333">
        <v>0.98</v>
      </c>
      <c r="AH2981" s="65" t="s">
        <v>166</v>
      </c>
      <c r="AI2981" s="65" t="s">
        <v>17629</v>
      </c>
      <c r="AJ2981" s="333">
        <v>0.06</v>
      </c>
      <c r="AK2981" s="65" t="s">
        <v>165</v>
      </c>
      <c r="AL2981" s="65" t="s">
        <v>179</v>
      </c>
      <c r="AM2981" s="65" t="s">
        <v>130</v>
      </c>
      <c r="AN2981" s="65" t="s">
        <v>131</v>
      </c>
      <c r="AO2981" s="333">
        <v>492.0</v>
      </c>
      <c r="AP2981" s="333">
        <v>0.02</v>
      </c>
      <c r="AQ2981" s="65" t="s">
        <v>166</v>
      </c>
      <c r="AR2981" s="65" t="s">
        <v>17630</v>
      </c>
      <c r="AS2981" s="65" t="s">
        <v>131</v>
      </c>
      <c r="AT2981" s="65" t="s">
        <v>165</v>
      </c>
      <c r="AU2981" s="65" t="s">
        <v>179</v>
      </c>
      <c r="AV2981" s="65" t="s">
        <v>130</v>
      </c>
      <c r="AW2981" s="432" t="s">
        <v>17631</v>
      </c>
      <c r="AX2981" s="65" t="s">
        <v>136</v>
      </c>
    </row>
    <row r="2982">
      <c r="A2982" s="41">
        <v>2965.0</v>
      </c>
      <c r="B2982" s="126" t="s">
        <v>278</v>
      </c>
      <c r="C2982" s="59" t="s">
        <v>108</v>
      </c>
      <c r="D2982" s="59" t="s">
        <v>241</v>
      </c>
      <c r="F2982" s="65" t="s">
        <v>17618</v>
      </c>
      <c r="G2982" s="65" t="s">
        <v>17632</v>
      </c>
      <c r="H2982" s="65" t="s">
        <v>242</v>
      </c>
      <c r="I2982" s="526">
        <v>45813.0</v>
      </c>
      <c r="J2982" s="859"/>
      <c r="K2982" s="65" t="s">
        <v>17620</v>
      </c>
      <c r="L2982" s="65"/>
      <c r="M2982" s="65" t="s">
        <v>17621</v>
      </c>
      <c r="N2982" s="65" t="s">
        <v>17622</v>
      </c>
      <c r="O2982" s="65" t="s">
        <v>131</v>
      </c>
      <c r="P2982" s="570" t="s">
        <v>17623</v>
      </c>
      <c r="Q2982" s="2314" t="str">
        <f> hyperlink(vlookup(lower(N2982),'File Links'!E:F, 2, FALSE), "LINK")</f>
        <v>LINK</v>
      </c>
      <c r="R2982" s="65" t="s">
        <v>17624</v>
      </c>
      <c r="S2982" s="2315" t="s">
        <v>131</v>
      </c>
      <c r="T2982" s="432" t="s">
        <v>17625</v>
      </c>
      <c r="U2982" s="65"/>
      <c r="V2982" s="570"/>
      <c r="W2982" s="1225"/>
      <c r="X2982" s="2316" t="s">
        <v>17626</v>
      </c>
      <c r="Y2982" s="65"/>
      <c r="Z2982" s="65" t="s">
        <v>940</v>
      </c>
      <c r="AA2982" s="65" t="s">
        <v>17627</v>
      </c>
      <c r="AB2982" s="65" t="s">
        <v>7257</v>
      </c>
      <c r="AC2982" s="65"/>
      <c r="AD2982" s="65" t="s">
        <v>17633</v>
      </c>
      <c r="AE2982" s="65" t="s">
        <v>500</v>
      </c>
      <c r="AF2982" s="333">
        <v>36.0</v>
      </c>
      <c r="AG2982" s="333">
        <v>0.56</v>
      </c>
      <c r="AH2982" s="65" t="s">
        <v>166</v>
      </c>
      <c r="AI2982" s="65" t="s">
        <v>17634</v>
      </c>
      <c r="AJ2982" s="333">
        <v>0.105</v>
      </c>
      <c r="AK2982" s="65" t="s">
        <v>165</v>
      </c>
      <c r="AL2982" s="65" t="s">
        <v>179</v>
      </c>
      <c r="AM2982" s="65" t="s">
        <v>130</v>
      </c>
      <c r="AN2982" s="65" t="s">
        <v>131</v>
      </c>
      <c r="AO2982" s="333">
        <v>492.0</v>
      </c>
      <c r="AP2982" s="333">
        <v>0.04</v>
      </c>
      <c r="AQ2982" s="65" t="s">
        <v>166</v>
      </c>
      <c r="AR2982" s="65" t="s">
        <v>17635</v>
      </c>
      <c r="AS2982" s="65" t="s">
        <v>131</v>
      </c>
      <c r="AT2982" s="65" t="s">
        <v>165</v>
      </c>
      <c r="AU2982" s="65" t="s">
        <v>179</v>
      </c>
      <c r="AV2982" s="65" t="s">
        <v>130</v>
      </c>
      <c r="AW2982" s="432" t="s">
        <v>17631</v>
      </c>
      <c r="AX2982" s="65" t="s">
        <v>136</v>
      </c>
    </row>
    <row r="2983">
      <c r="A2983" s="41">
        <v>2966.0</v>
      </c>
      <c r="B2983" s="126" t="s">
        <v>278</v>
      </c>
      <c r="C2983" s="59" t="s">
        <v>108</v>
      </c>
      <c r="D2983" s="59" t="s">
        <v>241</v>
      </c>
      <c r="F2983" s="65" t="s">
        <v>17618</v>
      </c>
      <c r="G2983" s="65" t="s">
        <v>17636</v>
      </c>
      <c r="H2983" s="65" t="s">
        <v>242</v>
      </c>
      <c r="I2983" s="526">
        <v>45813.0</v>
      </c>
      <c r="J2983" s="859"/>
      <c r="K2983" s="65" t="s">
        <v>17620</v>
      </c>
      <c r="L2983" s="65"/>
      <c r="M2983" s="65" t="s">
        <v>17621</v>
      </c>
      <c r="N2983" s="65" t="s">
        <v>17622</v>
      </c>
      <c r="O2983" s="65" t="s">
        <v>131</v>
      </c>
      <c r="P2983" s="570" t="s">
        <v>17623</v>
      </c>
      <c r="Q2983" s="2314" t="str">
        <f> hyperlink(vlookup(lower(N2983),'File Links'!E:F, 2, FALSE), "LINK")</f>
        <v>LINK</v>
      </c>
      <c r="R2983" s="65" t="s">
        <v>17624</v>
      </c>
      <c r="S2983" s="2315" t="s">
        <v>131</v>
      </c>
      <c r="T2983" s="432" t="s">
        <v>17625</v>
      </c>
      <c r="U2983" s="65"/>
      <c r="V2983" s="570"/>
      <c r="W2983" s="1225"/>
      <c r="X2983" s="2316" t="s">
        <v>17626</v>
      </c>
      <c r="Y2983" s="65"/>
      <c r="Z2983" s="65" t="s">
        <v>940</v>
      </c>
      <c r="AA2983" s="65" t="s">
        <v>17627</v>
      </c>
      <c r="AB2983" s="65" t="s">
        <v>7257</v>
      </c>
      <c r="AC2983" s="65"/>
      <c r="AD2983" s="65" t="s">
        <v>17637</v>
      </c>
      <c r="AE2983" s="65" t="s">
        <v>500</v>
      </c>
      <c r="AF2983" s="333">
        <v>36.0</v>
      </c>
      <c r="AG2983" s="333">
        <v>0.86</v>
      </c>
      <c r="AH2983" s="65" t="s">
        <v>980</v>
      </c>
      <c r="AI2983" s="65" t="s">
        <v>17638</v>
      </c>
      <c r="AJ2983" s="333">
        <v>0.001</v>
      </c>
      <c r="AK2983" s="65" t="s">
        <v>128</v>
      </c>
      <c r="AL2983" s="65" t="s">
        <v>179</v>
      </c>
      <c r="AM2983" s="65" t="s">
        <v>130</v>
      </c>
      <c r="AN2983" s="65" t="s">
        <v>131</v>
      </c>
      <c r="AO2983" s="333">
        <v>492.0</v>
      </c>
      <c r="AP2983" s="333">
        <v>-0.3</v>
      </c>
      <c r="AQ2983" s="65" t="s">
        <v>980</v>
      </c>
      <c r="AR2983" s="65" t="s">
        <v>17639</v>
      </c>
      <c r="AS2983" s="333">
        <v>0.001</v>
      </c>
      <c r="AT2983" s="65" t="s">
        <v>128</v>
      </c>
      <c r="AU2983" s="65" t="s">
        <v>179</v>
      </c>
      <c r="AV2983" s="65" t="s">
        <v>134</v>
      </c>
      <c r="AW2983" s="432" t="s">
        <v>17631</v>
      </c>
      <c r="AX2983" s="65" t="s">
        <v>136</v>
      </c>
    </row>
    <row r="2984">
      <c r="A2984" s="41">
        <v>2967.0</v>
      </c>
      <c r="B2984" s="126" t="s">
        <v>278</v>
      </c>
      <c r="C2984" s="59" t="s">
        <v>108</v>
      </c>
      <c r="D2984" s="59" t="s">
        <v>241</v>
      </c>
      <c r="F2984" s="65" t="s">
        <v>17618</v>
      </c>
      <c r="G2984" s="65" t="s">
        <v>17640</v>
      </c>
      <c r="H2984" s="65" t="s">
        <v>242</v>
      </c>
      <c r="I2984" s="526">
        <v>45813.0</v>
      </c>
      <c r="J2984" s="859"/>
      <c r="K2984" s="65" t="s">
        <v>17620</v>
      </c>
      <c r="L2984" s="65"/>
      <c r="M2984" s="65" t="s">
        <v>17621</v>
      </c>
      <c r="N2984" s="65" t="s">
        <v>17622</v>
      </c>
      <c r="O2984" s="65" t="s">
        <v>131</v>
      </c>
      <c r="P2984" s="570" t="s">
        <v>17623</v>
      </c>
      <c r="Q2984" s="2289" t="str">
        <f> hyperlink(vlookup(lower(N2984),'File Links'!E:F, 2, FALSE), "LINK")</f>
        <v>LINK</v>
      </c>
      <c r="R2984" s="65" t="s">
        <v>17624</v>
      </c>
      <c r="S2984" s="2315" t="s">
        <v>131</v>
      </c>
      <c r="T2984" s="432" t="s">
        <v>17625</v>
      </c>
      <c r="U2984" s="65"/>
      <c r="V2984" s="570"/>
      <c r="W2984" s="1225"/>
      <c r="X2984" s="2317" t="s">
        <v>17626</v>
      </c>
      <c r="Y2984" s="65"/>
      <c r="Z2984" s="65" t="s">
        <v>940</v>
      </c>
      <c r="AA2984" s="65" t="s">
        <v>17627</v>
      </c>
      <c r="AB2984" s="65" t="s">
        <v>7257</v>
      </c>
      <c r="AC2984" s="65"/>
      <c r="AD2984" s="65" t="s">
        <v>17641</v>
      </c>
      <c r="AE2984" s="65" t="s">
        <v>500</v>
      </c>
      <c r="AF2984" s="333">
        <v>36.0</v>
      </c>
      <c r="AG2984" s="333">
        <v>0.44</v>
      </c>
      <c r="AH2984" s="65" t="s">
        <v>980</v>
      </c>
      <c r="AI2984" s="65" t="s">
        <v>17642</v>
      </c>
      <c r="AJ2984" s="333">
        <v>0.29</v>
      </c>
      <c r="AK2984" s="65" t="s">
        <v>165</v>
      </c>
      <c r="AL2984" s="65" t="s">
        <v>179</v>
      </c>
      <c r="AM2984" s="65" t="s">
        <v>130</v>
      </c>
      <c r="AN2984" s="65" t="s">
        <v>131</v>
      </c>
      <c r="AO2984" s="333">
        <v>492.0</v>
      </c>
      <c r="AP2984" s="333">
        <v>7.12</v>
      </c>
      <c r="AQ2984" s="65" t="s">
        <v>980</v>
      </c>
      <c r="AR2984" s="65" t="s">
        <v>17643</v>
      </c>
      <c r="AS2984" s="333">
        <v>0.867</v>
      </c>
      <c r="AT2984" s="65" t="s">
        <v>165</v>
      </c>
      <c r="AU2984" s="65" t="s">
        <v>179</v>
      </c>
      <c r="AV2984" s="65" t="s">
        <v>134</v>
      </c>
      <c r="AW2984" s="432" t="s">
        <v>17631</v>
      </c>
      <c r="AX2984" s="65" t="s">
        <v>136</v>
      </c>
      <c r="BB2984" s="1061"/>
      <c r="BC2984" s="1061"/>
      <c r="BD2984" s="1061"/>
      <c r="BE2984" s="1061"/>
      <c r="BF2984" s="1061"/>
      <c r="BG2984" s="1061"/>
      <c r="BH2984" s="1061"/>
      <c r="BI2984" s="1061"/>
      <c r="BJ2984" s="1061"/>
      <c r="BK2984" s="1061"/>
      <c r="BL2984" s="1061"/>
      <c r="BM2984" s="1061"/>
      <c r="BN2984" s="1061"/>
      <c r="BO2984" s="1061"/>
      <c r="BP2984" s="1061"/>
      <c r="BQ2984" s="1061"/>
      <c r="BR2984" s="1061"/>
      <c r="BS2984" s="1061"/>
      <c r="BT2984" s="1061"/>
      <c r="BU2984" s="1061"/>
      <c r="BV2984" s="1061"/>
      <c r="BW2984" s="1061"/>
      <c r="BX2984" s="1061"/>
      <c r="BY2984" s="1061"/>
      <c r="BZ2984" s="1061"/>
      <c r="CA2984" s="1061"/>
      <c r="CB2984" s="1061"/>
      <c r="CC2984" s="1061"/>
      <c r="CD2984" s="1061"/>
      <c r="CE2984" s="1061"/>
      <c r="CF2984" s="1061"/>
      <c r="CG2984" s="1061"/>
      <c r="CH2984" s="1061"/>
      <c r="CI2984" s="1061"/>
      <c r="CJ2984" s="1061"/>
      <c r="CK2984" s="1061"/>
      <c r="CL2984" s="1061"/>
      <c r="CM2984" s="1061"/>
      <c r="CN2984" s="1061"/>
      <c r="CO2984" s="1061"/>
      <c r="CP2984" s="1061"/>
      <c r="CQ2984" s="1061"/>
      <c r="CR2984" s="1061"/>
      <c r="CS2984" s="1061"/>
      <c r="CT2984" s="1061"/>
      <c r="CU2984" s="1061"/>
      <c r="CV2984" s="1061"/>
      <c r="CW2984" s="1061"/>
      <c r="CX2984" s="1061"/>
      <c r="CY2984" s="1061"/>
      <c r="CZ2984" s="1061"/>
      <c r="DA2984" s="1061"/>
      <c r="DB2984" s="1061"/>
      <c r="DC2984" s="1061"/>
      <c r="DD2984" s="1061"/>
      <c r="DE2984" s="1061"/>
      <c r="DF2984" s="1061"/>
      <c r="DG2984" s="1061"/>
      <c r="DH2984" s="1061"/>
    </row>
    <row r="2985">
      <c r="A2985" s="41">
        <v>2968.0</v>
      </c>
      <c r="B2985" s="126" t="s">
        <v>278</v>
      </c>
      <c r="C2985" s="59" t="s">
        <v>108</v>
      </c>
      <c r="D2985" s="59" t="s">
        <v>241</v>
      </c>
      <c r="F2985" s="65" t="s">
        <v>17618</v>
      </c>
      <c r="G2985" s="65" t="s">
        <v>17644</v>
      </c>
      <c r="H2985" s="65" t="s">
        <v>242</v>
      </c>
      <c r="I2985" s="526">
        <v>45813.0</v>
      </c>
      <c r="J2985" s="859"/>
      <c r="K2985" s="65" t="s">
        <v>17645</v>
      </c>
      <c r="L2985" s="65"/>
      <c r="M2985" s="65" t="s">
        <v>17621</v>
      </c>
      <c r="N2985" s="65" t="s">
        <v>17622</v>
      </c>
      <c r="O2985" s="65" t="s">
        <v>131</v>
      </c>
      <c r="P2985" s="570" t="s">
        <v>17623</v>
      </c>
      <c r="Q2985" s="2289" t="str">
        <f> hyperlink(vlookup(lower(N2985),'File Links'!E:F, 2, FALSE), "LINK")</f>
        <v>LINK</v>
      </c>
      <c r="R2985" s="65" t="s">
        <v>17624</v>
      </c>
      <c r="S2985" s="2315" t="s">
        <v>131</v>
      </c>
      <c r="T2985" s="432" t="s">
        <v>17625</v>
      </c>
      <c r="U2985" s="65"/>
      <c r="V2985" s="570"/>
      <c r="W2985" s="1225"/>
      <c r="X2985" s="2317" t="s">
        <v>17626</v>
      </c>
      <c r="Y2985" s="65"/>
      <c r="Z2985" s="65" t="s">
        <v>940</v>
      </c>
      <c r="AA2985" s="65" t="s">
        <v>17627</v>
      </c>
      <c r="AB2985" s="65" t="s">
        <v>7257</v>
      </c>
      <c r="AC2985" s="65"/>
      <c r="AD2985" s="65" t="s">
        <v>17646</v>
      </c>
      <c r="AE2985" s="65" t="s">
        <v>489</v>
      </c>
      <c r="AF2985" s="333">
        <v>49.0</v>
      </c>
      <c r="AG2985" s="333">
        <v>0.66</v>
      </c>
      <c r="AH2985" s="65" t="s">
        <v>166</v>
      </c>
      <c r="AI2985" s="65" t="s">
        <v>17647</v>
      </c>
      <c r="AJ2985" s="333">
        <v>0.027</v>
      </c>
      <c r="AK2985" s="65" t="s">
        <v>165</v>
      </c>
      <c r="AL2985" s="65" t="s">
        <v>179</v>
      </c>
      <c r="AM2985" s="65" t="s">
        <v>130</v>
      </c>
      <c r="AN2985" s="65" t="s">
        <v>131</v>
      </c>
      <c r="AO2985" s="333">
        <v>221.0</v>
      </c>
      <c r="AP2985" s="333">
        <v>0.46</v>
      </c>
      <c r="AQ2985" s="65" t="s">
        <v>166</v>
      </c>
      <c r="AR2985" s="65" t="s">
        <v>17648</v>
      </c>
      <c r="AS2985" s="65" t="s">
        <v>131</v>
      </c>
      <c r="AT2985" s="65" t="s">
        <v>165</v>
      </c>
      <c r="AU2985" s="65" t="s">
        <v>179</v>
      </c>
      <c r="AV2985" s="65" t="s">
        <v>130</v>
      </c>
      <c r="AW2985" s="432" t="s">
        <v>17631</v>
      </c>
      <c r="AX2985" s="65" t="s">
        <v>136</v>
      </c>
      <c r="BB2985" s="1120"/>
      <c r="BC2985" s="1120"/>
      <c r="BD2985" s="1120"/>
      <c r="BE2985" s="1120"/>
      <c r="BF2985" s="1120"/>
      <c r="BG2985" s="1120"/>
      <c r="BH2985" s="1120"/>
      <c r="BI2985" s="1120"/>
      <c r="BJ2985" s="1120"/>
      <c r="BK2985" s="1120"/>
      <c r="BL2985" s="1120"/>
      <c r="BM2985" s="1120"/>
      <c r="BN2985" s="1120"/>
      <c r="BO2985" s="1120"/>
      <c r="BP2985" s="1120"/>
      <c r="BQ2985" s="1120"/>
      <c r="BR2985" s="1120"/>
      <c r="BS2985" s="1120"/>
      <c r="BT2985" s="1120"/>
      <c r="BU2985" s="1120"/>
      <c r="BV2985" s="1120"/>
      <c r="BW2985" s="1120"/>
      <c r="BX2985" s="1120"/>
      <c r="BY2985" s="1120"/>
      <c r="BZ2985" s="1120"/>
      <c r="CA2985" s="1120"/>
      <c r="CB2985" s="1120"/>
      <c r="CC2985" s="1120"/>
      <c r="CD2985" s="1120"/>
      <c r="CE2985" s="1120"/>
      <c r="CF2985" s="1120"/>
      <c r="CG2985" s="1120"/>
      <c r="CH2985" s="1120"/>
      <c r="CI2985" s="1120"/>
      <c r="CJ2985" s="1120"/>
      <c r="CK2985" s="1120"/>
      <c r="CL2985" s="1120"/>
      <c r="CM2985" s="1120"/>
      <c r="CN2985" s="1120"/>
      <c r="CO2985" s="1120"/>
      <c r="CP2985" s="1120"/>
      <c r="CQ2985" s="1120"/>
      <c r="CR2985" s="1120"/>
      <c r="CS2985" s="1120"/>
      <c r="CT2985" s="1120"/>
      <c r="CU2985" s="1120"/>
      <c r="CV2985" s="1120"/>
      <c r="CW2985" s="1120"/>
      <c r="CX2985" s="1120"/>
      <c r="CY2985" s="1120"/>
      <c r="CZ2985" s="1120"/>
      <c r="DA2985" s="1120"/>
      <c r="DB2985" s="1120"/>
      <c r="DC2985" s="1120"/>
      <c r="DD2985" s="1120"/>
      <c r="DE2985" s="1120"/>
      <c r="DF2985" s="1120"/>
      <c r="DG2985" s="1120"/>
      <c r="DH2985" s="1120"/>
    </row>
    <row r="2986">
      <c r="A2986" s="41">
        <v>2969.0</v>
      </c>
      <c r="B2986" s="126" t="s">
        <v>278</v>
      </c>
      <c r="C2986" s="59" t="s">
        <v>108</v>
      </c>
      <c r="D2986" s="59" t="s">
        <v>241</v>
      </c>
      <c r="F2986" s="65" t="s">
        <v>17618</v>
      </c>
      <c r="G2986" s="65" t="s">
        <v>17649</v>
      </c>
      <c r="H2986" s="65" t="s">
        <v>242</v>
      </c>
      <c r="I2986" s="526">
        <v>45813.0</v>
      </c>
      <c r="J2986" s="859"/>
      <c r="K2986" s="65" t="s">
        <v>17645</v>
      </c>
      <c r="L2986" s="65"/>
      <c r="M2986" s="65" t="s">
        <v>17621</v>
      </c>
      <c r="N2986" s="65" t="s">
        <v>17622</v>
      </c>
      <c r="O2986" s="65" t="s">
        <v>131</v>
      </c>
      <c r="P2986" s="570" t="s">
        <v>17623</v>
      </c>
      <c r="Q2986" s="2289" t="str">
        <f> hyperlink(vlookup(lower(N2986),'File Links'!E:F, 2, FALSE), "LINK")</f>
        <v>LINK</v>
      </c>
      <c r="R2986" s="65" t="s">
        <v>17624</v>
      </c>
      <c r="S2986" s="2315" t="s">
        <v>131</v>
      </c>
      <c r="T2986" s="432" t="s">
        <v>17625</v>
      </c>
      <c r="U2986" s="65"/>
      <c r="V2986" s="570"/>
      <c r="W2986" s="1225"/>
      <c r="X2986" s="2317" t="s">
        <v>17626</v>
      </c>
      <c r="Y2986" s="65"/>
      <c r="Z2986" s="65" t="s">
        <v>940</v>
      </c>
      <c r="AA2986" s="65" t="s">
        <v>17627</v>
      </c>
      <c r="AB2986" s="65" t="s">
        <v>7257</v>
      </c>
      <c r="AC2986" s="65"/>
      <c r="AD2986" s="65" t="s">
        <v>17650</v>
      </c>
      <c r="AE2986" s="65" t="s">
        <v>489</v>
      </c>
      <c r="AF2986" s="333">
        <v>49.0</v>
      </c>
      <c r="AG2986" s="333">
        <v>0.24</v>
      </c>
      <c r="AH2986" s="65" t="s">
        <v>166</v>
      </c>
      <c r="AI2986" s="65" t="s">
        <v>17651</v>
      </c>
      <c r="AJ2986" s="333">
        <v>0.416</v>
      </c>
      <c r="AK2986" s="65" t="s">
        <v>165</v>
      </c>
      <c r="AL2986" s="65" t="s">
        <v>179</v>
      </c>
      <c r="AM2986" s="65" t="s">
        <v>130</v>
      </c>
      <c r="AN2986" s="65" t="s">
        <v>131</v>
      </c>
      <c r="AO2986" s="333">
        <v>221.0</v>
      </c>
      <c r="AP2986" s="333">
        <v>0.19</v>
      </c>
      <c r="AQ2986" s="65" t="s">
        <v>166</v>
      </c>
      <c r="AR2986" s="65" t="s">
        <v>17652</v>
      </c>
      <c r="AS2986" s="65" t="s">
        <v>131</v>
      </c>
      <c r="AT2986" s="65" t="s">
        <v>165</v>
      </c>
      <c r="AU2986" s="65" t="s">
        <v>179</v>
      </c>
      <c r="AV2986" s="65" t="s">
        <v>130</v>
      </c>
      <c r="AW2986" s="432" t="s">
        <v>17631</v>
      </c>
      <c r="AX2986" s="65" t="s">
        <v>136</v>
      </c>
    </row>
    <row r="2987">
      <c r="A2987" s="41">
        <v>2970.0</v>
      </c>
      <c r="B2987" s="126" t="s">
        <v>278</v>
      </c>
      <c r="C2987" s="59" t="s">
        <v>108</v>
      </c>
      <c r="D2987" s="59" t="s">
        <v>241</v>
      </c>
      <c r="F2987" s="65" t="s">
        <v>17618</v>
      </c>
      <c r="G2987" s="65" t="s">
        <v>17653</v>
      </c>
      <c r="H2987" s="65" t="s">
        <v>242</v>
      </c>
      <c r="I2987" s="526">
        <v>45813.0</v>
      </c>
      <c r="J2987" s="859"/>
      <c r="K2987" s="65" t="s">
        <v>17645</v>
      </c>
      <c r="L2987" s="65"/>
      <c r="M2987" s="65" t="s">
        <v>17621</v>
      </c>
      <c r="N2987" s="65" t="s">
        <v>17622</v>
      </c>
      <c r="O2987" s="65" t="s">
        <v>131</v>
      </c>
      <c r="P2987" s="570" t="s">
        <v>17623</v>
      </c>
      <c r="Q2987" s="2289" t="str">
        <f> hyperlink(vlookup(lower(N2987),'File Links'!E:F, 2, FALSE), "LINK")</f>
        <v>LINK</v>
      </c>
      <c r="R2987" s="65" t="s">
        <v>17624</v>
      </c>
      <c r="S2987" s="2315" t="s">
        <v>131</v>
      </c>
      <c r="T2987" s="432" t="s">
        <v>17625</v>
      </c>
      <c r="U2987" s="65"/>
      <c r="V2987" s="570"/>
      <c r="W2987" s="1225"/>
      <c r="X2987" s="2317" t="s">
        <v>17626</v>
      </c>
      <c r="Y2987" s="65"/>
      <c r="Z2987" s="65" t="s">
        <v>940</v>
      </c>
      <c r="AA2987" s="65" t="s">
        <v>17627</v>
      </c>
      <c r="AB2987" s="65" t="s">
        <v>7257</v>
      </c>
      <c r="AC2987" s="65"/>
      <c r="AD2987" s="65" t="s">
        <v>17654</v>
      </c>
      <c r="AE2987" s="65" t="s">
        <v>489</v>
      </c>
      <c r="AF2987" s="333">
        <v>49.0</v>
      </c>
      <c r="AG2987" s="333">
        <v>1.29</v>
      </c>
      <c r="AH2987" s="65" t="s">
        <v>166</v>
      </c>
      <c r="AI2987" s="65" t="s">
        <v>17655</v>
      </c>
      <c r="AJ2987" s="333">
        <v>0.001</v>
      </c>
      <c r="AK2987" s="65" t="s">
        <v>128</v>
      </c>
      <c r="AL2987" s="65" t="s">
        <v>179</v>
      </c>
      <c r="AM2987" s="65" t="s">
        <v>130</v>
      </c>
      <c r="AN2987" s="65" t="s">
        <v>131</v>
      </c>
      <c r="AO2987" s="333">
        <v>221.0</v>
      </c>
      <c r="AP2987" s="333">
        <v>0.36</v>
      </c>
      <c r="AQ2987" s="65" t="s">
        <v>980</v>
      </c>
      <c r="AR2987" s="65" t="s">
        <v>17656</v>
      </c>
      <c r="AS2987" s="333">
        <v>0.001</v>
      </c>
      <c r="AT2987" s="65" t="s">
        <v>128</v>
      </c>
      <c r="AU2987" s="65" t="s">
        <v>179</v>
      </c>
      <c r="AV2987" s="65" t="s">
        <v>134</v>
      </c>
      <c r="AW2987" s="432" t="s">
        <v>17631</v>
      </c>
      <c r="AX2987" s="65" t="s">
        <v>136</v>
      </c>
      <c r="BB2987" s="1120"/>
      <c r="BC2987" s="1120"/>
      <c r="BD2987" s="1120"/>
      <c r="BE2987" s="1120"/>
      <c r="BF2987" s="1120"/>
      <c r="BG2987" s="1120"/>
      <c r="BH2987" s="1120"/>
      <c r="BI2987" s="1120"/>
      <c r="BJ2987" s="1120"/>
      <c r="BK2987" s="1120"/>
      <c r="BL2987" s="1120"/>
      <c r="BM2987" s="1120"/>
      <c r="BN2987" s="1120"/>
      <c r="BO2987" s="1120"/>
      <c r="BP2987" s="1120"/>
      <c r="BQ2987" s="1120"/>
      <c r="BR2987" s="1120"/>
      <c r="BS2987" s="1120"/>
      <c r="BT2987" s="1120"/>
      <c r="BU2987" s="1120"/>
      <c r="BV2987" s="1120"/>
      <c r="BW2987" s="1120"/>
      <c r="BX2987" s="1120"/>
      <c r="BY2987" s="1120"/>
      <c r="BZ2987" s="1120"/>
      <c r="CA2987" s="1120"/>
      <c r="CB2987" s="1120"/>
      <c r="CC2987" s="1120"/>
      <c r="CD2987" s="1120"/>
      <c r="CE2987" s="1120"/>
      <c r="CF2987" s="1120"/>
      <c r="CG2987" s="1120"/>
      <c r="CH2987" s="1120"/>
      <c r="CI2987" s="1120"/>
      <c r="CJ2987" s="1120"/>
      <c r="CK2987" s="1120"/>
      <c r="CL2987" s="1120"/>
      <c r="CM2987" s="1120"/>
      <c r="CN2987" s="1120"/>
      <c r="CO2987" s="1120"/>
      <c r="CP2987" s="1120"/>
      <c r="CQ2987" s="1120"/>
      <c r="CR2987" s="1120"/>
      <c r="CS2987" s="1120"/>
      <c r="CT2987" s="1120"/>
      <c r="CU2987" s="1120"/>
      <c r="CV2987" s="1120"/>
      <c r="CW2987" s="1120"/>
      <c r="CX2987" s="1120"/>
      <c r="CY2987" s="1120"/>
      <c r="CZ2987" s="1120"/>
      <c r="DA2987" s="1120"/>
      <c r="DB2987" s="1120"/>
      <c r="DC2987" s="1120"/>
      <c r="DD2987" s="1120"/>
      <c r="DE2987" s="1120"/>
      <c r="DF2987" s="1120"/>
      <c r="DG2987" s="1120"/>
      <c r="DH2987" s="1120"/>
    </row>
    <row r="2988">
      <c r="A2988" s="41">
        <v>2971.0</v>
      </c>
      <c r="B2988" s="126" t="s">
        <v>278</v>
      </c>
      <c r="C2988" s="59" t="s">
        <v>108</v>
      </c>
      <c r="D2988" s="59" t="s">
        <v>241</v>
      </c>
      <c r="F2988" s="65" t="s">
        <v>17618</v>
      </c>
      <c r="G2988" s="65" t="s">
        <v>17657</v>
      </c>
      <c r="H2988" s="65" t="s">
        <v>242</v>
      </c>
      <c r="I2988" s="526">
        <v>45813.0</v>
      </c>
      <c r="J2988" s="859"/>
      <c r="K2988" s="65" t="s">
        <v>17645</v>
      </c>
      <c r="L2988" s="65"/>
      <c r="M2988" s="65" t="s">
        <v>17621</v>
      </c>
      <c r="N2988" s="65" t="s">
        <v>17622</v>
      </c>
      <c r="O2988" s="65" t="s">
        <v>131</v>
      </c>
      <c r="P2988" s="570" t="s">
        <v>17623</v>
      </c>
      <c r="Q2988" s="2289" t="str">
        <f> hyperlink(vlookup(lower(N2988),'File Links'!E:F, 2, FALSE), "LINK")</f>
        <v>LINK</v>
      </c>
      <c r="R2988" s="65" t="s">
        <v>17624</v>
      </c>
      <c r="S2988" s="2315" t="s">
        <v>131</v>
      </c>
      <c r="T2988" s="432" t="s">
        <v>17625</v>
      </c>
      <c r="U2988" s="65"/>
      <c r="V2988" s="570"/>
      <c r="W2988" s="1225"/>
      <c r="X2988" s="2317" t="s">
        <v>17626</v>
      </c>
      <c r="Y2988" s="65"/>
      <c r="Z2988" s="65" t="s">
        <v>940</v>
      </c>
      <c r="AA2988" s="65" t="s">
        <v>17627</v>
      </c>
      <c r="AB2988" s="65" t="s">
        <v>7257</v>
      </c>
      <c r="AC2988" s="65"/>
      <c r="AD2988" s="65" t="s">
        <v>17658</v>
      </c>
      <c r="AE2988" s="65" t="s">
        <v>489</v>
      </c>
      <c r="AF2988" s="333">
        <v>49.0</v>
      </c>
      <c r="AG2988" s="333">
        <v>0.63</v>
      </c>
      <c r="AH2988" s="65" t="s">
        <v>166</v>
      </c>
      <c r="AI2988" s="65" t="s">
        <v>17659</v>
      </c>
      <c r="AJ2988" s="333">
        <v>0.037</v>
      </c>
      <c r="AK2988" s="65" t="s">
        <v>165</v>
      </c>
      <c r="AL2988" s="65" t="s">
        <v>179</v>
      </c>
      <c r="AM2988" s="65" t="s">
        <v>130</v>
      </c>
      <c r="AN2988" s="65" t="s">
        <v>131</v>
      </c>
      <c r="AO2988" s="333">
        <v>221.0</v>
      </c>
      <c r="AP2988" s="333">
        <v>4.51</v>
      </c>
      <c r="AQ2988" s="65" t="s">
        <v>980</v>
      </c>
      <c r="AR2988" s="65" t="s">
        <v>17660</v>
      </c>
      <c r="AS2988" s="333">
        <v>0.001</v>
      </c>
      <c r="AT2988" s="65" t="s">
        <v>128</v>
      </c>
      <c r="AU2988" s="65" t="s">
        <v>179</v>
      </c>
      <c r="AV2988" s="65" t="s">
        <v>134</v>
      </c>
      <c r="AW2988" s="432" t="s">
        <v>17631</v>
      </c>
      <c r="AX2988" s="65" t="s">
        <v>136</v>
      </c>
    </row>
    <row r="2989">
      <c r="A2989" s="41">
        <v>2972.0</v>
      </c>
      <c r="B2989" s="126" t="s">
        <v>278</v>
      </c>
      <c r="C2989" s="59" t="s">
        <v>108</v>
      </c>
      <c r="D2989" s="59" t="s">
        <v>241</v>
      </c>
      <c r="F2989" s="65" t="s">
        <v>17618</v>
      </c>
      <c r="G2989" s="65" t="s">
        <v>17661</v>
      </c>
      <c r="H2989" s="65" t="s">
        <v>242</v>
      </c>
      <c r="I2989" s="526">
        <v>45813.0</v>
      </c>
      <c r="J2989" s="859"/>
      <c r="K2989" s="65" t="s">
        <v>17662</v>
      </c>
      <c r="L2989" s="65"/>
      <c r="M2989" s="65" t="s">
        <v>17621</v>
      </c>
      <c r="N2989" s="65" t="s">
        <v>17622</v>
      </c>
      <c r="O2989" s="65" t="s">
        <v>131</v>
      </c>
      <c r="P2989" s="570" t="s">
        <v>17623</v>
      </c>
      <c r="Q2989" s="2289" t="str">
        <f> hyperlink(vlookup(lower(N2989),'File Links'!E:F, 2, FALSE), "LINK")</f>
        <v>LINK</v>
      </c>
      <c r="R2989" s="65" t="s">
        <v>17624</v>
      </c>
      <c r="S2989" s="2315" t="s">
        <v>131</v>
      </c>
      <c r="T2989" s="432" t="s">
        <v>17625</v>
      </c>
      <c r="U2989" s="65"/>
      <c r="V2989" s="570"/>
      <c r="W2989" s="1225"/>
      <c r="X2989" s="2317" t="s">
        <v>17626</v>
      </c>
      <c r="Y2989" s="65"/>
      <c r="Z2989" s="65" t="s">
        <v>940</v>
      </c>
      <c r="AA2989" s="65" t="s">
        <v>17627</v>
      </c>
      <c r="AB2989" s="65" t="s">
        <v>7257</v>
      </c>
      <c r="AC2989" s="65"/>
      <c r="AD2989" s="65" t="s">
        <v>17663</v>
      </c>
      <c r="AE2989" s="65" t="s">
        <v>1035</v>
      </c>
      <c r="AF2989" s="333">
        <v>95.0</v>
      </c>
      <c r="AG2989" s="333">
        <v>0.43</v>
      </c>
      <c r="AH2989" s="65" t="s">
        <v>166</v>
      </c>
      <c r="AI2989" s="65" t="s">
        <v>17664</v>
      </c>
      <c r="AJ2989" s="333">
        <v>0.042</v>
      </c>
      <c r="AK2989" s="65" t="s">
        <v>165</v>
      </c>
      <c r="AL2989" s="65" t="s">
        <v>179</v>
      </c>
      <c r="AM2989" s="65" t="s">
        <v>130</v>
      </c>
      <c r="AN2989" s="65" t="s">
        <v>131</v>
      </c>
      <c r="AO2989" s="333">
        <v>564.0</v>
      </c>
      <c r="AP2989" s="333">
        <v>0.13</v>
      </c>
      <c r="AQ2989" s="65" t="s">
        <v>166</v>
      </c>
      <c r="AR2989" s="65" t="s">
        <v>17665</v>
      </c>
      <c r="AS2989" s="65" t="s">
        <v>131</v>
      </c>
      <c r="AT2989" s="65" t="s">
        <v>165</v>
      </c>
      <c r="AU2989" s="65" t="s">
        <v>179</v>
      </c>
      <c r="AV2989" s="65" t="s">
        <v>130</v>
      </c>
      <c r="AW2989" s="432" t="s">
        <v>17631</v>
      </c>
      <c r="AX2989" s="65" t="s">
        <v>136</v>
      </c>
    </row>
    <row r="2990">
      <c r="A2990" s="41">
        <v>2973.0</v>
      </c>
      <c r="B2990" s="126" t="s">
        <v>278</v>
      </c>
      <c r="C2990" s="59" t="s">
        <v>108</v>
      </c>
      <c r="D2990" s="59" t="s">
        <v>241</v>
      </c>
      <c r="F2990" s="65" t="s">
        <v>17618</v>
      </c>
      <c r="G2990" s="65" t="s">
        <v>17666</v>
      </c>
      <c r="H2990" s="65" t="s">
        <v>242</v>
      </c>
      <c r="I2990" s="526">
        <v>45813.0</v>
      </c>
      <c r="J2990" s="859"/>
      <c r="K2990" s="65" t="s">
        <v>17662</v>
      </c>
      <c r="L2990" s="65"/>
      <c r="M2990" s="65" t="s">
        <v>17621</v>
      </c>
      <c r="N2990" s="65" t="s">
        <v>17622</v>
      </c>
      <c r="O2990" s="65" t="s">
        <v>131</v>
      </c>
      <c r="P2990" s="570" t="s">
        <v>17623</v>
      </c>
      <c r="Q2990" s="2289" t="str">
        <f> hyperlink(vlookup(lower(N2990),'File Links'!E:F, 2, FALSE), "LINK")</f>
        <v>LINK</v>
      </c>
      <c r="R2990" s="65" t="s">
        <v>17624</v>
      </c>
      <c r="S2990" s="2315" t="s">
        <v>131</v>
      </c>
      <c r="T2990" s="432" t="s">
        <v>17625</v>
      </c>
      <c r="U2990" s="65"/>
      <c r="V2990" s="570"/>
      <c r="W2990" s="1225"/>
      <c r="X2990" s="2317" t="s">
        <v>17626</v>
      </c>
      <c r="Y2990" s="65"/>
      <c r="Z2990" s="65" t="s">
        <v>940</v>
      </c>
      <c r="AA2990" s="65" t="s">
        <v>17627</v>
      </c>
      <c r="AB2990" s="65" t="s">
        <v>7257</v>
      </c>
      <c r="AC2990" s="65"/>
      <c r="AD2990" s="65" t="s">
        <v>17667</v>
      </c>
      <c r="AE2990" s="65" t="s">
        <v>1035</v>
      </c>
      <c r="AF2990" s="333">
        <v>95.0</v>
      </c>
      <c r="AG2990" s="333">
        <v>0.14</v>
      </c>
      <c r="AH2990" s="65" t="s">
        <v>166</v>
      </c>
      <c r="AI2990" s="65" t="s">
        <v>17668</v>
      </c>
      <c r="AJ2990" s="333">
        <v>0.507</v>
      </c>
      <c r="AK2990" s="65" t="s">
        <v>165</v>
      </c>
      <c r="AL2990" s="65" t="s">
        <v>179</v>
      </c>
      <c r="AM2990" s="65" t="s">
        <v>130</v>
      </c>
      <c r="AN2990" s="65" t="s">
        <v>131</v>
      </c>
      <c r="AO2990" s="333">
        <v>564.0</v>
      </c>
      <c r="AP2990" s="333">
        <v>-0.01</v>
      </c>
      <c r="AQ2990" s="65" t="s">
        <v>166</v>
      </c>
      <c r="AR2990" s="65" t="s">
        <v>17669</v>
      </c>
      <c r="AS2990" s="65" t="s">
        <v>131</v>
      </c>
      <c r="AT2990" s="65" t="s">
        <v>165</v>
      </c>
      <c r="AU2990" s="65" t="s">
        <v>179</v>
      </c>
      <c r="AV2990" s="65" t="s">
        <v>130</v>
      </c>
      <c r="AW2990" s="432" t="s">
        <v>17631</v>
      </c>
      <c r="AX2990" s="65" t="s">
        <v>136</v>
      </c>
      <c r="BB2990" s="1120"/>
      <c r="BC2990" s="1120"/>
      <c r="BD2990" s="1120"/>
      <c r="BE2990" s="1120"/>
      <c r="BF2990" s="1120"/>
      <c r="BG2990" s="1120"/>
      <c r="BH2990" s="1120"/>
      <c r="BI2990" s="1120"/>
      <c r="BJ2990" s="1120"/>
      <c r="BK2990" s="1120"/>
      <c r="BL2990" s="1120"/>
      <c r="BM2990" s="1120"/>
      <c r="BN2990" s="1120"/>
      <c r="BO2990" s="1120"/>
      <c r="BP2990" s="1120"/>
      <c r="BQ2990" s="1120"/>
      <c r="BR2990" s="1120"/>
      <c r="BS2990" s="1120"/>
      <c r="BT2990" s="1120"/>
      <c r="BU2990" s="1120"/>
      <c r="BV2990" s="1120"/>
      <c r="BW2990" s="1120"/>
      <c r="BX2990" s="1120"/>
      <c r="BY2990" s="1120"/>
      <c r="BZ2990" s="1120"/>
      <c r="CA2990" s="1120"/>
      <c r="CB2990" s="1120"/>
      <c r="CC2990" s="1120"/>
      <c r="CD2990" s="1120"/>
      <c r="CE2990" s="1120"/>
      <c r="CF2990" s="1120"/>
      <c r="CG2990" s="1120"/>
      <c r="CH2990" s="1120"/>
      <c r="CI2990" s="1120"/>
      <c r="CJ2990" s="1120"/>
      <c r="CK2990" s="1120"/>
      <c r="CL2990" s="1120"/>
      <c r="CM2990" s="1120"/>
      <c r="CN2990" s="1120"/>
      <c r="CO2990" s="1120"/>
      <c r="CP2990" s="1120"/>
      <c r="CQ2990" s="1120"/>
      <c r="CR2990" s="1120"/>
      <c r="CS2990" s="1120"/>
      <c r="CT2990" s="1120"/>
      <c r="CU2990" s="1120"/>
      <c r="CV2990" s="1120"/>
      <c r="CW2990" s="1120"/>
      <c r="CX2990" s="1120"/>
      <c r="CY2990" s="1120"/>
      <c r="CZ2990" s="1120"/>
      <c r="DA2990" s="1120"/>
      <c r="DB2990" s="1120"/>
      <c r="DC2990" s="1120"/>
      <c r="DD2990" s="1120"/>
      <c r="DE2990" s="1120"/>
      <c r="DF2990" s="1120"/>
      <c r="DG2990" s="1120"/>
      <c r="DH2990" s="1120"/>
    </row>
    <row r="2991">
      <c r="A2991" s="41">
        <v>2974.0</v>
      </c>
      <c r="B2991" s="126" t="s">
        <v>278</v>
      </c>
      <c r="C2991" s="59" t="s">
        <v>108</v>
      </c>
      <c r="D2991" s="59" t="s">
        <v>241</v>
      </c>
      <c r="F2991" s="65" t="s">
        <v>17618</v>
      </c>
      <c r="G2991" s="65" t="s">
        <v>17670</v>
      </c>
      <c r="H2991" s="65" t="s">
        <v>242</v>
      </c>
      <c r="I2991" s="526">
        <v>45813.0</v>
      </c>
      <c r="J2991" s="859"/>
      <c r="K2991" s="65" t="s">
        <v>17662</v>
      </c>
      <c r="L2991" s="65"/>
      <c r="M2991" s="65" t="s">
        <v>17621</v>
      </c>
      <c r="N2991" s="65" t="s">
        <v>17622</v>
      </c>
      <c r="O2991" s="65" t="s">
        <v>131</v>
      </c>
      <c r="P2991" s="570" t="s">
        <v>17623</v>
      </c>
      <c r="Q2991" s="2289" t="str">
        <f> hyperlink(vlookup(lower(N2991),'File Links'!E:F, 2, FALSE), "LINK")</f>
        <v>LINK</v>
      </c>
      <c r="R2991" s="65" t="s">
        <v>17624</v>
      </c>
      <c r="S2991" s="2315" t="s">
        <v>131</v>
      </c>
      <c r="T2991" s="432" t="s">
        <v>17625</v>
      </c>
      <c r="U2991" s="65"/>
      <c r="V2991" s="570"/>
      <c r="W2991" s="1225"/>
      <c r="X2991" s="2317" t="s">
        <v>17626</v>
      </c>
      <c r="Y2991" s="65"/>
      <c r="Z2991" s="65" t="s">
        <v>940</v>
      </c>
      <c r="AA2991" s="65" t="s">
        <v>17627</v>
      </c>
      <c r="AB2991" s="65" t="s">
        <v>7257</v>
      </c>
      <c r="AC2991" s="65"/>
      <c r="AD2991" s="65" t="s">
        <v>17671</v>
      </c>
      <c r="AE2991" s="65" t="s">
        <v>1035</v>
      </c>
      <c r="AF2991" s="333">
        <v>95.0</v>
      </c>
      <c r="AG2991" s="333">
        <v>1.87</v>
      </c>
      <c r="AH2991" s="65" t="s">
        <v>166</v>
      </c>
      <c r="AI2991" s="65" t="s">
        <v>17672</v>
      </c>
      <c r="AJ2991" s="333">
        <v>0.001</v>
      </c>
      <c r="AK2991" s="65" t="s">
        <v>128</v>
      </c>
      <c r="AL2991" s="65" t="s">
        <v>179</v>
      </c>
      <c r="AM2991" s="65" t="s">
        <v>130</v>
      </c>
      <c r="AN2991" s="65" t="s">
        <v>131</v>
      </c>
      <c r="AO2991" s="333">
        <v>564.0</v>
      </c>
      <c r="AP2991" s="333">
        <v>1.98</v>
      </c>
      <c r="AQ2991" s="65" t="s">
        <v>980</v>
      </c>
      <c r="AR2991" s="65" t="s">
        <v>17673</v>
      </c>
      <c r="AS2991" s="333">
        <v>0.001</v>
      </c>
      <c r="AT2991" s="65" t="s">
        <v>128</v>
      </c>
      <c r="AU2991" s="65" t="s">
        <v>179</v>
      </c>
      <c r="AV2991" s="65" t="s">
        <v>134</v>
      </c>
      <c r="AW2991" s="432" t="s">
        <v>17631</v>
      </c>
      <c r="AX2991" s="65" t="s">
        <v>136</v>
      </c>
      <c r="BB2991" s="1120"/>
      <c r="BC2991" s="1120"/>
      <c r="BD2991" s="1120"/>
      <c r="BE2991" s="1120"/>
      <c r="BF2991" s="1120"/>
      <c r="BG2991" s="1120"/>
      <c r="BH2991" s="1120"/>
      <c r="BI2991" s="1120"/>
      <c r="BJ2991" s="1120"/>
      <c r="BK2991" s="1120"/>
      <c r="BL2991" s="1120"/>
      <c r="BM2991" s="1120"/>
      <c r="BN2991" s="1120"/>
      <c r="BO2991" s="1120"/>
      <c r="BP2991" s="1120"/>
      <c r="BQ2991" s="1120"/>
      <c r="BR2991" s="1120"/>
      <c r="BS2991" s="1120"/>
      <c r="BT2991" s="1120"/>
      <c r="BU2991" s="1120"/>
      <c r="BV2991" s="1120"/>
      <c r="BW2991" s="1120"/>
      <c r="BX2991" s="1120"/>
      <c r="BY2991" s="1120"/>
      <c r="BZ2991" s="1120"/>
      <c r="CA2991" s="1120"/>
      <c r="CB2991" s="1120"/>
      <c r="CC2991" s="1120"/>
      <c r="CD2991" s="1120"/>
      <c r="CE2991" s="1120"/>
      <c r="CF2991" s="1120"/>
      <c r="CG2991" s="1120"/>
      <c r="CH2991" s="1120"/>
      <c r="CI2991" s="1120"/>
      <c r="CJ2991" s="1120"/>
      <c r="CK2991" s="1120"/>
      <c r="CL2991" s="1120"/>
      <c r="CM2991" s="1120"/>
      <c r="CN2991" s="1120"/>
      <c r="CO2991" s="1120"/>
      <c r="CP2991" s="1120"/>
      <c r="CQ2991" s="1120"/>
      <c r="CR2991" s="1120"/>
      <c r="CS2991" s="1120"/>
      <c r="CT2991" s="1120"/>
      <c r="CU2991" s="1120"/>
      <c r="CV2991" s="1120"/>
      <c r="CW2991" s="1120"/>
      <c r="CX2991" s="1120"/>
      <c r="CY2991" s="1120"/>
      <c r="CZ2991" s="1120"/>
      <c r="DA2991" s="1120"/>
      <c r="DB2991" s="1120"/>
      <c r="DC2991" s="1120"/>
      <c r="DD2991" s="1120"/>
      <c r="DE2991" s="1120"/>
      <c r="DF2991" s="1120"/>
      <c r="DG2991" s="1120"/>
      <c r="DH2991" s="1120"/>
    </row>
    <row r="2992">
      <c r="A2992" s="41">
        <v>2975.0</v>
      </c>
      <c r="B2992" s="126" t="s">
        <v>278</v>
      </c>
      <c r="C2992" s="59" t="s">
        <v>108</v>
      </c>
      <c r="D2992" s="59" t="s">
        <v>241</v>
      </c>
      <c r="F2992" s="65" t="s">
        <v>17618</v>
      </c>
      <c r="G2992" s="65" t="s">
        <v>17674</v>
      </c>
      <c r="H2992" s="65" t="s">
        <v>242</v>
      </c>
      <c r="I2992" s="526">
        <v>45813.0</v>
      </c>
      <c r="J2992" s="859"/>
      <c r="K2992" s="65" t="s">
        <v>17662</v>
      </c>
      <c r="L2992" s="65"/>
      <c r="M2992" s="65" t="s">
        <v>17621</v>
      </c>
      <c r="N2992" s="65" t="s">
        <v>17622</v>
      </c>
      <c r="O2992" s="65" t="s">
        <v>131</v>
      </c>
      <c r="P2992" s="570" t="s">
        <v>17623</v>
      </c>
      <c r="Q2992" s="2289" t="str">
        <f> hyperlink(vlookup(lower(N2992),'File Links'!E:F, 2, FALSE), "LINK")</f>
        <v>LINK</v>
      </c>
      <c r="R2992" s="65" t="s">
        <v>17624</v>
      </c>
      <c r="S2992" s="2315" t="s">
        <v>131</v>
      </c>
      <c r="T2992" s="432" t="s">
        <v>17625</v>
      </c>
      <c r="U2992" s="65"/>
      <c r="V2992" s="570"/>
      <c r="W2992" s="1225"/>
      <c r="X2992" s="2317" t="s">
        <v>17626</v>
      </c>
      <c r="Y2992" s="65"/>
      <c r="Z2992" s="65" t="s">
        <v>940</v>
      </c>
      <c r="AA2992" s="65" t="s">
        <v>17627</v>
      </c>
      <c r="AB2992" s="65" t="s">
        <v>7257</v>
      </c>
      <c r="AC2992" s="65"/>
      <c r="AD2992" s="65" t="s">
        <v>17675</v>
      </c>
      <c r="AE2992" s="65" t="s">
        <v>1035</v>
      </c>
      <c r="AF2992" s="333">
        <v>95.0</v>
      </c>
      <c r="AG2992" s="333">
        <v>0.45</v>
      </c>
      <c r="AH2992" s="65" t="s">
        <v>166</v>
      </c>
      <c r="AI2992" s="65" t="s">
        <v>17676</v>
      </c>
      <c r="AJ2992" s="333">
        <v>0.032</v>
      </c>
      <c r="AK2992" s="65" t="s">
        <v>165</v>
      </c>
      <c r="AL2992" s="65" t="s">
        <v>179</v>
      </c>
      <c r="AM2992" s="65" t="s">
        <v>130</v>
      </c>
      <c r="AN2992" s="65" t="s">
        <v>131</v>
      </c>
      <c r="AO2992" s="333">
        <v>564.0</v>
      </c>
      <c r="AP2992" s="333">
        <v>2.17</v>
      </c>
      <c r="AQ2992" s="65" t="s">
        <v>980</v>
      </c>
      <c r="AR2992" s="65" t="s">
        <v>17677</v>
      </c>
      <c r="AS2992" s="333">
        <v>0.033</v>
      </c>
      <c r="AT2992" s="65" t="s">
        <v>165</v>
      </c>
      <c r="AU2992" s="65" t="s">
        <v>179</v>
      </c>
      <c r="AV2992" s="65" t="s">
        <v>134</v>
      </c>
      <c r="AW2992" s="432" t="s">
        <v>17631</v>
      </c>
      <c r="AX2992" s="65" t="s">
        <v>136</v>
      </c>
      <c r="BB2992" s="1120"/>
      <c r="BC2992" s="1120"/>
      <c r="BD2992" s="1120"/>
      <c r="BE2992" s="1120"/>
      <c r="BF2992" s="1120"/>
      <c r="BG2992" s="1120"/>
      <c r="BH2992" s="1120"/>
      <c r="BI2992" s="1120"/>
      <c r="BJ2992" s="1120"/>
      <c r="BK2992" s="1120"/>
      <c r="BL2992" s="1120"/>
      <c r="BM2992" s="1120"/>
      <c r="BN2992" s="1120"/>
      <c r="BO2992" s="1120"/>
      <c r="BP2992" s="1120"/>
      <c r="BQ2992" s="1120"/>
      <c r="BR2992" s="1120"/>
      <c r="BS2992" s="1120"/>
      <c r="BT2992" s="1120"/>
      <c r="BU2992" s="1120"/>
      <c r="BV2992" s="1120"/>
      <c r="BW2992" s="1120"/>
      <c r="BX2992" s="1120"/>
      <c r="BY2992" s="1120"/>
      <c r="BZ2992" s="1120"/>
      <c r="CA2992" s="1120"/>
      <c r="CB2992" s="1120"/>
      <c r="CC2992" s="1120"/>
      <c r="CD2992" s="1120"/>
      <c r="CE2992" s="1120"/>
      <c r="CF2992" s="1120"/>
      <c r="CG2992" s="1120"/>
      <c r="CH2992" s="1120"/>
      <c r="CI2992" s="1120"/>
      <c r="CJ2992" s="1120"/>
      <c r="CK2992" s="1120"/>
      <c r="CL2992" s="1120"/>
      <c r="CM2992" s="1120"/>
      <c r="CN2992" s="1120"/>
      <c r="CO2992" s="1120"/>
      <c r="CP2992" s="1120"/>
      <c r="CQ2992" s="1120"/>
      <c r="CR2992" s="1120"/>
      <c r="CS2992" s="1120"/>
      <c r="CT2992" s="1120"/>
      <c r="CU2992" s="1120"/>
      <c r="CV2992" s="1120"/>
      <c r="CW2992" s="1120"/>
      <c r="CX2992" s="1120"/>
      <c r="CY2992" s="1120"/>
      <c r="CZ2992" s="1120"/>
      <c r="DA2992" s="1120"/>
      <c r="DB2992" s="1120"/>
      <c r="DC2992" s="1120"/>
      <c r="DD2992" s="1120"/>
      <c r="DE2992" s="1120"/>
      <c r="DF2992" s="1120"/>
      <c r="DG2992" s="1120"/>
      <c r="DH2992" s="1120"/>
    </row>
    <row r="2993">
      <c r="A2993" s="41">
        <v>2720.0</v>
      </c>
      <c r="B2993" s="126" t="s">
        <v>278</v>
      </c>
      <c r="C2993" s="59" t="s">
        <v>108</v>
      </c>
      <c r="D2993" s="59" t="s">
        <v>2923</v>
      </c>
      <c r="F2993" s="156" t="s">
        <v>17678</v>
      </c>
      <c r="G2993" s="156" t="s">
        <v>17679</v>
      </c>
      <c r="H2993" s="156" t="s">
        <v>17298</v>
      </c>
      <c r="I2993" s="149">
        <v>45802.0</v>
      </c>
      <c r="J2993" s="859"/>
      <c r="K2993" s="156" t="s">
        <v>17552</v>
      </c>
      <c r="L2993" s="65"/>
      <c r="M2993" s="156" t="s">
        <v>17680</v>
      </c>
      <c r="N2993" s="156" t="s">
        <v>17681</v>
      </c>
      <c r="O2993" s="153">
        <v>2.0</v>
      </c>
      <c r="P2993" s="379" t="s">
        <v>17682</v>
      </c>
      <c r="Q2993" s="2153" t="str">
        <f> hyperlink(vlookup(lower(N2993),'File Links'!E:F, 2, FALSE), "LINK")</f>
        <v>LINK</v>
      </c>
      <c r="R2993" s="156" t="s">
        <v>17683</v>
      </c>
      <c r="S2993" s="156" t="s">
        <v>17684</v>
      </c>
      <c r="T2993" s="990" t="s">
        <v>17685</v>
      </c>
      <c r="U2993" s="153">
        <v>2.0</v>
      </c>
      <c r="V2993" s="379" t="s">
        <v>17686</v>
      </c>
      <c r="W2993" s="1228" t="s">
        <v>17303</v>
      </c>
      <c r="X2993" s="2154" t="str">
        <f> hyperlink(vlookup(lower(#REF!),'File Links'!E:F, 2, FALSE), "LINK")</f>
        <v>LINK</v>
      </c>
      <c r="Y2993" s="65"/>
      <c r="Z2993" s="156" t="s">
        <v>940</v>
      </c>
      <c r="AA2993" s="156" t="s">
        <v>17687</v>
      </c>
      <c r="AB2993" s="156" t="s">
        <v>17688</v>
      </c>
      <c r="AC2993" s="156" t="s">
        <v>17689</v>
      </c>
      <c r="AD2993" s="156" t="s">
        <v>17690</v>
      </c>
      <c r="AE2993" s="153">
        <v>3.0</v>
      </c>
      <c r="AF2993" s="153">
        <v>331.0</v>
      </c>
      <c r="AG2993" s="153">
        <v>0.02</v>
      </c>
      <c r="AH2993" s="156" t="s">
        <v>132</v>
      </c>
      <c r="AI2993" s="1289">
        <v>3.0</v>
      </c>
      <c r="AJ2993" s="156" t="s">
        <v>131</v>
      </c>
      <c r="AK2993" s="156" t="s">
        <v>131</v>
      </c>
      <c r="AL2993" s="156" t="s">
        <v>131</v>
      </c>
      <c r="AM2993" s="156" t="s">
        <v>130</v>
      </c>
      <c r="AN2993" s="156" t="s">
        <v>131</v>
      </c>
      <c r="AO2993" s="153">
        <v>1010.0</v>
      </c>
      <c r="AP2993" s="1289">
        <v>0.0</v>
      </c>
      <c r="AQ2993" s="156" t="s">
        <v>132</v>
      </c>
      <c r="AR2993" s="156" t="s">
        <v>10260</v>
      </c>
      <c r="AS2993" s="156" t="s">
        <v>131</v>
      </c>
      <c r="AT2993" s="156" t="s">
        <v>131</v>
      </c>
      <c r="AU2993" s="156" t="s">
        <v>131</v>
      </c>
      <c r="AV2993" s="156" t="s">
        <v>130</v>
      </c>
      <c r="AW2993" s="156" t="s">
        <v>131</v>
      </c>
      <c r="AX2993" s="156" t="s">
        <v>317</v>
      </c>
    </row>
    <row r="2994">
      <c r="A2994" s="41">
        <v>2721.0</v>
      </c>
      <c r="B2994" s="126" t="s">
        <v>278</v>
      </c>
      <c r="C2994" s="59" t="s">
        <v>108</v>
      </c>
      <c r="D2994" s="59" t="s">
        <v>2923</v>
      </c>
      <c r="F2994" s="156" t="s">
        <v>17691</v>
      </c>
      <c r="G2994" s="156" t="s">
        <v>17692</v>
      </c>
      <c r="H2994" s="156" t="s">
        <v>17298</v>
      </c>
      <c r="I2994" s="149">
        <v>45802.0</v>
      </c>
      <c r="J2994" s="859"/>
      <c r="K2994" s="156" t="s">
        <v>17544</v>
      </c>
      <c r="L2994" s="65"/>
      <c r="M2994" s="156" t="s">
        <v>17693</v>
      </c>
      <c r="N2994" s="156" t="s">
        <v>17694</v>
      </c>
      <c r="O2994" s="156" t="s">
        <v>131</v>
      </c>
      <c r="P2994" s="379" t="s">
        <v>17695</v>
      </c>
      <c r="Q2994" s="2153" t="str">
        <f> hyperlink(vlookup(lower(N2994),'File Links'!E:F, 2, FALSE), "LINK")</f>
        <v>LINK</v>
      </c>
      <c r="R2994" s="156" t="s">
        <v>17696</v>
      </c>
      <c r="S2994" s="2318" t="s">
        <v>131</v>
      </c>
      <c r="T2994" s="156" t="s">
        <v>131</v>
      </c>
      <c r="U2994" s="156" t="s">
        <v>131</v>
      </c>
      <c r="V2994" s="379" t="s">
        <v>570</v>
      </c>
      <c r="W2994" s="1228" t="s">
        <v>131</v>
      </c>
      <c r="X2994" s="2292" t="str">
        <f> hyperlink(vlookup(lower(S2994),'File Links'!E:F, 2, FALSE), "LINK")</f>
        <v>LINK</v>
      </c>
      <c r="Y2994" s="156" t="s">
        <v>17544</v>
      </c>
      <c r="Z2994" s="156" t="s">
        <v>940</v>
      </c>
      <c r="AA2994" s="156" t="s">
        <v>17697</v>
      </c>
      <c r="AB2994" s="156" t="s">
        <v>7257</v>
      </c>
      <c r="AC2994" s="65"/>
      <c r="AD2994" s="156" t="s">
        <v>131</v>
      </c>
      <c r="AE2994" s="156" t="s">
        <v>131</v>
      </c>
      <c r="AF2994" s="156" t="s">
        <v>131</v>
      </c>
      <c r="AG2994" s="156" t="s">
        <v>131</v>
      </c>
      <c r="AH2994" s="156" t="s">
        <v>131</v>
      </c>
      <c r="AI2994" s="156" t="s">
        <v>131</v>
      </c>
      <c r="AJ2994" s="156" t="s">
        <v>131</v>
      </c>
      <c r="AK2994" s="156" t="s">
        <v>131</v>
      </c>
      <c r="AL2994" s="156" t="s">
        <v>131</v>
      </c>
      <c r="AM2994" s="156" t="s">
        <v>131</v>
      </c>
      <c r="AN2994" s="156" t="s">
        <v>131</v>
      </c>
      <c r="AO2994" s="156" t="s">
        <v>131</v>
      </c>
      <c r="AP2994" s="156" t="s">
        <v>131</v>
      </c>
      <c r="AQ2994" s="156" t="s">
        <v>131</v>
      </c>
      <c r="AR2994" s="156" t="s">
        <v>131</v>
      </c>
      <c r="AS2994" s="156" t="s">
        <v>131</v>
      </c>
      <c r="AT2994" s="156" t="s">
        <v>131</v>
      </c>
      <c r="AU2994" s="156" t="s">
        <v>131</v>
      </c>
      <c r="AV2994" s="156" t="s">
        <v>131</v>
      </c>
      <c r="AW2994" s="156" t="s">
        <v>131</v>
      </c>
      <c r="AX2994" s="156" t="s">
        <v>131</v>
      </c>
      <c r="BB2994" s="339"/>
      <c r="BC2994" s="339"/>
      <c r="BD2994" s="339"/>
      <c r="BE2994" s="339"/>
      <c r="BF2994" s="339"/>
      <c r="BG2994" s="339"/>
      <c r="BH2994" s="339"/>
      <c r="BI2994" s="339"/>
      <c r="BJ2994" s="339"/>
      <c r="BK2994" s="339"/>
      <c r="BL2994" s="339"/>
      <c r="BM2994" s="339"/>
      <c r="BN2994" s="339"/>
      <c r="BO2994" s="339"/>
      <c r="BP2994" s="339"/>
      <c r="BQ2994" s="339"/>
      <c r="BR2994" s="339"/>
      <c r="BS2994" s="339"/>
      <c r="BT2994" s="339"/>
      <c r="BU2994" s="339"/>
      <c r="BV2994" s="339"/>
      <c r="BW2994" s="339"/>
      <c r="BX2994" s="339"/>
      <c r="BY2994" s="339"/>
      <c r="BZ2994" s="339"/>
      <c r="CA2994" s="339"/>
      <c r="CB2994" s="339"/>
      <c r="CC2994" s="339"/>
      <c r="CD2994" s="339"/>
      <c r="CE2994" s="339"/>
      <c r="CF2994" s="339"/>
      <c r="CG2994" s="339"/>
      <c r="CH2994" s="339"/>
      <c r="CI2994" s="339"/>
      <c r="CJ2994" s="339"/>
      <c r="CK2994" s="339"/>
      <c r="CL2994" s="339"/>
      <c r="CM2994" s="339"/>
      <c r="CN2994" s="339"/>
      <c r="CO2994" s="339"/>
      <c r="CP2994" s="339"/>
      <c r="CQ2994" s="339"/>
      <c r="CR2994" s="339"/>
      <c r="CS2994" s="339"/>
      <c r="CT2994" s="339"/>
      <c r="CU2994" s="339"/>
      <c r="CV2994" s="339"/>
      <c r="CW2994" s="339"/>
      <c r="CX2994" s="339"/>
      <c r="CY2994" s="339"/>
      <c r="CZ2994" s="339"/>
      <c r="DA2994" s="339"/>
      <c r="DB2994" s="339"/>
      <c r="DC2994" s="339"/>
      <c r="DD2994" s="339"/>
      <c r="DE2994" s="339"/>
      <c r="DF2994" s="339"/>
      <c r="DG2994" s="339"/>
      <c r="DH2994" s="339"/>
    </row>
    <row r="2995">
      <c r="A2995" s="41">
        <v>2722.0</v>
      </c>
      <c r="B2995" s="126" t="s">
        <v>278</v>
      </c>
      <c r="C2995" s="59" t="s">
        <v>108</v>
      </c>
      <c r="D2995" s="59" t="s">
        <v>2923</v>
      </c>
      <c r="F2995" s="156" t="s">
        <v>17698</v>
      </c>
      <c r="G2995" s="156" t="s">
        <v>17699</v>
      </c>
      <c r="H2995" s="156" t="s">
        <v>17298</v>
      </c>
      <c r="I2995" s="149">
        <v>45803.0</v>
      </c>
      <c r="J2995" s="859"/>
      <c r="K2995" s="156" t="s">
        <v>17552</v>
      </c>
      <c r="L2995" s="65"/>
      <c r="M2995" s="2293" t="s">
        <v>17700</v>
      </c>
      <c r="N2995" s="156" t="s">
        <v>17701</v>
      </c>
      <c r="O2995" s="153">
        <v>1.0</v>
      </c>
      <c r="P2995" s="379" t="s">
        <v>17702</v>
      </c>
      <c r="Q2995" s="2153" t="str">
        <f> hyperlink(vlookup(lower(N2995),'File Links'!E:F, 2, FALSE), "LINK")</f>
        <v>LINK</v>
      </c>
      <c r="R2995" s="156" t="s">
        <v>17703</v>
      </c>
      <c r="S2995" s="307" t="s">
        <v>17704</v>
      </c>
      <c r="T2995" s="677" t="s">
        <v>17705</v>
      </c>
      <c r="U2995" s="153">
        <v>1.0</v>
      </c>
      <c r="V2995" s="379" t="s">
        <v>17706</v>
      </c>
      <c r="W2995" s="1228" t="s">
        <v>17303</v>
      </c>
      <c r="X2995" s="1544" t="str">
        <f> hyperlink(vlookup(lower(S2995),'File Links'!E:F, 2, FALSE), "LINK")</f>
        <v>LINK</v>
      </c>
      <c r="Y2995" s="65"/>
      <c r="Z2995" s="156" t="s">
        <v>940</v>
      </c>
      <c r="AA2995" s="156" t="s">
        <v>17707</v>
      </c>
      <c r="AB2995" s="156" t="s">
        <v>17708</v>
      </c>
      <c r="AC2995" s="156" t="s">
        <v>17709</v>
      </c>
      <c r="AD2995" s="156" t="s">
        <v>17710</v>
      </c>
      <c r="AE2995" s="153">
        <v>4.0</v>
      </c>
      <c r="AF2995" s="153">
        <v>50.0</v>
      </c>
      <c r="AG2995" s="1289">
        <v>0.3</v>
      </c>
      <c r="AH2995" s="156" t="s">
        <v>208</v>
      </c>
      <c r="AI2995" s="153">
        <v>4.0</v>
      </c>
      <c r="AJ2995" s="153">
        <v>0.05</v>
      </c>
      <c r="AK2995" s="156" t="s">
        <v>128</v>
      </c>
      <c r="AL2995" s="156" t="s">
        <v>131</v>
      </c>
      <c r="AM2995" s="156" t="s">
        <v>131</v>
      </c>
      <c r="AN2995" s="156" t="s">
        <v>131</v>
      </c>
      <c r="AO2995" s="153">
        <v>1120.0</v>
      </c>
      <c r="AP2995" s="153">
        <v>-0.22</v>
      </c>
      <c r="AQ2995" s="156" t="s">
        <v>208</v>
      </c>
      <c r="AR2995" s="156" t="s">
        <v>17711</v>
      </c>
      <c r="AS2995" s="153">
        <v>0.999</v>
      </c>
      <c r="AT2995" s="156" t="s">
        <v>328</v>
      </c>
      <c r="AU2995" s="156" t="s">
        <v>131</v>
      </c>
      <c r="AV2995" s="156" t="s">
        <v>130</v>
      </c>
      <c r="AW2995" s="156" t="s">
        <v>131</v>
      </c>
      <c r="AX2995" s="156" t="s">
        <v>317</v>
      </c>
    </row>
    <row r="2996">
      <c r="A2996" s="41">
        <v>2723.0</v>
      </c>
      <c r="B2996" s="126" t="s">
        <v>278</v>
      </c>
      <c r="C2996" s="59" t="s">
        <v>108</v>
      </c>
      <c r="D2996" s="59" t="s">
        <v>2923</v>
      </c>
      <c r="F2996" s="156" t="s">
        <v>17712</v>
      </c>
      <c r="G2996" s="156" t="s">
        <v>17713</v>
      </c>
      <c r="H2996" s="156" t="s">
        <v>17298</v>
      </c>
      <c r="I2996" s="149">
        <v>45803.0</v>
      </c>
      <c r="J2996" s="859"/>
      <c r="K2996" s="156" t="s">
        <v>17544</v>
      </c>
      <c r="L2996" s="65"/>
      <c r="M2996" s="2293" t="s">
        <v>17714</v>
      </c>
      <c r="N2996" s="156" t="s">
        <v>17715</v>
      </c>
      <c r="O2996" s="156" t="s">
        <v>131</v>
      </c>
      <c r="P2996" s="379" t="s">
        <v>17716</v>
      </c>
      <c r="Q2996" s="2153" t="str">
        <f> hyperlink(vlookup(lower(N2996),'File Links'!E:F, 2, FALSE), "LINK")</f>
        <v>LINK</v>
      </c>
      <c r="R2996" s="156" t="s">
        <v>17717</v>
      </c>
      <c r="S2996" s="156" t="s">
        <v>131</v>
      </c>
      <c r="T2996" s="677" t="s">
        <v>17625</v>
      </c>
      <c r="U2996" s="156" t="s">
        <v>131</v>
      </c>
      <c r="V2996" s="379" t="s">
        <v>570</v>
      </c>
      <c r="W2996" s="1228" t="s">
        <v>17718</v>
      </c>
      <c r="X2996" s="2292" t="str">
        <f> hyperlink(vlookup(lower(S2996),'File Links'!E:F, 2, FALSE), "LINK")</f>
        <v>LINK</v>
      </c>
      <c r="Y2996" s="65"/>
      <c r="Z2996" s="156" t="s">
        <v>940</v>
      </c>
      <c r="AA2996" s="156" t="s">
        <v>17719</v>
      </c>
      <c r="AB2996" s="156" t="s">
        <v>7257</v>
      </c>
      <c r="AC2996" s="65"/>
      <c r="AD2996" s="65"/>
      <c r="AE2996" s="156" t="s">
        <v>131</v>
      </c>
      <c r="AF2996" s="156" t="s">
        <v>131</v>
      </c>
      <c r="AG2996" s="156" t="s">
        <v>131</v>
      </c>
      <c r="AH2996" s="156" t="s">
        <v>131</v>
      </c>
      <c r="AI2996" s="156" t="s">
        <v>131</v>
      </c>
      <c r="AJ2996" s="156" t="s">
        <v>131</v>
      </c>
      <c r="AK2996" s="156" t="s">
        <v>131</v>
      </c>
      <c r="AL2996" s="156" t="s">
        <v>131</v>
      </c>
      <c r="AM2996" s="156" t="s">
        <v>131</v>
      </c>
      <c r="AN2996" s="156" t="s">
        <v>131</v>
      </c>
      <c r="AO2996" s="156" t="s">
        <v>131</v>
      </c>
      <c r="AP2996" s="156" t="s">
        <v>131</v>
      </c>
      <c r="AQ2996" s="156" t="s">
        <v>131</v>
      </c>
      <c r="AR2996" s="156" t="s">
        <v>131</v>
      </c>
      <c r="AS2996" s="156" t="s">
        <v>131</v>
      </c>
      <c r="AT2996" s="156" t="s">
        <v>131</v>
      </c>
      <c r="AU2996" s="156" t="s">
        <v>131</v>
      </c>
      <c r="AV2996" s="156" t="s">
        <v>131</v>
      </c>
      <c r="AW2996" s="156" t="s">
        <v>131</v>
      </c>
      <c r="AX2996" s="156" t="s">
        <v>131</v>
      </c>
      <c r="BB2996" s="186"/>
      <c r="BC2996" s="186"/>
      <c r="BD2996" s="186"/>
      <c r="BE2996" s="186"/>
      <c r="BF2996" s="186"/>
      <c r="BG2996" s="186"/>
      <c r="BH2996" s="186"/>
      <c r="BI2996" s="186"/>
      <c r="BJ2996" s="186"/>
      <c r="BK2996" s="186"/>
      <c r="BL2996" s="186"/>
      <c r="BM2996" s="186"/>
      <c r="BN2996" s="186"/>
      <c r="BO2996" s="186"/>
      <c r="BP2996" s="186"/>
      <c r="BQ2996" s="186"/>
      <c r="BR2996" s="186"/>
      <c r="BS2996" s="186"/>
      <c r="BT2996" s="186"/>
      <c r="BU2996" s="186"/>
      <c r="BV2996" s="186"/>
      <c r="BW2996" s="186"/>
      <c r="BX2996" s="186"/>
      <c r="BY2996" s="186"/>
      <c r="BZ2996" s="186"/>
      <c r="CA2996" s="186"/>
      <c r="CB2996" s="186"/>
      <c r="CC2996" s="186"/>
      <c r="CD2996" s="186"/>
      <c r="CE2996" s="186"/>
      <c r="CF2996" s="186"/>
      <c r="CG2996" s="186"/>
      <c r="CH2996" s="186"/>
      <c r="CI2996" s="186"/>
      <c r="CJ2996" s="186"/>
      <c r="CK2996" s="186"/>
      <c r="CL2996" s="186"/>
      <c r="CM2996" s="186"/>
      <c r="CN2996" s="186"/>
      <c r="CO2996" s="186"/>
      <c r="CP2996" s="186"/>
      <c r="CQ2996" s="186"/>
      <c r="CR2996" s="186"/>
      <c r="CS2996" s="186"/>
      <c r="CT2996" s="186"/>
      <c r="CU2996" s="186"/>
      <c r="CV2996" s="186"/>
      <c r="CW2996" s="186"/>
      <c r="CX2996" s="186"/>
      <c r="CY2996" s="186"/>
      <c r="CZ2996" s="186"/>
      <c r="DA2996" s="186"/>
      <c r="DB2996" s="186"/>
      <c r="DC2996" s="186"/>
      <c r="DD2996" s="186"/>
      <c r="DE2996" s="186"/>
      <c r="DF2996" s="186"/>
      <c r="DG2996" s="186"/>
      <c r="DH2996" s="186"/>
    </row>
    <row r="2997">
      <c r="A2997" s="41">
        <v>2724.0</v>
      </c>
      <c r="B2997" s="126" t="s">
        <v>278</v>
      </c>
      <c r="C2997" s="59" t="s">
        <v>108</v>
      </c>
      <c r="D2997" s="59" t="s">
        <v>2923</v>
      </c>
      <c r="F2997" s="156" t="s">
        <v>17720</v>
      </c>
      <c r="G2997" s="156" t="s">
        <v>17721</v>
      </c>
      <c r="H2997" s="156" t="s">
        <v>17298</v>
      </c>
      <c r="I2997" s="149">
        <v>45803.0</v>
      </c>
      <c r="J2997" s="859"/>
      <c r="K2997" s="156" t="s">
        <v>17544</v>
      </c>
      <c r="L2997" s="65"/>
      <c r="M2997" s="156" t="s">
        <v>17722</v>
      </c>
      <c r="N2997" s="156" t="s">
        <v>17723</v>
      </c>
      <c r="O2997" s="156" t="s">
        <v>131</v>
      </c>
      <c r="P2997" s="379" t="s">
        <v>17724</v>
      </c>
      <c r="Q2997" s="2153" t="str">
        <f> hyperlink(vlookup(lower(N2997),'File Links'!E:F, 2, FALSE), "LINK")</f>
        <v>LINK</v>
      </c>
      <c r="R2997" s="156" t="s">
        <v>131</v>
      </c>
      <c r="S2997" s="156" t="s">
        <v>131</v>
      </c>
      <c r="T2997" s="156" t="s">
        <v>131</v>
      </c>
      <c r="U2997" s="156" t="s">
        <v>131</v>
      </c>
      <c r="V2997" s="379" t="s">
        <v>570</v>
      </c>
      <c r="W2997" s="1228" t="s">
        <v>131</v>
      </c>
      <c r="X2997" s="2292" t="str">
        <f> hyperlink(vlookup(lower(S2997),'File Links'!E:F, 2, FALSE), "LINK")</f>
        <v>LINK</v>
      </c>
      <c r="Y2997" s="156" t="s">
        <v>17544</v>
      </c>
      <c r="Z2997" s="156" t="s">
        <v>940</v>
      </c>
      <c r="AA2997" s="156" t="s">
        <v>17725</v>
      </c>
      <c r="AB2997" s="156" t="s">
        <v>7257</v>
      </c>
      <c r="AC2997" s="65"/>
      <c r="AD2997" s="65"/>
      <c r="AE2997" s="156" t="s">
        <v>131</v>
      </c>
      <c r="AF2997" s="156" t="s">
        <v>131</v>
      </c>
      <c r="AG2997" s="156" t="s">
        <v>131</v>
      </c>
      <c r="AH2997" s="156" t="s">
        <v>131</v>
      </c>
      <c r="AI2997" s="156" t="s">
        <v>131</v>
      </c>
      <c r="AJ2997" s="156" t="s">
        <v>131</v>
      </c>
      <c r="AK2997" s="156" t="s">
        <v>131</v>
      </c>
      <c r="AL2997" s="156" t="s">
        <v>131</v>
      </c>
      <c r="AM2997" s="156" t="s">
        <v>131</v>
      </c>
      <c r="AN2997" s="156" t="s">
        <v>131</v>
      </c>
      <c r="AO2997" s="156" t="s">
        <v>131</v>
      </c>
      <c r="AP2997" s="156" t="s">
        <v>131</v>
      </c>
      <c r="AQ2997" s="156" t="s">
        <v>131</v>
      </c>
      <c r="AR2997" s="156" t="s">
        <v>131</v>
      </c>
      <c r="AS2997" s="156" t="s">
        <v>131</v>
      </c>
      <c r="AT2997" s="156" t="s">
        <v>131</v>
      </c>
      <c r="AU2997" s="156" t="s">
        <v>131</v>
      </c>
      <c r="AV2997" s="156" t="s">
        <v>131</v>
      </c>
      <c r="AW2997" s="156" t="s">
        <v>131</v>
      </c>
      <c r="AX2997" s="156" t="s">
        <v>131</v>
      </c>
    </row>
    <row r="2998">
      <c r="A2998" s="41">
        <v>2725.0</v>
      </c>
      <c r="B2998" s="126" t="s">
        <v>278</v>
      </c>
      <c r="C2998" s="59" t="s">
        <v>108</v>
      </c>
      <c r="D2998" s="59" t="s">
        <v>2923</v>
      </c>
      <c r="F2998" s="156" t="s">
        <v>17726</v>
      </c>
      <c r="G2998" s="156" t="s">
        <v>17727</v>
      </c>
      <c r="H2998" s="156" t="s">
        <v>17298</v>
      </c>
      <c r="I2998" s="149">
        <v>45803.0</v>
      </c>
      <c r="J2998" s="859"/>
      <c r="K2998" s="65"/>
      <c r="L2998" s="65"/>
      <c r="M2998" s="2293" t="s">
        <v>8629</v>
      </c>
      <c r="N2998" s="307" t="s">
        <v>17728</v>
      </c>
      <c r="O2998" s="156" t="s">
        <v>3072</v>
      </c>
      <c r="P2998" s="379" t="s">
        <v>17729</v>
      </c>
      <c r="Q2998" s="2153" t="str">
        <f> hyperlink(vlookup(lower(N2998),'File Links'!E:F, 2, FALSE), "LINK")</f>
        <v>LINK</v>
      </c>
      <c r="R2998" s="156" t="s">
        <v>131</v>
      </c>
      <c r="S2998" s="593" t="s">
        <v>12629</v>
      </c>
      <c r="T2998" s="156" t="s">
        <v>131</v>
      </c>
      <c r="U2998" s="153">
        <v>1.0</v>
      </c>
      <c r="V2998" s="379" t="s">
        <v>17730</v>
      </c>
      <c r="W2998" s="1228" t="s">
        <v>17303</v>
      </c>
      <c r="X2998" s="1544" t="str">
        <f> hyperlink(vlookup(lower(S2998),'File Links'!E:F, 2, FALSE), "LINK")</f>
        <v>LINK</v>
      </c>
      <c r="Y2998" s="65"/>
      <c r="Z2998" s="156" t="s">
        <v>940</v>
      </c>
      <c r="AA2998" s="156" t="s">
        <v>17731</v>
      </c>
      <c r="AB2998" s="156" t="s">
        <v>17732</v>
      </c>
      <c r="AC2998" s="156" t="s">
        <v>17733</v>
      </c>
      <c r="AD2998" s="156" t="s">
        <v>17734</v>
      </c>
      <c r="AE2998" s="153">
        <v>6.0</v>
      </c>
      <c r="AF2998" s="153">
        <v>81.0</v>
      </c>
      <c r="AG2998" s="153">
        <v>0.49</v>
      </c>
      <c r="AH2998" s="156" t="s">
        <v>166</v>
      </c>
      <c r="AI2998" s="156" t="s">
        <v>131</v>
      </c>
      <c r="AJ2998" s="153">
        <v>6.0</v>
      </c>
      <c r="AK2998" s="156" t="s">
        <v>131</v>
      </c>
      <c r="AL2998" s="156" t="s">
        <v>131</v>
      </c>
      <c r="AM2998" s="156" t="s">
        <v>131</v>
      </c>
      <c r="AN2998" s="156" t="s">
        <v>131</v>
      </c>
      <c r="AO2998" s="153">
        <v>300.0</v>
      </c>
      <c r="AP2998" s="153">
        <v>-0.017</v>
      </c>
      <c r="AQ2998" s="156" t="s">
        <v>208</v>
      </c>
      <c r="AR2998" s="156" t="s">
        <v>620</v>
      </c>
      <c r="AS2998" s="153">
        <v>0.383</v>
      </c>
      <c r="AT2998" s="156" t="s">
        <v>165</v>
      </c>
      <c r="AU2998" s="156" t="s">
        <v>211</v>
      </c>
      <c r="AV2998" s="156" t="s">
        <v>130</v>
      </c>
      <c r="AW2998" s="307" t="s">
        <v>17735</v>
      </c>
      <c r="AX2998" s="156" t="s">
        <v>317</v>
      </c>
    </row>
    <row r="2999">
      <c r="A2999" s="41">
        <v>2730.0</v>
      </c>
      <c r="B2999" s="126" t="s">
        <v>145</v>
      </c>
      <c r="C2999" s="59" t="s">
        <v>108</v>
      </c>
      <c r="D2999" s="59" t="s">
        <v>15410</v>
      </c>
      <c r="F2999" s="2319" t="s">
        <v>15520</v>
      </c>
      <c r="G2999" s="2320" t="s">
        <v>15521</v>
      </c>
      <c r="H2999" s="2320" t="s">
        <v>17166</v>
      </c>
      <c r="I2999" s="2321">
        <v>45331.0</v>
      </c>
      <c r="J2999" s="2283">
        <v>45828.0</v>
      </c>
      <c r="K2999" s="2319" t="s">
        <v>17736</v>
      </c>
      <c r="L2999" s="2322" t="s">
        <v>17737</v>
      </c>
      <c r="M2999" s="2320" t="s">
        <v>15523</v>
      </c>
      <c r="N2999" s="2320" t="s">
        <v>15524</v>
      </c>
      <c r="O2999" s="1887" t="s">
        <v>4085</v>
      </c>
      <c r="P2999" s="2320" t="s">
        <v>15525</v>
      </c>
      <c r="Q2999" s="2153" t="str">
        <f> hyperlink(vlookup(lower(N2999),'File Links'!E:F, 2, FALSE), "LINK")</f>
        <v>LINK</v>
      </c>
      <c r="R2999" s="156" t="s">
        <v>15526</v>
      </c>
      <c r="S2999" s="156" t="s">
        <v>15527</v>
      </c>
      <c r="T2999" s="65"/>
      <c r="U2999" s="333">
        <v>1.0</v>
      </c>
      <c r="V2999" s="156" t="s">
        <v>15528</v>
      </c>
      <c r="W2999" s="1077" t="s">
        <v>157</v>
      </c>
      <c r="X2999" s="2323" t="str">
        <f> hyperlink(vlookup(lower(S2999),'File Links'!E:F, 2, FALSE), "LINK")</f>
        <v>LINK</v>
      </c>
      <c r="Y2999" s="65"/>
      <c r="Z2999" s="156" t="s">
        <v>940</v>
      </c>
      <c r="AA2999" s="156" t="s">
        <v>15529</v>
      </c>
      <c r="AB2999" s="156" t="s">
        <v>7257</v>
      </c>
      <c r="AC2999" s="156" t="s">
        <v>15530</v>
      </c>
      <c r="AD2999" s="126" t="s">
        <v>17738</v>
      </c>
      <c r="AE2999" s="333">
        <v>2.0</v>
      </c>
      <c r="AF2999" s="333">
        <v>60.0</v>
      </c>
      <c r="AG2999" s="65" t="s">
        <v>17739</v>
      </c>
      <c r="AH2999" s="65" t="s">
        <v>127</v>
      </c>
      <c r="AI2999" s="65" t="s">
        <v>2764</v>
      </c>
      <c r="AJ2999" s="333">
        <v>0.001</v>
      </c>
      <c r="AK2999" s="65" t="s">
        <v>128</v>
      </c>
      <c r="AL2999" s="65" t="s">
        <v>179</v>
      </c>
      <c r="AM2999" s="65" t="s">
        <v>130</v>
      </c>
      <c r="AN2999" s="126" t="s">
        <v>131</v>
      </c>
      <c r="AO2999" s="333">
        <v>535.0</v>
      </c>
      <c r="AP2999" s="65" t="s">
        <v>17740</v>
      </c>
      <c r="AQ2999" s="65" t="s">
        <v>127</v>
      </c>
      <c r="AR2999" s="65" t="s">
        <v>4966</v>
      </c>
      <c r="AS2999" s="333">
        <v>0.001</v>
      </c>
      <c r="AT2999" s="65" t="s">
        <v>128</v>
      </c>
      <c r="AU2999" s="65" t="s">
        <v>179</v>
      </c>
      <c r="AV2999" s="65" t="s">
        <v>130</v>
      </c>
      <c r="AW2999" s="432" t="s">
        <v>17741</v>
      </c>
      <c r="AX2999" s="65" t="s">
        <v>136</v>
      </c>
      <c r="AZ2999" s="464" t="s">
        <v>807</v>
      </c>
      <c r="BA2999" s="65"/>
    </row>
    <row r="3000">
      <c r="A3000" s="41">
        <v>2731.0</v>
      </c>
      <c r="B3000" s="126" t="s">
        <v>145</v>
      </c>
      <c r="C3000" s="59" t="s">
        <v>108</v>
      </c>
      <c r="D3000" s="59" t="s">
        <v>15410</v>
      </c>
      <c r="F3000" s="2319" t="s">
        <v>15520</v>
      </c>
      <c r="G3000" s="2320" t="s">
        <v>15521</v>
      </c>
      <c r="H3000" s="2320" t="s">
        <v>17166</v>
      </c>
      <c r="I3000" s="2321">
        <v>45331.0</v>
      </c>
      <c r="J3000" s="2283">
        <v>45828.0</v>
      </c>
      <c r="K3000" s="2319" t="s">
        <v>17736</v>
      </c>
      <c r="L3000" s="2322" t="s">
        <v>17742</v>
      </c>
      <c r="M3000" s="2320" t="s">
        <v>15523</v>
      </c>
      <c r="N3000" s="2320" t="s">
        <v>15524</v>
      </c>
      <c r="O3000" s="1887">
        <v>3.0</v>
      </c>
      <c r="P3000" s="2320" t="s">
        <v>15525</v>
      </c>
      <c r="Q3000" s="2324" t="str">
        <f> hyperlink(vlookup(lower(N3000),'File Links'!E:F, 2, FALSE), "LINK")</f>
        <v>LINK</v>
      </c>
      <c r="R3000" s="156" t="s">
        <v>15526</v>
      </c>
      <c r="S3000" s="156" t="s">
        <v>15527</v>
      </c>
      <c r="T3000" s="65"/>
      <c r="U3000" s="333">
        <v>3.0</v>
      </c>
      <c r="V3000" s="156" t="s">
        <v>15528</v>
      </c>
      <c r="W3000" s="1077" t="s">
        <v>157</v>
      </c>
      <c r="X3000" s="2323" t="str">
        <f> hyperlink(vlookup(lower(S3000),'File Links'!E:F, 2, FALSE), "LINK")</f>
        <v>LINK</v>
      </c>
      <c r="Y3000" s="65"/>
      <c r="Z3000" s="156" t="s">
        <v>940</v>
      </c>
      <c r="AA3000" s="156" t="s">
        <v>15529</v>
      </c>
      <c r="AB3000" s="156" t="s">
        <v>7257</v>
      </c>
      <c r="AC3000" s="148" t="s">
        <v>17743</v>
      </c>
      <c r="AD3000" s="65" t="s">
        <v>17744</v>
      </c>
      <c r="AE3000" s="333">
        <v>4.0</v>
      </c>
      <c r="AF3000" s="333">
        <v>80.0</v>
      </c>
      <c r="AG3000" s="65" t="s">
        <v>17745</v>
      </c>
      <c r="AH3000" s="65" t="s">
        <v>127</v>
      </c>
      <c r="AI3000" s="65" t="s">
        <v>489</v>
      </c>
      <c r="AJ3000" s="333">
        <v>1.0E-4</v>
      </c>
      <c r="AK3000" s="65" t="s">
        <v>128</v>
      </c>
      <c r="AL3000" s="65" t="s">
        <v>179</v>
      </c>
      <c r="AM3000" s="65" t="s">
        <v>130</v>
      </c>
      <c r="AN3000" s="126" t="s">
        <v>131</v>
      </c>
      <c r="AO3000" s="333">
        <v>493.0</v>
      </c>
      <c r="AP3000" s="65" t="s">
        <v>17746</v>
      </c>
      <c r="AQ3000" s="65" t="s">
        <v>127</v>
      </c>
      <c r="AR3000" s="65" t="s">
        <v>617</v>
      </c>
      <c r="AS3000" s="333">
        <v>0.001</v>
      </c>
      <c r="AT3000" s="65" t="s">
        <v>128</v>
      </c>
      <c r="AU3000" s="65" t="s">
        <v>179</v>
      </c>
      <c r="AV3000" s="65" t="s">
        <v>130</v>
      </c>
      <c r="AW3000" s="432" t="s">
        <v>17741</v>
      </c>
      <c r="AX3000" s="65" t="s">
        <v>136</v>
      </c>
      <c r="AZ3000" s="464" t="s">
        <v>807</v>
      </c>
      <c r="BA3000" s="65"/>
    </row>
    <row r="3001">
      <c r="A3001" s="41">
        <v>2732.0</v>
      </c>
      <c r="B3001" s="126" t="s">
        <v>107</v>
      </c>
      <c r="C3001" s="59" t="s">
        <v>108</v>
      </c>
      <c r="D3001" s="59" t="s">
        <v>15410</v>
      </c>
      <c r="F3001" s="2319" t="s">
        <v>15520</v>
      </c>
      <c r="G3001" s="2320" t="s">
        <v>15521</v>
      </c>
      <c r="H3001" s="2320" t="s">
        <v>17166</v>
      </c>
      <c r="I3001" s="2321">
        <v>45331.0</v>
      </c>
      <c r="J3001" s="2283">
        <v>45828.0</v>
      </c>
      <c r="K3001" s="2319" t="s">
        <v>17736</v>
      </c>
      <c r="L3001" s="2322" t="s">
        <v>17747</v>
      </c>
      <c r="M3001" s="2320" t="s">
        <v>15523</v>
      </c>
      <c r="N3001" s="2320" t="s">
        <v>15524</v>
      </c>
      <c r="O3001" s="2325">
        <v>4.0</v>
      </c>
      <c r="P3001" s="2320" t="s">
        <v>15525</v>
      </c>
      <c r="Q3001" s="2324" t="str">
        <f> hyperlink(vlookup(lower(N3001),'File Links'!E:F, 2, FALSE), "LINK")</f>
        <v>LINK</v>
      </c>
      <c r="R3001" s="156" t="s">
        <v>15526</v>
      </c>
      <c r="S3001" s="156" t="s">
        <v>15527</v>
      </c>
      <c r="T3001" s="65"/>
      <c r="U3001" s="333">
        <v>4.0</v>
      </c>
      <c r="V3001" s="156" t="s">
        <v>15528</v>
      </c>
      <c r="W3001" s="1077" t="s">
        <v>157</v>
      </c>
      <c r="X3001" s="2323" t="str">
        <f> hyperlink(vlookup(lower(S3001),'File Links'!E:F, 2, FALSE), "LINK")</f>
        <v>LINK</v>
      </c>
      <c r="Y3001" s="65"/>
      <c r="Z3001" s="156" t="s">
        <v>940</v>
      </c>
      <c r="AA3001" s="156" t="s">
        <v>15529</v>
      </c>
      <c r="AB3001" s="156" t="s">
        <v>7257</v>
      </c>
      <c r="AC3001" s="156" t="s">
        <v>17748</v>
      </c>
      <c r="AD3001" s="65" t="s">
        <v>17749</v>
      </c>
      <c r="AE3001" s="333">
        <v>4.0</v>
      </c>
      <c r="AF3001" s="498">
        <v>80.0</v>
      </c>
      <c r="AG3001" s="65" t="s">
        <v>17750</v>
      </c>
      <c r="AH3001" s="65" t="s">
        <v>127</v>
      </c>
      <c r="AI3001" s="65" t="s">
        <v>489</v>
      </c>
      <c r="AJ3001" s="333">
        <v>0.02</v>
      </c>
      <c r="AK3001" s="65" t="s">
        <v>128</v>
      </c>
      <c r="AL3001" s="65" t="s">
        <v>179</v>
      </c>
      <c r="AM3001" s="65" t="s">
        <v>130</v>
      </c>
      <c r="AN3001" s="126" t="s">
        <v>131</v>
      </c>
      <c r="AO3001" s="158">
        <v>248.0</v>
      </c>
      <c r="AP3001" s="158" t="s">
        <v>15545</v>
      </c>
      <c r="AQ3001" s="148" t="s">
        <v>127</v>
      </c>
      <c r="AR3001" s="148" t="s">
        <v>15546</v>
      </c>
      <c r="AS3001" s="158">
        <v>0.1</v>
      </c>
      <c r="AT3001" s="148" t="s">
        <v>165</v>
      </c>
      <c r="AU3001" s="65" t="s">
        <v>179</v>
      </c>
      <c r="AV3001" s="65" t="s">
        <v>130</v>
      </c>
      <c r="AW3001" s="432" t="s">
        <v>17741</v>
      </c>
      <c r="AX3001" s="65" t="s">
        <v>136</v>
      </c>
      <c r="AZ3001" s="464" t="s">
        <v>807</v>
      </c>
      <c r="BA3001" s="65"/>
    </row>
    <row r="3002">
      <c r="A3002" s="41">
        <v>2733.0</v>
      </c>
      <c r="B3002" s="126" t="s">
        <v>145</v>
      </c>
      <c r="C3002" s="59" t="s">
        <v>108</v>
      </c>
      <c r="D3002" s="59" t="s">
        <v>15410</v>
      </c>
      <c r="F3002" s="2319" t="s">
        <v>15520</v>
      </c>
      <c r="G3002" s="2320" t="s">
        <v>15521</v>
      </c>
      <c r="H3002" s="2320" t="s">
        <v>17166</v>
      </c>
      <c r="I3002" s="2321">
        <v>45331.0</v>
      </c>
      <c r="J3002" s="2283">
        <v>45828.0</v>
      </c>
      <c r="K3002" s="2319" t="s">
        <v>17736</v>
      </c>
      <c r="L3002" s="2322" t="s">
        <v>17737</v>
      </c>
      <c r="M3002" s="2320" t="s">
        <v>15523</v>
      </c>
      <c r="N3002" s="2320" t="s">
        <v>15524</v>
      </c>
      <c r="O3002" s="2325">
        <v>5.0</v>
      </c>
      <c r="P3002" s="2320" t="s">
        <v>15525</v>
      </c>
      <c r="Q3002" s="2324" t="str">
        <f> hyperlink(vlookup(lower(N3002),'File Links'!E:F, 2, FALSE), "LINK")</f>
        <v>LINK</v>
      </c>
      <c r="R3002" s="156" t="s">
        <v>15526</v>
      </c>
      <c r="S3002" s="156" t="s">
        <v>15527</v>
      </c>
      <c r="T3002" s="65"/>
      <c r="U3002" s="333">
        <v>5.0</v>
      </c>
      <c r="V3002" s="156" t="s">
        <v>15528</v>
      </c>
      <c r="W3002" s="1077" t="s">
        <v>157</v>
      </c>
      <c r="X3002" s="2323" t="str">
        <f> hyperlink(vlookup(lower(S3002),'File Links'!E:F, 2, FALSE), "LINK")</f>
        <v>LINK</v>
      </c>
      <c r="Y3002" s="65"/>
      <c r="Z3002" s="156" t="s">
        <v>940</v>
      </c>
      <c r="AA3002" s="156" t="s">
        <v>15529</v>
      </c>
      <c r="AB3002" s="156" t="s">
        <v>7257</v>
      </c>
      <c r="AC3002" s="156" t="s">
        <v>17751</v>
      </c>
      <c r="AD3002" s="65" t="s">
        <v>17752</v>
      </c>
      <c r="AE3002" s="333">
        <v>5.0</v>
      </c>
      <c r="AF3002" s="333">
        <v>32.0</v>
      </c>
      <c r="AG3002" s="65" t="s">
        <v>17753</v>
      </c>
      <c r="AH3002" s="65" t="s">
        <v>127</v>
      </c>
      <c r="AI3002" s="65" t="s">
        <v>875</v>
      </c>
      <c r="AJ3002" s="333">
        <v>0.01</v>
      </c>
      <c r="AK3002" s="65" t="s">
        <v>128</v>
      </c>
      <c r="AL3002" s="65" t="s">
        <v>179</v>
      </c>
      <c r="AM3002" s="65" t="s">
        <v>130</v>
      </c>
      <c r="AN3002" s="126" t="s">
        <v>131</v>
      </c>
      <c r="AO3002" s="333">
        <v>265.0</v>
      </c>
      <c r="AP3002" s="65" t="s">
        <v>15551</v>
      </c>
      <c r="AQ3002" s="65" t="s">
        <v>127</v>
      </c>
      <c r="AR3002" s="65" t="s">
        <v>1035</v>
      </c>
      <c r="AS3002" s="333">
        <v>0.951</v>
      </c>
      <c r="AT3002" s="65" t="s">
        <v>165</v>
      </c>
      <c r="AU3002" s="65" t="s">
        <v>179</v>
      </c>
      <c r="AV3002" s="65" t="s">
        <v>130</v>
      </c>
      <c r="AW3002" s="432" t="s">
        <v>17741</v>
      </c>
      <c r="AX3002" s="65" t="s">
        <v>136</v>
      </c>
      <c r="AZ3002" s="464" t="s">
        <v>807</v>
      </c>
      <c r="BA3002" s="65"/>
    </row>
    <row r="3003">
      <c r="A3003" s="41">
        <v>2734.0</v>
      </c>
      <c r="B3003" s="126" t="s">
        <v>145</v>
      </c>
      <c r="C3003" s="59" t="s">
        <v>108</v>
      </c>
      <c r="D3003" s="59" t="s">
        <v>15410</v>
      </c>
      <c r="F3003" s="2319" t="s">
        <v>15552</v>
      </c>
      <c r="G3003" s="2320" t="s">
        <v>15553</v>
      </c>
      <c r="H3003" s="2320" t="s">
        <v>17188</v>
      </c>
      <c r="I3003" s="2321">
        <v>45331.0</v>
      </c>
      <c r="J3003" s="2283">
        <v>45828.0</v>
      </c>
      <c r="K3003" s="2319"/>
      <c r="L3003" s="2322" t="s">
        <v>17754</v>
      </c>
      <c r="M3003" s="2320" t="s">
        <v>15554</v>
      </c>
      <c r="N3003" s="2320" t="s">
        <v>15555</v>
      </c>
      <c r="O3003" s="2325">
        <v>1.0</v>
      </c>
      <c r="P3003" s="2320" t="s">
        <v>15556</v>
      </c>
      <c r="Q3003" s="2324" t="str">
        <f> hyperlink(vlookup(lower(N3003),'File Links'!E:F, 2, FALSE), "LINK")</f>
        <v>LINK</v>
      </c>
      <c r="R3003" s="156" t="s">
        <v>15557</v>
      </c>
      <c r="S3003" s="156" t="s">
        <v>15558</v>
      </c>
      <c r="T3003" s="65"/>
      <c r="U3003" s="333">
        <v>1.0</v>
      </c>
      <c r="V3003" s="156" t="s">
        <v>15559</v>
      </c>
      <c r="W3003" s="692" t="s">
        <v>7255</v>
      </c>
      <c r="X3003" s="2323" t="str">
        <f> hyperlink(vlookup(lower(S3003),'File Links'!E:F, 2, FALSE), "LINK")</f>
        <v>LINK</v>
      </c>
      <c r="Y3003" s="65"/>
      <c r="Z3003" s="156" t="s">
        <v>940</v>
      </c>
      <c r="AA3003" s="156" t="s">
        <v>15560</v>
      </c>
      <c r="AB3003" s="156" t="s">
        <v>7257</v>
      </c>
      <c r="AC3003" s="156" t="s">
        <v>15561</v>
      </c>
      <c r="AD3003" s="126" t="s">
        <v>17755</v>
      </c>
      <c r="AE3003" s="333">
        <v>4.0</v>
      </c>
      <c r="AF3003" s="333">
        <v>88.0</v>
      </c>
      <c r="AG3003" s="126" t="s">
        <v>17756</v>
      </c>
      <c r="AH3003" s="65" t="s">
        <v>127</v>
      </c>
      <c r="AI3003" s="65" t="s">
        <v>875</v>
      </c>
      <c r="AJ3003" s="333">
        <v>1.0E-4</v>
      </c>
      <c r="AK3003" s="65" t="s">
        <v>128</v>
      </c>
      <c r="AL3003" s="65" t="s">
        <v>179</v>
      </c>
      <c r="AM3003" s="65" t="s">
        <v>130</v>
      </c>
      <c r="AN3003" s="126" t="s">
        <v>131</v>
      </c>
      <c r="AO3003" s="333">
        <v>670.0</v>
      </c>
      <c r="AP3003" s="333">
        <v>0.19</v>
      </c>
      <c r="AQ3003" s="65" t="s">
        <v>980</v>
      </c>
      <c r="AR3003" s="65" t="s">
        <v>623</v>
      </c>
      <c r="AS3003" s="2326" t="s">
        <v>131</v>
      </c>
      <c r="AT3003" s="65" t="s">
        <v>179</v>
      </c>
      <c r="AU3003" s="65" t="s">
        <v>179</v>
      </c>
      <c r="AV3003" s="65" t="s">
        <v>130</v>
      </c>
      <c r="AW3003" s="432" t="s">
        <v>17757</v>
      </c>
      <c r="AX3003" s="65" t="s">
        <v>136</v>
      </c>
      <c r="AZ3003" s="464" t="s">
        <v>807</v>
      </c>
      <c r="BA3003" s="65"/>
    </row>
    <row r="3004">
      <c r="A3004" s="41">
        <v>2841.0</v>
      </c>
      <c r="B3004" s="1059" t="s">
        <v>107</v>
      </c>
      <c r="C3004" s="1060" t="s">
        <v>108</v>
      </c>
      <c r="D3004" s="1060" t="s">
        <v>241</v>
      </c>
      <c r="E3004" s="1061"/>
      <c r="F3004" s="1062" t="s">
        <v>17758</v>
      </c>
      <c r="G3004" s="1062" t="s">
        <v>17759</v>
      </c>
      <c r="H3004" s="1062" t="s">
        <v>242</v>
      </c>
      <c r="I3004" s="2327">
        <v>45807.0</v>
      </c>
      <c r="J3004" s="2328"/>
      <c r="K3004" s="1062"/>
      <c r="L3004" s="1059" t="s">
        <v>17760</v>
      </c>
      <c r="M3004" s="1062" t="s">
        <v>17761</v>
      </c>
      <c r="N3004" s="1062" t="s">
        <v>17762</v>
      </c>
      <c r="O3004" s="1059" t="s">
        <v>5533</v>
      </c>
      <c r="P3004" s="1062" t="s">
        <v>17763</v>
      </c>
      <c r="Q3004" s="2329" t="str">
        <f> hyperlink(vlookup(lower(N3004),'File Links'!E:F, 2, FALSE), "LINK")</f>
        <v>LINK</v>
      </c>
      <c r="R3004" s="1062" t="s">
        <v>17764</v>
      </c>
      <c r="S3004" s="1062" t="s">
        <v>17765</v>
      </c>
      <c r="T3004" s="1062"/>
      <c r="U3004" s="1062" t="s">
        <v>5533</v>
      </c>
      <c r="V3004" s="1062" t="s">
        <v>17766</v>
      </c>
      <c r="W3004" s="1059" t="s">
        <v>1115</v>
      </c>
      <c r="X3004" s="2330" t="str">
        <f> hyperlink(vlookup(lower(S3004),'File Links'!E:F, 2, FALSE), "LINK")</f>
        <v>LINK</v>
      </c>
      <c r="Y3004" s="1062"/>
      <c r="Z3004" s="1062" t="s">
        <v>940</v>
      </c>
      <c r="AA3004" s="1062" t="s">
        <v>17767</v>
      </c>
      <c r="AB3004" s="1062" t="s">
        <v>7257</v>
      </c>
      <c r="AC3004" s="1062" t="s">
        <v>17768</v>
      </c>
      <c r="AD3004" s="1059" t="s">
        <v>17769</v>
      </c>
      <c r="AE3004" s="1062" t="s">
        <v>1035</v>
      </c>
      <c r="AF3004" s="2331">
        <v>121.0</v>
      </c>
      <c r="AG3004" s="2331">
        <v>0.371</v>
      </c>
      <c r="AH3004" s="1062" t="s">
        <v>166</v>
      </c>
      <c r="AI3004" s="1062" t="s">
        <v>17770</v>
      </c>
      <c r="AJ3004" s="2331">
        <v>0.001</v>
      </c>
      <c r="AK3004" s="1062" t="s">
        <v>128</v>
      </c>
      <c r="AL3004" s="65" t="s">
        <v>179</v>
      </c>
      <c r="AM3004" s="156" t="s">
        <v>134</v>
      </c>
      <c r="AN3004" s="1062" t="s">
        <v>131</v>
      </c>
      <c r="AO3004" s="2332">
        <v>743.0</v>
      </c>
      <c r="AP3004" s="2331">
        <v>0.65</v>
      </c>
      <c r="AQ3004" s="1062" t="s">
        <v>166</v>
      </c>
      <c r="AR3004" s="1062" t="s">
        <v>17771</v>
      </c>
      <c r="AS3004" s="2331">
        <v>0.001</v>
      </c>
      <c r="AT3004" s="1062" t="s">
        <v>128</v>
      </c>
      <c r="AU3004" s="156" t="s">
        <v>129</v>
      </c>
      <c r="AV3004" s="156" t="s">
        <v>134</v>
      </c>
      <c r="AW3004" s="2120" t="s">
        <v>17772</v>
      </c>
      <c r="AX3004" s="1062" t="s">
        <v>136</v>
      </c>
      <c r="AY3004" s="1061"/>
      <c r="AZ3004" s="1060" t="s">
        <v>1263</v>
      </c>
      <c r="BA3004" s="1061"/>
    </row>
    <row r="3005">
      <c r="A3005" s="41">
        <v>2984.0</v>
      </c>
      <c r="B3005" s="1059" t="s">
        <v>145</v>
      </c>
      <c r="C3005" s="1060" t="s">
        <v>108</v>
      </c>
      <c r="D3005" s="1060" t="s">
        <v>15410</v>
      </c>
      <c r="E3005" s="1061"/>
      <c r="F3005" s="1062" t="s">
        <v>17758</v>
      </c>
      <c r="G3005" s="701" t="s">
        <v>17759</v>
      </c>
      <c r="H3005" s="701" t="s">
        <v>17188</v>
      </c>
      <c r="I3005" s="1065">
        <v>45331.0</v>
      </c>
      <c r="J3005" s="2333">
        <v>45828.0</v>
      </c>
      <c r="K3005" s="1062"/>
      <c r="L3005" s="1059" t="s">
        <v>17773</v>
      </c>
      <c r="M3005" s="701" t="s">
        <v>17761</v>
      </c>
      <c r="N3005" s="701" t="s">
        <v>17762</v>
      </c>
      <c r="O3005" s="1062" t="s">
        <v>6157</v>
      </c>
      <c r="P3005" s="701" t="s">
        <v>17763</v>
      </c>
      <c r="Q3005" s="2334" t="str">
        <f> hyperlink(vlookup(lower(N3005),'File Links'!E:F, 2, FALSE), "LINK")</f>
        <v>LINK</v>
      </c>
      <c r="R3005" s="701" t="s">
        <v>17764</v>
      </c>
      <c r="S3005" s="701" t="s">
        <v>17765</v>
      </c>
      <c r="T3005" s="1062"/>
      <c r="U3005" s="1062" t="s">
        <v>6157</v>
      </c>
      <c r="V3005" s="701" t="s">
        <v>17766</v>
      </c>
      <c r="W3005" s="1059" t="s">
        <v>1115</v>
      </c>
      <c r="X3005" s="2335" t="str">
        <f> hyperlink(vlookup(lower(S3005),'File Links'!E:F, 2, FALSE), "LINK")</f>
        <v>LINK</v>
      </c>
      <c r="Y3005" s="1062"/>
      <c r="Z3005" s="701" t="s">
        <v>940</v>
      </c>
      <c r="AA3005" s="701" t="s">
        <v>17767</v>
      </c>
      <c r="AB3005" s="701" t="s">
        <v>7257</v>
      </c>
      <c r="AC3005" s="701" t="s">
        <v>17768</v>
      </c>
      <c r="AD3005" s="1062" t="s">
        <v>17774</v>
      </c>
      <c r="AE3005" s="2331">
        <v>6.0</v>
      </c>
      <c r="AF3005" s="2331">
        <v>121.0</v>
      </c>
      <c r="AG3005" s="1059">
        <v>0.371</v>
      </c>
      <c r="AH3005" s="1062" t="s">
        <v>166</v>
      </c>
      <c r="AI3005" s="1062" t="s">
        <v>1035</v>
      </c>
      <c r="AJ3005" s="2331">
        <v>0.001</v>
      </c>
      <c r="AK3005" s="1062" t="s">
        <v>128</v>
      </c>
      <c r="AL3005" s="109" t="s">
        <v>179</v>
      </c>
      <c r="AM3005" s="65" t="s">
        <v>134</v>
      </c>
      <c r="AN3005" s="1062"/>
      <c r="AO3005" s="2331">
        <v>743.0</v>
      </c>
      <c r="AP3005" s="2331">
        <v>0.65</v>
      </c>
      <c r="AQ3005" s="1062" t="s">
        <v>166</v>
      </c>
      <c r="AR3005" s="1062" t="s">
        <v>17771</v>
      </c>
      <c r="AS3005" s="2331">
        <v>0.001</v>
      </c>
      <c r="AT3005" s="1062" t="s">
        <v>128</v>
      </c>
      <c r="AU3005" s="156" t="s">
        <v>129</v>
      </c>
      <c r="AV3005" s="156" t="s">
        <v>134</v>
      </c>
      <c r="AW3005" s="2120" t="s">
        <v>17775</v>
      </c>
      <c r="AX3005" s="1062" t="s">
        <v>136</v>
      </c>
      <c r="AY3005" s="1061"/>
      <c r="AZ3005" s="1060" t="s">
        <v>807</v>
      </c>
      <c r="BA3005" s="1061"/>
    </row>
    <row r="3006">
      <c r="A3006" s="41">
        <v>2842.0</v>
      </c>
      <c r="B3006" s="126" t="s">
        <v>516</v>
      </c>
      <c r="C3006" s="59" t="s">
        <v>108</v>
      </c>
      <c r="D3006" s="59" t="s">
        <v>241</v>
      </c>
      <c r="F3006" s="65" t="s">
        <v>17758</v>
      </c>
      <c r="G3006" s="65" t="s">
        <v>17776</v>
      </c>
      <c r="H3006" s="65" t="s">
        <v>242</v>
      </c>
      <c r="I3006" s="526">
        <v>45807.0</v>
      </c>
      <c r="J3006" s="859"/>
      <c r="K3006" s="65"/>
      <c r="L3006" s="65"/>
      <c r="M3006" s="65" t="s">
        <v>17761</v>
      </c>
      <c r="N3006" s="65" t="s">
        <v>17762</v>
      </c>
      <c r="O3006" s="65"/>
      <c r="P3006" s="570" t="s">
        <v>17763</v>
      </c>
      <c r="Q3006" s="2289" t="str">
        <f> hyperlink(vlookup(lower(N3006),'File Links'!E:F, 2, FALSE), "LINK")</f>
        <v>LINK</v>
      </c>
      <c r="R3006" s="65" t="s">
        <v>17764</v>
      </c>
      <c r="S3006" s="65" t="s">
        <v>17765</v>
      </c>
      <c r="T3006" s="65"/>
      <c r="U3006" s="65" t="s">
        <v>8874</v>
      </c>
      <c r="V3006" s="570" t="s">
        <v>17766</v>
      </c>
      <c r="W3006" s="1225"/>
      <c r="X3006" s="2290" t="str">
        <f> hyperlink(vlookup(lower(S3006),'File Links'!E:F, 2, FALSE), "LINK")</f>
        <v>LINK</v>
      </c>
      <c r="Y3006" s="65"/>
      <c r="Z3006" s="65" t="s">
        <v>940</v>
      </c>
      <c r="AA3006" s="65" t="s">
        <v>17767</v>
      </c>
      <c r="AB3006" s="65" t="s">
        <v>7257</v>
      </c>
      <c r="AC3006" s="65" t="s">
        <v>17768</v>
      </c>
      <c r="AD3006" s="65" t="s">
        <v>17777</v>
      </c>
      <c r="AE3006" s="65" t="s">
        <v>4966</v>
      </c>
      <c r="AF3006" s="333">
        <v>101.0</v>
      </c>
      <c r="AG3006" s="65" t="s">
        <v>17778</v>
      </c>
      <c r="AH3006" s="65" t="s">
        <v>127</v>
      </c>
      <c r="AI3006" s="65" t="s">
        <v>17779</v>
      </c>
      <c r="AJ3006" s="333">
        <v>0.001</v>
      </c>
      <c r="AK3006" s="65" t="s">
        <v>128</v>
      </c>
      <c r="AL3006" s="65" t="s">
        <v>211</v>
      </c>
      <c r="AM3006" s="65" t="s">
        <v>130</v>
      </c>
      <c r="AN3006" s="65" t="s">
        <v>131</v>
      </c>
      <c r="AO3006" s="333">
        <v>759.0</v>
      </c>
      <c r="AP3006" s="333">
        <v>0.88</v>
      </c>
      <c r="AQ3006" s="65" t="s">
        <v>166</v>
      </c>
      <c r="AR3006" s="65" t="s">
        <v>17780</v>
      </c>
      <c r="AS3006" s="333">
        <v>0.001</v>
      </c>
      <c r="AT3006" s="65" t="s">
        <v>128</v>
      </c>
      <c r="AU3006" s="65" t="s">
        <v>129</v>
      </c>
      <c r="AV3006" s="65" t="s">
        <v>130</v>
      </c>
      <c r="AW3006" s="432" t="s">
        <v>17772</v>
      </c>
      <c r="AX3006" s="65" t="s">
        <v>136</v>
      </c>
      <c r="AZ3006" s="59" t="s">
        <v>7268</v>
      </c>
    </row>
    <row r="3007">
      <c r="A3007" s="41">
        <v>2843.0</v>
      </c>
      <c r="B3007" s="126" t="s">
        <v>516</v>
      </c>
      <c r="C3007" s="59" t="s">
        <v>108</v>
      </c>
      <c r="D3007" s="59" t="s">
        <v>241</v>
      </c>
      <c r="F3007" s="65" t="s">
        <v>17758</v>
      </c>
      <c r="G3007" s="65" t="s">
        <v>17781</v>
      </c>
      <c r="H3007" s="65" t="s">
        <v>242</v>
      </c>
      <c r="I3007" s="526">
        <v>45807.0</v>
      </c>
      <c r="J3007" s="859"/>
      <c r="K3007" s="65"/>
      <c r="L3007" s="65"/>
      <c r="M3007" s="65" t="s">
        <v>17761</v>
      </c>
      <c r="N3007" s="65" t="s">
        <v>17762</v>
      </c>
      <c r="O3007" s="65"/>
      <c r="P3007" s="570" t="s">
        <v>17763</v>
      </c>
      <c r="Q3007" s="2289" t="str">
        <f> hyperlink(vlookup(lower(N3007),'File Links'!E:F, 2, FALSE), "LINK")</f>
        <v>LINK</v>
      </c>
      <c r="R3007" s="65" t="s">
        <v>17764</v>
      </c>
      <c r="S3007" s="65" t="s">
        <v>17765</v>
      </c>
      <c r="T3007" s="65"/>
      <c r="U3007" s="65" t="s">
        <v>17782</v>
      </c>
      <c r="V3007" s="570" t="s">
        <v>17766</v>
      </c>
      <c r="W3007" s="1225"/>
      <c r="X3007" s="2290" t="str">
        <f> hyperlink(vlookup(lower(S3007),'File Links'!E:F, 2, FALSE), "LINK")</f>
        <v>LINK</v>
      </c>
      <c r="Y3007" s="65"/>
      <c r="Z3007" s="65" t="s">
        <v>940</v>
      </c>
      <c r="AA3007" s="65" t="s">
        <v>17767</v>
      </c>
      <c r="AB3007" s="65" t="s">
        <v>7257</v>
      </c>
      <c r="AC3007" s="65" t="s">
        <v>17768</v>
      </c>
      <c r="AD3007" s="65" t="s">
        <v>17783</v>
      </c>
      <c r="AE3007" s="65" t="s">
        <v>4966</v>
      </c>
      <c r="AF3007" s="333">
        <v>101.0</v>
      </c>
      <c r="AG3007" s="65" t="s">
        <v>17784</v>
      </c>
      <c r="AH3007" s="65" t="s">
        <v>127</v>
      </c>
      <c r="AI3007" s="65" t="s">
        <v>17785</v>
      </c>
      <c r="AJ3007" s="333">
        <v>0.001</v>
      </c>
      <c r="AK3007" s="65" t="s">
        <v>128</v>
      </c>
      <c r="AL3007" s="65" t="s">
        <v>211</v>
      </c>
      <c r="AM3007" s="65" t="s">
        <v>130</v>
      </c>
      <c r="AN3007" s="65" t="s">
        <v>131</v>
      </c>
      <c r="AO3007" s="333">
        <v>759.0</v>
      </c>
      <c r="AP3007" s="333">
        <v>1.13</v>
      </c>
      <c r="AQ3007" s="65" t="s">
        <v>166</v>
      </c>
      <c r="AR3007" s="65" t="s">
        <v>17786</v>
      </c>
      <c r="AS3007" s="333">
        <v>0.001</v>
      </c>
      <c r="AT3007" s="65" t="s">
        <v>128</v>
      </c>
      <c r="AU3007" s="65" t="s">
        <v>211</v>
      </c>
      <c r="AV3007" s="65" t="s">
        <v>130</v>
      </c>
      <c r="AW3007" s="432" t="s">
        <v>17772</v>
      </c>
      <c r="AX3007" s="65" t="s">
        <v>136</v>
      </c>
      <c r="AZ3007" s="59" t="s">
        <v>7268</v>
      </c>
    </row>
    <row r="3008">
      <c r="A3008" s="41">
        <v>2844.0</v>
      </c>
      <c r="B3008" s="126" t="s">
        <v>516</v>
      </c>
      <c r="C3008" s="59" t="s">
        <v>108</v>
      </c>
      <c r="D3008" s="59" t="s">
        <v>241</v>
      </c>
      <c r="F3008" s="65" t="s">
        <v>17758</v>
      </c>
      <c r="G3008" s="65" t="s">
        <v>17787</v>
      </c>
      <c r="H3008" s="65" t="s">
        <v>242</v>
      </c>
      <c r="I3008" s="526">
        <v>45807.0</v>
      </c>
      <c r="J3008" s="859"/>
      <c r="K3008" s="65"/>
      <c r="L3008" s="65"/>
      <c r="M3008" s="65" t="s">
        <v>17761</v>
      </c>
      <c r="N3008" s="65" t="s">
        <v>17762</v>
      </c>
      <c r="O3008" s="65"/>
      <c r="P3008" s="570" t="s">
        <v>17763</v>
      </c>
      <c r="Q3008" s="2289" t="str">
        <f> hyperlink(vlookup(lower(N3008),'File Links'!E:F, 2, FALSE), "LINK")</f>
        <v>LINK</v>
      </c>
      <c r="R3008" s="65" t="s">
        <v>17764</v>
      </c>
      <c r="S3008" s="65" t="s">
        <v>17765</v>
      </c>
      <c r="T3008" s="65"/>
      <c r="U3008" s="65" t="s">
        <v>17782</v>
      </c>
      <c r="V3008" s="570" t="s">
        <v>17766</v>
      </c>
      <c r="W3008" s="1225"/>
      <c r="X3008" s="2290" t="str">
        <f> hyperlink(vlookup(lower(S3008),'File Links'!E:F, 2, FALSE), "LINK")</f>
        <v>LINK</v>
      </c>
      <c r="Y3008" s="65"/>
      <c r="Z3008" s="65" t="s">
        <v>940</v>
      </c>
      <c r="AA3008" s="65" t="s">
        <v>17767</v>
      </c>
      <c r="AB3008" s="65" t="s">
        <v>7257</v>
      </c>
      <c r="AC3008" s="65" t="s">
        <v>17768</v>
      </c>
      <c r="AD3008" s="65" t="s">
        <v>17788</v>
      </c>
      <c r="AE3008" s="65" t="s">
        <v>4966</v>
      </c>
      <c r="AF3008" s="333">
        <v>101.0</v>
      </c>
      <c r="AG3008" s="65" t="s">
        <v>17784</v>
      </c>
      <c r="AH3008" s="65" t="s">
        <v>127</v>
      </c>
      <c r="AI3008" s="65" t="s">
        <v>17789</v>
      </c>
      <c r="AJ3008" s="333">
        <v>0.001</v>
      </c>
      <c r="AK3008" s="65" t="s">
        <v>128</v>
      </c>
      <c r="AL3008" s="65" t="s">
        <v>211</v>
      </c>
      <c r="AM3008" s="65" t="s">
        <v>130</v>
      </c>
      <c r="AN3008" s="65" t="s">
        <v>131</v>
      </c>
      <c r="AO3008" s="333">
        <v>759.0</v>
      </c>
      <c r="AP3008" s="333">
        <v>1.14</v>
      </c>
      <c r="AQ3008" s="65" t="s">
        <v>166</v>
      </c>
      <c r="AR3008" s="65" t="s">
        <v>17790</v>
      </c>
      <c r="AS3008" s="333">
        <v>0.001</v>
      </c>
      <c r="AT3008" s="65" t="s">
        <v>128</v>
      </c>
      <c r="AU3008" s="65" t="s">
        <v>211</v>
      </c>
      <c r="AV3008" s="65" t="s">
        <v>130</v>
      </c>
      <c r="AW3008" s="432" t="s">
        <v>17772</v>
      </c>
      <c r="AX3008" s="65" t="s">
        <v>136</v>
      </c>
      <c r="AZ3008" s="59" t="s">
        <v>7268</v>
      </c>
    </row>
    <row r="3009">
      <c r="A3009" s="41">
        <v>2845.0</v>
      </c>
      <c r="B3009" s="126" t="s">
        <v>516</v>
      </c>
      <c r="C3009" s="59" t="s">
        <v>108</v>
      </c>
      <c r="D3009" s="59" t="s">
        <v>241</v>
      </c>
      <c r="F3009" s="65" t="s">
        <v>17758</v>
      </c>
      <c r="G3009" s="65" t="s">
        <v>17791</v>
      </c>
      <c r="H3009" s="65" t="s">
        <v>242</v>
      </c>
      <c r="I3009" s="526">
        <v>45807.0</v>
      </c>
      <c r="J3009" s="859"/>
      <c r="K3009" s="65"/>
      <c r="L3009" s="65"/>
      <c r="M3009" s="65" t="s">
        <v>17761</v>
      </c>
      <c r="N3009" s="65" t="s">
        <v>17762</v>
      </c>
      <c r="O3009" s="65"/>
      <c r="P3009" s="570" t="s">
        <v>17763</v>
      </c>
      <c r="Q3009" s="2289" t="str">
        <f> hyperlink(vlookup(lower(N3009),'File Links'!E:F, 2, FALSE), "LINK")</f>
        <v>LINK</v>
      </c>
      <c r="R3009" s="65" t="s">
        <v>17764</v>
      </c>
      <c r="S3009" s="65" t="s">
        <v>17765</v>
      </c>
      <c r="T3009" s="65"/>
      <c r="U3009" s="65" t="s">
        <v>17782</v>
      </c>
      <c r="V3009" s="570" t="s">
        <v>17766</v>
      </c>
      <c r="W3009" s="1225"/>
      <c r="X3009" s="2290" t="str">
        <f> hyperlink(vlookup(lower(S3009),'File Links'!E:F, 2, FALSE), "LINK")</f>
        <v>LINK</v>
      </c>
      <c r="Y3009" s="65"/>
      <c r="Z3009" s="65" t="s">
        <v>940</v>
      </c>
      <c r="AA3009" s="65" t="s">
        <v>17767</v>
      </c>
      <c r="AB3009" s="65" t="s">
        <v>7257</v>
      </c>
      <c r="AC3009" s="65" t="s">
        <v>17768</v>
      </c>
      <c r="AD3009" s="65" t="s">
        <v>17792</v>
      </c>
      <c r="AE3009" s="65" t="s">
        <v>4966</v>
      </c>
      <c r="AF3009" s="333">
        <v>101.0</v>
      </c>
      <c r="AG3009" s="65" t="s">
        <v>17784</v>
      </c>
      <c r="AH3009" s="65" t="s">
        <v>127</v>
      </c>
      <c r="AI3009" s="65" t="s">
        <v>17793</v>
      </c>
      <c r="AJ3009" s="333">
        <v>0.001</v>
      </c>
      <c r="AK3009" s="65" t="s">
        <v>128</v>
      </c>
      <c r="AL3009" s="65" t="s">
        <v>211</v>
      </c>
      <c r="AM3009" s="65" t="s">
        <v>130</v>
      </c>
      <c r="AN3009" s="65" t="s">
        <v>131</v>
      </c>
      <c r="AO3009" s="333">
        <v>759.0</v>
      </c>
      <c r="AP3009" s="333">
        <v>1.96</v>
      </c>
      <c r="AQ3009" s="65" t="s">
        <v>166</v>
      </c>
      <c r="AR3009" s="65" t="s">
        <v>17794</v>
      </c>
      <c r="AS3009" s="333">
        <v>0.001</v>
      </c>
      <c r="AT3009" s="65" t="s">
        <v>128</v>
      </c>
      <c r="AU3009" s="65" t="s">
        <v>211</v>
      </c>
      <c r="AV3009" s="65" t="s">
        <v>130</v>
      </c>
      <c r="AW3009" s="432" t="s">
        <v>17772</v>
      </c>
      <c r="AX3009" s="65" t="s">
        <v>136</v>
      </c>
      <c r="AZ3009" s="59" t="s">
        <v>7268</v>
      </c>
    </row>
    <row r="3010">
      <c r="A3010" s="41">
        <v>2846.0</v>
      </c>
      <c r="B3010" s="126" t="s">
        <v>516</v>
      </c>
      <c r="C3010" s="59" t="s">
        <v>108</v>
      </c>
      <c r="D3010" s="59" t="s">
        <v>241</v>
      </c>
      <c r="F3010" s="65" t="s">
        <v>17758</v>
      </c>
      <c r="G3010" s="65" t="s">
        <v>17795</v>
      </c>
      <c r="H3010" s="65" t="s">
        <v>242</v>
      </c>
      <c r="I3010" s="526">
        <v>45807.0</v>
      </c>
      <c r="J3010" s="859"/>
      <c r="K3010" s="65"/>
      <c r="L3010" s="65"/>
      <c r="M3010" s="65" t="s">
        <v>17761</v>
      </c>
      <c r="N3010" s="65" t="s">
        <v>17762</v>
      </c>
      <c r="O3010" s="65"/>
      <c r="P3010" s="570" t="s">
        <v>17763</v>
      </c>
      <c r="Q3010" s="2289" t="str">
        <f> hyperlink(vlookup(lower(N3010),'File Links'!E:F, 2, FALSE), "LINK")</f>
        <v>LINK</v>
      </c>
      <c r="R3010" s="65" t="s">
        <v>17764</v>
      </c>
      <c r="S3010" s="65" t="s">
        <v>17765</v>
      </c>
      <c r="T3010" s="65"/>
      <c r="U3010" s="65" t="s">
        <v>5533</v>
      </c>
      <c r="V3010" s="570" t="s">
        <v>17766</v>
      </c>
      <c r="W3010" s="1225"/>
      <c r="X3010" s="2290" t="str">
        <f> hyperlink(vlookup(lower(S3010),'File Links'!E:F, 2, FALSE), "LINK")</f>
        <v>LINK</v>
      </c>
      <c r="Y3010" s="65"/>
      <c r="Z3010" s="65" t="s">
        <v>940</v>
      </c>
      <c r="AA3010" s="65" t="s">
        <v>17767</v>
      </c>
      <c r="AB3010" s="65" t="s">
        <v>7257</v>
      </c>
      <c r="AC3010" s="65" t="s">
        <v>17768</v>
      </c>
      <c r="AD3010" s="65" t="s">
        <v>17796</v>
      </c>
      <c r="AE3010" s="65" t="s">
        <v>1035</v>
      </c>
      <c r="AF3010" s="333">
        <v>121.0</v>
      </c>
      <c r="AG3010" s="333">
        <v>0.349</v>
      </c>
      <c r="AH3010" s="65" t="s">
        <v>166</v>
      </c>
      <c r="AI3010" s="65" t="s">
        <v>17797</v>
      </c>
      <c r="AJ3010" s="333">
        <v>0.001</v>
      </c>
      <c r="AK3010" s="65" t="s">
        <v>128</v>
      </c>
      <c r="AL3010" s="65" t="s">
        <v>211</v>
      </c>
      <c r="AM3010" s="65" t="s">
        <v>130</v>
      </c>
      <c r="AN3010" s="65" t="s">
        <v>131</v>
      </c>
      <c r="AO3010" s="333">
        <v>743.0</v>
      </c>
      <c r="AP3010" s="333">
        <v>0.15</v>
      </c>
      <c r="AQ3010" s="65" t="s">
        <v>166</v>
      </c>
      <c r="AR3010" s="65" t="s">
        <v>17798</v>
      </c>
      <c r="AS3010" s="333">
        <v>0.002</v>
      </c>
      <c r="AT3010" s="65" t="s">
        <v>165</v>
      </c>
      <c r="AU3010" s="65" t="s">
        <v>129</v>
      </c>
      <c r="AV3010" s="65" t="s">
        <v>130</v>
      </c>
      <c r="AW3010" s="432" t="s">
        <v>17772</v>
      </c>
      <c r="AX3010" s="65" t="s">
        <v>136</v>
      </c>
      <c r="AZ3010" s="59" t="s">
        <v>7268</v>
      </c>
    </row>
    <row r="3011">
      <c r="A3011" s="41">
        <v>2847.0</v>
      </c>
      <c r="B3011" s="126" t="s">
        <v>516</v>
      </c>
      <c r="C3011" s="59" t="s">
        <v>108</v>
      </c>
      <c r="D3011" s="59" t="s">
        <v>241</v>
      </c>
      <c r="F3011" s="65" t="s">
        <v>17758</v>
      </c>
      <c r="G3011" s="65" t="s">
        <v>17799</v>
      </c>
      <c r="H3011" s="65" t="s">
        <v>242</v>
      </c>
      <c r="I3011" s="526">
        <v>45807.0</v>
      </c>
      <c r="J3011" s="859"/>
      <c r="K3011" s="65"/>
      <c r="L3011" s="65"/>
      <c r="M3011" s="65" t="s">
        <v>17761</v>
      </c>
      <c r="N3011" s="65" t="s">
        <v>17762</v>
      </c>
      <c r="O3011" s="65"/>
      <c r="P3011" s="570" t="s">
        <v>17763</v>
      </c>
      <c r="Q3011" s="2289" t="str">
        <f> hyperlink(vlookup(lower(N3011),'File Links'!E:F, 2, FALSE), "LINK")</f>
        <v>LINK</v>
      </c>
      <c r="R3011" s="65" t="s">
        <v>17764</v>
      </c>
      <c r="S3011" s="65" t="s">
        <v>17765</v>
      </c>
      <c r="T3011" s="65"/>
      <c r="U3011" s="333">
        <v>5.0</v>
      </c>
      <c r="V3011" s="570" t="s">
        <v>17766</v>
      </c>
      <c r="W3011" s="1225"/>
      <c r="X3011" s="2290" t="str">
        <f> hyperlink(vlookup(lower(S3011),'File Links'!E:F, 2, FALSE), "LINK")</f>
        <v>LINK</v>
      </c>
      <c r="Y3011" s="65"/>
      <c r="Z3011" s="65" t="s">
        <v>940</v>
      </c>
      <c r="AA3011" s="65" t="s">
        <v>17767</v>
      </c>
      <c r="AB3011" s="65" t="s">
        <v>7257</v>
      </c>
      <c r="AC3011" s="65" t="s">
        <v>17768</v>
      </c>
      <c r="AD3011" s="65" t="s">
        <v>17800</v>
      </c>
      <c r="AE3011" s="65" t="s">
        <v>617</v>
      </c>
      <c r="AF3011" s="333">
        <v>60.0</v>
      </c>
      <c r="AG3011" s="333">
        <v>0.74</v>
      </c>
      <c r="AH3011" s="65" t="s">
        <v>166</v>
      </c>
      <c r="AI3011" s="65" t="s">
        <v>17801</v>
      </c>
      <c r="AJ3011" s="333">
        <v>0.01</v>
      </c>
      <c r="AK3011" s="65" t="s">
        <v>128</v>
      </c>
      <c r="AL3011" s="65" t="s">
        <v>211</v>
      </c>
      <c r="AM3011" s="65" t="s">
        <v>130</v>
      </c>
      <c r="AN3011" s="65" t="s">
        <v>131</v>
      </c>
      <c r="AO3011" s="333">
        <v>743.0</v>
      </c>
      <c r="AP3011" s="333">
        <v>0.39</v>
      </c>
      <c r="AQ3011" s="65" t="s">
        <v>166</v>
      </c>
      <c r="AR3011" s="65" t="s">
        <v>17802</v>
      </c>
      <c r="AS3011" s="333">
        <v>0.001</v>
      </c>
      <c r="AT3011" s="65" t="s">
        <v>128</v>
      </c>
      <c r="AU3011" s="65" t="s">
        <v>129</v>
      </c>
      <c r="AV3011" s="65" t="s">
        <v>130</v>
      </c>
      <c r="AW3011" s="432" t="s">
        <v>17772</v>
      </c>
      <c r="AX3011" s="65" t="s">
        <v>136</v>
      </c>
      <c r="AZ3011" s="59" t="s">
        <v>7268</v>
      </c>
    </row>
    <row r="3012">
      <c r="A3012" s="686">
        <v>2848.0</v>
      </c>
      <c r="B3012" s="371" t="s">
        <v>107</v>
      </c>
      <c r="C3012" s="185" t="s">
        <v>108</v>
      </c>
      <c r="D3012" s="185" t="s">
        <v>241</v>
      </c>
      <c r="E3012" s="186"/>
      <c r="F3012" s="187" t="s">
        <v>17803</v>
      </c>
      <c r="G3012" s="187" t="s">
        <v>17804</v>
      </c>
      <c r="H3012" s="187" t="s">
        <v>242</v>
      </c>
      <c r="I3012" s="1324">
        <v>45807.0</v>
      </c>
      <c r="J3012" s="2336">
        <v>45835.0</v>
      </c>
      <c r="K3012" s="187"/>
      <c r="L3012" s="371" t="s">
        <v>17805</v>
      </c>
      <c r="M3012" s="187" t="s">
        <v>17806</v>
      </c>
      <c r="N3012" s="187" t="s">
        <v>17807</v>
      </c>
      <c r="O3012" s="371">
        <v>2.0</v>
      </c>
      <c r="P3012" s="187" t="s">
        <v>17808</v>
      </c>
      <c r="Q3012" s="2337" t="str">
        <f> hyperlink(vlookup(lower(N3012),'File Links'!E:F, 2, FALSE), "LINK")</f>
        <v>LINK</v>
      </c>
      <c r="R3012" s="187" t="s">
        <v>17809</v>
      </c>
      <c r="S3012" s="187" t="s">
        <v>17810</v>
      </c>
      <c r="T3012" s="187"/>
      <c r="U3012" s="747">
        <v>2.0</v>
      </c>
      <c r="V3012" s="187" t="s">
        <v>17811</v>
      </c>
      <c r="W3012" s="371" t="s">
        <v>1115</v>
      </c>
      <c r="X3012" s="2338" t="str">
        <f> hyperlink(vlookup(lower(S3012),'File Links'!E:F, 2, FALSE), "LINK")</f>
        <v>LINK</v>
      </c>
      <c r="Y3012" s="187"/>
      <c r="Z3012" s="187" t="s">
        <v>940</v>
      </c>
      <c r="AA3012" s="187" t="s">
        <v>17812</v>
      </c>
      <c r="AB3012" s="187" t="s">
        <v>7257</v>
      </c>
      <c r="AC3012" s="187" t="s">
        <v>17813</v>
      </c>
      <c r="AD3012" s="371" t="s">
        <v>17814</v>
      </c>
      <c r="AE3012" s="187" t="s">
        <v>1167</v>
      </c>
      <c r="AF3012" s="747">
        <v>213.0</v>
      </c>
      <c r="AG3012" s="747">
        <v>-0.75</v>
      </c>
      <c r="AH3012" s="187" t="s">
        <v>208</v>
      </c>
      <c r="AI3012" s="371" t="s">
        <v>300</v>
      </c>
      <c r="AJ3012" s="187" t="s">
        <v>131</v>
      </c>
      <c r="AK3012" s="187" t="s">
        <v>131</v>
      </c>
      <c r="AL3012" s="187" t="s">
        <v>131</v>
      </c>
      <c r="AM3012" s="187" t="s">
        <v>130</v>
      </c>
      <c r="AN3012" s="187" t="s">
        <v>131</v>
      </c>
      <c r="AO3012" s="747">
        <v>776.0</v>
      </c>
      <c r="AP3012" s="2339" t="s">
        <v>17815</v>
      </c>
      <c r="AQ3012" s="187" t="s">
        <v>208</v>
      </c>
      <c r="AR3012" s="187" t="s">
        <v>17816</v>
      </c>
      <c r="AS3012" s="747">
        <v>0.03</v>
      </c>
      <c r="AT3012" s="187" t="s">
        <v>165</v>
      </c>
      <c r="AU3012" s="187" t="s">
        <v>129</v>
      </c>
      <c r="AV3012" s="156" t="s">
        <v>134</v>
      </c>
      <c r="AW3012" s="874" t="s">
        <v>17817</v>
      </c>
      <c r="AX3012" s="187" t="s">
        <v>136</v>
      </c>
      <c r="AY3012" s="186"/>
      <c r="AZ3012" s="185" t="s">
        <v>807</v>
      </c>
      <c r="BA3012" s="186"/>
      <c r="BB3012" s="2002"/>
      <c r="BC3012" s="2002"/>
      <c r="BD3012" s="2002"/>
      <c r="BE3012" s="2002"/>
      <c r="BF3012" s="2002"/>
      <c r="BG3012" s="2002"/>
      <c r="BH3012" s="2002"/>
      <c r="BI3012" s="2002"/>
      <c r="BJ3012" s="2002"/>
      <c r="BK3012" s="2002"/>
      <c r="BL3012" s="2002"/>
      <c r="BM3012" s="2002"/>
      <c r="BN3012" s="2002"/>
      <c r="BO3012" s="2002"/>
      <c r="BP3012" s="2002"/>
      <c r="BQ3012" s="2002"/>
      <c r="BR3012" s="2002"/>
      <c r="BS3012" s="2002"/>
      <c r="BT3012" s="2002"/>
      <c r="BU3012" s="2002"/>
      <c r="BV3012" s="2002"/>
      <c r="BW3012" s="2002"/>
      <c r="BX3012" s="2002"/>
      <c r="BY3012" s="2002"/>
      <c r="BZ3012" s="2002"/>
      <c r="CA3012" s="2002"/>
      <c r="CB3012" s="2002"/>
      <c r="CC3012" s="2002"/>
      <c r="CD3012" s="2002"/>
      <c r="CE3012" s="2002"/>
      <c r="CF3012" s="2002"/>
      <c r="CG3012" s="2002"/>
      <c r="CH3012" s="2002"/>
      <c r="CI3012" s="2002"/>
      <c r="CJ3012" s="2002"/>
      <c r="CK3012" s="2002"/>
      <c r="CL3012" s="2002"/>
      <c r="CM3012" s="2002"/>
      <c r="CN3012" s="2002"/>
      <c r="CO3012" s="2002"/>
      <c r="CP3012" s="2002"/>
      <c r="CQ3012" s="2002"/>
      <c r="CR3012" s="2002"/>
      <c r="CS3012" s="2002"/>
      <c r="CT3012" s="2002"/>
      <c r="CU3012" s="2002"/>
      <c r="CV3012" s="2002"/>
      <c r="CW3012" s="2002"/>
      <c r="CX3012" s="2002"/>
      <c r="CY3012" s="2002"/>
      <c r="CZ3012" s="2002"/>
      <c r="DA3012" s="2002"/>
      <c r="DB3012" s="2002"/>
      <c r="DC3012" s="2002"/>
      <c r="DD3012" s="2002"/>
      <c r="DE3012" s="2002"/>
      <c r="DF3012" s="2002"/>
      <c r="DG3012" s="2002"/>
      <c r="DH3012" s="2002"/>
    </row>
    <row r="3013">
      <c r="A3013" s="2340">
        <v>2985.0</v>
      </c>
      <c r="B3013" s="1793" t="s">
        <v>145</v>
      </c>
      <c r="C3013" s="1623" t="s">
        <v>108</v>
      </c>
      <c r="D3013" s="1623" t="s">
        <v>15410</v>
      </c>
      <c r="E3013" s="1120"/>
      <c r="F3013" s="1624" t="s">
        <v>17803</v>
      </c>
      <c r="G3013" s="1626" t="s">
        <v>17804</v>
      </c>
      <c r="H3013" s="1626" t="s">
        <v>17188</v>
      </c>
      <c r="I3013" s="2128">
        <v>45331.0</v>
      </c>
      <c r="J3013" s="2341">
        <v>45835.0</v>
      </c>
      <c r="K3013" s="1624"/>
      <c r="L3013" s="1793" t="s">
        <v>17818</v>
      </c>
      <c r="M3013" s="1626" t="s">
        <v>17806</v>
      </c>
      <c r="N3013" s="1626" t="s">
        <v>17807</v>
      </c>
      <c r="O3013" s="1818">
        <v>2.0</v>
      </c>
      <c r="P3013" s="1626" t="s">
        <v>17808</v>
      </c>
      <c r="Q3013" s="2342" t="str">
        <f> hyperlink(vlookup(lower(N3013),'File Links'!E:F, 2, FALSE), "LINK")</f>
        <v>LINK</v>
      </c>
      <c r="R3013" s="1626" t="s">
        <v>17809</v>
      </c>
      <c r="S3013" s="1626" t="s">
        <v>17810</v>
      </c>
      <c r="T3013" s="1624"/>
      <c r="U3013" s="1818">
        <v>2.0</v>
      </c>
      <c r="V3013" s="1626" t="s">
        <v>17811</v>
      </c>
      <c r="W3013" s="1793" t="s">
        <v>1115</v>
      </c>
      <c r="X3013" s="2343" t="str">
        <f> hyperlink(vlookup(lower(S3013),'File Links'!E:F, 2, FALSE), "LINK")</f>
        <v>LINK</v>
      </c>
      <c r="Y3013" s="1624"/>
      <c r="Z3013" s="1626" t="s">
        <v>940</v>
      </c>
      <c r="AA3013" s="1626" t="s">
        <v>17812</v>
      </c>
      <c r="AB3013" s="1626" t="s">
        <v>7257</v>
      </c>
      <c r="AC3013" s="1626" t="s">
        <v>17813</v>
      </c>
      <c r="AD3013" s="1793" t="s">
        <v>17819</v>
      </c>
      <c r="AE3013" s="1818">
        <v>11.0</v>
      </c>
      <c r="AF3013" s="1818">
        <v>219.0</v>
      </c>
      <c r="AG3013" s="1818">
        <v>-0.75</v>
      </c>
      <c r="AH3013" s="1624" t="s">
        <v>208</v>
      </c>
      <c r="AI3013" s="1624" t="s">
        <v>1167</v>
      </c>
      <c r="AJ3013" s="1793" t="s">
        <v>131</v>
      </c>
      <c r="AK3013" s="1624" t="s">
        <v>179</v>
      </c>
      <c r="AL3013" s="1624" t="s">
        <v>179</v>
      </c>
      <c r="AM3013" s="1624" t="s">
        <v>130</v>
      </c>
      <c r="AN3013" s="1793" t="s">
        <v>131</v>
      </c>
      <c r="AO3013" s="2344">
        <v>776.0</v>
      </c>
      <c r="AP3013" s="1624" t="s">
        <v>17820</v>
      </c>
      <c r="AQ3013" s="1624" t="s">
        <v>208</v>
      </c>
      <c r="AR3013" s="1793" t="s">
        <v>2325</v>
      </c>
      <c r="AS3013" s="1818">
        <v>0.003</v>
      </c>
      <c r="AT3013" s="1624" t="s">
        <v>165</v>
      </c>
      <c r="AU3013" s="1624" t="s">
        <v>129</v>
      </c>
      <c r="AV3013" s="1626" t="s">
        <v>134</v>
      </c>
      <c r="AW3013" s="2345" t="s">
        <v>17821</v>
      </c>
      <c r="AX3013" s="1624" t="s">
        <v>136</v>
      </c>
      <c r="AY3013" s="1120"/>
      <c r="AZ3013" s="1623" t="s">
        <v>807</v>
      </c>
      <c r="BA3013" s="1120"/>
    </row>
    <row r="3014">
      <c r="A3014" s="41">
        <v>2849.0</v>
      </c>
      <c r="B3014" s="126" t="s">
        <v>516</v>
      </c>
      <c r="C3014" s="59" t="s">
        <v>108</v>
      </c>
      <c r="D3014" s="59" t="s">
        <v>241</v>
      </c>
      <c r="F3014" s="65" t="s">
        <v>17803</v>
      </c>
      <c r="G3014" s="65" t="s">
        <v>17822</v>
      </c>
      <c r="H3014" s="65" t="s">
        <v>242</v>
      </c>
      <c r="I3014" s="526">
        <v>45807.0</v>
      </c>
      <c r="J3014" s="859"/>
      <c r="K3014" s="65"/>
      <c r="L3014" s="65"/>
      <c r="M3014" s="65" t="s">
        <v>17806</v>
      </c>
      <c r="N3014" s="65" t="s">
        <v>17807</v>
      </c>
      <c r="O3014" s="65"/>
      <c r="P3014" s="570" t="s">
        <v>17808</v>
      </c>
      <c r="Q3014" s="2289" t="str">
        <f> hyperlink(vlookup(lower(N3014),'File Links'!E:F, 2, FALSE), "LINK")</f>
        <v>LINK</v>
      </c>
      <c r="R3014" s="65" t="s">
        <v>17809</v>
      </c>
      <c r="S3014" s="65" t="s">
        <v>17810</v>
      </c>
      <c r="T3014" s="65"/>
      <c r="U3014" s="333">
        <v>2.0</v>
      </c>
      <c r="V3014" s="570" t="s">
        <v>17811</v>
      </c>
      <c r="W3014" s="1225"/>
      <c r="X3014" s="2290" t="str">
        <f> hyperlink(vlookup(lower(S3014),'File Links'!E:F, 2, FALSE), "LINK")</f>
        <v>LINK</v>
      </c>
      <c r="Y3014" s="65"/>
      <c r="Z3014" s="65" t="s">
        <v>940</v>
      </c>
      <c r="AA3014" s="65" t="s">
        <v>17812</v>
      </c>
      <c r="AB3014" s="65" t="s">
        <v>7257</v>
      </c>
      <c r="AC3014" s="65" t="s">
        <v>17813</v>
      </c>
      <c r="AD3014" s="65"/>
      <c r="AE3014" s="65" t="s">
        <v>1167</v>
      </c>
      <c r="AF3014" s="333">
        <v>213.0</v>
      </c>
      <c r="AG3014" s="333">
        <v>-0.75</v>
      </c>
      <c r="AH3014" s="65" t="s">
        <v>208</v>
      </c>
      <c r="AI3014" s="65" t="s">
        <v>131</v>
      </c>
      <c r="AJ3014" s="65" t="s">
        <v>131</v>
      </c>
      <c r="AK3014" s="65" t="s">
        <v>165</v>
      </c>
      <c r="AL3014" s="65" t="s">
        <v>129</v>
      </c>
      <c r="AM3014" s="65" t="s">
        <v>130</v>
      </c>
      <c r="AN3014" s="65" t="s">
        <v>131</v>
      </c>
      <c r="AO3014" s="333">
        <v>776.0</v>
      </c>
      <c r="AP3014" s="333">
        <v>2.84</v>
      </c>
      <c r="AQ3014" s="65" t="s">
        <v>208</v>
      </c>
      <c r="AR3014" s="65" t="s">
        <v>17823</v>
      </c>
      <c r="AS3014" s="333">
        <v>0.001</v>
      </c>
      <c r="AT3014" s="65" t="s">
        <v>128</v>
      </c>
      <c r="AU3014" s="65" t="s">
        <v>129</v>
      </c>
      <c r="AV3014" s="65" t="s">
        <v>130</v>
      </c>
      <c r="AW3014" s="432" t="s">
        <v>17817</v>
      </c>
      <c r="AX3014" s="65" t="s">
        <v>136</v>
      </c>
      <c r="AZ3014" s="59" t="s">
        <v>7268</v>
      </c>
    </row>
    <row r="3015">
      <c r="A3015" s="41">
        <v>2850.0</v>
      </c>
      <c r="B3015" s="126" t="s">
        <v>516</v>
      </c>
      <c r="C3015" s="59" t="s">
        <v>108</v>
      </c>
      <c r="D3015" s="59" t="s">
        <v>241</v>
      </c>
      <c r="F3015" s="65" t="s">
        <v>17824</v>
      </c>
      <c r="G3015" s="65" t="s">
        <v>17825</v>
      </c>
      <c r="H3015" s="65" t="s">
        <v>242</v>
      </c>
      <c r="I3015" s="526">
        <v>45813.0</v>
      </c>
      <c r="J3015" s="859"/>
      <c r="K3015" s="65" t="s">
        <v>17826</v>
      </c>
      <c r="L3015" s="65"/>
      <c r="M3015" s="65" t="s">
        <v>17827</v>
      </c>
      <c r="N3015" s="65" t="s">
        <v>17828</v>
      </c>
      <c r="O3015" s="65"/>
      <c r="P3015" s="570" t="s">
        <v>17829</v>
      </c>
      <c r="Q3015" s="2289" t="str">
        <f> hyperlink(vlookup(lower(N3015),'File Links'!E:F, 2, FALSE), "LINK")</f>
        <v>LINK</v>
      </c>
      <c r="R3015" s="65" t="s">
        <v>17830</v>
      </c>
      <c r="S3015" s="65" t="s">
        <v>17831</v>
      </c>
      <c r="T3015" s="65"/>
      <c r="U3015" s="333">
        <v>2.0</v>
      </c>
      <c r="V3015" s="570" t="s">
        <v>17832</v>
      </c>
      <c r="W3015" s="1225"/>
      <c r="X3015" s="2290" t="str">
        <f> hyperlink(vlookup(lower(S3015),'File Links'!E:F, 2, FALSE), "LINK")</f>
        <v>LINK</v>
      </c>
      <c r="Y3015" s="65"/>
      <c r="Z3015" s="65" t="s">
        <v>940</v>
      </c>
      <c r="AA3015" s="65" t="s">
        <v>17833</v>
      </c>
      <c r="AB3015" s="65" t="s">
        <v>7257</v>
      </c>
      <c r="AC3015" s="65" t="s">
        <v>17834</v>
      </c>
      <c r="AD3015" s="65" t="s">
        <v>17835</v>
      </c>
      <c r="AE3015" s="65" t="s">
        <v>597</v>
      </c>
      <c r="AF3015" s="333">
        <v>80.0</v>
      </c>
      <c r="AG3015" s="333">
        <v>1.13</v>
      </c>
      <c r="AH3015" s="65" t="s">
        <v>166</v>
      </c>
      <c r="AI3015" s="65" t="s">
        <v>131</v>
      </c>
      <c r="AJ3015" s="333">
        <v>0.001</v>
      </c>
      <c r="AK3015" s="65" t="s">
        <v>128</v>
      </c>
      <c r="AL3015" s="65" t="s">
        <v>179</v>
      </c>
      <c r="AM3015" s="65" t="s">
        <v>130</v>
      </c>
      <c r="AN3015" s="65" t="s">
        <v>131</v>
      </c>
      <c r="AO3015" s="333">
        <v>442.0</v>
      </c>
      <c r="AP3015" s="65" t="s">
        <v>131</v>
      </c>
      <c r="AQ3015" s="65"/>
      <c r="AR3015" s="65" t="s">
        <v>131</v>
      </c>
      <c r="AS3015" s="65" t="s">
        <v>131</v>
      </c>
      <c r="AT3015" s="65" t="s">
        <v>165</v>
      </c>
      <c r="AU3015" s="65" t="s">
        <v>179</v>
      </c>
      <c r="AV3015" s="65" t="s">
        <v>130</v>
      </c>
      <c r="AW3015" s="432" t="s">
        <v>17836</v>
      </c>
      <c r="AX3015" s="65" t="s">
        <v>136</v>
      </c>
    </row>
    <row r="3016">
      <c r="A3016" s="41">
        <v>2851.0</v>
      </c>
      <c r="B3016" s="126" t="s">
        <v>516</v>
      </c>
      <c r="C3016" s="59" t="s">
        <v>108</v>
      </c>
      <c r="D3016" s="59" t="s">
        <v>241</v>
      </c>
      <c r="F3016" s="65" t="s">
        <v>17837</v>
      </c>
      <c r="G3016" s="65" t="s">
        <v>17838</v>
      </c>
      <c r="H3016" s="65" t="s">
        <v>242</v>
      </c>
      <c r="I3016" s="526">
        <v>45810.0</v>
      </c>
      <c r="J3016" s="859"/>
      <c r="K3016" s="65"/>
      <c r="L3016" s="65"/>
      <c r="M3016" s="65" t="s">
        <v>17839</v>
      </c>
      <c r="N3016" s="65" t="s">
        <v>17840</v>
      </c>
      <c r="O3016" s="65"/>
      <c r="P3016" s="570" t="s">
        <v>17841</v>
      </c>
      <c r="Q3016" s="2289" t="str">
        <f> hyperlink(vlookup(lower(N3016),'File Links'!E:F, 2, FALSE), "LINK")</f>
        <v>LINK</v>
      </c>
      <c r="R3016" s="65" t="s">
        <v>17842</v>
      </c>
      <c r="S3016" s="65" t="s">
        <v>17843</v>
      </c>
      <c r="T3016" s="65"/>
      <c r="U3016" s="65"/>
      <c r="V3016" s="570" t="s">
        <v>17844</v>
      </c>
      <c r="W3016" s="1225"/>
      <c r="X3016" s="2290" t="str">
        <f> hyperlink(vlookup(lower(S3016),'File Links'!E:F, 2, FALSE), "LINK")</f>
        <v>LINK</v>
      </c>
      <c r="Y3016" s="65"/>
      <c r="Z3016" s="65" t="s">
        <v>940</v>
      </c>
      <c r="AA3016" s="65" t="s">
        <v>17845</v>
      </c>
      <c r="AB3016" s="65" t="s">
        <v>7257</v>
      </c>
      <c r="AC3016" s="65"/>
      <c r="AD3016" s="65" t="s">
        <v>17846</v>
      </c>
      <c r="AE3016" s="65" t="s">
        <v>623</v>
      </c>
      <c r="AF3016" s="333">
        <v>138.0</v>
      </c>
      <c r="AG3016" s="65" t="s">
        <v>131</v>
      </c>
      <c r="AH3016" s="65"/>
      <c r="AI3016" s="65" t="s">
        <v>17847</v>
      </c>
      <c r="AJ3016" s="65" t="s">
        <v>131</v>
      </c>
      <c r="AK3016" s="65" t="s">
        <v>165</v>
      </c>
      <c r="AL3016" s="65" t="s">
        <v>179</v>
      </c>
      <c r="AM3016" s="65" t="s">
        <v>130</v>
      </c>
      <c r="AN3016" s="65" t="s">
        <v>131</v>
      </c>
      <c r="AO3016" s="333">
        <v>342.0</v>
      </c>
      <c r="AP3016" s="126" t="s">
        <v>17848</v>
      </c>
      <c r="AQ3016" s="65" t="s">
        <v>127</v>
      </c>
      <c r="AR3016" s="126" t="s">
        <v>17849</v>
      </c>
      <c r="AS3016" s="333">
        <v>0.001</v>
      </c>
      <c r="AT3016" s="65" t="s">
        <v>128</v>
      </c>
      <c r="AU3016" s="65" t="s">
        <v>179</v>
      </c>
      <c r="AV3016" s="65" t="s">
        <v>130</v>
      </c>
      <c r="AW3016" s="432" t="s">
        <v>17850</v>
      </c>
      <c r="AX3016" s="65" t="s">
        <v>136</v>
      </c>
      <c r="AZ3016" s="59" t="s">
        <v>7268</v>
      </c>
    </row>
    <row r="3017">
      <c r="A3017" s="41">
        <v>2986.0</v>
      </c>
      <c r="B3017" s="126" t="s">
        <v>107</v>
      </c>
      <c r="C3017" s="59" t="s">
        <v>108</v>
      </c>
      <c r="D3017" s="59" t="s">
        <v>15410</v>
      </c>
      <c r="F3017" s="65" t="s">
        <v>17837</v>
      </c>
      <c r="G3017" s="156" t="s">
        <v>17838</v>
      </c>
      <c r="H3017" s="65" t="s">
        <v>15410</v>
      </c>
      <c r="I3017" s="149">
        <v>45331.0</v>
      </c>
      <c r="J3017" s="2295">
        <v>45835.0</v>
      </c>
      <c r="K3017" s="65"/>
      <c r="L3017" s="126" t="s">
        <v>17851</v>
      </c>
      <c r="M3017" s="156" t="s">
        <v>17839</v>
      </c>
      <c r="N3017" s="156" t="s">
        <v>17840</v>
      </c>
      <c r="O3017" s="333">
        <v>2.0</v>
      </c>
      <c r="P3017" s="156" t="s">
        <v>17841</v>
      </c>
      <c r="Q3017" s="2139" t="str">
        <f> hyperlink(vlookup(lower(N3017),'File Links'!E:F, 2, FALSE), "LINK")</f>
        <v>LINK</v>
      </c>
      <c r="R3017" s="156" t="s">
        <v>17842</v>
      </c>
      <c r="S3017" s="156" t="s">
        <v>17843</v>
      </c>
      <c r="T3017" s="65"/>
      <c r="U3017" s="333">
        <v>2.0</v>
      </c>
      <c r="V3017" s="156" t="s">
        <v>17844</v>
      </c>
      <c r="W3017" s="202" t="s">
        <v>1115</v>
      </c>
      <c r="X3017" s="2291" t="str">
        <f> hyperlink(vlookup(lower(S3017),'File Links'!E:F, 2, FALSE), "LINK")</f>
        <v>LINK</v>
      </c>
      <c r="Y3017" s="65"/>
      <c r="Z3017" s="156" t="s">
        <v>940</v>
      </c>
      <c r="AA3017" s="156" t="s">
        <v>17845</v>
      </c>
      <c r="AB3017" s="156" t="s">
        <v>7257</v>
      </c>
      <c r="AC3017" s="65" t="s">
        <v>17852</v>
      </c>
      <c r="AD3017" s="65" t="s">
        <v>17853</v>
      </c>
      <c r="AE3017" s="333">
        <v>10.0</v>
      </c>
      <c r="AF3017" s="333">
        <v>92.0</v>
      </c>
      <c r="AG3017" s="144">
        <v>0.048</v>
      </c>
      <c r="AH3017" s="434" t="s">
        <v>715</v>
      </c>
      <c r="AI3017" s="108" t="s">
        <v>17854</v>
      </c>
      <c r="AJ3017" s="108" t="s">
        <v>131</v>
      </c>
      <c r="AK3017" s="187" t="s">
        <v>131</v>
      </c>
      <c r="AL3017" s="108" t="s">
        <v>179</v>
      </c>
      <c r="AM3017" s="201" t="s">
        <v>130</v>
      </c>
      <c r="AN3017" s="126" t="s">
        <v>131</v>
      </c>
      <c r="AO3017" s="333">
        <v>342.0</v>
      </c>
      <c r="AP3017" s="333">
        <v>1.58</v>
      </c>
      <c r="AQ3017" s="65" t="s">
        <v>166</v>
      </c>
      <c r="AR3017" s="65" t="s">
        <v>4966</v>
      </c>
      <c r="AS3017" s="126">
        <v>0.001</v>
      </c>
      <c r="AT3017" s="1062" t="s">
        <v>128</v>
      </c>
      <c r="AU3017" s="65" t="s">
        <v>179</v>
      </c>
      <c r="AV3017" s="108" t="s">
        <v>130</v>
      </c>
      <c r="AW3017" s="432" t="s">
        <v>17855</v>
      </c>
      <c r="AX3017" s="65" t="s">
        <v>136</v>
      </c>
      <c r="AZ3017" s="196" t="s">
        <v>807</v>
      </c>
    </row>
    <row r="3018">
      <c r="A3018" s="107">
        <v>2852.0</v>
      </c>
      <c r="B3018" s="144" t="s">
        <v>145</v>
      </c>
      <c r="C3018" s="146" t="s">
        <v>108</v>
      </c>
      <c r="D3018" s="146" t="s">
        <v>241</v>
      </c>
      <c r="E3018" s="69"/>
      <c r="F3018" s="108" t="s">
        <v>17837</v>
      </c>
      <c r="G3018" s="108" t="s">
        <v>17856</v>
      </c>
      <c r="H3018" s="108" t="s">
        <v>242</v>
      </c>
      <c r="I3018" s="1326">
        <v>45810.0</v>
      </c>
      <c r="J3018" s="2336">
        <v>45835.0</v>
      </c>
      <c r="K3018" s="108"/>
      <c r="L3018" s="144" t="s">
        <v>17857</v>
      </c>
      <c r="M3018" s="108" t="s">
        <v>17839</v>
      </c>
      <c r="N3018" s="108" t="s">
        <v>17840</v>
      </c>
      <c r="O3018" s="144">
        <v>2.0</v>
      </c>
      <c r="P3018" s="108" t="s">
        <v>17841</v>
      </c>
      <c r="Q3018" s="2346" t="str">
        <f> hyperlink(vlookup(lower(N3018),'File Links'!E:F, 2, FALSE), "LINK")</f>
        <v>LINK</v>
      </c>
      <c r="R3018" s="108" t="s">
        <v>17842</v>
      </c>
      <c r="S3018" s="108" t="s">
        <v>17843</v>
      </c>
      <c r="T3018" s="108"/>
      <c r="U3018" s="144">
        <v>2.0</v>
      </c>
      <c r="V3018" s="108" t="s">
        <v>17844</v>
      </c>
      <c r="W3018" s="371" t="s">
        <v>1115</v>
      </c>
      <c r="X3018" s="2347" t="str">
        <f> hyperlink(vlookup(lower(S3018),'File Links'!E:F, 2, FALSE), "LINK")</f>
        <v>LINK</v>
      </c>
      <c r="Y3018" s="108"/>
      <c r="Z3018" s="108" t="s">
        <v>940</v>
      </c>
      <c r="AA3018" s="108" t="s">
        <v>17845</v>
      </c>
      <c r="AB3018" s="108" t="s">
        <v>7257</v>
      </c>
      <c r="AC3018" s="108"/>
      <c r="AD3018" s="108" t="s">
        <v>17858</v>
      </c>
      <c r="AE3018" s="108" t="s">
        <v>623</v>
      </c>
      <c r="AF3018" s="1106">
        <v>92.0</v>
      </c>
      <c r="AG3018" s="144">
        <v>0.048</v>
      </c>
      <c r="AH3018" s="434" t="s">
        <v>715</v>
      </c>
      <c r="AI3018" s="108" t="s">
        <v>17854</v>
      </c>
      <c r="AJ3018" s="108" t="s">
        <v>131</v>
      </c>
      <c r="AK3018" s="187" t="s">
        <v>131</v>
      </c>
      <c r="AL3018" s="108" t="s">
        <v>179</v>
      </c>
      <c r="AM3018" s="108" t="s">
        <v>130</v>
      </c>
      <c r="AN3018" s="108" t="s">
        <v>131</v>
      </c>
      <c r="AO3018" s="1106">
        <v>342.0</v>
      </c>
      <c r="AP3018" s="1106">
        <v>1.58</v>
      </c>
      <c r="AQ3018" s="108" t="s">
        <v>166</v>
      </c>
      <c r="AR3018" s="144" t="s">
        <v>17859</v>
      </c>
      <c r="AS3018" s="1106">
        <v>0.001</v>
      </c>
      <c r="AT3018" s="108" t="s">
        <v>128</v>
      </c>
      <c r="AU3018" s="108" t="s">
        <v>179</v>
      </c>
      <c r="AV3018" s="108" t="s">
        <v>130</v>
      </c>
      <c r="AW3018" s="653" t="s">
        <v>17850</v>
      </c>
      <c r="AX3018" s="108" t="s">
        <v>136</v>
      </c>
      <c r="AY3018" s="69"/>
      <c r="AZ3018" s="146" t="s">
        <v>807</v>
      </c>
      <c r="BA3018" s="69"/>
    </row>
    <row r="3019">
      <c r="A3019" s="41">
        <v>2853.0</v>
      </c>
      <c r="B3019" s="126" t="s">
        <v>516</v>
      </c>
      <c r="C3019" s="59" t="s">
        <v>108</v>
      </c>
      <c r="D3019" s="59" t="s">
        <v>241</v>
      </c>
      <c r="F3019" s="65" t="s">
        <v>17860</v>
      </c>
      <c r="G3019" s="65" t="s">
        <v>17861</v>
      </c>
      <c r="H3019" s="65" t="s">
        <v>242</v>
      </c>
      <c r="I3019" s="526">
        <v>45810.0</v>
      </c>
      <c r="J3019" s="859"/>
      <c r="K3019" s="65"/>
      <c r="L3019" s="65"/>
      <c r="M3019" s="65" t="s">
        <v>17862</v>
      </c>
      <c r="N3019" s="65" t="s">
        <v>17863</v>
      </c>
      <c r="O3019" s="65"/>
      <c r="P3019" s="570" t="s">
        <v>17864</v>
      </c>
      <c r="Q3019" s="2289" t="str">
        <f> hyperlink(vlookup(lower(N3019),'File Links'!E:F, 2, FALSE), "LINK")</f>
        <v>LINK</v>
      </c>
      <c r="R3019" s="65" t="s">
        <v>17865</v>
      </c>
      <c r="S3019" s="65" t="s">
        <v>17866</v>
      </c>
      <c r="T3019" s="65"/>
      <c r="U3019" s="65"/>
      <c r="V3019" s="570" t="s">
        <v>17867</v>
      </c>
      <c r="W3019" s="1225"/>
      <c r="X3019" s="2290" t="str">
        <f> hyperlink(vlookup(lower(S3019),'File Links'!E:F, 2, FALSE), "LINK")</f>
        <v>LINK</v>
      </c>
      <c r="Y3019" s="65"/>
      <c r="Z3019" s="65" t="s">
        <v>940</v>
      </c>
      <c r="AA3019" s="65" t="s">
        <v>17868</v>
      </c>
      <c r="AB3019" s="65" t="s">
        <v>7257</v>
      </c>
      <c r="AC3019" s="65"/>
      <c r="AD3019" s="65" t="s">
        <v>17869</v>
      </c>
      <c r="AE3019" s="65" t="s">
        <v>9212</v>
      </c>
      <c r="AF3019" s="65"/>
      <c r="AG3019" s="65" t="s">
        <v>131</v>
      </c>
      <c r="AH3019" s="65"/>
      <c r="AI3019" s="65" t="s">
        <v>131</v>
      </c>
      <c r="AJ3019" s="65" t="s">
        <v>131</v>
      </c>
      <c r="AK3019" s="65" t="s">
        <v>165</v>
      </c>
      <c r="AL3019" s="65" t="s">
        <v>179</v>
      </c>
      <c r="AM3019" s="65" t="s">
        <v>130</v>
      </c>
      <c r="AN3019" s="65" t="s">
        <v>131</v>
      </c>
      <c r="AO3019" s="333">
        <v>76.0</v>
      </c>
      <c r="AP3019" s="126" t="s">
        <v>17870</v>
      </c>
      <c r="AQ3019" s="65" t="s">
        <v>127</v>
      </c>
      <c r="AR3019" s="126" t="s">
        <v>17871</v>
      </c>
      <c r="AS3019" s="333">
        <v>0.042</v>
      </c>
      <c r="AT3019" s="65" t="s">
        <v>165</v>
      </c>
      <c r="AU3019" s="65" t="s">
        <v>179</v>
      </c>
      <c r="AV3019" s="65" t="s">
        <v>130</v>
      </c>
      <c r="AW3019" s="432" t="s">
        <v>17872</v>
      </c>
      <c r="AX3019" s="65" t="s">
        <v>136</v>
      </c>
    </row>
    <row r="3020">
      <c r="A3020" s="41">
        <v>2854.0</v>
      </c>
      <c r="B3020" s="126" t="s">
        <v>516</v>
      </c>
      <c r="C3020" s="59" t="s">
        <v>108</v>
      </c>
      <c r="D3020" s="59" t="s">
        <v>241</v>
      </c>
      <c r="F3020" s="65" t="s">
        <v>17860</v>
      </c>
      <c r="G3020" s="65" t="s">
        <v>17873</v>
      </c>
      <c r="H3020" s="65" t="s">
        <v>242</v>
      </c>
      <c r="I3020" s="526">
        <v>45810.0</v>
      </c>
      <c r="J3020" s="859"/>
      <c r="K3020" s="65" t="s">
        <v>17874</v>
      </c>
      <c r="L3020" s="65"/>
      <c r="M3020" s="65" t="s">
        <v>17862</v>
      </c>
      <c r="N3020" s="65" t="s">
        <v>17863</v>
      </c>
      <c r="O3020" s="65"/>
      <c r="P3020" s="570" t="s">
        <v>17864</v>
      </c>
      <c r="Q3020" s="2289" t="str">
        <f> hyperlink(vlookup(lower(N3020),'File Links'!E:F, 2, FALSE), "LINK")</f>
        <v>LINK</v>
      </c>
      <c r="R3020" s="65" t="s">
        <v>17865</v>
      </c>
      <c r="S3020" s="65" t="s">
        <v>17866</v>
      </c>
      <c r="T3020" s="65"/>
      <c r="U3020" s="65"/>
      <c r="V3020" s="570" t="s">
        <v>17867</v>
      </c>
      <c r="W3020" s="1225"/>
      <c r="X3020" s="2290" t="str">
        <f> hyperlink(vlookup(lower(S3020),'File Links'!E:F, 2, FALSE), "LINK")</f>
        <v>LINK</v>
      </c>
      <c r="Y3020" s="65"/>
      <c r="Z3020" s="65" t="s">
        <v>940</v>
      </c>
      <c r="AA3020" s="65" t="s">
        <v>17868</v>
      </c>
      <c r="AB3020" s="65" t="s">
        <v>7257</v>
      </c>
      <c r="AC3020" s="65"/>
      <c r="AD3020" s="65" t="s">
        <v>17869</v>
      </c>
      <c r="AE3020" s="65" t="s">
        <v>9212</v>
      </c>
      <c r="AF3020" s="65"/>
      <c r="AG3020" s="65" t="s">
        <v>131</v>
      </c>
      <c r="AH3020" s="65"/>
      <c r="AI3020" s="65" t="s">
        <v>131</v>
      </c>
      <c r="AJ3020" s="65" t="s">
        <v>131</v>
      </c>
      <c r="AK3020" s="65" t="s">
        <v>165</v>
      </c>
      <c r="AL3020" s="65" t="s">
        <v>179</v>
      </c>
      <c r="AM3020" s="65" t="s">
        <v>130</v>
      </c>
      <c r="AN3020" s="65" t="s">
        <v>131</v>
      </c>
      <c r="AO3020" s="333">
        <v>154.0</v>
      </c>
      <c r="AP3020" s="126" t="s">
        <v>17875</v>
      </c>
      <c r="AQ3020" s="65" t="s">
        <v>127</v>
      </c>
      <c r="AR3020" s="126" t="s">
        <v>17876</v>
      </c>
      <c r="AS3020" s="333">
        <v>0.001</v>
      </c>
      <c r="AT3020" s="65" t="s">
        <v>128</v>
      </c>
      <c r="AU3020" s="65" t="s">
        <v>179</v>
      </c>
      <c r="AV3020" s="65" t="s">
        <v>130</v>
      </c>
      <c r="AW3020" s="432" t="s">
        <v>17872</v>
      </c>
      <c r="AX3020" s="65" t="s">
        <v>136</v>
      </c>
    </row>
    <row r="3021">
      <c r="A3021" s="41">
        <v>2855.0</v>
      </c>
      <c r="B3021" s="126" t="s">
        <v>516</v>
      </c>
      <c r="C3021" s="59" t="s">
        <v>108</v>
      </c>
      <c r="D3021" s="59" t="s">
        <v>241</v>
      </c>
      <c r="F3021" s="65" t="s">
        <v>17860</v>
      </c>
      <c r="G3021" s="65" t="s">
        <v>17877</v>
      </c>
      <c r="H3021" s="65" t="s">
        <v>242</v>
      </c>
      <c r="I3021" s="526">
        <v>45810.0</v>
      </c>
      <c r="J3021" s="859"/>
      <c r="K3021" s="65" t="s">
        <v>17878</v>
      </c>
      <c r="L3021" s="65"/>
      <c r="M3021" s="65" t="s">
        <v>17862</v>
      </c>
      <c r="N3021" s="65" t="s">
        <v>17863</v>
      </c>
      <c r="O3021" s="65"/>
      <c r="P3021" s="570" t="s">
        <v>17864</v>
      </c>
      <c r="Q3021" s="2289" t="str">
        <f> hyperlink(vlookup(lower(N3021),'File Links'!E:F, 2, FALSE), "LINK")</f>
        <v>LINK</v>
      </c>
      <c r="R3021" s="65" t="s">
        <v>17865</v>
      </c>
      <c r="S3021" s="65" t="s">
        <v>17866</v>
      </c>
      <c r="T3021" s="65"/>
      <c r="U3021" s="65"/>
      <c r="V3021" s="570" t="s">
        <v>17867</v>
      </c>
      <c r="W3021" s="1225"/>
      <c r="X3021" s="2290" t="str">
        <f> hyperlink(vlookup(lower(S3021),'File Links'!E:F, 2, FALSE), "LINK")</f>
        <v>LINK</v>
      </c>
      <c r="Y3021" s="65"/>
      <c r="Z3021" s="65" t="s">
        <v>940</v>
      </c>
      <c r="AA3021" s="65" t="s">
        <v>17868</v>
      </c>
      <c r="AB3021" s="65" t="s">
        <v>7257</v>
      </c>
      <c r="AC3021" s="65"/>
      <c r="AD3021" s="65" t="s">
        <v>17869</v>
      </c>
      <c r="AE3021" s="65" t="s">
        <v>9212</v>
      </c>
      <c r="AF3021" s="65"/>
      <c r="AG3021" s="65" t="s">
        <v>131</v>
      </c>
      <c r="AH3021" s="65"/>
      <c r="AI3021" s="65" t="s">
        <v>131</v>
      </c>
      <c r="AJ3021" s="65" t="s">
        <v>131</v>
      </c>
      <c r="AK3021" s="65" t="s">
        <v>165</v>
      </c>
      <c r="AL3021" s="65" t="s">
        <v>179</v>
      </c>
      <c r="AM3021" s="65" t="s">
        <v>130</v>
      </c>
      <c r="AN3021" s="65" t="s">
        <v>131</v>
      </c>
      <c r="AO3021" s="333">
        <v>122.0</v>
      </c>
      <c r="AP3021" s="333">
        <v>1.89</v>
      </c>
      <c r="AQ3021" s="65" t="s">
        <v>166</v>
      </c>
      <c r="AR3021" s="65" t="s">
        <v>17879</v>
      </c>
      <c r="AS3021" s="333">
        <v>0.001</v>
      </c>
      <c r="AT3021" s="65" t="s">
        <v>128</v>
      </c>
      <c r="AU3021" s="65" t="s">
        <v>129</v>
      </c>
      <c r="AV3021" s="65" t="s">
        <v>130</v>
      </c>
      <c r="AW3021" s="432" t="s">
        <v>17872</v>
      </c>
      <c r="AX3021" s="65" t="s">
        <v>136</v>
      </c>
    </row>
    <row r="3022">
      <c r="A3022" s="41">
        <v>2856.0</v>
      </c>
      <c r="B3022" s="126" t="s">
        <v>516</v>
      </c>
      <c r="C3022" s="59" t="s">
        <v>108</v>
      </c>
      <c r="D3022" s="59" t="s">
        <v>241</v>
      </c>
      <c r="F3022" s="65" t="s">
        <v>17860</v>
      </c>
      <c r="G3022" s="65" t="s">
        <v>17880</v>
      </c>
      <c r="H3022" s="65" t="s">
        <v>242</v>
      </c>
      <c r="I3022" s="526">
        <v>45810.0</v>
      </c>
      <c r="J3022" s="859"/>
      <c r="K3022" s="65" t="s">
        <v>17881</v>
      </c>
      <c r="L3022" s="65"/>
      <c r="M3022" s="65" t="s">
        <v>17862</v>
      </c>
      <c r="N3022" s="65" t="s">
        <v>17863</v>
      </c>
      <c r="O3022" s="65"/>
      <c r="P3022" s="570" t="s">
        <v>17864</v>
      </c>
      <c r="Q3022" s="2289" t="str">
        <f> hyperlink(vlookup(lower(N3022),'File Links'!E:F, 2, FALSE), "LINK")</f>
        <v>LINK</v>
      </c>
      <c r="R3022" s="65" t="s">
        <v>17865</v>
      </c>
      <c r="S3022" s="65" t="s">
        <v>17866</v>
      </c>
      <c r="T3022" s="65"/>
      <c r="U3022" s="65"/>
      <c r="V3022" s="570" t="s">
        <v>17867</v>
      </c>
      <c r="W3022" s="1225"/>
      <c r="X3022" s="2290" t="str">
        <f> hyperlink(vlookup(lower(S3022),'File Links'!E:F, 2, FALSE), "LINK")</f>
        <v>LINK</v>
      </c>
      <c r="Y3022" s="65"/>
      <c r="Z3022" s="65" t="s">
        <v>940</v>
      </c>
      <c r="AA3022" s="65" t="s">
        <v>17868</v>
      </c>
      <c r="AB3022" s="65" t="s">
        <v>7257</v>
      </c>
      <c r="AC3022" s="65"/>
      <c r="AD3022" s="65" t="s">
        <v>17869</v>
      </c>
      <c r="AE3022" s="65" t="s">
        <v>9212</v>
      </c>
      <c r="AF3022" s="65"/>
      <c r="AG3022" s="65" t="s">
        <v>131</v>
      </c>
      <c r="AH3022" s="65"/>
      <c r="AI3022" s="65" t="s">
        <v>131</v>
      </c>
      <c r="AJ3022" s="65" t="s">
        <v>131</v>
      </c>
      <c r="AK3022" s="65" t="s">
        <v>165</v>
      </c>
      <c r="AL3022" s="65" t="s">
        <v>179</v>
      </c>
      <c r="AM3022" s="65" t="s">
        <v>130</v>
      </c>
      <c r="AN3022" s="65" t="s">
        <v>131</v>
      </c>
      <c r="AO3022" s="333">
        <v>122.0</v>
      </c>
      <c r="AP3022" s="333">
        <v>-0.43</v>
      </c>
      <c r="AQ3022" s="65" t="s">
        <v>166</v>
      </c>
      <c r="AR3022" s="65" t="s">
        <v>17882</v>
      </c>
      <c r="AS3022" s="333">
        <v>0.098</v>
      </c>
      <c r="AT3022" s="65" t="s">
        <v>165</v>
      </c>
      <c r="AU3022" s="65" t="s">
        <v>129</v>
      </c>
      <c r="AV3022" s="65" t="s">
        <v>130</v>
      </c>
      <c r="AW3022" s="432" t="s">
        <v>17872</v>
      </c>
      <c r="AX3022" s="65" t="s">
        <v>136</v>
      </c>
    </row>
    <row r="3023">
      <c r="A3023" s="41">
        <v>2857.0</v>
      </c>
      <c r="B3023" s="126" t="s">
        <v>516</v>
      </c>
      <c r="C3023" s="59" t="s">
        <v>108</v>
      </c>
      <c r="D3023" s="59" t="s">
        <v>241</v>
      </c>
      <c r="F3023" s="65" t="s">
        <v>17860</v>
      </c>
      <c r="G3023" s="65" t="s">
        <v>17880</v>
      </c>
      <c r="H3023" s="65" t="s">
        <v>242</v>
      </c>
      <c r="I3023" s="526">
        <v>45810.0</v>
      </c>
      <c r="J3023" s="859"/>
      <c r="K3023" s="65" t="s">
        <v>17883</v>
      </c>
      <c r="L3023" s="65"/>
      <c r="M3023" s="65" t="s">
        <v>17862</v>
      </c>
      <c r="N3023" s="65" t="s">
        <v>17863</v>
      </c>
      <c r="O3023" s="65"/>
      <c r="P3023" s="570" t="s">
        <v>17864</v>
      </c>
      <c r="Q3023" s="2289" t="str">
        <f> hyperlink(vlookup(lower(N3023),'File Links'!E:F, 2, FALSE), "LINK")</f>
        <v>LINK</v>
      </c>
      <c r="R3023" s="65" t="s">
        <v>17865</v>
      </c>
      <c r="S3023" s="65" t="s">
        <v>17866</v>
      </c>
      <c r="T3023" s="65"/>
      <c r="U3023" s="65"/>
      <c r="V3023" s="570" t="s">
        <v>17867</v>
      </c>
      <c r="W3023" s="1225"/>
      <c r="X3023" s="2290" t="str">
        <f> hyperlink(vlookup(lower(S3023),'File Links'!E:F, 2, FALSE), "LINK")</f>
        <v>LINK</v>
      </c>
      <c r="Y3023" s="65"/>
      <c r="Z3023" s="65" t="s">
        <v>940</v>
      </c>
      <c r="AA3023" s="65" t="s">
        <v>17868</v>
      </c>
      <c r="AB3023" s="65" t="s">
        <v>7257</v>
      </c>
      <c r="AC3023" s="65"/>
      <c r="AD3023" s="65" t="s">
        <v>17869</v>
      </c>
      <c r="AE3023" s="65" t="s">
        <v>9212</v>
      </c>
      <c r="AF3023" s="65"/>
      <c r="AG3023" s="65" t="s">
        <v>131</v>
      </c>
      <c r="AH3023" s="65"/>
      <c r="AI3023" s="65" t="s">
        <v>131</v>
      </c>
      <c r="AJ3023" s="65" t="s">
        <v>131</v>
      </c>
      <c r="AK3023" s="65" t="s">
        <v>165</v>
      </c>
      <c r="AL3023" s="65" t="s">
        <v>179</v>
      </c>
      <c r="AM3023" s="65" t="s">
        <v>130</v>
      </c>
      <c r="AN3023" s="65" t="s">
        <v>131</v>
      </c>
      <c r="AO3023" s="333">
        <v>122.0</v>
      </c>
      <c r="AP3023" s="333">
        <v>0.6</v>
      </c>
      <c r="AQ3023" s="65" t="s">
        <v>166</v>
      </c>
      <c r="AR3023" s="65" t="s">
        <v>17884</v>
      </c>
      <c r="AS3023" s="333">
        <v>0.001</v>
      </c>
      <c r="AT3023" s="65" t="s">
        <v>128</v>
      </c>
      <c r="AU3023" s="65" t="s">
        <v>129</v>
      </c>
      <c r="AV3023" s="65" t="s">
        <v>130</v>
      </c>
      <c r="AW3023" s="432" t="s">
        <v>17872</v>
      </c>
      <c r="AX3023" s="65" t="s">
        <v>136</v>
      </c>
    </row>
    <row r="3024">
      <c r="A3024" s="41">
        <v>2858.0</v>
      </c>
      <c r="B3024" s="126" t="s">
        <v>516</v>
      </c>
      <c r="C3024" s="59" t="s">
        <v>108</v>
      </c>
      <c r="D3024" s="59" t="s">
        <v>241</v>
      </c>
      <c r="F3024" s="65" t="s">
        <v>17860</v>
      </c>
      <c r="G3024" s="65" t="s">
        <v>17885</v>
      </c>
      <c r="H3024" s="65" t="s">
        <v>242</v>
      </c>
      <c r="I3024" s="526">
        <v>45810.0</v>
      </c>
      <c r="J3024" s="859"/>
      <c r="K3024" s="65" t="s">
        <v>17886</v>
      </c>
      <c r="L3024" s="65"/>
      <c r="M3024" s="65" t="s">
        <v>17862</v>
      </c>
      <c r="N3024" s="65" t="s">
        <v>17863</v>
      </c>
      <c r="O3024" s="65"/>
      <c r="P3024" s="570" t="s">
        <v>17864</v>
      </c>
      <c r="Q3024" s="2289" t="str">
        <f> hyperlink(vlookup(lower(N3024),'File Links'!E:F, 2, FALSE), "LINK")</f>
        <v>LINK</v>
      </c>
      <c r="R3024" s="65" t="s">
        <v>17865</v>
      </c>
      <c r="S3024" s="65" t="s">
        <v>17866</v>
      </c>
      <c r="T3024" s="65"/>
      <c r="U3024" s="65"/>
      <c r="V3024" s="570" t="s">
        <v>17867</v>
      </c>
      <c r="W3024" s="1225"/>
      <c r="X3024" s="2290" t="str">
        <f> hyperlink(vlookup(lower(S3024),'File Links'!E:F, 2, FALSE), "LINK")</f>
        <v>LINK</v>
      </c>
      <c r="Y3024" s="65"/>
      <c r="Z3024" s="65" t="s">
        <v>940</v>
      </c>
      <c r="AA3024" s="65" t="s">
        <v>17868</v>
      </c>
      <c r="AB3024" s="65" t="s">
        <v>7257</v>
      </c>
      <c r="AC3024" s="65"/>
      <c r="AD3024" s="65" t="s">
        <v>17869</v>
      </c>
      <c r="AE3024" s="65" t="s">
        <v>9212</v>
      </c>
      <c r="AF3024" s="65"/>
      <c r="AG3024" s="65" t="s">
        <v>131</v>
      </c>
      <c r="AH3024" s="65"/>
      <c r="AI3024" s="65" t="s">
        <v>131</v>
      </c>
      <c r="AJ3024" s="65" t="s">
        <v>131</v>
      </c>
      <c r="AK3024" s="65" t="s">
        <v>165</v>
      </c>
      <c r="AL3024" s="65" t="s">
        <v>179</v>
      </c>
      <c r="AM3024" s="65" t="s">
        <v>130</v>
      </c>
      <c r="AN3024" s="65" t="s">
        <v>131</v>
      </c>
      <c r="AO3024" s="333">
        <v>329.0</v>
      </c>
      <c r="AP3024" s="333">
        <v>-0.36</v>
      </c>
      <c r="AQ3024" s="65" t="s">
        <v>166</v>
      </c>
      <c r="AR3024" s="65" t="s">
        <v>17887</v>
      </c>
      <c r="AS3024" s="333">
        <v>0.001</v>
      </c>
      <c r="AT3024" s="65" t="s">
        <v>128</v>
      </c>
      <c r="AU3024" s="65" t="s">
        <v>211</v>
      </c>
      <c r="AV3024" s="65" t="s">
        <v>130</v>
      </c>
      <c r="AW3024" s="432" t="s">
        <v>17872</v>
      </c>
      <c r="AX3024" s="65" t="s">
        <v>136</v>
      </c>
    </row>
    <row r="3025">
      <c r="A3025" s="41">
        <v>2859.0</v>
      </c>
      <c r="B3025" s="126" t="s">
        <v>516</v>
      </c>
      <c r="C3025" s="59" t="s">
        <v>108</v>
      </c>
      <c r="D3025" s="59" t="s">
        <v>241</v>
      </c>
      <c r="F3025" s="65" t="s">
        <v>17860</v>
      </c>
      <c r="G3025" s="65" t="s">
        <v>17888</v>
      </c>
      <c r="H3025" s="65" t="s">
        <v>242</v>
      </c>
      <c r="I3025" s="526">
        <v>45810.0</v>
      </c>
      <c r="J3025" s="859"/>
      <c r="K3025" s="65" t="s">
        <v>17889</v>
      </c>
      <c r="L3025" s="65"/>
      <c r="M3025" s="65" t="s">
        <v>17862</v>
      </c>
      <c r="N3025" s="65" t="s">
        <v>17863</v>
      </c>
      <c r="O3025" s="65"/>
      <c r="P3025" s="570" t="s">
        <v>17864</v>
      </c>
      <c r="Q3025" s="2289" t="str">
        <f> hyperlink(vlookup(lower(N3025),'File Links'!E:F, 2, FALSE), "LINK")</f>
        <v>LINK</v>
      </c>
      <c r="R3025" s="65" t="s">
        <v>17865</v>
      </c>
      <c r="S3025" s="65" t="s">
        <v>17866</v>
      </c>
      <c r="T3025" s="65"/>
      <c r="U3025" s="65"/>
      <c r="V3025" s="570" t="s">
        <v>17867</v>
      </c>
      <c r="W3025" s="1225"/>
      <c r="X3025" s="2290" t="str">
        <f> hyperlink(vlookup(lower(S3025),'File Links'!E:F, 2, FALSE), "LINK")</f>
        <v>LINK</v>
      </c>
      <c r="Y3025" s="65"/>
      <c r="Z3025" s="65" t="s">
        <v>940</v>
      </c>
      <c r="AA3025" s="65" t="s">
        <v>17868</v>
      </c>
      <c r="AB3025" s="65" t="s">
        <v>7257</v>
      </c>
      <c r="AC3025" s="65"/>
      <c r="AD3025" s="65" t="s">
        <v>17869</v>
      </c>
      <c r="AE3025" s="65" t="s">
        <v>9212</v>
      </c>
      <c r="AF3025" s="65"/>
      <c r="AG3025" s="65" t="s">
        <v>131</v>
      </c>
      <c r="AH3025" s="65"/>
      <c r="AI3025" s="65" t="s">
        <v>131</v>
      </c>
      <c r="AJ3025" s="65" t="s">
        <v>131</v>
      </c>
      <c r="AK3025" s="65" t="s">
        <v>165</v>
      </c>
      <c r="AL3025" s="65" t="s">
        <v>179</v>
      </c>
      <c r="AM3025" s="65" t="s">
        <v>130</v>
      </c>
      <c r="AN3025" s="65" t="s">
        <v>131</v>
      </c>
      <c r="AO3025" s="333">
        <v>329.0</v>
      </c>
      <c r="AP3025" s="333">
        <v>-0.56</v>
      </c>
      <c r="AQ3025" s="65" t="s">
        <v>166</v>
      </c>
      <c r="AR3025" s="65" t="s">
        <v>17890</v>
      </c>
      <c r="AS3025" s="333">
        <v>0.001</v>
      </c>
      <c r="AT3025" s="65" t="s">
        <v>128</v>
      </c>
      <c r="AU3025" s="65" t="s">
        <v>211</v>
      </c>
      <c r="AV3025" s="65" t="s">
        <v>130</v>
      </c>
      <c r="AW3025" s="432" t="s">
        <v>17872</v>
      </c>
      <c r="AX3025" s="65" t="s">
        <v>136</v>
      </c>
    </row>
    <row r="3026">
      <c r="A3026" s="41">
        <v>2860.0</v>
      </c>
      <c r="B3026" s="126" t="s">
        <v>516</v>
      </c>
      <c r="C3026" s="59" t="s">
        <v>108</v>
      </c>
      <c r="D3026" s="59" t="s">
        <v>241</v>
      </c>
      <c r="F3026" s="65" t="s">
        <v>17860</v>
      </c>
      <c r="G3026" s="65" t="s">
        <v>17891</v>
      </c>
      <c r="H3026" s="65" t="s">
        <v>242</v>
      </c>
      <c r="I3026" s="526">
        <v>45810.0</v>
      </c>
      <c r="J3026" s="859"/>
      <c r="K3026" s="65" t="s">
        <v>17892</v>
      </c>
      <c r="L3026" s="65"/>
      <c r="M3026" s="65" t="s">
        <v>17862</v>
      </c>
      <c r="N3026" s="65" t="s">
        <v>17863</v>
      </c>
      <c r="O3026" s="65"/>
      <c r="P3026" s="570" t="s">
        <v>17864</v>
      </c>
      <c r="Q3026" s="2289" t="str">
        <f> hyperlink(vlookup(lower(N3026),'File Links'!E:F, 2, FALSE), "LINK")</f>
        <v>LINK</v>
      </c>
      <c r="R3026" s="65" t="s">
        <v>17865</v>
      </c>
      <c r="S3026" s="65" t="s">
        <v>17866</v>
      </c>
      <c r="T3026" s="65"/>
      <c r="U3026" s="65"/>
      <c r="V3026" s="570" t="s">
        <v>17867</v>
      </c>
      <c r="W3026" s="1225"/>
      <c r="X3026" s="2290" t="str">
        <f> hyperlink(vlookup(lower(S3026),'File Links'!E:F, 2, FALSE), "LINK")</f>
        <v>LINK</v>
      </c>
      <c r="Y3026" s="65"/>
      <c r="Z3026" s="65" t="s">
        <v>940</v>
      </c>
      <c r="AA3026" s="65" t="s">
        <v>17868</v>
      </c>
      <c r="AB3026" s="65" t="s">
        <v>7257</v>
      </c>
      <c r="AC3026" s="65"/>
      <c r="AD3026" s="65" t="s">
        <v>17869</v>
      </c>
      <c r="AE3026" s="65" t="s">
        <v>9212</v>
      </c>
      <c r="AF3026" s="65"/>
      <c r="AG3026" s="65" t="s">
        <v>131</v>
      </c>
      <c r="AH3026" s="65"/>
      <c r="AI3026" s="65" t="s">
        <v>131</v>
      </c>
      <c r="AJ3026" s="65" t="s">
        <v>131</v>
      </c>
      <c r="AK3026" s="65" t="s">
        <v>165</v>
      </c>
      <c r="AL3026" s="65" t="s">
        <v>179</v>
      </c>
      <c r="AM3026" s="65" t="s">
        <v>130</v>
      </c>
      <c r="AN3026" s="65" t="s">
        <v>131</v>
      </c>
      <c r="AO3026" s="333">
        <v>329.0</v>
      </c>
      <c r="AP3026" s="333">
        <v>0.21</v>
      </c>
      <c r="AQ3026" s="65" t="s">
        <v>166</v>
      </c>
      <c r="AR3026" s="65" t="s">
        <v>17893</v>
      </c>
      <c r="AS3026" s="333">
        <v>0.404</v>
      </c>
      <c r="AT3026" s="65" t="s">
        <v>165</v>
      </c>
      <c r="AU3026" s="65" t="s">
        <v>211</v>
      </c>
      <c r="AV3026" s="65" t="s">
        <v>130</v>
      </c>
      <c r="AW3026" s="432" t="s">
        <v>17872</v>
      </c>
      <c r="AX3026" s="65" t="s">
        <v>136</v>
      </c>
    </row>
    <row r="3027">
      <c r="A3027" s="41">
        <v>2861.0</v>
      </c>
      <c r="B3027" s="126" t="s">
        <v>516</v>
      </c>
      <c r="C3027" s="59" t="s">
        <v>108</v>
      </c>
      <c r="D3027" s="59" t="s">
        <v>241</v>
      </c>
      <c r="F3027" s="65" t="s">
        <v>17894</v>
      </c>
      <c r="G3027" s="65" t="s">
        <v>17895</v>
      </c>
      <c r="H3027" s="65" t="s">
        <v>242</v>
      </c>
      <c r="I3027" s="526">
        <v>45810.0</v>
      </c>
      <c r="J3027" s="859"/>
      <c r="K3027" s="65" t="s">
        <v>17896</v>
      </c>
      <c r="L3027" s="65"/>
      <c r="M3027" s="65" t="s">
        <v>17897</v>
      </c>
      <c r="N3027" s="65" t="s">
        <v>17898</v>
      </c>
      <c r="O3027" s="65"/>
      <c r="P3027" s="570" t="s">
        <v>17899</v>
      </c>
      <c r="Q3027" s="2289" t="str">
        <f> hyperlink(vlookup(lower(N3027),'File Links'!E:F, 2, FALSE), "LINK")</f>
        <v>LINK</v>
      </c>
      <c r="R3027" s="65" t="s">
        <v>17900</v>
      </c>
      <c r="S3027" s="65" t="s">
        <v>17901</v>
      </c>
      <c r="T3027" s="65"/>
      <c r="U3027" s="333">
        <v>1.0</v>
      </c>
      <c r="V3027" s="570" t="s">
        <v>17902</v>
      </c>
      <c r="W3027" s="1225"/>
      <c r="X3027" s="2290" t="str">
        <f> hyperlink(vlookup(lower(S3027),'File Links'!E:F, 2, FALSE), "LINK")</f>
        <v>LINK</v>
      </c>
      <c r="Y3027" s="65"/>
      <c r="Z3027" s="65" t="s">
        <v>940</v>
      </c>
      <c r="AA3027" s="65" t="s">
        <v>17903</v>
      </c>
      <c r="AB3027" s="65" t="s">
        <v>7257</v>
      </c>
      <c r="AC3027" s="65" t="s">
        <v>17904</v>
      </c>
      <c r="AD3027" s="65" t="s">
        <v>17905</v>
      </c>
      <c r="AE3027" s="65" t="s">
        <v>2764</v>
      </c>
      <c r="AF3027" s="333">
        <v>54.0</v>
      </c>
      <c r="AG3027" s="65" t="s">
        <v>17906</v>
      </c>
      <c r="AH3027" s="65" t="s">
        <v>127</v>
      </c>
      <c r="AI3027" s="65" t="s">
        <v>2764</v>
      </c>
      <c r="AJ3027" s="333">
        <v>0.001</v>
      </c>
      <c r="AK3027" s="65" t="s">
        <v>128</v>
      </c>
      <c r="AL3027" s="65" t="s">
        <v>179</v>
      </c>
      <c r="AM3027" s="65" t="s">
        <v>130</v>
      </c>
      <c r="AN3027" s="65" t="s">
        <v>131</v>
      </c>
      <c r="AO3027" s="333">
        <v>799.0</v>
      </c>
      <c r="AP3027" s="65" t="s">
        <v>17907</v>
      </c>
      <c r="AQ3027" s="65" t="s">
        <v>127</v>
      </c>
      <c r="AR3027" s="65" t="s">
        <v>17908</v>
      </c>
      <c r="AS3027" s="333">
        <v>0.001</v>
      </c>
      <c r="AT3027" s="65" t="s">
        <v>128</v>
      </c>
      <c r="AU3027" s="65" t="s">
        <v>179</v>
      </c>
      <c r="AV3027" s="65" t="s">
        <v>130</v>
      </c>
      <c r="AW3027" s="432" t="s">
        <v>17909</v>
      </c>
      <c r="AX3027" s="65" t="s">
        <v>136</v>
      </c>
      <c r="AZ3027" s="59" t="s">
        <v>7268</v>
      </c>
    </row>
    <row r="3028">
      <c r="A3028" s="41">
        <v>2868.0</v>
      </c>
      <c r="B3028" s="126" t="s">
        <v>516</v>
      </c>
      <c r="C3028" s="59" t="s">
        <v>108</v>
      </c>
      <c r="D3028" s="59" t="s">
        <v>241</v>
      </c>
      <c r="F3028" s="65" t="s">
        <v>17894</v>
      </c>
      <c r="G3028" s="65" t="s">
        <v>17895</v>
      </c>
      <c r="H3028" s="65" t="s">
        <v>242</v>
      </c>
      <c r="I3028" s="526">
        <v>45810.0</v>
      </c>
      <c r="J3028" s="859"/>
      <c r="K3028" s="65" t="s">
        <v>17896</v>
      </c>
      <c r="L3028" s="65"/>
      <c r="M3028" s="65" t="s">
        <v>17897</v>
      </c>
      <c r="N3028" s="65" t="s">
        <v>17898</v>
      </c>
      <c r="O3028" s="65"/>
      <c r="P3028" s="570" t="s">
        <v>17899</v>
      </c>
      <c r="Q3028" s="2289" t="str">
        <f> hyperlink(vlookup(lower(N3028),'File Links'!E:F, 2, FALSE), "LINK")</f>
        <v>LINK</v>
      </c>
      <c r="R3028" s="65" t="s">
        <v>17900</v>
      </c>
      <c r="S3028" s="65" t="s">
        <v>17901</v>
      </c>
      <c r="T3028" s="65"/>
      <c r="U3028" s="333">
        <v>4.0</v>
      </c>
      <c r="V3028" s="570" t="s">
        <v>17902</v>
      </c>
      <c r="W3028" s="1225"/>
      <c r="X3028" s="2290" t="str">
        <f> hyperlink(vlookup(lower(S3028),'File Links'!E:F, 2, FALSE), "LINK")</f>
        <v>LINK</v>
      </c>
      <c r="Y3028" s="65"/>
      <c r="Z3028" s="65" t="s">
        <v>940</v>
      </c>
      <c r="AA3028" s="65" t="s">
        <v>17903</v>
      </c>
      <c r="AB3028" s="65" t="s">
        <v>7257</v>
      </c>
      <c r="AC3028" s="65" t="s">
        <v>17904</v>
      </c>
      <c r="AD3028" s="65" t="s">
        <v>17910</v>
      </c>
      <c r="AE3028" s="65" t="s">
        <v>1035</v>
      </c>
      <c r="AF3028" s="333">
        <v>58.0</v>
      </c>
      <c r="AG3028" s="65" t="s">
        <v>131</v>
      </c>
      <c r="AH3028" s="65" t="s">
        <v>131</v>
      </c>
      <c r="AI3028" s="65" t="s">
        <v>1035</v>
      </c>
      <c r="AJ3028" s="333">
        <v>0.05</v>
      </c>
      <c r="AK3028" s="65" t="s">
        <v>128</v>
      </c>
      <c r="AL3028" s="65" t="s">
        <v>179</v>
      </c>
      <c r="AM3028" s="65" t="s">
        <v>130</v>
      </c>
      <c r="AN3028" s="65" t="s">
        <v>131</v>
      </c>
      <c r="AO3028" s="333">
        <v>799.0</v>
      </c>
      <c r="AP3028" s="333">
        <v>0.75</v>
      </c>
      <c r="AQ3028" s="65" t="s">
        <v>166</v>
      </c>
      <c r="AR3028" s="65" t="s">
        <v>17911</v>
      </c>
      <c r="AS3028" s="65" t="s">
        <v>131</v>
      </c>
      <c r="AT3028" s="65" t="s">
        <v>165</v>
      </c>
      <c r="AU3028" s="65" t="s">
        <v>179</v>
      </c>
      <c r="AV3028" s="65" t="s">
        <v>130</v>
      </c>
      <c r="AW3028" s="432" t="s">
        <v>17909</v>
      </c>
      <c r="AX3028" s="65" t="s">
        <v>136</v>
      </c>
      <c r="AZ3028" s="59" t="s">
        <v>7268</v>
      </c>
    </row>
    <row r="3029">
      <c r="A3029" s="2340">
        <v>2987.0</v>
      </c>
      <c r="B3029" s="1793" t="s">
        <v>145</v>
      </c>
      <c r="C3029" s="1623" t="s">
        <v>108</v>
      </c>
      <c r="D3029" s="1623" t="s">
        <v>15410</v>
      </c>
      <c r="E3029" s="1120"/>
      <c r="F3029" s="1624" t="s">
        <v>17894</v>
      </c>
      <c r="G3029" s="1626" t="s">
        <v>17895</v>
      </c>
      <c r="H3029" s="1626" t="s">
        <v>17188</v>
      </c>
      <c r="I3029" s="2128">
        <v>45331.0</v>
      </c>
      <c r="J3029" s="2341">
        <v>45835.0</v>
      </c>
      <c r="K3029" s="1624"/>
      <c r="L3029" s="1793" t="s">
        <v>17912</v>
      </c>
      <c r="M3029" s="1626" t="s">
        <v>17897</v>
      </c>
      <c r="N3029" s="1626" t="s">
        <v>17898</v>
      </c>
      <c r="O3029" s="1818">
        <v>1.0</v>
      </c>
      <c r="P3029" s="1626" t="s">
        <v>17899</v>
      </c>
      <c r="Q3029" s="2342" t="str">
        <f> hyperlink(vlookup(lower(N3029),'File Links'!E:F, 2, FALSE), "LINK")</f>
        <v>LINK</v>
      </c>
      <c r="R3029" s="1626" t="s">
        <v>17900</v>
      </c>
      <c r="S3029" s="1626" t="s">
        <v>17901</v>
      </c>
      <c r="T3029" s="1624"/>
      <c r="U3029" s="1818">
        <v>1.0</v>
      </c>
      <c r="V3029" s="1626" t="s">
        <v>17902</v>
      </c>
      <c r="W3029" s="1793" t="s">
        <v>1115</v>
      </c>
      <c r="X3029" s="2343" t="str">
        <f> hyperlink(vlookup(lower(S3029),'File Links'!E:F, 2, FALSE), "LINK")</f>
        <v>LINK</v>
      </c>
      <c r="Y3029" s="1624"/>
      <c r="Z3029" s="1626" t="s">
        <v>940</v>
      </c>
      <c r="AA3029" s="1626" t="s">
        <v>17903</v>
      </c>
      <c r="AB3029" s="1626" t="s">
        <v>7257</v>
      </c>
      <c r="AC3029" s="1626" t="s">
        <v>17904</v>
      </c>
      <c r="AD3029" s="1793" t="s">
        <v>17913</v>
      </c>
      <c r="AE3029" s="1818">
        <v>2.0</v>
      </c>
      <c r="AF3029" s="1818">
        <v>56.0</v>
      </c>
      <c r="AG3029" s="1624" t="s">
        <v>17914</v>
      </c>
      <c r="AH3029" s="1624" t="s">
        <v>127</v>
      </c>
      <c r="AI3029" s="1624" t="s">
        <v>2764</v>
      </c>
      <c r="AJ3029" s="1818">
        <v>1.0E-4</v>
      </c>
      <c r="AK3029" s="1624" t="s">
        <v>128</v>
      </c>
      <c r="AL3029" s="1624" t="s">
        <v>179</v>
      </c>
      <c r="AM3029" s="1624" t="s">
        <v>130</v>
      </c>
      <c r="AN3029" s="1793" t="s">
        <v>131</v>
      </c>
      <c r="AO3029" s="1818">
        <v>1598.0</v>
      </c>
      <c r="AP3029" s="1818">
        <v>0.85</v>
      </c>
      <c r="AQ3029" s="1624" t="s">
        <v>166</v>
      </c>
      <c r="AR3029" s="1624" t="s">
        <v>1166</v>
      </c>
      <c r="AS3029" s="1793">
        <v>0.001</v>
      </c>
      <c r="AT3029" s="1624" t="s">
        <v>128</v>
      </c>
      <c r="AU3029" s="1624" t="s">
        <v>179</v>
      </c>
      <c r="AV3029" s="1624" t="s">
        <v>130</v>
      </c>
      <c r="AW3029" s="2345" t="s">
        <v>17915</v>
      </c>
      <c r="AX3029" s="1624" t="s">
        <v>136</v>
      </c>
      <c r="AY3029" s="1120"/>
      <c r="AZ3029" s="1623" t="s">
        <v>807</v>
      </c>
      <c r="BA3029" s="1120"/>
    </row>
    <row r="3030">
      <c r="A3030" s="41">
        <v>2862.0</v>
      </c>
      <c r="B3030" s="126" t="s">
        <v>516</v>
      </c>
      <c r="C3030" s="59" t="s">
        <v>108</v>
      </c>
      <c r="D3030" s="59" t="s">
        <v>241</v>
      </c>
      <c r="F3030" s="65" t="s">
        <v>17894</v>
      </c>
      <c r="G3030" s="65" t="s">
        <v>17916</v>
      </c>
      <c r="H3030" s="65" t="s">
        <v>242</v>
      </c>
      <c r="I3030" s="526">
        <v>45810.0</v>
      </c>
      <c r="J3030" s="859"/>
      <c r="K3030" s="65" t="s">
        <v>17917</v>
      </c>
      <c r="L3030" s="65"/>
      <c r="M3030" s="65" t="s">
        <v>17897</v>
      </c>
      <c r="N3030" s="65" t="s">
        <v>17898</v>
      </c>
      <c r="O3030" s="65"/>
      <c r="P3030" s="570" t="s">
        <v>17899</v>
      </c>
      <c r="Q3030" s="2289" t="str">
        <f> hyperlink(vlookup(lower(N3030),'File Links'!E:F, 2, FALSE), "LINK")</f>
        <v>LINK</v>
      </c>
      <c r="R3030" s="65" t="s">
        <v>17900</v>
      </c>
      <c r="S3030" s="65" t="s">
        <v>17901</v>
      </c>
      <c r="T3030" s="65"/>
      <c r="U3030" s="333">
        <v>1.0</v>
      </c>
      <c r="V3030" s="570" t="s">
        <v>17902</v>
      </c>
      <c r="W3030" s="1225"/>
      <c r="X3030" s="2290" t="str">
        <f> hyperlink(vlookup(lower(S3030),'File Links'!E:F, 2, FALSE), "LINK")</f>
        <v>LINK</v>
      </c>
      <c r="Y3030" s="65"/>
      <c r="Z3030" s="65" t="s">
        <v>940</v>
      </c>
      <c r="AA3030" s="65" t="s">
        <v>17903</v>
      </c>
      <c r="AB3030" s="65" t="s">
        <v>7257</v>
      </c>
      <c r="AC3030" s="65" t="s">
        <v>17904</v>
      </c>
      <c r="AD3030" s="65" t="s">
        <v>17905</v>
      </c>
      <c r="AE3030" s="65" t="s">
        <v>2764</v>
      </c>
      <c r="AF3030" s="333">
        <v>54.0</v>
      </c>
      <c r="AG3030" s="65" t="s">
        <v>17906</v>
      </c>
      <c r="AH3030" s="65" t="s">
        <v>127</v>
      </c>
      <c r="AI3030" s="65" t="s">
        <v>2764</v>
      </c>
      <c r="AJ3030" s="333">
        <v>0.001</v>
      </c>
      <c r="AK3030" s="65" t="s">
        <v>128</v>
      </c>
      <c r="AL3030" s="65" t="s">
        <v>179</v>
      </c>
      <c r="AM3030" s="65" t="s">
        <v>130</v>
      </c>
      <c r="AN3030" s="65" t="s">
        <v>131</v>
      </c>
      <c r="AO3030" s="333">
        <v>799.0</v>
      </c>
      <c r="AP3030" s="65" t="s">
        <v>17918</v>
      </c>
      <c r="AQ3030" s="65" t="s">
        <v>127</v>
      </c>
      <c r="AR3030" s="65" t="s">
        <v>17919</v>
      </c>
      <c r="AS3030" s="333">
        <v>0.001</v>
      </c>
      <c r="AT3030" s="65" t="s">
        <v>128</v>
      </c>
      <c r="AU3030" s="65" t="s">
        <v>179</v>
      </c>
      <c r="AV3030" s="65" t="s">
        <v>130</v>
      </c>
      <c r="AW3030" s="432" t="s">
        <v>17909</v>
      </c>
      <c r="AX3030" s="65" t="s">
        <v>136</v>
      </c>
      <c r="AZ3030" s="59" t="s">
        <v>7268</v>
      </c>
    </row>
    <row r="3031">
      <c r="A3031" s="41">
        <v>2869.0</v>
      </c>
      <c r="B3031" s="126" t="s">
        <v>516</v>
      </c>
      <c r="C3031" s="59" t="s">
        <v>108</v>
      </c>
      <c r="D3031" s="59" t="s">
        <v>241</v>
      </c>
      <c r="F3031" s="65" t="s">
        <v>17894</v>
      </c>
      <c r="G3031" s="65" t="s">
        <v>17916</v>
      </c>
      <c r="H3031" s="65" t="s">
        <v>242</v>
      </c>
      <c r="I3031" s="526">
        <v>45810.0</v>
      </c>
      <c r="J3031" s="859"/>
      <c r="K3031" s="65" t="s">
        <v>17917</v>
      </c>
      <c r="L3031" s="65"/>
      <c r="M3031" s="65" t="s">
        <v>17897</v>
      </c>
      <c r="N3031" s="65" t="s">
        <v>17898</v>
      </c>
      <c r="O3031" s="65"/>
      <c r="P3031" s="570" t="s">
        <v>17899</v>
      </c>
      <c r="Q3031" s="2289" t="str">
        <f> hyperlink(vlookup(lower(N3031),'File Links'!E:F, 2, FALSE), "LINK")</f>
        <v>LINK</v>
      </c>
      <c r="R3031" s="65" t="s">
        <v>17900</v>
      </c>
      <c r="S3031" s="65" t="s">
        <v>17901</v>
      </c>
      <c r="T3031" s="65"/>
      <c r="U3031" s="333">
        <v>4.0</v>
      </c>
      <c r="V3031" s="570" t="s">
        <v>17902</v>
      </c>
      <c r="W3031" s="1225"/>
      <c r="X3031" s="2290" t="str">
        <f> hyperlink(vlookup(lower(S3031),'File Links'!E:F, 2, FALSE), "LINK")</f>
        <v>LINK</v>
      </c>
      <c r="Y3031" s="65"/>
      <c r="Z3031" s="65" t="s">
        <v>940</v>
      </c>
      <c r="AA3031" s="65" t="s">
        <v>17903</v>
      </c>
      <c r="AB3031" s="65" t="s">
        <v>7257</v>
      </c>
      <c r="AC3031" s="65" t="s">
        <v>17904</v>
      </c>
      <c r="AD3031" s="65" t="s">
        <v>17905</v>
      </c>
      <c r="AE3031" s="65" t="s">
        <v>1035</v>
      </c>
      <c r="AF3031" s="333">
        <v>58.0</v>
      </c>
      <c r="AG3031" s="65" t="s">
        <v>131</v>
      </c>
      <c r="AH3031" s="65" t="s">
        <v>131</v>
      </c>
      <c r="AI3031" s="65" t="s">
        <v>1035</v>
      </c>
      <c r="AJ3031" s="333">
        <v>0.05</v>
      </c>
      <c r="AK3031" s="65" t="s">
        <v>128</v>
      </c>
      <c r="AL3031" s="65" t="s">
        <v>179</v>
      </c>
      <c r="AM3031" s="65" t="s">
        <v>130</v>
      </c>
      <c r="AN3031" s="65" t="s">
        <v>131</v>
      </c>
      <c r="AO3031" s="333">
        <v>799.0</v>
      </c>
      <c r="AP3031" s="333">
        <v>0.84</v>
      </c>
      <c r="AQ3031" s="65" t="s">
        <v>166</v>
      </c>
      <c r="AR3031" s="65" t="s">
        <v>17920</v>
      </c>
      <c r="AS3031" s="65" t="s">
        <v>131</v>
      </c>
      <c r="AT3031" s="65" t="s">
        <v>165</v>
      </c>
      <c r="AU3031" s="65" t="s">
        <v>179</v>
      </c>
      <c r="AV3031" s="65" t="s">
        <v>130</v>
      </c>
      <c r="AW3031" s="432" t="s">
        <v>17909</v>
      </c>
      <c r="AX3031" s="65" t="s">
        <v>136</v>
      </c>
      <c r="AZ3031" s="59" t="s">
        <v>7268</v>
      </c>
    </row>
    <row r="3032">
      <c r="A3032" s="41">
        <v>2863.0</v>
      </c>
      <c r="B3032" s="126" t="s">
        <v>516</v>
      </c>
      <c r="C3032" s="59" t="s">
        <v>108</v>
      </c>
      <c r="D3032" s="59" t="s">
        <v>241</v>
      </c>
      <c r="F3032" s="65" t="s">
        <v>17894</v>
      </c>
      <c r="G3032" s="65" t="s">
        <v>17921</v>
      </c>
      <c r="H3032" s="65" t="s">
        <v>242</v>
      </c>
      <c r="I3032" s="526">
        <v>45810.0</v>
      </c>
      <c r="J3032" s="859"/>
      <c r="K3032" s="65" t="s">
        <v>17922</v>
      </c>
      <c r="L3032" s="65"/>
      <c r="M3032" s="65" t="s">
        <v>17897</v>
      </c>
      <c r="N3032" s="65" t="s">
        <v>17898</v>
      </c>
      <c r="O3032" s="65"/>
      <c r="P3032" s="570" t="s">
        <v>17899</v>
      </c>
      <c r="Q3032" s="2289" t="str">
        <f> hyperlink(vlookup(lower(N3032),'File Links'!E:F, 2, FALSE), "LINK")</f>
        <v>LINK</v>
      </c>
      <c r="R3032" s="65" t="s">
        <v>17900</v>
      </c>
      <c r="S3032" s="65" t="s">
        <v>17901</v>
      </c>
      <c r="T3032" s="65"/>
      <c r="U3032" s="333">
        <v>1.0</v>
      </c>
      <c r="V3032" s="570" t="s">
        <v>17902</v>
      </c>
      <c r="W3032" s="1225"/>
      <c r="X3032" s="2290" t="str">
        <f> hyperlink(vlookup(lower(S3032),'File Links'!E:F, 2, FALSE), "LINK")</f>
        <v>LINK</v>
      </c>
      <c r="Y3032" s="65"/>
      <c r="Z3032" s="65" t="s">
        <v>940</v>
      </c>
      <c r="AA3032" s="65" t="s">
        <v>17903</v>
      </c>
      <c r="AB3032" s="65" t="s">
        <v>7257</v>
      </c>
      <c r="AC3032" s="65" t="s">
        <v>17904</v>
      </c>
      <c r="AD3032" s="65" t="s">
        <v>17923</v>
      </c>
      <c r="AE3032" s="65" t="s">
        <v>2764</v>
      </c>
      <c r="AF3032" s="333">
        <v>54.0</v>
      </c>
      <c r="AG3032" s="65" t="s">
        <v>17924</v>
      </c>
      <c r="AH3032" s="65" t="s">
        <v>127</v>
      </c>
      <c r="AI3032" s="65" t="s">
        <v>2764</v>
      </c>
      <c r="AJ3032" s="333">
        <v>0.001</v>
      </c>
      <c r="AK3032" s="65" t="s">
        <v>128</v>
      </c>
      <c r="AL3032" s="65" t="s">
        <v>179</v>
      </c>
      <c r="AM3032" s="65" t="s">
        <v>130</v>
      </c>
      <c r="AN3032" s="65" t="s">
        <v>131</v>
      </c>
      <c r="AO3032" s="333">
        <v>799.0</v>
      </c>
      <c r="AP3032" s="333">
        <v>0.48</v>
      </c>
      <c r="AQ3032" s="65" t="s">
        <v>166</v>
      </c>
      <c r="AR3032" s="65" t="s">
        <v>17925</v>
      </c>
      <c r="AS3032" s="333">
        <v>0.001</v>
      </c>
      <c r="AT3032" s="65" t="s">
        <v>128</v>
      </c>
      <c r="AU3032" s="65" t="s">
        <v>179</v>
      </c>
      <c r="AV3032" s="65" t="s">
        <v>130</v>
      </c>
      <c r="AW3032" s="432" t="s">
        <v>17909</v>
      </c>
      <c r="AX3032" s="65" t="s">
        <v>136</v>
      </c>
      <c r="AZ3032" s="59" t="s">
        <v>7268</v>
      </c>
    </row>
    <row r="3033">
      <c r="A3033" s="41">
        <v>2864.0</v>
      </c>
      <c r="B3033" s="126" t="s">
        <v>516</v>
      </c>
      <c r="C3033" s="59" t="s">
        <v>108</v>
      </c>
      <c r="D3033" s="59" t="s">
        <v>241</v>
      </c>
      <c r="F3033" s="65" t="s">
        <v>17894</v>
      </c>
      <c r="G3033" s="65" t="s">
        <v>17926</v>
      </c>
      <c r="H3033" s="65" t="s">
        <v>242</v>
      </c>
      <c r="I3033" s="526">
        <v>45810.0</v>
      </c>
      <c r="J3033" s="859"/>
      <c r="K3033" s="65" t="s">
        <v>17927</v>
      </c>
      <c r="L3033" s="65"/>
      <c r="M3033" s="65" t="s">
        <v>17897</v>
      </c>
      <c r="N3033" s="65" t="s">
        <v>17898</v>
      </c>
      <c r="O3033" s="65"/>
      <c r="P3033" s="570" t="s">
        <v>17899</v>
      </c>
      <c r="Q3033" s="2289" t="str">
        <f> hyperlink(vlookup(lower(N3033),'File Links'!E:F, 2, FALSE), "LINK")</f>
        <v>LINK</v>
      </c>
      <c r="R3033" s="65" t="s">
        <v>17900</v>
      </c>
      <c r="S3033" s="65" t="s">
        <v>17901</v>
      </c>
      <c r="T3033" s="65"/>
      <c r="U3033" s="333">
        <v>1.0</v>
      </c>
      <c r="V3033" s="570" t="s">
        <v>17902</v>
      </c>
      <c r="W3033" s="1225"/>
      <c r="X3033" s="2290" t="str">
        <f> hyperlink(vlookup(lower(S3033),'File Links'!E:F, 2, FALSE), "LINK")</f>
        <v>LINK</v>
      </c>
      <c r="Y3033" s="65"/>
      <c r="Z3033" s="65" t="s">
        <v>940</v>
      </c>
      <c r="AA3033" s="65" t="s">
        <v>17903</v>
      </c>
      <c r="AB3033" s="65" t="s">
        <v>7257</v>
      </c>
      <c r="AC3033" s="65" t="s">
        <v>17904</v>
      </c>
      <c r="AD3033" s="65" t="s">
        <v>17923</v>
      </c>
      <c r="AE3033" s="65" t="s">
        <v>2764</v>
      </c>
      <c r="AF3033" s="333">
        <v>54.0</v>
      </c>
      <c r="AG3033" s="65" t="s">
        <v>17924</v>
      </c>
      <c r="AH3033" s="65" t="s">
        <v>127</v>
      </c>
      <c r="AI3033" s="65" t="s">
        <v>2764</v>
      </c>
      <c r="AJ3033" s="333">
        <v>0.001</v>
      </c>
      <c r="AK3033" s="65" t="s">
        <v>128</v>
      </c>
      <c r="AL3033" s="65" t="s">
        <v>179</v>
      </c>
      <c r="AM3033" s="65" t="s">
        <v>130</v>
      </c>
      <c r="AN3033" s="65" t="s">
        <v>131</v>
      </c>
      <c r="AO3033" s="333">
        <v>799.0</v>
      </c>
      <c r="AP3033" s="333">
        <v>0.46</v>
      </c>
      <c r="AQ3033" s="65" t="s">
        <v>166</v>
      </c>
      <c r="AR3033" s="65" t="s">
        <v>17928</v>
      </c>
      <c r="AS3033" s="333">
        <v>0.001</v>
      </c>
      <c r="AT3033" s="65" t="s">
        <v>128</v>
      </c>
      <c r="AU3033" s="65" t="s">
        <v>179</v>
      </c>
      <c r="AV3033" s="65" t="s">
        <v>130</v>
      </c>
      <c r="AW3033" s="432" t="s">
        <v>17909</v>
      </c>
      <c r="AX3033" s="65" t="s">
        <v>136</v>
      </c>
      <c r="AZ3033" s="59" t="s">
        <v>7268</v>
      </c>
    </row>
    <row r="3034">
      <c r="A3034" s="41">
        <v>2865.0</v>
      </c>
      <c r="B3034" s="126" t="s">
        <v>516</v>
      </c>
      <c r="C3034" s="59" t="s">
        <v>108</v>
      </c>
      <c r="D3034" s="59" t="s">
        <v>241</v>
      </c>
      <c r="F3034" s="65" t="s">
        <v>17894</v>
      </c>
      <c r="G3034" s="65" t="s">
        <v>17929</v>
      </c>
      <c r="H3034" s="65" t="s">
        <v>242</v>
      </c>
      <c r="I3034" s="526">
        <v>45810.0</v>
      </c>
      <c r="J3034" s="859"/>
      <c r="K3034" s="65" t="s">
        <v>17930</v>
      </c>
      <c r="L3034" s="65"/>
      <c r="M3034" s="65" t="s">
        <v>17897</v>
      </c>
      <c r="N3034" s="65" t="s">
        <v>17898</v>
      </c>
      <c r="O3034" s="65"/>
      <c r="P3034" s="570" t="s">
        <v>17899</v>
      </c>
      <c r="Q3034" s="2289" t="str">
        <f> hyperlink(vlookup(lower(N3034),'File Links'!E:F, 2, FALSE), "LINK")</f>
        <v>LINK</v>
      </c>
      <c r="R3034" s="65" t="s">
        <v>17900</v>
      </c>
      <c r="S3034" s="65" t="s">
        <v>17901</v>
      </c>
      <c r="T3034" s="65"/>
      <c r="U3034" s="333">
        <v>1.0</v>
      </c>
      <c r="V3034" s="570" t="s">
        <v>17902</v>
      </c>
      <c r="W3034" s="1225"/>
      <c r="X3034" s="2290" t="str">
        <f> hyperlink(vlookup(lower(S3034),'File Links'!E:F, 2, FALSE), "LINK")</f>
        <v>LINK</v>
      </c>
      <c r="Y3034" s="65"/>
      <c r="Z3034" s="65" t="s">
        <v>940</v>
      </c>
      <c r="AA3034" s="65" t="s">
        <v>17903</v>
      </c>
      <c r="AB3034" s="65" t="s">
        <v>7257</v>
      </c>
      <c r="AC3034" s="65" t="s">
        <v>17904</v>
      </c>
      <c r="AD3034" s="65" t="s">
        <v>17923</v>
      </c>
      <c r="AE3034" s="65" t="s">
        <v>2764</v>
      </c>
      <c r="AF3034" s="333">
        <v>54.0</v>
      </c>
      <c r="AG3034" s="65" t="s">
        <v>17924</v>
      </c>
      <c r="AH3034" s="65" t="s">
        <v>127</v>
      </c>
      <c r="AI3034" s="65" t="s">
        <v>2764</v>
      </c>
      <c r="AJ3034" s="333">
        <v>0.001</v>
      </c>
      <c r="AK3034" s="65" t="s">
        <v>128</v>
      </c>
      <c r="AL3034" s="65" t="s">
        <v>179</v>
      </c>
      <c r="AM3034" s="65" t="s">
        <v>130</v>
      </c>
      <c r="AN3034" s="65" t="s">
        <v>131</v>
      </c>
      <c r="AO3034" s="333">
        <v>799.0</v>
      </c>
      <c r="AP3034" s="333">
        <v>0.77</v>
      </c>
      <c r="AQ3034" s="65" t="s">
        <v>166</v>
      </c>
      <c r="AR3034" s="65" t="s">
        <v>17931</v>
      </c>
      <c r="AS3034" s="333">
        <v>0.001</v>
      </c>
      <c r="AT3034" s="65" t="s">
        <v>128</v>
      </c>
      <c r="AU3034" s="65" t="s">
        <v>179</v>
      </c>
      <c r="AV3034" s="65" t="s">
        <v>130</v>
      </c>
      <c r="AW3034" s="432" t="s">
        <v>17909</v>
      </c>
      <c r="AX3034" s="65" t="s">
        <v>136</v>
      </c>
      <c r="AZ3034" s="59" t="s">
        <v>7268</v>
      </c>
    </row>
    <row r="3035">
      <c r="A3035" s="41">
        <v>2866.0</v>
      </c>
      <c r="B3035" s="126" t="s">
        <v>516</v>
      </c>
      <c r="C3035" s="59" t="s">
        <v>108</v>
      </c>
      <c r="D3035" s="59" t="s">
        <v>241</v>
      </c>
      <c r="F3035" s="65" t="s">
        <v>17894</v>
      </c>
      <c r="G3035" s="65" t="s">
        <v>17932</v>
      </c>
      <c r="H3035" s="65" t="s">
        <v>242</v>
      </c>
      <c r="I3035" s="526">
        <v>45810.0</v>
      </c>
      <c r="J3035" s="859"/>
      <c r="K3035" s="65" t="s">
        <v>17933</v>
      </c>
      <c r="L3035" s="65"/>
      <c r="M3035" s="65" t="s">
        <v>17897</v>
      </c>
      <c r="N3035" s="65" t="s">
        <v>17898</v>
      </c>
      <c r="O3035" s="65"/>
      <c r="P3035" s="570" t="s">
        <v>17899</v>
      </c>
      <c r="Q3035" s="2289" t="str">
        <f> hyperlink(vlookup(lower(N3035),'File Links'!E:F, 2, FALSE), "LINK")</f>
        <v>LINK</v>
      </c>
      <c r="R3035" s="65" t="s">
        <v>17900</v>
      </c>
      <c r="S3035" s="65" t="s">
        <v>17901</v>
      </c>
      <c r="T3035" s="65"/>
      <c r="U3035" s="333">
        <v>1.0</v>
      </c>
      <c r="V3035" s="570" t="s">
        <v>17902</v>
      </c>
      <c r="W3035" s="1225"/>
      <c r="X3035" s="2290" t="str">
        <f> hyperlink(vlookup(lower(S3035),'File Links'!E:F, 2, FALSE), "LINK")</f>
        <v>LINK</v>
      </c>
      <c r="Y3035" s="65"/>
      <c r="Z3035" s="65" t="s">
        <v>940</v>
      </c>
      <c r="AA3035" s="65" t="s">
        <v>17903</v>
      </c>
      <c r="AB3035" s="65" t="s">
        <v>7257</v>
      </c>
      <c r="AC3035" s="65" t="s">
        <v>17904</v>
      </c>
      <c r="AD3035" s="65" t="s">
        <v>17923</v>
      </c>
      <c r="AE3035" s="65" t="s">
        <v>2764</v>
      </c>
      <c r="AF3035" s="333">
        <v>54.0</v>
      </c>
      <c r="AG3035" s="65" t="s">
        <v>17924</v>
      </c>
      <c r="AH3035" s="65" t="s">
        <v>127</v>
      </c>
      <c r="AI3035" s="65" t="s">
        <v>2764</v>
      </c>
      <c r="AJ3035" s="333">
        <v>0.001</v>
      </c>
      <c r="AK3035" s="65" t="s">
        <v>128</v>
      </c>
      <c r="AL3035" s="65" t="s">
        <v>179</v>
      </c>
      <c r="AM3035" s="65" t="s">
        <v>130</v>
      </c>
      <c r="AN3035" s="65" t="s">
        <v>131</v>
      </c>
      <c r="AO3035" s="333">
        <v>799.0</v>
      </c>
      <c r="AP3035" s="333">
        <v>0.54</v>
      </c>
      <c r="AQ3035" s="65" t="s">
        <v>166</v>
      </c>
      <c r="AR3035" s="65" t="s">
        <v>17934</v>
      </c>
      <c r="AS3035" s="333">
        <v>0.001</v>
      </c>
      <c r="AT3035" s="65" t="s">
        <v>128</v>
      </c>
      <c r="AU3035" s="65" t="s">
        <v>179</v>
      </c>
      <c r="AV3035" s="65" t="s">
        <v>130</v>
      </c>
      <c r="AW3035" s="432" t="s">
        <v>17909</v>
      </c>
      <c r="AX3035" s="65" t="s">
        <v>136</v>
      </c>
      <c r="AZ3035" s="59" t="s">
        <v>7268</v>
      </c>
    </row>
    <row r="3036">
      <c r="A3036" s="810">
        <v>2867.0</v>
      </c>
      <c r="B3036" s="216" t="s">
        <v>107</v>
      </c>
      <c r="C3036" s="121" t="s">
        <v>108</v>
      </c>
      <c r="D3036" s="121" t="s">
        <v>241</v>
      </c>
      <c r="E3036" s="104"/>
      <c r="F3036" s="122" t="s">
        <v>17894</v>
      </c>
      <c r="G3036" s="122" t="s">
        <v>17935</v>
      </c>
      <c r="H3036" s="122" t="s">
        <v>242</v>
      </c>
      <c r="I3036" s="1317">
        <v>45810.0</v>
      </c>
      <c r="J3036" s="2336">
        <v>45835.0</v>
      </c>
      <c r="K3036" s="122" t="s">
        <v>17936</v>
      </c>
      <c r="L3036" s="216" t="s">
        <v>17937</v>
      </c>
      <c r="M3036" s="122" t="s">
        <v>17897</v>
      </c>
      <c r="N3036" s="122" t="s">
        <v>17898</v>
      </c>
      <c r="O3036" s="216">
        <v>1.0</v>
      </c>
      <c r="P3036" s="122" t="s">
        <v>17899</v>
      </c>
      <c r="Q3036" s="2348" t="str">
        <f> hyperlink(vlookup(lower(N3036),'File Links'!E:F, 2, FALSE), "LINK")</f>
        <v>LINK</v>
      </c>
      <c r="R3036" s="122" t="s">
        <v>17900</v>
      </c>
      <c r="S3036" s="122" t="s">
        <v>17901</v>
      </c>
      <c r="T3036" s="122"/>
      <c r="U3036" s="1695">
        <v>1.0</v>
      </c>
      <c r="V3036" s="122" t="s">
        <v>17902</v>
      </c>
      <c r="W3036" s="216" t="s">
        <v>1115</v>
      </c>
      <c r="X3036" s="2349" t="str">
        <f> hyperlink(vlookup(lower(S3036),'File Links'!E:F, 2, FALSE), "LINK")</f>
        <v>LINK</v>
      </c>
      <c r="Y3036" s="122"/>
      <c r="Z3036" s="122" t="s">
        <v>940</v>
      </c>
      <c r="AA3036" s="122" t="s">
        <v>17903</v>
      </c>
      <c r="AB3036" s="122" t="s">
        <v>7257</v>
      </c>
      <c r="AC3036" s="122" t="s">
        <v>17904</v>
      </c>
      <c r="AD3036" s="216" t="s">
        <v>17938</v>
      </c>
      <c r="AE3036" s="122" t="s">
        <v>2764</v>
      </c>
      <c r="AF3036" s="1697">
        <v>56.0</v>
      </c>
      <c r="AG3036" s="216" t="s">
        <v>17914</v>
      </c>
      <c r="AH3036" s="122" t="s">
        <v>127</v>
      </c>
      <c r="AI3036" s="122" t="s">
        <v>2764</v>
      </c>
      <c r="AJ3036" s="1697">
        <v>1.0E-4</v>
      </c>
      <c r="AK3036" s="122" t="s">
        <v>128</v>
      </c>
      <c r="AL3036" s="122" t="s">
        <v>179</v>
      </c>
      <c r="AM3036" s="122" t="s">
        <v>130</v>
      </c>
      <c r="AN3036" s="122" t="s">
        <v>131</v>
      </c>
      <c r="AO3036" s="1695">
        <v>1598.0</v>
      </c>
      <c r="AP3036" s="1695">
        <v>0.58</v>
      </c>
      <c r="AQ3036" s="122" t="s">
        <v>166</v>
      </c>
      <c r="AR3036" s="122" t="s">
        <v>17939</v>
      </c>
      <c r="AS3036" s="1695">
        <v>0.001</v>
      </c>
      <c r="AT3036" s="122" t="s">
        <v>128</v>
      </c>
      <c r="AU3036" s="122" t="s">
        <v>179</v>
      </c>
      <c r="AV3036" s="122" t="s">
        <v>130</v>
      </c>
      <c r="AW3036" s="666" t="s">
        <v>17909</v>
      </c>
      <c r="AX3036" s="122" t="s">
        <v>136</v>
      </c>
      <c r="AY3036" s="104"/>
      <c r="AZ3036" s="121" t="s">
        <v>807</v>
      </c>
      <c r="BA3036" s="104"/>
    </row>
    <row r="3037">
      <c r="A3037" s="41">
        <v>2870.0</v>
      </c>
      <c r="B3037" s="126" t="s">
        <v>516</v>
      </c>
      <c r="C3037" s="59" t="s">
        <v>108</v>
      </c>
      <c r="D3037" s="59" t="s">
        <v>241</v>
      </c>
      <c r="F3037" s="65" t="s">
        <v>17894</v>
      </c>
      <c r="G3037" s="65" t="s">
        <v>17935</v>
      </c>
      <c r="H3037" s="65" t="s">
        <v>242</v>
      </c>
      <c r="I3037" s="526">
        <v>45810.0</v>
      </c>
      <c r="J3037" s="859"/>
      <c r="K3037" s="65" t="s">
        <v>17940</v>
      </c>
      <c r="L3037" s="65"/>
      <c r="M3037" s="65" t="s">
        <v>17897</v>
      </c>
      <c r="N3037" s="65" t="s">
        <v>17898</v>
      </c>
      <c r="O3037" s="65"/>
      <c r="P3037" s="570" t="s">
        <v>17899</v>
      </c>
      <c r="Q3037" s="2289" t="str">
        <f> hyperlink(vlookup(lower(N3037),'File Links'!E:F, 2, FALSE), "LINK")</f>
        <v>LINK</v>
      </c>
      <c r="R3037" s="65" t="s">
        <v>17900</v>
      </c>
      <c r="S3037" s="65" t="s">
        <v>17901</v>
      </c>
      <c r="T3037" s="65"/>
      <c r="U3037" s="333">
        <v>4.0</v>
      </c>
      <c r="V3037" s="570" t="s">
        <v>17902</v>
      </c>
      <c r="W3037" s="1225"/>
      <c r="X3037" s="2290" t="str">
        <f> hyperlink(vlookup(lower(S3037),'File Links'!E:F, 2, FALSE), "LINK")</f>
        <v>LINK</v>
      </c>
      <c r="Y3037" s="65"/>
      <c r="Z3037" s="65" t="s">
        <v>940</v>
      </c>
      <c r="AA3037" s="65" t="s">
        <v>17903</v>
      </c>
      <c r="AB3037" s="65" t="s">
        <v>7257</v>
      </c>
      <c r="AC3037" s="65" t="s">
        <v>17904</v>
      </c>
      <c r="AD3037" s="65" t="s">
        <v>17923</v>
      </c>
      <c r="AE3037" s="65" t="s">
        <v>1035</v>
      </c>
      <c r="AF3037" s="333">
        <v>58.0</v>
      </c>
      <c r="AG3037" s="65" t="s">
        <v>131</v>
      </c>
      <c r="AH3037" s="65" t="s">
        <v>131</v>
      </c>
      <c r="AI3037" s="65" t="s">
        <v>1035</v>
      </c>
      <c r="AJ3037" s="333">
        <v>0.05</v>
      </c>
      <c r="AK3037" s="65" t="s">
        <v>128</v>
      </c>
      <c r="AL3037" s="65" t="s">
        <v>179</v>
      </c>
      <c r="AM3037" s="65" t="s">
        <v>130</v>
      </c>
      <c r="AN3037" s="65" t="s">
        <v>131</v>
      </c>
      <c r="AO3037" s="333">
        <v>1598.0</v>
      </c>
      <c r="AP3037" s="333">
        <v>0.81</v>
      </c>
      <c r="AQ3037" s="65" t="s">
        <v>166</v>
      </c>
      <c r="AR3037" s="65" t="s">
        <v>17941</v>
      </c>
      <c r="AS3037" s="65" t="s">
        <v>131</v>
      </c>
      <c r="AT3037" s="65" t="s">
        <v>165</v>
      </c>
      <c r="AU3037" s="65" t="s">
        <v>179</v>
      </c>
      <c r="AV3037" s="65" t="s">
        <v>130</v>
      </c>
      <c r="AW3037" s="432" t="s">
        <v>17909</v>
      </c>
      <c r="AX3037" s="65" t="s">
        <v>136</v>
      </c>
      <c r="AZ3037" s="59" t="s">
        <v>7268</v>
      </c>
    </row>
    <row r="3038">
      <c r="A3038" s="448">
        <v>2871.0</v>
      </c>
      <c r="B3038" s="202" t="s">
        <v>145</v>
      </c>
      <c r="C3038" s="196" t="s">
        <v>108</v>
      </c>
      <c r="D3038" s="196" t="s">
        <v>241</v>
      </c>
      <c r="E3038" s="197"/>
      <c r="F3038" s="201" t="s">
        <v>17942</v>
      </c>
      <c r="G3038" s="201" t="s">
        <v>17943</v>
      </c>
      <c r="H3038" s="201" t="s">
        <v>242</v>
      </c>
      <c r="I3038" s="2350">
        <v>45810.0</v>
      </c>
      <c r="J3038" s="2336">
        <v>45835.0</v>
      </c>
      <c r="K3038" s="201"/>
      <c r="L3038" s="202" t="s">
        <v>17944</v>
      </c>
      <c r="M3038" s="201" t="s">
        <v>17945</v>
      </c>
      <c r="N3038" s="201" t="s">
        <v>17946</v>
      </c>
      <c r="O3038" s="202">
        <v>1.0</v>
      </c>
      <c r="P3038" s="201" t="s">
        <v>17947</v>
      </c>
      <c r="Q3038" s="2351" t="str">
        <f> hyperlink(vlookup(lower(N3038),'File Links'!E:F, 2, FALSE), "LINK")</f>
        <v>LINK</v>
      </c>
      <c r="R3038" s="201" t="s">
        <v>17948</v>
      </c>
      <c r="S3038" s="201" t="s">
        <v>17949</v>
      </c>
      <c r="T3038" s="201"/>
      <c r="U3038" s="202">
        <v>1.0</v>
      </c>
      <c r="V3038" s="201" t="s">
        <v>17950</v>
      </c>
      <c r="W3038" s="216" t="s">
        <v>1115</v>
      </c>
      <c r="X3038" s="2352" t="str">
        <f> hyperlink(vlookup(lower(S3038),'File Links'!E:F, 2, FALSE), "LINK")</f>
        <v>LINK</v>
      </c>
      <c r="Y3038" s="201"/>
      <c r="Z3038" s="201" t="s">
        <v>940</v>
      </c>
      <c r="AA3038" s="201" t="s">
        <v>17951</v>
      </c>
      <c r="AB3038" s="201" t="s">
        <v>7257</v>
      </c>
      <c r="AC3038" s="201" t="s">
        <v>17952</v>
      </c>
      <c r="AD3038" s="201" t="s">
        <v>17953</v>
      </c>
      <c r="AE3038" s="201" t="s">
        <v>1167</v>
      </c>
      <c r="AF3038" s="756">
        <v>2047.0</v>
      </c>
      <c r="AG3038" s="201" t="s">
        <v>131</v>
      </c>
      <c r="AH3038" s="201" t="s">
        <v>131</v>
      </c>
      <c r="AI3038" s="201" t="s">
        <v>1167</v>
      </c>
      <c r="AJ3038" s="756">
        <v>1.0E-4</v>
      </c>
      <c r="AK3038" s="201" t="s">
        <v>165</v>
      </c>
      <c r="AL3038" s="201" t="s">
        <v>179</v>
      </c>
      <c r="AM3038" s="201" t="s">
        <v>130</v>
      </c>
      <c r="AN3038" s="201" t="s">
        <v>131</v>
      </c>
      <c r="AO3038" s="756">
        <v>311.0</v>
      </c>
      <c r="AP3038" s="756">
        <v>1.08</v>
      </c>
      <c r="AQ3038" s="201" t="s">
        <v>166</v>
      </c>
      <c r="AR3038" s="202" t="s">
        <v>17954</v>
      </c>
      <c r="AS3038" s="756">
        <v>0.001</v>
      </c>
      <c r="AT3038" s="122" t="s">
        <v>128</v>
      </c>
      <c r="AU3038" s="201" t="s">
        <v>179</v>
      </c>
      <c r="AV3038" s="201" t="s">
        <v>130</v>
      </c>
      <c r="AW3038" s="2353" t="s">
        <v>17955</v>
      </c>
      <c r="AX3038" s="201" t="s">
        <v>136</v>
      </c>
      <c r="AY3038" s="197"/>
      <c r="AZ3038" s="121" t="s">
        <v>807</v>
      </c>
      <c r="BA3038" s="197"/>
    </row>
    <row r="3039">
      <c r="A3039" s="41">
        <v>2988.0</v>
      </c>
      <c r="B3039" s="126" t="s">
        <v>107</v>
      </c>
      <c r="C3039" s="59" t="s">
        <v>108</v>
      </c>
      <c r="D3039" s="59" t="s">
        <v>15410</v>
      </c>
      <c r="F3039" s="65" t="s">
        <v>17942</v>
      </c>
      <c r="G3039" s="156" t="s">
        <v>17943</v>
      </c>
      <c r="H3039" s="156" t="s">
        <v>17956</v>
      </c>
      <c r="I3039" s="149">
        <v>45331.0</v>
      </c>
      <c r="J3039" s="2295">
        <v>45835.0</v>
      </c>
      <c r="K3039" s="65"/>
      <c r="L3039" s="148" t="s">
        <v>17957</v>
      </c>
      <c r="M3039" s="156" t="s">
        <v>17945</v>
      </c>
      <c r="N3039" s="156" t="s">
        <v>17946</v>
      </c>
      <c r="O3039" s="333">
        <v>1.0</v>
      </c>
      <c r="P3039" s="156" t="s">
        <v>17947</v>
      </c>
      <c r="Q3039" s="2139" t="str">
        <f> hyperlink(vlookup(lower(N3039),'File Links'!E:F, 2, FALSE), "LINK")</f>
        <v>LINK</v>
      </c>
      <c r="R3039" s="156" t="s">
        <v>17948</v>
      </c>
      <c r="S3039" s="156" t="s">
        <v>17949</v>
      </c>
      <c r="T3039" s="65"/>
      <c r="U3039" s="333">
        <v>1.0</v>
      </c>
      <c r="V3039" s="156" t="s">
        <v>17950</v>
      </c>
      <c r="W3039" s="202" t="s">
        <v>1115</v>
      </c>
      <c r="X3039" s="2291" t="str">
        <f> hyperlink(vlookup(lower(S3039),'File Links'!E:F, 2, FALSE), "LINK")</f>
        <v>LINK</v>
      </c>
      <c r="Y3039" s="65"/>
      <c r="Z3039" s="156" t="s">
        <v>940</v>
      </c>
      <c r="AA3039" s="156" t="s">
        <v>17951</v>
      </c>
      <c r="AB3039" s="156" t="s">
        <v>7257</v>
      </c>
      <c r="AC3039" s="156" t="s">
        <v>17952</v>
      </c>
      <c r="AD3039" s="65" t="s">
        <v>17958</v>
      </c>
      <c r="AE3039" s="333">
        <v>10.0</v>
      </c>
      <c r="AF3039" s="333">
        <v>2047.0</v>
      </c>
      <c r="AG3039" s="158" t="s">
        <v>131</v>
      </c>
      <c r="AH3039" s="148" t="s">
        <v>131</v>
      </c>
      <c r="AI3039" s="201" t="s">
        <v>1167</v>
      </c>
      <c r="AJ3039" s="756">
        <v>1.0E-4</v>
      </c>
      <c r="AK3039" s="201" t="s">
        <v>165</v>
      </c>
      <c r="AL3039" s="201" t="s">
        <v>179</v>
      </c>
      <c r="AM3039" s="65" t="s">
        <v>130</v>
      </c>
      <c r="AN3039" s="126" t="s">
        <v>131</v>
      </c>
      <c r="AO3039" s="333">
        <v>311.0</v>
      </c>
      <c r="AP3039" s="333">
        <v>1.08</v>
      </c>
      <c r="AQ3039" s="65" t="s">
        <v>166</v>
      </c>
      <c r="AR3039" s="126" t="s">
        <v>489</v>
      </c>
      <c r="AS3039" s="126">
        <v>0.001</v>
      </c>
      <c r="AT3039" s="1062" t="s">
        <v>128</v>
      </c>
      <c r="AU3039" s="201" t="s">
        <v>179</v>
      </c>
      <c r="AV3039" s="201" t="s">
        <v>130</v>
      </c>
      <c r="AW3039" s="432" t="s">
        <v>17959</v>
      </c>
      <c r="AX3039" s="65" t="s">
        <v>136</v>
      </c>
      <c r="AZ3039" s="196" t="s">
        <v>807</v>
      </c>
    </row>
    <row r="3040">
      <c r="A3040" s="41">
        <v>2872.0</v>
      </c>
      <c r="B3040" s="126" t="s">
        <v>516</v>
      </c>
      <c r="C3040" s="59" t="s">
        <v>108</v>
      </c>
      <c r="D3040" s="59" t="s">
        <v>241</v>
      </c>
      <c r="F3040" s="65" t="s">
        <v>17942</v>
      </c>
      <c r="G3040" s="126" t="s">
        <v>17960</v>
      </c>
      <c r="H3040" s="65" t="s">
        <v>242</v>
      </c>
      <c r="I3040" s="526">
        <v>45810.0</v>
      </c>
      <c r="J3040" s="859"/>
      <c r="K3040" s="65"/>
      <c r="L3040" s="65"/>
      <c r="M3040" s="65" t="s">
        <v>17945</v>
      </c>
      <c r="N3040" s="65" t="s">
        <v>17946</v>
      </c>
      <c r="O3040" s="65"/>
      <c r="P3040" s="570" t="s">
        <v>17947</v>
      </c>
      <c r="Q3040" s="2289" t="str">
        <f> hyperlink(vlookup(lower(N3040),'File Links'!E:F, 2, FALSE), "LINK")</f>
        <v>LINK</v>
      </c>
      <c r="R3040" s="65" t="s">
        <v>17948</v>
      </c>
      <c r="S3040" s="65" t="s">
        <v>17949</v>
      </c>
      <c r="T3040" s="65"/>
      <c r="U3040" s="65"/>
      <c r="V3040" s="570" t="s">
        <v>17950</v>
      </c>
      <c r="W3040" s="1225"/>
      <c r="X3040" s="2290" t="str">
        <f> hyperlink(vlookup(lower(S3040),'File Links'!E:F, 2, FALSE), "LINK")</f>
        <v>LINK</v>
      </c>
      <c r="Y3040" s="65"/>
      <c r="Z3040" s="65" t="s">
        <v>940</v>
      </c>
      <c r="AA3040" s="65" t="s">
        <v>17951</v>
      </c>
      <c r="AB3040" s="65" t="s">
        <v>7257</v>
      </c>
      <c r="AC3040" s="65" t="s">
        <v>17952</v>
      </c>
      <c r="AD3040" s="65" t="s">
        <v>17961</v>
      </c>
      <c r="AE3040" s="65" t="s">
        <v>1167</v>
      </c>
      <c r="AF3040" s="333">
        <v>2047.0</v>
      </c>
      <c r="AG3040" s="65" t="s">
        <v>131</v>
      </c>
      <c r="AH3040" s="65" t="s">
        <v>131</v>
      </c>
      <c r="AI3040" s="65" t="s">
        <v>1167</v>
      </c>
      <c r="AJ3040" s="333">
        <v>1.0E-4</v>
      </c>
      <c r="AK3040" s="65" t="s">
        <v>165</v>
      </c>
      <c r="AL3040" s="65" t="s">
        <v>179</v>
      </c>
      <c r="AM3040" s="65" t="s">
        <v>130</v>
      </c>
      <c r="AN3040" s="65" t="s">
        <v>131</v>
      </c>
      <c r="AO3040" s="333">
        <v>311.0</v>
      </c>
      <c r="AP3040" s="333">
        <v>1.42</v>
      </c>
      <c r="AQ3040" s="65" t="s">
        <v>166</v>
      </c>
      <c r="AR3040" s="65" t="s">
        <v>17962</v>
      </c>
      <c r="AS3040" s="333">
        <v>0.001</v>
      </c>
      <c r="AT3040" s="65" t="s">
        <v>128</v>
      </c>
      <c r="AU3040" s="65" t="s">
        <v>179</v>
      </c>
      <c r="AV3040" s="65" t="s">
        <v>130</v>
      </c>
      <c r="AW3040" s="432" t="s">
        <v>17955</v>
      </c>
      <c r="AX3040" s="65" t="s">
        <v>136</v>
      </c>
      <c r="AZ3040" s="59" t="s">
        <v>7268</v>
      </c>
    </row>
    <row r="3041">
      <c r="A3041" s="41">
        <v>2873.0</v>
      </c>
      <c r="B3041" s="126" t="s">
        <v>516</v>
      </c>
      <c r="C3041" s="59" t="s">
        <v>108</v>
      </c>
      <c r="D3041" s="59" t="s">
        <v>241</v>
      </c>
      <c r="F3041" s="65" t="s">
        <v>17963</v>
      </c>
      <c r="G3041" s="65" t="s">
        <v>17964</v>
      </c>
      <c r="H3041" s="65" t="s">
        <v>242</v>
      </c>
      <c r="I3041" s="526">
        <v>45810.0</v>
      </c>
      <c r="J3041" s="859"/>
      <c r="K3041" s="65"/>
      <c r="L3041" s="65"/>
      <c r="M3041" s="65" t="s">
        <v>17965</v>
      </c>
      <c r="N3041" s="65" t="s">
        <v>17966</v>
      </c>
      <c r="O3041" s="65"/>
      <c r="P3041" s="570" t="s">
        <v>17967</v>
      </c>
      <c r="Q3041" s="2289" t="str">
        <f> hyperlink(vlookup(lower(N3041),'File Links'!E:F, 2, FALSE), "LINK")</f>
        <v>LINK</v>
      </c>
      <c r="R3041" s="65" t="s">
        <v>17948</v>
      </c>
      <c r="S3041" s="65" t="s">
        <v>17949</v>
      </c>
      <c r="T3041" s="65"/>
      <c r="U3041" s="333">
        <v>2.0</v>
      </c>
      <c r="V3041" s="570" t="s">
        <v>17950</v>
      </c>
      <c r="W3041" s="1225"/>
      <c r="X3041" s="2290" t="str">
        <f> hyperlink(vlookup(lower(S3041),'File Links'!E:F, 2, FALSE), "LINK")</f>
        <v>LINK</v>
      </c>
      <c r="Y3041" s="65"/>
      <c r="Z3041" s="65" t="s">
        <v>940</v>
      </c>
      <c r="AA3041" s="65" t="s">
        <v>17968</v>
      </c>
      <c r="AB3041" s="65" t="s">
        <v>7257</v>
      </c>
      <c r="AC3041" s="65" t="s">
        <v>17969</v>
      </c>
      <c r="AD3041" s="65" t="s">
        <v>17970</v>
      </c>
      <c r="AE3041" s="65" t="s">
        <v>875</v>
      </c>
      <c r="AF3041" s="333">
        <v>60.0</v>
      </c>
      <c r="AG3041" s="65" t="s">
        <v>17971</v>
      </c>
      <c r="AH3041" s="65" t="s">
        <v>127</v>
      </c>
      <c r="AI3041" s="65" t="s">
        <v>875</v>
      </c>
      <c r="AJ3041" s="333">
        <v>0.01</v>
      </c>
      <c r="AK3041" s="65" t="s">
        <v>128</v>
      </c>
      <c r="AL3041" s="65" t="s">
        <v>179</v>
      </c>
      <c r="AM3041" s="65" t="s">
        <v>130</v>
      </c>
      <c r="AN3041" s="65" t="s">
        <v>131</v>
      </c>
      <c r="AO3041" s="333">
        <v>311.0</v>
      </c>
      <c r="AP3041" s="333">
        <v>0.001</v>
      </c>
      <c r="AQ3041" s="65" t="s">
        <v>867</v>
      </c>
      <c r="AR3041" s="65" t="s">
        <v>17972</v>
      </c>
      <c r="AS3041" s="333">
        <v>0.73</v>
      </c>
      <c r="AT3041" s="65" t="s">
        <v>165</v>
      </c>
      <c r="AU3041" s="65" t="s">
        <v>179</v>
      </c>
      <c r="AV3041" s="65" t="s">
        <v>134</v>
      </c>
      <c r="AW3041" s="432" t="s">
        <v>17955</v>
      </c>
      <c r="AX3041" s="65" t="s">
        <v>136</v>
      </c>
      <c r="AZ3041" s="59" t="s">
        <v>7268</v>
      </c>
    </row>
    <row r="3042">
      <c r="A3042" s="41">
        <v>2989.0</v>
      </c>
      <c r="B3042" s="126" t="s">
        <v>145</v>
      </c>
      <c r="C3042" s="59" t="s">
        <v>108</v>
      </c>
      <c r="D3042" s="59" t="s">
        <v>15410</v>
      </c>
      <c r="F3042" s="65" t="s">
        <v>17963</v>
      </c>
      <c r="G3042" s="156" t="s">
        <v>17964</v>
      </c>
      <c r="H3042" s="156" t="s">
        <v>17956</v>
      </c>
      <c r="I3042" s="149">
        <v>45331.0</v>
      </c>
      <c r="J3042" s="2295">
        <v>45835.0</v>
      </c>
      <c r="K3042" s="65"/>
      <c r="L3042" s="126" t="s">
        <v>17973</v>
      </c>
      <c r="M3042" s="156" t="s">
        <v>17965</v>
      </c>
      <c r="N3042" s="156" t="s">
        <v>17966</v>
      </c>
      <c r="O3042" s="333">
        <v>2.0</v>
      </c>
      <c r="P3042" s="156" t="s">
        <v>17967</v>
      </c>
      <c r="Q3042" s="2139" t="str">
        <f> hyperlink(vlookup(lower(N3042),'File Links'!E:F, 2, FALSE), "LINK")</f>
        <v>LINK</v>
      </c>
      <c r="R3042" s="156" t="s">
        <v>17948</v>
      </c>
      <c r="S3042" s="156" t="s">
        <v>17949</v>
      </c>
      <c r="T3042" s="65"/>
      <c r="U3042" s="65" t="s">
        <v>3573</v>
      </c>
      <c r="V3042" s="156" t="s">
        <v>17950</v>
      </c>
      <c r="W3042" s="202" t="s">
        <v>1115</v>
      </c>
      <c r="X3042" s="2291" t="str">
        <f> hyperlink(vlookup(lower(S3042),'File Links'!E:F, 2, FALSE), "LINK")</f>
        <v>LINK</v>
      </c>
      <c r="Y3042" s="65"/>
      <c r="Z3042" s="156" t="s">
        <v>940</v>
      </c>
      <c r="AA3042" s="156" t="s">
        <v>17968</v>
      </c>
      <c r="AB3042" s="156" t="s">
        <v>7257</v>
      </c>
      <c r="AC3042" s="156" t="s">
        <v>17969</v>
      </c>
      <c r="AD3042" s="126" t="s">
        <v>17974</v>
      </c>
      <c r="AE3042" s="333">
        <v>5.0</v>
      </c>
      <c r="AF3042" s="333">
        <v>60.0</v>
      </c>
      <c r="AG3042" s="65" t="s">
        <v>17975</v>
      </c>
      <c r="AH3042" s="65" t="s">
        <v>127</v>
      </c>
      <c r="AI3042" s="65" t="s">
        <v>875</v>
      </c>
      <c r="AJ3042" s="333">
        <v>0.05</v>
      </c>
      <c r="AK3042" s="65" t="s">
        <v>128</v>
      </c>
      <c r="AL3042" s="201" t="s">
        <v>179</v>
      </c>
      <c r="AM3042" s="65" t="s">
        <v>130</v>
      </c>
      <c r="AN3042" s="126" t="s">
        <v>131</v>
      </c>
      <c r="AO3042" s="333">
        <v>311.0</v>
      </c>
      <c r="AP3042" s="65" t="s">
        <v>17976</v>
      </c>
      <c r="AQ3042" s="65" t="s">
        <v>127</v>
      </c>
      <c r="AR3042" s="65" t="s">
        <v>1035</v>
      </c>
      <c r="AS3042" s="333">
        <v>0.501</v>
      </c>
      <c r="AT3042" s="65" t="s">
        <v>165</v>
      </c>
      <c r="AU3042" s="201" t="s">
        <v>179</v>
      </c>
      <c r="AV3042" s="65" t="s">
        <v>130</v>
      </c>
      <c r="AW3042" s="432" t="s">
        <v>17959</v>
      </c>
      <c r="AX3042" s="65" t="s">
        <v>136</v>
      </c>
      <c r="AZ3042" s="196" t="s">
        <v>807</v>
      </c>
    </row>
    <row r="3043">
      <c r="A3043" s="41">
        <v>2874.0</v>
      </c>
      <c r="B3043" s="126" t="s">
        <v>516</v>
      </c>
      <c r="C3043" s="59" t="s">
        <v>108</v>
      </c>
      <c r="D3043" s="59" t="s">
        <v>241</v>
      </c>
      <c r="F3043" s="65" t="s">
        <v>17963</v>
      </c>
      <c r="G3043" s="65" t="s">
        <v>17977</v>
      </c>
      <c r="H3043" s="65" t="s">
        <v>242</v>
      </c>
      <c r="I3043" s="526">
        <v>45810.0</v>
      </c>
      <c r="J3043" s="859"/>
      <c r="K3043" s="65"/>
      <c r="L3043" s="65"/>
      <c r="M3043" s="65" t="s">
        <v>17965</v>
      </c>
      <c r="N3043" s="65" t="s">
        <v>17966</v>
      </c>
      <c r="O3043" s="65"/>
      <c r="P3043" s="570" t="s">
        <v>17967</v>
      </c>
      <c r="Q3043" s="2289" t="str">
        <f> hyperlink(vlookup(lower(N3043),'File Links'!E:F, 2, FALSE), "LINK")</f>
        <v>LINK</v>
      </c>
      <c r="R3043" s="65" t="s">
        <v>17948</v>
      </c>
      <c r="S3043" s="65" t="s">
        <v>17949</v>
      </c>
      <c r="T3043" s="65"/>
      <c r="U3043" s="333">
        <v>2.0</v>
      </c>
      <c r="V3043" s="570" t="s">
        <v>17950</v>
      </c>
      <c r="W3043" s="1225"/>
      <c r="X3043" s="2290" t="str">
        <f> hyperlink(vlookup(lower(S3043),'File Links'!E:F, 2, FALSE), "LINK")</f>
        <v>LINK</v>
      </c>
      <c r="Y3043" s="65"/>
      <c r="Z3043" s="65" t="s">
        <v>940</v>
      </c>
      <c r="AA3043" s="65" t="s">
        <v>17968</v>
      </c>
      <c r="AB3043" s="65" t="s">
        <v>7257</v>
      </c>
      <c r="AC3043" s="65" t="s">
        <v>17969</v>
      </c>
      <c r="AD3043" s="65" t="s">
        <v>17978</v>
      </c>
      <c r="AE3043" s="65" t="s">
        <v>875</v>
      </c>
      <c r="AF3043" s="333">
        <v>60.0</v>
      </c>
      <c r="AG3043" s="65" t="s">
        <v>17979</v>
      </c>
      <c r="AH3043" s="65" t="s">
        <v>127</v>
      </c>
      <c r="AI3043" s="65" t="s">
        <v>875</v>
      </c>
      <c r="AJ3043" s="333">
        <v>0.05</v>
      </c>
      <c r="AK3043" s="65" t="s">
        <v>128</v>
      </c>
      <c r="AL3043" s="65" t="s">
        <v>179</v>
      </c>
      <c r="AM3043" s="65" t="s">
        <v>130</v>
      </c>
      <c r="AN3043" s="65" t="s">
        <v>131</v>
      </c>
      <c r="AO3043" s="333">
        <v>311.0</v>
      </c>
      <c r="AP3043" s="333">
        <v>0.24</v>
      </c>
      <c r="AQ3043" s="65" t="s">
        <v>867</v>
      </c>
      <c r="AR3043" s="65" t="s">
        <v>17980</v>
      </c>
      <c r="AS3043" s="333">
        <v>0.001</v>
      </c>
      <c r="AT3043" s="65" t="s">
        <v>128</v>
      </c>
      <c r="AU3043" s="65" t="s">
        <v>179</v>
      </c>
      <c r="AV3043" s="65" t="s">
        <v>134</v>
      </c>
      <c r="AW3043" s="432" t="s">
        <v>17955</v>
      </c>
      <c r="AX3043" s="65" t="s">
        <v>136</v>
      </c>
      <c r="AZ3043" s="59" t="s">
        <v>7268</v>
      </c>
    </row>
    <row r="3044">
      <c r="A3044" s="41">
        <v>2875.0</v>
      </c>
      <c r="B3044" s="126" t="s">
        <v>516</v>
      </c>
      <c r="C3044" s="59" t="s">
        <v>108</v>
      </c>
      <c r="D3044" s="59" t="s">
        <v>241</v>
      </c>
      <c r="F3044" s="65" t="s">
        <v>17963</v>
      </c>
      <c r="G3044" s="65" t="s">
        <v>17981</v>
      </c>
      <c r="H3044" s="65" t="s">
        <v>242</v>
      </c>
      <c r="I3044" s="526">
        <v>45810.0</v>
      </c>
      <c r="J3044" s="859"/>
      <c r="K3044" s="65"/>
      <c r="L3044" s="65"/>
      <c r="M3044" s="65" t="s">
        <v>17965</v>
      </c>
      <c r="N3044" s="65" t="s">
        <v>17966</v>
      </c>
      <c r="O3044" s="65"/>
      <c r="P3044" s="570" t="s">
        <v>17967</v>
      </c>
      <c r="Q3044" s="2289" t="str">
        <f> hyperlink(vlookup(lower(N3044),'File Links'!E:F, 2, FALSE), "LINK")</f>
        <v>LINK</v>
      </c>
      <c r="R3044" s="65" t="s">
        <v>17948</v>
      </c>
      <c r="S3044" s="65" t="s">
        <v>17949</v>
      </c>
      <c r="T3044" s="65"/>
      <c r="U3044" s="333">
        <v>2.0</v>
      </c>
      <c r="V3044" s="570" t="s">
        <v>17950</v>
      </c>
      <c r="W3044" s="1225"/>
      <c r="X3044" s="2290" t="str">
        <f> hyperlink(vlookup(lower(S3044),'File Links'!E:F, 2, FALSE), "LINK")</f>
        <v>LINK</v>
      </c>
      <c r="Y3044" s="65"/>
      <c r="Z3044" s="65" t="s">
        <v>940</v>
      </c>
      <c r="AA3044" s="65" t="s">
        <v>17968</v>
      </c>
      <c r="AB3044" s="65" t="s">
        <v>7257</v>
      </c>
      <c r="AC3044" s="65" t="s">
        <v>17969</v>
      </c>
      <c r="AD3044" s="65" t="s">
        <v>17982</v>
      </c>
      <c r="AE3044" s="65" t="s">
        <v>875</v>
      </c>
      <c r="AF3044" s="333">
        <v>60.0</v>
      </c>
      <c r="AG3044" s="65" t="s">
        <v>17983</v>
      </c>
      <c r="AH3044" s="65" t="s">
        <v>127</v>
      </c>
      <c r="AI3044" s="65" t="s">
        <v>875</v>
      </c>
      <c r="AJ3044" s="333">
        <v>0.05</v>
      </c>
      <c r="AK3044" s="65" t="s">
        <v>128</v>
      </c>
      <c r="AL3044" s="65" t="s">
        <v>179</v>
      </c>
      <c r="AM3044" s="65" t="s">
        <v>130</v>
      </c>
      <c r="AN3044" s="65" t="s">
        <v>131</v>
      </c>
      <c r="AO3044" s="333">
        <v>311.0</v>
      </c>
      <c r="AP3044" s="333">
        <v>0.002</v>
      </c>
      <c r="AQ3044" s="65" t="s">
        <v>867</v>
      </c>
      <c r="AR3044" s="65" t="s">
        <v>17984</v>
      </c>
      <c r="AS3044" s="333">
        <v>0.46</v>
      </c>
      <c r="AT3044" s="65" t="s">
        <v>165</v>
      </c>
      <c r="AU3044" s="65" t="s">
        <v>179</v>
      </c>
      <c r="AV3044" s="65" t="s">
        <v>134</v>
      </c>
      <c r="AW3044" s="432" t="s">
        <v>17955</v>
      </c>
      <c r="AX3044" s="65" t="s">
        <v>136</v>
      </c>
      <c r="AZ3044" s="59" t="s">
        <v>7268</v>
      </c>
    </row>
    <row r="3045">
      <c r="A3045" s="41">
        <v>2876.0</v>
      </c>
      <c r="B3045" s="126" t="s">
        <v>516</v>
      </c>
      <c r="C3045" s="59" t="s">
        <v>108</v>
      </c>
      <c r="D3045" s="59" t="s">
        <v>241</v>
      </c>
      <c r="F3045" s="65" t="s">
        <v>17963</v>
      </c>
      <c r="G3045" s="65" t="s">
        <v>17985</v>
      </c>
      <c r="H3045" s="65" t="s">
        <v>242</v>
      </c>
      <c r="I3045" s="526">
        <v>45810.0</v>
      </c>
      <c r="J3045" s="859"/>
      <c r="K3045" s="65"/>
      <c r="L3045" s="65"/>
      <c r="M3045" s="65" t="s">
        <v>17965</v>
      </c>
      <c r="N3045" s="65" t="s">
        <v>17966</v>
      </c>
      <c r="O3045" s="65"/>
      <c r="P3045" s="570" t="s">
        <v>17967</v>
      </c>
      <c r="Q3045" s="2289" t="str">
        <f> hyperlink(vlookup(lower(N3045),'File Links'!E:F, 2, FALSE), "LINK")</f>
        <v>LINK</v>
      </c>
      <c r="R3045" s="65" t="s">
        <v>17948</v>
      </c>
      <c r="S3045" s="65" t="s">
        <v>17949</v>
      </c>
      <c r="T3045" s="65"/>
      <c r="U3045" s="333">
        <v>2.0</v>
      </c>
      <c r="V3045" s="570" t="s">
        <v>17950</v>
      </c>
      <c r="W3045" s="1225"/>
      <c r="X3045" s="2290" t="str">
        <f> hyperlink(vlookup(lower(S3045),'File Links'!E:F, 2, FALSE), "LINK")</f>
        <v>LINK</v>
      </c>
      <c r="Y3045" s="65"/>
      <c r="Z3045" s="65" t="s">
        <v>940</v>
      </c>
      <c r="AA3045" s="65" t="s">
        <v>17968</v>
      </c>
      <c r="AB3045" s="65" t="s">
        <v>7257</v>
      </c>
      <c r="AC3045" s="65" t="s">
        <v>17969</v>
      </c>
      <c r="AD3045" s="65" t="s">
        <v>17986</v>
      </c>
      <c r="AE3045" s="65" t="s">
        <v>875</v>
      </c>
      <c r="AF3045" s="333">
        <v>60.0</v>
      </c>
      <c r="AG3045" s="65" t="s">
        <v>17987</v>
      </c>
      <c r="AH3045" s="65" t="s">
        <v>127</v>
      </c>
      <c r="AI3045" s="65" t="s">
        <v>17988</v>
      </c>
      <c r="AJ3045" s="333">
        <v>0.09</v>
      </c>
      <c r="AK3045" s="65" t="s">
        <v>128</v>
      </c>
      <c r="AL3045" s="65" t="s">
        <v>179</v>
      </c>
      <c r="AM3045" s="65" t="s">
        <v>134</v>
      </c>
      <c r="AN3045" s="65" t="s">
        <v>131</v>
      </c>
      <c r="AO3045" s="333">
        <v>311.0</v>
      </c>
      <c r="AP3045" s="333">
        <v>0.22</v>
      </c>
      <c r="AQ3045" s="65" t="s">
        <v>166</v>
      </c>
      <c r="AR3045" s="65" t="s">
        <v>17989</v>
      </c>
      <c r="AS3045" s="333">
        <v>0.48</v>
      </c>
      <c r="AT3045" s="65" t="s">
        <v>165</v>
      </c>
      <c r="AU3045" s="65" t="s">
        <v>179</v>
      </c>
      <c r="AV3045" s="65" t="s">
        <v>134</v>
      </c>
      <c r="AW3045" s="432" t="s">
        <v>17955</v>
      </c>
      <c r="AX3045" s="65" t="s">
        <v>136</v>
      </c>
      <c r="AZ3045" s="59" t="s">
        <v>7268</v>
      </c>
    </row>
    <row r="3046">
      <c r="A3046" s="2340">
        <v>2877.0</v>
      </c>
      <c r="B3046" s="1793" t="s">
        <v>107</v>
      </c>
      <c r="C3046" s="1623" t="s">
        <v>108</v>
      </c>
      <c r="D3046" s="1623" t="s">
        <v>241</v>
      </c>
      <c r="E3046" s="1120"/>
      <c r="F3046" s="1624" t="s">
        <v>17963</v>
      </c>
      <c r="G3046" s="1624" t="s">
        <v>17990</v>
      </c>
      <c r="H3046" s="1624" t="s">
        <v>242</v>
      </c>
      <c r="I3046" s="2354">
        <v>45810.0</v>
      </c>
      <c r="J3046" s="2355"/>
      <c r="K3046" s="1624"/>
      <c r="L3046" s="1793" t="s">
        <v>17991</v>
      </c>
      <c r="M3046" s="1624" t="s">
        <v>17965</v>
      </c>
      <c r="N3046" s="1624" t="s">
        <v>17966</v>
      </c>
      <c r="O3046" s="1793">
        <v>2.0</v>
      </c>
      <c r="P3046" s="1624" t="s">
        <v>17967</v>
      </c>
      <c r="Q3046" s="2356" t="str">
        <f> hyperlink(vlookup(lower(N3046),'File Links'!E:F, 2, FALSE), "LINK")</f>
        <v>LINK</v>
      </c>
      <c r="R3046" s="1624" t="s">
        <v>17948</v>
      </c>
      <c r="S3046" s="1624" t="s">
        <v>17949</v>
      </c>
      <c r="T3046" s="1624"/>
      <c r="U3046" s="1818">
        <v>2.0</v>
      </c>
      <c r="V3046" s="1624" t="s">
        <v>17950</v>
      </c>
      <c r="W3046" s="1793" t="s">
        <v>1115</v>
      </c>
      <c r="X3046" s="2357" t="str">
        <f> hyperlink(vlookup(lower(S3046),'File Links'!E:F, 2, FALSE), "LINK")</f>
        <v>LINK</v>
      </c>
      <c r="Y3046" s="1624"/>
      <c r="Z3046" s="1624" t="s">
        <v>940</v>
      </c>
      <c r="AA3046" s="1624" t="s">
        <v>17968</v>
      </c>
      <c r="AB3046" s="1624" t="s">
        <v>7257</v>
      </c>
      <c r="AC3046" s="1624" t="s">
        <v>17969</v>
      </c>
      <c r="AD3046" s="1793" t="s">
        <v>17974</v>
      </c>
      <c r="AE3046" s="1818">
        <v>5.0</v>
      </c>
      <c r="AF3046" s="1818">
        <v>60.0</v>
      </c>
      <c r="AG3046" s="1624" t="s">
        <v>17975</v>
      </c>
      <c r="AH3046" s="1624" t="s">
        <v>127</v>
      </c>
      <c r="AI3046" s="1624" t="s">
        <v>875</v>
      </c>
      <c r="AJ3046" s="1818">
        <v>0.05</v>
      </c>
      <c r="AK3046" s="1624" t="s">
        <v>128</v>
      </c>
      <c r="AL3046" s="1624" t="s">
        <v>179</v>
      </c>
      <c r="AM3046" s="65" t="s">
        <v>130</v>
      </c>
      <c r="AN3046" s="1624" t="s">
        <v>131</v>
      </c>
      <c r="AO3046" s="1818">
        <v>311.0</v>
      </c>
      <c r="AP3046" s="1818">
        <v>0.001</v>
      </c>
      <c r="AQ3046" s="1624" t="s">
        <v>867</v>
      </c>
      <c r="AR3046" s="1793" t="s">
        <v>17992</v>
      </c>
      <c r="AS3046" s="1818">
        <v>0.501</v>
      </c>
      <c r="AT3046" s="1624" t="s">
        <v>165</v>
      </c>
      <c r="AU3046" s="1624" t="s">
        <v>179</v>
      </c>
      <c r="AV3046" s="65" t="s">
        <v>130</v>
      </c>
      <c r="AW3046" s="2345" t="s">
        <v>17955</v>
      </c>
      <c r="AX3046" s="1624" t="s">
        <v>136</v>
      </c>
      <c r="AY3046" s="1120"/>
      <c r="AZ3046" s="1623" t="s">
        <v>1263</v>
      </c>
      <c r="BA3046" s="1120"/>
    </row>
    <row r="3047">
      <c r="A3047" s="41">
        <v>2878.0</v>
      </c>
      <c r="B3047" s="126" t="s">
        <v>516</v>
      </c>
      <c r="C3047" s="59" t="s">
        <v>108</v>
      </c>
      <c r="D3047" s="59" t="s">
        <v>241</v>
      </c>
      <c r="F3047" s="65" t="s">
        <v>17993</v>
      </c>
      <c r="G3047" s="65" t="s">
        <v>17994</v>
      </c>
      <c r="H3047" s="65" t="s">
        <v>242</v>
      </c>
      <c r="I3047" s="526">
        <v>45811.0</v>
      </c>
      <c r="J3047" s="859"/>
      <c r="K3047" s="65"/>
      <c r="L3047" s="65"/>
      <c r="M3047" s="65" t="s">
        <v>17995</v>
      </c>
      <c r="N3047" s="65" t="s">
        <v>17996</v>
      </c>
      <c r="O3047" s="65"/>
      <c r="P3047" s="570" t="s">
        <v>17997</v>
      </c>
      <c r="Q3047" s="2289" t="str">
        <f> hyperlink(vlookup(lower(N3047),'File Links'!E:F, 2, FALSE), "LINK")</f>
        <v>LINK</v>
      </c>
      <c r="R3047" s="65" t="s">
        <v>17948</v>
      </c>
      <c r="S3047" s="65" t="s">
        <v>17949</v>
      </c>
      <c r="T3047" s="65"/>
      <c r="U3047" s="333">
        <v>1.0</v>
      </c>
      <c r="V3047" s="570" t="s">
        <v>17950</v>
      </c>
      <c r="W3047" s="1793"/>
      <c r="X3047" s="2290" t="str">
        <f> hyperlink(vlookup(lower(S3047),'File Links'!E:F, 2, FALSE), "LINK")</f>
        <v>LINK</v>
      </c>
      <c r="Y3047" s="65"/>
      <c r="Z3047" s="65" t="s">
        <v>940</v>
      </c>
      <c r="AA3047" s="65" t="s">
        <v>17968</v>
      </c>
      <c r="AB3047" s="65" t="s">
        <v>7257</v>
      </c>
      <c r="AC3047" s="65" t="s">
        <v>17969</v>
      </c>
      <c r="AD3047" s="65" t="s">
        <v>17998</v>
      </c>
      <c r="AE3047" s="65" t="s">
        <v>489</v>
      </c>
      <c r="AF3047" s="333">
        <v>80.0</v>
      </c>
      <c r="AG3047" s="65" t="s">
        <v>17999</v>
      </c>
      <c r="AH3047" s="65" t="s">
        <v>127</v>
      </c>
      <c r="AI3047" s="65" t="s">
        <v>18000</v>
      </c>
      <c r="AJ3047" s="333">
        <v>0.02</v>
      </c>
      <c r="AK3047" s="65" t="s">
        <v>128</v>
      </c>
      <c r="AL3047" s="65" t="s">
        <v>211</v>
      </c>
      <c r="AM3047" s="65" t="s">
        <v>130</v>
      </c>
      <c r="AN3047" s="65" t="s">
        <v>131</v>
      </c>
      <c r="AO3047" s="333">
        <v>311.0</v>
      </c>
      <c r="AP3047" s="333">
        <v>0.65</v>
      </c>
      <c r="AQ3047" s="65" t="s">
        <v>166</v>
      </c>
      <c r="AR3047" s="65" t="s">
        <v>18001</v>
      </c>
      <c r="AS3047" s="333">
        <v>0.001</v>
      </c>
      <c r="AT3047" s="65" t="s">
        <v>128</v>
      </c>
      <c r="AU3047" s="65" t="s">
        <v>179</v>
      </c>
      <c r="AV3047" s="65" t="s">
        <v>130</v>
      </c>
      <c r="AW3047" s="432" t="s">
        <v>17955</v>
      </c>
      <c r="AX3047" s="65" t="s">
        <v>136</v>
      </c>
      <c r="AZ3047" s="59" t="s">
        <v>7268</v>
      </c>
    </row>
    <row r="3048">
      <c r="A3048" s="2340">
        <v>2990.0</v>
      </c>
      <c r="B3048" s="1793" t="s">
        <v>145</v>
      </c>
      <c r="C3048" s="1623" t="s">
        <v>108</v>
      </c>
      <c r="D3048" s="1623" t="s">
        <v>15410</v>
      </c>
      <c r="E3048" s="1120"/>
      <c r="F3048" s="1624" t="s">
        <v>17993</v>
      </c>
      <c r="G3048" s="1626" t="s">
        <v>17994</v>
      </c>
      <c r="H3048" s="1626" t="s">
        <v>17956</v>
      </c>
      <c r="I3048" s="2128">
        <v>45331.0</v>
      </c>
      <c r="J3048" s="2341">
        <v>45835.0</v>
      </c>
      <c r="K3048" s="1624"/>
      <c r="L3048" s="1793" t="s">
        <v>18002</v>
      </c>
      <c r="M3048" s="1626" t="s">
        <v>17995</v>
      </c>
      <c r="N3048" s="1626" t="s">
        <v>17996</v>
      </c>
      <c r="O3048" s="1818">
        <v>1.0</v>
      </c>
      <c r="P3048" s="1626" t="s">
        <v>17997</v>
      </c>
      <c r="Q3048" s="2342" t="str">
        <f> hyperlink(vlookup(lower(N3048),'File Links'!E:F, 2, FALSE), "LINK")</f>
        <v>LINK</v>
      </c>
      <c r="R3048" s="1626" t="s">
        <v>17948</v>
      </c>
      <c r="S3048" s="1626" t="s">
        <v>17949</v>
      </c>
      <c r="T3048" s="1624"/>
      <c r="U3048" s="1624" t="s">
        <v>5533</v>
      </c>
      <c r="V3048" s="1626" t="s">
        <v>17950</v>
      </c>
      <c r="W3048" s="1793" t="s">
        <v>1115</v>
      </c>
      <c r="X3048" s="2343" t="str">
        <f> hyperlink(vlookup(lower(S3048),'File Links'!E:F, 2, FALSE), "LINK")</f>
        <v>LINK</v>
      </c>
      <c r="Y3048" s="1624"/>
      <c r="Z3048" s="1626" t="s">
        <v>940</v>
      </c>
      <c r="AA3048" s="1626" t="s">
        <v>17968</v>
      </c>
      <c r="AB3048" s="1626" t="s">
        <v>7257</v>
      </c>
      <c r="AC3048" s="1626" t="s">
        <v>17969</v>
      </c>
      <c r="AD3048" s="1793" t="s">
        <v>18003</v>
      </c>
      <c r="AE3048" s="1818">
        <v>4.0</v>
      </c>
      <c r="AF3048" s="1818">
        <v>80.0</v>
      </c>
      <c r="AG3048" s="1624" t="s">
        <v>18004</v>
      </c>
      <c r="AH3048" s="1624" t="s">
        <v>127</v>
      </c>
      <c r="AI3048" s="1624" t="s">
        <v>489</v>
      </c>
      <c r="AJ3048" s="1818">
        <v>0.05</v>
      </c>
      <c r="AK3048" s="1624" t="s">
        <v>128</v>
      </c>
      <c r="AL3048" s="1624" t="s">
        <v>211</v>
      </c>
      <c r="AM3048" s="1624" t="s">
        <v>130</v>
      </c>
      <c r="AN3048" s="1793" t="s">
        <v>131</v>
      </c>
      <c r="AO3048" s="1818">
        <v>311.0</v>
      </c>
      <c r="AP3048" s="1818">
        <v>0.019</v>
      </c>
      <c r="AQ3048" s="1624" t="s">
        <v>867</v>
      </c>
      <c r="AR3048" s="1624" t="s">
        <v>597</v>
      </c>
      <c r="AS3048" s="1818">
        <v>0.016</v>
      </c>
      <c r="AT3048" s="1624" t="s">
        <v>165</v>
      </c>
      <c r="AU3048" s="1624" t="s">
        <v>179</v>
      </c>
      <c r="AV3048" s="1624" t="s">
        <v>130</v>
      </c>
      <c r="AW3048" s="2345" t="s">
        <v>17959</v>
      </c>
      <c r="AX3048" s="1624" t="s">
        <v>136</v>
      </c>
      <c r="AY3048" s="1120"/>
      <c r="AZ3048" s="1623" t="s">
        <v>807</v>
      </c>
      <c r="BA3048" s="1120"/>
    </row>
    <row r="3049">
      <c r="A3049" s="2340">
        <v>2879.0</v>
      </c>
      <c r="B3049" s="1793" t="s">
        <v>107</v>
      </c>
      <c r="C3049" s="1623" t="s">
        <v>108</v>
      </c>
      <c r="D3049" s="1623" t="s">
        <v>241</v>
      </c>
      <c r="E3049" s="1120"/>
      <c r="F3049" s="1624" t="s">
        <v>17993</v>
      </c>
      <c r="G3049" s="1624" t="s">
        <v>18005</v>
      </c>
      <c r="H3049" s="1624" t="s">
        <v>242</v>
      </c>
      <c r="I3049" s="2354">
        <v>45811.0</v>
      </c>
      <c r="J3049" s="2355"/>
      <c r="K3049" s="1624"/>
      <c r="L3049" s="1793" t="s">
        <v>18006</v>
      </c>
      <c r="M3049" s="1624" t="s">
        <v>17995</v>
      </c>
      <c r="N3049" s="1624" t="s">
        <v>17996</v>
      </c>
      <c r="O3049" s="1624"/>
      <c r="P3049" s="1624" t="s">
        <v>17997</v>
      </c>
      <c r="Q3049" s="2356" t="str">
        <f> hyperlink(vlookup(lower(N3049),'File Links'!E:F, 2, FALSE), "LINK")</f>
        <v>LINK</v>
      </c>
      <c r="R3049" s="1624" t="s">
        <v>17948</v>
      </c>
      <c r="S3049" s="1624" t="s">
        <v>17949</v>
      </c>
      <c r="T3049" s="1624"/>
      <c r="U3049" s="1796">
        <v>3.0</v>
      </c>
      <c r="V3049" s="1624" t="s">
        <v>17950</v>
      </c>
      <c r="W3049" s="1793" t="s">
        <v>1115</v>
      </c>
      <c r="X3049" s="2357" t="str">
        <f> hyperlink(vlookup(lower(S3049),'File Links'!E:F, 2, FALSE), "LINK")</f>
        <v>LINK</v>
      </c>
      <c r="Y3049" s="1624"/>
      <c r="Z3049" s="1624" t="s">
        <v>940</v>
      </c>
      <c r="AA3049" s="1624" t="s">
        <v>17968</v>
      </c>
      <c r="AB3049" s="1624" t="s">
        <v>7257</v>
      </c>
      <c r="AC3049" s="1624" t="s">
        <v>17969</v>
      </c>
      <c r="AD3049" s="1624" t="s">
        <v>18007</v>
      </c>
      <c r="AE3049" s="1624" t="s">
        <v>489</v>
      </c>
      <c r="AF3049" s="1818">
        <v>80.0</v>
      </c>
      <c r="AG3049" s="1624" t="s">
        <v>18008</v>
      </c>
      <c r="AH3049" s="1624" t="s">
        <v>127</v>
      </c>
      <c r="AI3049" s="1624" t="s">
        <v>18009</v>
      </c>
      <c r="AJ3049" s="1818">
        <v>0.05</v>
      </c>
      <c r="AK3049" s="1624" t="s">
        <v>128</v>
      </c>
      <c r="AL3049" s="1624" t="s">
        <v>211</v>
      </c>
      <c r="AM3049" s="1624" t="s">
        <v>130</v>
      </c>
      <c r="AN3049" s="1624" t="s">
        <v>131</v>
      </c>
      <c r="AO3049" s="1818">
        <v>311.0</v>
      </c>
      <c r="AP3049" s="1818">
        <v>0.019</v>
      </c>
      <c r="AQ3049" s="1624" t="s">
        <v>867</v>
      </c>
      <c r="AR3049" s="1624" t="s">
        <v>18010</v>
      </c>
      <c r="AS3049" s="1818">
        <v>0.016</v>
      </c>
      <c r="AT3049" s="1624" t="s">
        <v>165</v>
      </c>
      <c r="AU3049" s="1624" t="s">
        <v>179</v>
      </c>
      <c r="AV3049" s="1624" t="s">
        <v>130</v>
      </c>
      <c r="AW3049" s="2345" t="s">
        <v>17955</v>
      </c>
      <c r="AX3049" s="1624" t="s">
        <v>136</v>
      </c>
      <c r="AY3049" s="1120"/>
      <c r="AZ3049" s="1623" t="s">
        <v>1263</v>
      </c>
      <c r="BA3049" s="1120"/>
    </row>
    <row r="3050">
      <c r="A3050" s="41">
        <v>2880.0</v>
      </c>
      <c r="B3050" s="126" t="s">
        <v>516</v>
      </c>
      <c r="C3050" s="59" t="s">
        <v>108</v>
      </c>
      <c r="D3050" s="59" t="s">
        <v>241</v>
      </c>
      <c r="F3050" s="65" t="s">
        <v>17993</v>
      </c>
      <c r="G3050" s="65" t="s">
        <v>18011</v>
      </c>
      <c r="H3050" s="65" t="s">
        <v>242</v>
      </c>
      <c r="I3050" s="526">
        <v>45811.0</v>
      </c>
      <c r="J3050" s="859"/>
      <c r="K3050" s="65"/>
      <c r="L3050" s="65"/>
      <c r="M3050" s="65" t="s">
        <v>17995</v>
      </c>
      <c r="N3050" s="65" t="s">
        <v>17996</v>
      </c>
      <c r="O3050" s="65"/>
      <c r="P3050" s="570" t="s">
        <v>17997</v>
      </c>
      <c r="Q3050" s="2289" t="str">
        <f> hyperlink(vlookup(lower(N3050),'File Links'!E:F, 2, FALSE), "LINK")</f>
        <v>LINK</v>
      </c>
      <c r="R3050" s="65" t="s">
        <v>17948</v>
      </c>
      <c r="S3050" s="65" t="s">
        <v>17949</v>
      </c>
      <c r="T3050" s="65"/>
      <c r="U3050" s="333">
        <v>1.0</v>
      </c>
      <c r="V3050" s="570" t="s">
        <v>17950</v>
      </c>
      <c r="W3050" s="1225"/>
      <c r="X3050" s="2290" t="str">
        <f> hyperlink(vlookup(lower(S3050),'File Links'!E:F, 2, FALSE), "LINK")</f>
        <v>LINK</v>
      </c>
      <c r="Y3050" s="65"/>
      <c r="Z3050" s="65" t="s">
        <v>940</v>
      </c>
      <c r="AA3050" s="65" t="s">
        <v>17968</v>
      </c>
      <c r="AB3050" s="65" t="s">
        <v>7257</v>
      </c>
      <c r="AC3050" s="65" t="s">
        <v>17969</v>
      </c>
      <c r="AD3050" s="65" t="s">
        <v>18012</v>
      </c>
      <c r="AE3050" s="65" t="s">
        <v>875</v>
      </c>
      <c r="AF3050" s="333">
        <v>80.0</v>
      </c>
      <c r="AG3050" s="65" t="s">
        <v>18013</v>
      </c>
      <c r="AH3050" s="65" t="s">
        <v>127</v>
      </c>
      <c r="AI3050" s="65" t="s">
        <v>18014</v>
      </c>
      <c r="AJ3050" s="333">
        <v>0.01</v>
      </c>
      <c r="AK3050" s="65" t="s">
        <v>128</v>
      </c>
      <c r="AL3050" s="65" t="s">
        <v>211</v>
      </c>
      <c r="AM3050" s="65" t="s">
        <v>130</v>
      </c>
      <c r="AN3050" s="65" t="s">
        <v>131</v>
      </c>
      <c r="AO3050" s="333">
        <v>311.0</v>
      </c>
      <c r="AP3050" s="333">
        <v>0.34</v>
      </c>
      <c r="AQ3050" s="65" t="s">
        <v>166</v>
      </c>
      <c r="AR3050" s="65" t="s">
        <v>18015</v>
      </c>
      <c r="AS3050" s="333">
        <v>0.037</v>
      </c>
      <c r="AT3050" s="65" t="s">
        <v>165</v>
      </c>
      <c r="AU3050" s="65" t="s">
        <v>179</v>
      </c>
      <c r="AV3050" s="65" t="s">
        <v>130</v>
      </c>
      <c r="AW3050" s="432" t="s">
        <v>17955</v>
      </c>
      <c r="AX3050" s="65" t="s">
        <v>136</v>
      </c>
      <c r="AZ3050" s="59" t="s">
        <v>7268</v>
      </c>
    </row>
    <row r="3051">
      <c r="A3051" s="41">
        <v>2881.0</v>
      </c>
      <c r="B3051" s="126" t="s">
        <v>516</v>
      </c>
      <c r="C3051" s="59" t="s">
        <v>108</v>
      </c>
      <c r="D3051" s="59" t="s">
        <v>241</v>
      </c>
      <c r="F3051" s="65" t="s">
        <v>17993</v>
      </c>
      <c r="G3051" s="65" t="s">
        <v>18016</v>
      </c>
      <c r="H3051" s="65" t="s">
        <v>242</v>
      </c>
      <c r="I3051" s="526">
        <v>45811.0</v>
      </c>
      <c r="J3051" s="859"/>
      <c r="K3051" s="65"/>
      <c r="L3051" s="65"/>
      <c r="M3051" s="65" t="s">
        <v>17995</v>
      </c>
      <c r="N3051" s="65" t="s">
        <v>17996</v>
      </c>
      <c r="O3051" s="65"/>
      <c r="P3051" s="570" t="s">
        <v>17997</v>
      </c>
      <c r="Q3051" s="2289" t="str">
        <f> hyperlink(vlookup(lower(N3051),'File Links'!E:F, 2, FALSE), "LINK")</f>
        <v>LINK</v>
      </c>
      <c r="R3051" s="65" t="s">
        <v>17948</v>
      </c>
      <c r="S3051" s="65" t="s">
        <v>17949</v>
      </c>
      <c r="T3051" s="65"/>
      <c r="U3051" s="333">
        <v>1.0</v>
      </c>
      <c r="V3051" s="570" t="s">
        <v>17950</v>
      </c>
      <c r="W3051" s="1225"/>
      <c r="X3051" s="2290" t="str">
        <f> hyperlink(vlookup(lower(S3051),'File Links'!E:F, 2, FALSE), "LINK")</f>
        <v>LINK</v>
      </c>
      <c r="Y3051" s="65"/>
      <c r="Z3051" s="65" t="s">
        <v>940</v>
      </c>
      <c r="AA3051" s="65" t="s">
        <v>17968</v>
      </c>
      <c r="AB3051" s="65" t="s">
        <v>7257</v>
      </c>
      <c r="AC3051" s="65" t="s">
        <v>17969</v>
      </c>
      <c r="AD3051" s="65" t="s">
        <v>17998</v>
      </c>
      <c r="AE3051" s="65" t="s">
        <v>489</v>
      </c>
      <c r="AF3051" s="333">
        <v>80.0</v>
      </c>
      <c r="AG3051" s="65" t="s">
        <v>17999</v>
      </c>
      <c r="AH3051" s="65" t="s">
        <v>127</v>
      </c>
      <c r="AI3051" s="65" t="s">
        <v>18000</v>
      </c>
      <c r="AJ3051" s="333">
        <v>0.02</v>
      </c>
      <c r="AK3051" s="65" t="s">
        <v>128</v>
      </c>
      <c r="AL3051" s="65" t="s">
        <v>211</v>
      </c>
      <c r="AM3051" s="65" t="s">
        <v>130</v>
      </c>
      <c r="AN3051" s="65" t="s">
        <v>131</v>
      </c>
      <c r="AO3051" s="333">
        <v>311.0</v>
      </c>
      <c r="AP3051" s="333">
        <v>0.49</v>
      </c>
      <c r="AQ3051" s="65" t="s">
        <v>166</v>
      </c>
      <c r="AR3051" s="65" t="s">
        <v>18017</v>
      </c>
      <c r="AS3051" s="333">
        <v>0.001</v>
      </c>
      <c r="AT3051" s="65" t="s">
        <v>128</v>
      </c>
      <c r="AU3051" s="65" t="s">
        <v>179</v>
      </c>
      <c r="AV3051" s="65" t="s">
        <v>130</v>
      </c>
      <c r="AW3051" s="432" t="s">
        <v>17955</v>
      </c>
      <c r="AX3051" s="65" t="s">
        <v>136</v>
      </c>
      <c r="AZ3051" s="59" t="s">
        <v>7268</v>
      </c>
    </row>
    <row r="3052">
      <c r="A3052" s="41">
        <v>2882.0</v>
      </c>
      <c r="B3052" s="126" t="s">
        <v>516</v>
      </c>
      <c r="C3052" s="59" t="s">
        <v>108</v>
      </c>
      <c r="D3052" s="59" t="s">
        <v>241</v>
      </c>
      <c r="F3052" s="65" t="s">
        <v>17993</v>
      </c>
      <c r="G3052" s="65" t="s">
        <v>18018</v>
      </c>
      <c r="H3052" s="65" t="s">
        <v>242</v>
      </c>
      <c r="I3052" s="526">
        <v>45811.0</v>
      </c>
      <c r="J3052" s="859"/>
      <c r="K3052" s="65"/>
      <c r="L3052" s="65"/>
      <c r="M3052" s="65" t="s">
        <v>17995</v>
      </c>
      <c r="N3052" s="65" t="s">
        <v>17996</v>
      </c>
      <c r="O3052" s="65"/>
      <c r="P3052" s="570" t="s">
        <v>17997</v>
      </c>
      <c r="Q3052" s="2289" t="str">
        <f> hyperlink(vlookup(lower(N3052),'File Links'!E:F, 2, FALSE), "LINK")</f>
        <v>LINK</v>
      </c>
      <c r="R3052" s="65" t="s">
        <v>17948</v>
      </c>
      <c r="S3052" s="65" t="s">
        <v>17949</v>
      </c>
      <c r="T3052" s="65"/>
      <c r="U3052" s="333">
        <v>1.0</v>
      </c>
      <c r="V3052" s="570" t="s">
        <v>17950</v>
      </c>
      <c r="W3052" s="1225"/>
      <c r="X3052" s="2290" t="str">
        <f> hyperlink(vlookup(lower(S3052),'File Links'!E:F, 2, FALSE), "LINK")</f>
        <v>LINK</v>
      </c>
      <c r="Y3052" s="65"/>
      <c r="Z3052" s="65" t="s">
        <v>940</v>
      </c>
      <c r="AA3052" s="65" t="s">
        <v>17968</v>
      </c>
      <c r="AB3052" s="65" t="s">
        <v>7257</v>
      </c>
      <c r="AC3052" s="65" t="s">
        <v>17969</v>
      </c>
      <c r="AD3052" s="65" t="s">
        <v>18007</v>
      </c>
      <c r="AE3052" s="65" t="s">
        <v>489</v>
      </c>
      <c r="AF3052" s="333">
        <v>80.0</v>
      </c>
      <c r="AG3052" s="65" t="s">
        <v>18008</v>
      </c>
      <c r="AH3052" s="65" t="s">
        <v>127</v>
      </c>
      <c r="AI3052" s="65" t="s">
        <v>18009</v>
      </c>
      <c r="AJ3052" s="333">
        <v>0.05</v>
      </c>
      <c r="AK3052" s="65" t="s">
        <v>128</v>
      </c>
      <c r="AL3052" s="65" t="s">
        <v>211</v>
      </c>
      <c r="AM3052" s="65" t="s">
        <v>130</v>
      </c>
      <c r="AN3052" s="65" t="s">
        <v>131</v>
      </c>
      <c r="AO3052" s="333">
        <v>311.0</v>
      </c>
      <c r="AP3052" s="333">
        <v>0.002</v>
      </c>
      <c r="AQ3052" s="65" t="s">
        <v>867</v>
      </c>
      <c r="AR3052" s="65" t="s">
        <v>18019</v>
      </c>
      <c r="AS3052" s="333">
        <v>0.21</v>
      </c>
      <c r="AT3052" s="65" t="s">
        <v>165</v>
      </c>
      <c r="AU3052" s="65" t="s">
        <v>179</v>
      </c>
      <c r="AV3052" s="65" t="s">
        <v>130</v>
      </c>
      <c r="AW3052" s="432" t="s">
        <v>17955</v>
      </c>
      <c r="AX3052" s="65" t="s">
        <v>136</v>
      </c>
      <c r="AZ3052" s="59" t="s">
        <v>7268</v>
      </c>
    </row>
    <row r="3053">
      <c r="A3053" s="41">
        <v>2883.0</v>
      </c>
      <c r="B3053" s="126" t="s">
        <v>516</v>
      </c>
      <c r="C3053" s="59" t="s">
        <v>108</v>
      </c>
      <c r="D3053" s="59" t="s">
        <v>241</v>
      </c>
      <c r="F3053" s="65" t="s">
        <v>17993</v>
      </c>
      <c r="G3053" s="65" t="s">
        <v>18020</v>
      </c>
      <c r="H3053" s="65" t="s">
        <v>242</v>
      </c>
      <c r="I3053" s="526">
        <v>45811.0</v>
      </c>
      <c r="J3053" s="859"/>
      <c r="K3053" s="65"/>
      <c r="L3053" s="65"/>
      <c r="M3053" s="65" t="s">
        <v>17995</v>
      </c>
      <c r="N3053" s="65" t="s">
        <v>17996</v>
      </c>
      <c r="O3053" s="65"/>
      <c r="P3053" s="570" t="s">
        <v>17997</v>
      </c>
      <c r="Q3053" s="2289" t="str">
        <f> hyperlink(vlookup(lower(N3053),'File Links'!E:F, 2, FALSE), "LINK")</f>
        <v>LINK</v>
      </c>
      <c r="R3053" s="65" t="s">
        <v>17948</v>
      </c>
      <c r="S3053" s="65" t="s">
        <v>17949</v>
      </c>
      <c r="T3053" s="65"/>
      <c r="U3053" s="333">
        <v>1.0</v>
      </c>
      <c r="V3053" s="570" t="s">
        <v>17950</v>
      </c>
      <c r="W3053" s="1225"/>
      <c r="X3053" s="2290" t="str">
        <f> hyperlink(vlookup(lower(S3053),'File Links'!E:F, 2, FALSE), "LINK")</f>
        <v>LINK</v>
      </c>
      <c r="Y3053" s="65"/>
      <c r="Z3053" s="65" t="s">
        <v>940</v>
      </c>
      <c r="AA3053" s="65" t="s">
        <v>17968</v>
      </c>
      <c r="AB3053" s="65" t="s">
        <v>7257</v>
      </c>
      <c r="AC3053" s="65" t="s">
        <v>17969</v>
      </c>
      <c r="AD3053" s="65" t="s">
        <v>18012</v>
      </c>
      <c r="AE3053" s="65" t="s">
        <v>875</v>
      </c>
      <c r="AF3053" s="333">
        <v>80.0</v>
      </c>
      <c r="AG3053" s="65" t="s">
        <v>18013</v>
      </c>
      <c r="AH3053" s="65" t="s">
        <v>127</v>
      </c>
      <c r="AI3053" s="65" t="s">
        <v>18014</v>
      </c>
      <c r="AJ3053" s="333">
        <v>0.01</v>
      </c>
      <c r="AK3053" s="65" t="s">
        <v>128</v>
      </c>
      <c r="AL3053" s="65" t="s">
        <v>211</v>
      </c>
      <c r="AM3053" s="65" t="s">
        <v>130</v>
      </c>
      <c r="AN3053" s="65" t="s">
        <v>131</v>
      </c>
      <c r="AO3053" s="333">
        <v>311.0</v>
      </c>
      <c r="AP3053" s="65" t="s">
        <v>131</v>
      </c>
      <c r="AQ3053" s="65" t="s">
        <v>131</v>
      </c>
      <c r="AR3053" s="65" t="s">
        <v>18021</v>
      </c>
      <c r="AS3053" s="333">
        <v>0.05</v>
      </c>
      <c r="AT3053" s="65" t="s">
        <v>328</v>
      </c>
      <c r="AU3053" s="65" t="s">
        <v>179</v>
      </c>
      <c r="AV3053" s="65" t="s">
        <v>130</v>
      </c>
      <c r="AW3053" s="432" t="s">
        <v>17955</v>
      </c>
      <c r="AX3053" s="65" t="s">
        <v>136</v>
      </c>
      <c r="AZ3053" s="59" t="s">
        <v>7268</v>
      </c>
    </row>
    <row r="3054">
      <c r="A3054" s="2340">
        <v>2991.0</v>
      </c>
      <c r="B3054" s="1793" t="s">
        <v>107</v>
      </c>
      <c r="C3054" s="1623" t="s">
        <v>108</v>
      </c>
      <c r="D3054" s="1623" t="s">
        <v>15410</v>
      </c>
      <c r="E3054" s="1120"/>
      <c r="F3054" s="1624" t="s">
        <v>18022</v>
      </c>
      <c r="G3054" s="1626" t="s">
        <v>18023</v>
      </c>
      <c r="H3054" s="1626" t="s">
        <v>17956</v>
      </c>
      <c r="I3054" s="2128">
        <v>45331.0</v>
      </c>
      <c r="J3054" s="2341">
        <v>45835.0</v>
      </c>
      <c r="K3054" s="1624"/>
      <c r="L3054" s="1793" t="s">
        <v>18024</v>
      </c>
      <c r="M3054" s="1626" t="s">
        <v>18025</v>
      </c>
      <c r="N3054" s="1626" t="s">
        <v>18026</v>
      </c>
      <c r="O3054" s="1818">
        <v>1.0</v>
      </c>
      <c r="P3054" s="1626" t="s">
        <v>18027</v>
      </c>
      <c r="Q3054" s="2342" t="str">
        <f> hyperlink(vlookup(lower(N3054),'File Links'!E:F, 2, FALSE), "LINK")</f>
        <v>LINK</v>
      </c>
      <c r="R3054" s="1626" t="s">
        <v>18028</v>
      </c>
      <c r="S3054" s="1626" t="s">
        <v>18029</v>
      </c>
      <c r="T3054" s="1624"/>
      <c r="U3054" s="1818">
        <v>1.0</v>
      </c>
      <c r="V3054" s="1626" t="s">
        <v>18030</v>
      </c>
      <c r="W3054" s="1793" t="s">
        <v>1115</v>
      </c>
      <c r="X3054" s="2343" t="str">
        <f> hyperlink(vlookup(lower(S3054),'File Links'!E:F, 2, FALSE), "LINK")</f>
        <v>LINK</v>
      </c>
      <c r="Y3054" s="1624"/>
      <c r="Z3054" s="1626" t="s">
        <v>940</v>
      </c>
      <c r="AA3054" s="1626" t="s">
        <v>11205</v>
      </c>
      <c r="AB3054" s="1626" t="s">
        <v>7257</v>
      </c>
      <c r="AC3054" s="1626" t="s">
        <v>18031</v>
      </c>
      <c r="AD3054" s="1624" t="s">
        <v>18032</v>
      </c>
      <c r="AE3054" s="1624" t="s">
        <v>2764</v>
      </c>
      <c r="AF3054" s="1818">
        <v>100.0</v>
      </c>
      <c r="AG3054" s="1818">
        <v>0.11</v>
      </c>
      <c r="AH3054" s="1624" t="s">
        <v>132</v>
      </c>
      <c r="AI3054" s="1624" t="s">
        <v>18033</v>
      </c>
      <c r="AJ3054" s="1818">
        <v>0.05</v>
      </c>
      <c r="AK3054" s="1624" t="s">
        <v>128</v>
      </c>
      <c r="AL3054" s="1624" t="s">
        <v>179</v>
      </c>
      <c r="AM3054" s="1624" t="s">
        <v>134</v>
      </c>
      <c r="AN3054" s="1624"/>
      <c r="AO3054" s="1818">
        <v>860.0</v>
      </c>
      <c r="AP3054" s="1624" t="s">
        <v>18034</v>
      </c>
      <c r="AQ3054" s="1624" t="s">
        <v>127</v>
      </c>
      <c r="AR3054" s="1624" t="s">
        <v>1167</v>
      </c>
      <c r="AS3054" s="1818">
        <v>0.025</v>
      </c>
      <c r="AT3054" s="1624" t="s">
        <v>128</v>
      </c>
      <c r="AU3054" s="1624" t="s">
        <v>129</v>
      </c>
      <c r="AV3054" s="1624" t="s">
        <v>134</v>
      </c>
      <c r="AW3054" s="2345" t="s">
        <v>18035</v>
      </c>
      <c r="AX3054" s="1624" t="s">
        <v>136</v>
      </c>
      <c r="AY3054" s="1120"/>
      <c r="AZ3054" s="1623" t="s">
        <v>807</v>
      </c>
      <c r="BA3054" s="1120"/>
    </row>
    <row r="3055">
      <c r="A3055" s="41">
        <v>2884.0</v>
      </c>
      <c r="B3055" s="126" t="s">
        <v>516</v>
      </c>
      <c r="C3055" s="59" t="s">
        <v>108</v>
      </c>
      <c r="D3055" s="59" t="s">
        <v>241</v>
      </c>
      <c r="F3055" s="65" t="s">
        <v>18022</v>
      </c>
      <c r="G3055" s="65" t="s">
        <v>18036</v>
      </c>
      <c r="H3055" s="65" t="s">
        <v>242</v>
      </c>
      <c r="I3055" s="526">
        <v>45811.0</v>
      </c>
      <c r="J3055" s="859"/>
      <c r="K3055" s="65" t="s">
        <v>18037</v>
      </c>
      <c r="L3055" s="65"/>
      <c r="M3055" s="65" t="s">
        <v>18025</v>
      </c>
      <c r="N3055" s="65" t="s">
        <v>18026</v>
      </c>
      <c r="O3055" s="65"/>
      <c r="P3055" s="570" t="s">
        <v>18027</v>
      </c>
      <c r="Q3055" s="2289" t="str">
        <f> hyperlink(vlookup(lower(N3055),'File Links'!E:F, 2, FALSE), "LINK")</f>
        <v>LINK</v>
      </c>
      <c r="R3055" s="65" t="s">
        <v>18028</v>
      </c>
      <c r="S3055" s="65" t="s">
        <v>18029</v>
      </c>
      <c r="T3055" s="65"/>
      <c r="U3055" s="333">
        <v>1.0</v>
      </c>
      <c r="V3055" s="570" t="s">
        <v>18030</v>
      </c>
      <c r="W3055" s="1225"/>
      <c r="X3055" s="2290" t="str">
        <f> hyperlink(vlookup(lower(S3055),'File Links'!E:F, 2, FALSE), "LINK")</f>
        <v>LINK</v>
      </c>
      <c r="Y3055" s="65"/>
      <c r="Z3055" s="65" t="s">
        <v>940</v>
      </c>
      <c r="AA3055" s="65" t="s">
        <v>11205</v>
      </c>
      <c r="AB3055" s="65" t="s">
        <v>7257</v>
      </c>
      <c r="AC3055" s="65" t="s">
        <v>18031</v>
      </c>
      <c r="AD3055" s="65" t="s">
        <v>18038</v>
      </c>
      <c r="AE3055" s="65" t="s">
        <v>2764</v>
      </c>
      <c r="AF3055" s="333">
        <v>100.0</v>
      </c>
      <c r="AG3055" s="333">
        <v>0.54</v>
      </c>
      <c r="AH3055" s="65" t="s">
        <v>867</v>
      </c>
      <c r="AI3055" s="65" t="s">
        <v>18039</v>
      </c>
      <c r="AJ3055" s="333">
        <v>1.0E-4</v>
      </c>
      <c r="AK3055" s="65" t="s">
        <v>128</v>
      </c>
      <c r="AL3055" s="65" t="s">
        <v>179</v>
      </c>
      <c r="AM3055" s="65" t="s">
        <v>130</v>
      </c>
      <c r="AN3055" s="65" t="s">
        <v>131</v>
      </c>
      <c r="AO3055" s="333">
        <v>860.0</v>
      </c>
      <c r="AP3055" s="333">
        <v>0.62</v>
      </c>
      <c r="AQ3055" s="65" t="s">
        <v>166</v>
      </c>
      <c r="AR3055" s="65" t="s">
        <v>18040</v>
      </c>
      <c r="AS3055" s="333">
        <v>0.001</v>
      </c>
      <c r="AT3055" s="65" t="s">
        <v>128</v>
      </c>
      <c r="AU3055" s="65" t="s">
        <v>179</v>
      </c>
      <c r="AV3055" s="65" t="s">
        <v>130</v>
      </c>
      <c r="AW3055" s="432" t="s">
        <v>18041</v>
      </c>
      <c r="AX3055" s="65" t="s">
        <v>136</v>
      </c>
      <c r="AZ3055" s="59" t="s">
        <v>7268</v>
      </c>
    </row>
    <row r="3056">
      <c r="A3056" s="41">
        <v>2885.0</v>
      </c>
      <c r="B3056" s="126" t="s">
        <v>516</v>
      </c>
      <c r="C3056" s="59" t="s">
        <v>108</v>
      </c>
      <c r="D3056" s="59" t="s">
        <v>241</v>
      </c>
      <c r="F3056" s="65" t="s">
        <v>18022</v>
      </c>
      <c r="G3056" s="65" t="s">
        <v>18042</v>
      </c>
      <c r="H3056" s="65" t="s">
        <v>242</v>
      </c>
      <c r="I3056" s="526">
        <v>45811.0</v>
      </c>
      <c r="J3056" s="859"/>
      <c r="K3056" s="65" t="s">
        <v>18037</v>
      </c>
      <c r="L3056" s="65"/>
      <c r="M3056" s="65" t="s">
        <v>18025</v>
      </c>
      <c r="N3056" s="65" t="s">
        <v>18026</v>
      </c>
      <c r="O3056" s="65"/>
      <c r="P3056" s="570" t="s">
        <v>18027</v>
      </c>
      <c r="Q3056" s="2289" t="str">
        <f> hyperlink(vlookup(lower(N3056),'File Links'!E:F, 2, FALSE), "LINK")</f>
        <v>LINK</v>
      </c>
      <c r="R3056" s="65" t="s">
        <v>18028</v>
      </c>
      <c r="S3056" s="65" t="s">
        <v>18029</v>
      </c>
      <c r="T3056" s="65"/>
      <c r="U3056" s="333">
        <v>2.0</v>
      </c>
      <c r="V3056" s="570" t="s">
        <v>18030</v>
      </c>
      <c r="W3056" s="1225"/>
      <c r="X3056" s="2290" t="str">
        <f> hyperlink(vlookup(lower(S3056),'File Links'!E:F, 2, FALSE), "LINK")</f>
        <v>LINK</v>
      </c>
      <c r="Y3056" s="65"/>
      <c r="Z3056" s="65" t="s">
        <v>940</v>
      </c>
      <c r="AA3056" s="65" t="s">
        <v>11205</v>
      </c>
      <c r="AB3056" s="65" t="s">
        <v>7257</v>
      </c>
      <c r="AC3056" s="65" t="s">
        <v>18031</v>
      </c>
      <c r="AD3056" s="65" t="s">
        <v>18043</v>
      </c>
      <c r="AE3056" s="65" t="s">
        <v>500</v>
      </c>
      <c r="AF3056" s="333">
        <v>46.0</v>
      </c>
      <c r="AG3056" s="65" t="s">
        <v>18044</v>
      </c>
      <c r="AH3056" s="65" t="s">
        <v>127</v>
      </c>
      <c r="AI3056" s="65" t="s">
        <v>500</v>
      </c>
      <c r="AJ3056" s="333">
        <v>0.05</v>
      </c>
      <c r="AK3056" s="65" t="s">
        <v>128</v>
      </c>
      <c r="AL3056" s="65" t="s">
        <v>179</v>
      </c>
      <c r="AM3056" s="65" t="s">
        <v>130</v>
      </c>
      <c r="AN3056" s="65" t="s">
        <v>131</v>
      </c>
      <c r="AO3056" s="333">
        <v>860.0</v>
      </c>
      <c r="AP3056" s="333">
        <v>0.37</v>
      </c>
      <c r="AQ3056" s="65" t="s">
        <v>166</v>
      </c>
      <c r="AR3056" s="65" t="s">
        <v>18045</v>
      </c>
      <c r="AS3056" s="333">
        <v>0.001</v>
      </c>
      <c r="AT3056" s="65" t="s">
        <v>128</v>
      </c>
      <c r="AU3056" s="65" t="s">
        <v>179</v>
      </c>
      <c r="AV3056" s="65" t="s">
        <v>130</v>
      </c>
      <c r="AW3056" s="432" t="s">
        <v>18041</v>
      </c>
      <c r="AX3056" s="65" t="s">
        <v>136</v>
      </c>
      <c r="AZ3056" s="59" t="s">
        <v>7268</v>
      </c>
    </row>
    <row r="3057">
      <c r="A3057" s="41">
        <v>2886.0</v>
      </c>
      <c r="B3057" s="126" t="s">
        <v>516</v>
      </c>
      <c r="C3057" s="59" t="s">
        <v>108</v>
      </c>
      <c r="D3057" s="59" t="s">
        <v>241</v>
      </c>
      <c r="F3057" s="65" t="s">
        <v>18022</v>
      </c>
      <c r="G3057" s="65" t="s">
        <v>18046</v>
      </c>
      <c r="H3057" s="65" t="s">
        <v>242</v>
      </c>
      <c r="I3057" s="526">
        <v>45811.0</v>
      </c>
      <c r="J3057" s="859"/>
      <c r="K3057" s="65" t="s">
        <v>18037</v>
      </c>
      <c r="L3057" s="65"/>
      <c r="M3057" s="65" t="s">
        <v>18025</v>
      </c>
      <c r="N3057" s="65" t="s">
        <v>18026</v>
      </c>
      <c r="O3057" s="65"/>
      <c r="P3057" s="570" t="s">
        <v>18027</v>
      </c>
      <c r="Q3057" s="2289" t="str">
        <f> hyperlink(vlookup(lower(N3057),'File Links'!E:F, 2, FALSE), "LINK")</f>
        <v>LINK</v>
      </c>
      <c r="R3057" s="65" t="s">
        <v>18028</v>
      </c>
      <c r="S3057" s="65" t="s">
        <v>18029</v>
      </c>
      <c r="T3057" s="65"/>
      <c r="U3057" s="333">
        <v>3.0</v>
      </c>
      <c r="V3057" s="570" t="s">
        <v>18030</v>
      </c>
      <c r="W3057" s="1225"/>
      <c r="X3057" s="2290" t="str">
        <f> hyperlink(vlookup(lower(S3057),'File Links'!E:F, 2, FALSE), "LINK")</f>
        <v>LINK</v>
      </c>
      <c r="Y3057" s="65"/>
      <c r="Z3057" s="65" t="s">
        <v>940</v>
      </c>
      <c r="AA3057" s="65" t="s">
        <v>11205</v>
      </c>
      <c r="AB3057" s="65" t="s">
        <v>7257</v>
      </c>
      <c r="AC3057" s="65" t="s">
        <v>18031</v>
      </c>
      <c r="AD3057" s="65" t="s">
        <v>18047</v>
      </c>
      <c r="AE3057" s="65" t="s">
        <v>875</v>
      </c>
      <c r="AF3057" s="333">
        <v>46.0</v>
      </c>
      <c r="AG3057" s="333">
        <v>0.75</v>
      </c>
      <c r="AH3057" s="65" t="s">
        <v>166</v>
      </c>
      <c r="AI3057" s="65" t="s">
        <v>18048</v>
      </c>
      <c r="AJ3057" s="333">
        <v>0.05</v>
      </c>
      <c r="AK3057" s="65" t="s">
        <v>128</v>
      </c>
      <c r="AL3057" s="65" t="s">
        <v>179</v>
      </c>
      <c r="AM3057" s="65" t="s">
        <v>130</v>
      </c>
      <c r="AN3057" s="65" t="s">
        <v>131</v>
      </c>
      <c r="AO3057" s="333">
        <v>860.0</v>
      </c>
      <c r="AP3057" s="333">
        <v>0.68</v>
      </c>
      <c r="AQ3057" s="65" t="s">
        <v>166</v>
      </c>
      <c r="AR3057" s="65" t="s">
        <v>18049</v>
      </c>
      <c r="AS3057" s="333">
        <v>0.001</v>
      </c>
      <c r="AT3057" s="65" t="s">
        <v>128</v>
      </c>
      <c r="AU3057" s="65" t="s">
        <v>179</v>
      </c>
      <c r="AV3057" s="65" t="s">
        <v>130</v>
      </c>
      <c r="AW3057" s="432" t="s">
        <v>18041</v>
      </c>
      <c r="AX3057" s="65" t="s">
        <v>136</v>
      </c>
      <c r="AZ3057" s="59" t="s">
        <v>7268</v>
      </c>
    </row>
    <row r="3058">
      <c r="A3058" s="41">
        <v>2887.0</v>
      </c>
      <c r="B3058" s="126" t="s">
        <v>516</v>
      </c>
      <c r="C3058" s="59" t="s">
        <v>108</v>
      </c>
      <c r="D3058" s="59" t="s">
        <v>241</v>
      </c>
      <c r="F3058" s="65" t="s">
        <v>18022</v>
      </c>
      <c r="G3058" s="65" t="s">
        <v>18050</v>
      </c>
      <c r="H3058" s="65" t="s">
        <v>242</v>
      </c>
      <c r="I3058" s="526">
        <v>45811.0</v>
      </c>
      <c r="J3058" s="859"/>
      <c r="K3058" s="65" t="s">
        <v>18037</v>
      </c>
      <c r="L3058" s="65"/>
      <c r="M3058" s="65" t="s">
        <v>18025</v>
      </c>
      <c r="N3058" s="65" t="s">
        <v>18026</v>
      </c>
      <c r="O3058" s="65"/>
      <c r="P3058" s="570" t="s">
        <v>18027</v>
      </c>
      <c r="Q3058" s="2289" t="str">
        <f> hyperlink(vlookup(lower(N3058),'File Links'!E:F, 2, FALSE), "LINK")</f>
        <v>LINK</v>
      </c>
      <c r="R3058" s="65" t="s">
        <v>18028</v>
      </c>
      <c r="S3058" s="65" t="s">
        <v>18029</v>
      </c>
      <c r="T3058" s="65"/>
      <c r="U3058" s="333">
        <v>4.0</v>
      </c>
      <c r="V3058" s="570" t="s">
        <v>18030</v>
      </c>
      <c r="W3058" s="1225"/>
      <c r="X3058" s="2290" t="str">
        <f> hyperlink(vlookup(lower(S3058),'File Links'!E:F, 2, FALSE), "LINK")</f>
        <v>LINK</v>
      </c>
      <c r="Y3058" s="65"/>
      <c r="Z3058" s="65" t="s">
        <v>940</v>
      </c>
      <c r="AA3058" s="65" t="s">
        <v>11205</v>
      </c>
      <c r="AB3058" s="65" t="s">
        <v>7257</v>
      </c>
      <c r="AC3058" s="65" t="s">
        <v>18031</v>
      </c>
      <c r="AD3058" s="65" t="s">
        <v>18051</v>
      </c>
      <c r="AE3058" s="65" t="s">
        <v>18052</v>
      </c>
      <c r="AF3058" s="333">
        <v>171.0</v>
      </c>
      <c r="AG3058" s="65" t="s">
        <v>18053</v>
      </c>
      <c r="AH3058" s="65" t="s">
        <v>127</v>
      </c>
      <c r="AI3058" s="65" t="s">
        <v>875</v>
      </c>
      <c r="AJ3058" s="333">
        <v>0.01</v>
      </c>
      <c r="AK3058" s="65" t="s">
        <v>128</v>
      </c>
      <c r="AL3058" s="65" t="s">
        <v>179</v>
      </c>
      <c r="AM3058" s="65" t="s">
        <v>130</v>
      </c>
      <c r="AN3058" s="65" t="s">
        <v>131</v>
      </c>
      <c r="AO3058" s="333">
        <v>860.0</v>
      </c>
      <c r="AP3058" s="333">
        <v>0.52</v>
      </c>
      <c r="AQ3058" s="65" t="s">
        <v>166</v>
      </c>
      <c r="AR3058" s="65" t="s">
        <v>18054</v>
      </c>
      <c r="AS3058" s="333">
        <v>0.001</v>
      </c>
      <c r="AT3058" s="65" t="s">
        <v>128</v>
      </c>
      <c r="AU3058" s="65" t="s">
        <v>179</v>
      </c>
      <c r="AV3058" s="65" t="s">
        <v>130</v>
      </c>
      <c r="AW3058" s="432" t="s">
        <v>18041</v>
      </c>
      <c r="AX3058" s="65" t="s">
        <v>136</v>
      </c>
      <c r="AZ3058" s="59" t="s">
        <v>7268</v>
      </c>
    </row>
    <row r="3059">
      <c r="A3059" s="1481">
        <v>2888.0</v>
      </c>
      <c r="B3059" s="1482" t="s">
        <v>145</v>
      </c>
      <c r="C3059" s="1483" t="s">
        <v>108</v>
      </c>
      <c r="D3059" s="1483" t="s">
        <v>241</v>
      </c>
      <c r="E3059" s="1484"/>
      <c r="F3059" s="2202" t="s">
        <v>18022</v>
      </c>
      <c r="G3059" s="2202" t="s">
        <v>18055</v>
      </c>
      <c r="H3059" s="2202" t="s">
        <v>242</v>
      </c>
      <c r="I3059" s="2358">
        <v>45811.0</v>
      </c>
      <c r="J3059" s="2336">
        <v>45835.0</v>
      </c>
      <c r="K3059" s="2202" t="s">
        <v>18056</v>
      </c>
      <c r="L3059" s="1482" t="s">
        <v>18057</v>
      </c>
      <c r="M3059" s="2202" t="s">
        <v>18025</v>
      </c>
      <c r="N3059" s="2202" t="s">
        <v>18026</v>
      </c>
      <c r="O3059" s="1482">
        <v>1.0</v>
      </c>
      <c r="P3059" s="2202" t="s">
        <v>18027</v>
      </c>
      <c r="Q3059" s="2359" t="str">
        <f> hyperlink(vlookup(lower(N3059),'File Links'!E:F, 2, FALSE), "LINK")</f>
        <v>LINK</v>
      </c>
      <c r="R3059" s="2202" t="s">
        <v>18028</v>
      </c>
      <c r="S3059" s="2202" t="s">
        <v>18029</v>
      </c>
      <c r="T3059" s="2202"/>
      <c r="U3059" s="2360">
        <v>1.0</v>
      </c>
      <c r="V3059" s="2202" t="s">
        <v>18030</v>
      </c>
      <c r="W3059" s="1793" t="s">
        <v>1115</v>
      </c>
      <c r="X3059" s="2361" t="str">
        <f> hyperlink(vlookup(lower(S3059),'File Links'!E:F, 2, FALSE), "LINK")</f>
        <v>LINK</v>
      </c>
      <c r="Y3059" s="2202"/>
      <c r="Z3059" s="2202" t="s">
        <v>940</v>
      </c>
      <c r="AA3059" s="2202" t="s">
        <v>11205</v>
      </c>
      <c r="AB3059" s="2202" t="s">
        <v>7257</v>
      </c>
      <c r="AC3059" s="2202" t="s">
        <v>18031</v>
      </c>
      <c r="AD3059" s="2202" t="s">
        <v>18032</v>
      </c>
      <c r="AE3059" s="2202" t="s">
        <v>2764</v>
      </c>
      <c r="AF3059" s="2360">
        <v>100.0</v>
      </c>
      <c r="AG3059" s="2360">
        <v>0.11</v>
      </c>
      <c r="AH3059" s="2202" t="s">
        <v>132</v>
      </c>
      <c r="AI3059" s="2202" t="s">
        <v>18033</v>
      </c>
      <c r="AJ3059" s="2360">
        <v>0.05</v>
      </c>
      <c r="AK3059" s="2202" t="s">
        <v>128</v>
      </c>
      <c r="AL3059" s="2202" t="s">
        <v>179</v>
      </c>
      <c r="AM3059" s="65" t="s">
        <v>134</v>
      </c>
      <c r="AN3059" s="2202" t="s">
        <v>131</v>
      </c>
      <c r="AO3059" s="2360">
        <v>860.0</v>
      </c>
      <c r="AP3059" s="2360">
        <v>0.01</v>
      </c>
      <c r="AQ3059" s="2202" t="s">
        <v>867</v>
      </c>
      <c r="AR3059" s="2202" t="s">
        <v>18058</v>
      </c>
      <c r="AS3059" s="2360">
        <v>0.025</v>
      </c>
      <c r="AT3059" s="2202" t="s">
        <v>165</v>
      </c>
      <c r="AU3059" s="2202" t="s">
        <v>179</v>
      </c>
      <c r="AV3059" s="65" t="s">
        <v>134</v>
      </c>
      <c r="AW3059" s="2362" t="s">
        <v>18041</v>
      </c>
      <c r="AX3059" s="2202" t="s">
        <v>136</v>
      </c>
      <c r="AY3059" s="1484"/>
      <c r="AZ3059" s="1483" t="s">
        <v>807</v>
      </c>
      <c r="BA3059" s="1484"/>
    </row>
    <row r="3060">
      <c r="A3060" s="41">
        <v>2889.0</v>
      </c>
      <c r="B3060" s="126" t="s">
        <v>516</v>
      </c>
      <c r="C3060" s="59" t="s">
        <v>108</v>
      </c>
      <c r="D3060" s="59" t="s">
        <v>241</v>
      </c>
      <c r="F3060" s="65" t="s">
        <v>18022</v>
      </c>
      <c r="G3060" s="65" t="s">
        <v>18059</v>
      </c>
      <c r="H3060" s="65" t="s">
        <v>242</v>
      </c>
      <c r="I3060" s="526">
        <v>45811.0</v>
      </c>
      <c r="J3060" s="859"/>
      <c r="K3060" s="65" t="s">
        <v>18056</v>
      </c>
      <c r="L3060" s="65"/>
      <c r="M3060" s="65" t="s">
        <v>18025</v>
      </c>
      <c r="N3060" s="65" t="s">
        <v>18026</v>
      </c>
      <c r="O3060" s="65"/>
      <c r="P3060" s="570" t="s">
        <v>18027</v>
      </c>
      <c r="Q3060" s="2289" t="str">
        <f> hyperlink(vlookup(lower(N3060),'File Links'!E:F, 2, FALSE), "LINK")</f>
        <v>LINK</v>
      </c>
      <c r="R3060" s="65" t="s">
        <v>18028</v>
      </c>
      <c r="S3060" s="65" t="s">
        <v>18029</v>
      </c>
      <c r="T3060" s="65"/>
      <c r="U3060" s="333">
        <v>2.0</v>
      </c>
      <c r="V3060" s="570" t="s">
        <v>18030</v>
      </c>
      <c r="W3060" s="1225"/>
      <c r="X3060" s="2290" t="str">
        <f> hyperlink(vlookup(lower(S3060),'File Links'!E:F, 2, FALSE), "LINK")</f>
        <v>LINK</v>
      </c>
      <c r="Y3060" s="65"/>
      <c r="Z3060" s="65" t="s">
        <v>940</v>
      </c>
      <c r="AA3060" s="65" t="s">
        <v>11205</v>
      </c>
      <c r="AB3060" s="65" t="s">
        <v>7257</v>
      </c>
      <c r="AC3060" s="65" t="s">
        <v>18031</v>
      </c>
      <c r="AD3060" s="65" t="s">
        <v>18060</v>
      </c>
      <c r="AE3060" s="65" t="s">
        <v>500</v>
      </c>
      <c r="AF3060" s="333">
        <v>46.0</v>
      </c>
      <c r="AG3060" s="333">
        <v>0.42</v>
      </c>
      <c r="AH3060" s="65" t="s">
        <v>132</v>
      </c>
      <c r="AI3060" s="65" t="s">
        <v>18061</v>
      </c>
      <c r="AJ3060" s="333">
        <v>0.05</v>
      </c>
      <c r="AK3060" s="65" t="s">
        <v>128</v>
      </c>
      <c r="AL3060" s="65" t="s">
        <v>179</v>
      </c>
      <c r="AM3060" s="65" t="s">
        <v>130</v>
      </c>
      <c r="AN3060" s="65" t="s">
        <v>131</v>
      </c>
      <c r="AO3060" s="333">
        <v>860.0</v>
      </c>
      <c r="AP3060" s="333">
        <v>0.0</v>
      </c>
      <c r="AQ3060" s="65" t="s">
        <v>867</v>
      </c>
      <c r="AR3060" s="65" t="s">
        <v>18062</v>
      </c>
      <c r="AS3060" s="333">
        <v>0.065</v>
      </c>
      <c r="AT3060" s="65" t="s">
        <v>165</v>
      </c>
      <c r="AU3060" s="65" t="s">
        <v>179</v>
      </c>
      <c r="AV3060" s="65" t="s">
        <v>130</v>
      </c>
      <c r="AW3060" s="432" t="s">
        <v>18041</v>
      </c>
      <c r="AX3060" s="65" t="s">
        <v>136</v>
      </c>
      <c r="AZ3060" s="59" t="s">
        <v>7268</v>
      </c>
    </row>
    <row r="3061">
      <c r="A3061" s="41">
        <v>2890.0</v>
      </c>
      <c r="B3061" s="126" t="s">
        <v>516</v>
      </c>
      <c r="C3061" s="59" t="s">
        <v>108</v>
      </c>
      <c r="D3061" s="59" t="s">
        <v>241</v>
      </c>
      <c r="F3061" s="65" t="s">
        <v>18022</v>
      </c>
      <c r="G3061" s="65" t="s">
        <v>18063</v>
      </c>
      <c r="H3061" s="65" t="s">
        <v>242</v>
      </c>
      <c r="I3061" s="526">
        <v>45811.0</v>
      </c>
      <c r="J3061" s="859"/>
      <c r="K3061" s="65" t="s">
        <v>18056</v>
      </c>
      <c r="L3061" s="65"/>
      <c r="M3061" s="65" t="s">
        <v>18025</v>
      </c>
      <c r="N3061" s="65" t="s">
        <v>18026</v>
      </c>
      <c r="O3061" s="65"/>
      <c r="P3061" s="570" t="s">
        <v>18027</v>
      </c>
      <c r="Q3061" s="2289" t="str">
        <f> hyperlink(vlookup(lower(N3061),'File Links'!E:F, 2, FALSE), "LINK")</f>
        <v>LINK</v>
      </c>
      <c r="R3061" s="65" t="s">
        <v>18028</v>
      </c>
      <c r="S3061" s="65" t="s">
        <v>18029</v>
      </c>
      <c r="T3061" s="65"/>
      <c r="U3061" s="333">
        <v>3.0</v>
      </c>
      <c r="V3061" s="570" t="s">
        <v>18030</v>
      </c>
      <c r="W3061" s="1225"/>
      <c r="X3061" s="2290" t="str">
        <f> hyperlink(vlookup(lower(S3061),'File Links'!E:F, 2, FALSE), "LINK")</f>
        <v>LINK</v>
      </c>
      <c r="Y3061" s="65"/>
      <c r="Z3061" s="65" t="s">
        <v>940</v>
      </c>
      <c r="AA3061" s="65" t="s">
        <v>11205</v>
      </c>
      <c r="AB3061" s="65" t="s">
        <v>7257</v>
      </c>
      <c r="AC3061" s="65" t="s">
        <v>18031</v>
      </c>
      <c r="AD3061" s="65" t="s">
        <v>18064</v>
      </c>
      <c r="AE3061" s="65" t="s">
        <v>875</v>
      </c>
      <c r="AF3061" s="333">
        <v>46.0</v>
      </c>
      <c r="AG3061" s="333">
        <v>0.46</v>
      </c>
      <c r="AH3061" s="65" t="s">
        <v>166</v>
      </c>
      <c r="AI3061" s="65" t="s">
        <v>875</v>
      </c>
      <c r="AJ3061" s="333">
        <v>0.13</v>
      </c>
      <c r="AK3061" s="65" t="s">
        <v>165</v>
      </c>
      <c r="AL3061" s="65" t="s">
        <v>179</v>
      </c>
      <c r="AM3061" s="65" t="s">
        <v>130</v>
      </c>
      <c r="AN3061" s="65" t="s">
        <v>131</v>
      </c>
      <c r="AO3061" s="333">
        <v>860.0</v>
      </c>
      <c r="AP3061" s="333">
        <v>0.17</v>
      </c>
      <c r="AQ3061" s="65" t="s">
        <v>1249</v>
      </c>
      <c r="AR3061" s="126" t="s">
        <v>18065</v>
      </c>
      <c r="AS3061" s="333">
        <v>0.001</v>
      </c>
      <c r="AT3061" s="65" t="s">
        <v>128</v>
      </c>
      <c r="AU3061" s="65" t="s">
        <v>179</v>
      </c>
      <c r="AV3061" s="65" t="s">
        <v>130</v>
      </c>
      <c r="AW3061" s="432" t="s">
        <v>18041</v>
      </c>
      <c r="AX3061" s="65" t="s">
        <v>136</v>
      </c>
      <c r="AZ3061" s="59" t="s">
        <v>7268</v>
      </c>
    </row>
    <row r="3062">
      <c r="A3062" s="41">
        <v>2891.0</v>
      </c>
      <c r="B3062" s="126" t="s">
        <v>516</v>
      </c>
      <c r="C3062" s="59" t="s">
        <v>108</v>
      </c>
      <c r="D3062" s="59" t="s">
        <v>241</v>
      </c>
      <c r="F3062" s="65" t="s">
        <v>18022</v>
      </c>
      <c r="G3062" s="65" t="s">
        <v>18066</v>
      </c>
      <c r="H3062" s="65" t="s">
        <v>242</v>
      </c>
      <c r="I3062" s="526">
        <v>45811.0</v>
      </c>
      <c r="J3062" s="859"/>
      <c r="K3062" s="65" t="s">
        <v>18056</v>
      </c>
      <c r="L3062" s="65"/>
      <c r="M3062" s="65" t="s">
        <v>18025</v>
      </c>
      <c r="N3062" s="65" t="s">
        <v>18026</v>
      </c>
      <c r="O3062" s="65"/>
      <c r="P3062" s="570" t="s">
        <v>18027</v>
      </c>
      <c r="Q3062" s="2289" t="str">
        <f> hyperlink(vlookup(lower(N3062),'File Links'!E:F, 2, FALSE), "LINK")</f>
        <v>LINK</v>
      </c>
      <c r="R3062" s="65" t="s">
        <v>18028</v>
      </c>
      <c r="S3062" s="65" t="s">
        <v>18029</v>
      </c>
      <c r="T3062" s="65"/>
      <c r="U3062" s="333">
        <v>4.0</v>
      </c>
      <c r="V3062" s="570" t="s">
        <v>18030</v>
      </c>
      <c r="W3062" s="1225"/>
      <c r="X3062" s="2290" t="str">
        <f> hyperlink(vlookup(lower(S3062),'File Links'!E:F, 2, FALSE), "LINK")</f>
        <v>LINK</v>
      </c>
      <c r="Y3062" s="65"/>
      <c r="Z3062" s="65" t="s">
        <v>940</v>
      </c>
      <c r="AA3062" s="65" t="s">
        <v>11205</v>
      </c>
      <c r="AB3062" s="65" t="s">
        <v>7257</v>
      </c>
      <c r="AC3062" s="65" t="s">
        <v>18031</v>
      </c>
      <c r="AD3062" s="65" t="s">
        <v>18067</v>
      </c>
      <c r="AE3062" s="65" t="s">
        <v>18052</v>
      </c>
      <c r="AF3062" s="333">
        <v>171.0</v>
      </c>
      <c r="AG3062" s="333">
        <v>0.34</v>
      </c>
      <c r="AH3062" s="65" t="s">
        <v>166</v>
      </c>
      <c r="AI3062" s="65" t="s">
        <v>18068</v>
      </c>
      <c r="AJ3062" s="333">
        <v>0.05</v>
      </c>
      <c r="AK3062" s="65" t="s">
        <v>128</v>
      </c>
      <c r="AL3062" s="65" t="s">
        <v>179</v>
      </c>
      <c r="AM3062" s="65" t="s">
        <v>130</v>
      </c>
      <c r="AN3062" s="65" t="s">
        <v>131</v>
      </c>
      <c r="AO3062" s="333">
        <v>860.0</v>
      </c>
      <c r="AP3062" s="333">
        <v>0.02</v>
      </c>
      <c r="AQ3062" s="65" t="s">
        <v>867</v>
      </c>
      <c r="AR3062" s="65" t="s">
        <v>18069</v>
      </c>
      <c r="AS3062" s="333">
        <v>0.001</v>
      </c>
      <c r="AT3062" s="65" t="s">
        <v>128</v>
      </c>
      <c r="AU3062" s="65" t="s">
        <v>179</v>
      </c>
      <c r="AV3062" s="65" t="s">
        <v>130</v>
      </c>
      <c r="AW3062" s="432" t="s">
        <v>18041</v>
      </c>
      <c r="AX3062" s="65" t="s">
        <v>136</v>
      </c>
      <c r="AZ3062" s="59" t="s">
        <v>7268</v>
      </c>
    </row>
    <row r="3063">
      <c r="A3063" s="41">
        <v>2892.0</v>
      </c>
      <c r="B3063" s="126" t="s">
        <v>516</v>
      </c>
      <c r="C3063" s="59" t="s">
        <v>108</v>
      </c>
      <c r="D3063" s="59" t="s">
        <v>241</v>
      </c>
      <c r="F3063" s="65" t="s">
        <v>18022</v>
      </c>
      <c r="G3063" s="65" t="s">
        <v>18070</v>
      </c>
      <c r="H3063" s="65" t="s">
        <v>242</v>
      </c>
      <c r="I3063" s="526">
        <v>45811.0</v>
      </c>
      <c r="J3063" s="859"/>
      <c r="K3063" s="65" t="s">
        <v>18071</v>
      </c>
      <c r="L3063" s="65"/>
      <c r="M3063" s="65" t="s">
        <v>18025</v>
      </c>
      <c r="N3063" s="65" t="s">
        <v>18026</v>
      </c>
      <c r="O3063" s="65"/>
      <c r="P3063" s="570" t="s">
        <v>18027</v>
      </c>
      <c r="Q3063" s="2289" t="str">
        <f> hyperlink(vlookup(lower(N3063),'File Links'!E:F, 2, FALSE), "LINK")</f>
        <v>LINK</v>
      </c>
      <c r="R3063" s="65" t="s">
        <v>18028</v>
      </c>
      <c r="S3063" s="65" t="s">
        <v>18029</v>
      </c>
      <c r="T3063" s="65"/>
      <c r="U3063" s="333">
        <v>4.0</v>
      </c>
      <c r="V3063" s="570" t="s">
        <v>18030</v>
      </c>
      <c r="W3063" s="1225"/>
      <c r="X3063" s="2290" t="str">
        <f> hyperlink(vlookup(lower(S3063),'File Links'!E:F, 2, FALSE), "LINK")</f>
        <v>LINK</v>
      </c>
      <c r="Y3063" s="65"/>
      <c r="Z3063" s="65" t="s">
        <v>940</v>
      </c>
      <c r="AA3063" s="65" t="s">
        <v>11205</v>
      </c>
      <c r="AB3063" s="65" t="s">
        <v>7257</v>
      </c>
      <c r="AC3063" s="65" t="s">
        <v>18031</v>
      </c>
      <c r="AD3063" s="65" t="s">
        <v>18072</v>
      </c>
      <c r="AE3063" s="65" t="s">
        <v>1035</v>
      </c>
      <c r="AF3063" s="333">
        <v>171.0</v>
      </c>
      <c r="AG3063" s="65" t="s">
        <v>18073</v>
      </c>
      <c r="AH3063" s="65" t="s">
        <v>127</v>
      </c>
      <c r="AI3063" s="65" t="s">
        <v>18074</v>
      </c>
      <c r="AJ3063" s="333">
        <v>0.01</v>
      </c>
      <c r="AK3063" s="65" t="s">
        <v>128</v>
      </c>
      <c r="AL3063" s="65" t="s">
        <v>179</v>
      </c>
      <c r="AM3063" s="65" t="s">
        <v>130</v>
      </c>
      <c r="AN3063" s="65" t="s">
        <v>131</v>
      </c>
      <c r="AO3063" s="333">
        <v>860.0</v>
      </c>
      <c r="AP3063" s="333">
        <v>0.72</v>
      </c>
      <c r="AQ3063" s="65" t="s">
        <v>166</v>
      </c>
      <c r="AR3063" s="65" t="s">
        <v>18075</v>
      </c>
      <c r="AS3063" s="333">
        <v>0.001</v>
      </c>
      <c r="AT3063" s="65" t="s">
        <v>128</v>
      </c>
      <c r="AU3063" s="65" t="s">
        <v>179</v>
      </c>
      <c r="AV3063" s="65" t="s">
        <v>130</v>
      </c>
      <c r="AW3063" s="432" t="s">
        <v>18041</v>
      </c>
      <c r="AX3063" s="65" t="s">
        <v>136</v>
      </c>
      <c r="AZ3063" s="59" t="s">
        <v>7268</v>
      </c>
    </row>
    <row r="3064">
      <c r="A3064" s="41">
        <v>2893.0</v>
      </c>
      <c r="B3064" s="126" t="s">
        <v>516</v>
      </c>
      <c r="C3064" s="59" t="s">
        <v>108</v>
      </c>
      <c r="D3064" s="59" t="s">
        <v>241</v>
      </c>
      <c r="F3064" s="65" t="s">
        <v>18076</v>
      </c>
      <c r="G3064" s="65" t="s">
        <v>18077</v>
      </c>
      <c r="H3064" s="65" t="s">
        <v>242</v>
      </c>
      <c r="I3064" s="526">
        <v>45811.0</v>
      </c>
      <c r="J3064" s="859"/>
      <c r="K3064" s="65" t="s">
        <v>18078</v>
      </c>
      <c r="L3064" s="65"/>
      <c r="M3064" s="65" t="s">
        <v>18025</v>
      </c>
      <c r="N3064" s="65" t="s">
        <v>18026</v>
      </c>
      <c r="O3064" s="65"/>
      <c r="P3064" s="65" t="s">
        <v>18027</v>
      </c>
      <c r="Q3064" s="2289" t="str">
        <f> hyperlink(vlookup(lower(N3064),'File Links'!E:F, 2, FALSE), "LINK")</f>
        <v>LINK</v>
      </c>
      <c r="R3064" s="65" t="s">
        <v>18079</v>
      </c>
      <c r="S3064" s="65" t="s">
        <v>18080</v>
      </c>
      <c r="T3064" s="65"/>
      <c r="U3064" s="65" t="s">
        <v>18081</v>
      </c>
      <c r="V3064" s="570" t="s">
        <v>18082</v>
      </c>
      <c r="W3064" s="1225"/>
      <c r="X3064" s="2290" t="str">
        <f> hyperlink(vlookup(lower(S3064),'File Links'!E:F, 2, FALSE), "LINK")</f>
        <v>LINK</v>
      </c>
      <c r="Y3064" s="65"/>
      <c r="Z3064" s="65" t="s">
        <v>940</v>
      </c>
      <c r="AA3064" s="65" t="s">
        <v>18083</v>
      </c>
      <c r="AB3064" s="65" t="s">
        <v>7257</v>
      </c>
      <c r="AC3064" s="65" t="s">
        <v>18084</v>
      </c>
      <c r="AD3064" s="65" t="s">
        <v>18085</v>
      </c>
      <c r="AE3064" s="65" t="s">
        <v>500</v>
      </c>
      <c r="AF3064" s="333">
        <v>28.0</v>
      </c>
      <c r="AG3064" s="65" t="s">
        <v>18086</v>
      </c>
      <c r="AH3064" s="65" t="s">
        <v>127</v>
      </c>
      <c r="AI3064" s="65" t="s">
        <v>18087</v>
      </c>
      <c r="AJ3064" s="333">
        <v>1.0E-4</v>
      </c>
      <c r="AK3064" s="65" t="s">
        <v>128</v>
      </c>
      <c r="AL3064" s="65" t="s">
        <v>179</v>
      </c>
      <c r="AM3064" s="65" t="s">
        <v>130</v>
      </c>
      <c r="AN3064" s="65" t="s">
        <v>131</v>
      </c>
      <c r="AO3064" s="333">
        <v>45.0</v>
      </c>
      <c r="AP3064" s="65" t="s">
        <v>18088</v>
      </c>
      <c r="AQ3064" s="65" t="s">
        <v>127</v>
      </c>
      <c r="AR3064" s="65" t="s">
        <v>18089</v>
      </c>
      <c r="AS3064" s="333">
        <v>0.001</v>
      </c>
      <c r="AT3064" s="65" t="s">
        <v>128</v>
      </c>
      <c r="AU3064" s="65" t="s">
        <v>179</v>
      </c>
      <c r="AV3064" s="65" t="s">
        <v>130</v>
      </c>
      <c r="AW3064" s="432" t="s">
        <v>18090</v>
      </c>
      <c r="AX3064" s="65" t="s">
        <v>136</v>
      </c>
    </row>
    <row r="3065">
      <c r="A3065" s="41">
        <v>2894.0</v>
      </c>
      <c r="B3065" s="126" t="s">
        <v>516</v>
      </c>
      <c r="C3065" s="59" t="s">
        <v>108</v>
      </c>
      <c r="D3065" s="59" t="s">
        <v>241</v>
      </c>
      <c r="F3065" s="65" t="s">
        <v>18076</v>
      </c>
      <c r="G3065" s="65" t="s">
        <v>18091</v>
      </c>
      <c r="H3065" s="65" t="s">
        <v>242</v>
      </c>
      <c r="I3065" s="526">
        <v>45811.0</v>
      </c>
      <c r="J3065" s="859"/>
      <c r="K3065" s="65" t="s">
        <v>18078</v>
      </c>
      <c r="L3065" s="65"/>
      <c r="M3065" s="65" t="s">
        <v>18025</v>
      </c>
      <c r="N3065" s="65" t="s">
        <v>18026</v>
      </c>
      <c r="O3065" s="65"/>
      <c r="P3065" s="65" t="s">
        <v>18027</v>
      </c>
      <c r="Q3065" s="2289" t="str">
        <f> hyperlink(vlookup(lower(N3065),'File Links'!E:F, 2, FALSE), "LINK")</f>
        <v>LINK</v>
      </c>
      <c r="R3065" s="65" t="s">
        <v>18079</v>
      </c>
      <c r="S3065" s="65" t="s">
        <v>18080</v>
      </c>
      <c r="T3065" s="65"/>
      <c r="U3065" s="65" t="s">
        <v>18081</v>
      </c>
      <c r="V3065" s="570" t="s">
        <v>18082</v>
      </c>
      <c r="W3065" s="1225"/>
      <c r="X3065" s="2290" t="str">
        <f> hyperlink(vlookup(lower(S3065),'File Links'!E:F, 2, FALSE), "LINK")</f>
        <v>LINK</v>
      </c>
      <c r="Y3065" s="65"/>
      <c r="Z3065" s="65" t="s">
        <v>940</v>
      </c>
      <c r="AA3065" s="65" t="s">
        <v>18083</v>
      </c>
      <c r="AB3065" s="65" t="s">
        <v>7257</v>
      </c>
      <c r="AC3065" s="65" t="s">
        <v>18084</v>
      </c>
      <c r="AD3065" s="65" t="s">
        <v>18085</v>
      </c>
      <c r="AE3065" s="65" t="s">
        <v>500</v>
      </c>
      <c r="AF3065" s="333">
        <v>28.0</v>
      </c>
      <c r="AG3065" s="65" t="s">
        <v>18086</v>
      </c>
      <c r="AH3065" s="65" t="s">
        <v>127</v>
      </c>
      <c r="AI3065" s="65" t="s">
        <v>18087</v>
      </c>
      <c r="AJ3065" s="333">
        <v>1.0E-4</v>
      </c>
      <c r="AK3065" s="65" t="s">
        <v>128</v>
      </c>
      <c r="AL3065" s="65" t="s">
        <v>179</v>
      </c>
      <c r="AM3065" s="65" t="s">
        <v>130</v>
      </c>
      <c r="AN3065" s="65" t="s">
        <v>131</v>
      </c>
      <c r="AO3065" s="333">
        <v>303.0</v>
      </c>
      <c r="AP3065" s="65" t="s">
        <v>18092</v>
      </c>
      <c r="AQ3065" s="65" t="s">
        <v>127</v>
      </c>
      <c r="AR3065" s="65" t="s">
        <v>18093</v>
      </c>
      <c r="AS3065" s="333">
        <v>0.001</v>
      </c>
      <c r="AT3065" s="65" t="s">
        <v>128</v>
      </c>
      <c r="AU3065" s="65" t="s">
        <v>179</v>
      </c>
      <c r="AV3065" s="65" t="s">
        <v>130</v>
      </c>
      <c r="AW3065" s="432" t="s">
        <v>18090</v>
      </c>
      <c r="AX3065" s="65" t="s">
        <v>136</v>
      </c>
    </row>
    <row r="3066">
      <c r="A3066" s="41">
        <v>2895.0</v>
      </c>
      <c r="B3066" s="126" t="s">
        <v>516</v>
      </c>
      <c r="C3066" s="59" t="s">
        <v>108</v>
      </c>
      <c r="D3066" s="59" t="s">
        <v>241</v>
      </c>
      <c r="F3066" s="65" t="s">
        <v>18076</v>
      </c>
      <c r="G3066" s="65" t="s">
        <v>18094</v>
      </c>
      <c r="H3066" s="65" t="s">
        <v>242</v>
      </c>
      <c r="I3066" s="526">
        <v>45811.0</v>
      </c>
      <c r="J3066" s="859"/>
      <c r="K3066" s="65" t="s">
        <v>18078</v>
      </c>
      <c r="L3066" s="65"/>
      <c r="M3066" s="65" t="s">
        <v>18025</v>
      </c>
      <c r="N3066" s="65" t="s">
        <v>18026</v>
      </c>
      <c r="O3066" s="65"/>
      <c r="P3066" s="65" t="s">
        <v>18027</v>
      </c>
      <c r="Q3066" s="2289" t="str">
        <f> hyperlink(vlookup(lower(N3066),'File Links'!E:F, 2, FALSE), "LINK")</f>
        <v>LINK</v>
      </c>
      <c r="R3066" s="65" t="s">
        <v>18079</v>
      </c>
      <c r="S3066" s="65" t="s">
        <v>18080</v>
      </c>
      <c r="T3066" s="65"/>
      <c r="U3066" s="65" t="s">
        <v>18081</v>
      </c>
      <c r="V3066" s="570" t="s">
        <v>18082</v>
      </c>
      <c r="W3066" s="1225"/>
      <c r="X3066" s="2290" t="str">
        <f> hyperlink(vlookup(lower(S3066),'File Links'!E:F, 2, FALSE), "LINK")</f>
        <v>LINK</v>
      </c>
      <c r="Y3066" s="65"/>
      <c r="Z3066" s="65" t="s">
        <v>940</v>
      </c>
      <c r="AA3066" s="65" t="s">
        <v>18083</v>
      </c>
      <c r="AB3066" s="65" t="s">
        <v>7257</v>
      </c>
      <c r="AC3066" s="65" t="s">
        <v>18084</v>
      </c>
      <c r="AD3066" s="65" t="s">
        <v>18085</v>
      </c>
      <c r="AE3066" s="65" t="s">
        <v>500</v>
      </c>
      <c r="AF3066" s="333">
        <v>28.0</v>
      </c>
      <c r="AG3066" s="65" t="s">
        <v>18086</v>
      </c>
      <c r="AH3066" s="65" t="s">
        <v>127</v>
      </c>
      <c r="AI3066" s="65" t="s">
        <v>18087</v>
      </c>
      <c r="AJ3066" s="333">
        <v>1.0E-4</v>
      </c>
      <c r="AK3066" s="65" t="s">
        <v>128</v>
      </c>
      <c r="AL3066" s="65" t="s">
        <v>179</v>
      </c>
      <c r="AM3066" s="65" t="s">
        <v>130</v>
      </c>
      <c r="AN3066" s="65" t="s">
        <v>131</v>
      </c>
      <c r="AO3066" s="333">
        <v>621.0</v>
      </c>
      <c r="AP3066" s="126" t="s">
        <v>18095</v>
      </c>
      <c r="AQ3066" s="65" t="s">
        <v>127</v>
      </c>
      <c r="AR3066" s="65" t="s">
        <v>18096</v>
      </c>
      <c r="AS3066" s="333">
        <v>0.001</v>
      </c>
      <c r="AT3066" s="65" t="s">
        <v>128</v>
      </c>
      <c r="AU3066" s="65" t="s">
        <v>179</v>
      </c>
      <c r="AV3066" s="65" t="s">
        <v>130</v>
      </c>
      <c r="AW3066" s="432" t="s">
        <v>18090</v>
      </c>
      <c r="AX3066" s="65" t="s">
        <v>136</v>
      </c>
    </row>
    <row r="3067">
      <c r="A3067" s="41">
        <v>2896.0</v>
      </c>
      <c r="B3067" s="126" t="s">
        <v>516</v>
      </c>
      <c r="C3067" s="59" t="s">
        <v>108</v>
      </c>
      <c r="D3067" s="59" t="s">
        <v>241</v>
      </c>
      <c r="F3067" s="65" t="s">
        <v>18076</v>
      </c>
      <c r="G3067" s="65" t="s">
        <v>18097</v>
      </c>
      <c r="H3067" s="65" t="s">
        <v>242</v>
      </c>
      <c r="I3067" s="526">
        <v>45811.0</v>
      </c>
      <c r="J3067" s="859"/>
      <c r="K3067" s="65" t="s">
        <v>18078</v>
      </c>
      <c r="L3067" s="65"/>
      <c r="M3067" s="65" t="s">
        <v>18025</v>
      </c>
      <c r="N3067" s="65" t="s">
        <v>18026</v>
      </c>
      <c r="O3067" s="65"/>
      <c r="P3067" s="65" t="s">
        <v>18027</v>
      </c>
      <c r="Q3067" s="2289" t="str">
        <f> hyperlink(vlookup(lower(N3067),'File Links'!E:F, 2, FALSE), "LINK")</f>
        <v>LINK</v>
      </c>
      <c r="R3067" s="65" t="s">
        <v>18079</v>
      </c>
      <c r="S3067" s="65" t="s">
        <v>18080</v>
      </c>
      <c r="T3067" s="65"/>
      <c r="U3067" s="333">
        <v>2.0</v>
      </c>
      <c r="V3067" s="570" t="s">
        <v>18082</v>
      </c>
      <c r="W3067" s="1225"/>
      <c r="X3067" s="2290" t="str">
        <f> hyperlink(vlookup(lower(S3067),'File Links'!E:F, 2, FALSE), "LINK")</f>
        <v>LINK</v>
      </c>
      <c r="Y3067" s="65"/>
      <c r="Z3067" s="65" t="s">
        <v>940</v>
      </c>
      <c r="AA3067" s="65" t="s">
        <v>18083</v>
      </c>
      <c r="AB3067" s="65" t="s">
        <v>7257</v>
      </c>
      <c r="AC3067" s="65" t="s">
        <v>18084</v>
      </c>
      <c r="AD3067" s="65" t="s">
        <v>18098</v>
      </c>
      <c r="AE3067" s="65" t="s">
        <v>4966</v>
      </c>
      <c r="AF3067" s="333">
        <v>91.0</v>
      </c>
      <c r="AG3067" s="65" t="s">
        <v>18099</v>
      </c>
      <c r="AH3067" s="65" t="s">
        <v>127</v>
      </c>
      <c r="AI3067" s="65" t="s">
        <v>18100</v>
      </c>
      <c r="AJ3067" s="333">
        <v>0.001</v>
      </c>
      <c r="AK3067" s="65" t="s">
        <v>128</v>
      </c>
      <c r="AL3067" s="65" t="s">
        <v>179</v>
      </c>
      <c r="AM3067" s="65" t="s">
        <v>130</v>
      </c>
      <c r="AN3067" s="65" t="s">
        <v>131</v>
      </c>
      <c r="AO3067" s="333">
        <v>43.0</v>
      </c>
      <c r="AP3067" s="65" t="s">
        <v>18101</v>
      </c>
      <c r="AQ3067" s="65" t="s">
        <v>127</v>
      </c>
      <c r="AR3067" s="65" t="s">
        <v>18102</v>
      </c>
      <c r="AS3067" s="333">
        <v>0.001</v>
      </c>
      <c r="AT3067" s="65" t="s">
        <v>128</v>
      </c>
      <c r="AU3067" s="65" t="s">
        <v>179</v>
      </c>
      <c r="AV3067" s="65" t="s">
        <v>130</v>
      </c>
      <c r="AW3067" s="432" t="s">
        <v>18090</v>
      </c>
      <c r="AX3067" s="65" t="s">
        <v>136</v>
      </c>
    </row>
    <row r="3068">
      <c r="A3068" s="41">
        <v>2897.0</v>
      </c>
      <c r="B3068" s="126" t="s">
        <v>516</v>
      </c>
      <c r="C3068" s="59" t="s">
        <v>108</v>
      </c>
      <c r="D3068" s="59" t="s">
        <v>241</v>
      </c>
      <c r="F3068" s="65" t="s">
        <v>18076</v>
      </c>
      <c r="G3068" s="65" t="s">
        <v>18103</v>
      </c>
      <c r="H3068" s="65" t="s">
        <v>242</v>
      </c>
      <c r="I3068" s="526">
        <v>45811.0</v>
      </c>
      <c r="J3068" s="859"/>
      <c r="K3068" s="65" t="s">
        <v>18078</v>
      </c>
      <c r="L3068" s="65"/>
      <c r="M3068" s="65" t="s">
        <v>18025</v>
      </c>
      <c r="N3068" s="65" t="s">
        <v>18026</v>
      </c>
      <c r="O3068" s="65"/>
      <c r="P3068" s="65" t="s">
        <v>18027</v>
      </c>
      <c r="Q3068" s="2289" t="str">
        <f> hyperlink(vlookup(lower(N3068),'File Links'!E:F, 2, FALSE), "LINK")</f>
        <v>LINK</v>
      </c>
      <c r="R3068" s="65" t="s">
        <v>18079</v>
      </c>
      <c r="S3068" s="65" t="s">
        <v>18080</v>
      </c>
      <c r="T3068" s="65"/>
      <c r="U3068" s="333">
        <v>2.0</v>
      </c>
      <c r="V3068" s="570" t="s">
        <v>18082</v>
      </c>
      <c r="W3068" s="1225"/>
      <c r="X3068" s="2290" t="str">
        <f> hyperlink(vlookup(lower(S3068),'File Links'!E:F, 2, FALSE), "LINK")</f>
        <v>LINK</v>
      </c>
      <c r="Y3068" s="65"/>
      <c r="Z3068" s="65" t="s">
        <v>940</v>
      </c>
      <c r="AA3068" s="65" t="s">
        <v>18083</v>
      </c>
      <c r="AB3068" s="65" t="s">
        <v>7257</v>
      </c>
      <c r="AC3068" s="65" t="s">
        <v>18084</v>
      </c>
      <c r="AD3068" s="65" t="s">
        <v>18098</v>
      </c>
      <c r="AE3068" s="65" t="s">
        <v>4966</v>
      </c>
      <c r="AF3068" s="333">
        <v>91.0</v>
      </c>
      <c r="AG3068" s="65" t="s">
        <v>18099</v>
      </c>
      <c r="AH3068" s="65" t="s">
        <v>127</v>
      </c>
      <c r="AI3068" s="65" t="s">
        <v>18100</v>
      </c>
      <c r="AJ3068" s="333">
        <v>0.001</v>
      </c>
      <c r="AK3068" s="65" t="s">
        <v>128</v>
      </c>
      <c r="AL3068" s="65" t="s">
        <v>179</v>
      </c>
      <c r="AM3068" s="65" t="s">
        <v>130</v>
      </c>
      <c r="AN3068" s="65" t="s">
        <v>131</v>
      </c>
      <c r="AO3068" s="333">
        <v>621.0</v>
      </c>
      <c r="AP3068" s="65" t="s">
        <v>18104</v>
      </c>
      <c r="AQ3068" s="65" t="s">
        <v>127</v>
      </c>
      <c r="AR3068" s="65" t="s">
        <v>18105</v>
      </c>
      <c r="AS3068" s="333">
        <v>0.001</v>
      </c>
      <c r="AT3068" s="65" t="s">
        <v>128</v>
      </c>
      <c r="AU3068" s="65" t="s">
        <v>179</v>
      </c>
      <c r="AV3068" s="65" t="s">
        <v>130</v>
      </c>
      <c r="AW3068" s="432" t="s">
        <v>18090</v>
      </c>
      <c r="AX3068" s="65" t="s">
        <v>136</v>
      </c>
    </row>
    <row r="3069">
      <c r="A3069" s="41">
        <v>2898.0</v>
      </c>
      <c r="B3069" s="126" t="s">
        <v>516</v>
      </c>
      <c r="C3069" s="59" t="s">
        <v>108</v>
      </c>
      <c r="D3069" s="59" t="s">
        <v>241</v>
      </c>
      <c r="F3069" s="65" t="s">
        <v>18076</v>
      </c>
      <c r="G3069" s="65" t="s">
        <v>18106</v>
      </c>
      <c r="H3069" s="65" t="s">
        <v>242</v>
      </c>
      <c r="I3069" s="526">
        <v>45811.0</v>
      </c>
      <c r="J3069" s="859"/>
      <c r="K3069" s="65" t="s">
        <v>18078</v>
      </c>
      <c r="L3069" s="65"/>
      <c r="M3069" s="65" t="s">
        <v>18025</v>
      </c>
      <c r="N3069" s="65" t="s">
        <v>18026</v>
      </c>
      <c r="O3069" s="65"/>
      <c r="P3069" s="65" t="s">
        <v>18027</v>
      </c>
      <c r="Q3069" s="2289" t="str">
        <f> hyperlink(vlookup(lower(N3069),'File Links'!E:F, 2, FALSE), "LINK")</f>
        <v>LINK</v>
      </c>
      <c r="R3069" s="65" t="s">
        <v>18079</v>
      </c>
      <c r="S3069" s="65" t="s">
        <v>18080</v>
      </c>
      <c r="T3069" s="65"/>
      <c r="U3069" s="333">
        <v>2.0</v>
      </c>
      <c r="V3069" s="570" t="s">
        <v>18082</v>
      </c>
      <c r="W3069" s="1225"/>
      <c r="X3069" s="2290" t="str">
        <f> hyperlink(vlookup(lower(S3069),'File Links'!E:F, 2, FALSE), "LINK")</f>
        <v>LINK</v>
      </c>
      <c r="Y3069" s="65"/>
      <c r="Z3069" s="65" t="s">
        <v>940</v>
      </c>
      <c r="AA3069" s="65" t="s">
        <v>18083</v>
      </c>
      <c r="AB3069" s="65" t="s">
        <v>7257</v>
      </c>
      <c r="AC3069" s="65" t="s">
        <v>18084</v>
      </c>
      <c r="AD3069" s="65" t="s">
        <v>18107</v>
      </c>
      <c r="AE3069" s="65" t="s">
        <v>4966</v>
      </c>
      <c r="AF3069" s="333">
        <v>91.0</v>
      </c>
      <c r="AG3069" s="65" t="s">
        <v>18108</v>
      </c>
      <c r="AH3069" s="65" t="s">
        <v>127</v>
      </c>
      <c r="AI3069" s="65" t="s">
        <v>18109</v>
      </c>
      <c r="AJ3069" s="333">
        <v>0.001</v>
      </c>
      <c r="AK3069" s="65" t="s">
        <v>128</v>
      </c>
      <c r="AL3069" s="65" t="s">
        <v>179</v>
      </c>
      <c r="AM3069" s="65" t="s">
        <v>130</v>
      </c>
      <c r="AN3069" s="65" t="s">
        <v>131</v>
      </c>
      <c r="AO3069" s="333">
        <v>43.0</v>
      </c>
      <c r="AP3069" s="126" t="s">
        <v>18110</v>
      </c>
      <c r="AQ3069" s="65" t="s">
        <v>127</v>
      </c>
      <c r="AR3069" s="65" t="s">
        <v>18111</v>
      </c>
      <c r="AS3069" s="333">
        <v>0.001</v>
      </c>
      <c r="AT3069" s="65" t="s">
        <v>128</v>
      </c>
      <c r="AU3069" s="65" t="s">
        <v>179</v>
      </c>
      <c r="AV3069" s="65" t="s">
        <v>130</v>
      </c>
      <c r="AW3069" s="432" t="s">
        <v>18090</v>
      </c>
      <c r="AX3069" s="65" t="s">
        <v>136</v>
      </c>
    </row>
    <row r="3070">
      <c r="A3070" s="41">
        <v>2899.0</v>
      </c>
      <c r="B3070" s="126" t="s">
        <v>516</v>
      </c>
      <c r="C3070" s="59" t="s">
        <v>108</v>
      </c>
      <c r="D3070" s="59" t="s">
        <v>241</v>
      </c>
      <c r="F3070" s="65" t="s">
        <v>18076</v>
      </c>
      <c r="G3070" s="65" t="s">
        <v>18112</v>
      </c>
      <c r="H3070" s="65" t="s">
        <v>242</v>
      </c>
      <c r="I3070" s="526">
        <v>45811.0</v>
      </c>
      <c r="J3070" s="859"/>
      <c r="K3070" s="65" t="s">
        <v>18078</v>
      </c>
      <c r="L3070" s="65"/>
      <c r="M3070" s="65" t="s">
        <v>18025</v>
      </c>
      <c r="N3070" s="65" t="s">
        <v>18026</v>
      </c>
      <c r="O3070" s="65"/>
      <c r="P3070" s="65" t="s">
        <v>18027</v>
      </c>
      <c r="Q3070" s="2289" t="str">
        <f> hyperlink(vlookup(lower(N3070),'File Links'!E:F, 2, FALSE), "LINK")</f>
        <v>LINK</v>
      </c>
      <c r="R3070" s="65" t="s">
        <v>18079</v>
      </c>
      <c r="S3070" s="65" t="s">
        <v>18080</v>
      </c>
      <c r="T3070" s="65"/>
      <c r="U3070" s="333">
        <v>2.0</v>
      </c>
      <c r="V3070" s="570" t="s">
        <v>18082</v>
      </c>
      <c r="W3070" s="1225"/>
      <c r="X3070" s="2290" t="str">
        <f> hyperlink(vlookup(lower(S3070),'File Links'!E:F, 2, FALSE), "LINK")</f>
        <v>LINK</v>
      </c>
      <c r="Y3070" s="65"/>
      <c r="Z3070" s="65" t="s">
        <v>940</v>
      </c>
      <c r="AA3070" s="65" t="s">
        <v>18083</v>
      </c>
      <c r="AB3070" s="65" t="s">
        <v>7257</v>
      </c>
      <c r="AC3070" s="65" t="s">
        <v>18084</v>
      </c>
      <c r="AD3070" s="65" t="s">
        <v>18098</v>
      </c>
      <c r="AE3070" s="65" t="s">
        <v>4966</v>
      </c>
      <c r="AF3070" s="333">
        <v>91.0</v>
      </c>
      <c r="AG3070" s="65" t="s">
        <v>18108</v>
      </c>
      <c r="AH3070" s="65" t="s">
        <v>127</v>
      </c>
      <c r="AI3070" s="65" t="s">
        <v>18109</v>
      </c>
      <c r="AJ3070" s="333">
        <v>0.001</v>
      </c>
      <c r="AK3070" s="65" t="s">
        <v>128</v>
      </c>
      <c r="AL3070" s="65" t="s">
        <v>179</v>
      </c>
      <c r="AM3070" s="65" t="s">
        <v>130</v>
      </c>
      <c r="AN3070" s="65" t="s">
        <v>131</v>
      </c>
      <c r="AO3070" s="333">
        <v>621.0</v>
      </c>
      <c r="AP3070" s="65" t="s">
        <v>18113</v>
      </c>
      <c r="AQ3070" s="65" t="s">
        <v>127</v>
      </c>
      <c r="AR3070" s="65" t="s">
        <v>18114</v>
      </c>
      <c r="AS3070" s="333">
        <v>0.001</v>
      </c>
      <c r="AT3070" s="65" t="s">
        <v>128</v>
      </c>
      <c r="AU3070" s="65" t="s">
        <v>179</v>
      </c>
      <c r="AV3070" s="65" t="s">
        <v>130</v>
      </c>
      <c r="AW3070" s="432" t="s">
        <v>18090</v>
      </c>
      <c r="AX3070" s="65" t="s">
        <v>136</v>
      </c>
    </row>
    <row r="3071">
      <c r="A3071" s="41">
        <v>2900.0</v>
      </c>
      <c r="B3071" s="126" t="s">
        <v>516</v>
      </c>
      <c r="C3071" s="59" t="s">
        <v>108</v>
      </c>
      <c r="D3071" s="59" t="s">
        <v>241</v>
      </c>
      <c r="F3071" s="65" t="s">
        <v>18076</v>
      </c>
      <c r="G3071" s="65" t="s">
        <v>18115</v>
      </c>
      <c r="H3071" s="65" t="s">
        <v>242</v>
      </c>
      <c r="I3071" s="526">
        <v>45811.0</v>
      </c>
      <c r="J3071" s="859"/>
      <c r="K3071" s="65" t="s">
        <v>18078</v>
      </c>
      <c r="L3071" s="65"/>
      <c r="M3071" s="65" t="s">
        <v>18025</v>
      </c>
      <c r="N3071" s="65" t="s">
        <v>18026</v>
      </c>
      <c r="O3071" s="65"/>
      <c r="P3071" s="65" t="s">
        <v>18027</v>
      </c>
      <c r="Q3071" s="2289" t="str">
        <f> hyperlink(vlookup(lower(N3071),'File Links'!E:F, 2, FALSE), "LINK")</f>
        <v>LINK</v>
      </c>
      <c r="R3071" s="65" t="s">
        <v>18079</v>
      </c>
      <c r="S3071" s="65" t="s">
        <v>18080</v>
      </c>
      <c r="T3071" s="65"/>
      <c r="U3071" s="333">
        <v>2.0</v>
      </c>
      <c r="V3071" s="570" t="s">
        <v>18082</v>
      </c>
      <c r="W3071" s="1225"/>
      <c r="X3071" s="2290" t="str">
        <f> hyperlink(vlookup(lower(S3071),'File Links'!E:F, 2, FALSE), "LINK")</f>
        <v>LINK</v>
      </c>
      <c r="Y3071" s="65"/>
      <c r="Z3071" s="65" t="s">
        <v>940</v>
      </c>
      <c r="AA3071" s="65" t="s">
        <v>18083</v>
      </c>
      <c r="AB3071" s="65" t="s">
        <v>7257</v>
      </c>
      <c r="AC3071" s="65" t="s">
        <v>18084</v>
      </c>
      <c r="AD3071" s="126" t="s">
        <v>18116</v>
      </c>
      <c r="AE3071" s="65" t="s">
        <v>4966</v>
      </c>
      <c r="AF3071" s="333">
        <v>91.0</v>
      </c>
      <c r="AG3071" s="126" t="s">
        <v>18117</v>
      </c>
      <c r="AH3071" s="65" t="s">
        <v>127</v>
      </c>
      <c r="AI3071" s="126" t="s">
        <v>18118</v>
      </c>
      <c r="AJ3071" s="333">
        <v>0.002</v>
      </c>
      <c r="AK3071" s="65" t="s">
        <v>128</v>
      </c>
      <c r="AL3071" s="65" t="s">
        <v>179</v>
      </c>
      <c r="AM3071" s="65" t="s">
        <v>130</v>
      </c>
      <c r="AN3071" s="65" t="s">
        <v>131</v>
      </c>
      <c r="AO3071" s="333">
        <v>43.0</v>
      </c>
      <c r="AP3071" s="126" t="s">
        <v>18119</v>
      </c>
      <c r="AQ3071" s="65" t="s">
        <v>127</v>
      </c>
      <c r="AR3071" s="126" t="s">
        <v>18120</v>
      </c>
      <c r="AS3071" s="333">
        <v>0.001</v>
      </c>
      <c r="AT3071" s="65" t="s">
        <v>128</v>
      </c>
      <c r="AU3071" s="65" t="s">
        <v>179</v>
      </c>
      <c r="AV3071" s="65" t="s">
        <v>130</v>
      </c>
      <c r="AW3071" s="432" t="s">
        <v>18090</v>
      </c>
      <c r="AX3071" s="65" t="s">
        <v>136</v>
      </c>
    </row>
    <row r="3072">
      <c r="A3072" s="41">
        <v>2901.0</v>
      </c>
      <c r="B3072" s="126" t="s">
        <v>516</v>
      </c>
      <c r="C3072" s="59" t="s">
        <v>108</v>
      </c>
      <c r="D3072" s="59" t="s">
        <v>241</v>
      </c>
      <c r="F3072" s="65" t="s">
        <v>18076</v>
      </c>
      <c r="G3072" s="65" t="s">
        <v>18121</v>
      </c>
      <c r="H3072" s="65" t="s">
        <v>242</v>
      </c>
      <c r="I3072" s="526">
        <v>45811.0</v>
      </c>
      <c r="J3072" s="859"/>
      <c r="K3072" s="65" t="s">
        <v>18078</v>
      </c>
      <c r="L3072" s="65"/>
      <c r="M3072" s="65" t="s">
        <v>18025</v>
      </c>
      <c r="N3072" s="65" t="s">
        <v>18026</v>
      </c>
      <c r="O3072" s="65"/>
      <c r="P3072" s="65" t="s">
        <v>18027</v>
      </c>
      <c r="Q3072" s="2289" t="str">
        <f> hyperlink(vlookup(lower(N3072),'File Links'!E:F, 2, FALSE), "LINK")</f>
        <v>LINK</v>
      </c>
      <c r="R3072" s="65" t="s">
        <v>18079</v>
      </c>
      <c r="S3072" s="65" t="s">
        <v>18080</v>
      </c>
      <c r="T3072" s="65"/>
      <c r="U3072" s="333">
        <v>2.0</v>
      </c>
      <c r="V3072" s="570" t="s">
        <v>18082</v>
      </c>
      <c r="W3072" s="1225"/>
      <c r="X3072" s="2290" t="str">
        <f> hyperlink(vlookup(lower(S3072),'File Links'!E:F, 2, FALSE), "LINK")</f>
        <v>LINK</v>
      </c>
      <c r="Y3072" s="65"/>
      <c r="Z3072" s="65" t="s">
        <v>940</v>
      </c>
      <c r="AA3072" s="65" t="s">
        <v>18083</v>
      </c>
      <c r="AB3072" s="65" t="s">
        <v>7257</v>
      </c>
      <c r="AC3072" s="65" t="s">
        <v>18084</v>
      </c>
      <c r="AD3072" s="126" t="s">
        <v>18116</v>
      </c>
      <c r="AE3072" s="65" t="s">
        <v>4966</v>
      </c>
      <c r="AF3072" s="333">
        <v>91.0</v>
      </c>
      <c r="AG3072" s="126" t="s">
        <v>18117</v>
      </c>
      <c r="AH3072" s="65" t="s">
        <v>127</v>
      </c>
      <c r="AI3072" s="126" t="s">
        <v>18118</v>
      </c>
      <c r="AJ3072" s="333">
        <v>0.002</v>
      </c>
      <c r="AK3072" s="65" t="s">
        <v>128</v>
      </c>
      <c r="AL3072" s="65" t="s">
        <v>179</v>
      </c>
      <c r="AM3072" s="65" t="s">
        <v>130</v>
      </c>
      <c r="AN3072" s="65" t="s">
        <v>131</v>
      </c>
      <c r="AO3072" s="333">
        <v>621.0</v>
      </c>
      <c r="AP3072" s="126" t="s">
        <v>18122</v>
      </c>
      <c r="AQ3072" s="65" t="s">
        <v>127</v>
      </c>
      <c r="AR3072" s="126" t="s">
        <v>18123</v>
      </c>
      <c r="AS3072" s="333">
        <v>0.001</v>
      </c>
      <c r="AT3072" s="65" t="s">
        <v>128</v>
      </c>
      <c r="AU3072" s="65" t="s">
        <v>179</v>
      </c>
      <c r="AV3072" s="65" t="s">
        <v>130</v>
      </c>
      <c r="AW3072" s="432" t="s">
        <v>18090</v>
      </c>
      <c r="AX3072" s="65" t="s">
        <v>136</v>
      </c>
    </row>
    <row r="3073">
      <c r="A3073" s="41">
        <v>2902.0</v>
      </c>
      <c r="B3073" s="126" t="s">
        <v>516</v>
      </c>
      <c r="C3073" s="59" t="s">
        <v>108</v>
      </c>
      <c r="D3073" s="59" t="s">
        <v>241</v>
      </c>
      <c r="F3073" s="1062" t="s">
        <v>18124</v>
      </c>
      <c r="G3073" s="1062" t="s">
        <v>18125</v>
      </c>
      <c r="H3073" s="1062" t="s">
        <v>242</v>
      </c>
      <c r="I3073" s="2327">
        <v>45811.0</v>
      </c>
      <c r="J3073" s="2328"/>
      <c r="K3073" s="1062" t="s">
        <v>18126</v>
      </c>
      <c r="L3073" s="1062"/>
      <c r="M3073" s="1062" t="s">
        <v>18025</v>
      </c>
      <c r="N3073" s="1062" t="s">
        <v>18026</v>
      </c>
      <c r="O3073" s="1062"/>
      <c r="P3073" s="1062" t="s">
        <v>18027</v>
      </c>
      <c r="Q3073" s="2329" t="str">
        <f> hyperlink(vlookup(lower(N3073),'File Links'!E:F, 2, FALSE), "LINK")</f>
        <v>LINK</v>
      </c>
      <c r="R3073" s="1062" t="s">
        <v>18127</v>
      </c>
      <c r="S3073" s="1062" t="s">
        <v>18128</v>
      </c>
      <c r="T3073" s="1062"/>
      <c r="U3073" s="1062"/>
      <c r="V3073" s="1062" t="s">
        <v>18129</v>
      </c>
      <c r="W3073" s="1062"/>
      <c r="X3073" s="2330" t="str">
        <f> hyperlink(vlookup(lower(S3073),'File Links'!E:F, 2, FALSE), "LINK")</f>
        <v>LINK</v>
      </c>
      <c r="Y3073" s="1062" t="s">
        <v>18130</v>
      </c>
      <c r="Z3073" s="1062" t="s">
        <v>940</v>
      </c>
      <c r="AA3073" s="1062" t="s">
        <v>18131</v>
      </c>
      <c r="AB3073" s="1062" t="s">
        <v>7257</v>
      </c>
      <c r="AC3073" s="1062" t="s">
        <v>18132</v>
      </c>
      <c r="AD3073" s="1062"/>
      <c r="AE3073" s="1062"/>
      <c r="AF3073" s="1062"/>
      <c r="AG3073" s="1062"/>
      <c r="AH3073" s="1062"/>
      <c r="AI3073" s="1062"/>
      <c r="AJ3073" s="1062"/>
      <c r="AK3073" s="1062"/>
      <c r="AL3073" s="1062"/>
      <c r="AM3073" s="1062"/>
      <c r="AN3073" s="1062"/>
      <c r="AO3073" s="1062"/>
      <c r="AP3073" s="2363"/>
      <c r="AQ3073" s="1062"/>
      <c r="AR3073" s="1062"/>
      <c r="AS3073" s="1062"/>
      <c r="AT3073" s="1062"/>
      <c r="AU3073" s="1062"/>
      <c r="AV3073" s="1062"/>
      <c r="AW3073" s="1062"/>
      <c r="AX3073" s="1062"/>
    </row>
    <row r="3074">
      <c r="A3074" s="2340">
        <v>2914.0</v>
      </c>
      <c r="B3074" s="1793" t="s">
        <v>145</v>
      </c>
      <c r="C3074" s="1623" t="s">
        <v>108</v>
      </c>
      <c r="D3074" s="1623" t="s">
        <v>241</v>
      </c>
      <c r="E3074" s="1120"/>
      <c r="F3074" s="1624" t="s">
        <v>18133</v>
      </c>
      <c r="G3074" s="1624" t="s">
        <v>18134</v>
      </c>
      <c r="H3074" s="1624" t="s">
        <v>242</v>
      </c>
      <c r="I3074" s="2354">
        <v>45811.0</v>
      </c>
      <c r="J3074" s="1795">
        <v>45835.0</v>
      </c>
      <c r="K3074" s="1624" t="s">
        <v>18135</v>
      </c>
      <c r="L3074" s="1793" t="s">
        <v>18136</v>
      </c>
      <c r="M3074" s="1624" t="s">
        <v>18137</v>
      </c>
      <c r="N3074" s="1624" t="s">
        <v>18138</v>
      </c>
      <c r="O3074" s="1793">
        <v>1.0</v>
      </c>
      <c r="P3074" s="1624" t="s">
        <v>18139</v>
      </c>
      <c r="Q3074" s="2356" t="str">
        <f> hyperlink(vlookup(lower(N3074),'File Links'!E:F, 2, FALSE), "LINK")</f>
        <v>LINK</v>
      </c>
      <c r="R3074" s="1624" t="s">
        <v>18140</v>
      </c>
      <c r="S3074" s="1624" t="s">
        <v>18141</v>
      </c>
      <c r="T3074" s="1624"/>
      <c r="U3074" s="1624" t="s">
        <v>3841</v>
      </c>
      <c r="V3074" s="1624" t="s">
        <v>18142</v>
      </c>
      <c r="W3074" s="1793" t="s">
        <v>202</v>
      </c>
      <c r="X3074" s="2357" t="str">
        <f> hyperlink(vlookup(lower(S3074),'File Links'!E:F, 2, FALSE), "LINK")</f>
        <v>LINK</v>
      </c>
      <c r="Y3074" s="1624"/>
      <c r="Z3074" s="1624" t="s">
        <v>940</v>
      </c>
      <c r="AA3074" s="1624" t="s">
        <v>18143</v>
      </c>
      <c r="AB3074" s="1624" t="s">
        <v>7257</v>
      </c>
      <c r="AC3074" s="1624" t="s">
        <v>18144</v>
      </c>
      <c r="AD3074" s="1793" t="s">
        <v>18145</v>
      </c>
      <c r="AE3074" s="2364">
        <v>45970.0</v>
      </c>
      <c r="AF3074" s="1818">
        <v>54.0</v>
      </c>
      <c r="AG3074" s="1793" t="s">
        <v>18146</v>
      </c>
      <c r="AH3074" s="1624" t="s">
        <v>127</v>
      </c>
      <c r="AI3074" s="1624" t="s">
        <v>18147</v>
      </c>
      <c r="AJ3074" s="1818">
        <v>0.0052</v>
      </c>
      <c r="AK3074" s="1624" t="s">
        <v>165</v>
      </c>
      <c r="AL3074" s="1624" t="s">
        <v>211</v>
      </c>
      <c r="AM3074" s="1624" t="s">
        <v>130</v>
      </c>
      <c r="AN3074" s="1624" t="s">
        <v>131</v>
      </c>
      <c r="AO3074" s="1818">
        <v>46.0</v>
      </c>
      <c r="AP3074" s="2365">
        <v>0.55</v>
      </c>
      <c r="AQ3074" s="1624" t="s">
        <v>166</v>
      </c>
      <c r="AR3074" s="1624" t="s">
        <v>18148</v>
      </c>
      <c r="AS3074" s="1818">
        <v>0.001</v>
      </c>
      <c r="AT3074" s="1624" t="s">
        <v>128</v>
      </c>
      <c r="AU3074" s="1624" t="s">
        <v>179</v>
      </c>
      <c r="AV3074" s="1624" t="s">
        <v>130</v>
      </c>
      <c r="AW3074" s="2345" t="s">
        <v>18149</v>
      </c>
      <c r="AX3074" s="1624" t="s">
        <v>136</v>
      </c>
      <c r="AY3074" s="1120"/>
      <c r="AZ3074" s="1623" t="s">
        <v>807</v>
      </c>
      <c r="BA3074" s="1120"/>
    </row>
    <row r="3075">
      <c r="A3075" s="2340">
        <v>2992.0</v>
      </c>
      <c r="B3075" s="1793" t="s">
        <v>107</v>
      </c>
      <c r="C3075" s="1623" t="s">
        <v>108</v>
      </c>
      <c r="D3075" s="1623" t="s">
        <v>15410</v>
      </c>
      <c r="E3075" s="1120"/>
      <c r="F3075" s="1624" t="s">
        <v>18133</v>
      </c>
      <c r="G3075" s="1626" t="s">
        <v>18134</v>
      </c>
      <c r="H3075" s="1626" t="s">
        <v>17956</v>
      </c>
      <c r="I3075" s="2128">
        <v>45331.0</v>
      </c>
      <c r="J3075" s="2341">
        <v>45835.0</v>
      </c>
      <c r="K3075" s="1624" t="s">
        <v>18150</v>
      </c>
      <c r="L3075" s="1793" t="s">
        <v>18151</v>
      </c>
      <c r="M3075" s="1626" t="s">
        <v>18137</v>
      </c>
      <c r="N3075" s="1626" t="s">
        <v>18138</v>
      </c>
      <c r="O3075" s="1818">
        <v>2.0</v>
      </c>
      <c r="P3075" s="1626" t="s">
        <v>18139</v>
      </c>
      <c r="Q3075" s="2342" t="str">
        <f> hyperlink(vlookup(lower(N3075),'File Links'!E:F, 2, FALSE), "LINK")</f>
        <v>LINK</v>
      </c>
      <c r="R3075" s="1626" t="s">
        <v>18140</v>
      </c>
      <c r="S3075" s="1626" t="s">
        <v>18141</v>
      </c>
      <c r="T3075" s="1624"/>
      <c r="U3075" s="1818">
        <v>1.0</v>
      </c>
      <c r="V3075" s="1626" t="s">
        <v>18142</v>
      </c>
      <c r="W3075" s="1793" t="s">
        <v>202</v>
      </c>
      <c r="X3075" s="2343" t="str">
        <f> hyperlink(vlookup(lower(S3075),'File Links'!E:F, 2, FALSE), "LINK")</f>
        <v>LINK</v>
      </c>
      <c r="Y3075" s="1624"/>
      <c r="Z3075" s="1626" t="s">
        <v>940</v>
      </c>
      <c r="AA3075" s="1626" t="s">
        <v>18143</v>
      </c>
      <c r="AB3075" s="1626" t="s">
        <v>7257</v>
      </c>
      <c r="AC3075" s="1626" t="s">
        <v>18144</v>
      </c>
      <c r="AD3075" s="1793" t="s">
        <v>18152</v>
      </c>
      <c r="AE3075" s="2364">
        <v>45970.0</v>
      </c>
      <c r="AF3075" s="1818">
        <v>54.0</v>
      </c>
      <c r="AG3075" s="1793" t="s">
        <v>18146</v>
      </c>
      <c r="AH3075" s="1624" t="s">
        <v>127</v>
      </c>
      <c r="AI3075" s="1624" t="s">
        <v>18147</v>
      </c>
      <c r="AJ3075" s="1818">
        <v>0.0052</v>
      </c>
      <c r="AK3075" s="1624" t="s">
        <v>165</v>
      </c>
      <c r="AL3075" s="1624" t="s">
        <v>211</v>
      </c>
      <c r="AM3075" s="1624" t="s">
        <v>130</v>
      </c>
      <c r="AN3075" s="1624"/>
      <c r="AO3075" s="1818">
        <v>46.0</v>
      </c>
      <c r="AP3075" s="2365">
        <v>0.55</v>
      </c>
      <c r="AQ3075" s="1624" t="s">
        <v>166</v>
      </c>
      <c r="AR3075" s="1624" t="s">
        <v>18148</v>
      </c>
      <c r="AS3075" s="1818">
        <v>0.001</v>
      </c>
      <c r="AT3075" s="1624" t="s">
        <v>128</v>
      </c>
      <c r="AU3075" s="1624" t="s">
        <v>211</v>
      </c>
      <c r="AV3075" s="1624" t="s">
        <v>130</v>
      </c>
      <c r="AW3075" s="2345" t="s">
        <v>18153</v>
      </c>
      <c r="AX3075" s="1624" t="s">
        <v>136</v>
      </c>
      <c r="AY3075" s="1120"/>
      <c r="AZ3075" s="1623" t="s">
        <v>807</v>
      </c>
      <c r="BA3075" s="1120"/>
    </row>
    <row r="3076">
      <c r="A3076" s="41">
        <v>2915.0</v>
      </c>
      <c r="B3076" s="126" t="s">
        <v>516</v>
      </c>
      <c r="C3076" s="59" t="s">
        <v>108</v>
      </c>
      <c r="D3076" s="59" t="s">
        <v>241</v>
      </c>
      <c r="F3076" s="65" t="s">
        <v>18133</v>
      </c>
      <c r="G3076" s="65" t="s">
        <v>18154</v>
      </c>
      <c r="H3076" s="65" t="s">
        <v>242</v>
      </c>
      <c r="I3076" s="526">
        <v>45811.0</v>
      </c>
      <c r="J3076" s="859"/>
      <c r="K3076" s="65" t="s">
        <v>18155</v>
      </c>
      <c r="L3076" s="65"/>
      <c r="M3076" s="65" t="s">
        <v>18137</v>
      </c>
      <c r="N3076" s="65" t="s">
        <v>18138</v>
      </c>
      <c r="O3076" s="65"/>
      <c r="P3076" s="570" t="s">
        <v>18139</v>
      </c>
      <c r="Q3076" s="2289" t="str">
        <f> hyperlink(vlookup(lower(N3076),'File Links'!E:F, 2, FALSE), "LINK")</f>
        <v>LINK</v>
      </c>
      <c r="R3076" s="65" t="s">
        <v>18140</v>
      </c>
      <c r="S3076" s="65" t="s">
        <v>18141</v>
      </c>
      <c r="T3076" s="65"/>
      <c r="U3076" s="65" t="s">
        <v>3841</v>
      </c>
      <c r="V3076" s="570" t="s">
        <v>18142</v>
      </c>
      <c r="W3076" s="1225"/>
      <c r="X3076" s="2290" t="str">
        <f> hyperlink(vlookup(lower(S3076),'File Links'!E:F, 2, FALSE), "LINK")</f>
        <v>LINK</v>
      </c>
      <c r="Y3076" s="65"/>
      <c r="Z3076" s="65" t="s">
        <v>940</v>
      </c>
      <c r="AA3076" s="65" t="s">
        <v>18143</v>
      </c>
      <c r="AB3076" s="65" t="s">
        <v>7257</v>
      </c>
      <c r="AC3076" s="65" t="s">
        <v>18144</v>
      </c>
      <c r="AD3076" s="126" t="s">
        <v>18145</v>
      </c>
      <c r="AE3076" s="65" t="s">
        <v>617</v>
      </c>
      <c r="AF3076" s="333">
        <v>54.0</v>
      </c>
      <c r="AG3076" s="126" t="s">
        <v>18146</v>
      </c>
      <c r="AH3076" s="65" t="s">
        <v>127</v>
      </c>
      <c r="AI3076" s="65" t="s">
        <v>18147</v>
      </c>
      <c r="AJ3076" s="333">
        <v>0.0052</v>
      </c>
      <c r="AK3076" s="65" t="s">
        <v>165</v>
      </c>
      <c r="AL3076" s="65" t="s">
        <v>211</v>
      </c>
      <c r="AM3076" s="65" t="s">
        <v>130</v>
      </c>
      <c r="AN3076" s="65" t="s">
        <v>131</v>
      </c>
      <c r="AO3076" s="333">
        <v>46.0</v>
      </c>
      <c r="AP3076" s="2366">
        <v>0.41</v>
      </c>
      <c r="AQ3076" s="65" t="s">
        <v>166</v>
      </c>
      <c r="AR3076" s="65" t="s">
        <v>18156</v>
      </c>
      <c r="AS3076" s="333">
        <v>0.004</v>
      </c>
      <c r="AT3076" s="65" t="s">
        <v>128</v>
      </c>
      <c r="AU3076" s="65" t="s">
        <v>179</v>
      </c>
      <c r="AV3076" s="65" t="s">
        <v>130</v>
      </c>
      <c r="AW3076" s="432" t="s">
        <v>18149</v>
      </c>
      <c r="AX3076" s="65" t="s">
        <v>136</v>
      </c>
      <c r="AZ3076" s="59" t="s">
        <v>7268</v>
      </c>
    </row>
    <row r="3077">
      <c r="A3077" s="41">
        <v>2916.0</v>
      </c>
      <c r="B3077" s="126" t="s">
        <v>516</v>
      </c>
      <c r="C3077" s="59" t="s">
        <v>108</v>
      </c>
      <c r="D3077" s="59" t="s">
        <v>241</v>
      </c>
      <c r="F3077" s="65" t="s">
        <v>18133</v>
      </c>
      <c r="G3077" s="65" t="s">
        <v>18157</v>
      </c>
      <c r="H3077" s="65" t="s">
        <v>242</v>
      </c>
      <c r="I3077" s="526">
        <v>45811.0</v>
      </c>
      <c r="J3077" s="859"/>
      <c r="K3077" s="65" t="s">
        <v>18158</v>
      </c>
      <c r="L3077" s="65"/>
      <c r="M3077" s="65" t="s">
        <v>18137</v>
      </c>
      <c r="N3077" s="65" t="s">
        <v>18138</v>
      </c>
      <c r="O3077" s="65"/>
      <c r="P3077" s="570" t="s">
        <v>18139</v>
      </c>
      <c r="Q3077" s="2289" t="str">
        <f> hyperlink(vlookup(lower(N3077),'File Links'!E:F, 2, FALSE), "LINK")</f>
        <v>LINK</v>
      </c>
      <c r="R3077" s="65" t="s">
        <v>18140</v>
      </c>
      <c r="S3077" s="65" t="s">
        <v>18141</v>
      </c>
      <c r="T3077" s="65"/>
      <c r="U3077" s="65" t="s">
        <v>3841</v>
      </c>
      <c r="V3077" s="570" t="s">
        <v>18142</v>
      </c>
      <c r="W3077" s="1225"/>
      <c r="X3077" s="2290" t="str">
        <f> hyperlink(vlookup(lower(S3077),'File Links'!E:F, 2, FALSE), "LINK")</f>
        <v>LINK</v>
      </c>
      <c r="Y3077" s="65"/>
      <c r="Z3077" s="65" t="s">
        <v>940</v>
      </c>
      <c r="AA3077" s="65" t="s">
        <v>18143</v>
      </c>
      <c r="AB3077" s="65" t="s">
        <v>7257</v>
      </c>
      <c r="AC3077" s="65" t="s">
        <v>18144</v>
      </c>
      <c r="AD3077" s="126" t="s">
        <v>18145</v>
      </c>
      <c r="AE3077" s="65" t="s">
        <v>617</v>
      </c>
      <c r="AF3077" s="333">
        <v>54.0</v>
      </c>
      <c r="AG3077" s="126" t="s">
        <v>18146</v>
      </c>
      <c r="AH3077" s="65" t="s">
        <v>127</v>
      </c>
      <c r="AI3077" s="65" t="s">
        <v>18147</v>
      </c>
      <c r="AJ3077" s="333">
        <v>0.0052</v>
      </c>
      <c r="AK3077" s="65" t="s">
        <v>165</v>
      </c>
      <c r="AL3077" s="65" t="s">
        <v>211</v>
      </c>
      <c r="AM3077" s="65" t="s">
        <v>130</v>
      </c>
      <c r="AN3077" s="65" t="s">
        <v>131</v>
      </c>
      <c r="AO3077" s="333">
        <v>314.0</v>
      </c>
      <c r="AP3077" s="2366">
        <v>0.24</v>
      </c>
      <c r="AQ3077" s="65" t="s">
        <v>166</v>
      </c>
      <c r="AR3077" s="65" t="s">
        <v>18159</v>
      </c>
      <c r="AS3077" s="333">
        <v>0.001</v>
      </c>
      <c r="AT3077" s="65" t="s">
        <v>128</v>
      </c>
      <c r="AU3077" s="65" t="s">
        <v>179</v>
      </c>
      <c r="AV3077" s="65" t="s">
        <v>130</v>
      </c>
      <c r="AW3077" s="432" t="s">
        <v>18149</v>
      </c>
      <c r="AX3077" s="65" t="s">
        <v>136</v>
      </c>
      <c r="AZ3077" s="59" t="s">
        <v>7268</v>
      </c>
    </row>
    <row r="3078">
      <c r="A3078" s="41">
        <v>2917.0</v>
      </c>
      <c r="B3078" s="126" t="s">
        <v>516</v>
      </c>
      <c r="C3078" s="59" t="s">
        <v>108</v>
      </c>
      <c r="D3078" s="59" t="s">
        <v>241</v>
      </c>
      <c r="F3078" s="65" t="s">
        <v>18133</v>
      </c>
      <c r="G3078" s="65" t="s">
        <v>18160</v>
      </c>
      <c r="H3078" s="65" t="s">
        <v>242</v>
      </c>
      <c r="I3078" s="526">
        <v>45811.0</v>
      </c>
      <c r="J3078" s="859"/>
      <c r="K3078" s="65" t="s">
        <v>18155</v>
      </c>
      <c r="L3078" s="65"/>
      <c r="M3078" s="65" t="s">
        <v>18137</v>
      </c>
      <c r="N3078" s="65" t="s">
        <v>18138</v>
      </c>
      <c r="O3078" s="65"/>
      <c r="P3078" s="570" t="s">
        <v>18139</v>
      </c>
      <c r="Q3078" s="2289" t="str">
        <f> hyperlink(vlookup(lower(N3078),'File Links'!E:F, 2, FALSE), "LINK")</f>
        <v>LINK</v>
      </c>
      <c r="R3078" s="65" t="s">
        <v>18140</v>
      </c>
      <c r="S3078" s="65" t="s">
        <v>18141</v>
      </c>
      <c r="T3078" s="65"/>
      <c r="U3078" s="65" t="s">
        <v>3841</v>
      </c>
      <c r="V3078" s="570" t="s">
        <v>18142</v>
      </c>
      <c r="W3078" s="1225"/>
      <c r="X3078" s="2290" t="str">
        <f> hyperlink(vlookup(lower(S3078),'File Links'!E:F, 2, FALSE), "LINK")</f>
        <v>LINK</v>
      </c>
      <c r="Y3078" s="65"/>
      <c r="Z3078" s="65" t="s">
        <v>940</v>
      </c>
      <c r="AA3078" s="65" t="s">
        <v>18143</v>
      </c>
      <c r="AB3078" s="65" t="s">
        <v>7257</v>
      </c>
      <c r="AC3078" s="65" t="s">
        <v>18144</v>
      </c>
      <c r="AD3078" s="126" t="s">
        <v>18145</v>
      </c>
      <c r="AE3078" s="65" t="s">
        <v>617</v>
      </c>
      <c r="AF3078" s="333">
        <v>54.0</v>
      </c>
      <c r="AG3078" s="126" t="s">
        <v>18146</v>
      </c>
      <c r="AH3078" s="65" t="s">
        <v>127</v>
      </c>
      <c r="AI3078" s="65" t="s">
        <v>18147</v>
      </c>
      <c r="AJ3078" s="333">
        <v>0.0052</v>
      </c>
      <c r="AK3078" s="65" t="s">
        <v>165</v>
      </c>
      <c r="AL3078" s="65" t="s">
        <v>211</v>
      </c>
      <c r="AM3078" s="65" t="s">
        <v>130</v>
      </c>
      <c r="AN3078" s="65" t="s">
        <v>131</v>
      </c>
      <c r="AO3078" s="333">
        <v>314.0</v>
      </c>
      <c r="AP3078" s="2366">
        <v>0.36</v>
      </c>
      <c r="AQ3078" s="65" t="s">
        <v>166</v>
      </c>
      <c r="AR3078" s="65" t="s">
        <v>18161</v>
      </c>
      <c r="AS3078" s="333">
        <v>0.001</v>
      </c>
      <c r="AT3078" s="65" t="s">
        <v>128</v>
      </c>
      <c r="AU3078" s="65" t="s">
        <v>179</v>
      </c>
      <c r="AV3078" s="65" t="s">
        <v>130</v>
      </c>
      <c r="AW3078" s="432" t="s">
        <v>18149</v>
      </c>
      <c r="AX3078" s="65" t="s">
        <v>136</v>
      </c>
      <c r="AZ3078" s="59" t="s">
        <v>7268</v>
      </c>
    </row>
    <row r="3079">
      <c r="A3079" s="636">
        <v>2918.0</v>
      </c>
      <c r="B3079" s="628" t="s">
        <v>7925</v>
      </c>
      <c r="C3079" s="394" t="s">
        <v>108</v>
      </c>
      <c r="D3079" s="394" t="s">
        <v>241</v>
      </c>
      <c r="E3079" s="217"/>
      <c r="F3079" s="395" t="s">
        <v>18162</v>
      </c>
      <c r="G3079" s="395" t="s">
        <v>18163</v>
      </c>
      <c r="H3079" s="395" t="s">
        <v>242</v>
      </c>
      <c r="I3079" s="2367">
        <v>45812.0</v>
      </c>
      <c r="J3079" s="1795">
        <v>45835.0</v>
      </c>
      <c r="K3079" s="395" t="s">
        <v>18164</v>
      </c>
      <c r="L3079" s="395"/>
      <c r="M3079" s="395" t="s">
        <v>18165</v>
      </c>
      <c r="N3079" s="395" t="s">
        <v>18166</v>
      </c>
      <c r="O3079" s="395"/>
      <c r="P3079" s="395" t="s">
        <v>18167</v>
      </c>
      <c r="Q3079" s="2368" t="str">
        <f> hyperlink(vlookup(lower(N3079),'File Links'!E:F, 2, FALSE), "LINK")</f>
        <v>LINK</v>
      </c>
      <c r="R3079" s="395" t="s">
        <v>18168</v>
      </c>
      <c r="S3079" s="395" t="s">
        <v>18169</v>
      </c>
      <c r="T3079" s="395"/>
      <c r="U3079" s="395"/>
      <c r="V3079" s="395" t="s">
        <v>18170</v>
      </c>
      <c r="W3079" s="395"/>
      <c r="X3079" s="2369" t="str">
        <f> hyperlink(vlookup(lower(S3079),'File Links'!E:F, 2, FALSE), "LINK")</f>
        <v>LINK</v>
      </c>
      <c r="Y3079" s="395"/>
      <c r="Z3079" s="395" t="s">
        <v>940</v>
      </c>
      <c r="AA3079" s="395" t="s">
        <v>18171</v>
      </c>
      <c r="AB3079" s="395" t="s">
        <v>7257</v>
      </c>
      <c r="AC3079" s="395"/>
      <c r="AD3079" s="395" t="s">
        <v>18172</v>
      </c>
      <c r="AE3079" s="395" t="s">
        <v>18173</v>
      </c>
      <c r="AF3079" s="767">
        <v>486.0</v>
      </c>
      <c r="AG3079" s="395" t="s">
        <v>18174</v>
      </c>
      <c r="AH3079" s="395" t="s">
        <v>127</v>
      </c>
      <c r="AI3079" s="395" t="s">
        <v>18175</v>
      </c>
      <c r="AJ3079" s="395" t="s">
        <v>131</v>
      </c>
      <c r="AK3079" s="395" t="s">
        <v>165</v>
      </c>
      <c r="AL3079" s="395" t="s">
        <v>179</v>
      </c>
      <c r="AM3079" s="395" t="s">
        <v>130</v>
      </c>
      <c r="AN3079" s="395" t="s">
        <v>131</v>
      </c>
      <c r="AO3079" s="395" t="s">
        <v>131</v>
      </c>
      <c r="AP3079" s="395" t="s">
        <v>131</v>
      </c>
      <c r="AQ3079" s="395" t="s">
        <v>131</v>
      </c>
      <c r="AR3079" s="395" t="s">
        <v>18176</v>
      </c>
      <c r="AS3079" s="395" t="s">
        <v>131</v>
      </c>
      <c r="AT3079" s="395" t="s">
        <v>165</v>
      </c>
      <c r="AU3079" s="395" t="s">
        <v>179</v>
      </c>
      <c r="AV3079" s="395" t="s">
        <v>130</v>
      </c>
      <c r="AW3079" s="406" t="s">
        <v>18177</v>
      </c>
      <c r="AX3079" s="395" t="s">
        <v>136</v>
      </c>
      <c r="AY3079" s="217"/>
      <c r="AZ3079" s="394" t="s">
        <v>7268</v>
      </c>
      <c r="BA3079" s="217"/>
    </row>
    <row r="3080">
      <c r="A3080" s="41">
        <v>2993.0</v>
      </c>
      <c r="B3080" s="126" t="s">
        <v>7925</v>
      </c>
      <c r="C3080" s="59" t="s">
        <v>108</v>
      </c>
      <c r="D3080" s="59" t="s">
        <v>15410</v>
      </c>
      <c r="F3080" s="65" t="s">
        <v>18162</v>
      </c>
      <c r="G3080" s="156" t="s">
        <v>18163</v>
      </c>
      <c r="H3080" s="65" t="s">
        <v>15410</v>
      </c>
      <c r="I3080" s="149">
        <v>45331.0</v>
      </c>
      <c r="J3080" s="2341">
        <v>45835.0</v>
      </c>
      <c r="K3080" s="65"/>
      <c r="L3080" s="65"/>
      <c r="M3080" s="156" t="s">
        <v>18165</v>
      </c>
      <c r="N3080" s="156" t="s">
        <v>18166</v>
      </c>
      <c r="O3080" s="333">
        <v>1.0</v>
      </c>
      <c r="P3080" s="156" t="s">
        <v>18167</v>
      </c>
      <c r="Q3080" s="2139" t="str">
        <f> hyperlink(vlookup(lower(N3080),'File Links'!E:F, 2, FALSE), "LINK")</f>
        <v>LINK</v>
      </c>
      <c r="R3080" s="156" t="s">
        <v>18168</v>
      </c>
      <c r="S3080" s="156" t="s">
        <v>18169</v>
      </c>
      <c r="T3080" s="65"/>
      <c r="U3080" s="333">
        <v>1.0</v>
      </c>
      <c r="V3080" s="156" t="s">
        <v>18170</v>
      </c>
      <c r="W3080" s="202" t="s">
        <v>202</v>
      </c>
      <c r="X3080" s="2291" t="str">
        <f> hyperlink(vlookup(lower(S3080),'File Links'!E:F, 2, FALSE), "LINK")</f>
        <v>LINK</v>
      </c>
      <c r="Y3080" s="65"/>
      <c r="Z3080" s="156" t="s">
        <v>940</v>
      </c>
      <c r="AA3080" s="156" t="s">
        <v>18171</v>
      </c>
      <c r="AB3080" s="156" t="s">
        <v>7257</v>
      </c>
      <c r="AC3080" s="65" t="s">
        <v>18178</v>
      </c>
      <c r="AD3080" s="65" t="s">
        <v>18179</v>
      </c>
      <c r="AE3080" s="65" t="s">
        <v>18180</v>
      </c>
      <c r="AF3080" s="333">
        <v>486.0</v>
      </c>
      <c r="AG3080" s="65" t="s">
        <v>18181</v>
      </c>
      <c r="AH3080" s="65" t="s">
        <v>127</v>
      </c>
      <c r="AI3080" s="65" t="s">
        <v>18182</v>
      </c>
      <c r="AJ3080" s="333">
        <v>0.001</v>
      </c>
      <c r="AK3080" s="65" t="s">
        <v>165</v>
      </c>
      <c r="AL3080" s="65" t="s">
        <v>129</v>
      </c>
      <c r="AM3080" s="65" t="s">
        <v>130</v>
      </c>
      <c r="AN3080" s="65"/>
      <c r="AO3080" s="333">
        <v>311.0</v>
      </c>
      <c r="AP3080" s="333">
        <v>0.62</v>
      </c>
      <c r="AQ3080" s="65" t="s">
        <v>2798</v>
      </c>
      <c r="AR3080" s="65" t="s">
        <v>617</v>
      </c>
      <c r="AS3080" s="65" t="s">
        <v>17192</v>
      </c>
      <c r="AT3080" s="65" t="s">
        <v>165</v>
      </c>
      <c r="AU3080" s="65" t="s">
        <v>179</v>
      </c>
      <c r="AV3080" s="65" t="s">
        <v>130</v>
      </c>
      <c r="AW3080" s="432" t="s">
        <v>18183</v>
      </c>
      <c r="AX3080" s="65" t="s">
        <v>136</v>
      </c>
      <c r="AZ3080" s="59" t="s">
        <v>7268</v>
      </c>
    </row>
    <row r="3081">
      <c r="A3081" s="41">
        <v>2919.0</v>
      </c>
      <c r="B3081" s="126" t="s">
        <v>145</v>
      </c>
      <c r="C3081" s="59" t="s">
        <v>108</v>
      </c>
      <c r="D3081" s="59" t="s">
        <v>241</v>
      </c>
      <c r="F3081" s="65" t="s">
        <v>18184</v>
      </c>
      <c r="G3081" s="65" t="s">
        <v>18185</v>
      </c>
      <c r="H3081" s="65" t="s">
        <v>242</v>
      </c>
      <c r="I3081" s="526">
        <v>45812.0</v>
      </c>
      <c r="J3081" s="1795">
        <v>45835.0</v>
      </c>
      <c r="K3081" s="65" t="s">
        <v>18186</v>
      </c>
      <c r="L3081" s="65"/>
      <c r="M3081" s="65" t="s">
        <v>18187</v>
      </c>
      <c r="N3081" s="65" t="s">
        <v>18188</v>
      </c>
      <c r="O3081" s="65"/>
      <c r="P3081" s="570" t="s">
        <v>18189</v>
      </c>
      <c r="Q3081" s="2289" t="str">
        <f> hyperlink(vlookup(lower(N3081),'File Links'!E:F, 2, FALSE), "LINK")</f>
        <v>LINK</v>
      </c>
      <c r="R3081" s="65" t="s">
        <v>18190</v>
      </c>
      <c r="S3081" s="65" t="s">
        <v>18191</v>
      </c>
      <c r="T3081" s="65"/>
      <c r="U3081" s="65"/>
      <c r="V3081" s="570" t="s">
        <v>18192</v>
      </c>
      <c r="W3081" s="1225"/>
      <c r="X3081" s="2290" t="str">
        <f> hyperlink(vlookup(lower(S3081),'File Links'!E:F, 2, FALSE), "LINK")</f>
        <v>LINK</v>
      </c>
      <c r="Y3081" s="65" t="s">
        <v>18193</v>
      </c>
      <c r="Z3081" s="65" t="s">
        <v>940</v>
      </c>
      <c r="AA3081" s="65" t="s">
        <v>17845</v>
      </c>
      <c r="AB3081" s="65" t="s">
        <v>7257</v>
      </c>
      <c r="AC3081" s="65"/>
      <c r="AD3081" s="65" t="s">
        <v>131</v>
      </c>
      <c r="AE3081" s="65" t="s">
        <v>131</v>
      </c>
      <c r="AF3081" s="65" t="s">
        <v>131</v>
      </c>
      <c r="AG3081" s="65" t="s">
        <v>131</v>
      </c>
      <c r="AH3081" s="65" t="s">
        <v>131</v>
      </c>
      <c r="AI3081" s="65" t="s">
        <v>131</v>
      </c>
      <c r="AJ3081" s="65" t="s">
        <v>131</v>
      </c>
      <c r="AK3081" s="65" t="s">
        <v>131</v>
      </c>
      <c r="AL3081" s="65" t="s">
        <v>131</v>
      </c>
      <c r="AM3081" s="65" t="s">
        <v>131</v>
      </c>
      <c r="AN3081" s="65" t="s">
        <v>131</v>
      </c>
      <c r="AO3081" s="65" t="s">
        <v>131</v>
      </c>
      <c r="AP3081" s="65" t="s">
        <v>131</v>
      </c>
      <c r="AQ3081" s="65" t="s">
        <v>131</v>
      </c>
      <c r="AR3081" s="65" t="s">
        <v>131</v>
      </c>
      <c r="AS3081" s="65" t="s">
        <v>131</v>
      </c>
      <c r="AT3081" s="65" t="s">
        <v>131</v>
      </c>
      <c r="AU3081" s="65" t="s">
        <v>131</v>
      </c>
      <c r="AV3081" s="65" t="s">
        <v>131</v>
      </c>
      <c r="AW3081" s="65" t="s">
        <v>131</v>
      </c>
      <c r="AX3081" s="65" t="s">
        <v>131</v>
      </c>
      <c r="AZ3081" s="2370" t="s">
        <v>807</v>
      </c>
    </row>
    <row r="3082">
      <c r="A3082" s="1477">
        <v>2903.0</v>
      </c>
      <c r="B3082" s="1478" t="s">
        <v>107</v>
      </c>
      <c r="C3082" s="907" t="s">
        <v>108</v>
      </c>
      <c r="D3082" s="907" t="s">
        <v>241</v>
      </c>
      <c r="E3082" s="908"/>
      <c r="F3082" s="912" t="s">
        <v>18194</v>
      </c>
      <c r="G3082" s="912" t="s">
        <v>18195</v>
      </c>
      <c r="H3082" s="912" t="s">
        <v>242</v>
      </c>
      <c r="I3082" s="2371">
        <v>45811.0</v>
      </c>
      <c r="J3082" s="2336">
        <v>45835.0</v>
      </c>
      <c r="K3082" s="912" t="s">
        <v>18196</v>
      </c>
      <c r="L3082" s="1478" t="s">
        <v>18197</v>
      </c>
      <c r="M3082" s="912" t="s">
        <v>18198</v>
      </c>
      <c r="N3082" s="912" t="s">
        <v>18199</v>
      </c>
      <c r="O3082" s="1478">
        <v>1.0</v>
      </c>
      <c r="P3082" s="912" t="s">
        <v>18200</v>
      </c>
      <c r="Q3082" s="2372" t="str">
        <f> hyperlink(vlookup(lower(N3082),'File Links'!E:F, 2, FALSE), "LINK")</f>
        <v>LINK</v>
      </c>
      <c r="R3082" s="912" t="s">
        <v>18127</v>
      </c>
      <c r="S3082" s="912" t="s">
        <v>18128</v>
      </c>
      <c r="T3082" s="912"/>
      <c r="U3082" s="912" t="s">
        <v>18201</v>
      </c>
      <c r="V3082" s="912" t="s">
        <v>18129</v>
      </c>
      <c r="W3082" s="1478" t="s">
        <v>1115</v>
      </c>
      <c r="X3082" s="2373" t="str">
        <f> hyperlink(vlookup(lower(S3082),'File Links'!E:F, 2, FALSE), "LINK")</f>
        <v>LINK</v>
      </c>
      <c r="Y3082" s="912"/>
      <c r="Z3082" s="912" t="s">
        <v>940</v>
      </c>
      <c r="AA3082" s="912" t="s">
        <v>18202</v>
      </c>
      <c r="AB3082" s="912" t="s">
        <v>7257</v>
      </c>
      <c r="AC3082" s="912" t="s">
        <v>18203</v>
      </c>
      <c r="AD3082" s="201" t="s">
        <v>18204</v>
      </c>
      <c r="AE3082" s="912" t="s">
        <v>3714</v>
      </c>
      <c r="AF3082" s="2374">
        <v>358.0</v>
      </c>
      <c r="AG3082" s="2375">
        <v>0.26</v>
      </c>
      <c r="AH3082" s="912" t="s">
        <v>1249</v>
      </c>
      <c r="AI3082" s="912" t="s">
        <v>3714</v>
      </c>
      <c r="AJ3082" s="2375">
        <v>0.001</v>
      </c>
      <c r="AK3082" s="912" t="s">
        <v>128</v>
      </c>
      <c r="AL3082" s="912" t="s">
        <v>179</v>
      </c>
      <c r="AM3082" s="912" t="s">
        <v>130</v>
      </c>
      <c r="AN3082" s="912" t="s">
        <v>131</v>
      </c>
      <c r="AO3082" s="2374">
        <v>604.0</v>
      </c>
      <c r="AP3082" s="2375">
        <v>0.28</v>
      </c>
      <c r="AQ3082" s="912" t="s">
        <v>1249</v>
      </c>
      <c r="AR3082" s="1478" t="s">
        <v>843</v>
      </c>
      <c r="AS3082" s="2375">
        <v>0.001</v>
      </c>
      <c r="AT3082" s="912" t="s">
        <v>128</v>
      </c>
      <c r="AU3082" s="912" t="s">
        <v>179</v>
      </c>
      <c r="AV3082" s="912" t="s">
        <v>130</v>
      </c>
      <c r="AW3082" s="2376" t="s">
        <v>18205</v>
      </c>
      <c r="AX3082" s="912" t="s">
        <v>136</v>
      </c>
      <c r="AY3082" s="908"/>
      <c r="AZ3082" s="907" t="s">
        <v>1263</v>
      </c>
      <c r="BA3082" s="908"/>
    </row>
    <row r="3083">
      <c r="A3083" s="351">
        <v>2994.0</v>
      </c>
      <c r="B3083" s="53" t="s">
        <v>145</v>
      </c>
      <c r="C3083" s="338" t="s">
        <v>108</v>
      </c>
      <c r="D3083" s="338" t="s">
        <v>15410</v>
      </c>
      <c r="E3083" s="339"/>
      <c r="F3083" s="43" t="s">
        <v>18194</v>
      </c>
      <c r="G3083" s="357" t="s">
        <v>18195</v>
      </c>
      <c r="H3083" s="357" t="s">
        <v>17956</v>
      </c>
      <c r="I3083" s="341">
        <v>45331.0</v>
      </c>
      <c r="J3083" s="2377">
        <v>45835.0</v>
      </c>
      <c r="K3083" s="43" t="s">
        <v>18206</v>
      </c>
      <c r="L3083" s="53" t="s">
        <v>18207</v>
      </c>
      <c r="M3083" s="357" t="s">
        <v>18198</v>
      </c>
      <c r="N3083" s="357" t="s">
        <v>18199</v>
      </c>
      <c r="O3083" s="382">
        <v>1.0</v>
      </c>
      <c r="P3083" s="357" t="s">
        <v>18200</v>
      </c>
      <c r="Q3083" s="2170" t="str">
        <f> hyperlink(vlookup(lower(N3083),'File Links'!E:F, 2, FALSE), "LINK")</f>
        <v>LINK</v>
      </c>
      <c r="R3083" s="357" t="s">
        <v>18127</v>
      </c>
      <c r="S3083" s="357" t="s">
        <v>18128</v>
      </c>
      <c r="T3083" s="43"/>
      <c r="U3083" s="382">
        <v>1.0</v>
      </c>
      <c r="V3083" s="357" t="s">
        <v>18129</v>
      </c>
      <c r="W3083" s="53" t="s">
        <v>1115</v>
      </c>
      <c r="X3083" s="2171" t="str">
        <f> hyperlink(vlookup(lower(S3083),'File Links'!E:F, 2, FALSE), "LINK")</f>
        <v>LINK</v>
      </c>
      <c r="Y3083" s="43"/>
      <c r="Z3083" s="357" t="s">
        <v>940</v>
      </c>
      <c r="AA3083" s="357" t="s">
        <v>18202</v>
      </c>
      <c r="AB3083" s="357" t="s">
        <v>7257</v>
      </c>
      <c r="AC3083" s="357" t="s">
        <v>18203</v>
      </c>
      <c r="AD3083" s="43" t="s">
        <v>18204</v>
      </c>
      <c r="AE3083" s="43" t="s">
        <v>1476</v>
      </c>
      <c r="AF3083" s="382">
        <v>358.0</v>
      </c>
      <c r="AG3083" s="52">
        <v>0.26</v>
      </c>
      <c r="AH3083" s="43" t="s">
        <v>1249</v>
      </c>
      <c r="AI3083" s="43" t="s">
        <v>3714</v>
      </c>
      <c r="AJ3083" s="382">
        <v>1.0E-4</v>
      </c>
      <c r="AK3083" s="43" t="s">
        <v>128</v>
      </c>
      <c r="AL3083" s="43" t="s">
        <v>179</v>
      </c>
      <c r="AM3083" s="43" t="s">
        <v>130</v>
      </c>
      <c r="AN3083" s="43"/>
      <c r="AO3083" s="382">
        <v>604.0</v>
      </c>
      <c r="AP3083" s="382">
        <v>0.28</v>
      </c>
      <c r="AQ3083" s="43" t="s">
        <v>1249</v>
      </c>
      <c r="AR3083" s="43" t="s">
        <v>489</v>
      </c>
      <c r="AS3083" s="382">
        <v>0.001</v>
      </c>
      <c r="AT3083" s="43" t="s">
        <v>128</v>
      </c>
      <c r="AU3083" s="43" t="s">
        <v>179</v>
      </c>
      <c r="AV3083" s="43" t="s">
        <v>130</v>
      </c>
      <c r="AW3083" s="56" t="s">
        <v>18208</v>
      </c>
      <c r="AX3083" s="43" t="s">
        <v>136</v>
      </c>
      <c r="AY3083" s="339"/>
      <c r="AZ3083" s="338" t="s">
        <v>807</v>
      </c>
      <c r="BA3083" s="339"/>
    </row>
    <row r="3084">
      <c r="A3084" s="1477">
        <v>2904.0</v>
      </c>
      <c r="B3084" s="1478" t="s">
        <v>107</v>
      </c>
      <c r="C3084" s="907" t="s">
        <v>108</v>
      </c>
      <c r="D3084" s="907" t="s">
        <v>241</v>
      </c>
      <c r="E3084" s="908"/>
      <c r="F3084" s="912" t="s">
        <v>18194</v>
      </c>
      <c r="G3084" s="912" t="s">
        <v>18209</v>
      </c>
      <c r="H3084" s="912" t="s">
        <v>242</v>
      </c>
      <c r="I3084" s="2371">
        <v>45811.0</v>
      </c>
      <c r="J3084" s="2336">
        <v>45835.0</v>
      </c>
      <c r="K3084" s="912" t="s">
        <v>18196</v>
      </c>
      <c r="L3084" s="912"/>
      <c r="M3084" s="912" t="s">
        <v>18198</v>
      </c>
      <c r="N3084" s="912" t="s">
        <v>18199</v>
      </c>
      <c r="O3084" s="912"/>
      <c r="P3084" s="912" t="s">
        <v>18200</v>
      </c>
      <c r="Q3084" s="2372" t="str">
        <f> hyperlink(vlookup(lower(N3084),'File Links'!E:F, 2, FALSE), "LINK")</f>
        <v>LINK</v>
      </c>
      <c r="R3084" s="912" t="s">
        <v>18127</v>
      </c>
      <c r="S3084" s="912" t="s">
        <v>18128</v>
      </c>
      <c r="T3084" s="912"/>
      <c r="U3084" s="912" t="s">
        <v>18210</v>
      </c>
      <c r="V3084" s="912" t="s">
        <v>18129</v>
      </c>
      <c r="W3084" s="912"/>
      <c r="X3084" s="2373" t="str">
        <f> hyperlink(vlookup(lower(S3084),'File Links'!E:F, 2, FALSE), "LINK")</f>
        <v>LINK</v>
      </c>
      <c r="Y3084" s="1478"/>
      <c r="Z3084" s="912" t="s">
        <v>940</v>
      </c>
      <c r="AA3084" s="912" t="s">
        <v>18202</v>
      </c>
      <c r="AB3084" s="912" t="s">
        <v>7257</v>
      </c>
      <c r="AC3084" s="912" t="s">
        <v>18203</v>
      </c>
      <c r="AD3084" s="912" t="s">
        <v>18211</v>
      </c>
      <c r="AE3084" s="912" t="s">
        <v>3714</v>
      </c>
      <c r="AF3084" s="2375">
        <v>69.0</v>
      </c>
      <c r="AG3084" s="2375">
        <v>0.26</v>
      </c>
      <c r="AH3084" s="912" t="s">
        <v>1249</v>
      </c>
      <c r="AI3084" s="912" t="s">
        <v>18212</v>
      </c>
      <c r="AJ3084" s="2375">
        <v>0.007</v>
      </c>
      <c r="AK3084" s="912" t="s">
        <v>165</v>
      </c>
      <c r="AL3084" s="912" t="s">
        <v>179</v>
      </c>
      <c r="AM3084" s="912" t="s">
        <v>130</v>
      </c>
      <c r="AN3084" s="912" t="s">
        <v>131</v>
      </c>
      <c r="AO3084" s="2375">
        <v>203.0</v>
      </c>
      <c r="AP3084" s="2375">
        <v>0.28</v>
      </c>
      <c r="AQ3084" s="912" t="s">
        <v>1249</v>
      </c>
      <c r="AR3084" s="912" t="s">
        <v>18213</v>
      </c>
      <c r="AS3084" s="2375">
        <v>0.001</v>
      </c>
      <c r="AT3084" s="912" t="s">
        <v>128</v>
      </c>
      <c r="AU3084" s="912" t="s">
        <v>179</v>
      </c>
      <c r="AV3084" s="912" t="s">
        <v>130</v>
      </c>
      <c r="AW3084" s="2376" t="s">
        <v>18205</v>
      </c>
      <c r="AX3084" s="912" t="s">
        <v>136</v>
      </c>
      <c r="AY3084" s="908"/>
      <c r="AZ3084" s="907" t="s">
        <v>1263</v>
      </c>
      <c r="BA3084" s="908"/>
    </row>
    <row r="3085">
      <c r="A3085" s="1477">
        <v>2905.0</v>
      </c>
      <c r="B3085" s="1478" t="s">
        <v>107</v>
      </c>
      <c r="C3085" s="907" t="s">
        <v>108</v>
      </c>
      <c r="D3085" s="907" t="s">
        <v>241</v>
      </c>
      <c r="E3085" s="908"/>
      <c r="F3085" s="912" t="s">
        <v>18194</v>
      </c>
      <c r="G3085" s="912" t="s">
        <v>18214</v>
      </c>
      <c r="H3085" s="912" t="s">
        <v>242</v>
      </c>
      <c r="I3085" s="2371">
        <v>45811.0</v>
      </c>
      <c r="J3085" s="2336">
        <v>45835.0</v>
      </c>
      <c r="K3085" s="912" t="s">
        <v>18196</v>
      </c>
      <c r="L3085" s="912"/>
      <c r="M3085" s="912" t="s">
        <v>18198</v>
      </c>
      <c r="N3085" s="912" t="s">
        <v>18199</v>
      </c>
      <c r="O3085" s="912"/>
      <c r="P3085" s="912" t="s">
        <v>18200</v>
      </c>
      <c r="Q3085" s="2372" t="str">
        <f> hyperlink(vlookup(lower(N3085),'File Links'!E:F, 2, FALSE), "LINK")</f>
        <v>LINK</v>
      </c>
      <c r="R3085" s="912" t="s">
        <v>18127</v>
      </c>
      <c r="S3085" s="912" t="s">
        <v>18128</v>
      </c>
      <c r="T3085" s="912"/>
      <c r="U3085" s="912" t="s">
        <v>18215</v>
      </c>
      <c r="V3085" s="912" t="s">
        <v>18129</v>
      </c>
      <c r="W3085" s="912"/>
      <c r="X3085" s="2373" t="str">
        <f> hyperlink(vlookup(lower(S3085),'File Links'!E:F, 2, FALSE), "LINK")</f>
        <v>LINK</v>
      </c>
      <c r="Y3085" s="912"/>
      <c r="Z3085" s="912" t="s">
        <v>940</v>
      </c>
      <c r="AA3085" s="912" t="s">
        <v>18202</v>
      </c>
      <c r="AB3085" s="912" t="s">
        <v>7257</v>
      </c>
      <c r="AC3085" s="912" t="s">
        <v>18203</v>
      </c>
      <c r="AD3085" s="912" t="s">
        <v>18216</v>
      </c>
      <c r="AE3085" s="912" t="s">
        <v>3714</v>
      </c>
      <c r="AF3085" s="2375">
        <v>139.0</v>
      </c>
      <c r="AG3085" s="2375">
        <v>0.26</v>
      </c>
      <c r="AH3085" s="912" t="s">
        <v>1249</v>
      </c>
      <c r="AI3085" s="912" t="s">
        <v>18217</v>
      </c>
      <c r="AJ3085" s="2375">
        <v>0.001</v>
      </c>
      <c r="AK3085" s="912" t="s">
        <v>128</v>
      </c>
      <c r="AL3085" s="912" t="s">
        <v>179</v>
      </c>
      <c r="AM3085" s="912" t="s">
        <v>130</v>
      </c>
      <c r="AN3085" s="912" t="s">
        <v>131</v>
      </c>
      <c r="AO3085" s="2375">
        <v>201.0</v>
      </c>
      <c r="AP3085" s="2375">
        <v>0.28</v>
      </c>
      <c r="AQ3085" s="912" t="s">
        <v>1249</v>
      </c>
      <c r="AR3085" s="912" t="s">
        <v>18218</v>
      </c>
      <c r="AS3085" s="2375">
        <v>0.001</v>
      </c>
      <c r="AT3085" s="912" t="s">
        <v>128</v>
      </c>
      <c r="AU3085" s="912" t="s">
        <v>179</v>
      </c>
      <c r="AV3085" s="912" t="s">
        <v>130</v>
      </c>
      <c r="AW3085" s="2376" t="s">
        <v>18205</v>
      </c>
      <c r="AX3085" s="912" t="s">
        <v>136</v>
      </c>
      <c r="AY3085" s="908"/>
      <c r="AZ3085" s="907" t="s">
        <v>1263</v>
      </c>
      <c r="BA3085" s="908"/>
    </row>
    <row r="3086">
      <c r="A3086" s="41">
        <v>2906.0</v>
      </c>
      <c r="B3086" s="126" t="s">
        <v>516</v>
      </c>
      <c r="C3086" s="59" t="s">
        <v>108</v>
      </c>
      <c r="D3086" s="59" t="s">
        <v>241</v>
      </c>
      <c r="F3086" s="65" t="s">
        <v>18194</v>
      </c>
      <c r="G3086" s="65" t="s">
        <v>18219</v>
      </c>
      <c r="H3086" s="65" t="s">
        <v>242</v>
      </c>
      <c r="I3086" s="526">
        <v>45811.0</v>
      </c>
      <c r="J3086" s="859"/>
      <c r="K3086" s="65" t="s">
        <v>18196</v>
      </c>
      <c r="L3086" s="65"/>
      <c r="M3086" s="65" t="s">
        <v>18198</v>
      </c>
      <c r="N3086" s="65" t="s">
        <v>18199</v>
      </c>
      <c r="O3086" s="65"/>
      <c r="P3086" s="65" t="s">
        <v>18200</v>
      </c>
      <c r="Q3086" s="2289" t="str">
        <f> hyperlink(vlookup(lower(N3086),'File Links'!E:F, 2, FALSE), "LINK")</f>
        <v>LINK</v>
      </c>
      <c r="R3086" s="65" t="s">
        <v>18127</v>
      </c>
      <c r="S3086" s="65" t="s">
        <v>18128</v>
      </c>
      <c r="T3086" s="65"/>
      <c r="U3086" s="65" t="s">
        <v>18220</v>
      </c>
      <c r="V3086" s="570" t="s">
        <v>18129</v>
      </c>
      <c r="W3086" s="1225"/>
      <c r="X3086" s="2290" t="str">
        <f> hyperlink(vlookup(lower(S3086),'File Links'!E:F, 2, FALSE), "LINK")</f>
        <v>LINK</v>
      </c>
      <c r="Y3086" s="65"/>
      <c r="Z3086" s="65" t="s">
        <v>940</v>
      </c>
      <c r="AA3086" s="65" t="s">
        <v>18202</v>
      </c>
      <c r="AB3086" s="65" t="s">
        <v>7257</v>
      </c>
      <c r="AC3086" s="65" t="s">
        <v>18203</v>
      </c>
      <c r="AD3086" s="65" t="s">
        <v>18221</v>
      </c>
      <c r="AE3086" s="65" t="s">
        <v>9212</v>
      </c>
      <c r="AF3086" s="65"/>
      <c r="AG3086" s="65" t="s">
        <v>131</v>
      </c>
      <c r="AH3086" s="65" t="s">
        <v>131</v>
      </c>
      <c r="AI3086" s="65" t="s">
        <v>18222</v>
      </c>
      <c r="AJ3086" s="333">
        <v>0.001</v>
      </c>
      <c r="AK3086" s="65" t="s">
        <v>128</v>
      </c>
      <c r="AL3086" s="65" t="s">
        <v>179</v>
      </c>
      <c r="AM3086" s="65" t="s">
        <v>130</v>
      </c>
      <c r="AN3086" s="65" t="s">
        <v>131</v>
      </c>
      <c r="AO3086" s="65"/>
      <c r="AP3086" s="65" t="s">
        <v>131</v>
      </c>
      <c r="AQ3086" s="65"/>
      <c r="AR3086" s="65" t="s">
        <v>18223</v>
      </c>
      <c r="AS3086" s="333">
        <v>0.001</v>
      </c>
      <c r="AT3086" s="65" t="s">
        <v>128</v>
      </c>
      <c r="AU3086" s="65" t="s">
        <v>179</v>
      </c>
      <c r="AV3086" s="65" t="s">
        <v>130</v>
      </c>
      <c r="AW3086" s="432" t="s">
        <v>18205</v>
      </c>
      <c r="AX3086" s="65" t="s">
        <v>136</v>
      </c>
      <c r="AZ3086" s="59" t="s">
        <v>7268</v>
      </c>
    </row>
    <row r="3087">
      <c r="A3087" s="41">
        <v>2907.0</v>
      </c>
      <c r="B3087" s="126" t="s">
        <v>516</v>
      </c>
      <c r="C3087" s="59" t="s">
        <v>108</v>
      </c>
      <c r="D3087" s="59" t="s">
        <v>241</v>
      </c>
      <c r="F3087" s="65" t="s">
        <v>18194</v>
      </c>
      <c r="G3087" s="65" t="s">
        <v>18224</v>
      </c>
      <c r="H3087" s="65" t="s">
        <v>242</v>
      </c>
      <c r="I3087" s="526">
        <v>45811.0</v>
      </c>
      <c r="J3087" s="859"/>
      <c r="K3087" s="65" t="s">
        <v>18196</v>
      </c>
      <c r="L3087" s="65"/>
      <c r="M3087" s="65" t="s">
        <v>18198</v>
      </c>
      <c r="N3087" s="65" t="s">
        <v>18199</v>
      </c>
      <c r="O3087" s="65"/>
      <c r="P3087" s="65" t="s">
        <v>18200</v>
      </c>
      <c r="Q3087" s="2289" t="str">
        <f> hyperlink(vlookup(lower(N3087),'File Links'!E:F, 2, FALSE), "LINK")</f>
        <v>LINK</v>
      </c>
      <c r="R3087" s="65" t="s">
        <v>18127</v>
      </c>
      <c r="S3087" s="65" t="s">
        <v>18128</v>
      </c>
      <c r="T3087" s="65"/>
      <c r="U3087" s="65" t="s">
        <v>18220</v>
      </c>
      <c r="V3087" s="570" t="s">
        <v>18129</v>
      </c>
      <c r="W3087" s="1225"/>
      <c r="X3087" s="2290" t="str">
        <f> hyperlink(vlookup(lower(S3087),'File Links'!E:F, 2, FALSE), "LINK")</f>
        <v>LINK</v>
      </c>
      <c r="Y3087" s="65"/>
      <c r="Z3087" s="65" t="s">
        <v>940</v>
      </c>
      <c r="AA3087" s="65" t="s">
        <v>18202</v>
      </c>
      <c r="AB3087" s="65" t="s">
        <v>7257</v>
      </c>
      <c r="AC3087" s="65" t="s">
        <v>18203</v>
      </c>
      <c r="AD3087" s="65" t="s">
        <v>18221</v>
      </c>
      <c r="AE3087" s="65" t="s">
        <v>9212</v>
      </c>
      <c r="AF3087" s="65"/>
      <c r="AG3087" s="65" t="s">
        <v>131</v>
      </c>
      <c r="AH3087" s="65" t="s">
        <v>131</v>
      </c>
      <c r="AI3087" s="65" t="s">
        <v>18225</v>
      </c>
      <c r="AJ3087" s="333">
        <v>0.001</v>
      </c>
      <c r="AK3087" s="65" t="s">
        <v>128</v>
      </c>
      <c r="AL3087" s="65" t="s">
        <v>179</v>
      </c>
      <c r="AM3087" s="65" t="s">
        <v>130</v>
      </c>
      <c r="AN3087" s="65" t="s">
        <v>131</v>
      </c>
      <c r="AO3087" s="65"/>
      <c r="AP3087" s="65" t="s">
        <v>131</v>
      </c>
      <c r="AQ3087" s="65"/>
      <c r="AR3087" s="65" t="s">
        <v>18226</v>
      </c>
      <c r="AS3087" s="333">
        <v>0.001</v>
      </c>
      <c r="AT3087" s="65" t="s">
        <v>128</v>
      </c>
      <c r="AU3087" s="65" t="s">
        <v>179</v>
      </c>
      <c r="AV3087" s="65" t="s">
        <v>130</v>
      </c>
      <c r="AW3087" s="432" t="s">
        <v>18205</v>
      </c>
      <c r="AX3087" s="65" t="s">
        <v>136</v>
      </c>
      <c r="AZ3087" s="59" t="s">
        <v>7268</v>
      </c>
    </row>
    <row r="3088">
      <c r="A3088" s="41">
        <v>2908.0</v>
      </c>
      <c r="B3088" s="126" t="s">
        <v>516</v>
      </c>
      <c r="C3088" s="59" t="s">
        <v>108</v>
      </c>
      <c r="D3088" s="59" t="s">
        <v>241</v>
      </c>
      <c r="F3088" s="65" t="s">
        <v>18194</v>
      </c>
      <c r="G3088" s="65" t="s">
        <v>18227</v>
      </c>
      <c r="H3088" s="65" t="s">
        <v>242</v>
      </c>
      <c r="I3088" s="526">
        <v>45811.0</v>
      </c>
      <c r="J3088" s="859"/>
      <c r="K3088" s="65" t="s">
        <v>18196</v>
      </c>
      <c r="L3088" s="65"/>
      <c r="M3088" s="65" t="s">
        <v>18198</v>
      </c>
      <c r="N3088" s="65" t="s">
        <v>18199</v>
      </c>
      <c r="O3088" s="65"/>
      <c r="P3088" s="65" t="s">
        <v>18200</v>
      </c>
      <c r="Q3088" s="2289" t="str">
        <f> hyperlink(vlookup(lower(N3088),'File Links'!E:F, 2, FALSE), "LINK")</f>
        <v>LINK</v>
      </c>
      <c r="R3088" s="65" t="s">
        <v>18127</v>
      </c>
      <c r="S3088" s="65" t="s">
        <v>18128</v>
      </c>
      <c r="T3088" s="65"/>
      <c r="U3088" s="65" t="s">
        <v>18220</v>
      </c>
      <c r="V3088" s="570" t="s">
        <v>18129</v>
      </c>
      <c r="W3088" s="1225"/>
      <c r="X3088" s="2290" t="str">
        <f> hyperlink(vlookup(lower(S3088),'File Links'!E:F, 2, FALSE), "LINK")</f>
        <v>LINK</v>
      </c>
      <c r="Y3088" s="65"/>
      <c r="Z3088" s="65" t="s">
        <v>940</v>
      </c>
      <c r="AA3088" s="65" t="s">
        <v>18202</v>
      </c>
      <c r="AB3088" s="65" t="s">
        <v>7257</v>
      </c>
      <c r="AC3088" s="65" t="s">
        <v>18203</v>
      </c>
      <c r="AD3088" s="65" t="s">
        <v>18221</v>
      </c>
      <c r="AE3088" s="65" t="s">
        <v>9212</v>
      </c>
      <c r="AF3088" s="65"/>
      <c r="AG3088" s="65" t="s">
        <v>131</v>
      </c>
      <c r="AH3088" s="65" t="s">
        <v>131</v>
      </c>
      <c r="AI3088" s="65" t="s">
        <v>18228</v>
      </c>
      <c r="AJ3088" s="333">
        <v>0.001</v>
      </c>
      <c r="AK3088" s="65" t="s">
        <v>128</v>
      </c>
      <c r="AL3088" s="65" t="s">
        <v>179</v>
      </c>
      <c r="AM3088" s="65" t="s">
        <v>130</v>
      </c>
      <c r="AN3088" s="65" t="s">
        <v>131</v>
      </c>
      <c r="AO3088" s="65"/>
      <c r="AP3088" s="65" t="s">
        <v>131</v>
      </c>
      <c r="AQ3088" s="65"/>
      <c r="AR3088" s="65" t="s">
        <v>18229</v>
      </c>
      <c r="AS3088" s="333">
        <v>0.001</v>
      </c>
      <c r="AT3088" s="65" t="s">
        <v>128</v>
      </c>
      <c r="AU3088" s="65" t="s">
        <v>179</v>
      </c>
      <c r="AV3088" s="65" t="s">
        <v>130</v>
      </c>
      <c r="AW3088" s="432" t="s">
        <v>18205</v>
      </c>
      <c r="AX3088" s="65" t="s">
        <v>136</v>
      </c>
      <c r="AZ3088" s="59" t="s">
        <v>7268</v>
      </c>
    </row>
    <row r="3089">
      <c r="A3089" s="41">
        <v>2909.0</v>
      </c>
      <c r="B3089" s="126" t="s">
        <v>516</v>
      </c>
      <c r="C3089" s="59" t="s">
        <v>108</v>
      </c>
      <c r="D3089" s="59" t="s">
        <v>241</v>
      </c>
      <c r="F3089" s="65" t="s">
        <v>18194</v>
      </c>
      <c r="G3089" s="65" t="s">
        <v>18230</v>
      </c>
      <c r="H3089" s="65" t="s">
        <v>242</v>
      </c>
      <c r="I3089" s="526">
        <v>45811.0</v>
      </c>
      <c r="J3089" s="859"/>
      <c r="K3089" s="65" t="s">
        <v>18196</v>
      </c>
      <c r="L3089" s="65"/>
      <c r="M3089" s="65" t="s">
        <v>18198</v>
      </c>
      <c r="N3089" s="65" t="s">
        <v>18199</v>
      </c>
      <c r="O3089" s="65"/>
      <c r="P3089" s="65" t="s">
        <v>18200</v>
      </c>
      <c r="Q3089" s="2289" t="str">
        <f> hyperlink(vlookup(lower(N3089),'File Links'!E:F, 2, FALSE), "LINK")</f>
        <v>LINK</v>
      </c>
      <c r="R3089" s="65" t="s">
        <v>18127</v>
      </c>
      <c r="S3089" s="65" t="s">
        <v>18128</v>
      </c>
      <c r="T3089" s="65"/>
      <c r="U3089" s="65" t="s">
        <v>18231</v>
      </c>
      <c r="V3089" s="570" t="s">
        <v>18129</v>
      </c>
      <c r="W3089" s="1225"/>
      <c r="X3089" s="2290" t="str">
        <f> hyperlink(vlookup(lower(S3089),'File Links'!E:F, 2, FALSE), "LINK")</f>
        <v>LINK</v>
      </c>
      <c r="Y3089" s="65"/>
      <c r="Z3089" s="65" t="s">
        <v>940</v>
      </c>
      <c r="AA3089" s="65" t="s">
        <v>18202</v>
      </c>
      <c r="AB3089" s="65" t="s">
        <v>7257</v>
      </c>
      <c r="AC3089" s="65" t="s">
        <v>18203</v>
      </c>
      <c r="AD3089" s="65" t="s">
        <v>18232</v>
      </c>
      <c r="AE3089" s="65" t="s">
        <v>7715</v>
      </c>
      <c r="AF3089" s="65"/>
      <c r="AG3089" s="65" t="s">
        <v>131</v>
      </c>
      <c r="AH3089" s="65" t="s">
        <v>131</v>
      </c>
      <c r="AI3089" s="65" t="s">
        <v>18233</v>
      </c>
      <c r="AJ3089" s="333">
        <v>0.001</v>
      </c>
      <c r="AK3089" s="65" t="s">
        <v>128</v>
      </c>
      <c r="AL3089" s="65" t="s">
        <v>179</v>
      </c>
      <c r="AM3089" s="65" t="s">
        <v>130</v>
      </c>
      <c r="AN3089" s="65" t="s">
        <v>131</v>
      </c>
      <c r="AO3089" s="65"/>
      <c r="AP3089" s="65" t="s">
        <v>131</v>
      </c>
      <c r="AQ3089" s="65"/>
      <c r="AR3089" s="65" t="s">
        <v>18234</v>
      </c>
      <c r="AS3089" s="333">
        <v>0.001</v>
      </c>
      <c r="AT3089" s="65" t="s">
        <v>128</v>
      </c>
      <c r="AU3089" s="65" t="s">
        <v>179</v>
      </c>
      <c r="AV3089" s="65" t="s">
        <v>130</v>
      </c>
      <c r="AW3089" s="432" t="s">
        <v>18205</v>
      </c>
      <c r="AX3089" s="65" t="s">
        <v>136</v>
      </c>
      <c r="AZ3089" s="59" t="s">
        <v>7268</v>
      </c>
    </row>
    <row r="3090">
      <c r="A3090" s="41">
        <v>2910.0</v>
      </c>
      <c r="B3090" s="126" t="s">
        <v>516</v>
      </c>
      <c r="C3090" s="59" t="s">
        <v>108</v>
      </c>
      <c r="D3090" s="59" t="s">
        <v>241</v>
      </c>
      <c r="F3090" s="65" t="s">
        <v>18194</v>
      </c>
      <c r="G3090" s="65" t="s">
        <v>18235</v>
      </c>
      <c r="H3090" s="65" t="s">
        <v>242</v>
      </c>
      <c r="I3090" s="526">
        <v>45811.0</v>
      </c>
      <c r="J3090" s="859"/>
      <c r="K3090" s="65" t="s">
        <v>18196</v>
      </c>
      <c r="L3090" s="65"/>
      <c r="M3090" s="65" t="s">
        <v>18198</v>
      </c>
      <c r="N3090" s="65" t="s">
        <v>18199</v>
      </c>
      <c r="O3090" s="65"/>
      <c r="P3090" s="65" t="s">
        <v>18200</v>
      </c>
      <c r="Q3090" s="2289" t="str">
        <f> hyperlink(vlookup(lower(N3090),'File Links'!E:F, 2, FALSE), "LINK")</f>
        <v>LINK</v>
      </c>
      <c r="R3090" s="65" t="s">
        <v>18127</v>
      </c>
      <c r="S3090" s="65" t="s">
        <v>18128</v>
      </c>
      <c r="T3090" s="65"/>
      <c r="U3090" s="65" t="s">
        <v>18231</v>
      </c>
      <c r="V3090" s="570" t="s">
        <v>18129</v>
      </c>
      <c r="W3090" s="1225"/>
      <c r="X3090" s="2290" t="str">
        <f> hyperlink(vlookup(lower(S3090),'File Links'!E:F, 2, FALSE), "LINK")</f>
        <v>LINK</v>
      </c>
      <c r="Y3090" s="65"/>
      <c r="Z3090" s="65" t="s">
        <v>940</v>
      </c>
      <c r="AA3090" s="65" t="s">
        <v>18202</v>
      </c>
      <c r="AB3090" s="65" t="s">
        <v>7257</v>
      </c>
      <c r="AC3090" s="65" t="s">
        <v>18203</v>
      </c>
      <c r="AD3090" s="65" t="s">
        <v>18232</v>
      </c>
      <c r="AE3090" s="65" t="s">
        <v>7715</v>
      </c>
      <c r="AF3090" s="65"/>
      <c r="AG3090" s="65" t="s">
        <v>131</v>
      </c>
      <c r="AH3090" s="65" t="s">
        <v>131</v>
      </c>
      <c r="AI3090" s="65" t="s">
        <v>18236</v>
      </c>
      <c r="AJ3090" s="333">
        <v>0.001</v>
      </c>
      <c r="AK3090" s="65" t="s">
        <v>128</v>
      </c>
      <c r="AL3090" s="65" t="s">
        <v>179</v>
      </c>
      <c r="AM3090" s="65" t="s">
        <v>130</v>
      </c>
      <c r="AN3090" s="65" t="s">
        <v>131</v>
      </c>
      <c r="AO3090" s="65"/>
      <c r="AP3090" s="65" t="s">
        <v>131</v>
      </c>
      <c r="AQ3090" s="65"/>
      <c r="AR3090" s="65" t="s">
        <v>18237</v>
      </c>
      <c r="AS3090" s="333">
        <v>0.001</v>
      </c>
      <c r="AT3090" s="65" t="s">
        <v>128</v>
      </c>
      <c r="AU3090" s="65" t="s">
        <v>179</v>
      </c>
      <c r="AV3090" s="65" t="s">
        <v>130</v>
      </c>
      <c r="AW3090" s="432" t="s">
        <v>18205</v>
      </c>
      <c r="AX3090" s="65" t="s">
        <v>136</v>
      </c>
      <c r="AZ3090" s="59" t="s">
        <v>7268</v>
      </c>
    </row>
    <row r="3091">
      <c r="A3091" s="41">
        <v>2911.0</v>
      </c>
      <c r="B3091" s="126" t="s">
        <v>516</v>
      </c>
      <c r="C3091" s="59" t="s">
        <v>108</v>
      </c>
      <c r="D3091" s="59" t="s">
        <v>241</v>
      </c>
      <c r="F3091" s="65" t="s">
        <v>18194</v>
      </c>
      <c r="G3091" s="65" t="s">
        <v>18238</v>
      </c>
      <c r="H3091" s="65" t="s">
        <v>242</v>
      </c>
      <c r="I3091" s="526">
        <v>45811.0</v>
      </c>
      <c r="J3091" s="859"/>
      <c r="K3091" s="65" t="s">
        <v>18196</v>
      </c>
      <c r="L3091" s="65"/>
      <c r="M3091" s="65" t="s">
        <v>18198</v>
      </c>
      <c r="N3091" s="65" t="s">
        <v>18199</v>
      </c>
      <c r="O3091" s="65"/>
      <c r="P3091" s="65" t="s">
        <v>18200</v>
      </c>
      <c r="Q3091" s="2289" t="str">
        <f> hyperlink(vlookup(lower(N3091),'File Links'!E:F, 2, FALSE), "LINK")</f>
        <v>LINK</v>
      </c>
      <c r="R3091" s="65" t="s">
        <v>18127</v>
      </c>
      <c r="S3091" s="65" t="s">
        <v>18128</v>
      </c>
      <c r="T3091" s="65"/>
      <c r="U3091" s="65" t="s">
        <v>18239</v>
      </c>
      <c r="V3091" s="570" t="s">
        <v>18129</v>
      </c>
      <c r="W3091" s="1225"/>
      <c r="X3091" s="2290" t="str">
        <f> hyperlink(vlookup(lower(S3091),'File Links'!E:F, 2, FALSE), "LINK")</f>
        <v>LINK</v>
      </c>
      <c r="Y3091" s="65"/>
      <c r="Z3091" s="65" t="s">
        <v>940</v>
      </c>
      <c r="AA3091" s="65" t="s">
        <v>18202</v>
      </c>
      <c r="AB3091" s="65" t="s">
        <v>7257</v>
      </c>
      <c r="AC3091" s="65" t="s">
        <v>18203</v>
      </c>
      <c r="AD3091" s="65" t="s">
        <v>18240</v>
      </c>
      <c r="AE3091" s="65" t="s">
        <v>2434</v>
      </c>
      <c r="AF3091" s="65"/>
      <c r="AG3091" s="333">
        <v>0.25</v>
      </c>
      <c r="AH3091" s="65" t="s">
        <v>1249</v>
      </c>
      <c r="AI3091" s="65" t="s">
        <v>18241</v>
      </c>
      <c r="AJ3091" s="333">
        <v>0.001</v>
      </c>
      <c r="AK3091" s="65" t="s">
        <v>128</v>
      </c>
      <c r="AL3091" s="65" t="s">
        <v>179</v>
      </c>
      <c r="AM3091" s="65" t="s">
        <v>130</v>
      </c>
      <c r="AN3091" s="65" t="s">
        <v>131</v>
      </c>
      <c r="AO3091" s="65"/>
      <c r="AP3091" s="333">
        <v>0.17</v>
      </c>
      <c r="AQ3091" s="65" t="s">
        <v>1249</v>
      </c>
      <c r="AR3091" s="65" t="s">
        <v>18242</v>
      </c>
      <c r="AS3091" s="333">
        <v>0.001</v>
      </c>
      <c r="AT3091" s="65" t="s">
        <v>128</v>
      </c>
      <c r="AU3091" s="65" t="s">
        <v>179</v>
      </c>
      <c r="AV3091" s="65" t="s">
        <v>130</v>
      </c>
      <c r="AW3091" s="432" t="s">
        <v>18205</v>
      </c>
      <c r="AX3091" s="65" t="s">
        <v>136</v>
      </c>
      <c r="AZ3091" s="59" t="s">
        <v>7268</v>
      </c>
    </row>
    <row r="3092">
      <c r="A3092" s="41">
        <v>2912.0</v>
      </c>
      <c r="B3092" s="126" t="s">
        <v>516</v>
      </c>
      <c r="C3092" s="59" t="s">
        <v>108</v>
      </c>
      <c r="D3092" s="59" t="s">
        <v>241</v>
      </c>
      <c r="F3092" s="65" t="s">
        <v>18194</v>
      </c>
      <c r="G3092" s="65" t="s">
        <v>18243</v>
      </c>
      <c r="H3092" s="65" t="s">
        <v>242</v>
      </c>
      <c r="I3092" s="526">
        <v>45811.0</v>
      </c>
      <c r="J3092" s="859"/>
      <c r="K3092" s="65" t="s">
        <v>18196</v>
      </c>
      <c r="L3092" s="65"/>
      <c r="M3092" s="65" t="s">
        <v>18198</v>
      </c>
      <c r="N3092" s="65" t="s">
        <v>18199</v>
      </c>
      <c r="O3092" s="65"/>
      <c r="P3092" s="65" t="s">
        <v>18200</v>
      </c>
      <c r="Q3092" s="2289" t="str">
        <f> hyperlink(vlookup(lower(N3092),'File Links'!E:F, 2, FALSE), "LINK")</f>
        <v>LINK</v>
      </c>
      <c r="R3092" s="65" t="s">
        <v>18127</v>
      </c>
      <c r="S3092" s="65" t="s">
        <v>18128</v>
      </c>
      <c r="T3092" s="65"/>
      <c r="U3092" s="65" t="s">
        <v>18244</v>
      </c>
      <c r="V3092" s="570" t="s">
        <v>18129</v>
      </c>
      <c r="W3092" s="1225"/>
      <c r="X3092" s="2290" t="str">
        <f> hyperlink(vlookup(lower(S3092),'File Links'!E:F, 2, FALSE), "LINK")</f>
        <v>LINK</v>
      </c>
      <c r="Y3092" s="65"/>
      <c r="Z3092" s="65" t="s">
        <v>940</v>
      </c>
      <c r="AA3092" s="65" t="s">
        <v>18202</v>
      </c>
      <c r="AB3092" s="65" t="s">
        <v>7257</v>
      </c>
      <c r="AC3092" s="65" t="s">
        <v>18203</v>
      </c>
      <c r="AD3092" s="65" t="s">
        <v>18240</v>
      </c>
      <c r="AE3092" s="65" t="s">
        <v>2434</v>
      </c>
      <c r="AF3092" s="65"/>
      <c r="AG3092" s="333">
        <v>0.25</v>
      </c>
      <c r="AH3092" s="65" t="s">
        <v>1249</v>
      </c>
      <c r="AI3092" s="65" t="s">
        <v>18245</v>
      </c>
      <c r="AJ3092" s="333">
        <v>0.05</v>
      </c>
      <c r="AK3092" s="65" t="s">
        <v>165</v>
      </c>
      <c r="AL3092" s="65" t="s">
        <v>179</v>
      </c>
      <c r="AM3092" s="65" t="s">
        <v>130</v>
      </c>
      <c r="AN3092" s="65" t="s">
        <v>131</v>
      </c>
      <c r="AO3092" s="65"/>
      <c r="AP3092" s="333">
        <v>0.17</v>
      </c>
      <c r="AQ3092" s="65" t="s">
        <v>1249</v>
      </c>
      <c r="AR3092" s="65" t="s">
        <v>18246</v>
      </c>
      <c r="AS3092" s="333">
        <v>0.001</v>
      </c>
      <c r="AT3092" s="65" t="s">
        <v>128</v>
      </c>
      <c r="AU3092" s="65" t="s">
        <v>179</v>
      </c>
      <c r="AV3092" s="65" t="s">
        <v>130</v>
      </c>
      <c r="AW3092" s="432" t="s">
        <v>18205</v>
      </c>
      <c r="AX3092" s="65" t="s">
        <v>136</v>
      </c>
      <c r="AZ3092" s="59" t="s">
        <v>7268</v>
      </c>
    </row>
    <row r="3093">
      <c r="A3093" s="41">
        <v>2913.0</v>
      </c>
      <c r="B3093" s="126" t="s">
        <v>516</v>
      </c>
      <c r="C3093" s="59" t="s">
        <v>108</v>
      </c>
      <c r="D3093" s="59" t="s">
        <v>241</v>
      </c>
      <c r="F3093" s="65" t="s">
        <v>18194</v>
      </c>
      <c r="G3093" s="65" t="s">
        <v>18247</v>
      </c>
      <c r="H3093" s="65" t="s">
        <v>242</v>
      </c>
      <c r="I3093" s="526">
        <v>45811.0</v>
      </c>
      <c r="J3093" s="859"/>
      <c r="K3093" s="65" t="s">
        <v>18196</v>
      </c>
      <c r="L3093" s="65"/>
      <c r="M3093" s="65" t="s">
        <v>18198</v>
      </c>
      <c r="N3093" s="65" t="s">
        <v>18199</v>
      </c>
      <c r="O3093" s="65"/>
      <c r="P3093" s="65" t="s">
        <v>18200</v>
      </c>
      <c r="Q3093" s="2289" t="str">
        <f> hyperlink(vlookup(lower(N3093),'File Links'!E:F, 2, FALSE), "LINK")</f>
        <v>LINK</v>
      </c>
      <c r="R3093" s="65" t="s">
        <v>18127</v>
      </c>
      <c r="S3093" s="65" t="s">
        <v>18128</v>
      </c>
      <c r="T3093" s="65"/>
      <c r="U3093" s="65" t="s">
        <v>18248</v>
      </c>
      <c r="V3093" s="570" t="s">
        <v>18129</v>
      </c>
      <c r="W3093" s="1225"/>
      <c r="X3093" s="2290" t="str">
        <f> hyperlink(vlookup(lower(S3093),'File Links'!E:F, 2, FALSE), "LINK")</f>
        <v>LINK</v>
      </c>
      <c r="Y3093" s="65"/>
      <c r="Z3093" s="65" t="s">
        <v>940</v>
      </c>
      <c r="AA3093" s="65" t="s">
        <v>18202</v>
      </c>
      <c r="AB3093" s="65" t="s">
        <v>7257</v>
      </c>
      <c r="AC3093" s="65" t="s">
        <v>18203</v>
      </c>
      <c r="AD3093" s="65" t="s">
        <v>18240</v>
      </c>
      <c r="AE3093" s="65" t="s">
        <v>2434</v>
      </c>
      <c r="AF3093" s="65"/>
      <c r="AG3093" s="333">
        <v>0.25</v>
      </c>
      <c r="AH3093" s="65" t="s">
        <v>1249</v>
      </c>
      <c r="AI3093" s="65" t="s">
        <v>18249</v>
      </c>
      <c r="AJ3093" s="333">
        <v>0.11</v>
      </c>
      <c r="AK3093" s="65" t="s">
        <v>165</v>
      </c>
      <c r="AL3093" s="65" t="s">
        <v>179</v>
      </c>
      <c r="AM3093" s="65" t="s">
        <v>130</v>
      </c>
      <c r="AN3093" s="65" t="s">
        <v>131</v>
      </c>
      <c r="AO3093" s="65"/>
      <c r="AP3093" s="333">
        <v>0.17</v>
      </c>
      <c r="AQ3093" s="65" t="s">
        <v>1249</v>
      </c>
      <c r="AR3093" s="65" t="s">
        <v>18250</v>
      </c>
      <c r="AS3093" s="333">
        <v>0.16</v>
      </c>
      <c r="AT3093" s="65" t="s">
        <v>165</v>
      </c>
      <c r="AU3093" s="65" t="s">
        <v>179</v>
      </c>
      <c r="AV3093" s="65" t="s">
        <v>130</v>
      </c>
      <c r="AW3093" s="432" t="s">
        <v>18205</v>
      </c>
      <c r="AX3093" s="65" t="s">
        <v>136</v>
      </c>
      <c r="AZ3093" s="59" t="s">
        <v>7268</v>
      </c>
    </row>
    <row r="3094">
      <c r="A3094" s="800">
        <v>2920.0</v>
      </c>
      <c r="B3094" s="2378" t="s">
        <v>145</v>
      </c>
      <c r="C3094" s="2370" t="s">
        <v>108</v>
      </c>
      <c r="D3094" s="2370" t="s">
        <v>241</v>
      </c>
      <c r="E3094" s="2279"/>
      <c r="F3094" s="2379" t="s">
        <v>18251</v>
      </c>
      <c r="G3094" s="2379" t="s">
        <v>18252</v>
      </c>
      <c r="H3094" s="2379" t="s">
        <v>242</v>
      </c>
      <c r="I3094" s="2380">
        <v>45812.0</v>
      </c>
      <c r="J3094" s="1795">
        <v>45835.0</v>
      </c>
      <c r="K3094" s="2379" t="s">
        <v>18253</v>
      </c>
      <c r="L3094" s="2379"/>
      <c r="M3094" s="2379" t="s">
        <v>18254</v>
      </c>
      <c r="N3094" s="2379" t="s">
        <v>18255</v>
      </c>
      <c r="O3094" s="2378">
        <v>1.0</v>
      </c>
      <c r="P3094" s="2379" t="s">
        <v>18256</v>
      </c>
      <c r="Q3094" s="2381" t="str">
        <f> hyperlink(vlookup(lower(N3094),'File Links'!E:F, 2, FALSE), "LINK")</f>
        <v>LINK</v>
      </c>
      <c r="R3094" s="2379" t="s">
        <v>17830</v>
      </c>
      <c r="S3094" s="2379" t="s">
        <v>17831</v>
      </c>
      <c r="T3094" s="2379"/>
      <c r="U3094" s="2378" t="s">
        <v>3841</v>
      </c>
      <c r="V3094" s="2379" t="s">
        <v>17832</v>
      </c>
      <c r="W3094" s="2378" t="s">
        <v>1115</v>
      </c>
      <c r="X3094" s="2382" t="str">
        <f> hyperlink(vlookup(lower(S3094),'File Links'!E:F, 2, FALSE), "LINK")</f>
        <v>LINK</v>
      </c>
      <c r="Y3094" s="2379"/>
      <c r="Z3094" s="2379" t="s">
        <v>940</v>
      </c>
      <c r="AA3094" s="2379" t="s">
        <v>18257</v>
      </c>
      <c r="AB3094" s="2379" t="s">
        <v>7257</v>
      </c>
      <c r="AC3094" s="2379" t="s">
        <v>18258</v>
      </c>
      <c r="AD3094" s="2379" t="s">
        <v>18259</v>
      </c>
      <c r="AE3094" s="2379" t="s">
        <v>500</v>
      </c>
      <c r="AF3094" s="2383">
        <v>184.0</v>
      </c>
      <c r="AG3094" s="2379" t="s">
        <v>131</v>
      </c>
      <c r="AH3094" s="2379" t="s">
        <v>131</v>
      </c>
      <c r="AI3094" s="2379" t="s">
        <v>18260</v>
      </c>
      <c r="AJ3094" s="2379" t="s">
        <v>131</v>
      </c>
      <c r="AK3094" s="65" t="s">
        <v>131</v>
      </c>
      <c r="AL3094" s="2379" t="s">
        <v>179</v>
      </c>
      <c r="AM3094" s="2379" t="s">
        <v>130</v>
      </c>
      <c r="AN3094" s="2379" t="s">
        <v>131</v>
      </c>
      <c r="AO3094" s="2383">
        <v>604.0</v>
      </c>
      <c r="AP3094" s="2383">
        <v>0.32</v>
      </c>
      <c r="AQ3094" s="2379" t="s">
        <v>166</v>
      </c>
      <c r="AR3094" s="2379" t="s">
        <v>18261</v>
      </c>
      <c r="AS3094" s="2383">
        <v>0.001</v>
      </c>
      <c r="AT3094" s="2379" t="s">
        <v>128</v>
      </c>
      <c r="AU3094" s="2379" t="s">
        <v>179</v>
      </c>
      <c r="AV3094" s="2379" t="s">
        <v>130</v>
      </c>
      <c r="AW3094" s="2384" t="s">
        <v>18262</v>
      </c>
      <c r="AX3094" s="2379" t="s">
        <v>136</v>
      </c>
      <c r="AY3094" s="2279"/>
      <c r="AZ3094" s="2370" t="s">
        <v>807</v>
      </c>
      <c r="BA3094" s="2279"/>
    </row>
    <row r="3095">
      <c r="A3095" s="41">
        <v>2995.0</v>
      </c>
      <c r="B3095" s="126" t="s">
        <v>107</v>
      </c>
      <c r="C3095" s="59" t="s">
        <v>108</v>
      </c>
      <c r="D3095" s="59" t="s">
        <v>15410</v>
      </c>
      <c r="F3095" s="65" t="s">
        <v>18251</v>
      </c>
      <c r="G3095" s="156" t="s">
        <v>18252</v>
      </c>
      <c r="H3095" s="156" t="s">
        <v>17956</v>
      </c>
      <c r="I3095" s="149">
        <v>45331.0</v>
      </c>
      <c r="J3095" s="2341">
        <v>45835.0</v>
      </c>
      <c r="K3095" s="65"/>
      <c r="L3095" s="126" t="s">
        <v>18263</v>
      </c>
      <c r="M3095" s="156" t="s">
        <v>18254</v>
      </c>
      <c r="N3095" s="156" t="s">
        <v>18255</v>
      </c>
      <c r="O3095" s="333">
        <v>1.0</v>
      </c>
      <c r="P3095" s="156" t="s">
        <v>18256</v>
      </c>
      <c r="Q3095" s="2139" t="str">
        <f> hyperlink(vlookup(lower(N3095),'File Links'!E:F, 2, FALSE), "LINK")</f>
        <v>LINK</v>
      </c>
      <c r="R3095" s="156" t="s">
        <v>17830</v>
      </c>
      <c r="S3095" s="156" t="s">
        <v>17831</v>
      </c>
      <c r="T3095" s="65"/>
      <c r="U3095" s="333">
        <v>2.0</v>
      </c>
      <c r="V3095" s="156" t="s">
        <v>17832</v>
      </c>
      <c r="W3095" s="1793" t="s">
        <v>1115</v>
      </c>
      <c r="X3095" s="2291" t="str">
        <f> hyperlink(vlookup(lower(S3095),'File Links'!E:F, 2, FALSE), "LINK")</f>
        <v>LINK</v>
      </c>
      <c r="Y3095" s="65"/>
      <c r="Z3095" s="156" t="s">
        <v>940</v>
      </c>
      <c r="AA3095" s="156" t="s">
        <v>18257</v>
      </c>
      <c r="AB3095" s="156" t="s">
        <v>7257</v>
      </c>
      <c r="AC3095" s="156" t="s">
        <v>18258</v>
      </c>
      <c r="AD3095" s="65" t="s">
        <v>18264</v>
      </c>
      <c r="AE3095" s="333">
        <v>3.0</v>
      </c>
      <c r="AF3095" s="333">
        <v>184.0</v>
      </c>
      <c r="AG3095" s="2379" t="s">
        <v>131</v>
      </c>
      <c r="AH3095" s="2379" t="s">
        <v>131</v>
      </c>
      <c r="AI3095" s="2379" t="s">
        <v>18260</v>
      </c>
      <c r="AJ3095" s="2379" t="s">
        <v>131</v>
      </c>
      <c r="AK3095" s="65" t="s">
        <v>165</v>
      </c>
      <c r="AL3095" s="65" t="s">
        <v>179</v>
      </c>
      <c r="AM3095" s="65" t="s">
        <v>130</v>
      </c>
      <c r="AN3095" s="65"/>
      <c r="AO3095" s="333">
        <v>604.0</v>
      </c>
      <c r="AP3095" s="333">
        <v>0.32</v>
      </c>
      <c r="AQ3095" s="65" t="s">
        <v>166</v>
      </c>
      <c r="AR3095" s="65" t="s">
        <v>3714</v>
      </c>
      <c r="AS3095" s="756">
        <v>0.001</v>
      </c>
      <c r="AT3095" s="201" t="s">
        <v>128</v>
      </c>
      <c r="AU3095" s="65" t="s">
        <v>179</v>
      </c>
      <c r="AV3095" s="65" t="s">
        <v>130</v>
      </c>
      <c r="AW3095" s="432" t="s">
        <v>18265</v>
      </c>
      <c r="AX3095" s="65" t="s">
        <v>136</v>
      </c>
      <c r="AZ3095" s="196" t="s">
        <v>807</v>
      </c>
    </row>
    <row r="3096">
      <c r="A3096" s="41">
        <v>2921.0</v>
      </c>
      <c r="B3096" s="126" t="s">
        <v>516</v>
      </c>
      <c r="C3096" s="59" t="s">
        <v>108</v>
      </c>
      <c r="D3096" s="59" t="s">
        <v>241</v>
      </c>
      <c r="F3096" s="65" t="s">
        <v>18251</v>
      </c>
      <c r="G3096" s="65" t="s">
        <v>18266</v>
      </c>
      <c r="H3096" s="65" t="s">
        <v>242</v>
      </c>
      <c r="I3096" s="526">
        <v>45812.0</v>
      </c>
      <c r="J3096" s="859"/>
      <c r="K3096" s="65" t="s">
        <v>18267</v>
      </c>
      <c r="L3096" s="65"/>
      <c r="M3096" s="65" t="s">
        <v>18254</v>
      </c>
      <c r="N3096" s="65" t="s">
        <v>18255</v>
      </c>
      <c r="O3096" s="65"/>
      <c r="P3096" s="570" t="s">
        <v>18256</v>
      </c>
      <c r="Q3096" s="2289" t="str">
        <f> hyperlink(vlookup(lower(N3096),'File Links'!E:F, 2, FALSE), "LINK")</f>
        <v>LINK</v>
      </c>
      <c r="R3096" s="65" t="s">
        <v>17830</v>
      </c>
      <c r="S3096" s="65" t="s">
        <v>17831</v>
      </c>
      <c r="T3096" s="65"/>
      <c r="U3096" s="65" t="s">
        <v>4419</v>
      </c>
      <c r="V3096" s="570" t="s">
        <v>17832</v>
      </c>
      <c r="W3096" s="1225"/>
      <c r="X3096" s="2290" t="str">
        <f> hyperlink(vlookup(lower(S3096),'File Links'!E:F, 2, FALSE), "LINK")</f>
        <v>LINK</v>
      </c>
      <c r="Y3096" s="65"/>
      <c r="Z3096" s="65" t="s">
        <v>940</v>
      </c>
      <c r="AA3096" s="65" t="s">
        <v>18257</v>
      </c>
      <c r="AB3096" s="65" t="s">
        <v>7257</v>
      </c>
      <c r="AC3096" s="65" t="s">
        <v>18258</v>
      </c>
      <c r="AD3096" s="65" t="s">
        <v>18259</v>
      </c>
      <c r="AE3096" s="65" t="s">
        <v>500</v>
      </c>
      <c r="AF3096" s="333">
        <v>184.0</v>
      </c>
      <c r="AG3096" s="65" t="s">
        <v>131</v>
      </c>
      <c r="AH3096" s="65" t="s">
        <v>131</v>
      </c>
      <c r="AI3096" s="65" t="s">
        <v>18268</v>
      </c>
      <c r="AJ3096" s="65" t="s">
        <v>131</v>
      </c>
      <c r="AK3096" s="65" t="s">
        <v>165</v>
      </c>
      <c r="AL3096" s="65" t="s">
        <v>179</v>
      </c>
      <c r="AM3096" s="65" t="s">
        <v>130</v>
      </c>
      <c r="AN3096" s="65" t="s">
        <v>131</v>
      </c>
      <c r="AO3096" s="333">
        <v>604.0</v>
      </c>
      <c r="AP3096" s="333">
        <v>0.05</v>
      </c>
      <c r="AQ3096" s="65" t="s">
        <v>166</v>
      </c>
      <c r="AR3096" s="65" t="s">
        <v>18269</v>
      </c>
      <c r="AS3096" s="333">
        <v>0.584</v>
      </c>
      <c r="AT3096" s="65" t="s">
        <v>165</v>
      </c>
      <c r="AU3096" s="65" t="s">
        <v>179</v>
      </c>
      <c r="AV3096" s="65" t="s">
        <v>130</v>
      </c>
      <c r="AW3096" s="432" t="s">
        <v>18262</v>
      </c>
      <c r="AX3096" s="65" t="s">
        <v>136</v>
      </c>
      <c r="AZ3096" s="59" t="s">
        <v>7268</v>
      </c>
    </row>
    <row r="3097">
      <c r="A3097" s="41">
        <v>2922.0</v>
      </c>
      <c r="B3097" s="126" t="s">
        <v>516</v>
      </c>
      <c r="C3097" s="59" t="s">
        <v>108</v>
      </c>
      <c r="D3097" s="59" t="s">
        <v>241</v>
      </c>
      <c r="F3097" s="65" t="s">
        <v>18251</v>
      </c>
      <c r="G3097" s="65" t="s">
        <v>18270</v>
      </c>
      <c r="H3097" s="65" t="s">
        <v>242</v>
      </c>
      <c r="I3097" s="526">
        <v>45812.0</v>
      </c>
      <c r="J3097" s="859"/>
      <c r="K3097" s="65" t="s">
        <v>18271</v>
      </c>
      <c r="L3097" s="65"/>
      <c r="M3097" s="65" t="s">
        <v>18254</v>
      </c>
      <c r="N3097" s="65" t="s">
        <v>18255</v>
      </c>
      <c r="O3097" s="65"/>
      <c r="P3097" s="570" t="s">
        <v>18256</v>
      </c>
      <c r="Q3097" s="2289" t="str">
        <f> hyperlink(vlookup(lower(N3097),'File Links'!E:F, 2, FALSE), "LINK")</f>
        <v>LINK</v>
      </c>
      <c r="R3097" s="65" t="s">
        <v>17830</v>
      </c>
      <c r="S3097" s="65" t="s">
        <v>17831</v>
      </c>
      <c r="T3097" s="65"/>
      <c r="U3097" s="65" t="s">
        <v>4419</v>
      </c>
      <c r="V3097" s="570" t="s">
        <v>17832</v>
      </c>
      <c r="W3097" s="1225"/>
      <c r="X3097" s="2290" t="str">
        <f> hyperlink(vlookup(lower(S3097),'File Links'!E:F, 2, FALSE), "LINK")</f>
        <v>LINK</v>
      </c>
      <c r="Y3097" s="65"/>
      <c r="Z3097" s="65" t="s">
        <v>940</v>
      </c>
      <c r="AA3097" s="65" t="s">
        <v>18257</v>
      </c>
      <c r="AB3097" s="65" t="s">
        <v>7257</v>
      </c>
      <c r="AC3097" s="65" t="s">
        <v>18258</v>
      </c>
      <c r="AD3097" s="65" t="s">
        <v>18259</v>
      </c>
      <c r="AE3097" s="65" t="s">
        <v>500</v>
      </c>
      <c r="AF3097" s="333">
        <v>184.0</v>
      </c>
      <c r="AG3097" s="65" t="s">
        <v>131</v>
      </c>
      <c r="AH3097" s="65" t="s">
        <v>131</v>
      </c>
      <c r="AI3097" s="65" t="s">
        <v>18272</v>
      </c>
      <c r="AJ3097" s="65" t="s">
        <v>131</v>
      </c>
      <c r="AK3097" s="65" t="s">
        <v>165</v>
      </c>
      <c r="AL3097" s="65" t="s">
        <v>179</v>
      </c>
      <c r="AM3097" s="65" t="s">
        <v>130</v>
      </c>
      <c r="AN3097" s="65" t="s">
        <v>131</v>
      </c>
      <c r="AO3097" s="333">
        <v>604.0</v>
      </c>
      <c r="AP3097" s="333">
        <v>0.26</v>
      </c>
      <c r="AQ3097" s="65" t="s">
        <v>166</v>
      </c>
      <c r="AR3097" s="65" t="s">
        <v>18273</v>
      </c>
      <c r="AS3097" s="333">
        <v>0.009</v>
      </c>
      <c r="AT3097" s="65" t="s">
        <v>165</v>
      </c>
      <c r="AU3097" s="65" t="s">
        <v>179</v>
      </c>
      <c r="AV3097" s="65" t="s">
        <v>130</v>
      </c>
      <c r="AW3097" s="432" t="s">
        <v>18262</v>
      </c>
      <c r="AX3097" s="65" t="s">
        <v>136</v>
      </c>
      <c r="AZ3097" s="59" t="s">
        <v>7268</v>
      </c>
    </row>
    <row r="3098">
      <c r="A3098" s="41">
        <v>2923.0</v>
      </c>
      <c r="B3098" s="126" t="s">
        <v>516</v>
      </c>
      <c r="C3098" s="59" t="s">
        <v>108</v>
      </c>
      <c r="D3098" s="59" t="s">
        <v>241</v>
      </c>
      <c r="F3098" s="65" t="s">
        <v>18251</v>
      </c>
      <c r="G3098" s="65" t="s">
        <v>18274</v>
      </c>
      <c r="H3098" s="65" t="s">
        <v>242</v>
      </c>
      <c r="I3098" s="526">
        <v>45812.0</v>
      </c>
      <c r="J3098" s="859"/>
      <c r="K3098" s="65" t="s">
        <v>18275</v>
      </c>
      <c r="L3098" s="65"/>
      <c r="M3098" s="65" t="s">
        <v>18254</v>
      </c>
      <c r="N3098" s="65" t="s">
        <v>18255</v>
      </c>
      <c r="O3098" s="65"/>
      <c r="P3098" s="570" t="s">
        <v>18256</v>
      </c>
      <c r="Q3098" s="2289" t="str">
        <f> hyperlink(vlookup(lower(N3098),'File Links'!E:F, 2, FALSE), "LINK")</f>
        <v>LINK</v>
      </c>
      <c r="R3098" s="65" t="s">
        <v>17830</v>
      </c>
      <c r="S3098" s="65" t="s">
        <v>17831</v>
      </c>
      <c r="T3098" s="65"/>
      <c r="U3098" s="65" t="s">
        <v>4419</v>
      </c>
      <c r="V3098" s="570" t="s">
        <v>17832</v>
      </c>
      <c r="W3098" s="1225"/>
      <c r="X3098" s="2290" t="str">
        <f> hyperlink(vlookup(lower(S3098),'File Links'!E:F, 2, FALSE), "LINK")</f>
        <v>LINK</v>
      </c>
      <c r="Y3098" s="65"/>
      <c r="Z3098" s="65" t="s">
        <v>940</v>
      </c>
      <c r="AA3098" s="65" t="s">
        <v>18257</v>
      </c>
      <c r="AB3098" s="65" t="s">
        <v>7257</v>
      </c>
      <c r="AC3098" s="65" t="s">
        <v>18258</v>
      </c>
      <c r="AD3098" s="65" t="s">
        <v>18259</v>
      </c>
      <c r="AE3098" s="65" t="s">
        <v>500</v>
      </c>
      <c r="AF3098" s="333">
        <v>184.0</v>
      </c>
      <c r="AG3098" s="65" t="s">
        <v>131</v>
      </c>
      <c r="AH3098" s="65" t="s">
        <v>131</v>
      </c>
      <c r="AI3098" s="65" t="s">
        <v>18276</v>
      </c>
      <c r="AJ3098" s="65" t="s">
        <v>131</v>
      </c>
      <c r="AK3098" s="65" t="s">
        <v>165</v>
      </c>
      <c r="AL3098" s="65" t="s">
        <v>179</v>
      </c>
      <c r="AM3098" s="65" t="s">
        <v>130</v>
      </c>
      <c r="AN3098" s="65" t="s">
        <v>131</v>
      </c>
      <c r="AO3098" s="333">
        <v>604.0</v>
      </c>
      <c r="AP3098" s="333">
        <v>0.1</v>
      </c>
      <c r="AQ3098" s="65" t="s">
        <v>166</v>
      </c>
      <c r="AR3098" s="65" t="s">
        <v>18277</v>
      </c>
      <c r="AS3098" s="333">
        <v>0.316</v>
      </c>
      <c r="AT3098" s="65" t="s">
        <v>165</v>
      </c>
      <c r="AU3098" s="65" t="s">
        <v>179</v>
      </c>
      <c r="AV3098" s="65" t="s">
        <v>130</v>
      </c>
      <c r="AW3098" s="432" t="s">
        <v>18262</v>
      </c>
      <c r="AX3098" s="65" t="s">
        <v>136</v>
      </c>
      <c r="AZ3098" s="59" t="s">
        <v>7268</v>
      </c>
    </row>
    <row r="3099">
      <c r="A3099" s="41">
        <v>2924.0</v>
      </c>
      <c r="B3099" s="126" t="s">
        <v>516</v>
      </c>
      <c r="C3099" s="59" t="s">
        <v>108</v>
      </c>
      <c r="D3099" s="59" t="s">
        <v>241</v>
      </c>
      <c r="F3099" s="65" t="s">
        <v>18278</v>
      </c>
      <c r="G3099" s="65" t="s">
        <v>18279</v>
      </c>
      <c r="H3099" s="65" t="s">
        <v>242</v>
      </c>
      <c r="I3099" s="526">
        <v>45812.0</v>
      </c>
      <c r="J3099" s="1795">
        <v>45835.0</v>
      </c>
      <c r="K3099" s="65" t="s">
        <v>18280</v>
      </c>
      <c r="L3099" s="65"/>
      <c r="M3099" s="65" t="s">
        <v>18281</v>
      </c>
      <c r="N3099" s="65" t="s">
        <v>18282</v>
      </c>
      <c r="O3099" s="65"/>
      <c r="P3099" s="570" t="s">
        <v>18283</v>
      </c>
      <c r="Q3099" s="2289" t="str">
        <f> hyperlink(vlookup(lower(N3099),'File Links'!E:F, 2, FALSE), "LINK")</f>
        <v>LINK</v>
      </c>
      <c r="R3099" s="65" t="s">
        <v>18284</v>
      </c>
      <c r="S3099" s="65" t="s">
        <v>18285</v>
      </c>
      <c r="T3099" s="65"/>
      <c r="U3099" s="65" t="s">
        <v>4419</v>
      </c>
      <c r="V3099" s="570" t="s">
        <v>18286</v>
      </c>
      <c r="W3099" s="2378" t="s">
        <v>1115</v>
      </c>
      <c r="X3099" s="2290" t="str">
        <f> hyperlink(vlookup(lower(S3099),'File Links'!E:F, 2, FALSE), "LINK")</f>
        <v>LINK</v>
      </c>
      <c r="Y3099" s="65"/>
      <c r="Z3099" s="65" t="s">
        <v>940</v>
      </c>
      <c r="AA3099" s="65" t="s">
        <v>18287</v>
      </c>
      <c r="AB3099" s="65" t="s">
        <v>7257</v>
      </c>
      <c r="AC3099" s="65" t="s">
        <v>18288</v>
      </c>
      <c r="AD3099" s="65" t="s">
        <v>18289</v>
      </c>
      <c r="AE3099" s="65" t="s">
        <v>617</v>
      </c>
      <c r="AF3099" s="333">
        <v>57.0</v>
      </c>
      <c r="AG3099" s="65" t="s">
        <v>131</v>
      </c>
      <c r="AH3099" s="65" t="s">
        <v>131</v>
      </c>
      <c r="AI3099" s="65" t="s">
        <v>18290</v>
      </c>
      <c r="AJ3099" s="333">
        <v>0.27</v>
      </c>
      <c r="AK3099" s="65" t="s">
        <v>165</v>
      </c>
      <c r="AL3099" s="65" t="s">
        <v>179</v>
      </c>
      <c r="AM3099" s="65" t="s">
        <v>130</v>
      </c>
      <c r="AN3099" s="65" t="s">
        <v>131</v>
      </c>
      <c r="AO3099" s="333">
        <v>313.0</v>
      </c>
      <c r="AP3099" s="333">
        <v>-0.45</v>
      </c>
      <c r="AQ3099" s="65" t="s">
        <v>166</v>
      </c>
      <c r="AR3099" s="65" t="s">
        <v>18291</v>
      </c>
      <c r="AS3099" s="498">
        <v>0.001</v>
      </c>
      <c r="AT3099" s="65" t="s">
        <v>128</v>
      </c>
      <c r="AU3099" s="65" t="s">
        <v>179</v>
      </c>
      <c r="AV3099" s="65" t="s">
        <v>130</v>
      </c>
      <c r="AW3099" s="432" t="s">
        <v>18292</v>
      </c>
      <c r="AX3099" s="65" t="s">
        <v>136</v>
      </c>
      <c r="AZ3099" s="59" t="s">
        <v>7268</v>
      </c>
    </row>
    <row r="3100">
      <c r="A3100" s="686">
        <v>2996.0</v>
      </c>
      <c r="B3100" s="371" t="s">
        <v>145</v>
      </c>
      <c r="C3100" s="185" t="s">
        <v>108</v>
      </c>
      <c r="D3100" s="185" t="s">
        <v>15410</v>
      </c>
      <c r="E3100" s="186"/>
      <c r="F3100" s="187" t="s">
        <v>18278</v>
      </c>
      <c r="G3100" s="195" t="s">
        <v>18279</v>
      </c>
      <c r="H3100" s="195" t="s">
        <v>17956</v>
      </c>
      <c r="I3100" s="188">
        <v>45331.0</v>
      </c>
      <c r="J3100" s="2341">
        <v>45835.0</v>
      </c>
      <c r="K3100" s="187"/>
      <c r="L3100" s="371" t="s">
        <v>18207</v>
      </c>
      <c r="M3100" s="195" t="s">
        <v>18281</v>
      </c>
      <c r="N3100" s="195" t="s">
        <v>18282</v>
      </c>
      <c r="O3100" s="747">
        <v>1.0</v>
      </c>
      <c r="P3100" s="195" t="s">
        <v>18283</v>
      </c>
      <c r="Q3100" s="2385" t="str">
        <f> hyperlink(vlookup(lower(N3100),'File Links'!E:F, 2, FALSE), "LINK")</f>
        <v>LINK</v>
      </c>
      <c r="R3100" s="195" t="s">
        <v>18284</v>
      </c>
      <c r="S3100" s="195" t="s">
        <v>18285</v>
      </c>
      <c r="T3100" s="187"/>
      <c r="U3100" s="747">
        <v>1.0</v>
      </c>
      <c r="V3100" s="195" t="s">
        <v>18286</v>
      </c>
      <c r="W3100" s="1793" t="s">
        <v>1115</v>
      </c>
      <c r="X3100" s="2386" t="str">
        <f> hyperlink(vlookup(lower(S3100),'File Links'!E:F, 2, FALSE), "LINK")</f>
        <v>LINK</v>
      </c>
      <c r="Y3100" s="187"/>
      <c r="Z3100" s="195" t="s">
        <v>940</v>
      </c>
      <c r="AA3100" s="195" t="s">
        <v>18287</v>
      </c>
      <c r="AB3100" s="195" t="s">
        <v>7257</v>
      </c>
      <c r="AC3100" s="195" t="s">
        <v>18288</v>
      </c>
      <c r="AD3100" s="371" t="s">
        <v>18293</v>
      </c>
      <c r="AE3100" s="747">
        <v>10.0</v>
      </c>
      <c r="AF3100" s="747">
        <v>57.0</v>
      </c>
      <c r="AG3100" s="371" t="s">
        <v>18294</v>
      </c>
      <c r="AH3100" s="187" t="s">
        <v>127</v>
      </c>
      <c r="AI3100" s="187" t="s">
        <v>623</v>
      </c>
      <c r="AJ3100" s="747">
        <v>0.001</v>
      </c>
      <c r="AK3100" s="187" t="s">
        <v>128</v>
      </c>
      <c r="AL3100" s="187" t="s">
        <v>179</v>
      </c>
      <c r="AM3100" s="187" t="s">
        <v>130</v>
      </c>
      <c r="AN3100" s="187"/>
      <c r="AO3100" s="747">
        <v>313.0</v>
      </c>
      <c r="AP3100" s="187" t="s">
        <v>18295</v>
      </c>
      <c r="AQ3100" s="187" t="s">
        <v>166</v>
      </c>
      <c r="AR3100" s="187" t="s">
        <v>4966</v>
      </c>
      <c r="AS3100" s="756">
        <v>0.001</v>
      </c>
      <c r="AT3100" s="201" t="s">
        <v>128</v>
      </c>
      <c r="AU3100" s="187" t="s">
        <v>179</v>
      </c>
      <c r="AV3100" s="187" t="s">
        <v>130</v>
      </c>
      <c r="AW3100" s="874" t="s">
        <v>18296</v>
      </c>
      <c r="AX3100" s="187" t="s">
        <v>136</v>
      </c>
      <c r="AY3100" s="186"/>
      <c r="AZ3100" s="196" t="s">
        <v>807</v>
      </c>
      <c r="BA3100" s="186"/>
    </row>
    <row r="3101">
      <c r="A3101" s="41">
        <v>2925.0</v>
      </c>
      <c r="B3101" s="126" t="s">
        <v>516</v>
      </c>
      <c r="C3101" s="59" t="s">
        <v>108</v>
      </c>
      <c r="D3101" s="59" t="s">
        <v>241</v>
      </c>
      <c r="F3101" s="65" t="s">
        <v>18278</v>
      </c>
      <c r="G3101" s="65" t="s">
        <v>18297</v>
      </c>
      <c r="H3101" s="65" t="s">
        <v>242</v>
      </c>
      <c r="I3101" s="526">
        <v>45812.0</v>
      </c>
      <c r="J3101" s="859"/>
      <c r="K3101" s="65" t="s">
        <v>18298</v>
      </c>
      <c r="L3101" s="65"/>
      <c r="M3101" s="65" t="s">
        <v>18281</v>
      </c>
      <c r="N3101" s="65" t="s">
        <v>18282</v>
      </c>
      <c r="O3101" s="65"/>
      <c r="P3101" s="570" t="s">
        <v>18283</v>
      </c>
      <c r="Q3101" s="2289" t="str">
        <f> hyperlink(vlookup(lower(N3101),'File Links'!E:F, 2, FALSE), "LINK")</f>
        <v>LINK</v>
      </c>
      <c r="R3101" s="65" t="s">
        <v>18284</v>
      </c>
      <c r="S3101" s="65" t="s">
        <v>18285</v>
      </c>
      <c r="T3101" s="65"/>
      <c r="U3101" s="65" t="s">
        <v>4419</v>
      </c>
      <c r="V3101" s="570" t="s">
        <v>18286</v>
      </c>
      <c r="W3101" s="1225"/>
      <c r="X3101" s="2290" t="str">
        <f> hyperlink(vlookup(lower(S3101),'File Links'!E:F, 2, FALSE), "LINK")</f>
        <v>LINK</v>
      </c>
      <c r="Y3101" s="65"/>
      <c r="Z3101" s="65" t="s">
        <v>940</v>
      </c>
      <c r="AA3101" s="65" t="s">
        <v>18287</v>
      </c>
      <c r="AB3101" s="65" t="s">
        <v>7257</v>
      </c>
      <c r="AC3101" s="65" t="s">
        <v>18288</v>
      </c>
      <c r="AD3101" s="65" t="s">
        <v>18299</v>
      </c>
      <c r="AE3101" s="65" t="s">
        <v>617</v>
      </c>
      <c r="AF3101" s="333">
        <v>57.0</v>
      </c>
      <c r="AG3101" s="65" t="s">
        <v>131</v>
      </c>
      <c r="AH3101" s="65" t="s">
        <v>131</v>
      </c>
      <c r="AI3101" s="65" t="s">
        <v>18300</v>
      </c>
      <c r="AJ3101" s="333">
        <v>0.95</v>
      </c>
      <c r="AK3101" s="65" t="s">
        <v>165</v>
      </c>
      <c r="AL3101" s="65" t="s">
        <v>179</v>
      </c>
      <c r="AM3101" s="65" t="s">
        <v>130</v>
      </c>
      <c r="AN3101" s="65" t="s">
        <v>131</v>
      </c>
      <c r="AO3101" s="333">
        <v>313.0</v>
      </c>
      <c r="AP3101" s="333">
        <v>-0.45</v>
      </c>
      <c r="AQ3101" s="65" t="s">
        <v>166</v>
      </c>
      <c r="AR3101" s="65" t="s">
        <v>18301</v>
      </c>
      <c r="AS3101" s="333">
        <v>0.05</v>
      </c>
      <c r="AT3101" s="65" t="s">
        <v>128</v>
      </c>
      <c r="AU3101" s="65" t="s">
        <v>179</v>
      </c>
      <c r="AV3101" s="65" t="s">
        <v>130</v>
      </c>
      <c r="AW3101" s="432" t="s">
        <v>18292</v>
      </c>
      <c r="AX3101" s="65" t="s">
        <v>136</v>
      </c>
      <c r="AZ3101" s="59" t="s">
        <v>7268</v>
      </c>
    </row>
    <row r="3102">
      <c r="A3102" s="41">
        <v>2976.0</v>
      </c>
      <c r="B3102" s="202" t="s">
        <v>107</v>
      </c>
      <c r="C3102" s="196" t="s">
        <v>108</v>
      </c>
      <c r="D3102" s="196" t="s">
        <v>15410</v>
      </c>
      <c r="E3102" s="197"/>
      <c r="F3102" s="198" t="s">
        <v>15464</v>
      </c>
      <c r="G3102" s="198" t="s">
        <v>15465</v>
      </c>
      <c r="H3102" s="198" t="s">
        <v>17166</v>
      </c>
      <c r="I3102" s="200">
        <v>45331.0</v>
      </c>
      <c r="J3102" s="2295">
        <v>45828.0</v>
      </c>
      <c r="K3102" s="201"/>
      <c r="L3102" s="202" t="s">
        <v>18302</v>
      </c>
      <c r="M3102" s="198" t="s">
        <v>15467</v>
      </c>
      <c r="N3102" s="198" t="s">
        <v>15468</v>
      </c>
      <c r="O3102" s="756">
        <v>1.0</v>
      </c>
      <c r="P3102" s="198" t="s">
        <v>15469</v>
      </c>
      <c r="Q3102" s="2387" t="str">
        <f> hyperlink(vlookup(lower(N3102),'File Links'!E:F, 2, FALSE), "LINK")</f>
        <v>LINK</v>
      </c>
      <c r="R3102" s="198" t="s">
        <v>15470</v>
      </c>
      <c r="S3102" s="198" t="s">
        <v>15471</v>
      </c>
      <c r="T3102" s="201"/>
      <c r="U3102" s="756">
        <v>1.0</v>
      </c>
      <c r="V3102" s="198" t="s">
        <v>15472</v>
      </c>
      <c r="W3102" s="203" t="s">
        <v>1115</v>
      </c>
      <c r="X3102" s="2388" t="str">
        <f> hyperlink(vlookup(lower(S3102),'File Links'!E:F, 2, FALSE), "LINK")</f>
        <v>LINK</v>
      </c>
      <c r="Y3102" s="201"/>
      <c r="Z3102" s="198" t="s">
        <v>940</v>
      </c>
      <c r="AA3102" s="198" t="s">
        <v>15473</v>
      </c>
      <c r="AB3102" s="198" t="s">
        <v>18303</v>
      </c>
      <c r="AC3102" s="198" t="s">
        <v>18304</v>
      </c>
      <c r="AD3102" s="202" t="s">
        <v>18305</v>
      </c>
      <c r="AE3102" s="2389">
        <v>45750.0</v>
      </c>
      <c r="AF3102" s="756">
        <v>614.0</v>
      </c>
      <c r="AG3102" s="201" t="s">
        <v>18306</v>
      </c>
      <c r="AH3102" s="201" t="s">
        <v>127</v>
      </c>
      <c r="AI3102" s="201" t="s">
        <v>500</v>
      </c>
      <c r="AJ3102" s="756">
        <v>0.001</v>
      </c>
      <c r="AK3102" s="201" t="s">
        <v>128</v>
      </c>
      <c r="AL3102" s="65" t="s">
        <v>179</v>
      </c>
      <c r="AM3102" s="201" t="s">
        <v>130</v>
      </c>
      <c r="AN3102" s="201"/>
      <c r="AO3102" s="756">
        <v>2203.0</v>
      </c>
      <c r="AP3102" s="204">
        <v>-1.25</v>
      </c>
      <c r="AQ3102" s="203" t="s">
        <v>166</v>
      </c>
      <c r="AR3102" s="201" t="s">
        <v>875</v>
      </c>
      <c r="AS3102" s="756">
        <v>0.001</v>
      </c>
      <c r="AT3102" s="201" t="s">
        <v>128</v>
      </c>
      <c r="AU3102" s="201" t="s">
        <v>179</v>
      </c>
      <c r="AV3102" s="201" t="s">
        <v>130</v>
      </c>
      <c r="AW3102" s="2353" t="s">
        <v>18307</v>
      </c>
      <c r="AX3102" s="201" t="s">
        <v>136</v>
      </c>
      <c r="AY3102" s="197"/>
      <c r="AZ3102" s="196" t="s">
        <v>807</v>
      </c>
      <c r="BA3102" s="197"/>
    </row>
    <row r="3103">
      <c r="A3103" s="41">
        <v>2926.0</v>
      </c>
      <c r="B3103" s="126" t="s">
        <v>516</v>
      </c>
      <c r="C3103" s="59" t="s">
        <v>108</v>
      </c>
      <c r="D3103" s="59" t="s">
        <v>241</v>
      </c>
      <c r="F3103" s="65" t="s">
        <v>18308</v>
      </c>
      <c r="G3103" s="65" t="s">
        <v>18309</v>
      </c>
      <c r="H3103" s="65" t="s">
        <v>242</v>
      </c>
      <c r="I3103" s="526">
        <v>45812.0</v>
      </c>
      <c r="J3103" s="859"/>
      <c r="K3103" s="65"/>
      <c r="L3103" s="65"/>
      <c r="M3103" s="65" t="s">
        <v>18310</v>
      </c>
      <c r="N3103" s="65" t="s">
        <v>18311</v>
      </c>
      <c r="O3103" s="65"/>
      <c r="P3103" s="570" t="s">
        <v>18312</v>
      </c>
      <c r="Q3103" s="2289" t="str">
        <f> hyperlink(vlookup(lower(N3103),'File Links'!E:F, 2, FALSE), "LINK")</f>
        <v>LINK</v>
      </c>
      <c r="R3103" s="65" t="s">
        <v>18313</v>
      </c>
      <c r="S3103" s="65" t="s">
        <v>18314</v>
      </c>
      <c r="T3103" s="65"/>
      <c r="U3103" s="65"/>
      <c r="V3103" s="570" t="s">
        <v>18315</v>
      </c>
      <c r="W3103" s="1225"/>
      <c r="X3103" s="2290" t="str">
        <f> hyperlink(vlookup(lower(S3103),'File Links'!E:F, 2, FALSE), "LINK")</f>
        <v>LINK</v>
      </c>
      <c r="Y3103" s="65"/>
      <c r="Z3103" s="65" t="s">
        <v>940</v>
      </c>
      <c r="AA3103" s="65" t="s">
        <v>18131</v>
      </c>
      <c r="AB3103" s="65" t="s">
        <v>7257</v>
      </c>
      <c r="AC3103" s="65" t="s">
        <v>18316</v>
      </c>
      <c r="AD3103" s="65" t="s">
        <v>18317</v>
      </c>
      <c r="AE3103" s="65" t="s">
        <v>489</v>
      </c>
      <c r="AF3103" s="333">
        <v>86.0</v>
      </c>
      <c r="AG3103" s="65" t="s">
        <v>131</v>
      </c>
      <c r="AH3103" s="65" t="s">
        <v>131</v>
      </c>
      <c r="AI3103" s="65" t="s">
        <v>18318</v>
      </c>
      <c r="AJ3103" s="65" t="s">
        <v>131</v>
      </c>
      <c r="AK3103" s="65" t="s">
        <v>165</v>
      </c>
      <c r="AL3103" s="65" t="s">
        <v>179</v>
      </c>
      <c r="AM3103" s="65" t="s">
        <v>130</v>
      </c>
      <c r="AN3103" s="65" t="s">
        <v>131</v>
      </c>
      <c r="AO3103" s="333">
        <v>1203.0</v>
      </c>
      <c r="AP3103" s="333">
        <v>1.39</v>
      </c>
      <c r="AQ3103" s="65" t="s">
        <v>595</v>
      </c>
      <c r="AR3103" s="65" t="s">
        <v>18319</v>
      </c>
      <c r="AS3103" s="333">
        <v>0.001</v>
      </c>
      <c r="AT3103" s="65" t="s">
        <v>128</v>
      </c>
      <c r="AU3103" s="65" t="s">
        <v>129</v>
      </c>
      <c r="AV3103" s="65" t="s">
        <v>130</v>
      </c>
      <c r="AW3103" s="432" t="s">
        <v>18320</v>
      </c>
      <c r="AX3103" s="65" t="s">
        <v>136</v>
      </c>
      <c r="AZ3103" s="59" t="s">
        <v>7268</v>
      </c>
    </row>
    <row r="3104">
      <c r="A3104" s="41">
        <v>2997.0</v>
      </c>
      <c r="B3104" s="126" t="s">
        <v>516</v>
      </c>
      <c r="C3104" s="59" t="s">
        <v>108</v>
      </c>
      <c r="D3104" s="59" t="s">
        <v>15410</v>
      </c>
      <c r="F3104" s="65" t="s">
        <v>18308</v>
      </c>
      <c r="G3104" s="156" t="s">
        <v>18309</v>
      </c>
      <c r="H3104" s="156" t="s">
        <v>17956</v>
      </c>
      <c r="I3104" s="149">
        <v>45331.0</v>
      </c>
      <c r="J3104" s="526">
        <v>45819.0</v>
      </c>
      <c r="K3104" s="65" t="s">
        <v>18321</v>
      </c>
      <c r="L3104" s="65"/>
      <c r="M3104" s="156" t="s">
        <v>18310</v>
      </c>
      <c r="N3104" s="156" t="s">
        <v>18311</v>
      </c>
      <c r="O3104" s="333">
        <v>1.0</v>
      </c>
      <c r="P3104" s="156" t="s">
        <v>18312</v>
      </c>
      <c r="Q3104" s="2139" t="str">
        <f> hyperlink(vlookup(lower(N3104),'File Links'!E:F, 2, FALSE), "LINK")</f>
        <v>LINK</v>
      </c>
      <c r="R3104" s="156" t="s">
        <v>18313</v>
      </c>
      <c r="S3104" s="156" t="s">
        <v>18314</v>
      </c>
      <c r="T3104" s="65"/>
      <c r="U3104" s="333">
        <v>1.0</v>
      </c>
      <c r="V3104" s="156" t="s">
        <v>18315</v>
      </c>
      <c r="W3104" s="65"/>
      <c r="X3104" s="2291" t="str">
        <f> hyperlink(vlookup(lower(S3104),'File Links'!E:F, 2, FALSE), "LINK")</f>
        <v>LINK</v>
      </c>
      <c r="Y3104" s="65"/>
      <c r="Z3104" s="156" t="s">
        <v>940</v>
      </c>
      <c r="AA3104" s="156" t="s">
        <v>18131</v>
      </c>
      <c r="AB3104" s="156" t="s">
        <v>7257</v>
      </c>
      <c r="AC3104" s="156" t="s">
        <v>18316</v>
      </c>
      <c r="AD3104" s="65" t="s">
        <v>18322</v>
      </c>
      <c r="AE3104" s="333">
        <v>4.0</v>
      </c>
      <c r="AF3104" s="333">
        <v>161.0</v>
      </c>
      <c r="AG3104" s="65" t="s">
        <v>18323</v>
      </c>
      <c r="AH3104" s="65" t="s">
        <v>127</v>
      </c>
      <c r="AI3104" s="65" t="s">
        <v>489</v>
      </c>
      <c r="AJ3104" s="333">
        <v>0.001</v>
      </c>
      <c r="AK3104" s="65" t="s">
        <v>128</v>
      </c>
      <c r="AL3104" s="65" t="s">
        <v>129</v>
      </c>
      <c r="AM3104" s="65" t="s">
        <v>130</v>
      </c>
      <c r="AN3104" s="65"/>
      <c r="AO3104" s="333">
        <v>413.0</v>
      </c>
      <c r="AP3104" s="65" t="s">
        <v>18324</v>
      </c>
      <c r="AQ3104" s="65" t="s">
        <v>127</v>
      </c>
      <c r="AR3104" s="65" t="s">
        <v>489</v>
      </c>
      <c r="AS3104" s="333">
        <v>0.001</v>
      </c>
      <c r="AT3104" s="65" t="s">
        <v>128</v>
      </c>
      <c r="AU3104" s="65" t="s">
        <v>129</v>
      </c>
      <c r="AV3104" s="65" t="s">
        <v>130</v>
      </c>
      <c r="AW3104" s="432" t="s">
        <v>18325</v>
      </c>
      <c r="AX3104" s="65" t="s">
        <v>136</v>
      </c>
      <c r="AZ3104" s="59" t="s">
        <v>7268</v>
      </c>
    </row>
    <row r="3105">
      <c r="A3105" s="41">
        <v>2927.0</v>
      </c>
      <c r="B3105" s="126" t="s">
        <v>516</v>
      </c>
      <c r="C3105" s="59" t="s">
        <v>108</v>
      </c>
      <c r="D3105" s="59" t="s">
        <v>241</v>
      </c>
      <c r="F3105" s="65" t="s">
        <v>18308</v>
      </c>
      <c r="G3105" s="65" t="s">
        <v>18326</v>
      </c>
      <c r="H3105" s="65" t="s">
        <v>242</v>
      </c>
      <c r="I3105" s="526">
        <v>45812.0</v>
      </c>
      <c r="J3105" s="859"/>
      <c r="K3105" s="65"/>
      <c r="L3105" s="65"/>
      <c r="M3105" s="65" t="s">
        <v>18310</v>
      </c>
      <c r="N3105" s="65" t="s">
        <v>18311</v>
      </c>
      <c r="O3105" s="65"/>
      <c r="P3105" s="570" t="s">
        <v>18312</v>
      </c>
      <c r="Q3105" s="2289" t="str">
        <f> hyperlink(vlookup(lower(N3105),'File Links'!E:F, 2, FALSE), "LINK")</f>
        <v>LINK</v>
      </c>
      <c r="R3105" s="65" t="s">
        <v>18313</v>
      </c>
      <c r="S3105" s="65" t="s">
        <v>18314</v>
      </c>
      <c r="T3105" s="65"/>
      <c r="U3105" s="65"/>
      <c r="V3105" s="570" t="s">
        <v>18315</v>
      </c>
      <c r="W3105" s="1225"/>
      <c r="X3105" s="2290" t="str">
        <f> hyperlink(vlookup(lower(S3105),'File Links'!E:F, 2, FALSE), "LINK")</f>
        <v>LINK</v>
      </c>
      <c r="Y3105" s="65"/>
      <c r="Z3105" s="65" t="s">
        <v>940</v>
      </c>
      <c r="AA3105" s="65" t="s">
        <v>18131</v>
      </c>
      <c r="AB3105" s="65" t="s">
        <v>7257</v>
      </c>
      <c r="AC3105" s="65" t="s">
        <v>18316</v>
      </c>
      <c r="AD3105" s="65" t="s">
        <v>18327</v>
      </c>
      <c r="AE3105" s="65" t="s">
        <v>489</v>
      </c>
      <c r="AF3105" s="333">
        <v>75.0</v>
      </c>
      <c r="AG3105" s="65" t="s">
        <v>131</v>
      </c>
      <c r="AH3105" s="65" t="s">
        <v>131</v>
      </c>
      <c r="AI3105" s="65" t="s">
        <v>18328</v>
      </c>
      <c r="AJ3105" s="65" t="s">
        <v>131</v>
      </c>
      <c r="AK3105" s="65" t="s">
        <v>165</v>
      </c>
      <c r="AL3105" s="65" t="s">
        <v>179</v>
      </c>
      <c r="AM3105" s="65" t="s">
        <v>130</v>
      </c>
      <c r="AN3105" s="65" t="s">
        <v>131</v>
      </c>
      <c r="AO3105" s="333">
        <v>1203.0</v>
      </c>
      <c r="AP3105" s="333">
        <v>1.19</v>
      </c>
      <c r="AQ3105" s="65" t="s">
        <v>595</v>
      </c>
      <c r="AR3105" s="65" t="s">
        <v>18329</v>
      </c>
      <c r="AS3105" s="333">
        <v>0.001</v>
      </c>
      <c r="AT3105" s="65" t="s">
        <v>128</v>
      </c>
      <c r="AU3105" s="65" t="s">
        <v>129</v>
      </c>
      <c r="AV3105" s="65" t="s">
        <v>130</v>
      </c>
      <c r="AW3105" s="432" t="s">
        <v>18320</v>
      </c>
      <c r="AX3105" s="65" t="s">
        <v>136</v>
      </c>
      <c r="AZ3105" s="59" t="s">
        <v>7268</v>
      </c>
    </row>
    <row r="3106">
      <c r="A3106" s="41">
        <v>2928.0</v>
      </c>
      <c r="B3106" s="126" t="s">
        <v>516</v>
      </c>
      <c r="C3106" s="59" t="s">
        <v>108</v>
      </c>
      <c r="D3106" s="59" t="s">
        <v>241</v>
      </c>
      <c r="F3106" s="65" t="s">
        <v>18330</v>
      </c>
      <c r="G3106" s="65" t="s">
        <v>18331</v>
      </c>
      <c r="H3106" s="65" t="s">
        <v>242</v>
      </c>
      <c r="I3106" s="526">
        <v>45812.0</v>
      </c>
      <c r="J3106" s="859"/>
      <c r="K3106" s="65"/>
      <c r="L3106" s="65"/>
      <c r="M3106" s="65" t="s">
        <v>18332</v>
      </c>
      <c r="N3106" s="65" t="s">
        <v>18333</v>
      </c>
      <c r="O3106" s="65"/>
      <c r="P3106" s="570" t="s">
        <v>18334</v>
      </c>
      <c r="Q3106" s="2289" t="str">
        <f> hyperlink(vlookup(lower(N3106),'File Links'!E:F, 2, FALSE), "LINK")</f>
        <v>LINK</v>
      </c>
      <c r="R3106" s="65" t="s">
        <v>18335</v>
      </c>
      <c r="S3106" s="65" t="s">
        <v>18336</v>
      </c>
      <c r="T3106" s="65"/>
      <c r="U3106" s="65" t="s">
        <v>4180</v>
      </c>
      <c r="V3106" s="570" t="s">
        <v>18337</v>
      </c>
      <c r="W3106" s="1225"/>
      <c r="X3106" s="2290" t="str">
        <f> hyperlink(vlookup(lower(S3106),'File Links'!E:F, 2, FALSE), "LINK")</f>
        <v>LINK</v>
      </c>
      <c r="Y3106" s="65"/>
      <c r="Z3106" s="65" t="s">
        <v>940</v>
      </c>
      <c r="AA3106" s="65" t="s">
        <v>18338</v>
      </c>
      <c r="AB3106" s="65" t="s">
        <v>7257</v>
      </c>
      <c r="AC3106" s="65" t="s">
        <v>18339</v>
      </c>
      <c r="AD3106" s="65" t="s">
        <v>18340</v>
      </c>
      <c r="AE3106" s="65" t="s">
        <v>489</v>
      </c>
      <c r="AF3106" s="333">
        <v>51.0</v>
      </c>
      <c r="AG3106" s="65" t="s">
        <v>18341</v>
      </c>
      <c r="AH3106" s="65" t="s">
        <v>127</v>
      </c>
      <c r="AI3106" s="65" t="s">
        <v>18342</v>
      </c>
      <c r="AJ3106" s="333">
        <v>0.001</v>
      </c>
      <c r="AK3106" s="65" t="s">
        <v>128</v>
      </c>
      <c r="AL3106" s="65" t="s">
        <v>179</v>
      </c>
      <c r="AM3106" s="65" t="s">
        <v>130</v>
      </c>
      <c r="AN3106" s="65" t="s">
        <v>131</v>
      </c>
      <c r="AO3106" s="333">
        <v>104.0</v>
      </c>
      <c r="AP3106" s="333">
        <v>0.6</v>
      </c>
      <c r="AQ3106" s="65" t="s">
        <v>166</v>
      </c>
      <c r="AR3106" s="65" t="s">
        <v>18343</v>
      </c>
      <c r="AS3106" s="333">
        <v>0.001</v>
      </c>
      <c r="AT3106" s="65" t="s">
        <v>128</v>
      </c>
      <c r="AU3106" s="65" t="s">
        <v>179</v>
      </c>
      <c r="AV3106" s="65" t="s">
        <v>130</v>
      </c>
      <c r="AW3106" s="432" t="s">
        <v>18344</v>
      </c>
      <c r="AX3106" s="65" t="s">
        <v>136</v>
      </c>
      <c r="AZ3106" s="59" t="s">
        <v>7268</v>
      </c>
    </row>
    <row r="3107">
      <c r="A3107" s="41">
        <v>2998.0</v>
      </c>
      <c r="B3107" s="126" t="s">
        <v>516</v>
      </c>
      <c r="C3107" s="59" t="s">
        <v>108</v>
      </c>
      <c r="D3107" s="59" t="s">
        <v>15410</v>
      </c>
      <c r="F3107" s="65" t="s">
        <v>18330</v>
      </c>
      <c r="G3107" s="156" t="s">
        <v>18331</v>
      </c>
      <c r="H3107" s="156" t="s">
        <v>17188</v>
      </c>
      <c r="I3107" s="149">
        <v>45331.0</v>
      </c>
      <c r="J3107" s="526">
        <v>45819.0</v>
      </c>
      <c r="K3107" s="65"/>
      <c r="L3107" s="65"/>
      <c r="M3107" s="156" t="s">
        <v>18332</v>
      </c>
      <c r="N3107" s="156" t="s">
        <v>18333</v>
      </c>
      <c r="O3107" s="333">
        <v>1.0</v>
      </c>
      <c r="P3107" s="156" t="s">
        <v>18334</v>
      </c>
      <c r="Q3107" s="2139" t="str">
        <f> hyperlink(vlookup(lower(N3107),'File Links'!E:F, 2, FALSE), "LINK")</f>
        <v>LINK</v>
      </c>
      <c r="R3107" s="156" t="s">
        <v>18335</v>
      </c>
      <c r="S3107" s="156" t="s">
        <v>18336</v>
      </c>
      <c r="T3107" s="65"/>
      <c r="U3107" s="333">
        <v>1.0</v>
      </c>
      <c r="V3107" s="156" t="s">
        <v>18337</v>
      </c>
      <c r="W3107" s="65"/>
      <c r="X3107" s="2291" t="str">
        <f> hyperlink(vlookup(lower(S3107),'File Links'!E:F, 2, FALSE), "LINK")</f>
        <v>LINK</v>
      </c>
      <c r="Y3107" s="65"/>
      <c r="Z3107" s="156" t="s">
        <v>940</v>
      </c>
      <c r="AA3107" s="156" t="s">
        <v>18345</v>
      </c>
      <c r="AB3107" s="156" t="s">
        <v>7257</v>
      </c>
      <c r="AC3107" s="156" t="s">
        <v>18339</v>
      </c>
      <c r="AD3107" s="65" t="s">
        <v>18346</v>
      </c>
      <c r="AE3107" s="333">
        <v>4.0</v>
      </c>
      <c r="AF3107" s="333">
        <v>50.0</v>
      </c>
      <c r="AG3107" s="65" t="s">
        <v>18347</v>
      </c>
      <c r="AH3107" s="65" t="s">
        <v>127</v>
      </c>
      <c r="AI3107" s="65" t="s">
        <v>489</v>
      </c>
      <c r="AJ3107" s="333">
        <v>0.001</v>
      </c>
      <c r="AK3107" s="65" t="s">
        <v>128</v>
      </c>
      <c r="AL3107" s="65" t="s">
        <v>129</v>
      </c>
      <c r="AM3107" s="65" t="s">
        <v>130</v>
      </c>
      <c r="AN3107" s="65"/>
      <c r="AO3107" s="333">
        <v>103.0</v>
      </c>
      <c r="AP3107" s="126" t="s">
        <v>18348</v>
      </c>
      <c r="AQ3107" s="65" t="s">
        <v>127</v>
      </c>
      <c r="AR3107" s="65" t="s">
        <v>875</v>
      </c>
      <c r="AS3107" s="333">
        <v>0.001</v>
      </c>
      <c r="AT3107" s="65" t="s">
        <v>128</v>
      </c>
      <c r="AU3107" s="65" t="s">
        <v>129</v>
      </c>
      <c r="AV3107" s="65" t="s">
        <v>130</v>
      </c>
      <c r="AW3107" s="432" t="s">
        <v>18349</v>
      </c>
      <c r="AX3107" s="65" t="s">
        <v>136</v>
      </c>
      <c r="AY3107" s="59" t="s">
        <v>84</v>
      </c>
      <c r="AZ3107" s="59" t="s">
        <v>7268</v>
      </c>
    </row>
    <row r="3108">
      <c r="A3108" s="41">
        <v>2929.0</v>
      </c>
      <c r="B3108" s="126" t="s">
        <v>516</v>
      </c>
      <c r="C3108" s="59" t="s">
        <v>108</v>
      </c>
      <c r="D3108" s="59" t="s">
        <v>241</v>
      </c>
      <c r="F3108" s="65" t="s">
        <v>18330</v>
      </c>
      <c r="G3108" s="65" t="s">
        <v>18350</v>
      </c>
      <c r="H3108" s="65" t="s">
        <v>242</v>
      </c>
      <c r="I3108" s="526">
        <v>45812.0</v>
      </c>
      <c r="J3108" s="859"/>
      <c r="K3108" s="65"/>
      <c r="L3108" s="65"/>
      <c r="M3108" s="65" t="s">
        <v>18332</v>
      </c>
      <c r="N3108" s="65" t="s">
        <v>18333</v>
      </c>
      <c r="O3108" s="65"/>
      <c r="P3108" s="570" t="s">
        <v>18334</v>
      </c>
      <c r="Q3108" s="2289" t="str">
        <f> hyperlink(vlookup(lower(N3108),'File Links'!E:F, 2, FALSE), "LINK")</f>
        <v>LINK</v>
      </c>
      <c r="R3108" s="65" t="s">
        <v>18335</v>
      </c>
      <c r="S3108" s="65" t="s">
        <v>18336</v>
      </c>
      <c r="T3108" s="65"/>
      <c r="U3108" s="65"/>
      <c r="V3108" s="570" t="s">
        <v>18337</v>
      </c>
      <c r="W3108" s="1225"/>
      <c r="X3108" s="2290" t="str">
        <f> hyperlink(vlookup(lower(S3108),'File Links'!E:F, 2, FALSE), "LINK")</f>
        <v>LINK</v>
      </c>
      <c r="Y3108" s="65"/>
      <c r="Z3108" s="65" t="s">
        <v>940</v>
      </c>
      <c r="AA3108" s="65" t="s">
        <v>18338</v>
      </c>
      <c r="AB3108" s="65" t="s">
        <v>7257</v>
      </c>
      <c r="AC3108" s="65" t="s">
        <v>18339</v>
      </c>
      <c r="AD3108" s="65" t="s">
        <v>18351</v>
      </c>
      <c r="AE3108" s="65" t="s">
        <v>489</v>
      </c>
      <c r="AF3108" s="333">
        <v>51.0</v>
      </c>
      <c r="AG3108" s="65" t="s">
        <v>18341</v>
      </c>
      <c r="AH3108" s="65" t="s">
        <v>127</v>
      </c>
      <c r="AI3108" s="65" t="s">
        <v>18352</v>
      </c>
      <c r="AJ3108" s="333">
        <v>0.001</v>
      </c>
      <c r="AK3108" s="65" t="s">
        <v>128</v>
      </c>
      <c r="AL3108" s="65" t="s">
        <v>179</v>
      </c>
      <c r="AM3108" s="65" t="s">
        <v>130</v>
      </c>
      <c r="AN3108" s="65" t="s">
        <v>131</v>
      </c>
      <c r="AO3108" s="333">
        <v>104.0</v>
      </c>
      <c r="AP3108" s="333">
        <v>0.77</v>
      </c>
      <c r="AQ3108" s="65" t="s">
        <v>166</v>
      </c>
      <c r="AR3108" s="65" t="s">
        <v>18353</v>
      </c>
      <c r="AS3108" s="333">
        <v>0.001</v>
      </c>
      <c r="AT3108" s="65" t="s">
        <v>128</v>
      </c>
      <c r="AU3108" s="65" t="s">
        <v>179</v>
      </c>
      <c r="AV3108" s="65" t="s">
        <v>130</v>
      </c>
      <c r="AW3108" s="432" t="s">
        <v>18344</v>
      </c>
      <c r="AX3108" s="65" t="s">
        <v>136</v>
      </c>
      <c r="AZ3108" s="59" t="s">
        <v>7268</v>
      </c>
    </row>
    <row r="3109">
      <c r="A3109" s="41">
        <v>2930.0</v>
      </c>
      <c r="B3109" s="126" t="s">
        <v>516</v>
      </c>
      <c r="C3109" s="59" t="s">
        <v>108</v>
      </c>
      <c r="D3109" s="59" t="s">
        <v>241</v>
      </c>
      <c r="F3109" s="65" t="s">
        <v>18330</v>
      </c>
      <c r="G3109" s="65" t="s">
        <v>18354</v>
      </c>
      <c r="H3109" s="65" t="s">
        <v>242</v>
      </c>
      <c r="I3109" s="526">
        <v>45812.0</v>
      </c>
      <c r="J3109" s="859"/>
      <c r="K3109" s="65"/>
      <c r="L3109" s="65"/>
      <c r="M3109" s="65" t="s">
        <v>18332</v>
      </c>
      <c r="N3109" s="65" t="s">
        <v>18333</v>
      </c>
      <c r="O3109" s="65"/>
      <c r="P3109" s="570" t="s">
        <v>18334</v>
      </c>
      <c r="Q3109" s="2289" t="str">
        <f> hyperlink(vlookup(lower(N3109),'File Links'!E:F, 2, FALSE), "LINK")</f>
        <v>LINK</v>
      </c>
      <c r="R3109" s="65" t="s">
        <v>18335</v>
      </c>
      <c r="S3109" s="65" t="s">
        <v>18336</v>
      </c>
      <c r="T3109" s="65"/>
      <c r="U3109" s="65" t="s">
        <v>4180</v>
      </c>
      <c r="V3109" s="570" t="s">
        <v>18337</v>
      </c>
      <c r="W3109" s="1225"/>
      <c r="X3109" s="2290" t="str">
        <f> hyperlink(vlookup(lower(S3109),'File Links'!E:F, 2, FALSE), "LINK")</f>
        <v>LINK</v>
      </c>
      <c r="Y3109" s="65"/>
      <c r="Z3109" s="65" t="s">
        <v>940</v>
      </c>
      <c r="AA3109" s="65" t="s">
        <v>18338</v>
      </c>
      <c r="AB3109" s="65" t="s">
        <v>7257</v>
      </c>
      <c r="AC3109" s="65" t="s">
        <v>18339</v>
      </c>
      <c r="AD3109" s="65" t="s">
        <v>18355</v>
      </c>
      <c r="AE3109" s="65" t="s">
        <v>489</v>
      </c>
      <c r="AF3109" s="333">
        <v>99.0</v>
      </c>
      <c r="AG3109" s="65" t="s">
        <v>18356</v>
      </c>
      <c r="AH3109" s="65" t="s">
        <v>127</v>
      </c>
      <c r="AI3109" s="65" t="s">
        <v>18357</v>
      </c>
      <c r="AJ3109" s="333">
        <v>0.05</v>
      </c>
      <c r="AK3109" s="65" t="s">
        <v>328</v>
      </c>
      <c r="AL3109" s="65" t="s">
        <v>179</v>
      </c>
      <c r="AM3109" s="65" t="s">
        <v>130</v>
      </c>
      <c r="AN3109" s="65" t="s">
        <v>131</v>
      </c>
      <c r="AO3109" s="333">
        <v>203.0</v>
      </c>
      <c r="AP3109" s="333">
        <v>0.03</v>
      </c>
      <c r="AQ3109" s="65" t="s">
        <v>166</v>
      </c>
      <c r="AR3109" s="65" t="s">
        <v>18358</v>
      </c>
      <c r="AS3109" s="333">
        <v>0.854</v>
      </c>
      <c r="AT3109" s="65" t="s">
        <v>165</v>
      </c>
      <c r="AU3109" s="65" t="s">
        <v>179</v>
      </c>
      <c r="AV3109" s="65" t="s">
        <v>130</v>
      </c>
      <c r="AW3109" s="432" t="s">
        <v>18344</v>
      </c>
      <c r="AX3109" s="65" t="s">
        <v>136</v>
      </c>
      <c r="AZ3109" s="59" t="s">
        <v>7268</v>
      </c>
    </row>
    <row r="3110">
      <c r="A3110" s="41">
        <v>2931.0</v>
      </c>
      <c r="B3110" s="126" t="s">
        <v>516</v>
      </c>
      <c r="C3110" s="59" t="s">
        <v>108</v>
      </c>
      <c r="D3110" s="59" t="s">
        <v>241</v>
      </c>
      <c r="F3110" s="65" t="s">
        <v>18330</v>
      </c>
      <c r="G3110" s="65" t="s">
        <v>18359</v>
      </c>
      <c r="H3110" s="65" t="s">
        <v>242</v>
      </c>
      <c r="I3110" s="526">
        <v>45812.0</v>
      </c>
      <c r="J3110" s="859"/>
      <c r="K3110" s="65"/>
      <c r="L3110" s="65"/>
      <c r="M3110" s="65" t="s">
        <v>18332</v>
      </c>
      <c r="N3110" s="65" t="s">
        <v>18333</v>
      </c>
      <c r="O3110" s="65"/>
      <c r="P3110" s="570" t="s">
        <v>18334</v>
      </c>
      <c r="Q3110" s="2289" t="str">
        <f> hyperlink(vlookup(lower(N3110),'File Links'!E:F, 2, FALSE), "LINK")</f>
        <v>LINK</v>
      </c>
      <c r="R3110" s="65" t="s">
        <v>18335</v>
      </c>
      <c r="S3110" s="65" t="s">
        <v>18336</v>
      </c>
      <c r="T3110" s="65"/>
      <c r="U3110" s="65"/>
      <c r="V3110" s="570" t="s">
        <v>18337</v>
      </c>
      <c r="W3110" s="1225"/>
      <c r="X3110" s="2290" t="str">
        <f> hyperlink(vlookup(lower(S3110),'File Links'!E:F, 2, FALSE), "LINK")</f>
        <v>LINK</v>
      </c>
      <c r="Y3110" s="65"/>
      <c r="Z3110" s="65" t="s">
        <v>940</v>
      </c>
      <c r="AA3110" s="65" t="s">
        <v>18338</v>
      </c>
      <c r="AB3110" s="65" t="s">
        <v>7257</v>
      </c>
      <c r="AC3110" s="65" t="s">
        <v>18339</v>
      </c>
      <c r="AD3110" s="65" t="s">
        <v>18360</v>
      </c>
      <c r="AE3110" s="65" t="s">
        <v>489</v>
      </c>
      <c r="AF3110" s="333">
        <v>99.0</v>
      </c>
      <c r="AG3110" s="65" t="s">
        <v>18356</v>
      </c>
      <c r="AH3110" s="65" t="s">
        <v>127</v>
      </c>
      <c r="AI3110" s="65" t="s">
        <v>18361</v>
      </c>
      <c r="AJ3110" s="333">
        <v>0.05</v>
      </c>
      <c r="AK3110" s="65" t="s">
        <v>328</v>
      </c>
      <c r="AL3110" s="65" t="s">
        <v>179</v>
      </c>
      <c r="AM3110" s="65" t="s">
        <v>130</v>
      </c>
      <c r="AN3110" s="65" t="s">
        <v>131</v>
      </c>
      <c r="AO3110" s="333">
        <v>200.0</v>
      </c>
      <c r="AP3110" s="333">
        <v>0.09</v>
      </c>
      <c r="AQ3110" s="65" t="s">
        <v>166</v>
      </c>
      <c r="AR3110" s="65" t="s">
        <v>18362</v>
      </c>
      <c r="AS3110" s="333">
        <v>0.536</v>
      </c>
      <c r="AT3110" s="65" t="s">
        <v>165</v>
      </c>
      <c r="AU3110" s="65" t="s">
        <v>179</v>
      </c>
      <c r="AV3110" s="65" t="s">
        <v>130</v>
      </c>
      <c r="AW3110" s="432" t="s">
        <v>18344</v>
      </c>
      <c r="AX3110" s="65" t="s">
        <v>136</v>
      </c>
      <c r="AZ3110" s="59" t="s">
        <v>7268</v>
      </c>
    </row>
    <row r="3111">
      <c r="A3111" s="41">
        <v>2932.0</v>
      </c>
      <c r="B3111" s="126" t="s">
        <v>516</v>
      </c>
      <c r="C3111" s="59" t="s">
        <v>108</v>
      </c>
      <c r="D3111" s="59" t="s">
        <v>241</v>
      </c>
      <c r="F3111" s="65" t="s">
        <v>18330</v>
      </c>
      <c r="G3111" s="65" t="s">
        <v>18363</v>
      </c>
      <c r="H3111" s="65" t="s">
        <v>242</v>
      </c>
      <c r="I3111" s="526">
        <v>45812.0</v>
      </c>
      <c r="J3111" s="859"/>
      <c r="K3111" s="65"/>
      <c r="L3111" s="65"/>
      <c r="M3111" s="65" t="s">
        <v>18332</v>
      </c>
      <c r="N3111" s="65" t="s">
        <v>18333</v>
      </c>
      <c r="O3111" s="65"/>
      <c r="P3111" s="570" t="s">
        <v>18334</v>
      </c>
      <c r="Q3111" s="2289" t="str">
        <f> hyperlink(vlookup(lower(N3111),'File Links'!E:F, 2, FALSE), "LINK")</f>
        <v>LINK</v>
      </c>
      <c r="R3111" s="65" t="s">
        <v>18335</v>
      </c>
      <c r="S3111" s="65" t="s">
        <v>18336</v>
      </c>
      <c r="T3111" s="65"/>
      <c r="U3111" s="65"/>
      <c r="V3111" s="570" t="s">
        <v>18337</v>
      </c>
      <c r="W3111" s="1225"/>
      <c r="X3111" s="2290" t="str">
        <f> hyperlink(vlookup(lower(S3111),'File Links'!E:F, 2, FALSE), "LINK")</f>
        <v>LINK</v>
      </c>
      <c r="Y3111" s="65"/>
      <c r="Z3111" s="65" t="s">
        <v>940</v>
      </c>
      <c r="AA3111" s="65" t="s">
        <v>18338</v>
      </c>
      <c r="AB3111" s="65" t="s">
        <v>7257</v>
      </c>
      <c r="AC3111" s="65" t="s">
        <v>18339</v>
      </c>
      <c r="AD3111" s="65" t="s">
        <v>18364</v>
      </c>
      <c r="AE3111" s="65" t="s">
        <v>489</v>
      </c>
      <c r="AF3111" s="333">
        <v>51.0</v>
      </c>
      <c r="AG3111" s="65" t="s">
        <v>18365</v>
      </c>
      <c r="AH3111" s="65" t="s">
        <v>127</v>
      </c>
      <c r="AI3111" s="65" t="s">
        <v>18366</v>
      </c>
      <c r="AJ3111" s="333">
        <v>0.001</v>
      </c>
      <c r="AK3111" s="65" t="s">
        <v>128</v>
      </c>
      <c r="AL3111" s="65" t="s">
        <v>179</v>
      </c>
      <c r="AM3111" s="65" t="s">
        <v>130</v>
      </c>
      <c r="AN3111" s="65" t="s">
        <v>131</v>
      </c>
      <c r="AO3111" s="333">
        <v>104.0</v>
      </c>
      <c r="AP3111" s="333">
        <v>2.6</v>
      </c>
      <c r="AQ3111" s="65" t="s">
        <v>166</v>
      </c>
      <c r="AR3111" s="65" t="s">
        <v>18367</v>
      </c>
      <c r="AS3111" s="333">
        <v>0.001</v>
      </c>
      <c r="AT3111" s="65" t="s">
        <v>128</v>
      </c>
      <c r="AU3111" s="65" t="s">
        <v>179</v>
      </c>
      <c r="AV3111" s="65" t="s">
        <v>130</v>
      </c>
      <c r="AW3111" s="432" t="s">
        <v>18344</v>
      </c>
      <c r="AX3111" s="65" t="s">
        <v>136</v>
      </c>
      <c r="AZ3111" s="59" t="s">
        <v>7268</v>
      </c>
    </row>
    <row r="3112">
      <c r="A3112" s="41">
        <v>2933.0</v>
      </c>
      <c r="B3112" s="126" t="s">
        <v>516</v>
      </c>
      <c r="C3112" s="59" t="s">
        <v>108</v>
      </c>
      <c r="D3112" s="59" t="s">
        <v>241</v>
      </c>
      <c r="F3112" s="65" t="s">
        <v>18330</v>
      </c>
      <c r="G3112" s="65" t="s">
        <v>18368</v>
      </c>
      <c r="H3112" s="65" t="s">
        <v>242</v>
      </c>
      <c r="I3112" s="526">
        <v>45812.0</v>
      </c>
      <c r="J3112" s="859"/>
      <c r="K3112" s="65"/>
      <c r="L3112" s="65"/>
      <c r="M3112" s="65" t="s">
        <v>18332</v>
      </c>
      <c r="N3112" s="65" t="s">
        <v>18333</v>
      </c>
      <c r="O3112" s="65"/>
      <c r="P3112" s="570" t="s">
        <v>18334</v>
      </c>
      <c r="Q3112" s="2289" t="str">
        <f> hyperlink(vlookup(lower(N3112),'File Links'!E:F, 2, FALSE), "LINK")</f>
        <v>LINK</v>
      </c>
      <c r="R3112" s="65" t="s">
        <v>18335</v>
      </c>
      <c r="S3112" s="65" t="s">
        <v>18336</v>
      </c>
      <c r="T3112" s="65"/>
      <c r="U3112" s="65"/>
      <c r="V3112" s="570" t="s">
        <v>18337</v>
      </c>
      <c r="W3112" s="1225"/>
      <c r="X3112" s="2290" t="str">
        <f> hyperlink(vlookup(lower(S3112),'File Links'!E:F, 2, FALSE), "LINK")</f>
        <v>LINK</v>
      </c>
      <c r="Y3112" s="65"/>
      <c r="Z3112" s="65" t="s">
        <v>940</v>
      </c>
      <c r="AA3112" s="65" t="s">
        <v>18338</v>
      </c>
      <c r="AB3112" s="65" t="s">
        <v>7257</v>
      </c>
      <c r="AC3112" s="65" t="s">
        <v>18339</v>
      </c>
      <c r="AD3112" s="65" t="s">
        <v>18369</v>
      </c>
      <c r="AE3112" s="65" t="s">
        <v>489</v>
      </c>
      <c r="AF3112" s="333">
        <v>100.0</v>
      </c>
      <c r="AG3112" s="65" t="s">
        <v>18370</v>
      </c>
      <c r="AH3112" s="65" t="s">
        <v>127</v>
      </c>
      <c r="AI3112" s="2390" t="s">
        <v>18371</v>
      </c>
      <c r="AJ3112" s="333">
        <v>0.001</v>
      </c>
      <c r="AK3112" s="65" t="s">
        <v>128</v>
      </c>
      <c r="AL3112" s="65" t="s">
        <v>179</v>
      </c>
      <c r="AM3112" s="65" t="s">
        <v>130</v>
      </c>
      <c r="AN3112" s="65" t="s">
        <v>131</v>
      </c>
      <c r="AO3112" s="333">
        <v>191.0</v>
      </c>
      <c r="AP3112" s="333">
        <v>4.13</v>
      </c>
      <c r="AQ3112" s="65" t="s">
        <v>166</v>
      </c>
      <c r="AR3112" s="65" t="s">
        <v>18372</v>
      </c>
      <c r="AS3112" s="333">
        <v>0.001</v>
      </c>
      <c r="AT3112" s="65" t="s">
        <v>128</v>
      </c>
      <c r="AU3112" s="65" t="s">
        <v>179</v>
      </c>
      <c r="AV3112" s="65" t="s">
        <v>130</v>
      </c>
      <c r="AW3112" s="432" t="s">
        <v>18344</v>
      </c>
      <c r="AX3112" s="65" t="s">
        <v>136</v>
      </c>
      <c r="AZ3112" s="59" t="s">
        <v>7268</v>
      </c>
    </row>
    <row r="3113">
      <c r="A3113" s="41">
        <v>2934.0</v>
      </c>
      <c r="B3113" s="126" t="s">
        <v>516</v>
      </c>
      <c r="C3113" s="59" t="s">
        <v>108</v>
      </c>
      <c r="D3113" s="59" t="s">
        <v>241</v>
      </c>
      <c r="F3113" s="65" t="s">
        <v>18330</v>
      </c>
      <c r="G3113" s="65" t="s">
        <v>18373</v>
      </c>
      <c r="H3113" s="65" t="s">
        <v>242</v>
      </c>
      <c r="I3113" s="526">
        <v>45812.0</v>
      </c>
      <c r="J3113" s="859"/>
      <c r="K3113" s="65"/>
      <c r="L3113" s="65"/>
      <c r="M3113" s="65" t="s">
        <v>18332</v>
      </c>
      <c r="N3113" s="65" t="s">
        <v>18333</v>
      </c>
      <c r="O3113" s="65"/>
      <c r="P3113" s="570" t="s">
        <v>18334</v>
      </c>
      <c r="Q3113" s="2289" t="str">
        <f> hyperlink(vlookup(lower(N3113),'File Links'!E:F, 2, FALSE), "LINK")</f>
        <v>LINK</v>
      </c>
      <c r="R3113" s="65" t="s">
        <v>18335</v>
      </c>
      <c r="S3113" s="65" t="s">
        <v>18336</v>
      </c>
      <c r="T3113" s="65"/>
      <c r="U3113" s="65"/>
      <c r="V3113" s="570" t="s">
        <v>18337</v>
      </c>
      <c r="W3113" s="1225"/>
      <c r="X3113" s="2290" t="str">
        <f> hyperlink(vlookup(lower(S3113),'File Links'!E:F, 2, FALSE), "LINK")</f>
        <v>LINK</v>
      </c>
      <c r="Y3113" s="65"/>
      <c r="Z3113" s="65" t="s">
        <v>940</v>
      </c>
      <c r="AA3113" s="65" t="s">
        <v>18338</v>
      </c>
      <c r="AB3113" s="65" t="s">
        <v>7257</v>
      </c>
      <c r="AC3113" s="65" t="s">
        <v>18339</v>
      </c>
      <c r="AD3113" s="65" t="s">
        <v>18374</v>
      </c>
      <c r="AE3113" s="65" t="s">
        <v>875</v>
      </c>
      <c r="AF3113" s="333">
        <v>41.0</v>
      </c>
      <c r="AG3113" s="65" t="s">
        <v>18375</v>
      </c>
      <c r="AH3113" s="65" t="s">
        <v>127</v>
      </c>
      <c r="AI3113" s="2390" t="s">
        <v>18376</v>
      </c>
      <c r="AJ3113" s="333">
        <v>0.001</v>
      </c>
      <c r="AK3113" s="65" t="s">
        <v>128</v>
      </c>
      <c r="AL3113" s="65" t="s">
        <v>179</v>
      </c>
      <c r="AM3113" s="65" t="s">
        <v>130</v>
      </c>
      <c r="AN3113" s="65" t="s">
        <v>131</v>
      </c>
      <c r="AO3113" s="333">
        <v>94.0</v>
      </c>
      <c r="AP3113" s="333">
        <v>0.45</v>
      </c>
      <c r="AQ3113" s="65" t="s">
        <v>166</v>
      </c>
      <c r="AR3113" s="65" t="s">
        <v>18377</v>
      </c>
      <c r="AS3113" s="333">
        <v>0.001</v>
      </c>
      <c r="AT3113" s="65" t="s">
        <v>128</v>
      </c>
      <c r="AU3113" s="65" t="s">
        <v>179</v>
      </c>
      <c r="AV3113" s="65" t="s">
        <v>130</v>
      </c>
      <c r="AW3113" s="432" t="s">
        <v>18344</v>
      </c>
      <c r="AX3113" s="65" t="s">
        <v>136</v>
      </c>
      <c r="AZ3113" s="59" t="s">
        <v>7268</v>
      </c>
    </row>
    <row r="3114">
      <c r="A3114" s="41">
        <v>2935.0</v>
      </c>
      <c r="B3114" s="126" t="s">
        <v>516</v>
      </c>
      <c r="C3114" s="59" t="s">
        <v>108</v>
      </c>
      <c r="D3114" s="59" t="s">
        <v>241</v>
      </c>
      <c r="F3114" s="65" t="s">
        <v>18330</v>
      </c>
      <c r="G3114" s="65" t="s">
        <v>18378</v>
      </c>
      <c r="H3114" s="65" t="s">
        <v>242</v>
      </c>
      <c r="I3114" s="526">
        <v>45812.0</v>
      </c>
      <c r="J3114" s="859"/>
      <c r="K3114" s="65"/>
      <c r="L3114" s="65"/>
      <c r="M3114" s="65" t="s">
        <v>18332</v>
      </c>
      <c r="N3114" s="65" t="s">
        <v>18333</v>
      </c>
      <c r="O3114" s="65"/>
      <c r="P3114" s="570" t="s">
        <v>18334</v>
      </c>
      <c r="Q3114" s="2289" t="str">
        <f> hyperlink(vlookup(lower(N3114),'File Links'!E:F, 2, FALSE), "LINK")</f>
        <v>LINK</v>
      </c>
      <c r="R3114" s="65" t="s">
        <v>18335</v>
      </c>
      <c r="S3114" s="65" t="s">
        <v>18336</v>
      </c>
      <c r="T3114" s="65"/>
      <c r="U3114" s="65"/>
      <c r="V3114" s="570" t="s">
        <v>18337</v>
      </c>
      <c r="W3114" s="1225"/>
      <c r="X3114" s="2290" t="str">
        <f> hyperlink(vlookup(lower(S3114),'File Links'!E:F, 2, FALSE), "LINK")</f>
        <v>LINK</v>
      </c>
      <c r="Y3114" s="65"/>
      <c r="Z3114" s="65" t="s">
        <v>940</v>
      </c>
      <c r="AA3114" s="65" t="s">
        <v>18338</v>
      </c>
      <c r="AB3114" s="65" t="s">
        <v>7257</v>
      </c>
      <c r="AC3114" s="65" t="s">
        <v>18339</v>
      </c>
      <c r="AD3114" s="65" t="s">
        <v>18379</v>
      </c>
      <c r="AE3114" s="65" t="s">
        <v>875</v>
      </c>
      <c r="AF3114" s="65" t="s">
        <v>131</v>
      </c>
      <c r="AG3114" s="65" t="s">
        <v>18380</v>
      </c>
      <c r="AH3114" s="65" t="s">
        <v>127</v>
      </c>
      <c r="AI3114" s="2390" t="s">
        <v>18381</v>
      </c>
      <c r="AJ3114" s="333">
        <v>0.05</v>
      </c>
      <c r="AK3114" s="65" t="s">
        <v>328</v>
      </c>
      <c r="AL3114" s="65" t="s">
        <v>179</v>
      </c>
      <c r="AM3114" s="65" t="s">
        <v>130</v>
      </c>
      <c r="AN3114" s="65" t="s">
        <v>131</v>
      </c>
      <c r="AO3114" s="333">
        <v>174.0</v>
      </c>
      <c r="AP3114" s="333">
        <v>0.04</v>
      </c>
      <c r="AQ3114" s="65" t="s">
        <v>166</v>
      </c>
      <c r="AR3114" s="65" t="s">
        <v>18382</v>
      </c>
      <c r="AS3114" s="333">
        <v>0.765</v>
      </c>
      <c r="AT3114" s="65" t="s">
        <v>165</v>
      </c>
      <c r="AU3114" s="65" t="s">
        <v>179</v>
      </c>
      <c r="AV3114" s="65" t="s">
        <v>130</v>
      </c>
      <c r="AW3114" s="432" t="s">
        <v>18344</v>
      </c>
      <c r="AX3114" s="65" t="s">
        <v>136</v>
      </c>
      <c r="AZ3114" s="59" t="s">
        <v>7268</v>
      </c>
    </row>
    <row r="3115">
      <c r="A3115" s="41">
        <v>2936.0</v>
      </c>
      <c r="B3115" s="126" t="s">
        <v>516</v>
      </c>
      <c r="C3115" s="59" t="s">
        <v>108</v>
      </c>
      <c r="D3115" s="59" t="s">
        <v>241</v>
      </c>
      <c r="F3115" s="65" t="s">
        <v>18330</v>
      </c>
      <c r="G3115" s="65" t="s">
        <v>18383</v>
      </c>
      <c r="H3115" s="65" t="s">
        <v>242</v>
      </c>
      <c r="I3115" s="526">
        <v>45812.0</v>
      </c>
      <c r="J3115" s="859"/>
      <c r="K3115" s="65"/>
      <c r="L3115" s="65"/>
      <c r="M3115" s="65" t="s">
        <v>18332</v>
      </c>
      <c r="N3115" s="65" t="s">
        <v>18333</v>
      </c>
      <c r="O3115" s="65"/>
      <c r="P3115" s="570" t="s">
        <v>18334</v>
      </c>
      <c r="Q3115" s="2289" t="str">
        <f> hyperlink(vlookup(lower(N3115),'File Links'!E:F, 2, FALSE), "LINK")</f>
        <v>LINK</v>
      </c>
      <c r="R3115" s="65" t="s">
        <v>18335</v>
      </c>
      <c r="S3115" s="65" t="s">
        <v>18336</v>
      </c>
      <c r="T3115" s="65"/>
      <c r="U3115" s="65"/>
      <c r="V3115" s="570" t="s">
        <v>18337</v>
      </c>
      <c r="W3115" s="1225"/>
      <c r="X3115" s="2290" t="str">
        <f> hyperlink(vlookup(lower(S3115),'File Links'!E:F, 2, FALSE), "LINK")</f>
        <v>LINK</v>
      </c>
      <c r="Y3115" s="65"/>
      <c r="Z3115" s="65" t="s">
        <v>940</v>
      </c>
      <c r="AA3115" s="65" t="s">
        <v>18338</v>
      </c>
      <c r="AB3115" s="65" t="s">
        <v>7257</v>
      </c>
      <c r="AC3115" s="65" t="s">
        <v>18339</v>
      </c>
      <c r="AD3115" s="65" t="s">
        <v>18384</v>
      </c>
      <c r="AE3115" s="65" t="s">
        <v>18385</v>
      </c>
      <c r="AF3115" s="333">
        <v>41.0</v>
      </c>
      <c r="AG3115" s="65" t="s">
        <v>18386</v>
      </c>
      <c r="AH3115" s="65" t="s">
        <v>127</v>
      </c>
      <c r="AI3115" s="2390" t="s">
        <v>18387</v>
      </c>
      <c r="AJ3115" s="333">
        <v>0.001</v>
      </c>
      <c r="AK3115" s="65" t="s">
        <v>128</v>
      </c>
      <c r="AL3115" s="65" t="s">
        <v>179</v>
      </c>
      <c r="AM3115" s="65" t="s">
        <v>130</v>
      </c>
      <c r="AN3115" s="65" t="s">
        <v>131</v>
      </c>
      <c r="AO3115" s="333">
        <v>94.0</v>
      </c>
      <c r="AP3115" s="333">
        <v>0.02</v>
      </c>
      <c r="AQ3115" s="65" t="s">
        <v>166</v>
      </c>
      <c r="AR3115" s="65" t="s">
        <v>18388</v>
      </c>
      <c r="AS3115" s="333">
        <v>0.847</v>
      </c>
      <c r="AT3115" s="65" t="s">
        <v>165</v>
      </c>
      <c r="AU3115" s="65" t="s">
        <v>179</v>
      </c>
      <c r="AV3115" s="65" t="s">
        <v>130</v>
      </c>
      <c r="AW3115" s="432" t="s">
        <v>18344</v>
      </c>
      <c r="AX3115" s="65" t="s">
        <v>136</v>
      </c>
      <c r="AZ3115" s="59" t="s">
        <v>7268</v>
      </c>
    </row>
    <row r="3116">
      <c r="A3116" s="41">
        <v>2937.0</v>
      </c>
      <c r="B3116" s="126" t="s">
        <v>516</v>
      </c>
      <c r="C3116" s="59" t="s">
        <v>108</v>
      </c>
      <c r="D3116" s="59" t="s">
        <v>241</v>
      </c>
      <c r="F3116" s="65" t="s">
        <v>18330</v>
      </c>
      <c r="G3116" s="65" t="s">
        <v>18389</v>
      </c>
      <c r="H3116" s="65" t="s">
        <v>242</v>
      </c>
      <c r="I3116" s="526">
        <v>45812.0</v>
      </c>
      <c r="J3116" s="859"/>
      <c r="K3116" s="65"/>
      <c r="L3116" s="65"/>
      <c r="M3116" s="65" t="s">
        <v>18332</v>
      </c>
      <c r="N3116" s="65" t="s">
        <v>18333</v>
      </c>
      <c r="O3116" s="65"/>
      <c r="P3116" s="570" t="s">
        <v>18334</v>
      </c>
      <c r="Q3116" s="2289" t="str">
        <f> hyperlink(vlookup(lower(N3116),'File Links'!E:F, 2, FALSE), "LINK")</f>
        <v>LINK</v>
      </c>
      <c r="R3116" s="65" t="s">
        <v>18335</v>
      </c>
      <c r="S3116" s="65" t="s">
        <v>18336</v>
      </c>
      <c r="T3116" s="65"/>
      <c r="U3116" s="65"/>
      <c r="V3116" s="570" t="s">
        <v>18337</v>
      </c>
      <c r="W3116" s="1225"/>
      <c r="X3116" s="2290" t="str">
        <f> hyperlink(vlookup(lower(S3116),'File Links'!E:F, 2, FALSE), "LINK")</f>
        <v>LINK</v>
      </c>
      <c r="Y3116" s="65"/>
      <c r="Z3116" s="65" t="s">
        <v>940</v>
      </c>
      <c r="AA3116" s="65" t="s">
        <v>18338</v>
      </c>
      <c r="AB3116" s="65" t="s">
        <v>7257</v>
      </c>
      <c r="AC3116" s="65" t="s">
        <v>18339</v>
      </c>
      <c r="AD3116" s="65" t="s">
        <v>18390</v>
      </c>
      <c r="AE3116" s="65" t="s">
        <v>1035</v>
      </c>
      <c r="AF3116" s="333">
        <v>82.0</v>
      </c>
      <c r="AG3116" s="65" t="s">
        <v>18391</v>
      </c>
      <c r="AH3116" s="65" t="s">
        <v>127</v>
      </c>
      <c r="AI3116" s="2390" t="s">
        <v>18392</v>
      </c>
      <c r="AJ3116" s="333">
        <v>0.05</v>
      </c>
      <c r="AK3116" s="65" t="s">
        <v>328</v>
      </c>
      <c r="AL3116" s="65" t="s">
        <v>179</v>
      </c>
      <c r="AM3116" s="65" t="s">
        <v>130</v>
      </c>
      <c r="AN3116" s="65" t="s">
        <v>131</v>
      </c>
      <c r="AO3116" s="333">
        <v>171.0</v>
      </c>
      <c r="AP3116" s="333">
        <v>0.04</v>
      </c>
      <c r="AQ3116" s="65" t="s">
        <v>166</v>
      </c>
      <c r="AR3116" s="65" t="s">
        <v>18393</v>
      </c>
      <c r="AS3116" s="333">
        <v>0.809</v>
      </c>
      <c r="AT3116" s="65" t="s">
        <v>165</v>
      </c>
      <c r="AU3116" s="65" t="s">
        <v>179</v>
      </c>
      <c r="AV3116" s="65" t="s">
        <v>130</v>
      </c>
      <c r="AW3116" s="432" t="s">
        <v>18344</v>
      </c>
      <c r="AX3116" s="65" t="s">
        <v>136</v>
      </c>
      <c r="AZ3116" s="59" t="s">
        <v>7268</v>
      </c>
    </row>
    <row r="3117">
      <c r="A3117" s="41">
        <v>2938.0</v>
      </c>
      <c r="B3117" s="126" t="s">
        <v>516</v>
      </c>
      <c r="C3117" s="59" t="s">
        <v>108</v>
      </c>
      <c r="D3117" s="59" t="s">
        <v>241</v>
      </c>
      <c r="F3117" s="65" t="s">
        <v>18330</v>
      </c>
      <c r="G3117" s="65" t="s">
        <v>18394</v>
      </c>
      <c r="H3117" s="65" t="s">
        <v>242</v>
      </c>
      <c r="I3117" s="526">
        <v>45812.0</v>
      </c>
      <c r="J3117" s="859"/>
      <c r="K3117" s="65"/>
      <c r="L3117" s="65"/>
      <c r="M3117" s="65" t="s">
        <v>18332</v>
      </c>
      <c r="N3117" s="65" t="s">
        <v>18333</v>
      </c>
      <c r="O3117" s="65"/>
      <c r="P3117" s="570" t="s">
        <v>18334</v>
      </c>
      <c r="Q3117" s="2289" t="str">
        <f> hyperlink(vlookup(lower(N3117),'File Links'!E:F, 2, FALSE), "LINK")</f>
        <v>LINK</v>
      </c>
      <c r="R3117" s="65" t="s">
        <v>18335</v>
      </c>
      <c r="S3117" s="65" t="s">
        <v>18336</v>
      </c>
      <c r="T3117" s="65"/>
      <c r="U3117" s="65"/>
      <c r="V3117" s="570" t="s">
        <v>18337</v>
      </c>
      <c r="W3117" s="1225"/>
      <c r="X3117" s="2290" t="str">
        <f> hyperlink(vlookup(lower(S3117),'File Links'!E:F, 2, FALSE), "LINK")</f>
        <v>LINK</v>
      </c>
      <c r="Y3117" s="65"/>
      <c r="Z3117" s="65" t="s">
        <v>940</v>
      </c>
      <c r="AA3117" s="65" t="s">
        <v>18338</v>
      </c>
      <c r="AB3117" s="65" t="s">
        <v>7257</v>
      </c>
      <c r="AC3117" s="65" t="s">
        <v>18339</v>
      </c>
      <c r="AD3117" s="65" t="s">
        <v>18395</v>
      </c>
      <c r="AE3117" s="65" t="s">
        <v>1035</v>
      </c>
      <c r="AF3117" s="333">
        <v>41.0</v>
      </c>
      <c r="AG3117" s="65" t="s">
        <v>18396</v>
      </c>
      <c r="AH3117" s="65" t="s">
        <v>127</v>
      </c>
      <c r="AI3117" s="2390" t="s">
        <v>18397</v>
      </c>
      <c r="AJ3117" s="333">
        <v>0.001</v>
      </c>
      <c r="AK3117" s="65" t="s">
        <v>128</v>
      </c>
      <c r="AL3117" s="65" t="s">
        <v>179</v>
      </c>
      <c r="AM3117" s="65" t="s">
        <v>130</v>
      </c>
      <c r="AN3117" s="65" t="s">
        <v>131</v>
      </c>
      <c r="AO3117" s="333">
        <v>94.0</v>
      </c>
      <c r="AP3117" s="333">
        <v>1.55</v>
      </c>
      <c r="AQ3117" s="65" t="s">
        <v>166</v>
      </c>
      <c r="AR3117" s="65" t="s">
        <v>18398</v>
      </c>
      <c r="AS3117" s="333">
        <v>0.001</v>
      </c>
      <c r="AT3117" s="65" t="s">
        <v>128</v>
      </c>
      <c r="AU3117" s="65" t="s">
        <v>179</v>
      </c>
      <c r="AV3117" s="65" t="s">
        <v>130</v>
      </c>
      <c r="AW3117" s="432" t="s">
        <v>18344</v>
      </c>
      <c r="AX3117" s="65" t="s">
        <v>136</v>
      </c>
      <c r="AZ3117" s="59" t="s">
        <v>7268</v>
      </c>
    </row>
    <row r="3118">
      <c r="A3118" s="41">
        <v>2939.0</v>
      </c>
      <c r="B3118" s="126" t="s">
        <v>516</v>
      </c>
      <c r="C3118" s="59" t="s">
        <v>108</v>
      </c>
      <c r="D3118" s="59" t="s">
        <v>241</v>
      </c>
      <c r="F3118" s="65" t="s">
        <v>18330</v>
      </c>
      <c r="G3118" s="65" t="s">
        <v>18399</v>
      </c>
      <c r="H3118" s="65" t="s">
        <v>242</v>
      </c>
      <c r="I3118" s="526">
        <v>45812.0</v>
      </c>
      <c r="J3118" s="859"/>
      <c r="K3118" s="65"/>
      <c r="L3118" s="65"/>
      <c r="M3118" s="65" t="s">
        <v>18332</v>
      </c>
      <c r="N3118" s="65" t="s">
        <v>18333</v>
      </c>
      <c r="O3118" s="65"/>
      <c r="P3118" s="570" t="s">
        <v>18334</v>
      </c>
      <c r="Q3118" s="2289" t="str">
        <f> hyperlink(vlookup(lower(N3118),'File Links'!E:F, 2, FALSE), "LINK")</f>
        <v>LINK</v>
      </c>
      <c r="R3118" s="65" t="s">
        <v>18335</v>
      </c>
      <c r="S3118" s="65" t="s">
        <v>18336</v>
      </c>
      <c r="T3118" s="65"/>
      <c r="U3118" s="65"/>
      <c r="V3118" s="570" t="s">
        <v>18337</v>
      </c>
      <c r="W3118" s="1225"/>
      <c r="X3118" s="2290" t="str">
        <f> hyperlink(vlookup(lower(S3118),'File Links'!E:F, 2, FALSE), "LINK")</f>
        <v>LINK</v>
      </c>
      <c r="Y3118" s="65"/>
      <c r="Z3118" s="65" t="s">
        <v>940</v>
      </c>
      <c r="AA3118" s="65" t="s">
        <v>18338</v>
      </c>
      <c r="AB3118" s="65" t="s">
        <v>7257</v>
      </c>
      <c r="AC3118" s="65" t="s">
        <v>18339</v>
      </c>
      <c r="AD3118" s="65" t="s">
        <v>18400</v>
      </c>
      <c r="AE3118" s="65" t="s">
        <v>1035</v>
      </c>
      <c r="AF3118" s="333">
        <v>85.0</v>
      </c>
      <c r="AG3118" s="65" t="s">
        <v>18401</v>
      </c>
      <c r="AH3118" s="65" t="s">
        <v>127</v>
      </c>
      <c r="AI3118" s="2390" t="s">
        <v>18402</v>
      </c>
      <c r="AJ3118" s="333">
        <v>0.001</v>
      </c>
      <c r="AK3118" s="65" t="s">
        <v>128</v>
      </c>
      <c r="AL3118" s="65" t="s">
        <v>179</v>
      </c>
      <c r="AM3118" s="65" t="s">
        <v>130</v>
      </c>
      <c r="AN3118" s="65" t="s">
        <v>131</v>
      </c>
      <c r="AO3118" s="333">
        <v>181.0</v>
      </c>
      <c r="AP3118" s="333">
        <v>0.02</v>
      </c>
      <c r="AQ3118" s="65" t="s">
        <v>166</v>
      </c>
      <c r="AR3118" s="65" t="s">
        <v>18403</v>
      </c>
      <c r="AS3118" s="333">
        <v>0.898</v>
      </c>
      <c r="AT3118" s="65" t="s">
        <v>165</v>
      </c>
      <c r="AU3118" s="65" t="s">
        <v>179</v>
      </c>
      <c r="AV3118" s="65" t="s">
        <v>130</v>
      </c>
      <c r="AW3118" s="432" t="s">
        <v>18344</v>
      </c>
      <c r="AX3118" s="65" t="s">
        <v>136</v>
      </c>
      <c r="AZ3118" s="59" t="s">
        <v>7268</v>
      </c>
    </row>
    <row r="3119">
      <c r="A3119" s="41">
        <v>2728.0</v>
      </c>
      <c r="B3119" s="126" t="s">
        <v>107</v>
      </c>
      <c r="C3119" s="59" t="s">
        <v>108</v>
      </c>
      <c r="D3119" s="59" t="s">
        <v>983</v>
      </c>
      <c r="F3119" s="65" t="s">
        <v>7600</v>
      </c>
      <c r="G3119" s="156" t="s">
        <v>7601</v>
      </c>
      <c r="H3119" s="156" t="s">
        <v>7203</v>
      </c>
      <c r="I3119" s="1284" t="s">
        <v>112</v>
      </c>
      <c r="J3119" s="537">
        <v>45736.0</v>
      </c>
      <c r="K3119" s="156" t="s">
        <v>131</v>
      </c>
      <c r="L3119" s="156" t="s">
        <v>7609</v>
      </c>
      <c r="M3119" s="156" t="s">
        <v>7588</v>
      </c>
      <c r="N3119" s="156" t="s">
        <v>7589</v>
      </c>
      <c r="O3119" s="153">
        <v>1.0</v>
      </c>
      <c r="P3119" s="379" t="s">
        <v>7590</v>
      </c>
      <c r="Q3119" s="2391" t="str">
        <f t="array" ref="Q3119"> if(iserror(MATCH(V3119, 'File Links'!C:C, 0)), "N/A", HYPERLINK(INDEX('File Links'!B:B, MATCH(P3119, 'File Links'!C:C, 0))))</f>
        <v>https://drive.google.com/file/d/1-8hoTcDzN7GjN92fqlhu7SLhxRSQTUrd/view?usp=drivesdk</v>
      </c>
      <c r="R3119" s="156" t="s">
        <v>7604</v>
      </c>
      <c r="S3119" s="156" t="s">
        <v>7605</v>
      </c>
      <c r="T3119" s="156" t="s">
        <v>131</v>
      </c>
      <c r="U3119" s="153">
        <v>1.0</v>
      </c>
      <c r="V3119" s="379" t="s">
        <v>7606</v>
      </c>
      <c r="W3119" s="156" t="s">
        <v>7615</v>
      </c>
      <c r="X3119" s="2392" t="str">
        <f t="array" ref="X3119"> if(iserror(MATCH(V3119, 'File Links'!C:C, 0)), "N/A", HYPERLINK(INDEX('File Links'!B:B, MATCH(V3119, 'File Links'!C:C, 0))))</f>
        <v>https://drive.google.com/file/d/1x9sfN1Qyptlpks3NPyyD6PckLhoE6G6J/view?usp=drivesdk</v>
      </c>
      <c r="Y3119" s="156"/>
      <c r="Z3119" s="156" t="s">
        <v>219</v>
      </c>
      <c r="AA3119" s="156" t="s">
        <v>7594</v>
      </c>
      <c r="AB3119" s="156" t="s">
        <v>7616</v>
      </c>
      <c r="AC3119" s="156" t="s">
        <v>7594</v>
      </c>
      <c r="AD3119" s="156" t="s">
        <v>7617</v>
      </c>
      <c r="AE3119" s="156" t="s">
        <v>2764</v>
      </c>
      <c r="AF3119" s="153">
        <v>40.0</v>
      </c>
      <c r="AG3119" s="153">
        <v>0.52</v>
      </c>
      <c r="AH3119" s="156" t="s">
        <v>208</v>
      </c>
      <c r="AI3119" s="156" t="s">
        <v>2764</v>
      </c>
      <c r="AJ3119" s="153">
        <v>0.001</v>
      </c>
      <c r="AK3119" s="156" t="s">
        <v>165</v>
      </c>
      <c r="AL3119" s="156" t="s">
        <v>179</v>
      </c>
      <c r="AM3119" s="156" t="s">
        <v>130</v>
      </c>
      <c r="AN3119" s="327" t="s">
        <v>131</v>
      </c>
      <c r="AO3119" s="153">
        <v>240.0</v>
      </c>
      <c r="AP3119" s="1056">
        <v>0.176</v>
      </c>
      <c r="AQ3119" s="156" t="s">
        <v>166</v>
      </c>
      <c r="AR3119" s="156" t="s">
        <v>500</v>
      </c>
      <c r="AS3119" s="153">
        <v>0.362</v>
      </c>
      <c r="AT3119" s="156" t="s">
        <v>165</v>
      </c>
      <c r="AU3119" s="156" t="s">
        <v>179</v>
      </c>
      <c r="AV3119" s="156" t="s">
        <v>130</v>
      </c>
      <c r="AW3119" s="1463" t="s">
        <v>7608</v>
      </c>
      <c r="AX3119" s="156" t="s">
        <v>136</v>
      </c>
      <c r="AY3119" s="65"/>
      <c r="AZ3119" s="59" t="s">
        <v>137</v>
      </c>
      <c r="BA3119" s="69"/>
    </row>
    <row r="3120">
      <c r="A3120" s="41">
        <v>2978.0</v>
      </c>
      <c r="B3120" s="126" t="s">
        <v>107</v>
      </c>
      <c r="C3120" s="59" t="s">
        <v>108</v>
      </c>
      <c r="D3120" s="59" t="s">
        <v>2923</v>
      </c>
      <c r="F3120" s="65" t="s">
        <v>7611</v>
      </c>
      <c r="G3120" s="156" t="s">
        <v>7612</v>
      </c>
      <c r="H3120" s="156" t="s">
        <v>7585</v>
      </c>
      <c r="I3120" s="1284" t="s">
        <v>7204</v>
      </c>
      <c r="J3120" s="65"/>
      <c r="K3120" s="156" t="s">
        <v>7602</v>
      </c>
      <c r="L3120" s="156" t="s">
        <v>18404</v>
      </c>
      <c r="M3120" s="156" t="s">
        <v>7588</v>
      </c>
      <c r="N3120" s="156" t="s">
        <v>7589</v>
      </c>
      <c r="O3120" s="153">
        <v>1.0</v>
      </c>
      <c r="P3120" s="379" t="s">
        <v>7590</v>
      </c>
      <c r="Q3120" s="2391" t="str">
        <f t="array" ref="Q3120"> if(iserror(MATCH(V3120, 'File Links'!C:C, 0)), "N/A", HYPERLINK(INDEX('File Links'!B:B, MATCH(P3120, 'File Links'!C:C, 0))))</f>
        <v>https://drive.google.com/file/d/1-8hoTcDzN7GjN92fqlhu7SLhxRSQTUrd/view?usp=drivesdk</v>
      </c>
      <c r="R3120" s="156" t="s">
        <v>7614</v>
      </c>
      <c r="S3120" s="156" t="s">
        <v>7605</v>
      </c>
      <c r="T3120" s="65" t="s">
        <v>131</v>
      </c>
      <c r="U3120" s="333">
        <v>2.0</v>
      </c>
      <c r="V3120" s="156" t="s">
        <v>7606</v>
      </c>
      <c r="W3120" s="156" t="s">
        <v>202</v>
      </c>
      <c r="X3120" s="2392" t="str">
        <f t="array" ref="X3120"> if(iserror(MATCH(V3120, 'File Links'!C:C, 0)), "N/A", HYPERLINK(INDEX('File Links'!B:B, MATCH(V3120, 'File Links'!C:C, 0))))</f>
        <v>https://drive.google.com/file/d/1x9sfN1Qyptlpks3NPyyD6PckLhoE6G6J/view?usp=drivesdk</v>
      </c>
      <c r="Y3120" s="65"/>
      <c r="Z3120" s="156" t="s">
        <v>219</v>
      </c>
      <c r="AA3120" s="156" t="s">
        <v>7594</v>
      </c>
      <c r="AB3120" s="156" t="s">
        <v>7595</v>
      </c>
      <c r="AC3120" s="156" t="s">
        <v>7596</v>
      </c>
      <c r="AD3120" s="156" t="s">
        <v>7597</v>
      </c>
      <c r="AE3120" s="153">
        <v>2.0</v>
      </c>
      <c r="AF3120" s="153">
        <v>40.0</v>
      </c>
      <c r="AG3120" s="153">
        <v>0.52</v>
      </c>
      <c r="AH3120" s="156" t="s">
        <v>208</v>
      </c>
      <c r="AI3120" s="153">
        <v>2.0</v>
      </c>
      <c r="AJ3120" s="153">
        <v>0.001</v>
      </c>
      <c r="AK3120" s="156" t="s">
        <v>165</v>
      </c>
      <c r="AL3120" s="156" t="s">
        <v>179</v>
      </c>
      <c r="AM3120" s="156" t="s">
        <v>130</v>
      </c>
      <c r="AN3120" s="156" t="s">
        <v>131</v>
      </c>
      <c r="AO3120" s="153">
        <v>90.0</v>
      </c>
      <c r="AP3120" s="153">
        <v>0.19</v>
      </c>
      <c r="AQ3120" s="156" t="s">
        <v>208</v>
      </c>
      <c r="AR3120" s="156" t="s">
        <v>210</v>
      </c>
      <c r="AS3120" s="153" t="s">
        <v>131</v>
      </c>
      <c r="AT3120" s="153" t="s">
        <v>131</v>
      </c>
      <c r="AU3120" s="156" t="s">
        <v>179</v>
      </c>
      <c r="AV3120" s="156" t="s">
        <v>130</v>
      </c>
      <c r="AW3120" s="432" t="s">
        <v>18405</v>
      </c>
      <c r="AX3120" s="156" t="s">
        <v>431</v>
      </c>
    </row>
    <row r="3121">
      <c r="A3121" s="1390">
        <v>2980.0</v>
      </c>
      <c r="B3121" s="692" t="s">
        <v>107</v>
      </c>
      <c r="C3121" s="224" t="s">
        <v>108</v>
      </c>
      <c r="D3121" s="224" t="s">
        <v>2923</v>
      </c>
      <c r="E3121" s="225"/>
      <c r="F3121" s="234" t="s">
        <v>7718</v>
      </c>
      <c r="G3121" s="232" t="s">
        <v>7719</v>
      </c>
      <c r="H3121" s="232" t="s">
        <v>7585</v>
      </c>
      <c r="I3121" s="1391" t="s">
        <v>7707</v>
      </c>
      <c r="J3121" s="234"/>
      <c r="K3121" s="232" t="s">
        <v>7712</v>
      </c>
      <c r="L3121" s="232" t="s">
        <v>7316</v>
      </c>
      <c r="M3121" s="232" t="s">
        <v>7689</v>
      </c>
      <c r="N3121" s="232" t="s">
        <v>7690</v>
      </c>
      <c r="O3121" s="693">
        <v>1.0</v>
      </c>
      <c r="P3121" s="232" t="s">
        <v>7691</v>
      </c>
      <c r="Q3121" s="2393" t="str">
        <f t="array" ref="Q3121"> if(iserror(MATCH(V3121, 'File Links'!C:C, 0)), "N/A", HYPERLINK(INDEX('File Links'!B:B, MATCH(P3121, 'File Links'!C:C, 0))))</f>
        <v>https://drive.google.com/file/d/13IdVrs_fFWj8hYxe5OVSE67tGuCcKPct/view?usp=drivesdk</v>
      </c>
      <c r="R3121" s="232" t="s">
        <v>7720</v>
      </c>
      <c r="S3121" s="232" t="s">
        <v>7693</v>
      </c>
      <c r="T3121" s="232" t="s">
        <v>131</v>
      </c>
      <c r="U3121" s="693">
        <v>4.0</v>
      </c>
      <c r="V3121" s="232" t="s">
        <v>7694</v>
      </c>
      <c r="W3121" s="232" t="s">
        <v>202</v>
      </c>
      <c r="X3121" s="2394" t="str">
        <f t="array" ref="X3121"> if(iserror(MATCH(V3121, 'File Links'!C:C, 0)), "N/A", HYPERLINK(INDEX('File Links'!B:B, MATCH(V3121, 'File Links'!C:C, 0))))</f>
        <v>https://drive.google.com/file/d/1JdFF8pu65hv5yMW8kuJKZT-omhqW3568/view?usp=drivesdk</v>
      </c>
      <c r="Y3121" s="234"/>
      <c r="Z3121" s="232" t="s">
        <v>219</v>
      </c>
      <c r="AA3121" s="232" t="s">
        <v>7695</v>
      </c>
      <c r="AB3121" s="232" t="s">
        <v>7696</v>
      </c>
      <c r="AC3121" s="232" t="s">
        <v>7695</v>
      </c>
      <c r="AD3121" s="232" t="s">
        <v>7709</v>
      </c>
      <c r="AE3121" s="232" t="s">
        <v>7698</v>
      </c>
      <c r="AF3121" s="693">
        <v>62.0</v>
      </c>
      <c r="AG3121" s="693">
        <v>1.21</v>
      </c>
      <c r="AH3121" s="232" t="s">
        <v>166</v>
      </c>
      <c r="AI3121" s="232" t="s">
        <v>7699</v>
      </c>
      <c r="AJ3121" s="693" t="s">
        <v>131</v>
      </c>
      <c r="AK3121" s="693" t="s">
        <v>131</v>
      </c>
      <c r="AL3121" s="232" t="s">
        <v>179</v>
      </c>
      <c r="AM3121" s="232" t="s">
        <v>130</v>
      </c>
      <c r="AN3121" s="232" t="s">
        <v>131</v>
      </c>
      <c r="AO3121" s="693">
        <v>153.0</v>
      </c>
      <c r="AP3121" s="693">
        <v>0.042</v>
      </c>
      <c r="AQ3121" s="232" t="s">
        <v>166</v>
      </c>
      <c r="AR3121" s="232" t="s">
        <v>7721</v>
      </c>
      <c r="AS3121" s="693" t="s">
        <v>131</v>
      </c>
      <c r="AT3121" s="693" t="s">
        <v>131</v>
      </c>
      <c r="AU3121" s="232" t="s">
        <v>179</v>
      </c>
      <c r="AV3121" s="232" t="s">
        <v>130</v>
      </c>
      <c r="AW3121" s="234" t="s">
        <v>131</v>
      </c>
      <c r="AX3121" s="232" t="s">
        <v>144</v>
      </c>
      <c r="AY3121" s="225"/>
      <c r="AZ3121" s="224" t="s">
        <v>685</v>
      </c>
      <c r="BA3121" s="225"/>
    </row>
    <row r="3122">
      <c r="A3122" s="1390">
        <v>2979.0</v>
      </c>
      <c r="B3122" s="692" t="s">
        <v>145</v>
      </c>
      <c r="C3122" s="224" t="s">
        <v>108</v>
      </c>
      <c r="D3122" s="224" t="s">
        <v>1434</v>
      </c>
      <c r="E3122" s="225"/>
      <c r="F3122" s="692" t="s">
        <v>7718</v>
      </c>
      <c r="G3122" s="692" t="s">
        <v>18406</v>
      </c>
      <c r="H3122" s="231" t="s">
        <v>1434</v>
      </c>
      <c r="I3122" s="695" t="s">
        <v>112</v>
      </c>
      <c r="J3122" s="1946">
        <v>45740.0</v>
      </c>
      <c r="K3122" s="231" t="s">
        <v>7722</v>
      </c>
      <c r="L3122" s="692" t="s">
        <v>7316</v>
      </c>
      <c r="M3122" s="692" t="s">
        <v>7689</v>
      </c>
      <c r="N3122" s="692" t="s">
        <v>7690</v>
      </c>
      <c r="O3122" s="2395">
        <v>1.0</v>
      </c>
      <c r="P3122" s="231" t="s">
        <v>7691</v>
      </c>
      <c r="Q3122" s="2393" t="str">
        <f t="array" ref="Q3122"> if(iserror(MATCH(V3122, 'File Links'!C:C, 0)), "N/A", HYPERLINK(INDEX('File Links'!B:B, MATCH(P3122, 'File Links'!C:C, 0))))</f>
        <v>https://drive.google.com/file/d/13IdVrs_fFWj8hYxe5OVSE67tGuCcKPct/view?usp=drivesdk</v>
      </c>
      <c r="R3122" s="1948" t="s">
        <v>7720</v>
      </c>
      <c r="S3122" s="692" t="s">
        <v>7693</v>
      </c>
      <c r="T3122" s="2396"/>
      <c r="U3122" s="1947">
        <v>4.0</v>
      </c>
      <c r="V3122" s="231" t="s">
        <v>7694</v>
      </c>
      <c r="W3122" s="340" t="s">
        <v>7723</v>
      </c>
      <c r="X3122" s="2394" t="str">
        <f t="array" ref="X3122"> if(iserror(MATCH(V3122, 'File Links'!C:C, 0)), "N/A", HYPERLINK(INDEX('File Links'!B:B, MATCH(V3122, 'File Links'!C:C, 0))))</f>
        <v>https://drive.google.com/file/d/1JdFF8pu65hv5yMW8kuJKZT-omhqW3568/view?usp=drivesdk</v>
      </c>
      <c r="Y3122" s="692"/>
      <c r="Z3122" s="231" t="s">
        <v>219</v>
      </c>
      <c r="AA3122" s="692" t="s">
        <v>7700</v>
      </c>
      <c r="AB3122" s="231" t="s">
        <v>7701</v>
      </c>
      <c r="AC3122" s="231" t="s">
        <v>7717</v>
      </c>
      <c r="AD3122" s="231" t="s">
        <v>7703</v>
      </c>
      <c r="AE3122" s="231">
        <v>4.0</v>
      </c>
      <c r="AF3122" s="2397">
        <v>62.0</v>
      </c>
      <c r="AG3122" s="695" t="s">
        <v>7704</v>
      </c>
      <c r="AH3122" s="231" t="s">
        <v>127</v>
      </c>
      <c r="AI3122" s="231" t="s">
        <v>843</v>
      </c>
      <c r="AJ3122" s="695">
        <v>0.001</v>
      </c>
      <c r="AK3122" s="231" t="s">
        <v>128</v>
      </c>
      <c r="AL3122" s="231" t="s">
        <v>179</v>
      </c>
      <c r="AM3122" s="692" t="s">
        <v>130</v>
      </c>
      <c r="AN3122" s="692" t="s">
        <v>131</v>
      </c>
      <c r="AO3122" s="695">
        <v>153.0</v>
      </c>
      <c r="AP3122" s="695">
        <v>-0.141</v>
      </c>
      <c r="AQ3122" s="231" t="s">
        <v>166</v>
      </c>
      <c r="AR3122" s="231" t="s">
        <v>7724</v>
      </c>
      <c r="AS3122" s="695">
        <v>0.388</v>
      </c>
      <c r="AT3122" s="231" t="s">
        <v>165</v>
      </c>
      <c r="AU3122" s="231" t="s">
        <v>179</v>
      </c>
      <c r="AV3122" s="692" t="s">
        <v>130</v>
      </c>
      <c r="AW3122" s="1950" t="s">
        <v>131</v>
      </c>
      <c r="AX3122" s="692" t="s">
        <v>144</v>
      </c>
      <c r="AY3122" s="225"/>
      <c r="AZ3122" s="224" t="s">
        <v>685</v>
      </c>
      <c r="BA3122" s="225"/>
    </row>
    <row r="3123">
      <c r="A3123" s="41">
        <v>2981.0</v>
      </c>
      <c r="B3123" s="146" t="s">
        <v>107</v>
      </c>
      <c r="C3123" s="146" t="s">
        <v>108</v>
      </c>
      <c r="D3123" s="146" t="s">
        <v>2623</v>
      </c>
      <c r="E3123" s="69"/>
      <c r="F3123" s="215" t="s">
        <v>18407</v>
      </c>
      <c r="G3123" s="207" t="str">
        <f t="shared" ref="G3123:G3124" si="141">F3123&amp;"_"&amp;COUNTIF($B$3:F3123, F3123)</f>
        <v>curatescience365_1</v>
      </c>
      <c r="H3123" s="215" t="s">
        <v>7458</v>
      </c>
      <c r="I3123" s="412">
        <v>45675.0</v>
      </c>
      <c r="J3123" s="412">
        <v>45676.0</v>
      </c>
      <c r="K3123" s="108"/>
      <c r="L3123" s="108"/>
      <c r="M3123" s="1444" t="s">
        <v>18408</v>
      </c>
      <c r="N3123" s="215" t="s">
        <v>18409</v>
      </c>
      <c r="O3123" s="455">
        <v>2.0</v>
      </c>
      <c r="P3123" s="215" t="str">
        <f t="shared" ref="P3123:P3124" si="142"> SUBSTITUTE(lower(N3123), "/", "--") &amp;  ".pdf"</f>
        <v>10.1177--0956797611414726.pdf</v>
      </c>
      <c r="Q3123" s="2391" t="str">
        <f t="array" ref="Q3123"> if(iserror(MATCH(V3123, 'File Links'!C:C, 0)), "N/A", HYPERLINK(INDEX('File Links'!B:B, MATCH(P3123, 'File Links'!C:C, 0))))</f>
        <v>https://drive.google.com/file/d/1M2bQUYW3MLXQBgi-vbBlJhTa0bUosI7r/view?usp=drivesdk</v>
      </c>
      <c r="R3123" s="215" t="s">
        <v>7462</v>
      </c>
      <c r="S3123" s="215" t="s">
        <v>7463</v>
      </c>
      <c r="T3123" s="1118" t="s">
        <v>7464</v>
      </c>
      <c r="U3123" s="215" t="s">
        <v>18410</v>
      </c>
      <c r="V3123" s="195" t="str">
        <f t="shared" ref="V3123:V3124" si="143"> hyperlink(vlookup(lower(S3123),#REF!, 2, FALSE), SUBSTITUTE(lower(S3123), "/", "--") &amp;  ".pdf")</f>
        <v>10.1027--1864-9335--a000178.pdf</v>
      </c>
      <c r="W3123" s="215" t="s">
        <v>7466</v>
      </c>
      <c r="X3123" s="2392" t="str">
        <f t="array" ref="X3123"> if(iserror(MATCH(V3123, 'File Links'!C:C, 0)), "N/A", HYPERLINK(INDEX('File Links'!B:B, MATCH(V3123, 'File Links'!C:C, 0))))</f>
        <v>https://drive.google.com/file/d/1fIqa3RxgdnsQkWwGnLkF4XAbM2g_WN4q/view?usp=drivesdk</v>
      </c>
      <c r="Z3123" s="215" t="s">
        <v>219</v>
      </c>
      <c r="AA3123" s="215" t="s">
        <v>18411</v>
      </c>
      <c r="AB3123" s="215" t="s">
        <v>18412</v>
      </c>
      <c r="AC3123" s="215" t="s">
        <v>18413</v>
      </c>
      <c r="AD3123" s="215" t="s">
        <v>18414</v>
      </c>
      <c r="AE3123" s="215" t="s">
        <v>18415</v>
      </c>
      <c r="AF3123" s="1417">
        <v>183.0</v>
      </c>
      <c r="AG3123" s="1417">
        <v>0.298</v>
      </c>
      <c r="AH3123" s="213" t="s">
        <v>166</v>
      </c>
      <c r="AI3123" s="215" t="s">
        <v>18416</v>
      </c>
      <c r="AJ3123" s="1576">
        <v>0.04</v>
      </c>
      <c r="AK3123" s="207" t="s">
        <v>165</v>
      </c>
      <c r="AL3123" s="207" t="s">
        <v>129</v>
      </c>
      <c r="AM3123" s="1419" t="s">
        <v>130</v>
      </c>
      <c r="AN3123" s="144" t="s">
        <v>131</v>
      </c>
      <c r="AO3123" s="2398">
        <v>5150.0</v>
      </c>
      <c r="AP3123" s="1417">
        <v>0.02</v>
      </c>
      <c r="AQ3123" s="215" t="s">
        <v>166</v>
      </c>
      <c r="AR3123" s="215" t="s">
        <v>18417</v>
      </c>
      <c r="AS3123" s="1417">
        <v>0.33</v>
      </c>
      <c r="AT3123" s="215" t="s">
        <v>165</v>
      </c>
      <c r="AU3123" s="215" t="s">
        <v>129</v>
      </c>
      <c r="AV3123" s="1419" t="s">
        <v>130</v>
      </c>
      <c r="AW3123" s="1419" t="s">
        <v>7474</v>
      </c>
      <c r="AX3123" s="1419" t="s">
        <v>136</v>
      </c>
      <c r="AY3123" s="146" t="s">
        <v>18418</v>
      </c>
      <c r="AZ3123" s="146" t="s">
        <v>137</v>
      </c>
    </row>
    <row r="3124">
      <c r="A3124" s="41">
        <v>2982.0</v>
      </c>
      <c r="B3124" s="146" t="s">
        <v>145</v>
      </c>
      <c r="C3124" s="146" t="s">
        <v>108</v>
      </c>
      <c r="D3124" s="146" t="s">
        <v>1227</v>
      </c>
      <c r="E3124" s="69"/>
      <c r="F3124" s="119" t="s">
        <v>18407</v>
      </c>
      <c r="G3124" s="109" t="str">
        <f t="shared" si="141"/>
        <v>curatescience365_2</v>
      </c>
      <c r="H3124" s="119" t="s">
        <v>6921</v>
      </c>
      <c r="I3124" s="414">
        <v>45901.0</v>
      </c>
      <c r="J3124" s="414">
        <v>45901.0</v>
      </c>
      <c r="K3124" s="108"/>
      <c r="L3124" s="144" t="s">
        <v>18419</v>
      </c>
      <c r="M3124" s="1450" t="s">
        <v>18408</v>
      </c>
      <c r="N3124" s="119" t="s">
        <v>18409</v>
      </c>
      <c r="O3124" s="1885">
        <v>2.0</v>
      </c>
      <c r="P3124" s="119" t="str">
        <f t="shared" si="142"/>
        <v>10.1177--0956797611414726.pdf</v>
      </c>
      <c r="Q3124" s="2391" t="str">
        <f t="array" ref="Q3124"> if(iserror(MATCH(V3124, 'File Links'!C:C, 0)), "N/A", HYPERLINK(INDEX('File Links'!B:B, MATCH(P3124, 'File Links'!C:C, 0))))</f>
        <v>https://drive.google.com/file/d/1M2bQUYW3MLXQBgi-vbBlJhTa0bUosI7r/view?usp=drivesdk</v>
      </c>
      <c r="R3124" s="215" t="s">
        <v>7462</v>
      </c>
      <c r="S3124" s="215" t="s">
        <v>7463</v>
      </c>
      <c r="T3124" s="1118" t="s">
        <v>7464</v>
      </c>
      <c r="U3124" s="215" t="s">
        <v>18410</v>
      </c>
      <c r="V3124" s="195" t="str">
        <f t="shared" si="143"/>
        <v>10.1027--1864-9335--a000178.pdf</v>
      </c>
      <c r="W3124" s="215" t="s">
        <v>7466</v>
      </c>
      <c r="X3124" s="2392" t="str">
        <f t="array" ref="X3124"> if(iserror(MATCH(V3124, 'File Links'!C:C, 0)), "N/A", HYPERLINK(INDEX('File Links'!B:B, MATCH(V3124, 'File Links'!C:C, 0))))</f>
        <v>https://drive.google.com/file/d/1fIqa3RxgdnsQkWwGnLkF4XAbM2g_WN4q/view?usp=drivesdk</v>
      </c>
      <c r="Z3124" s="119" t="s">
        <v>2038</v>
      </c>
      <c r="AA3124" s="119" t="s">
        <v>18420</v>
      </c>
      <c r="AB3124" s="2399" t="s">
        <v>18421</v>
      </c>
      <c r="AC3124" s="108"/>
      <c r="AD3124" s="113" t="s">
        <v>18422</v>
      </c>
      <c r="AE3124" s="680">
        <v>1016.0</v>
      </c>
      <c r="AF3124" s="1445">
        <v>66.0</v>
      </c>
      <c r="AG3124" s="2400" t="s">
        <v>18423</v>
      </c>
      <c r="AH3124" s="113" t="s">
        <v>127</v>
      </c>
      <c r="AI3124" s="213" t="s">
        <v>18424</v>
      </c>
      <c r="AJ3124" s="680">
        <v>0.05</v>
      </c>
      <c r="AK3124" s="1522" t="s">
        <v>128</v>
      </c>
      <c r="AL3124" s="109" t="s">
        <v>179</v>
      </c>
      <c r="AM3124" s="108" t="s">
        <v>130</v>
      </c>
      <c r="AN3124" s="144" t="s">
        <v>131</v>
      </c>
      <c r="AO3124" s="1106">
        <v>4896.0</v>
      </c>
      <c r="AP3124" s="534">
        <v>0.03</v>
      </c>
      <c r="AQ3124" s="119" t="s">
        <v>166</v>
      </c>
      <c r="AR3124" s="215" t="s">
        <v>18417</v>
      </c>
      <c r="AS3124" s="534">
        <v>0.38</v>
      </c>
      <c r="AT3124" s="119" t="s">
        <v>165</v>
      </c>
      <c r="AU3124" s="119" t="s">
        <v>179</v>
      </c>
      <c r="AV3124" s="108" t="s">
        <v>130</v>
      </c>
      <c r="AW3124" s="1460" t="s">
        <v>7561</v>
      </c>
      <c r="AX3124" s="108" t="s">
        <v>136</v>
      </c>
      <c r="AY3124" s="146" t="s">
        <v>18425</v>
      </c>
      <c r="AZ3124" s="146" t="s">
        <v>137</v>
      </c>
    </row>
    <row r="3125">
      <c r="A3125" s="41">
        <v>2735.0</v>
      </c>
      <c r="B3125" s="126" t="s">
        <v>145</v>
      </c>
      <c r="C3125" s="59" t="s">
        <v>108</v>
      </c>
      <c r="D3125" s="59" t="s">
        <v>1451</v>
      </c>
      <c r="F3125" s="65" t="s">
        <v>18426</v>
      </c>
      <c r="G3125" s="156" t="s">
        <v>18427</v>
      </c>
      <c r="H3125" s="156" t="s">
        <v>1511</v>
      </c>
      <c r="I3125" s="149">
        <v>45715.0</v>
      </c>
      <c r="J3125" s="167">
        <v>45736.0</v>
      </c>
      <c r="K3125" s="156" t="s">
        <v>18428</v>
      </c>
      <c r="L3125" s="156" t="s">
        <v>7316</v>
      </c>
      <c r="M3125" s="148" t="s">
        <v>7791</v>
      </c>
      <c r="N3125" s="156" t="s">
        <v>7732</v>
      </c>
      <c r="O3125" s="153">
        <v>2.0</v>
      </c>
      <c r="P3125" s="156" t="s">
        <v>7733</v>
      </c>
      <c r="Q3125" s="2391" t="str">
        <f t="array" ref="Q3125"> if(iserror(MATCH(V3125, 'File Links'!C:C, 0)), "N/A", HYPERLINK(INDEX('File Links'!B:B, MATCH(P3125, 'File Links'!C:C, 0))))</f>
        <v>https://drive.google.com/file/d/1w2KBBoT3U7JrwQsTrJduC-AS9fihTDq0/view?usp=drivesdk</v>
      </c>
      <c r="R3125" s="156" t="s">
        <v>18429</v>
      </c>
      <c r="S3125" s="156" t="s">
        <v>7752</v>
      </c>
      <c r="T3125" s="156" t="s">
        <v>131</v>
      </c>
      <c r="U3125" s="153">
        <v>2.0</v>
      </c>
      <c r="V3125" s="156" t="s">
        <v>7753</v>
      </c>
      <c r="W3125" s="156" t="s">
        <v>7760</v>
      </c>
      <c r="X3125" s="2392" t="str">
        <f t="array" ref="X3125"> if(iserror(MATCH(V3125, 'File Links'!C:C, 0)), "N/A", HYPERLINK(INDEX('File Links'!B:B, MATCH(V3125, 'File Links'!C:C, 0))))</f>
        <v>https://drive.google.com/file/d/1G4tP3z0FT61HHKi1B51ImyPr28TywEAv/view?usp=drivesdk</v>
      </c>
      <c r="Y3125" s="156"/>
      <c r="Z3125" s="156" t="s">
        <v>219</v>
      </c>
      <c r="AA3125" s="156" t="s">
        <v>7737</v>
      </c>
      <c r="AB3125" s="156" t="s">
        <v>7761</v>
      </c>
      <c r="AC3125" s="156" t="s">
        <v>7738</v>
      </c>
      <c r="AD3125" s="156" t="s">
        <v>7800</v>
      </c>
      <c r="AE3125" s="1537">
        <v>45689.0</v>
      </c>
      <c r="AF3125" s="153">
        <v>27.0</v>
      </c>
      <c r="AG3125" s="156" t="s">
        <v>7801</v>
      </c>
      <c r="AH3125" s="156" t="s">
        <v>127</v>
      </c>
      <c r="AI3125" s="156" t="s">
        <v>2764</v>
      </c>
      <c r="AJ3125" s="153">
        <v>0.01</v>
      </c>
      <c r="AK3125" s="156" t="s">
        <v>165</v>
      </c>
      <c r="AL3125" s="156" t="s">
        <v>179</v>
      </c>
      <c r="AM3125" s="156" t="s">
        <v>130</v>
      </c>
      <c r="AN3125" s="156" t="s">
        <v>131</v>
      </c>
      <c r="AO3125" s="153">
        <v>36.0</v>
      </c>
      <c r="AP3125" s="1471">
        <v>0.0</v>
      </c>
      <c r="AQ3125" s="156" t="s">
        <v>132</v>
      </c>
      <c r="AR3125" s="156" t="s">
        <v>4966</v>
      </c>
      <c r="AS3125" s="153">
        <v>0.5</v>
      </c>
      <c r="AT3125" s="158" t="s">
        <v>18430</v>
      </c>
      <c r="AU3125" s="156" t="s">
        <v>179</v>
      </c>
      <c r="AV3125" s="156" t="s">
        <v>130</v>
      </c>
      <c r="AW3125" s="156" t="s">
        <v>131</v>
      </c>
      <c r="AX3125" s="156" t="s">
        <v>136</v>
      </c>
      <c r="AZ3125" s="59" t="s">
        <v>137</v>
      </c>
    </row>
    <row r="3126">
      <c r="A3126" s="41">
        <v>2983.0</v>
      </c>
      <c r="B3126" s="126" t="s">
        <v>107</v>
      </c>
      <c r="C3126" s="59" t="s">
        <v>108</v>
      </c>
      <c r="D3126" s="59" t="s">
        <v>1227</v>
      </c>
      <c r="F3126" s="65" t="s">
        <v>18426</v>
      </c>
      <c r="G3126" s="156" t="s">
        <v>18427</v>
      </c>
      <c r="H3126" s="156" t="s">
        <v>7727</v>
      </c>
      <c r="I3126" s="148" t="s">
        <v>7728</v>
      </c>
      <c r="J3126" s="167">
        <v>45736.0</v>
      </c>
      <c r="K3126" s="156" t="s">
        <v>131</v>
      </c>
      <c r="L3126" s="156" t="s">
        <v>7316</v>
      </c>
      <c r="M3126" s="148" t="s">
        <v>7791</v>
      </c>
      <c r="N3126" s="156" t="s">
        <v>7732</v>
      </c>
      <c r="O3126" s="153">
        <v>2.0</v>
      </c>
      <c r="P3126" s="379" t="s">
        <v>7733</v>
      </c>
      <c r="Q3126" s="2391" t="str">
        <f t="array" ref="Q3126"> if(iserror(MATCH(V3126, 'File Links'!C:C, 0)), "N/A", HYPERLINK(INDEX('File Links'!B:B, MATCH(P3126, 'File Links'!C:C, 0))))</f>
        <v>https://drive.google.com/file/d/1w2KBBoT3U7JrwQsTrJduC-AS9fihTDq0/view?usp=drivesdk</v>
      </c>
      <c r="R3126" s="156" t="s">
        <v>18429</v>
      </c>
      <c r="S3126" s="156" t="s">
        <v>7752</v>
      </c>
      <c r="T3126" s="156" t="s">
        <v>131</v>
      </c>
      <c r="U3126" s="153">
        <v>2.0</v>
      </c>
      <c r="V3126" s="379" t="s">
        <v>7753</v>
      </c>
      <c r="W3126" s="156" t="s">
        <v>7754</v>
      </c>
      <c r="X3126" s="2392" t="str">
        <f t="array" ref="X3126"> if(iserror(MATCH(V3126, 'File Links'!C:C, 0)), "N/A", HYPERLINK(INDEX('File Links'!B:B, MATCH(V3126, 'File Links'!C:C, 0))))</f>
        <v>https://drive.google.com/file/d/1G4tP3z0FT61HHKi1B51ImyPr28TywEAv/view?usp=drivesdk</v>
      </c>
      <c r="Y3126" s="156"/>
      <c r="Z3126" s="156" t="s">
        <v>219</v>
      </c>
      <c r="AA3126" s="156" t="s">
        <v>7737</v>
      </c>
      <c r="AB3126" s="156" t="s">
        <v>7755</v>
      </c>
      <c r="AC3126" s="156" t="s">
        <v>7806</v>
      </c>
      <c r="AD3126" s="156" t="s">
        <v>7807</v>
      </c>
      <c r="AE3126" s="153">
        <v>2.0</v>
      </c>
      <c r="AF3126" s="153">
        <v>27.0</v>
      </c>
      <c r="AG3126" s="156" t="s">
        <v>131</v>
      </c>
      <c r="AH3126" s="164" t="s">
        <v>131</v>
      </c>
      <c r="AI3126" s="156" t="s">
        <v>131</v>
      </c>
      <c r="AJ3126" s="153">
        <v>0.01</v>
      </c>
      <c r="AK3126" s="156" t="s">
        <v>165</v>
      </c>
      <c r="AL3126" s="156" t="s">
        <v>129</v>
      </c>
      <c r="AM3126" s="156" t="s">
        <v>130</v>
      </c>
      <c r="AN3126" s="156" t="s">
        <v>131</v>
      </c>
      <c r="AO3126" s="153">
        <v>36.0</v>
      </c>
      <c r="AP3126" s="1471">
        <v>0.0</v>
      </c>
      <c r="AQ3126" s="156" t="s">
        <v>132</v>
      </c>
      <c r="AR3126" s="156" t="s">
        <v>12997</v>
      </c>
      <c r="AS3126" s="153">
        <v>0.5</v>
      </c>
      <c r="AT3126" s="156" t="s">
        <v>328</v>
      </c>
      <c r="AU3126" s="156" t="s">
        <v>129</v>
      </c>
      <c r="AV3126" s="156" t="s">
        <v>130</v>
      </c>
      <c r="AW3126" s="156" t="s">
        <v>131</v>
      </c>
      <c r="AX3126" s="156" t="s">
        <v>136</v>
      </c>
      <c r="AY3126" s="65"/>
      <c r="AZ3126" s="59" t="s">
        <v>137</v>
      </c>
    </row>
    <row r="3127">
      <c r="A3127" s="41">
        <v>2736.0</v>
      </c>
      <c r="B3127" s="126" t="s">
        <v>516</v>
      </c>
      <c r="C3127" s="59" t="s">
        <v>108</v>
      </c>
      <c r="D3127" s="59" t="s">
        <v>1451</v>
      </c>
      <c r="F3127" s="65" t="s">
        <v>7802</v>
      </c>
      <c r="G3127" s="156" t="s">
        <v>7803</v>
      </c>
      <c r="H3127" s="156" t="s">
        <v>1511</v>
      </c>
      <c r="I3127" s="1284" t="s">
        <v>112</v>
      </c>
      <c r="J3127" s="149">
        <v>45715.0</v>
      </c>
      <c r="K3127" s="156" t="s">
        <v>18431</v>
      </c>
      <c r="L3127" s="156" t="s">
        <v>7316</v>
      </c>
      <c r="M3127" s="148" t="s">
        <v>7791</v>
      </c>
      <c r="N3127" s="156" t="s">
        <v>7732</v>
      </c>
      <c r="O3127" s="153">
        <v>2.0</v>
      </c>
      <c r="P3127" s="379" t="s">
        <v>7733</v>
      </c>
      <c r="Q3127" s="2401" t="str">
        <f t="array" ref="Q3127"> if(iserror(MATCH(V3127, 'File Links'!C:C, 0)), "N/A", HYPERLINK(INDEX('File Links'!B:B, MATCH(P3127, 'File Links'!C:C, 0))))</f>
        <v>N/A</v>
      </c>
      <c r="R3127" s="156" t="s">
        <v>7804</v>
      </c>
      <c r="S3127" s="156" t="s">
        <v>131</v>
      </c>
      <c r="T3127" s="677" t="s">
        <v>7592</v>
      </c>
      <c r="U3127" s="1362">
        <v>2.0</v>
      </c>
      <c r="V3127" s="379" t="s">
        <v>570</v>
      </c>
      <c r="W3127" s="1536" t="s">
        <v>131</v>
      </c>
      <c r="X3127" s="2402" t="str">
        <f t="array" ref="X3127"> if(iserror(MATCH(V3127, 'File Links'!C:C, 0)), "N/A", HYPERLINK(INDEX('File Links'!B:B, MATCH(V3127, 'File Links'!C:C, 0))))</f>
        <v>N/A</v>
      </c>
      <c r="Y3127" s="156" t="s">
        <v>7799</v>
      </c>
      <c r="Z3127" s="156" t="s">
        <v>219</v>
      </c>
      <c r="AA3127" s="156" t="s">
        <v>7737</v>
      </c>
      <c r="AB3127" s="156" t="s">
        <v>7761</v>
      </c>
      <c r="AC3127" s="1535" t="s">
        <v>7817</v>
      </c>
      <c r="AD3127" s="156" t="s">
        <v>7800</v>
      </c>
      <c r="AE3127" s="1537">
        <v>45689.0</v>
      </c>
      <c r="AF3127" s="153">
        <v>27.0</v>
      </c>
      <c r="AG3127" s="156" t="s">
        <v>7801</v>
      </c>
      <c r="AH3127" s="156" t="s">
        <v>127</v>
      </c>
      <c r="AI3127" s="156" t="s">
        <v>2764</v>
      </c>
      <c r="AJ3127" s="153">
        <v>0.01</v>
      </c>
      <c r="AK3127" s="156" t="s">
        <v>165</v>
      </c>
      <c r="AL3127" s="156" t="s">
        <v>179</v>
      </c>
      <c r="AM3127" s="156" t="s">
        <v>130</v>
      </c>
      <c r="AN3127" s="156" t="s">
        <v>131</v>
      </c>
      <c r="AO3127" s="153">
        <v>148.0</v>
      </c>
      <c r="AP3127" s="153">
        <v>-0.09</v>
      </c>
      <c r="AQ3127" s="156" t="s">
        <v>208</v>
      </c>
      <c r="AR3127" s="65"/>
      <c r="AS3127" s="65"/>
      <c r="AT3127" s="65"/>
      <c r="AU3127" s="65"/>
      <c r="AV3127" s="65"/>
      <c r="AW3127" s="65"/>
      <c r="AX3127" s="65"/>
      <c r="AZ3127" s="59" t="s">
        <v>7797</v>
      </c>
    </row>
    <row r="3128">
      <c r="A3128" s="41">
        <v>3003.0</v>
      </c>
      <c r="B3128" s="126" t="s">
        <v>516</v>
      </c>
      <c r="C3128" s="59" t="s">
        <v>108</v>
      </c>
      <c r="D3128" s="59" t="s">
        <v>18432</v>
      </c>
      <c r="F3128" s="65" t="s">
        <v>15737</v>
      </c>
      <c r="G3128" s="156" t="s">
        <v>15738</v>
      </c>
      <c r="H3128" s="156" t="s">
        <v>18433</v>
      </c>
      <c r="I3128" s="149">
        <v>45809.0</v>
      </c>
      <c r="J3128" s="859"/>
      <c r="K3128" s="65"/>
      <c r="L3128" s="156" t="s">
        <v>15742</v>
      </c>
      <c r="M3128" s="156" t="s">
        <v>18434</v>
      </c>
      <c r="N3128" s="156" t="s">
        <v>15744</v>
      </c>
      <c r="O3128" s="333">
        <v>1.0</v>
      </c>
      <c r="P3128" s="156" t="s">
        <v>15745</v>
      </c>
      <c r="Q3128" s="2139" t="str">
        <f> hyperlink(vlookup(lower(N3128),'File Links'!E:F, 2, FALSE), "LINK")</f>
        <v>LINK</v>
      </c>
      <c r="R3128" s="156" t="s">
        <v>18435</v>
      </c>
      <c r="S3128" s="156" t="s">
        <v>15747</v>
      </c>
      <c r="T3128" s="65"/>
      <c r="U3128" s="333">
        <v>1.0</v>
      </c>
      <c r="V3128" s="156" t="s">
        <v>15748</v>
      </c>
      <c r="W3128" s="65"/>
      <c r="X3128" s="2291" t="str">
        <f> hyperlink(vlookup(lower(S3128),'File Links'!E:F, 2, FALSE), "LINK")</f>
        <v>LINK</v>
      </c>
      <c r="Y3128" s="65"/>
      <c r="Z3128" s="156" t="s">
        <v>219</v>
      </c>
      <c r="AA3128" s="65" t="s">
        <v>18436</v>
      </c>
      <c r="AB3128" s="2403" t="s">
        <v>18437</v>
      </c>
      <c r="AC3128" s="2403" t="s">
        <v>18438</v>
      </c>
      <c r="AD3128" s="2403" t="s">
        <v>18439</v>
      </c>
      <c r="AE3128" s="333">
        <v>5.0</v>
      </c>
      <c r="AF3128" s="153">
        <v>46.0</v>
      </c>
      <c r="AG3128" s="333">
        <v>0.12</v>
      </c>
      <c r="AH3128" s="65" t="s">
        <v>867</v>
      </c>
      <c r="AI3128" s="65" t="s">
        <v>875</v>
      </c>
      <c r="AJ3128" s="333">
        <v>0.16</v>
      </c>
      <c r="AK3128" s="65" t="s">
        <v>165</v>
      </c>
      <c r="AL3128" s="65" t="s">
        <v>179</v>
      </c>
      <c r="AM3128" s="65" t="s">
        <v>134</v>
      </c>
      <c r="AN3128" s="65" t="s">
        <v>131</v>
      </c>
      <c r="AO3128" s="153">
        <v>54.0</v>
      </c>
      <c r="AP3128" s="560">
        <v>0.12</v>
      </c>
      <c r="AQ3128" s="65" t="s">
        <v>867</v>
      </c>
      <c r="AR3128" s="333">
        <v>4.0</v>
      </c>
      <c r="AS3128" s="333">
        <v>0.01</v>
      </c>
      <c r="AT3128" s="65" t="s">
        <v>165</v>
      </c>
      <c r="AU3128" s="65" t="s">
        <v>179</v>
      </c>
      <c r="AV3128" s="65" t="s">
        <v>134</v>
      </c>
      <c r="AW3128" s="65" t="s">
        <v>131</v>
      </c>
      <c r="AX3128" s="65" t="s">
        <v>136</v>
      </c>
    </row>
    <row r="3129">
      <c r="A3129" s="41">
        <v>2804.0</v>
      </c>
      <c r="B3129" s="126" t="s">
        <v>516</v>
      </c>
      <c r="C3129" s="59" t="s">
        <v>108</v>
      </c>
      <c r="D3129" s="59" t="s">
        <v>1451</v>
      </c>
      <c r="F3129" s="65" t="s">
        <v>18440</v>
      </c>
      <c r="G3129" s="156" t="s">
        <v>18441</v>
      </c>
      <c r="H3129" s="156" t="s">
        <v>18442</v>
      </c>
      <c r="I3129" s="149">
        <v>45391.0</v>
      </c>
      <c r="J3129" s="149">
        <v>45804.0</v>
      </c>
      <c r="K3129" s="156" t="s">
        <v>18443</v>
      </c>
      <c r="L3129" s="65"/>
      <c r="M3129" s="156" t="s">
        <v>18444</v>
      </c>
      <c r="N3129" s="156" t="s">
        <v>18445</v>
      </c>
      <c r="O3129" s="153">
        <v>1.0</v>
      </c>
      <c r="P3129" s="379" t="s">
        <v>18446</v>
      </c>
      <c r="Q3129" s="2153" t="str">
        <f> hyperlink(vlookup(lower(N3129),'File Links'!E:F, 2, FALSE), "LINK")</f>
        <v>LINK</v>
      </c>
      <c r="R3129" s="156" t="s">
        <v>18447</v>
      </c>
      <c r="S3129" s="156" t="s">
        <v>131</v>
      </c>
      <c r="T3129" s="677" t="s">
        <v>18448</v>
      </c>
      <c r="U3129" s="65"/>
      <c r="V3129" s="735" t="s">
        <v>18449</v>
      </c>
      <c r="W3129" s="1225"/>
      <c r="X3129" s="2154" t="str">
        <f> hyperlink(vlookup(lower(S3129),'File Links'!E:F, 2, FALSE), "LINK")</f>
        <v>LINK</v>
      </c>
      <c r="Y3129" s="65"/>
      <c r="Z3129" s="156" t="s">
        <v>219</v>
      </c>
      <c r="AA3129" s="156" t="s">
        <v>18450</v>
      </c>
      <c r="AB3129" s="156" t="s">
        <v>18451</v>
      </c>
      <c r="AC3129" s="156" t="s">
        <v>18452</v>
      </c>
      <c r="AD3129" s="156" t="s">
        <v>18453</v>
      </c>
      <c r="AE3129" s="153">
        <v>11.0</v>
      </c>
      <c r="AF3129" s="153">
        <v>1692.0</v>
      </c>
      <c r="AG3129" s="153">
        <v>4.21</v>
      </c>
      <c r="AH3129" s="156" t="s">
        <v>354</v>
      </c>
      <c r="AI3129" s="156" t="s">
        <v>1167</v>
      </c>
      <c r="AJ3129" s="153">
        <v>0.03</v>
      </c>
      <c r="AK3129" s="156" t="s">
        <v>165</v>
      </c>
      <c r="AL3129" s="156" t="s">
        <v>179</v>
      </c>
      <c r="AM3129" s="156" t="s">
        <v>130</v>
      </c>
      <c r="AN3129" s="156" t="s">
        <v>131</v>
      </c>
      <c r="AO3129" s="153">
        <v>156.0</v>
      </c>
      <c r="AP3129" s="153">
        <v>0.00471</v>
      </c>
      <c r="AQ3129" s="156" t="s">
        <v>132</v>
      </c>
      <c r="AR3129" s="65"/>
      <c r="AS3129" s="65"/>
      <c r="AT3129" s="65"/>
      <c r="AU3129" s="65"/>
      <c r="AV3129" s="65"/>
      <c r="AW3129" s="65"/>
      <c r="AX3129" s="65"/>
    </row>
    <row r="3130">
      <c r="A3130" s="41">
        <v>2805.0</v>
      </c>
      <c r="B3130" s="126" t="s">
        <v>516</v>
      </c>
      <c r="C3130" s="59" t="s">
        <v>108</v>
      </c>
      <c r="D3130" s="59" t="s">
        <v>1451</v>
      </c>
      <c r="F3130" s="65" t="s">
        <v>18454</v>
      </c>
      <c r="G3130" s="156" t="s">
        <v>18441</v>
      </c>
      <c r="H3130" s="156" t="s">
        <v>18455</v>
      </c>
      <c r="I3130" s="149">
        <v>45391.0</v>
      </c>
      <c r="J3130" s="149">
        <v>45804.0</v>
      </c>
      <c r="K3130" s="156" t="s">
        <v>18456</v>
      </c>
      <c r="L3130" s="65"/>
      <c r="M3130" s="156" t="s">
        <v>18444</v>
      </c>
      <c r="N3130" s="156" t="s">
        <v>18445</v>
      </c>
      <c r="O3130" s="153">
        <v>1.0</v>
      </c>
      <c r="P3130" s="379" t="s">
        <v>18446</v>
      </c>
      <c r="Q3130" s="2153" t="str">
        <f> hyperlink(vlookup(lower(N3130),'File Links'!E:F, 2, FALSE), "LINK")</f>
        <v>LINK</v>
      </c>
      <c r="R3130" s="156" t="s">
        <v>18457</v>
      </c>
      <c r="S3130" s="156" t="s">
        <v>131</v>
      </c>
      <c r="T3130" s="677" t="s">
        <v>18448</v>
      </c>
      <c r="U3130" s="65"/>
      <c r="V3130" s="735" t="s">
        <v>18449</v>
      </c>
      <c r="W3130" s="1225"/>
      <c r="X3130" s="2154" t="str">
        <f> hyperlink(vlookup(lower(S3130),'File Links'!E:F, 2, FALSE), "LINK")</f>
        <v>LINK</v>
      </c>
      <c r="Y3130" s="65"/>
      <c r="Z3130" s="156" t="s">
        <v>219</v>
      </c>
      <c r="AA3130" s="156" t="s">
        <v>18458</v>
      </c>
      <c r="AB3130" s="156" t="s">
        <v>18459</v>
      </c>
      <c r="AC3130" s="156" t="s">
        <v>18460</v>
      </c>
      <c r="AD3130" s="156" t="s">
        <v>18461</v>
      </c>
      <c r="AE3130" s="153">
        <v>11.0</v>
      </c>
      <c r="AF3130" s="153">
        <v>1692.0</v>
      </c>
      <c r="AG3130" s="153">
        <v>1.85</v>
      </c>
      <c r="AH3130" s="156" t="s">
        <v>715</v>
      </c>
      <c r="AI3130" s="156" t="s">
        <v>1167</v>
      </c>
      <c r="AJ3130" s="153">
        <v>0.001</v>
      </c>
      <c r="AK3130" s="156" t="s">
        <v>128</v>
      </c>
      <c r="AL3130" s="156" t="s">
        <v>179</v>
      </c>
      <c r="AM3130" s="156" t="s">
        <v>130</v>
      </c>
      <c r="AN3130" s="156" t="s">
        <v>131</v>
      </c>
      <c r="AO3130" s="153">
        <v>156.0</v>
      </c>
      <c r="AP3130" s="153">
        <v>0.00645</v>
      </c>
      <c r="AQ3130" s="156" t="s">
        <v>132</v>
      </c>
      <c r="AR3130" s="65"/>
      <c r="AS3130" s="65"/>
      <c r="AT3130" s="65"/>
      <c r="AU3130" s="65"/>
      <c r="AV3130" s="65"/>
      <c r="AW3130" s="65"/>
      <c r="AX3130" s="65"/>
    </row>
    <row r="3131">
      <c r="A3131" s="41">
        <v>3011.0</v>
      </c>
      <c r="B3131" s="126" t="s">
        <v>516</v>
      </c>
      <c r="C3131" s="59" t="s">
        <v>108</v>
      </c>
      <c r="D3131" s="59" t="s">
        <v>18432</v>
      </c>
      <c r="F3131" s="156" t="s">
        <v>14852</v>
      </c>
      <c r="G3131" s="156" t="s">
        <v>14853</v>
      </c>
      <c r="H3131" s="65" t="s">
        <v>18433</v>
      </c>
      <c r="I3131" s="149">
        <v>45803.0</v>
      </c>
      <c r="J3131" s="859"/>
      <c r="K3131" s="65"/>
      <c r="L3131" s="65"/>
      <c r="M3131" s="156" t="s">
        <v>18462</v>
      </c>
      <c r="N3131" s="156" t="s">
        <v>14855</v>
      </c>
      <c r="O3131" s="153">
        <v>6.0</v>
      </c>
      <c r="P3131" s="379" t="s">
        <v>14856</v>
      </c>
      <c r="Q3131" s="2139" t="str">
        <f> hyperlink(vlookup(lower(N3131),'File Links'!E:F, 2, FALSE), "LINK")</f>
        <v>LINK</v>
      </c>
      <c r="R3131" s="156" t="s">
        <v>14857</v>
      </c>
      <c r="S3131" s="156" t="s">
        <v>131</v>
      </c>
      <c r="T3131" s="307" t="s">
        <v>14858</v>
      </c>
      <c r="U3131" s="156" t="s">
        <v>5504</v>
      </c>
      <c r="V3131" s="379" t="s">
        <v>8433</v>
      </c>
      <c r="W3131" s="1225"/>
      <c r="X3131" s="2154" t="str">
        <f> hyperlink(vlookup(lower(S3131),'File Links'!E:F, 2, FALSE), "LINK")</f>
        <v>LINK</v>
      </c>
      <c r="Y3131" s="65"/>
      <c r="Z3131" s="156" t="s">
        <v>2072</v>
      </c>
      <c r="AA3131" s="2404" t="s">
        <v>18463</v>
      </c>
      <c r="AB3131" s="2405" t="s">
        <v>14860</v>
      </c>
      <c r="AC3131" s="2405" t="s">
        <v>18464</v>
      </c>
      <c r="AD3131" s="2405" t="s">
        <v>18465</v>
      </c>
      <c r="AE3131" s="333">
        <v>7.0</v>
      </c>
      <c r="AF3131" s="333">
        <v>203.0</v>
      </c>
      <c r="AG3131" s="333">
        <v>0.029</v>
      </c>
      <c r="AH3131" s="65" t="s">
        <v>132</v>
      </c>
      <c r="AI3131" s="65" t="s">
        <v>4966</v>
      </c>
      <c r="AJ3131" s="333">
        <v>0.016</v>
      </c>
      <c r="AK3131" s="65" t="s">
        <v>165</v>
      </c>
      <c r="AL3131" s="65" t="s">
        <v>179</v>
      </c>
      <c r="AM3131" s="65" t="s">
        <v>130</v>
      </c>
      <c r="AN3131" s="65" t="s">
        <v>131</v>
      </c>
      <c r="AO3131" s="333">
        <v>603.0</v>
      </c>
      <c r="AP3131" s="560">
        <v>0.02</v>
      </c>
      <c r="AQ3131" s="65" t="s">
        <v>166</v>
      </c>
      <c r="AR3131" s="2406" t="s">
        <v>18466</v>
      </c>
      <c r="AS3131" s="333">
        <v>0.802</v>
      </c>
      <c r="AT3131" s="65" t="s">
        <v>165</v>
      </c>
      <c r="AU3131" s="65" t="s">
        <v>179</v>
      </c>
      <c r="AV3131" s="65" t="s">
        <v>130</v>
      </c>
      <c r="AW3131" s="432" t="s">
        <v>14864</v>
      </c>
      <c r="AX3131" s="65" t="s">
        <v>136</v>
      </c>
    </row>
    <row r="3132">
      <c r="A3132" s="41">
        <v>2727.0</v>
      </c>
      <c r="B3132" s="53" t="s">
        <v>107</v>
      </c>
      <c r="C3132" s="338" t="s">
        <v>108</v>
      </c>
      <c r="D3132" s="338" t="s">
        <v>169</v>
      </c>
      <c r="E3132" s="339"/>
      <c r="F3132" s="43" t="s">
        <v>18467</v>
      </c>
      <c r="G3132" s="357" t="s">
        <v>18468</v>
      </c>
      <c r="H3132" s="357" t="s">
        <v>7218</v>
      </c>
      <c r="I3132" s="1684" t="s">
        <v>8378</v>
      </c>
      <c r="J3132" s="43"/>
      <c r="K3132" s="43" t="s">
        <v>8379</v>
      </c>
      <c r="L3132" s="43"/>
      <c r="M3132" s="357" t="s">
        <v>8381</v>
      </c>
      <c r="N3132" s="357" t="s">
        <v>8382</v>
      </c>
      <c r="O3132" s="357" t="s">
        <v>4085</v>
      </c>
      <c r="P3132" s="357" t="s">
        <v>8383</v>
      </c>
      <c r="Q3132" s="2401" t="str">
        <f t="array" ref="Q3132"> if(iserror(MATCH(V3132, 'File Links'!C:C, 0)), "N/A", HYPERLINK(INDEX('File Links'!B:B, MATCH(P3132, 'File Links'!C:C, 0))))</f>
        <v>N/A</v>
      </c>
      <c r="R3132" s="357" t="s">
        <v>8412</v>
      </c>
      <c r="S3132" s="43"/>
      <c r="T3132" s="56" t="s">
        <v>8385</v>
      </c>
      <c r="U3132" s="43" t="s">
        <v>18469</v>
      </c>
      <c r="V3132" s="357" t="s">
        <v>570</v>
      </c>
      <c r="W3132" s="43" t="s">
        <v>157</v>
      </c>
      <c r="X3132" s="2402" t="str">
        <f t="array" ref="X3132"> if(iserror(MATCH(V3132, 'File Links'!C:C, 0)), "N/A", HYPERLINK(INDEX('File Links'!B:B, MATCH(V3132, 'File Links'!C:C, 0))))</f>
        <v>N/A</v>
      </c>
      <c r="Y3132" s="43"/>
      <c r="Z3132" s="43" t="s">
        <v>219</v>
      </c>
      <c r="AA3132" s="357" t="s">
        <v>8387</v>
      </c>
      <c r="AB3132" s="357" t="s">
        <v>8388</v>
      </c>
      <c r="AC3132" s="357" t="s">
        <v>8389</v>
      </c>
      <c r="AD3132" s="43" t="s">
        <v>8390</v>
      </c>
      <c r="AE3132" s="43" t="s">
        <v>1166</v>
      </c>
      <c r="AF3132" s="354">
        <v>210.0</v>
      </c>
      <c r="AG3132" s="1693">
        <v>0.58</v>
      </c>
      <c r="AH3132" s="357" t="s">
        <v>166</v>
      </c>
      <c r="AI3132" s="43" t="s">
        <v>8391</v>
      </c>
      <c r="AJ3132" s="382">
        <v>0.18</v>
      </c>
      <c r="AK3132" s="43" t="s">
        <v>165</v>
      </c>
      <c r="AL3132" s="43" t="s">
        <v>179</v>
      </c>
      <c r="AM3132" s="43" t="s">
        <v>130</v>
      </c>
      <c r="AN3132" s="43"/>
      <c r="AO3132" s="354">
        <v>1127.0</v>
      </c>
      <c r="AP3132" s="354">
        <v>0.096</v>
      </c>
      <c r="AQ3132" s="357" t="s">
        <v>166</v>
      </c>
      <c r="AR3132" s="43" t="s">
        <v>131</v>
      </c>
      <c r="AS3132" s="2407">
        <v>0.261</v>
      </c>
      <c r="AT3132" s="43" t="s">
        <v>165</v>
      </c>
      <c r="AU3132" s="43" t="s">
        <v>179</v>
      </c>
      <c r="AV3132" s="43" t="s">
        <v>130</v>
      </c>
      <c r="AW3132" s="357" t="s">
        <v>131</v>
      </c>
      <c r="AX3132" s="43" t="s">
        <v>136</v>
      </c>
      <c r="AY3132" s="43"/>
      <c r="AZ3132" s="338" t="s">
        <v>685</v>
      </c>
      <c r="BA3132" s="339"/>
    </row>
    <row r="3133">
      <c r="A3133" s="41">
        <v>3001.0</v>
      </c>
      <c r="B3133" s="126" t="s">
        <v>516</v>
      </c>
      <c r="C3133" s="59" t="s">
        <v>108</v>
      </c>
      <c r="D3133" s="59" t="s">
        <v>18432</v>
      </c>
      <c r="F3133" s="65" t="s">
        <v>14882</v>
      </c>
      <c r="G3133" s="156" t="s">
        <v>14883</v>
      </c>
      <c r="H3133" s="65" t="s">
        <v>18433</v>
      </c>
      <c r="I3133" s="149">
        <v>45810.0</v>
      </c>
      <c r="J3133" s="859"/>
      <c r="K3133" s="65"/>
      <c r="L3133" s="65"/>
      <c r="M3133" s="156" t="s">
        <v>18470</v>
      </c>
      <c r="N3133" s="156" t="s">
        <v>14886</v>
      </c>
      <c r="O3133" s="153">
        <v>1.0</v>
      </c>
      <c r="P3133" s="156" t="s">
        <v>14887</v>
      </c>
      <c r="Q3133" s="2139" t="str">
        <f> hyperlink(vlookup(lower(N3133),'File Links'!E:F, 2, FALSE), "LINK")</f>
        <v>LINK</v>
      </c>
      <c r="R3133" s="156" t="s">
        <v>18471</v>
      </c>
      <c r="S3133" s="156" t="s">
        <v>14886</v>
      </c>
      <c r="T3133" s="307" t="s">
        <v>14889</v>
      </c>
      <c r="U3133" s="156" t="s">
        <v>8515</v>
      </c>
      <c r="V3133" s="156" t="s">
        <v>8433</v>
      </c>
      <c r="W3133" s="65"/>
      <c r="X3133" s="2291" t="str">
        <f> hyperlink(vlookup(lower(S3133),'File Links'!E:F, 2, FALSE), "LINK")</f>
        <v>LINK</v>
      </c>
      <c r="Y3133" s="65"/>
      <c r="Z3133" s="156" t="s">
        <v>2072</v>
      </c>
      <c r="AA3133" s="65" t="s">
        <v>14890</v>
      </c>
      <c r="AB3133" s="2403" t="s">
        <v>14891</v>
      </c>
      <c r="AC3133" s="2403" t="s">
        <v>18472</v>
      </c>
      <c r="AD3133" s="2403" t="s">
        <v>18473</v>
      </c>
      <c r="AE3133" s="333">
        <v>6.0</v>
      </c>
      <c r="AF3133" s="153">
        <v>145.0</v>
      </c>
      <c r="AG3133" s="333">
        <v>0.033</v>
      </c>
      <c r="AH3133" s="65" t="s">
        <v>867</v>
      </c>
      <c r="AI3133" s="65" t="s">
        <v>4966</v>
      </c>
      <c r="AJ3133" s="333">
        <v>0.029</v>
      </c>
      <c r="AK3133" s="65" t="s">
        <v>165</v>
      </c>
      <c r="AL3133" s="65" t="s">
        <v>179</v>
      </c>
      <c r="AM3133" s="65" t="s">
        <v>130</v>
      </c>
      <c r="AN3133" s="65" t="s">
        <v>131</v>
      </c>
      <c r="AO3133" s="333">
        <v>1099.0</v>
      </c>
      <c r="AP3133" s="2408">
        <v>0.31</v>
      </c>
      <c r="AQ3133" s="65" t="s">
        <v>354</v>
      </c>
      <c r="AR3133" s="432" t="s">
        <v>18474</v>
      </c>
      <c r="AS3133" s="334">
        <v>0.091</v>
      </c>
      <c r="AT3133" s="65" t="s">
        <v>165</v>
      </c>
      <c r="AU3133" s="65" t="s">
        <v>179</v>
      </c>
      <c r="AV3133" s="65" t="s">
        <v>130</v>
      </c>
      <c r="AW3133" s="65" t="s">
        <v>131</v>
      </c>
      <c r="AX3133" s="65" t="s">
        <v>431</v>
      </c>
    </row>
    <row r="3134">
      <c r="A3134" s="41">
        <v>3002.0</v>
      </c>
      <c r="B3134" s="126" t="s">
        <v>516</v>
      </c>
      <c r="C3134" s="59" t="s">
        <v>108</v>
      </c>
      <c r="D3134" s="59" t="s">
        <v>18432</v>
      </c>
      <c r="F3134" s="65" t="s">
        <v>14897</v>
      </c>
      <c r="G3134" s="156" t="s">
        <v>18475</v>
      </c>
      <c r="H3134" s="65" t="s">
        <v>18433</v>
      </c>
      <c r="I3134" s="149">
        <v>45810.0</v>
      </c>
      <c r="J3134" s="859"/>
      <c r="K3134" s="65"/>
      <c r="L3134" s="65"/>
      <c r="M3134" s="156" t="s">
        <v>14885</v>
      </c>
      <c r="N3134" s="156" t="s">
        <v>14886</v>
      </c>
      <c r="O3134" s="153">
        <v>1.0</v>
      </c>
      <c r="P3134" s="379" t="s">
        <v>14887</v>
      </c>
      <c r="Q3134" s="2324" t="str">
        <f> hyperlink(vlookup(lower(N3134),'File Links'!E:F, 2, FALSE), "LINK")</f>
        <v>LINK</v>
      </c>
      <c r="R3134" s="156" t="s">
        <v>14899</v>
      </c>
      <c r="S3134" s="156" t="s">
        <v>14886</v>
      </c>
      <c r="T3134" s="307" t="s">
        <v>14889</v>
      </c>
      <c r="U3134" s="156" t="s">
        <v>8432</v>
      </c>
      <c r="V3134" s="379" t="s">
        <v>8433</v>
      </c>
      <c r="W3134" s="1225"/>
      <c r="X3134" s="2323" t="str">
        <f> hyperlink(vlookup(lower(S3134),'File Links'!E:F, 2, FALSE), "LINK")</f>
        <v>LINK</v>
      </c>
      <c r="Y3134" s="65"/>
      <c r="Z3134" s="156" t="s">
        <v>2072</v>
      </c>
      <c r="AA3134" s="65" t="s">
        <v>14890</v>
      </c>
      <c r="AB3134" s="2403" t="s">
        <v>14891</v>
      </c>
      <c r="AC3134" s="2403" t="s">
        <v>18472</v>
      </c>
      <c r="AD3134" s="2403" t="s">
        <v>18473</v>
      </c>
      <c r="AE3134" s="333">
        <v>6.0</v>
      </c>
      <c r="AF3134" s="153">
        <v>145.0</v>
      </c>
      <c r="AG3134" s="333">
        <v>0.033</v>
      </c>
      <c r="AH3134" s="65" t="s">
        <v>867</v>
      </c>
      <c r="AI3134" s="65" t="s">
        <v>4966</v>
      </c>
      <c r="AJ3134" s="333">
        <v>0.029</v>
      </c>
      <c r="AK3134" s="65" t="s">
        <v>165</v>
      </c>
      <c r="AL3134" s="65" t="s">
        <v>179</v>
      </c>
      <c r="AM3134" s="65" t="s">
        <v>130</v>
      </c>
      <c r="AN3134" s="65" t="s">
        <v>131</v>
      </c>
      <c r="AO3134" s="333">
        <v>1555.0</v>
      </c>
      <c r="AP3134" s="2408">
        <v>0.21</v>
      </c>
      <c r="AQ3134" s="65" t="s">
        <v>354</v>
      </c>
      <c r="AR3134" s="432" t="s">
        <v>18474</v>
      </c>
      <c r="AS3134" s="333">
        <v>0.092</v>
      </c>
      <c r="AT3134" s="65" t="s">
        <v>165</v>
      </c>
      <c r="AU3134" s="65" t="s">
        <v>179</v>
      </c>
      <c r="AV3134" s="65" t="s">
        <v>130</v>
      </c>
      <c r="AW3134" s="65" t="s">
        <v>131</v>
      </c>
      <c r="AX3134" s="65" t="s">
        <v>136</v>
      </c>
    </row>
    <row r="3135">
      <c r="A3135" s="41">
        <v>3004.0</v>
      </c>
      <c r="B3135" s="126" t="s">
        <v>516</v>
      </c>
      <c r="C3135" s="59" t="s">
        <v>108</v>
      </c>
      <c r="D3135" s="59" t="s">
        <v>18432</v>
      </c>
      <c r="F3135" s="65" t="s">
        <v>15678</v>
      </c>
      <c r="G3135" s="156" t="s">
        <v>15679</v>
      </c>
      <c r="H3135" s="156" t="s">
        <v>18433</v>
      </c>
      <c r="I3135" s="149">
        <v>45809.0</v>
      </c>
      <c r="J3135" s="859"/>
      <c r="K3135" s="156" t="s">
        <v>18476</v>
      </c>
      <c r="L3135" s="65"/>
      <c r="M3135" s="156" t="s">
        <v>4485</v>
      </c>
      <c r="N3135" s="156" t="s">
        <v>4486</v>
      </c>
      <c r="O3135" s="153">
        <v>2.0</v>
      </c>
      <c r="P3135" s="379" t="s">
        <v>7208</v>
      </c>
      <c r="Q3135" s="2139" t="str">
        <f> hyperlink(vlookup(lower(N3135),'File Links'!E:F, 2, FALSE), "LINK")</f>
        <v>LINK</v>
      </c>
      <c r="R3135" s="156" t="s">
        <v>15681</v>
      </c>
      <c r="S3135" s="156" t="s">
        <v>15682</v>
      </c>
      <c r="T3135" s="677" t="s">
        <v>15683</v>
      </c>
      <c r="U3135" s="156" t="s">
        <v>131</v>
      </c>
      <c r="V3135" s="379" t="s">
        <v>15684</v>
      </c>
      <c r="W3135" s="1225"/>
      <c r="X3135" s="2154" t="str">
        <f> hyperlink(vlookup(lower(S3135),'File Links'!E:F, 2, FALSE), "LINK")</f>
        <v>LINK</v>
      </c>
      <c r="Y3135" s="65"/>
      <c r="Z3135" s="156" t="s">
        <v>219</v>
      </c>
      <c r="AA3135" s="156" t="s">
        <v>18477</v>
      </c>
      <c r="AB3135" s="2409" t="s">
        <v>18478</v>
      </c>
      <c r="AC3135" s="2409" t="s">
        <v>18479</v>
      </c>
      <c r="AD3135" s="2409" t="s">
        <v>18480</v>
      </c>
      <c r="AE3135" s="153">
        <v>3.0</v>
      </c>
      <c r="AF3135" s="153">
        <v>40.0</v>
      </c>
      <c r="AG3135" s="153">
        <v>0.09</v>
      </c>
      <c r="AH3135" s="156" t="s">
        <v>867</v>
      </c>
      <c r="AI3135" s="156" t="s">
        <v>500</v>
      </c>
      <c r="AJ3135" s="156" t="s">
        <v>131</v>
      </c>
      <c r="AK3135" s="65"/>
      <c r="AL3135" s="156" t="s">
        <v>179</v>
      </c>
      <c r="AM3135" s="156" t="s">
        <v>130</v>
      </c>
      <c r="AN3135" s="156" t="s">
        <v>131</v>
      </c>
      <c r="AO3135" s="153">
        <v>44.0</v>
      </c>
      <c r="AP3135" s="153">
        <v>-0.4</v>
      </c>
      <c r="AQ3135" s="156" t="s">
        <v>166</v>
      </c>
      <c r="AR3135" s="677" t="s">
        <v>18481</v>
      </c>
      <c r="AS3135" s="153">
        <v>0.118</v>
      </c>
      <c r="AT3135" s="156" t="s">
        <v>165</v>
      </c>
      <c r="AU3135" s="156" t="s">
        <v>179</v>
      </c>
      <c r="AV3135" s="156" t="s">
        <v>134</v>
      </c>
      <c r="AW3135" s="432" t="s">
        <v>18482</v>
      </c>
      <c r="AX3135" s="156" t="s">
        <v>136</v>
      </c>
    </row>
    <row r="3136">
      <c r="A3136" s="41">
        <v>2825.0</v>
      </c>
      <c r="B3136" s="126" t="s">
        <v>516</v>
      </c>
      <c r="C3136" s="59" t="s">
        <v>108</v>
      </c>
      <c r="D3136" s="59" t="s">
        <v>169</v>
      </c>
      <c r="F3136" s="65" t="s">
        <v>18483</v>
      </c>
      <c r="G3136" s="156" t="s">
        <v>18484</v>
      </c>
      <c r="H3136" s="156" t="s">
        <v>7218</v>
      </c>
      <c r="I3136" s="431">
        <v>45808.0</v>
      </c>
      <c r="J3136" s="859"/>
      <c r="K3136" s="156" t="s">
        <v>18485</v>
      </c>
      <c r="L3136" s="156" t="s">
        <v>18486</v>
      </c>
      <c r="M3136" s="156" t="s">
        <v>18487</v>
      </c>
      <c r="N3136" s="156" t="s">
        <v>18488</v>
      </c>
      <c r="O3136" s="153">
        <v>2.0</v>
      </c>
      <c r="P3136" s="379" t="s">
        <v>18489</v>
      </c>
      <c r="Q3136" s="2153" t="str">
        <f> hyperlink(vlookup(lower(N3136),'File Links'!E:F, 2, FALSE), "LINK")</f>
        <v>LINK</v>
      </c>
      <c r="R3136" s="156" t="s">
        <v>18490</v>
      </c>
      <c r="S3136" s="156" t="s">
        <v>18491</v>
      </c>
      <c r="T3136" s="65"/>
      <c r="U3136" s="153">
        <v>1.0</v>
      </c>
      <c r="V3136" s="379" t="s">
        <v>18492</v>
      </c>
      <c r="W3136" s="1228" t="s">
        <v>7250</v>
      </c>
      <c r="X3136" s="1544" t="str">
        <f> hyperlink(vlookup(lower(S3136),'File Links'!E:F, 2, FALSE), "LINK")</f>
        <v>LINK</v>
      </c>
      <c r="Y3136" s="65"/>
      <c r="Z3136" s="156" t="s">
        <v>219</v>
      </c>
      <c r="AA3136" s="156" t="s">
        <v>18493</v>
      </c>
      <c r="AB3136" s="156" t="s">
        <v>18494</v>
      </c>
      <c r="AC3136" s="156" t="s">
        <v>18495</v>
      </c>
      <c r="AD3136" s="156" t="s">
        <v>18496</v>
      </c>
      <c r="AE3136" s="156" t="s">
        <v>18497</v>
      </c>
      <c r="AF3136" s="153">
        <v>90.0</v>
      </c>
      <c r="AG3136" s="153">
        <v>0.59</v>
      </c>
      <c r="AH3136" s="156" t="s">
        <v>166</v>
      </c>
      <c r="AI3136" s="156" t="s">
        <v>4966</v>
      </c>
      <c r="AJ3136" s="153">
        <v>0.01</v>
      </c>
      <c r="AK3136" s="156" t="s">
        <v>128</v>
      </c>
      <c r="AL3136" s="156" t="s">
        <v>129</v>
      </c>
      <c r="AM3136" s="156" t="s">
        <v>1898</v>
      </c>
      <c r="AN3136" s="65"/>
      <c r="AO3136" s="153">
        <v>62.0</v>
      </c>
      <c r="AP3136" s="153">
        <v>1.2</v>
      </c>
      <c r="AQ3136" s="156" t="s">
        <v>166</v>
      </c>
      <c r="AR3136" s="156" t="s">
        <v>18498</v>
      </c>
      <c r="AS3136" s="153">
        <v>0.001</v>
      </c>
      <c r="AT3136" s="156" t="s">
        <v>128</v>
      </c>
      <c r="AU3136" s="156" t="s">
        <v>211</v>
      </c>
      <c r="AV3136" s="156" t="s">
        <v>134</v>
      </c>
      <c r="AW3136" s="432" t="s">
        <v>18499</v>
      </c>
      <c r="AX3136" s="156" t="s">
        <v>431</v>
      </c>
    </row>
    <row r="3137">
      <c r="A3137" s="41">
        <v>2743.0</v>
      </c>
      <c r="B3137" s="126" t="s">
        <v>516</v>
      </c>
      <c r="C3137" s="59" t="s">
        <v>108</v>
      </c>
      <c r="D3137" s="59" t="s">
        <v>146</v>
      </c>
      <c r="F3137" s="65" t="s">
        <v>18483</v>
      </c>
      <c r="G3137" s="156" t="s">
        <v>18500</v>
      </c>
      <c r="H3137" s="156" t="s">
        <v>18501</v>
      </c>
      <c r="I3137" s="149">
        <v>45527.0</v>
      </c>
      <c r="J3137" s="859"/>
      <c r="K3137" s="156" t="s">
        <v>18502</v>
      </c>
      <c r="L3137" s="65" t="s">
        <v>18486</v>
      </c>
      <c r="M3137" s="156" t="s">
        <v>18487</v>
      </c>
      <c r="N3137" s="156" t="s">
        <v>18488</v>
      </c>
      <c r="O3137" s="153">
        <v>2.0</v>
      </c>
      <c r="P3137" s="379" t="s">
        <v>18489</v>
      </c>
      <c r="Q3137" s="2324" t="str">
        <f> hyperlink(vlookup(lower(N3137),'File Links'!E:F, 2, FALSE), "LINK")</f>
        <v>LINK</v>
      </c>
      <c r="R3137" s="156" t="s">
        <v>18490</v>
      </c>
      <c r="S3137" s="156" t="s">
        <v>18491</v>
      </c>
      <c r="T3137" s="65"/>
      <c r="U3137" s="153">
        <v>1.0</v>
      </c>
      <c r="V3137" s="379" t="s">
        <v>18492</v>
      </c>
      <c r="W3137" s="1228" t="s">
        <v>7250</v>
      </c>
      <c r="X3137" s="2323" t="str">
        <f> hyperlink(vlookup(lower(S3137),'File Links'!E:F, 2, FALSE), "LINK")</f>
        <v>LINK</v>
      </c>
      <c r="Y3137" s="65"/>
      <c r="Z3137" s="156" t="s">
        <v>219</v>
      </c>
      <c r="AA3137" s="65" t="s">
        <v>18503</v>
      </c>
      <c r="AB3137" s="829" t="s">
        <v>18504</v>
      </c>
      <c r="AC3137" s="65" t="s">
        <v>18505</v>
      </c>
      <c r="AD3137" s="65" t="s">
        <v>18506</v>
      </c>
      <c r="AE3137" s="65" t="s">
        <v>843</v>
      </c>
      <c r="AF3137" s="333">
        <v>90.0</v>
      </c>
      <c r="AG3137" s="65" t="s">
        <v>18507</v>
      </c>
      <c r="AH3137" s="156" t="s">
        <v>127</v>
      </c>
      <c r="AI3137" s="333">
        <v>4.0</v>
      </c>
      <c r="AJ3137" s="333">
        <v>0.001</v>
      </c>
      <c r="AK3137" s="156" t="s">
        <v>128</v>
      </c>
      <c r="AL3137" s="156" t="s">
        <v>179</v>
      </c>
      <c r="AM3137" s="156" t="s">
        <v>130</v>
      </c>
      <c r="AN3137" s="65" t="s">
        <v>18508</v>
      </c>
      <c r="AO3137" s="333">
        <v>1479.0</v>
      </c>
      <c r="AP3137" s="333">
        <v>0.206</v>
      </c>
      <c r="AQ3137" s="156" t="s">
        <v>867</v>
      </c>
      <c r="AR3137" s="65" t="s">
        <v>605</v>
      </c>
      <c r="AS3137" s="333">
        <v>0.001</v>
      </c>
      <c r="AT3137" s="156" t="s">
        <v>128</v>
      </c>
      <c r="AU3137" s="156" t="s">
        <v>129</v>
      </c>
      <c r="AV3137" s="156" t="s">
        <v>130</v>
      </c>
      <c r="AW3137" s="432" t="s">
        <v>18509</v>
      </c>
      <c r="AX3137" s="156" t="s">
        <v>136</v>
      </c>
      <c r="AZ3137" s="59" t="s">
        <v>3123</v>
      </c>
      <c r="BB3137" s="2002"/>
      <c r="BC3137" s="2002"/>
      <c r="BD3137" s="2002"/>
      <c r="BE3137" s="2002"/>
      <c r="BF3137" s="2002"/>
      <c r="BG3137" s="2002"/>
      <c r="BH3137" s="2002"/>
      <c r="BI3137" s="2002"/>
      <c r="BJ3137" s="2002"/>
      <c r="BK3137" s="2002"/>
      <c r="BL3137" s="2002"/>
      <c r="BM3137" s="2002"/>
      <c r="BN3137" s="2002"/>
      <c r="BO3137" s="2002"/>
      <c r="BP3137" s="2002"/>
      <c r="BQ3137" s="2002"/>
      <c r="BR3137" s="2002"/>
      <c r="BS3137" s="2002"/>
      <c r="BT3137" s="2002"/>
      <c r="BU3137" s="2002"/>
      <c r="BV3137" s="2002"/>
      <c r="BW3137" s="2002"/>
      <c r="BX3137" s="2002"/>
      <c r="BY3137" s="2002"/>
      <c r="BZ3137" s="2002"/>
      <c r="CA3137" s="2002"/>
      <c r="CB3137" s="2002"/>
      <c r="CC3137" s="2002"/>
      <c r="CD3137" s="2002"/>
      <c r="CE3137" s="2002"/>
      <c r="CF3137" s="2002"/>
      <c r="CG3137" s="2002"/>
      <c r="CH3137" s="2002"/>
      <c r="CI3137" s="2002"/>
      <c r="CJ3137" s="2002"/>
      <c r="CK3137" s="2002"/>
      <c r="CL3137" s="2002"/>
      <c r="CM3137" s="2002"/>
      <c r="CN3137" s="2002"/>
      <c r="CO3137" s="2002"/>
      <c r="CP3137" s="2002"/>
      <c r="CQ3137" s="2002"/>
      <c r="CR3137" s="2002"/>
      <c r="CS3137" s="2002"/>
      <c r="CT3137" s="2002"/>
      <c r="CU3137" s="2002"/>
      <c r="CV3137" s="2002"/>
      <c r="CW3137" s="2002"/>
      <c r="CX3137" s="2002"/>
      <c r="CY3137" s="2002"/>
      <c r="CZ3137" s="2002"/>
      <c r="DA3137" s="2002"/>
      <c r="DB3137" s="2002"/>
      <c r="DC3137" s="2002"/>
      <c r="DD3137" s="2002"/>
      <c r="DE3137" s="2002"/>
      <c r="DF3137" s="2002"/>
      <c r="DG3137" s="2002"/>
      <c r="DH3137" s="2002"/>
    </row>
    <row r="3138">
      <c r="A3138" s="41">
        <v>2755.0</v>
      </c>
      <c r="B3138" s="126" t="s">
        <v>516</v>
      </c>
      <c r="C3138" s="59" t="s">
        <v>108</v>
      </c>
      <c r="D3138" s="59" t="s">
        <v>146</v>
      </c>
      <c r="F3138" s="65" t="s">
        <v>18483</v>
      </c>
      <c r="G3138" s="156" t="s">
        <v>18510</v>
      </c>
      <c r="H3138" s="156" t="s">
        <v>18501</v>
      </c>
      <c r="I3138" s="149">
        <v>45527.0</v>
      </c>
      <c r="J3138" s="859"/>
      <c r="K3138" s="307" t="s">
        <v>18511</v>
      </c>
      <c r="L3138" s="65" t="s">
        <v>18486</v>
      </c>
      <c r="M3138" s="156" t="s">
        <v>18487</v>
      </c>
      <c r="N3138" s="156" t="s">
        <v>18488</v>
      </c>
      <c r="O3138" s="153">
        <v>2.0</v>
      </c>
      <c r="P3138" s="379" t="s">
        <v>18489</v>
      </c>
      <c r="Q3138" s="2324" t="str">
        <f> hyperlink(vlookup(lower(N3138),'File Links'!E:F, 2, FALSE), "LINK")</f>
        <v>LINK</v>
      </c>
      <c r="R3138" s="156" t="s">
        <v>18490</v>
      </c>
      <c r="S3138" s="156" t="s">
        <v>18491</v>
      </c>
      <c r="T3138" s="65"/>
      <c r="U3138" s="153">
        <v>1.0</v>
      </c>
      <c r="V3138" s="379" t="s">
        <v>18492</v>
      </c>
      <c r="W3138" s="1228" t="s">
        <v>7250</v>
      </c>
      <c r="X3138" s="2323" t="str">
        <f> hyperlink(vlookup(lower(S3138),'File Links'!E:F, 2, FALSE), "LINK")</f>
        <v>LINK</v>
      </c>
      <c r="Y3138" s="65"/>
      <c r="Z3138" s="156" t="s">
        <v>219</v>
      </c>
      <c r="AA3138" s="65" t="s">
        <v>18503</v>
      </c>
      <c r="AB3138" s="829" t="s">
        <v>18504</v>
      </c>
      <c r="AC3138" s="65" t="s">
        <v>18512</v>
      </c>
      <c r="AD3138" s="65" t="s">
        <v>18506</v>
      </c>
      <c r="AE3138" s="65" t="s">
        <v>843</v>
      </c>
      <c r="AF3138" s="333">
        <v>90.0</v>
      </c>
      <c r="AG3138" s="65" t="s">
        <v>18507</v>
      </c>
      <c r="AH3138" s="156" t="s">
        <v>127</v>
      </c>
      <c r="AI3138" s="333">
        <v>4.0</v>
      </c>
      <c r="AJ3138" s="333">
        <v>0.001</v>
      </c>
      <c r="AK3138" s="156" t="s">
        <v>128</v>
      </c>
      <c r="AL3138" s="156" t="s">
        <v>179</v>
      </c>
      <c r="AM3138" s="156" t="s">
        <v>130</v>
      </c>
      <c r="AN3138" s="65" t="s">
        <v>18508</v>
      </c>
      <c r="AO3138" s="153">
        <f>286+270</f>
        <v>556</v>
      </c>
      <c r="AP3138" s="333">
        <v>0.15</v>
      </c>
      <c r="AQ3138" s="156" t="s">
        <v>867</v>
      </c>
      <c r="AR3138" s="156" t="s">
        <v>18513</v>
      </c>
      <c r="AS3138" s="153">
        <v>1.0E-4</v>
      </c>
      <c r="AT3138" s="156" t="s">
        <v>128</v>
      </c>
      <c r="AU3138" s="156" t="s">
        <v>179</v>
      </c>
      <c r="AV3138" s="156" t="s">
        <v>130</v>
      </c>
      <c r="AW3138" s="432" t="s">
        <v>18514</v>
      </c>
      <c r="AX3138" s="156" t="s">
        <v>144</v>
      </c>
      <c r="AZ3138" s="59" t="s">
        <v>3123</v>
      </c>
    </row>
    <row r="3139">
      <c r="A3139" s="41">
        <v>2752.0</v>
      </c>
      <c r="B3139" s="126" t="s">
        <v>516</v>
      </c>
      <c r="C3139" s="59" t="s">
        <v>108</v>
      </c>
      <c r="D3139" s="59" t="s">
        <v>146</v>
      </c>
      <c r="F3139" s="65" t="s">
        <v>18483</v>
      </c>
      <c r="G3139" s="156" t="s">
        <v>18515</v>
      </c>
      <c r="H3139" s="156" t="s">
        <v>18501</v>
      </c>
      <c r="I3139" s="149">
        <v>45527.0</v>
      </c>
      <c r="J3139" s="859"/>
      <c r="K3139" s="307" t="s">
        <v>18516</v>
      </c>
      <c r="L3139" s="65" t="s">
        <v>18486</v>
      </c>
      <c r="M3139" s="156" t="s">
        <v>18487</v>
      </c>
      <c r="N3139" s="156" t="s">
        <v>18488</v>
      </c>
      <c r="O3139" s="153">
        <v>2.0</v>
      </c>
      <c r="P3139" s="379" t="s">
        <v>18489</v>
      </c>
      <c r="Q3139" s="2324" t="str">
        <f> hyperlink(vlookup(lower(N3139),'File Links'!E:F, 2, FALSE), "LINK")</f>
        <v>LINK</v>
      </c>
      <c r="R3139" s="156" t="s">
        <v>18490</v>
      </c>
      <c r="S3139" s="156" t="s">
        <v>18491</v>
      </c>
      <c r="T3139" s="65"/>
      <c r="U3139" s="153">
        <v>1.0</v>
      </c>
      <c r="V3139" s="379" t="s">
        <v>18492</v>
      </c>
      <c r="W3139" s="1228" t="s">
        <v>7250</v>
      </c>
      <c r="X3139" s="2323" t="str">
        <f> hyperlink(vlookup(lower(S3139),'File Links'!E:F, 2, FALSE), "LINK")</f>
        <v>LINK</v>
      </c>
      <c r="Y3139" s="65"/>
      <c r="Z3139" s="156" t="s">
        <v>219</v>
      </c>
      <c r="AA3139" s="65" t="s">
        <v>18503</v>
      </c>
      <c r="AB3139" s="829" t="s">
        <v>18504</v>
      </c>
      <c r="AC3139" s="65" t="s">
        <v>18517</v>
      </c>
      <c r="AD3139" s="65" t="s">
        <v>18506</v>
      </c>
      <c r="AE3139" s="65" t="s">
        <v>843</v>
      </c>
      <c r="AF3139" s="333">
        <v>90.0</v>
      </c>
      <c r="AG3139" s="65" t="s">
        <v>18507</v>
      </c>
      <c r="AH3139" s="156" t="s">
        <v>127</v>
      </c>
      <c r="AI3139" s="333">
        <v>4.0</v>
      </c>
      <c r="AJ3139" s="333">
        <v>0.001</v>
      </c>
      <c r="AK3139" s="156" t="s">
        <v>128</v>
      </c>
      <c r="AL3139" s="156" t="s">
        <v>179</v>
      </c>
      <c r="AM3139" s="156" t="s">
        <v>130</v>
      </c>
      <c r="AN3139" s="65" t="s">
        <v>18508</v>
      </c>
      <c r="AO3139" s="153">
        <v>286.0</v>
      </c>
      <c r="AP3139" s="333">
        <v>0.13</v>
      </c>
      <c r="AQ3139" s="156" t="s">
        <v>867</v>
      </c>
      <c r="AR3139" s="65" t="s">
        <v>18518</v>
      </c>
      <c r="AS3139" s="153">
        <v>1.0E-4</v>
      </c>
      <c r="AT3139" s="156" t="s">
        <v>128</v>
      </c>
      <c r="AU3139" s="156" t="s">
        <v>179</v>
      </c>
      <c r="AV3139" s="156" t="s">
        <v>130</v>
      </c>
      <c r="AW3139" s="432" t="s">
        <v>18514</v>
      </c>
      <c r="AX3139" s="156" t="s">
        <v>144</v>
      </c>
      <c r="AZ3139" s="59" t="s">
        <v>3123</v>
      </c>
    </row>
    <row r="3140">
      <c r="A3140" s="41">
        <v>2749.0</v>
      </c>
      <c r="B3140" s="126" t="s">
        <v>516</v>
      </c>
      <c r="C3140" s="59" t="s">
        <v>108</v>
      </c>
      <c r="D3140" s="59" t="s">
        <v>146</v>
      </c>
      <c r="F3140" s="65" t="s">
        <v>18483</v>
      </c>
      <c r="G3140" s="156" t="s">
        <v>18519</v>
      </c>
      <c r="H3140" s="156" t="s">
        <v>18501</v>
      </c>
      <c r="I3140" s="149">
        <v>45527.0</v>
      </c>
      <c r="J3140" s="859"/>
      <c r="K3140" s="156" t="s">
        <v>18520</v>
      </c>
      <c r="L3140" s="65" t="s">
        <v>18486</v>
      </c>
      <c r="M3140" s="156" t="s">
        <v>18487</v>
      </c>
      <c r="N3140" s="156" t="s">
        <v>18488</v>
      </c>
      <c r="O3140" s="153">
        <v>2.0</v>
      </c>
      <c r="P3140" s="379" t="s">
        <v>18489</v>
      </c>
      <c r="Q3140" s="2324" t="str">
        <f> hyperlink(vlookup(lower(N3140),'File Links'!E:F, 2, FALSE), "LINK")</f>
        <v>LINK</v>
      </c>
      <c r="R3140" s="156" t="s">
        <v>18490</v>
      </c>
      <c r="S3140" s="156" t="s">
        <v>18491</v>
      </c>
      <c r="T3140" s="65"/>
      <c r="U3140" s="153">
        <v>1.0</v>
      </c>
      <c r="V3140" s="379" t="s">
        <v>18492</v>
      </c>
      <c r="W3140" s="1228" t="s">
        <v>7250</v>
      </c>
      <c r="X3140" s="2323" t="str">
        <f> hyperlink(vlookup(lower(S3140),'File Links'!E:F, 2, FALSE), "LINK")</f>
        <v>LINK</v>
      </c>
      <c r="Y3140" s="65"/>
      <c r="Z3140" s="156" t="s">
        <v>219</v>
      </c>
      <c r="AA3140" s="65" t="s">
        <v>18503</v>
      </c>
      <c r="AB3140" s="829" t="s">
        <v>18504</v>
      </c>
      <c r="AC3140" s="65" t="s">
        <v>18521</v>
      </c>
      <c r="AD3140" s="65" t="s">
        <v>18506</v>
      </c>
      <c r="AE3140" s="65" t="s">
        <v>843</v>
      </c>
      <c r="AF3140" s="333">
        <v>90.0</v>
      </c>
      <c r="AG3140" s="65" t="s">
        <v>18507</v>
      </c>
      <c r="AH3140" s="156" t="s">
        <v>127</v>
      </c>
      <c r="AI3140" s="333">
        <v>4.0</v>
      </c>
      <c r="AJ3140" s="333">
        <v>0.001</v>
      </c>
      <c r="AK3140" s="156" t="s">
        <v>128</v>
      </c>
      <c r="AL3140" s="156" t="s">
        <v>179</v>
      </c>
      <c r="AM3140" s="156" t="s">
        <v>130</v>
      </c>
      <c r="AN3140" s="65" t="s">
        <v>18508</v>
      </c>
      <c r="AO3140" s="153">
        <v>270.0</v>
      </c>
      <c r="AP3140" s="333">
        <v>0.19</v>
      </c>
      <c r="AQ3140" s="156" t="s">
        <v>867</v>
      </c>
      <c r="AR3140" s="156" t="s">
        <v>18522</v>
      </c>
      <c r="AS3140" s="153">
        <v>0.001</v>
      </c>
      <c r="AT3140" s="156" t="s">
        <v>128</v>
      </c>
      <c r="AU3140" s="156" t="s">
        <v>179</v>
      </c>
      <c r="AV3140" s="156" t="s">
        <v>130</v>
      </c>
      <c r="AW3140" s="432" t="s">
        <v>18514</v>
      </c>
      <c r="AX3140" s="156" t="s">
        <v>144</v>
      </c>
      <c r="AZ3140" s="59" t="s">
        <v>3123</v>
      </c>
    </row>
    <row r="3141">
      <c r="A3141" s="41">
        <v>2744.0</v>
      </c>
      <c r="B3141" s="126" t="s">
        <v>516</v>
      </c>
      <c r="C3141" s="59" t="s">
        <v>108</v>
      </c>
      <c r="D3141" s="59" t="s">
        <v>146</v>
      </c>
      <c r="F3141" s="65" t="s">
        <v>18483</v>
      </c>
      <c r="G3141" s="156" t="s">
        <v>18523</v>
      </c>
      <c r="H3141" s="156" t="s">
        <v>18501</v>
      </c>
      <c r="I3141" s="149">
        <v>45527.0</v>
      </c>
      <c r="J3141" s="859"/>
      <c r="K3141" s="156" t="s">
        <v>18524</v>
      </c>
      <c r="L3141" s="65" t="s">
        <v>18486</v>
      </c>
      <c r="M3141" s="156" t="s">
        <v>18487</v>
      </c>
      <c r="N3141" s="156" t="s">
        <v>18488</v>
      </c>
      <c r="O3141" s="153">
        <v>2.0</v>
      </c>
      <c r="P3141" s="379" t="s">
        <v>18489</v>
      </c>
      <c r="Q3141" s="2324" t="str">
        <f> hyperlink(vlookup(lower(N3141),'File Links'!E:F, 2, FALSE), "LINK")</f>
        <v>LINK</v>
      </c>
      <c r="R3141" s="156" t="s">
        <v>18490</v>
      </c>
      <c r="S3141" s="156" t="s">
        <v>18491</v>
      </c>
      <c r="T3141" s="65"/>
      <c r="U3141" s="153">
        <v>1.0</v>
      </c>
      <c r="V3141" s="379" t="s">
        <v>18492</v>
      </c>
      <c r="W3141" s="1228" t="s">
        <v>7250</v>
      </c>
      <c r="X3141" s="2323" t="str">
        <f> hyperlink(vlookup(lower(S3141),'File Links'!E:F, 2, FALSE), "LINK")</f>
        <v>LINK</v>
      </c>
      <c r="Y3141" s="65"/>
      <c r="Z3141" s="156" t="s">
        <v>219</v>
      </c>
      <c r="AA3141" s="65" t="s">
        <v>18503</v>
      </c>
      <c r="AB3141" s="829" t="s">
        <v>18504</v>
      </c>
      <c r="AC3141" s="65" t="s">
        <v>18525</v>
      </c>
      <c r="AD3141" s="65" t="s">
        <v>18526</v>
      </c>
      <c r="AE3141" s="65" t="s">
        <v>843</v>
      </c>
      <c r="AF3141" s="333">
        <v>90.0</v>
      </c>
      <c r="AG3141" s="65"/>
      <c r="AH3141" s="65"/>
      <c r="AI3141" s="333">
        <v>4.0</v>
      </c>
      <c r="AJ3141" s="333">
        <v>0.01</v>
      </c>
      <c r="AK3141" s="156" t="s">
        <v>128</v>
      </c>
      <c r="AL3141" s="156" t="s">
        <v>179</v>
      </c>
      <c r="AM3141" s="156" t="s">
        <v>130</v>
      </c>
      <c r="AN3141" s="65" t="s">
        <v>18508</v>
      </c>
      <c r="AO3141" s="333">
        <v>2697.0</v>
      </c>
      <c r="AP3141" s="333">
        <v>1.5</v>
      </c>
      <c r="AQ3141" s="156" t="s">
        <v>18527</v>
      </c>
      <c r="AR3141" s="65" t="s">
        <v>429</v>
      </c>
      <c r="AS3141" s="153">
        <v>0.001</v>
      </c>
      <c r="AT3141" s="156" t="s">
        <v>128</v>
      </c>
      <c r="AU3141" s="156" t="s">
        <v>179</v>
      </c>
      <c r="AV3141" s="156" t="s">
        <v>130</v>
      </c>
      <c r="AW3141" s="432" t="s">
        <v>18528</v>
      </c>
      <c r="AX3141" s="156" t="s">
        <v>136</v>
      </c>
      <c r="AZ3141" s="59" t="s">
        <v>3123</v>
      </c>
    </row>
    <row r="3142">
      <c r="A3142" s="41">
        <v>2764.0</v>
      </c>
      <c r="B3142" s="126" t="s">
        <v>516</v>
      </c>
      <c r="C3142" s="59" t="s">
        <v>108</v>
      </c>
      <c r="D3142" s="59" t="s">
        <v>146</v>
      </c>
      <c r="F3142" s="65" t="s">
        <v>18483</v>
      </c>
      <c r="G3142" s="156" t="s">
        <v>18529</v>
      </c>
      <c r="H3142" s="156" t="s">
        <v>18501</v>
      </c>
      <c r="I3142" s="149">
        <v>45527.0</v>
      </c>
      <c r="J3142" s="859"/>
      <c r="K3142" s="307" t="s">
        <v>18530</v>
      </c>
      <c r="L3142" s="65" t="s">
        <v>18486</v>
      </c>
      <c r="M3142" s="156" t="s">
        <v>18487</v>
      </c>
      <c r="N3142" s="156" t="s">
        <v>18488</v>
      </c>
      <c r="O3142" s="153">
        <v>2.0</v>
      </c>
      <c r="P3142" s="379" t="s">
        <v>18489</v>
      </c>
      <c r="Q3142" s="2324" t="str">
        <f> hyperlink(vlookup(lower(N3142),'File Links'!E:F, 2, FALSE), "LINK")</f>
        <v>LINK</v>
      </c>
      <c r="R3142" s="156" t="s">
        <v>18490</v>
      </c>
      <c r="S3142" s="156" t="s">
        <v>18491</v>
      </c>
      <c r="T3142" s="65"/>
      <c r="U3142" s="153">
        <v>1.0</v>
      </c>
      <c r="V3142" s="379" t="s">
        <v>18492</v>
      </c>
      <c r="W3142" s="1228" t="s">
        <v>7250</v>
      </c>
      <c r="X3142" s="2323" t="str">
        <f> hyperlink(vlookup(lower(S3142),'File Links'!E:F, 2, FALSE), "LINK")</f>
        <v>LINK</v>
      </c>
      <c r="Y3142" s="65"/>
      <c r="Z3142" s="156" t="s">
        <v>219</v>
      </c>
      <c r="AA3142" s="65" t="s">
        <v>18503</v>
      </c>
      <c r="AB3142" s="829" t="s">
        <v>18504</v>
      </c>
      <c r="AC3142" s="65" t="s">
        <v>18531</v>
      </c>
      <c r="AD3142" s="65" t="s">
        <v>18526</v>
      </c>
      <c r="AE3142" s="65" t="s">
        <v>843</v>
      </c>
      <c r="AF3142" s="333">
        <v>90.0</v>
      </c>
      <c r="AG3142" s="65"/>
      <c r="AH3142" s="65"/>
      <c r="AI3142" s="333">
        <v>4.0</v>
      </c>
      <c r="AJ3142" s="333">
        <v>0.01</v>
      </c>
      <c r="AK3142" s="156" t="s">
        <v>128</v>
      </c>
      <c r="AL3142" s="156" t="s">
        <v>179</v>
      </c>
      <c r="AM3142" s="156" t="s">
        <v>130</v>
      </c>
      <c r="AN3142" s="65" t="s">
        <v>18508</v>
      </c>
      <c r="AO3142" s="153">
        <f>83+64</f>
        <v>147</v>
      </c>
      <c r="AP3142" s="153">
        <v>0.51</v>
      </c>
      <c r="AQ3142" s="156" t="s">
        <v>166</v>
      </c>
      <c r="AR3142" s="156" t="s">
        <v>18532</v>
      </c>
      <c r="AS3142" s="153">
        <v>0.001</v>
      </c>
      <c r="AT3142" s="156" t="s">
        <v>128</v>
      </c>
      <c r="AU3142" s="156" t="s">
        <v>179</v>
      </c>
      <c r="AV3142" s="156" t="s">
        <v>130</v>
      </c>
      <c r="AW3142" s="432" t="s">
        <v>18514</v>
      </c>
      <c r="AX3142" s="156" t="s">
        <v>144</v>
      </c>
      <c r="AZ3142" s="59" t="s">
        <v>3123</v>
      </c>
    </row>
    <row r="3143">
      <c r="A3143" s="41">
        <v>2763.0</v>
      </c>
      <c r="B3143" s="126" t="s">
        <v>516</v>
      </c>
      <c r="C3143" s="59" t="s">
        <v>108</v>
      </c>
      <c r="D3143" s="59" t="s">
        <v>146</v>
      </c>
      <c r="F3143" s="65" t="s">
        <v>18483</v>
      </c>
      <c r="G3143" s="156" t="s">
        <v>18533</v>
      </c>
      <c r="H3143" s="156" t="s">
        <v>18501</v>
      </c>
      <c r="I3143" s="149">
        <v>45527.0</v>
      </c>
      <c r="J3143" s="859"/>
      <c r="K3143" s="156" t="s">
        <v>18534</v>
      </c>
      <c r="L3143" s="65" t="s">
        <v>18486</v>
      </c>
      <c r="M3143" s="156" t="s">
        <v>18487</v>
      </c>
      <c r="N3143" s="156" t="s">
        <v>18488</v>
      </c>
      <c r="O3143" s="153">
        <v>2.0</v>
      </c>
      <c r="P3143" s="379" t="s">
        <v>18489</v>
      </c>
      <c r="Q3143" s="2324" t="str">
        <f> hyperlink(vlookup(lower(N3143),'File Links'!E:F, 2, FALSE), "LINK")</f>
        <v>LINK</v>
      </c>
      <c r="R3143" s="156" t="s">
        <v>18490</v>
      </c>
      <c r="S3143" s="156" t="s">
        <v>18491</v>
      </c>
      <c r="T3143" s="65"/>
      <c r="U3143" s="153">
        <v>1.0</v>
      </c>
      <c r="V3143" s="379" t="s">
        <v>18492</v>
      </c>
      <c r="W3143" s="1228" t="s">
        <v>7250</v>
      </c>
      <c r="X3143" s="2323" t="str">
        <f> hyperlink(vlookup(lower(S3143),'File Links'!E:F, 2, FALSE), "LINK")</f>
        <v>LINK</v>
      </c>
      <c r="Y3143" s="65"/>
      <c r="Z3143" s="156" t="s">
        <v>219</v>
      </c>
      <c r="AA3143" s="65" t="s">
        <v>18503</v>
      </c>
      <c r="AB3143" s="829" t="s">
        <v>18504</v>
      </c>
      <c r="AC3143" s="65" t="s">
        <v>18535</v>
      </c>
      <c r="AD3143" s="65" t="s">
        <v>18526</v>
      </c>
      <c r="AE3143" s="65" t="s">
        <v>843</v>
      </c>
      <c r="AF3143" s="333">
        <v>90.0</v>
      </c>
      <c r="AG3143" s="65"/>
      <c r="AH3143" s="65"/>
      <c r="AI3143" s="333">
        <v>4.0</v>
      </c>
      <c r="AJ3143" s="333">
        <v>0.01</v>
      </c>
      <c r="AK3143" s="156" t="s">
        <v>128</v>
      </c>
      <c r="AL3143" s="156" t="s">
        <v>179</v>
      </c>
      <c r="AM3143" s="156" t="s">
        <v>130</v>
      </c>
      <c r="AN3143" s="65" t="s">
        <v>18508</v>
      </c>
      <c r="AO3143" s="153">
        <v>286.0</v>
      </c>
      <c r="AP3143" s="153">
        <v>0.63</v>
      </c>
      <c r="AQ3143" s="156" t="s">
        <v>166</v>
      </c>
      <c r="AR3143" s="156" t="s">
        <v>18532</v>
      </c>
      <c r="AS3143" s="153">
        <v>0.001</v>
      </c>
      <c r="AT3143" s="156" t="s">
        <v>128</v>
      </c>
      <c r="AU3143" s="156" t="s">
        <v>179</v>
      </c>
      <c r="AV3143" s="156" t="s">
        <v>130</v>
      </c>
      <c r="AW3143" s="432" t="s">
        <v>18514</v>
      </c>
      <c r="AX3143" s="156" t="s">
        <v>144</v>
      </c>
      <c r="AZ3143" s="59" t="s">
        <v>3123</v>
      </c>
    </row>
    <row r="3144">
      <c r="A3144" s="41">
        <v>2760.0</v>
      </c>
      <c r="B3144" s="126" t="s">
        <v>516</v>
      </c>
      <c r="C3144" s="59" t="s">
        <v>108</v>
      </c>
      <c r="D3144" s="59" t="s">
        <v>146</v>
      </c>
      <c r="F3144" s="65" t="s">
        <v>18483</v>
      </c>
      <c r="G3144" s="156" t="s">
        <v>18536</v>
      </c>
      <c r="H3144" s="156" t="s">
        <v>18501</v>
      </c>
      <c r="I3144" s="149">
        <v>45527.0</v>
      </c>
      <c r="J3144" s="859"/>
      <c r="K3144" s="156" t="s">
        <v>18534</v>
      </c>
      <c r="L3144" s="65" t="s">
        <v>18486</v>
      </c>
      <c r="M3144" s="156" t="s">
        <v>18487</v>
      </c>
      <c r="N3144" s="156" t="s">
        <v>18488</v>
      </c>
      <c r="O3144" s="153">
        <v>2.0</v>
      </c>
      <c r="P3144" s="379" t="s">
        <v>18489</v>
      </c>
      <c r="Q3144" s="2324" t="str">
        <f> hyperlink(vlookup(lower(N3144),'File Links'!E:F, 2, FALSE), "LINK")</f>
        <v>LINK</v>
      </c>
      <c r="R3144" s="156" t="s">
        <v>18490</v>
      </c>
      <c r="S3144" s="156" t="s">
        <v>18491</v>
      </c>
      <c r="T3144" s="65"/>
      <c r="U3144" s="153">
        <v>1.0</v>
      </c>
      <c r="V3144" s="379" t="s">
        <v>18492</v>
      </c>
      <c r="W3144" s="1228" t="s">
        <v>7250</v>
      </c>
      <c r="X3144" s="2323" t="str">
        <f> hyperlink(vlookup(lower(S3144),'File Links'!E:F, 2, FALSE), "LINK")</f>
        <v>LINK</v>
      </c>
      <c r="Y3144" s="65"/>
      <c r="Z3144" s="156" t="s">
        <v>219</v>
      </c>
      <c r="AA3144" s="65" t="s">
        <v>18503</v>
      </c>
      <c r="AB3144" s="829" t="s">
        <v>18504</v>
      </c>
      <c r="AC3144" s="65" t="s">
        <v>18537</v>
      </c>
      <c r="AD3144" s="65" t="s">
        <v>18526</v>
      </c>
      <c r="AE3144" s="65" t="s">
        <v>843</v>
      </c>
      <c r="AF3144" s="333">
        <v>90.0</v>
      </c>
      <c r="AG3144" s="65"/>
      <c r="AH3144" s="65"/>
      <c r="AI3144" s="333">
        <v>4.0</v>
      </c>
      <c r="AJ3144" s="333">
        <v>0.01</v>
      </c>
      <c r="AK3144" s="156" t="s">
        <v>128</v>
      </c>
      <c r="AL3144" s="156" t="s">
        <v>179</v>
      </c>
      <c r="AM3144" s="156" t="s">
        <v>130</v>
      </c>
      <c r="AN3144" s="65" t="s">
        <v>18508</v>
      </c>
      <c r="AO3144" s="153">
        <v>270.0</v>
      </c>
      <c r="AP3144" s="153">
        <v>0.78</v>
      </c>
      <c r="AQ3144" s="156" t="s">
        <v>166</v>
      </c>
      <c r="AR3144" s="156" t="s">
        <v>18532</v>
      </c>
      <c r="AS3144" s="153">
        <v>0.001</v>
      </c>
      <c r="AT3144" s="156" t="s">
        <v>128</v>
      </c>
      <c r="AU3144" s="156" t="s">
        <v>179</v>
      </c>
      <c r="AV3144" s="156" t="s">
        <v>130</v>
      </c>
      <c r="AW3144" s="432" t="s">
        <v>18514</v>
      </c>
      <c r="AX3144" s="156" t="s">
        <v>144</v>
      </c>
      <c r="AZ3144" s="59" t="s">
        <v>3123</v>
      </c>
    </row>
    <row r="3145">
      <c r="A3145" s="41">
        <v>2745.0</v>
      </c>
      <c r="B3145" s="126" t="s">
        <v>516</v>
      </c>
      <c r="C3145" s="59" t="s">
        <v>108</v>
      </c>
      <c r="D3145" s="59" t="s">
        <v>146</v>
      </c>
      <c r="F3145" s="65" t="s">
        <v>18483</v>
      </c>
      <c r="G3145" s="156" t="s">
        <v>18538</v>
      </c>
      <c r="H3145" s="156" t="s">
        <v>18501</v>
      </c>
      <c r="I3145" s="149">
        <v>45527.0</v>
      </c>
      <c r="J3145" s="859"/>
      <c r="K3145" s="156" t="s">
        <v>18539</v>
      </c>
      <c r="L3145" s="65" t="s">
        <v>18486</v>
      </c>
      <c r="M3145" s="156" t="s">
        <v>18487</v>
      </c>
      <c r="N3145" s="156" t="s">
        <v>18488</v>
      </c>
      <c r="O3145" s="153">
        <v>2.0</v>
      </c>
      <c r="P3145" s="379" t="s">
        <v>18489</v>
      </c>
      <c r="Q3145" s="2324" t="str">
        <f> hyperlink(vlookup(lower(N3145),'File Links'!E:F, 2, FALSE), "LINK")</f>
        <v>LINK</v>
      </c>
      <c r="R3145" s="156" t="s">
        <v>18490</v>
      </c>
      <c r="S3145" s="156" t="s">
        <v>18491</v>
      </c>
      <c r="T3145" s="65"/>
      <c r="U3145" s="153">
        <v>1.0</v>
      </c>
      <c r="V3145" s="379" t="s">
        <v>18492</v>
      </c>
      <c r="W3145" s="1228" t="s">
        <v>7250</v>
      </c>
      <c r="X3145" s="2323" t="str">
        <f> hyperlink(vlookup(lower(S3145),'File Links'!E:F, 2, FALSE), "LINK")</f>
        <v>LINK</v>
      </c>
      <c r="Y3145" s="65"/>
      <c r="Z3145" s="156" t="s">
        <v>219</v>
      </c>
      <c r="AA3145" s="65" t="s">
        <v>18503</v>
      </c>
      <c r="AB3145" s="829" t="s">
        <v>18504</v>
      </c>
      <c r="AC3145" s="65" t="s">
        <v>18540</v>
      </c>
      <c r="AD3145" s="65" t="s">
        <v>18541</v>
      </c>
      <c r="AE3145" s="65" t="s">
        <v>843</v>
      </c>
      <c r="AF3145" s="333">
        <v>90.0</v>
      </c>
      <c r="AG3145" s="65"/>
      <c r="AH3145" s="65"/>
      <c r="AI3145" s="333">
        <v>4.0</v>
      </c>
      <c r="AJ3145" s="333">
        <v>0.01</v>
      </c>
      <c r="AK3145" s="156" t="s">
        <v>128</v>
      </c>
      <c r="AL3145" s="156" t="s">
        <v>179</v>
      </c>
      <c r="AM3145" s="156" t="s">
        <v>130</v>
      </c>
      <c r="AN3145" s="65" t="s">
        <v>18508</v>
      </c>
      <c r="AO3145" s="333">
        <v>2697.0</v>
      </c>
      <c r="AP3145" s="65" t="s">
        <v>18542</v>
      </c>
      <c r="AQ3145" s="156" t="s">
        <v>127</v>
      </c>
      <c r="AR3145" s="65" t="s">
        <v>2222</v>
      </c>
      <c r="AS3145" s="333">
        <v>0.001</v>
      </c>
      <c r="AT3145" s="156" t="s">
        <v>128</v>
      </c>
      <c r="AU3145" s="156" t="s">
        <v>179</v>
      </c>
      <c r="AV3145" s="156" t="s">
        <v>130</v>
      </c>
      <c r="AW3145" s="432" t="s">
        <v>18528</v>
      </c>
      <c r="AX3145" s="156" t="s">
        <v>136</v>
      </c>
      <c r="AZ3145" s="59" t="s">
        <v>3123</v>
      </c>
    </row>
    <row r="3146">
      <c r="A3146" s="41">
        <v>2761.0</v>
      </c>
      <c r="B3146" s="126" t="s">
        <v>516</v>
      </c>
      <c r="C3146" s="59" t="s">
        <v>108</v>
      </c>
      <c r="D3146" s="59" t="s">
        <v>146</v>
      </c>
      <c r="F3146" s="65" t="s">
        <v>18483</v>
      </c>
      <c r="G3146" s="156" t="s">
        <v>18543</v>
      </c>
      <c r="H3146" s="156" t="s">
        <v>18501</v>
      </c>
      <c r="I3146" s="149">
        <v>45527.0</v>
      </c>
      <c r="J3146" s="859"/>
      <c r="K3146" s="307" t="s">
        <v>18544</v>
      </c>
      <c r="L3146" s="65" t="s">
        <v>18486</v>
      </c>
      <c r="M3146" s="156" t="s">
        <v>18487</v>
      </c>
      <c r="N3146" s="156" t="s">
        <v>18488</v>
      </c>
      <c r="O3146" s="153">
        <v>2.0</v>
      </c>
      <c r="P3146" s="379" t="s">
        <v>18489</v>
      </c>
      <c r="Q3146" s="2324" t="str">
        <f> hyperlink(vlookup(lower(N3146),'File Links'!E:F, 2, FALSE), "LINK")</f>
        <v>LINK</v>
      </c>
      <c r="R3146" s="156" t="s">
        <v>18490</v>
      </c>
      <c r="S3146" s="156" t="s">
        <v>18491</v>
      </c>
      <c r="T3146" s="65"/>
      <c r="U3146" s="153">
        <v>1.0</v>
      </c>
      <c r="V3146" s="379" t="s">
        <v>18492</v>
      </c>
      <c r="W3146" s="1228" t="s">
        <v>7250</v>
      </c>
      <c r="X3146" s="2323" t="str">
        <f> hyperlink(vlookup(lower(S3146),'File Links'!E:F, 2, FALSE), "LINK")</f>
        <v>LINK</v>
      </c>
      <c r="Y3146" s="65"/>
      <c r="Z3146" s="156" t="s">
        <v>219</v>
      </c>
      <c r="AA3146" s="65" t="s">
        <v>18503</v>
      </c>
      <c r="AB3146" s="829" t="s">
        <v>18504</v>
      </c>
      <c r="AC3146" s="65" t="s">
        <v>18545</v>
      </c>
      <c r="AD3146" s="65" t="s">
        <v>18541</v>
      </c>
      <c r="AE3146" s="65" t="s">
        <v>843</v>
      </c>
      <c r="AF3146" s="333">
        <v>90.0</v>
      </c>
      <c r="AG3146" s="65"/>
      <c r="AH3146" s="65"/>
      <c r="AI3146" s="333">
        <v>4.0</v>
      </c>
      <c r="AJ3146" s="333">
        <v>0.01</v>
      </c>
      <c r="AK3146" s="156" t="s">
        <v>128</v>
      </c>
      <c r="AL3146" s="156" t="s">
        <v>179</v>
      </c>
      <c r="AM3146" s="156" t="s">
        <v>130</v>
      </c>
      <c r="AN3146" s="65" t="s">
        <v>18508</v>
      </c>
      <c r="AO3146" s="153">
        <v>286.0</v>
      </c>
      <c r="AP3146" s="333">
        <v>0.9</v>
      </c>
      <c r="AQ3146" s="156" t="s">
        <v>166</v>
      </c>
      <c r="AR3146" s="156" t="s">
        <v>18532</v>
      </c>
      <c r="AS3146" s="153">
        <v>0.001</v>
      </c>
      <c r="AT3146" s="156" t="s">
        <v>128</v>
      </c>
      <c r="AU3146" s="156" t="s">
        <v>179</v>
      </c>
      <c r="AV3146" s="156" t="s">
        <v>130</v>
      </c>
      <c r="AW3146" s="432" t="s">
        <v>18514</v>
      </c>
      <c r="AX3146" s="156" t="s">
        <v>144</v>
      </c>
      <c r="AZ3146" s="59" t="s">
        <v>3123</v>
      </c>
    </row>
    <row r="3147">
      <c r="A3147" s="41">
        <v>2758.0</v>
      </c>
      <c r="B3147" s="126" t="s">
        <v>516</v>
      </c>
      <c r="C3147" s="59" t="s">
        <v>108</v>
      </c>
      <c r="D3147" s="59" t="s">
        <v>146</v>
      </c>
      <c r="F3147" s="65" t="s">
        <v>18483</v>
      </c>
      <c r="G3147" s="156" t="s">
        <v>18546</v>
      </c>
      <c r="H3147" s="156" t="s">
        <v>18501</v>
      </c>
      <c r="I3147" s="149">
        <v>45527.0</v>
      </c>
      <c r="J3147" s="859"/>
      <c r="K3147" s="156" t="s">
        <v>18547</v>
      </c>
      <c r="L3147" s="65" t="s">
        <v>18486</v>
      </c>
      <c r="M3147" s="156" t="s">
        <v>18487</v>
      </c>
      <c r="N3147" s="156" t="s">
        <v>18488</v>
      </c>
      <c r="O3147" s="153">
        <v>2.0</v>
      </c>
      <c r="P3147" s="379" t="s">
        <v>18489</v>
      </c>
      <c r="Q3147" s="2324" t="str">
        <f> hyperlink(vlookup(lower(N3147),'File Links'!E:F, 2, FALSE), "LINK")</f>
        <v>LINK</v>
      </c>
      <c r="R3147" s="156" t="s">
        <v>18490</v>
      </c>
      <c r="S3147" s="156" t="s">
        <v>18491</v>
      </c>
      <c r="T3147" s="65"/>
      <c r="U3147" s="153">
        <v>1.0</v>
      </c>
      <c r="V3147" s="379" t="s">
        <v>18492</v>
      </c>
      <c r="W3147" s="1228" t="s">
        <v>7250</v>
      </c>
      <c r="X3147" s="2323" t="str">
        <f> hyperlink(vlookup(lower(S3147),'File Links'!E:F, 2, FALSE), "LINK")</f>
        <v>LINK</v>
      </c>
      <c r="Y3147" s="65"/>
      <c r="Z3147" s="156" t="s">
        <v>219</v>
      </c>
      <c r="AA3147" s="65" t="s">
        <v>18503</v>
      </c>
      <c r="AB3147" s="829" t="s">
        <v>18504</v>
      </c>
      <c r="AC3147" s="65" t="s">
        <v>18548</v>
      </c>
      <c r="AD3147" s="65" t="s">
        <v>18541</v>
      </c>
      <c r="AE3147" s="65" t="s">
        <v>843</v>
      </c>
      <c r="AF3147" s="333">
        <v>90.0</v>
      </c>
      <c r="AG3147" s="65"/>
      <c r="AH3147" s="65"/>
      <c r="AI3147" s="333">
        <v>4.0</v>
      </c>
      <c r="AJ3147" s="333">
        <v>0.01</v>
      </c>
      <c r="AK3147" s="156" t="s">
        <v>128</v>
      </c>
      <c r="AL3147" s="156" t="s">
        <v>179</v>
      </c>
      <c r="AM3147" s="156" t="s">
        <v>130</v>
      </c>
      <c r="AN3147" s="65" t="s">
        <v>18508</v>
      </c>
      <c r="AO3147" s="153">
        <v>270.0</v>
      </c>
      <c r="AP3147" s="153">
        <v>1.14</v>
      </c>
      <c r="AQ3147" s="156" t="s">
        <v>166</v>
      </c>
      <c r="AR3147" s="156" t="s">
        <v>18532</v>
      </c>
      <c r="AS3147" s="153">
        <v>0.001</v>
      </c>
      <c r="AT3147" s="156" t="s">
        <v>128</v>
      </c>
      <c r="AU3147" s="156" t="s">
        <v>179</v>
      </c>
      <c r="AV3147" s="156" t="s">
        <v>130</v>
      </c>
      <c r="AW3147" s="432" t="s">
        <v>18514</v>
      </c>
      <c r="AX3147" s="156" t="s">
        <v>144</v>
      </c>
      <c r="AZ3147" s="59" t="s">
        <v>3123</v>
      </c>
    </row>
    <row r="3148">
      <c r="A3148" s="41">
        <v>2746.0</v>
      </c>
      <c r="B3148" s="126" t="s">
        <v>516</v>
      </c>
      <c r="C3148" s="59" t="s">
        <v>108</v>
      </c>
      <c r="D3148" s="59" t="s">
        <v>146</v>
      </c>
      <c r="F3148" s="65" t="s">
        <v>18483</v>
      </c>
      <c r="G3148" s="156" t="s">
        <v>18549</v>
      </c>
      <c r="H3148" s="156" t="s">
        <v>18501</v>
      </c>
      <c r="I3148" s="149">
        <v>45527.0</v>
      </c>
      <c r="J3148" s="859"/>
      <c r="K3148" s="156" t="s">
        <v>18550</v>
      </c>
      <c r="L3148" s="65" t="s">
        <v>18486</v>
      </c>
      <c r="M3148" s="156" t="s">
        <v>18487</v>
      </c>
      <c r="N3148" s="156" t="s">
        <v>18488</v>
      </c>
      <c r="O3148" s="153">
        <v>2.0</v>
      </c>
      <c r="P3148" s="379" t="s">
        <v>18489</v>
      </c>
      <c r="Q3148" s="2324" t="str">
        <f> hyperlink(vlookup(lower(N3148),'File Links'!E:F, 2, FALSE), "LINK")</f>
        <v>LINK</v>
      </c>
      <c r="R3148" s="156" t="s">
        <v>18490</v>
      </c>
      <c r="S3148" s="156" t="s">
        <v>18491</v>
      </c>
      <c r="T3148" s="65"/>
      <c r="U3148" s="153">
        <v>1.0</v>
      </c>
      <c r="V3148" s="379" t="s">
        <v>18492</v>
      </c>
      <c r="W3148" s="1228" t="s">
        <v>7250</v>
      </c>
      <c r="X3148" s="2323" t="str">
        <f> hyperlink(vlookup(lower(S3148),'File Links'!E:F, 2, FALSE), "LINK")</f>
        <v>LINK</v>
      </c>
      <c r="Y3148" s="65"/>
      <c r="Z3148" s="156" t="s">
        <v>219</v>
      </c>
      <c r="AA3148" s="65" t="s">
        <v>18503</v>
      </c>
      <c r="AB3148" s="829" t="s">
        <v>18504</v>
      </c>
      <c r="AC3148" s="65" t="s">
        <v>18551</v>
      </c>
      <c r="AD3148" s="156" t="s">
        <v>18552</v>
      </c>
      <c r="AE3148" s="156" t="s">
        <v>806</v>
      </c>
      <c r="AF3148" s="333">
        <v>90.0</v>
      </c>
      <c r="AG3148" s="65"/>
      <c r="AH3148" s="65"/>
      <c r="AI3148" s="153">
        <v>5.0</v>
      </c>
      <c r="AJ3148" s="333">
        <v>0.1</v>
      </c>
      <c r="AK3148" s="156" t="s">
        <v>328</v>
      </c>
      <c r="AL3148" s="156" t="s">
        <v>179</v>
      </c>
      <c r="AM3148" s="156" t="s">
        <v>130</v>
      </c>
      <c r="AN3148" s="65" t="s">
        <v>18508</v>
      </c>
      <c r="AO3148" s="333">
        <v>2697.0</v>
      </c>
      <c r="AP3148" s="156" t="s">
        <v>18553</v>
      </c>
      <c r="AQ3148" s="156" t="s">
        <v>127</v>
      </c>
      <c r="AR3148" s="65" t="s">
        <v>2222</v>
      </c>
      <c r="AS3148" s="333">
        <v>0.001</v>
      </c>
      <c r="AT3148" s="156" t="s">
        <v>128</v>
      </c>
      <c r="AU3148" s="156" t="s">
        <v>179</v>
      </c>
      <c r="AV3148" s="156" t="s">
        <v>130</v>
      </c>
      <c r="AW3148" s="432" t="s">
        <v>18528</v>
      </c>
      <c r="AX3148" s="156" t="s">
        <v>136</v>
      </c>
      <c r="AZ3148" s="59" t="s">
        <v>3123</v>
      </c>
    </row>
    <row r="3149">
      <c r="A3149" s="41">
        <v>2762.0</v>
      </c>
      <c r="B3149" s="126" t="s">
        <v>516</v>
      </c>
      <c r="C3149" s="59" t="s">
        <v>108</v>
      </c>
      <c r="D3149" s="59" t="s">
        <v>146</v>
      </c>
      <c r="F3149" s="65" t="s">
        <v>18483</v>
      </c>
      <c r="G3149" s="156" t="s">
        <v>18554</v>
      </c>
      <c r="H3149" s="156" t="s">
        <v>18501</v>
      </c>
      <c r="I3149" s="149">
        <v>45527.0</v>
      </c>
      <c r="J3149" s="859"/>
      <c r="K3149" s="307" t="s">
        <v>18555</v>
      </c>
      <c r="L3149" s="65" t="s">
        <v>18486</v>
      </c>
      <c r="M3149" s="156" t="s">
        <v>18487</v>
      </c>
      <c r="N3149" s="156" t="s">
        <v>18488</v>
      </c>
      <c r="O3149" s="153">
        <v>2.0</v>
      </c>
      <c r="P3149" s="379" t="s">
        <v>18489</v>
      </c>
      <c r="Q3149" s="2324" t="str">
        <f> hyperlink(vlookup(lower(N3149),'File Links'!E:F, 2, FALSE), "LINK")</f>
        <v>LINK</v>
      </c>
      <c r="R3149" s="156" t="s">
        <v>18490</v>
      </c>
      <c r="S3149" s="156" t="s">
        <v>18491</v>
      </c>
      <c r="T3149" s="65"/>
      <c r="U3149" s="153">
        <v>1.0</v>
      </c>
      <c r="V3149" s="379" t="s">
        <v>18492</v>
      </c>
      <c r="W3149" s="1228" t="s">
        <v>7250</v>
      </c>
      <c r="X3149" s="2323" t="str">
        <f> hyperlink(vlookup(lower(S3149),'File Links'!E:F, 2, FALSE), "LINK")</f>
        <v>LINK</v>
      </c>
      <c r="Y3149" s="65"/>
      <c r="Z3149" s="156" t="s">
        <v>219</v>
      </c>
      <c r="AA3149" s="65" t="s">
        <v>18503</v>
      </c>
      <c r="AB3149" s="829" t="s">
        <v>18504</v>
      </c>
      <c r="AC3149" s="65" t="s">
        <v>18556</v>
      </c>
      <c r="AD3149" s="156" t="s">
        <v>18552</v>
      </c>
      <c r="AE3149" s="156" t="s">
        <v>806</v>
      </c>
      <c r="AF3149" s="333">
        <v>90.0</v>
      </c>
      <c r="AG3149" s="65"/>
      <c r="AH3149" s="65"/>
      <c r="AI3149" s="153">
        <v>5.0</v>
      </c>
      <c r="AJ3149" s="333">
        <v>0.1</v>
      </c>
      <c r="AK3149" s="156" t="s">
        <v>328</v>
      </c>
      <c r="AL3149" s="156" t="s">
        <v>179</v>
      </c>
      <c r="AM3149" s="156" t="s">
        <v>130</v>
      </c>
      <c r="AN3149" s="65" t="s">
        <v>18508</v>
      </c>
      <c r="AO3149" s="153">
        <v>286.0</v>
      </c>
      <c r="AP3149" s="153">
        <v>0.44</v>
      </c>
      <c r="AQ3149" s="156" t="s">
        <v>166</v>
      </c>
      <c r="AR3149" s="156" t="s">
        <v>18532</v>
      </c>
      <c r="AS3149" s="153">
        <v>0.001</v>
      </c>
      <c r="AT3149" s="156" t="s">
        <v>128</v>
      </c>
      <c r="AU3149" s="156" t="s">
        <v>179</v>
      </c>
      <c r="AV3149" s="156" t="s">
        <v>130</v>
      </c>
      <c r="AW3149" s="432" t="s">
        <v>18514</v>
      </c>
      <c r="AX3149" s="156" t="s">
        <v>144</v>
      </c>
      <c r="AZ3149" s="59" t="s">
        <v>3123</v>
      </c>
      <c r="BB3149" s="2002"/>
      <c r="BC3149" s="2002"/>
      <c r="BD3149" s="2002"/>
      <c r="BE3149" s="2002"/>
      <c r="BF3149" s="2002"/>
      <c r="BG3149" s="2002"/>
      <c r="BH3149" s="2002"/>
      <c r="BI3149" s="2002"/>
      <c r="BJ3149" s="2002"/>
      <c r="BK3149" s="2002"/>
      <c r="BL3149" s="2002"/>
      <c r="BM3149" s="2002"/>
      <c r="BN3149" s="2002"/>
      <c r="BO3149" s="2002"/>
      <c r="BP3149" s="2002"/>
      <c r="BQ3149" s="2002"/>
      <c r="BR3149" s="2002"/>
      <c r="BS3149" s="2002"/>
      <c r="BT3149" s="2002"/>
      <c r="BU3149" s="2002"/>
      <c r="BV3149" s="2002"/>
      <c r="BW3149" s="2002"/>
      <c r="BX3149" s="2002"/>
      <c r="BY3149" s="2002"/>
      <c r="BZ3149" s="2002"/>
      <c r="CA3149" s="2002"/>
      <c r="CB3149" s="2002"/>
      <c r="CC3149" s="2002"/>
      <c r="CD3149" s="2002"/>
      <c r="CE3149" s="2002"/>
      <c r="CF3149" s="2002"/>
      <c r="CG3149" s="2002"/>
      <c r="CH3149" s="2002"/>
      <c r="CI3149" s="2002"/>
      <c r="CJ3149" s="2002"/>
      <c r="CK3149" s="2002"/>
      <c r="CL3149" s="2002"/>
      <c r="CM3149" s="2002"/>
      <c r="CN3149" s="2002"/>
      <c r="CO3149" s="2002"/>
      <c r="CP3149" s="2002"/>
      <c r="CQ3149" s="2002"/>
      <c r="CR3149" s="2002"/>
      <c r="CS3149" s="2002"/>
      <c r="CT3149" s="2002"/>
      <c r="CU3149" s="2002"/>
      <c r="CV3149" s="2002"/>
      <c r="CW3149" s="2002"/>
      <c r="CX3149" s="2002"/>
      <c r="CY3149" s="2002"/>
      <c r="CZ3149" s="2002"/>
      <c r="DA3149" s="2002"/>
      <c r="DB3149" s="2002"/>
      <c r="DC3149" s="2002"/>
      <c r="DD3149" s="2002"/>
      <c r="DE3149" s="2002"/>
      <c r="DF3149" s="2002"/>
      <c r="DG3149" s="2002"/>
      <c r="DH3149" s="2002"/>
    </row>
    <row r="3150">
      <c r="A3150" s="41">
        <v>2759.0</v>
      </c>
      <c r="B3150" s="126" t="s">
        <v>516</v>
      </c>
      <c r="C3150" s="59" t="s">
        <v>108</v>
      </c>
      <c r="D3150" s="59" t="s">
        <v>146</v>
      </c>
      <c r="F3150" s="65" t="s">
        <v>18483</v>
      </c>
      <c r="G3150" s="156" t="s">
        <v>18557</v>
      </c>
      <c r="H3150" s="156" t="s">
        <v>18501</v>
      </c>
      <c r="I3150" s="149">
        <v>45527.0</v>
      </c>
      <c r="J3150" s="859"/>
      <c r="K3150" s="307" t="s">
        <v>18558</v>
      </c>
      <c r="L3150" s="65" t="s">
        <v>18486</v>
      </c>
      <c r="M3150" s="156" t="s">
        <v>18487</v>
      </c>
      <c r="N3150" s="156" t="s">
        <v>18488</v>
      </c>
      <c r="O3150" s="153">
        <v>2.0</v>
      </c>
      <c r="P3150" s="379" t="s">
        <v>18489</v>
      </c>
      <c r="Q3150" s="2324" t="str">
        <f> hyperlink(vlookup(lower(N3150),'File Links'!E:F, 2, FALSE), "LINK")</f>
        <v>LINK</v>
      </c>
      <c r="R3150" s="156" t="s">
        <v>18490</v>
      </c>
      <c r="S3150" s="156" t="s">
        <v>18491</v>
      </c>
      <c r="T3150" s="65"/>
      <c r="U3150" s="153">
        <v>1.0</v>
      </c>
      <c r="V3150" s="379" t="s">
        <v>18492</v>
      </c>
      <c r="W3150" s="1228" t="s">
        <v>7250</v>
      </c>
      <c r="X3150" s="2323" t="str">
        <f> hyperlink(vlookup(lower(S3150),'File Links'!E:F, 2, FALSE), "LINK")</f>
        <v>LINK</v>
      </c>
      <c r="Y3150" s="65"/>
      <c r="Z3150" s="156" t="s">
        <v>219</v>
      </c>
      <c r="AA3150" s="65" t="s">
        <v>18503</v>
      </c>
      <c r="AB3150" s="829" t="s">
        <v>18504</v>
      </c>
      <c r="AC3150" s="65" t="s">
        <v>18559</v>
      </c>
      <c r="AD3150" s="156" t="s">
        <v>18552</v>
      </c>
      <c r="AE3150" s="156" t="s">
        <v>806</v>
      </c>
      <c r="AF3150" s="333">
        <v>90.0</v>
      </c>
      <c r="AG3150" s="65"/>
      <c r="AH3150" s="65"/>
      <c r="AI3150" s="153">
        <v>5.0</v>
      </c>
      <c r="AJ3150" s="333">
        <v>0.1</v>
      </c>
      <c r="AK3150" s="156" t="s">
        <v>328</v>
      </c>
      <c r="AL3150" s="156" t="s">
        <v>179</v>
      </c>
      <c r="AM3150" s="156" t="s">
        <v>130</v>
      </c>
      <c r="AN3150" s="65" t="s">
        <v>18508</v>
      </c>
      <c r="AO3150" s="153">
        <v>270.0</v>
      </c>
      <c r="AP3150" s="153">
        <v>0.55</v>
      </c>
      <c r="AQ3150" s="156" t="s">
        <v>166</v>
      </c>
      <c r="AR3150" s="156" t="s">
        <v>18532</v>
      </c>
      <c r="AS3150" s="153">
        <v>0.001</v>
      </c>
      <c r="AT3150" s="156" t="s">
        <v>128</v>
      </c>
      <c r="AU3150" s="156" t="s">
        <v>179</v>
      </c>
      <c r="AV3150" s="156" t="s">
        <v>130</v>
      </c>
      <c r="AW3150" s="432" t="s">
        <v>18514</v>
      </c>
      <c r="AX3150" s="156" t="s">
        <v>144</v>
      </c>
      <c r="AZ3150" s="59" t="s">
        <v>3123</v>
      </c>
    </row>
    <row r="3151">
      <c r="A3151" s="41">
        <v>2747.0</v>
      </c>
      <c r="B3151" s="126" t="s">
        <v>516</v>
      </c>
      <c r="C3151" s="59" t="s">
        <v>108</v>
      </c>
      <c r="D3151" s="59" t="s">
        <v>146</v>
      </c>
      <c r="F3151" s="65" t="s">
        <v>18483</v>
      </c>
      <c r="G3151" s="156" t="s">
        <v>18560</v>
      </c>
      <c r="H3151" s="156" t="s">
        <v>18501</v>
      </c>
      <c r="I3151" s="149">
        <v>45527.0</v>
      </c>
      <c r="J3151" s="859"/>
      <c r="K3151" s="156" t="s">
        <v>18502</v>
      </c>
      <c r="L3151" s="65" t="s">
        <v>18486</v>
      </c>
      <c r="M3151" s="156" t="s">
        <v>18487</v>
      </c>
      <c r="N3151" s="156" t="s">
        <v>18488</v>
      </c>
      <c r="O3151" s="153">
        <v>2.0</v>
      </c>
      <c r="P3151" s="379" t="s">
        <v>18489</v>
      </c>
      <c r="Q3151" s="2324" t="str">
        <f> hyperlink(vlookup(lower(N3151),'File Links'!E:F, 2, FALSE), "LINK")</f>
        <v>LINK</v>
      </c>
      <c r="R3151" s="156" t="s">
        <v>18490</v>
      </c>
      <c r="S3151" s="156" t="s">
        <v>18491</v>
      </c>
      <c r="T3151" s="65"/>
      <c r="U3151" s="153">
        <v>1.0</v>
      </c>
      <c r="V3151" s="379" t="s">
        <v>18492</v>
      </c>
      <c r="W3151" s="1228" t="s">
        <v>7250</v>
      </c>
      <c r="X3151" s="2323" t="str">
        <f> hyperlink(vlookup(lower(S3151),'File Links'!E:F, 2, FALSE), "LINK")</f>
        <v>LINK</v>
      </c>
      <c r="Y3151" s="65"/>
      <c r="Z3151" s="156" t="s">
        <v>219</v>
      </c>
      <c r="AA3151" s="65" t="s">
        <v>18503</v>
      </c>
      <c r="AB3151" s="829" t="s">
        <v>18504</v>
      </c>
      <c r="AC3151" s="65" t="s">
        <v>18561</v>
      </c>
      <c r="AD3151" s="156" t="s">
        <v>18562</v>
      </c>
      <c r="AE3151" s="156" t="s">
        <v>806</v>
      </c>
      <c r="AF3151" s="333">
        <v>90.0</v>
      </c>
      <c r="AG3151" s="156" t="s">
        <v>18563</v>
      </c>
      <c r="AH3151" s="156" t="s">
        <v>127</v>
      </c>
      <c r="AI3151" s="153">
        <v>5.0</v>
      </c>
      <c r="AJ3151" s="333">
        <v>0.001</v>
      </c>
      <c r="AK3151" s="156" t="s">
        <v>128</v>
      </c>
      <c r="AL3151" s="156" t="s">
        <v>179</v>
      </c>
      <c r="AM3151" s="156" t="s">
        <v>130</v>
      </c>
      <c r="AN3151" s="65" t="s">
        <v>18508</v>
      </c>
      <c r="AO3151" s="333">
        <v>1479.0</v>
      </c>
      <c r="AP3151" s="153">
        <v>0.06</v>
      </c>
      <c r="AQ3151" s="156" t="s">
        <v>867</v>
      </c>
      <c r="AR3151" s="65" t="s">
        <v>605</v>
      </c>
      <c r="AS3151" s="153">
        <v>0.001</v>
      </c>
      <c r="AT3151" s="156" t="s">
        <v>128</v>
      </c>
      <c r="AU3151" s="156" t="s">
        <v>129</v>
      </c>
      <c r="AV3151" s="156" t="s">
        <v>130</v>
      </c>
      <c r="AW3151" s="432" t="s">
        <v>18509</v>
      </c>
      <c r="AX3151" s="156" t="s">
        <v>136</v>
      </c>
      <c r="AZ3151" s="59" t="s">
        <v>3123</v>
      </c>
    </row>
    <row r="3152">
      <c r="A3152" s="41">
        <v>2756.0</v>
      </c>
      <c r="B3152" s="126" t="s">
        <v>516</v>
      </c>
      <c r="C3152" s="59" t="s">
        <v>108</v>
      </c>
      <c r="D3152" s="59" t="s">
        <v>146</v>
      </c>
      <c r="F3152" s="65" t="s">
        <v>18483</v>
      </c>
      <c r="G3152" s="156" t="s">
        <v>18564</v>
      </c>
      <c r="H3152" s="156" t="s">
        <v>18501</v>
      </c>
      <c r="I3152" s="149">
        <v>45527.0</v>
      </c>
      <c r="J3152" s="859"/>
      <c r="K3152" s="307" t="s">
        <v>18565</v>
      </c>
      <c r="L3152" s="65" t="s">
        <v>18486</v>
      </c>
      <c r="M3152" s="156" t="s">
        <v>18487</v>
      </c>
      <c r="N3152" s="156" t="s">
        <v>18488</v>
      </c>
      <c r="O3152" s="153">
        <v>2.0</v>
      </c>
      <c r="P3152" s="379" t="s">
        <v>18489</v>
      </c>
      <c r="Q3152" s="2324" t="str">
        <f> hyperlink(vlookup(lower(N3152),'File Links'!E:F, 2, FALSE), "LINK")</f>
        <v>LINK</v>
      </c>
      <c r="R3152" s="156" t="s">
        <v>18490</v>
      </c>
      <c r="S3152" s="156" t="s">
        <v>18491</v>
      </c>
      <c r="T3152" s="65"/>
      <c r="U3152" s="153">
        <v>1.0</v>
      </c>
      <c r="V3152" s="379" t="s">
        <v>18492</v>
      </c>
      <c r="W3152" s="1228" t="s">
        <v>7250</v>
      </c>
      <c r="X3152" s="2323" t="str">
        <f> hyperlink(vlookup(lower(S3152),'File Links'!E:F, 2, FALSE), "LINK")</f>
        <v>LINK</v>
      </c>
      <c r="Y3152" s="65"/>
      <c r="Z3152" s="156" t="s">
        <v>219</v>
      </c>
      <c r="AA3152" s="65" t="s">
        <v>18503</v>
      </c>
      <c r="AB3152" s="829" t="s">
        <v>18504</v>
      </c>
      <c r="AC3152" s="65" t="s">
        <v>18566</v>
      </c>
      <c r="AD3152" s="156" t="s">
        <v>18562</v>
      </c>
      <c r="AE3152" s="156" t="s">
        <v>806</v>
      </c>
      <c r="AF3152" s="333">
        <v>90.0</v>
      </c>
      <c r="AG3152" s="156" t="s">
        <v>18563</v>
      </c>
      <c r="AH3152" s="156" t="s">
        <v>127</v>
      </c>
      <c r="AI3152" s="153">
        <v>5.0</v>
      </c>
      <c r="AJ3152" s="333">
        <v>0.001</v>
      </c>
      <c r="AK3152" s="156" t="s">
        <v>128</v>
      </c>
      <c r="AL3152" s="156" t="s">
        <v>179</v>
      </c>
      <c r="AM3152" s="156" t="s">
        <v>130</v>
      </c>
      <c r="AN3152" s="65" t="s">
        <v>18508</v>
      </c>
      <c r="AO3152" s="153">
        <f>286+270</f>
        <v>556</v>
      </c>
      <c r="AP3152" s="333">
        <v>0.05</v>
      </c>
      <c r="AQ3152" s="156" t="s">
        <v>867</v>
      </c>
      <c r="AR3152" s="156" t="s">
        <v>18513</v>
      </c>
      <c r="AS3152" s="153">
        <v>1.0E-4</v>
      </c>
      <c r="AT3152" s="156" t="s">
        <v>128</v>
      </c>
      <c r="AU3152" s="156" t="s">
        <v>179</v>
      </c>
      <c r="AV3152" s="156" t="s">
        <v>130</v>
      </c>
      <c r="AW3152" s="432" t="s">
        <v>18514</v>
      </c>
      <c r="AX3152" s="156" t="s">
        <v>144</v>
      </c>
      <c r="AZ3152" s="59" t="s">
        <v>3123</v>
      </c>
    </row>
    <row r="3153">
      <c r="A3153" s="41">
        <v>2753.0</v>
      </c>
      <c r="B3153" s="126" t="s">
        <v>516</v>
      </c>
      <c r="C3153" s="59" t="s">
        <v>108</v>
      </c>
      <c r="D3153" s="59" t="s">
        <v>146</v>
      </c>
      <c r="F3153" s="65" t="s">
        <v>18483</v>
      </c>
      <c r="G3153" s="156" t="s">
        <v>18567</v>
      </c>
      <c r="H3153" s="156" t="s">
        <v>18501</v>
      </c>
      <c r="I3153" s="149">
        <v>45527.0</v>
      </c>
      <c r="J3153" s="859"/>
      <c r="K3153" s="307" t="s">
        <v>18568</v>
      </c>
      <c r="L3153" s="65" t="s">
        <v>18486</v>
      </c>
      <c r="M3153" s="156" t="s">
        <v>18487</v>
      </c>
      <c r="N3153" s="156" t="s">
        <v>18488</v>
      </c>
      <c r="O3153" s="153">
        <v>2.0</v>
      </c>
      <c r="P3153" s="379" t="s">
        <v>18489</v>
      </c>
      <c r="Q3153" s="2324" t="str">
        <f> hyperlink(vlookup(lower(N3153),'File Links'!E:F, 2, FALSE), "LINK")</f>
        <v>LINK</v>
      </c>
      <c r="R3153" s="156" t="s">
        <v>18490</v>
      </c>
      <c r="S3153" s="156" t="s">
        <v>18491</v>
      </c>
      <c r="T3153" s="65"/>
      <c r="U3153" s="153">
        <v>1.0</v>
      </c>
      <c r="V3153" s="379" t="s">
        <v>18492</v>
      </c>
      <c r="W3153" s="1228" t="s">
        <v>7250</v>
      </c>
      <c r="X3153" s="2323" t="str">
        <f> hyperlink(vlookup(lower(S3153),'File Links'!E:F, 2, FALSE), "LINK")</f>
        <v>LINK</v>
      </c>
      <c r="Y3153" s="65"/>
      <c r="Z3153" s="156" t="s">
        <v>219</v>
      </c>
      <c r="AA3153" s="65" t="s">
        <v>18503</v>
      </c>
      <c r="AB3153" s="829" t="s">
        <v>18504</v>
      </c>
      <c r="AC3153" s="65" t="s">
        <v>18569</v>
      </c>
      <c r="AD3153" s="156" t="s">
        <v>18562</v>
      </c>
      <c r="AE3153" s="156" t="s">
        <v>806</v>
      </c>
      <c r="AF3153" s="333">
        <v>90.0</v>
      </c>
      <c r="AG3153" s="156" t="s">
        <v>18563</v>
      </c>
      <c r="AH3153" s="156" t="s">
        <v>127</v>
      </c>
      <c r="AI3153" s="153">
        <v>5.0</v>
      </c>
      <c r="AJ3153" s="333">
        <v>0.001</v>
      </c>
      <c r="AK3153" s="156" t="s">
        <v>128</v>
      </c>
      <c r="AL3153" s="156" t="s">
        <v>179</v>
      </c>
      <c r="AM3153" s="156" t="s">
        <v>130</v>
      </c>
      <c r="AN3153" s="65" t="s">
        <v>18508</v>
      </c>
      <c r="AO3153" s="153">
        <v>270.0</v>
      </c>
      <c r="AP3153" s="333">
        <v>0.002</v>
      </c>
      <c r="AQ3153" s="156" t="s">
        <v>867</v>
      </c>
      <c r="AR3153" s="65" t="s">
        <v>18518</v>
      </c>
      <c r="AS3153" s="153">
        <v>0.433</v>
      </c>
      <c r="AT3153" s="156" t="s">
        <v>165</v>
      </c>
      <c r="AU3153" s="156" t="s">
        <v>179</v>
      </c>
      <c r="AV3153" s="156" t="s">
        <v>130</v>
      </c>
      <c r="AW3153" s="432" t="s">
        <v>18514</v>
      </c>
      <c r="AX3153" s="156" t="s">
        <v>144</v>
      </c>
      <c r="AZ3153" s="59" t="s">
        <v>3123</v>
      </c>
    </row>
    <row r="3154">
      <c r="A3154" s="41">
        <v>2750.0</v>
      </c>
      <c r="B3154" s="126" t="s">
        <v>516</v>
      </c>
      <c r="C3154" s="59" t="s">
        <v>108</v>
      </c>
      <c r="D3154" s="59" t="s">
        <v>146</v>
      </c>
      <c r="F3154" s="65" t="s">
        <v>18483</v>
      </c>
      <c r="G3154" s="156" t="s">
        <v>18570</v>
      </c>
      <c r="H3154" s="156" t="s">
        <v>18501</v>
      </c>
      <c r="I3154" s="149">
        <v>45527.0</v>
      </c>
      <c r="J3154" s="859"/>
      <c r="K3154" s="307" t="s">
        <v>18571</v>
      </c>
      <c r="L3154" s="65" t="s">
        <v>18486</v>
      </c>
      <c r="M3154" s="156" t="s">
        <v>18487</v>
      </c>
      <c r="N3154" s="156" t="s">
        <v>18488</v>
      </c>
      <c r="O3154" s="153">
        <v>2.0</v>
      </c>
      <c r="P3154" s="379" t="s">
        <v>18489</v>
      </c>
      <c r="Q3154" s="2324" t="str">
        <f> hyperlink(vlookup(lower(N3154),'File Links'!E:F, 2, FALSE), "LINK")</f>
        <v>LINK</v>
      </c>
      <c r="R3154" s="156" t="s">
        <v>18490</v>
      </c>
      <c r="S3154" s="156" t="s">
        <v>18491</v>
      </c>
      <c r="T3154" s="65"/>
      <c r="U3154" s="153">
        <v>1.0</v>
      </c>
      <c r="V3154" s="379" t="s">
        <v>18492</v>
      </c>
      <c r="W3154" s="1228" t="s">
        <v>7250</v>
      </c>
      <c r="X3154" s="2323" t="str">
        <f> hyperlink(vlookup(lower(S3154),'File Links'!E:F, 2, FALSE), "LINK")</f>
        <v>LINK</v>
      </c>
      <c r="Y3154" s="65"/>
      <c r="Z3154" s="156" t="s">
        <v>219</v>
      </c>
      <c r="AA3154" s="65" t="s">
        <v>18503</v>
      </c>
      <c r="AB3154" s="829" t="s">
        <v>18504</v>
      </c>
      <c r="AC3154" s="65" t="s">
        <v>18572</v>
      </c>
      <c r="AD3154" s="156" t="s">
        <v>18562</v>
      </c>
      <c r="AE3154" s="156" t="s">
        <v>806</v>
      </c>
      <c r="AF3154" s="333">
        <v>90.0</v>
      </c>
      <c r="AG3154" s="156" t="s">
        <v>18563</v>
      </c>
      <c r="AH3154" s="156" t="s">
        <v>127</v>
      </c>
      <c r="AI3154" s="153">
        <v>5.0</v>
      </c>
      <c r="AJ3154" s="333">
        <v>0.001</v>
      </c>
      <c r="AK3154" s="156" t="s">
        <v>128</v>
      </c>
      <c r="AL3154" s="156" t="s">
        <v>179</v>
      </c>
      <c r="AM3154" s="156" t="s">
        <v>130</v>
      </c>
      <c r="AN3154" s="65" t="s">
        <v>18508</v>
      </c>
      <c r="AO3154" s="153">
        <v>270.0</v>
      </c>
      <c r="AP3154" s="333">
        <v>0.04</v>
      </c>
      <c r="AQ3154" s="156" t="s">
        <v>867</v>
      </c>
      <c r="AR3154" s="156" t="s">
        <v>18522</v>
      </c>
      <c r="AS3154" s="153">
        <v>0.005</v>
      </c>
      <c r="AT3154" s="156" t="s">
        <v>165</v>
      </c>
      <c r="AU3154" s="156" t="s">
        <v>179</v>
      </c>
      <c r="AV3154" s="156" t="s">
        <v>130</v>
      </c>
      <c r="AW3154" s="432" t="s">
        <v>18514</v>
      </c>
      <c r="AX3154" s="156" t="s">
        <v>144</v>
      </c>
      <c r="AZ3154" s="59" t="s">
        <v>3123</v>
      </c>
    </row>
    <row r="3155">
      <c r="A3155" s="41">
        <v>2748.0</v>
      </c>
      <c r="B3155" s="126" t="s">
        <v>516</v>
      </c>
      <c r="C3155" s="59" t="s">
        <v>108</v>
      </c>
      <c r="D3155" s="59" t="s">
        <v>146</v>
      </c>
      <c r="F3155" s="65" t="s">
        <v>18483</v>
      </c>
      <c r="G3155" s="156" t="s">
        <v>18573</v>
      </c>
      <c r="H3155" s="156" t="s">
        <v>18501</v>
      </c>
      <c r="I3155" s="149">
        <v>45527.0</v>
      </c>
      <c r="J3155" s="859"/>
      <c r="K3155" s="156" t="s">
        <v>18502</v>
      </c>
      <c r="L3155" s="65" t="s">
        <v>18486</v>
      </c>
      <c r="M3155" s="156" t="s">
        <v>18487</v>
      </c>
      <c r="N3155" s="156" t="s">
        <v>18488</v>
      </c>
      <c r="O3155" s="153">
        <v>2.0</v>
      </c>
      <c r="P3155" s="379" t="s">
        <v>18489</v>
      </c>
      <c r="Q3155" s="2324" t="str">
        <f> hyperlink(vlookup(lower(N3155),'File Links'!E:F, 2, FALSE), "LINK")</f>
        <v>LINK</v>
      </c>
      <c r="R3155" s="156" t="s">
        <v>18490</v>
      </c>
      <c r="S3155" s="156" t="s">
        <v>18491</v>
      </c>
      <c r="T3155" s="65"/>
      <c r="U3155" s="153">
        <v>1.0</v>
      </c>
      <c r="V3155" s="379" t="s">
        <v>18492</v>
      </c>
      <c r="W3155" s="1228" t="s">
        <v>7250</v>
      </c>
      <c r="X3155" s="2323" t="str">
        <f> hyperlink(vlookup(lower(S3155),'File Links'!E:F, 2, FALSE), "LINK")</f>
        <v>LINK</v>
      </c>
      <c r="Y3155" s="65"/>
      <c r="Z3155" s="156" t="s">
        <v>219</v>
      </c>
      <c r="AA3155" s="65" t="s">
        <v>18503</v>
      </c>
      <c r="AB3155" s="829" t="s">
        <v>18504</v>
      </c>
      <c r="AC3155" s="65" t="s">
        <v>18574</v>
      </c>
      <c r="AD3155" s="156" t="s">
        <v>18575</v>
      </c>
      <c r="AE3155" s="156" t="s">
        <v>806</v>
      </c>
      <c r="AF3155" s="333">
        <v>90.0</v>
      </c>
      <c r="AG3155" s="156" t="s">
        <v>18576</v>
      </c>
      <c r="AH3155" s="156" t="s">
        <v>127</v>
      </c>
      <c r="AI3155" s="333">
        <v>5.0</v>
      </c>
      <c r="AJ3155" s="153">
        <v>0.5</v>
      </c>
      <c r="AK3155" s="156" t="s">
        <v>328</v>
      </c>
      <c r="AL3155" s="156" t="s">
        <v>179</v>
      </c>
      <c r="AM3155" s="156" t="s">
        <v>130</v>
      </c>
      <c r="AN3155" s="65" t="s">
        <v>18508</v>
      </c>
      <c r="AO3155" s="333">
        <v>1479.0</v>
      </c>
      <c r="AP3155" s="153">
        <v>0.002</v>
      </c>
      <c r="AQ3155" s="156" t="s">
        <v>867</v>
      </c>
      <c r="AR3155" s="65" t="s">
        <v>605</v>
      </c>
      <c r="AS3155" s="153">
        <v>0.121</v>
      </c>
      <c r="AT3155" s="156" t="s">
        <v>165</v>
      </c>
      <c r="AU3155" s="156" t="s">
        <v>129</v>
      </c>
      <c r="AV3155" s="156" t="s">
        <v>130</v>
      </c>
      <c r="AW3155" s="432" t="s">
        <v>18509</v>
      </c>
      <c r="AX3155" s="156" t="s">
        <v>136</v>
      </c>
      <c r="AZ3155" s="59" t="s">
        <v>3123</v>
      </c>
    </row>
    <row r="3156">
      <c r="A3156" s="41">
        <v>2757.0</v>
      </c>
      <c r="B3156" s="126" t="s">
        <v>516</v>
      </c>
      <c r="C3156" s="59" t="s">
        <v>108</v>
      </c>
      <c r="D3156" s="59" t="s">
        <v>146</v>
      </c>
      <c r="F3156" s="65" t="s">
        <v>18483</v>
      </c>
      <c r="G3156" s="156" t="s">
        <v>18577</v>
      </c>
      <c r="H3156" s="156" t="s">
        <v>18501</v>
      </c>
      <c r="I3156" s="149">
        <v>45527.0</v>
      </c>
      <c r="J3156" s="859"/>
      <c r="K3156" s="307" t="s">
        <v>18578</v>
      </c>
      <c r="L3156" s="65" t="s">
        <v>18486</v>
      </c>
      <c r="M3156" s="156" t="s">
        <v>18487</v>
      </c>
      <c r="N3156" s="156" t="s">
        <v>18488</v>
      </c>
      <c r="O3156" s="153">
        <v>2.0</v>
      </c>
      <c r="P3156" s="379" t="s">
        <v>18489</v>
      </c>
      <c r="Q3156" s="2324" t="str">
        <f> hyperlink(vlookup(lower(N3156),'File Links'!E:F, 2, FALSE), "LINK")</f>
        <v>LINK</v>
      </c>
      <c r="R3156" s="156" t="s">
        <v>18490</v>
      </c>
      <c r="S3156" s="156" t="s">
        <v>18491</v>
      </c>
      <c r="T3156" s="65"/>
      <c r="U3156" s="153">
        <v>1.0</v>
      </c>
      <c r="V3156" s="379" t="s">
        <v>18492</v>
      </c>
      <c r="W3156" s="1228" t="s">
        <v>7250</v>
      </c>
      <c r="X3156" s="2323" t="str">
        <f> hyperlink(vlookup(lower(S3156),'File Links'!E:F, 2, FALSE), "LINK")</f>
        <v>LINK</v>
      </c>
      <c r="Y3156" s="65"/>
      <c r="Z3156" s="156" t="s">
        <v>219</v>
      </c>
      <c r="AA3156" s="65" t="s">
        <v>18503</v>
      </c>
      <c r="AB3156" s="829" t="s">
        <v>18504</v>
      </c>
      <c r="AC3156" s="65" t="s">
        <v>18579</v>
      </c>
      <c r="AD3156" s="156" t="s">
        <v>18575</v>
      </c>
      <c r="AE3156" s="156" t="s">
        <v>806</v>
      </c>
      <c r="AF3156" s="333">
        <v>90.0</v>
      </c>
      <c r="AG3156" s="156" t="s">
        <v>18576</v>
      </c>
      <c r="AH3156" s="156" t="s">
        <v>127</v>
      </c>
      <c r="AI3156" s="333">
        <v>5.0</v>
      </c>
      <c r="AJ3156" s="153">
        <v>0.5</v>
      </c>
      <c r="AK3156" s="156" t="s">
        <v>328</v>
      </c>
      <c r="AL3156" s="156" t="s">
        <v>179</v>
      </c>
      <c r="AM3156" s="156" t="s">
        <v>130</v>
      </c>
      <c r="AN3156" s="65" t="s">
        <v>18508</v>
      </c>
      <c r="AO3156" s="153">
        <f>286+270</f>
        <v>556</v>
      </c>
      <c r="AP3156" s="333">
        <v>0.04</v>
      </c>
      <c r="AQ3156" s="156" t="s">
        <v>867</v>
      </c>
      <c r="AR3156" s="156" t="s">
        <v>18513</v>
      </c>
      <c r="AS3156" s="153">
        <v>0.002</v>
      </c>
      <c r="AT3156" s="156" t="s">
        <v>165</v>
      </c>
      <c r="AU3156" s="156" t="s">
        <v>179</v>
      </c>
      <c r="AV3156" s="156" t="s">
        <v>130</v>
      </c>
      <c r="AW3156" s="432" t="s">
        <v>18514</v>
      </c>
      <c r="AX3156" s="156" t="s">
        <v>144</v>
      </c>
      <c r="AZ3156" s="59" t="s">
        <v>3123</v>
      </c>
    </row>
    <row r="3157">
      <c r="A3157" s="41">
        <v>2754.0</v>
      </c>
      <c r="B3157" s="126" t="s">
        <v>516</v>
      </c>
      <c r="C3157" s="59" t="s">
        <v>108</v>
      </c>
      <c r="D3157" s="59" t="s">
        <v>146</v>
      </c>
      <c r="F3157" s="65" t="s">
        <v>18483</v>
      </c>
      <c r="G3157" s="156" t="s">
        <v>18580</v>
      </c>
      <c r="H3157" s="156" t="s">
        <v>18501</v>
      </c>
      <c r="I3157" s="149">
        <v>45527.0</v>
      </c>
      <c r="J3157" s="859"/>
      <c r="K3157" s="307" t="s">
        <v>18581</v>
      </c>
      <c r="L3157" s="65" t="s">
        <v>18486</v>
      </c>
      <c r="M3157" s="156" t="s">
        <v>18487</v>
      </c>
      <c r="N3157" s="156" t="s">
        <v>18488</v>
      </c>
      <c r="O3157" s="153">
        <v>2.0</v>
      </c>
      <c r="P3157" s="379" t="s">
        <v>18489</v>
      </c>
      <c r="Q3157" s="2324" t="str">
        <f> hyperlink(vlookup(lower(N3157),'File Links'!E:F, 2, FALSE), "LINK")</f>
        <v>LINK</v>
      </c>
      <c r="R3157" s="156" t="s">
        <v>18490</v>
      </c>
      <c r="S3157" s="156" t="s">
        <v>18491</v>
      </c>
      <c r="T3157" s="65"/>
      <c r="U3157" s="153">
        <v>1.0</v>
      </c>
      <c r="V3157" s="379" t="s">
        <v>18492</v>
      </c>
      <c r="W3157" s="1228" t="s">
        <v>7250</v>
      </c>
      <c r="X3157" s="2323" t="str">
        <f> hyperlink(vlookup(lower(S3157),'File Links'!E:F, 2, FALSE), "LINK")</f>
        <v>LINK</v>
      </c>
      <c r="Y3157" s="65"/>
      <c r="Z3157" s="156" t="s">
        <v>219</v>
      </c>
      <c r="AA3157" s="65" t="s">
        <v>18503</v>
      </c>
      <c r="AB3157" s="829" t="s">
        <v>18504</v>
      </c>
      <c r="AC3157" s="65" t="s">
        <v>18582</v>
      </c>
      <c r="AD3157" s="156" t="s">
        <v>18575</v>
      </c>
      <c r="AE3157" s="156" t="s">
        <v>806</v>
      </c>
      <c r="AF3157" s="333">
        <v>90.0</v>
      </c>
      <c r="AG3157" s="156" t="s">
        <v>18576</v>
      </c>
      <c r="AH3157" s="156" t="s">
        <v>127</v>
      </c>
      <c r="AI3157" s="333">
        <v>5.0</v>
      </c>
      <c r="AJ3157" s="153">
        <v>0.5</v>
      </c>
      <c r="AK3157" s="156" t="s">
        <v>328</v>
      </c>
      <c r="AL3157" s="156" t="s">
        <v>179</v>
      </c>
      <c r="AM3157" s="156" t="s">
        <v>130</v>
      </c>
      <c r="AN3157" s="65" t="s">
        <v>18508</v>
      </c>
      <c r="AO3157" s="153">
        <v>270.0</v>
      </c>
      <c r="AP3157" s="333">
        <v>0.005</v>
      </c>
      <c r="AQ3157" s="156" t="s">
        <v>867</v>
      </c>
      <c r="AR3157" s="65" t="s">
        <v>18518</v>
      </c>
      <c r="AS3157" s="153">
        <v>0.51</v>
      </c>
      <c r="AT3157" s="156" t="s">
        <v>165</v>
      </c>
      <c r="AU3157" s="156" t="s">
        <v>179</v>
      </c>
      <c r="AV3157" s="156" t="s">
        <v>130</v>
      </c>
      <c r="AW3157" s="432" t="s">
        <v>18514</v>
      </c>
      <c r="AX3157" s="156" t="s">
        <v>144</v>
      </c>
      <c r="AZ3157" s="59" t="s">
        <v>3123</v>
      </c>
    </row>
    <row r="3158">
      <c r="A3158" s="41">
        <v>2751.0</v>
      </c>
      <c r="B3158" s="126" t="s">
        <v>516</v>
      </c>
      <c r="C3158" s="59" t="s">
        <v>108</v>
      </c>
      <c r="D3158" s="59" t="s">
        <v>146</v>
      </c>
      <c r="F3158" s="65" t="s">
        <v>18483</v>
      </c>
      <c r="G3158" s="156" t="s">
        <v>18583</v>
      </c>
      <c r="H3158" s="156" t="s">
        <v>18501</v>
      </c>
      <c r="I3158" s="149">
        <v>45527.0</v>
      </c>
      <c r="J3158" s="859"/>
      <c r="K3158" s="307" t="s">
        <v>18584</v>
      </c>
      <c r="L3158" s="65" t="s">
        <v>18486</v>
      </c>
      <c r="M3158" s="156" t="s">
        <v>18487</v>
      </c>
      <c r="N3158" s="156" t="s">
        <v>18488</v>
      </c>
      <c r="O3158" s="153">
        <v>2.0</v>
      </c>
      <c r="P3158" s="379" t="s">
        <v>18489</v>
      </c>
      <c r="Q3158" s="2324" t="str">
        <f> hyperlink(vlookup(lower(N3158),'File Links'!E:F, 2, FALSE), "LINK")</f>
        <v>LINK</v>
      </c>
      <c r="R3158" s="156" t="s">
        <v>18490</v>
      </c>
      <c r="S3158" s="156" t="s">
        <v>18491</v>
      </c>
      <c r="T3158" s="65"/>
      <c r="U3158" s="153">
        <v>1.0</v>
      </c>
      <c r="V3158" s="379" t="s">
        <v>18492</v>
      </c>
      <c r="W3158" s="1228" t="s">
        <v>7250</v>
      </c>
      <c r="X3158" s="2323" t="str">
        <f> hyperlink(vlookup(lower(S3158),'File Links'!E:F, 2, FALSE), "LINK")</f>
        <v>LINK</v>
      </c>
      <c r="Y3158" s="65"/>
      <c r="Z3158" s="156" t="s">
        <v>219</v>
      </c>
      <c r="AA3158" s="65" t="s">
        <v>18503</v>
      </c>
      <c r="AB3158" s="829" t="s">
        <v>18504</v>
      </c>
      <c r="AC3158" s="65" t="s">
        <v>18585</v>
      </c>
      <c r="AD3158" s="156" t="s">
        <v>18575</v>
      </c>
      <c r="AE3158" s="156" t="s">
        <v>806</v>
      </c>
      <c r="AF3158" s="333">
        <v>90.0</v>
      </c>
      <c r="AG3158" s="156" t="s">
        <v>18576</v>
      </c>
      <c r="AH3158" s="156" t="s">
        <v>127</v>
      </c>
      <c r="AI3158" s="333">
        <v>5.0</v>
      </c>
      <c r="AJ3158" s="153">
        <v>0.5</v>
      </c>
      <c r="AK3158" s="156" t="s">
        <v>328</v>
      </c>
      <c r="AL3158" s="156" t="s">
        <v>179</v>
      </c>
      <c r="AM3158" s="156" t="s">
        <v>130</v>
      </c>
      <c r="AN3158" s="65" t="s">
        <v>18508</v>
      </c>
      <c r="AO3158" s="153">
        <v>270.0</v>
      </c>
      <c r="AP3158" s="333">
        <v>0.002</v>
      </c>
      <c r="AQ3158" s="156" t="s">
        <v>867</v>
      </c>
      <c r="AR3158" s="156" t="s">
        <v>18522</v>
      </c>
      <c r="AS3158" s="153">
        <v>0.724</v>
      </c>
      <c r="AT3158" s="156" t="s">
        <v>165</v>
      </c>
      <c r="AU3158" s="156" t="s">
        <v>179</v>
      </c>
      <c r="AV3158" s="156" t="s">
        <v>130</v>
      </c>
      <c r="AW3158" s="432" t="s">
        <v>18514</v>
      </c>
      <c r="AX3158" s="156" t="s">
        <v>144</v>
      </c>
      <c r="AZ3158" s="59" t="s">
        <v>3123</v>
      </c>
    </row>
    <row r="3159">
      <c r="A3159" s="41">
        <v>2826.0</v>
      </c>
      <c r="B3159" s="126" t="s">
        <v>516</v>
      </c>
      <c r="C3159" s="59" t="s">
        <v>108</v>
      </c>
      <c r="D3159" s="59" t="s">
        <v>169</v>
      </c>
      <c r="F3159" s="65" t="s">
        <v>18586</v>
      </c>
      <c r="G3159" s="156" t="s">
        <v>18587</v>
      </c>
      <c r="H3159" s="156" t="s">
        <v>7218</v>
      </c>
      <c r="I3159" s="431">
        <v>45808.0</v>
      </c>
      <c r="J3159" s="859"/>
      <c r="K3159" s="156" t="s">
        <v>18485</v>
      </c>
      <c r="L3159" s="156" t="s">
        <v>18486</v>
      </c>
      <c r="M3159" s="156" t="s">
        <v>18487</v>
      </c>
      <c r="N3159" s="156" t="s">
        <v>18488</v>
      </c>
      <c r="O3159" s="153">
        <v>2.0</v>
      </c>
      <c r="P3159" s="379" t="s">
        <v>18489</v>
      </c>
      <c r="Q3159" s="2153" t="str">
        <f> hyperlink(vlookup(lower(N3159),'File Links'!E:F, 2, FALSE), "LINK")</f>
        <v>LINK</v>
      </c>
      <c r="R3159" s="156" t="s">
        <v>18490</v>
      </c>
      <c r="S3159" s="156" t="s">
        <v>18491</v>
      </c>
      <c r="T3159" s="65"/>
      <c r="U3159" s="153">
        <v>1.0</v>
      </c>
      <c r="V3159" s="379" t="s">
        <v>18492</v>
      </c>
      <c r="W3159" s="1228" t="s">
        <v>7250</v>
      </c>
      <c r="X3159" s="1544" t="str">
        <f> hyperlink(vlookup(lower(S3159),'File Links'!E:F, 2, FALSE), "LINK")</f>
        <v>LINK</v>
      </c>
      <c r="Y3159" s="65"/>
      <c r="Z3159" s="156" t="s">
        <v>219</v>
      </c>
      <c r="AA3159" s="156" t="s">
        <v>18493</v>
      </c>
      <c r="AB3159" s="156" t="s">
        <v>18494</v>
      </c>
      <c r="AC3159" s="156" t="s">
        <v>18495</v>
      </c>
      <c r="AD3159" s="156" t="s">
        <v>18496</v>
      </c>
      <c r="AE3159" s="156" t="s">
        <v>18497</v>
      </c>
      <c r="AF3159" s="153">
        <v>90.0</v>
      </c>
      <c r="AG3159" s="153">
        <v>0.59</v>
      </c>
      <c r="AH3159" s="156" t="s">
        <v>166</v>
      </c>
      <c r="AI3159" s="156" t="s">
        <v>4966</v>
      </c>
      <c r="AJ3159" s="153">
        <v>0.01</v>
      </c>
      <c r="AK3159" s="156" t="s">
        <v>128</v>
      </c>
      <c r="AL3159" s="156" t="s">
        <v>129</v>
      </c>
      <c r="AM3159" s="156" t="s">
        <v>1898</v>
      </c>
      <c r="AN3159" s="65"/>
      <c r="AO3159" s="153">
        <v>83.0</v>
      </c>
      <c r="AP3159" s="153">
        <v>0.64</v>
      </c>
      <c r="AQ3159" s="156" t="s">
        <v>166</v>
      </c>
      <c r="AR3159" s="156" t="s">
        <v>18498</v>
      </c>
      <c r="AS3159" s="153">
        <v>0.006</v>
      </c>
      <c r="AT3159" s="156" t="s">
        <v>165</v>
      </c>
      <c r="AU3159" s="156" t="s">
        <v>211</v>
      </c>
      <c r="AV3159" s="156" t="s">
        <v>134</v>
      </c>
      <c r="AW3159" s="432" t="s">
        <v>18499</v>
      </c>
      <c r="AX3159" s="156" t="s">
        <v>431</v>
      </c>
      <c r="AZ3159" s="59" t="s">
        <v>3123</v>
      </c>
    </row>
    <row r="3160">
      <c r="A3160" s="41">
        <v>2827.0</v>
      </c>
      <c r="B3160" s="126" t="s">
        <v>516</v>
      </c>
      <c r="C3160" s="59" t="s">
        <v>108</v>
      </c>
      <c r="D3160" s="59" t="s">
        <v>169</v>
      </c>
      <c r="F3160" s="65" t="s">
        <v>18588</v>
      </c>
      <c r="G3160" s="156" t="s">
        <v>18589</v>
      </c>
      <c r="H3160" s="156" t="s">
        <v>7218</v>
      </c>
      <c r="I3160" s="431">
        <v>45808.0</v>
      </c>
      <c r="J3160" s="859"/>
      <c r="K3160" s="156" t="s">
        <v>18485</v>
      </c>
      <c r="L3160" s="156" t="s">
        <v>18486</v>
      </c>
      <c r="M3160" s="156" t="s">
        <v>18487</v>
      </c>
      <c r="N3160" s="156" t="s">
        <v>18488</v>
      </c>
      <c r="O3160" s="153">
        <v>2.0</v>
      </c>
      <c r="P3160" s="379" t="s">
        <v>18489</v>
      </c>
      <c r="Q3160" s="2153" t="str">
        <f> hyperlink(vlookup(lower(N3160),'File Links'!E:F, 2, FALSE), "LINK")</f>
        <v>LINK</v>
      </c>
      <c r="R3160" s="156" t="s">
        <v>18490</v>
      </c>
      <c r="S3160" s="156" t="s">
        <v>18491</v>
      </c>
      <c r="T3160" s="65"/>
      <c r="U3160" s="153">
        <v>1.0</v>
      </c>
      <c r="V3160" s="379" t="s">
        <v>18492</v>
      </c>
      <c r="W3160" s="1228" t="s">
        <v>7250</v>
      </c>
      <c r="X3160" s="1544" t="str">
        <f> hyperlink(vlookup(lower(S3160),'File Links'!E:F, 2, FALSE), "LINK")</f>
        <v>LINK</v>
      </c>
      <c r="Y3160" s="65"/>
      <c r="Z3160" s="156" t="s">
        <v>219</v>
      </c>
      <c r="AA3160" s="156" t="s">
        <v>18493</v>
      </c>
      <c r="AB3160" s="156" t="s">
        <v>18494</v>
      </c>
      <c r="AC3160" s="156" t="s">
        <v>18495</v>
      </c>
      <c r="AD3160" s="156" t="s">
        <v>18496</v>
      </c>
      <c r="AE3160" s="156" t="s">
        <v>18497</v>
      </c>
      <c r="AF3160" s="153">
        <v>90.0</v>
      </c>
      <c r="AG3160" s="153">
        <v>0.59</v>
      </c>
      <c r="AH3160" s="156" t="s">
        <v>166</v>
      </c>
      <c r="AI3160" s="156" t="s">
        <v>4966</v>
      </c>
      <c r="AJ3160" s="153">
        <v>0.01</v>
      </c>
      <c r="AK3160" s="156" t="s">
        <v>128</v>
      </c>
      <c r="AL3160" s="156" t="s">
        <v>129</v>
      </c>
      <c r="AM3160" s="156" t="s">
        <v>1898</v>
      </c>
      <c r="AN3160" s="65"/>
      <c r="AO3160" s="153">
        <v>125.0</v>
      </c>
      <c r="AP3160" s="153">
        <v>0.68</v>
      </c>
      <c r="AQ3160" s="156" t="s">
        <v>166</v>
      </c>
      <c r="AR3160" s="156" t="s">
        <v>18498</v>
      </c>
      <c r="AS3160" s="153">
        <v>0.001</v>
      </c>
      <c r="AT3160" s="156" t="s">
        <v>128</v>
      </c>
      <c r="AU3160" s="156" t="s">
        <v>211</v>
      </c>
      <c r="AV3160" s="156" t="s">
        <v>134</v>
      </c>
      <c r="AW3160" s="432" t="s">
        <v>18499</v>
      </c>
      <c r="AX3160" s="156" t="s">
        <v>431</v>
      </c>
      <c r="AZ3160" s="59" t="s">
        <v>3123</v>
      </c>
    </row>
    <row r="3161">
      <c r="A3161" s="41">
        <v>2828.0</v>
      </c>
      <c r="B3161" s="126" t="s">
        <v>516</v>
      </c>
      <c r="C3161" s="59" t="s">
        <v>108</v>
      </c>
      <c r="D3161" s="59" t="s">
        <v>169</v>
      </c>
      <c r="F3161" s="65" t="s">
        <v>18590</v>
      </c>
      <c r="G3161" s="156" t="s">
        <v>18591</v>
      </c>
      <c r="H3161" s="156" t="s">
        <v>7218</v>
      </c>
      <c r="I3161" s="431">
        <v>45808.0</v>
      </c>
      <c r="J3161" s="859"/>
      <c r="K3161" s="156" t="s">
        <v>18485</v>
      </c>
      <c r="L3161" s="156" t="s">
        <v>18486</v>
      </c>
      <c r="M3161" s="156" t="s">
        <v>18487</v>
      </c>
      <c r="N3161" s="156" t="s">
        <v>18488</v>
      </c>
      <c r="O3161" s="153">
        <v>2.0</v>
      </c>
      <c r="P3161" s="379" t="s">
        <v>18489</v>
      </c>
      <c r="Q3161" s="2153" t="str">
        <f> hyperlink(vlookup(lower(N3161),'File Links'!E:F, 2, FALSE), "LINK")</f>
        <v>LINK</v>
      </c>
      <c r="R3161" s="156" t="s">
        <v>18490</v>
      </c>
      <c r="S3161" s="156" t="s">
        <v>18491</v>
      </c>
      <c r="T3161" s="65"/>
      <c r="U3161" s="153">
        <v>1.0</v>
      </c>
      <c r="V3161" s="379" t="s">
        <v>18492</v>
      </c>
      <c r="W3161" s="1228" t="s">
        <v>7250</v>
      </c>
      <c r="X3161" s="1544" t="str">
        <f> hyperlink(vlookup(lower(S3161),'File Links'!E:F, 2, FALSE), "LINK")</f>
        <v>LINK</v>
      </c>
      <c r="Y3161" s="65"/>
      <c r="Z3161" s="156" t="s">
        <v>219</v>
      </c>
      <c r="AA3161" s="156" t="s">
        <v>18493</v>
      </c>
      <c r="AB3161" s="156" t="s">
        <v>18494</v>
      </c>
      <c r="AC3161" s="156" t="s">
        <v>18495</v>
      </c>
      <c r="AD3161" s="156" t="s">
        <v>18496</v>
      </c>
      <c r="AE3161" s="156" t="s">
        <v>18497</v>
      </c>
      <c r="AF3161" s="153">
        <v>90.0</v>
      </c>
      <c r="AG3161" s="153">
        <v>0.59</v>
      </c>
      <c r="AH3161" s="156" t="s">
        <v>166</v>
      </c>
      <c r="AI3161" s="156" t="s">
        <v>4966</v>
      </c>
      <c r="AJ3161" s="153">
        <v>0.01</v>
      </c>
      <c r="AK3161" s="156" t="s">
        <v>128</v>
      </c>
      <c r="AL3161" s="156" t="s">
        <v>129</v>
      </c>
      <c r="AM3161" s="156" t="s">
        <v>1898</v>
      </c>
      <c r="AN3161" s="65"/>
      <c r="AO3161" s="153">
        <v>68.0</v>
      </c>
      <c r="AP3161" s="153">
        <v>0.99</v>
      </c>
      <c r="AQ3161" s="156" t="s">
        <v>166</v>
      </c>
      <c r="AR3161" s="156" t="s">
        <v>18498</v>
      </c>
      <c r="AS3161" s="153">
        <v>0.001</v>
      </c>
      <c r="AT3161" s="156" t="s">
        <v>128</v>
      </c>
      <c r="AU3161" s="156" t="s">
        <v>211</v>
      </c>
      <c r="AV3161" s="156" t="s">
        <v>134</v>
      </c>
      <c r="AW3161" s="432" t="s">
        <v>18499</v>
      </c>
      <c r="AX3161" s="156" t="s">
        <v>431</v>
      </c>
      <c r="AZ3161" s="59" t="s">
        <v>3123</v>
      </c>
    </row>
    <row r="3162">
      <c r="A3162" s="41">
        <v>2829.0</v>
      </c>
      <c r="B3162" s="126" t="s">
        <v>516</v>
      </c>
      <c r="C3162" s="59" t="s">
        <v>108</v>
      </c>
      <c r="D3162" s="59" t="s">
        <v>169</v>
      </c>
      <c r="F3162" s="65" t="s">
        <v>18592</v>
      </c>
      <c r="G3162" s="156" t="s">
        <v>18593</v>
      </c>
      <c r="H3162" s="156" t="s">
        <v>7218</v>
      </c>
      <c r="I3162" s="431">
        <v>45808.0</v>
      </c>
      <c r="J3162" s="859"/>
      <c r="K3162" s="156" t="s">
        <v>18485</v>
      </c>
      <c r="L3162" s="156" t="s">
        <v>18486</v>
      </c>
      <c r="M3162" s="156" t="s">
        <v>18487</v>
      </c>
      <c r="N3162" s="156" t="s">
        <v>18488</v>
      </c>
      <c r="O3162" s="153">
        <v>2.0</v>
      </c>
      <c r="P3162" s="379" t="s">
        <v>18489</v>
      </c>
      <c r="Q3162" s="2153" t="str">
        <f> hyperlink(vlookup(lower(N3162),'File Links'!E:F, 2, FALSE), "LINK")</f>
        <v>LINK</v>
      </c>
      <c r="R3162" s="156" t="s">
        <v>18490</v>
      </c>
      <c r="S3162" s="156" t="s">
        <v>18491</v>
      </c>
      <c r="T3162" s="65"/>
      <c r="U3162" s="153">
        <v>1.0</v>
      </c>
      <c r="V3162" s="379" t="s">
        <v>18492</v>
      </c>
      <c r="W3162" s="1228" t="s">
        <v>7250</v>
      </c>
      <c r="X3162" s="1544" t="str">
        <f> hyperlink(vlookup(lower(S3162),'File Links'!E:F, 2, FALSE), "LINK")</f>
        <v>LINK</v>
      </c>
      <c r="Y3162" s="65"/>
      <c r="Z3162" s="156" t="s">
        <v>219</v>
      </c>
      <c r="AA3162" s="156" t="s">
        <v>18493</v>
      </c>
      <c r="AB3162" s="156" t="s">
        <v>18494</v>
      </c>
      <c r="AC3162" s="156" t="s">
        <v>18495</v>
      </c>
      <c r="AD3162" s="156" t="s">
        <v>18496</v>
      </c>
      <c r="AE3162" s="156" t="s">
        <v>18497</v>
      </c>
      <c r="AF3162" s="153">
        <v>90.0</v>
      </c>
      <c r="AG3162" s="153">
        <v>0.59</v>
      </c>
      <c r="AH3162" s="156" t="s">
        <v>166</v>
      </c>
      <c r="AI3162" s="156" t="s">
        <v>4966</v>
      </c>
      <c r="AJ3162" s="153">
        <v>0.01</v>
      </c>
      <c r="AK3162" s="156" t="s">
        <v>128</v>
      </c>
      <c r="AL3162" s="156" t="s">
        <v>129</v>
      </c>
      <c r="AM3162" s="156" t="s">
        <v>1898</v>
      </c>
      <c r="AN3162" s="65"/>
      <c r="AO3162" s="153">
        <v>121.0</v>
      </c>
      <c r="AP3162" s="153">
        <v>0.88</v>
      </c>
      <c r="AQ3162" s="156" t="s">
        <v>166</v>
      </c>
      <c r="AR3162" s="156" t="s">
        <v>18498</v>
      </c>
      <c r="AS3162" s="153">
        <v>0.001</v>
      </c>
      <c r="AT3162" s="156" t="s">
        <v>128</v>
      </c>
      <c r="AU3162" s="156" t="s">
        <v>211</v>
      </c>
      <c r="AV3162" s="156" t="s">
        <v>134</v>
      </c>
      <c r="AW3162" s="432" t="s">
        <v>18499</v>
      </c>
      <c r="AX3162" s="156" t="s">
        <v>431</v>
      </c>
      <c r="AZ3162" s="59" t="s">
        <v>3123</v>
      </c>
    </row>
    <row r="3163" ht="15.75" customHeight="1">
      <c r="A3163" s="41">
        <v>2830.0</v>
      </c>
      <c r="B3163" s="126" t="s">
        <v>516</v>
      </c>
      <c r="C3163" s="59" t="s">
        <v>108</v>
      </c>
      <c r="D3163" s="59" t="s">
        <v>169</v>
      </c>
      <c r="F3163" s="65" t="s">
        <v>18594</v>
      </c>
      <c r="G3163" s="156" t="s">
        <v>18595</v>
      </c>
      <c r="H3163" s="156" t="s">
        <v>7218</v>
      </c>
      <c r="I3163" s="431">
        <v>45808.0</v>
      </c>
      <c r="J3163" s="859"/>
      <c r="K3163" s="156" t="s">
        <v>18485</v>
      </c>
      <c r="L3163" s="156" t="s">
        <v>18486</v>
      </c>
      <c r="M3163" s="156" t="s">
        <v>18487</v>
      </c>
      <c r="N3163" s="156" t="s">
        <v>18488</v>
      </c>
      <c r="O3163" s="153">
        <v>2.0</v>
      </c>
      <c r="P3163" s="379" t="s">
        <v>18489</v>
      </c>
      <c r="Q3163" s="2153" t="str">
        <f> hyperlink(vlookup(lower(N3163),'File Links'!E:F, 2, FALSE), "LINK")</f>
        <v>LINK</v>
      </c>
      <c r="R3163" s="156" t="s">
        <v>18490</v>
      </c>
      <c r="S3163" s="156" t="s">
        <v>18491</v>
      </c>
      <c r="T3163" s="65"/>
      <c r="U3163" s="153">
        <v>1.0</v>
      </c>
      <c r="V3163" s="379" t="s">
        <v>18492</v>
      </c>
      <c r="W3163" s="1228" t="s">
        <v>7250</v>
      </c>
      <c r="X3163" s="1544" t="str">
        <f> hyperlink(vlookup(lower(S3163),'File Links'!E:F, 2, FALSE), "LINK")</f>
        <v>LINK</v>
      </c>
      <c r="Y3163" s="65"/>
      <c r="Z3163" s="156" t="s">
        <v>219</v>
      </c>
      <c r="AA3163" s="156" t="s">
        <v>18493</v>
      </c>
      <c r="AB3163" s="156" t="s">
        <v>18494</v>
      </c>
      <c r="AC3163" s="156" t="s">
        <v>18495</v>
      </c>
      <c r="AD3163" s="156" t="s">
        <v>18496</v>
      </c>
      <c r="AE3163" s="156" t="s">
        <v>18497</v>
      </c>
      <c r="AF3163" s="153">
        <v>90.0</v>
      </c>
      <c r="AG3163" s="153">
        <v>0.59</v>
      </c>
      <c r="AH3163" s="156" t="s">
        <v>166</v>
      </c>
      <c r="AI3163" s="156" t="s">
        <v>4966</v>
      </c>
      <c r="AJ3163" s="153">
        <v>0.01</v>
      </c>
      <c r="AK3163" s="156" t="s">
        <v>128</v>
      </c>
      <c r="AL3163" s="156" t="s">
        <v>129</v>
      </c>
      <c r="AM3163" s="156" t="s">
        <v>1898</v>
      </c>
      <c r="AN3163" s="65"/>
      <c r="AO3163" s="153">
        <v>189.0</v>
      </c>
      <c r="AP3163" s="153">
        <v>0.62</v>
      </c>
      <c r="AQ3163" s="156" t="s">
        <v>166</v>
      </c>
      <c r="AR3163" s="156" t="s">
        <v>18498</v>
      </c>
      <c r="AS3163" s="153">
        <v>0.001</v>
      </c>
      <c r="AT3163" s="156" t="s">
        <v>128</v>
      </c>
      <c r="AU3163" s="156" t="s">
        <v>211</v>
      </c>
      <c r="AV3163" s="156" t="s">
        <v>134</v>
      </c>
      <c r="AW3163" s="432" t="s">
        <v>18499</v>
      </c>
      <c r="AX3163" s="156" t="s">
        <v>431</v>
      </c>
      <c r="AZ3163" s="59" t="s">
        <v>3123</v>
      </c>
    </row>
    <row r="3164" ht="15.75" customHeight="1">
      <c r="A3164" s="41">
        <v>2831.0</v>
      </c>
      <c r="B3164" s="126" t="s">
        <v>516</v>
      </c>
      <c r="C3164" s="59" t="s">
        <v>108</v>
      </c>
      <c r="D3164" s="59" t="s">
        <v>169</v>
      </c>
      <c r="F3164" s="65" t="s">
        <v>18596</v>
      </c>
      <c r="G3164" s="156" t="s">
        <v>18597</v>
      </c>
      <c r="H3164" s="156" t="s">
        <v>7218</v>
      </c>
      <c r="I3164" s="431">
        <v>45808.0</v>
      </c>
      <c r="J3164" s="859"/>
      <c r="K3164" s="156" t="s">
        <v>18485</v>
      </c>
      <c r="L3164" s="156" t="s">
        <v>18486</v>
      </c>
      <c r="M3164" s="156" t="s">
        <v>18487</v>
      </c>
      <c r="N3164" s="156" t="s">
        <v>18488</v>
      </c>
      <c r="O3164" s="153">
        <v>2.0</v>
      </c>
      <c r="P3164" s="379" t="s">
        <v>18489</v>
      </c>
      <c r="Q3164" s="2153" t="str">
        <f> hyperlink(vlookup(lower(N3164),'File Links'!E:F, 2, FALSE), "LINK")</f>
        <v>LINK</v>
      </c>
      <c r="R3164" s="156" t="s">
        <v>18490</v>
      </c>
      <c r="S3164" s="156" t="s">
        <v>18491</v>
      </c>
      <c r="T3164" s="65"/>
      <c r="U3164" s="153">
        <v>1.0</v>
      </c>
      <c r="V3164" s="379" t="s">
        <v>18492</v>
      </c>
      <c r="W3164" s="1228" t="s">
        <v>7250</v>
      </c>
      <c r="X3164" s="1544" t="str">
        <f> hyperlink(vlookup(lower(S3164),'File Links'!E:F, 2, FALSE), "LINK")</f>
        <v>LINK</v>
      </c>
      <c r="Y3164" s="65"/>
      <c r="Z3164" s="156" t="s">
        <v>219</v>
      </c>
      <c r="AA3164" s="156" t="s">
        <v>18493</v>
      </c>
      <c r="AB3164" s="156" t="s">
        <v>18494</v>
      </c>
      <c r="AC3164" s="156" t="s">
        <v>18495</v>
      </c>
      <c r="AD3164" s="156" t="s">
        <v>18496</v>
      </c>
      <c r="AE3164" s="156" t="s">
        <v>18497</v>
      </c>
      <c r="AF3164" s="153">
        <v>90.0</v>
      </c>
      <c r="AG3164" s="153">
        <v>0.59</v>
      </c>
      <c r="AH3164" s="156" t="s">
        <v>166</v>
      </c>
      <c r="AI3164" s="156" t="s">
        <v>4966</v>
      </c>
      <c r="AJ3164" s="153">
        <v>0.01</v>
      </c>
      <c r="AK3164" s="156" t="s">
        <v>128</v>
      </c>
      <c r="AL3164" s="156" t="s">
        <v>129</v>
      </c>
      <c r="AM3164" s="156" t="s">
        <v>1898</v>
      </c>
      <c r="AN3164" s="65"/>
      <c r="AO3164" s="153">
        <v>56.0</v>
      </c>
      <c r="AP3164" s="153">
        <v>0.61</v>
      </c>
      <c r="AQ3164" s="156" t="s">
        <v>166</v>
      </c>
      <c r="AR3164" s="156" t="s">
        <v>18498</v>
      </c>
      <c r="AS3164" s="153">
        <v>0.03</v>
      </c>
      <c r="AT3164" s="156" t="s">
        <v>165</v>
      </c>
      <c r="AU3164" s="156" t="s">
        <v>211</v>
      </c>
      <c r="AV3164" s="156" t="s">
        <v>134</v>
      </c>
      <c r="AW3164" s="432" t="s">
        <v>18499</v>
      </c>
      <c r="AX3164" s="156" t="s">
        <v>431</v>
      </c>
      <c r="AZ3164" s="59" t="s">
        <v>3123</v>
      </c>
    </row>
    <row r="3165" ht="15.75" customHeight="1">
      <c r="A3165" s="41">
        <v>2832.0</v>
      </c>
      <c r="B3165" s="126" t="s">
        <v>516</v>
      </c>
      <c r="C3165" s="59" t="s">
        <v>108</v>
      </c>
      <c r="D3165" s="59" t="s">
        <v>169</v>
      </c>
      <c r="F3165" s="65" t="s">
        <v>18598</v>
      </c>
      <c r="G3165" s="156" t="s">
        <v>18599</v>
      </c>
      <c r="H3165" s="156" t="s">
        <v>7218</v>
      </c>
      <c r="I3165" s="431">
        <v>45808.0</v>
      </c>
      <c r="J3165" s="859"/>
      <c r="K3165" s="156" t="s">
        <v>18485</v>
      </c>
      <c r="L3165" s="156" t="s">
        <v>18486</v>
      </c>
      <c r="M3165" s="156" t="s">
        <v>18487</v>
      </c>
      <c r="N3165" s="156" t="s">
        <v>18488</v>
      </c>
      <c r="O3165" s="153">
        <v>2.0</v>
      </c>
      <c r="P3165" s="379" t="s">
        <v>18489</v>
      </c>
      <c r="Q3165" s="2153" t="str">
        <f> hyperlink(vlookup(lower(N3165),'File Links'!E:F, 2, FALSE), "LINK")</f>
        <v>LINK</v>
      </c>
      <c r="R3165" s="156" t="s">
        <v>18490</v>
      </c>
      <c r="S3165" s="156" t="s">
        <v>18491</v>
      </c>
      <c r="T3165" s="65"/>
      <c r="U3165" s="153">
        <v>1.0</v>
      </c>
      <c r="V3165" s="379" t="s">
        <v>18492</v>
      </c>
      <c r="W3165" s="1228" t="s">
        <v>7250</v>
      </c>
      <c r="X3165" s="1544" t="str">
        <f> hyperlink(vlookup(lower(S3165),'File Links'!E:F, 2, FALSE), "LINK")</f>
        <v>LINK</v>
      </c>
      <c r="Y3165" s="65"/>
      <c r="Z3165" s="156" t="s">
        <v>219</v>
      </c>
      <c r="AA3165" s="156" t="s">
        <v>18493</v>
      </c>
      <c r="AB3165" s="156" t="s">
        <v>18494</v>
      </c>
      <c r="AC3165" s="156" t="s">
        <v>18495</v>
      </c>
      <c r="AD3165" s="156" t="s">
        <v>18496</v>
      </c>
      <c r="AE3165" s="156" t="s">
        <v>18497</v>
      </c>
      <c r="AF3165" s="153">
        <v>90.0</v>
      </c>
      <c r="AG3165" s="153">
        <v>0.59</v>
      </c>
      <c r="AH3165" s="156" t="s">
        <v>166</v>
      </c>
      <c r="AI3165" s="156" t="s">
        <v>4966</v>
      </c>
      <c r="AJ3165" s="153">
        <v>0.01</v>
      </c>
      <c r="AK3165" s="156" t="s">
        <v>128</v>
      </c>
      <c r="AL3165" s="156" t="s">
        <v>129</v>
      </c>
      <c r="AM3165" s="156" t="s">
        <v>1898</v>
      </c>
      <c r="AN3165" s="65"/>
      <c r="AO3165" s="153">
        <v>86.0</v>
      </c>
      <c r="AP3165" s="153">
        <v>0.82</v>
      </c>
      <c r="AQ3165" s="156" t="s">
        <v>166</v>
      </c>
      <c r="AR3165" s="156" t="s">
        <v>18498</v>
      </c>
      <c r="AS3165" s="153">
        <v>0.001</v>
      </c>
      <c r="AT3165" s="156" t="s">
        <v>128</v>
      </c>
      <c r="AU3165" s="156" t="s">
        <v>211</v>
      </c>
      <c r="AV3165" s="156" t="s">
        <v>134</v>
      </c>
      <c r="AW3165" s="432" t="s">
        <v>18499</v>
      </c>
      <c r="AX3165" s="156" t="s">
        <v>431</v>
      </c>
      <c r="AZ3165" s="59" t="s">
        <v>3123</v>
      </c>
    </row>
    <row r="3166" ht="15.75" customHeight="1">
      <c r="A3166" s="41">
        <v>2833.0</v>
      </c>
      <c r="B3166" s="126" t="s">
        <v>516</v>
      </c>
      <c r="C3166" s="59" t="s">
        <v>108</v>
      </c>
      <c r="D3166" s="59" t="s">
        <v>169</v>
      </c>
      <c r="F3166" s="65" t="s">
        <v>18600</v>
      </c>
      <c r="G3166" s="156" t="s">
        <v>18601</v>
      </c>
      <c r="H3166" s="156" t="s">
        <v>7218</v>
      </c>
      <c r="I3166" s="431">
        <v>45808.0</v>
      </c>
      <c r="J3166" s="859"/>
      <c r="K3166" s="156" t="s">
        <v>18485</v>
      </c>
      <c r="L3166" s="156" t="s">
        <v>18486</v>
      </c>
      <c r="M3166" s="156" t="s">
        <v>18487</v>
      </c>
      <c r="N3166" s="156" t="s">
        <v>18488</v>
      </c>
      <c r="O3166" s="153">
        <v>2.0</v>
      </c>
      <c r="P3166" s="379" t="s">
        <v>18489</v>
      </c>
      <c r="Q3166" s="2153" t="str">
        <f> hyperlink(vlookup(lower(N3166),'File Links'!E:F, 2, FALSE), "LINK")</f>
        <v>LINK</v>
      </c>
      <c r="R3166" s="156" t="s">
        <v>18490</v>
      </c>
      <c r="S3166" s="156" t="s">
        <v>18491</v>
      </c>
      <c r="T3166" s="65"/>
      <c r="U3166" s="153">
        <v>1.0</v>
      </c>
      <c r="V3166" s="379" t="s">
        <v>18492</v>
      </c>
      <c r="W3166" s="1228" t="s">
        <v>7250</v>
      </c>
      <c r="X3166" s="1544" t="str">
        <f> hyperlink(vlookup(lower(S3166),'File Links'!E:F, 2, FALSE), "LINK")</f>
        <v>LINK</v>
      </c>
      <c r="Y3166" s="65"/>
      <c r="Z3166" s="156" t="s">
        <v>219</v>
      </c>
      <c r="AA3166" s="156" t="s">
        <v>18493</v>
      </c>
      <c r="AB3166" s="156" t="s">
        <v>18494</v>
      </c>
      <c r="AC3166" s="156" t="s">
        <v>18495</v>
      </c>
      <c r="AD3166" s="156" t="s">
        <v>18496</v>
      </c>
      <c r="AE3166" s="156" t="s">
        <v>18497</v>
      </c>
      <c r="AF3166" s="153">
        <v>90.0</v>
      </c>
      <c r="AG3166" s="153">
        <v>0.59</v>
      </c>
      <c r="AH3166" s="156" t="s">
        <v>166</v>
      </c>
      <c r="AI3166" s="156" t="s">
        <v>4966</v>
      </c>
      <c r="AJ3166" s="153">
        <v>0.01</v>
      </c>
      <c r="AK3166" s="156" t="s">
        <v>128</v>
      </c>
      <c r="AL3166" s="156" t="s">
        <v>129</v>
      </c>
      <c r="AM3166" s="156" t="s">
        <v>1898</v>
      </c>
      <c r="AN3166" s="65"/>
      <c r="AO3166" s="153">
        <v>217.0</v>
      </c>
      <c r="AP3166" s="153">
        <v>0.49</v>
      </c>
      <c r="AQ3166" s="156" t="s">
        <v>166</v>
      </c>
      <c r="AR3166" s="156" t="s">
        <v>18498</v>
      </c>
      <c r="AS3166" s="153">
        <v>0.001</v>
      </c>
      <c r="AT3166" s="156" t="s">
        <v>128</v>
      </c>
      <c r="AU3166" s="156" t="s">
        <v>211</v>
      </c>
      <c r="AV3166" s="156" t="s">
        <v>134</v>
      </c>
      <c r="AW3166" s="432" t="s">
        <v>18499</v>
      </c>
      <c r="AX3166" s="156" t="s">
        <v>431</v>
      </c>
      <c r="AZ3166" s="59" t="s">
        <v>3123</v>
      </c>
    </row>
    <row r="3167" ht="15.75" customHeight="1">
      <c r="A3167" s="41">
        <v>2834.0</v>
      </c>
      <c r="B3167" s="126" t="s">
        <v>516</v>
      </c>
      <c r="C3167" s="59" t="s">
        <v>108</v>
      </c>
      <c r="D3167" s="59" t="s">
        <v>169</v>
      </c>
      <c r="F3167" s="65" t="s">
        <v>18602</v>
      </c>
      <c r="G3167" s="156" t="s">
        <v>18603</v>
      </c>
      <c r="H3167" s="156" t="s">
        <v>7218</v>
      </c>
      <c r="I3167" s="431">
        <v>45808.0</v>
      </c>
      <c r="J3167" s="859"/>
      <c r="K3167" s="156" t="s">
        <v>18485</v>
      </c>
      <c r="L3167" s="156" t="s">
        <v>18486</v>
      </c>
      <c r="M3167" s="156" t="s">
        <v>18487</v>
      </c>
      <c r="N3167" s="156" t="s">
        <v>18488</v>
      </c>
      <c r="O3167" s="153">
        <v>2.0</v>
      </c>
      <c r="P3167" s="379" t="s">
        <v>18489</v>
      </c>
      <c r="Q3167" s="2153" t="str">
        <f> hyperlink(vlookup(lower(N3167),'File Links'!E:F, 2, FALSE), "LINK")</f>
        <v>LINK</v>
      </c>
      <c r="R3167" s="156" t="s">
        <v>18490</v>
      </c>
      <c r="S3167" s="156" t="s">
        <v>18491</v>
      </c>
      <c r="T3167" s="65"/>
      <c r="U3167" s="153">
        <v>1.0</v>
      </c>
      <c r="V3167" s="379" t="s">
        <v>18492</v>
      </c>
      <c r="W3167" s="1228" t="s">
        <v>7250</v>
      </c>
      <c r="X3167" s="1544" t="str">
        <f> hyperlink(vlookup(lower(S3167),'File Links'!E:F, 2, FALSE), "LINK")</f>
        <v>LINK</v>
      </c>
      <c r="Y3167" s="65"/>
      <c r="Z3167" s="156" t="s">
        <v>219</v>
      </c>
      <c r="AA3167" s="156" t="s">
        <v>18493</v>
      </c>
      <c r="AB3167" s="156" t="s">
        <v>18494</v>
      </c>
      <c r="AC3167" s="156" t="s">
        <v>18495</v>
      </c>
      <c r="AD3167" s="156" t="s">
        <v>18496</v>
      </c>
      <c r="AE3167" s="156" t="s">
        <v>18497</v>
      </c>
      <c r="AF3167" s="153">
        <v>90.0</v>
      </c>
      <c r="AG3167" s="153">
        <v>0.59</v>
      </c>
      <c r="AH3167" s="156" t="s">
        <v>166</v>
      </c>
      <c r="AI3167" s="156" t="s">
        <v>4966</v>
      </c>
      <c r="AJ3167" s="153">
        <v>0.01</v>
      </c>
      <c r="AK3167" s="156" t="s">
        <v>128</v>
      </c>
      <c r="AL3167" s="156" t="s">
        <v>129</v>
      </c>
      <c r="AM3167" s="156" t="s">
        <v>1898</v>
      </c>
      <c r="AN3167" s="65"/>
      <c r="AO3167" s="153">
        <v>124.0</v>
      </c>
      <c r="AP3167" s="153">
        <v>0.51</v>
      </c>
      <c r="AQ3167" s="156" t="s">
        <v>166</v>
      </c>
      <c r="AR3167" s="156" t="s">
        <v>18498</v>
      </c>
      <c r="AS3167" s="153">
        <v>0.007</v>
      </c>
      <c r="AT3167" s="156" t="s">
        <v>165</v>
      </c>
      <c r="AU3167" s="156" t="s">
        <v>211</v>
      </c>
      <c r="AV3167" s="156" t="s">
        <v>134</v>
      </c>
      <c r="AW3167" s="432" t="s">
        <v>18499</v>
      </c>
      <c r="AX3167" s="156" t="s">
        <v>431</v>
      </c>
      <c r="AZ3167" s="59" t="s">
        <v>3123</v>
      </c>
    </row>
    <row r="3168" ht="15.75" customHeight="1">
      <c r="A3168" s="41">
        <v>2836.0</v>
      </c>
      <c r="B3168" s="126" t="s">
        <v>516</v>
      </c>
      <c r="C3168" s="59" t="s">
        <v>108</v>
      </c>
      <c r="D3168" s="59" t="s">
        <v>169</v>
      </c>
      <c r="F3168" s="65" t="s">
        <v>18604</v>
      </c>
      <c r="G3168" s="156" t="s">
        <v>18605</v>
      </c>
      <c r="H3168" s="156" t="s">
        <v>7218</v>
      </c>
      <c r="I3168" s="431">
        <v>45808.0</v>
      </c>
      <c r="J3168" s="859"/>
      <c r="K3168" s="156" t="s">
        <v>18485</v>
      </c>
      <c r="L3168" s="156" t="s">
        <v>18486</v>
      </c>
      <c r="M3168" s="156" t="s">
        <v>18487</v>
      </c>
      <c r="N3168" s="156" t="s">
        <v>18488</v>
      </c>
      <c r="O3168" s="153">
        <v>2.0</v>
      </c>
      <c r="P3168" s="379" t="s">
        <v>18489</v>
      </c>
      <c r="Q3168" s="2153" t="str">
        <f> hyperlink(vlookup(lower(N3168),'File Links'!E:F, 2, FALSE), "LINK")</f>
        <v>LINK</v>
      </c>
      <c r="R3168" s="156" t="s">
        <v>18490</v>
      </c>
      <c r="S3168" s="156" t="s">
        <v>18491</v>
      </c>
      <c r="T3168" s="65"/>
      <c r="U3168" s="153">
        <v>1.0</v>
      </c>
      <c r="V3168" s="379" t="s">
        <v>18492</v>
      </c>
      <c r="W3168" s="1228" t="s">
        <v>7250</v>
      </c>
      <c r="X3168" s="1544" t="str">
        <f> hyperlink(vlookup(lower(S3168),'File Links'!E:F, 2, FALSE), "LINK")</f>
        <v>LINK</v>
      </c>
      <c r="Y3168" s="65"/>
      <c r="Z3168" s="156" t="s">
        <v>219</v>
      </c>
      <c r="AA3168" s="156" t="s">
        <v>18493</v>
      </c>
      <c r="AB3168" s="156" t="s">
        <v>18494</v>
      </c>
      <c r="AC3168" s="156" t="s">
        <v>18495</v>
      </c>
      <c r="AD3168" s="156" t="s">
        <v>18496</v>
      </c>
      <c r="AE3168" s="156" t="s">
        <v>18497</v>
      </c>
      <c r="AF3168" s="153">
        <v>90.0</v>
      </c>
      <c r="AG3168" s="153">
        <v>0.59</v>
      </c>
      <c r="AH3168" s="156" t="s">
        <v>166</v>
      </c>
      <c r="AI3168" s="156" t="s">
        <v>4966</v>
      </c>
      <c r="AJ3168" s="153">
        <v>0.01</v>
      </c>
      <c r="AK3168" s="156" t="s">
        <v>128</v>
      </c>
      <c r="AL3168" s="156" t="s">
        <v>129</v>
      </c>
      <c r="AM3168" s="156" t="s">
        <v>1898</v>
      </c>
      <c r="AN3168" s="65"/>
      <c r="AO3168" s="153">
        <v>186.0</v>
      </c>
      <c r="AP3168" s="153">
        <v>1.58</v>
      </c>
      <c r="AQ3168" s="156" t="s">
        <v>166</v>
      </c>
      <c r="AR3168" s="156" t="s">
        <v>18498</v>
      </c>
      <c r="AS3168" s="153">
        <v>0.001</v>
      </c>
      <c r="AT3168" s="156" t="s">
        <v>128</v>
      </c>
      <c r="AU3168" s="156" t="s">
        <v>211</v>
      </c>
      <c r="AV3168" s="156" t="s">
        <v>134</v>
      </c>
      <c r="AW3168" s="432" t="s">
        <v>18499</v>
      </c>
      <c r="AX3168" s="156" t="s">
        <v>431</v>
      </c>
      <c r="AZ3168" s="59" t="s">
        <v>3123</v>
      </c>
    </row>
    <row r="3169" ht="15.75" customHeight="1">
      <c r="A3169" s="41">
        <v>2837.0</v>
      </c>
      <c r="B3169" s="126" t="s">
        <v>516</v>
      </c>
      <c r="C3169" s="59" t="s">
        <v>108</v>
      </c>
      <c r="D3169" s="59" t="s">
        <v>169</v>
      </c>
      <c r="F3169" s="65" t="s">
        <v>18604</v>
      </c>
      <c r="G3169" s="156" t="s">
        <v>18606</v>
      </c>
      <c r="H3169" s="156" t="s">
        <v>7218</v>
      </c>
      <c r="I3169" s="431">
        <v>45808.0</v>
      </c>
      <c r="J3169" s="859"/>
      <c r="K3169" s="65"/>
      <c r="L3169" s="65"/>
      <c r="M3169" s="156" t="s">
        <v>18487</v>
      </c>
      <c r="N3169" s="156" t="s">
        <v>18488</v>
      </c>
      <c r="O3169" s="153">
        <v>2.0</v>
      </c>
      <c r="P3169" s="379" t="s">
        <v>18489</v>
      </c>
      <c r="Q3169" s="2153" t="str">
        <f> hyperlink(vlookup(lower(N3169),'File Links'!E:F, 2, FALSE), "LINK")</f>
        <v>LINK</v>
      </c>
      <c r="R3169" s="156" t="s">
        <v>18490</v>
      </c>
      <c r="S3169" s="156" t="s">
        <v>18491</v>
      </c>
      <c r="T3169" s="65"/>
      <c r="U3169" s="153">
        <v>1.0</v>
      </c>
      <c r="V3169" s="379" t="s">
        <v>18492</v>
      </c>
      <c r="W3169" s="1228" t="s">
        <v>7250</v>
      </c>
      <c r="X3169" s="1544" t="str">
        <f> hyperlink(vlookup(lower(S3169),'File Links'!E:F, 2, FALSE), "LINK")</f>
        <v>LINK</v>
      </c>
      <c r="Y3169" s="65"/>
      <c r="Z3169" s="156" t="s">
        <v>219</v>
      </c>
      <c r="AA3169" s="156" t="s">
        <v>18493</v>
      </c>
      <c r="AB3169" s="156" t="s">
        <v>18494</v>
      </c>
      <c r="AC3169" s="156" t="s">
        <v>18607</v>
      </c>
      <c r="AD3169" s="156" t="s">
        <v>18608</v>
      </c>
      <c r="AE3169" s="156" t="s">
        <v>489</v>
      </c>
      <c r="AF3169" s="153">
        <v>90.0</v>
      </c>
      <c r="AG3169" s="153">
        <v>9.97</v>
      </c>
      <c r="AH3169" s="156" t="s">
        <v>127</v>
      </c>
      <c r="AI3169" s="156" t="s">
        <v>489</v>
      </c>
      <c r="AJ3169" s="153">
        <v>0.001</v>
      </c>
      <c r="AK3169" s="156" t="s">
        <v>128</v>
      </c>
      <c r="AL3169" s="156" t="s">
        <v>129</v>
      </c>
      <c r="AM3169" s="156" t="s">
        <v>130</v>
      </c>
      <c r="AN3169" s="65"/>
      <c r="AO3169" s="153">
        <v>1479.0</v>
      </c>
      <c r="AP3169" s="153">
        <v>190.72</v>
      </c>
      <c r="AQ3169" s="156" t="s">
        <v>127</v>
      </c>
      <c r="AR3169" s="156" t="s">
        <v>18609</v>
      </c>
      <c r="AS3169" s="153">
        <v>0.001</v>
      </c>
      <c r="AT3169" s="156" t="s">
        <v>128</v>
      </c>
      <c r="AU3169" s="156" t="s">
        <v>129</v>
      </c>
      <c r="AV3169" s="156" t="s">
        <v>134</v>
      </c>
      <c r="AW3169" s="432" t="s">
        <v>18499</v>
      </c>
      <c r="AX3169" s="156" t="s">
        <v>431</v>
      </c>
      <c r="AZ3169" s="59" t="s">
        <v>3123</v>
      </c>
    </row>
    <row r="3170" ht="15.75" customHeight="1">
      <c r="A3170" s="41">
        <v>2838.0</v>
      </c>
      <c r="B3170" s="126" t="s">
        <v>516</v>
      </c>
      <c r="C3170" s="59" t="s">
        <v>108</v>
      </c>
      <c r="D3170" s="59" t="s">
        <v>169</v>
      </c>
      <c r="F3170" s="65" t="s">
        <v>18604</v>
      </c>
      <c r="G3170" s="156" t="s">
        <v>18610</v>
      </c>
      <c r="H3170" s="156" t="s">
        <v>7218</v>
      </c>
      <c r="I3170" s="431">
        <v>45808.0</v>
      </c>
      <c r="J3170" s="859"/>
      <c r="K3170" s="65"/>
      <c r="L3170" s="65"/>
      <c r="M3170" s="156" t="s">
        <v>18487</v>
      </c>
      <c r="N3170" s="156" t="s">
        <v>18488</v>
      </c>
      <c r="O3170" s="153">
        <v>2.0</v>
      </c>
      <c r="P3170" s="379" t="s">
        <v>18489</v>
      </c>
      <c r="Q3170" s="2153" t="str">
        <f> hyperlink(vlookup(lower(N3170),'File Links'!E:F, 2, FALSE), "LINK")</f>
        <v>LINK</v>
      </c>
      <c r="R3170" s="156" t="s">
        <v>18490</v>
      </c>
      <c r="S3170" s="156" t="s">
        <v>18491</v>
      </c>
      <c r="T3170" s="65"/>
      <c r="U3170" s="153">
        <v>1.0</v>
      </c>
      <c r="V3170" s="379" t="s">
        <v>18492</v>
      </c>
      <c r="W3170" s="1228" t="s">
        <v>7250</v>
      </c>
      <c r="X3170" s="1544" t="str">
        <f> hyperlink(vlookup(lower(S3170),'File Links'!E:F, 2, FALSE), "LINK")</f>
        <v>LINK</v>
      </c>
      <c r="Y3170" s="65"/>
      <c r="Z3170" s="156" t="s">
        <v>219</v>
      </c>
      <c r="AA3170" s="156" t="s">
        <v>18493</v>
      </c>
      <c r="AB3170" s="156" t="s">
        <v>18494</v>
      </c>
      <c r="AC3170" s="156" t="s">
        <v>18611</v>
      </c>
      <c r="AD3170" s="156" t="s">
        <v>18612</v>
      </c>
      <c r="AE3170" s="156" t="s">
        <v>875</v>
      </c>
      <c r="AF3170" s="153">
        <v>90.0</v>
      </c>
      <c r="AG3170" s="153">
        <v>19.9</v>
      </c>
      <c r="AH3170" s="156" t="s">
        <v>127</v>
      </c>
      <c r="AI3170" s="156" t="s">
        <v>875</v>
      </c>
      <c r="AJ3170" s="153">
        <v>0.001</v>
      </c>
      <c r="AK3170" s="156" t="s">
        <v>128</v>
      </c>
      <c r="AL3170" s="156" t="s">
        <v>129</v>
      </c>
      <c r="AM3170" s="156" t="s">
        <v>130</v>
      </c>
      <c r="AN3170" s="65"/>
      <c r="AO3170" s="153">
        <v>1479.0</v>
      </c>
      <c r="AP3170" s="153">
        <v>93.57</v>
      </c>
      <c r="AQ3170" s="156" t="s">
        <v>127</v>
      </c>
      <c r="AR3170" s="156" t="s">
        <v>18609</v>
      </c>
      <c r="AS3170" s="153">
        <v>0.001</v>
      </c>
      <c r="AT3170" s="156" t="s">
        <v>128</v>
      </c>
      <c r="AU3170" s="156" t="s">
        <v>129</v>
      </c>
      <c r="AV3170" s="156" t="s">
        <v>134</v>
      </c>
      <c r="AW3170" s="432" t="s">
        <v>18499</v>
      </c>
      <c r="AX3170" s="156" t="s">
        <v>431</v>
      </c>
      <c r="AZ3170" s="59" t="s">
        <v>3123</v>
      </c>
    </row>
    <row r="3171" ht="15.75" customHeight="1">
      <c r="A3171" s="41">
        <v>2839.0</v>
      </c>
      <c r="B3171" s="126" t="s">
        <v>516</v>
      </c>
      <c r="C3171" s="59" t="s">
        <v>108</v>
      </c>
      <c r="D3171" s="59" t="s">
        <v>169</v>
      </c>
      <c r="F3171" s="65" t="s">
        <v>18604</v>
      </c>
      <c r="G3171" s="156" t="s">
        <v>18613</v>
      </c>
      <c r="H3171" s="156" t="s">
        <v>7218</v>
      </c>
      <c r="I3171" s="431">
        <v>45808.0</v>
      </c>
      <c r="J3171" s="859"/>
      <c r="K3171" s="65"/>
      <c r="L3171" s="65"/>
      <c r="M3171" s="156" t="s">
        <v>18487</v>
      </c>
      <c r="N3171" s="156" t="s">
        <v>18488</v>
      </c>
      <c r="O3171" s="153">
        <v>2.0</v>
      </c>
      <c r="P3171" s="379" t="s">
        <v>18489</v>
      </c>
      <c r="Q3171" s="2153" t="str">
        <f> hyperlink(vlookup(lower(N3171),'File Links'!E:F, 2, FALSE), "LINK")</f>
        <v>LINK</v>
      </c>
      <c r="R3171" s="156" t="s">
        <v>18490</v>
      </c>
      <c r="S3171" s="156" t="s">
        <v>18491</v>
      </c>
      <c r="T3171" s="65"/>
      <c r="U3171" s="153">
        <v>1.0</v>
      </c>
      <c r="V3171" s="379" t="s">
        <v>18492</v>
      </c>
      <c r="W3171" s="1228" t="s">
        <v>7250</v>
      </c>
      <c r="X3171" s="1544" t="str">
        <f> hyperlink(vlookup(lower(S3171),'File Links'!E:F, 2, FALSE), "LINK")</f>
        <v>LINK</v>
      </c>
      <c r="Y3171" s="65"/>
      <c r="Z3171" s="156" t="s">
        <v>219</v>
      </c>
      <c r="AA3171" s="156" t="s">
        <v>18493</v>
      </c>
      <c r="AB3171" s="156" t="s">
        <v>18494</v>
      </c>
      <c r="AC3171" s="156" t="s">
        <v>18614</v>
      </c>
      <c r="AD3171" s="156" t="s">
        <v>18615</v>
      </c>
      <c r="AE3171" s="156" t="s">
        <v>875</v>
      </c>
      <c r="AF3171" s="153">
        <v>90.0</v>
      </c>
      <c r="AG3171" s="153">
        <v>0.61</v>
      </c>
      <c r="AH3171" s="156" t="s">
        <v>127</v>
      </c>
      <c r="AI3171" s="156" t="s">
        <v>875</v>
      </c>
      <c r="AJ3171" s="153">
        <v>0.5</v>
      </c>
      <c r="AK3171" s="156" t="s">
        <v>328</v>
      </c>
      <c r="AL3171" s="156" t="s">
        <v>129</v>
      </c>
      <c r="AM3171" s="156" t="s">
        <v>130</v>
      </c>
      <c r="AN3171" s="65"/>
      <c r="AO3171" s="153">
        <v>1479.0</v>
      </c>
      <c r="AP3171" s="153">
        <v>2.11</v>
      </c>
      <c r="AQ3171" s="156" t="s">
        <v>127</v>
      </c>
      <c r="AR3171" s="156" t="s">
        <v>18609</v>
      </c>
      <c r="AS3171" s="153">
        <v>0.121</v>
      </c>
      <c r="AT3171" s="156" t="s">
        <v>165</v>
      </c>
      <c r="AU3171" s="156" t="s">
        <v>129</v>
      </c>
      <c r="AV3171" s="156" t="s">
        <v>134</v>
      </c>
      <c r="AW3171" s="432" t="s">
        <v>18499</v>
      </c>
      <c r="AX3171" s="156" t="s">
        <v>431</v>
      </c>
      <c r="AZ3171" s="59" t="s">
        <v>3123</v>
      </c>
    </row>
    <row r="3172" ht="15.75" customHeight="1">
      <c r="A3172" s="41">
        <v>2840.0</v>
      </c>
      <c r="B3172" s="126" t="s">
        <v>516</v>
      </c>
      <c r="C3172" s="59" t="s">
        <v>108</v>
      </c>
      <c r="D3172" s="59" t="s">
        <v>169</v>
      </c>
      <c r="F3172" s="65" t="s">
        <v>18604</v>
      </c>
      <c r="G3172" s="156" t="s">
        <v>18616</v>
      </c>
      <c r="H3172" s="156" t="s">
        <v>7218</v>
      </c>
      <c r="I3172" s="431">
        <v>45808.0</v>
      </c>
      <c r="J3172" s="859"/>
      <c r="K3172" s="65"/>
      <c r="L3172" s="65"/>
      <c r="M3172" s="156" t="s">
        <v>18487</v>
      </c>
      <c r="N3172" s="156" t="s">
        <v>18488</v>
      </c>
      <c r="O3172" s="153">
        <v>2.0</v>
      </c>
      <c r="P3172" s="379" t="s">
        <v>18489</v>
      </c>
      <c r="Q3172" s="2153" t="str">
        <f> hyperlink(vlookup(lower(N3172),'File Links'!E:F, 2, FALSE), "LINK")</f>
        <v>LINK</v>
      </c>
      <c r="R3172" s="156" t="s">
        <v>18490</v>
      </c>
      <c r="S3172" s="156" t="s">
        <v>18491</v>
      </c>
      <c r="T3172" s="65"/>
      <c r="U3172" s="153">
        <v>1.0</v>
      </c>
      <c r="V3172" s="379" t="s">
        <v>18492</v>
      </c>
      <c r="W3172" s="1228" t="s">
        <v>7250</v>
      </c>
      <c r="X3172" s="1544" t="str">
        <f> hyperlink(vlookup(lower(S3172),'File Links'!E:F, 2, FALSE), "LINK")</f>
        <v>LINK</v>
      </c>
      <c r="Y3172" s="65"/>
      <c r="Z3172" s="156" t="s">
        <v>219</v>
      </c>
      <c r="AA3172" s="156" t="s">
        <v>18493</v>
      </c>
      <c r="AB3172" s="156" t="s">
        <v>18494</v>
      </c>
      <c r="AC3172" s="156" t="s">
        <v>18617</v>
      </c>
      <c r="AD3172" s="156" t="s">
        <v>18618</v>
      </c>
      <c r="AE3172" s="156" t="s">
        <v>875</v>
      </c>
      <c r="AF3172" s="153">
        <v>90.0</v>
      </c>
      <c r="AG3172" s="153">
        <v>0.94</v>
      </c>
      <c r="AH3172" s="156" t="s">
        <v>166</v>
      </c>
      <c r="AI3172" s="156" t="s">
        <v>875</v>
      </c>
      <c r="AJ3172" s="153">
        <v>0.001</v>
      </c>
      <c r="AK3172" s="156" t="s">
        <v>128</v>
      </c>
      <c r="AL3172" s="156" t="s">
        <v>129</v>
      </c>
      <c r="AM3172" s="156" t="s">
        <v>130</v>
      </c>
      <c r="AN3172" s="65"/>
      <c r="AO3172" s="153">
        <v>1479.0</v>
      </c>
      <c r="AP3172" s="153">
        <v>0.54</v>
      </c>
      <c r="AQ3172" s="156" t="s">
        <v>166</v>
      </c>
      <c r="AR3172" s="156" t="s">
        <v>18609</v>
      </c>
      <c r="AS3172" s="153">
        <v>0.001</v>
      </c>
      <c r="AT3172" s="156" t="s">
        <v>128</v>
      </c>
      <c r="AU3172" s="156" t="s">
        <v>129</v>
      </c>
      <c r="AV3172" s="156" t="s">
        <v>134</v>
      </c>
      <c r="AW3172" s="432" t="s">
        <v>18499</v>
      </c>
      <c r="AX3172" s="156" t="s">
        <v>431</v>
      </c>
      <c r="AZ3172" s="59" t="s">
        <v>3123</v>
      </c>
    </row>
    <row r="3173" ht="15.75" customHeight="1">
      <c r="A3173" s="41">
        <v>2835.0</v>
      </c>
      <c r="B3173" s="126" t="s">
        <v>516</v>
      </c>
      <c r="C3173" s="59" t="s">
        <v>108</v>
      </c>
      <c r="D3173" s="59" t="s">
        <v>169</v>
      </c>
      <c r="F3173" s="65" t="s">
        <v>18619</v>
      </c>
      <c r="G3173" s="156" t="s">
        <v>18620</v>
      </c>
      <c r="H3173" s="156" t="s">
        <v>7218</v>
      </c>
      <c r="I3173" s="431">
        <v>45808.0</v>
      </c>
      <c r="J3173" s="859"/>
      <c r="K3173" s="156" t="s">
        <v>18485</v>
      </c>
      <c r="L3173" s="156" t="s">
        <v>18486</v>
      </c>
      <c r="M3173" s="156" t="s">
        <v>18487</v>
      </c>
      <c r="N3173" s="156" t="s">
        <v>18488</v>
      </c>
      <c r="O3173" s="153">
        <v>2.0</v>
      </c>
      <c r="P3173" s="379" t="s">
        <v>18489</v>
      </c>
      <c r="Q3173" s="2153" t="str">
        <f> hyperlink(vlookup(lower(N3173),'File Links'!E:F, 2, FALSE), "LINK")</f>
        <v>LINK</v>
      </c>
      <c r="R3173" s="156" t="s">
        <v>18490</v>
      </c>
      <c r="S3173" s="156" t="s">
        <v>18491</v>
      </c>
      <c r="T3173" s="65"/>
      <c r="U3173" s="153">
        <v>1.0</v>
      </c>
      <c r="V3173" s="379" t="s">
        <v>18492</v>
      </c>
      <c r="W3173" s="1228" t="s">
        <v>7250</v>
      </c>
      <c r="X3173" s="1544" t="str">
        <f> hyperlink(vlookup(lower(S3173),'File Links'!E:F, 2, FALSE), "LINK")</f>
        <v>LINK</v>
      </c>
      <c r="Y3173" s="65"/>
      <c r="Z3173" s="156" t="s">
        <v>219</v>
      </c>
      <c r="AA3173" s="156" t="s">
        <v>18493</v>
      </c>
      <c r="AB3173" s="156" t="s">
        <v>18494</v>
      </c>
      <c r="AC3173" s="156" t="s">
        <v>18495</v>
      </c>
      <c r="AD3173" s="156" t="s">
        <v>18496</v>
      </c>
      <c r="AE3173" s="156" t="s">
        <v>18497</v>
      </c>
      <c r="AF3173" s="153">
        <v>90.0</v>
      </c>
      <c r="AG3173" s="153">
        <v>0.59</v>
      </c>
      <c r="AH3173" s="156" t="s">
        <v>166</v>
      </c>
      <c r="AI3173" s="156" t="s">
        <v>4966</v>
      </c>
      <c r="AJ3173" s="153">
        <v>0.01</v>
      </c>
      <c r="AK3173" s="156" t="s">
        <v>128</v>
      </c>
      <c r="AL3173" s="156" t="s">
        <v>129</v>
      </c>
      <c r="AM3173" s="156" t="s">
        <v>1898</v>
      </c>
      <c r="AN3173" s="65"/>
      <c r="AO3173" s="153">
        <v>162.0</v>
      </c>
      <c r="AP3173" s="153">
        <v>1.11</v>
      </c>
      <c r="AQ3173" s="156" t="s">
        <v>166</v>
      </c>
      <c r="AR3173" s="156" t="s">
        <v>18498</v>
      </c>
      <c r="AS3173" s="153">
        <v>0.001</v>
      </c>
      <c r="AT3173" s="156" t="s">
        <v>128</v>
      </c>
      <c r="AU3173" s="156" t="s">
        <v>211</v>
      </c>
      <c r="AV3173" s="156" t="s">
        <v>134</v>
      </c>
      <c r="AW3173" s="432" t="s">
        <v>18499</v>
      </c>
      <c r="AX3173" s="156" t="s">
        <v>431</v>
      </c>
      <c r="AZ3173" s="59" t="s">
        <v>3123</v>
      </c>
    </row>
    <row r="3174" ht="15.75" customHeight="1">
      <c r="A3174" s="41">
        <v>2806.0</v>
      </c>
      <c r="B3174" s="126" t="s">
        <v>516</v>
      </c>
      <c r="C3174" s="59" t="s">
        <v>108</v>
      </c>
      <c r="D3174" s="59" t="s">
        <v>1451</v>
      </c>
      <c r="F3174" s="65" t="s">
        <v>18621</v>
      </c>
      <c r="G3174" s="156" t="s">
        <v>18622</v>
      </c>
      <c r="H3174" s="156" t="s">
        <v>18623</v>
      </c>
      <c r="I3174" s="149">
        <v>45329.0</v>
      </c>
      <c r="J3174" s="149">
        <v>45804.0</v>
      </c>
      <c r="K3174" s="156" t="s">
        <v>18624</v>
      </c>
      <c r="L3174" s="65"/>
      <c r="M3174" s="156" t="s">
        <v>18625</v>
      </c>
      <c r="N3174" s="156" t="s">
        <v>18626</v>
      </c>
      <c r="O3174" s="153">
        <v>1.0</v>
      </c>
      <c r="P3174" s="379" t="s">
        <v>18627</v>
      </c>
      <c r="Q3174" s="2153" t="str">
        <f> hyperlink(vlookup(lower(N3174),'File Links'!E:F, 2, FALSE), "LINK")</f>
        <v>LINK</v>
      </c>
      <c r="R3174" s="156" t="s">
        <v>18628</v>
      </c>
      <c r="S3174" s="156" t="s">
        <v>18629</v>
      </c>
      <c r="T3174" s="156" t="s">
        <v>131</v>
      </c>
      <c r="U3174" s="153">
        <v>1.0</v>
      </c>
      <c r="V3174" s="379" t="s">
        <v>18630</v>
      </c>
      <c r="W3174" s="1225"/>
      <c r="X3174" s="1544" t="str">
        <f> hyperlink(vlookup(lower(S3174),'File Links'!E:F, 2, FALSE), "LINK")</f>
        <v>LINK</v>
      </c>
      <c r="Y3174" s="156" t="s">
        <v>131</v>
      </c>
      <c r="Z3174" s="156" t="s">
        <v>940</v>
      </c>
      <c r="AA3174" s="156" t="s">
        <v>18631</v>
      </c>
      <c r="AB3174" s="156" t="s">
        <v>18632</v>
      </c>
      <c r="AC3174" s="156" t="s">
        <v>18631</v>
      </c>
      <c r="AD3174" s="156" t="s">
        <v>18633</v>
      </c>
      <c r="AE3174" s="153">
        <v>5.0</v>
      </c>
      <c r="AF3174" s="153">
        <v>30.0</v>
      </c>
      <c r="AG3174" s="148" t="s">
        <v>18634</v>
      </c>
      <c r="AH3174" s="156" t="s">
        <v>127</v>
      </c>
      <c r="AI3174" s="156" t="s">
        <v>875</v>
      </c>
      <c r="AJ3174" s="153">
        <v>0.01</v>
      </c>
      <c r="AK3174" s="156" t="s">
        <v>128</v>
      </c>
      <c r="AL3174" s="156" t="s">
        <v>179</v>
      </c>
      <c r="AM3174" s="156" t="s">
        <v>130</v>
      </c>
      <c r="AN3174" s="156" t="s">
        <v>131</v>
      </c>
      <c r="AO3174" s="153">
        <v>2792.0</v>
      </c>
      <c r="AP3174" s="153">
        <v>-0.03</v>
      </c>
      <c r="AQ3174" s="156" t="s">
        <v>166</v>
      </c>
      <c r="AR3174" s="156" t="s">
        <v>7715</v>
      </c>
      <c r="AS3174" s="153">
        <v>0.79</v>
      </c>
      <c r="AT3174" s="156" t="s">
        <v>165</v>
      </c>
      <c r="AU3174" s="156" t="s">
        <v>211</v>
      </c>
      <c r="AV3174" s="156" t="s">
        <v>130</v>
      </c>
      <c r="AW3174" s="432" t="s">
        <v>18635</v>
      </c>
      <c r="AX3174" s="156" t="s">
        <v>144</v>
      </c>
    </row>
    <row r="3175" ht="15.75" customHeight="1">
      <c r="A3175" s="41">
        <v>2773.0</v>
      </c>
      <c r="B3175" s="126" t="s">
        <v>516</v>
      </c>
      <c r="C3175" s="59" t="s">
        <v>108</v>
      </c>
      <c r="D3175" s="59" t="s">
        <v>214</v>
      </c>
      <c r="F3175" s="65" t="s">
        <v>18636</v>
      </c>
      <c r="G3175" s="156" t="s">
        <v>18637</v>
      </c>
      <c r="H3175" s="156" t="s">
        <v>215</v>
      </c>
      <c r="I3175" s="149">
        <v>45803.0</v>
      </c>
      <c r="J3175" s="859"/>
      <c r="K3175" s="65"/>
      <c r="L3175" s="156" t="s">
        <v>18638</v>
      </c>
      <c r="M3175" s="156" t="s">
        <v>18639</v>
      </c>
      <c r="N3175" s="156" t="s">
        <v>18640</v>
      </c>
      <c r="O3175" s="153">
        <v>1.0</v>
      </c>
      <c r="P3175" s="379" t="s">
        <v>18641</v>
      </c>
      <c r="Q3175" s="2153" t="str">
        <f> hyperlink(vlookup(lower(N3175),'File Links'!E:F, 2, FALSE), "LINK")</f>
        <v>LINK</v>
      </c>
      <c r="R3175" s="156" t="s">
        <v>18642</v>
      </c>
      <c r="S3175" s="432" t="s">
        <v>18643</v>
      </c>
      <c r="T3175" s="65"/>
      <c r="U3175" s="65"/>
      <c r="V3175" s="379" t="s">
        <v>18644</v>
      </c>
      <c r="W3175" s="1225"/>
      <c r="X3175" s="1544" t="str">
        <f> hyperlink(vlookup(lower(S3175),'File Links'!E:F, 2, FALSE), "LINK")</f>
        <v>LINK</v>
      </c>
      <c r="Y3175" s="65"/>
      <c r="Z3175" s="156" t="s">
        <v>219</v>
      </c>
      <c r="AA3175" s="156" t="s">
        <v>18645</v>
      </c>
      <c r="AB3175" s="156" t="s">
        <v>18646</v>
      </c>
      <c r="AC3175" s="156" t="s">
        <v>18647</v>
      </c>
      <c r="AD3175" s="65" t="s">
        <v>18648</v>
      </c>
      <c r="AE3175" s="156" t="s">
        <v>606</v>
      </c>
      <c r="AF3175" s="153">
        <v>160.0</v>
      </c>
      <c r="AG3175" s="153">
        <v>0.04</v>
      </c>
      <c r="AH3175" s="156" t="s">
        <v>18649</v>
      </c>
      <c r="AI3175" s="156" t="s">
        <v>606</v>
      </c>
      <c r="AJ3175" s="333">
        <v>0.045</v>
      </c>
      <c r="AK3175" s="156" t="s">
        <v>165</v>
      </c>
      <c r="AL3175" s="156" t="s">
        <v>129</v>
      </c>
      <c r="AM3175" s="156" t="s">
        <v>130</v>
      </c>
      <c r="AN3175" s="156" t="s">
        <v>131</v>
      </c>
      <c r="AO3175" s="153">
        <v>252.0</v>
      </c>
      <c r="AP3175" s="153">
        <v>0.0</v>
      </c>
      <c r="AQ3175" s="156" t="s">
        <v>132</v>
      </c>
      <c r="AR3175" s="156" t="s">
        <v>621</v>
      </c>
      <c r="AS3175" s="153">
        <v>0.85</v>
      </c>
      <c r="AT3175" s="156" t="s">
        <v>165</v>
      </c>
      <c r="AU3175" s="156" t="s">
        <v>129</v>
      </c>
      <c r="AV3175" s="156" t="s">
        <v>130</v>
      </c>
      <c r="AW3175" s="432" t="s">
        <v>18650</v>
      </c>
      <c r="AX3175" s="156" t="s">
        <v>136</v>
      </c>
      <c r="AZ3175" s="59" t="s">
        <v>3123</v>
      </c>
    </row>
    <row r="3176" ht="15.75" customHeight="1">
      <c r="A3176" s="41">
        <v>2774.0</v>
      </c>
      <c r="B3176" s="126" t="s">
        <v>516</v>
      </c>
      <c r="C3176" s="59" t="s">
        <v>108</v>
      </c>
      <c r="D3176" s="59" t="s">
        <v>214</v>
      </c>
      <c r="F3176" s="65" t="s">
        <v>18651</v>
      </c>
      <c r="G3176" s="156" t="s">
        <v>18637</v>
      </c>
      <c r="H3176" s="156" t="s">
        <v>215</v>
      </c>
      <c r="I3176" s="149">
        <v>45803.0</v>
      </c>
      <c r="J3176" s="859"/>
      <c r="K3176" s="65"/>
      <c r="L3176" s="65"/>
      <c r="M3176" s="156" t="s">
        <v>18639</v>
      </c>
      <c r="N3176" s="156" t="s">
        <v>18640</v>
      </c>
      <c r="O3176" s="153">
        <v>1.0</v>
      </c>
      <c r="P3176" s="379" t="s">
        <v>18641</v>
      </c>
      <c r="Q3176" s="2153" t="str">
        <f> hyperlink(vlookup(lower(N3176),'File Links'!E:F, 2, FALSE), "LINK")</f>
        <v>LINK</v>
      </c>
      <c r="R3176" s="156" t="s">
        <v>18642</v>
      </c>
      <c r="S3176" s="432" t="s">
        <v>18652</v>
      </c>
      <c r="T3176" s="65"/>
      <c r="U3176" s="65"/>
      <c r="V3176" s="379" t="s">
        <v>18644</v>
      </c>
      <c r="W3176" s="1225"/>
      <c r="X3176" s="1544" t="str">
        <f> hyperlink(vlookup(lower(S3176),'File Links'!E:F, 2, FALSE), "LINK")</f>
        <v>LINK</v>
      </c>
      <c r="Y3176" s="65"/>
      <c r="Z3176" s="156" t="s">
        <v>219</v>
      </c>
      <c r="AA3176" s="156" t="s">
        <v>18645</v>
      </c>
      <c r="AB3176" s="156" t="s">
        <v>18646</v>
      </c>
      <c r="AC3176" s="156" t="s">
        <v>18653</v>
      </c>
      <c r="AD3176" s="156" t="s">
        <v>18654</v>
      </c>
      <c r="AE3176" s="156" t="s">
        <v>125</v>
      </c>
      <c r="AF3176" s="153">
        <v>53.0</v>
      </c>
      <c r="AG3176" s="153">
        <v>0.2583722</v>
      </c>
      <c r="AH3176" s="156" t="s">
        <v>208</v>
      </c>
      <c r="AI3176" s="156" t="s">
        <v>18655</v>
      </c>
      <c r="AJ3176" s="153">
        <v>0.01</v>
      </c>
      <c r="AK3176" s="156" t="s">
        <v>165</v>
      </c>
      <c r="AL3176" s="156" t="s">
        <v>129</v>
      </c>
      <c r="AM3176" s="156" t="s">
        <v>130</v>
      </c>
      <c r="AN3176" s="156" t="s">
        <v>131</v>
      </c>
      <c r="AO3176" s="153">
        <v>75.0</v>
      </c>
      <c r="AP3176" s="153">
        <v>0.1093588</v>
      </c>
      <c r="AQ3176" s="156" t="s">
        <v>208</v>
      </c>
      <c r="AR3176" s="156" t="s">
        <v>621</v>
      </c>
      <c r="AS3176" s="153">
        <v>0.349</v>
      </c>
      <c r="AT3176" s="156" t="s">
        <v>165</v>
      </c>
      <c r="AU3176" s="156" t="s">
        <v>129</v>
      </c>
      <c r="AV3176" s="156" t="s">
        <v>130</v>
      </c>
      <c r="AW3176" s="432" t="s">
        <v>18656</v>
      </c>
      <c r="AX3176" s="156" t="s">
        <v>136</v>
      </c>
      <c r="AZ3176" s="59" t="s">
        <v>3123</v>
      </c>
    </row>
    <row r="3177" ht="15.75" customHeight="1">
      <c r="A3177" s="41">
        <v>2775.0</v>
      </c>
      <c r="B3177" s="126" t="s">
        <v>516</v>
      </c>
      <c r="C3177" s="59" t="s">
        <v>108</v>
      </c>
      <c r="D3177" s="59" t="s">
        <v>214</v>
      </c>
      <c r="F3177" s="65" t="s">
        <v>18657</v>
      </c>
      <c r="G3177" s="156" t="s">
        <v>18637</v>
      </c>
      <c r="H3177" s="156" t="s">
        <v>215</v>
      </c>
      <c r="I3177" s="149">
        <v>45805.0</v>
      </c>
      <c r="J3177" s="859"/>
      <c r="K3177" s="65"/>
      <c r="L3177" s="65"/>
      <c r="M3177" s="156" t="s">
        <v>18639</v>
      </c>
      <c r="N3177" s="156" t="s">
        <v>18640</v>
      </c>
      <c r="O3177" s="153">
        <v>1.0</v>
      </c>
      <c r="P3177" s="379" t="s">
        <v>18641</v>
      </c>
      <c r="Q3177" s="2153" t="str">
        <f> hyperlink(vlookup(lower(N3177),'File Links'!E:F, 2, FALSE), "LINK")</f>
        <v>LINK</v>
      </c>
      <c r="R3177" s="156" t="s">
        <v>18642</v>
      </c>
      <c r="S3177" s="432" t="s">
        <v>18658</v>
      </c>
      <c r="T3177" s="65"/>
      <c r="U3177" s="65"/>
      <c r="V3177" s="379" t="s">
        <v>18644</v>
      </c>
      <c r="W3177" s="1225"/>
      <c r="X3177" s="1544" t="str">
        <f> hyperlink(vlookup(lower(S3177),'File Links'!E:F, 2, FALSE), "LINK")</f>
        <v>LINK</v>
      </c>
      <c r="Y3177" s="65"/>
      <c r="Z3177" s="156" t="s">
        <v>219</v>
      </c>
      <c r="AA3177" s="156" t="s">
        <v>18645</v>
      </c>
      <c r="AB3177" s="156" t="s">
        <v>18646</v>
      </c>
      <c r="AC3177" s="156" t="s">
        <v>18659</v>
      </c>
      <c r="AD3177" s="156" t="s">
        <v>18660</v>
      </c>
      <c r="AE3177" s="156" t="s">
        <v>125</v>
      </c>
      <c r="AF3177" s="153">
        <v>53.0</v>
      </c>
      <c r="AG3177" s="153">
        <v>0.05871032</v>
      </c>
      <c r="AH3177" s="156" t="s">
        <v>208</v>
      </c>
      <c r="AI3177" s="156" t="s">
        <v>18655</v>
      </c>
      <c r="AJ3177" s="333">
        <v>0.67</v>
      </c>
      <c r="AK3177" s="156" t="s">
        <v>165</v>
      </c>
      <c r="AL3177" s="156" t="s">
        <v>129</v>
      </c>
      <c r="AM3177" s="156" t="s">
        <v>130</v>
      </c>
      <c r="AN3177" s="156" t="s">
        <v>131</v>
      </c>
      <c r="AO3177" s="153">
        <v>94.0</v>
      </c>
      <c r="AP3177" s="153">
        <v>0.1575221</v>
      </c>
      <c r="AQ3177" s="156" t="s">
        <v>208</v>
      </c>
      <c r="AR3177" s="156" t="s">
        <v>620</v>
      </c>
      <c r="AS3177" s="333">
        <v>0.13</v>
      </c>
      <c r="AT3177" s="156" t="s">
        <v>165</v>
      </c>
      <c r="AU3177" s="156" t="s">
        <v>129</v>
      </c>
      <c r="AV3177" s="156" t="s">
        <v>130</v>
      </c>
      <c r="AW3177" s="432" t="s">
        <v>18656</v>
      </c>
      <c r="AX3177" s="156" t="s">
        <v>136</v>
      </c>
      <c r="AZ3177" s="59" t="s">
        <v>3123</v>
      </c>
    </row>
    <row r="3178" ht="15.75" customHeight="1">
      <c r="A3178" s="41">
        <v>2776.0</v>
      </c>
      <c r="B3178" s="126" t="s">
        <v>516</v>
      </c>
      <c r="C3178" s="59" t="s">
        <v>108</v>
      </c>
      <c r="D3178" s="59" t="s">
        <v>214</v>
      </c>
      <c r="F3178" s="65" t="s">
        <v>18661</v>
      </c>
      <c r="G3178" s="156" t="s">
        <v>18637</v>
      </c>
      <c r="H3178" s="156" t="s">
        <v>215</v>
      </c>
      <c r="I3178" s="149">
        <v>45805.0</v>
      </c>
      <c r="J3178" s="859"/>
      <c r="K3178" s="65"/>
      <c r="L3178" s="156" t="s">
        <v>18662</v>
      </c>
      <c r="M3178" s="156" t="s">
        <v>18639</v>
      </c>
      <c r="N3178" s="156" t="s">
        <v>18640</v>
      </c>
      <c r="O3178" s="153">
        <v>1.0</v>
      </c>
      <c r="P3178" s="379" t="s">
        <v>18641</v>
      </c>
      <c r="Q3178" s="2153" t="str">
        <f> hyperlink(vlookup(lower(N3178),'File Links'!E:F, 2, FALSE), "LINK")</f>
        <v>LINK</v>
      </c>
      <c r="R3178" s="156" t="s">
        <v>18642</v>
      </c>
      <c r="S3178" s="432" t="s">
        <v>18663</v>
      </c>
      <c r="T3178" s="65"/>
      <c r="U3178" s="65"/>
      <c r="V3178" s="379" t="s">
        <v>18644</v>
      </c>
      <c r="W3178" s="1225"/>
      <c r="X3178" s="1544" t="str">
        <f> hyperlink(vlookup(lower(S3178),'File Links'!E:F, 2, FALSE), "LINK")</f>
        <v>LINK</v>
      </c>
      <c r="Y3178" s="65"/>
      <c r="Z3178" s="156" t="s">
        <v>219</v>
      </c>
      <c r="AA3178" s="156" t="s">
        <v>18645</v>
      </c>
      <c r="AB3178" s="156" t="s">
        <v>18646</v>
      </c>
      <c r="AC3178" s="156" t="s">
        <v>18664</v>
      </c>
      <c r="AD3178" s="156" t="s">
        <v>18665</v>
      </c>
      <c r="AE3178" s="156" t="s">
        <v>133</v>
      </c>
      <c r="AF3178" s="153">
        <v>54.0</v>
      </c>
      <c r="AG3178" s="153">
        <v>0.2191905</v>
      </c>
      <c r="AH3178" s="156" t="s">
        <v>208</v>
      </c>
      <c r="AI3178" s="156" t="s">
        <v>18655</v>
      </c>
      <c r="AJ3178" s="153">
        <v>0.051</v>
      </c>
      <c r="AK3178" s="156" t="s">
        <v>165</v>
      </c>
      <c r="AL3178" s="156" t="s">
        <v>129</v>
      </c>
      <c r="AM3178" s="156" t="s">
        <v>130</v>
      </c>
      <c r="AN3178" s="156" t="s">
        <v>131</v>
      </c>
      <c r="AO3178" s="153">
        <v>83.0</v>
      </c>
      <c r="AP3178" s="153">
        <v>-0.04661593</v>
      </c>
      <c r="AQ3178" s="156" t="s">
        <v>208</v>
      </c>
      <c r="AR3178" s="156" t="s">
        <v>620</v>
      </c>
      <c r="AS3178" s="333">
        <v>0.684</v>
      </c>
      <c r="AT3178" s="156" t="s">
        <v>165</v>
      </c>
      <c r="AU3178" s="156" t="s">
        <v>129</v>
      </c>
      <c r="AV3178" s="156" t="s">
        <v>1898</v>
      </c>
      <c r="AW3178" s="432" t="s">
        <v>18666</v>
      </c>
      <c r="AX3178" s="156" t="s">
        <v>136</v>
      </c>
      <c r="AZ3178" s="59" t="s">
        <v>3123</v>
      </c>
    </row>
    <row r="3179" ht="15.75" customHeight="1">
      <c r="A3179" s="41">
        <v>2790.0</v>
      </c>
      <c r="B3179" s="126" t="s">
        <v>516</v>
      </c>
      <c r="C3179" s="59" t="s">
        <v>108</v>
      </c>
      <c r="D3179" s="59" t="s">
        <v>2623</v>
      </c>
      <c r="F3179" s="65" t="s">
        <v>18636</v>
      </c>
      <c r="G3179" s="156" t="s">
        <v>18637</v>
      </c>
      <c r="H3179" s="156" t="s">
        <v>18667</v>
      </c>
      <c r="I3179" s="1284" t="s">
        <v>18668</v>
      </c>
      <c r="J3179" s="149">
        <v>45806.0</v>
      </c>
      <c r="K3179" s="65"/>
      <c r="L3179" s="65"/>
      <c r="M3179" s="156" t="s">
        <v>18639</v>
      </c>
      <c r="N3179" s="156" t="s">
        <v>18640</v>
      </c>
      <c r="O3179" s="153">
        <v>1.0</v>
      </c>
      <c r="P3179" s="379" t="s">
        <v>18641</v>
      </c>
      <c r="Q3179" s="2153" t="str">
        <f> hyperlink(vlookup(lower(N3179),'File Links'!E:F, 2, FALSE), "LINK")</f>
        <v>LINK</v>
      </c>
      <c r="R3179" s="156" t="s">
        <v>18642</v>
      </c>
      <c r="S3179" s="432" t="s">
        <v>18669</v>
      </c>
      <c r="T3179" s="65"/>
      <c r="U3179" s="65"/>
      <c r="V3179" s="379" t="s">
        <v>18644</v>
      </c>
      <c r="W3179" s="1225"/>
      <c r="X3179" s="1544" t="str">
        <f> hyperlink(vlookup(lower(S3179),'File Links'!E:F, 2, FALSE), "LINK")</f>
        <v>LINK</v>
      </c>
      <c r="Y3179" s="156" t="s">
        <v>131</v>
      </c>
      <c r="Z3179" s="156" t="s">
        <v>219</v>
      </c>
      <c r="AA3179" s="156" t="s">
        <v>18670</v>
      </c>
      <c r="AB3179" s="156" t="s">
        <v>18671</v>
      </c>
      <c r="AC3179" s="156" t="s">
        <v>18672</v>
      </c>
      <c r="AD3179" s="156" t="s">
        <v>18673</v>
      </c>
      <c r="AE3179" s="156" t="s">
        <v>18674</v>
      </c>
      <c r="AF3179" s="153">
        <v>62.0</v>
      </c>
      <c r="AG3179" s="156" t="s">
        <v>131</v>
      </c>
      <c r="AH3179" s="156" t="s">
        <v>131</v>
      </c>
      <c r="AI3179" s="156" t="s">
        <v>131</v>
      </c>
      <c r="AJ3179" s="153">
        <v>0.012</v>
      </c>
      <c r="AK3179" s="156" t="s">
        <v>165</v>
      </c>
      <c r="AL3179" s="156" t="s">
        <v>129</v>
      </c>
      <c r="AM3179" s="156" t="s">
        <v>130</v>
      </c>
      <c r="AN3179" s="156" t="s">
        <v>131</v>
      </c>
      <c r="AO3179" s="153">
        <v>162.0</v>
      </c>
      <c r="AP3179" s="153">
        <v>0.013</v>
      </c>
      <c r="AQ3179" s="156" t="s">
        <v>132</v>
      </c>
      <c r="AR3179" s="156" t="s">
        <v>175</v>
      </c>
      <c r="AS3179" s="153">
        <v>0.144</v>
      </c>
      <c r="AT3179" s="156" t="s">
        <v>165</v>
      </c>
      <c r="AU3179" s="156" t="s">
        <v>129</v>
      </c>
      <c r="AV3179" s="156" t="s">
        <v>130</v>
      </c>
      <c r="AW3179" s="432" t="s">
        <v>18666</v>
      </c>
      <c r="AX3179" s="156" t="s">
        <v>136</v>
      </c>
      <c r="AZ3179" s="59" t="s">
        <v>3123</v>
      </c>
    </row>
    <row r="3180" ht="15.75" customHeight="1">
      <c r="A3180" s="41">
        <v>2791.0</v>
      </c>
      <c r="B3180" s="126" t="s">
        <v>516</v>
      </c>
      <c r="C3180" s="59" t="s">
        <v>108</v>
      </c>
      <c r="D3180" s="59" t="s">
        <v>2623</v>
      </c>
      <c r="F3180" s="65" t="s">
        <v>18651</v>
      </c>
      <c r="G3180" s="156" t="s">
        <v>18637</v>
      </c>
      <c r="H3180" s="156" t="s">
        <v>18667</v>
      </c>
      <c r="I3180" s="1284" t="s">
        <v>18668</v>
      </c>
      <c r="J3180" s="149">
        <v>45806.0</v>
      </c>
      <c r="K3180" s="65"/>
      <c r="L3180" s="65"/>
      <c r="M3180" s="156" t="s">
        <v>18639</v>
      </c>
      <c r="N3180" s="156" t="s">
        <v>18640</v>
      </c>
      <c r="O3180" s="153">
        <v>1.0</v>
      </c>
      <c r="P3180" s="379" t="s">
        <v>18641</v>
      </c>
      <c r="Q3180" s="2153" t="str">
        <f> hyperlink(vlookup(lower(N3180),'File Links'!E:F, 2, FALSE), "LINK")</f>
        <v>LINK</v>
      </c>
      <c r="R3180" s="156" t="s">
        <v>18642</v>
      </c>
      <c r="S3180" s="432" t="s">
        <v>18675</v>
      </c>
      <c r="T3180" s="65"/>
      <c r="U3180" s="65"/>
      <c r="V3180" s="379" t="s">
        <v>18644</v>
      </c>
      <c r="W3180" s="1225"/>
      <c r="X3180" s="1544" t="str">
        <f> hyperlink(vlookup(lower(S3180),'File Links'!E:F, 2, FALSE), "LINK")</f>
        <v>LINK</v>
      </c>
      <c r="Y3180" s="156" t="s">
        <v>131</v>
      </c>
      <c r="Z3180" s="156" t="s">
        <v>219</v>
      </c>
      <c r="AA3180" s="156" t="s">
        <v>18676</v>
      </c>
      <c r="AB3180" s="156" t="s">
        <v>18677</v>
      </c>
      <c r="AC3180" s="156" t="s">
        <v>18678</v>
      </c>
      <c r="AD3180" s="156" t="s">
        <v>18679</v>
      </c>
      <c r="AE3180" s="156" t="s">
        <v>18674</v>
      </c>
      <c r="AF3180" s="153">
        <v>62.0</v>
      </c>
      <c r="AG3180" s="156" t="s">
        <v>131</v>
      </c>
      <c r="AH3180" s="156" t="s">
        <v>131</v>
      </c>
      <c r="AI3180" s="156" t="s">
        <v>131</v>
      </c>
      <c r="AJ3180" s="153">
        <v>0.26</v>
      </c>
      <c r="AK3180" s="156" t="s">
        <v>165</v>
      </c>
      <c r="AL3180" s="156" t="s">
        <v>129</v>
      </c>
      <c r="AM3180" s="156" t="s">
        <v>130</v>
      </c>
      <c r="AN3180" s="156" t="s">
        <v>131</v>
      </c>
      <c r="AO3180" s="153">
        <v>162.0</v>
      </c>
      <c r="AP3180" s="1117">
        <v>0.0</v>
      </c>
      <c r="AQ3180" s="156" t="s">
        <v>132</v>
      </c>
      <c r="AR3180" s="65" t="s">
        <v>175</v>
      </c>
      <c r="AS3180" s="153">
        <v>0.896</v>
      </c>
      <c r="AT3180" s="156" t="s">
        <v>165</v>
      </c>
      <c r="AU3180" s="156" t="s">
        <v>129</v>
      </c>
      <c r="AV3180" s="156" t="s">
        <v>130</v>
      </c>
      <c r="AW3180" s="432" t="s">
        <v>18666</v>
      </c>
      <c r="AX3180" s="156" t="s">
        <v>136</v>
      </c>
      <c r="AZ3180" s="59" t="s">
        <v>3123</v>
      </c>
    </row>
    <row r="3181" ht="15.75" customHeight="1">
      <c r="A3181" s="41">
        <v>2792.0</v>
      </c>
      <c r="B3181" s="126" t="s">
        <v>516</v>
      </c>
      <c r="C3181" s="59" t="s">
        <v>108</v>
      </c>
      <c r="D3181" s="59" t="s">
        <v>2623</v>
      </c>
      <c r="F3181" s="65" t="s">
        <v>18657</v>
      </c>
      <c r="G3181" s="156" t="s">
        <v>18637</v>
      </c>
      <c r="H3181" s="156" t="s">
        <v>18667</v>
      </c>
      <c r="I3181" s="1284" t="s">
        <v>18668</v>
      </c>
      <c r="J3181" s="149">
        <v>45806.0</v>
      </c>
      <c r="K3181" s="65"/>
      <c r="L3181" s="65"/>
      <c r="M3181" s="156" t="s">
        <v>18639</v>
      </c>
      <c r="N3181" s="156" t="s">
        <v>18640</v>
      </c>
      <c r="O3181" s="153">
        <v>1.0</v>
      </c>
      <c r="P3181" s="379" t="s">
        <v>18641</v>
      </c>
      <c r="Q3181" s="2153" t="str">
        <f> hyperlink(vlookup(lower(N3181),'File Links'!E:F, 2, FALSE), "LINK")</f>
        <v>LINK</v>
      </c>
      <c r="R3181" s="156" t="s">
        <v>18642</v>
      </c>
      <c r="S3181" s="432" t="s">
        <v>18680</v>
      </c>
      <c r="T3181" s="65"/>
      <c r="U3181" s="65"/>
      <c r="V3181" s="379" t="s">
        <v>18644</v>
      </c>
      <c r="W3181" s="1225"/>
      <c r="X3181" s="1544" t="str">
        <f> hyperlink(vlookup(lower(S3181),'File Links'!E:F, 2, FALSE), "LINK")</f>
        <v>LINK</v>
      </c>
      <c r="Y3181" s="156" t="s">
        <v>131</v>
      </c>
      <c r="Z3181" s="156" t="s">
        <v>219</v>
      </c>
      <c r="AA3181" s="156" t="s">
        <v>18681</v>
      </c>
      <c r="AB3181" s="156" t="s">
        <v>18682</v>
      </c>
      <c r="AC3181" s="156" t="s">
        <v>18683</v>
      </c>
      <c r="AD3181" s="156" t="s">
        <v>18684</v>
      </c>
      <c r="AE3181" s="156" t="s">
        <v>18674</v>
      </c>
      <c r="AF3181" s="153">
        <v>62.0</v>
      </c>
      <c r="AG3181" s="156" t="s">
        <v>131</v>
      </c>
      <c r="AH3181" s="156" t="s">
        <v>131</v>
      </c>
      <c r="AI3181" s="156" t="s">
        <v>131</v>
      </c>
      <c r="AJ3181" s="153">
        <v>0.033</v>
      </c>
      <c r="AK3181" s="156" t="s">
        <v>165</v>
      </c>
      <c r="AL3181" s="156" t="s">
        <v>129</v>
      </c>
      <c r="AM3181" s="156" t="s">
        <v>130</v>
      </c>
      <c r="AN3181" s="156" t="s">
        <v>131</v>
      </c>
      <c r="AO3181" s="153">
        <v>162.0</v>
      </c>
      <c r="AP3181" s="153">
        <v>0.002</v>
      </c>
      <c r="AQ3181" s="156" t="s">
        <v>132</v>
      </c>
      <c r="AR3181" s="65" t="s">
        <v>175</v>
      </c>
      <c r="AS3181" s="153">
        <v>0.55</v>
      </c>
      <c r="AT3181" s="156" t="s">
        <v>165</v>
      </c>
      <c r="AU3181" s="156" t="s">
        <v>129</v>
      </c>
      <c r="AV3181" s="156" t="s">
        <v>130</v>
      </c>
      <c r="AW3181" s="432" t="s">
        <v>18666</v>
      </c>
      <c r="AX3181" s="156" t="s">
        <v>136</v>
      </c>
      <c r="AZ3181" s="59" t="s">
        <v>3123</v>
      </c>
    </row>
    <row r="3182" ht="15.75" customHeight="1">
      <c r="A3182" s="41">
        <v>2793.0</v>
      </c>
      <c r="B3182" s="126" t="s">
        <v>516</v>
      </c>
      <c r="C3182" s="59" t="s">
        <v>108</v>
      </c>
      <c r="D3182" s="59" t="s">
        <v>2623</v>
      </c>
      <c r="F3182" s="65" t="s">
        <v>18661</v>
      </c>
      <c r="G3182" s="156" t="s">
        <v>18637</v>
      </c>
      <c r="H3182" s="156" t="s">
        <v>18667</v>
      </c>
      <c r="I3182" s="1284" t="s">
        <v>18668</v>
      </c>
      <c r="J3182" s="149">
        <v>45806.0</v>
      </c>
      <c r="K3182" s="65"/>
      <c r="L3182" s="65"/>
      <c r="M3182" s="156" t="s">
        <v>18639</v>
      </c>
      <c r="N3182" s="156" t="s">
        <v>18640</v>
      </c>
      <c r="O3182" s="153">
        <v>1.0</v>
      </c>
      <c r="P3182" s="379" t="s">
        <v>18641</v>
      </c>
      <c r="Q3182" s="2153" t="str">
        <f> hyperlink(vlookup(lower(N3182),'File Links'!E:F, 2, FALSE), "LINK")</f>
        <v>LINK</v>
      </c>
      <c r="R3182" s="156" t="s">
        <v>18642</v>
      </c>
      <c r="S3182" s="432" t="s">
        <v>18685</v>
      </c>
      <c r="T3182" s="65"/>
      <c r="U3182" s="65"/>
      <c r="V3182" s="379" t="s">
        <v>18644</v>
      </c>
      <c r="W3182" s="1225"/>
      <c r="X3182" s="1544" t="str">
        <f> hyperlink(vlookup(lower(S3182),'File Links'!E:F, 2, FALSE), "LINK")</f>
        <v>LINK</v>
      </c>
      <c r="Y3182" s="156" t="s">
        <v>131</v>
      </c>
      <c r="Z3182" s="156" t="s">
        <v>219</v>
      </c>
      <c r="AA3182" s="156" t="s">
        <v>18686</v>
      </c>
      <c r="AB3182" s="156" t="s">
        <v>18687</v>
      </c>
      <c r="AC3182" s="156" t="s">
        <v>18688</v>
      </c>
      <c r="AD3182" s="156" t="s">
        <v>18689</v>
      </c>
      <c r="AE3182" s="156" t="s">
        <v>18674</v>
      </c>
      <c r="AF3182" s="153">
        <v>62.0</v>
      </c>
      <c r="AG3182" s="156" t="s">
        <v>131</v>
      </c>
      <c r="AH3182" s="156" t="s">
        <v>131</v>
      </c>
      <c r="AI3182" s="156" t="s">
        <v>131</v>
      </c>
      <c r="AJ3182" s="153">
        <v>0.002</v>
      </c>
      <c r="AK3182" s="156" t="s">
        <v>165</v>
      </c>
      <c r="AL3182" s="156" t="s">
        <v>129</v>
      </c>
      <c r="AM3182" s="156" t="s">
        <v>130</v>
      </c>
      <c r="AN3182" s="156" t="s">
        <v>131</v>
      </c>
      <c r="AO3182" s="153">
        <v>162.0</v>
      </c>
      <c r="AP3182" s="153">
        <v>0.032</v>
      </c>
      <c r="AQ3182" s="156" t="s">
        <v>132</v>
      </c>
      <c r="AR3182" s="65" t="s">
        <v>298</v>
      </c>
      <c r="AS3182" s="153">
        <v>0.024</v>
      </c>
      <c r="AT3182" s="156" t="s">
        <v>165</v>
      </c>
      <c r="AU3182" s="156" t="s">
        <v>129</v>
      </c>
      <c r="AV3182" s="156" t="s">
        <v>130</v>
      </c>
      <c r="AW3182" s="432" t="s">
        <v>18666</v>
      </c>
      <c r="AX3182" s="156" t="s">
        <v>136</v>
      </c>
      <c r="AZ3182" s="59" t="s">
        <v>3123</v>
      </c>
    </row>
    <row r="3183" ht="15.75" customHeight="1">
      <c r="A3183" s="41">
        <v>2777.0</v>
      </c>
      <c r="B3183" s="126" t="s">
        <v>516</v>
      </c>
      <c r="C3183" s="59" t="s">
        <v>108</v>
      </c>
      <c r="D3183" s="59" t="s">
        <v>214</v>
      </c>
      <c r="F3183" s="65" t="s">
        <v>18690</v>
      </c>
      <c r="G3183" s="156" t="s">
        <v>18691</v>
      </c>
      <c r="H3183" s="156" t="s">
        <v>215</v>
      </c>
      <c r="I3183" s="149">
        <v>45806.0</v>
      </c>
      <c r="J3183" s="859"/>
      <c r="K3183" s="65"/>
      <c r="L3183" s="65"/>
      <c r="M3183" s="156" t="s">
        <v>18692</v>
      </c>
      <c r="N3183" s="156" t="s">
        <v>18693</v>
      </c>
      <c r="O3183" s="153">
        <v>4.0</v>
      </c>
      <c r="P3183" s="379" t="s">
        <v>18694</v>
      </c>
      <c r="Q3183" s="2153" t="str">
        <f> hyperlink(vlookup(lower(N3183),'File Links'!E:F, 2, FALSE), "LINK")</f>
        <v>LINK</v>
      </c>
      <c r="R3183" s="156" t="s">
        <v>18695</v>
      </c>
      <c r="S3183" s="432" t="s">
        <v>18696</v>
      </c>
      <c r="T3183" s="432" t="s">
        <v>18697</v>
      </c>
      <c r="U3183" s="153">
        <v>4.0</v>
      </c>
      <c r="V3183" s="379" t="s">
        <v>18698</v>
      </c>
      <c r="W3183" s="1225"/>
      <c r="X3183" s="2323" t="str">
        <f> hyperlink(vlookup(lower(S3183),'File Links'!E:F, 2, FALSE), "LINK")</f>
        <v>LINK</v>
      </c>
      <c r="Y3183" s="65"/>
      <c r="Z3183" s="156" t="s">
        <v>2072</v>
      </c>
      <c r="AA3183" s="65" t="s">
        <v>18699</v>
      </c>
      <c r="AB3183" s="156" t="s">
        <v>18700</v>
      </c>
      <c r="AC3183" s="156" t="s">
        <v>18701</v>
      </c>
      <c r="AD3183" s="65" t="s">
        <v>18702</v>
      </c>
      <c r="AE3183" s="65" t="s">
        <v>806</v>
      </c>
      <c r="AF3183" s="153">
        <v>25.0</v>
      </c>
      <c r="AG3183" s="153">
        <v>0.18</v>
      </c>
      <c r="AH3183" s="156" t="s">
        <v>132</v>
      </c>
      <c r="AI3183" s="65" t="s">
        <v>806</v>
      </c>
      <c r="AJ3183" s="333">
        <v>0.034</v>
      </c>
      <c r="AK3183" s="65" t="s">
        <v>165</v>
      </c>
      <c r="AL3183" s="65" t="s">
        <v>129</v>
      </c>
      <c r="AM3183" s="65" t="s">
        <v>130</v>
      </c>
      <c r="AN3183" s="156" t="s">
        <v>131</v>
      </c>
      <c r="AO3183" s="153">
        <v>48.0</v>
      </c>
      <c r="AP3183" s="153">
        <v>0.01</v>
      </c>
      <c r="AQ3183" s="156" t="s">
        <v>18703</v>
      </c>
      <c r="AR3183" s="156" t="s">
        <v>133</v>
      </c>
      <c r="AS3183" s="333">
        <v>0.427</v>
      </c>
      <c r="AT3183" s="65" t="s">
        <v>165</v>
      </c>
      <c r="AU3183" s="65" t="s">
        <v>129</v>
      </c>
      <c r="AV3183" s="65" t="s">
        <v>130</v>
      </c>
      <c r="AW3183" s="432" t="s">
        <v>18697</v>
      </c>
      <c r="AX3183" s="65" t="s">
        <v>136</v>
      </c>
      <c r="AZ3183" s="59" t="s">
        <v>3123</v>
      </c>
    </row>
    <row r="3184" ht="15.75" customHeight="1">
      <c r="A3184" s="41">
        <v>2794.0</v>
      </c>
      <c r="B3184" s="126" t="s">
        <v>516</v>
      </c>
      <c r="C3184" s="59" t="s">
        <v>108</v>
      </c>
      <c r="D3184" s="59" t="s">
        <v>2623</v>
      </c>
      <c r="F3184" s="65" t="s">
        <v>18690</v>
      </c>
      <c r="G3184" s="156" t="s">
        <v>18691</v>
      </c>
      <c r="H3184" s="156" t="s">
        <v>18704</v>
      </c>
      <c r="I3184" s="1284" t="s">
        <v>18705</v>
      </c>
      <c r="J3184" s="149">
        <v>45806.0</v>
      </c>
      <c r="K3184" s="65"/>
      <c r="L3184" s="65"/>
      <c r="M3184" s="156" t="s">
        <v>18692</v>
      </c>
      <c r="N3184" s="156" t="s">
        <v>18693</v>
      </c>
      <c r="O3184" s="153">
        <v>4.0</v>
      </c>
      <c r="P3184" s="379" t="s">
        <v>18694</v>
      </c>
      <c r="Q3184" s="2153" t="str">
        <f> hyperlink(vlookup(lower(N3184),'File Links'!E:F, 2, FALSE), "LINK")</f>
        <v>LINK</v>
      </c>
      <c r="R3184" s="156" t="s">
        <v>18695</v>
      </c>
      <c r="S3184" s="432" t="s">
        <v>18696</v>
      </c>
      <c r="T3184" s="432" t="s">
        <v>18697</v>
      </c>
      <c r="U3184" s="153">
        <v>4.0</v>
      </c>
      <c r="V3184" s="379" t="s">
        <v>18698</v>
      </c>
      <c r="W3184" s="1225"/>
      <c r="X3184" s="2323" t="str">
        <f> hyperlink(vlookup(lower(S3184),'File Links'!E:F, 2, FALSE), "LINK")</f>
        <v>LINK</v>
      </c>
      <c r="Y3184" s="156" t="s">
        <v>131</v>
      </c>
      <c r="Z3184" s="156" t="s">
        <v>219</v>
      </c>
      <c r="AA3184" s="65" t="s">
        <v>18706</v>
      </c>
      <c r="AB3184" s="156" t="s">
        <v>18707</v>
      </c>
      <c r="AC3184" s="156" t="s">
        <v>18708</v>
      </c>
      <c r="AD3184" s="65" t="s">
        <v>18709</v>
      </c>
      <c r="AE3184" s="65" t="s">
        <v>18710</v>
      </c>
      <c r="AF3184" s="153">
        <v>25.0</v>
      </c>
      <c r="AG3184" s="153">
        <v>0.25</v>
      </c>
      <c r="AH3184" s="156" t="s">
        <v>132</v>
      </c>
      <c r="AI3184" s="65" t="s">
        <v>18710</v>
      </c>
      <c r="AJ3184" s="333">
        <v>0.01</v>
      </c>
      <c r="AK3184" s="65" t="s">
        <v>165</v>
      </c>
      <c r="AL3184" s="65" t="s">
        <v>179</v>
      </c>
      <c r="AM3184" s="65" t="s">
        <v>130</v>
      </c>
      <c r="AN3184" s="156" t="s">
        <v>131</v>
      </c>
      <c r="AO3184" s="153">
        <v>48.0</v>
      </c>
      <c r="AP3184" s="153">
        <v>0.01</v>
      </c>
      <c r="AQ3184" s="156" t="s">
        <v>132</v>
      </c>
      <c r="AR3184" s="156" t="s">
        <v>805</v>
      </c>
      <c r="AS3184" s="333">
        <v>0.427</v>
      </c>
      <c r="AT3184" s="65" t="s">
        <v>165</v>
      </c>
      <c r="AU3184" s="65" t="s">
        <v>129</v>
      </c>
      <c r="AV3184" s="65" t="s">
        <v>134</v>
      </c>
      <c r="AW3184" s="432" t="s">
        <v>18711</v>
      </c>
      <c r="AX3184" s="65" t="s">
        <v>136</v>
      </c>
      <c r="AZ3184" s="59" t="s">
        <v>3123</v>
      </c>
    </row>
    <row r="3185" ht="15.75" customHeight="1">
      <c r="A3185" s="41">
        <v>2815.0</v>
      </c>
      <c r="B3185" s="126" t="s">
        <v>516</v>
      </c>
      <c r="C3185" s="59" t="s">
        <v>108</v>
      </c>
      <c r="D3185" s="59" t="s">
        <v>169</v>
      </c>
      <c r="F3185" s="156" t="s">
        <v>18712</v>
      </c>
      <c r="G3185" s="156" t="s">
        <v>18713</v>
      </c>
      <c r="H3185" s="156" t="s">
        <v>7218</v>
      </c>
      <c r="I3185" s="431">
        <v>45808.0</v>
      </c>
      <c r="J3185" s="859"/>
      <c r="K3185" s="156" t="s">
        <v>18714</v>
      </c>
      <c r="L3185" s="65"/>
      <c r="M3185" s="156" t="s">
        <v>18715</v>
      </c>
      <c r="N3185" s="156" t="s">
        <v>18716</v>
      </c>
      <c r="O3185" s="153">
        <v>2.0</v>
      </c>
      <c r="P3185" s="379" t="s">
        <v>18717</v>
      </c>
      <c r="Q3185" s="2153" t="str">
        <f> hyperlink(vlookup(lower(N3185),'File Links'!E:F, 2, FALSE), "LINK")</f>
        <v>LINK</v>
      </c>
      <c r="R3185" s="156" t="s">
        <v>18718</v>
      </c>
      <c r="S3185" s="156" t="s">
        <v>18719</v>
      </c>
      <c r="T3185" s="65"/>
      <c r="U3185" s="153">
        <v>2.0</v>
      </c>
      <c r="V3185" s="379" t="s">
        <v>18720</v>
      </c>
      <c r="W3185" s="1228" t="s">
        <v>7250</v>
      </c>
      <c r="X3185" s="1544" t="str">
        <f> hyperlink(vlookup(lower(S3185),'File Links'!E:F, 2, FALSE), "LINK")</f>
        <v>LINK</v>
      </c>
      <c r="Y3185" s="65"/>
      <c r="Z3185" s="156" t="s">
        <v>219</v>
      </c>
      <c r="AA3185" s="156" t="s">
        <v>18721</v>
      </c>
      <c r="AB3185" s="156" t="s">
        <v>18722</v>
      </c>
      <c r="AC3185" s="156" t="s">
        <v>18723</v>
      </c>
      <c r="AD3185" s="156" t="s">
        <v>18724</v>
      </c>
      <c r="AE3185" s="156" t="s">
        <v>4966</v>
      </c>
      <c r="AF3185" s="153">
        <v>444.0</v>
      </c>
      <c r="AG3185" s="153">
        <v>-0.18</v>
      </c>
      <c r="AH3185" s="156" t="s">
        <v>354</v>
      </c>
      <c r="AI3185" s="156" t="s">
        <v>1035</v>
      </c>
      <c r="AJ3185" s="153">
        <v>0.001</v>
      </c>
      <c r="AK3185" s="156" t="s">
        <v>128</v>
      </c>
      <c r="AL3185" s="156" t="s">
        <v>179</v>
      </c>
      <c r="AM3185" s="156" t="s">
        <v>134</v>
      </c>
      <c r="AN3185" s="65"/>
      <c r="AO3185" s="153">
        <v>98.0</v>
      </c>
      <c r="AP3185" s="2169">
        <v>0.492</v>
      </c>
      <c r="AQ3185" s="156" t="s">
        <v>166</v>
      </c>
      <c r="AR3185" s="156" t="s">
        <v>18725</v>
      </c>
      <c r="AS3185" s="153">
        <v>0.017</v>
      </c>
      <c r="AT3185" s="156" t="s">
        <v>165</v>
      </c>
      <c r="AU3185" s="156" t="s">
        <v>179</v>
      </c>
      <c r="AV3185" s="156" t="s">
        <v>134</v>
      </c>
      <c r="AW3185" s="65"/>
      <c r="AX3185" s="156" t="s">
        <v>136</v>
      </c>
      <c r="AZ3185" s="59" t="s">
        <v>3123</v>
      </c>
    </row>
    <row r="3186" ht="15.75" customHeight="1">
      <c r="A3186" s="41">
        <v>2737.0</v>
      </c>
      <c r="B3186" s="126" t="s">
        <v>516</v>
      </c>
      <c r="C3186" s="59" t="s">
        <v>108</v>
      </c>
      <c r="D3186" s="59" t="s">
        <v>146</v>
      </c>
      <c r="F3186" s="156" t="s">
        <v>18712</v>
      </c>
      <c r="G3186" s="156" t="s">
        <v>18726</v>
      </c>
      <c r="H3186" s="156" t="s">
        <v>18727</v>
      </c>
      <c r="I3186" s="431">
        <v>45799.0</v>
      </c>
      <c r="J3186" s="859"/>
      <c r="K3186" s="829" t="s">
        <v>18728</v>
      </c>
      <c r="L3186" s="65"/>
      <c r="M3186" s="156" t="s">
        <v>18715</v>
      </c>
      <c r="N3186" s="156" t="s">
        <v>18716</v>
      </c>
      <c r="O3186" s="153">
        <v>2.0</v>
      </c>
      <c r="P3186" s="379" t="s">
        <v>18717</v>
      </c>
      <c r="Q3186" s="2324" t="str">
        <f> hyperlink(vlookup(lower(N3186),'File Links'!E:F, 2, FALSE), "LINK")</f>
        <v>LINK</v>
      </c>
      <c r="R3186" s="156" t="s">
        <v>18718</v>
      </c>
      <c r="S3186" s="156" t="s">
        <v>18719</v>
      </c>
      <c r="T3186" s="65"/>
      <c r="U3186" s="65"/>
      <c r="V3186" s="379" t="s">
        <v>18720</v>
      </c>
      <c r="W3186" s="1228" t="s">
        <v>7250</v>
      </c>
      <c r="X3186" s="2323" t="str">
        <f> hyperlink(vlookup(lower(S3186),'File Links'!E:F, 2, FALSE), "LINK")</f>
        <v>LINK</v>
      </c>
      <c r="Y3186" s="65"/>
      <c r="Z3186" s="156" t="s">
        <v>219</v>
      </c>
      <c r="AA3186" s="156" t="s">
        <v>18729</v>
      </c>
      <c r="AB3186" s="434" t="s">
        <v>18730</v>
      </c>
      <c r="AC3186" s="156" t="s">
        <v>18731</v>
      </c>
      <c r="AD3186" s="65" t="s">
        <v>18732</v>
      </c>
      <c r="AE3186" s="65" t="s">
        <v>18733</v>
      </c>
      <c r="AF3186" s="333">
        <v>217.0</v>
      </c>
      <c r="AG3186" s="153" t="s">
        <v>18734</v>
      </c>
      <c r="AH3186" s="156" t="s">
        <v>127</v>
      </c>
      <c r="AI3186" s="333">
        <v>16.0</v>
      </c>
      <c r="AJ3186" s="333">
        <v>0.001</v>
      </c>
      <c r="AK3186" s="65" t="s">
        <v>128</v>
      </c>
      <c r="AL3186" s="65" t="s">
        <v>179</v>
      </c>
      <c r="AM3186" s="65" t="s">
        <v>134</v>
      </c>
      <c r="AN3186" s="65" t="s">
        <v>18508</v>
      </c>
      <c r="AO3186" s="333">
        <v>100.0</v>
      </c>
      <c r="AP3186" s="1471">
        <v>0.668</v>
      </c>
      <c r="AQ3186" s="156" t="s">
        <v>867</v>
      </c>
      <c r="AR3186" s="65" t="s">
        <v>625</v>
      </c>
      <c r="AS3186" s="65"/>
      <c r="AT3186" s="65"/>
      <c r="AU3186" s="65" t="s">
        <v>179</v>
      </c>
      <c r="AV3186" s="65" t="s">
        <v>134</v>
      </c>
      <c r="AW3186" s="65" t="s">
        <v>18508</v>
      </c>
      <c r="AX3186" s="65" t="s">
        <v>136</v>
      </c>
      <c r="AZ3186" s="59" t="s">
        <v>3123</v>
      </c>
    </row>
    <row r="3187" ht="15.75" customHeight="1">
      <c r="A3187" s="41">
        <v>2738.0</v>
      </c>
      <c r="B3187" s="126" t="s">
        <v>516</v>
      </c>
      <c r="C3187" s="59" t="s">
        <v>108</v>
      </c>
      <c r="D3187" s="59" t="s">
        <v>146</v>
      </c>
      <c r="F3187" s="156" t="s">
        <v>18712</v>
      </c>
      <c r="G3187" s="156" t="s">
        <v>18735</v>
      </c>
      <c r="H3187" s="156" t="s">
        <v>18727</v>
      </c>
      <c r="I3187" s="431">
        <v>45799.0</v>
      </c>
      <c r="J3187" s="859"/>
      <c r="K3187" s="829" t="s">
        <v>18736</v>
      </c>
      <c r="L3187" s="65"/>
      <c r="M3187" s="156" t="s">
        <v>18715</v>
      </c>
      <c r="N3187" s="156" t="s">
        <v>18716</v>
      </c>
      <c r="O3187" s="153">
        <v>3.0</v>
      </c>
      <c r="P3187" s="379" t="s">
        <v>18717</v>
      </c>
      <c r="Q3187" s="2324" t="str">
        <f> hyperlink(vlookup(lower(N3187),'File Links'!E:F, 2, FALSE), "LINK")</f>
        <v>LINK</v>
      </c>
      <c r="R3187" s="156" t="s">
        <v>18718</v>
      </c>
      <c r="S3187" s="156" t="s">
        <v>18719</v>
      </c>
      <c r="T3187" s="65"/>
      <c r="U3187" s="65"/>
      <c r="V3187" s="379" t="s">
        <v>18720</v>
      </c>
      <c r="W3187" s="1228" t="s">
        <v>7250</v>
      </c>
      <c r="X3187" s="2323" t="str">
        <f> hyperlink(vlookup(lower(S3187),'File Links'!E:F, 2, FALSE), "LINK")</f>
        <v>LINK</v>
      </c>
      <c r="Y3187" s="65"/>
      <c r="Z3187" s="156" t="s">
        <v>219</v>
      </c>
      <c r="AA3187" s="156" t="s">
        <v>18729</v>
      </c>
      <c r="AB3187" s="434" t="s">
        <v>18730</v>
      </c>
      <c r="AC3187" s="65" t="s">
        <v>18737</v>
      </c>
      <c r="AD3187" s="65" t="s">
        <v>18738</v>
      </c>
      <c r="AE3187" s="65" t="s">
        <v>621</v>
      </c>
      <c r="AF3187" s="333">
        <v>243.0</v>
      </c>
      <c r="AG3187" s="333">
        <v>0.29</v>
      </c>
      <c r="AH3187" s="156" t="s">
        <v>354</v>
      </c>
      <c r="AI3187" s="333">
        <v>9.0</v>
      </c>
      <c r="AJ3187" s="65"/>
      <c r="AK3187" s="65"/>
      <c r="AL3187" s="65" t="s">
        <v>179</v>
      </c>
      <c r="AM3187" s="65" t="s">
        <v>134</v>
      </c>
      <c r="AN3187" s="65" t="s">
        <v>18508</v>
      </c>
      <c r="AO3187" s="333">
        <v>101.0</v>
      </c>
      <c r="AP3187" s="333">
        <v>0.113</v>
      </c>
      <c r="AQ3187" s="156" t="s">
        <v>867</v>
      </c>
      <c r="AR3187" s="65" t="s">
        <v>620</v>
      </c>
      <c r="AS3187" s="65"/>
      <c r="AT3187" s="65"/>
      <c r="AU3187" s="65" t="s">
        <v>179</v>
      </c>
      <c r="AV3187" s="65" t="s">
        <v>134</v>
      </c>
      <c r="AW3187" s="65" t="s">
        <v>18508</v>
      </c>
      <c r="AX3187" s="65" t="s">
        <v>136</v>
      </c>
      <c r="AZ3187" s="59" t="s">
        <v>3123</v>
      </c>
    </row>
    <row r="3188" ht="15.75" customHeight="1">
      <c r="A3188" s="41">
        <v>2739.0</v>
      </c>
      <c r="B3188" s="126" t="s">
        <v>516</v>
      </c>
      <c r="C3188" s="59" t="s">
        <v>108</v>
      </c>
      <c r="D3188" s="59" t="s">
        <v>146</v>
      </c>
      <c r="F3188" s="156" t="s">
        <v>18712</v>
      </c>
      <c r="G3188" s="156" t="s">
        <v>18739</v>
      </c>
      <c r="H3188" s="156" t="s">
        <v>18727</v>
      </c>
      <c r="I3188" s="431">
        <v>45799.0</v>
      </c>
      <c r="J3188" s="859"/>
      <c r="K3188" s="829" t="s">
        <v>18736</v>
      </c>
      <c r="L3188" s="65"/>
      <c r="M3188" s="156" t="s">
        <v>18715</v>
      </c>
      <c r="N3188" s="156" t="s">
        <v>18716</v>
      </c>
      <c r="O3188" s="153">
        <v>3.0</v>
      </c>
      <c r="P3188" s="379" t="s">
        <v>18717</v>
      </c>
      <c r="Q3188" s="2324" t="str">
        <f> hyperlink(vlookup(lower(N3188),'File Links'!E:F, 2, FALSE), "LINK")</f>
        <v>LINK</v>
      </c>
      <c r="R3188" s="156" t="s">
        <v>18718</v>
      </c>
      <c r="S3188" s="156" t="s">
        <v>18719</v>
      </c>
      <c r="T3188" s="65"/>
      <c r="U3188" s="65"/>
      <c r="V3188" s="379" t="s">
        <v>18720</v>
      </c>
      <c r="W3188" s="1228" t="s">
        <v>7250</v>
      </c>
      <c r="X3188" s="2323" t="str">
        <f> hyperlink(vlookup(lower(S3188),'File Links'!E:F, 2, FALSE), "LINK")</f>
        <v>LINK</v>
      </c>
      <c r="Y3188" s="65"/>
      <c r="Z3188" s="156" t="s">
        <v>219</v>
      </c>
      <c r="AA3188" s="156" t="s">
        <v>18729</v>
      </c>
      <c r="AB3188" s="434" t="s">
        <v>18730</v>
      </c>
      <c r="AC3188" s="65" t="s">
        <v>18740</v>
      </c>
      <c r="AD3188" s="65" t="s">
        <v>18741</v>
      </c>
      <c r="AE3188" s="65" t="s">
        <v>625</v>
      </c>
      <c r="AF3188" s="333">
        <v>243.0</v>
      </c>
      <c r="AG3188" s="333">
        <v>0.77</v>
      </c>
      <c r="AH3188" s="156" t="s">
        <v>354</v>
      </c>
      <c r="AI3188" s="333">
        <v>10.0</v>
      </c>
      <c r="AJ3188" s="65"/>
      <c r="AK3188" s="65"/>
      <c r="AL3188" s="65" t="s">
        <v>179</v>
      </c>
      <c r="AM3188" s="65" t="s">
        <v>134</v>
      </c>
      <c r="AN3188" s="65" t="s">
        <v>18508</v>
      </c>
      <c r="AO3188" s="333">
        <v>101.0</v>
      </c>
      <c r="AP3188" s="333">
        <v>0.358</v>
      </c>
      <c r="AQ3188" s="156" t="s">
        <v>867</v>
      </c>
      <c r="AR3188" s="65" t="s">
        <v>620</v>
      </c>
      <c r="AS3188" s="65"/>
      <c r="AT3188" s="65"/>
      <c r="AU3188" s="65" t="s">
        <v>179</v>
      </c>
      <c r="AV3188" s="65" t="s">
        <v>134</v>
      </c>
      <c r="AW3188" s="65" t="s">
        <v>18508</v>
      </c>
      <c r="AX3188" s="65" t="s">
        <v>136</v>
      </c>
      <c r="AZ3188" s="59" t="s">
        <v>3123</v>
      </c>
    </row>
    <row r="3189" ht="15.75" customHeight="1">
      <c r="A3189" s="41">
        <v>2740.0</v>
      </c>
      <c r="B3189" s="126" t="s">
        <v>516</v>
      </c>
      <c r="C3189" s="59" t="s">
        <v>108</v>
      </c>
      <c r="D3189" s="59" t="s">
        <v>146</v>
      </c>
      <c r="F3189" s="156" t="s">
        <v>18712</v>
      </c>
      <c r="G3189" s="156" t="s">
        <v>18742</v>
      </c>
      <c r="H3189" s="156" t="s">
        <v>18727</v>
      </c>
      <c r="I3189" s="431">
        <v>45799.0</v>
      </c>
      <c r="J3189" s="859"/>
      <c r="K3189" s="2410" t="s">
        <v>18743</v>
      </c>
      <c r="L3189" s="65"/>
      <c r="M3189" s="156" t="s">
        <v>18715</v>
      </c>
      <c r="N3189" s="156" t="s">
        <v>18716</v>
      </c>
      <c r="O3189" s="153">
        <v>3.0</v>
      </c>
      <c r="P3189" s="379" t="s">
        <v>18717</v>
      </c>
      <c r="Q3189" s="2324" t="str">
        <f> hyperlink(vlookup(lower(N3189),'File Links'!E:F, 2, FALSE), "LINK")</f>
        <v>LINK</v>
      </c>
      <c r="R3189" s="156" t="s">
        <v>18718</v>
      </c>
      <c r="S3189" s="156" t="s">
        <v>18719</v>
      </c>
      <c r="T3189" s="65"/>
      <c r="U3189" s="65"/>
      <c r="V3189" s="379" t="s">
        <v>18720</v>
      </c>
      <c r="W3189" s="1228" t="s">
        <v>7250</v>
      </c>
      <c r="X3189" s="2323" t="str">
        <f> hyperlink(vlookup(lower(S3189),'File Links'!E:F, 2, FALSE), "LINK")</f>
        <v>LINK</v>
      </c>
      <c r="Y3189" s="65"/>
      <c r="Z3189" s="156" t="s">
        <v>219</v>
      </c>
      <c r="AA3189" s="156" t="s">
        <v>18729</v>
      </c>
      <c r="AB3189" s="434" t="s">
        <v>18730</v>
      </c>
      <c r="AC3189" s="65" t="s">
        <v>18744</v>
      </c>
      <c r="AD3189" s="65" t="s">
        <v>18745</v>
      </c>
      <c r="AE3189" s="65" t="s">
        <v>125</v>
      </c>
      <c r="AF3189" s="333">
        <v>217.0</v>
      </c>
      <c r="AG3189" s="333">
        <v>-0.18</v>
      </c>
      <c r="AH3189" s="156" t="s">
        <v>18746</v>
      </c>
      <c r="AI3189" s="333">
        <v>7.0</v>
      </c>
      <c r="AJ3189" s="333">
        <v>0.172</v>
      </c>
      <c r="AK3189" s="65" t="s">
        <v>165</v>
      </c>
      <c r="AL3189" s="65" t="s">
        <v>179</v>
      </c>
      <c r="AM3189" s="65" t="s">
        <v>134</v>
      </c>
      <c r="AN3189" s="65" t="s">
        <v>18508</v>
      </c>
      <c r="AO3189" s="333">
        <v>100.0</v>
      </c>
      <c r="AP3189" s="333">
        <v>0.057</v>
      </c>
      <c r="AQ3189" s="156" t="s">
        <v>867</v>
      </c>
      <c r="AR3189" s="65" t="s">
        <v>625</v>
      </c>
      <c r="AS3189" s="333">
        <v>0.05</v>
      </c>
      <c r="AT3189" s="65" t="s">
        <v>128</v>
      </c>
      <c r="AU3189" s="65" t="s">
        <v>179</v>
      </c>
      <c r="AV3189" s="65" t="s">
        <v>134</v>
      </c>
      <c r="AW3189" s="65" t="s">
        <v>18508</v>
      </c>
      <c r="AX3189" s="65" t="s">
        <v>136</v>
      </c>
      <c r="AZ3189" s="59" t="s">
        <v>3123</v>
      </c>
    </row>
    <row r="3190" ht="15.75" customHeight="1">
      <c r="A3190" s="41">
        <v>2741.0</v>
      </c>
      <c r="B3190" s="126" t="s">
        <v>516</v>
      </c>
      <c r="C3190" s="59" t="s">
        <v>108</v>
      </c>
      <c r="D3190" s="59" t="s">
        <v>146</v>
      </c>
      <c r="F3190" s="156" t="s">
        <v>18712</v>
      </c>
      <c r="G3190" s="156" t="s">
        <v>18747</v>
      </c>
      <c r="H3190" s="156" t="s">
        <v>18727</v>
      </c>
      <c r="I3190" s="431">
        <v>45799.0</v>
      </c>
      <c r="J3190" s="859"/>
      <c r="K3190" s="2410" t="s">
        <v>18743</v>
      </c>
      <c r="L3190" s="65"/>
      <c r="M3190" s="156" t="s">
        <v>18715</v>
      </c>
      <c r="N3190" s="156" t="s">
        <v>18716</v>
      </c>
      <c r="O3190" s="153">
        <v>3.0</v>
      </c>
      <c r="P3190" s="379" t="s">
        <v>18717</v>
      </c>
      <c r="Q3190" s="2324" t="str">
        <f> hyperlink(vlookup(lower(N3190),'File Links'!E:F, 2, FALSE), "LINK")</f>
        <v>LINK</v>
      </c>
      <c r="R3190" s="156" t="s">
        <v>18718</v>
      </c>
      <c r="S3190" s="156" t="s">
        <v>18719</v>
      </c>
      <c r="T3190" s="65"/>
      <c r="U3190" s="65"/>
      <c r="V3190" s="379" t="s">
        <v>18720</v>
      </c>
      <c r="W3190" s="1228" t="s">
        <v>7250</v>
      </c>
      <c r="X3190" s="2323" t="str">
        <f> hyperlink(vlookup(lower(S3190),'File Links'!E:F, 2, FALSE), "LINK")</f>
        <v>LINK</v>
      </c>
      <c r="Y3190" s="65"/>
      <c r="Z3190" s="156" t="s">
        <v>219</v>
      </c>
      <c r="AA3190" s="156" t="s">
        <v>18729</v>
      </c>
      <c r="AB3190" s="434" t="s">
        <v>18730</v>
      </c>
      <c r="AC3190" s="65" t="s">
        <v>18748</v>
      </c>
      <c r="AD3190" s="65" t="s">
        <v>18745</v>
      </c>
      <c r="AE3190" s="65" t="s">
        <v>125</v>
      </c>
      <c r="AF3190" s="333">
        <v>217.0</v>
      </c>
      <c r="AG3190" s="333">
        <v>0.11</v>
      </c>
      <c r="AH3190" s="156" t="s">
        <v>18746</v>
      </c>
      <c r="AI3190" s="333">
        <v>7.0</v>
      </c>
      <c r="AJ3190" s="333">
        <v>0.414</v>
      </c>
      <c r="AK3190" s="65" t="s">
        <v>165</v>
      </c>
      <c r="AL3190" s="65" t="s">
        <v>179</v>
      </c>
      <c r="AM3190" s="65" t="s">
        <v>134</v>
      </c>
      <c r="AN3190" s="65" t="s">
        <v>18508</v>
      </c>
      <c r="AO3190" s="333">
        <v>100.0</v>
      </c>
      <c r="AP3190" s="333">
        <v>0.111</v>
      </c>
      <c r="AQ3190" s="156" t="s">
        <v>867</v>
      </c>
      <c r="AR3190" s="65" t="s">
        <v>625</v>
      </c>
      <c r="AS3190" s="333">
        <v>0.05</v>
      </c>
      <c r="AT3190" s="65" t="s">
        <v>128</v>
      </c>
      <c r="AU3190" s="65" t="s">
        <v>179</v>
      </c>
      <c r="AV3190" s="65" t="s">
        <v>134</v>
      </c>
      <c r="AW3190" s="65" t="s">
        <v>18508</v>
      </c>
      <c r="AX3190" s="65" t="s">
        <v>136</v>
      </c>
      <c r="AZ3190" s="59" t="s">
        <v>3123</v>
      </c>
    </row>
    <row r="3191" ht="15.75" customHeight="1">
      <c r="A3191" s="41">
        <v>2742.0</v>
      </c>
      <c r="B3191" s="126" t="s">
        <v>516</v>
      </c>
      <c r="C3191" s="59" t="s">
        <v>108</v>
      </c>
      <c r="D3191" s="59" t="s">
        <v>146</v>
      </c>
      <c r="F3191" s="156" t="s">
        <v>18712</v>
      </c>
      <c r="G3191" s="156" t="s">
        <v>18749</v>
      </c>
      <c r="H3191" s="156" t="s">
        <v>18727</v>
      </c>
      <c r="I3191" s="431">
        <v>45799.0</v>
      </c>
      <c r="J3191" s="859"/>
      <c r="K3191" s="2410" t="s">
        <v>18750</v>
      </c>
      <c r="L3191" s="65"/>
      <c r="M3191" s="156" t="s">
        <v>18715</v>
      </c>
      <c r="N3191" s="156" t="s">
        <v>18716</v>
      </c>
      <c r="O3191" s="153">
        <v>3.0</v>
      </c>
      <c r="P3191" s="379" t="s">
        <v>18717</v>
      </c>
      <c r="Q3191" s="2324" t="str">
        <f> hyperlink(vlookup(lower(N3191),'File Links'!E:F, 2, FALSE), "LINK")</f>
        <v>LINK</v>
      </c>
      <c r="R3191" s="156" t="s">
        <v>18718</v>
      </c>
      <c r="S3191" s="156" t="s">
        <v>18719</v>
      </c>
      <c r="T3191" s="65"/>
      <c r="U3191" s="65"/>
      <c r="V3191" s="379" t="s">
        <v>18720</v>
      </c>
      <c r="W3191" s="1228" t="s">
        <v>7250</v>
      </c>
      <c r="X3191" s="2323" t="str">
        <f> hyperlink(vlookup(lower(S3191),'File Links'!E:F, 2, FALSE), "LINK")</f>
        <v>LINK</v>
      </c>
      <c r="Y3191" s="65"/>
      <c r="Z3191" s="156" t="s">
        <v>219</v>
      </c>
      <c r="AA3191" s="156" t="s">
        <v>18729</v>
      </c>
      <c r="AB3191" s="434" t="s">
        <v>18730</v>
      </c>
      <c r="AC3191" s="65" t="s">
        <v>18751</v>
      </c>
      <c r="AD3191" s="65" t="s">
        <v>18752</v>
      </c>
      <c r="AE3191" s="65" t="s">
        <v>621</v>
      </c>
      <c r="AF3191" s="333">
        <v>243.0</v>
      </c>
      <c r="AG3191" s="333">
        <v>0.72</v>
      </c>
      <c r="AH3191" s="156" t="s">
        <v>18746</v>
      </c>
      <c r="AI3191" s="333">
        <v>9.0</v>
      </c>
      <c r="AJ3191" s="333">
        <v>0.001</v>
      </c>
      <c r="AK3191" s="65" t="s">
        <v>128</v>
      </c>
      <c r="AL3191" s="65" t="s">
        <v>179</v>
      </c>
      <c r="AM3191" s="65" t="s">
        <v>134</v>
      </c>
      <c r="AN3191" s="65" t="s">
        <v>18508</v>
      </c>
      <c r="AO3191" s="333">
        <v>101.0</v>
      </c>
      <c r="AP3191" s="333">
        <v>0.358</v>
      </c>
      <c r="AQ3191" s="156" t="s">
        <v>867</v>
      </c>
      <c r="AR3191" s="65" t="s">
        <v>620</v>
      </c>
      <c r="AS3191" s="65"/>
      <c r="AT3191" s="65"/>
      <c r="AU3191" s="65" t="s">
        <v>179</v>
      </c>
      <c r="AV3191" s="65" t="s">
        <v>134</v>
      </c>
      <c r="AW3191" s="65" t="s">
        <v>18508</v>
      </c>
      <c r="AX3191" s="65" t="s">
        <v>136</v>
      </c>
      <c r="AZ3191" s="59" t="s">
        <v>3123</v>
      </c>
    </row>
    <row r="3192" ht="15.75" customHeight="1">
      <c r="A3192" s="41">
        <v>2816.0</v>
      </c>
      <c r="B3192" s="126" t="s">
        <v>516</v>
      </c>
      <c r="C3192" s="59" t="s">
        <v>108</v>
      </c>
      <c r="D3192" s="59" t="s">
        <v>169</v>
      </c>
      <c r="F3192" s="156" t="s">
        <v>18753</v>
      </c>
      <c r="G3192" s="156" t="s">
        <v>18754</v>
      </c>
      <c r="H3192" s="156" t="s">
        <v>7218</v>
      </c>
      <c r="I3192" s="431">
        <v>45808.0</v>
      </c>
      <c r="J3192" s="859"/>
      <c r="K3192" s="156" t="s">
        <v>18714</v>
      </c>
      <c r="L3192" s="65"/>
      <c r="M3192" s="156" t="s">
        <v>18755</v>
      </c>
      <c r="N3192" s="156" t="s">
        <v>18716</v>
      </c>
      <c r="O3192" s="153">
        <v>2.0</v>
      </c>
      <c r="P3192" s="379" t="s">
        <v>18717</v>
      </c>
      <c r="Q3192" s="2153" t="str">
        <f> hyperlink(vlookup(lower(N3192),'File Links'!E:F, 2, FALSE), "LINK")</f>
        <v>LINK</v>
      </c>
      <c r="R3192" s="156" t="s">
        <v>18718</v>
      </c>
      <c r="S3192" s="156" t="s">
        <v>18719</v>
      </c>
      <c r="T3192" s="65"/>
      <c r="U3192" s="153">
        <v>2.0</v>
      </c>
      <c r="V3192" s="379" t="s">
        <v>18720</v>
      </c>
      <c r="W3192" s="1228" t="s">
        <v>7250</v>
      </c>
      <c r="X3192" s="1544" t="str">
        <f> hyperlink(vlookup(lower(S3192),'File Links'!E:F, 2, FALSE), "LINK")</f>
        <v>LINK</v>
      </c>
      <c r="Y3192" s="65"/>
      <c r="Z3192" s="156" t="s">
        <v>219</v>
      </c>
      <c r="AA3192" s="156" t="s">
        <v>18756</v>
      </c>
      <c r="AB3192" s="156" t="s">
        <v>18722</v>
      </c>
      <c r="AC3192" s="156" t="s">
        <v>18757</v>
      </c>
      <c r="AD3192" s="156" t="s">
        <v>18724</v>
      </c>
      <c r="AE3192" s="156" t="s">
        <v>4966</v>
      </c>
      <c r="AF3192" s="153">
        <v>444.0</v>
      </c>
      <c r="AG3192" s="153">
        <v>0.11</v>
      </c>
      <c r="AH3192" s="156" t="s">
        <v>354</v>
      </c>
      <c r="AI3192" s="156" t="s">
        <v>1035</v>
      </c>
      <c r="AJ3192" s="153">
        <v>0.001</v>
      </c>
      <c r="AK3192" s="156" t="s">
        <v>128</v>
      </c>
      <c r="AL3192" s="156" t="s">
        <v>179</v>
      </c>
      <c r="AM3192" s="156" t="s">
        <v>134</v>
      </c>
      <c r="AN3192" s="65"/>
      <c r="AO3192" s="153">
        <v>98.0</v>
      </c>
      <c r="AP3192" s="2169">
        <v>0.707</v>
      </c>
      <c r="AQ3192" s="156" t="s">
        <v>166</v>
      </c>
      <c r="AR3192" s="156" t="s">
        <v>18725</v>
      </c>
      <c r="AS3192" s="153">
        <v>0.001</v>
      </c>
      <c r="AT3192" s="156" t="s">
        <v>128</v>
      </c>
      <c r="AU3192" s="156" t="s">
        <v>179</v>
      </c>
      <c r="AV3192" s="156" t="s">
        <v>134</v>
      </c>
      <c r="AW3192" s="65"/>
      <c r="AX3192" s="156" t="s">
        <v>136</v>
      </c>
      <c r="AZ3192" s="59" t="s">
        <v>3123</v>
      </c>
    </row>
    <row r="3193" ht="15.75" customHeight="1">
      <c r="A3193" s="41">
        <v>2818.0</v>
      </c>
      <c r="B3193" s="126" t="s">
        <v>516</v>
      </c>
      <c r="C3193" s="59" t="s">
        <v>108</v>
      </c>
      <c r="D3193" s="59" t="s">
        <v>169</v>
      </c>
      <c r="F3193" s="65" t="s">
        <v>18758</v>
      </c>
      <c r="G3193" s="156" t="s">
        <v>18759</v>
      </c>
      <c r="H3193" s="156" t="s">
        <v>7218</v>
      </c>
      <c r="I3193" s="431">
        <v>45808.0</v>
      </c>
      <c r="J3193" s="859"/>
      <c r="K3193" s="156" t="s">
        <v>18714</v>
      </c>
      <c r="L3193" s="65"/>
      <c r="M3193" s="156" t="s">
        <v>18760</v>
      </c>
      <c r="N3193" s="156" t="s">
        <v>18716</v>
      </c>
      <c r="O3193" s="153">
        <v>2.0</v>
      </c>
      <c r="P3193" s="379" t="s">
        <v>18717</v>
      </c>
      <c r="Q3193" s="2153" t="str">
        <f> hyperlink(vlookup(lower(N3193),'File Links'!E:F, 2, FALSE), "LINK")</f>
        <v>LINK</v>
      </c>
      <c r="R3193" s="156" t="s">
        <v>18718</v>
      </c>
      <c r="S3193" s="156" t="s">
        <v>18719</v>
      </c>
      <c r="T3193" s="65"/>
      <c r="U3193" s="153">
        <v>2.0</v>
      </c>
      <c r="V3193" s="379" t="s">
        <v>18720</v>
      </c>
      <c r="W3193" s="1228" t="s">
        <v>7250</v>
      </c>
      <c r="X3193" s="1544" t="str">
        <f> hyperlink(vlookup(lower(S3193),'File Links'!E:F, 2, FALSE), "LINK")</f>
        <v>LINK</v>
      </c>
      <c r="Y3193" s="65"/>
      <c r="Z3193" s="156" t="s">
        <v>219</v>
      </c>
      <c r="AA3193" s="156" t="s">
        <v>18761</v>
      </c>
      <c r="AB3193" s="156" t="s">
        <v>18722</v>
      </c>
      <c r="AC3193" s="357" t="s">
        <v>18762</v>
      </c>
      <c r="AD3193" s="156" t="s">
        <v>18763</v>
      </c>
      <c r="AE3193" s="156" t="s">
        <v>4966</v>
      </c>
      <c r="AF3193" s="153">
        <v>444.0</v>
      </c>
      <c r="AG3193" s="153">
        <v>0.6</v>
      </c>
      <c r="AH3193" s="156" t="s">
        <v>354</v>
      </c>
      <c r="AI3193" s="156" t="s">
        <v>1035</v>
      </c>
      <c r="AJ3193" s="153">
        <v>0.001</v>
      </c>
      <c r="AK3193" s="156" t="s">
        <v>128</v>
      </c>
      <c r="AL3193" s="156" t="s">
        <v>179</v>
      </c>
      <c r="AM3193" s="156" t="s">
        <v>134</v>
      </c>
      <c r="AN3193" s="65"/>
      <c r="AO3193" s="153">
        <v>98.0</v>
      </c>
      <c r="AP3193" s="153">
        <v>1.368</v>
      </c>
      <c r="AQ3193" s="156" t="s">
        <v>166</v>
      </c>
      <c r="AR3193" s="156" t="s">
        <v>18725</v>
      </c>
      <c r="AS3193" s="153">
        <v>0.001</v>
      </c>
      <c r="AT3193" s="156" t="s">
        <v>128</v>
      </c>
      <c r="AU3193" s="156" t="s">
        <v>179</v>
      </c>
      <c r="AV3193" s="156" t="s">
        <v>134</v>
      </c>
      <c r="AW3193" s="65"/>
      <c r="AX3193" s="156" t="s">
        <v>136</v>
      </c>
      <c r="AZ3193" s="59" t="s">
        <v>3123</v>
      </c>
    </row>
    <row r="3194" ht="15.75" customHeight="1">
      <c r="A3194" s="41">
        <v>2820.0</v>
      </c>
      <c r="B3194" s="126" t="s">
        <v>516</v>
      </c>
      <c r="C3194" s="59" t="s">
        <v>108</v>
      </c>
      <c r="D3194" s="59" t="s">
        <v>169</v>
      </c>
      <c r="F3194" s="65" t="s">
        <v>18764</v>
      </c>
      <c r="G3194" s="156" t="s">
        <v>18765</v>
      </c>
      <c r="H3194" s="156" t="s">
        <v>7218</v>
      </c>
      <c r="I3194" s="431">
        <v>45808.0</v>
      </c>
      <c r="J3194" s="859"/>
      <c r="K3194" s="156" t="s">
        <v>18766</v>
      </c>
      <c r="L3194" s="65"/>
      <c r="M3194" s="156" t="s">
        <v>18767</v>
      </c>
      <c r="N3194" s="156" t="s">
        <v>18716</v>
      </c>
      <c r="O3194" s="153">
        <v>3.0</v>
      </c>
      <c r="P3194" s="379" t="s">
        <v>18717</v>
      </c>
      <c r="Q3194" s="2153" t="str">
        <f> hyperlink(vlookup(lower(N3194),'File Links'!E:F, 2, FALSE), "LINK")</f>
        <v>LINK</v>
      </c>
      <c r="R3194" s="156" t="s">
        <v>18718</v>
      </c>
      <c r="S3194" s="156" t="s">
        <v>18719</v>
      </c>
      <c r="T3194" s="65"/>
      <c r="U3194" s="153">
        <v>3.0</v>
      </c>
      <c r="V3194" s="379" t="s">
        <v>18720</v>
      </c>
      <c r="W3194" s="1228" t="s">
        <v>7250</v>
      </c>
      <c r="X3194" s="1544" t="str">
        <f> hyperlink(vlookup(lower(S3194),'File Links'!E:F, 2, FALSE), "LINK")</f>
        <v>LINK</v>
      </c>
      <c r="Y3194" s="65"/>
      <c r="Z3194" s="156" t="s">
        <v>219</v>
      </c>
      <c r="AA3194" s="156" t="s">
        <v>18768</v>
      </c>
      <c r="AB3194" s="156" t="s">
        <v>18722</v>
      </c>
      <c r="AC3194" s="156" t="s">
        <v>18769</v>
      </c>
      <c r="AD3194" s="156" t="s">
        <v>18770</v>
      </c>
      <c r="AE3194" s="156" t="s">
        <v>617</v>
      </c>
      <c r="AF3194" s="153">
        <v>452.0</v>
      </c>
      <c r="AG3194" s="354">
        <v>1.044</v>
      </c>
      <c r="AH3194" s="156" t="s">
        <v>166</v>
      </c>
      <c r="AI3194" s="156" t="s">
        <v>597</v>
      </c>
      <c r="AJ3194" s="153">
        <v>0.001</v>
      </c>
      <c r="AK3194" s="156" t="s">
        <v>128</v>
      </c>
      <c r="AL3194" s="156" t="s">
        <v>179</v>
      </c>
      <c r="AM3194" s="156" t="s">
        <v>134</v>
      </c>
      <c r="AN3194" s="65"/>
      <c r="AO3194" s="153">
        <v>100.0</v>
      </c>
      <c r="AP3194" s="354">
        <v>1.493</v>
      </c>
      <c r="AQ3194" s="156" t="s">
        <v>166</v>
      </c>
      <c r="AR3194" s="156" t="s">
        <v>18771</v>
      </c>
      <c r="AS3194" s="153">
        <v>0.001</v>
      </c>
      <c r="AT3194" s="156" t="s">
        <v>128</v>
      </c>
      <c r="AU3194" s="156" t="s">
        <v>179</v>
      </c>
      <c r="AV3194" s="156" t="s">
        <v>134</v>
      </c>
      <c r="AW3194" s="65"/>
      <c r="AX3194" s="156" t="s">
        <v>136</v>
      </c>
      <c r="AZ3194" s="59" t="s">
        <v>3123</v>
      </c>
    </row>
    <row r="3195" ht="15.75" customHeight="1">
      <c r="A3195" s="41">
        <v>2821.0</v>
      </c>
      <c r="B3195" s="126" t="s">
        <v>516</v>
      </c>
      <c r="C3195" s="59" t="s">
        <v>108</v>
      </c>
      <c r="D3195" s="59" t="s">
        <v>169</v>
      </c>
      <c r="F3195" s="65" t="s">
        <v>18772</v>
      </c>
      <c r="G3195" s="156" t="s">
        <v>18773</v>
      </c>
      <c r="H3195" s="156" t="s">
        <v>7218</v>
      </c>
      <c r="I3195" s="431">
        <v>45808.0</v>
      </c>
      <c r="J3195" s="859"/>
      <c r="K3195" s="156" t="s">
        <v>18766</v>
      </c>
      <c r="L3195" s="65"/>
      <c r="M3195" s="156" t="s">
        <v>18774</v>
      </c>
      <c r="N3195" s="156" t="s">
        <v>18716</v>
      </c>
      <c r="O3195" s="153">
        <v>3.0</v>
      </c>
      <c r="P3195" s="379" t="s">
        <v>18717</v>
      </c>
      <c r="Q3195" s="2153" t="str">
        <f> hyperlink(vlookup(lower(N3195),'File Links'!E:F, 2, FALSE), "LINK")</f>
        <v>LINK</v>
      </c>
      <c r="R3195" s="156" t="s">
        <v>18718</v>
      </c>
      <c r="S3195" s="156" t="s">
        <v>18719</v>
      </c>
      <c r="T3195" s="65"/>
      <c r="U3195" s="333">
        <v>3.0</v>
      </c>
      <c r="V3195" s="156" t="s">
        <v>18720</v>
      </c>
      <c r="W3195" s="1228" t="s">
        <v>7250</v>
      </c>
      <c r="X3195" s="1544" t="str">
        <f> hyperlink(vlookup(lower(S3195),'File Links'!E:F, 2, FALSE), "LINK")</f>
        <v>LINK</v>
      </c>
      <c r="Y3195" s="65"/>
      <c r="Z3195" s="156" t="s">
        <v>219</v>
      </c>
      <c r="AA3195" s="156" t="s">
        <v>18756</v>
      </c>
      <c r="AB3195" s="156" t="s">
        <v>18722</v>
      </c>
      <c r="AC3195" s="156" t="s">
        <v>18775</v>
      </c>
      <c r="AD3195" s="156" t="s">
        <v>18770</v>
      </c>
      <c r="AE3195" s="156" t="s">
        <v>617</v>
      </c>
      <c r="AF3195" s="153">
        <v>452.0</v>
      </c>
      <c r="AG3195" s="354">
        <v>0.029</v>
      </c>
      <c r="AH3195" s="156" t="s">
        <v>132</v>
      </c>
      <c r="AI3195" s="156" t="s">
        <v>597</v>
      </c>
      <c r="AJ3195" s="153">
        <v>0.058</v>
      </c>
      <c r="AK3195" s="156" t="s">
        <v>165</v>
      </c>
      <c r="AL3195" s="156" t="s">
        <v>179</v>
      </c>
      <c r="AM3195" s="156" t="s">
        <v>134</v>
      </c>
      <c r="AN3195" s="65"/>
      <c r="AO3195" s="153">
        <v>100.0</v>
      </c>
      <c r="AP3195" s="354">
        <v>0.025</v>
      </c>
      <c r="AQ3195" s="156" t="s">
        <v>132</v>
      </c>
      <c r="AR3195" s="156" t="s">
        <v>18771</v>
      </c>
      <c r="AS3195" s="153">
        <v>0.116</v>
      </c>
      <c r="AT3195" s="156" t="s">
        <v>165</v>
      </c>
      <c r="AU3195" s="156" t="s">
        <v>179</v>
      </c>
      <c r="AV3195" s="156" t="s">
        <v>134</v>
      </c>
      <c r="AW3195" s="65"/>
      <c r="AX3195" s="156" t="s">
        <v>136</v>
      </c>
      <c r="AZ3195" s="59" t="s">
        <v>3123</v>
      </c>
    </row>
    <row r="3196" ht="15.75" customHeight="1">
      <c r="A3196" s="41">
        <v>2822.0</v>
      </c>
      <c r="B3196" s="126" t="s">
        <v>516</v>
      </c>
      <c r="C3196" s="59" t="s">
        <v>108</v>
      </c>
      <c r="D3196" s="59" t="s">
        <v>169</v>
      </c>
      <c r="F3196" s="65" t="s">
        <v>18776</v>
      </c>
      <c r="G3196" s="156" t="s">
        <v>18777</v>
      </c>
      <c r="H3196" s="156" t="s">
        <v>7218</v>
      </c>
      <c r="I3196" s="431">
        <v>45808.0</v>
      </c>
      <c r="J3196" s="859"/>
      <c r="K3196" s="156" t="s">
        <v>18766</v>
      </c>
      <c r="L3196" s="65"/>
      <c r="M3196" s="156" t="s">
        <v>18778</v>
      </c>
      <c r="N3196" s="156" t="s">
        <v>18716</v>
      </c>
      <c r="O3196" s="153">
        <v>3.0</v>
      </c>
      <c r="P3196" s="379" t="s">
        <v>18717</v>
      </c>
      <c r="Q3196" s="2153" t="str">
        <f> hyperlink(vlookup(lower(N3196),'File Links'!E:F, 2, FALSE), "LINK")</f>
        <v>LINK</v>
      </c>
      <c r="R3196" s="156" t="s">
        <v>18718</v>
      </c>
      <c r="S3196" s="156" t="s">
        <v>18719</v>
      </c>
      <c r="T3196" s="65"/>
      <c r="U3196" s="153">
        <v>3.0</v>
      </c>
      <c r="V3196" s="379" t="s">
        <v>18720</v>
      </c>
      <c r="W3196" s="1228" t="s">
        <v>7250</v>
      </c>
      <c r="X3196" s="1544" t="str">
        <f> hyperlink(vlookup(lower(S3196),'File Links'!E:F, 2, FALSE), "LINK")</f>
        <v>LINK</v>
      </c>
      <c r="Y3196" s="65"/>
      <c r="Z3196" s="156" t="s">
        <v>219</v>
      </c>
      <c r="AA3196" s="156" t="s">
        <v>18779</v>
      </c>
      <c r="AB3196" s="156" t="s">
        <v>18722</v>
      </c>
      <c r="AC3196" s="156" t="s">
        <v>18780</v>
      </c>
      <c r="AD3196" s="156" t="s">
        <v>18770</v>
      </c>
      <c r="AE3196" s="156" t="s">
        <v>617</v>
      </c>
      <c r="AF3196" s="153">
        <v>452.0</v>
      </c>
      <c r="AG3196" s="354">
        <v>0.61</v>
      </c>
      <c r="AH3196" s="156" t="s">
        <v>166</v>
      </c>
      <c r="AI3196" s="156" t="s">
        <v>597</v>
      </c>
      <c r="AJ3196" s="153">
        <v>0.001</v>
      </c>
      <c r="AK3196" s="156" t="s">
        <v>165</v>
      </c>
      <c r="AL3196" s="156" t="s">
        <v>179</v>
      </c>
      <c r="AM3196" s="156" t="s">
        <v>134</v>
      </c>
      <c r="AN3196" s="65"/>
      <c r="AO3196" s="153">
        <v>100.0</v>
      </c>
      <c r="AP3196" s="354">
        <v>0.714</v>
      </c>
      <c r="AQ3196" s="156" t="s">
        <v>166</v>
      </c>
      <c r="AR3196" s="156" t="s">
        <v>18771</v>
      </c>
      <c r="AS3196" s="153">
        <v>0.001</v>
      </c>
      <c r="AT3196" s="156" t="s">
        <v>128</v>
      </c>
      <c r="AU3196" s="156" t="s">
        <v>179</v>
      </c>
      <c r="AV3196" s="156" t="s">
        <v>134</v>
      </c>
      <c r="AW3196" s="65"/>
      <c r="AX3196" s="156" t="s">
        <v>136</v>
      </c>
      <c r="AZ3196" s="59" t="s">
        <v>3123</v>
      </c>
    </row>
    <row r="3197" ht="15.75" customHeight="1">
      <c r="A3197" s="41">
        <v>2823.0</v>
      </c>
      <c r="B3197" s="126" t="s">
        <v>516</v>
      </c>
      <c r="C3197" s="59" t="s">
        <v>108</v>
      </c>
      <c r="D3197" s="59" t="s">
        <v>169</v>
      </c>
      <c r="F3197" s="65" t="s">
        <v>18781</v>
      </c>
      <c r="G3197" s="156" t="s">
        <v>18782</v>
      </c>
      <c r="H3197" s="156" t="s">
        <v>7218</v>
      </c>
      <c r="I3197" s="431">
        <v>45808.0</v>
      </c>
      <c r="J3197" s="859"/>
      <c r="K3197" s="156" t="s">
        <v>18766</v>
      </c>
      <c r="L3197" s="65"/>
      <c r="M3197" s="156" t="s">
        <v>18783</v>
      </c>
      <c r="N3197" s="156" t="s">
        <v>18716</v>
      </c>
      <c r="O3197" s="153">
        <v>3.0</v>
      </c>
      <c r="P3197" s="379" t="s">
        <v>18717</v>
      </c>
      <c r="Q3197" s="2153" t="str">
        <f> hyperlink(vlookup(lower(N3197),'File Links'!E:F, 2, FALSE), "LINK")</f>
        <v>LINK</v>
      </c>
      <c r="R3197" s="156" t="s">
        <v>18718</v>
      </c>
      <c r="S3197" s="156" t="s">
        <v>18719</v>
      </c>
      <c r="T3197" s="65"/>
      <c r="U3197" s="153">
        <v>3.0</v>
      </c>
      <c r="V3197" s="379" t="s">
        <v>18720</v>
      </c>
      <c r="W3197" s="1228" t="s">
        <v>7250</v>
      </c>
      <c r="X3197" s="1544" t="str">
        <f> hyperlink(vlookup(lower(S3197),'File Links'!E:F, 2, FALSE), "LINK")</f>
        <v>LINK</v>
      </c>
      <c r="Y3197" s="65"/>
      <c r="Z3197" s="156" t="s">
        <v>219</v>
      </c>
      <c r="AA3197" s="156" t="s">
        <v>18784</v>
      </c>
      <c r="AB3197" s="156" t="s">
        <v>18722</v>
      </c>
      <c r="AC3197" s="156" t="s">
        <v>18785</v>
      </c>
      <c r="AD3197" s="156" t="s">
        <v>18770</v>
      </c>
      <c r="AE3197" s="156" t="s">
        <v>617</v>
      </c>
      <c r="AF3197" s="153">
        <v>452.0</v>
      </c>
      <c r="AG3197" s="354">
        <v>0.171</v>
      </c>
      <c r="AH3197" s="156" t="s">
        <v>166</v>
      </c>
      <c r="AI3197" s="156" t="s">
        <v>597</v>
      </c>
      <c r="AJ3197" s="153">
        <v>0.06</v>
      </c>
      <c r="AK3197" s="156" t="s">
        <v>165</v>
      </c>
      <c r="AL3197" s="156" t="s">
        <v>179</v>
      </c>
      <c r="AM3197" s="156" t="s">
        <v>134</v>
      </c>
      <c r="AN3197" s="65"/>
      <c r="AO3197" s="153">
        <v>100.0</v>
      </c>
      <c r="AP3197" s="354">
        <v>0.219</v>
      </c>
      <c r="AQ3197" s="156" t="s">
        <v>166</v>
      </c>
      <c r="AR3197" s="156" t="s">
        <v>18771</v>
      </c>
      <c r="AS3197" s="153">
        <v>0.06</v>
      </c>
      <c r="AT3197" s="156" t="s">
        <v>165</v>
      </c>
      <c r="AU3197" s="156" t="s">
        <v>179</v>
      </c>
      <c r="AV3197" s="156" t="s">
        <v>134</v>
      </c>
      <c r="AW3197" s="65"/>
      <c r="AX3197" s="156" t="s">
        <v>136</v>
      </c>
      <c r="AZ3197" s="59" t="s">
        <v>3123</v>
      </c>
    </row>
    <row r="3198" ht="15.75" customHeight="1">
      <c r="A3198" s="41">
        <v>2824.0</v>
      </c>
      <c r="B3198" s="126" t="s">
        <v>516</v>
      </c>
      <c r="C3198" s="59" t="s">
        <v>108</v>
      </c>
      <c r="D3198" s="59" t="s">
        <v>169</v>
      </c>
      <c r="F3198" s="65" t="s">
        <v>18786</v>
      </c>
      <c r="G3198" s="156" t="s">
        <v>18787</v>
      </c>
      <c r="H3198" s="156" t="s">
        <v>7218</v>
      </c>
      <c r="I3198" s="431">
        <v>45808.0</v>
      </c>
      <c r="J3198" s="859"/>
      <c r="K3198" s="156" t="s">
        <v>18766</v>
      </c>
      <c r="L3198" s="65"/>
      <c r="M3198" s="156" t="s">
        <v>18788</v>
      </c>
      <c r="N3198" s="156" t="s">
        <v>18716</v>
      </c>
      <c r="O3198" s="153">
        <v>3.0</v>
      </c>
      <c r="P3198" s="379" t="s">
        <v>18717</v>
      </c>
      <c r="Q3198" s="2153" t="str">
        <f> hyperlink(vlookup(lower(N3198),'File Links'!E:F, 2, FALSE), "LINK")</f>
        <v>LINK</v>
      </c>
      <c r="R3198" s="156" t="s">
        <v>18718</v>
      </c>
      <c r="S3198" s="156" t="s">
        <v>18719</v>
      </c>
      <c r="T3198" s="65"/>
      <c r="U3198" s="153">
        <v>3.0</v>
      </c>
      <c r="V3198" s="379" t="s">
        <v>18720</v>
      </c>
      <c r="W3198" s="1228" t="s">
        <v>7250</v>
      </c>
      <c r="X3198" s="1544" t="str">
        <f> hyperlink(vlookup(lower(S3198),'File Links'!E:F, 2, FALSE), "LINK")</f>
        <v>LINK</v>
      </c>
      <c r="Y3198" s="65"/>
      <c r="Z3198" s="156" t="s">
        <v>219</v>
      </c>
      <c r="AA3198" s="156" t="s">
        <v>18789</v>
      </c>
      <c r="AB3198" s="156" t="s">
        <v>18722</v>
      </c>
      <c r="AC3198" s="156" t="s">
        <v>18790</v>
      </c>
      <c r="AD3198" s="156" t="s">
        <v>18770</v>
      </c>
      <c r="AE3198" s="156" t="s">
        <v>617</v>
      </c>
      <c r="AF3198" s="153">
        <v>452.0</v>
      </c>
      <c r="AG3198" s="354">
        <v>0.305</v>
      </c>
      <c r="AH3198" s="156" t="s">
        <v>166</v>
      </c>
      <c r="AI3198" s="156" t="s">
        <v>597</v>
      </c>
      <c r="AJ3198" s="153">
        <v>0.001</v>
      </c>
      <c r="AK3198" s="156" t="s">
        <v>165</v>
      </c>
      <c r="AL3198" s="156" t="s">
        <v>179</v>
      </c>
      <c r="AM3198" s="156" t="s">
        <v>134</v>
      </c>
      <c r="AN3198" s="65"/>
      <c r="AO3198" s="153">
        <v>100.0</v>
      </c>
      <c r="AP3198" s="354">
        <v>0.334</v>
      </c>
      <c r="AQ3198" s="156" t="s">
        <v>166</v>
      </c>
      <c r="AR3198" s="156" t="s">
        <v>18771</v>
      </c>
      <c r="AS3198" s="153">
        <v>0.001</v>
      </c>
      <c r="AT3198" s="156" t="s">
        <v>165</v>
      </c>
      <c r="AU3198" s="156" t="s">
        <v>179</v>
      </c>
      <c r="AV3198" s="156" t="s">
        <v>134</v>
      </c>
      <c r="AW3198" s="65"/>
      <c r="AX3198" s="156" t="s">
        <v>136</v>
      </c>
      <c r="AZ3198" s="59" t="s">
        <v>3123</v>
      </c>
    </row>
    <row r="3199" ht="15.75" customHeight="1">
      <c r="A3199" s="41">
        <v>2817.0</v>
      </c>
      <c r="B3199" s="126" t="s">
        <v>516</v>
      </c>
      <c r="C3199" s="59" t="s">
        <v>108</v>
      </c>
      <c r="D3199" s="59" t="s">
        <v>169</v>
      </c>
      <c r="F3199" s="65" t="s">
        <v>18791</v>
      </c>
      <c r="G3199" s="156" t="s">
        <v>18792</v>
      </c>
      <c r="H3199" s="156" t="s">
        <v>7218</v>
      </c>
      <c r="I3199" s="431">
        <v>45808.0</v>
      </c>
      <c r="J3199" s="859"/>
      <c r="K3199" s="156" t="s">
        <v>18714</v>
      </c>
      <c r="L3199" s="65"/>
      <c r="M3199" s="156" t="s">
        <v>18793</v>
      </c>
      <c r="N3199" s="156" t="s">
        <v>18716</v>
      </c>
      <c r="O3199" s="153">
        <v>2.0</v>
      </c>
      <c r="P3199" s="379" t="s">
        <v>18717</v>
      </c>
      <c r="Q3199" s="2153" t="str">
        <f> hyperlink(vlookup(lower(N3199),'File Links'!E:F, 2, FALSE), "LINK")</f>
        <v>LINK</v>
      </c>
      <c r="R3199" s="156" t="s">
        <v>18718</v>
      </c>
      <c r="S3199" s="156" t="s">
        <v>18719</v>
      </c>
      <c r="T3199" s="65"/>
      <c r="U3199" s="153">
        <v>2.0</v>
      </c>
      <c r="V3199" s="379" t="s">
        <v>18720</v>
      </c>
      <c r="W3199" s="1228" t="s">
        <v>7250</v>
      </c>
      <c r="X3199" s="1544" t="str">
        <f> hyperlink(vlookup(lower(S3199),'File Links'!E:F, 2, FALSE), "LINK")</f>
        <v>LINK</v>
      </c>
      <c r="Y3199" s="65"/>
      <c r="Z3199" s="156" t="s">
        <v>219</v>
      </c>
      <c r="AA3199" s="156" t="s">
        <v>18794</v>
      </c>
      <c r="AB3199" s="156" t="s">
        <v>18722</v>
      </c>
      <c r="AC3199" s="156" t="s">
        <v>18795</v>
      </c>
      <c r="AD3199" s="156" t="s">
        <v>18796</v>
      </c>
      <c r="AE3199" s="156" t="s">
        <v>4966</v>
      </c>
      <c r="AF3199" s="153">
        <v>444.0</v>
      </c>
      <c r="AG3199" s="153">
        <v>0.99</v>
      </c>
      <c r="AH3199" s="156" t="s">
        <v>354</v>
      </c>
      <c r="AI3199" s="156" t="s">
        <v>1035</v>
      </c>
      <c r="AJ3199" s="153">
        <v>0.001</v>
      </c>
      <c r="AK3199" s="156" t="s">
        <v>128</v>
      </c>
      <c r="AL3199" s="156" t="s">
        <v>179</v>
      </c>
      <c r="AM3199" s="156" t="s">
        <v>134</v>
      </c>
      <c r="AN3199" s="65"/>
      <c r="AO3199" s="153">
        <v>98.0</v>
      </c>
      <c r="AP3199" s="2169">
        <v>2.837</v>
      </c>
      <c r="AQ3199" s="156" t="s">
        <v>166</v>
      </c>
      <c r="AR3199" s="156" t="s">
        <v>18725</v>
      </c>
      <c r="AS3199" s="153">
        <v>0.001</v>
      </c>
      <c r="AT3199" s="156" t="s">
        <v>128</v>
      </c>
      <c r="AU3199" s="156" t="s">
        <v>179</v>
      </c>
      <c r="AV3199" s="156" t="s">
        <v>134</v>
      </c>
      <c r="AW3199" s="65"/>
      <c r="AX3199" s="156" t="s">
        <v>136</v>
      </c>
      <c r="AZ3199" s="59" t="s">
        <v>3123</v>
      </c>
    </row>
    <row r="3200" ht="15.75" customHeight="1">
      <c r="A3200" s="41">
        <v>2819.0</v>
      </c>
      <c r="B3200" s="126" t="s">
        <v>516</v>
      </c>
      <c r="C3200" s="59" t="s">
        <v>108</v>
      </c>
      <c r="D3200" s="59" t="s">
        <v>169</v>
      </c>
      <c r="F3200" s="65" t="s">
        <v>18797</v>
      </c>
      <c r="G3200" s="156" t="s">
        <v>18798</v>
      </c>
      <c r="H3200" s="156" t="s">
        <v>7218</v>
      </c>
      <c r="I3200" s="431">
        <v>45808.0</v>
      </c>
      <c r="J3200" s="859"/>
      <c r="K3200" s="156" t="s">
        <v>18714</v>
      </c>
      <c r="L3200" s="65"/>
      <c r="M3200" s="156" t="s">
        <v>18799</v>
      </c>
      <c r="N3200" s="156" t="s">
        <v>18716</v>
      </c>
      <c r="O3200" s="153">
        <v>2.0</v>
      </c>
      <c r="P3200" s="379" t="s">
        <v>18717</v>
      </c>
      <c r="Q3200" s="2153" t="str">
        <f> hyperlink(vlookup(lower(N3200),'File Links'!E:F, 2, FALSE), "LINK")</f>
        <v>LINK</v>
      </c>
      <c r="R3200" s="156" t="s">
        <v>18718</v>
      </c>
      <c r="S3200" s="156" t="s">
        <v>18719</v>
      </c>
      <c r="T3200" s="65"/>
      <c r="U3200" s="153">
        <v>2.0</v>
      </c>
      <c r="V3200" s="379" t="s">
        <v>18720</v>
      </c>
      <c r="W3200" s="1228" t="s">
        <v>7250</v>
      </c>
      <c r="X3200" s="1544" t="str">
        <f> hyperlink(vlookup(lower(S3200),'File Links'!E:F, 2, FALSE), "LINK")</f>
        <v>LINK</v>
      </c>
      <c r="Y3200" s="65"/>
      <c r="Z3200" s="156" t="s">
        <v>219</v>
      </c>
      <c r="AA3200" s="156" t="s">
        <v>18800</v>
      </c>
      <c r="AB3200" s="156" t="s">
        <v>18722</v>
      </c>
      <c r="AC3200" s="156" t="s">
        <v>18801</v>
      </c>
      <c r="AD3200" s="156" t="s">
        <v>18802</v>
      </c>
      <c r="AE3200" s="156" t="s">
        <v>4966</v>
      </c>
      <c r="AF3200" s="153">
        <v>444.0</v>
      </c>
      <c r="AG3200" s="153">
        <v>-0.38</v>
      </c>
      <c r="AH3200" s="156" t="s">
        <v>354</v>
      </c>
      <c r="AI3200" s="156" t="s">
        <v>1035</v>
      </c>
      <c r="AJ3200" s="153">
        <v>0.001</v>
      </c>
      <c r="AK3200" s="156" t="s">
        <v>128</v>
      </c>
      <c r="AL3200" s="156" t="s">
        <v>179</v>
      </c>
      <c r="AM3200" s="156" t="s">
        <v>134</v>
      </c>
      <c r="AN3200" s="65"/>
      <c r="AO3200" s="153">
        <v>98.0</v>
      </c>
      <c r="AP3200" s="153">
        <v>1.266</v>
      </c>
      <c r="AQ3200" s="156" t="s">
        <v>166</v>
      </c>
      <c r="AR3200" s="156" t="s">
        <v>18725</v>
      </c>
      <c r="AS3200" s="153">
        <v>0.001</v>
      </c>
      <c r="AT3200" s="156" t="s">
        <v>128</v>
      </c>
      <c r="AU3200" s="156" t="s">
        <v>179</v>
      </c>
      <c r="AV3200" s="156" t="s">
        <v>134</v>
      </c>
      <c r="AW3200" s="65"/>
      <c r="AX3200" s="156" t="s">
        <v>136</v>
      </c>
      <c r="AZ3200" s="59" t="s">
        <v>3123</v>
      </c>
    </row>
    <row r="3201" ht="15.75" customHeight="1">
      <c r="A3201" s="41">
        <v>3009.0</v>
      </c>
      <c r="B3201" s="126" t="s">
        <v>516</v>
      </c>
      <c r="C3201" s="59" t="s">
        <v>108</v>
      </c>
      <c r="D3201" s="59" t="s">
        <v>18432</v>
      </c>
      <c r="F3201" s="65" t="s">
        <v>15442</v>
      </c>
      <c r="G3201" s="156" t="s">
        <v>15443</v>
      </c>
      <c r="H3201" s="156" t="s">
        <v>18433</v>
      </c>
      <c r="I3201" s="431">
        <v>45805.0</v>
      </c>
      <c r="J3201" s="859"/>
      <c r="K3201" s="65"/>
      <c r="L3201" s="65"/>
      <c r="M3201" s="156" t="s">
        <v>18803</v>
      </c>
      <c r="N3201" s="432" t="s">
        <v>18804</v>
      </c>
      <c r="O3201" s="153">
        <v>1.0</v>
      </c>
      <c r="P3201" s="379" t="s">
        <v>15446</v>
      </c>
      <c r="Q3201" s="2139" t="str">
        <f> hyperlink(vlookup(lower(N3201),'File Links'!E:F, 2, FALSE), "LINK")</f>
        <v>LINK</v>
      </c>
      <c r="R3201" s="156" t="s">
        <v>18805</v>
      </c>
      <c r="S3201" s="432" t="s">
        <v>18806</v>
      </c>
      <c r="T3201" s="65"/>
      <c r="U3201" s="153">
        <v>1.0</v>
      </c>
      <c r="V3201" s="379" t="s">
        <v>15449</v>
      </c>
      <c r="W3201" s="1225"/>
      <c r="X3201" s="1544" t="str">
        <f> hyperlink(vlookup(lower(S3201),'File Links'!E:F, 2, FALSE), "LINK")</f>
        <v>LINK</v>
      </c>
      <c r="Y3201" s="65"/>
      <c r="Z3201" s="156" t="s">
        <v>15450</v>
      </c>
      <c r="AA3201" s="156" t="s">
        <v>18807</v>
      </c>
      <c r="AB3201" s="2411" t="s">
        <v>18808</v>
      </c>
      <c r="AC3201" s="2403" t="s">
        <v>18809</v>
      </c>
      <c r="AD3201" s="2411" t="s">
        <v>18810</v>
      </c>
      <c r="AE3201" s="153">
        <v>4.0</v>
      </c>
      <c r="AF3201" s="153">
        <v>54.0</v>
      </c>
      <c r="AG3201" s="153">
        <v>0.844</v>
      </c>
      <c r="AH3201" s="156" t="s">
        <v>166</v>
      </c>
      <c r="AI3201" s="2412" t="s">
        <v>18811</v>
      </c>
      <c r="AJ3201" s="153">
        <v>0.01</v>
      </c>
      <c r="AK3201" s="156" t="s">
        <v>128</v>
      </c>
      <c r="AL3201" s="156" t="s">
        <v>179</v>
      </c>
      <c r="AM3201" s="156" t="s">
        <v>130</v>
      </c>
      <c r="AN3201" s="156" t="s">
        <v>131</v>
      </c>
      <c r="AO3201" s="153">
        <v>464.0</v>
      </c>
      <c r="AP3201" s="153">
        <v>0.45</v>
      </c>
      <c r="AQ3201" s="156" t="s">
        <v>166</v>
      </c>
      <c r="AR3201" s="153">
        <v>5.0</v>
      </c>
      <c r="AS3201" s="153">
        <v>0.001</v>
      </c>
      <c r="AT3201" s="156" t="s">
        <v>128</v>
      </c>
      <c r="AU3201" s="156" t="s">
        <v>179</v>
      </c>
      <c r="AV3201" s="156" t="s">
        <v>130</v>
      </c>
      <c r="AW3201" s="591" t="s">
        <v>18812</v>
      </c>
      <c r="AX3201" s="156" t="s">
        <v>136</v>
      </c>
      <c r="AZ3201" s="1060" t="s">
        <v>13197</v>
      </c>
    </row>
    <row r="3202" ht="15.75" customHeight="1">
      <c r="A3202" s="41">
        <v>2768.0</v>
      </c>
      <c r="B3202" s="126" t="s">
        <v>516</v>
      </c>
      <c r="C3202" s="59" t="s">
        <v>108</v>
      </c>
      <c r="D3202" s="59" t="s">
        <v>214</v>
      </c>
      <c r="F3202" s="65" t="s">
        <v>18813</v>
      </c>
      <c r="G3202" s="156" t="s">
        <v>18814</v>
      </c>
      <c r="H3202" s="156" t="s">
        <v>215</v>
      </c>
      <c r="I3202" s="149">
        <v>45801.0</v>
      </c>
      <c r="J3202" s="859"/>
      <c r="K3202" s="65"/>
      <c r="L3202" s="65"/>
      <c r="M3202" s="156" t="s">
        <v>18815</v>
      </c>
      <c r="N3202" s="156" t="s">
        <v>18816</v>
      </c>
      <c r="O3202" s="153">
        <v>3.0</v>
      </c>
      <c r="P3202" s="379" t="s">
        <v>18817</v>
      </c>
      <c r="Q3202" s="2153" t="str">
        <f> hyperlink(vlookup(lower(N3202),'File Links'!E:F, 2, FALSE), "LINK")</f>
        <v>LINK</v>
      </c>
      <c r="R3202" s="156" t="s">
        <v>18818</v>
      </c>
      <c r="S3202" s="156" t="s">
        <v>18819</v>
      </c>
      <c r="T3202" s="65"/>
      <c r="U3202" s="65"/>
      <c r="V3202" s="379" t="s">
        <v>18820</v>
      </c>
      <c r="W3202" s="1225"/>
      <c r="X3202" s="1544" t="str">
        <f> hyperlink(vlookup(lower(S3202),'File Links'!E:F, 2, FALSE), "LINK")</f>
        <v>LINK</v>
      </c>
      <c r="Y3202" s="65"/>
      <c r="Z3202" s="156" t="s">
        <v>219</v>
      </c>
      <c r="AA3202" s="156" t="s">
        <v>18821</v>
      </c>
      <c r="AB3202" s="156" t="s">
        <v>18822</v>
      </c>
      <c r="AC3202" s="156" t="s">
        <v>18823</v>
      </c>
      <c r="AD3202" s="156" t="s">
        <v>18824</v>
      </c>
      <c r="AE3202" s="156" t="s">
        <v>125</v>
      </c>
      <c r="AF3202" s="153">
        <v>85.0</v>
      </c>
      <c r="AG3202" s="153">
        <v>0.49</v>
      </c>
      <c r="AH3202" s="156" t="s">
        <v>166</v>
      </c>
      <c r="AI3202" s="156" t="s">
        <v>606</v>
      </c>
      <c r="AJ3202" s="153">
        <v>0.026</v>
      </c>
      <c r="AK3202" s="156" t="s">
        <v>165</v>
      </c>
      <c r="AL3202" s="156" t="s">
        <v>129</v>
      </c>
      <c r="AM3202" s="156" t="s">
        <v>130</v>
      </c>
      <c r="AN3202" s="156" t="s">
        <v>131</v>
      </c>
      <c r="AO3202" s="153">
        <v>847.0</v>
      </c>
      <c r="AP3202" s="153">
        <v>0.11</v>
      </c>
      <c r="AQ3202" s="156" t="s">
        <v>166</v>
      </c>
      <c r="AR3202" s="156" t="s">
        <v>606</v>
      </c>
      <c r="AS3202" s="153">
        <v>0.039</v>
      </c>
      <c r="AT3202" s="156" t="s">
        <v>165</v>
      </c>
      <c r="AU3202" s="156" t="s">
        <v>129</v>
      </c>
      <c r="AV3202" s="156" t="s">
        <v>130</v>
      </c>
      <c r="AW3202" s="432" t="s">
        <v>18825</v>
      </c>
      <c r="AX3202" s="156" t="s">
        <v>136</v>
      </c>
      <c r="AZ3202" s="1060" t="s">
        <v>13197</v>
      </c>
      <c r="BB3202" s="2002"/>
      <c r="BC3202" s="2002"/>
      <c r="BD3202" s="2002"/>
      <c r="BE3202" s="2002"/>
      <c r="BF3202" s="2002"/>
      <c r="BG3202" s="2002"/>
      <c r="BH3202" s="2002"/>
      <c r="BI3202" s="2002"/>
      <c r="BJ3202" s="2002"/>
      <c r="BK3202" s="2002"/>
      <c r="BL3202" s="2002"/>
      <c r="BM3202" s="2002"/>
      <c r="BN3202" s="2002"/>
      <c r="BO3202" s="2002"/>
      <c r="BP3202" s="2002"/>
      <c r="BQ3202" s="2002"/>
      <c r="BR3202" s="2002"/>
      <c r="BS3202" s="2002"/>
      <c r="BT3202" s="2002"/>
      <c r="BU3202" s="2002"/>
      <c r="BV3202" s="2002"/>
      <c r="BW3202" s="2002"/>
      <c r="BX3202" s="2002"/>
      <c r="BY3202" s="2002"/>
      <c r="BZ3202" s="2002"/>
      <c r="CA3202" s="2002"/>
      <c r="CB3202" s="2002"/>
      <c r="CC3202" s="2002"/>
      <c r="CD3202" s="2002"/>
      <c r="CE3202" s="2002"/>
      <c r="CF3202" s="2002"/>
      <c r="CG3202" s="2002"/>
      <c r="CH3202" s="2002"/>
      <c r="CI3202" s="2002"/>
      <c r="CJ3202" s="2002"/>
      <c r="CK3202" s="2002"/>
      <c r="CL3202" s="2002"/>
      <c r="CM3202" s="2002"/>
      <c r="CN3202" s="2002"/>
      <c r="CO3202" s="2002"/>
      <c r="CP3202" s="2002"/>
      <c r="CQ3202" s="2002"/>
      <c r="CR3202" s="2002"/>
      <c r="CS3202" s="2002"/>
      <c r="CT3202" s="2002"/>
      <c r="CU3202" s="2002"/>
      <c r="CV3202" s="2002"/>
      <c r="CW3202" s="2002"/>
      <c r="CX3202" s="2002"/>
      <c r="CY3202" s="2002"/>
      <c r="CZ3202" s="2002"/>
      <c r="DA3202" s="2002"/>
      <c r="DB3202" s="2002"/>
      <c r="DC3202" s="2002"/>
      <c r="DD3202" s="2002"/>
      <c r="DE3202" s="2002"/>
      <c r="DF3202" s="2002"/>
      <c r="DG3202" s="2002"/>
      <c r="DH3202" s="2002"/>
    </row>
    <row r="3203" ht="15.75" customHeight="1">
      <c r="A3203" s="41">
        <v>2769.0</v>
      </c>
      <c r="B3203" s="126" t="s">
        <v>516</v>
      </c>
      <c r="C3203" s="59" t="s">
        <v>108</v>
      </c>
      <c r="D3203" s="59" t="s">
        <v>214</v>
      </c>
      <c r="F3203" s="65" t="s">
        <v>18826</v>
      </c>
      <c r="G3203" s="156" t="s">
        <v>18814</v>
      </c>
      <c r="H3203" s="156" t="s">
        <v>215</v>
      </c>
      <c r="I3203" s="149">
        <v>45801.0</v>
      </c>
      <c r="J3203" s="859"/>
      <c r="K3203" s="65"/>
      <c r="L3203" s="156" t="s">
        <v>18827</v>
      </c>
      <c r="M3203" s="156" t="s">
        <v>18828</v>
      </c>
      <c r="N3203" s="156" t="s">
        <v>18816</v>
      </c>
      <c r="O3203" s="65"/>
      <c r="P3203" s="379" t="s">
        <v>18817</v>
      </c>
      <c r="Q3203" s="2153" t="str">
        <f> hyperlink(vlookup(lower(N3203),'File Links'!E:F, 2, FALSE), "LINK")</f>
        <v>LINK</v>
      </c>
      <c r="R3203" s="156" t="s">
        <v>18818</v>
      </c>
      <c r="S3203" s="156" t="s">
        <v>18819</v>
      </c>
      <c r="T3203" s="65"/>
      <c r="U3203" s="65"/>
      <c r="V3203" s="379" t="s">
        <v>18820</v>
      </c>
      <c r="W3203" s="1225"/>
      <c r="X3203" s="2313" t="str">
        <f> hyperlink(vlookup(lower(S3203),'File Links'!E:F, 2, FALSE), "LINK")</f>
        <v>LINK</v>
      </c>
      <c r="Y3203" s="65"/>
      <c r="Z3203" s="156" t="s">
        <v>1569</v>
      </c>
      <c r="AA3203" s="156" t="s">
        <v>18829</v>
      </c>
      <c r="AB3203" s="156" t="s">
        <v>18822</v>
      </c>
      <c r="AC3203" s="156" t="s">
        <v>18823</v>
      </c>
      <c r="AD3203" s="156" t="s">
        <v>18830</v>
      </c>
      <c r="AE3203" s="156" t="s">
        <v>606</v>
      </c>
      <c r="AF3203" s="153">
        <v>85.0</v>
      </c>
      <c r="AG3203" s="153">
        <v>0.52</v>
      </c>
      <c r="AH3203" s="156" t="s">
        <v>166</v>
      </c>
      <c r="AI3203" s="156" t="s">
        <v>606</v>
      </c>
      <c r="AJ3203" s="153">
        <v>0.001</v>
      </c>
      <c r="AK3203" s="156" t="s">
        <v>128</v>
      </c>
      <c r="AL3203" s="156" t="s">
        <v>129</v>
      </c>
      <c r="AM3203" s="156" t="s">
        <v>130</v>
      </c>
      <c r="AN3203" s="156" t="s">
        <v>131</v>
      </c>
      <c r="AO3203" s="153">
        <v>847.0</v>
      </c>
      <c r="AP3203" s="153">
        <v>0.12</v>
      </c>
      <c r="AQ3203" s="156" t="s">
        <v>166</v>
      </c>
      <c r="AR3203" s="156" t="s">
        <v>806</v>
      </c>
      <c r="AS3203" s="333">
        <v>0.09</v>
      </c>
      <c r="AT3203" s="156" t="s">
        <v>165</v>
      </c>
      <c r="AU3203" s="156" t="s">
        <v>129</v>
      </c>
      <c r="AV3203" s="156" t="s">
        <v>130</v>
      </c>
      <c r="AW3203" s="432" t="s">
        <v>18825</v>
      </c>
      <c r="AX3203" s="156" t="s">
        <v>136</v>
      </c>
      <c r="AZ3203" s="1060" t="s">
        <v>13197</v>
      </c>
    </row>
    <row r="3204" ht="15.75" customHeight="1">
      <c r="A3204" s="41">
        <v>2770.0</v>
      </c>
      <c r="B3204" s="126" t="s">
        <v>516</v>
      </c>
      <c r="C3204" s="59" t="s">
        <v>108</v>
      </c>
      <c r="D3204" s="59" t="s">
        <v>214</v>
      </c>
      <c r="F3204" s="65" t="s">
        <v>18831</v>
      </c>
      <c r="G3204" s="156" t="s">
        <v>18814</v>
      </c>
      <c r="H3204" s="156" t="s">
        <v>215</v>
      </c>
      <c r="I3204" s="149">
        <v>45801.0</v>
      </c>
      <c r="J3204" s="859"/>
      <c r="K3204" s="65"/>
      <c r="L3204" s="156" t="s">
        <v>18832</v>
      </c>
      <c r="M3204" s="156" t="s">
        <v>18828</v>
      </c>
      <c r="N3204" s="156" t="s">
        <v>18816</v>
      </c>
      <c r="O3204" s="65"/>
      <c r="P3204" s="379" t="s">
        <v>18817</v>
      </c>
      <c r="Q3204" s="2153" t="str">
        <f> hyperlink(vlookup(lower(N3204),'File Links'!E:F, 2, FALSE), "LINK")</f>
        <v>LINK</v>
      </c>
      <c r="R3204" s="156" t="s">
        <v>18818</v>
      </c>
      <c r="S3204" s="156" t="s">
        <v>18819</v>
      </c>
      <c r="T3204" s="65"/>
      <c r="U3204" s="65"/>
      <c r="V3204" s="379" t="s">
        <v>18820</v>
      </c>
      <c r="W3204" s="1225"/>
      <c r="X3204" s="2313" t="str">
        <f> hyperlink(vlookup(lower(S3204),'File Links'!E:F, 2, FALSE), "LINK")</f>
        <v>LINK</v>
      </c>
      <c r="Y3204" s="65"/>
      <c r="Z3204" s="156" t="s">
        <v>1569</v>
      </c>
      <c r="AA3204" s="156" t="s">
        <v>18833</v>
      </c>
      <c r="AB3204" s="156" t="s">
        <v>18822</v>
      </c>
      <c r="AC3204" s="156" t="s">
        <v>18823</v>
      </c>
      <c r="AD3204" s="156" t="s">
        <v>18834</v>
      </c>
      <c r="AE3204" s="156" t="s">
        <v>606</v>
      </c>
      <c r="AF3204" s="153">
        <v>85.0</v>
      </c>
      <c r="AG3204" s="153">
        <v>0.45</v>
      </c>
      <c r="AH3204" s="156" t="s">
        <v>166</v>
      </c>
      <c r="AI3204" s="156" t="s">
        <v>606</v>
      </c>
      <c r="AJ3204" s="333">
        <v>0.003</v>
      </c>
      <c r="AK3204" s="156" t="s">
        <v>165</v>
      </c>
      <c r="AL3204" s="156" t="s">
        <v>129</v>
      </c>
      <c r="AM3204" s="156" t="s">
        <v>130</v>
      </c>
      <c r="AN3204" s="156" t="s">
        <v>131</v>
      </c>
      <c r="AO3204" s="153">
        <v>847.0</v>
      </c>
      <c r="AP3204" s="153">
        <v>0.14</v>
      </c>
      <c r="AQ3204" s="156" t="s">
        <v>166</v>
      </c>
      <c r="AR3204" s="156" t="s">
        <v>806</v>
      </c>
      <c r="AS3204" s="153">
        <v>0.044</v>
      </c>
      <c r="AT3204" s="156" t="s">
        <v>165</v>
      </c>
      <c r="AU3204" s="156" t="s">
        <v>129</v>
      </c>
      <c r="AV3204" s="156" t="s">
        <v>130</v>
      </c>
      <c r="AW3204" s="432" t="s">
        <v>18825</v>
      </c>
      <c r="AX3204" s="156" t="s">
        <v>136</v>
      </c>
      <c r="AZ3204" s="1060" t="s">
        <v>13197</v>
      </c>
    </row>
    <row r="3205" ht="15.75" customHeight="1">
      <c r="A3205" s="41">
        <v>2771.0</v>
      </c>
      <c r="B3205" s="126" t="s">
        <v>516</v>
      </c>
      <c r="C3205" s="59" t="s">
        <v>108</v>
      </c>
      <c r="D3205" s="59" t="s">
        <v>214</v>
      </c>
      <c r="F3205" s="65" t="s">
        <v>18835</v>
      </c>
      <c r="G3205" s="156" t="s">
        <v>18814</v>
      </c>
      <c r="H3205" s="156" t="s">
        <v>215</v>
      </c>
      <c r="I3205" s="149">
        <v>45801.0</v>
      </c>
      <c r="J3205" s="859"/>
      <c r="K3205" s="65"/>
      <c r="L3205" s="156" t="s">
        <v>18836</v>
      </c>
      <c r="M3205" s="156" t="s">
        <v>18828</v>
      </c>
      <c r="N3205" s="156" t="s">
        <v>18816</v>
      </c>
      <c r="O3205" s="65"/>
      <c r="P3205" s="379" t="s">
        <v>18817</v>
      </c>
      <c r="Q3205" s="2153" t="str">
        <f> hyperlink(vlookup(lower(N3205),'File Links'!E:F, 2, FALSE), "LINK")</f>
        <v>LINK</v>
      </c>
      <c r="R3205" s="156" t="s">
        <v>18818</v>
      </c>
      <c r="S3205" s="156" t="s">
        <v>18819</v>
      </c>
      <c r="T3205" s="65"/>
      <c r="U3205" s="65"/>
      <c r="V3205" s="156" t="s">
        <v>18820</v>
      </c>
      <c r="W3205" s="1225"/>
      <c r="X3205" s="2313" t="str">
        <f> hyperlink(vlookup(lower(S3205),'File Links'!E:F, 2, FALSE), "LINK")</f>
        <v>LINK</v>
      </c>
      <c r="Y3205" s="65"/>
      <c r="Z3205" s="156" t="s">
        <v>1569</v>
      </c>
      <c r="AA3205" s="156" t="s">
        <v>18837</v>
      </c>
      <c r="AB3205" s="156" t="s">
        <v>18822</v>
      </c>
      <c r="AC3205" s="156" t="s">
        <v>18823</v>
      </c>
      <c r="AD3205" s="156" t="s">
        <v>18838</v>
      </c>
      <c r="AE3205" s="156" t="s">
        <v>210</v>
      </c>
      <c r="AF3205" s="153">
        <v>85.0</v>
      </c>
      <c r="AG3205" s="153">
        <v>0.34</v>
      </c>
      <c r="AH3205" s="156" t="s">
        <v>166</v>
      </c>
      <c r="AI3205" s="156" t="s">
        <v>606</v>
      </c>
      <c r="AJ3205" s="153">
        <v>0.11</v>
      </c>
      <c r="AK3205" s="156" t="s">
        <v>165</v>
      </c>
      <c r="AL3205" s="156" t="s">
        <v>129</v>
      </c>
      <c r="AM3205" s="156" t="s">
        <v>130</v>
      </c>
      <c r="AN3205" s="156" t="s">
        <v>131</v>
      </c>
      <c r="AO3205" s="153">
        <v>847.0</v>
      </c>
      <c r="AP3205" s="153">
        <v>-0.05</v>
      </c>
      <c r="AQ3205" s="156" t="s">
        <v>166</v>
      </c>
      <c r="AR3205" s="156" t="s">
        <v>621</v>
      </c>
      <c r="AS3205" s="153">
        <v>0.001</v>
      </c>
      <c r="AT3205" s="156" t="s">
        <v>128</v>
      </c>
      <c r="AU3205" s="156" t="s">
        <v>129</v>
      </c>
      <c r="AV3205" s="156" t="s">
        <v>130</v>
      </c>
      <c r="AW3205" s="432" t="s">
        <v>18839</v>
      </c>
      <c r="AX3205" s="156" t="s">
        <v>136</v>
      </c>
      <c r="AZ3205" s="1060" t="s">
        <v>13197</v>
      </c>
    </row>
    <row r="3206" ht="15.75" customHeight="1">
      <c r="A3206" s="41">
        <v>2772.0</v>
      </c>
      <c r="B3206" s="126" t="s">
        <v>516</v>
      </c>
      <c r="C3206" s="59" t="s">
        <v>108</v>
      </c>
      <c r="D3206" s="59" t="s">
        <v>214</v>
      </c>
      <c r="F3206" s="65" t="s">
        <v>18840</v>
      </c>
      <c r="G3206" s="156" t="s">
        <v>18814</v>
      </c>
      <c r="H3206" s="156" t="s">
        <v>215</v>
      </c>
      <c r="I3206" s="149">
        <v>45802.0</v>
      </c>
      <c r="J3206" s="859"/>
      <c r="K3206" s="65"/>
      <c r="L3206" s="65"/>
      <c r="M3206" s="156" t="s">
        <v>18828</v>
      </c>
      <c r="N3206" s="156" t="s">
        <v>18816</v>
      </c>
      <c r="O3206" s="65"/>
      <c r="P3206" s="379" t="s">
        <v>18817</v>
      </c>
      <c r="Q3206" s="2153" t="str">
        <f> hyperlink(vlookup(lower(N3206),'File Links'!E:F, 2, FALSE), "LINK")</f>
        <v>LINK</v>
      </c>
      <c r="R3206" s="156" t="s">
        <v>18818</v>
      </c>
      <c r="S3206" s="156" t="s">
        <v>18819</v>
      </c>
      <c r="T3206" s="65"/>
      <c r="U3206" s="65"/>
      <c r="V3206" s="379" t="s">
        <v>18820</v>
      </c>
      <c r="W3206" s="1225"/>
      <c r="X3206" s="2313" t="str">
        <f> hyperlink(vlookup(lower(S3206),'File Links'!E:F, 2, FALSE), "LINK")</f>
        <v>LINK</v>
      </c>
      <c r="Y3206" s="65"/>
      <c r="Z3206" s="156" t="s">
        <v>1569</v>
      </c>
      <c r="AA3206" s="156" t="s">
        <v>18841</v>
      </c>
      <c r="AB3206" s="156" t="s">
        <v>18822</v>
      </c>
      <c r="AC3206" s="156" t="s">
        <v>18823</v>
      </c>
      <c r="AD3206" s="156" t="s">
        <v>18842</v>
      </c>
      <c r="AE3206" s="156" t="s">
        <v>625</v>
      </c>
      <c r="AF3206" s="153">
        <v>85.0</v>
      </c>
      <c r="AG3206" s="333">
        <v>0.41</v>
      </c>
      <c r="AH3206" s="156" t="s">
        <v>166</v>
      </c>
      <c r="AI3206" s="156" t="s">
        <v>625</v>
      </c>
      <c r="AJ3206" s="333">
        <v>0.009</v>
      </c>
      <c r="AK3206" s="156" t="s">
        <v>165</v>
      </c>
      <c r="AL3206" s="156" t="s">
        <v>129</v>
      </c>
      <c r="AM3206" s="156" t="s">
        <v>130</v>
      </c>
      <c r="AN3206" s="156" t="s">
        <v>131</v>
      </c>
      <c r="AO3206" s="153">
        <v>847.0</v>
      </c>
      <c r="AP3206" s="153">
        <v>-0.12</v>
      </c>
      <c r="AQ3206" s="156" t="s">
        <v>166</v>
      </c>
      <c r="AR3206" s="156" t="s">
        <v>125</v>
      </c>
      <c r="AS3206" s="153">
        <v>0.341</v>
      </c>
      <c r="AT3206" s="156" t="s">
        <v>165</v>
      </c>
      <c r="AU3206" s="156" t="s">
        <v>129</v>
      </c>
      <c r="AV3206" s="156" t="s">
        <v>130</v>
      </c>
      <c r="AW3206" s="432" t="s">
        <v>18839</v>
      </c>
      <c r="AX3206" s="156" t="s">
        <v>136</v>
      </c>
      <c r="AZ3206" s="1060" t="s">
        <v>13197</v>
      </c>
    </row>
    <row r="3207" ht="15.75" customHeight="1">
      <c r="A3207" s="41">
        <v>2785.0</v>
      </c>
      <c r="B3207" s="126" t="s">
        <v>516</v>
      </c>
      <c r="C3207" s="59" t="s">
        <v>108</v>
      </c>
      <c r="D3207" s="59" t="s">
        <v>2623</v>
      </c>
      <c r="F3207" s="65" t="s">
        <v>18813</v>
      </c>
      <c r="G3207" s="156" t="s">
        <v>18814</v>
      </c>
      <c r="H3207" s="156" t="s">
        <v>18843</v>
      </c>
      <c r="I3207" s="431">
        <v>45288.0</v>
      </c>
      <c r="J3207" s="149">
        <v>45806.0</v>
      </c>
      <c r="K3207" s="65"/>
      <c r="L3207" s="65"/>
      <c r="M3207" s="156" t="s">
        <v>18815</v>
      </c>
      <c r="N3207" s="156" t="s">
        <v>18816</v>
      </c>
      <c r="O3207" s="153">
        <v>3.0</v>
      </c>
      <c r="P3207" s="379" t="s">
        <v>18817</v>
      </c>
      <c r="Q3207" s="2153" t="str">
        <f> hyperlink(vlookup(lower(N3207),'File Links'!E:F, 2, FALSE), "LINK")</f>
        <v>LINK</v>
      </c>
      <c r="R3207" s="156" t="s">
        <v>18818</v>
      </c>
      <c r="S3207" s="156" t="s">
        <v>18819</v>
      </c>
      <c r="T3207" s="65"/>
      <c r="U3207" s="65"/>
      <c r="V3207" s="379" t="s">
        <v>18820</v>
      </c>
      <c r="W3207" s="1225"/>
      <c r="X3207" s="2313" t="str">
        <f> hyperlink(vlookup(lower(S3207),'File Links'!E:F, 2, FALSE), "LINK")</f>
        <v>LINK</v>
      </c>
      <c r="Y3207" s="156" t="s">
        <v>131</v>
      </c>
      <c r="Z3207" s="156" t="s">
        <v>219</v>
      </c>
      <c r="AA3207" s="156" t="s">
        <v>18844</v>
      </c>
      <c r="AB3207" s="156" t="s">
        <v>18845</v>
      </c>
      <c r="AC3207" s="156" t="s">
        <v>18846</v>
      </c>
      <c r="AD3207" s="156" t="s">
        <v>18847</v>
      </c>
      <c r="AE3207" s="65" t="s">
        <v>18848</v>
      </c>
      <c r="AF3207" s="153">
        <v>192.0</v>
      </c>
      <c r="AG3207" s="153">
        <v>0.03</v>
      </c>
      <c r="AH3207" s="156" t="s">
        <v>132</v>
      </c>
      <c r="AI3207" s="156" t="s">
        <v>18848</v>
      </c>
      <c r="AJ3207" s="153">
        <v>0.03</v>
      </c>
      <c r="AK3207" s="156" t="s">
        <v>165</v>
      </c>
      <c r="AL3207" s="156" t="s">
        <v>129</v>
      </c>
      <c r="AM3207" s="156" t="s">
        <v>130</v>
      </c>
      <c r="AN3207" s="156" t="s">
        <v>131</v>
      </c>
      <c r="AO3207" s="153">
        <v>396.0</v>
      </c>
      <c r="AP3207" s="153">
        <v>0.001</v>
      </c>
      <c r="AQ3207" s="156" t="s">
        <v>132</v>
      </c>
      <c r="AR3207" s="156" t="s">
        <v>133</v>
      </c>
      <c r="AS3207" s="153">
        <v>0.49</v>
      </c>
      <c r="AT3207" s="156" t="s">
        <v>165</v>
      </c>
      <c r="AU3207" s="156" t="s">
        <v>129</v>
      </c>
      <c r="AV3207" s="156" t="s">
        <v>130</v>
      </c>
      <c r="AW3207" s="432" t="s">
        <v>18849</v>
      </c>
      <c r="AX3207" s="156" t="s">
        <v>136</v>
      </c>
      <c r="AZ3207" s="1060" t="s">
        <v>13197</v>
      </c>
    </row>
    <row r="3208" ht="15.75" customHeight="1">
      <c r="A3208" s="41">
        <v>2786.0</v>
      </c>
      <c r="B3208" s="126" t="s">
        <v>516</v>
      </c>
      <c r="C3208" s="59" t="s">
        <v>108</v>
      </c>
      <c r="D3208" s="59" t="s">
        <v>2623</v>
      </c>
      <c r="F3208" s="65" t="s">
        <v>18826</v>
      </c>
      <c r="G3208" s="156" t="s">
        <v>18814</v>
      </c>
      <c r="H3208" s="156" t="s">
        <v>18843</v>
      </c>
      <c r="I3208" s="431">
        <v>45288.0</v>
      </c>
      <c r="J3208" s="149">
        <v>45806.0</v>
      </c>
      <c r="K3208" s="65"/>
      <c r="L3208" s="65"/>
      <c r="M3208" s="156" t="s">
        <v>18828</v>
      </c>
      <c r="N3208" s="156" t="s">
        <v>18816</v>
      </c>
      <c r="O3208" s="65"/>
      <c r="P3208" s="379" t="s">
        <v>18817</v>
      </c>
      <c r="Q3208" s="2153" t="str">
        <f> hyperlink(vlookup(lower(N3208),'File Links'!E:F, 2, FALSE), "LINK")</f>
        <v>LINK</v>
      </c>
      <c r="R3208" s="156" t="s">
        <v>18818</v>
      </c>
      <c r="S3208" s="156" t="s">
        <v>18819</v>
      </c>
      <c r="T3208" s="65"/>
      <c r="U3208" s="65"/>
      <c r="V3208" s="379" t="s">
        <v>18820</v>
      </c>
      <c r="W3208" s="1225"/>
      <c r="X3208" s="2313" t="str">
        <f> hyperlink(vlookup(lower(S3208),'File Links'!E:F, 2, FALSE), "LINK")</f>
        <v>LINK</v>
      </c>
      <c r="Y3208" s="156" t="s">
        <v>131</v>
      </c>
      <c r="Z3208" s="156" t="s">
        <v>219</v>
      </c>
      <c r="AA3208" s="156" t="s">
        <v>18850</v>
      </c>
      <c r="AB3208" s="156" t="s">
        <v>18851</v>
      </c>
      <c r="AC3208" s="156" t="s">
        <v>18852</v>
      </c>
      <c r="AD3208" s="65" t="s">
        <v>18853</v>
      </c>
      <c r="AE3208" s="65" t="s">
        <v>18848</v>
      </c>
      <c r="AF3208" s="153">
        <v>192.0</v>
      </c>
      <c r="AG3208" s="153">
        <v>0.02</v>
      </c>
      <c r="AH3208" s="156" t="s">
        <v>132</v>
      </c>
      <c r="AI3208" s="156" t="s">
        <v>18848</v>
      </c>
      <c r="AJ3208" s="153">
        <v>0.07</v>
      </c>
      <c r="AK3208" s="156" t="s">
        <v>165</v>
      </c>
      <c r="AL3208" s="156" t="s">
        <v>129</v>
      </c>
      <c r="AM3208" s="156" t="s">
        <v>130</v>
      </c>
      <c r="AN3208" s="156" t="s">
        <v>131</v>
      </c>
      <c r="AO3208" s="153">
        <v>396.0</v>
      </c>
      <c r="AP3208" s="153">
        <v>0.019</v>
      </c>
      <c r="AQ3208" s="156" t="s">
        <v>132</v>
      </c>
      <c r="AR3208" s="156" t="s">
        <v>133</v>
      </c>
      <c r="AS3208" s="153">
        <v>0.007</v>
      </c>
      <c r="AT3208" s="156" t="s">
        <v>165</v>
      </c>
      <c r="AU3208" s="156" t="s">
        <v>129</v>
      </c>
      <c r="AV3208" s="156" t="s">
        <v>130</v>
      </c>
      <c r="AW3208" s="432" t="s">
        <v>18849</v>
      </c>
      <c r="AX3208" s="156" t="s">
        <v>136</v>
      </c>
      <c r="AZ3208" s="1060" t="s">
        <v>13197</v>
      </c>
    </row>
    <row r="3209" ht="15.75" customHeight="1">
      <c r="A3209" s="41">
        <v>2787.0</v>
      </c>
      <c r="B3209" s="126" t="s">
        <v>516</v>
      </c>
      <c r="C3209" s="59" t="s">
        <v>108</v>
      </c>
      <c r="D3209" s="59" t="s">
        <v>2623</v>
      </c>
      <c r="F3209" s="65" t="s">
        <v>18831</v>
      </c>
      <c r="G3209" s="156" t="s">
        <v>18814</v>
      </c>
      <c r="H3209" s="156" t="s">
        <v>18843</v>
      </c>
      <c r="I3209" s="431">
        <v>45288.0</v>
      </c>
      <c r="J3209" s="149">
        <v>45806.0</v>
      </c>
      <c r="K3209" s="65"/>
      <c r="L3209" s="65"/>
      <c r="M3209" s="156" t="s">
        <v>18828</v>
      </c>
      <c r="N3209" s="156" t="s">
        <v>18816</v>
      </c>
      <c r="O3209" s="65"/>
      <c r="P3209" s="379" t="s">
        <v>18817</v>
      </c>
      <c r="Q3209" s="2153" t="str">
        <f> hyperlink(vlookup(lower(N3209),'File Links'!E:F, 2, FALSE), "LINK")</f>
        <v>LINK</v>
      </c>
      <c r="R3209" s="156" t="s">
        <v>18818</v>
      </c>
      <c r="S3209" s="156" t="s">
        <v>18819</v>
      </c>
      <c r="T3209" s="65"/>
      <c r="U3209" s="65"/>
      <c r="V3209" s="379" t="s">
        <v>18820</v>
      </c>
      <c r="W3209" s="1225"/>
      <c r="X3209" s="2313" t="str">
        <f> hyperlink(vlookup(lower(S3209),'File Links'!E:F, 2, FALSE), "LINK")</f>
        <v>LINK</v>
      </c>
      <c r="Y3209" s="156" t="s">
        <v>131</v>
      </c>
      <c r="Z3209" s="156" t="s">
        <v>219</v>
      </c>
      <c r="AA3209" s="156" t="s">
        <v>18854</v>
      </c>
      <c r="AB3209" s="156" t="s">
        <v>18855</v>
      </c>
      <c r="AC3209" s="156" t="s">
        <v>18856</v>
      </c>
      <c r="AD3209" s="156" t="s">
        <v>18857</v>
      </c>
      <c r="AE3209" s="65" t="s">
        <v>18848</v>
      </c>
      <c r="AF3209" s="153">
        <v>192.0</v>
      </c>
      <c r="AG3209" s="153">
        <v>0.002</v>
      </c>
      <c r="AH3209" s="156" t="s">
        <v>132</v>
      </c>
      <c r="AI3209" s="156" t="s">
        <v>18848</v>
      </c>
      <c r="AJ3209" s="153">
        <v>0.51</v>
      </c>
      <c r="AK3209" s="156" t="s">
        <v>165</v>
      </c>
      <c r="AL3209" s="156" t="s">
        <v>129</v>
      </c>
      <c r="AM3209" s="156" t="s">
        <v>130</v>
      </c>
      <c r="AN3209" s="156" t="s">
        <v>131</v>
      </c>
      <c r="AO3209" s="153">
        <v>396.0</v>
      </c>
      <c r="AP3209" s="333">
        <v>0.002</v>
      </c>
      <c r="AQ3209" s="156" t="s">
        <v>132</v>
      </c>
      <c r="AR3209" s="156" t="s">
        <v>125</v>
      </c>
      <c r="AS3209" s="153">
        <v>0.35</v>
      </c>
      <c r="AT3209" s="156" t="s">
        <v>165</v>
      </c>
      <c r="AU3209" s="156" t="s">
        <v>129</v>
      </c>
      <c r="AV3209" s="156" t="s">
        <v>130</v>
      </c>
      <c r="AW3209" s="432" t="s">
        <v>18849</v>
      </c>
      <c r="AX3209" s="156" t="s">
        <v>136</v>
      </c>
      <c r="AZ3209" s="1060" t="s">
        <v>13197</v>
      </c>
    </row>
    <row r="3210" ht="15.75" customHeight="1">
      <c r="A3210" s="41">
        <v>2788.0</v>
      </c>
      <c r="B3210" s="126" t="s">
        <v>516</v>
      </c>
      <c r="C3210" s="59" t="s">
        <v>108</v>
      </c>
      <c r="D3210" s="59" t="s">
        <v>2623</v>
      </c>
      <c r="F3210" s="65" t="s">
        <v>18835</v>
      </c>
      <c r="G3210" s="156" t="s">
        <v>18814</v>
      </c>
      <c r="H3210" s="156" t="s">
        <v>18843</v>
      </c>
      <c r="I3210" s="431">
        <v>45288.0</v>
      </c>
      <c r="J3210" s="149">
        <v>45806.0</v>
      </c>
      <c r="K3210" s="65"/>
      <c r="L3210" s="65"/>
      <c r="M3210" s="156" t="s">
        <v>18828</v>
      </c>
      <c r="N3210" s="156" t="s">
        <v>18816</v>
      </c>
      <c r="O3210" s="65"/>
      <c r="P3210" s="379" t="s">
        <v>18817</v>
      </c>
      <c r="Q3210" s="2312" t="str">
        <f> hyperlink(vlookup(lower(N3210),'File Links'!E:F, 2, FALSE), "LINK")</f>
        <v>LINK</v>
      </c>
      <c r="R3210" s="156" t="s">
        <v>18818</v>
      </c>
      <c r="S3210" s="156" t="s">
        <v>18819</v>
      </c>
      <c r="T3210" s="65"/>
      <c r="U3210" s="65"/>
      <c r="V3210" s="156" t="s">
        <v>18820</v>
      </c>
      <c r="W3210" s="1225"/>
      <c r="X3210" s="2313" t="str">
        <f> hyperlink(vlookup(lower(S3210),'File Links'!E:F, 2, FALSE), "LINK")</f>
        <v>LINK</v>
      </c>
      <c r="Y3210" s="156" t="s">
        <v>131</v>
      </c>
      <c r="Z3210" s="156" t="s">
        <v>219</v>
      </c>
      <c r="AA3210" s="156" t="s">
        <v>18858</v>
      </c>
      <c r="AB3210" s="156" t="s">
        <v>18859</v>
      </c>
      <c r="AC3210" s="156" t="s">
        <v>18860</v>
      </c>
      <c r="AD3210" s="156" t="s">
        <v>18861</v>
      </c>
      <c r="AE3210" s="65" t="s">
        <v>18848</v>
      </c>
      <c r="AF3210" s="153">
        <v>192.0</v>
      </c>
      <c r="AG3210" s="153">
        <v>0.04</v>
      </c>
      <c r="AH3210" s="156" t="s">
        <v>132</v>
      </c>
      <c r="AI3210" s="156" t="s">
        <v>18848</v>
      </c>
      <c r="AJ3210" s="153" t="s">
        <v>18862</v>
      </c>
      <c r="AK3210" s="156" t="s">
        <v>128</v>
      </c>
      <c r="AL3210" s="156" t="s">
        <v>129</v>
      </c>
      <c r="AM3210" s="156" t="s">
        <v>130</v>
      </c>
      <c r="AN3210" s="156" t="s">
        <v>131</v>
      </c>
      <c r="AO3210" s="153">
        <v>396.0</v>
      </c>
      <c r="AP3210" s="153">
        <v>0.032</v>
      </c>
      <c r="AQ3210" s="156" t="s">
        <v>132</v>
      </c>
      <c r="AR3210" s="156" t="s">
        <v>125</v>
      </c>
      <c r="AS3210" s="153" t="s">
        <v>18863</v>
      </c>
      <c r="AT3210" s="156" t="s">
        <v>128</v>
      </c>
      <c r="AU3210" s="156" t="s">
        <v>129</v>
      </c>
      <c r="AV3210" s="156" t="s">
        <v>130</v>
      </c>
      <c r="AW3210" s="432" t="s">
        <v>18849</v>
      </c>
      <c r="AX3210" s="156" t="s">
        <v>136</v>
      </c>
      <c r="AZ3210" s="1060" t="s">
        <v>13197</v>
      </c>
    </row>
    <row r="3211" ht="15.75" customHeight="1">
      <c r="A3211" s="41">
        <v>2789.0</v>
      </c>
      <c r="B3211" s="126" t="s">
        <v>516</v>
      </c>
      <c r="C3211" s="59" t="s">
        <v>108</v>
      </c>
      <c r="D3211" s="59" t="s">
        <v>2623</v>
      </c>
      <c r="F3211" s="65" t="s">
        <v>18840</v>
      </c>
      <c r="G3211" s="156" t="s">
        <v>18814</v>
      </c>
      <c r="H3211" s="156" t="s">
        <v>18843</v>
      </c>
      <c r="I3211" s="431">
        <v>45288.0</v>
      </c>
      <c r="J3211" s="149">
        <v>45806.0</v>
      </c>
      <c r="K3211" s="65"/>
      <c r="L3211" s="65"/>
      <c r="M3211" s="156" t="s">
        <v>18828</v>
      </c>
      <c r="N3211" s="156" t="s">
        <v>18816</v>
      </c>
      <c r="O3211" s="65"/>
      <c r="P3211" s="379" t="s">
        <v>18817</v>
      </c>
      <c r="Q3211" s="2312" t="str">
        <f> hyperlink(vlookup(lower(N3211),'File Links'!E:F, 2, FALSE), "LINK")</f>
        <v>LINK</v>
      </c>
      <c r="R3211" s="156" t="s">
        <v>18818</v>
      </c>
      <c r="S3211" s="156" t="s">
        <v>18819</v>
      </c>
      <c r="T3211" s="65"/>
      <c r="U3211" s="65"/>
      <c r="V3211" s="379" t="s">
        <v>18820</v>
      </c>
      <c r="W3211" s="1225"/>
      <c r="X3211" s="2313" t="str">
        <f> hyperlink(vlookup(lower(S3211),'File Links'!E:F, 2, FALSE), "LINK")</f>
        <v>LINK</v>
      </c>
      <c r="Y3211" s="156" t="s">
        <v>131</v>
      </c>
      <c r="Z3211" s="156" t="s">
        <v>219</v>
      </c>
      <c r="AA3211" s="156" t="s">
        <v>18864</v>
      </c>
      <c r="AB3211" s="156" t="s">
        <v>18865</v>
      </c>
      <c r="AC3211" s="156" t="s">
        <v>18866</v>
      </c>
      <c r="AD3211" s="156" t="s">
        <v>18867</v>
      </c>
      <c r="AE3211" s="65" t="s">
        <v>18848</v>
      </c>
      <c r="AF3211" s="153">
        <v>192.0</v>
      </c>
      <c r="AG3211" s="153" t="s">
        <v>18863</v>
      </c>
      <c r="AH3211" s="156" t="s">
        <v>132</v>
      </c>
      <c r="AI3211" s="156" t="s">
        <v>18848</v>
      </c>
      <c r="AJ3211" s="153">
        <v>0.82</v>
      </c>
      <c r="AK3211" s="156" t="s">
        <v>165</v>
      </c>
      <c r="AL3211" s="156" t="s">
        <v>129</v>
      </c>
      <c r="AM3211" s="156" t="s">
        <v>130</v>
      </c>
      <c r="AN3211" s="156" t="s">
        <v>131</v>
      </c>
      <c r="AO3211" s="153">
        <v>396.0</v>
      </c>
      <c r="AP3211" s="153">
        <v>0.003</v>
      </c>
      <c r="AQ3211" s="156" t="s">
        <v>132</v>
      </c>
      <c r="AR3211" s="156" t="s">
        <v>125</v>
      </c>
      <c r="AS3211" s="153">
        <v>0.28</v>
      </c>
      <c r="AT3211" s="156" t="s">
        <v>165</v>
      </c>
      <c r="AU3211" s="156" t="s">
        <v>129</v>
      </c>
      <c r="AV3211" s="156" t="s">
        <v>130</v>
      </c>
      <c r="AW3211" s="432" t="s">
        <v>18849</v>
      </c>
      <c r="AX3211" s="156" t="s">
        <v>136</v>
      </c>
      <c r="AZ3211" s="1060" t="s">
        <v>13197</v>
      </c>
    </row>
    <row r="3212" ht="15.75" customHeight="1">
      <c r="A3212" s="41">
        <v>3010.0</v>
      </c>
      <c r="B3212" s="126" t="s">
        <v>516</v>
      </c>
      <c r="C3212" s="59" t="s">
        <v>108</v>
      </c>
      <c r="D3212" s="59" t="s">
        <v>18432</v>
      </c>
      <c r="F3212" s="65" t="s">
        <v>15655</v>
      </c>
      <c r="G3212" s="156" t="s">
        <v>15656</v>
      </c>
      <c r="H3212" s="156" t="s">
        <v>18433</v>
      </c>
      <c r="I3212" s="149">
        <v>45805.0</v>
      </c>
      <c r="J3212" s="859"/>
      <c r="K3212" s="65"/>
      <c r="L3212" s="65"/>
      <c r="M3212" s="156" t="s">
        <v>18868</v>
      </c>
      <c r="N3212" s="156" t="s">
        <v>15660</v>
      </c>
      <c r="O3212" s="153">
        <v>1.0</v>
      </c>
      <c r="P3212" s="379" t="s">
        <v>15661</v>
      </c>
      <c r="Q3212" s="2413" t="str">
        <f> hyperlink(vlookup(lower(N3212),'File Links'!E:F, 2, FALSE), "LINK")</f>
        <v>LINK</v>
      </c>
      <c r="R3212" s="156" t="s">
        <v>18869</v>
      </c>
      <c r="S3212" s="156" t="s">
        <v>15663</v>
      </c>
      <c r="T3212" s="65"/>
      <c r="U3212" s="153">
        <v>1.0</v>
      </c>
      <c r="V3212" s="379" t="s">
        <v>15664</v>
      </c>
      <c r="W3212" s="1225"/>
      <c r="X3212" s="2313" t="str">
        <f> hyperlink(vlookup(lower(S3212),'File Links'!E:F, 2, FALSE), "LINK")</f>
        <v>LINK</v>
      </c>
      <c r="Y3212" s="65"/>
      <c r="Z3212" s="156" t="s">
        <v>219</v>
      </c>
      <c r="AA3212" s="2414" t="s">
        <v>18870</v>
      </c>
      <c r="AB3212" s="2415" t="s">
        <v>18871</v>
      </c>
      <c r="AC3212" s="2414" t="s">
        <v>18872</v>
      </c>
      <c r="AD3212" s="2415" t="s">
        <v>18873</v>
      </c>
      <c r="AE3212" s="153">
        <v>4.0</v>
      </c>
      <c r="AF3212" s="153">
        <v>393.0</v>
      </c>
      <c r="AG3212" s="153">
        <v>0.386</v>
      </c>
      <c r="AH3212" s="156" t="s">
        <v>166</v>
      </c>
      <c r="AI3212" s="156" t="s">
        <v>489</v>
      </c>
      <c r="AJ3212" s="153">
        <v>0.001</v>
      </c>
      <c r="AK3212" s="156" t="s">
        <v>128</v>
      </c>
      <c r="AL3212" s="156" t="s">
        <v>179</v>
      </c>
      <c r="AM3212" s="156" t="s">
        <v>130</v>
      </c>
      <c r="AN3212" s="156" t="s">
        <v>131</v>
      </c>
      <c r="AO3212" s="153">
        <v>246.0</v>
      </c>
      <c r="AP3212" s="153">
        <v>0.47</v>
      </c>
      <c r="AQ3212" s="156" t="s">
        <v>166</v>
      </c>
      <c r="AR3212" s="153">
        <v>4.0</v>
      </c>
      <c r="AS3212" s="153">
        <v>0.001</v>
      </c>
      <c r="AT3212" s="156" t="s">
        <v>128</v>
      </c>
      <c r="AU3212" s="156" t="s">
        <v>211</v>
      </c>
      <c r="AV3212" s="156" t="s">
        <v>130</v>
      </c>
      <c r="AW3212" s="432" t="s">
        <v>18874</v>
      </c>
      <c r="AX3212" s="156" t="s">
        <v>136</v>
      </c>
      <c r="AZ3212" s="1060" t="s">
        <v>13197</v>
      </c>
    </row>
    <row r="3213" ht="15.75" customHeight="1">
      <c r="A3213" s="41">
        <v>3008.0</v>
      </c>
      <c r="B3213" s="126" t="s">
        <v>516</v>
      </c>
      <c r="C3213" s="59" t="s">
        <v>108</v>
      </c>
      <c r="D3213" s="59" t="s">
        <v>18432</v>
      </c>
      <c r="F3213" s="65" t="s">
        <v>18875</v>
      </c>
      <c r="G3213" s="156" t="s">
        <v>18876</v>
      </c>
      <c r="H3213" s="156" t="s">
        <v>18433</v>
      </c>
      <c r="I3213" s="149">
        <v>45806.0</v>
      </c>
      <c r="J3213" s="859"/>
      <c r="K3213" s="156" t="s">
        <v>18877</v>
      </c>
      <c r="L3213" s="65"/>
      <c r="M3213" s="156" t="s">
        <v>18878</v>
      </c>
      <c r="N3213" s="156" t="s">
        <v>18879</v>
      </c>
      <c r="O3213" s="153">
        <v>2.0</v>
      </c>
      <c r="P3213" s="379" t="s">
        <v>18879</v>
      </c>
      <c r="Q3213" s="2413" t="str">
        <f> hyperlink(vlookup(lower(N3213),'File Links'!E:F, 2, FALSE), "LINK")</f>
        <v>LINK</v>
      </c>
      <c r="R3213" s="156" t="s">
        <v>18880</v>
      </c>
      <c r="S3213" s="156" t="s">
        <v>18881</v>
      </c>
      <c r="T3213" s="65"/>
      <c r="U3213" s="333">
        <v>1.0</v>
      </c>
      <c r="V3213" s="156" t="s">
        <v>18881</v>
      </c>
      <c r="W3213" s="1225"/>
      <c r="X3213" s="2313" t="str">
        <f> hyperlink(vlookup(lower(S3213),'File Links'!E:F, 2, FALSE), "LINK")</f>
        <v>LINK</v>
      </c>
      <c r="Y3213" s="65"/>
      <c r="Z3213" s="156" t="s">
        <v>219</v>
      </c>
      <c r="AA3213" s="156" t="s">
        <v>18882</v>
      </c>
      <c r="AB3213" s="2416" t="s">
        <v>18883</v>
      </c>
      <c r="AC3213" s="2416" t="s">
        <v>18884</v>
      </c>
      <c r="AD3213" s="2409" t="s">
        <v>18885</v>
      </c>
      <c r="AE3213" s="153">
        <v>9.0</v>
      </c>
      <c r="AF3213" s="153">
        <v>377.0</v>
      </c>
      <c r="AG3213" s="153">
        <v>0.03</v>
      </c>
      <c r="AH3213" s="156" t="s">
        <v>132</v>
      </c>
      <c r="AI3213" s="156" t="s">
        <v>8618</v>
      </c>
      <c r="AJ3213" s="1471">
        <v>0.002</v>
      </c>
      <c r="AK3213" s="156" t="s">
        <v>165</v>
      </c>
      <c r="AL3213" s="156" t="s">
        <v>211</v>
      </c>
      <c r="AM3213" s="156" t="s">
        <v>130</v>
      </c>
      <c r="AN3213" s="156" t="s">
        <v>131</v>
      </c>
      <c r="AO3213" s="153">
        <v>1502.0</v>
      </c>
      <c r="AP3213" s="153">
        <v>0.0</v>
      </c>
      <c r="AQ3213" s="156" t="s">
        <v>867</v>
      </c>
      <c r="AR3213" s="153">
        <v>4.0</v>
      </c>
      <c r="AS3213" s="153">
        <v>0.3</v>
      </c>
      <c r="AT3213" s="156" t="s">
        <v>165</v>
      </c>
      <c r="AU3213" s="156" t="s">
        <v>179</v>
      </c>
      <c r="AV3213" s="156" t="s">
        <v>130</v>
      </c>
      <c r="AW3213" s="432" t="s">
        <v>18886</v>
      </c>
      <c r="AX3213" s="156" t="s">
        <v>136</v>
      </c>
    </row>
    <row r="3214" ht="15.75" customHeight="1">
      <c r="A3214" s="41">
        <v>2765.0</v>
      </c>
      <c r="B3214" s="126" t="s">
        <v>516</v>
      </c>
      <c r="C3214" s="59" t="s">
        <v>108</v>
      </c>
      <c r="D3214" s="59" t="s">
        <v>214</v>
      </c>
      <c r="F3214" s="156" t="s">
        <v>18887</v>
      </c>
      <c r="G3214" s="156" t="s">
        <v>18888</v>
      </c>
      <c r="H3214" s="156" t="s">
        <v>215</v>
      </c>
      <c r="I3214" s="149">
        <v>45801.0</v>
      </c>
      <c r="J3214" s="859"/>
      <c r="K3214" s="156" t="s">
        <v>18889</v>
      </c>
      <c r="L3214" s="156" t="s">
        <v>12807</v>
      </c>
      <c r="M3214" s="156" t="s">
        <v>18890</v>
      </c>
      <c r="N3214" s="156" t="s">
        <v>18891</v>
      </c>
      <c r="O3214" s="65"/>
      <c r="P3214" s="379" t="s">
        <v>18892</v>
      </c>
      <c r="Q3214" s="2312" t="str">
        <f> hyperlink(vlookup(lower(N3214),'File Links'!E:F, 2, FALSE), "LINK")</f>
        <v>LINK</v>
      </c>
      <c r="R3214" s="156" t="s">
        <v>14975</v>
      </c>
      <c r="S3214" s="156" t="s">
        <v>14976</v>
      </c>
      <c r="T3214" s="65"/>
      <c r="U3214" s="153">
        <v>3.0</v>
      </c>
      <c r="V3214" s="379" t="s">
        <v>14977</v>
      </c>
      <c r="W3214" s="1225"/>
      <c r="X3214" s="2313" t="str">
        <f> hyperlink(vlookup(lower(S3214),'File Links'!E:F, 2, FALSE), "LINK")</f>
        <v>LINK</v>
      </c>
      <c r="Y3214" s="65"/>
      <c r="Z3214" s="156" t="s">
        <v>141</v>
      </c>
      <c r="AA3214" s="156" t="s">
        <v>14978</v>
      </c>
      <c r="AB3214" s="156" t="s">
        <v>18893</v>
      </c>
      <c r="AC3214" s="156" t="s">
        <v>14979</v>
      </c>
      <c r="AD3214" s="156" t="s">
        <v>18894</v>
      </c>
      <c r="AE3214" s="156" t="s">
        <v>210</v>
      </c>
      <c r="AF3214" s="153">
        <v>83.0</v>
      </c>
      <c r="AG3214" s="153">
        <v>0.2</v>
      </c>
      <c r="AH3214" s="156" t="s">
        <v>132</v>
      </c>
      <c r="AI3214" s="156" t="s">
        <v>210</v>
      </c>
      <c r="AJ3214" s="153">
        <v>0.004</v>
      </c>
      <c r="AK3214" s="156" t="s">
        <v>165</v>
      </c>
      <c r="AL3214" s="156" t="s">
        <v>129</v>
      </c>
      <c r="AM3214" s="156" t="s">
        <v>134</v>
      </c>
      <c r="AN3214" s="307" t="s">
        <v>18895</v>
      </c>
      <c r="AO3214" s="153">
        <v>44.0</v>
      </c>
      <c r="AP3214" s="1471">
        <v>-0.03</v>
      </c>
      <c r="AQ3214" s="156" t="s">
        <v>14945</v>
      </c>
      <c r="AR3214" s="156" t="s">
        <v>621</v>
      </c>
      <c r="AS3214" s="153">
        <v>0.83</v>
      </c>
      <c r="AT3214" s="156" t="s">
        <v>165</v>
      </c>
      <c r="AU3214" s="156" t="s">
        <v>129</v>
      </c>
      <c r="AV3214" s="156" t="s">
        <v>134</v>
      </c>
      <c r="AW3214" s="307" t="s">
        <v>18896</v>
      </c>
      <c r="AX3214" s="156" t="s">
        <v>144</v>
      </c>
      <c r="AZ3214" s="1060" t="s">
        <v>13197</v>
      </c>
    </row>
    <row r="3215" ht="15.75" customHeight="1">
      <c r="A3215" s="41">
        <v>2782.0</v>
      </c>
      <c r="B3215" s="126" t="s">
        <v>516</v>
      </c>
      <c r="C3215" s="59" t="s">
        <v>108</v>
      </c>
      <c r="D3215" s="59" t="s">
        <v>2623</v>
      </c>
      <c r="F3215" s="156" t="s">
        <v>18887</v>
      </c>
      <c r="G3215" s="156" t="s">
        <v>18888</v>
      </c>
      <c r="H3215" s="156" t="s">
        <v>18897</v>
      </c>
      <c r="I3215" s="149">
        <v>45331.0</v>
      </c>
      <c r="J3215" s="149">
        <v>45806.0</v>
      </c>
      <c r="K3215" s="65"/>
      <c r="L3215" s="156" t="s">
        <v>12807</v>
      </c>
      <c r="M3215" s="156" t="s">
        <v>18890</v>
      </c>
      <c r="N3215" s="156" t="s">
        <v>18891</v>
      </c>
      <c r="O3215" s="65"/>
      <c r="P3215" s="379" t="s">
        <v>18892</v>
      </c>
      <c r="Q3215" s="2312" t="str">
        <f> hyperlink(vlookup(lower(N3215),'File Links'!E:F, 2, FALSE), "LINK")</f>
        <v>LINK</v>
      </c>
      <c r="R3215" s="156" t="s">
        <v>14975</v>
      </c>
      <c r="S3215" s="156" t="s">
        <v>14976</v>
      </c>
      <c r="T3215" s="65"/>
      <c r="U3215" s="65"/>
      <c r="V3215" s="379" t="s">
        <v>14977</v>
      </c>
      <c r="W3215" s="1225"/>
      <c r="X3215" s="2313" t="str">
        <f> hyperlink(vlookup(lower(S3215),'File Links'!E:F, 2, FALSE), "LINK")</f>
        <v>LINK</v>
      </c>
      <c r="Y3215" s="156" t="s">
        <v>131</v>
      </c>
      <c r="Z3215" s="156" t="s">
        <v>141</v>
      </c>
      <c r="AA3215" s="156" t="s">
        <v>18898</v>
      </c>
      <c r="AB3215" s="156" t="s">
        <v>18899</v>
      </c>
      <c r="AC3215" s="156" t="s">
        <v>18900</v>
      </c>
      <c r="AD3215" s="156" t="s">
        <v>18901</v>
      </c>
      <c r="AE3215" s="156" t="s">
        <v>210</v>
      </c>
      <c r="AF3215" s="153">
        <v>50.0</v>
      </c>
      <c r="AG3215" s="153">
        <v>0.155</v>
      </c>
      <c r="AH3215" s="156" t="s">
        <v>132</v>
      </c>
      <c r="AI3215" s="156" t="s">
        <v>210</v>
      </c>
      <c r="AJ3215" s="153">
        <v>0.004</v>
      </c>
      <c r="AK3215" s="156" t="s">
        <v>165</v>
      </c>
      <c r="AL3215" s="156" t="s">
        <v>129</v>
      </c>
      <c r="AM3215" s="156" t="s">
        <v>130</v>
      </c>
      <c r="AN3215" s="307" t="s">
        <v>18902</v>
      </c>
      <c r="AO3215" s="153">
        <v>44.0</v>
      </c>
      <c r="AP3215" s="560">
        <v>0.03</v>
      </c>
      <c r="AQ3215" s="156" t="s">
        <v>132</v>
      </c>
      <c r="AR3215" s="65" t="s">
        <v>843</v>
      </c>
      <c r="AS3215" s="153">
        <v>0.253</v>
      </c>
      <c r="AT3215" s="156" t="s">
        <v>165</v>
      </c>
      <c r="AU3215" s="156" t="s">
        <v>129</v>
      </c>
      <c r="AV3215" s="156" t="s">
        <v>134</v>
      </c>
      <c r="AW3215" s="307" t="s">
        <v>18903</v>
      </c>
      <c r="AX3215" s="156" t="s">
        <v>144</v>
      </c>
      <c r="AZ3215" s="1060" t="s">
        <v>13197</v>
      </c>
    </row>
    <row r="3216" ht="15.75" customHeight="1">
      <c r="A3216" s="41">
        <v>2766.0</v>
      </c>
      <c r="B3216" s="126" t="s">
        <v>516</v>
      </c>
      <c r="C3216" s="59" t="s">
        <v>108</v>
      </c>
      <c r="D3216" s="59" t="s">
        <v>214</v>
      </c>
      <c r="F3216" s="156" t="s">
        <v>18904</v>
      </c>
      <c r="G3216" s="156" t="s">
        <v>18905</v>
      </c>
      <c r="H3216" s="156" t="s">
        <v>215</v>
      </c>
      <c r="I3216" s="149">
        <v>45801.0</v>
      </c>
      <c r="J3216" s="859"/>
      <c r="K3216" s="65"/>
      <c r="L3216" s="156" t="s">
        <v>18906</v>
      </c>
      <c r="M3216" s="156" t="s">
        <v>18890</v>
      </c>
      <c r="N3216" s="156" t="s">
        <v>18891</v>
      </c>
      <c r="O3216" s="65"/>
      <c r="P3216" s="379" t="s">
        <v>18892</v>
      </c>
      <c r="Q3216" s="2312" t="str">
        <f> hyperlink(vlookup(lower(N3216),'File Links'!E:F, 2, FALSE), "LINK")</f>
        <v>LINK</v>
      </c>
      <c r="R3216" s="156" t="s">
        <v>18907</v>
      </c>
      <c r="S3216" s="156" t="s">
        <v>18908</v>
      </c>
      <c r="T3216" s="65"/>
      <c r="U3216" s="65"/>
      <c r="V3216" s="379" t="s">
        <v>18909</v>
      </c>
      <c r="W3216" s="1225"/>
      <c r="X3216" s="2313" t="str">
        <f> hyperlink(vlookup(lower(S3216),'File Links'!E:F, 2, FALSE), "LINK")</f>
        <v>LINK</v>
      </c>
      <c r="Y3216" s="65"/>
      <c r="Z3216" s="156" t="s">
        <v>141</v>
      </c>
      <c r="AA3216" s="156" t="s">
        <v>14978</v>
      </c>
      <c r="AB3216" s="156" t="s">
        <v>18910</v>
      </c>
      <c r="AC3216" s="156" t="s">
        <v>14979</v>
      </c>
      <c r="AD3216" s="156" t="s">
        <v>18911</v>
      </c>
      <c r="AE3216" s="156" t="s">
        <v>210</v>
      </c>
      <c r="AF3216" s="153">
        <v>83.0</v>
      </c>
      <c r="AG3216" s="153">
        <v>0.2</v>
      </c>
      <c r="AH3216" s="156" t="s">
        <v>132</v>
      </c>
      <c r="AI3216" s="156" t="s">
        <v>210</v>
      </c>
      <c r="AJ3216" s="153">
        <v>0.003</v>
      </c>
      <c r="AK3216" s="156" t="s">
        <v>165</v>
      </c>
      <c r="AL3216" s="156" t="s">
        <v>129</v>
      </c>
      <c r="AM3216" s="156" t="s">
        <v>1898</v>
      </c>
      <c r="AN3216" s="156" t="s">
        <v>131</v>
      </c>
      <c r="AO3216" s="153">
        <v>443.0</v>
      </c>
      <c r="AP3216" s="1471">
        <v>0.003</v>
      </c>
      <c r="AQ3216" s="156" t="s">
        <v>132</v>
      </c>
      <c r="AR3216" s="156" t="s">
        <v>843</v>
      </c>
      <c r="AS3216" s="153">
        <v>0.119</v>
      </c>
      <c r="AT3216" s="156" t="s">
        <v>165</v>
      </c>
      <c r="AU3216" s="156" t="s">
        <v>129</v>
      </c>
      <c r="AV3216" s="156" t="s">
        <v>1898</v>
      </c>
      <c r="AW3216" s="307" t="s">
        <v>18912</v>
      </c>
      <c r="AX3216" s="156" t="s">
        <v>136</v>
      </c>
      <c r="AZ3216" s="1060" t="s">
        <v>13197</v>
      </c>
    </row>
    <row r="3217" ht="15.75" customHeight="1">
      <c r="A3217" s="41">
        <v>2783.0</v>
      </c>
      <c r="B3217" s="126" t="s">
        <v>516</v>
      </c>
      <c r="C3217" s="59" t="s">
        <v>108</v>
      </c>
      <c r="D3217" s="59" t="s">
        <v>2623</v>
      </c>
      <c r="F3217" s="156" t="s">
        <v>18904</v>
      </c>
      <c r="G3217" s="156" t="s">
        <v>18905</v>
      </c>
      <c r="H3217" s="156" t="s">
        <v>18897</v>
      </c>
      <c r="I3217" s="149">
        <v>45331.0</v>
      </c>
      <c r="J3217" s="149">
        <v>45806.0</v>
      </c>
      <c r="K3217" s="65"/>
      <c r="L3217" s="65"/>
      <c r="M3217" s="156" t="s">
        <v>18890</v>
      </c>
      <c r="N3217" s="156" t="s">
        <v>18891</v>
      </c>
      <c r="O3217" s="65"/>
      <c r="P3217" s="379" t="s">
        <v>18892</v>
      </c>
      <c r="Q3217" s="2312" t="str">
        <f> hyperlink(vlookup(lower(N3217),'File Links'!E:F, 2, FALSE), "LINK")</f>
        <v>LINK</v>
      </c>
      <c r="R3217" s="156" t="s">
        <v>18907</v>
      </c>
      <c r="S3217" s="156" t="s">
        <v>18908</v>
      </c>
      <c r="T3217" s="65"/>
      <c r="U3217" s="65"/>
      <c r="V3217" s="379" t="s">
        <v>18909</v>
      </c>
      <c r="W3217" s="1225"/>
      <c r="X3217" s="2313" t="str">
        <f> hyperlink(vlookup(lower(S3217),'File Links'!E:F, 2, FALSE), "LINK")</f>
        <v>LINK</v>
      </c>
      <c r="Y3217" s="156" t="s">
        <v>131</v>
      </c>
      <c r="Z3217" s="156" t="s">
        <v>141</v>
      </c>
      <c r="AA3217" s="156" t="s">
        <v>18898</v>
      </c>
      <c r="AB3217" s="156" t="s">
        <v>18899</v>
      </c>
      <c r="AC3217" s="156" t="s">
        <v>18900</v>
      </c>
      <c r="AD3217" s="156" t="s">
        <v>18901</v>
      </c>
      <c r="AE3217" s="156" t="s">
        <v>210</v>
      </c>
      <c r="AF3217" s="153">
        <v>50.0</v>
      </c>
      <c r="AG3217" s="153">
        <v>0.155</v>
      </c>
      <c r="AH3217" s="156" t="s">
        <v>132</v>
      </c>
      <c r="AI3217" s="156" t="s">
        <v>210</v>
      </c>
      <c r="AJ3217" s="153">
        <v>0.004</v>
      </c>
      <c r="AK3217" s="156" t="s">
        <v>165</v>
      </c>
      <c r="AL3217" s="156" t="s">
        <v>129</v>
      </c>
      <c r="AM3217" s="156" t="s">
        <v>130</v>
      </c>
      <c r="AN3217" s="307" t="s">
        <v>18902</v>
      </c>
      <c r="AO3217" s="153">
        <v>109.0</v>
      </c>
      <c r="AP3217" s="1471">
        <v>0.0</v>
      </c>
      <c r="AQ3217" s="156" t="s">
        <v>132</v>
      </c>
      <c r="AR3217" s="156" t="s">
        <v>806</v>
      </c>
      <c r="AS3217" s="153">
        <v>0.944</v>
      </c>
      <c r="AT3217" s="156" t="s">
        <v>165</v>
      </c>
      <c r="AU3217" s="156" t="s">
        <v>129</v>
      </c>
      <c r="AV3217" s="156" t="s">
        <v>134</v>
      </c>
      <c r="AW3217" s="432" t="s">
        <v>18913</v>
      </c>
      <c r="AX3217" s="156" t="s">
        <v>136</v>
      </c>
      <c r="AZ3217" s="1060" t="s">
        <v>13197</v>
      </c>
    </row>
    <row r="3218" ht="15.75" customHeight="1">
      <c r="A3218" s="41">
        <v>2767.0</v>
      </c>
      <c r="B3218" s="126" t="s">
        <v>516</v>
      </c>
      <c r="C3218" s="59" t="s">
        <v>108</v>
      </c>
      <c r="D3218" s="59" t="s">
        <v>214</v>
      </c>
      <c r="F3218" s="65" t="s">
        <v>18914</v>
      </c>
      <c r="G3218" s="156" t="s">
        <v>18915</v>
      </c>
      <c r="H3218" s="156" t="s">
        <v>215</v>
      </c>
      <c r="I3218" s="149">
        <v>45801.0</v>
      </c>
      <c r="J3218" s="859"/>
      <c r="K3218" s="65"/>
      <c r="L3218" s="65"/>
      <c r="M3218" s="156" t="s">
        <v>18890</v>
      </c>
      <c r="N3218" s="156" t="s">
        <v>18891</v>
      </c>
      <c r="O3218" s="65"/>
      <c r="P3218" s="379" t="s">
        <v>18892</v>
      </c>
      <c r="Q3218" s="2312" t="str">
        <f> hyperlink(vlookup(lower(N3218),'File Links'!E:F, 2, FALSE), "LINK")</f>
        <v>LINK</v>
      </c>
      <c r="R3218" s="156" t="s">
        <v>18916</v>
      </c>
      <c r="S3218" s="156" t="s">
        <v>14954</v>
      </c>
      <c r="T3218" s="65"/>
      <c r="U3218" s="65"/>
      <c r="V3218" s="379" t="s">
        <v>14955</v>
      </c>
      <c r="W3218" s="1225"/>
      <c r="X3218" s="2313" t="str">
        <f> hyperlink(vlookup(lower(S3218),'File Links'!E:F, 2, FALSE), "LINK")</f>
        <v>LINK</v>
      </c>
      <c r="Y3218" s="65"/>
      <c r="Z3218" s="156" t="s">
        <v>141</v>
      </c>
      <c r="AA3218" s="156" t="s">
        <v>14978</v>
      </c>
      <c r="AB3218" s="156" t="s">
        <v>18910</v>
      </c>
      <c r="AC3218" s="156" t="s">
        <v>14979</v>
      </c>
      <c r="AD3218" s="156" t="s">
        <v>18917</v>
      </c>
      <c r="AE3218" s="156" t="s">
        <v>210</v>
      </c>
      <c r="AF3218" s="153">
        <v>83.0</v>
      </c>
      <c r="AG3218" s="153">
        <v>0.2</v>
      </c>
      <c r="AH3218" s="156" t="s">
        <v>132</v>
      </c>
      <c r="AI3218" s="156" t="s">
        <v>210</v>
      </c>
      <c r="AJ3218" s="153">
        <v>0.03</v>
      </c>
      <c r="AK3218" s="156" t="s">
        <v>165</v>
      </c>
      <c r="AL3218" s="156" t="s">
        <v>129</v>
      </c>
      <c r="AM3218" s="156" t="s">
        <v>130</v>
      </c>
      <c r="AN3218" s="156" t="s">
        <v>131</v>
      </c>
      <c r="AO3218" s="153">
        <v>14.0</v>
      </c>
      <c r="AP3218" s="1471">
        <v>0.27</v>
      </c>
      <c r="AQ3218" s="156" t="s">
        <v>132</v>
      </c>
      <c r="AR3218" s="156" t="s">
        <v>806</v>
      </c>
      <c r="AS3218" s="153">
        <v>0.06</v>
      </c>
      <c r="AT3218" s="156" t="s">
        <v>165</v>
      </c>
      <c r="AU3218" s="156" t="s">
        <v>129</v>
      </c>
      <c r="AV3218" s="156" t="s">
        <v>1898</v>
      </c>
      <c r="AW3218" s="156" t="s">
        <v>131</v>
      </c>
      <c r="AX3218" s="156" t="s">
        <v>136</v>
      </c>
      <c r="AZ3218" s="1060" t="s">
        <v>13197</v>
      </c>
    </row>
    <row r="3219" ht="15.75" customHeight="1">
      <c r="A3219" s="41">
        <v>2784.0</v>
      </c>
      <c r="B3219" s="126" t="s">
        <v>516</v>
      </c>
      <c r="C3219" s="59" t="s">
        <v>108</v>
      </c>
      <c r="D3219" s="59" t="s">
        <v>2623</v>
      </c>
      <c r="F3219" s="65" t="s">
        <v>18914</v>
      </c>
      <c r="G3219" s="156" t="s">
        <v>18915</v>
      </c>
      <c r="H3219" s="156" t="s">
        <v>18897</v>
      </c>
      <c r="I3219" s="149">
        <v>45331.0</v>
      </c>
      <c r="J3219" s="149">
        <v>45806.0</v>
      </c>
      <c r="K3219" s="65"/>
      <c r="L3219" s="65"/>
      <c r="M3219" s="156" t="s">
        <v>18890</v>
      </c>
      <c r="N3219" s="156" t="s">
        <v>18891</v>
      </c>
      <c r="O3219" s="65"/>
      <c r="P3219" s="379" t="s">
        <v>18892</v>
      </c>
      <c r="Q3219" s="2312" t="str">
        <f> hyperlink(vlookup(lower(N3219),'File Links'!E:F, 2, FALSE), "LINK")</f>
        <v>LINK</v>
      </c>
      <c r="R3219" s="156" t="s">
        <v>18916</v>
      </c>
      <c r="S3219" s="156" t="s">
        <v>14954</v>
      </c>
      <c r="T3219" s="65"/>
      <c r="U3219" s="65"/>
      <c r="V3219" s="379" t="s">
        <v>14955</v>
      </c>
      <c r="W3219" s="1225"/>
      <c r="X3219" s="2313" t="str">
        <f> hyperlink(vlookup(lower(S3219),'File Links'!E:F, 2, FALSE), "LINK")</f>
        <v>LINK</v>
      </c>
      <c r="Y3219" s="156" t="s">
        <v>131</v>
      </c>
      <c r="Z3219" s="156" t="s">
        <v>141</v>
      </c>
      <c r="AA3219" s="156" t="s">
        <v>18898</v>
      </c>
      <c r="AB3219" s="156" t="s">
        <v>18899</v>
      </c>
      <c r="AC3219" s="156" t="s">
        <v>18900</v>
      </c>
      <c r="AD3219" s="156" t="s">
        <v>18901</v>
      </c>
      <c r="AE3219" s="156" t="s">
        <v>210</v>
      </c>
      <c r="AF3219" s="153">
        <v>50.0</v>
      </c>
      <c r="AG3219" s="153">
        <v>0.155</v>
      </c>
      <c r="AH3219" s="156" t="s">
        <v>132</v>
      </c>
      <c r="AI3219" s="156" t="s">
        <v>210</v>
      </c>
      <c r="AJ3219" s="153">
        <v>0.004</v>
      </c>
      <c r="AK3219" s="156" t="s">
        <v>165</v>
      </c>
      <c r="AL3219" s="156" t="s">
        <v>129</v>
      </c>
      <c r="AM3219" s="156" t="s">
        <v>130</v>
      </c>
      <c r="AN3219" s="307" t="s">
        <v>18902</v>
      </c>
      <c r="AO3219" s="153">
        <v>45.0</v>
      </c>
      <c r="AP3219" s="1471">
        <v>0.09</v>
      </c>
      <c r="AQ3219" s="156" t="s">
        <v>132</v>
      </c>
      <c r="AR3219" s="156" t="s">
        <v>125</v>
      </c>
      <c r="AS3219" s="153">
        <v>0.044</v>
      </c>
      <c r="AT3219" s="156" t="s">
        <v>165</v>
      </c>
      <c r="AU3219" s="156" t="s">
        <v>129</v>
      </c>
      <c r="AV3219" s="156" t="s">
        <v>134</v>
      </c>
      <c r="AW3219" s="432" t="s">
        <v>18902</v>
      </c>
      <c r="AX3219" s="156" t="s">
        <v>431</v>
      </c>
      <c r="AZ3219" s="1060" t="s">
        <v>13197</v>
      </c>
    </row>
    <row r="3220" ht="15.75" customHeight="1">
      <c r="A3220" s="41">
        <v>3005.0</v>
      </c>
      <c r="B3220" s="126" t="s">
        <v>516</v>
      </c>
      <c r="C3220" s="59" t="s">
        <v>108</v>
      </c>
      <c r="D3220" s="59" t="s">
        <v>18432</v>
      </c>
      <c r="F3220" s="65" t="s">
        <v>14972</v>
      </c>
      <c r="G3220" s="156" t="s">
        <v>14973</v>
      </c>
      <c r="H3220" s="65" t="s">
        <v>18433</v>
      </c>
      <c r="I3220" s="149">
        <v>45806.0</v>
      </c>
      <c r="J3220" s="859"/>
      <c r="K3220" s="65"/>
      <c r="L3220" s="65"/>
      <c r="M3220" s="156" t="s">
        <v>14974</v>
      </c>
      <c r="N3220" s="156" t="s">
        <v>14954</v>
      </c>
      <c r="O3220" s="156" t="s">
        <v>4419</v>
      </c>
      <c r="P3220" s="379" t="s">
        <v>14955</v>
      </c>
      <c r="Q3220" s="2413" t="str">
        <f> hyperlink(vlookup(lower(N3220),'File Links'!E:F, 2, FALSE), "LINK")</f>
        <v>LINK</v>
      </c>
      <c r="R3220" s="156" t="s">
        <v>14975</v>
      </c>
      <c r="S3220" s="156" t="s">
        <v>14976</v>
      </c>
      <c r="T3220" s="65"/>
      <c r="U3220" s="156" t="s">
        <v>4725</v>
      </c>
      <c r="V3220" s="379" t="s">
        <v>14977</v>
      </c>
      <c r="W3220" s="1225"/>
      <c r="X3220" s="2417" t="str">
        <f> hyperlink(vlookup(lower(S3220),'File Links'!E:F, 2, FALSE), "LINK")</f>
        <v>LINK</v>
      </c>
      <c r="Y3220" s="65"/>
      <c r="Z3220" s="156" t="s">
        <v>141</v>
      </c>
      <c r="AA3220" s="2403" t="s">
        <v>18918</v>
      </c>
      <c r="AB3220" s="2403" t="s">
        <v>18919</v>
      </c>
      <c r="AC3220" s="2403" t="s">
        <v>18920</v>
      </c>
      <c r="AD3220" s="2418" t="s">
        <v>18921</v>
      </c>
      <c r="AE3220" s="333">
        <v>3.0</v>
      </c>
      <c r="AF3220" s="333">
        <v>14.0</v>
      </c>
      <c r="AG3220" s="333">
        <v>0.27</v>
      </c>
      <c r="AH3220" s="65" t="s">
        <v>867</v>
      </c>
      <c r="AI3220" s="65" t="s">
        <v>500</v>
      </c>
      <c r="AJ3220" s="333">
        <v>0.018</v>
      </c>
      <c r="AK3220" s="65" t="s">
        <v>165</v>
      </c>
      <c r="AL3220" s="65" t="s">
        <v>179</v>
      </c>
      <c r="AM3220" s="65" t="s">
        <v>134</v>
      </c>
      <c r="AN3220" s="65" t="s">
        <v>131</v>
      </c>
      <c r="AO3220" s="333">
        <v>38.0</v>
      </c>
      <c r="AP3220" s="333">
        <v>0.04</v>
      </c>
      <c r="AQ3220" s="65" t="s">
        <v>867</v>
      </c>
      <c r="AR3220" s="591" t="s">
        <v>18922</v>
      </c>
      <c r="AS3220" s="333">
        <v>0.194</v>
      </c>
      <c r="AT3220" s="65" t="s">
        <v>165</v>
      </c>
      <c r="AU3220" s="65" t="s">
        <v>179</v>
      </c>
      <c r="AV3220" s="65" t="s">
        <v>134</v>
      </c>
      <c r="AW3220" s="432" t="s">
        <v>18923</v>
      </c>
      <c r="AX3220" s="65" t="s">
        <v>136</v>
      </c>
      <c r="AZ3220" s="1060" t="s">
        <v>13197</v>
      </c>
    </row>
    <row r="3221" ht="15.75" customHeight="1">
      <c r="A3221" s="41">
        <v>3006.0</v>
      </c>
      <c r="B3221" s="126" t="s">
        <v>516</v>
      </c>
      <c r="C3221" s="59" t="s">
        <v>108</v>
      </c>
      <c r="D3221" s="59" t="s">
        <v>18432</v>
      </c>
      <c r="F3221" s="65" t="s">
        <v>15714</v>
      </c>
      <c r="G3221" s="156" t="s">
        <v>15715</v>
      </c>
      <c r="H3221" s="156" t="s">
        <v>18433</v>
      </c>
      <c r="I3221" s="149">
        <v>45806.0</v>
      </c>
      <c r="J3221" s="859"/>
      <c r="K3221" s="65" t="s">
        <v>18924</v>
      </c>
      <c r="L3221" s="65"/>
      <c r="M3221" s="156" t="s">
        <v>13158</v>
      </c>
      <c r="N3221" s="156" t="s">
        <v>13159</v>
      </c>
      <c r="O3221" s="333">
        <v>1.0</v>
      </c>
      <c r="P3221" s="379" t="s">
        <v>13160</v>
      </c>
      <c r="Q3221" s="2413" t="str">
        <f> hyperlink(vlookup(lower(N3221),'File Links'!E:F, 2, FALSE), "LINK")</f>
        <v>LINK</v>
      </c>
      <c r="R3221" s="156" t="s">
        <v>15716</v>
      </c>
      <c r="S3221" s="156" t="s">
        <v>15717</v>
      </c>
      <c r="T3221" s="65"/>
      <c r="U3221" s="333">
        <v>1.0</v>
      </c>
      <c r="V3221" s="379" t="s">
        <v>15718</v>
      </c>
      <c r="W3221" s="1225"/>
      <c r="X3221" s="2313" t="str">
        <f> hyperlink(vlookup(lower(S3221),'File Links'!E:F, 2, FALSE), "LINK")</f>
        <v>LINK</v>
      </c>
      <c r="Y3221" s="65"/>
      <c r="Z3221" s="156" t="s">
        <v>1593</v>
      </c>
      <c r="AA3221" s="2419" t="s">
        <v>18925</v>
      </c>
      <c r="AB3221" s="2418" t="s">
        <v>18926</v>
      </c>
      <c r="AC3221" s="2403" t="s">
        <v>18927</v>
      </c>
      <c r="AD3221" s="2418" t="s">
        <v>18928</v>
      </c>
      <c r="AE3221" s="333">
        <v>4.0</v>
      </c>
      <c r="AF3221" s="153">
        <v>20.0</v>
      </c>
      <c r="AG3221" s="333">
        <v>0.22</v>
      </c>
      <c r="AH3221" s="65" t="s">
        <v>867</v>
      </c>
      <c r="AI3221" s="65" t="s">
        <v>489</v>
      </c>
      <c r="AJ3221" s="333">
        <v>0.003</v>
      </c>
      <c r="AK3221" s="65" t="s">
        <v>165</v>
      </c>
      <c r="AL3221" s="65" t="s">
        <v>129</v>
      </c>
      <c r="AM3221" s="65" t="s">
        <v>134</v>
      </c>
      <c r="AN3221" s="65" t="s">
        <v>131</v>
      </c>
      <c r="AO3221" s="153">
        <v>48.0</v>
      </c>
      <c r="AP3221" s="333">
        <v>3.03</v>
      </c>
      <c r="AQ3221" s="65" t="s">
        <v>166</v>
      </c>
      <c r="AR3221" s="333">
        <v>7.0</v>
      </c>
      <c r="AS3221" s="333">
        <v>0.001</v>
      </c>
      <c r="AT3221" s="65" t="s">
        <v>128</v>
      </c>
      <c r="AU3221" s="65" t="s">
        <v>179</v>
      </c>
      <c r="AV3221" s="65" t="s">
        <v>134</v>
      </c>
      <c r="AW3221" s="432" t="s">
        <v>18929</v>
      </c>
      <c r="AX3221" s="65" t="s">
        <v>144</v>
      </c>
      <c r="AZ3221" s="1060" t="s">
        <v>13197</v>
      </c>
    </row>
    <row r="3222" ht="15.75" customHeight="1">
      <c r="A3222" s="41">
        <v>3007.0</v>
      </c>
      <c r="B3222" s="126" t="s">
        <v>516</v>
      </c>
      <c r="C3222" s="59" t="s">
        <v>108</v>
      </c>
      <c r="D3222" s="59" t="s">
        <v>18432</v>
      </c>
      <c r="F3222" s="65" t="s">
        <v>18930</v>
      </c>
      <c r="G3222" s="156" t="s">
        <v>15723</v>
      </c>
      <c r="H3222" s="156" t="s">
        <v>18433</v>
      </c>
      <c r="I3222" s="149">
        <v>45806.0</v>
      </c>
      <c r="J3222" s="859"/>
      <c r="K3222" s="65"/>
      <c r="L3222" s="65"/>
      <c r="M3222" s="156" t="s">
        <v>13158</v>
      </c>
      <c r="N3222" s="156" t="s">
        <v>13159</v>
      </c>
      <c r="O3222" s="333">
        <v>1.0</v>
      </c>
      <c r="P3222" s="379" t="s">
        <v>13160</v>
      </c>
      <c r="Q3222" s="2413" t="str">
        <f> hyperlink(vlookup(lower(N3222),'File Links'!E:F, 2, FALSE), "LINK")</f>
        <v>LINK</v>
      </c>
      <c r="R3222" s="156" t="s">
        <v>15716</v>
      </c>
      <c r="S3222" s="156" t="s">
        <v>15717</v>
      </c>
      <c r="T3222" s="65"/>
      <c r="U3222" s="65" t="s">
        <v>131</v>
      </c>
      <c r="V3222" s="570"/>
      <c r="W3222" s="1225"/>
      <c r="X3222" s="2420"/>
      <c r="Y3222" s="65"/>
      <c r="Z3222" s="156" t="s">
        <v>1593</v>
      </c>
      <c r="AA3222" s="2419" t="s">
        <v>18925</v>
      </c>
      <c r="AB3222" s="2418" t="s">
        <v>18926</v>
      </c>
      <c r="AC3222" s="2403" t="s">
        <v>18927</v>
      </c>
      <c r="AD3222" s="2418" t="s">
        <v>18928</v>
      </c>
      <c r="AE3222" s="333">
        <v>4.0</v>
      </c>
      <c r="AF3222" s="153">
        <v>20.0</v>
      </c>
      <c r="AG3222" s="333">
        <v>0.22</v>
      </c>
      <c r="AH3222" s="65" t="s">
        <v>867</v>
      </c>
      <c r="AI3222" s="65" t="s">
        <v>489</v>
      </c>
      <c r="AJ3222" s="333">
        <v>0.003</v>
      </c>
      <c r="AK3222" s="65" t="s">
        <v>165</v>
      </c>
      <c r="AL3222" s="65" t="s">
        <v>129</v>
      </c>
      <c r="AM3222" s="65" t="s">
        <v>134</v>
      </c>
      <c r="AN3222" s="65" t="s">
        <v>131</v>
      </c>
      <c r="AO3222" s="153">
        <v>53.0</v>
      </c>
      <c r="AP3222" s="333">
        <v>0.93</v>
      </c>
      <c r="AQ3222" s="65" t="s">
        <v>166</v>
      </c>
      <c r="AR3222" s="333">
        <v>8.0</v>
      </c>
      <c r="AS3222" s="333">
        <v>0.006</v>
      </c>
      <c r="AT3222" s="65" t="s">
        <v>165</v>
      </c>
      <c r="AU3222" s="65" t="s">
        <v>179</v>
      </c>
      <c r="AV3222" s="65" t="s">
        <v>134</v>
      </c>
      <c r="AW3222" s="2421" t="s">
        <v>18929</v>
      </c>
      <c r="AX3222" s="65" t="s">
        <v>144</v>
      </c>
      <c r="AZ3222" s="1060" t="s">
        <v>13197</v>
      </c>
    </row>
    <row r="3223" ht="15.75" customHeight="1">
      <c r="A3223" s="41">
        <v>2799.0</v>
      </c>
      <c r="B3223" s="126" t="s">
        <v>516</v>
      </c>
      <c r="C3223" s="59" t="s">
        <v>108</v>
      </c>
      <c r="D3223" s="59" t="s">
        <v>1451</v>
      </c>
      <c r="F3223" s="65" t="s">
        <v>18931</v>
      </c>
      <c r="G3223" s="156" t="s">
        <v>18932</v>
      </c>
      <c r="H3223" s="156" t="s">
        <v>18933</v>
      </c>
      <c r="I3223" s="149">
        <v>45541.0</v>
      </c>
      <c r="J3223" s="149">
        <v>45803.0</v>
      </c>
      <c r="K3223" s="156" t="s">
        <v>131</v>
      </c>
      <c r="L3223" s="156" t="s">
        <v>18934</v>
      </c>
      <c r="M3223" s="156" t="s">
        <v>18935</v>
      </c>
      <c r="N3223" s="677" t="s">
        <v>18936</v>
      </c>
      <c r="O3223" s="156" t="s">
        <v>4085</v>
      </c>
      <c r="P3223" s="379" t="s">
        <v>18937</v>
      </c>
      <c r="Q3223" s="2312" t="str">
        <f> hyperlink(vlookup(lower(N3223),'File Links'!E:F, 2, FALSE), "LINK")</f>
        <v>LINK</v>
      </c>
      <c r="R3223" s="156" t="s">
        <v>18938</v>
      </c>
      <c r="S3223" s="156" t="s">
        <v>18939</v>
      </c>
      <c r="T3223" s="156" t="s">
        <v>131</v>
      </c>
      <c r="U3223" s="153">
        <v>1.0</v>
      </c>
      <c r="V3223" s="379" t="s">
        <v>18940</v>
      </c>
      <c r="W3223" s="1225"/>
      <c r="X3223" s="2313" t="str">
        <f> hyperlink(vlookup(lower(S3223),'File Links'!E:F, 2, FALSE), "LINK")</f>
        <v>LINK</v>
      </c>
      <c r="Y3223" s="156" t="s">
        <v>131</v>
      </c>
      <c r="Z3223" s="156" t="s">
        <v>141</v>
      </c>
      <c r="AA3223" s="156" t="s">
        <v>18941</v>
      </c>
      <c r="AB3223" s="156" t="s">
        <v>18942</v>
      </c>
      <c r="AC3223" s="156" t="s">
        <v>18943</v>
      </c>
      <c r="AD3223" s="156" t="s">
        <v>18944</v>
      </c>
      <c r="AE3223" s="153">
        <v>4.0</v>
      </c>
      <c r="AF3223" s="153">
        <v>419.0</v>
      </c>
      <c r="AG3223" s="153">
        <v>0.4</v>
      </c>
      <c r="AH3223" s="156" t="s">
        <v>166</v>
      </c>
      <c r="AI3223" s="156" t="s">
        <v>489</v>
      </c>
      <c r="AJ3223" s="153">
        <v>0.006</v>
      </c>
      <c r="AK3223" s="156" t="s">
        <v>165</v>
      </c>
      <c r="AL3223" s="156" t="s">
        <v>179</v>
      </c>
      <c r="AM3223" s="156" t="s">
        <v>130</v>
      </c>
      <c r="AN3223" s="156" t="s">
        <v>131</v>
      </c>
      <c r="AO3223" s="153">
        <v>160.0</v>
      </c>
      <c r="AP3223" s="153">
        <v>-0.37</v>
      </c>
      <c r="AQ3223" s="156" t="s">
        <v>166</v>
      </c>
      <c r="AR3223" s="156" t="s">
        <v>617</v>
      </c>
      <c r="AS3223" s="153">
        <v>0.02</v>
      </c>
      <c r="AT3223" s="156" t="s">
        <v>18945</v>
      </c>
      <c r="AU3223" s="156" t="s">
        <v>179</v>
      </c>
      <c r="AV3223" s="156" t="s">
        <v>130</v>
      </c>
      <c r="AW3223" s="432" t="s">
        <v>18946</v>
      </c>
      <c r="AX3223" s="156" t="s">
        <v>136</v>
      </c>
    </row>
    <row r="3224" ht="15.75" customHeight="1">
      <c r="A3224" s="41">
        <v>2800.0</v>
      </c>
      <c r="B3224" s="126" t="s">
        <v>516</v>
      </c>
      <c r="C3224" s="59" t="s">
        <v>108</v>
      </c>
      <c r="D3224" s="59" t="s">
        <v>1451</v>
      </c>
      <c r="F3224" s="65" t="s">
        <v>18947</v>
      </c>
      <c r="G3224" s="156" t="s">
        <v>18948</v>
      </c>
      <c r="H3224" s="156" t="s">
        <v>18933</v>
      </c>
      <c r="I3224" s="149">
        <v>45541.0</v>
      </c>
      <c r="J3224" s="149">
        <v>45803.0</v>
      </c>
      <c r="K3224" s="156" t="s">
        <v>131</v>
      </c>
      <c r="L3224" s="156" t="s">
        <v>18934</v>
      </c>
      <c r="M3224" s="156" t="s">
        <v>18935</v>
      </c>
      <c r="N3224" s="677" t="s">
        <v>18936</v>
      </c>
      <c r="O3224" s="156" t="s">
        <v>5504</v>
      </c>
      <c r="P3224" s="379" t="s">
        <v>18937</v>
      </c>
      <c r="Q3224" s="2312" t="str">
        <f> hyperlink(vlookup(lower(N3224),'File Links'!E:F, 2, FALSE), "LINK")</f>
        <v>LINK</v>
      </c>
      <c r="R3224" s="156" t="s">
        <v>18938</v>
      </c>
      <c r="S3224" s="156" t="s">
        <v>18939</v>
      </c>
      <c r="T3224" s="156" t="s">
        <v>131</v>
      </c>
      <c r="U3224" s="153">
        <v>1.0</v>
      </c>
      <c r="V3224" s="379" t="s">
        <v>18940</v>
      </c>
      <c r="W3224" s="1225"/>
      <c r="X3224" s="2313" t="str">
        <f> hyperlink(vlookup(lower(S3224),'File Links'!E:F, 2, FALSE), "LINK")</f>
        <v>LINK</v>
      </c>
      <c r="Y3224" s="156" t="s">
        <v>131</v>
      </c>
      <c r="Z3224" s="156" t="s">
        <v>141</v>
      </c>
      <c r="AA3224" s="156" t="s">
        <v>18949</v>
      </c>
      <c r="AB3224" s="156" t="s">
        <v>18942</v>
      </c>
      <c r="AC3224" s="156" t="s">
        <v>18950</v>
      </c>
      <c r="AD3224" s="156" t="s">
        <v>18951</v>
      </c>
      <c r="AE3224" s="153">
        <v>5.0</v>
      </c>
      <c r="AF3224" s="153">
        <v>89.0</v>
      </c>
      <c r="AG3224" s="153">
        <v>0.69</v>
      </c>
      <c r="AH3224" s="156" t="s">
        <v>166</v>
      </c>
      <c r="AI3224" s="156" t="s">
        <v>875</v>
      </c>
      <c r="AJ3224" s="153">
        <v>0.02</v>
      </c>
      <c r="AK3224" s="156" t="s">
        <v>165</v>
      </c>
      <c r="AL3224" s="156" t="s">
        <v>179</v>
      </c>
      <c r="AM3224" s="156" t="s">
        <v>130</v>
      </c>
      <c r="AN3224" s="156" t="s">
        <v>131</v>
      </c>
      <c r="AO3224" s="153">
        <v>160.0</v>
      </c>
      <c r="AP3224" s="153">
        <v>0.54</v>
      </c>
      <c r="AQ3224" s="156" t="s">
        <v>166</v>
      </c>
      <c r="AR3224" s="156" t="s">
        <v>617</v>
      </c>
      <c r="AS3224" s="153">
        <v>7.2E-4</v>
      </c>
      <c r="AT3224" s="156" t="s">
        <v>18945</v>
      </c>
      <c r="AU3224" s="156" t="s">
        <v>179</v>
      </c>
      <c r="AV3224" s="156" t="s">
        <v>130</v>
      </c>
      <c r="AW3224" s="432" t="s">
        <v>18946</v>
      </c>
      <c r="AX3224" s="156" t="s">
        <v>136</v>
      </c>
    </row>
    <row r="3225" ht="15.75" customHeight="1">
      <c r="A3225" s="41">
        <v>2801.0</v>
      </c>
      <c r="B3225" s="126" t="s">
        <v>516</v>
      </c>
      <c r="C3225" s="59" t="s">
        <v>108</v>
      </c>
      <c r="D3225" s="59" t="s">
        <v>1451</v>
      </c>
      <c r="F3225" s="65" t="s">
        <v>18952</v>
      </c>
      <c r="G3225" s="156" t="s">
        <v>18953</v>
      </c>
      <c r="H3225" s="156" t="s">
        <v>18954</v>
      </c>
      <c r="I3225" s="431">
        <v>45588.0</v>
      </c>
      <c r="J3225" s="431">
        <v>45803.0</v>
      </c>
      <c r="K3225" s="156" t="s">
        <v>131</v>
      </c>
      <c r="L3225" s="65"/>
      <c r="M3225" s="156" t="s">
        <v>18955</v>
      </c>
      <c r="N3225" s="677" t="s">
        <v>18956</v>
      </c>
      <c r="O3225" s="153">
        <v>4.0</v>
      </c>
      <c r="P3225" s="379" t="s">
        <v>18957</v>
      </c>
      <c r="Q3225" s="2312" t="str">
        <f> hyperlink(vlookup(lower(N3225),'File Links'!E:F, 2, FALSE), "LINK")</f>
        <v>LINK</v>
      </c>
      <c r="R3225" s="156" t="s">
        <v>18958</v>
      </c>
      <c r="S3225" s="156" t="s">
        <v>18959</v>
      </c>
      <c r="T3225" s="156" t="s">
        <v>131</v>
      </c>
      <c r="U3225" s="153">
        <v>1.0</v>
      </c>
      <c r="V3225" s="379" t="s">
        <v>18960</v>
      </c>
      <c r="W3225" s="1225"/>
      <c r="X3225" s="2313" t="str">
        <f> hyperlink(vlookup(lower(S3225),'File Links'!E:F, 2, FALSE), "LINK")</f>
        <v>LINK</v>
      </c>
      <c r="Y3225" s="156" t="s">
        <v>131</v>
      </c>
      <c r="Z3225" s="156" t="s">
        <v>219</v>
      </c>
      <c r="AA3225" s="156" t="s">
        <v>18961</v>
      </c>
      <c r="AB3225" s="156" t="s">
        <v>18962</v>
      </c>
      <c r="AC3225" s="156" t="s">
        <v>18963</v>
      </c>
      <c r="AD3225" s="156" t="s">
        <v>18964</v>
      </c>
      <c r="AE3225" s="153">
        <v>7.0</v>
      </c>
      <c r="AF3225" s="153">
        <v>20.0</v>
      </c>
      <c r="AG3225" s="153">
        <v>1.54</v>
      </c>
      <c r="AH3225" s="156" t="s">
        <v>166</v>
      </c>
      <c r="AI3225" s="156" t="s">
        <v>4966</v>
      </c>
      <c r="AJ3225" s="153">
        <v>0.05</v>
      </c>
      <c r="AK3225" s="156" t="s">
        <v>128</v>
      </c>
      <c r="AL3225" s="156" t="s">
        <v>179</v>
      </c>
      <c r="AM3225" s="156" t="s">
        <v>130</v>
      </c>
      <c r="AN3225" s="156" t="s">
        <v>131</v>
      </c>
      <c r="AO3225" s="153">
        <v>115.0</v>
      </c>
      <c r="AP3225" s="153">
        <v>-0.19</v>
      </c>
      <c r="AQ3225" s="156" t="s">
        <v>166</v>
      </c>
      <c r="AR3225" s="156" t="s">
        <v>489</v>
      </c>
      <c r="AS3225" s="153">
        <v>0.298</v>
      </c>
      <c r="AT3225" s="156" t="s">
        <v>18945</v>
      </c>
      <c r="AU3225" s="156" t="s">
        <v>179</v>
      </c>
      <c r="AV3225" s="156" t="s">
        <v>130</v>
      </c>
      <c r="AW3225" s="432" t="s">
        <v>18965</v>
      </c>
      <c r="AX3225" s="156" t="s">
        <v>136</v>
      </c>
    </row>
    <row r="3226" ht="15.75" customHeight="1">
      <c r="A3226" s="41">
        <v>2802.0</v>
      </c>
      <c r="B3226" s="126" t="s">
        <v>516</v>
      </c>
      <c r="C3226" s="59" t="s">
        <v>108</v>
      </c>
      <c r="D3226" s="59" t="s">
        <v>1451</v>
      </c>
      <c r="F3226" s="65" t="s">
        <v>18966</v>
      </c>
      <c r="G3226" s="156" t="s">
        <v>18967</v>
      </c>
      <c r="H3226" s="156" t="s">
        <v>18954</v>
      </c>
      <c r="I3226" s="431">
        <v>45588.0</v>
      </c>
      <c r="J3226" s="431">
        <v>45803.0</v>
      </c>
      <c r="K3226" s="156" t="s">
        <v>131</v>
      </c>
      <c r="L3226" s="65"/>
      <c r="M3226" s="156" t="s">
        <v>18955</v>
      </c>
      <c r="N3226" s="677" t="s">
        <v>18956</v>
      </c>
      <c r="O3226" s="153">
        <v>5.0</v>
      </c>
      <c r="P3226" s="379" t="s">
        <v>18957</v>
      </c>
      <c r="Q3226" s="2312" t="str">
        <f> hyperlink(vlookup(lower(N3226),'File Links'!E:F, 2, FALSE), "LINK")</f>
        <v>LINK</v>
      </c>
      <c r="R3226" s="156" t="s">
        <v>18968</v>
      </c>
      <c r="S3226" s="156" t="s">
        <v>18959</v>
      </c>
      <c r="T3226" s="156" t="s">
        <v>131</v>
      </c>
      <c r="U3226" s="153">
        <v>2.0</v>
      </c>
      <c r="V3226" s="379" t="s">
        <v>18960</v>
      </c>
      <c r="W3226" s="1225"/>
      <c r="X3226" s="2313" t="str">
        <f> hyperlink(vlookup(lower(S3226),'File Links'!E:F, 2, FALSE), "LINK")</f>
        <v>LINK</v>
      </c>
      <c r="Y3226" s="156" t="s">
        <v>131</v>
      </c>
      <c r="Z3226" s="156" t="s">
        <v>219</v>
      </c>
      <c r="AA3226" s="156" t="s">
        <v>18961</v>
      </c>
      <c r="AB3226" s="156" t="s">
        <v>18969</v>
      </c>
      <c r="AC3226" s="156" t="s">
        <v>18970</v>
      </c>
      <c r="AD3226" s="156" t="s">
        <v>18971</v>
      </c>
      <c r="AE3226" s="153">
        <v>8.0</v>
      </c>
      <c r="AF3226" s="153">
        <v>34.0</v>
      </c>
      <c r="AG3226" s="153">
        <v>0.27</v>
      </c>
      <c r="AH3226" s="156" t="s">
        <v>132</v>
      </c>
      <c r="AI3226" s="156" t="s">
        <v>597</v>
      </c>
      <c r="AJ3226" s="153">
        <v>0.01</v>
      </c>
      <c r="AK3226" s="156" t="s">
        <v>128</v>
      </c>
      <c r="AL3226" s="156" t="s">
        <v>179</v>
      </c>
      <c r="AM3226" s="156" t="s">
        <v>134</v>
      </c>
      <c r="AN3226" s="156" t="s">
        <v>131</v>
      </c>
      <c r="AO3226" s="153">
        <v>120.0</v>
      </c>
      <c r="AP3226" s="153">
        <v>0.001</v>
      </c>
      <c r="AQ3226" s="156" t="s">
        <v>867</v>
      </c>
      <c r="AR3226" s="156" t="s">
        <v>875</v>
      </c>
      <c r="AS3226" s="153">
        <v>0.835</v>
      </c>
      <c r="AT3226" s="156" t="s">
        <v>18945</v>
      </c>
      <c r="AU3226" s="156" t="s">
        <v>179</v>
      </c>
      <c r="AV3226" s="156" t="s">
        <v>134</v>
      </c>
      <c r="AW3226" s="432" t="s">
        <v>18972</v>
      </c>
      <c r="AX3226" s="156" t="s">
        <v>136</v>
      </c>
    </row>
    <row r="3227" ht="15.75" customHeight="1">
      <c r="A3227" s="41">
        <v>2803.0</v>
      </c>
      <c r="B3227" s="126" t="s">
        <v>516</v>
      </c>
      <c r="C3227" s="59" t="s">
        <v>108</v>
      </c>
      <c r="D3227" s="59" t="s">
        <v>1451</v>
      </c>
      <c r="F3227" s="65" t="s">
        <v>18973</v>
      </c>
      <c r="G3227" s="156" t="s">
        <v>18974</v>
      </c>
      <c r="H3227" s="156" t="s">
        <v>18975</v>
      </c>
      <c r="I3227" s="149">
        <v>45602.0</v>
      </c>
      <c r="J3227" s="431">
        <v>45803.0</v>
      </c>
      <c r="K3227" s="156" t="s">
        <v>18976</v>
      </c>
      <c r="L3227" s="65"/>
      <c r="M3227" s="156" t="s">
        <v>18977</v>
      </c>
      <c r="N3227" s="677" t="s">
        <v>18978</v>
      </c>
      <c r="O3227" s="153">
        <v>2.0</v>
      </c>
      <c r="P3227" s="379" t="s">
        <v>18979</v>
      </c>
      <c r="Q3227" s="2312" t="str">
        <f> hyperlink(vlookup(lower(N3227),'File Links'!E:F, 2, FALSE), "LINK")</f>
        <v>LINK</v>
      </c>
      <c r="R3227" s="156" t="s">
        <v>18980</v>
      </c>
      <c r="S3227" s="677" t="s">
        <v>18981</v>
      </c>
      <c r="T3227" s="156" t="s">
        <v>131</v>
      </c>
      <c r="U3227" s="153">
        <v>1.0</v>
      </c>
      <c r="V3227" s="379" t="s">
        <v>18982</v>
      </c>
      <c r="W3227" s="1225"/>
      <c r="X3227" s="2313" t="str">
        <f> hyperlink(vlookup(lower(S3227),'File Links'!E:F, 2, FALSE), "LINK")</f>
        <v>LINK</v>
      </c>
      <c r="Y3227" s="156" t="s">
        <v>131</v>
      </c>
      <c r="Z3227" s="156" t="s">
        <v>496</v>
      </c>
      <c r="AA3227" s="156" t="s">
        <v>18983</v>
      </c>
      <c r="AB3227" s="156" t="s">
        <v>18984</v>
      </c>
      <c r="AC3227" s="156" t="s">
        <v>18985</v>
      </c>
      <c r="AD3227" s="156" t="s">
        <v>18986</v>
      </c>
      <c r="AE3227" s="153">
        <v>3.0</v>
      </c>
      <c r="AF3227" s="153">
        <v>58.0</v>
      </c>
      <c r="AG3227" s="153">
        <v>-42.33</v>
      </c>
      <c r="AH3227" s="65"/>
      <c r="AI3227" s="156" t="s">
        <v>500</v>
      </c>
      <c r="AJ3227" s="153">
        <v>0.01</v>
      </c>
      <c r="AK3227" s="156" t="s">
        <v>165</v>
      </c>
      <c r="AL3227" s="156" t="s">
        <v>179</v>
      </c>
      <c r="AM3227" s="156" t="s">
        <v>1898</v>
      </c>
      <c r="AN3227" s="156" t="s">
        <v>131</v>
      </c>
      <c r="AO3227" s="153">
        <v>97.0</v>
      </c>
      <c r="AP3227" s="153">
        <v>-0.07</v>
      </c>
      <c r="AQ3227" s="156" t="s">
        <v>354</v>
      </c>
      <c r="AR3227" s="156" t="s">
        <v>500</v>
      </c>
      <c r="AS3227" s="153">
        <v>0.49</v>
      </c>
      <c r="AT3227" s="156" t="s">
        <v>165</v>
      </c>
      <c r="AU3227" s="156" t="s">
        <v>179</v>
      </c>
      <c r="AV3227" s="156" t="s">
        <v>1898</v>
      </c>
      <c r="AW3227" s="65" t="s">
        <v>131</v>
      </c>
      <c r="AX3227" s="156" t="s">
        <v>136</v>
      </c>
    </row>
    <row r="3228" ht="15.75" customHeight="1">
      <c r="A3228" s="41">
        <v>2780.0</v>
      </c>
      <c r="B3228" s="126" t="s">
        <v>516</v>
      </c>
      <c r="C3228" s="59" t="s">
        <v>108</v>
      </c>
      <c r="D3228" s="59" t="s">
        <v>214</v>
      </c>
      <c r="F3228" s="65" t="s">
        <v>18987</v>
      </c>
      <c r="G3228" s="156" t="s">
        <v>18988</v>
      </c>
      <c r="H3228" s="156" t="s">
        <v>215</v>
      </c>
      <c r="I3228" s="149">
        <v>45807.0</v>
      </c>
      <c r="J3228" s="769"/>
      <c r="K3228" s="65"/>
      <c r="L3228" s="65"/>
      <c r="M3228" s="156" t="s">
        <v>18989</v>
      </c>
      <c r="N3228" s="156" t="s">
        <v>18990</v>
      </c>
      <c r="O3228" s="153">
        <v>2.0</v>
      </c>
      <c r="P3228" s="379" t="s">
        <v>18991</v>
      </c>
      <c r="Q3228" s="2312" t="str">
        <f> hyperlink(vlookup(lower(N3228),'File Links'!E:F, 2, FALSE), "LINK")</f>
        <v>LINK</v>
      </c>
      <c r="R3228" s="156" t="s">
        <v>18992</v>
      </c>
      <c r="S3228" s="156" t="s">
        <v>18993</v>
      </c>
      <c r="T3228" s="65"/>
      <c r="U3228" s="153">
        <v>2.0</v>
      </c>
      <c r="V3228" s="379" t="s">
        <v>18994</v>
      </c>
      <c r="W3228" s="1225"/>
      <c r="X3228" s="2417" t="str">
        <f> hyperlink(vlookup(lower(S3228),'File Links'!E:F, 2, FALSE), "LINK")</f>
        <v>LINK</v>
      </c>
      <c r="Y3228" s="65"/>
      <c r="Z3228" s="156" t="s">
        <v>219</v>
      </c>
      <c r="AA3228" s="156" t="s">
        <v>18995</v>
      </c>
      <c r="AB3228" s="65" t="s">
        <v>18996</v>
      </c>
      <c r="AC3228" s="156" t="s">
        <v>18997</v>
      </c>
      <c r="AD3228" s="156" t="s">
        <v>18998</v>
      </c>
      <c r="AE3228" s="153" t="s">
        <v>868</v>
      </c>
      <c r="AF3228" s="153">
        <v>48.0</v>
      </c>
      <c r="AG3228" s="153">
        <v>0.67</v>
      </c>
      <c r="AH3228" s="156" t="s">
        <v>166</v>
      </c>
      <c r="AI3228" s="65" t="s">
        <v>868</v>
      </c>
      <c r="AJ3228" s="333">
        <v>0.03</v>
      </c>
      <c r="AK3228" s="65" t="s">
        <v>128</v>
      </c>
      <c r="AL3228" s="65" t="s">
        <v>129</v>
      </c>
      <c r="AM3228" s="65"/>
      <c r="AN3228" s="156" t="s">
        <v>131</v>
      </c>
      <c r="AO3228" s="153">
        <v>326.0</v>
      </c>
      <c r="AP3228" s="153">
        <v>-0.06</v>
      </c>
      <c r="AQ3228" s="156" t="s">
        <v>166</v>
      </c>
      <c r="AR3228" s="156" t="s">
        <v>843</v>
      </c>
      <c r="AS3228" s="333">
        <v>0.35</v>
      </c>
      <c r="AT3228" s="65" t="s">
        <v>165</v>
      </c>
      <c r="AU3228" s="65" t="s">
        <v>129</v>
      </c>
      <c r="AV3228" s="65"/>
      <c r="AW3228" s="65" t="s">
        <v>131</v>
      </c>
      <c r="AX3228" s="65" t="s">
        <v>136</v>
      </c>
      <c r="AZ3228" s="59" t="s">
        <v>3123</v>
      </c>
    </row>
    <row r="3229" ht="15.75" customHeight="1">
      <c r="A3229" s="41">
        <v>2781.0</v>
      </c>
      <c r="B3229" s="126" t="s">
        <v>516</v>
      </c>
      <c r="C3229" s="59" t="s">
        <v>108</v>
      </c>
      <c r="D3229" s="59" t="s">
        <v>214</v>
      </c>
      <c r="F3229" s="65" t="s">
        <v>18999</v>
      </c>
      <c r="G3229" s="156" t="s">
        <v>18988</v>
      </c>
      <c r="H3229" s="156" t="s">
        <v>215</v>
      </c>
      <c r="I3229" s="149">
        <v>45807.0</v>
      </c>
      <c r="J3229" s="769"/>
      <c r="K3229" s="65"/>
      <c r="L3229" s="65" t="s">
        <v>19000</v>
      </c>
      <c r="M3229" s="156" t="s">
        <v>18989</v>
      </c>
      <c r="N3229" s="156" t="s">
        <v>18990</v>
      </c>
      <c r="O3229" s="153">
        <v>2.0</v>
      </c>
      <c r="P3229" s="379" t="s">
        <v>18991</v>
      </c>
      <c r="Q3229" s="2312" t="str">
        <f> hyperlink(vlookup(lower(N3229),'File Links'!E:F, 2, FALSE), "LINK")</f>
        <v>LINK</v>
      </c>
      <c r="R3229" s="156" t="s">
        <v>18992</v>
      </c>
      <c r="S3229" s="156" t="s">
        <v>18993</v>
      </c>
      <c r="T3229" s="65"/>
      <c r="U3229" s="153">
        <v>2.0</v>
      </c>
      <c r="V3229" s="379" t="s">
        <v>18994</v>
      </c>
      <c r="W3229" s="1225"/>
      <c r="X3229" s="2417" t="str">
        <f> hyperlink(vlookup(lower(S3229),'File Links'!E:F, 2, FALSE), "LINK")</f>
        <v>LINK</v>
      </c>
      <c r="Y3229" s="65"/>
      <c r="Z3229" s="156" t="s">
        <v>219</v>
      </c>
      <c r="AA3229" s="156" t="s">
        <v>18995</v>
      </c>
      <c r="AB3229" s="65" t="s">
        <v>18996</v>
      </c>
      <c r="AC3229" s="156" t="s">
        <v>18997</v>
      </c>
      <c r="AD3229" s="156" t="s">
        <v>19001</v>
      </c>
      <c r="AE3229" s="153" t="s">
        <v>868</v>
      </c>
      <c r="AF3229" s="153">
        <v>48.0</v>
      </c>
      <c r="AG3229" s="153">
        <v>0.63</v>
      </c>
      <c r="AH3229" s="156" t="s">
        <v>166</v>
      </c>
      <c r="AI3229" s="65" t="s">
        <v>868</v>
      </c>
      <c r="AJ3229" s="333">
        <v>0.05</v>
      </c>
      <c r="AK3229" s="65" t="s">
        <v>128</v>
      </c>
      <c r="AL3229" s="65" t="s">
        <v>129</v>
      </c>
      <c r="AM3229" s="65"/>
      <c r="AN3229" s="156" t="s">
        <v>131</v>
      </c>
      <c r="AO3229" s="153">
        <v>331.0</v>
      </c>
      <c r="AP3229" s="153">
        <v>0.0</v>
      </c>
      <c r="AQ3229" s="156" t="s">
        <v>166</v>
      </c>
      <c r="AR3229" s="65"/>
      <c r="AS3229" s="333">
        <v>1.0</v>
      </c>
      <c r="AT3229" s="65" t="s">
        <v>165</v>
      </c>
      <c r="AU3229" s="65" t="s">
        <v>129</v>
      </c>
      <c r="AV3229" s="65"/>
      <c r="AW3229" s="65" t="s">
        <v>131</v>
      </c>
      <c r="AX3229" s="65" t="s">
        <v>136</v>
      </c>
      <c r="AZ3229" s="59" t="s">
        <v>3123</v>
      </c>
    </row>
    <row r="3230" ht="15.75" customHeight="1">
      <c r="A3230" s="41">
        <v>2797.0</v>
      </c>
      <c r="B3230" s="126" t="s">
        <v>516</v>
      </c>
      <c r="C3230" s="59" t="s">
        <v>108</v>
      </c>
      <c r="D3230" s="59" t="s">
        <v>2623</v>
      </c>
      <c r="F3230" s="65" t="s">
        <v>18987</v>
      </c>
      <c r="G3230" s="156" t="s">
        <v>18988</v>
      </c>
      <c r="H3230" s="156" t="s">
        <v>19002</v>
      </c>
      <c r="I3230" s="1284" t="s">
        <v>112</v>
      </c>
      <c r="J3230" s="149" t="s">
        <v>19003</v>
      </c>
      <c r="K3230" s="65"/>
      <c r="L3230" s="65"/>
      <c r="M3230" s="156" t="s">
        <v>18989</v>
      </c>
      <c r="N3230" s="156" t="s">
        <v>18990</v>
      </c>
      <c r="O3230" s="153">
        <v>2.0</v>
      </c>
      <c r="P3230" s="379" t="s">
        <v>18991</v>
      </c>
      <c r="Q3230" s="2312" t="str">
        <f> hyperlink(vlookup(lower(N3230),'File Links'!E:F, 2, FALSE), "LINK")</f>
        <v>LINK</v>
      </c>
      <c r="R3230" s="156" t="s">
        <v>18992</v>
      </c>
      <c r="S3230" s="156" t="s">
        <v>18993</v>
      </c>
      <c r="T3230" s="65"/>
      <c r="U3230" s="153">
        <v>2.0</v>
      </c>
      <c r="V3230" s="379" t="s">
        <v>18994</v>
      </c>
      <c r="W3230" s="1225"/>
      <c r="X3230" s="2417" t="str">
        <f> hyperlink(vlookup(lower(S3230),'File Links'!E:F, 2, FALSE), "LINK")</f>
        <v>LINK</v>
      </c>
      <c r="Y3230" s="156" t="s">
        <v>131</v>
      </c>
      <c r="Z3230" s="156" t="s">
        <v>219</v>
      </c>
      <c r="AA3230" s="156" t="s">
        <v>18995</v>
      </c>
      <c r="AB3230" s="65"/>
      <c r="AC3230" s="156" t="s">
        <v>18997</v>
      </c>
      <c r="AD3230" s="156" t="s">
        <v>19004</v>
      </c>
      <c r="AE3230" s="156" t="s">
        <v>19005</v>
      </c>
      <c r="AF3230" s="153">
        <v>72.0</v>
      </c>
      <c r="AG3230" s="153">
        <v>0.67</v>
      </c>
      <c r="AH3230" s="156" t="s">
        <v>166</v>
      </c>
      <c r="AI3230" s="65" t="s">
        <v>19005</v>
      </c>
      <c r="AJ3230" s="333">
        <v>0.03</v>
      </c>
      <c r="AK3230" s="65" t="s">
        <v>128</v>
      </c>
      <c r="AL3230" s="65" t="s">
        <v>129</v>
      </c>
      <c r="AM3230" s="65" t="s">
        <v>130</v>
      </c>
      <c r="AN3230" s="156" t="s">
        <v>131</v>
      </c>
      <c r="AO3230" s="153">
        <v>326.0</v>
      </c>
      <c r="AP3230" s="153">
        <v>-0.06</v>
      </c>
      <c r="AQ3230" s="156" t="s">
        <v>166</v>
      </c>
      <c r="AR3230" s="156" t="s">
        <v>19006</v>
      </c>
      <c r="AS3230" s="333">
        <v>0.58</v>
      </c>
      <c r="AT3230" s="65" t="s">
        <v>165</v>
      </c>
      <c r="AU3230" s="65" t="s">
        <v>129</v>
      </c>
      <c r="AV3230" s="65" t="s">
        <v>130</v>
      </c>
      <c r="AW3230" s="432" t="s">
        <v>19007</v>
      </c>
      <c r="AX3230" s="65" t="s">
        <v>136</v>
      </c>
      <c r="AZ3230" s="59" t="s">
        <v>3123</v>
      </c>
    </row>
    <row r="3231" ht="15.75" customHeight="1">
      <c r="A3231" s="41">
        <v>2798.0</v>
      </c>
      <c r="B3231" s="126" t="s">
        <v>516</v>
      </c>
      <c r="C3231" s="59" t="s">
        <v>108</v>
      </c>
      <c r="D3231" s="59" t="s">
        <v>2623</v>
      </c>
      <c r="F3231" s="65" t="s">
        <v>18999</v>
      </c>
      <c r="G3231" s="156" t="s">
        <v>18988</v>
      </c>
      <c r="H3231" s="156" t="s">
        <v>19008</v>
      </c>
      <c r="I3231" s="149">
        <v>45579.0</v>
      </c>
      <c r="J3231" s="149" t="s">
        <v>19003</v>
      </c>
      <c r="K3231" s="65"/>
      <c r="L3231" s="65"/>
      <c r="M3231" s="156" t="s">
        <v>18989</v>
      </c>
      <c r="N3231" s="156" t="s">
        <v>18990</v>
      </c>
      <c r="O3231" s="153">
        <v>2.0</v>
      </c>
      <c r="P3231" s="379" t="s">
        <v>18991</v>
      </c>
      <c r="Q3231" s="2312" t="str">
        <f> hyperlink(vlookup(lower(N3231),'File Links'!E:F, 2, FALSE), "LINK")</f>
        <v>LINK</v>
      </c>
      <c r="R3231" s="156" t="s">
        <v>18992</v>
      </c>
      <c r="S3231" s="156" t="s">
        <v>18993</v>
      </c>
      <c r="T3231" s="65"/>
      <c r="U3231" s="153">
        <v>2.0</v>
      </c>
      <c r="V3231" s="379" t="s">
        <v>18994</v>
      </c>
      <c r="W3231" s="1225"/>
      <c r="X3231" s="2417" t="str">
        <f> hyperlink(vlookup(lower(S3231),'File Links'!E:F, 2, FALSE), "LINK")</f>
        <v>LINK</v>
      </c>
      <c r="Y3231" s="156" t="s">
        <v>131</v>
      </c>
      <c r="Z3231" s="156" t="s">
        <v>219</v>
      </c>
      <c r="AA3231" s="156" t="s">
        <v>18995</v>
      </c>
      <c r="AB3231" s="65"/>
      <c r="AC3231" s="156" t="s">
        <v>18997</v>
      </c>
      <c r="AD3231" s="156" t="s">
        <v>19009</v>
      </c>
      <c r="AE3231" s="156" t="s">
        <v>19005</v>
      </c>
      <c r="AF3231" s="153">
        <v>72.0</v>
      </c>
      <c r="AG3231" s="153">
        <v>0.63</v>
      </c>
      <c r="AH3231" s="156" t="s">
        <v>166</v>
      </c>
      <c r="AI3231" s="65" t="s">
        <v>19005</v>
      </c>
      <c r="AJ3231" s="333">
        <v>0.05</v>
      </c>
      <c r="AK3231" s="65" t="s">
        <v>128</v>
      </c>
      <c r="AL3231" s="65" t="s">
        <v>129</v>
      </c>
      <c r="AM3231" s="65" t="s">
        <v>130</v>
      </c>
      <c r="AN3231" s="156" t="s">
        <v>131</v>
      </c>
      <c r="AO3231" s="153">
        <v>331.0</v>
      </c>
      <c r="AP3231" s="1289">
        <v>0.0</v>
      </c>
      <c r="AQ3231" s="156" t="s">
        <v>166</v>
      </c>
      <c r="AR3231" s="156" t="s">
        <v>19006</v>
      </c>
      <c r="AS3231" s="333">
        <v>0.99</v>
      </c>
      <c r="AT3231" s="65" t="s">
        <v>165</v>
      </c>
      <c r="AU3231" s="65" t="s">
        <v>129</v>
      </c>
      <c r="AV3231" s="65" t="s">
        <v>130</v>
      </c>
      <c r="AW3231" s="432" t="s">
        <v>19007</v>
      </c>
      <c r="AX3231" s="65" t="s">
        <v>136</v>
      </c>
      <c r="AZ3231" s="59" t="s">
        <v>3123</v>
      </c>
    </row>
    <row r="3232">
      <c r="A3232" s="41">
        <v>2778.0</v>
      </c>
      <c r="B3232" s="126" t="s">
        <v>516</v>
      </c>
      <c r="C3232" s="59" t="s">
        <v>108</v>
      </c>
      <c r="D3232" s="59" t="s">
        <v>214</v>
      </c>
      <c r="F3232" s="65" t="s">
        <v>19010</v>
      </c>
      <c r="G3232" s="156" t="s">
        <v>19011</v>
      </c>
      <c r="H3232" s="156" t="s">
        <v>215</v>
      </c>
      <c r="I3232" s="149">
        <v>45806.0</v>
      </c>
      <c r="J3232" s="769"/>
      <c r="K3232" s="65"/>
      <c r="L3232" s="65"/>
      <c r="M3232" s="156" t="s">
        <v>18989</v>
      </c>
      <c r="N3232" s="156" t="s">
        <v>18990</v>
      </c>
      <c r="O3232" s="153">
        <v>2.0</v>
      </c>
      <c r="P3232" s="379" t="s">
        <v>18991</v>
      </c>
      <c r="Q3232" s="2312" t="str">
        <f> hyperlink(vlookup(lower(N3232),'File Links'!E:F, 2, FALSE), "LINK")</f>
        <v>LINK</v>
      </c>
      <c r="R3232" s="156" t="s">
        <v>18992</v>
      </c>
      <c r="S3232" s="156" t="s">
        <v>18993</v>
      </c>
      <c r="T3232" s="65"/>
      <c r="U3232" s="153">
        <v>1.0</v>
      </c>
      <c r="V3232" s="379" t="s">
        <v>18994</v>
      </c>
      <c r="W3232" s="1225"/>
      <c r="X3232" s="2417" t="str">
        <f> hyperlink(vlookup(lower(S3232),'File Links'!E:F, 2, FALSE), "LINK")</f>
        <v>LINK</v>
      </c>
      <c r="Y3232" s="65"/>
      <c r="Z3232" s="156" t="s">
        <v>219</v>
      </c>
      <c r="AA3232" s="156" t="s">
        <v>18995</v>
      </c>
      <c r="AB3232" s="65" t="s">
        <v>18996</v>
      </c>
      <c r="AC3232" s="156" t="s">
        <v>18997</v>
      </c>
      <c r="AD3232" s="156" t="s">
        <v>18998</v>
      </c>
      <c r="AE3232" s="153" t="s">
        <v>868</v>
      </c>
      <c r="AF3232" s="153">
        <v>48.0</v>
      </c>
      <c r="AG3232" s="153">
        <v>0.67</v>
      </c>
      <c r="AH3232" s="156" t="s">
        <v>166</v>
      </c>
      <c r="AI3232" s="65" t="s">
        <v>868</v>
      </c>
      <c r="AJ3232" s="333">
        <v>0.03</v>
      </c>
      <c r="AK3232" s="65" t="s">
        <v>128</v>
      </c>
      <c r="AL3232" s="65" t="s">
        <v>129</v>
      </c>
      <c r="AM3232" s="65" t="s">
        <v>130</v>
      </c>
      <c r="AN3232" s="156" t="s">
        <v>131</v>
      </c>
      <c r="AO3232" s="153">
        <v>121.0</v>
      </c>
      <c r="AP3232" s="153">
        <v>-0.12</v>
      </c>
      <c r="AQ3232" s="156" t="s">
        <v>166</v>
      </c>
      <c r="AR3232" s="156" t="s">
        <v>210</v>
      </c>
      <c r="AS3232" s="333">
        <v>0.5</v>
      </c>
      <c r="AT3232" s="65" t="s">
        <v>328</v>
      </c>
      <c r="AU3232" s="65" t="s">
        <v>129</v>
      </c>
      <c r="AV3232" s="65" t="s">
        <v>130</v>
      </c>
      <c r="AW3232" s="65" t="s">
        <v>131</v>
      </c>
      <c r="AX3232" s="65" t="s">
        <v>136</v>
      </c>
      <c r="AZ3232" s="59" t="s">
        <v>3123</v>
      </c>
    </row>
    <row r="3233">
      <c r="A3233" s="41">
        <v>2779.0</v>
      </c>
      <c r="B3233" s="126" t="s">
        <v>516</v>
      </c>
      <c r="C3233" s="59" t="s">
        <v>108</v>
      </c>
      <c r="D3233" s="59" t="s">
        <v>214</v>
      </c>
      <c r="F3233" s="65" t="s">
        <v>19012</v>
      </c>
      <c r="G3233" s="156" t="s">
        <v>19011</v>
      </c>
      <c r="H3233" s="156" t="s">
        <v>215</v>
      </c>
      <c r="I3233" s="149">
        <v>45807.0</v>
      </c>
      <c r="J3233" s="769"/>
      <c r="K3233" s="65"/>
      <c r="L3233" s="65"/>
      <c r="M3233" s="156" t="s">
        <v>18989</v>
      </c>
      <c r="N3233" s="156" t="s">
        <v>18990</v>
      </c>
      <c r="O3233" s="153">
        <v>2.0</v>
      </c>
      <c r="P3233" s="379" t="s">
        <v>18991</v>
      </c>
      <c r="Q3233" s="2312" t="str">
        <f> hyperlink(vlookup(lower(N3233),'File Links'!E:F, 2, FALSE), "LINK")</f>
        <v>LINK</v>
      </c>
      <c r="R3233" s="156" t="s">
        <v>18992</v>
      </c>
      <c r="S3233" s="156" t="s">
        <v>18993</v>
      </c>
      <c r="T3233" s="65"/>
      <c r="U3233" s="153">
        <v>1.0</v>
      </c>
      <c r="V3233" s="379" t="s">
        <v>18994</v>
      </c>
      <c r="W3233" s="1225"/>
      <c r="X3233" s="2417" t="str">
        <f> hyperlink(vlookup(lower(S3233),'File Links'!E:F, 2, FALSE), "LINK")</f>
        <v>LINK</v>
      </c>
      <c r="Y3233" s="65"/>
      <c r="Z3233" s="156" t="s">
        <v>219</v>
      </c>
      <c r="AA3233" s="156" t="s">
        <v>18995</v>
      </c>
      <c r="AB3233" s="65" t="s">
        <v>18996</v>
      </c>
      <c r="AC3233" s="156" t="s">
        <v>18997</v>
      </c>
      <c r="AD3233" s="156" t="s">
        <v>19001</v>
      </c>
      <c r="AE3233" s="153" t="s">
        <v>868</v>
      </c>
      <c r="AF3233" s="153">
        <v>48.0</v>
      </c>
      <c r="AG3233" s="153">
        <v>0.63</v>
      </c>
      <c r="AH3233" s="156" t="s">
        <v>166</v>
      </c>
      <c r="AI3233" s="65" t="s">
        <v>868</v>
      </c>
      <c r="AJ3233" s="333">
        <v>0.05</v>
      </c>
      <c r="AK3233" s="65" t="s">
        <v>128</v>
      </c>
      <c r="AL3233" s="65" t="s">
        <v>129</v>
      </c>
      <c r="AM3233" s="65"/>
      <c r="AN3233" s="156" t="s">
        <v>131</v>
      </c>
      <c r="AO3233" s="153">
        <v>120.0</v>
      </c>
      <c r="AP3233" s="153">
        <v>-0.02</v>
      </c>
      <c r="AQ3233" s="156" t="s">
        <v>166</v>
      </c>
      <c r="AR3233" s="156" t="s">
        <v>843</v>
      </c>
      <c r="AS3233" s="333">
        <v>0.87</v>
      </c>
      <c r="AT3233" s="65" t="s">
        <v>165</v>
      </c>
      <c r="AU3233" s="65" t="s">
        <v>129</v>
      </c>
      <c r="AV3233" s="65"/>
      <c r="AW3233" s="65" t="s">
        <v>131</v>
      </c>
      <c r="AX3233" s="65" t="s">
        <v>136</v>
      </c>
      <c r="AZ3233" s="59" t="s">
        <v>3123</v>
      </c>
    </row>
    <row r="3234">
      <c r="A3234" s="41">
        <v>2795.0</v>
      </c>
      <c r="B3234" s="126" t="s">
        <v>516</v>
      </c>
      <c r="C3234" s="59" t="s">
        <v>108</v>
      </c>
      <c r="D3234" s="59" t="s">
        <v>2623</v>
      </c>
      <c r="F3234" s="65" t="s">
        <v>19010</v>
      </c>
      <c r="G3234" s="156" t="s">
        <v>19011</v>
      </c>
      <c r="H3234" s="156" t="s">
        <v>19002</v>
      </c>
      <c r="I3234" s="1284" t="s">
        <v>112</v>
      </c>
      <c r="J3234" s="149" t="s">
        <v>19003</v>
      </c>
      <c r="K3234" s="65"/>
      <c r="L3234" s="65"/>
      <c r="M3234" s="156" t="s">
        <v>18989</v>
      </c>
      <c r="N3234" s="156" t="s">
        <v>18990</v>
      </c>
      <c r="O3234" s="153">
        <v>2.0</v>
      </c>
      <c r="P3234" s="379" t="s">
        <v>18991</v>
      </c>
      <c r="Q3234" s="2312" t="str">
        <f> hyperlink(vlookup(lower(N3234),'File Links'!E:F, 2, FALSE), "LINK")</f>
        <v>LINK</v>
      </c>
      <c r="R3234" s="156" t="s">
        <v>18992</v>
      </c>
      <c r="S3234" s="156" t="s">
        <v>18993</v>
      </c>
      <c r="T3234" s="65"/>
      <c r="U3234" s="153">
        <v>1.0</v>
      </c>
      <c r="V3234" s="379" t="s">
        <v>18994</v>
      </c>
      <c r="W3234" s="1225"/>
      <c r="X3234" s="2417" t="str">
        <f> hyperlink(vlookup(lower(S3234),'File Links'!E:F, 2, FALSE), "LINK")</f>
        <v>LINK</v>
      </c>
      <c r="Y3234" s="156" t="s">
        <v>131</v>
      </c>
      <c r="Z3234" s="156" t="s">
        <v>219</v>
      </c>
      <c r="AA3234" s="156" t="s">
        <v>19013</v>
      </c>
      <c r="AB3234" s="65" t="s">
        <v>19014</v>
      </c>
      <c r="AC3234" s="156" t="s">
        <v>19015</v>
      </c>
      <c r="AD3234" s="156" t="s">
        <v>19016</v>
      </c>
      <c r="AE3234" s="156" t="s">
        <v>19017</v>
      </c>
      <c r="AF3234" s="153">
        <v>127.0</v>
      </c>
      <c r="AG3234" s="153">
        <v>0.47</v>
      </c>
      <c r="AH3234" s="156" t="s">
        <v>166</v>
      </c>
      <c r="AI3234" s="65" t="s">
        <v>19017</v>
      </c>
      <c r="AJ3234" s="333">
        <v>0.03</v>
      </c>
      <c r="AK3234" s="65" t="s">
        <v>128</v>
      </c>
      <c r="AL3234" s="65" t="s">
        <v>129</v>
      </c>
      <c r="AM3234" s="65" t="s">
        <v>130</v>
      </c>
      <c r="AN3234" s="156" t="s">
        <v>131</v>
      </c>
      <c r="AO3234" s="153">
        <v>121.0</v>
      </c>
      <c r="AP3234" s="153">
        <v>-0.12</v>
      </c>
      <c r="AQ3234" s="156" t="s">
        <v>166</v>
      </c>
      <c r="AR3234" s="156" t="s">
        <v>19018</v>
      </c>
      <c r="AS3234" s="333">
        <v>0.52</v>
      </c>
      <c r="AT3234" s="65" t="s">
        <v>165</v>
      </c>
      <c r="AU3234" s="65" t="s">
        <v>129</v>
      </c>
      <c r="AV3234" s="65" t="s">
        <v>130</v>
      </c>
      <c r="AW3234" s="432" t="s">
        <v>19007</v>
      </c>
      <c r="AX3234" s="65" t="s">
        <v>136</v>
      </c>
      <c r="AZ3234" s="59" t="s">
        <v>3123</v>
      </c>
    </row>
    <row r="3235">
      <c r="A3235" s="41">
        <v>2796.0</v>
      </c>
      <c r="B3235" s="126" t="s">
        <v>516</v>
      </c>
      <c r="C3235" s="59" t="s">
        <v>108</v>
      </c>
      <c r="D3235" s="59" t="s">
        <v>2623</v>
      </c>
      <c r="F3235" s="65" t="s">
        <v>19012</v>
      </c>
      <c r="G3235" s="156" t="s">
        <v>19011</v>
      </c>
      <c r="H3235" s="156" t="s">
        <v>19008</v>
      </c>
      <c r="I3235" s="431">
        <v>45579.0</v>
      </c>
      <c r="J3235" s="149" t="s">
        <v>19003</v>
      </c>
      <c r="K3235" s="65"/>
      <c r="L3235" s="65"/>
      <c r="M3235" s="156" t="s">
        <v>18989</v>
      </c>
      <c r="N3235" s="156" t="s">
        <v>18990</v>
      </c>
      <c r="O3235" s="153">
        <v>2.0</v>
      </c>
      <c r="P3235" s="379" t="s">
        <v>18991</v>
      </c>
      <c r="Q3235" s="2312" t="str">
        <f> hyperlink(vlookup(lower(N3235),'File Links'!E:F, 2, FALSE), "LINK")</f>
        <v>LINK</v>
      </c>
      <c r="R3235" s="156" t="s">
        <v>18992</v>
      </c>
      <c r="S3235" s="156" t="s">
        <v>18993</v>
      </c>
      <c r="T3235" s="65"/>
      <c r="U3235" s="153">
        <v>1.0</v>
      </c>
      <c r="V3235" s="379" t="s">
        <v>18994</v>
      </c>
      <c r="W3235" s="1225"/>
      <c r="X3235" s="2417" t="str">
        <f> hyperlink(vlookup(lower(S3235),'File Links'!E:F, 2, FALSE), "LINK")</f>
        <v>LINK</v>
      </c>
      <c r="Y3235" s="156" t="s">
        <v>131</v>
      </c>
      <c r="Z3235" s="156" t="s">
        <v>219</v>
      </c>
      <c r="AA3235" s="156" t="s">
        <v>19013</v>
      </c>
      <c r="AB3235" s="65" t="s">
        <v>19014</v>
      </c>
      <c r="AC3235" s="156" t="s">
        <v>19019</v>
      </c>
      <c r="AD3235" s="156" t="s">
        <v>19020</v>
      </c>
      <c r="AE3235" s="156" t="s">
        <v>19017</v>
      </c>
      <c r="AF3235" s="153">
        <v>127.0</v>
      </c>
      <c r="AG3235" s="153">
        <v>0.46</v>
      </c>
      <c r="AH3235" s="156" t="s">
        <v>166</v>
      </c>
      <c r="AI3235" s="65" t="s">
        <v>19017</v>
      </c>
      <c r="AJ3235" s="333">
        <v>0.05</v>
      </c>
      <c r="AK3235" s="65" t="s">
        <v>128</v>
      </c>
      <c r="AL3235" s="65" t="s">
        <v>129</v>
      </c>
      <c r="AM3235" s="65" t="s">
        <v>130</v>
      </c>
      <c r="AN3235" s="156" t="s">
        <v>131</v>
      </c>
      <c r="AO3235" s="153">
        <v>120.0</v>
      </c>
      <c r="AP3235" s="153">
        <v>-0.02</v>
      </c>
      <c r="AQ3235" s="156" t="s">
        <v>166</v>
      </c>
      <c r="AR3235" s="156" t="s">
        <v>19018</v>
      </c>
      <c r="AS3235" s="333">
        <v>0.94</v>
      </c>
      <c r="AT3235" s="65" t="s">
        <v>165</v>
      </c>
      <c r="AU3235" s="65" t="s">
        <v>129</v>
      </c>
      <c r="AV3235" s="65" t="s">
        <v>130</v>
      </c>
      <c r="AW3235" s="432" t="s">
        <v>19007</v>
      </c>
      <c r="AX3235" s="65" t="s">
        <v>136</v>
      </c>
      <c r="AZ3235" s="59" t="s">
        <v>3123</v>
      </c>
    </row>
    <row r="3236">
      <c r="A3236" s="41">
        <v>3236.0</v>
      </c>
      <c r="B3236" s="126"/>
      <c r="C3236" s="59"/>
      <c r="D3236" s="59"/>
      <c r="F3236" s="65"/>
      <c r="G3236" s="156"/>
      <c r="H3236" s="156"/>
      <c r="I3236" s="1284"/>
      <c r="J3236" s="149"/>
      <c r="K3236" s="65"/>
      <c r="L3236" s="65"/>
      <c r="M3236" s="156"/>
      <c r="N3236" s="156"/>
      <c r="O3236" s="65"/>
      <c r="P3236" s="379"/>
      <c r="Q3236" s="2312"/>
      <c r="R3236" s="156"/>
      <c r="S3236" s="156"/>
      <c r="T3236" s="65"/>
      <c r="U3236" s="65"/>
      <c r="V3236" s="379"/>
      <c r="W3236" s="1225"/>
      <c r="X3236" s="2147"/>
      <c r="Y3236" s="156"/>
      <c r="Z3236" s="156"/>
      <c r="AA3236" s="156"/>
      <c r="AB3236" s="156"/>
      <c r="AC3236" s="156"/>
      <c r="AD3236" s="65"/>
      <c r="AE3236" s="65"/>
      <c r="AF3236" s="153"/>
      <c r="AG3236" s="153"/>
      <c r="AH3236" s="156"/>
      <c r="AI3236" s="156"/>
      <c r="AJ3236" s="333"/>
      <c r="AK3236" s="156"/>
      <c r="AL3236" s="156"/>
      <c r="AM3236" s="156"/>
      <c r="AN3236" s="156"/>
      <c r="AO3236" s="153"/>
      <c r="AP3236" s="153"/>
      <c r="AQ3236" s="156"/>
      <c r="AR3236" s="156"/>
      <c r="AS3236" s="153"/>
      <c r="AT3236" s="156"/>
      <c r="AU3236" s="156"/>
      <c r="AV3236" s="156"/>
      <c r="AW3236" s="432"/>
      <c r="AX3236" s="156"/>
    </row>
    <row r="3237">
      <c r="A3237" s="41">
        <v>3237.0</v>
      </c>
      <c r="B3237" s="126"/>
      <c r="C3237" s="59"/>
      <c r="D3237" s="59"/>
      <c r="F3237" s="65"/>
      <c r="G3237" s="156"/>
      <c r="H3237" s="156"/>
      <c r="I3237" s="1284"/>
      <c r="J3237" s="149"/>
      <c r="K3237" s="65"/>
      <c r="L3237" s="65"/>
      <c r="M3237" s="156"/>
      <c r="N3237" s="156"/>
      <c r="O3237" s="65"/>
      <c r="P3237" s="379"/>
      <c r="Q3237" s="2312"/>
      <c r="R3237" s="156"/>
      <c r="S3237" s="156"/>
      <c r="T3237" s="65"/>
      <c r="U3237" s="65"/>
      <c r="V3237" s="379"/>
      <c r="W3237" s="1225"/>
      <c r="X3237" s="2147"/>
      <c r="Y3237" s="156"/>
      <c r="Z3237" s="156"/>
      <c r="AA3237" s="156"/>
      <c r="AB3237" s="156"/>
      <c r="AC3237" s="156"/>
      <c r="AD3237" s="65"/>
      <c r="AE3237" s="65"/>
      <c r="AF3237" s="153"/>
      <c r="AG3237" s="153"/>
      <c r="AH3237" s="156"/>
      <c r="AI3237" s="156"/>
      <c r="AJ3237" s="333"/>
      <c r="AK3237" s="156"/>
      <c r="AL3237" s="156"/>
      <c r="AM3237" s="156"/>
      <c r="AN3237" s="156"/>
      <c r="AO3237" s="153"/>
      <c r="AP3237" s="153"/>
      <c r="AQ3237" s="156"/>
      <c r="AR3237" s="156"/>
      <c r="AS3237" s="153"/>
      <c r="AT3237" s="156"/>
      <c r="AU3237" s="156"/>
      <c r="AV3237" s="156"/>
      <c r="AW3237" s="432"/>
      <c r="AX3237" s="156"/>
    </row>
    <row r="3238">
      <c r="A3238" s="41">
        <v>3238.0</v>
      </c>
      <c r="B3238" s="126"/>
      <c r="C3238" s="59"/>
      <c r="D3238" s="59"/>
      <c r="F3238" s="65"/>
      <c r="G3238" s="156"/>
      <c r="H3238" s="156"/>
      <c r="I3238" s="1284"/>
      <c r="J3238" s="149"/>
      <c r="K3238" s="65"/>
      <c r="L3238" s="65"/>
      <c r="M3238" s="156"/>
      <c r="N3238" s="156"/>
      <c r="O3238" s="65"/>
      <c r="P3238" s="379"/>
      <c r="Q3238" s="2312"/>
      <c r="R3238" s="156"/>
      <c r="S3238" s="156"/>
      <c r="T3238" s="65"/>
      <c r="U3238" s="65"/>
      <c r="V3238" s="379"/>
      <c r="W3238" s="1225"/>
      <c r="X3238" s="2147"/>
      <c r="Y3238" s="156"/>
      <c r="Z3238" s="156"/>
      <c r="AA3238" s="156"/>
      <c r="AB3238" s="156"/>
      <c r="AC3238" s="156"/>
      <c r="AD3238" s="65"/>
      <c r="AE3238" s="65"/>
      <c r="AF3238" s="153"/>
      <c r="AG3238" s="153"/>
      <c r="AH3238" s="156"/>
      <c r="AI3238" s="156"/>
      <c r="AJ3238" s="333"/>
      <c r="AK3238" s="156"/>
      <c r="AL3238" s="156"/>
      <c r="AM3238" s="156"/>
      <c r="AN3238" s="156"/>
      <c r="AO3238" s="153"/>
      <c r="AP3238" s="153"/>
      <c r="AQ3238" s="156"/>
      <c r="AR3238" s="156"/>
      <c r="AS3238" s="153"/>
      <c r="AT3238" s="156"/>
      <c r="AU3238" s="156"/>
      <c r="AV3238" s="156"/>
      <c r="AW3238" s="432"/>
      <c r="AX3238" s="156"/>
    </row>
    <row r="3239">
      <c r="A3239" s="41">
        <v>3239.0</v>
      </c>
      <c r="B3239" s="126"/>
      <c r="C3239" s="59"/>
      <c r="D3239" s="59"/>
      <c r="F3239" s="65"/>
      <c r="G3239" s="156"/>
      <c r="H3239" s="156"/>
      <c r="I3239" s="1284"/>
      <c r="J3239" s="149"/>
      <c r="K3239" s="65"/>
      <c r="L3239" s="65"/>
      <c r="M3239" s="156"/>
      <c r="N3239" s="156"/>
      <c r="O3239" s="65"/>
      <c r="P3239" s="379"/>
      <c r="Q3239" s="2312"/>
      <c r="R3239" s="156"/>
      <c r="S3239" s="156"/>
      <c r="T3239" s="65"/>
      <c r="U3239" s="65"/>
      <c r="V3239" s="379"/>
      <c r="W3239" s="1225"/>
      <c r="X3239" s="2147"/>
      <c r="Y3239" s="156"/>
      <c r="Z3239" s="156"/>
      <c r="AA3239" s="156"/>
      <c r="AB3239" s="156"/>
      <c r="AC3239" s="156"/>
      <c r="AD3239" s="65"/>
      <c r="AE3239" s="65"/>
      <c r="AF3239" s="153"/>
      <c r="AG3239" s="153"/>
      <c r="AH3239" s="156"/>
      <c r="AI3239" s="156"/>
      <c r="AJ3239" s="333"/>
      <c r="AK3239" s="156"/>
      <c r="AL3239" s="156"/>
      <c r="AM3239" s="156"/>
      <c r="AN3239" s="156"/>
      <c r="AO3239" s="153"/>
      <c r="AP3239" s="153"/>
      <c r="AQ3239" s="156"/>
      <c r="AR3239" s="156"/>
      <c r="AS3239" s="153"/>
      <c r="AT3239" s="156"/>
      <c r="AU3239" s="156"/>
      <c r="AV3239" s="156"/>
      <c r="AW3239" s="432"/>
      <c r="AX3239" s="156"/>
    </row>
    <row r="3240">
      <c r="A3240" s="41">
        <v>3240.0</v>
      </c>
      <c r="B3240" s="126"/>
      <c r="C3240" s="59"/>
      <c r="D3240" s="59"/>
      <c r="F3240" s="65"/>
      <c r="G3240" s="156"/>
      <c r="H3240" s="156"/>
      <c r="I3240" s="1284"/>
      <c r="J3240" s="149"/>
      <c r="K3240" s="65"/>
      <c r="L3240" s="65"/>
      <c r="M3240" s="156"/>
      <c r="N3240" s="156"/>
      <c r="O3240" s="65"/>
      <c r="P3240" s="379"/>
      <c r="Q3240" s="2312"/>
      <c r="R3240" s="156"/>
      <c r="S3240" s="156"/>
      <c r="T3240" s="65"/>
      <c r="U3240" s="65"/>
      <c r="V3240" s="379"/>
      <c r="W3240" s="1225"/>
      <c r="X3240" s="2313"/>
      <c r="Y3240" s="156"/>
      <c r="Z3240" s="156"/>
      <c r="AA3240" s="156"/>
      <c r="AB3240" s="156"/>
      <c r="AC3240" s="156"/>
      <c r="AD3240" s="65"/>
      <c r="AE3240" s="65"/>
      <c r="AF3240" s="153"/>
      <c r="AG3240" s="153"/>
      <c r="AH3240" s="156"/>
      <c r="AI3240" s="156"/>
      <c r="AJ3240" s="333"/>
      <c r="AK3240" s="156"/>
      <c r="AL3240" s="156"/>
      <c r="AM3240" s="156"/>
      <c r="AN3240" s="156"/>
      <c r="AO3240" s="153"/>
      <c r="AP3240" s="153"/>
      <c r="AQ3240" s="156"/>
      <c r="AR3240" s="156"/>
      <c r="AS3240" s="153"/>
      <c r="AT3240" s="156"/>
      <c r="AU3240" s="156"/>
      <c r="AV3240" s="156"/>
      <c r="AW3240" s="432"/>
      <c r="AX3240" s="156"/>
    </row>
    <row r="3241">
      <c r="A3241" s="41">
        <v>3241.0</v>
      </c>
      <c r="B3241" s="126"/>
      <c r="C3241" s="59"/>
      <c r="D3241" s="59"/>
      <c r="F3241" s="65"/>
      <c r="G3241" s="156"/>
      <c r="H3241" s="156"/>
      <c r="I3241" s="1284"/>
      <c r="J3241" s="149"/>
      <c r="K3241" s="65"/>
      <c r="L3241" s="65"/>
      <c r="M3241" s="156"/>
      <c r="N3241" s="156"/>
      <c r="O3241" s="65"/>
      <c r="P3241" s="379"/>
      <c r="Q3241" s="2312"/>
      <c r="R3241" s="156"/>
      <c r="S3241" s="156"/>
      <c r="T3241" s="65"/>
      <c r="U3241" s="65"/>
      <c r="V3241" s="379"/>
      <c r="W3241" s="1225"/>
      <c r="X3241" s="2313"/>
      <c r="Y3241" s="156"/>
      <c r="Z3241" s="156"/>
      <c r="AA3241" s="156"/>
      <c r="AB3241" s="156"/>
      <c r="AC3241" s="156"/>
      <c r="AD3241" s="65"/>
      <c r="AE3241" s="65"/>
      <c r="AF3241" s="153"/>
      <c r="AG3241" s="153"/>
      <c r="AH3241" s="156"/>
      <c r="AI3241" s="156"/>
      <c r="AJ3241" s="333"/>
      <c r="AK3241" s="156"/>
      <c r="AL3241" s="156"/>
      <c r="AM3241" s="156"/>
      <c r="AN3241" s="156"/>
      <c r="AO3241" s="153"/>
      <c r="AP3241" s="153"/>
      <c r="AQ3241" s="156"/>
      <c r="AR3241" s="156"/>
      <c r="AS3241" s="153"/>
      <c r="AT3241" s="156"/>
      <c r="AU3241" s="156"/>
      <c r="AV3241" s="156"/>
      <c r="AW3241" s="432"/>
      <c r="AX3241" s="156"/>
    </row>
    <row r="3242">
      <c r="A3242" s="41">
        <v>3242.0</v>
      </c>
      <c r="B3242" s="126"/>
      <c r="C3242" s="59"/>
      <c r="D3242" s="59"/>
      <c r="F3242" s="65"/>
      <c r="G3242" s="156"/>
      <c r="H3242" s="156"/>
      <c r="I3242" s="1284"/>
      <c r="J3242" s="149"/>
      <c r="K3242" s="65"/>
      <c r="L3242" s="65"/>
      <c r="M3242" s="156"/>
      <c r="N3242" s="156"/>
      <c r="O3242" s="65"/>
      <c r="P3242" s="379"/>
      <c r="Q3242" s="2312"/>
      <c r="R3242" s="156"/>
      <c r="S3242" s="156"/>
      <c r="T3242" s="65"/>
      <c r="U3242" s="65"/>
      <c r="V3242" s="379"/>
      <c r="W3242" s="1225"/>
      <c r="X3242" s="2313"/>
      <c r="Y3242" s="156"/>
      <c r="Z3242" s="156"/>
      <c r="AA3242" s="156"/>
      <c r="AB3242" s="156"/>
      <c r="AC3242" s="156"/>
      <c r="AD3242" s="65"/>
      <c r="AE3242" s="65"/>
      <c r="AF3242" s="153"/>
      <c r="AG3242" s="153"/>
      <c r="AH3242" s="156"/>
      <c r="AI3242" s="156"/>
      <c r="AJ3242" s="333"/>
      <c r="AK3242" s="156"/>
      <c r="AL3242" s="156"/>
      <c r="AM3242" s="156"/>
      <c r="AN3242" s="156"/>
      <c r="AO3242" s="153"/>
      <c r="AP3242" s="153"/>
      <c r="AQ3242" s="156"/>
      <c r="AR3242" s="156"/>
      <c r="AS3242" s="153"/>
      <c r="AT3242" s="156"/>
      <c r="AU3242" s="156"/>
      <c r="AV3242" s="156"/>
      <c r="AW3242" s="432"/>
      <c r="AX3242" s="156"/>
    </row>
    <row r="3243">
      <c r="A3243" s="41">
        <v>3243.0</v>
      </c>
      <c r="B3243" s="126"/>
      <c r="C3243" s="59"/>
      <c r="D3243" s="59"/>
      <c r="F3243" s="65"/>
      <c r="G3243" s="156"/>
      <c r="H3243" s="156"/>
      <c r="I3243" s="1284"/>
      <c r="J3243" s="149"/>
      <c r="K3243" s="65"/>
      <c r="L3243" s="65"/>
      <c r="M3243" s="156"/>
      <c r="N3243" s="156"/>
      <c r="O3243" s="65"/>
      <c r="P3243" s="379"/>
      <c r="Q3243" s="2312"/>
      <c r="R3243" s="156"/>
      <c r="S3243" s="156"/>
      <c r="T3243" s="65"/>
      <c r="U3243" s="65"/>
      <c r="V3243" s="379"/>
      <c r="W3243" s="1225"/>
      <c r="X3243" s="2313"/>
      <c r="Y3243" s="156"/>
      <c r="Z3243" s="156"/>
      <c r="AA3243" s="156"/>
      <c r="AB3243" s="156"/>
      <c r="AC3243" s="156"/>
      <c r="AD3243" s="65"/>
      <c r="AE3243" s="65"/>
      <c r="AF3243" s="153"/>
      <c r="AG3243" s="153"/>
      <c r="AH3243" s="156"/>
      <c r="AI3243" s="156"/>
      <c r="AJ3243" s="333"/>
      <c r="AK3243" s="156"/>
      <c r="AL3243" s="156"/>
      <c r="AM3243" s="156"/>
      <c r="AN3243" s="156"/>
      <c r="AO3243" s="153"/>
      <c r="AP3243" s="153"/>
      <c r="AQ3243" s="156"/>
      <c r="AR3243" s="156"/>
      <c r="AS3243" s="153"/>
      <c r="AT3243" s="156"/>
      <c r="AU3243" s="156"/>
      <c r="AV3243" s="156"/>
      <c r="AW3243" s="432"/>
      <c r="AX3243" s="156"/>
    </row>
    <row r="3244">
      <c r="A3244" s="41">
        <v>3244.0</v>
      </c>
      <c r="B3244" s="126"/>
      <c r="C3244" s="59"/>
      <c r="D3244" s="59"/>
      <c r="F3244" s="65"/>
      <c r="G3244" s="156"/>
      <c r="H3244" s="156"/>
      <c r="I3244" s="1284"/>
      <c r="J3244" s="149"/>
      <c r="K3244" s="65"/>
      <c r="L3244" s="65"/>
      <c r="M3244" s="156"/>
      <c r="N3244" s="156"/>
      <c r="O3244" s="65"/>
      <c r="P3244" s="379"/>
      <c r="Q3244" s="2312"/>
      <c r="R3244" s="156"/>
      <c r="S3244" s="156"/>
      <c r="T3244" s="65"/>
      <c r="U3244" s="65"/>
      <c r="V3244" s="379"/>
      <c r="W3244" s="1225"/>
      <c r="X3244" s="2313"/>
      <c r="Y3244" s="156"/>
      <c r="Z3244" s="156"/>
      <c r="AA3244" s="156"/>
      <c r="AB3244" s="156"/>
      <c r="AC3244" s="156"/>
      <c r="AD3244" s="65"/>
      <c r="AE3244" s="65"/>
      <c r="AF3244" s="153"/>
      <c r="AG3244" s="153"/>
      <c r="AH3244" s="156"/>
      <c r="AI3244" s="156"/>
      <c r="AJ3244" s="333"/>
      <c r="AK3244" s="156"/>
      <c r="AL3244" s="156"/>
      <c r="AM3244" s="156"/>
      <c r="AN3244" s="156"/>
      <c r="AO3244" s="153"/>
      <c r="AP3244" s="153"/>
      <c r="AQ3244" s="156"/>
      <c r="AR3244" s="156"/>
      <c r="AS3244" s="153"/>
      <c r="AT3244" s="156"/>
      <c r="AU3244" s="156"/>
      <c r="AV3244" s="156"/>
      <c r="AW3244" s="432"/>
      <c r="AX3244" s="156"/>
    </row>
    <row r="3245">
      <c r="A3245" s="41">
        <v>3245.0</v>
      </c>
      <c r="B3245" s="126"/>
      <c r="C3245" s="59"/>
      <c r="D3245" s="59"/>
      <c r="F3245" s="65"/>
      <c r="G3245" s="156"/>
      <c r="H3245" s="156"/>
      <c r="I3245" s="1284"/>
      <c r="J3245" s="149"/>
      <c r="K3245" s="65"/>
      <c r="L3245" s="65"/>
      <c r="M3245" s="156"/>
      <c r="N3245" s="156"/>
      <c r="O3245" s="65"/>
      <c r="P3245" s="379"/>
      <c r="Q3245" s="2312"/>
      <c r="R3245" s="156"/>
      <c r="S3245" s="156"/>
      <c r="T3245" s="65"/>
      <c r="U3245" s="65"/>
      <c r="V3245" s="379"/>
      <c r="W3245" s="1225"/>
      <c r="X3245" s="2313"/>
      <c r="Y3245" s="156"/>
      <c r="Z3245" s="156"/>
      <c r="AA3245" s="156"/>
      <c r="AB3245" s="156"/>
      <c r="AC3245" s="156"/>
      <c r="AD3245" s="65"/>
      <c r="AE3245" s="65"/>
      <c r="AF3245" s="153"/>
      <c r="AG3245" s="153"/>
      <c r="AH3245" s="156"/>
      <c r="AI3245" s="156"/>
      <c r="AJ3245" s="333"/>
      <c r="AK3245" s="156"/>
      <c r="AL3245" s="156"/>
      <c r="AM3245" s="156"/>
      <c r="AN3245" s="156"/>
      <c r="AO3245" s="153"/>
      <c r="AP3245" s="153"/>
      <c r="AQ3245" s="156"/>
      <c r="AR3245" s="156"/>
      <c r="AS3245" s="153"/>
      <c r="AT3245" s="156"/>
      <c r="AU3245" s="156"/>
      <c r="AV3245" s="156"/>
      <c r="AW3245" s="432"/>
      <c r="AX3245" s="156"/>
    </row>
    <row r="3246">
      <c r="A3246" s="41">
        <v>3246.0</v>
      </c>
      <c r="B3246" s="126"/>
      <c r="C3246" s="59"/>
      <c r="D3246" s="59"/>
      <c r="F3246" s="65"/>
      <c r="G3246" s="156"/>
      <c r="H3246" s="156"/>
      <c r="I3246" s="1284"/>
      <c r="J3246" s="149"/>
      <c r="K3246" s="65"/>
      <c r="L3246" s="65"/>
      <c r="M3246" s="156"/>
      <c r="N3246" s="156"/>
      <c r="O3246" s="65"/>
      <c r="P3246" s="379"/>
      <c r="Q3246" s="2312"/>
      <c r="R3246" s="156"/>
      <c r="S3246" s="156"/>
      <c r="T3246" s="65"/>
      <c r="U3246" s="65"/>
      <c r="V3246" s="379"/>
      <c r="W3246" s="1225"/>
      <c r="X3246" s="2313"/>
      <c r="Y3246" s="156"/>
      <c r="Z3246" s="156"/>
      <c r="AA3246" s="156"/>
      <c r="AB3246" s="156"/>
      <c r="AC3246" s="156"/>
      <c r="AD3246" s="65"/>
      <c r="AE3246" s="65"/>
      <c r="AF3246" s="153"/>
      <c r="AG3246" s="153"/>
      <c r="AH3246" s="156"/>
      <c r="AI3246" s="156"/>
      <c r="AJ3246" s="333"/>
      <c r="AK3246" s="156"/>
      <c r="AL3246" s="156"/>
      <c r="AM3246" s="156"/>
      <c r="AN3246" s="156"/>
      <c r="AO3246" s="153"/>
      <c r="AP3246" s="153"/>
      <c r="AQ3246" s="156"/>
      <c r="AR3246" s="156"/>
      <c r="AS3246" s="153"/>
      <c r="AT3246" s="156"/>
      <c r="AU3246" s="156"/>
      <c r="AV3246" s="156"/>
      <c r="AW3246" s="432"/>
      <c r="AX3246" s="156"/>
    </row>
    <row r="3247">
      <c r="A3247" s="41">
        <v>3247.0</v>
      </c>
      <c r="B3247" s="126"/>
      <c r="C3247" s="59"/>
      <c r="D3247" s="59"/>
      <c r="F3247" s="65"/>
      <c r="G3247" s="156"/>
      <c r="H3247" s="156"/>
      <c r="I3247" s="1284"/>
      <c r="J3247" s="149"/>
      <c r="K3247" s="65"/>
      <c r="L3247" s="65"/>
      <c r="M3247" s="156"/>
      <c r="N3247" s="156"/>
      <c r="O3247" s="65"/>
      <c r="P3247" s="379"/>
      <c r="Q3247" s="2312"/>
      <c r="R3247" s="156"/>
      <c r="S3247" s="156"/>
      <c r="T3247" s="65"/>
      <c r="U3247" s="65"/>
      <c r="V3247" s="379"/>
      <c r="W3247" s="1225"/>
      <c r="X3247" s="2313"/>
      <c r="Y3247" s="156"/>
      <c r="Z3247" s="156"/>
      <c r="AA3247" s="156"/>
      <c r="AB3247" s="156"/>
      <c r="AC3247" s="156"/>
      <c r="AD3247" s="65"/>
      <c r="AE3247" s="65"/>
      <c r="AF3247" s="153"/>
      <c r="AG3247" s="153"/>
      <c r="AH3247" s="156"/>
      <c r="AI3247" s="156"/>
      <c r="AJ3247" s="333"/>
      <c r="AK3247" s="156"/>
      <c r="AL3247" s="156"/>
      <c r="AM3247" s="156"/>
      <c r="AN3247" s="156"/>
      <c r="AO3247" s="153"/>
      <c r="AP3247" s="153"/>
      <c r="AQ3247" s="156"/>
      <c r="AR3247" s="156"/>
      <c r="AS3247" s="153"/>
      <c r="AT3247" s="156"/>
      <c r="AU3247" s="156"/>
      <c r="AV3247" s="156"/>
      <c r="AW3247" s="432"/>
      <c r="AX3247" s="156"/>
    </row>
    <row r="3248">
      <c r="A3248" s="41">
        <v>3248.0</v>
      </c>
      <c r="B3248" s="126"/>
      <c r="C3248" s="59"/>
      <c r="D3248" s="59"/>
      <c r="F3248" s="65"/>
      <c r="G3248" s="156"/>
      <c r="H3248" s="156"/>
      <c r="I3248" s="1284"/>
      <c r="J3248" s="149"/>
      <c r="K3248" s="65"/>
      <c r="L3248" s="65"/>
      <c r="M3248" s="156"/>
      <c r="N3248" s="156"/>
      <c r="O3248" s="65"/>
      <c r="P3248" s="379"/>
      <c r="Q3248" s="2312"/>
      <c r="R3248" s="156"/>
      <c r="S3248" s="156"/>
      <c r="T3248" s="65"/>
      <c r="U3248" s="65"/>
      <c r="V3248" s="379"/>
      <c r="W3248" s="1225"/>
      <c r="X3248" s="2313"/>
      <c r="Y3248" s="156"/>
      <c r="Z3248" s="156"/>
      <c r="AA3248" s="156"/>
      <c r="AB3248" s="156"/>
      <c r="AC3248" s="156"/>
      <c r="AD3248" s="65"/>
      <c r="AE3248" s="65"/>
      <c r="AF3248" s="153"/>
      <c r="AG3248" s="153"/>
      <c r="AH3248" s="156"/>
      <c r="AI3248" s="156"/>
      <c r="AJ3248" s="333"/>
      <c r="AK3248" s="156"/>
      <c r="AL3248" s="156"/>
      <c r="AM3248" s="156"/>
      <c r="AN3248" s="156"/>
      <c r="AO3248" s="153"/>
      <c r="AP3248" s="153"/>
      <c r="AQ3248" s="156"/>
      <c r="AR3248" s="156"/>
      <c r="AS3248" s="153"/>
      <c r="AT3248" s="156"/>
      <c r="AU3248" s="156"/>
      <c r="AV3248" s="156"/>
      <c r="AW3248" s="432"/>
      <c r="AX3248" s="156"/>
    </row>
    <row r="3249">
      <c r="A3249" s="41">
        <v>3249.0</v>
      </c>
      <c r="B3249" s="126"/>
      <c r="C3249" s="59"/>
      <c r="D3249" s="59"/>
      <c r="F3249" s="65"/>
      <c r="G3249" s="156"/>
      <c r="H3249" s="156"/>
      <c r="I3249" s="1284"/>
      <c r="J3249" s="149"/>
      <c r="K3249" s="65"/>
      <c r="L3249" s="65"/>
      <c r="M3249" s="156"/>
      <c r="N3249" s="156"/>
      <c r="O3249" s="65"/>
      <c r="P3249" s="379"/>
      <c r="Q3249" s="2312"/>
      <c r="R3249" s="156"/>
      <c r="S3249" s="156"/>
      <c r="T3249" s="65"/>
      <c r="U3249" s="65"/>
      <c r="V3249" s="379"/>
      <c r="W3249" s="1225"/>
      <c r="X3249" s="2313"/>
      <c r="Y3249" s="156"/>
      <c r="Z3249" s="156"/>
      <c r="AA3249" s="156"/>
      <c r="AB3249" s="156"/>
      <c r="AC3249" s="156"/>
      <c r="AD3249" s="65"/>
      <c r="AE3249" s="65"/>
      <c r="AF3249" s="153"/>
      <c r="AG3249" s="153"/>
      <c r="AH3249" s="156"/>
      <c r="AI3249" s="156"/>
      <c r="AJ3249" s="333"/>
      <c r="AK3249" s="156"/>
      <c r="AL3249" s="156"/>
      <c r="AM3249" s="156"/>
      <c r="AN3249" s="156"/>
      <c r="AO3249" s="153"/>
      <c r="AP3249" s="153"/>
      <c r="AQ3249" s="156"/>
      <c r="AR3249" s="156"/>
      <c r="AS3249" s="153"/>
      <c r="AT3249" s="156"/>
      <c r="AU3249" s="156"/>
      <c r="AV3249" s="156"/>
      <c r="AW3249" s="432"/>
      <c r="AX3249" s="156"/>
    </row>
    <row r="3250">
      <c r="A3250" s="41">
        <v>3250.0</v>
      </c>
      <c r="B3250" s="126"/>
      <c r="C3250" s="59"/>
      <c r="D3250" s="59"/>
      <c r="F3250" s="65"/>
      <c r="G3250" s="156"/>
      <c r="H3250" s="156"/>
      <c r="I3250" s="1284"/>
      <c r="J3250" s="149"/>
      <c r="K3250" s="65"/>
      <c r="L3250" s="65"/>
      <c r="M3250" s="156"/>
      <c r="N3250" s="156"/>
      <c r="O3250" s="65"/>
      <c r="P3250" s="379"/>
      <c r="Q3250" s="2312"/>
      <c r="R3250" s="156"/>
      <c r="S3250" s="156"/>
      <c r="T3250" s="65"/>
      <c r="U3250" s="65"/>
      <c r="V3250" s="379"/>
      <c r="W3250" s="1225"/>
      <c r="X3250" s="2313"/>
      <c r="Y3250" s="156"/>
      <c r="Z3250" s="156"/>
      <c r="AA3250" s="156"/>
      <c r="AB3250" s="156"/>
      <c r="AC3250" s="156"/>
      <c r="AD3250" s="65"/>
      <c r="AE3250" s="65"/>
      <c r="AF3250" s="153"/>
      <c r="AG3250" s="153"/>
      <c r="AH3250" s="156"/>
      <c r="AI3250" s="156"/>
      <c r="AJ3250" s="333"/>
      <c r="AK3250" s="156"/>
      <c r="AL3250" s="156"/>
      <c r="AM3250" s="156"/>
      <c r="AN3250" s="156"/>
      <c r="AO3250" s="153"/>
      <c r="AP3250" s="153"/>
      <c r="AQ3250" s="156"/>
      <c r="AR3250" s="156"/>
      <c r="AS3250" s="153"/>
      <c r="AT3250" s="156"/>
      <c r="AU3250" s="156"/>
      <c r="AV3250" s="156"/>
      <c r="AW3250" s="432"/>
      <c r="AX3250" s="156"/>
    </row>
    <row r="3251">
      <c r="A3251" s="41">
        <v>3251.0</v>
      </c>
      <c r="B3251" s="126"/>
      <c r="C3251" s="59"/>
      <c r="D3251" s="59"/>
      <c r="F3251" s="65"/>
      <c r="G3251" s="156"/>
      <c r="H3251" s="156"/>
      <c r="I3251" s="1284"/>
      <c r="J3251" s="149"/>
      <c r="K3251" s="65"/>
      <c r="L3251" s="65"/>
      <c r="M3251" s="156"/>
      <c r="N3251" s="156"/>
      <c r="O3251" s="65"/>
      <c r="P3251" s="379"/>
      <c r="Q3251" s="2312"/>
      <c r="R3251" s="156"/>
      <c r="S3251" s="156"/>
      <c r="T3251" s="65"/>
      <c r="U3251" s="65"/>
      <c r="V3251" s="379"/>
      <c r="W3251" s="1225"/>
      <c r="X3251" s="2313"/>
      <c r="Y3251" s="156"/>
      <c r="Z3251" s="156"/>
      <c r="AA3251" s="156"/>
      <c r="AB3251" s="156"/>
      <c r="AC3251" s="156"/>
      <c r="AD3251" s="65"/>
      <c r="AE3251" s="65"/>
      <c r="AF3251" s="153"/>
      <c r="AG3251" s="153"/>
      <c r="AH3251" s="156"/>
      <c r="AI3251" s="156"/>
      <c r="AJ3251" s="333"/>
      <c r="AK3251" s="156"/>
      <c r="AL3251" s="156"/>
      <c r="AM3251" s="156"/>
      <c r="AN3251" s="156"/>
      <c r="AO3251" s="153"/>
      <c r="AP3251" s="153"/>
      <c r="AQ3251" s="156"/>
      <c r="AR3251" s="156"/>
      <c r="AS3251" s="153"/>
      <c r="AT3251" s="156"/>
      <c r="AU3251" s="156"/>
      <c r="AV3251" s="156"/>
      <c r="AW3251" s="432"/>
      <c r="AX3251" s="156"/>
    </row>
    <row r="3252">
      <c r="A3252" s="41">
        <v>3252.0</v>
      </c>
      <c r="B3252" s="126"/>
      <c r="C3252" s="59"/>
      <c r="D3252" s="59"/>
      <c r="F3252" s="65"/>
      <c r="G3252" s="156"/>
      <c r="H3252" s="156"/>
      <c r="I3252" s="1284"/>
      <c r="J3252" s="149"/>
      <c r="K3252" s="65"/>
      <c r="L3252" s="65"/>
      <c r="M3252" s="156"/>
      <c r="N3252" s="156"/>
      <c r="O3252" s="65"/>
      <c r="P3252" s="379"/>
      <c r="Q3252" s="2312"/>
      <c r="R3252" s="156"/>
      <c r="S3252" s="156"/>
      <c r="T3252" s="65"/>
      <c r="U3252" s="65"/>
      <c r="V3252" s="379"/>
      <c r="W3252" s="1225"/>
      <c r="X3252" s="2313"/>
      <c r="Y3252" s="156"/>
      <c r="Z3252" s="156"/>
      <c r="AA3252" s="156"/>
      <c r="AB3252" s="156"/>
      <c r="AC3252" s="156"/>
      <c r="AD3252" s="65"/>
      <c r="AE3252" s="65"/>
      <c r="AF3252" s="153"/>
      <c r="AG3252" s="153"/>
      <c r="AH3252" s="156"/>
      <c r="AI3252" s="156"/>
      <c r="AJ3252" s="333"/>
      <c r="AK3252" s="156"/>
      <c r="AL3252" s="156"/>
      <c r="AM3252" s="156"/>
      <c r="AN3252" s="156"/>
      <c r="AO3252" s="153"/>
      <c r="AP3252" s="153"/>
      <c r="AQ3252" s="156"/>
      <c r="AR3252" s="156"/>
      <c r="AS3252" s="153"/>
      <c r="AT3252" s="156"/>
      <c r="AU3252" s="156"/>
      <c r="AV3252" s="156"/>
      <c r="AW3252" s="432"/>
      <c r="AX3252" s="156"/>
    </row>
    <row r="3253">
      <c r="A3253" s="41">
        <v>3253.0</v>
      </c>
      <c r="B3253" s="126"/>
      <c r="C3253" s="59"/>
      <c r="D3253" s="59"/>
      <c r="F3253" s="65"/>
      <c r="G3253" s="156"/>
      <c r="H3253" s="156"/>
      <c r="I3253" s="1284"/>
      <c r="J3253" s="149"/>
      <c r="K3253" s="65"/>
      <c r="L3253" s="65"/>
      <c r="M3253" s="156"/>
      <c r="N3253" s="156"/>
      <c r="O3253" s="65"/>
      <c r="P3253" s="379"/>
      <c r="Q3253" s="2312"/>
      <c r="R3253" s="156"/>
      <c r="S3253" s="156"/>
      <c r="T3253" s="65"/>
      <c r="U3253" s="65"/>
      <c r="V3253" s="379"/>
      <c r="W3253" s="1225"/>
      <c r="X3253" s="2313"/>
      <c r="Y3253" s="156"/>
      <c r="Z3253" s="156"/>
      <c r="AA3253" s="156"/>
      <c r="AB3253" s="156"/>
      <c r="AC3253" s="156"/>
      <c r="AD3253" s="65"/>
      <c r="AE3253" s="65"/>
      <c r="AF3253" s="153"/>
      <c r="AG3253" s="153"/>
      <c r="AH3253" s="156"/>
      <c r="AI3253" s="156"/>
      <c r="AJ3253" s="333"/>
      <c r="AK3253" s="156"/>
      <c r="AL3253" s="156"/>
      <c r="AM3253" s="156"/>
      <c r="AN3253" s="156"/>
      <c r="AO3253" s="153"/>
      <c r="AP3253" s="153"/>
      <c r="AQ3253" s="156"/>
      <c r="AR3253" s="156"/>
      <c r="AS3253" s="153"/>
      <c r="AT3253" s="156"/>
      <c r="AU3253" s="156"/>
      <c r="AV3253" s="156"/>
      <c r="AW3253" s="432"/>
      <c r="AX3253" s="156"/>
    </row>
    <row r="3254">
      <c r="A3254" s="41">
        <v>3254.0</v>
      </c>
      <c r="B3254" s="126"/>
      <c r="C3254" s="59"/>
      <c r="D3254" s="59"/>
      <c r="F3254" s="65"/>
      <c r="G3254" s="156"/>
      <c r="H3254" s="156"/>
      <c r="I3254" s="1284"/>
      <c r="J3254" s="149"/>
      <c r="K3254" s="65"/>
      <c r="L3254" s="65"/>
      <c r="M3254" s="156"/>
      <c r="N3254" s="156"/>
      <c r="O3254" s="65"/>
      <c r="P3254" s="379"/>
      <c r="Q3254" s="2312"/>
      <c r="R3254" s="156"/>
      <c r="S3254" s="156"/>
      <c r="T3254" s="65"/>
      <c r="U3254" s="65"/>
      <c r="V3254" s="379"/>
      <c r="W3254" s="1225"/>
      <c r="X3254" s="2313"/>
      <c r="Y3254" s="156"/>
      <c r="Z3254" s="156"/>
      <c r="AA3254" s="156"/>
      <c r="AB3254" s="156"/>
      <c r="AC3254" s="156"/>
      <c r="AD3254" s="65"/>
      <c r="AE3254" s="65"/>
      <c r="AF3254" s="153"/>
      <c r="AG3254" s="153"/>
      <c r="AH3254" s="156"/>
      <c r="AI3254" s="156"/>
      <c r="AJ3254" s="333"/>
      <c r="AK3254" s="156"/>
      <c r="AL3254" s="156"/>
      <c r="AM3254" s="156"/>
      <c r="AN3254" s="156"/>
      <c r="AO3254" s="153"/>
      <c r="AP3254" s="153"/>
      <c r="AQ3254" s="156"/>
      <c r="AR3254" s="156"/>
      <c r="AS3254" s="153"/>
      <c r="AT3254" s="156"/>
      <c r="AU3254" s="156"/>
      <c r="AV3254" s="156"/>
      <c r="AW3254" s="432"/>
      <c r="AX3254" s="156"/>
    </row>
    <row r="3255">
      <c r="A3255" s="41">
        <v>3255.0</v>
      </c>
      <c r="B3255" s="126"/>
      <c r="C3255" s="59"/>
      <c r="D3255" s="59"/>
      <c r="F3255" s="65"/>
      <c r="G3255" s="156"/>
      <c r="H3255" s="156"/>
      <c r="I3255" s="1284"/>
      <c r="J3255" s="149"/>
      <c r="K3255" s="65"/>
      <c r="L3255" s="65"/>
      <c r="M3255" s="156"/>
      <c r="N3255" s="156"/>
      <c r="O3255" s="65"/>
      <c r="P3255" s="379"/>
      <c r="Q3255" s="2312"/>
      <c r="R3255" s="156"/>
      <c r="S3255" s="156"/>
      <c r="T3255" s="65"/>
      <c r="U3255" s="65"/>
      <c r="V3255" s="379"/>
      <c r="W3255" s="1225"/>
      <c r="X3255" s="2313"/>
      <c r="Y3255" s="156"/>
      <c r="Z3255" s="156"/>
      <c r="AA3255" s="156"/>
      <c r="AB3255" s="156"/>
      <c r="AC3255" s="156"/>
      <c r="AD3255" s="65"/>
      <c r="AE3255" s="65"/>
      <c r="AF3255" s="153"/>
      <c r="AG3255" s="153"/>
      <c r="AH3255" s="156"/>
      <c r="AI3255" s="156"/>
      <c r="AJ3255" s="333"/>
      <c r="AK3255" s="156"/>
      <c r="AL3255" s="156"/>
      <c r="AM3255" s="156"/>
      <c r="AN3255" s="156"/>
      <c r="AO3255" s="153"/>
      <c r="AP3255" s="153"/>
      <c r="AQ3255" s="156"/>
      <c r="AR3255" s="156"/>
      <c r="AS3255" s="153"/>
      <c r="AT3255" s="156"/>
      <c r="AU3255" s="156"/>
      <c r="AV3255" s="156"/>
      <c r="AW3255" s="432"/>
      <c r="AX3255" s="156"/>
    </row>
    <row r="3256">
      <c r="A3256" s="41">
        <v>3256.0</v>
      </c>
      <c r="B3256" s="126"/>
      <c r="C3256" s="59"/>
      <c r="D3256" s="59"/>
      <c r="F3256" s="65"/>
      <c r="G3256" s="156"/>
      <c r="H3256" s="156"/>
      <c r="I3256" s="1284"/>
      <c r="J3256" s="149"/>
      <c r="K3256" s="65"/>
      <c r="L3256" s="65"/>
      <c r="M3256" s="156"/>
      <c r="N3256" s="156"/>
      <c r="O3256" s="65"/>
      <c r="P3256" s="379"/>
      <c r="Q3256" s="2312"/>
      <c r="R3256" s="156"/>
      <c r="S3256" s="156"/>
      <c r="T3256" s="65"/>
      <c r="U3256" s="65"/>
      <c r="V3256" s="379"/>
      <c r="W3256" s="1225"/>
      <c r="X3256" s="2313"/>
      <c r="Y3256" s="156"/>
      <c r="Z3256" s="156"/>
      <c r="AA3256" s="156"/>
      <c r="AB3256" s="156"/>
      <c r="AC3256" s="156"/>
      <c r="AD3256" s="65"/>
      <c r="AE3256" s="65"/>
      <c r="AF3256" s="153"/>
      <c r="AG3256" s="153"/>
      <c r="AH3256" s="156"/>
      <c r="AI3256" s="156"/>
      <c r="AJ3256" s="333"/>
      <c r="AK3256" s="156"/>
      <c r="AL3256" s="156"/>
      <c r="AM3256" s="156"/>
      <c r="AN3256" s="156"/>
      <c r="AO3256" s="153"/>
      <c r="AP3256" s="153"/>
      <c r="AQ3256" s="156"/>
      <c r="AR3256" s="156"/>
      <c r="AS3256" s="153"/>
      <c r="AT3256" s="156"/>
      <c r="AU3256" s="156"/>
      <c r="AV3256" s="156"/>
      <c r="AW3256" s="432"/>
      <c r="AX3256" s="156"/>
    </row>
    <row r="3257">
      <c r="A3257" s="41">
        <v>3257.0</v>
      </c>
      <c r="B3257" s="126"/>
      <c r="C3257" s="59"/>
      <c r="D3257" s="59"/>
      <c r="F3257" s="65"/>
      <c r="G3257" s="156"/>
      <c r="H3257" s="156"/>
      <c r="I3257" s="1284"/>
      <c r="J3257" s="149"/>
      <c r="K3257" s="65"/>
      <c r="L3257" s="65"/>
      <c r="M3257" s="156"/>
      <c r="N3257" s="156"/>
      <c r="O3257" s="65"/>
      <c r="P3257" s="379"/>
      <c r="Q3257" s="2312"/>
      <c r="R3257" s="156"/>
      <c r="S3257" s="156"/>
      <c r="T3257" s="65"/>
      <c r="U3257" s="65"/>
      <c r="V3257" s="379"/>
      <c r="W3257" s="1225"/>
      <c r="X3257" s="2313"/>
      <c r="Y3257" s="156"/>
      <c r="Z3257" s="156"/>
      <c r="AA3257" s="156"/>
      <c r="AB3257" s="156"/>
      <c r="AC3257" s="156"/>
      <c r="AD3257" s="65"/>
      <c r="AE3257" s="65"/>
      <c r="AF3257" s="153"/>
      <c r="AG3257" s="153"/>
      <c r="AH3257" s="156"/>
      <c r="AI3257" s="156"/>
      <c r="AJ3257" s="333"/>
      <c r="AK3257" s="156"/>
      <c r="AL3257" s="156"/>
      <c r="AM3257" s="156"/>
      <c r="AN3257" s="156"/>
      <c r="AO3257" s="153"/>
      <c r="AP3257" s="153"/>
      <c r="AQ3257" s="156"/>
      <c r="AR3257" s="156"/>
      <c r="AS3257" s="153"/>
      <c r="AT3257" s="156"/>
      <c r="AU3257" s="156"/>
      <c r="AV3257" s="156"/>
      <c r="AW3257" s="432"/>
      <c r="AX3257" s="156"/>
    </row>
    <row r="3258">
      <c r="A3258" s="41">
        <v>3258.0</v>
      </c>
      <c r="B3258" s="126"/>
      <c r="C3258" s="59"/>
      <c r="D3258" s="59"/>
      <c r="F3258" s="65"/>
      <c r="G3258" s="156"/>
      <c r="H3258" s="156"/>
      <c r="I3258" s="1284"/>
      <c r="J3258" s="149"/>
      <c r="K3258" s="65"/>
      <c r="L3258" s="65"/>
      <c r="M3258" s="156"/>
      <c r="N3258" s="156"/>
      <c r="O3258" s="65"/>
      <c r="P3258" s="379"/>
      <c r="Q3258" s="2312"/>
      <c r="R3258" s="156"/>
      <c r="S3258" s="156"/>
      <c r="T3258" s="65"/>
      <c r="U3258" s="65"/>
      <c r="V3258" s="379"/>
      <c r="W3258" s="1225"/>
      <c r="X3258" s="2313"/>
      <c r="Y3258" s="156"/>
      <c r="Z3258" s="156"/>
      <c r="AA3258" s="156"/>
      <c r="AB3258" s="156"/>
      <c r="AC3258" s="156"/>
      <c r="AD3258" s="65"/>
      <c r="AE3258" s="65"/>
      <c r="AF3258" s="153"/>
      <c r="AG3258" s="153"/>
      <c r="AH3258" s="156"/>
      <c r="AI3258" s="156"/>
      <c r="AJ3258" s="333"/>
      <c r="AK3258" s="156"/>
      <c r="AL3258" s="156"/>
      <c r="AM3258" s="156"/>
      <c r="AN3258" s="156"/>
      <c r="AO3258" s="153"/>
      <c r="AP3258" s="153"/>
      <c r="AQ3258" s="156"/>
      <c r="AR3258" s="156"/>
      <c r="AS3258" s="153"/>
      <c r="AT3258" s="156"/>
      <c r="AU3258" s="156"/>
      <c r="AV3258" s="156"/>
      <c r="AW3258" s="432"/>
      <c r="AX3258" s="156"/>
    </row>
    <row r="3259">
      <c r="A3259" s="41">
        <v>3259.0</v>
      </c>
      <c r="B3259" s="126"/>
      <c r="C3259" s="59"/>
      <c r="D3259" s="59"/>
      <c r="F3259" s="65"/>
      <c r="G3259" s="156"/>
      <c r="H3259" s="156"/>
      <c r="I3259" s="1284"/>
      <c r="J3259" s="149"/>
      <c r="K3259" s="65"/>
      <c r="L3259" s="65"/>
      <c r="M3259" s="156"/>
      <c r="N3259" s="156"/>
      <c r="O3259" s="65"/>
      <c r="P3259" s="379"/>
      <c r="Q3259" s="2312"/>
      <c r="R3259" s="156"/>
      <c r="S3259" s="156"/>
      <c r="T3259" s="65"/>
      <c r="U3259" s="65"/>
      <c r="V3259" s="379"/>
      <c r="W3259" s="1225"/>
      <c r="X3259" s="2313"/>
      <c r="Y3259" s="156"/>
      <c r="Z3259" s="156"/>
      <c r="AA3259" s="156"/>
      <c r="AB3259" s="156"/>
      <c r="AC3259" s="156"/>
      <c r="AD3259" s="65"/>
      <c r="AE3259" s="65"/>
      <c r="AF3259" s="153"/>
      <c r="AG3259" s="153"/>
      <c r="AH3259" s="156"/>
      <c r="AI3259" s="156"/>
      <c r="AJ3259" s="333"/>
      <c r="AK3259" s="156"/>
      <c r="AL3259" s="156"/>
      <c r="AM3259" s="156"/>
      <c r="AN3259" s="156"/>
      <c r="AO3259" s="153"/>
      <c r="AP3259" s="153"/>
      <c r="AQ3259" s="156"/>
      <c r="AR3259" s="156"/>
      <c r="AS3259" s="153"/>
      <c r="AT3259" s="156"/>
      <c r="AU3259" s="156"/>
      <c r="AV3259" s="156"/>
      <c r="AW3259" s="432"/>
      <c r="AX3259" s="156"/>
    </row>
    <row r="3260">
      <c r="A3260" s="41">
        <v>3260.0</v>
      </c>
      <c r="B3260" s="126"/>
      <c r="C3260" s="59"/>
      <c r="D3260" s="59"/>
      <c r="F3260" s="65"/>
      <c r="G3260" s="156"/>
      <c r="H3260" s="156"/>
      <c r="I3260" s="1284"/>
      <c r="J3260" s="149"/>
      <c r="K3260" s="65"/>
      <c r="L3260" s="65"/>
      <c r="M3260" s="156"/>
      <c r="N3260" s="156"/>
      <c r="O3260" s="65"/>
      <c r="P3260" s="379"/>
      <c r="Q3260" s="2312"/>
      <c r="R3260" s="156"/>
      <c r="S3260" s="156"/>
      <c r="T3260" s="65"/>
      <c r="U3260" s="65"/>
      <c r="V3260" s="379"/>
      <c r="W3260" s="1225"/>
      <c r="X3260" s="2313"/>
      <c r="Y3260" s="156"/>
      <c r="Z3260" s="156"/>
      <c r="AA3260" s="156"/>
      <c r="AB3260" s="156"/>
      <c r="AC3260" s="156"/>
      <c r="AD3260" s="65"/>
      <c r="AE3260" s="65"/>
      <c r="AF3260" s="153"/>
      <c r="AG3260" s="153"/>
      <c r="AH3260" s="156"/>
      <c r="AI3260" s="156"/>
      <c r="AJ3260" s="333"/>
      <c r="AK3260" s="156"/>
      <c r="AL3260" s="156"/>
      <c r="AM3260" s="156"/>
      <c r="AN3260" s="156"/>
      <c r="AO3260" s="153"/>
      <c r="AP3260" s="153"/>
      <c r="AQ3260" s="156"/>
      <c r="AR3260" s="156"/>
      <c r="AS3260" s="153"/>
      <c r="AT3260" s="156"/>
      <c r="AU3260" s="156"/>
      <c r="AV3260" s="156"/>
      <c r="AW3260" s="432"/>
      <c r="AX3260" s="156"/>
    </row>
    <row r="3261">
      <c r="A3261" s="41">
        <v>3261.0</v>
      </c>
      <c r="B3261" s="126"/>
      <c r="C3261" s="59"/>
      <c r="D3261" s="59"/>
      <c r="F3261" s="65"/>
      <c r="G3261" s="156"/>
      <c r="H3261" s="156"/>
      <c r="I3261" s="1284"/>
      <c r="J3261" s="149"/>
      <c r="K3261" s="65"/>
      <c r="L3261" s="65"/>
      <c r="M3261" s="156"/>
      <c r="N3261" s="156"/>
      <c r="O3261" s="65"/>
      <c r="P3261" s="379"/>
      <c r="Q3261" s="2312"/>
      <c r="R3261" s="156"/>
      <c r="S3261" s="156"/>
      <c r="T3261" s="65"/>
      <c r="U3261" s="65"/>
      <c r="V3261" s="379"/>
      <c r="W3261" s="1225"/>
      <c r="X3261" s="2313"/>
      <c r="Y3261" s="156"/>
      <c r="Z3261" s="156"/>
      <c r="AA3261" s="156"/>
      <c r="AB3261" s="156"/>
      <c r="AC3261" s="156"/>
      <c r="AD3261" s="65"/>
      <c r="AE3261" s="65"/>
      <c r="AF3261" s="153"/>
      <c r="AG3261" s="153"/>
      <c r="AH3261" s="156"/>
      <c r="AI3261" s="156"/>
      <c r="AJ3261" s="333"/>
      <c r="AK3261" s="156"/>
      <c r="AL3261" s="156"/>
      <c r="AM3261" s="156"/>
      <c r="AN3261" s="156"/>
      <c r="AO3261" s="153"/>
      <c r="AP3261" s="153"/>
      <c r="AQ3261" s="156"/>
      <c r="AR3261" s="156"/>
      <c r="AS3261" s="153"/>
      <c r="AT3261" s="156"/>
      <c r="AU3261" s="156"/>
      <c r="AV3261" s="156"/>
      <c r="AW3261" s="432"/>
      <c r="AX3261" s="156"/>
    </row>
    <row r="3262">
      <c r="A3262" s="41">
        <v>3262.0</v>
      </c>
      <c r="B3262" s="126"/>
      <c r="C3262" s="59"/>
      <c r="D3262" s="59"/>
      <c r="F3262" s="65"/>
      <c r="G3262" s="156"/>
      <c r="H3262" s="156"/>
      <c r="I3262" s="1284"/>
      <c r="J3262" s="149"/>
      <c r="K3262" s="65"/>
      <c r="L3262" s="65"/>
      <c r="M3262" s="156"/>
      <c r="N3262" s="156"/>
      <c r="O3262" s="65"/>
      <c r="P3262" s="379"/>
      <c r="Q3262" s="2312"/>
      <c r="R3262" s="156"/>
      <c r="S3262" s="156"/>
      <c r="T3262" s="65"/>
      <c r="U3262" s="65"/>
      <c r="V3262" s="379"/>
      <c r="W3262" s="1225"/>
      <c r="X3262" s="2313"/>
      <c r="Y3262" s="156"/>
      <c r="Z3262" s="156"/>
      <c r="AA3262" s="156"/>
      <c r="AB3262" s="156"/>
      <c r="AC3262" s="156"/>
      <c r="AD3262" s="65"/>
      <c r="AE3262" s="65"/>
      <c r="AF3262" s="153"/>
      <c r="AG3262" s="153"/>
      <c r="AH3262" s="156"/>
      <c r="AI3262" s="156"/>
      <c r="AJ3262" s="333"/>
      <c r="AK3262" s="156"/>
      <c r="AL3262" s="156"/>
      <c r="AM3262" s="156"/>
      <c r="AN3262" s="156"/>
      <c r="AO3262" s="153"/>
      <c r="AP3262" s="153"/>
      <c r="AQ3262" s="156"/>
      <c r="AR3262" s="156"/>
      <c r="AS3262" s="153"/>
      <c r="AT3262" s="156"/>
      <c r="AU3262" s="156"/>
      <c r="AV3262" s="156"/>
      <c r="AW3262" s="432"/>
      <c r="AX3262" s="156"/>
    </row>
    <row r="3263">
      <c r="A3263" s="41">
        <v>3263.0</v>
      </c>
      <c r="B3263" s="126"/>
      <c r="C3263" s="59"/>
      <c r="D3263" s="59"/>
      <c r="F3263" s="65"/>
      <c r="G3263" s="156"/>
      <c r="H3263" s="156"/>
      <c r="I3263" s="1284"/>
      <c r="J3263" s="149"/>
      <c r="K3263" s="65"/>
      <c r="L3263" s="65"/>
      <c r="M3263" s="156"/>
      <c r="N3263" s="156"/>
      <c r="O3263" s="65"/>
      <c r="P3263" s="379"/>
      <c r="Q3263" s="2312"/>
      <c r="R3263" s="156"/>
      <c r="S3263" s="156"/>
      <c r="T3263" s="65"/>
      <c r="U3263" s="65"/>
      <c r="V3263" s="379"/>
      <c r="W3263" s="1225"/>
      <c r="X3263" s="2313"/>
      <c r="Y3263" s="156"/>
      <c r="Z3263" s="156"/>
      <c r="AA3263" s="156"/>
      <c r="AB3263" s="156"/>
      <c r="AC3263" s="156"/>
      <c r="AD3263" s="65"/>
      <c r="AE3263" s="65"/>
      <c r="AF3263" s="153"/>
      <c r="AG3263" s="153"/>
      <c r="AH3263" s="156"/>
      <c r="AI3263" s="156"/>
      <c r="AJ3263" s="333"/>
      <c r="AK3263" s="156"/>
      <c r="AL3263" s="156"/>
      <c r="AM3263" s="156"/>
      <c r="AN3263" s="156"/>
      <c r="AO3263" s="153"/>
      <c r="AP3263" s="153"/>
      <c r="AQ3263" s="156"/>
      <c r="AR3263" s="156"/>
      <c r="AS3263" s="153"/>
      <c r="AT3263" s="156"/>
      <c r="AU3263" s="156"/>
      <c r="AV3263" s="156"/>
      <c r="AW3263" s="432"/>
      <c r="AX3263" s="156"/>
    </row>
    <row r="3264">
      <c r="A3264" s="41">
        <v>3264.0</v>
      </c>
      <c r="B3264" s="126"/>
      <c r="C3264" s="59"/>
      <c r="D3264" s="59"/>
      <c r="F3264" s="65"/>
      <c r="G3264" s="156"/>
      <c r="H3264" s="156"/>
      <c r="I3264" s="1284"/>
      <c r="J3264" s="149"/>
      <c r="K3264" s="65"/>
      <c r="L3264" s="65"/>
      <c r="M3264" s="156"/>
      <c r="N3264" s="156"/>
      <c r="O3264" s="65"/>
      <c r="P3264" s="379"/>
      <c r="Q3264" s="2312"/>
      <c r="R3264" s="156"/>
      <c r="S3264" s="156"/>
      <c r="T3264" s="65"/>
      <c r="U3264" s="65"/>
      <c r="V3264" s="379"/>
      <c r="W3264" s="1225"/>
      <c r="X3264" s="2313"/>
      <c r="Y3264" s="156"/>
      <c r="Z3264" s="156"/>
      <c r="AA3264" s="156"/>
      <c r="AB3264" s="156"/>
      <c r="AC3264" s="156"/>
      <c r="AD3264" s="65"/>
      <c r="AE3264" s="65"/>
      <c r="AF3264" s="153"/>
      <c r="AG3264" s="153"/>
      <c r="AH3264" s="156"/>
      <c r="AI3264" s="156"/>
      <c r="AJ3264" s="333"/>
      <c r="AK3264" s="156"/>
      <c r="AL3264" s="156"/>
      <c r="AM3264" s="156"/>
      <c r="AN3264" s="156"/>
      <c r="AO3264" s="153"/>
      <c r="AP3264" s="153"/>
      <c r="AQ3264" s="156"/>
      <c r="AR3264" s="156"/>
      <c r="AS3264" s="153"/>
      <c r="AT3264" s="156"/>
      <c r="AU3264" s="156"/>
      <c r="AV3264" s="156"/>
      <c r="AW3264" s="432"/>
      <c r="AX3264" s="156"/>
    </row>
    <row r="3265">
      <c r="A3265" s="41">
        <v>3265.0</v>
      </c>
      <c r="B3265" s="126"/>
      <c r="C3265" s="59"/>
      <c r="D3265" s="59"/>
      <c r="F3265" s="65"/>
      <c r="G3265" s="156"/>
      <c r="H3265" s="156"/>
      <c r="I3265" s="1284"/>
      <c r="J3265" s="149"/>
      <c r="K3265" s="65"/>
      <c r="L3265" s="65"/>
      <c r="M3265" s="156"/>
      <c r="N3265" s="156"/>
      <c r="O3265" s="65"/>
      <c r="P3265" s="379"/>
      <c r="Q3265" s="2312"/>
      <c r="R3265" s="156"/>
      <c r="S3265" s="156"/>
      <c r="T3265" s="65"/>
      <c r="U3265" s="65"/>
      <c r="V3265" s="379"/>
      <c r="W3265" s="1225"/>
      <c r="X3265" s="2313"/>
      <c r="Y3265" s="156"/>
      <c r="Z3265" s="156"/>
      <c r="AA3265" s="156"/>
      <c r="AB3265" s="156"/>
      <c r="AC3265" s="156"/>
      <c r="AD3265" s="65"/>
      <c r="AE3265" s="65"/>
      <c r="AF3265" s="153"/>
      <c r="AG3265" s="153"/>
      <c r="AH3265" s="156"/>
      <c r="AI3265" s="156"/>
      <c r="AJ3265" s="333"/>
      <c r="AK3265" s="156"/>
      <c r="AL3265" s="156"/>
      <c r="AM3265" s="156"/>
      <c r="AN3265" s="156"/>
      <c r="AO3265" s="153"/>
      <c r="AP3265" s="153"/>
      <c r="AQ3265" s="156"/>
      <c r="AR3265" s="156"/>
      <c r="AS3265" s="153"/>
      <c r="AT3265" s="156"/>
      <c r="AU3265" s="156"/>
      <c r="AV3265" s="156"/>
      <c r="AW3265" s="432"/>
      <c r="AX3265" s="156"/>
    </row>
    <row r="3266">
      <c r="A3266" s="41">
        <v>3266.0</v>
      </c>
      <c r="B3266" s="126"/>
      <c r="C3266" s="59"/>
      <c r="D3266" s="59"/>
      <c r="F3266" s="65"/>
      <c r="G3266" s="156"/>
      <c r="H3266" s="156"/>
      <c r="I3266" s="1284"/>
      <c r="J3266" s="149"/>
      <c r="K3266" s="65"/>
      <c r="L3266" s="65"/>
      <c r="M3266" s="156"/>
      <c r="N3266" s="156"/>
      <c r="O3266" s="65"/>
      <c r="P3266" s="379"/>
      <c r="Q3266" s="2312"/>
      <c r="R3266" s="156"/>
      <c r="S3266" s="156"/>
      <c r="T3266" s="65"/>
      <c r="U3266" s="65"/>
      <c r="V3266" s="379"/>
      <c r="W3266" s="1225"/>
      <c r="X3266" s="2313"/>
      <c r="Y3266" s="156"/>
      <c r="Z3266" s="156"/>
      <c r="AA3266" s="156"/>
      <c r="AB3266" s="156"/>
      <c r="AC3266" s="156"/>
      <c r="AD3266" s="65"/>
      <c r="AE3266" s="65"/>
      <c r="AF3266" s="153"/>
      <c r="AG3266" s="153"/>
      <c r="AH3266" s="156"/>
      <c r="AI3266" s="156"/>
      <c r="AJ3266" s="333"/>
      <c r="AK3266" s="156"/>
      <c r="AL3266" s="156"/>
      <c r="AM3266" s="156"/>
      <c r="AN3266" s="156"/>
      <c r="AO3266" s="153"/>
      <c r="AP3266" s="153"/>
      <c r="AQ3266" s="156"/>
      <c r="AR3266" s="156"/>
      <c r="AS3266" s="153"/>
      <c r="AT3266" s="156"/>
      <c r="AU3266" s="156"/>
      <c r="AV3266" s="156"/>
      <c r="AW3266" s="432"/>
      <c r="AX3266" s="156"/>
    </row>
    <row r="3267">
      <c r="A3267" s="41">
        <v>3267.0</v>
      </c>
      <c r="B3267" s="126"/>
      <c r="C3267" s="59"/>
      <c r="D3267" s="59"/>
      <c r="F3267" s="65"/>
      <c r="G3267" s="156"/>
      <c r="H3267" s="156"/>
      <c r="I3267" s="1284"/>
      <c r="J3267" s="149"/>
      <c r="K3267" s="65"/>
      <c r="L3267" s="65"/>
      <c r="M3267" s="156"/>
      <c r="N3267" s="156"/>
      <c r="O3267" s="65"/>
      <c r="P3267" s="379"/>
      <c r="Q3267" s="2312"/>
      <c r="R3267" s="156"/>
      <c r="S3267" s="156"/>
      <c r="T3267" s="65"/>
      <c r="U3267" s="65"/>
      <c r="V3267" s="379"/>
      <c r="W3267" s="1225"/>
      <c r="X3267" s="2313"/>
      <c r="Y3267" s="156"/>
      <c r="Z3267" s="156"/>
      <c r="AA3267" s="156"/>
      <c r="AB3267" s="156"/>
      <c r="AC3267" s="156"/>
      <c r="AD3267" s="65"/>
      <c r="AE3267" s="65"/>
      <c r="AF3267" s="153"/>
      <c r="AG3267" s="153"/>
      <c r="AH3267" s="156"/>
      <c r="AI3267" s="156"/>
      <c r="AJ3267" s="333"/>
      <c r="AK3267" s="156"/>
      <c r="AL3267" s="156"/>
      <c r="AM3267" s="156"/>
      <c r="AN3267" s="156"/>
      <c r="AO3267" s="153"/>
      <c r="AP3267" s="153"/>
      <c r="AQ3267" s="156"/>
      <c r="AR3267" s="156"/>
      <c r="AS3267" s="153"/>
      <c r="AT3267" s="156"/>
      <c r="AU3267" s="156"/>
      <c r="AV3267" s="156"/>
      <c r="AW3267" s="432"/>
      <c r="AX3267" s="156"/>
    </row>
    <row r="3268">
      <c r="A3268" s="41">
        <v>3268.0</v>
      </c>
      <c r="B3268" s="126"/>
      <c r="C3268" s="59"/>
      <c r="D3268" s="59"/>
      <c r="F3268" s="65"/>
      <c r="G3268" s="156"/>
      <c r="H3268" s="156"/>
      <c r="I3268" s="1284"/>
      <c r="J3268" s="149"/>
      <c r="K3268" s="65"/>
      <c r="L3268" s="65"/>
      <c r="M3268" s="156"/>
      <c r="N3268" s="156"/>
      <c r="O3268" s="65"/>
      <c r="P3268" s="379"/>
      <c r="Q3268" s="2312"/>
      <c r="R3268" s="156"/>
      <c r="S3268" s="156"/>
      <c r="T3268" s="65"/>
      <c r="U3268" s="65"/>
      <c r="V3268" s="379"/>
      <c r="W3268" s="1225"/>
      <c r="X3268" s="2313"/>
      <c r="Y3268" s="156"/>
      <c r="Z3268" s="156"/>
      <c r="AA3268" s="156"/>
      <c r="AB3268" s="156"/>
      <c r="AC3268" s="156"/>
      <c r="AD3268" s="65"/>
      <c r="AE3268" s="65"/>
      <c r="AF3268" s="153"/>
      <c r="AG3268" s="153"/>
      <c r="AH3268" s="156"/>
      <c r="AI3268" s="156"/>
      <c r="AJ3268" s="333"/>
      <c r="AK3268" s="156"/>
      <c r="AL3268" s="156"/>
      <c r="AM3268" s="156"/>
      <c r="AN3268" s="156"/>
      <c r="AO3268" s="153"/>
      <c r="AP3268" s="153"/>
      <c r="AQ3268" s="156"/>
      <c r="AR3268" s="156"/>
      <c r="AS3268" s="153"/>
      <c r="AT3268" s="156"/>
      <c r="AU3268" s="156"/>
      <c r="AV3268" s="156"/>
      <c r="AW3268" s="432"/>
      <c r="AX3268" s="156"/>
    </row>
    <row r="3269">
      <c r="A3269" s="41">
        <v>3269.0</v>
      </c>
      <c r="B3269" s="126"/>
      <c r="C3269" s="59"/>
      <c r="D3269" s="59"/>
      <c r="F3269" s="65"/>
      <c r="G3269" s="156"/>
      <c r="H3269" s="156"/>
      <c r="I3269" s="1284"/>
      <c r="J3269" s="149"/>
      <c r="K3269" s="65"/>
      <c r="L3269" s="65"/>
      <c r="M3269" s="156"/>
      <c r="N3269" s="156"/>
      <c r="O3269" s="65"/>
      <c r="P3269" s="379"/>
      <c r="Q3269" s="2312"/>
      <c r="R3269" s="156"/>
      <c r="S3269" s="156"/>
      <c r="T3269" s="65"/>
      <c r="U3269" s="65"/>
      <c r="V3269" s="379"/>
      <c r="W3269" s="1225"/>
      <c r="X3269" s="2313"/>
      <c r="Y3269" s="156"/>
      <c r="Z3269" s="156"/>
      <c r="AA3269" s="156"/>
      <c r="AB3269" s="156"/>
      <c r="AC3269" s="156"/>
      <c r="AD3269" s="65"/>
      <c r="AE3269" s="65"/>
      <c r="AF3269" s="153"/>
      <c r="AG3269" s="153"/>
      <c r="AH3269" s="156"/>
      <c r="AI3269" s="156"/>
      <c r="AJ3269" s="333"/>
      <c r="AK3269" s="156"/>
      <c r="AL3269" s="156"/>
      <c r="AM3269" s="156"/>
      <c r="AN3269" s="156"/>
      <c r="AO3269" s="153"/>
      <c r="AP3269" s="153"/>
      <c r="AQ3269" s="156"/>
      <c r="AR3269" s="156"/>
      <c r="AS3269" s="153"/>
      <c r="AT3269" s="156"/>
      <c r="AU3269" s="156"/>
      <c r="AV3269" s="156"/>
      <c r="AW3269" s="432"/>
      <c r="AX3269" s="156"/>
    </row>
    <row r="3270">
      <c r="A3270" s="41">
        <v>3270.0</v>
      </c>
      <c r="B3270" s="126"/>
      <c r="C3270" s="59"/>
      <c r="D3270" s="59"/>
      <c r="F3270" s="65"/>
      <c r="G3270" s="156"/>
      <c r="H3270" s="156"/>
      <c r="I3270" s="1284"/>
      <c r="J3270" s="149"/>
      <c r="K3270" s="65"/>
      <c r="L3270" s="65"/>
      <c r="M3270" s="156"/>
      <c r="N3270" s="156"/>
      <c r="O3270" s="65"/>
      <c r="P3270" s="379"/>
      <c r="Q3270" s="2312"/>
      <c r="R3270" s="156"/>
      <c r="S3270" s="156"/>
      <c r="T3270" s="65"/>
      <c r="U3270" s="65"/>
      <c r="V3270" s="379"/>
      <c r="W3270" s="1225"/>
      <c r="X3270" s="2313"/>
      <c r="Y3270" s="156"/>
      <c r="Z3270" s="156"/>
      <c r="AA3270" s="156"/>
      <c r="AB3270" s="156"/>
      <c r="AC3270" s="156"/>
      <c r="AD3270" s="65"/>
      <c r="AE3270" s="65"/>
      <c r="AF3270" s="153"/>
      <c r="AG3270" s="153"/>
      <c r="AH3270" s="156"/>
      <c r="AI3270" s="156"/>
      <c r="AJ3270" s="333"/>
      <c r="AK3270" s="156"/>
      <c r="AL3270" s="156"/>
      <c r="AM3270" s="156"/>
      <c r="AN3270" s="156"/>
      <c r="AO3270" s="153"/>
      <c r="AP3270" s="153"/>
      <c r="AQ3270" s="156"/>
      <c r="AR3270" s="156"/>
      <c r="AS3270" s="153"/>
      <c r="AT3270" s="156"/>
      <c r="AU3270" s="156"/>
      <c r="AV3270" s="156"/>
      <c r="AW3270" s="432"/>
      <c r="AX3270" s="156"/>
    </row>
    <row r="3271">
      <c r="A3271" s="41">
        <v>3271.0</v>
      </c>
      <c r="B3271" s="126"/>
      <c r="C3271" s="59"/>
      <c r="D3271" s="59"/>
      <c r="F3271" s="65"/>
      <c r="G3271" s="156"/>
      <c r="H3271" s="156"/>
      <c r="I3271" s="1284"/>
      <c r="J3271" s="149"/>
      <c r="K3271" s="65"/>
      <c r="L3271" s="65"/>
      <c r="M3271" s="156"/>
      <c r="N3271" s="156"/>
      <c r="O3271" s="65"/>
      <c r="P3271" s="379"/>
      <c r="Q3271" s="2312"/>
      <c r="R3271" s="156"/>
      <c r="S3271" s="156"/>
      <c r="T3271" s="65"/>
      <c r="U3271" s="65"/>
      <c r="V3271" s="379"/>
      <c r="W3271" s="1225"/>
      <c r="X3271" s="2313"/>
      <c r="Y3271" s="156"/>
      <c r="Z3271" s="156"/>
      <c r="AA3271" s="156"/>
      <c r="AB3271" s="156"/>
      <c r="AC3271" s="156"/>
      <c r="AD3271" s="65"/>
      <c r="AE3271" s="65"/>
      <c r="AF3271" s="153"/>
      <c r="AG3271" s="153"/>
      <c r="AH3271" s="156"/>
      <c r="AI3271" s="156"/>
      <c r="AJ3271" s="333"/>
      <c r="AK3271" s="156"/>
      <c r="AL3271" s="156"/>
      <c r="AM3271" s="156"/>
      <c r="AN3271" s="156"/>
      <c r="AO3271" s="153"/>
      <c r="AP3271" s="153"/>
      <c r="AQ3271" s="156"/>
      <c r="AR3271" s="156"/>
      <c r="AS3271" s="153"/>
      <c r="AT3271" s="156"/>
      <c r="AU3271" s="156"/>
      <c r="AV3271" s="156"/>
      <c r="AW3271" s="432"/>
      <c r="AX3271" s="156"/>
    </row>
    <row r="3272">
      <c r="A3272" s="41">
        <v>3272.0</v>
      </c>
      <c r="B3272" s="126"/>
      <c r="C3272" s="59"/>
      <c r="D3272" s="59"/>
      <c r="F3272" s="65"/>
      <c r="G3272" s="156"/>
      <c r="H3272" s="156"/>
      <c r="I3272" s="1284"/>
      <c r="J3272" s="149"/>
      <c r="K3272" s="65"/>
      <c r="L3272" s="65"/>
      <c r="M3272" s="156"/>
      <c r="N3272" s="156"/>
      <c r="O3272" s="65"/>
      <c r="P3272" s="379"/>
      <c r="Q3272" s="2312"/>
      <c r="R3272" s="156"/>
      <c r="S3272" s="156"/>
      <c r="T3272" s="65"/>
      <c r="U3272" s="65"/>
      <c r="V3272" s="379"/>
      <c r="W3272" s="1225"/>
      <c r="X3272" s="2313"/>
      <c r="Y3272" s="156"/>
      <c r="Z3272" s="156"/>
      <c r="AA3272" s="156"/>
      <c r="AB3272" s="156"/>
      <c r="AC3272" s="156"/>
      <c r="AD3272" s="65"/>
      <c r="AE3272" s="65"/>
      <c r="AF3272" s="153"/>
      <c r="AG3272" s="153"/>
      <c r="AH3272" s="156"/>
      <c r="AI3272" s="156"/>
      <c r="AJ3272" s="333"/>
      <c r="AK3272" s="156"/>
      <c r="AL3272" s="156"/>
      <c r="AM3272" s="156"/>
      <c r="AN3272" s="156"/>
      <c r="AO3272" s="153"/>
      <c r="AP3272" s="153"/>
      <c r="AQ3272" s="156"/>
      <c r="AR3272" s="156"/>
      <c r="AS3272" s="153"/>
      <c r="AT3272" s="156"/>
      <c r="AU3272" s="156"/>
      <c r="AV3272" s="156"/>
      <c r="AW3272" s="432"/>
      <c r="AX3272" s="156"/>
    </row>
    <row r="3273">
      <c r="A3273" s="41">
        <v>3273.0</v>
      </c>
      <c r="B3273" s="126"/>
      <c r="C3273" s="59"/>
      <c r="D3273" s="59"/>
      <c r="F3273" s="65"/>
      <c r="G3273" s="156"/>
      <c r="H3273" s="156"/>
      <c r="I3273" s="1284"/>
      <c r="J3273" s="149"/>
      <c r="K3273" s="65"/>
      <c r="L3273" s="65"/>
      <c r="M3273" s="156"/>
      <c r="N3273" s="156"/>
      <c r="O3273" s="65"/>
      <c r="P3273" s="379"/>
      <c r="Q3273" s="2312"/>
      <c r="R3273" s="156"/>
      <c r="S3273" s="156"/>
      <c r="T3273" s="65"/>
      <c r="U3273" s="65"/>
      <c r="V3273" s="379"/>
      <c r="W3273" s="1225"/>
      <c r="X3273" s="2313"/>
      <c r="Y3273" s="156"/>
      <c r="Z3273" s="156"/>
      <c r="AA3273" s="156"/>
      <c r="AB3273" s="156"/>
      <c r="AC3273" s="156"/>
      <c r="AD3273" s="65"/>
      <c r="AE3273" s="65"/>
      <c r="AF3273" s="153"/>
      <c r="AG3273" s="153"/>
      <c r="AH3273" s="156"/>
      <c r="AI3273" s="156"/>
      <c r="AJ3273" s="333"/>
      <c r="AK3273" s="156"/>
      <c r="AL3273" s="156"/>
      <c r="AM3273" s="156"/>
      <c r="AN3273" s="156"/>
      <c r="AO3273" s="153"/>
      <c r="AP3273" s="153"/>
      <c r="AQ3273" s="156"/>
      <c r="AR3273" s="156"/>
      <c r="AS3273" s="153"/>
      <c r="AT3273" s="156"/>
      <c r="AU3273" s="156"/>
      <c r="AV3273" s="156"/>
      <c r="AW3273" s="432"/>
      <c r="AX3273" s="156"/>
    </row>
    <row r="3274">
      <c r="A3274" s="41">
        <v>3274.0</v>
      </c>
      <c r="B3274" s="126"/>
      <c r="C3274" s="59"/>
      <c r="D3274" s="59"/>
      <c r="F3274" s="65"/>
      <c r="G3274" s="156"/>
      <c r="H3274" s="156"/>
      <c r="I3274" s="1284"/>
      <c r="J3274" s="149"/>
      <c r="K3274" s="65"/>
      <c r="L3274" s="65"/>
      <c r="M3274" s="156"/>
      <c r="N3274" s="156"/>
      <c r="O3274" s="65"/>
      <c r="P3274" s="379"/>
      <c r="Q3274" s="2312"/>
      <c r="R3274" s="156"/>
      <c r="S3274" s="156"/>
      <c r="T3274" s="65"/>
      <c r="U3274" s="65"/>
      <c r="V3274" s="379"/>
      <c r="W3274" s="1225"/>
      <c r="X3274" s="2313"/>
      <c r="Y3274" s="156"/>
      <c r="Z3274" s="156"/>
      <c r="AA3274" s="156"/>
      <c r="AB3274" s="156"/>
      <c r="AC3274" s="156"/>
      <c r="AD3274" s="65"/>
      <c r="AE3274" s="65"/>
      <c r="AF3274" s="153"/>
      <c r="AG3274" s="153"/>
      <c r="AH3274" s="156"/>
      <c r="AI3274" s="156"/>
      <c r="AJ3274" s="333"/>
      <c r="AK3274" s="156"/>
      <c r="AL3274" s="156"/>
      <c r="AM3274" s="156"/>
      <c r="AN3274" s="156"/>
      <c r="AO3274" s="153"/>
      <c r="AP3274" s="153"/>
      <c r="AQ3274" s="156"/>
      <c r="AR3274" s="156"/>
      <c r="AS3274" s="153"/>
      <c r="AT3274" s="156"/>
      <c r="AU3274" s="156"/>
      <c r="AV3274" s="156"/>
      <c r="AW3274" s="432"/>
      <c r="AX3274" s="156"/>
    </row>
    <row r="3275">
      <c r="A3275" s="41">
        <v>3275.0</v>
      </c>
      <c r="B3275" s="126"/>
      <c r="C3275" s="59"/>
      <c r="D3275" s="59"/>
      <c r="F3275" s="65"/>
      <c r="G3275" s="156"/>
      <c r="H3275" s="156"/>
      <c r="I3275" s="1284"/>
      <c r="J3275" s="149"/>
      <c r="K3275" s="65"/>
      <c r="L3275" s="65"/>
      <c r="M3275" s="156"/>
      <c r="N3275" s="156"/>
      <c r="O3275" s="65"/>
      <c r="P3275" s="379"/>
      <c r="Q3275" s="2312"/>
      <c r="R3275" s="156"/>
      <c r="S3275" s="156"/>
      <c r="T3275" s="65"/>
      <c r="U3275" s="65"/>
      <c r="V3275" s="379"/>
      <c r="W3275" s="1225"/>
      <c r="X3275" s="2313"/>
      <c r="Y3275" s="156"/>
      <c r="Z3275" s="156"/>
      <c r="AA3275" s="156"/>
      <c r="AB3275" s="156"/>
      <c r="AC3275" s="156"/>
      <c r="AD3275" s="65"/>
      <c r="AE3275" s="65"/>
      <c r="AF3275" s="153"/>
      <c r="AG3275" s="153"/>
      <c r="AH3275" s="156"/>
      <c r="AI3275" s="156"/>
      <c r="AJ3275" s="333"/>
      <c r="AK3275" s="156"/>
      <c r="AL3275" s="156"/>
      <c r="AM3275" s="156"/>
      <c r="AN3275" s="156"/>
      <c r="AO3275" s="153"/>
      <c r="AP3275" s="153"/>
      <c r="AQ3275" s="156"/>
      <c r="AR3275" s="156"/>
      <c r="AS3275" s="153"/>
      <c r="AT3275" s="156"/>
      <c r="AU3275" s="156"/>
      <c r="AV3275" s="156"/>
      <c r="AW3275" s="432"/>
      <c r="AX3275" s="156"/>
    </row>
    <row r="3276">
      <c r="A3276" s="41">
        <v>3276.0</v>
      </c>
      <c r="B3276" s="126"/>
      <c r="C3276" s="59"/>
      <c r="D3276" s="59"/>
      <c r="F3276" s="65"/>
      <c r="G3276" s="156"/>
      <c r="H3276" s="156"/>
      <c r="I3276" s="1284"/>
      <c r="J3276" s="149"/>
      <c r="K3276" s="65"/>
      <c r="L3276" s="65"/>
      <c r="M3276" s="156"/>
      <c r="N3276" s="156"/>
      <c r="O3276" s="65"/>
      <c r="P3276" s="379"/>
      <c r="Q3276" s="2312"/>
      <c r="R3276" s="156"/>
      <c r="S3276" s="156"/>
      <c r="T3276" s="65"/>
      <c r="U3276" s="65"/>
      <c r="V3276" s="379"/>
      <c r="W3276" s="1225"/>
      <c r="X3276" s="2313"/>
      <c r="Y3276" s="156"/>
      <c r="Z3276" s="156"/>
      <c r="AA3276" s="156"/>
      <c r="AB3276" s="156"/>
      <c r="AC3276" s="156"/>
      <c r="AD3276" s="65"/>
      <c r="AE3276" s="65"/>
      <c r="AF3276" s="153"/>
      <c r="AG3276" s="153"/>
      <c r="AH3276" s="156"/>
      <c r="AI3276" s="156"/>
      <c r="AJ3276" s="333"/>
      <c r="AK3276" s="156"/>
      <c r="AL3276" s="156"/>
      <c r="AM3276" s="156"/>
      <c r="AN3276" s="156"/>
      <c r="AO3276" s="153"/>
      <c r="AP3276" s="153"/>
      <c r="AQ3276" s="156"/>
      <c r="AR3276" s="156"/>
      <c r="AS3276" s="153"/>
      <c r="AT3276" s="156"/>
      <c r="AU3276" s="156"/>
      <c r="AV3276" s="156"/>
      <c r="AW3276" s="432"/>
      <c r="AX3276" s="156"/>
    </row>
    <row r="3277">
      <c r="A3277" s="41">
        <v>3277.0</v>
      </c>
      <c r="B3277" s="126"/>
      <c r="C3277" s="59"/>
      <c r="D3277" s="59"/>
      <c r="F3277" s="65"/>
      <c r="G3277" s="156"/>
      <c r="H3277" s="156"/>
      <c r="I3277" s="1284"/>
      <c r="J3277" s="149"/>
      <c r="K3277" s="65"/>
      <c r="L3277" s="65"/>
      <c r="M3277" s="156"/>
      <c r="N3277" s="156"/>
      <c r="O3277" s="65"/>
      <c r="P3277" s="379"/>
      <c r="Q3277" s="2312"/>
      <c r="R3277" s="156"/>
      <c r="S3277" s="156"/>
      <c r="T3277" s="65"/>
      <c r="U3277" s="65"/>
      <c r="V3277" s="379"/>
      <c r="W3277" s="1225"/>
      <c r="X3277" s="2313"/>
      <c r="Y3277" s="156"/>
      <c r="Z3277" s="156"/>
      <c r="AA3277" s="156"/>
      <c r="AB3277" s="156"/>
      <c r="AC3277" s="156"/>
      <c r="AD3277" s="65"/>
      <c r="AE3277" s="65"/>
      <c r="AF3277" s="153"/>
      <c r="AG3277" s="153"/>
      <c r="AH3277" s="156"/>
      <c r="AI3277" s="156"/>
      <c r="AJ3277" s="333"/>
      <c r="AK3277" s="156"/>
      <c r="AL3277" s="156"/>
      <c r="AM3277" s="156"/>
      <c r="AN3277" s="156"/>
      <c r="AO3277" s="153"/>
      <c r="AP3277" s="153"/>
      <c r="AQ3277" s="156"/>
      <c r="AR3277" s="156"/>
      <c r="AS3277" s="153"/>
      <c r="AT3277" s="156"/>
      <c r="AU3277" s="156"/>
      <c r="AV3277" s="156"/>
      <c r="AW3277" s="432"/>
      <c r="AX3277" s="156"/>
    </row>
    <row r="3278">
      <c r="A3278" s="41">
        <v>3278.0</v>
      </c>
      <c r="B3278" s="126"/>
      <c r="C3278" s="59"/>
      <c r="D3278" s="59"/>
      <c r="F3278" s="65"/>
      <c r="G3278" s="156"/>
      <c r="H3278" s="156"/>
      <c r="I3278" s="1284"/>
      <c r="J3278" s="149"/>
      <c r="K3278" s="65"/>
      <c r="L3278" s="65"/>
      <c r="M3278" s="156"/>
      <c r="N3278" s="156"/>
      <c r="O3278" s="65"/>
      <c r="P3278" s="379"/>
      <c r="Q3278" s="2312"/>
      <c r="R3278" s="156"/>
      <c r="S3278" s="156"/>
      <c r="T3278" s="65"/>
      <c r="U3278" s="65"/>
      <c r="V3278" s="379"/>
      <c r="W3278" s="1225"/>
      <c r="X3278" s="2313"/>
      <c r="Y3278" s="156"/>
      <c r="Z3278" s="156"/>
      <c r="AA3278" s="156"/>
      <c r="AB3278" s="156"/>
      <c r="AC3278" s="156"/>
      <c r="AD3278" s="65"/>
      <c r="AE3278" s="65"/>
      <c r="AF3278" s="153"/>
      <c r="AG3278" s="153"/>
      <c r="AH3278" s="156"/>
      <c r="AI3278" s="156"/>
      <c r="AJ3278" s="333"/>
      <c r="AK3278" s="156"/>
      <c r="AL3278" s="156"/>
      <c r="AM3278" s="156"/>
      <c r="AN3278" s="156"/>
      <c r="AO3278" s="153"/>
      <c r="AP3278" s="153"/>
      <c r="AQ3278" s="156"/>
      <c r="AR3278" s="156"/>
      <c r="AS3278" s="153"/>
      <c r="AT3278" s="156"/>
      <c r="AU3278" s="156"/>
      <c r="AV3278" s="156"/>
      <c r="AW3278" s="432"/>
      <c r="AX3278" s="156"/>
    </row>
    <row r="3279">
      <c r="A3279" s="41">
        <v>3279.0</v>
      </c>
      <c r="B3279" s="126"/>
      <c r="C3279" s="59"/>
      <c r="D3279" s="59"/>
      <c r="F3279" s="65"/>
      <c r="G3279" s="156"/>
      <c r="H3279" s="156"/>
      <c r="I3279" s="1284"/>
      <c r="J3279" s="149"/>
      <c r="K3279" s="65"/>
      <c r="L3279" s="65"/>
      <c r="M3279" s="156"/>
      <c r="N3279" s="156"/>
      <c r="O3279" s="65"/>
      <c r="P3279" s="379"/>
      <c r="Q3279" s="2312"/>
      <c r="R3279" s="156"/>
      <c r="S3279" s="156"/>
      <c r="T3279" s="65"/>
      <c r="U3279" s="65"/>
      <c r="V3279" s="379"/>
      <c r="W3279" s="1225"/>
      <c r="X3279" s="2313"/>
      <c r="Y3279" s="156"/>
      <c r="Z3279" s="156"/>
      <c r="AA3279" s="156"/>
      <c r="AB3279" s="156"/>
      <c r="AC3279" s="156"/>
      <c r="AD3279" s="65"/>
      <c r="AE3279" s="65"/>
      <c r="AF3279" s="153"/>
      <c r="AG3279" s="153"/>
      <c r="AH3279" s="156"/>
      <c r="AI3279" s="156"/>
      <c r="AJ3279" s="333"/>
      <c r="AK3279" s="156"/>
      <c r="AL3279" s="156"/>
      <c r="AM3279" s="156"/>
      <c r="AN3279" s="156"/>
      <c r="AO3279" s="153"/>
      <c r="AP3279" s="153"/>
      <c r="AQ3279" s="156"/>
      <c r="AR3279" s="156"/>
      <c r="AS3279" s="153"/>
      <c r="AT3279" s="156"/>
      <c r="AU3279" s="156"/>
      <c r="AV3279" s="156"/>
      <c r="AW3279" s="432"/>
      <c r="AX3279" s="156"/>
    </row>
    <row r="3280">
      <c r="A3280" s="41">
        <v>3280.0</v>
      </c>
      <c r="B3280" s="126"/>
      <c r="C3280" s="59"/>
      <c r="D3280" s="59"/>
      <c r="F3280" s="65"/>
      <c r="G3280" s="156"/>
      <c r="H3280" s="156"/>
      <c r="I3280" s="1284"/>
      <c r="J3280" s="149"/>
      <c r="K3280" s="65"/>
      <c r="L3280" s="65"/>
      <c r="M3280" s="156"/>
      <c r="N3280" s="156"/>
      <c r="O3280" s="65"/>
      <c r="P3280" s="379"/>
      <c r="Q3280" s="2312"/>
      <c r="R3280" s="156"/>
      <c r="S3280" s="156"/>
      <c r="T3280" s="65"/>
      <c r="U3280" s="65"/>
      <c r="V3280" s="379"/>
      <c r="W3280" s="1225"/>
      <c r="X3280" s="2313"/>
      <c r="Y3280" s="156"/>
      <c r="Z3280" s="156"/>
      <c r="AA3280" s="156"/>
      <c r="AB3280" s="156"/>
      <c r="AC3280" s="156"/>
      <c r="AD3280" s="65"/>
      <c r="AE3280" s="65"/>
      <c r="AF3280" s="153"/>
      <c r="AG3280" s="153"/>
      <c r="AH3280" s="156"/>
      <c r="AI3280" s="156"/>
      <c r="AJ3280" s="333"/>
      <c r="AK3280" s="156"/>
      <c r="AL3280" s="156"/>
      <c r="AM3280" s="156"/>
      <c r="AN3280" s="156"/>
      <c r="AO3280" s="153"/>
      <c r="AP3280" s="153"/>
      <c r="AQ3280" s="156"/>
      <c r="AR3280" s="156"/>
      <c r="AS3280" s="153"/>
      <c r="AT3280" s="156"/>
      <c r="AU3280" s="156"/>
      <c r="AV3280" s="156"/>
      <c r="AW3280" s="432"/>
      <c r="AX3280" s="156"/>
    </row>
    <row r="3281">
      <c r="A3281" s="41">
        <v>3281.0</v>
      </c>
      <c r="B3281" s="126"/>
      <c r="C3281" s="59"/>
      <c r="D3281" s="59"/>
      <c r="F3281" s="65"/>
      <c r="G3281" s="156"/>
      <c r="H3281" s="156"/>
      <c r="I3281" s="1284"/>
      <c r="J3281" s="149"/>
      <c r="K3281" s="65"/>
      <c r="L3281" s="65"/>
      <c r="M3281" s="156"/>
      <c r="N3281" s="156"/>
      <c r="O3281" s="65"/>
      <c r="P3281" s="379"/>
      <c r="Q3281" s="2312"/>
      <c r="R3281" s="156"/>
      <c r="S3281" s="156"/>
      <c r="T3281" s="65"/>
      <c r="U3281" s="65"/>
      <c r="V3281" s="379"/>
      <c r="W3281" s="1225"/>
      <c r="X3281" s="2313"/>
      <c r="Y3281" s="156"/>
      <c r="Z3281" s="156"/>
      <c r="AA3281" s="156"/>
      <c r="AB3281" s="156"/>
      <c r="AC3281" s="156"/>
      <c r="AD3281" s="65"/>
      <c r="AE3281" s="65"/>
      <c r="AF3281" s="153"/>
      <c r="AG3281" s="153"/>
      <c r="AH3281" s="156"/>
      <c r="AI3281" s="156"/>
      <c r="AJ3281" s="333"/>
      <c r="AK3281" s="156"/>
      <c r="AL3281" s="156"/>
      <c r="AM3281" s="156"/>
      <c r="AN3281" s="156"/>
      <c r="AO3281" s="153"/>
      <c r="AP3281" s="153"/>
      <c r="AQ3281" s="156"/>
      <c r="AR3281" s="156"/>
      <c r="AS3281" s="153"/>
      <c r="AT3281" s="156"/>
      <c r="AU3281" s="156"/>
      <c r="AV3281" s="156"/>
      <c r="AW3281" s="432"/>
      <c r="AX3281" s="156"/>
    </row>
    <row r="3282">
      <c r="A3282" s="41">
        <v>3282.0</v>
      </c>
      <c r="B3282" s="126"/>
      <c r="C3282" s="59"/>
      <c r="D3282" s="59"/>
      <c r="F3282" s="65"/>
      <c r="G3282" s="156"/>
      <c r="H3282" s="156"/>
      <c r="I3282" s="1284"/>
      <c r="J3282" s="149"/>
      <c r="K3282" s="65"/>
      <c r="L3282" s="65"/>
      <c r="M3282" s="156"/>
      <c r="N3282" s="156"/>
      <c r="O3282" s="65"/>
      <c r="P3282" s="379"/>
      <c r="Q3282" s="2312"/>
      <c r="R3282" s="156"/>
      <c r="S3282" s="156"/>
      <c r="T3282" s="65"/>
      <c r="U3282" s="65"/>
      <c r="V3282" s="379"/>
      <c r="W3282" s="1225"/>
      <c r="X3282" s="2313"/>
      <c r="Y3282" s="156"/>
      <c r="Z3282" s="156"/>
      <c r="AA3282" s="156"/>
      <c r="AB3282" s="156"/>
      <c r="AC3282" s="156"/>
      <c r="AD3282" s="65"/>
      <c r="AE3282" s="65"/>
      <c r="AF3282" s="153"/>
      <c r="AG3282" s="153"/>
      <c r="AH3282" s="156"/>
      <c r="AI3282" s="156"/>
      <c r="AJ3282" s="333"/>
      <c r="AK3282" s="156"/>
      <c r="AL3282" s="156"/>
      <c r="AM3282" s="156"/>
      <c r="AN3282" s="156"/>
      <c r="AO3282" s="153"/>
      <c r="AP3282" s="153"/>
      <c r="AQ3282" s="156"/>
      <c r="AR3282" s="156"/>
      <c r="AS3282" s="153"/>
      <c r="AT3282" s="156"/>
      <c r="AU3282" s="156"/>
      <c r="AV3282" s="156"/>
      <c r="AW3282" s="432"/>
      <c r="AX3282" s="156"/>
    </row>
    <row r="3283">
      <c r="A3283" s="41">
        <v>3283.0</v>
      </c>
      <c r="B3283" s="126"/>
      <c r="C3283" s="59"/>
      <c r="D3283" s="59"/>
      <c r="F3283" s="65"/>
      <c r="G3283" s="156"/>
      <c r="H3283" s="156"/>
      <c r="I3283" s="1284"/>
      <c r="J3283" s="149"/>
      <c r="K3283" s="65"/>
      <c r="L3283" s="65"/>
      <c r="M3283" s="156"/>
      <c r="N3283" s="156"/>
      <c r="O3283" s="65"/>
      <c r="P3283" s="379"/>
      <c r="Q3283" s="2312"/>
      <c r="R3283" s="156"/>
      <c r="S3283" s="156"/>
      <c r="T3283" s="65"/>
      <c r="U3283" s="65"/>
      <c r="V3283" s="379"/>
      <c r="W3283" s="1225"/>
      <c r="X3283" s="2313"/>
      <c r="Y3283" s="156"/>
      <c r="Z3283" s="156"/>
      <c r="AA3283" s="156"/>
      <c r="AB3283" s="156"/>
      <c r="AC3283" s="156"/>
      <c r="AD3283" s="65"/>
      <c r="AE3283" s="65"/>
      <c r="AF3283" s="153"/>
      <c r="AG3283" s="153"/>
      <c r="AH3283" s="156"/>
      <c r="AI3283" s="156"/>
      <c r="AJ3283" s="333"/>
      <c r="AK3283" s="156"/>
      <c r="AL3283" s="156"/>
      <c r="AM3283" s="156"/>
      <c r="AN3283" s="156"/>
      <c r="AO3283" s="153"/>
      <c r="AP3283" s="153"/>
      <c r="AQ3283" s="156"/>
      <c r="AR3283" s="156"/>
      <c r="AS3283" s="153"/>
      <c r="AT3283" s="156"/>
      <c r="AU3283" s="156"/>
      <c r="AV3283" s="156"/>
      <c r="AW3283" s="432"/>
      <c r="AX3283" s="156"/>
    </row>
    <row r="3284">
      <c r="A3284" s="41">
        <v>3284.0</v>
      </c>
      <c r="B3284" s="126"/>
      <c r="C3284" s="59"/>
      <c r="D3284" s="59"/>
      <c r="F3284" s="65"/>
      <c r="G3284" s="156"/>
      <c r="H3284" s="156"/>
      <c r="I3284" s="1284"/>
      <c r="J3284" s="149"/>
      <c r="K3284" s="65"/>
      <c r="L3284" s="65"/>
      <c r="M3284" s="156"/>
      <c r="N3284" s="156"/>
      <c r="O3284" s="65"/>
      <c r="P3284" s="379"/>
      <c r="Q3284" s="2312"/>
      <c r="R3284" s="156"/>
      <c r="S3284" s="156"/>
      <c r="T3284" s="65"/>
      <c r="U3284" s="65"/>
      <c r="V3284" s="379"/>
      <c r="W3284" s="1225"/>
      <c r="X3284" s="2313"/>
      <c r="Y3284" s="156"/>
      <c r="Z3284" s="156"/>
      <c r="AA3284" s="156"/>
      <c r="AB3284" s="156"/>
      <c r="AC3284" s="156"/>
      <c r="AD3284" s="65"/>
      <c r="AE3284" s="65"/>
      <c r="AF3284" s="153"/>
      <c r="AG3284" s="153"/>
      <c r="AH3284" s="156"/>
      <c r="AI3284" s="156"/>
      <c r="AJ3284" s="333"/>
      <c r="AK3284" s="156"/>
      <c r="AL3284" s="156"/>
      <c r="AM3284" s="156"/>
      <c r="AN3284" s="156"/>
      <c r="AO3284" s="153"/>
      <c r="AP3284" s="153"/>
      <c r="AQ3284" s="156"/>
      <c r="AR3284" s="156"/>
      <c r="AS3284" s="153"/>
      <c r="AT3284" s="156"/>
      <c r="AU3284" s="156"/>
      <c r="AV3284" s="156"/>
      <c r="AW3284" s="432"/>
      <c r="AX3284" s="156"/>
    </row>
    <row r="3285">
      <c r="A3285" s="41">
        <v>3285.0</v>
      </c>
      <c r="B3285" s="126"/>
      <c r="C3285" s="59"/>
      <c r="D3285" s="59"/>
      <c r="F3285" s="65"/>
      <c r="G3285" s="156"/>
      <c r="H3285" s="156"/>
      <c r="I3285" s="1284"/>
      <c r="J3285" s="149"/>
      <c r="K3285" s="65"/>
      <c r="L3285" s="65"/>
      <c r="M3285" s="156"/>
      <c r="N3285" s="156"/>
      <c r="O3285" s="65"/>
      <c r="P3285" s="379"/>
      <c r="Q3285" s="2312"/>
      <c r="R3285" s="156"/>
      <c r="S3285" s="156"/>
      <c r="T3285" s="65"/>
      <c r="U3285" s="65"/>
      <c r="V3285" s="379"/>
      <c r="W3285" s="1225"/>
      <c r="X3285" s="2313"/>
      <c r="Y3285" s="156"/>
      <c r="Z3285" s="156"/>
      <c r="AA3285" s="156"/>
      <c r="AB3285" s="156"/>
      <c r="AC3285" s="156"/>
      <c r="AD3285" s="65"/>
      <c r="AE3285" s="65"/>
      <c r="AF3285" s="153"/>
      <c r="AG3285" s="153"/>
      <c r="AH3285" s="156"/>
      <c r="AI3285" s="156"/>
      <c r="AJ3285" s="333"/>
      <c r="AK3285" s="156"/>
      <c r="AL3285" s="156"/>
      <c r="AM3285" s="156"/>
      <c r="AN3285" s="156"/>
      <c r="AO3285" s="153"/>
      <c r="AP3285" s="153"/>
      <c r="AQ3285" s="156"/>
      <c r="AR3285" s="156"/>
      <c r="AS3285" s="153"/>
      <c r="AT3285" s="156"/>
      <c r="AU3285" s="156"/>
      <c r="AV3285" s="156"/>
      <c r="AW3285" s="432"/>
      <c r="AX3285" s="156"/>
    </row>
    <row r="3286">
      <c r="A3286" s="41">
        <v>3286.0</v>
      </c>
      <c r="B3286" s="126"/>
      <c r="C3286" s="59"/>
      <c r="D3286" s="59"/>
      <c r="F3286" s="65"/>
      <c r="G3286" s="156"/>
      <c r="H3286" s="156"/>
      <c r="I3286" s="1284"/>
      <c r="J3286" s="149"/>
      <c r="K3286" s="65"/>
      <c r="L3286" s="65"/>
      <c r="M3286" s="156"/>
      <c r="N3286" s="156"/>
      <c r="O3286" s="65"/>
      <c r="P3286" s="379"/>
      <c r="Q3286" s="2312"/>
      <c r="R3286" s="156"/>
      <c r="S3286" s="156"/>
      <c r="T3286" s="65"/>
      <c r="U3286" s="65"/>
      <c r="V3286" s="379"/>
      <c r="W3286" s="1225"/>
      <c r="X3286" s="2313"/>
      <c r="Y3286" s="156"/>
      <c r="Z3286" s="156"/>
      <c r="AA3286" s="156"/>
      <c r="AB3286" s="156"/>
      <c r="AC3286" s="156"/>
      <c r="AD3286" s="65"/>
      <c r="AE3286" s="65"/>
      <c r="AF3286" s="153"/>
      <c r="AG3286" s="153"/>
      <c r="AH3286" s="156"/>
      <c r="AI3286" s="156"/>
      <c r="AJ3286" s="333"/>
      <c r="AK3286" s="156"/>
      <c r="AL3286" s="156"/>
      <c r="AM3286" s="156"/>
      <c r="AN3286" s="156"/>
      <c r="AO3286" s="153"/>
      <c r="AP3286" s="153"/>
      <c r="AQ3286" s="156"/>
      <c r="AR3286" s="156"/>
      <c r="AS3286" s="153"/>
      <c r="AT3286" s="156"/>
      <c r="AU3286" s="156"/>
      <c r="AV3286" s="156"/>
      <c r="AW3286" s="432"/>
      <c r="AX3286" s="156"/>
    </row>
    <row r="3287">
      <c r="A3287" s="41">
        <v>3287.0</v>
      </c>
      <c r="B3287" s="126"/>
      <c r="C3287" s="59"/>
      <c r="D3287" s="59"/>
      <c r="F3287" s="65"/>
      <c r="G3287" s="156"/>
      <c r="H3287" s="156"/>
      <c r="I3287" s="1284"/>
      <c r="J3287" s="149"/>
      <c r="K3287" s="65"/>
      <c r="L3287" s="65"/>
      <c r="M3287" s="156"/>
      <c r="N3287" s="156"/>
      <c r="O3287" s="65"/>
      <c r="P3287" s="379"/>
      <c r="Q3287" s="2312"/>
      <c r="R3287" s="156"/>
      <c r="S3287" s="156"/>
      <c r="T3287" s="65"/>
      <c r="U3287" s="65"/>
      <c r="V3287" s="379"/>
      <c r="W3287" s="1225"/>
      <c r="X3287" s="2313"/>
      <c r="Y3287" s="156"/>
      <c r="Z3287" s="156"/>
      <c r="AA3287" s="156"/>
      <c r="AB3287" s="156"/>
      <c r="AC3287" s="156"/>
      <c r="AD3287" s="65"/>
      <c r="AE3287" s="65"/>
      <c r="AF3287" s="153"/>
      <c r="AG3287" s="153"/>
      <c r="AH3287" s="156"/>
      <c r="AI3287" s="156"/>
      <c r="AJ3287" s="333"/>
      <c r="AK3287" s="156"/>
      <c r="AL3287" s="156"/>
      <c r="AM3287" s="156"/>
      <c r="AN3287" s="156"/>
      <c r="AO3287" s="153"/>
      <c r="AP3287" s="153"/>
      <c r="AQ3287" s="156"/>
      <c r="AR3287" s="156"/>
      <c r="AS3287" s="153"/>
      <c r="AT3287" s="156"/>
      <c r="AU3287" s="156"/>
      <c r="AV3287" s="156"/>
      <c r="AW3287" s="432"/>
      <c r="AX3287" s="156"/>
    </row>
    <row r="3288">
      <c r="A3288" s="41">
        <v>3288.0</v>
      </c>
      <c r="B3288" s="126"/>
      <c r="C3288" s="59"/>
      <c r="D3288" s="59"/>
      <c r="F3288" s="65"/>
      <c r="G3288" s="156"/>
      <c r="H3288" s="156"/>
      <c r="I3288" s="1284"/>
      <c r="J3288" s="149"/>
      <c r="K3288" s="65"/>
      <c r="L3288" s="65"/>
      <c r="M3288" s="156"/>
      <c r="N3288" s="156"/>
      <c r="O3288" s="65"/>
      <c r="P3288" s="379"/>
      <c r="Q3288" s="2312"/>
      <c r="R3288" s="156"/>
      <c r="S3288" s="156"/>
      <c r="T3288" s="65"/>
      <c r="U3288" s="65"/>
      <c r="V3288" s="379"/>
      <c r="W3288" s="1225"/>
      <c r="X3288" s="2313"/>
      <c r="Y3288" s="156"/>
      <c r="Z3288" s="156"/>
      <c r="AA3288" s="156"/>
      <c r="AB3288" s="156"/>
      <c r="AC3288" s="156"/>
      <c r="AD3288" s="65"/>
      <c r="AE3288" s="65"/>
      <c r="AF3288" s="153"/>
      <c r="AG3288" s="153"/>
      <c r="AH3288" s="156"/>
      <c r="AI3288" s="156"/>
      <c r="AJ3288" s="333"/>
      <c r="AK3288" s="156"/>
      <c r="AL3288" s="156"/>
      <c r="AM3288" s="156"/>
      <c r="AN3288" s="156"/>
      <c r="AO3288" s="153"/>
      <c r="AP3288" s="153"/>
      <c r="AQ3288" s="156"/>
      <c r="AR3288" s="156"/>
      <c r="AS3288" s="153"/>
      <c r="AT3288" s="156"/>
      <c r="AU3288" s="156"/>
      <c r="AV3288" s="156"/>
      <c r="AW3288" s="432"/>
      <c r="AX3288" s="156"/>
    </row>
    <row r="3289">
      <c r="A3289" s="41">
        <v>3289.0</v>
      </c>
      <c r="B3289" s="126"/>
      <c r="C3289" s="59"/>
      <c r="D3289" s="59"/>
      <c r="F3289" s="65"/>
      <c r="G3289" s="156"/>
      <c r="H3289" s="156"/>
      <c r="I3289" s="1284"/>
      <c r="J3289" s="149"/>
      <c r="K3289" s="65"/>
      <c r="L3289" s="65"/>
      <c r="M3289" s="156"/>
      <c r="N3289" s="156"/>
      <c r="O3289" s="65"/>
      <c r="P3289" s="379"/>
      <c r="Q3289" s="2312"/>
      <c r="R3289" s="156"/>
      <c r="S3289" s="156"/>
      <c r="T3289" s="65"/>
      <c r="U3289" s="65"/>
      <c r="V3289" s="379"/>
      <c r="W3289" s="1225"/>
      <c r="X3289" s="2313"/>
      <c r="Y3289" s="156"/>
      <c r="Z3289" s="156"/>
      <c r="AA3289" s="156"/>
      <c r="AB3289" s="156"/>
      <c r="AC3289" s="156"/>
      <c r="AD3289" s="65"/>
      <c r="AE3289" s="65"/>
      <c r="AF3289" s="153"/>
      <c r="AG3289" s="153"/>
      <c r="AH3289" s="156"/>
      <c r="AI3289" s="156"/>
      <c r="AJ3289" s="333"/>
      <c r="AK3289" s="156"/>
      <c r="AL3289" s="156"/>
      <c r="AM3289" s="156"/>
      <c r="AN3289" s="156"/>
      <c r="AO3289" s="153"/>
      <c r="AP3289" s="153"/>
      <c r="AQ3289" s="156"/>
      <c r="AR3289" s="156"/>
      <c r="AS3289" s="153"/>
      <c r="AT3289" s="156"/>
      <c r="AU3289" s="156"/>
      <c r="AV3289" s="156"/>
      <c r="AW3289" s="432"/>
      <c r="AX3289" s="156"/>
    </row>
    <row r="3290">
      <c r="A3290" s="41">
        <v>3290.0</v>
      </c>
      <c r="B3290" s="126"/>
      <c r="C3290" s="59"/>
      <c r="D3290" s="59"/>
      <c r="F3290" s="65"/>
      <c r="G3290" s="156"/>
      <c r="H3290" s="156"/>
      <c r="I3290" s="1284"/>
      <c r="J3290" s="149"/>
      <c r="K3290" s="65"/>
      <c r="L3290" s="65"/>
      <c r="M3290" s="156"/>
      <c r="N3290" s="156"/>
      <c r="O3290" s="65"/>
      <c r="P3290" s="379"/>
      <c r="Q3290" s="2312"/>
      <c r="R3290" s="156"/>
      <c r="S3290" s="156"/>
      <c r="T3290" s="65"/>
      <c r="U3290" s="65"/>
      <c r="V3290" s="379"/>
      <c r="W3290" s="1225"/>
      <c r="X3290" s="2313"/>
      <c r="Y3290" s="156"/>
      <c r="Z3290" s="156"/>
      <c r="AA3290" s="156"/>
      <c r="AB3290" s="156"/>
      <c r="AC3290" s="156"/>
      <c r="AD3290" s="65"/>
      <c r="AE3290" s="65"/>
      <c r="AF3290" s="153"/>
      <c r="AG3290" s="153"/>
      <c r="AH3290" s="156"/>
      <c r="AI3290" s="156"/>
      <c r="AJ3290" s="333"/>
      <c r="AK3290" s="156"/>
      <c r="AL3290" s="156"/>
      <c r="AM3290" s="156"/>
      <c r="AN3290" s="156"/>
      <c r="AO3290" s="153"/>
      <c r="AP3290" s="153"/>
      <c r="AQ3290" s="156"/>
      <c r="AR3290" s="156"/>
      <c r="AS3290" s="153"/>
      <c r="AT3290" s="156"/>
      <c r="AU3290" s="156"/>
      <c r="AV3290" s="156"/>
      <c r="AW3290" s="432"/>
      <c r="AX3290" s="156"/>
    </row>
    <row r="3291">
      <c r="A3291" s="41">
        <v>3291.0</v>
      </c>
      <c r="B3291" s="126"/>
      <c r="C3291" s="59"/>
      <c r="D3291" s="59"/>
      <c r="F3291" s="65"/>
      <c r="G3291" s="156"/>
      <c r="H3291" s="156"/>
      <c r="I3291" s="1284"/>
      <c r="J3291" s="149"/>
      <c r="K3291" s="65"/>
      <c r="L3291" s="65"/>
      <c r="M3291" s="156"/>
      <c r="N3291" s="156"/>
      <c r="O3291" s="65"/>
      <c r="P3291" s="379"/>
      <c r="Q3291" s="2312"/>
      <c r="R3291" s="156"/>
      <c r="S3291" s="156"/>
      <c r="T3291" s="65"/>
      <c r="U3291" s="65"/>
      <c r="V3291" s="379"/>
      <c r="W3291" s="1225"/>
      <c r="X3291" s="2313"/>
      <c r="Y3291" s="156"/>
      <c r="Z3291" s="156"/>
      <c r="AA3291" s="156"/>
      <c r="AB3291" s="156"/>
      <c r="AC3291" s="156"/>
      <c r="AD3291" s="65"/>
      <c r="AE3291" s="65"/>
      <c r="AF3291" s="153"/>
      <c r="AG3291" s="153"/>
      <c r="AH3291" s="156"/>
      <c r="AI3291" s="156"/>
      <c r="AJ3291" s="333"/>
      <c r="AK3291" s="156"/>
      <c r="AL3291" s="156"/>
      <c r="AM3291" s="156"/>
      <c r="AN3291" s="156"/>
      <c r="AO3291" s="153"/>
      <c r="AP3291" s="153"/>
      <c r="AQ3291" s="156"/>
      <c r="AR3291" s="156"/>
      <c r="AS3291" s="153"/>
      <c r="AT3291" s="156"/>
      <c r="AU3291" s="156"/>
      <c r="AV3291" s="156"/>
      <c r="AW3291" s="432"/>
      <c r="AX3291" s="156"/>
    </row>
    <row r="3292">
      <c r="A3292" s="41">
        <v>3292.0</v>
      </c>
      <c r="B3292" s="126"/>
      <c r="C3292" s="59"/>
      <c r="D3292" s="59"/>
      <c r="F3292" s="65"/>
      <c r="G3292" s="156"/>
      <c r="H3292" s="156"/>
      <c r="I3292" s="1284"/>
      <c r="J3292" s="149"/>
      <c r="K3292" s="65"/>
      <c r="L3292" s="65"/>
      <c r="M3292" s="156"/>
      <c r="N3292" s="156"/>
      <c r="O3292" s="65"/>
      <c r="P3292" s="379"/>
      <c r="Q3292" s="2312"/>
      <c r="R3292" s="156"/>
      <c r="S3292" s="156"/>
      <c r="T3292" s="65"/>
      <c r="U3292" s="65"/>
      <c r="V3292" s="379"/>
      <c r="W3292" s="1225"/>
      <c r="X3292" s="2313"/>
      <c r="Y3292" s="156"/>
      <c r="Z3292" s="156"/>
      <c r="AA3292" s="156"/>
      <c r="AB3292" s="156"/>
      <c r="AC3292" s="156"/>
      <c r="AD3292" s="65"/>
      <c r="AE3292" s="65"/>
      <c r="AF3292" s="153"/>
      <c r="AG3292" s="153"/>
      <c r="AH3292" s="156"/>
      <c r="AI3292" s="156"/>
      <c r="AJ3292" s="333"/>
      <c r="AK3292" s="156"/>
      <c r="AL3292" s="156"/>
      <c r="AM3292" s="156"/>
      <c r="AN3292" s="156"/>
      <c r="AO3292" s="153"/>
      <c r="AP3292" s="153"/>
      <c r="AQ3292" s="156"/>
      <c r="AR3292" s="156"/>
      <c r="AS3292" s="153"/>
      <c r="AT3292" s="156"/>
      <c r="AU3292" s="156"/>
      <c r="AV3292" s="156"/>
      <c r="AW3292" s="432"/>
      <c r="AX3292" s="156"/>
    </row>
    <row r="3293">
      <c r="A3293" s="41">
        <v>3293.0</v>
      </c>
      <c r="B3293" s="126"/>
      <c r="C3293" s="59"/>
      <c r="D3293" s="59"/>
      <c r="F3293" s="65"/>
      <c r="G3293" s="156"/>
      <c r="H3293" s="156"/>
      <c r="I3293" s="1284"/>
      <c r="J3293" s="149"/>
      <c r="K3293" s="65"/>
      <c r="L3293" s="65"/>
      <c r="M3293" s="156"/>
      <c r="N3293" s="156"/>
      <c r="O3293" s="65"/>
      <c r="P3293" s="379"/>
      <c r="Q3293" s="2312"/>
      <c r="R3293" s="156"/>
      <c r="S3293" s="156"/>
      <c r="T3293" s="65"/>
      <c r="U3293" s="65"/>
      <c r="V3293" s="379"/>
      <c r="W3293" s="1225"/>
      <c r="X3293" s="2313"/>
      <c r="Y3293" s="156"/>
      <c r="Z3293" s="156"/>
      <c r="AA3293" s="156"/>
      <c r="AB3293" s="156"/>
      <c r="AC3293" s="156"/>
      <c r="AD3293" s="65"/>
      <c r="AE3293" s="65"/>
      <c r="AF3293" s="153"/>
      <c r="AG3293" s="153"/>
      <c r="AH3293" s="156"/>
      <c r="AI3293" s="156"/>
      <c r="AJ3293" s="333"/>
      <c r="AK3293" s="156"/>
      <c r="AL3293" s="156"/>
      <c r="AM3293" s="156"/>
      <c r="AN3293" s="156"/>
      <c r="AO3293" s="153"/>
      <c r="AP3293" s="153"/>
      <c r="AQ3293" s="156"/>
      <c r="AR3293" s="156"/>
      <c r="AS3293" s="153"/>
      <c r="AT3293" s="156"/>
      <c r="AU3293" s="156"/>
      <c r="AV3293" s="156"/>
      <c r="AW3293" s="432"/>
      <c r="AX3293" s="156"/>
    </row>
    <row r="3294">
      <c r="A3294" s="41">
        <v>3294.0</v>
      </c>
      <c r="B3294" s="126"/>
      <c r="C3294" s="59"/>
      <c r="D3294" s="59"/>
      <c r="F3294" s="65"/>
      <c r="G3294" s="156"/>
      <c r="H3294" s="156"/>
      <c r="I3294" s="1284"/>
      <c r="J3294" s="149"/>
      <c r="K3294" s="65"/>
      <c r="L3294" s="65"/>
      <c r="M3294" s="156"/>
      <c r="N3294" s="156"/>
      <c r="O3294" s="65"/>
      <c r="P3294" s="379"/>
      <c r="Q3294" s="2312"/>
      <c r="R3294" s="156"/>
      <c r="S3294" s="156"/>
      <c r="T3294" s="65"/>
      <c r="U3294" s="65"/>
      <c r="V3294" s="379"/>
      <c r="W3294" s="1225"/>
      <c r="X3294" s="2313"/>
      <c r="Y3294" s="156"/>
      <c r="Z3294" s="156"/>
      <c r="AA3294" s="156"/>
      <c r="AB3294" s="156"/>
      <c r="AC3294" s="156"/>
      <c r="AD3294" s="65"/>
      <c r="AE3294" s="65"/>
      <c r="AF3294" s="153"/>
      <c r="AG3294" s="153"/>
      <c r="AH3294" s="156"/>
      <c r="AI3294" s="156"/>
      <c r="AJ3294" s="333"/>
      <c r="AK3294" s="156"/>
      <c r="AL3294" s="156"/>
      <c r="AM3294" s="156"/>
      <c r="AN3294" s="156"/>
      <c r="AO3294" s="153"/>
      <c r="AP3294" s="153"/>
      <c r="AQ3294" s="156"/>
      <c r="AR3294" s="156"/>
      <c r="AS3294" s="153"/>
      <c r="AT3294" s="156"/>
      <c r="AU3294" s="156"/>
      <c r="AV3294" s="156"/>
      <c r="AW3294" s="432"/>
      <c r="AX3294" s="156"/>
    </row>
    <row r="3295">
      <c r="A3295" s="41">
        <v>3295.0</v>
      </c>
      <c r="B3295" s="126"/>
      <c r="C3295" s="59"/>
      <c r="D3295" s="59"/>
      <c r="F3295" s="65"/>
      <c r="G3295" s="156"/>
      <c r="H3295" s="156"/>
      <c r="I3295" s="1284"/>
      <c r="J3295" s="149"/>
      <c r="K3295" s="65"/>
      <c r="L3295" s="65"/>
      <c r="M3295" s="156"/>
      <c r="N3295" s="156"/>
      <c r="O3295" s="65"/>
      <c r="P3295" s="379"/>
      <c r="Q3295" s="2312"/>
      <c r="R3295" s="156"/>
      <c r="S3295" s="156"/>
      <c r="T3295" s="65"/>
      <c r="U3295" s="65"/>
      <c r="V3295" s="379"/>
      <c r="W3295" s="1225"/>
      <c r="X3295" s="2313"/>
      <c r="Y3295" s="156"/>
      <c r="Z3295" s="156"/>
      <c r="AA3295" s="156"/>
      <c r="AB3295" s="156"/>
      <c r="AC3295" s="156"/>
      <c r="AD3295" s="65"/>
      <c r="AE3295" s="65"/>
      <c r="AF3295" s="153"/>
      <c r="AG3295" s="153"/>
      <c r="AH3295" s="156"/>
      <c r="AI3295" s="156"/>
      <c r="AJ3295" s="333"/>
      <c r="AK3295" s="156"/>
      <c r="AL3295" s="156"/>
      <c r="AM3295" s="156"/>
      <c r="AN3295" s="156"/>
      <c r="AO3295" s="153"/>
      <c r="AP3295" s="153"/>
      <c r="AQ3295" s="156"/>
      <c r="AR3295" s="156"/>
      <c r="AS3295" s="153"/>
      <c r="AT3295" s="156"/>
      <c r="AU3295" s="156"/>
      <c r="AV3295" s="156"/>
      <c r="AW3295" s="432"/>
      <c r="AX3295" s="156"/>
    </row>
    <row r="3296">
      <c r="A3296" s="41">
        <v>3296.0</v>
      </c>
      <c r="B3296" s="126"/>
      <c r="C3296" s="59"/>
      <c r="D3296" s="59"/>
      <c r="F3296" s="65"/>
      <c r="G3296" s="156"/>
      <c r="H3296" s="156"/>
      <c r="I3296" s="1284"/>
      <c r="J3296" s="149"/>
      <c r="K3296" s="65"/>
      <c r="L3296" s="65"/>
      <c r="M3296" s="156"/>
      <c r="N3296" s="156"/>
      <c r="O3296" s="65"/>
      <c r="P3296" s="379"/>
      <c r="Q3296" s="2312"/>
      <c r="R3296" s="156"/>
      <c r="S3296" s="156"/>
      <c r="T3296" s="65"/>
      <c r="U3296" s="65"/>
      <c r="V3296" s="379"/>
      <c r="W3296" s="1225"/>
      <c r="X3296" s="2313"/>
      <c r="Y3296" s="156"/>
      <c r="Z3296" s="156"/>
      <c r="AA3296" s="156"/>
      <c r="AB3296" s="156"/>
      <c r="AC3296" s="156"/>
      <c r="AD3296" s="65"/>
      <c r="AE3296" s="65"/>
      <c r="AF3296" s="153"/>
      <c r="AG3296" s="153"/>
      <c r="AH3296" s="156"/>
      <c r="AI3296" s="156"/>
      <c r="AJ3296" s="333"/>
      <c r="AK3296" s="156"/>
      <c r="AL3296" s="156"/>
      <c r="AM3296" s="156"/>
      <c r="AN3296" s="156"/>
      <c r="AO3296" s="153"/>
      <c r="AP3296" s="153"/>
      <c r="AQ3296" s="156"/>
      <c r="AR3296" s="156"/>
      <c r="AS3296" s="153"/>
      <c r="AT3296" s="156"/>
      <c r="AU3296" s="156"/>
      <c r="AV3296" s="156"/>
      <c r="AW3296" s="432"/>
      <c r="AX3296" s="156"/>
    </row>
    <row r="3297">
      <c r="A3297" s="41">
        <v>3297.0</v>
      </c>
      <c r="B3297" s="126"/>
      <c r="C3297" s="59"/>
      <c r="D3297" s="59"/>
      <c r="F3297" s="65"/>
      <c r="G3297" s="156"/>
      <c r="H3297" s="156"/>
      <c r="I3297" s="1284"/>
      <c r="J3297" s="149"/>
      <c r="K3297" s="65"/>
      <c r="L3297" s="65"/>
      <c r="M3297" s="156"/>
      <c r="N3297" s="156"/>
      <c r="O3297" s="65"/>
      <c r="P3297" s="379"/>
      <c r="Q3297" s="2312"/>
      <c r="R3297" s="156"/>
      <c r="S3297" s="156"/>
      <c r="T3297" s="65"/>
      <c r="U3297" s="65"/>
      <c r="V3297" s="379"/>
      <c r="W3297" s="1225"/>
      <c r="X3297" s="2313"/>
      <c r="Y3297" s="156"/>
      <c r="Z3297" s="156"/>
      <c r="AA3297" s="156"/>
      <c r="AB3297" s="156"/>
      <c r="AC3297" s="156"/>
      <c r="AD3297" s="65"/>
      <c r="AE3297" s="65"/>
      <c r="AF3297" s="153"/>
      <c r="AG3297" s="153"/>
      <c r="AH3297" s="156"/>
      <c r="AI3297" s="156"/>
      <c r="AJ3297" s="333"/>
      <c r="AK3297" s="156"/>
      <c r="AL3297" s="156"/>
      <c r="AM3297" s="156"/>
      <c r="AN3297" s="156"/>
      <c r="AO3297" s="153"/>
      <c r="AP3297" s="153"/>
      <c r="AQ3297" s="156"/>
      <c r="AR3297" s="156"/>
      <c r="AS3297" s="153"/>
      <c r="AT3297" s="156"/>
      <c r="AU3297" s="156"/>
      <c r="AV3297" s="156"/>
      <c r="AW3297" s="432"/>
      <c r="AX3297" s="156"/>
    </row>
    <row r="3298">
      <c r="A3298" s="41">
        <v>3298.0</v>
      </c>
      <c r="B3298" s="126"/>
      <c r="C3298" s="59"/>
      <c r="D3298" s="59"/>
      <c r="F3298" s="65"/>
      <c r="G3298" s="156"/>
      <c r="H3298" s="156"/>
      <c r="I3298" s="1284"/>
      <c r="J3298" s="149"/>
      <c r="K3298" s="65"/>
      <c r="L3298" s="65"/>
      <c r="M3298" s="156"/>
      <c r="N3298" s="156"/>
      <c r="O3298" s="65"/>
      <c r="P3298" s="379"/>
      <c r="Q3298" s="2312"/>
      <c r="R3298" s="156"/>
      <c r="S3298" s="156"/>
      <c r="T3298" s="65"/>
      <c r="U3298" s="65"/>
      <c r="V3298" s="379"/>
      <c r="W3298" s="1225"/>
      <c r="X3298" s="2313"/>
      <c r="Y3298" s="156"/>
      <c r="Z3298" s="156"/>
      <c r="AA3298" s="156"/>
      <c r="AB3298" s="156"/>
      <c r="AC3298" s="156"/>
      <c r="AD3298" s="65"/>
      <c r="AE3298" s="65"/>
      <c r="AF3298" s="153"/>
      <c r="AG3298" s="153"/>
      <c r="AH3298" s="156"/>
      <c r="AI3298" s="156"/>
      <c r="AJ3298" s="333"/>
      <c r="AK3298" s="156"/>
      <c r="AL3298" s="156"/>
      <c r="AM3298" s="156"/>
      <c r="AN3298" s="156"/>
      <c r="AO3298" s="153"/>
      <c r="AP3298" s="153"/>
      <c r="AQ3298" s="156"/>
      <c r="AR3298" s="156"/>
      <c r="AS3298" s="153"/>
      <c r="AT3298" s="156"/>
      <c r="AU3298" s="156"/>
      <c r="AV3298" s="156"/>
      <c r="AW3298" s="432"/>
      <c r="AX3298" s="156"/>
    </row>
    <row r="3299">
      <c r="A3299" s="41">
        <v>3299.0</v>
      </c>
      <c r="B3299" s="126"/>
      <c r="C3299" s="59"/>
      <c r="D3299" s="59"/>
      <c r="F3299" s="65"/>
      <c r="G3299" s="156"/>
      <c r="H3299" s="156"/>
      <c r="I3299" s="1284"/>
      <c r="J3299" s="149"/>
      <c r="K3299" s="65"/>
      <c r="L3299" s="65"/>
      <c r="M3299" s="156"/>
      <c r="N3299" s="156"/>
      <c r="O3299" s="65"/>
      <c r="P3299" s="379"/>
      <c r="Q3299" s="2312"/>
      <c r="R3299" s="156"/>
      <c r="S3299" s="156"/>
      <c r="T3299" s="65"/>
      <c r="U3299" s="65"/>
      <c r="V3299" s="379"/>
      <c r="W3299" s="1225"/>
      <c r="X3299" s="2313"/>
      <c r="Y3299" s="156"/>
      <c r="Z3299" s="156"/>
      <c r="AA3299" s="156"/>
      <c r="AB3299" s="156"/>
      <c r="AC3299" s="156"/>
      <c r="AD3299" s="65"/>
      <c r="AE3299" s="65"/>
      <c r="AF3299" s="153"/>
      <c r="AG3299" s="153"/>
      <c r="AH3299" s="156"/>
      <c r="AI3299" s="156"/>
      <c r="AJ3299" s="333"/>
      <c r="AK3299" s="156"/>
      <c r="AL3299" s="156"/>
      <c r="AM3299" s="156"/>
      <c r="AN3299" s="156"/>
      <c r="AO3299" s="153"/>
      <c r="AP3299" s="153"/>
      <c r="AQ3299" s="156"/>
      <c r="AR3299" s="156"/>
      <c r="AS3299" s="153"/>
      <c r="AT3299" s="156"/>
      <c r="AU3299" s="156"/>
      <c r="AV3299" s="156"/>
      <c r="AW3299" s="432"/>
      <c r="AX3299" s="156"/>
    </row>
    <row r="3300">
      <c r="A3300" s="41">
        <v>3300.0</v>
      </c>
      <c r="B3300" s="126"/>
      <c r="C3300" s="59"/>
      <c r="D3300" s="59"/>
      <c r="F3300" s="65"/>
      <c r="G3300" s="156"/>
      <c r="H3300" s="156"/>
      <c r="I3300" s="1284"/>
      <c r="J3300" s="149"/>
      <c r="K3300" s="65"/>
      <c r="L3300" s="65"/>
      <c r="M3300" s="156"/>
      <c r="N3300" s="156"/>
      <c r="O3300" s="65"/>
      <c r="P3300" s="379"/>
      <c r="Q3300" s="2312"/>
      <c r="R3300" s="156"/>
      <c r="S3300" s="156"/>
      <c r="T3300" s="65"/>
      <c r="U3300" s="65"/>
      <c r="V3300" s="379"/>
      <c r="W3300" s="1225"/>
      <c r="X3300" s="2313"/>
      <c r="Y3300" s="156"/>
      <c r="Z3300" s="156"/>
      <c r="AA3300" s="156"/>
      <c r="AB3300" s="156"/>
      <c r="AC3300" s="156"/>
      <c r="AD3300" s="65"/>
      <c r="AE3300" s="65"/>
      <c r="AF3300" s="153"/>
      <c r="AG3300" s="153"/>
      <c r="AH3300" s="156"/>
      <c r="AI3300" s="156"/>
      <c r="AJ3300" s="333"/>
      <c r="AK3300" s="156"/>
      <c r="AL3300" s="156"/>
      <c r="AM3300" s="156"/>
      <c r="AN3300" s="156"/>
      <c r="AO3300" s="153"/>
      <c r="AP3300" s="153"/>
      <c r="AQ3300" s="156"/>
      <c r="AR3300" s="156"/>
      <c r="AS3300" s="153"/>
      <c r="AT3300" s="156"/>
      <c r="AU3300" s="156"/>
      <c r="AV3300" s="156"/>
      <c r="AW3300" s="432"/>
      <c r="AX3300" s="156"/>
    </row>
    <row r="3301">
      <c r="A3301" s="41">
        <v>3301.0</v>
      </c>
      <c r="B3301" s="126"/>
      <c r="C3301" s="59"/>
      <c r="D3301" s="59"/>
      <c r="F3301" s="65"/>
      <c r="G3301" s="156"/>
      <c r="H3301" s="156"/>
      <c r="I3301" s="1284"/>
      <c r="J3301" s="149"/>
      <c r="K3301" s="65"/>
      <c r="L3301" s="65"/>
      <c r="M3301" s="156"/>
      <c r="N3301" s="156"/>
      <c r="O3301" s="65"/>
      <c r="P3301" s="379"/>
      <c r="Q3301" s="2312"/>
      <c r="R3301" s="156"/>
      <c r="S3301" s="156"/>
      <c r="T3301" s="65"/>
      <c r="U3301" s="65"/>
      <c r="V3301" s="379"/>
      <c r="W3301" s="1225"/>
      <c r="X3301" s="2313"/>
      <c r="Y3301" s="156"/>
      <c r="Z3301" s="156"/>
      <c r="AA3301" s="156"/>
      <c r="AB3301" s="156"/>
      <c r="AC3301" s="156"/>
      <c r="AD3301" s="65"/>
      <c r="AE3301" s="65"/>
      <c r="AF3301" s="153"/>
      <c r="AG3301" s="153"/>
      <c r="AH3301" s="156"/>
      <c r="AI3301" s="156"/>
      <c r="AJ3301" s="333"/>
      <c r="AK3301" s="156"/>
      <c r="AL3301" s="156"/>
      <c r="AM3301" s="156"/>
      <c r="AN3301" s="156"/>
      <c r="AO3301" s="153"/>
      <c r="AP3301" s="153"/>
      <c r="AQ3301" s="156"/>
      <c r="AR3301" s="156"/>
      <c r="AS3301" s="153"/>
      <c r="AT3301" s="156"/>
      <c r="AU3301" s="156"/>
      <c r="AV3301" s="156"/>
      <c r="AW3301" s="432"/>
      <c r="AX3301" s="156"/>
    </row>
    <row r="3302">
      <c r="A3302" s="41">
        <v>3302.0</v>
      </c>
      <c r="B3302" s="126"/>
      <c r="C3302" s="59"/>
      <c r="D3302" s="59"/>
      <c r="F3302" s="65"/>
      <c r="G3302" s="156"/>
      <c r="H3302" s="156"/>
      <c r="I3302" s="1284"/>
      <c r="J3302" s="149"/>
      <c r="K3302" s="65"/>
      <c r="L3302" s="65"/>
      <c r="M3302" s="156"/>
      <c r="N3302" s="156"/>
      <c r="O3302" s="65"/>
      <c r="P3302" s="379"/>
      <c r="Q3302" s="2312"/>
      <c r="R3302" s="156"/>
      <c r="S3302" s="156"/>
      <c r="T3302" s="65"/>
      <c r="U3302" s="65"/>
      <c r="V3302" s="379"/>
      <c r="W3302" s="1225"/>
      <c r="X3302" s="2313"/>
      <c r="Y3302" s="156"/>
      <c r="Z3302" s="156"/>
      <c r="AA3302" s="156"/>
      <c r="AB3302" s="156"/>
      <c r="AC3302" s="156"/>
      <c r="AD3302" s="65"/>
      <c r="AE3302" s="65"/>
      <c r="AF3302" s="153"/>
      <c r="AG3302" s="153"/>
      <c r="AH3302" s="156"/>
      <c r="AI3302" s="156"/>
      <c r="AJ3302" s="333"/>
      <c r="AK3302" s="156"/>
      <c r="AL3302" s="156"/>
      <c r="AM3302" s="156"/>
      <c r="AN3302" s="156"/>
      <c r="AO3302" s="153"/>
      <c r="AP3302" s="153"/>
      <c r="AQ3302" s="156"/>
      <c r="AR3302" s="156"/>
      <c r="AS3302" s="153"/>
      <c r="AT3302" s="156"/>
      <c r="AU3302" s="156"/>
      <c r="AV3302" s="156"/>
      <c r="AW3302" s="432"/>
      <c r="AX3302" s="156"/>
    </row>
    <row r="3303">
      <c r="A3303" s="41">
        <v>3303.0</v>
      </c>
      <c r="B3303" s="126"/>
      <c r="C3303" s="59"/>
      <c r="D3303" s="59"/>
      <c r="F3303" s="65"/>
      <c r="G3303" s="156"/>
      <c r="H3303" s="156"/>
      <c r="I3303" s="1284"/>
      <c r="J3303" s="149"/>
      <c r="K3303" s="65"/>
      <c r="L3303" s="65"/>
      <c r="M3303" s="156"/>
      <c r="N3303" s="156"/>
      <c r="O3303" s="65"/>
      <c r="P3303" s="379"/>
      <c r="Q3303" s="2312"/>
      <c r="R3303" s="156"/>
      <c r="S3303" s="156"/>
      <c r="T3303" s="65"/>
      <c r="U3303" s="65"/>
      <c r="V3303" s="379"/>
      <c r="W3303" s="1225"/>
      <c r="X3303" s="2313"/>
      <c r="Y3303" s="156"/>
      <c r="Z3303" s="156"/>
      <c r="AA3303" s="156"/>
      <c r="AB3303" s="156"/>
      <c r="AC3303" s="156"/>
      <c r="AD3303" s="65"/>
      <c r="AE3303" s="65"/>
      <c r="AF3303" s="153"/>
      <c r="AG3303" s="153"/>
      <c r="AH3303" s="156"/>
      <c r="AI3303" s="156"/>
      <c r="AJ3303" s="333"/>
      <c r="AK3303" s="156"/>
      <c r="AL3303" s="156"/>
      <c r="AM3303" s="156"/>
      <c r="AN3303" s="156"/>
      <c r="AO3303" s="153"/>
      <c r="AP3303" s="153"/>
      <c r="AQ3303" s="156"/>
      <c r="AR3303" s="156"/>
      <c r="AS3303" s="153"/>
      <c r="AT3303" s="156"/>
      <c r="AU3303" s="156"/>
      <c r="AV3303" s="156"/>
      <c r="AW3303" s="432"/>
      <c r="AX3303" s="156"/>
    </row>
    <row r="3304">
      <c r="A3304" s="41">
        <v>3304.0</v>
      </c>
      <c r="B3304" s="126"/>
      <c r="C3304" s="59"/>
      <c r="D3304" s="59"/>
      <c r="F3304" s="65"/>
      <c r="G3304" s="156"/>
      <c r="H3304" s="156"/>
      <c r="I3304" s="1284"/>
      <c r="J3304" s="149"/>
      <c r="K3304" s="65"/>
      <c r="L3304" s="65"/>
      <c r="M3304" s="156"/>
      <c r="N3304" s="156"/>
      <c r="O3304" s="65"/>
      <c r="P3304" s="379"/>
      <c r="Q3304" s="2312"/>
      <c r="R3304" s="156"/>
      <c r="S3304" s="156"/>
      <c r="T3304" s="65"/>
      <c r="U3304" s="65"/>
      <c r="V3304" s="379"/>
      <c r="W3304" s="1225"/>
      <c r="X3304" s="2313"/>
      <c r="Y3304" s="156"/>
      <c r="Z3304" s="156"/>
      <c r="AA3304" s="156"/>
      <c r="AB3304" s="156"/>
      <c r="AC3304" s="156"/>
      <c r="AD3304" s="65"/>
      <c r="AE3304" s="65"/>
      <c r="AF3304" s="153"/>
      <c r="AG3304" s="153"/>
      <c r="AH3304" s="156"/>
      <c r="AI3304" s="156"/>
      <c r="AJ3304" s="333"/>
      <c r="AK3304" s="156"/>
      <c r="AL3304" s="156"/>
      <c r="AM3304" s="156"/>
      <c r="AN3304" s="156"/>
      <c r="AO3304" s="153"/>
      <c r="AP3304" s="153"/>
      <c r="AQ3304" s="156"/>
      <c r="AR3304" s="156"/>
      <c r="AS3304" s="153"/>
      <c r="AT3304" s="156"/>
      <c r="AU3304" s="156"/>
      <c r="AV3304" s="156"/>
      <c r="AW3304" s="432"/>
      <c r="AX3304" s="156"/>
    </row>
    <row r="3305">
      <c r="A3305" s="41">
        <v>3305.0</v>
      </c>
      <c r="B3305" s="126"/>
      <c r="C3305" s="59"/>
      <c r="D3305" s="59"/>
      <c r="F3305" s="65"/>
      <c r="G3305" s="156"/>
      <c r="H3305" s="156"/>
      <c r="I3305" s="1284"/>
      <c r="J3305" s="149"/>
      <c r="K3305" s="65"/>
      <c r="L3305" s="65"/>
      <c r="M3305" s="156"/>
      <c r="N3305" s="156"/>
      <c r="O3305" s="65"/>
      <c r="P3305" s="379"/>
      <c r="Q3305" s="2312"/>
      <c r="R3305" s="156"/>
      <c r="S3305" s="156"/>
      <c r="T3305" s="65"/>
      <c r="U3305" s="65"/>
      <c r="V3305" s="379"/>
      <c r="W3305" s="1225"/>
      <c r="X3305" s="2313"/>
      <c r="Y3305" s="156"/>
      <c r="Z3305" s="156"/>
      <c r="AA3305" s="156"/>
      <c r="AB3305" s="156"/>
      <c r="AC3305" s="156"/>
      <c r="AD3305" s="65"/>
      <c r="AE3305" s="65"/>
      <c r="AF3305" s="153"/>
      <c r="AG3305" s="153"/>
      <c r="AH3305" s="156"/>
      <c r="AI3305" s="156"/>
      <c r="AJ3305" s="333"/>
      <c r="AK3305" s="156"/>
      <c r="AL3305" s="156"/>
      <c r="AM3305" s="156"/>
      <c r="AN3305" s="156"/>
      <c r="AO3305" s="153"/>
      <c r="AP3305" s="153"/>
      <c r="AQ3305" s="156"/>
      <c r="AR3305" s="156"/>
      <c r="AS3305" s="153"/>
      <c r="AT3305" s="156"/>
      <c r="AU3305" s="156"/>
      <c r="AV3305" s="156"/>
      <c r="AW3305" s="432"/>
      <c r="AX3305" s="156"/>
    </row>
    <row r="3306">
      <c r="A3306" s="41">
        <v>3306.0</v>
      </c>
      <c r="B3306" s="126"/>
      <c r="C3306" s="59"/>
      <c r="D3306" s="59"/>
      <c r="F3306" s="65"/>
      <c r="G3306" s="156"/>
      <c r="H3306" s="156"/>
      <c r="I3306" s="1284"/>
      <c r="J3306" s="149"/>
      <c r="K3306" s="65"/>
      <c r="L3306" s="65"/>
      <c r="M3306" s="156"/>
      <c r="N3306" s="156"/>
      <c r="O3306" s="65"/>
      <c r="P3306" s="379"/>
      <c r="Q3306" s="2312"/>
      <c r="R3306" s="156"/>
      <c r="S3306" s="156"/>
      <c r="T3306" s="65"/>
      <c r="U3306" s="65"/>
      <c r="V3306" s="379"/>
      <c r="W3306" s="1225"/>
      <c r="X3306" s="2313"/>
      <c r="Y3306" s="156"/>
      <c r="Z3306" s="156"/>
      <c r="AA3306" s="156"/>
      <c r="AB3306" s="156"/>
      <c r="AC3306" s="156"/>
      <c r="AD3306" s="65"/>
      <c r="AE3306" s="65"/>
      <c r="AF3306" s="153"/>
      <c r="AG3306" s="153"/>
      <c r="AH3306" s="156"/>
      <c r="AI3306" s="156"/>
      <c r="AJ3306" s="333"/>
      <c r="AK3306" s="156"/>
      <c r="AL3306" s="156"/>
      <c r="AM3306" s="156"/>
      <c r="AN3306" s="156"/>
      <c r="AO3306" s="153"/>
      <c r="AP3306" s="153"/>
      <c r="AQ3306" s="156"/>
      <c r="AR3306" s="156"/>
      <c r="AS3306" s="153"/>
      <c r="AT3306" s="156"/>
      <c r="AU3306" s="156"/>
      <c r="AV3306" s="156"/>
      <c r="AW3306" s="432"/>
      <c r="AX3306" s="156"/>
    </row>
    <row r="3307">
      <c r="A3307" s="41">
        <v>3307.0</v>
      </c>
      <c r="B3307" s="126"/>
      <c r="C3307" s="59"/>
      <c r="D3307" s="59"/>
      <c r="F3307" s="65"/>
      <c r="G3307" s="156"/>
      <c r="H3307" s="156"/>
      <c r="I3307" s="1284"/>
      <c r="J3307" s="149"/>
      <c r="K3307" s="65"/>
      <c r="L3307" s="65"/>
      <c r="M3307" s="156"/>
      <c r="N3307" s="156"/>
      <c r="O3307" s="65"/>
      <c r="P3307" s="379"/>
      <c r="Q3307" s="2312"/>
      <c r="R3307" s="156"/>
      <c r="S3307" s="156"/>
      <c r="T3307" s="65"/>
      <c r="U3307" s="65"/>
      <c r="V3307" s="379"/>
      <c r="W3307" s="1225"/>
      <c r="X3307" s="2313"/>
      <c r="Y3307" s="156"/>
      <c r="Z3307" s="156"/>
      <c r="AA3307" s="156"/>
      <c r="AB3307" s="156"/>
      <c r="AC3307" s="156"/>
      <c r="AD3307" s="65"/>
      <c r="AE3307" s="65"/>
      <c r="AF3307" s="153"/>
      <c r="AG3307" s="153"/>
      <c r="AH3307" s="156"/>
      <c r="AI3307" s="156"/>
      <c r="AJ3307" s="333"/>
      <c r="AK3307" s="156"/>
      <c r="AL3307" s="156"/>
      <c r="AM3307" s="156"/>
      <c r="AN3307" s="156"/>
      <c r="AO3307" s="153"/>
      <c r="AP3307" s="153"/>
      <c r="AQ3307" s="156"/>
      <c r="AR3307" s="156"/>
      <c r="AS3307" s="153"/>
      <c r="AT3307" s="156"/>
      <c r="AU3307" s="156"/>
      <c r="AV3307" s="156"/>
      <c r="AW3307" s="432"/>
      <c r="AX3307" s="156"/>
    </row>
    <row r="3308">
      <c r="A3308" s="41">
        <v>3308.0</v>
      </c>
      <c r="B3308" s="126"/>
      <c r="C3308" s="59"/>
      <c r="D3308" s="59"/>
      <c r="F3308" s="65"/>
      <c r="G3308" s="156"/>
      <c r="H3308" s="156"/>
      <c r="I3308" s="1284"/>
      <c r="J3308" s="149"/>
      <c r="K3308" s="65"/>
      <c r="L3308" s="65"/>
      <c r="M3308" s="156"/>
      <c r="N3308" s="156"/>
      <c r="O3308" s="65"/>
      <c r="P3308" s="379"/>
      <c r="Q3308" s="2312"/>
      <c r="R3308" s="156"/>
      <c r="S3308" s="156"/>
      <c r="T3308" s="65"/>
      <c r="U3308" s="65"/>
      <c r="V3308" s="379"/>
      <c r="W3308" s="1225"/>
      <c r="X3308" s="2313"/>
      <c r="Y3308" s="156"/>
      <c r="Z3308" s="156"/>
      <c r="AA3308" s="156"/>
      <c r="AB3308" s="156"/>
      <c r="AC3308" s="156"/>
      <c r="AD3308" s="65"/>
      <c r="AE3308" s="65"/>
      <c r="AF3308" s="153"/>
      <c r="AG3308" s="153"/>
      <c r="AH3308" s="156"/>
      <c r="AI3308" s="156"/>
      <c r="AJ3308" s="333"/>
      <c r="AK3308" s="156"/>
      <c r="AL3308" s="156"/>
      <c r="AM3308" s="156"/>
      <c r="AN3308" s="156"/>
      <c r="AO3308" s="153"/>
      <c r="AP3308" s="153"/>
      <c r="AQ3308" s="156"/>
      <c r="AR3308" s="156"/>
      <c r="AS3308" s="153"/>
      <c r="AT3308" s="156"/>
      <c r="AU3308" s="156"/>
      <c r="AV3308" s="156"/>
      <c r="AW3308" s="432"/>
      <c r="AX3308" s="156"/>
    </row>
    <row r="3309">
      <c r="A3309" s="41">
        <v>3309.0</v>
      </c>
      <c r="B3309" s="126"/>
      <c r="C3309" s="59"/>
      <c r="D3309" s="59"/>
      <c r="F3309" s="65"/>
      <c r="G3309" s="156"/>
      <c r="H3309" s="156"/>
      <c r="I3309" s="1284"/>
      <c r="J3309" s="149"/>
      <c r="K3309" s="65"/>
      <c r="L3309" s="65"/>
      <c r="M3309" s="156"/>
      <c r="N3309" s="156"/>
      <c r="O3309" s="65"/>
      <c r="P3309" s="379"/>
      <c r="Q3309" s="2312"/>
      <c r="R3309" s="156"/>
      <c r="S3309" s="156"/>
      <c r="T3309" s="65"/>
      <c r="U3309" s="65"/>
      <c r="V3309" s="379"/>
      <c r="W3309" s="1225"/>
      <c r="X3309" s="2313"/>
      <c r="Y3309" s="156"/>
      <c r="Z3309" s="156"/>
      <c r="AA3309" s="156"/>
      <c r="AB3309" s="156"/>
      <c r="AC3309" s="156"/>
      <c r="AD3309" s="65"/>
      <c r="AE3309" s="65"/>
      <c r="AF3309" s="153"/>
      <c r="AG3309" s="153"/>
      <c r="AH3309" s="156"/>
      <c r="AI3309" s="156"/>
      <c r="AJ3309" s="333"/>
      <c r="AK3309" s="156"/>
      <c r="AL3309" s="156"/>
      <c r="AM3309" s="156"/>
      <c r="AN3309" s="156"/>
      <c r="AO3309" s="153"/>
      <c r="AP3309" s="153"/>
      <c r="AQ3309" s="156"/>
      <c r="AR3309" s="156"/>
      <c r="AS3309" s="153"/>
      <c r="AT3309" s="156"/>
      <c r="AU3309" s="156"/>
      <c r="AV3309" s="156"/>
      <c r="AW3309" s="432"/>
      <c r="AX3309" s="156"/>
    </row>
    <row r="3310">
      <c r="A3310" s="41">
        <v>3310.0</v>
      </c>
      <c r="B3310" s="126"/>
      <c r="C3310" s="59"/>
      <c r="D3310" s="59"/>
      <c r="F3310" s="65"/>
      <c r="G3310" s="156"/>
      <c r="H3310" s="156"/>
      <c r="I3310" s="1284"/>
      <c r="J3310" s="149"/>
      <c r="K3310" s="65"/>
      <c r="L3310" s="65"/>
      <c r="M3310" s="156"/>
      <c r="N3310" s="156"/>
      <c r="O3310" s="65"/>
      <c r="P3310" s="379"/>
      <c r="Q3310" s="2312"/>
      <c r="R3310" s="156"/>
      <c r="S3310" s="156"/>
      <c r="T3310" s="65"/>
      <c r="U3310" s="65"/>
      <c r="V3310" s="379"/>
      <c r="W3310" s="1225"/>
      <c r="X3310" s="2313"/>
      <c r="Y3310" s="156"/>
      <c r="Z3310" s="156"/>
      <c r="AA3310" s="156"/>
      <c r="AB3310" s="156"/>
      <c r="AC3310" s="156"/>
      <c r="AD3310" s="65"/>
      <c r="AE3310" s="65"/>
      <c r="AF3310" s="153"/>
      <c r="AG3310" s="153"/>
      <c r="AH3310" s="156"/>
      <c r="AI3310" s="156"/>
      <c r="AJ3310" s="333"/>
      <c r="AK3310" s="156"/>
      <c r="AL3310" s="156"/>
      <c r="AM3310" s="156"/>
      <c r="AN3310" s="156"/>
      <c r="AO3310" s="153"/>
      <c r="AP3310" s="153"/>
      <c r="AQ3310" s="156"/>
      <c r="AR3310" s="156"/>
      <c r="AS3310" s="153"/>
      <c r="AT3310" s="156"/>
      <c r="AU3310" s="156"/>
      <c r="AV3310" s="156"/>
      <c r="AW3310" s="432"/>
      <c r="AX3310" s="156"/>
    </row>
    <row r="3311">
      <c r="A3311" s="41">
        <v>3311.0</v>
      </c>
      <c r="B3311" s="126"/>
      <c r="C3311" s="59"/>
      <c r="D3311" s="59"/>
      <c r="F3311" s="65"/>
      <c r="G3311" s="156"/>
      <c r="H3311" s="156"/>
      <c r="I3311" s="1284"/>
      <c r="J3311" s="149"/>
      <c r="K3311" s="65"/>
      <c r="L3311" s="65"/>
      <c r="M3311" s="156"/>
      <c r="N3311" s="156"/>
      <c r="O3311" s="65"/>
      <c r="P3311" s="379"/>
      <c r="Q3311" s="2312"/>
      <c r="R3311" s="156"/>
      <c r="S3311" s="156"/>
      <c r="T3311" s="65"/>
      <c r="U3311" s="65"/>
      <c r="V3311" s="379"/>
      <c r="W3311" s="1225"/>
      <c r="X3311" s="2313"/>
      <c r="Y3311" s="156"/>
      <c r="Z3311" s="156"/>
      <c r="AA3311" s="156"/>
      <c r="AB3311" s="156"/>
      <c r="AC3311" s="156"/>
      <c r="AD3311" s="65"/>
      <c r="AE3311" s="65"/>
      <c r="AF3311" s="153"/>
      <c r="AG3311" s="153"/>
      <c r="AH3311" s="156"/>
      <c r="AI3311" s="156"/>
      <c r="AJ3311" s="333"/>
      <c r="AK3311" s="156"/>
      <c r="AL3311" s="156"/>
      <c r="AM3311" s="156"/>
      <c r="AN3311" s="156"/>
      <c r="AO3311" s="153"/>
      <c r="AP3311" s="153"/>
      <c r="AQ3311" s="156"/>
      <c r="AR3311" s="156"/>
      <c r="AS3311" s="153"/>
      <c r="AT3311" s="156"/>
      <c r="AU3311" s="156"/>
      <c r="AV3311" s="156"/>
      <c r="AW3311" s="432"/>
      <c r="AX3311" s="156"/>
    </row>
    <row r="3312">
      <c r="A3312" s="41">
        <v>3312.0</v>
      </c>
      <c r="B3312" s="126"/>
      <c r="C3312" s="59"/>
      <c r="D3312" s="59"/>
      <c r="F3312" s="65"/>
      <c r="G3312" s="156"/>
      <c r="H3312" s="156"/>
      <c r="I3312" s="1284"/>
      <c r="J3312" s="149"/>
      <c r="K3312" s="65"/>
      <c r="L3312" s="65"/>
      <c r="M3312" s="156"/>
      <c r="N3312" s="156"/>
      <c r="O3312" s="65"/>
      <c r="P3312" s="379"/>
      <c r="Q3312" s="2312"/>
      <c r="R3312" s="156"/>
      <c r="S3312" s="156"/>
      <c r="T3312" s="65"/>
      <c r="U3312" s="65"/>
      <c r="V3312" s="379"/>
      <c r="W3312" s="1225"/>
      <c r="X3312" s="2313"/>
      <c r="Y3312" s="156"/>
      <c r="Z3312" s="156"/>
      <c r="AA3312" s="156"/>
      <c r="AB3312" s="156"/>
      <c r="AC3312" s="156"/>
      <c r="AD3312" s="65"/>
      <c r="AE3312" s="65"/>
      <c r="AF3312" s="153"/>
      <c r="AG3312" s="153"/>
      <c r="AH3312" s="156"/>
      <c r="AI3312" s="156"/>
      <c r="AJ3312" s="333"/>
      <c r="AK3312" s="156"/>
      <c r="AL3312" s="156"/>
      <c r="AM3312" s="156"/>
      <c r="AN3312" s="156"/>
      <c r="AO3312" s="153"/>
      <c r="AP3312" s="153"/>
      <c r="AQ3312" s="156"/>
      <c r="AR3312" s="156"/>
      <c r="AS3312" s="153"/>
      <c r="AT3312" s="156"/>
      <c r="AU3312" s="156"/>
      <c r="AV3312" s="156"/>
      <c r="AW3312" s="432"/>
      <c r="AX3312" s="156"/>
    </row>
    <row r="3313">
      <c r="A3313" s="41">
        <v>3313.0</v>
      </c>
      <c r="B3313" s="126"/>
      <c r="C3313" s="59"/>
      <c r="D3313" s="59"/>
      <c r="F3313" s="65"/>
      <c r="G3313" s="156"/>
      <c r="H3313" s="156"/>
      <c r="I3313" s="1284"/>
      <c r="J3313" s="149"/>
      <c r="K3313" s="65"/>
      <c r="L3313" s="65"/>
      <c r="M3313" s="156"/>
      <c r="N3313" s="156"/>
      <c r="O3313" s="65"/>
      <c r="P3313" s="379"/>
      <c r="Q3313" s="2312"/>
      <c r="R3313" s="156"/>
      <c r="S3313" s="156"/>
      <c r="T3313" s="65"/>
      <c r="U3313" s="65"/>
      <c r="V3313" s="379"/>
      <c r="W3313" s="1225"/>
      <c r="X3313" s="2313"/>
      <c r="Y3313" s="156"/>
      <c r="Z3313" s="156"/>
      <c r="AA3313" s="156"/>
      <c r="AB3313" s="156"/>
      <c r="AC3313" s="156"/>
      <c r="AD3313" s="65"/>
      <c r="AE3313" s="65"/>
      <c r="AF3313" s="153"/>
      <c r="AG3313" s="153"/>
      <c r="AH3313" s="156"/>
      <c r="AI3313" s="156"/>
      <c r="AJ3313" s="333"/>
      <c r="AK3313" s="156"/>
      <c r="AL3313" s="156"/>
      <c r="AM3313" s="156"/>
      <c r="AN3313" s="156"/>
      <c r="AO3313" s="153"/>
      <c r="AP3313" s="153"/>
      <c r="AQ3313" s="156"/>
      <c r="AR3313" s="156"/>
      <c r="AS3313" s="153"/>
      <c r="AT3313" s="156"/>
      <c r="AU3313" s="156"/>
      <c r="AV3313" s="156"/>
      <c r="AW3313" s="432"/>
      <c r="AX3313" s="156"/>
    </row>
    <row r="3314">
      <c r="A3314" s="41">
        <v>3314.0</v>
      </c>
      <c r="B3314" s="126"/>
      <c r="C3314" s="59"/>
      <c r="D3314" s="59"/>
      <c r="F3314" s="65"/>
      <c r="G3314" s="156"/>
      <c r="H3314" s="156"/>
      <c r="I3314" s="1284"/>
      <c r="J3314" s="149"/>
      <c r="K3314" s="65"/>
      <c r="L3314" s="65"/>
      <c r="M3314" s="156"/>
      <c r="N3314" s="156"/>
      <c r="O3314" s="65"/>
      <c r="P3314" s="379"/>
      <c r="Q3314" s="2312"/>
      <c r="R3314" s="156"/>
      <c r="S3314" s="156"/>
      <c r="T3314" s="65"/>
      <c r="U3314" s="65"/>
      <c r="V3314" s="379"/>
      <c r="W3314" s="1225"/>
      <c r="X3314" s="2313"/>
      <c r="Y3314" s="156"/>
      <c r="Z3314" s="156"/>
      <c r="AA3314" s="156"/>
      <c r="AB3314" s="156"/>
      <c r="AC3314" s="156"/>
      <c r="AD3314" s="65"/>
      <c r="AE3314" s="65"/>
      <c r="AF3314" s="153"/>
      <c r="AG3314" s="153"/>
      <c r="AH3314" s="156"/>
      <c r="AI3314" s="156"/>
      <c r="AJ3314" s="333"/>
      <c r="AK3314" s="156"/>
      <c r="AL3314" s="156"/>
      <c r="AM3314" s="156"/>
      <c r="AN3314" s="156"/>
      <c r="AO3314" s="153"/>
      <c r="AP3314" s="153"/>
      <c r="AQ3314" s="156"/>
      <c r="AR3314" s="156"/>
      <c r="AS3314" s="153"/>
      <c r="AT3314" s="156"/>
      <c r="AU3314" s="156"/>
      <c r="AV3314" s="156"/>
      <c r="AW3314" s="432"/>
      <c r="AX3314" s="156"/>
    </row>
    <row r="3315">
      <c r="A3315" s="41">
        <v>3315.0</v>
      </c>
      <c r="B3315" s="126"/>
      <c r="C3315" s="59"/>
      <c r="D3315" s="59"/>
      <c r="F3315" s="65"/>
      <c r="G3315" s="156"/>
      <c r="H3315" s="156"/>
      <c r="I3315" s="1284"/>
      <c r="J3315" s="149"/>
      <c r="K3315" s="65"/>
      <c r="L3315" s="65"/>
      <c r="M3315" s="156"/>
      <c r="N3315" s="156"/>
      <c r="O3315" s="65"/>
      <c r="P3315" s="379"/>
      <c r="Q3315" s="2312"/>
      <c r="R3315" s="156"/>
      <c r="S3315" s="156"/>
      <c r="T3315" s="65"/>
      <c r="U3315" s="65"/>
      <c r="V3315" s="379"/>
      <c r="W3315" s="1225"/>
      <c r="X3315" s="2313"/>
      <c r="Y3315" s="156"/>
      <c r="Z3315" s="156"/>
      <c r="AA3315" s="156"/>
      <c r="AB3315" s="156"/>
      <c r="AC3315" s="156"/>
      <c r="AD3315" s="65"/>
      <c r="AE3315" s="65"/>
      <c r="AF3315" s="153"/>
      <c r="AG3315" s="153"/>
      <c r="AH3315" s="156"/>
      <c r="AI3315" s="156"/>
      <c r="AJ3315" s="333"/>
      <c r="AK3315" s="156"/>
      <c r="AL3315" s="156"/>
      <c r="AM3315" s="156"/>
      <c r="AN3315" s="156"/>
      <c r="AO3315" s="153"/>
      <c r="AP3315" s="153"/>
      <c r="AQ3315" s="156"/>
      <c r="AR3315" s="156"/>
      <c r="AS3315" s="153"/>
      <c r="AT3315" s="156"/>
      <c r="AU3315" s="156"/>
      <c r="AV3315" s="156"/>
      <c r="AW3315" s="432"/>
      <c r="AX3315" s="156"/>
    </row>
    <row r="3316">
      <c r="A3316" s="41">
        <v>3316.0</v>
      </c>
      <c r="B3316" s="126"/>
      <c r="C3316" s="59"/>
      <c r="D3316" s="59"/>
      <c r="F3316" s="65"/>
      <c r="G3316" s="156"/>
      <c r="H3316" s="156"/>
      <c r="I3316" s="1284"/>
      <c r="J3316" s="149"/>
      <c r="K3316" s="65"/>
      <c r="L3316" s="65"/>
      <c r="M3316" s="156"/>
      <c r="N3316" s="156"/>
      <c r="O3316" s="65"/>
      <c r="P3316" s="379"/>
      <c r="Q3316" s="2312"/>
      <c r="R3316" s="156"/>
      <c r="S3316" s="156"/>
      <c r="T3316" s="65"/>
      <c r="U3316" s="65"/>
      <c r="V3316" s="379"/>
      <c r="W3316" s="1225"/>
      <c r="X3316" s="2313"/>
      <c r="Y3316" s="156"/>
      <c r="Z3316" s="156"/>
      <c r="AA3316" s="156"/>
      <c r="AB3316" s="156"/>
      <c r="AC3316" s="156"/>
      <c r="AD3316" s="65"/>
      <c r="AE3316" s="65"/>
      <c r="AF3316" s="153"/>
      <c r="AG3316" s="153"/>
      <c r="AH3316" s="156"/>
      <c r="AI3316" s="156"/>
      <c r="AJ3316" s="333"/>
      <c r="AK3316" s="156"/>
      <c r="AL3316" s="156"/>
      <c r="AM3316" s="156"/>
      <c r="AN3316" s="156"/>
      <c r="AO3316" s="153"/>
      <c r="AP3316" s="153"/>
      <c r="AQ3316" s="156"/>
      <c r="AR3316" s="156"/>
      <c r="AS3316" s="153"/>
      <c r="AT3316" s="156"/>
      <c r="AU3316" s="156"/>
      <c r="AV3316" s="156"/>
      <c r="AW3316" s="432"/>
      <c r="AX3316" s="156"/>
    </row>
    <row r="3317">
      <c r="A3317" s="41">
        <v>3317.0</v>
      </c>
      <c r="B3317" s="126"/>
      <c r="C3317" s="59"/>
      <c r="D3317" s="59"/>
      <c r="F3317" s="65"/>
      <c r="G3317" s="156"/>
      <c r="H3317" s="156"/>
      <c r="I3317" s="1284"/>
      <c r="J3317" s="149"/>
      <c r="K3317" s="65"/>
      <c r="L3317" s="65"/>
      <c r="M3317" s="156"/>
      <c r="N3317" s="156"/>
      <c r="O3317" s="65"/>
      <c r="P3317" s="379"/>
      <c r="Q3317" s="2312"/>
      <c r="R3317" s="156"/>
      <c r="S3317" s="156"/>
      <c r="T3317" s="65"/>
      <c r="U3317" s="65"/>
      <c r="V3317" s="379"/>
      <c r="W3317" s="1225"/>
      <c r="X3317" s="2313"/>
      <c r="Y3317" s="156"/>
      <c r="Z3317" s="156"/>
      <c r="AA3317" s="156"/>
      <c r="AB3317" s="156"/>
      <c r="AC3317" s="156"/>
      <c r="AD3317" s="65"/>
      <c r="AE3317" s="65"/>
      <c r="AF3317" s="153"/>
      <c r="AG3317" s="153"/>
      <c r="AH3317" s="156"/>
      <c r="AI3317" s="156"/>
      <c r="AJ3317" s="333"/>
      <c r="AK3317" s="156"/>
      <c r="AL3317" s="156"/>
      <c r="AM3317" s="156"/>
      <c r="AN3317" s="156"/>
      <c r="AO3317" s="153"/>
      <c r="AP3317" s="153"/>
      <c r="AQ3317" s="156"/>
      <c r="AR3317" s="156"/>
      <c r="AS3317" s="153"/>
      <c r="AT3317" s="156"/>
      <c r="AU3317" s="156"/>
      <c r="AV3317" s="156"/>
      <c r="AW3317" s="432"/>
      <c r="AX3317" s="156"/>
    </row>
    <row r="3318">
      <c r="A3318" s="41">
        <v>3318.0</v>
      </c>
      <c r="B3318" s="126"/>
      <c r="C3318" s="59"/>
      <c r="D3318" s="59"/>
      <c r="F3318" s="65"/>
      <c r="G3318" s="156"/>
      <c r="H3318" s="156"/>
      <c r="I3318" s="1284"/>
      <c r="J3318" s="149"/>
      <c r="K3318" s="65"/>
      <c r="L3318" s="65"/>
      <c r="M3318" s="156"/>
      <c r="N3318" s="156"/>
      <c r="O3318" s="65"/>
      <c r="P3318" s="379"/>
      <c r="Q3318" s="2312"/>
      <c r="R3318" s="156"/>
      <c r="S3318" s="156"/>
      <c r="T3318" s="65"/>
      <c r="U3318" s="65"/>
      <c r="V3318" s="379"/>
      <c r="W3318" s="1225"/>
      <c r="X3318" s="2313"/>
      <c r="Y3318" s="156"/>
      <c r="Z3318" s="156"/>
      <c r="AA3318" s="156"/>
      <c r="AB3318" s="156"/>
      <c r="AC3318" s="156"/>
      <c r="AD3318" s="65"/>
      <c r="AE3318" s="65"/>
      <c r="AF3318" s="153"/>
      <c r="AG3318" s="153"/>
      <c r="AH3318" s="156"/>
      <c r="AI3318" s="156"/>
      <c r="AJ3318" s="333"/>
      <c r="AK3318" s="156"/>
      <c r="AL3318" s="156"/>
      <c r="AM3318" s="156"/>
      <c r="AN3318" s="156"/>
      <c r="AO3318" s="153"/>
      <c r="AP3318" s="153"/>
      <c r="AQ3318" s="156"/>
      <c r="AR3318" s="156"/>
      <c r="AS3318" s="153"/>
      <c r="AT3318" s="156"/>
      <c r="AU3318" s="156"/>
      <c r="AV3318" s="156"/>
      <c r="AW3318" s="432"/>
      <c r="AX3318" s="156"/>
    </row>
    <row r="3319">
      <c r="A3319" s="41">
        <v>3319.0</v>
      </c>
      <c r="B3319" s="126"/>
      <c r="C3319" s="59"/>
      <c r="D3319" s="59"/>
      <c r="F3319" s="65"/>
      <c r="G3319" s="156"/>
      <c r="H3319" s="156"/>
      <c r="I3319" s="1284"/>
      <c r="J3319" s="149"/>
      <c r="K3319" s="65"/>
      <c r="L3319" s="65"/>
      <c r="M3319" s="156"/>
      <c r="N3319" s="156"/>
      <c r="O3319" s="65"/>
      <c r="P3319" s="379"/>
      <c r="Q3319" s="2312"/>
      <c r="R3319" s="156"/>
      <c r="S3319" s="156"/>
      <c r="T3319" s="65"/>
      <c r="U3319" s="65"/>
      <c r="V3319" s="379"/>
      <c r="W3319" s="1225"/>
      <c r="X3319" s="2313"/>
      <c r="Y3319" s="156"/>
      <c r="Z3319" s="156"/>
      <c r="AA3319" s="156"/>
      <c r="AB3319" s="156"/>
      <c r="AC3319" s="156"/>
      <c r="AD3319" s="65"/>
      <c r="AE3319" s="65"/>
      <c r="AF3319" s="153"/>
      <c r="AG3319" s="153"/>
      <c r="AH3319" s="156"/>
      <c r="AI3319" s="156"/>
      <c r="AJ3319" s="333"/>
      <c r="AK3319" s="156"/>
      <c r="AL3319" s="156"/>
      <c r="AM3319" s="156"/>
      <c r="AN3319" s="156"/>
      <c r="AO3319" s="153"/>
      <c r="AP3319" s="153"/>
      <c r="AQ3319" s="156"/>
      <c r="AR3319" s="156"/>
      <c r="AS3319" s="153"/>
      <c r="AT3319" s="156"/>
      <c r="AU3319" s="156"/>
      <c r="AV3319" s="156"/>
      <c r="AW3319" s="432"/>
      <c r="AX3319" s="156"/>
    </row>
    <row r="3320">
      <c r="A3320" s="41">
        <v>3320.0</v>
      </c>
      <c r="B3320" s="126"/>
      <c r="C3320" s="59"/>
      <c r="D3320" s="59"/>
      <c r="F3320" s="65"/>
      <c r="G3320" s="156"/>
      <c r="H3320" s="156"/>
      <c r="I3320" s="1284"/>
      <c r="J3320" s="149"/>
      <c r="K3320" s="65"/>
      <c r="L3320" s="65"/>
      <c r="M3320" s="156"/>
      <c r="N3320" s="156"/>
      <c r="O3320" s="65"/>
      <c r="P3320" s="379"/>
      <c r="Q3320" s="2312"/>
      <c r="R3320" s="156"/>
      <c r="S3320" s="156"/>
      <c r="T3320" s="65"/>
      <c r="U3320" s="65"/>
      <c r="V3320" s="379"/>
      <c r="W3320" s="1225"/>
      <c r="X3320" s="2313"/>
      <c r="Y3320" s="156"/>
      <c r="Z3320" s="156"/>
      <c r="AA3320" s="156"/>
      <c r="AB3320" s="156"/>
      <c r="AC3320" s="156"/>
      <c r="AD3320" s="65"/>
      <c r="AE3320" s="65"/>
      <c r="AF3320" s="153"/>
      <c r="AG3320" s="153"/>
      <c r="AH3320" s="156"/>
      <c r="AI3320" s="156"/>
      <c r="AJ3320" s="333"/>
      <c r="AK3320" s="156"/>
      <c r="AL3320" s="156"/>
      <c r="AM3320" s="156"/>
      <c r="AN3320" s="156"/>
      <c r="AO3320" s="153"/>
      <c r="AP3320" s="153"/>
      <c r="AQ3320" s="156"/>
      <c r="AR3320" s="156"/>
      <c r="AS3320" s="153"/>
      <c r="AT3320" s="156"/>
      <c r="AU3320" s="156"/>
      <c r="AV3320" s="156"/>
      <c r="AW3320" s="432"/>
      <c r="AX3320" s="156"/>
    </row>
    <row r="3321">
      <c r="A3321" s="41">
        <v>3321.0</v>
      </c>
      <c r="B3321" s="126"/>
      <c r="C3321" s="59"/>
      <c r="D3321" s="59"/>
      <c r="F3321" s="65"/>
      <c r="G3321" s="156"/>
      <c r="H3321" s="156"/>
      <c r="I3321" s="1284"/>
      <c r="J3321" s="149"/>
      <c r="K3321" s="65"/>
      <c r="L3321" s="65"/>
      <c r="M3321" s="156"/>
      <c r="N3321" s="156"/>
      <c r="O3321" s="65"/>
      <c r="P3321" s="379"/>
      <c r="Q3321" s="2312"/>
      <c r="R3321" s="156"/>
      <c r="S3321" s="156"/>
      <c r="T3321" s="65"/>
      <c r="U3321" s="65"/>
      <c r="V3321" s="379"/>
      <c r="W3321" s="1225"/>
      <c r="X3321" s="2313"/>
      <c r="Y3321" s="156"/>
      <c r="Z3321" s="156"/>
      <c r="AA3321" s="156"/>
      <c r="AB3321" s="156"/>
      <c r="AC3321" s="156"/>
      <c r="AD3321" s="65"/>
      <c r="AE3321" s="65"/>
      <c r="AF3321" s="153"/>
      <c r="AG3321" s="153"/>
      <c r="AH3321" s="156"/>
      <c r="AI3321" s="156"/>
      <c r="AJ3321" s="333"/>
      <c r="AK3321" s="156"/>
      <c r="AL3321" s="156"/>
      <c r="AM3321" s="156"/>
      <c r="AN3321" s="156"/>
      <c r="AO3321" s="153"/>
      <c r="AP3321" s="153"/>
      <c r="AQ3321" s="156"/>
      <c r="AR3321" s="156"/>
      <c r="AS3321" s="153"/>
      <c r="AT3321" s="156"/>
      <c r="AU3321" s="156"/>
      <c r="AV3321" s="156"/>
      <c r="AW3321" s="432"/>
      <c r="AX3321" s="156"/>
    </row>
    <row r="3322">
      <c r="A3322" s="41">
        <v>3322.0</v>
      </c>
      <c r="B3322" s="126"/>
      <c r="C3322" s="59"/>
      <c r="D3322" s="59"/>
      <c r="F3322" s="65"/>
      <c r="G3322" s="156"/>
      <c r="H3322" s="156"/>
      <c r="I3322" s="1284"/>
      <c r="J3322" s="149"/>
      <c r="K3322" s="65"/>
      <c r="L3322" s="65"/>
      <c r="M3322" s="156"/>
      <c r="N3322" s="156"/>
      <c r="O3322" s="65"/>
      <c r="P3322" s="379"/>
      <c r="Q3322" s="2312"/>
      <c r="R3322" s="156"/>
      <c r="S3322" s="156"/>
      <c r="T3322" s="65"/>
      <c r="U3322" s="65"/>
      <c r="V3322" s="379"/>
      <c r="W3322" s="1225"/>
      <c r="X3322" s="2313"/>
      <c r="Y3322" s="156"/>
      <c r="Z3322" s="156"/>
      <c r="AA3322" s="156"/>
      <c r="AB3322" s="156"/>
      <c r="AC3322" s="156"/>
      <c r="AD3322" s="65"/>
      <c r="AE3322" s="65"/>
      <c r="AF3322" s="153"/>
      <c r="AG3322" s="153"/>
      <c r="AH3322" s="156"/>
      <c r="AI3322" s="156"/>
      <c r="AJ3322" s="333"/>
      <c r="AK3322" s="156"/>
      <c r="AL3322" s="156"/>
      <c r="AM3322" s="156"/>
      <c r="AN3322" s="156"/>
      <c r="AO3322" s="153"/>
      <c r="AP3322" s="153"/>
      <c r="AQ3322" s="156"/>
      <c r="AR3322" s="156"/>
      <c r="AS3322" s="153"/>
      <c r="AT3322" s="156"/>
      <c r="AU3322" s="156"/>
      <c r="AV3322" s="156"/>
      <c r="AW3322" s="432"/>
      <c r="AX3322" s="156"/>
    </row>
    <row r="3323">
      <c r="A3323" s="41">
        <v>3323.0</v>
      </c>
      <c r="B3323" s="126"/>
      <c r="C3323" s="59"/>
      <c r="D3323" s="59"/>
      <c r="F3323" s="65"/>
      <c r="G3323" s="156"/>
      <c r="H3323" s="156"/>
      <c r="I3323" s="1284"/>
      <c r="J3323" s="149"/>
      <c r="K3323" s="65"/>
      <c r="L3323" s="65"/>
      <c r="M3323" s="156"/>
      <c r="N3323" s="156"/>
      <c r="O3323" s="65"/>
      <c r="P3323" s="379"/>
      <c r="Q3323" s="2312"/>
      <c r="R3323" s="156"/>
      <c r="S3323" s="156"/>
      <c r="T3323" s="65"/>
      <c r="U3323" s="65"/>
      <c r="V3323" s="379"/>
      <c r="W3323" s="1225"/>
      <c r="X3323" s="2313"/>
      <c r="Y3323" s="156"/>
      <c r="Z3323" s="156"/>
      <c r="AA3323" s="156"/>
      <c r="AB3323" s="156"/>
      <c r="AC3323" s="156"/>
      <c r="AD3323" s="65"/>
      <c r="AE3323" s="65"/>
      <c r="AF3323" s="153"/>
      <c r="AG3323" s="153"/>
      <c r="AH3323" s="156"/>
      <c r="AI3323" s="156"/>
      <c r="AJ3323" s="333"/>
      <c r="AK3323" s="156"/>
      <c r="AL3323" s="156"/>
      <c r="AM3323" s="156"/>
      <c r="AN3323" s="156"/>
      <c r="AO3323" s="153"/>
      <c r="AP3323" s="153"/>
      <c r="AQ3323" s="156"/>
      <c r="AR3323" s="156"/>
      <c r="AS3323" s="153"/>
      <c r="AT3323" s="156"/>
      <c r="AU3323" s="156"/>
      <c r="AV3323" s="156"/>
      <c r="AW3323" s="432"/>
      <c r="AX3323" s="156"/>
    </row>
    <row r="3324">
      <c r="A3324" s="41">
        <v>3324.0</v>
      </c>
      <c r="B3324" s="126"/>
      <c r="C3324" s="59"/>
      <c r="D3324" s="59"/>
      <c r="F3324" s="65"/>
      <c r="G3324" s="156"/>
      <c r="H3324" s="156"/>
      <c r="I3324" s="1284"/>
      <c r="J3324" s="149"/>
      <c r="K3324" s="65"/>
      <c r="L3324" s="65"/>
      <c r="M3324" s="156"/>
      <c r="N3324" s="156"/>
      <c r="O3324" s="65"/>
      <c r="P3324" s="379"/>
      <c r="Q3324" s="2312"/>
      <c r="R3324" s="156"/>
      <c r="S3324" s="156"/>
      <c r="T3324" s="65"/>
      <c r="U3324" s="65"/>
      <c r="V3324" s="379"/>
      <c r="W3324" s="1225"/>
      <c r="X3324" s="2313"/>
      <c r="Y3324" s="156"/>
      <c r="Z3324" s="156"/>
      <c r="AA3324" s="156"/>
      <c r="AB3324" s="156"/>
      <c r="AC3324" s="156"/>
      <c r="AD3324" s="65"/>
      <c r="AE3324" s="65"/>
      <c r="AF3324" s="153"/>
      <c r="AG3324" s="153"/>
      <c r="AH3324" s="156"/>
      <c r="AI3324" s="156"/>
      <c r="AJ3324" s="333"/>
      <c r="AK3324" s="156"/>
      <c r="AL3324" s="156"/>
      <c r="AM3324" s="156"/>
      <c r="AN3324" s="156"/>
      <c r="AO3324" s="153"/>
      <c r="AP3324" s="153"/>
      <c r="AQ3324" s="156"/>
      <c r="AR3324" s="156"/>
      <c r="AS3324" s="153"/>
      <c r="AT3324" s="156"/>
      <c r="AU3324" s="156"/>
      <c r="AV3324" s="156"/>
      <c r="AW3324" s="432"/>
      <c r="AX3324" s="156"/>
    </row>
    <row r="3325">
      <c r="A3325" s="41">
        <v>3325.0</v>
      </c>
      <c r="B3325" s="126"/>
      <c r="C3325" s="59"/>
      <c r="D3325" s="59"/>
      <c r="F3325" s="65"/>
      <c r="G3325" s="156"/>
      <c r="H3325" s="156"/>
      <c r="I3325" s="1284"/>
      <c r="J3325" s="149"/>
      <c r="K3325" s="65"/>
      <c r="L3325" s="65"/>
      <c r="M3325" s="156"/>
      <c r="N3325" s="156"/>
      <c r="O3325" s="65"/>
      <c r="P3325" s="379"/>
      <c r="Q3325" s="2312"/>
      <c r="R3325" s="156"/>
      <c r="S3325" s="156"/>
      <c r="T3325" s="65"/>
      <c r="U3325" s="65"/>
      <c r="V3325" s="379"/>
      <c r="W3325" s="1225"/>
      <c r="X3325" s="2313"/>
      <c r="Y3325" s="156"/>
      <c r="Z3325" s="156"/>
      <c r="AA3325" s="156"/>
      <c r="AB3325" s="156"/>
      <c r="AC3325" s="156"/>
      <c r="AD3325" s="65"/>
      <c r="AE3325" s="65"/>
      <c r="AF3325" s="153"/>
      <c r="AG3325" s="153"/>
      <c r="AH3325" s="156"/>
      <c r="AI3325" s="156"/>
      <c r="AJ3325" s="333"/>
      <c r="AK3325" s="156"/>
      <c r="AL3325" s="156"/>
      <c r="AM3325" s="156"/>
      <c r="AN3325" s="156"/>
      <c r="AO3325" s="153"/>
      <c r="AP3325" s="153"/>
      <c r="AQ3325" s="156"/>
      <c r="AR3325" s="156"/>
      <c r="AS3325" s="153"/>
      <c r="AT3325" s="156"/>
      <c r="AU3325" s="156"/>
      <c r="AV3325" s="156"/>
      <c r="AW3325" s="432"/>
      <c r="AX3325" s="156"/>
    </row>
    <row r="3326">
      <c r="A3326" s="41">
        <v>3326.0</v>
      </c>
      <c r="B3326" s="126"/>
      <c r="C3326" s="59"/>
      <c r="D3326" s="59"/>
      <c r="F3326" s="65"/>
      <c r="G3326" s="156"/>
      <c r="H3326" s="156"/>
      <c r="I3326" s="1284"/>
      <c r="J3326" s="149"/>
      <c r="K3326" s="65"/>
      <c r="L3326" s="65"/>
      <c r="M3326" s="156"/>
      <c r="N3326" s="156"/>
      <c r="O3326" s="65"/>
      <c r="P3326" s="379"/>
      <c r="Q3326" s="2312"/>
      <c r="R3326" s="156"/>
      <c r="S3326" s="156"/>
      <c r="T3326" s="65"/>
      <c r="U3326" s="65"/>
      <c r="V3326" s="379"/>
      <c r="W3326" s="1225"/>
      <c r="X3326" s="2313"/>
      <c r="Y3326" s="156"/>
      <c r="Z3326" s="156"/>
      <c r="AA3326" s="156"/>
      <c r="AB3326" s="156"/>
      <c r="AC3326" s="156"/>
      <c r="AD3326" s="65"/>
      <c r="AE3326" s="65"/>
      <c r="AF3326" s="153"/>
      <c r="AG3326" s="153"/>
      <c r="AH3326" s="156"/>
      <c r="AI3326" s="156"/>
      <c r="AJ3326" s="333"/>
      <c r="AK3326" s="156"/>
      <c r="AL3326" s="156"/>
      <c r="AM3326" s="156"/>
      <c r="AN3326" s="156"/>
      <c r="AO3326" s="153"/>
      <c r="AP3326" s="153"/>
      <c r="AQ3326" s="156"/>
      <c r="AR3326" s="156"/>
      <c r="AS3326" s="153"/>
      <c r="AT3326" s="156"/>
      <c r="AU3326" s="156"/>
      <c r="AV3326" s="156"/>
      <c r="AW3326" s="432"/>
      <c r="AX3326" s="156"/>
    </row>
    <row r="3327">
      <c r="A3327" s="41">
        <v>3327.0</v>
      </c>
      <c r="B3327" s="126"/>
      <c r="C3327" s="59"/>
      <c r="D3327" s="59"/>
      <c r="F3327" s="65"/>
      <c r="G3327" s="156"/>
      <c r="H3327" s="156"/>
      <c r="I3327" s="1284"/>
      <c r="J3327" s="149"/>
      <c r="K3327" s="65"/>
      <c r="L3327" s="65"/>
      <c r="M3327" s="156"/>
      <c r="N3327" s="156"/>
      <c r="O3327" s="65"/>
      <c r="P3327" s="379"/>
      <c r="Q3327" s="2312"/>
      <c r="R3327" s="156"/>
      <c r="S3327" s="156"/>
      <c r="T3327" s="65"/>
      <c r="U3327" s="65"/>
      <c r="V3327" s="379"/>
      <c r="W3327" s="1225"/>
      <c r="X3327" s="2313"/>
      <c r="Y3327" s="156"/>
      <c r="Z3327" s="156"/>
      <c r="AA3327" s="156"/>
      <c r="AB3327" s="156"/>
      <c r="AC3327" s="156"/>
      <c r="AD3327" s="65"/>
      <c r="AE3327" s="65"/>
      <c r="AF3327" s="153"/>
      <c r="AG3327" s="153"/>
      <c r="AH3327" s="156"/>
      <c r="AI3327" s="156"/>
      <c r="AJ3327" s="333"/>
      <c r="AK3327" s="156"/>
      <c r="AL3327" s="156"/>
      <c r="AM3327" s="156"/>
      <c r="AN3327" s="156"/>
      <c r="AO3327" s="153"/>
      <c r="AP3327" s="153"/>
      <c r="AQ3327" s="156"/>
      <c r="AR3327" s="156"/>
      <c r="AS3327" s="153"/>
      <c r="AT3327" s="156"/>
      <c r="AU3327" s="156"/>
      <c r="AV3327" s="156"/>
      <c r="AW3327" s="432"/>
      <c r="AX3327" s="156"/>
    </row>
    <row r="3328">
      <c r="A3328" s="41">
        <v>3328.0</v>
      </c>
      <c r="B3328" s="126"/>
      <c r="C3328" s="59"/>
      <c r="D3328" s="59"/>
      <c r="F3328" s="65"/>
      <c r="G3328" s="156"/>
      <c r="H3328" s="156"/>
      <c r="I3328" s="1284"/>
      <c r="J3328" s="149"/>
      <c r="K3328" s="65"/>
      <c r="L3328" s="65"/>
      <c r="M3328" s="156"/>
      <c r="N3328" s="156"/>
      <c r="O3328" s="65"/>
      <c r="P3328" s="379"/>
      <c r="Q3328" s="2312"/>
      <c r="R3328" s="156"/>
      <c r="S3328" s="156"/>
      <c r="T3328" s="65"/>
      <c r="U3328" s="65"/>
      <c r="V3328" s="379"/>
      <c r="W3328" s="1225"/>
      <c r="X3328" s="2313"/>
      <c r="Y3328" s="156"/>
      <c r="Z3328" s="156"/>
      <c r="AA3328" s="156"/>
      <c r="AB3328" s="156"/>
      <c r="AC3328" s="156"/>
      <c r="AD3328" s="65"/>
      <c r="AE3328" s="65"/>
      <c r="AF3328" s="153"/>
      <c r="AG3328" s="153"/>
      <c r="AH3328" s="156"/>
      <c r="AI3328" s="156"/>
      <c r="AJ3328" s="333"/>
      <c r="AK3328" s="156"/>
      <c r="AL3328" s="156"/>
      <c r="AM3328" s="156"/>
      <c r="AN3328" s="156"/>
      <c r="AO3328" s="153"/>
      <c r="AP3328" s="153"/>
      <c r="AQ3328" s="156"/>
      <c r="AR3328" s="156"/>
      <c r="AS3328" s="153"/>
      <c r="AT3328" s="156"/>
      <c r="AU3328" s="156"/>
      <c r="AV3328" s="156"/>
      <c r="AW3328" s="432"/>
      <c r="AX3328" s="156"/>
    </row>
    <row r="3329">
      <c r="A3329" s="41">
        <v>3329.0</v>
      </c>
      <c r="B3329" s="126"/>
      <c r="C3329" s="59"/>
      <c r="D3329" s="59"/>
      <c r="F3329" s="65"/>
      <c r="G3329" s="156"/>
      <c r="H3329" s="156"/>
      <c r="I3329" s="1284"/>
      <c r="J3329" s="149"/>
      <c r="K3329" s="65"/>
      <c r="L3329" s="65"/>
      <c r="M3329" s="156"/>
      <c r="N3329" s="156"/>
      <c r="O3329" s="65"/>
      <c r="P3329" s="379"/>
      <c r="Q3329" s="2312"/>
      <c r="R3329" s="156"/>
      <c r="S3329" s="156"/>
      <c r="T3329" s="65"/>
      <c r="U3329" s="65"/>
      <c r="V3329" s="379"/>
      <c r="W3329" s="1225"/>
      <c r="X3329" s="2313"/>
      <c r="Y3329" s="156"/>
      <c r="Z3329" s="156"/>
      <c r="AA3329" s="156"/>
      <c r="AB3329" s="156"/>
      <c r="AC3329" s="156"/>
      <c r="AD3329" s="65"/>
      <c r="AE3329" s="65"/>
      <c r="AF3329" s="153"/>
      <c r="AG3329" s="153"/>
      <c r="AH3329" s="156"/>
      <c r="AI3329" s="156"/>
      <c r="AJ3329" s="333"/>
      <c r="AK3329" s="156"/>
      <c r="AL3329" s="156"/>
      <c r="AM3329" s="156"/>
      <c r="AN3329" s="156"/>
      <c r="AO3329" s="153"/>
      <c r="AP3329" s="153"/>
      <c r="AQ3329" s="156"/>
      <c r="AR3329" s="156"/>
      <c r="AS3329" s="153"/>
      <c r="AT3329" s="156"/>
      <c r="AU3329" s="156"/>
      <c r="AV3329" s="156"/>
      <c r="AW3329" s="432"/>
      <c r="AX3329" s="156"/>
    </row>
    <row r="3330">
      <c r="A3330" s="41">
        <v>3330.0</v>
      </c>
      <c r="B3330" s="126"/>
      <c r="C3330" s="59"/>
      <c r="D3330" s="59"/>
      <c r="F3330" s="65"/>
      <c r="G3330" s="156"/>
      <c r="H3330" s="156"/>
      <c r="I3330" s="1284"/>
      <c r="J3330" s="149"/>
      <c r="K3330" s="65"/>
      <c r="L3330" s="65"/>
      <c r="M3330" s="156"/>
      <c r="N3330" s="156"/>
      <c r="O3330" s="65"/>
      <c r="P3330" s="379"/>
      <c r="Q3330" s="2312"/>
      <c r="R3330" s="156"/>
      <c r="S3330" s="156"/>
      <c r="T3330" s="65"/>
      <c r="U3330" s="65"/>
      <c r="V3330" s="379"/>
      <c r="W3330" s="1225"/>
      <c r="X3330" s="2313"/>
      <c r="Y3330" s="156"/>
      <c r="Z3330" s="156"/>
      <c r="AA3330" s="156"/>
      <c r="AB3330" s="156"/>
      <c r="AC3330" s="156"/>
      <c r="AD3330" s="65"/>
      <c r="AE3330" s="65"/>
      <c r="AF3330" s="153"/>
      <c r="AG3330" s="153"/>
      <c r="AH3330" s="156"/>
      <c r="AI3330" s="156"/>
      <c r="AJ3330" s="333"/>
      <c r="AK3330" s="156"/>
      <c r="AL3330" s="156"/>
      <c r="AM3330" s="156"/>
      <c r="AN3330" s="156"/>
      <c r="AO3330" s="153"/>
      <c r="AP3330" s="153"/>
      <c r="AQ3330" s="156"/>
      <c r="AR3330" s="156"/>
      <c r="AS3330" s="153"/>
      <c r="AT3330" s="156"/>
      <c r="AU3330" s="156"/>
      <c r="AV3330" s="156"/>
      <c r="AW3330" s="432"/>
      <c r="AX3330" s="156"/>
    </row>
    <row r="3331">
      <c r="A3331" s="41">
        <v>3331.0</v>
      </c>
      <c r="B3331" s="126"/>
      <c r="C3331" s="59"/>
      <c r="D3331" s="59"/>
      <c r="F3331" s="65"/>
      <c r="G3331" s="156"/>
      <c r="H3331" s="156"/>
      <c r="I3331" s="1284"/>
      <c r="J3331" s="149"/>
      <c r="K3331" s="65"/>
      <c r="L3331" s="65"/>
      <c r="M3331" s="156"/>
      <c r="N3331" s="156"/>
      <c r="O3331" s="65"/>
      <c r="P3331" s="379"/>
      <c r="Q3331" s="2312"/>
      <c r="R3331" s="156"/>
      <c r="S3331" s="156"/>
      <c r="T3331" s="65"/>
      <c r="U3331" s="65"/>
      <c r="V3331" s="379"/>
      <c r="W3331" s="1225"/>
      <c r="X3331" s="2313"/>
      <c r="Y3331" s="156"/>
      <c r="Z3331" s="156"/>
      <c r="AA3331" s="156"/>
      <c r="AB3331" s="156"/>
      <c r="AC3331" s="156"/>
      <c r="AD3331" s="65"/>
      <c r="AE3331" s="65"/>
      <c r="AF3331" s="153"/>
      <c r="AG3331" s="153"/>
      <c r="AH3331" s="156"/>
      <c r="AI3331" s="156"/>
      <c r="AJ3331" s="333"/>
      <c r="AK3331" s="156"/>
      <c r="AL3331" s="156"/>
      <c r="AM3331" s="156"/>
      <c r="AN3331" s="156"/>
      <c r="AO3331" s="153"/>
      <c r="AP3331" s="153"/>
      <c r="AQ3331" s="156"/>
      <c r="AR3331" s="156"/>
      <c r="AS3331" s="153"/>
      <c r="AT3331" s="156"/>
      <c r="AU3331" s="156"/>
      <c r="AV3331" s="156"/>
      <c r="AW3331" s="432"/>
      <c r="AX3331" s="156"/>
    </row>
    <row r="3332">
      <c r="A3332" s="41">
        <v>3332.0</v>
      </c>
      <c r="B3332" s="126"/>
      <c r="C3332" s="59"/>
      <c r="D3332" s="59"/>
      <c r="F3332" s="65"/>
      <c r="G3332" s="156"/>
      <c r="H3332" s="156"/>
      <c r="I3332" s="1284"/>
      <c r="J3332" s="149"/>
      <c r="K3332" s="65"/>
      <c r="L3332" s="65"/>
      <c r="M3332" s="156"/>
      <c r="N3332" s="156"/>
      <c r="O3332" s="65"/>
      <c r="P3332" s="379"/>
      <c r="Q3332" s="2312"/>
      <c r="R3332" s="156"/>
      <c r="S3332" s="156"/>
      <c r="T3332" s="65"/>
      <c r="U3332" s="65"/>
      <c r="V3332" s="379"/>
      <c r="W3332" s="1225"/>
      <c r="X3332" s="2313"/>
      <c r="Y3332" s="156"/>
      <c r="Z3332" s="156"/>
      <c r="AA3332" s="156"/>
      <c r="AB3332" s="156"/>
      <c r="AC3332" s="156"/>
      <c r="AD3332" s="65"/>
      <c r="AE3332" s="65"/>
      <c r="AF3332" s="153"/>
      <c r="AG3332" s="153"/>
      <c r="AH3332" s="156"/>
      <c r="AI3332" s="156"/>
      <c r="AJ3332" s="333"/>
      <c r="AK3332" s="156"/>
      <c r="AL3332" s="156"/>
      <c r="AM3332" s="156"/>
      <c r="AN3332" s="156"/>
      <c r="AO3332" s="153"/>
      <c r="AP3332" s="153"/>
      <c r="AQ3332" s="156"/>
      <c r="AR3332" s="156"/>
      <c r="AS3332" s="153"/>
      <c r="AT3332" s="156"/>
      <c r="AU3332" s="156"/>
      <c r="AV3332" s="156"/>
      <c r="AW3332" s="432"/>
      <c r="AX3332" s="156"/>
    </row>
    <row r="3333">
      <c r="A3333" s="41">
        <v>3333.0</v>
      </c>
      <c r="B3333" s="126"/>
      <c r="C3333" s="59"/>
      <c r="D3333" s="59"/>
      <c r="F3333" s="65"/>
      <c r="G3333" s="156"/>
      <c r="H3333" s="156"/>
      <c r="I3333" s="1284"/>
      <c r="J3333" s="149"/>
      <c r="K3333" s="65"/>
      <c r="L3333" s="65"/>
      <c r="M3333" s="156"/>
      <c r="N3333" s="156"/>
      <c r="O3333" s="65"/>
      <c r="P3333" s="379"/>
      <c r="Q3333" s="2312"/>
      <c r="R3333" s="156"/>
      <c r="S3333" s="156"/>
      <c r="T3333" s="65"/>
      <c r="U3333" s="65"/>
      <c r="V3333" s="379"/>
      <c r="W3333" s="1225"/>
      <c r="X3333" s="2313"/>
      <c r="Y3333" s="156"/>
      <c r="Z3333" s="156"/>
      <c r="AA3333" s="156"/>
      <c r="AB3333" s="156"/>
      <c r="AC3333" s="156"/>
      <c r="AD3333" s="65"/>
      <c r="AE3333" s="65"/>
      <c r="AF3333" s="153"/>
      <c r="AG3333" s="153"/>
      <c r="AH3333" s="156"/>
      <c r="AI3333" s="156"/>
      <c r="AJ3333" s="333"/>
      <c r="AK3333" s="156"/>
      <c r="AL3333" s="156"/>
      <c r="AM3333" s="156"/>
      <c r="AN3333" s="156"/>
      <c r="AO3333" s="153"/>
      <c r="AP3333" s="153"/>
      <c r="AQ3333" s="156"/>
      <c r="AR3333" s="156"/>
      <c r="AS3333" s="153"/>
      <c r="AT3333" s="156"/>
      <c r="AU3333" s="156"/>
      <c r="AV3333" s="156"/>
      <c r="AW3333" s="432"/>
      <c r="AX3333" s="156"/>
    </row>
    <row r="3334">
      <c r="A3334" s="41">
        <v>3334.0</v>
      </c>
      <c r="B3334" s="126"/>
      <c r="C3334" s="59"/>
      <c r="D3334" s="59"/>
      <c r="F3334" s="65"/>
      <c r="G3334" s="156"/>
      <c r="H3334" s="156"/>
      <c r="I3334" s="1284"/>
      <c r="J3334" s="149"/>
      <c r="K3334" s="65"/>
      <c r="L3334" s="65"/>
      <c r="M3334" s="156"/>
      <c r="N3334" s="156"/>
      <c r="O3334" s="65"/>
      <c r="P3334" s="379"/>
      <c r="Q3334" s="2312"/>
      <c r="R3334" s="156"/>
      <c r="S3334" s="156"/>
      <c r="T3334" s="65"/>
      <c r="U3334" s="65"/>
      <c r="V3334" s="379"/>
      <c r="W3334" s="1225"/>
      <c r="X3334" s="2313"/>
      <c r="Y3334" s="156"/>
      <c r="Z3334" s="156"/>
      <c r="AA3334" s="156"/>
      <c r="AB3334" s="156"/>
      <c r="AC3334" s="156"/>
      <c r="AD3334" s="65"/>
      <c r="AE3334" s="65"/>
      <c r="AF3334" s="153"/>
      <c r="AG3334" s="153"/>
      <c r="AH3334" s="156"/>
      <c r="AI3334" s="156"/>
      <c r="AJ3334" s="333"/>
      <c r="AK3334" s="156"/>
      <c r="AL3334" s="156"/>
      <c r="AM3334" s="156"/>
      <c r="AN3334" s="156"/>
      <c r="AO3334" s="153"/>
      <c r="AP3334" s="153"/>
      <c r="AQ3334" s="156"/>
      <c r="AR3334" s="156"/>
      <c r="AS3334" s="153"/>
      <c r="AT3334" s="156"/>
      <c r="AU3334" s="156"/>
      <c r="AV3334" s="156"/>
      <c r="AW3334" s="432"/>
      <c r="AX3334" s="156"/>
    </row>
    <row r="3335">
      <c r="A3335" s="41">
        <v>3335.0</v>
      </c>
      <c r="B3335" s="126"/>
      <c r="C3335" s="59"/>
      <c r="D3335" s="59"/>
      <c r="F3335" s="65"/>
      <c r="G3335" s="156"/>
      <c r="H3335" s="156"/>
      <c r="I3335" s="1284"/>
      <c r="J3335" s="149"/>
      <c r="K3335" s="65"/>
      <c r="L3335" s="65"/>
      <c r="M3335" s="156"/>
      <c r="N3335" s="156"/>
      <c r="O3335" s="65"/>
      <c r="P3335" s="379"/>
      <c r="Q3335" s="2312"/>
      <c r="R3335" s="156"/>
      <c r="S3335" s="156"/>
      <c r="T3335" s="65"/>
      <c r="U3335" s="65"/>
      <c r="V3335" s="379"/>
      <c r="W3335" s="1225"/>
      <c r="X3335" s="2313"/>
      <c r="Y3335" s="156"/>
      <c r="Z3335" s="156"/>
      <c r="AA3335" s="156"/>
      <c r="AB3335" s="156"/>
      <c r="AC3335" s="156"/>
      <c r="AD3335" s="65"/>
      <c r="AE3335" s="65"/>
      <c r="AF3335" s="153"/>
      <c r="AG3335" s="153"/>
      <c r="AH3335" s="156"/>
      <c r="AI3335" s="156"/>
      <c r="AJ3335" s="333"/>
      <c r="AK3335" s="156"/>
      <c r="AL3335" s="156"/>
      <c r="AM3335" s="156"/>
      <c r="AN3335" s="156"/>
      <c r="AO3335" s="153"/>
      <c r="AP3335" s="153"/>
      <c r="AQ3335" s="156"/>
      <c r="AR3335" s="156"/>
      <c r="AS3335" s="153"/>
      <c r="AT3335" s="156"/>
      <c r="AU3335" s="156"/>
      <c r="AV3335" s="156"/>
      <c r="AW3335" s="432"/>
      <c r="AX3335" s="156"/>
    </row>
    <row r="3336">
      <c r="A3336" s="41">
        <v>3336.0</v>
      </c>
      <c r="B3336" s="126"/>
      <c r="C3336" s="59"/>
      <c r="D3336" s="59"/>
      <c r="F3336" s="65"/>
      <c r="G3336" s="156"/>
      <c r="H3336" s="156"/>
      <c r="I3336" s="1284"/>
      <c r="J3336" s="149"/>
      <c r="K3336" s="65"/>
      <c r="L3336" s="65"/>
      <c r="M3336" s="156"/>
      <c r="N3336" s="156"/>
      <c r="O3336" s="65"/>
      <c r="P3336" s="379"/>
      <c r="Q3336" s="2312"/>
      <c r="R3336" s="156"/>
      <c r="S3336" s="156"/>
      <c r="T3336" s="65"/>
      <c r="U3336" s="65"/>
      <c r="V3336" s="379"/>
      <c r="W3336" s="1225"/>
      <c r="X3336" s="2313"/>
      <c r="Y3336" s="156"/>
      <c r="Z3336" s="156"/>
      <c r="AA3336" s="156"/>
      <c r="AB3336" s="156"/>
      <c r="AC3336" s="156"/>
      <c r="AD3336" s="65"/>
      <c r="AE3336" s="65"/>
      <c r="AF3336" s="153"/>
      <c r="AG3336" s="153"/>
      <c r="AH3336" s="156"/>
      <c r="AI3336" s="156"/>
      <c r="AJ3336" s="333"/>
      <c r="AK3336" s="156"/>
      <c r="AL3336" s="156"/>
      <c r="AM3336" s="156"/>
      <c r="AN3336" s="156"/>
      <c r="AO3336" s="153"/>
      <c r="AP3336" s="153"/>
      <c r="AQ3336" s="156"/>
      <c r="AR3336" s="156"/>
      <c r="AS3336" s="153"/>
      <c r="AT3336" s="156"/>
      <c r="AU3336" s="156"/>
      <c r="AV3336" s="156"/>
      <c r="AW3336" s="432"/>
      <c r="AX3336" s="156"/>
    </row>
    <row r="3337">
      <c r="A3337" s="41">
        <v>3337.0</v>
      </c>
      <c r="B3337" s="126"/>
      <c r="C3337" s="59"/>
      <c r="D3337" s="59"/>
      <c r="F3337" s="65"/>
      <c r="G3337" s="156"/>
      <c r="H3337" s="156"/>
      <c r="I3337" s="1284"/>
      <c r="J3337" s="149"/>
      <c r="K3337" s="65"/>
      <c r="L3337" s="65"/>
      <c r="M3337" s="156"/>
      <c r="N3337" s="156"/>
      <c r="O3337" s="65"/>
      <c r="P3337" s="379"/>
      <c r="Q3337" s="2312"/>
      <c r="R3337" s="156"/>
      <c r="S3337" s="156"/>
      <c r="T3337" s="65"/>
      <c r="U3337" s="65"/>
      <c r="V3337" s="379"/>
      <c r="W3337" s="1225"/>
      <c r="X3337" s="2313"/>
      <c r="Y3337" s="156"/>
      <c r="Z3337" s="156"/>
      <c r="AA3337" s="156"/>
      <c r="AB3337" s="156"/>
      <c r="AC3337" s="156"/>
      <c r="AD3337" s="65"/>
      <c r="AE3337" s="65"/>
      <c r="AF3337" s="153"/>
      <c r="AG3337" s="153"/>
      <c r="AH3337" s="156"/>
      <c r="AI3337" s="156"/>
      <c r="AJ3337" s="333"/>
      <c r="AK3337" s="156"/>
      <c r="AL3337" s="156"/>
      <c r="AM3337" s="156"/>
      <c r="AN3337" s="156"/>
      <c r="AO3337" s="153"/>
      <c r="AP3337" s="153"/>
      <c r="AQ3337" s="156"/>
      <c r="AR3337" s="156"/>
      <c r="AS3337" s="153"/>
      <c r="AT3337" s="156"/>
      <c r="AU3337" s="156"/>
      <c r="AV3337" s="156"/>
      <c r="AW3337" s="432"/>
      <c r="AX3337" s="156"/>
    </row>
    <row r="3338">
      <c r="A3338" s="41">
        <v>3338.0</v>
      </c>
      <c r="B3338" s="126"/>
      <c r="C3338" s="59"/>
      <c r="D3338" s="59"/>
      <c r="F3338" s="65"/>
      <c r="G3338" s="156"/>
      <c r="H3338" s="156"/>
      <c r="I3338" s="1284"/>
      <c r="J3338" s="149"/>
      <c r="K3338" s="65"/>
      <c r="L3338" s="65"/>
      <c r="M3338" s="156"/>
      <c r="N3338" s="156"/>
      <c r="O3338" s="65"/>
      <c r="P3338" s="379"/>
      <c r="Q3338" s="2312"/>
      <c r="R3338" s="156"/>
      <c r="S3338" s="156"/>
      <c r="T3338" s="65"/>
      <c r="U3338" s="65"/>
      <c r="V3338" s="379"/>
      <c r="W3338" s="1225"/>
      <c r="X3338" s="2313"/>
      <c r="Y3338" s="156"/>
      <c r="Z3338" s="156"/>
      <c r="AA3338" s="156"/>
      <c r="AB3338" s="156"/>
      <c r="AC3338" s="156"/>
      <c r="AD3338" s="65"/>
      <c r="AE3338" s="65"/>
      <c r="AF3338" s="153"/>
      <c r="AG3338" s="153"/>
      <c r="AH3338" s="156"/>
      <c r="AI3338" s="156"/>
      <c r="AJ3338" s="333"/>
      <c r="AK3338" s="156"/>
      <c r="AL3338" s="156"/>
      <c r="AM3338" s="156"/>
      <c r="AN3338" s="156"/>
      <c r="AO3338" s="153"/>
      <c r="AP3338" s="153"/>
      <c r="AQ3338" s="156"/>
      <c r="AR3338" s="156"/>
      <c r="AS3338" s="153"/>
      <c r="AT3338" s="156"/>
      <c r="AU3338" s="156"/>
      <c r="AV3338" s="156"/>
      <c r="AW3338" s="432"/>
      <c r="AX3338" s="156"/>
    </row>
    <row r="3339">
      <c r="A3339" s="41">
        <v>3339.0</v>
      </c>
      <c r="B3339" s="126"/>
      <c r="C3339" s="59"/>
      <c r="D3339" s="59"/>
      <c r="F3339" s="65"/>
      <c r="G3339" s="156"/>
      <c r="H3339" s="156"/>
      <c r="I3339" s="1284"/>
      <c r="J3339" s="149"/>
      <c r="K3339" s="65"/>
      <c r="L3339" s="65"/>
      <c r="M3339" s="156"/>
      <c r="N3339" s="156"/>
      <c r="O3339" s="65"/>
      <c r="P3339" s="379"/>
      <c r="Q3339" s="2312"/>
      <c r="R3339" s="156"/>
      <c r="S3339" s="156"/>
      <c r="T3339" s="65"/>
      <c r="U3339" s="65"/>
      <c r="V3339" s="379"/>
      <c r="W3339" s="1225"/>
      <c r="X3339" s="2313"/>
      <c r="Y3339" s="156"/>
      <c r="Z3339" s="156"/>
      <c r="AA3339" s="156"/>
      <c r="AB3339" s="156"/>
      <c r="AC3339" s="156"/>
      <c r="AD3339" s="65"/>
      <c r="AE3339" s="65"/>
      <c r="AF3339" s="153"/>
      <c r="AG3339" s="153"/>
      <c r="AH3339" s="156"/>
      <c r="AI3339" s="156"/>
      <c r="AJ3339" s="333"/>
      <c r="AK3339" s="156"/>
      <c r="AL3339" s="156"/>
      <c r="AM3339" s="156"/>
      <c r="AN3339" s="156"/>
      <c r="AO3339" s="153"/>
      <c r="AP3339" s="153"/>
      <c r="AQ3339" s="156"/>
      <c r="AR3339" s="156"/>
      <c r="AS3339" s="153"/>
      <c r="AT3339" s="156"/>
      <c r="AU3339" s="156"/>
      <c r="AV3339" s="156"/>
      <c r="AW3339" s="432"/>
      <c r="AX3339" s="156"/>
    </row>
    <row r="3340">
      <c r="A3340" s="41">
        <v>3340.0</v>
      </c>
      <c r="B3340" s="126"/>
      <c r="C3340" s="59"/>
      <c r="D3340" s="59"/>
      <c r="F3340" s="65"/>
      <c r="G3340" s="156"/>
      <c r="H3340" s="156"/>
      <c r="I3340" s="1284"/>
      <c r="J3340" s="149"/>
      <c r="K3340" s="65"/>
      <c r="L3340" s="65"/>
      <c r="M3340" s="156"/>
      <c r="N3340" s="156"/>
      <c r="O3340" s="65"/>
      <c r="P3340" s="379"/>
      <c r="Q3340" s="2312"/>
      <c r="R3340" s="156"/>
      <c r="S3340" s="156"/>
      <c r="T3340" s="65"/>
      <c r="U3340" s="65"/>
      <c r="V3340" s="379"/>
      <c r="W3340" s="1225"/>
      <c r="X3340" s="2313"/>
      <c r="Y3340" s="156"/>
      <c r="Z3340" s="156"/>
      <c r="AA3340" s="156"/>
      <c r="AB3340" s="156"/>
      <c r="AC3340" s="156"/>
      <c r="AD3340" s="65"/>
      <c r="AE3340" s="65"/>
      <c r="AF3340" s="153"/>
      <c r="AG3340" s="153"/>
      <c r="AH3340" s="156"/>
      <c r="AI3340" s="156"/>
      <c r="AJ3340" s="333"/>
      <c r="AK3340" s="156"/>
      <c r="AL3340" s="156"/>
      <c r="AM3340" s="156"/>
      <c r="AN3340" s="156"/>
      <c r="AO3340" s="153"/>
      <c r="AP3340" s="153"/>
      <c r="AQ3340" s="156"/>
      <c r="AR3340" s="156"/>
      <c r="AS3340" s="153"/>
      <c r="AT3340" s="156"/>
      <c r="AU3340" s="156"/>
      <c r="AV3340" s="156"/>
      <c r="AW3340" s="432"/>
      <c r="AX3340" s="156"/>
    </row>
    <row r="3341">
      <c r="A3341" s="41">
        <v>3341.0</v>
      </c>
      <c r="B3341" s="126"/>
      <c r="C3341" s="59"/>
      <c r="D3341" s="59"/>
      <c r="F3341" s="65"/>
      <c r="G3341" s="156"/>
      <c r="H3341" s="156"/>
      <c r="I3341" s="1284"/>
      <c r="J3341" s="149"/>
      <c r="K3341" s="65"/>
      <c r="L3341" s="65"/>
      <c r="M3341" s="156"/>
      <c r="N3341" s="156"/>
      <c r="O3341" s="65"/>
      <c r="P3341" s="379"/>
      <c r="Q3341" s="2312"/>
      <c r="R3341" s="156"/>
      <c r="S3341" s="156"/>
      <c r="T3341" s="65"/>
      <c r="U3341" s="65"/>
      <c r="V3341" s="379"/>
      <c r="W3341" s="1225"/>
      <c r="X3341" s="2313"/>
      <c r="Y3341" s="156"/>
      <c r="Z3341" s="156"/>
      <c r="AA3341" s="156"/>
      <c r="AB3341" s="156"/>
      <c r="AC3341" s="156"/>
      <c r="AD3341" s="65"/>
      <c r="AE3341" s="65"/>
      <c r="AF3341" s="153"/>
      <c r="AG3341" s="153"/>
      <c r="AH3341" s="156"/>
      <c r="AI3341" s="156"/>
      <c r="AJ3341" s="333"/>
      <c r="AK3341" s="156"/>
      <c r="AL3341" s="156"/>
      <c r="AM3341" s="156"/>
      <c r="AN3341" s="156"/>
      <c r="AO3341" s="153"/>
      <c r="AP3341" s="153"/>
      <c r="AQ3341" s="156"/>
      <c r="AR3341" s="156"/>
      <c r="AS3341" s="153"/>
      <c r="AT3341" s="156"/>
      <c r="AU3341" s="156"/>
      <c r="AV3341" s="156"/>
      <c r="AW3341" s="432"/>
      <c r="AX3341" s="156"/>
    </row>
    <row r="3342">
      <c r="A3342" s="41">
        <v>3342.0</v>
      </c>
      <c r="B3342" s="126"/>
      <c r="C3342" s="59"/>
      <c r="D3342" s="59"/>
      <c r="F3342" s="65"/>
      <c r="G3342" s="156"/>
      <c r="H3342" s="156"/>
      <c r="I3342" s="1284"/>
      <c r="J3342" s="149"/>
      <c r="K3342" s="65"/>
      <c r="L3342" s="65"/>
      <c r="M3342" s="156"/>
      <c r="N3342" s="156"/>
      <c r="O3342" s="65"/>
      <c r="P3342" s="379"/>
      <c r="Q3342" s="2312"/>
      <c r="R3342" s="156"/>
      <c r="S3342" s="156"/>
      <c r="T3342" s="65"/>
      <c r="U3342" s="65"/>
      <c r="V3342" s="379"/>
      <c r="W3342" s="1225"/>
      <c r="X3342" s="2313"/>
      <c r="Y3342" s="156"/>
      <c r="Z3342" s="156"/>
      <c r="AA3342" s="156"/>
      <c r="AB3342" s="156"/>
      <c r="AC3342" s="156"/>
      <c r="AD3342" s="65"/>
      <c r="AE3342" s="65"/>
      <c r="AF3342" s="153"/>
      <c r="AG3342" s="153"/>
      <c r="AH3342" s="156"/>
      <c r="AI3342" s="156"/>
      <c r="AJ3342" s="333"/>
      <c r="AK3342" s="156"/>
      <c r="AL3342" s="156"/>
      <c r="AM3342" s="156"/>
      <c r="AN3342" s="156"/>
      <c r="AO3342" s="153"/>
      <c r="AP3342" s="153"/>
      <c r="AQ3342" s="156"/>
      <c r="AR3342" s="156"/>
      <c r="AS3342" s="153"/>
      <c r="AT3342" s="156"/>
      <c r="AU3342" s="156"/>
      <c r="AV3342" s="156"/>
      <c r="AW3342" s="432"/>
      <c r="AX3342" s="156"/>
    </row>
    <row r="3343">
      <c r="A3343" s="41">
        <v>3343.0</v>
      </c>
      <c r="B3343" s="126"/>
      <c r="C3343" s="59"/>
      <c r="D3343" s="59"/>
      <c r="F3343" s="65"/>
      <c r="G3343" s="156"/>
      <c r="H3343" s="156"/>
      <c r="I3343" s="1284"/>
      <c r="J3343" s="149"/>
      <c r="K3343" s="65"/>
      <c r="L3343" s="65"/>
      <c r="M3343" s="156"/>
      <c r="N3343" s="156"/>
      <c r="O3343" s="65"/>
      <c r="P3343" s="379"/>
      <c r="Q3343" s="2312"/>
      <c r="R3343" s="156"/>
      <c r="S3343" s="156"/>
      <c r="T3343" s="65"/>
      <c r="U3343" s="65"/>
      <c r="V3343" s="379"/>
      <c r="W3343" s="1225"/>
      <c r="X3343" s="2313"/>
      <c r="Y3343" s="156"/>
      <c r="Z3343" s="156"/>
      <c r="AA3343" s="156"/>
      <c r="AB3343" s="156"/>
      <c r="AC3343" s="156"/>
      <c r="AD3343" s="65"/>
      <c r="AE3343" s="65"/>
      <c r="AF3343" s="153"/>
      <c r="AG3343" s="153"/>
      <c r="AH3343" s="156"/>
      <c r="AI3343" s="156"/>
      <c r="AJ3343" s="333"/>
      <c r="AK3343" s="156"/>
      <c r="AL3343" s="156"/>
      <c r="AM3343" s="156"/>
      <c r="AN3343" s="156"/>
      <c r="AO3343" s="153"/>
      <c r="AP3343" s="153"/>
      <c r="AQ3343" s="156"/>
      <c r="AR3343" s="156"/>
      <c r="AS3343" s="153"/>
      <c r="AT3343" s="156"/>
      <c r="AU3343" s="156"/>
      <c r="AV3343" s="156"/>
      <c r="AW3343" s="432"/>
      <c r="AX3343" s="156"/>
    </row>
    <row r="3344">
      <c r="A3344" s="41">
        <v>3344.0</v>
      </c>
      <c r="B3344" s="126"/>
      <c r="C3344" s="59"/>
      <c r="D3344" s="59"/>
      <c r="F3344" s="65"/>
      <c r="G3344" s="156"/>
      <c r="H3344" s="156"/>
      <c r="I3344" s="1284"/>
      <c r="J3344" s="149"/>
      <c r="K3344" s="65"/>
      <c r="L3344" s="65"/>
      <c r="M3344" s="156"/>
      <c r="N3344" s="156"/>
      <c r="O3344" s="65"/>
      <c r="P3344" s="379"/>
      <c r="Q3344" s="2312"/>
      <c r="R3344" s="156"/>
      <c r="S3344" s="156"/>
      <c r="T3344" s="65"/>
      <c r="U3344" s="65"/>
      <c r="V3344" s="379"/>
      <c r="W3344" s="1225"/>
      <c r="X3344" s="2313"/>
      <c r="Y3344" s="156"/>
      <c r="Z3344" s="156"/>
      <c r="AA3344" s="156"/>
      <c r="AB3344" s="156"/>
      <c r="AC3344" s="156"/>
      <c r="AD3344" s="65"/>
      <c r="AE3344" s="65"/>
      <c r="AF3344" s="153"/>
      <c r="AG3344" s="153"/>
      <c r="AH3344" s="156"/>
      <c r="AI3344" s="156"/>
      <c r="AJ3344" s="333"/>
      <c r="AK3344" s="156"/>
      <c r="AL3344" s="156"/>
      <c r="AM3344" s="156"/>
      <c r="AN3344" s="156"/>
      <c r="AO3344" s="153"/>
      <c r="AP3344" s="153"/>
      <c r="AQ3344" s="156"/>
      <c r="AR3344" s="156"/>
      <c r="AS3344" s="153"/>
      <c r="AT3344" s="156"/>
      <c r="AU3344" s="156"/>
      <c r="AV3344" s="156"/>
      <c r="AW3344" s="432"/>
      <c r="AX3344" s="156"/>
    </row>
    <row r="3345">
      <c r="A3345" s="41">
        <v>3345.0</v>
      </c>
      <c r="B3345" s="126"/>
      <c r="C3345" s="59"/>
      <c r="D3345" s="59"/>
      <c r="F3345" s="65"/>
      <c r="G3345" s="156"/>
      <c r="H3345" s="156"/>
      <c r="I3345" s="1284"/>
      <c r="J3345" s="149"/>
      <c r="K3345" s="65"/>
      <c r="L3345" s="65"/>
      <c r="M3345" s="156"/>
      <c r="N3345" s="156"/>
      <c r="O3345" s="65"/>
      <c r="P3345" s="379"/>
      <c r="Q3345" s="2312"/>
      <c r="R3345" s="156"/>
      <c r="S3345" s="156"/>
      <c r="T3345" s="65"/>
      <c r="U3345" s="65"/>
      <c r="V3345" s="379"/>
      <c r="W3345" s="1225"/>
      <c r="X3345" s="2313"/>
      <c r="Y3345" s="156"/>
      <c r="Z3345" s="156"/>
      <c r="AA3345" s="156"/>
      <c r="AB3345" s="156"/>
      <c r="AC3345" s="156"/>
      <c r="AD3345" s="65"/>
      <c r="AE3345" s="65"/>
      <c r="AF3345" s="153"/>
      <c r="AG3345" s="153"/>
      <c r="AH3345" s="156"/>
      <c r="AI3345" s="156"/>
      <c r="AJ3345" s="333"/>
      <c r="AK3345" s="156"/>
      <c r="AL3345" s="156"/>
      <c r="AM3345" s="156"/>
      <c r="AN3345" s="156"/>
      <c r="AO3345" s="153"/>
      <c r="AP3345" s="153"/>
      <c r="AQ3345" s="156"/>
      <c r="AR3345" s="156"/>
      <c r="AS3345" s="153"/>
      <c r="AT3345" s="156"/>
      <c r="AU3345" s="156"/>
      <c r="AV3345" s="156"/>
      <c r="AW3345" s="432"/>
      <c r="AX3345" s="156"/>
    </row>
    <row r="3346">
      <c r="A3346" s="41">
        <v>3346.0</v>
      </c>
      <c r="B3346" s="126"/>
      <c r="C3346" s="59"/>
      <c r="D3346" s="59"/>
      <c r="F3346" s="65"/>
      <c r="G3346" s="156"/>
      <c r="H3346" s="156"/>
      <c r="I3346" s="1284"/>
      <c r="J3346" s="149"/>
      <c r="K3346" s="65"/>
      <c r="L3346" s="65"/>
      <c r="M3346" s="156"/>
      <c r="N3346" s="156"/>
      <c r="O3346" s="65"/>
      <c r="P3346" s="379"/>
      <c r="Q3346" s="2312"/>
      <c r="R3346" s="156"/>
      <c r="S3346" s="156"/>
      <c r="T3346" s="65"/>
      <c r="U3346" s="65"/>
      <c r="V3346" s="379"/>
      <c r="W3346" s="1225"/>
      <c r="X3346" s="2313"/>
      <c r="Y3346" s="156"/>
      <c r="Z3346" s="156"/>
      <c r="AA3346" s="156"/>
      <c r="AB3346" s="156"/>
      <c r="AC3346" s="156"/>
      <c r="AD3346" s="65"/>
      <c r="AE3346" s="65"/>
      <c r="AF3346" s="153"/>
      <c r="AG3346" s="153"/>
      <c r="AH3346" s="156"/>
      <c r="AI3346" s="156"/>
      <c r="AJ3346" s="333"/>
      <c r="AK3346" s="156"/>
      <c r="AL3346" s="156"/>
      <c r="AM3346" s="156"/>
      <c r="AN3346" s="156"/>
      <c r="AO3346" s="153"/>
      <c r="AP3346" s="153"/>
      <c r="AQ3346" s="156"/>
      <c r="AR3346" s="156"/>
      <c r="AS3346" s="153"/>
      <c r="AT3346" s="156"/>
      <c r="AU3346" s="156"/>
      <c r="AV3346" s="156"/>
      <c r="AW3346" s="432"/>
      <c r="AX3346" s="156"/>
    </row>
    <row r="3347">
      <c r="A3347" s="41">
        <v>3347.0</v>
      </c>
      <c r="B3347" s="126"/>
      <c r="C3347" s="59"/>
      <c r="D3347" s="59"/>
      <c r="F3347" s="65"/>
      <c r="G3347" s="156"/>
      <c r="H3347" s="156"/>
      <c r="I3347" s="1284"/>
      <c r="J3347" s="149"/>
      <c r="K3347" s="65"/>
      <c r="L3347" s="65"/>
      <c r="M3347" s="156"/>
      <c r="N3347" s="156"/>
      <c r="O3347" s="65"/>
      <c r="P3347" s="379"/>
      <c r="Q3347" s="2312"/>
      <c r="R3347" s="156"/>
      <c r="S3347" s="156"/>
      <c r="T3347" s="65"/>
      <c r="U3347" s="65"/>
      <c r="V3347" s="379"/>
      <c r="W3347" s="1225"/>
      <c r="X3347" s="2313"/>
      <c r="Y3347" s="156"/>
      <c r="Z3347" s="156"/>
      <c r="AA3347" s="156"/>
      <c r="AB3347" s="156"/>
      <c r="AC3347" s="156"/>
      <c r="AD3347" s="65"/>
      <c r="AE3347" s="65"/>
      <c r="AF3347" s="153"/>
      <c r="AG3347" s="153"/>
      <c r="AH3347" s="156"/>
      <c r="AI3347" s="156"/>
      <c r="AJ3347" s="333"/>
      <c r="AK3347" s="156"/>
      <c r="AL3347" s="156"/>
      <c r="AM3347" s="156"/>
      <c r="AN3347" s="156"/>
      <c r="AO3347" s="153"/>
      <c r="AP3347" s="153"/>
      <c r="AQ3347" s="156"/>
      <c r="AR3347" s="156"/>
      <c r="AS3347" s="153"/>
      <c r="AT3347" s="156"/>
      <c r="AU3347" s="156"/>
      <c r="AV3347" s="156"/>
      <c r="AW3347" s="432"/>
      <c r="AX3347" s="156"/>
    </row>
    <row r="3348">
      <c r="A3348" s="41">
        <v>3348.0</v>
      </c>
      <c r="B3348" s="126"/>
      <c r="C3348" s="59"/>
      <c r="D3348" s="59"/>
      <c r="F3348" s="65"/>
      <c r="G3348" s="156"/>
      <c r="H3348" s="156"/>
      <c r="I3348" s="1284"/>
      <c r="J3348" s="149"/>
      <c r="K3348" s="65"/>
      <c r="L3348" s="65"/>
      <c r="M3348" s="156"/>
      <c r="N3348" s="156"/>
      <c r="O3348" s="65"/>
      <c r="P3348" s="379"/>
      <c r="Q3348" s="2312"/>
      <c r="R3348" s="156"/>
      <c r="S3348" s="156"/>
      <c r="T3348" s="65"/>
      <c r="U3348" s="65"/>
      <c r="V3348" s="379"/>
      <c r="W3348" s="1225"/>
      <c r="X3348" s="2313"/>
      <c r="Y3348" s="156"/>
      <c r="Z3348" s="156"/>
      <c r="AA3348" s="156"/>
      <c r="AB3348" s="156"/>
      <c r="AC3348" s="156"/>
      <c r="AD3348" s="65"/>
      <c r="AE3348" s="65"/>
      <c r="AF3348" s="153"/>
      <c r="AG3348" s="153"/>
      <c r="AH3348" s="156"/>
      <c r="AI3348" s="156"/>
      <c r="AJ3348" s="333"/>
      <c r="AK3348" s="156"/>
      <c r="AL3348" s="156"/>
      <c r="AM3348" s="156"/>
      <c r="AN3348" s="156"/>
      <c r="AO3348" s="153"/>
      <c r="AP3348" s="153"/>
      <c r="AQ3348" s="156"/>
      <c r="AR3348" s="156"/>
      <c r="AS3348" s="153"/>
      <c r="AT3348" s="156"/>
      <c r="AU3348" s="156"/>
      <c r="AV3348" s="156"/>
      <c r="AW3348" s="432"/>
      <c r="AX3348" s="156"/>
    </row>
    <row r="3349">
      <c r="A3349" s="41">
        <v>3349.0</v>
      </c>
      <c r="B3349" s="126"/>
      <c r="C3349" s="59"/>
      <c r="D3349" s="59"/>
      <c r="F3349" s="65"/>
      <c r="G3349" s="156"/>
      <c r="H3349" s="156"/>
      <c r="I3349" s="1284"/>
      <c r="J3349" s="149"/>
      <c r="K3349" s="65"/>
      <c r="L3349" s="65"/>
      <c r="M3349" s="156"/>
      <c r="N3349" s="156"/>
      <c r="O3349" s="65"/>
      <c r="P3349" s="379"/>
      <c r="Q3349" s="2312"/>
      <c r="R3349" s="156"/>
      <c r="S3349" s="156"/>
      <c r="T3349" s="65"/>
      <c r="U3349" s="65"/>
      <c r="V3349" s="379"/>
      <c r="W3349" s="1225"/>
      <c r="X3349" s="2313"/>
      <c r="Y3349" s="156"/>
      <c r="Z3349" s="156"/>
      <c r="AA3349" s="156"/>
      <c r="AB3349" s="156"/>
      <c r="AC3349" s="156"/>
      <c r="AD3349" s="65"/>
      <c r="AE3349" s="65"/>
      <c r="AF3349" s="153"/>
      <c r="AG3349" s="153"/>
      <c r="AH3349" s="156"/>
      <c r="AI3349" s="156"/>
      <c r="AJ3349" s="333"/>
      <c r="AK3349" s="156"/>
      <c r="AL3349" s="156"/>
      <c r="AM3349" s="156"/>
      <c r="AN3349" s="156"/>
      <c r="AO3349" s="153"/>
      <c r="AP3349" s="153"/>
      <c r="AQ3349" s="156"/>
      <c r="AR3349" s="156"/>
      <c r="AS3349" s="153"/>
      <c r="AT3349" s="156"/>
      <c r="AU3349" s="156"/>
      <c r="AV3349" s="156"/>
      <c r="AW3349" s="432"/>
      <c r="AX3349" s="156"/>
    </row>
    <row r="3350">
      <c r="A3350" s="41">
        <v>3350.0</v>
      </c>
      <c r="B3350" s="126"/>
      <c r="C3350" s="59"/>
      <c r="D3350" s="59"/>
      <c r="F3350" s="65"/>
      <c r="G3350" s="156"/>
      <c r="H3350" s="156"/>
      <c r="I3350" s="1284"/>
      <c r="J3350" s="149"/>
      <c r="K3350" s="65"/>
      <c r="L3350" s="65"/>
      <c r="M3350" s="156"/>
      <c r="N3350" s="156"/>
      <c r="O3350" s="65"/>
      <c r="P3350" s="379"/>
      <c r="Q3350" s="2312"/>
      <c r="R3350" s="156"/>
      <c r="S3350" s="156"/>
      <c r="T3350" s="65"/>
      <c r="U3350" s="65"/>
      <c r="V3350" s="379"/>
      <c r="W3350" s="1225"/>
      <c r="X3350" s="2313"/>
      <c r="Y3350" s="156"/>
      <c r="Z3350" s="156"/>
      <c r="AA3350" s="156"/>
      <c r="AB3350" s="156"/>
      <c r="AC3350" s="156"/>
      <c r="AD3350" s="65"/>
      <c r="AE3350" s="65"/>
      <c r="AF3350" s="153"/>
      <c r="AG3350" s="153"/>
      <c r="AH3350" s="156"/>
      <c r="AI3350" s="156"/>
      <c r="AJ3350" s="333"/>
      <c r="AK3350" s="156"/>
      <c r="AL3350" s="156"/>
      <c r="AM3350" s="156"/>
      <c r="AN3350" s="156"/>
      <c r="AO3350" s="153"/>
      <c r="AP3350" s="153"/>
      <c r="AQ3350" s="156"/>
      <c r="AR3350" s="156"/>
      <c r="AS3350" s="153"/>
      <c r="AT3350" s="156"/>
      <c r="AU3350" s="156"/>
      <c r="AV3350" s="156"/>
      <c r="AW3350" s="432"/>
      <c r="AX3350" s="156"/>
    </row>
    <row r="3351">
      <c r="A3351" s="41">
        <v>3351.0</v>
      </c>
      <c r="B3351" s="126"/>
      <c r="C3351" s="59"/>
      <c r="D3351" s="59"/>
      <c r="F3351" s="65"/>
      <c r="G3351" s="156"/>
      <c r="H3351" s="156"/>
      <c r="I3351" s="1284"/>
      <c r="J3351" s="149"/>
      <c r="K3351" s="65"/>
      <c r="L3351" s="65"/>
      <c r="M3351" s="156"/>
      <c r="N3351" s="156"/>
      <c r="O3351" s="65"/>
      <c r="P3351" s="379"/>
      <c r="Q3351" s="2312"/>
      <c r="R3351" s="156"/>
      <c r="S3351" s="156"/>
      <c r="T3351" s="65"/>
      <c r="U3351" s="65"/>
      <c r="V3351" s="379"/>
      <c r="W3351" s="1225"/>
      <c r="X3351" s="2313"/>
      <c r="Y3351" s="156"/>
      <c r="Z3351" s="156"/>
      <c r="AA3351" s="156"/>
      <c r="AB3351" s="156"/>
      <c r="AC3351" s="156"/>
      <c r="AD3351" s="65"/>
      <c r="AE3351" s="65"/>
      <c r="AF3351" s="153"/>
      <c r="AG3351" s="153"/>
      <c r="AH3351" s="156"/>
      <c r="AI3351" s="156"/>
      <c r="AJ3351" s="333"/>
      <c r="AK3351" s="156"/>
      <c r="AL3351" s="156"/>
      <c r="AM3351" s="156"/>
      <c r="AN3351" s="156"/>
      <c r="AO3351" s="153"/>
      <c r="AP3351" s="153"/>
      <c r="AQ3351" s="156"/>
      <c r="AR3351" s="156"/>
      <c r="AS3351" s="153"/>
      <c r="AT3351" s="156"/>
      <c r="AU3351" s="156"/>
      <c r="AV3351" s="156"/>
      <c r="AW3351" s="432"/>
      <c r="AX3351" s="156"/>
    </row>
    <row r="3352">
      <c r="A3352" s="41">
        <v>3352.0</v>
      </c>
      <c r="B3352" s="126"/>
      <c r="C3352" s="59"/>
      <c r="D3352" s="59"/>
      <c r="F3352" s="65"/>
      <c r="G3352" s="156"/>
      <c r="H3352" s="156"/>
      <c r="I3352" s="1284"/>
      <c r="J3352" s="149"/>
      <c r="K3352" s="65"/>
      <c r="L3352" s="65"/>
      <c r="M3352" s="156"/>
      <c r="N3352" s="156"/>
      <c r="O3352" s="65"/>
      <c r="P3352" s="379"/>
      <c r="Q3352" s="2312"/>
      <c r="R3352" s="156"/>
      <c r="S3352" s="156"/>
      <c r="T3352" s="65"/>
      <c r="U3352" s="65"/>
      <c r="V3352" s="379"/>
      <c r="W3352" s="1225"/>
      <c r="X3352" s="2313"/>
      <c r="Y3352" s="156"/>
      <c r="Z3352" s="156"/>
      <c r="AA3352" s="156"/>
      <c r="AB3352" s="156"/>
      <c r="AC3352" s="156"/>
      <c r="AD3352" s="65"/>
      <c r="AE3352" s="65"/>
      <c r="AF3352" s="153"/>
      <c r="AG3352" s="153"/>
      <c r="AH3352" s="156"/>
      <c r="AI3352" s="156"/>
      <c r="AJ3352" s="333"/>
      <c r="AK3352" s="156"/>
      <c r="AL3352" s="156"/>
      <c r="AM3352" s="156"/>
      <c r="AN3352" s="156"/>
      <c r="AO3352" s="153"/>
      <c r="AP3352" s="153"/>
      <c r="AQ3352" s="156"/>
      <c r="AR3352" s="156"/>
      <c r="AS3352" s="153"/>
      <c r="AT3352" s="156"/>
      <c r="AU3352" s="156"/>
      <c r="AV3352" s="156"/>
      <c r="AW3352" s="432"/>
      <c r="AX3352" s="156"/>
    </row>
    <row r="3353">
      <c r="A3353" s="41">
        <v>3353.0</v>
      </c>
      <c r="B3353" s="126"/>
      <c r="C3353" s="59"/>
      <c r="D3353" s="59"/>
      <c r="F3353" s="65"/>
      <c r="G3353" s="156"/>
      <c r="H3353" s="156"/>
      <c r="I3353" s="1284"/>
      <c r="J3353" s="149"/>
      <c r="K3353" s="65"/>
      <c r="L3353" s="65"/>
      <c r="M3353" s="156"/>
      <c r="N3353" s="156"/>
      <c r="O3353" s="65"/>
      <c r="P3353" s="379"/>
      <c r="Q3353" s="2312"/>
      <c r="R3353" s="156"/>
      <c r="S3353" s="156"/>
      <c r="T3353" s="65"/>
      <c r="U3353" s="65"/>
      <c r="V3353" s="379"/>
      <c r="W3353" s="1225"/>
      <c r="X3353" s="2313"/>
      <c r="Y3353" s="156"/>
      <c r="Z3353" s="156"/>
      <c r="AA3353" s="156"/>
      <c r="AB3353" s="156"/>
      <c r="AC3353" s="156"/>
      <c r="AD3353" s="65"/>
      <c r="AE3353" s="65"/>
      <c r="AF3353" s="153"/>
      <c r="AG3353" s="153"/>
      <c r="AH3353" s="156"/>
      <c r="AI3353" s="156"/>
      <c r="AJ3353" s="333"/>
      <c r="AK3353" s="156"/>
      <c r="AL3353" s="156"/>
      <c r="AM3353" s="156"/>
      <c r="AN3353" s="156"/>
      <c r="AO3353" s="153"/>
      <c r="AP3353" s="153"/>
      <c r="AQ3353" s="156"/>
      <c r="AR3353" s="156"/>
      <c r="AS3353" s="153"/>
      <c r="AT3353" s="156"/>
      <c r="AU3353" s="156"/>
      <c r="AV3353" s="156"/>
      <c r="AW3353" s="432"/>
      <c r="AX3353" s="156"/>
    </row>
    <row r="3354">
      <c r="A3354" s="41">
        <v>3354.0</v>
      </c>
      <c r="B3354" s="126"/>
      <c r="C3354" s="59"/>
      <c r="D3354" s="59"/>
      <c r="F3354" s="65"/>
      <c r="G3354" s="156"/>
      <c r="H3354" s="156"/>
      <c r="I3354" s="1284"/>
      <c r="J3354" s="149"/>
      <c r="K3354" s="65"/>
      <c r="L3354" s="65"/>
      <c r="M3354" s="156"/>
      <c r="N3354" s="156"/>
      <c r="O3354" s="65"/>
      <c r="P3354" s="379"/>
      <c r="Q3354" s="2312"/>
      <c r="R3354" s="156"/>
      <c r="S3354" s="156"/>
      <c r="T3354" s="65"/>
      <c r="U3354" s="65"/>
      <c r="V3354" s="379"/>
      <c r="W3354" s="1225"/>
      <c r="X3354" s="2313"/>
      <c r="Y3354" s="156"/>
      <c r="Z3354" s="156"/>
      <c r="AA3354" s="156"/>
      <c r="AB3354" s="156"/>
      <c r="AC3354" s="156"/>
      <c r="AD3354" s="65"/>
      <c r="AE3354" s="65"/>
      <c r="AF3354" s="153"/>
      <c r="AG3354" s="153"/>
      <c r="AH3354" s="156"/>
      <c r="AI3354" s="156"/>
      <c r="AJ3354" s="333"/>
      <c r="AK3354" s="156"/>
      <c r="AL3354" s="156"/>
      <c r="AM3354" s="156"/>
      <c r="AN3354" s="156"/>
      <c r="AO3354" s="153"/>
      <c r="AP3354" s="153"/>
      <c r="AQ3354" s="156"/>
      <c r="AR3354" s="156"/>
      <c r="AS3354" s="153"/>
      <c r="AT3354" s="156"/>
      <c r="AU3354" s="156"/>
      <c r="AV3354" s="156"/>
      <c r="AW3354" s="432"/>
      <c r="AX3354" s="156"/>
    </row>
    <row r="3355">
      <c r="A3355" s="41">
        <v>3355.0</v>
      </c>
      <c r="B3355" s="126"/>
      <c r="C3355" s="59"/>
      <c r="D3355" s="59"/>
      <c r="F3355" s="65"/>
      <c r="G3355" s="156"/>
      <c r="H3355" s="156"/>
      <c r="I3355" s="1284"/>
      <c r="J3355" s="149"/>
      <c r="K3355" s="65"/>
      <c r="L3355" s="65"/>
      <c r="M3355" s="156"/>
      <c r="N3355" s="156"/>
      <c r="O3355" s="65"/>
      <c r="P3355" s="379"/>
      <c r="Q3355" s="2312"/>
      <c r="R3355" s="156"/>
      <c r="S3355" s="156"/>
      <c r="T3355" s="65"/>
      <c r="U3355" s="65"/>
      <c r="V3355" s="379"/>
      <c r="W3355" s="1225"/>
      <c r="X3355" s="2313"/>
      <c r="Y3355" s="156"/>
      <c r="Z3355" s="156"/>
      <c r="AA3355" s="156"/>
      <c r="AB3355" s="156"/>
      <c r="AC3355" s="156"/>
      <c r="AD3355" s="65"/>
      <c r="AE3355" s="65"/>
      <c r="AF3355" s="153"/>
      <c r="AG3355" s="153"/>
      <c r="AH3355" s="156"/>
      <c r="AI3355" s="156"/>
      <c r="AJ3355" s="333"/>
      <c r="AK3355" s="156"/>
      <c r="AL3355" s="156"/>
      <c r="AM3355" s="156"/>
      <c r="AN3355" s="156"/>
      <c r="AO3355" s="153"/>
      <c r="AP3355" s="153"/>
      <c r="AQ3355" s="156"/>
      <c r="AR3355" s="156"/>
      <c r="AS3355" s="153"/>
      <c r="AT3355" s="156"/>
      <c r="AU3355" s="156"/>
      <c r="AV3355" s="156"/>
      <c r="AW3355" s="432"/>
      <c r="AX3355" s="156"/>
    </row>
    <row r="3356">
      <c r="A3356" s="41">
        <v>3356.0</v>
      </c>
      <c r="B3356" s="126"/>
      <c r="C3356" s="59"/>
      <c r="D3356" s="59"/>
      <c r="F3356" s="65"/>
      <c r="G3356" s="156"/>
      <c r="H3356" s="156"/>
      <c r="I3356" s="1284"/>
      <c r="J3356" s="149"/>
      <c r="K3356" s="65"/>
      <c r="L3356" s="65"/>
      <c r="M3356" s="156"/>
      <c r="N3356" s="156"/>
      <c r="O3356" s="65"/>
      <c r="P3356" s="379"/>
      <c r="Q3356" s="2312"/>
      <c r="R3356" s="156"/>
      <c r="S3356" s="156"/>
      <c r="T3356" s="65"/>
      <c r="U3356" s="65"/>
      <c r="V3356" s="379"/>
      <c r="W3356" s="1225"/>
      <c r="X3356" s="2313"/>
      <c r="Y3356" s="156"/>
      <c r="Z3356" s="156"/>
      <c r="AA3356" s="156"/>
      <c r="AB3356" s="156"/>
      <c r="AC3356" s="156"/>
      <c r="AD3356" s="65"/>
      <c r="AE3356" s="65"/>
      <c r="AF3356" s="153"/>
      <c r="AG3356" s="153"/>
      <c r="AH3356" s="156"/>
      <c r="AI3356" s="156"/>
      <c r="AJ3356" s="333"/>
      <c r="AK3356" s="156"/>
      <c r="AL3356" s="156"/>
      <c r="AM3356" s="156"/>
      <c r="AN3356" s="156"/>
      <c r="AO3356" s="153"/>
      <c r="AP3356" s="153"/>
      <c r="AQ3356" s="156"/>
      <c r="AR3356" s="156"/>
      <c r="AS3356" s="153"/>
      <c r="AT3356" s="156"/>
      <c r="AU3356" s="156"/>
      <c r="AV3356" s="156"/>
      <c r="AW3356" s="432"/>
      <c r="AX3356" s="156"/>
    </row>
    <row r="3357">
      <c r="A3357" s="41">
        <v>3357.0</v>
      </c>
      <c r="B3357" s="126"/>
      <c r="C3357" s="59"/>
      <c r="D3357" s="59"/>
      <c r="F3357" s="65"/>
      <c r="G3357" s="156"/>
      <c r="H3357" s="156"/>
      <c r="I3357" s="1284"/>
      <c r="J3357" s="149"/>
      <c r="K3357" s="65"/>
      <c r="L3357" s="65"/>
      <c r="M3357" s="156"/>
      <c r="N3357" s="156"/>
      <c r="O3357" s="65"/>
      <c r="P3357" s="379"/>
      <c r="Q3357" s="2312"/>
      <c r="R3357" s="156"/>
      <c r="S3357" s="156"/>
      <c r="T3357" s="65"/>
      <c r="U3357" s="65"/>
      <c r="V3357" s="379"/>
      <c r="W3357" s="1225"/>
      <c r="X3357" s="2313"/>
      <c r="Y3357" s="156"/>
      <c r="Z3357" s="156"/>
      <c r="AA3357" s="156"/>
      <c r="AB3357" s="156"/>
      <c r="AC3357" s="156"/>
      <c r="AD3357" s="65"/>
      <c r="AE3357" s="65"/>
      <c r="AF3357" s="153"/>
      <c r="AG3357" s="153"/>
      <c r="AH3357" s="156"/>
      <c r="AI3357" s="156"/>
      <c r="AJ3357" s="333"/>
      <c r="AK3357" s="156"/>
      <c r="AL3357" s="156"/>
      <c r="AM3357" s="156"/>
      <c r="AN3357" s="156"/>
      <c r="AO3357" s="153"/>
      <c r="AP3357" s="153"/>
      <c r="AQ3357" s="156"/>
      <c r="AR3357" s="156"/>
      <c r="AS3357" s="153"/>
      <c r="AT3357" s="156"/>
      <c r="AU3357" s="156"/>
      <c r="AV3357" s="156"/>
      <c r="AW3357" s="432"/>
      <c r="AX3357" s="156"/>
    </row>
    <row r="3358">
      <c r="A3358" s="41">
        <v>3358.0</v>
      </c>
      <c r="B3358" s="126"/>
      <c r="C3358" s="59"/>
      <c r="D3358" s="59"/>
      <c r="F3358" s="65"/>
      <c r="G3358" s="156"/>
      <c r="H3358" s="156"/>
      <c r="I3358" s="1284"/>
      <c r="J3358" s="149"/>
      <c r="K3358" s="65"/>
      <c r="L3358" s="65"/>
      <c r="M3358" s="156"/>
      <c r="N3358" s="156"/>
      <c r="O3358" s="65"/>
      <c r="P3358" s="379"/>
      <c r="Q3358" s="2312"/>
      <c r="R3358" s="156"/>
      <c r="S3358" s="156"/>
      <c r="T3358" s="65"/>
      <c r="U3358" s="65"/>
      <c r="V3358" s="379"/>
      <c r="W3358" s="1225"/>
      <c r="X3358" s="2313"/>
      <c r="Y3358" s="156"/>
      <c r="Z3358" s="156"/>
      <c r="AA3358" s="156"/>
      <c r="AB3358" s="156"/>
      <c r="AC3358" s="156"/>
      <c r="AD3358" s="65"/>
      <c r="AE3358" s="65"/>
      <c r="AF3358" s="153"/>
      <c r="AG3358" s="153"/>
      <c r="AH3358" s="156"/>
      <c r="AI3358" s="156"/>
      <c r="AJ3358" s="333"/>
      <c r="AK3358" s="156"/>
      <c r="AL3358" s="156"/>
      <c r="AM3358" s="156"/>
      <c r="AN3358" s="156"/>
      <c r="AO3358" s="153"/>
      <c r="AP3358" s="153"/>
      <c r="AQ3358" s="156"/>
      <c r="AR3358" s="156"/>
      <c r="AS3358" s="153"/>
      <c r="AT3358" s="156"/>
      <c r="AU3358" s="156"/>
      <c r="AV3358" s="156"/>
      <c r="AW3358" s="432"/>
      <c r="AX3358" s="156"/>
    </row>
    <row r="3359">
      <c r="A3359" s="41">
        <v>3359.0</v>
      </c>
      <c r="B3359" s="126"/>
      <c r="C3359" s="59"/>
      <c r="D3359" s="59"/>
      <c r="F3359" s="65"/>
      <c r="G3359" s="156"/>
      <c r="H3359" s="156"/>
      <c r="I3359" s="1284"/>
      <c r="J3359" s="149"/>
      <c r="K3359" s="65"/>
      <c r="L3359" s="65"/>
      <c r="M3359" s="156"/>
      <c r="N3359" s="156"/>
      <c r="O3359" s="65"/>
      <c r="P3359" s="379"/>
      <c r="Q3359" s="2312"/>
      <c r="R3359" s="156"/>
      <c r="S3359" s="156"/>
      <c r="T3359" s="65"/>
      <c r="U3359" s="65"/>
      <c r="V3359" s="379"/>
      <c r="W3359" s="1225"/>
      <c r="X3359" s="2313"/>
      <c r="Y3359" s="156"/>
      <c r="Z3359" s="156"/>
      <c r="AA3359" s="156"/>
      <c r="AB3359" s="156"/>
      <c r="AC3359" s="156"/>
      <c r="AD3359" s="65"/>
      <c r="AE3359" s="65"/>
      <c r="AF3359" s="153"/>
      <c r="AG3359" s="153"/>
      <c r="AH3359" s="156"/>
      <c r="AI3359" s="156"/>
      <c r="AJ3359" s="333"/>
      <c r="AK3359" s="156"/>
      <c r="AL3359" s="156"/>
      <c r="AM3359" s="156"/>
      <c r="AN3359" s="156"/>
      <c r="AO3359" s="153"/>
      <c r="AP3359" s="153"/>
      <c r="AQ3359" s="156"/>
      <c r="AR3359" s="156"/>
      <c r="AS3359" s="153"/>
      <c r="AT3359" s="156"/>
      <c r="AU3359" s="156"/>
      <c r="AV3359" s="156"/>
      <c r="AW3359" s="432"/>
      <c r="AX3359" s="156"/>
    </row>
    <row r="3360">
      <c r="A3360" s="41">
        <v>3360.0</v>
      </c>
      <c r="B3360" s="126"/>
      <c r="C3360" s="59"/>
      <c r="D3360" s="59"/>
      <c r="F3360" s="65"/>
      <c r="G3360" s="156"/>
      <c r="H3360" s="156"/>
      <c r="I3360" s="1284"/>
      <c r="J3360" s="149"/>
      <c r="K3360" s="65"/>
      <c r="L3360" s="65"/>
      <c r="M3360" s="156"/>
      <c r="N3360" s="156"/>
      <c r="O3360" s="65"/>
      <c r="P3360" s="379"/>
      <c r="Q3360" s="2312"/>
      <c r="R3360" s="156"/>
      <c r="S3360" s="156"/>
      <c r="T3360" s="65"/>
      <c r="U3360" s="65"/>
      <c r="V3360" s="379"/>
      <c r="W3360" s="1225"/>
      <c r="X3360" s="2313"/>
      <c r="Y3360" s="156"/>
      <c r="Z3360" s="156"/>
      <c r="AA3360" s="156"/>
      <c r="AB3360" s="156"/>
      <c r="AC3360" s="156"/>
      <c r="AD3360" s="65"/>
      <c r="AE3360" s="65"/>
      <c r="AF3360" s="153"/>
      <c r="AG3360" s="153"/>
      <c r="AH3360" s="156"/>
      <c r="AI3360" s="156"/>
      <c r="AJ3360" s="333"/>
      <c r="AK3360" s="156"/>
      <c r="AL3360" s="156"/>
      <c r="AM3360" s="156"/>
      <c r="AN3360" s="156"/>
      <c r="AO3360" s="153"/>
      <c r="AP3360" s="153"/>
      <c r="AQ3360" s="156"/>
      <c r="AR3360" s="156"/>
      <c r="AS3360" s="153"/>
      <c r="AT3360" s="156"/>
      <c r="AU3360" s="156"/>
      <c r="AV3360" s="156"/>
      <c r="AW3360" s="432"/>
      <c r="AX3360" s="156"/>
    </row>
    <row r="3361">
      <c r="A3361" s="41">
        <v>3361.0</v>
      </c>
      <c r="B3361" s="126"/>
      <c r="C3361" s="59"/>
      <c r="D3361" s="59"/>
      <c r="F3361" s="65"/>
      <c r="G3361" s="156"/>
      <c r="H3361" s="156"/>
      <c r="I3361" s="1284"/>
      <c r="J3361" s="149"/>
      <c r="K3361" s="65"/>
      <c r="L3361" s="65"/>
      <c r="M3361" s="156"/>
      <c r="N3361" s="156"/>
      <c r="O3361" s="65"/>
      <c r="P3361" s="379"/>
      <c r="Q3361" s="2312"/>
      <c r="R3361" s="156"/>
      <c r="S3361" s="156"/>
      <c r="T3361" s="65"/>
      <c r="U3361" s="65"/>
      <c r="V3361" s="379"/>
      <c r="W3361" s="1225"/>
      <c r="X3361" s="2313"/>
      <c r="Y3361" s="156"/>
      <c r="Z3361" s="156"/>
      <c r="AA3361" s="156"/>
      <c r="AB3361" s="156"/>
      <c r="AC3361" s="156"/>
      <c r="AD3361" s="65"/>
      <c r="AE3361" s="65"/>
      <c r="AF3361" s="153"/>
      <c r="AG3361" s="153"/>
      <c r="AH3361" s="156"/>
      <c r="AI3361" s="156"/>
      <c r="AJ3361" s="333"/>
      <c r="AK3361" s="156"/>
      <c r="AL3361" s="156"/>
      <c r="AM3361" s="156"/>
      <c r="AN3361" s="156"/>
      <c r="AO3361" s="153"/>
      <c r="AP3361" s="153"/>
      <c r="AQ3361" s="156"/>
      <c r="AR3361" s="156"/>
      <c r="AS3361" s="153"/>
      <c r="AT3361" s="156"/>
      <c r="AU3361" s="156"/>
      <c r="AV3361" s="156"/>
      <c r="AW3361" s="432"/>
      <c r="AX3361" s="156"/>
    </row>
    <row r="3362">
      <c r="A3362" s="41">
        <v>3362.0</v>
      </c>
      <c r="B3362" s="126"/>
      <c r="C3362" s="59"/>
      <c r="D3362" s="59"/>
      <c r="F3362" s="65"/>
      <c r="G3362" s="156"/>
      <c r="H3362" s="156"/>
      <c r="I3362" s="1284"/>
      <c r="J3362" s="149"/>
      <c r="K3362" s="65"/>
      <c r="L3362" s="65"/>
      <c r="M3362" s="156"/>
      <c r="N3362" s="156"/>
      <c r="O3362" s="65"/>
      <c r="P3362" s="379"/>
      <c r="Q3362" s="2312"/>
      <c r="R3362" s="156"/>
      <c r="S3362" s="156"/>
      <c r="T3362" s="65"/>
      <c r="U3362" s="65"/>
      <c r="V3362" s="379"/>
      <c r="W3362" s="1225"/>
      <c r="X3362" s="2313"/>
      <c r="Y3362" s="156"/>
      <c r="Z3362" s="156"/>
      <c r="AA3362" s="156"/>
      <c r="AB3362" s="156"/>
      <c r="AC3362" s="156"/>
      <c r="AD3362" s="65"/>
      <c r="AE3362" s="65"/>
      <c r="AF3362" s="153"/>
      <c r="AG3362" s="153"/>
      <c r="AH3362" s="156"/>
      <c r="AI3362" s="156"/>
      <c r="AJ3362" s="333"/>
      <c r="AK3362" s="156"/>
      <c r="AL3362" s="156"/>
      <c r="AM3362" s="156"/>
      <c r="AN3362" s="156"/>
      <c r="AO3362" s="153"/>
      <c r="AP3362" s="153"/>
      <c r="AQ3362" s="156"/>
      <c r="AR3362" s="156"/>
      <c r="AS3362" s="153"/>
      <c r="AT3362" s="156"/>
      <c r="AU3362" s="156"/>
      <c r="AV3362" s="156"/>
      <c r="AW3362" s="432"/>
      <c r="AX3362" s="156"/>
    </row>
    <row r="3363">
      <c r="A3363" s="41">
        <v>3363.0</v>
      </c>
      <c r="B3363" s="126"/>
      <c r="C3363" s="59"/>
      <c r="D3363" s="59"/>
      <c r="F3363" s="65"/>
      <c r="G3363" s="156"/>
      <c r="H3363" s="156"/>
      <c r="I3363" s="1284"/>
      <c r="J3363" s="149"/>
      <c r="K3363" s="65"/>
      <c r="L3363" s="65"/>
      <c r="M3363" s="156"/>
      <c r="N3363" s="156"/>
      <c r="O3363" s="65"/>
      <c r="P3363" s="379"/>
      <c r="Q3363" s="2312"/>
      <c r="R3363" s="156"/>
      <c r="S3363" s="156"/>
      <c r="T3363" s="65"/>
      <c r="U3363" s="65"/>
      <c r="V3363" s="379"/>
      <c r="W3363" s="1225"/>
      <c r="X3363" s="2313"/>
      <c r="Y3363" s="156"/>
      <c r="Z3363" s="156"/>
      <c r="AA3363" s="156"/>
      <c r="AB3363" s="156"/>
      <c r="AC3363" s="156"/>
      <c r="AD3363" s="65"/>
      <c r="AE3363" s="65"/>
      <c r="AF3363" s="153"/>
      <c r="AG3363" s="153"/>
      <c r="AH3363" s="156"/>
      <c r="AI3363" s="156"/>
      <c r="AJ3363" s="333"/>
      <c r="AK3363" s="156"/>
      <c r="AL3363" s="156"/>
      <c r="AM3363" s="156"/>
      <c r="AN3363" s="156"/>
      <c r="AO3363" s="153"/>
      <c r="AP3363" s="153"/>
      <c r="AQ3363" s="156"/>
      <c r="AR3363" s="156"/>
      <c r="AS3363" s="153"/>
      <c r="AT3363" s="156"/>
      <c r="AU3363" s="156"/>
      <c r="AV3363" s="156"/>
      <c r="AW3363" s="432"/>
      <c r="AX3363" s="156"/>
    </row>
    <row r="3364">
      <c r="A3364" s="41">
        <v>3364.0</v>
      </c>
      <c r="B3364" s="126"/>
      <c r="C3364" s="59"/>
      <c r="D3364" s="59"/>
      <c r="F3364" s="65"/>
      <c r="G3364" s="156"/>
      <c r="H3364" s="156"/>
      <c r="I3364" s="1284"/>
      <c r="J3364" s="149"/>
      <c r="K3364" s="65"/>
      <c r="L3364" s="65"/>
      <c r="M3364" s="156"/>
      <c r="N3364" s="156"/>
      <c r="O3364" s="65"/>
      <c r="P3364" s="379"/>
      <c r="Q3364" s="2312"/>
      <c r="R3364" s="156"/>
      <c r="S3364" s="156"/>
      <c r="T3364" s="65"/>
      <c r="U3364" s="65"/>
      <c r="V3364" s="379"/>
      <c r="W3364" s="1225"/>
      <c r="X3364" s="2313"/>
      <c r="Y3364" s="156"/>
      <c r="Z3364" s="156"/>
      <c r="AA3364" s="156"/>
      <c r="AB3364" s="156"/>
      <c r="AC3364" s="156"/>
      <c r="AD3364" s="65"/>
      <c r="AE3364" s="65"/>
      <c r="AF3364" s="153"/>
      <c r="AG3364" s="153"/>
      <c r="AH3364" s="156"/>
      <c r="AI3364" s="156"/>
      <c r="AJ3364" s="333"/>
      <c r="AK3364" s="156"/>
      <c r="AL3364" s="156"/>
      <c r="AM3364" s="156"/>
      <c r="AN3364" s="156"/>
      <c r="AO3364" s="153"/>
      <c r="AP3364" s="153"/>
      <c r="AQ3364" s="156"/>
      <c r="AR3364" s="156"/>
      <c r="AS3364" s="153"/>
      <c r="AT3364" s="156"/>
      <c r="AU3364" s="156"/>
      <c r="AV3364" s="156"/>
      <c r="AW3364" s="432"/>
      <c r="AX3364" s="156"/>
    </row>
    <row r="3365">
      <c r="A3365" s="41">
        <v>3365.0</v>
      </c>
      <c r="B3365" s="126"/>
      <c r="C3365" s="59"/>
      <c r="D3365" s="59"/>
      <c r="F3365" s="65"/>
      <c r="G3365" s="156"/>
      <c r="H3365" s="156"/>
      <c r="I3365" s="1284"/>
      <c r="J3365" s="149"/>
      <c r="K3365" s="65"/>
      <c r="L3365" s="65"/>
      <c r="M3365" s="156"/>
      <c r="N3365" s="156"/>
      <c r="O3365" s="65"/>
      <c r="P3365" s="379"/>
      <c r="Q3365" s="2312"/>
      <c r="R3365" s="156"/>
      <c r="S3365" s="156"/>
      <c r="T3365" s="65"/>
      <c r="U3365" s="65"/>
      <c r="V3365" s="379"/>
      <c r="W3365" s="1225"/>
      <c r="X3365" s="2313"/>
      <c r="Y3365" s="156"/>
      <c r="Z3365" s="156"/>
      <c r="AA3365" s="156"/>
      <c r="AB3365" s="156"/>
      <c r="AC3365" s="156"/>
      <c r="AD3365" s="65"/>
      <c r="AE3365" s="65"/>
      <c r="AF3365" s="153"/>
      <c r="AG3365" s="153"/>
      <c r="AH3365" s="156"/>
      <c r="AI3365" s="156"/>
      <c r="AJ3365" s="333"/>
      <c r="AK3365" s="156"/>
      <c r="AL3365" s="156"/>
      <c r="AM3365" s="156"/>
      <c r="AN3365" s="156"/>
      <c r="AO3365" s="153"/>
      <c r="AP3365" s="153"/>
      <c r="AQ3365" s="156"/>
      <c r="AR3365" s="156"/>
      <c r="AS3365" s="153"/>
      <c r="AT3365" s="156"/>
      <c r="AU3365" s="156"/>
      <c r="AV3365" s="156"/>
      <c r="AW3365" s="432"/>
      <c r="AX3365" s="156"/>
    </row>
    <row r="3366">
      <c r="A3366" s="41">
        <v>3366.0</v>
      </c>
      <c r="B3366" s="126"/>
      <c r="C3366" s="59"/>
      <c r="D3366" s="59"/>
      <c r="F3366" s="65"/>
      <c r="G3366" s="156"/>
      <c r="H3366" s="156"/>
      <c r="I3366" s="1284"/>
      <c r="J3366" s="149"/>
      <c r="K3366" s="65"/>
      <c r="L3366" s="65"/>
      <c r="M3366" s="156"/>
      <c r="N3366" s="156"/>
      <c r="O3366" s="65"/>
      <c r="P3366" s="379"/>
      <c r="Q3366" s="2312"/>
      <c r="R3366" s="156"/>
      <c r="S3366" s="156"/>
      <c r="T3366" s="65"/>
      <c r="U3366" s="65"/>
      <c r="V3366" s="379"/>
      <c r="W3366" s="1225"/>
      <c r="X3366" s="2313"/>
      <c r="Y3366" s="156"/>
      <c r="Z3366" s="156"/>
      <c r="AA3366" s="156"/>
      <c r="AB3366" s="156"/>
      <c r="AC3366" s="156"/>
      <c r="AD3366" s="65"/>
      <c r="AE3366" s="65"/>
      <c r="AF3366" s="153"/>
      <c r="AG3366" s="153"/>
      <c r="AH3366" s="156"/>
      <c r="AI3366" s="156"/>
      <c r="AJ3366" s="333"/>
      <c r="AK3366" s="156"/>
      <c r="AL3366" s="156"/>
      <c r="AM3366" s="156"/>
      <c r="AN3366" s="156"/>
      <c r="AO3366" s="153"/>
      <c r="AP3366" s="153"/>
      <c r="AQ3366" s="156"/>
      <c r="AR3366" s="156"/>
      <c r="AS3366" s="153"/>
      <c r="AT3366" s="156"/>
      <c r="AU3366" s="156"/>
      <c r="AV3366" s="156"/>
      <c r="AW3366" s="432"/>
      <c r="AX3366" s="156"/>
    </row>
    <row r="3367">
      <c r="A3367" s="41">
        <v>3367.0</v>
      </c>
      <c r="B3367" s="126"/>
      <c r="C3367" s="59"/>
      <c r="D3367" s="59"/>
      <c r="F3367" s="65"/>
      <c r="G3367" s="156"/>
      <c r="H3367" s="156"/>
      <c r="I3367" s="1284"/>
      <c r="J3367" s="149"/>
      <c r="K3367" s="65"/>
      <c r="L3367" s="65"/>
      <c r="M3367" s="156"/>
      <c r="N3367" s="156"/>
      <c r="O3367" s="65"/>
      <c r="P3367" s="379"/>
      <c r="Q3367" s="2312"/>
      <c r="R3367" s="156"/>
      <c r="S3367" s="156"/>
      <c r="T3367" s="65"/>
      <c r="U3367" s="65"/>
      <c r="V3367" s="379"/>
      <c r="W3367" s="1225"/>
      <c r="X3367" s="2313"/>
      <c r="Y3367" s="156"/>
      <c r="Z3367" s="156"/>
      <c r="AA3367" s="156"/>
      <c r="AB3367" s="156"/>
      <c r="AC3367" s="156"/>
      <c r="AD3367" s="65"/>
      <c r="AE3367" s="65"/>
      <c r="AF3367" s="153"/>
      <c r="AG3367" s="153"/>
      <c r="AH3367" s="156"/>
      <c r="AI3367" s="156"/>
      <c r="AJ3367" s="333"/>
      <c r="AK3367" s="156"/>
      <c r="AL3367" s="156"/>
      <c r="AM3367" s="156"/>
      <c r="AN3367" s="156"/>
      <c r="AO3367" s="153"/>
      <c r="AP3367" s="153"/>
      <c r="AQ3367" s="156"/>
      <c r="AR3367" s="156"/>
      <c r="AS3367" s="153"/>
      <c r="AT3367" s="156"/>
      <c r="AU3367" s="156"/>
      <c r="AV3367" s="156"/>
      <c r="AW3367" s="432"/>
      <c r="AX3367" s="156"/>
    </row>
    <row r="3368">
      <c r="A3368" s="41">
        <v>3368.0</v>
      </c>
      <c r="B3368" s="126"/>
      <c r="C3368" s="59"/>
      <c r="D3368" s="59"/>
      <c r="F3368" s="65"/>
      <c r="G3368" s="156"/>
      <c r="H3368" s="156"/>
      <c r="I3368" s="1284"/>
      <c r="J3368" s="149"/>
      <c r="K3368" s="65"/>
      <c r="L3368" s="65"/>
      <c r="M3368" s="156"/>
      <c r="N3368" s="156"/>
      <c r="O3368" s="65"/>
      <c r="P3368" s="379"/>
      <c r="Q3368" s="2312"/>
      <c r="R3368" s="156"/>
      <c r="S3368" s="156"/>
      <c r="T3368" s="65"/>
      <c r="U3368" s="65"/>
      <c r="V3368" s="379"/>
      <c r="W3368" s="1225"/>
      <c r="X3368" s="2313"/>
      <c r="Y3368" s="156"/>
      <c r="Z3368" s="156"/>
      <c r="AA3368" s="156"/>
      <c r="AB3368" s="156"/>
      <c r="AC3368" s="156"/>
      <c r="AD3368" s="65"/>
      <c r="AE3368" s="65"/>
      <c r="AF3368" s="153"/>
      <c r="AG3368" s="153"/>
      <c r="AH3368" s="156"/>
      <c r="AI3368" s="156"/>
      <c r="AJ3368" s="333"/>
      <c r="AK3368" s="156"/>
      <c r="AL3368" s="156"/>
      <c r="AM3368" s="156"/>
      <c r="AN3368" s="156"/>
      <c r="AO3368" s="153"/>
      <c r="AP3368" s="153"/>
      <c r="AQ3368" s="156"/>
      <c r="AR3368" s="156"/>
      <c r="AS3368" s="153"/>
      <c r="AT3368" s="156"/>
      <c r="AU3368" s="156"/>
      <c r="AV3368" s="156"/>
      <c r="AW3368" s="432"/>
      <c r="AX3368" s="156"/>
    </row>
    <row r="3369">
      <c r="A3369" s="41">
        <v>3369.0</v>
      </c>
      <c r="B3369" s="126"/>
      <c r="C3369" s="59"/>
      <c r="D3369" s="59"/>
      <c r="F3369" s="65"/>
      <c r="G3369" s="156"/>
      <c r="H3369" s="156"/>
      <c r="I3369" s="1284"/>
      <c r="J3369" s="149"/>
      <c r="K3369" s="65"/>
      <c r="L3369" s="65"/>
      <c r="M3369" s="156"/>
      <c r="N3369" s="156"/>
      <c r="O3369" s="65"/>
      <c r="P3369" s="379"/>
      <c r="Q3369" s="2312"/>
      <c r="R3369" s="156"/>
      <c r="S3369" s="156"/>
      <c r="T3369" s="65"/>
      <c r="U3369" s="65"/>
      <c r="V3369" s="379"/>
      <c r="W3369" s="1225"/>
      <c r="X3369" s="2313"/>
      <c r="Y3369" s="156"/>
      <c r="Z3369" s="156"/>
      <c r="AA3369" s="156"/>
      <c r="AB3369" s="156"/>
      <c r="AC3369" s="156"/>
      <c r="AD3369" s="65"/>
      <c r="AE3369" s="65"/>
      <c r="AF3369" s="153"/>
      <c r="AG3369" s="153"/>
      <c r="AH3369" s="156"/>
      <c r="AI3369" s="156"/>
      <c r="AJ3369" s="333"/>
      <c r="AK3369" s="156"/>
      <c r="AL3369" s="156"/>
      <c r="AM3369" s="156"/>
      <c r="AN3369" s="156"/>
      <c r="AO3369" s="153"/>
      <c r="AP3369" s="153"/>
      <c r="AQ3369" s="156"/>
      <c r="AR3369" s="156"/>
      <c r="AS3369" s="153"/>
      <c r="AT3369" s="156"/>
      <c r="AU3369" s="156"/>
      <c r="AV3369" s="156"/>
      <c r="AW3369" s="432"/>
      <c r="AX3369" s="156"/>
    </row>
    <row r="3370">
      <c r="A3370" s="41">
        <v>3370.0</v>
      </c>
      <c r="B3370" s="126"/>
      <c r="C3370" s="59"/>
      <c r="D3370" s="59"/>
      <c r="F3370" s="65"/>
      <c r="G3370" s="156"/>
      <c r="H3370" s="156"/>
      <c r="I3370" s="1284"/>
      <c r="J3370" s="149"/>
      <c r="K3370" s="65"/>
      <c r="L3370" s="65"/>
      <c r="M3370" s="156"/>
      <c r="N3370" s="156"/>
      <c r="O3370" s="65"/>
      <c r="P3370" s="379"/>
      <c r="Q3370" s="2312"/>
      <c r="R3370" s="156"/>
      <c r="S3370" s="156"/>
      <c r="T3370" s="65"/>
      <c r="U3370" s="65"/>
      <c r="V3370" s="379"/>
      <c r="W3370" s="1225"/>
      <c r="X3370" s="2313"/>
      <c r="Y3370" s="156"/>
      <c r="Z3370" s="156"/>
      <c r="AA3370" s="156"/>
      <c r="AB3370" s="156"/>
      <c r="AC3370" s="156"/>
      <c r="AD3370" s="65"/>
      <c r="AE3370" s="65"/>
      <c r="AF3370" s="153"/>
      <c r="AG3370" s="153"/>
      <c r="AH3370" s="156"/>
      <c r="AI3370" s="156"/>
      <c r="AJ3370" s="333"/>
      <c r="AK3370" s="156"/>
      <c r="AL3370" s="156"/>
      <c r="AM3370" s="156"/>
      <c r="AN3370" s="156"/>
      <c r="AO3370" s="153"/>
      <c r="AP3370" s="153"/>
      <c r="AQ3370" s="156"/>
      <c r="AR3370" s="156"/>
      <c r="AS3370" s="153"/>
      <c r="AT3370" s="156"/>
      <c r="AU3370" s="156"/>
      <c r="AV3370" s="156"/>
      <c r="AW3370" s="432"/>
      <c r="AX3370" s="156"/>
    </row>
    <row r="3371">
      <c r="A3371" s="41">
        <v>3371.0</v>
      </c>
      <c r="B3371" s="126"/>
      <c r="C3371" s="59"/>
      <c r="D3371" s="59"/>
      <c r="F3371" s="65"/>
      <c r="G3371" s="156"/>
      <c r="H3371" s="156"/>
      <c r="I3371" s="1284"/>
      <c r="J3371" s="149"/>
      <c r="K3371" s="65"/>
      <c r="L3371" s="65"/>
      <c r="M3371" s="156"/>
      <c r="N3371" s="156"/>
      <c r="O3371" s="65"/>
      <c r="P3371" s="379"/>
      <c r="Q3371" s="2312"/>
      <c r="R3371" s="156"/>
      <c r="S3371" s="156"/>
      <c r="T3371" s="65"/>
      <c r="U3371" s="65"/>
      <c r="V3371" s="379"/>
      <c r="W3371" s="1225"/>
      <c r="X3371" s="2313"/>
      <c r="Y3371" s="156"/>
      <c r="Z3371" s="156"/>
      <c r="AA3371" s="156"/>
      <c r="AB3371" s="156"/>
      <c r="AC3371" s="156"/>
      <c r="AD3371" s="65"/>
      <c r="AE3371" s="65"/>
      <c r="AF3371" s="153"/>
      <c r="AG3371" s="153"/>
      <c r="AH3371" s="156"/>
      <c r="AI3371" s="156"/>
      <c r="AJ3371" s="333"/>
      <c r="AK3371" s="156"/>
      <c r="AL3371" s="156"/>
      <c r="AM3371" s="156"/>
      <c r="AN3371" s="156"/>
      <c r="AO3371" s="153"/>
      <c r="AP3371" s="153"/>
      <c r="AQ3371" s="156"/>
      <c r="AR3371" s="156"/>
      <c r="AS3371" s="153"/>
      <c r="AT3371" s="156"/>
      <c r="AU3371" s="156"/>
      <c r="AV3371" s="156"/>
      <c r="AW3371" s="432"/>
      <c r="AX3371" s="156"/>
    </row>
    <row r="3372">
      <c r="A3372" s="41">
        <v>3372.0</v>
      </c>
      <c r="B3372" s="126"/>
      <c r="C3372" s="59"/>
      <c r="D3372" s="59"/>
      <c r="F3372" s="65"/>
      <c r="G3372" s="156"/>
      <c r="H3372" s="156"/>
      <c r="I3372" s="1284"/>
      <c r="J3372" s="149"/>
      <c r="K3372" s="65"/>
      <c r="L3372" s="65"/>
      <c r="M3372" s="156"/>
      <c r="N3372" s="156"/>
      <c r="O3372" s="65"/>
      <c r="P3372" s="379"/>
      <c r="Q3372" s="2312"/>
      <c r="R3372" s="156"/>
      <c r="S3372" s="156"/>
      <c r="T3372" s="65"/>
      <c r="U3372" s="65"/>
      <c r="V3372" s="379"/>
      <c r="W3372" s="1225"/>
      <c r="X3372" s="2313"/>
      <c r="Y3372" s="156"/>
      <c r="Z3372" s="156"/>
      <c r="AA3372" s="156"/>
      <c r="AB3372" s="156"/>
      <c r="AC3372" s="156"/>
      <c r="AD3372" s="65"/>
      <c r="AE3372" s="65"/>
      <c r="AF3372" s="153"/>
      <c r="AG3372" s="153"/>
      <c r="AH3372" s="156"/>
      <c r="AI3372" s="156"/>
      <c r="AJ3372" s="333"/>
      <c r="AK3372" s="156"/>
      <c r="AL3372" s="156"/>
      <c r="AM3372" s="156"/>
      <c r="AN3372" s="156"/>
      <c r="AO3372" s="153"/>
      <c r="AP3372" s="153"/>
      <c r="AQ3372" s="156"/>
      <c r="AR3372" s="156"/>
      <c r="AS3372" s="153"/>
      <c r="AT3372" s="156"/>
      <c r="AU3372" s="156"/>
      <c r="AV3372" s="156"/>
      <c r="AW3372" s="432"/>
      <c r="AX3372" s="156"/>
    </row>
    <row r="3373">
      <c r="A3373" s="41">
        <v>3373.0</v>
      </c>
      <c r="B3373" s="126"/>
      <c r="C3373" s="59"/>
      <c r="D3373" s="59"/>
      <c r="F3373" s="65"/>
      <c r="G3373" s="156"/>
      <c r="H3373" s="156"/>
      <c r="I3373" s="1284"/>
      <c r="J3373" s="149"/>
      <c r="K3373" s="65"/>
      <c r="L3373" s="65"/>
      <c r="M3373" s="156"/>
      <c r="N3373" s="156"/>
      <c r="O3373" s="65"/>
      <c r="P3373" s="379"/>
      <c r="Q3373" s="2312"/>
      <c r="R3373" s="156"/>
      <c r="S3373" s="156"/>
      <c r="T3373" s="65"/>
      <c r="U3373" s="65"/>
      <c r="V3373" s="379"/>
      <c r="W3373" s="1225"/>
      <c r="X3373" s="2313"/>
      <c r="Y3373" s="156"/>
      <c r="Z3373" s="156"/>
      <c r="AA3373" s="156"/>
      <c r="AB3373" s="156"/>
      <c r="AC3373" s="156"/>
      <c r="AD3373" s="65"/>
      <c r="AE3373" s="65"/>
      <c r="AF3373" s="153"/>
      <c r="AG3373" s="153"/>
      <c r="AH3373" s="156"/>
      <c r="AI3373" s="156"/>
      <c r="AJ3373" s="333"/>
      <c r="AK3373" s="156"/>
      <c r="AL3373" s="156"/>
      <c r="AM3373" s="156"/>
      <c r="AN3373" s="156"/>
      <c r="AO3373" s="153"/>
      <c r="AP3373" s="153"/>
      <c r="AQ3373" s="156"/>
      <c r="AR3373" s="156"/>
      <c r="AS3373" s="153"/>
      <c r="AT3373" s="156"/>
      <c r="AU3373" s="156"/>
      <c r="AV3373" s="156"/>
      <c r="AW3373" s="432"/>
      <c r="AX3373" s="156"/>
    </row>
    <row r="3374">
      <c r="A3374" s="41">
        <v>3374.0</v>
      </c>
      <c r="B3374" s="126"/>
      <c r="C3374" s="59"/>
      <c r="D3374" s="59"/>
      <c r="F3374" s="65"/>
      <c r="G3374" s="156"/>
      <c r="H3374" s="156"/>
      <c r="I3374" s="1284"/>
      <c r="J3374" s="149"/>
      <c r="K3374" s="65"/>
      <c r="L3374" s="65"/>
      <c r="M3374" s="156"/>
      <c r="N3374" s="156"/>
      <c r="O3374" s="65"/>
      <c r="P3374" s="379"/>
      <c r="Q3374" s="2312"/>
      <c r="R3374" s="156"/>
      <c r="S3374" s="156"/>
      <c r="T3374" s="65"/>
      <c r="U3374" s="65"/>
      <c r="V3374" s="379"/>
      <c r="W3374" s="1225"/>
      <c r="X3374" s="2313"/>
      <c r="Y3374" s="156"/>
      <c r="Z3374" s="156"/>
      <c r="AA3374" s="156"/>
      <c r="AB3374" s="156"/>
      <c r="AC3374" s="156"/>
      <c r="AD3374" s="65"/>
      <c r="AE3374" s="65"/>
      <c r="AF3374" s="153"/>
      <c r="AG3374" s="153"/>
      <c r="AH3374" s="156"/>
      <c r="AI3374" s="156"/>
      <c r="AJ3374" s="333"/>
      <c r="AK3374" s="156"/>
      <c r="AL3374" s="156"/>
      <c r="AM3374" s="156"/>
      <c r="AN3374" s="156"/>
      <c r="AO3374" s="153"/>
      <c r="AP3374" s="153"/>
      <c r="AQ3374" s="156"/>
      <c r="AR3374" s="156"/>
      <c r="AS3374" s="153"/>
      <c r="AT3374" s="156"/>
      <c r="AU3374" s="156"/>
      <c r="AV3374" s="156"/>
      <c r="AW3374" s="432"/>
      <c r="AX3374" s="156"/>
    </row>
    <row r="3375">
      <c r="A3375" s="41">
        <v>3375.0</v>
      </c>
      <c r="B3375" s="126"/>
      <c r="C3375" s="59"/>
      <c r="D3375" s="59"/>
      <c r="F3375" s="65"/>
      <c r="G3375" s="156"/>
      <c r="H3375" s="156"/>
      <c r="I3375" s="1284"/>
      <c r="J3375" s="149"/>
      <c r="K3375" s="65"/>
      <c r="L3375" s="65"/>
      <c r="M3375" s="156"/>
      <c r="N3375" s="156"/>
      <c r="O3375" s="65"/>
      <c r="P3375" s="379"/>
      <c r="Q3375" s="2312"/>
      <c r="R3375" s="156"/>
      <c r="S3375" s="156"/>
      <c r="T3375" s="65"/>
      <c r="U3375" s="65"/>
      <c r="V3375" s="379"/>
      <c r="W3375" s="1225"/>
      <c r="X3375" s="2313"/>
      <c r="Y3375" s="156"/>
      <c r="Z3375" s="156"/>
      <c r="AA3375" s="156"/>
      <c r="AB3375" s="156"/>
      <c r="AC3375" s="156"/>
      <c r="AD3375" s="65"/>
      <c r="AE3375" s="65"/>
      <c r="AF3375" s="153"/>
      <c r="AG3375" s="153"/>
      <c r="AH3375" s="156"/>
      <c r="AI3375" s="156"/>
      <c r="AJ3375" s="333"/>
      <c r="AK3375" s="156"/>
      <c r="AL3375" s="156"/>
      <c r="AM3375" s="156"/>
      <c r="AN3375" s="156"/>
      <c r="AO3375" s="153"/>
      <c r="AP3375" s="153"/>
      <c r="AQ3375" s="156"/>
      <c r="AR3375" s="156"/>
      <c r="AS3375" s="153"/>
      <c r="AT3375" s="156"/>
      <c r="AU3375" s="156"/>
      <c r="AV3375" s="156"/>
      <c r="AW3375" s="432"/>
      <c r="AX3375" s="156"/>
    </row>
    <row r="3376">
      <c r="A3376" s="41">
        <v>3376.0</v>
      </c>
      <c r="B3376" s="126"/>
      <c r="C3376" s="59"/>
      <c r="D3376" s="59"/>
      <c r="F3376" s="65"/>
      <c r="G3376" s="156"/>
      <c r="H3376" s="156"/>
      <c r="I3376" s="1284"/>
      <c r="J3376" s="149"/>
      <c r="K3376" s="65"/>
      <c r="L3376" s="65"/>
      <c r="M3376" s="156"/>
      <c r="N3376" s="156"/>
      <c r="O3376" s="65"/>
      <c r="P3376" s="379"/>
      <c r="Q3376" s="2312"/>
      <c r="R3376" s="156"/>
      <c r="S3376" s="156"/>
      <c r="T3376" s="65"/>
      <c r="U3376" s="65"/>
      <c r="V3376" s="379"/>
      <c r="W3376" s="1225"/>
      <c r="X3376" s="2313"/>
      <c r="Y3376" s="156"/>
      <c r="Z3376" s="156"/>
      <c r="AA3376" s="156"/>
      <c r="AB3376" s="156"/>
      <c r="AC3376" s="156"/>
      <c r="AD3376" s="65"/>
      <c r="AE3376" s="65"/>
      <c r="AF3376" s="153"/>
      <c r="AG3376" s="153"/>
      <c r="AH3376" s="156"/>
      <c r="AI3376" s="156"/>
      <c r="AJ3376" s="333"/>
      <c r="AK3376" s="156"/>
      <c r="AL3376" s="156"/>
      <c r="AM3376" s="156"/>
      <c r="AN3376" s="156"/>
      <c r="AO3376" s="153"/>
      <c r="AP3376" s="153"/>
      <c r="AQ3376" s="156"/>
      <c r="AR3376" s="156"/>
      <c r="AS3376" s="153"/>
      <c r="AT3376" s="156"/>
      <c r="AU3376" s="156"/>
      <c r="AV3376" s="156"/>
      <c r="AW3376" s="432"/>
      <c r="AX3376" s="156"/>
    </row>
    <row r="3377">
      <c r="A3377" s="41">
        <v>3377.0</v>
      </c>
      <c r="B3377" s="126"/>
      <c r="C3377" s="59"/>
      <c r="D3377" s="59"/>
      <c r="F3377" s="65"/>
      <c r="G3377" s="156"/>
      <c r="H3377" s="156"/>
      <c r="I3377" s="1284"/>
      <c r="J3377" s="149"/>
      <c r="K3377" s="65"/>
      <c r="L3377" s="65"/>
      <c r="M3377" s="156"/>
      <c r="N3377" s="156"/>
      <c r="O3377" s="65"/>
      <c r="P3377" s="379"/>
      <c r="Q3377" s="2312"/>
      <c r="R3377" s="156"/>
      <c r="S3377" s="156"/>
      <c r="T3377" s="65"/>
      <c r="U3377" s="65"/>
      <c r="V3377" s="379"/>
      <c r="W3377" s="1225"/>
      <c r="X3377" s="2313"/>
      <c r="Y3377" s="156"/>
      <c r="Z3377" s="156"/>
      <c r="AA3377" s="156"/>
      <c r="AB3377" s="156"/>
      <c r="AC3377" s="156"/>
      <c r="AD3377" s="65"/>
      <c r="AE3377" s="65"/>
      <c r="AF3377" s="153"/>
      <c r="AG3377" s="153"/>
      <c r="AH3377" s="156"/>
      <c r="AI3377" s="156"/>
      <c r="AJ3377" s="333"/>
      <c r="AK3377" s="156"/>
      <c r="AL3377" s="156"/>
      <c r="AM3377" s="156"/>
      <c r="AN3377" s="156"/>
      <c r="AO3377" s="153"/>
      <c r="AP3377" s="153"/>
      <c r="AQ3377" s="156"/>
      <c r="AR3377" s="156"/>
      <c r="AS3377" s="153"/>
      <c r="AT3377" s="156"/>
      <c r="AU3377" s="156"/>
      <c r="AV3377" s="156"/>
      <c r="AW3377" s="432"/>
      <c r="AX3377" s="156"/>
    </row>
    <row r="3378">
      <c r="A3378" s="41">
        <v>3378.0</v>
      </c>
      <c r="B3378" s="126"/>
      <c r="C3378" s="59"/>
      <c r="D3378" s="59"/>
      <c r="F3378" s="65"/>
      <c r="G3378" s="156"/>
      <c r="H3378" s="156"/>
      <c r="I3378" s="1284"/>
      <c r="J3378" s="149"/>
      <c r="K3378" s="65"/>
      <c r="L3378" s="65"/>
      <c r="M3378" s="156"/>
      <c r="N3378" s="156"/>
      <c r="O3378" s="65"/>
      <c r="P3378" s="379"/>
      <c r="Q3378" s="2312"/>
      <c r="R3378" s="156"/>
      <c r="S3378" s="156"/>
      <c r="T3378" s="65"/>
      <c r="U3378" s="65"/>
      <c r="V3378" s="379"/>
      <c r="W3378" s="1225"/>
      <c r="X3378" s="2313"/>
      <c r="Y3378" s="156"/>
      <c r="Z3378" s="156"/>
      <c r="AA3378" s="156"/>
      <c r="AB3378" s="156"/>
      <c r="AC3378" s="156"/>
      <c r="AD3378" s="65"/>
      <c r="AE3378" s="65"/>
      <c r="AF3378" s="153"/>
      <c r="AG3378" s="153"/>
      <c r="AH3378" s="156"/>
      <c r="AI3378" s="156"/>
      <c r="AJ3378" s="333"/>
      <c r="AK3378" s="156"/>
      <c r="AL3378" s="156"/>
      <c r="AM3378" s="156"/>
      <c r="AN3378" s="156"/>
      <c r="AO3378" s="153"/>
      <c r="AP3378" s="153"/>
      <c r="AQ3378" s="156"/>
      <c r="AR3378" s="156"/>
      <c r="AS3378" s="153"/>
      <c r="AT3378" s="156"/>
      <c r="AU3378" s="156"/>
      <c r="AV3378" s="156"/>
      <c r="AW3378" s="432"/>
      <c r="AX3378" s="156"/>
    </row>
    <row r="3379">
      <c r="A3379" s="41">
        <v>3379.0</v>
      </c>
      <c r="B3379" s="126"/>
      <c r="C3379" s="59"/>
      <c r="D3379" s="59"/>
      <c r="F3379" s="65"/>
      <c r="G3379" s="156"/>
      <c r="H3379" s="156"/>
      <c r="I3379" s="1284"/>
      <c r="J3379" s="149"/>
      <c r="K3379" s="65"/>
      <c r="L3379" s="65"/>
      <c r="M3379" s="156"/>
      <c r="N3379" s="156"/>
      <c r="O3379" s="65"/>
      <c r="P3379" s="379"/>
      <c r="Q3379" s="2312"/>
      <c r="R3379" s="156"/>
      <c r="S3379" s="156"/>
      <c r="T3379" s="65"/>
      <c r="U3379" s="65"/>
      <c r="V3379" s="379"/>
      <c r="W3379" s="1225"/>
      <c r="X3379" s="2313"/>
      <c r="Y3379" s="156"/>
      <c r="Z3379" s="156"/>
      <c r="AA3379" s="156"/>
      <c r="AB3379" s="156"/>
      <c r="AC3379" s="156"/>
      <c r="AD3379" s="65"/>
      <c r="AE3379" s="65"/>
      <c r="AF3379" s="153"/>
      <c r="AG3379" s="153"/>
      <c r="AH3379" s="156"/>
      <c r="AI3379" s="156"/>
      <c r="AJ3379" s="333"/>
      <c r="AK3379" s="156"/>
      <c r="AL3379" s="156"/>
      <c r="AM3379" s="156"/>
      <c r="AN3379" s="156"/>
      <c r="AO3379" s="153"/>
      <c r="AP3379" s="153"/>
      <c r="AQ3379" s="156"/>
      <c r="AR3379" s="156"/>
      <c r="AS3379" s="153"/>
      <c r="AT3379" s="156"/>
      <c r="AU3379" s="156"/>
      <c r="AV3379" s="156"/>
      <c r="AW3379" s="432"/>
      <c r="AX3379" s="156"/>
    </row>
    <row r="3380">
      <c r="A3380" s="41">
        <v>3380.0</v>
      </c>
      <c r="B3380" s="126"/>
      <c r="C3380" s="59"/>
      <c r="D3380" s="59"/>
      <c r="F3380" s="65"/>
      <c r="G3380" s="156"/>
      <c r="H3380" s="156"/>
      <c r="I3380" s="1284"/>
      <c r="J3380" s="149"/>
      <c r="K3380" s="65"/>
      <c r="L3380" s="65"/>
      <c r="M3380" s="156"/>
      <c r="N3380" s="156"/>
      <c r="O3380" s="65"/>
      <c r="P3380" s="379"/>
      <c r="Q3380" s="2312"/>
      <c r="R3380" s="156"/>
      <c r="S3380" s="156"/>
      <c r="T3380" s="65"/>
      <c r="U3380" s="65"/>
      <c r="V3380" s="379"/>
      <c r="W3380" s="1225"/>
      <c r="X3380" s="2313"/>
      <c r="Y3380" s="156"/>
      <c r="Z3380" s="156"/>
      <c r="AA3380" s="156"/>
      <c r="AB3380" s="156"/>
      <c r="AC3380" s="156"/>
      <c r="AD3380" s="65"/>
      <c r="AE3380" s="65"/>
      <c r="AF3380" s="153"/>
      <c r="AG3380" s="153"/>
      <c r="AH3380" s="156"/>
      <c r="AI3380" s="156"/>
      <c r="AJ3380" s="333"/>
      <c r="AK3380" s="156"/>
      <c r="AL3380" s="156"/>
      <c r="AM3380" s="156"/>
      <c r="AN3380" s="156"/>
      <c r="AO3380" s="153"/>
      <c r="AP3380" s="153"/>
      <c r="AQ3380" s="156"/>
      <c r="AR3380" s="156"/>
      <c r="AS3380" s="153"/>
      <c r="AT3380" s="156"/>
      <c r="AU3380" s="156"/>
      <c r="AV3380" s="156"/>
      <c r="AW3380" s="432"/>
      <c r="AX3380" s="156"/>
    </row>
    <row r="3381">
      <c r="A3381" s="41">
        <v>3381.0</v>
      </c>
      <c r="B3381" s="126"/>
      <c r="C3381" s="59"/>
      <c r="D3381" s="59"/>
      <c r="F3381" s="65"/>
      <c r="G3381" s="156"/>
      <c r="H3381" s="156"/>
      <c r="I3381" s="1284"/>
      <c r="J3381" s="149"/>
      <c r="K3381" s="65"/>
      <c r="L3381" s="65"/>
      <c r="M3381" s="156"/>
      <c r="N3381" s="156"/>
      <c r="O3381" s="65"/>
      <c r="P3381" s="379"/>
      <c r="Q3381" s="2312"/>
      <c r="R3381" s="156"/>
      <c r="S3381" s="156"/>
      <c r="T3381" s="65"/>
      <c r="U3381" s="65"/>
      <c r="V3381" s="379"/>
      <c r="W3381" s="1225"/>
      <c r="X3381" s="2313"/>
      <c r="Y3381" s="156"/>
      <c r="Z3381" s="156"/>
      <c r="AA3381" s="156"/>
      <c r="AB3381" s="156"/>
      <c r="AC3381" s="156"/>
      <c r="AD3381" s="65"/>
      <c r="AE3381" s="65"/>
      <c r="AF3381" s="153"/>
      <c r="AG3381" s="153"/>
      <c r="AH3381" s="156"/>
      <c r="AI3381" s="156"/>
      <c r="AJ3381" s="333"/>
      <c r="AK3381" s="156"/>
      <c r="AL3381" s="156"/>
      <c r="AM3381" s="156"/>
      <c r="AN3381" s="156"/>
      <c r="AO3381" s="153"/>
      <c r="AP3381" s="153"/>
      <c r="AQ3381" s="156"/>
      <c r="AR3381" s="156"/>
      <c r="AS3381" s="153"/>
      <c r="AT3381" s="156"/>
      <c r="AU3381" s="156"/>
      <c r="AV3381" s="156"/>
      <c r="AW3381" s="432"/>
      <c r="AX3381" s="156"/>
    </row>
    <row r="3382">
      <c r="A3382" s="41">
        <v>3382.0</v>
      </c>
      <c r="B3382" s="126"/>
      <c r="C3382" s="59"/>
      <c r="D3382" s="59"/>
      <c r="F3382" s="65"/>
      <c r="G3382" s="156"/>
      <c r="H3382" s="156"/>
      <c r="I3382" s="1284"/>
      <c r="J3382" s="149"/>
      <c r="K3382" s="65"/>
      <c r="L3382" s="65"/>
      <c r="M3382" s="156"/>
      <c r="N3382" s="156"/>
      <c r="O3382" s="65"/>
      <c r="P3382" s="379"/>
      <c r="Q3382" s="2312"/>
      <c r="R3382" s="156"/>
      <c r="S3382" s="156"/>
      <c r="T3382" s="65"/>
      <c r="U3382" s="65"/>
      <c r="V3382" s="379"/>
      <c r="W3382" s="1225"/>
      <c r="X3382" s="2313"/>
      <c r="Y3382" s="156"/>
      <c r="Z3382" s="156"/>
      <c r="AA3382" s="156"/>
      <c r="AB3382" s="156"/>
      <c r="AC3382" s="156"/>
      <c r="AD3382" s="65"/>
      <c r="AE3382" s="65"/>
      <c r="AF3382" s="153"/>
      <c r="AG3382" s="153"/>
      <c r="AH3382" s="156"/>
      <c r="AI3382" s="156"/>
      <c r="AJ3382" s="333"/>
      <c r="AK3382" s="156"/>
      <c r="AL3382" s="156"/>
      <c r="AM3382" s="156"/>
      <c r="AN3382" s="156"/>
      <c r="AO3382" s="153"/>
      <c r="AP3382" s="153"/>
      <c r="AQ3382" s="156"/>
      <c r="AR3382" s="156"/>
      <c r="AS3382" s="153"/>
      <c r="AT3382" s="156"/>
      <c r="AU3382" s="156"/>
      <c r="AV3382" s="156"/>
      <c r="AW3382" s="432"/>
      <c r="AX3382" s="156"/>
    </row>
    <row r="3383">
      <c r="A3383" s="41">
        <v>3383.0</v>
      </c>
      <c r="B3383" s="126"/>
      <c r="C3383" s="59"/>
      <c r="D3383" s="59"/>
      <c r="F3383" s="65"/>
      <c r="G3383" s="156"/>
      <c r="H3383" s="156"/>
      <c r="I3383" s="1284"/>
      <c r="J3383" s="149"/>
      <c r="K3383" s="65"/>
      <c r="L3383" s="65"/>
      <c r="M3383" s="156"/>
      <c r="N3383" s="156"/>
      <c r="O3383" s="65"/>
      <c r="P3383" s="379"/>
      <c r="Q3383" s="2312"/>
      <c r="R3383" s="156"/>
      <c r="S3383" s="156"/>
      <c r="T3383" s="65"/>
      <c r="U3383" s="65"/>
      <c r="V3383" s="379"/>
      <c r="W3383" s="1225"/>
      <c r="X3383" s="2313"/>
      <c r="Y3383" s="156"/>
      <c r="Z3383" s="156"/>
      <c r="AA3383" s="156"/>
      <c r="AB3383" s="156"/>
      <c r="AC3383" s="156"/>
      <c r="AD3383" s="65"/>
      <c r="AE3383" s="65"/>
      <c r="AF3383" s="153"/>
      <c r="AG3383" s="153"/>
      <c r="AH3383" s="156"/>
      <c r="AI3383" s="156"/>
      <c r="AJ3383" s="333"/>
      <c r="AK3383" s="156"/>
      <c r="AL3383" s="156"/>
      <c r="AM3383" s="156"/>
      <c r="AN3383" s="156"/>
      <c r="AO3383" s="153"/>
      <c r="AP3383" s="153"/>
      <c r="AQ3383" s="156"/>
      <c r="AR3383" s="156"/>
      <c r="AS3383" s="153"/>
      <c r="AT3383" s="156"/>
      <c r="AU3383" s="156"/>
      <c r="AV3383" s="156"/>
      <c r="AW3383" s="432"/>
      <c r="AX3383" s="156"/>
    </row>
    <row r="3384">
      <c r="A3384" s="41">
        <v>3384.0</v>
      </c>
      <c r="B3384" s="126"/>
      <c r="C3384" s="59"/>
      <c r="D3384" s="59"/>
      <c r="F3384" s="65"/>
      <c r="G3384" s="156"/>
      <c r="H3384" s="156"/>
      <c r="I3384" s="1284"/>
      <c r="J3384" s="149"/>
      <c r="K3384" s="65"/>
      <c r="L3384" s="65"/>
      <c r="M3384" s="156"/>
      <c r="N3384" s="156"/>
      <c r="O3384" s="65"/>
      <c r="P3384" s="379"/>
      <c r="Q3384" s="2312"/>
      <c r="R3384" s="156"/>
      <c r="S3384" s="156"/>
      <c r="T3384" s="65"/>
      <c r="U3384" s="65"/>
      <c r="V3384" s="379"/>
      <c r="W3384" s="1225"/>
      <c r="X3384" s="2313"/>
      <c r="Y3384" s="156"/>
      <c r="Z3384" s="156"/>
      <c r="AA3384" s="156"/>
      <c r="AB3384" s="156"/>
      <c r="AC3384" s="156"/>
      <c r="AD3384" s="65"/>
      <c r="AE3384" s="65"/>
      <c r="AF3384" s="153"/>
      <c r="AG3384" s="153"/>
      <c r="AH3384" s="156"/>
      <c r="AI3384" s="156"/>
      <c r="AJ3384" s="333"/>
      <c r="AK3384" s="156"/>
      <c r="AL3384" s="156"/>
      <c r="AM3384" s="156"/>
      <c r="AN3384" s="156"/>
      <c r="AO3384" s="153"/>
      <c r="AP3384" s="153"/>
      <c r="AQ3384" s="156"/>
      <c r="AR3384" s="156"/>
      <c r="AS3384" s="153"/>
      <c r="AT3384" s="156"/>
      <c r="AU3384" s="156"/>
      <c r="AV3384" s="156"/>
      <c r="AW3384" s="432"/>
      <c r="AX3384" s="156"/>
    </row>
    <row r="3385">
      <c r="A3385" s="41">
        <v>3385.0</v>
      </c>
      <c r="B3385" s="126"/>
      <c r="C3385" s="59"/>
      <c r="D3385" s="59"/>
      <c r="F3385" s="65"/>
      <c r="G3385" s="156"/>
      <c r="H3385" s="156"/>
      <c r="I3385" s="1284"/>
      <c r="J3385" s="149"/>
      <c r="K3385" s="65"/>
      <c r="L3385" s="65"/>
      <c r="M3385" s="156"/>
      <c r="N3385" s="156"/>
      <c r="O3385" s="65"/>
      <c r="P3385" s="379"/>
      <c r="Q3385" s="2312"/>
      <c r="R3385" s="156"/>
      <c r="S3385" s="156"/>
      <c r="T3385" s="65"/>
      <c r="U3385" s="65"/>
      <c r="V3385" s="379"/>
      <c r="W3385" s="1225"/>
      <c r="X3385" s="2313"/>
      <c r="Y3385" s="156"/>
      <c r="Z3385" s="156"/>
      <c r="AA3385" s="156"/>
      <c r="AB3385" s="156"/>
      <c r="AC3385" s="156"/>
      <c r="AD3385" s="65"/>
      <c r="AE3385" s="65"/>
      <c r="AF3385" s="153"/>
      <c r="AG3385" s="153"/>
      <c r="AH3385" s="156"/>
      <c r="AI3385" s="156"/>
      <c r="AJ3385" s="333"/>
      <c r="AK3385" s="156"/>
      <c r="AL3385" s="156"/>
      <c r="AM3385" s="156"/>
      <c r="AN3385" s="156"/>
      <c r="AO3385" s="153"/>
      <c r="AP3385" s="153"/>
      <c r="AQ3385" s="156"/>
      <c r="AR3385" s="156"/>
      <c r="AS3385" s="153"/>
      <c r="AT3385" s="156"/>
      <c r="AU3385" s="156"/>
      <c r="AV3385" s="156"/>
      <c r="AW3385" s="432"/>
      <c r="AX3385" s="156"/>
    </row>
    <row r="3386">
      <c r="A3386" s="41">
        <v>3386.0</v>
      </c>
      <c r="B3386" s="126"/>
      <c r="C3386" s="59"/>
      <c r="D3386" s="59"/>
      <c r="F3386" s="65"/>
      <c r="G3386" s="156"/>
      <c r="H3386" s="156"/>
      <c r="I3386" s="1284"/>
      <c r="J3386" s="149"/>
      <c r="K3386" s="65"/>
      <c r="L3386" s="65"/>
      <c r="M3386" s="156"/>
      <c r="N3386" s="156"/>
      <c r="O3386" s="65"/>
      <c r="P3386" s="379"/>
      <c r="Q3386" s="2312"/>
      <c r="R3386" s="156"/>
      <c r="S3386" s="156"/>
      <c r="T3386" s="65"/>
      <c r="U3386" s="65"/>
      <c r="V3386" s="379"/>
      <c r="W3386" s="1225"/>
      <c r="X3386" s="2313"/>
      <c r="Y3386" s="156"/>
      <c r="Z3386" s="156"/>
      <c r="AA3386" s="156"/>
      <c r="AB3386" s="156"/>
      <c r="AC3386" s="156"/>
      <c r="AD3386" s="65"/>
      <c r="AE3386" s="65"/>
      <c r="AF3386" s="153"/>
      <c r="AG3386" s="153"/>
      <c r="AH3386" s="156"/>
      <c r="AI3386" s="156"/>
      <c r="AJ3386" s="333"/>
      <c r="AK3386" s="156"/>
      <c r="AL3386" s="156"/>
      <c r="AM3386" s="156"/>
      <c r="AN3386" s="156"/>
      <c r="AO3386" s="153"/>
      <c r="AP3386" s="153"/>
      <c r="AQ3386" s="156"/>
      <c r="AR3386" s="156"/>
      <c r="AS3386" s="153"/>
      <c r="AT3386" s="156"/>
      <c r="AU3386" s="156"/>
      <c r="AV3386" s="156"/>
      <c r="AW3386" s="432"/>
      <c r="AX3386" s="156"/>
    </row>
    <row r="3387">
      <c r="A3387" s="41">
        <v>3387.0</v>
      </c>
      <c r="B3387" s="126"/>
      <c r="C3387" s="59"/>
      <c r="D3387" s="59"/>
      <c r="F3387" s="65"/>
      <c r="G3387" s="156"/>
      <c r="H3387" s="156"/>
      <c r="I3387" s="1284"/>
      <c r="J3387" s="149"/>
      <c r="K3387" s="65"/>
      <c r="L3387" s="65"/>
      <c r="M3387" s="156"/>
      <c r="N3387" s="156"/>
      <c r="O3387" s="65"/>
      <c r="P3387" s="379"/>
      <c r="Q3387" s="2312"/>
      <c r="R3387" s="156"/>
      <c r="S3387" s="156"/>
      <c r="T3387" s="65"/>
      <c r="U3387" s="65"/>
      <c r="V3387" s="379"/>
      <c r="W3387" s="1225"/>
      <c r="X3387" s="2313"/>
      <c r="Y3387" s="156"/>
      <c r="Z3387" s="156"/>
      <c r="AA3387" s="156"/>
      <c r="AB3387" s="156"/>
      <c r="AC3387" s="156"/>
      <c r="AD3387" s="65"/>
      <c r="AE3387" s="65"/>
      <c r="AF3387" s="153"/>
      <c r="AG3387" s="153"/>
      <c r="AH3387" s="156"/>
      <c r="AI3387" s="156"/>
      <c r="AJ3387" s="333"/>
      <c r="AK3387" s="156"/>
      <c r="AL3387" s="156"/>
      <c r="AM3387" s="156"/>
      <c r="AN3387" s="156"/>
      <c r="AO3387" s="153"/>
      <c r="AP3387" s="153"/>
      <c r="AQ3387" s="156"/>
      <c r="AR3387" s="156"/>
      <c r="AS3387" s="153"/>
      <c r="AT3387" s="156"/>
      <c r="AU3387" s="156"/>
      <c r="AV3387" s="156"/>
      <c r="AW3387" s="432"/>
      <c r="AX3387" s="156"/>
    </row>
    <row r="3388">
      <c r="A3388" s="41">
        <v>3388.0</v>
      </c>
      <c r="B3388" s="126"/>
      <c r="C3388" s="59"/>
      <c r="D3388" s="59"/>
      <c r="F3388" s="65"/>
      <c r="G3388" s="156"/>
      <c r="H3388" s="156"/>
      <c r="I3388" s="1284"/>
      <c r="J3388" s="149"/>
      <c r="K3388" s="65"/>
      <c r="L3388" s="65"/>
      <c r="M3388" s="156"/>
      <c r="N3388" s="156"/>
      <c r="O3388" s="65"/>
      <c r="P3388" s="379"/>
      <c r="Q3388" s="2312"/>
      <c r="R3388" s="156"/>
      <c r="S3388" s="156"/>
      <c r="T3388" s="65"/>
      <c r="U3388" s="65"/>
      <c r="V3388" s="379"/>
      <c r="W3388" s="1225"/>
      <c r="X3388" s="2313"/>
      <c r="Y3388" s="156"/>
      <c r="Z3388" s="156"/>
      <c r="AA3388" s="156"/>
      <c r="AB3388" s="156"/>
      <c r="AC3388" s="156"/>
      <c r="AD3388" s="65"/>
      <c r="AE3388" s="65"/>
      <c r="AF3388" s="153"/>
      <c r="AG3388" s="153"/>
      <c r="AH3388" s="156"/>
      <c r="AI3388" s="156"/>
      <c r="AJ3388" s="333"/>
      <c r="AK3388" s="156"/>
      <c r="AL3388" s="156"/>
      <c r="AM3388" s="156"/>
      <c r="AN3388" s="156"/>
      <c r="AO3388" s="153"/>
      <c r="AP3388" s="153"/>
      <c r="AQ3388" s="156"/>
      <c r="AR3388" s="156"/>
      <c r="AS3388" s="153"/>
      <c r="AT3388" s="156"/>
      <c r="AU3388" s="156"/>
      <c r="AV3388" s="156"/>
      <c r="AW3388" s="432"/>
      <c r="AX3388" s="156"/>
    </row>
    <row r="3389">
      <c r="A3389" s="41">
        <v>3389.0</v>
      </c>
      <c r="B3389" s="126"/>
      <c r="C3389" s="59"/>
      <c r="D3389" s="59"/>
      <c r="F3389" s="65"/>
      <c r="G3389" s="156"/>
      <c r="H3389" s="156"/>
      <c r="I3389" s="1284"/>
      <c r="J3389" s="149"/>
      <c r="K3389" s="65"/>
      <c r="L3389" s="65"/>
      <c r="M3389" s="156"/>
      <c r="N3389" s="156"/>
      <c r="O3389" s="65"/>
      <c r="P3389" s="379"/>
      <c r="Q3389" s="2312"/>
      <c r="R3389" s="156"/>
      <c r="S3389" s="156"/>
      <c r="T3389" s="65"/>
      <c r="U3389" s="65"/>
      <c r="V3389" s="379"/>
      <c r="W3389" s="1225"/>
      <c r="X3389" s="2313"/>
      <c r="Y3389" s="156"/>
      <c r="Z3389" s="156"/>
      <c r="AA3389" s="156"/>
      <c r="AB3389" s="156"/>
      <c r="AC3389" s="156"/>
      <c r="AD3389" s="65"/>
      <c r="AE3389" s="65"/>
      <c r="AF3389" s="153"/>
      <c r="AG3389" s="153"/>
      <c r="AH3389" s="156"/>
      <c r="AI3389" s="156"/>
      <c r="AJ3389" s="333"/>
      <c r="AK3389" s="156"/>
      <c r="AL3389" s="156"/>
      <c r="AM3389" s="156"/>
      <c r="AN3389" s="156"/>
      <c r="AO3389" s="153"/>
      <c r="AP3389" s="153"/>
      <c r="AQ3389" s="156"/>
      <c r="AR3389" s="156"/>
      <c r="AS3389" s="153"/>
      <c r="AT3389" s="156"/>
      <c r="AU3389" s="156"/>
      <c r="AV3389" s="156"/>
      <c r="AW3389" s="432"/>
      <c r="AX3389" s="156"/>
    </row>
    <row r="3390">
      <c r="A3390" s="41">
        <v>3390.0</v>
      </c>
      <c r="B3390" s="126"/>
      <c r="C3390" s="59"/>
      <c r="D3390" s="59"/>
      <c r="F3390" s="65"/>
      <c r="G3390" s="156"/>
      <c r="H3390" s="156"/>
      <c r="I3390" s="1284"/>
      <c r="J3390" s="149"/>
      <c r="K3390" s="65"/>
      <c r="L3390" s="65"/>
      <c r="M3390" s="156"/>
      <c r="N3390" s="156"/>
      <c r="O3390" s="65"/>
      <c r="P3390" s="379"/>
      <c r="Q3390" s="2312"/>
      <c r="R3390" s="156"/>
      <c r="S3390" s="156"/>
      <c r="T3390" s="65"/>
      <c r="U3390" s="65"/>
      <c r="V3390" s="379"/>
      <c r="W3390" s="1225"/>
      <c r="X3390" s="2313"/>
      <c r="Y3390" s="156"/>
      <c r="Z3390" s="156"/>
      <c r="AA3390" s="156"/>
      <c r="AB3390" s="156"/>
      <c r="AC3390" s="156"/>
      <c r="AD3390" s="65"/>
      <c r="AE3390" s="65"/>
      <c r="AF3390" s="153"/>
      <c r="AG3390" s="153"/>
      <c r="AH3390" s="156"/>
      <c r="AI3390" s="156"/>
      <c r="AJ3390" s="333"/>
      <c r="AK3390" s="156"/>
      <c r="AL3390" s="156"/>
      <c r="AM3390" s="156"/>
      <c r="AN3390" s="156"/>
      <c r="AO3390" s="153"/>
      <c r="AP3390" s="153"/>
      <c r="AQ3390" s="156"/>
      <c r="AR3390" s="156"/>
      <c r="AS3390" s="153"/>
      <c r="AT3390" s="156"/>
      <c r="AU3390" s="156"/>
      <c r="AV3390" s="156"/>
      <c r="AW3390" s="432"/>
      <c r="AX3390" s="156"/>
    </row>
    <row r="3391">
      <c r="A3391" s="41">
        <v>3391.0</v>
      </c>
      <c r="B3391" s="126"/>
      <c r="C3391" s="59"/>
      <c r="D3391" s="59"/>
      <c r="F3391" s="65"/>
      <c r="G3391" s="156"/>
      <c r="H3391" s="156"/>
      <c r="I3391" s="1284"/>
      <c r="J3391" s="149"/>
      <c r="K3391" s="65"/>
      <c r="L3391" s="65"/>
      <c r="M3391" s="156"/>
      <c r="N3391" s="156"/>
      <c r="O3391" s="65"/>
      <c r="P3391" s="379"/>
      <c r="Q3391" s="2312"/>
      <c r="R3391" s="156"/>
      <c r="S3391" s="156"/>
      <c r="T3391" s="65"/>
      <c r="U3391" s="65"/>
      <c r="V3391" s="379"/>
      <c r="W3391" s="1225"/>
      <c r="X3391" s="2313"/>
      <c r="Y3391" s="156"/>
      <c r="Z3391" s="156"/>
      <c r="AA3391" s="156"/>
      <c r="AB3391" s="156"/>
      <c r="AC3391" s="156"/>
      <c r="AD3391" s="65"/>
      <c r="AE3391" s="65"/>
      <c r="AF3391" s="153"/>
      <c r="AG3391" s="153"/>
      <c r="AH3391" s="156"/>
      <c r="AI3391" s="156"/>
      <c r="AJ3391" s="333"/>
      <c r="AK3391" s="156"/>
      <c r="AL3391" s="156"/>
      <c r="AM3391" s="156"/>
      <c r="AN3391" s="156"/>
      <c r="AO3391" s="153"/>
      <c r="AP3391" s="153"/>
      <c r="AQ3391" s="156"/>
      <c r="AR3391" s="156"/>
      <c r="AS3391" s="153"/>
      <c r="AT3391" s="156"/>
      <c r="AU3391" s="156"/>
      <c r="AV3391" s="156"/>
      <c r="AW3391" s="432"/>
      <c r="AX3391" s="156"/>
    </row>
    <row r="3392">
      <c r="A3392" s="41">
        <v>3392.0</v>
      </c>
      <c r="B3392" s="126"/>
      <c r="C3392" s="59"/>
      <c r="D3392" s="59"/>
      <c r="F3392" s="65"/>
      <c r="G3392" s="156"/>
      <c r="H3392" s="156"/>
      <c r="I3392" s="1284"/>
      <c r="J3392" s="149"/>
      <c r="K3392" s="65"/>
      <c r="L3392" s="65"/>
      <c r="M3392" s="156"/>
      <c r="N3392" s="156"/>
      <c r="O3392" s="65"/>
      <c r="P3392" s="379"/>
      <c r="Q3392" s="2312"/>
      <c r="R3392" s="156"/>
      <c r="S3392" s="156"/>
      <c r="T3392" s="65"/>
      <c r="U3392" s="65"/>
      <c r="V3392" s="379"/>
      <c r="W3392" s="1225"/>
      <c r="X3392" s="2313"/>
      <c r="Y3392" s="156"/>
      <c r="Z3392" s="156"/>
      <c r="AA3392" s="156"/>
      <c r="AB3392" s="156"/>
      <c r="AC3392" s="156"/>
      <c r="AD3392" s="65"/>
      <c r="AE3392" s="65"/>
      <c r="AF3392" s="153"/>
      <c r="AG3392" s="153"/>
      <c r="AH3392" s="156"/>
      <c r="AI3392" s="156"/>
      <c r="AJ3392" s="333"/>
      <c r="AK3392" s="156"/>
      <c r="AL3392" s="156"/>
      <c r="AM3392" s="156"/>
      <c r="AN3392" s="156"/>
      <c r="AO3392" s="153"/>
      <c r="AP3392" s="153"/>
      <c r="AQ3392" s="156"/>
      <c r="AR3392" s="156"/>
      <c r="AS3392" s="153"/>
      <c r="AT3392" s="156"/>
      <c r="AU3392" s="156"/>
      <c r="AV3392" s="156"/>
      <c r="AW3392" s="432"/>
      <c r="AX3392" s="156"/>
    </row>
    <row r="3393">
      <c r="A3393" s="41">
        <v>3393.0</v>
      </c>
      <c r="B3393" s="126"/>
      <c r="C3393" s="59"/>
      <c r="D3393" s="59"/>
      <c r="F3393" s="65"/>
      <c r="G3393" s="156"/>
      <c r="H3393" s="156"/>
      <c r="I3393" s="1284"/>
      <c r="J3393" s="149"/>
      <c r="K3393" s="65"/>
      <c r="L3393" s="65"/>
      <c r="M3393" s="156"/>
      <c r="N3393" s="156"/>
      <c r="O3393" s="65"/>
      <c r="P3393" s="379"/>
      <c r="Q3393" s="2312"/>
      <c r="R3393" s="156"/>
      <c r="S3393" s="156"/>
      <c r="T3393" s="65"/>
      <c r="U3393" s="65"/>
      <c r="V3393" s="379"/>
      <c r="W3393" s="1225"/>
      <c r="X3393" s="2313"/>
      <c r="Y3393" s="156"/>
      <c r="Z3393" s="156"/>
      <c r="AA3393" s="156"/>
      <c r="AB3393" s="156"/>
      <c r="AC3393" s="156"/>
      <c r="AD3393" s="65"/>
      <c r="AE3393" s="65"/>
      <c r="AF3393" s="153"/>
      <c r="AG3393" s="153"/>
      <c r="AH3393" s="156"/>
      <c r="AI3393" s="156"/>
      <c r="AJ3393" s="333"/>
      <c r="AK3393" s="156"/>
      <c r="AL3393" s="156"/>
      <c r="AM3393" s="156"/>
      <c r="AN3393" s="156"/>
      <c r="AO3393" s="153"/>
      <c r="AP3393" s="153"/>
      <c r="AQ3393" s="156"/>
      <c r="AR3393" s="156"/>
      <c r="AS3393" s="153"/>
      <c r="AT3393" s="156"/>
      <c r="AU3393" s="156"/>
      <c r="AV3393" s="156"/>
      <c r="AW3393" s="432"/>
      <c r="AX3393" s="156"/>
    </row>
    <row r="3394">
      <c r="A3394" s="41">
        <v>3394.0</v>
      </c>
      <c r="B3394" s="126"/>
      <c r="C3394" s="59"/>
      <c r="D3394" s="59"/>
      <c r="F3394" s="65"/>
      <c r="G3394" s="156"/>
      <c r="H3394" s="156"/>
      <c r="I3394" s="1284"/>
      <c r="J3394" s="149"/>
      <c r="K3394" s="65"/>
      <c r="L3394" s="65"/>
      <c r="M3394" s="156"/>
      <c r="N3394" s="156"/>
      <c r="O3394" s="65"/>
      <c r="P3394" s="379"/>
      <c r="Q3394" s="2312"/>
      <c r="R3394" s="156"/>
      <c r="S3394" s="156"/>
      <c r="T3394" s="65"/>
      <c r="U3394" s="65"/>
      <c r="V3394" s="379"/>
      <c r="W3394" s="1225"/>
      <c r="X3394" s="2313"/>
      <c r="Y3394" s="156"/>
      <c r="Z3394" s="156"/>
      <c r="AA3394" s="156"/>
      <c r="AB3394" s="156"/>
      <c r="AC3394" s="156"/>
      <c r="AD3394" s="65"/>
      <c r="AE3394" s="65"/>
      <c r="AF3394" s="153"/>
      <c r="AG3394" s="153"/>
      <c r="AH3394" s="156"/>
      <c r="AI3394" s="156"/>
      <c r="AJ3394" s="333"/>
      <c r="AK3394" s="156"/>
      <c r="AL3394" s="156"/>
      <c r="AM3394" s="156"/>
      <c r="AN3394" s="156"/>
      <c r="AO3394" s="153"/>
      <c r="AP3394" s="153"/>
      <c r="AQ3394" s="156"/>
      <c r="AR3394" s="156"/>
      <c r="AS3394" s="153"/>
      <c r="AT3394" s="156"/>
      <c r="AU3394" s="156"/>
      <c r="AV3394" s="156"/>
      <c r="AW3394" s="432"/>
      <c r="AX3394" s="156"/>
    </row>
    <row r="3395">
      <c r="A3395" s="41">
        <v>3395.0</v>
      </c>
      <c r="B3395" s="126"/>
      <c r="C3395" s="59"/>
      <c r="D3395" s="59"/>
      <c r="F3395" s="65"/>
      <c r="G3395" s="156"/>
      <c r="H3395" s="156"/>
      <c r="I3395" s="1284"/>
      <c r="J3395" s="149"/>
      <c r="K3395" s="65"/>
      <c r="L3395" s="65"/>
      <c r="M3395" s="156"/>
      <c r="N3395" s="156"/>
      <c r="O3395" s="65"/>
      <c r="P3395" s="379"/>
      <c r="Q3395" s="2312"/>
      <c r="R3395" s="156"/>
      <c r="S3395" s="156"/>
      <c r="T3395" s="65"/>
      <c r="U3395" s="65"/>
      <c r="V3395" s="379"/>
      <c r="W3395" s="1225"/>
      <c r="X3395" s="2313"/>
      <c r="Y3395" s="156"/>
      <c r="Z3395" s="156"/>
      <c r="AA3395" s="156"/>
      <c r="AB3395" s="156"/>
      <c r="AC3395" s="156"/>
      <c r="AD3395" s="65"/>
      <c r="AE3395" s="65"/>
      <c r="AF3395" s="153"/>
      <c r="AG3395" s="153"/>
      <c r="AH3395" s="156"/>
      <c r="AI3395" s="156"/>
      <c r="AJ3395" s="333"/>
      <c r="AK3395" s="156"/>
      <c r="AL3395" s="156"/>
      <c r="AM3395" s="156"/>
      <c r="AN3395" s="156"/>
      <c r="AO3395" s="153"/>
      <c r="AP3395" s="153"/>
      <c r="AQ3395" s="156"/>
      <c r="AR3395" s="156"/>
      <c r="AS3395" s="153"/>
      <c r="AT3395" s="156"/>
      <c r="AU3395" s="156"/>
      <c r="AV3395" s="156"/>
      <c r="AW3395" s="432"/>
      <c r="AX3395" s="156"/>
    </row>
    <row r="3396">
      <c r="A3396" s="41">
        <v>3396.0</v>
      </c>
      <c r="B3396" s="126"/>
      <c r="C3396" s="59"/>
      <c r="D3396" s="59"/>
      <c r="F3396" s="65"/>
      <c r="G3396" s="156"/>
      <c r="H3396" s="156"/>
      <c r="I3396" s="1284"/>
      <c r="J3396" s="149"/>
      <c r="K3396" s="65"/>
      <c r="L3396" s="65"/>
      <c r="M3396" s="156"/>
      <c r="N3396" s="156"/>
      <c r="O3396" s="65"/>
      <c r="P3396" s="379"/>
      <c r="Q3396" s="2312"/>
      <c r="R3396" s="156"/>
      <c r="S3396" s="156"/>
      <c r="T3396" s="65"/>
      <c r="U3396" s="65"/>
      <c r="V3396" s="379"/>
      <c r="W3396" s="1225"/>
      <c r="X3396" s="2313"/>
      <c r="Y3396" s="156"/>
      <c r="Z3396" s="156"/>
      <c r="AA3396" s="156"/>
      <c r="AB3396" s="156"/>
      <c r="AC3396" s="156"/>
      <c r="AD3396" s="65"/>
      <c r="AE3396" s="65"/>
      <c r="AF3396" s="153"/>
      <c r="AG3396" s="153"/>
      <c r="AH3396" s="156"/>
      <c r="AI3396" s="156"/>
      <c r="AJ3396" s="333"/>
      <c r="AK3396" s="156"/>
      <c r="AL3396" s="156"/>
      <c r="AM3396" s="156"/>
      <c r="AN3396" s="156"/>
      <c r="AO3396" s="153"/>
      <c r="AP3396" s="153"/>
      <c r="AQ3396" s="156"/>
      <c r="AR3396" s="156"/>
      <c r="AS3396" s="153"/>
      <c r="AT3396" s="156"/>
      <c r="AU3396" s="156"/>
      <c r="AV3396" s="156"/>
      <c r="AW3396" s="432"/>
      <c r="AX3396" s="156"/>
    </row>
    <row r="3397">
      <c r="A3397" s="41">
        <v>3397.0</v>
      </c>
      <c r="B3397" s="126"/>
      <c r="C3397" s="59"/>
      <c r="D3397" s="59"/>
      <c r="F3397" s="65"/>
      <c r="G3397" s="156"/>
      <c r="H3397" s="156"/>
      <c r="I3397" s="1284"/>
      <c r="J3397" s="149"/>
      <c r="K3397" s="65"/>
      <c r="L3397" s="65"/>
      <c r="M3397" s="156"/>
      <c r="N3397" s="156"/>
      <c r="O3397" s="65"/>
      <c r="P3397" s="379"/>
      <c r="Q3397" s="2312"/>
      <c r="R3397" s="156"/>
      <c r="S3397" s="156"/>
      <c r="T3397" s="65"/>
      <c r="U3397" s="65"/>
      <c r="V3397" s="379"/>
      <c r="W3397" s="1225"/>
      <c r="X3397" s="2313"/>
      <c r="Y3397" s="156"/>
      <c r="Z3397" s="156"/>
      <c r="AA3397" s="156"/>
      <c r="AB3397" s="156"/>
      <c r="AC3397" s="156"/>
      <c r="AD3397" s="65"/>
      <c r="AE3397" s="65"/>
      <c r="AF3397" s="153"/>
      <c r="AG3397" s="153"/>
      <c r="AH3397" s="156"/>
      <c r="AI3397" s="156"/>
      <c r="AJ3397" s="333"/>
      <c r="AK3397" s="156"/>
      <c r="AL3397" s="156"/>
      <c r="AM3397" s="156"/>
      <c r="AN3397" s="156"/>
      <c r="AO3397" s="153"/>
      <c r="AP3397" s="153"/>
      <c r="AQ3397" s="156"/>
      <c r="AR3397" s="156"/>
      <c r="AS3397" s="153"/>
      <c r="AT3397" s="156"/>
      <c r="AU3397" s="156"/>
      <c r="AV3397" s="156"/>
      <c r="AW3397" s="432"/>
      <c r="AX3397" s="156"/>
    </row>
    <row r="3398">
      <c r="A3398" s="41">
        <v>3398.0</v>
      </c>
      <c r="B3398" s="126"/>
      <c r="C3398" s="59"/>
      <c r="D3398" s="59"/>
      <c r="F3398" s="65"/>
      <c r="G3398" s="156"/>
      <c r="H3398" s="156"/>
      <c r="I3398" s="1284"/>
      <c r="J3398" s="149"/>
      <c r="K3398" s="65"/>
      <c r="L3398" s="65"/>
      <c r="M3398" s="156"/>
      <c r="N3398" s="156"/>
      <c r="O3398" s="65"/>
      <c r="P3398" s="379"/>
      <c r="Q3398" s="2312"/>
      <c r="R3398" s="156"/>
      <c r="S3398" s="156"/>
      <c r="T3398" s="65"/>
      <c r="U3398" s="65"/>
      <c r="V3398" s="379"/>
      <c r="W3398" s="1225"/>
      <c r="X3398" s="2313"/>
      <c r="Y3398" s="156"/>
      <c r="Z3398" s="156"/>
      <c r="AA3398" s="156"/>
      <c r="AB3398" s="156"/>
      <c r="AC3398" s="156"/>
      <c r="AD3398" s="65"/>
      <c r="AE3398" s="65"/>
      <c r="AF3398" s="153"/>
      <c r="AG3398" s="153"/>
      <c r="AH3398" s="156"/>
      <c r="AI3398" s="156"/>
      <c r="AJ3398" s="333"/>
      <c r="AK3398" s="156"/>
      <c r="AL3398" s="156"/>
      <c r="AM3398" s="156"/>
      <c r="AN3398" s="156"/>
      <c r="AO3398" s="153"/>
      <c r="AP3398" s="153"/>
      <c r="AQ3398" s="156"/>
      <c r="AR3398" s="156"/>
      <c r="AS3398" s="153"/>
      <c r="AT3398" s="156"/>
      <c r="AU3398" s="156"/>
      <c r="AV3398" s="156"/>
      <c r="AW3398" s="432"/>
      <c r="AX3398" s="156"/>
    </row>
  </sheetData>
  <autoFilter ref="$A$2:$AY$3398"/>
  <customSheetViews>
    <customSheetView guid="{FA5DB73F-50D0-4C4B-A1D0-B837BDE36C38}" filter="1" showAutoFilter="1">
      <autoFilter ref="$B$2:$BD$1416"/>
    </customSheetView>
    <customSheetView guid="{DF2791B1-7E76-4702-9489-D7E9A8AA1950}" filter="1" showAutoFilter="1">
      <autoFilter ref="$B$2:$AZ$1416">
        <filterColumn colId="15">
          <filters>
            <filter val="https://drive.google.com/file/d/1zRO2wTJdLmK-BV5hxThrZO8prUdJXbH2/view?usp=drivesdk"/>
            <filter val="https://drive.google.com/file/d/1VYqvNkQuJmP378cGj71lJ4JV-clMH0Yv/view?usp=drivesdk"/>
            <filter val="https://drive.google.com/file/d/1X5Fe2As7h--ByO5qoa79Jna-iqMIag53/view?usp=drivesdk"/>
            <filter val="https://drive.google.com/file/d/1SrRdwzLZMo2zK6deXcTRyDZ9oh1TesUR/view?usp=drivesdk"/>
            <filter val="https://drive.google.com/file/d/1YxSLKvJhCAZvjLwh2Dxi3CO9YKNSkWkP/view?usp=drivesdk"/>
            <filter val="https://drive.google.com/file/d/1QWFGg5y_FwCsYU4iJVkw7s0HZoH7av3y/view?usp=drivesdk"/>
            <filter val="https://drive.google.com/file/d/1bbOr5sJJaSFgt-aKadq5yMvKA8ywD97U/view?usp=drivesdk"/>
            <filter val="https://drive.google.com/file/d/1xo-D0d5xWZy_-HQc9CNuFVE8l1hYTkzr/view?usp=drivesdk"/>
            <filter val="https://drive.google.com/file/d/1GTnjtSM79S6hEZLXrpWxGtZd34NCBmBN/view?usp=drivesdk"/>
            <filter val="https://drive.google.com/file/d/1qeprGIAy7AN_pByPqzOUMvJ-k5SpkEYf/view?usp=drivesdk"/>
            <filter val="https://drive.google.com/file/d/14jCdpBA20GeEpZdlt1OEEDrVjc2kp6h7/view?usp=drivesdk"/>
            <filter val="https://drive.google.com/file/d/1tMrBtPVk07Vt3IgjI_4ese_KDvqQCuKK/view?usp=drivesdk"/>
            <filter val="https://drive.google.com/file/d/1ufFlEetCWZtYqMqTTptc07s2XdkD4E4c/view?usp=drivesdk"/>
            <filter val="https://drive.google.com/file/d/1oYbk_RfphQEQTiM6p882mmwIrb7aGJDY/view?usp=drivesdk"/>
            <filter val="https://drive.google.com/file/d/1Z9cXGn_9cINuuX5drvoG0YLH4tFIjcZ7/view?usp=drivesdk"/>
            <filter val="https://drive.google.com/file/d/1epyBwvNQIzhoIzncHzNCghI35bEcM7FS/view?usp=drivesdk"/>
            <filter val="https://drive.google.com/file/d/1pWRSPkrpkB4P8JrAypP4cdltGfovv0wT/view?usp=drivesdk"/>
            <filter val="https://drive.google.com/file/d/1VNZVfi392roXkffFia5wqQeCQjwEpyCc/view?usp=drivesdk"/>
            <filter val="https://drive.google.com/file/d/1ATJxg7zUvA3Wg_XCJFG6phaq9LgMmPHW/view?usp=drivesdk"/>
            <filter val="https://drive.google.com/file/d/1pCInedMgb6ub4Ncim1wJ4bHJ2ouwc85m/view?usp=drivesdk"/>
            <filter val="https://drive.google.com/file/d/1dyQ7iPpa5tauqQ87v1ICVpmTb96xwrHK/view?usp=drivesdk"/>
            <filter val="https://drive.google.com/file/d/15btD8-1-iJ6kKY4YOnmEB99Ty5jn30uV/view?usp=drivesdk"/>
            <filter val="https://drive.google.com/file/d/1eY8ustezkGTBEFCvn47T4iFMNEc9SoCR/view?usp=drivesdk"/>
            <filter val="https://drive.google.com/file/d/17KV68RT0MMeGKz0n7gj1Dsmt7YXSfvOC/view?usp=drivesdk"/>
            <filter val="https://drive.google.com/file/d/1LtoTK2zHVIYGFfb_cXHLXLWkOHpGikA0/view?usp=drivesdk"/>
            <filter val="https://drive.google.com/file/d/1vqDYyUya1hGxUO3xOXp-fS4z5QiC8jwH/view?usp=drivesdk"/>
            <filter val="https://drive.google.com/file/d/1KeSwecAaGUPly_0Khma5VYzCJyRIWBpt/view?usp=drivesdk"/>
            <filter val="https://drive.google.com/file/d/1dcM9NQdz9QH53PQ7hkiNVOhT5nBAY9Vn/view?usp=drivesdk"/>
            <filter val="https://drive.google.com/file/d/1OIEvCCJvM-_IxEbcHAL2vNkKmVoEHa3G/view?usp=drivesdk"/>
            <filter val="https://drive.google.com/file/d/1Mvv6lSbYDT3w1CNkuj_yKZJZyGVo8_wu/view?usp=drivesdk"/>
            <filter val="https://drive.google.com/file/d/1VCKoEhCkZgWeNPsAklTrHzvyEtDe0UpM/view?usp=drivesdk"/>
            <filter val="https://drive.google.com/file/d/1quS4MAYvEPtehwNPw-pIZVscM1NFoUOj/view?usp=drivesdk"/>
            <filter val="N/A"/>
            <filter val="https://drive.google.com/file/d/1fhnK_MpUTUYrtfdIB-pGhbkxyiXV1Wjs/view?usp=drivesdk"/>
            <filter val="https://drive.google.com/file/d/1a3fJ6JRdrPHSo50DdCUrYLisEZcHfG31/view?usp=drivesdk"/>
            <filter val="https://drive.google.com/file/d/1E9n7K_S1QjugzYn-rTEbb--ETbvudVse/view?usp=drivesdk"/>
            <filter val="https://drive.google.com/file/d/1e8g4jGrxeuAKV2niPFAdDVB88LKnVgdm/view?usp=drivesdk"/>
            <filter val="https://drive.google.com/file/d/1R_WL0AExjMKiypoB7mKpQqeDlLTVOzbM/view?usp=drivesdk"/>
            <filter val="https://drive.google.com/file/d/1noF0-gFXnE925nL0unfvsQ-ANlXov76A/view?usp=drivesdk"/>
            <filter val="https://drive.google.com/file/d/1zCYZDaOwE-K33Jkam-tMneBjxjoNVHza/view?usp=drivesdk"/>
            <filter val="https://drive.google.com/file/d/1kVWNkPYWfpPoaNfzdmDoKO9zV0jbI67W/view?usp=drivesdk"/>
            <filter val="https://drive.google.com/file/d/1dqZfs8CV4bFuIXsJrOSHM-_BKTXKhfGR/view?usp=drivesdk"/>
            <filter val="https://drive.google.com/file/d/11Av49SlCGKMhtLvS_jk4226riFKcyhNh/view?usp=drivesdk"/>
            <filter val="https://drive.google.com/file/d/13EC3dwbwBg7gIijxdeeANvWmpAfQ8_ke/view?usp=drivesdk"/>
            <filter val="https://drive.google.com/file/d/1ETLxNzxxAx38Kbjl_2clUvwzL5DDrTd8/view?usp=drivesdk"/>
            <filter val="https://drive.google.com/file/d/1Oz7Zj6fZnvvCizj-IHEQF-K0o27fi6QN/view?usp=drivesdk"/>
            <filter val="https://drive.google.com/file/d/1-BRDJtnfY2i7YBG-IeupwHTxHic0hQnP/view?usp=drivesdk"/>
            <filter val="https://drive.google.com/file/d/1OhQWWe3jm8WtNRylZvAGE-c4xHX8dswr/view?usp=drivesdk"/>
            <filter val="https://drive.google.com/file/d/13IdVrs_fFWj8hYxe5OVSE67tGuCcKPct/view?usp=drivesdk"/>
            <filter val="https://drive.google.com/file/d/1VohCyZYrYeQ8wnGKTyDD2fOk8y16yZw3/view?usp=drivesdk"/>
            <filter val="https://drive.google.com/file/d/1MpP2-43GqkWDRpuwJ-apCbzIk2GwSMn_/view?usp=drivesdk"/>
            <filter val="https://drive.google.com/file/d/10gwwst21XMDLdZDUQ3-UJKa2tLRTlO7K/view?usp=drivesdk"/>
            <filter val="https://drive.google.com/file/d/1wVhOcOsRL9M-ypPdSaPRTLv-PLlAWOf1/view?usp=drivesdk"/>
            <filter val="https://drive.google.com/file/d/1IK98kxqzXUKr6oiSy5Yh1iZIS2v8ZtnC/view?usp=drivesdk"/>
            <filter val="https://drive.google.com/file/d/1fqDwT6f6uPiUgL_jMbCxBCBzksaDNMma/view?usp=drivesdk"/>
            <filter val="https://drive.google.com/file/d/1XTFfWFGSOorXaSHUTepn_NywZP0WRrna/view?usp=drivesdk"/>
            <filter val="https://drive.google.com/file/d/149vWpYz3xUBwjR-0Vi63Qa-y5jEghDmg/view?usp=drivesdk"/>
            <filter val="https://drive.google.com/file/d/104J0KhnQN8hx7uBldyQ1evQEW8N7petE/view?usp=drivesdk"/>
            <filter val="https://drive.google.com/file/d/1oLyXVFY64dU4qE6_b-iVXYa7asikLA1e/view?usp=drivesdk"/>
            <filter val="https://drive.google.com/file/d/1S2bnWMra5cT3jybiRMXQyyKgjUU5M3mP/view?usp=drivesdk"/>
            <filter val="https://drive.google.com/file/d/1mWjj8mxrG8UD8YXr2nZ-cGzIZBtUwLal/view?usp=drivesdk"/>
            <filter val="https://drive.google.com/file/d/1JoVItYnEA8vA70xzVLnQEC3dgxMW-0on/view?usp=drivesdk"/>
            <filter val="https://drive.google.com/file/d/1Q984rmQXqbwrrnMY-wB5jcpYKEpb-2Qg/view?usp=drivesdk"/>
            <filter val="https://drive.google.com/file/d/1-8hoTcDzN7GjN92fqlhu7SLhxRSQTUrd/view?usp=drivesdk"/>
            <filter val="https://drive.google.com/file/d/12tiBV9g0PDIUv5jLNU3H9ESLvqe3_su6/view?usp=drivesdk"/>
            <filter val="https://drive.google.com/file/d/1jx9eMAYbx0cHukSi87PadaXFTzz1n_mq/view?usp=drivesdk"/>
            <filter val="https://drive.google.com/file/d/1PBsIeDN2jr1Pq3CNrSLb1Xsyr21P2pXL/view?usp=drivesdk"/>
            <filter val="https://drive.google.com/file/d/1nanNymgjGLBTTIftwQHD0CPkPgFLXjko/view?usp=drivesdk"/>
            <filter val="https://drive.google.com/file/d/1HOf675tEXfG2bMnJOIiHzWGLlDbzEY3d/view?usp=drivesdk"/>
            <filter val="https://drive.google.com/file/d/1w5TanXJyS5YVblHirQgJO5zKr4e7CFnK/view?usp=drivesdk"/>
            <filter val="https://drive.google.com/file/d/1jZb-p-3Rc26saHcNX9fyKAs8ayXvLp_G/view?usp=drivesdk"/>
            <filter val="https://drive.google.com/file/d/1tNWBEIyqVAkKjP7KUoSu2t3rEj4DPo_A/view?usp=drivesdk"/>
            <filter val="https://drive.google.com/file/d/10j2TatiM7HXzQ8gGJAAToPEOpY8k8IgA/view?usp=drivesdk"/>
            <filter val="https://drive.google.com/file/d/1Ql7nMbQXZeIyS5tduYv7gRTiVRXJB9Dk/view?usp=drivesdk"/>
            <filter val="https://drive.google.com/file/d/1TVEae0arGcjXygxgVD8laFAM0LcnW7EM/view?usp=drivesdk"/>
            <filter val="https://drive.google.com/file/d/1gQEP5IJLffmqgeBD8cJqZD1njhiICXaO/view?usp=drivesdk"/>
            <filter val="https://drive.google.com/file/d/144ul3eCkiKHuL75LCKm6YabVN-pgBX8u/view?usp=drivesdk"/>
            <filter val="https://drive.google.com/file/d/1hlj_PiSmruASavYOS4OPpCrR4tKfol15/view?usp=drivesdk"/>
            <filter val="#N/A"/>
            <filter val="NA"/>
            <filter val="https://drive.google.com/file/d/16TKGD5uIhjmxtnz9GYQUl5frMKkhZ7vE/view?usp=drivesdk"/>
            <filter val="https://drive.google.com/file/d/1OWk3W7aLK7NhvpfeOXWbAeYjSBS6on3O/view?usp=drivesdk"/>
            <filter val="https://drive.google.com/file/d/1M2npXIoOra27xHNDnCsNwFJwuHLFn-QY/view?usp=drivesdk"/>
            <filter val="https://drive.google.com/file/d/1Wo_ZWAFaujgNZeZ0tdEdLIIUT-PUrDAy/view?usp=drivesdk"/>
            <filter val="https://drive.google.com/file/d/1J0gXacFjwTY8lqoRS7-Ly_0MayhAFMtY/view?usp=drivesdk"/>
            <filter val="https://drive.google.com/file/d/1d70WNl03Y6R-FQ2zFUG_7JzLtb7KIhMn/view?usp=drivesdk"/>
            <filter val="https://drive.google.com/file/d/1ExZ7juOSUgumoSt5vCuDEvgISB_mT9vX/view?usp=drivesdk"/>
            <filter val="https://drive.google.com/file/d/1hgaLy7Pk7l8_uT0qzsdgGRA4OH5u_0hL/view?usp=drivesdk"/>
            <filter val="LINK"/>
            <filter val="https://drive.google.com/file/d/1Z0u77Ei4pPZsjR5reXLadM9xd0tgKrac/view?usp=drivesdk"/>
            <filter val="https://drive.google.com/file/d/1ITD043otUXSzSXwJBI77ZEGc7YfO0lXl/view?usp=drivesdk"/>
          </filters>
        </filterColumn>
      </autoFilter>
    </customSheetView>
  </customSheetViews>
  <mergeCells count="36">
    <mergeCell ref="S206:T206"/>
    <mergeCell ref="S207:T207"/>
    <mergeCell ref="N300:O300"/>
    <mergeCell ref="N318:O318"/>
    <mergeCell ref="S318:T318"/>
    <mergeCell ref="S497:T497"/>
    <mergeCell ref="Z497:AA497"/>
    <mergeCell ref="Z518:AA518"/>
    <mergeCell ref="AU518:AV518"/>
    <mergeCell ref="S519:T519"/>
    <mergeCell ref="Z519:AA519"/>
    <mergeCell ref="AC519:AD519"/>
    <mergeCell ref="AU519:AV519"/>
    <mergeCell ref="S520:T520"/>
    <mergeCell ref="Z520:AA520"/>
    <mergeCell ref="AU520:AV520"/>
    <mergeCell ref="Z521:AA521"/>
    <mergeCell ref="AC521:AD521"/>
    <mergeCell ref="AB497:AC497"/>
    <mergeCell ref="AD497:AE497"/>
    <mergeCell ref="S509:T509"/>
    <mergeCell ref="S512:T512"/>
    <mergeCell ref="Z514:AA514"/>
    <mergeCell ref="AC514:AD514"/>
    <mergeCell ref="S518:T518"/>
    <mergeCell ref="N1906:O1906"/>
    <mergeCell ref="N1907:O1907"/>
    <mergeCell ref="AU1910:AV1910"/>
    <mergeCell ref="AD1524:AE1524"/>
    <mergeCell ref="N1872:O1872"/>
    <mergeCell ref="N1873:O1873"/>
    <mergeCell ref="N1902:O1902"/>
    <mergeCell ref="AC1902:AE1902"/>
    <mergeCell ref="N1903:O1903"/>
    <mergeCell ref="AC1906:AE1906"/>
    <mergeCell ref="AB1937:AC1937"/>
  </mergeCells>
  <dataValidations>
    <dataValidation type="list" allowBlank="1" showErrorMessage="1" sqref="D2894:D2896 D2916:D2926">
      <formula1>"Mariem,Roksana,Thomas,Maria,Shruti,Antony,Radoslaw,Fabienne,Daniel,Ray,Nikolay,Hakile,Raul,Alisa,Teshome,Adira,Jyoti,Maureen,Nikita,Husnain,Sarah,Alexsandr,Vidhi,Mario,Diego,Corinna,Tafere,Kamran,Baha,Karolina"</formula1>
    </dataValidation>
    <dataValidation type="custom" allowBlank="1" showDropDown="1" sqref="S1864:T1864">
      <formula1>left(#REF!, 3)="10."</formula1>
    </dataValidation>
    <dataValidation type="custom" allowBlank="1" showDropDown="1" sqref="AG4:AG60 AG65:AG95 AP4:AP95 AQ96:AQ97 AG98:AG100 AP98:AP100 AG106:AG152 AG155:AG158 AG162:AG176 AP106:AP182 AG178:AG188 AP184:AP188 AP191:AP214 AG191:AG217 AP216:AP217 AG220 AP220 AP222:AP224 AP226:AP227 AG222:AG244 AP233:AP244 AG246:AG360 AP246:AP360 AG362:AG485 AG492 AG497:AG525 AP362:AP525 AG527 AP527 AG529:AG531 AP529:AP531 AG533:AG535 AG551 AG553 AG555 AG562 AG564 AG566 AG573:AG592 AP533:AP592 AO593:AO597 AG598:AG604 AG608 AG610:AG644 AG646:AG656 AP598:AP656 AG663:AG678 AG729:AG733 AG739 AG743:AG744 AG746 AG751:AG752 AG754 AG758:AG759 AG762:AG764 AG767:AG771 AG776:AG779 AG784:AG785 AG790:AG791 AG793:AG802 AG805:AG806 AP658:AP813 AG845:AG846 AG848 AG851 AG853 AG856 AP815:AP860 AP865:AP871 AP875:AP877 AP883:AP889 AP894:AP895 AP897:AP908 AP910:AP912 AP914:AP920 AP922:AP923 AP926:AP934 AP936:AP939 AP942:AP943 AP945:AP946 AP948:AP954 AP956 AP962:AP975 AP977:AP978 AP980 AP990:AP991 AP993 AP996:AP997 AP999:AP1001 AP1008:AP1015 AP1018:AP1021 AP1023:AP1034 AS1037 AS1041 AS1062 AS1071 AS1079 AP1036:AP1081 AS1081 AP1083:AP1101 AG1122 AG1125 AP1103:AP1130 AS1142 AS1147 AS1192 AG1198:AG1199 AG1201 AG1203 AG1205 AG1207:AG1209 AG1211 AG1213 AG1215 AG1217 AG1219 AG1221 AG1223 AG1225:AG1227 AG1229 AG1231:AG1233 AG1235 AP1132:AP1249 AP1251:AP1283 AP1284:AQ1284 AG1284:AG1294 AG1297:AG1320 AG1322:AG1323 AG1325 AG1327 AG1329:AG1338 AG1346:AG1347 AG1362:AG1363 AG1380:AG1384 AG1401 AG1403 AG1408:AG1410 AG1426:AG1430 AG1438:AG1439 AG1444 AG1447:AG1449 AG1451:AG1453 AG1455:AG1477 AG1501:AG1578 AG1582:AG1646 AP1285:AP1646 AG1648:AG1650 AP1648:AP1650 AG1652 AP1652 AG1654 AP1654 AG1656 AP1656 AG1862:AG1913 AP1658:AP1942 AS1950 AP1944:AP1972 AP1974:AP1983 AG2068:AG2071 AP1985:AP2071 AG2073:AG2074 AP2073:AP2090 AG2250:AG2251 AP2092:AP2252 AP2255:AP2257 AP2268:AP2270 AP2272:AP2274 AF2275:AF2296 AF2298 AP2299 AP2301 AP2304:AP2305 AP2307 AP2309 AP2322 AP2324 AP2327:AP2328 AP2330 AP2332 AO2334:AO2336 AP2337:AP2343 AP2345 AP2347:AP2349 AP2357 AP2359:AP2360 AP2362 AG2615 AP2381:AP2695 AO2696:AO2697 AP2698:AP2701 AO2702 AP2703:AP2704 AO2705 AP2706:AP2709 AO2710 AP2711:AP2715 AP2720:AP2723 AO2724 AP2725:AP2726 AP2727:AR2728 AO2729:AO2732 AP2733 AO2734 AP2735 AO2736 AP2737 AO2738:AO2739 AP2742:AP2749 AO2750 AP2751:AP2752 AO2753 AP2754 AO2755 AP2756 AO2757 AP2758 AO2759 AP2760 AO2761 AP2762 AO2763 AP2764 AO2765 AP2766 AO2767 AP2768 AO2769 AP2770 AO2771 AP2772 AO2773:AO2777 AP2778:AP2779 AO2780:AO2789 AP2790 AP2793 AP2796 AP2801 AP2804 AP2836:AP2837 AP2839:AP2840 AP2856 AP2859 AP2862 AO2867:AO2870 AP2871:AP2877 AO2878:AO2881 AO2883:AO2885 AP2886:AP2926 AP2928:AP3065 AP3067:AP3068 AG3123:AG3124 AP3073:AP3398">
      <formula1>isnumber(AF4)</formula1>
    </dataValidation>
    <dataValidation type="custom" allowBlank="1" showDropDown="1" sqref="N61:N64 N128:N129 N153:N154 S153:S154 N159:N161 S159:S161 N174:N177 N189:N190 S189:S190 N269:N270 N486:N491 S486:S491 N493:N496 S493:S496 N536:N550 S536:S550 N552 S552 S554 N556:N561 S556:S561 N563 S563 N565 S565 N567:N572 S567:S572 M593:M597 R593:R597 N605:N607 S605:S607 N609 S609 N645 S645 N658:N662 S658:S662 N679:N921 S679:S921 N923:N924 S923:S924 N926:N1034 N1036:N1197 S926:S1197 N1200 N1202 N1204 N1206 N1208 N1210 N1212 N1214 N1216 N1218 N1220 N1222 N1224 N1226 N1228 N1230 N1232 N1234 S1200:S1277 N1236:N1278 N1279:O1279 N1280:N1283 R1278:T1283 N1295:N1296 S1295:S1296 N1321 S1321 N1324 S1324 N1326 N1328 S1339:S1343 R1344:T1344 N1339:N1345 S1345 R1348:T1348 S1349:S1350 R1351:T1351 N1348:N1353 S1352:S1353 N1354:O1354 R1354:T1354 S1355:S1356 R1357:T1358 S1359:T1359 N1355:N1361 S1360:S1361 S1364:S1375 R1376:T1376 S1377 R1378:T1378 N1364:N1379 S1379 N1385:O1385 R1385:T1385 S1386 R1387:T1388 S1389 R1390:T1390 N1386:N1391 S1391 N1392:O1392 R1392:T1392 S1393 S1394:T1394 S1395 AC1394:AC1395 R1396:T1396 N1393:N1397 S1397 N1398:O1398 R1398:T1398 N1399:N1400 S1399:S1400 N1402 S1402 N1404:O1404 R1404:T1404 S1405 R1406:T1406 N1405:N1407 S1407 N1411:N1425 S1411:S1425 N1430:N1437 S1430:S1437 N1440:N1443 S1440:S1443 N1445:N1446 S1445:S1446 N1450 S1450 N1454 S1454 N1478 N1479:O1479 R1478:T1480 N1480:N1484 S1481:S1484 N1485:O1485 N1486 N1487:O1487 R1485:T1487 S1488:S1489 R1490:T1490 S1491 R1492:T1493 S1494 R1495:T1495 S1496 R1497:T1497 S1498 R1499:T1499 N1488:N1500 S1500 N1579:N1581 S1579:S1581 N1658:N1669 N1671:N1861 S1658:S1861 N1914:N1919 N1920:O1920 N1921:N1927 N1928:O1928 N1929:N1937 N1938:O1938 N1939 R1914:R1940 R1941:S1941 R1942:T1943 N1941:N1944 R1944:S1944 R1945:R1946 N1947:N1949 R1947:S1949 R1950:R1951 N1954:N1955 N1957:N1959 R1952:S1959 R1960 N1961:N1963 R1961:S1964 R1965 N1966 R1966:S1966 R1967 N1970 R1968:S1970 R1972:R1974 N1975:N1977 R1975:S1983 N1983:N1984 S1984 N1988 N1991 R1985:S1991 R1992 N1993:N1995 N1997:N1998 N2002:N2003 N2006 N2009:N2011 R1993:S2011 R2012 N2013:N2014 R2013:S2014 R2015 N2016 R2016:S2016 R2017 N2019:N2021 N2025 R2018:S2025 R2026 N2027 R2027:S2029 R2030:R2031 N2035 R2032:S2035 R2036:R2037 R2038:S2039 R2040 N2041 R2041:S2043 R2044 N2045 R2045:S2045 R2046:R2047 N2049:N2050 R2048:S2050 R2051 R2052:S2053 R2054 N2055 N2057 R2055:S2057 R2058 N2059 N2063 R2059:S2063 R2064:R2066 N2067 R2067:S2067 R2075:T2075 S2076:S2088 R2089:T2089 S2090:S2104 R2105:T2105 S2106 R2107:T2107 S2108:S2111 R2112:T2112 S2113:S2114 R2115:T2115 S2116 R2117:T2117 S2118:S2132 R2133:T2133 S2134 R2135:T2135 S2136 R2137:T2137 S2138:S2141 R2142:T2142 N2075:N2249 S2143:S2249 N2252 S2252 N2255:N2257 S2255:S2257 N2259 S2259 N2268 S2268 N2270 S2270 N2272:N2274 S2272:S2274 N2276:N2277 S2276:S2277 N2280 S2280 N2282 S2282 N2284 S2284 N2286 S2286 N2288 S2288 N2290 S2290 N2299 S2298:S2299 N2301 S2301 N2304:N2305 S2304:S2305 N2307 S2307 N2309 S2309 N2322 S2322 N2328 S2328 N2330 S2330 N2334 S2334 N2336 S2336 N2338 S2338 N2341 S2341 N2347 S2347 N2349 S2349 N2352 S2352 N2357 S2357 N2359:N2360 S2359:S2360 N2362 S2362 S2388:S2394 R2395:T2395 N2388:N2614 S2396:S2614 N2616:N2695 S2616:S2695 M2696:M2697 R2696:R2697 N2698:N2699 S2698:S2699 M2700:M2701 R2700:R2701 M2702:N2702 R2702:S2702 N2703:N2704 S2703:S2704 M2705:N2705 R2705:S2705 N2706:N2709 S2706:S2709 M2710:N2710 R2710:S2710 N2711:N2715 S2711:S2715 M2716:N2719 R2716:S2719 N2720:N2723 S2720:S2723 M2724:N2724 R2724:S2724 N2725:N2726 S2725:S2726 M2727:M2728 R2727:R2728 M2729:N2729 R2729:S2729 M2730:M2732 R2730:R2732 N2733 S2733 M2734:N2734 R2734:S2734 N2735 S2735 M2736:N2736 R2736:S2736 N2737 S2737 M2738:N2738 R2738:S2738 M2739 R2739 M2740:N2741 R2740:S2741 N2742:N2749 S2742:S2749 M2750:N2750 R2750:S2750 N2751:N2752 S2751:S2752 M2753:N2753 R2753:S2753 N2754 S2754 M2755:N2755 R2755:S2755 N2756 S2756 M2757:N2757 R2757:S2757 N2758 S2758 M2759:N2759 R2759:S2759 N2760 S2760 M2761:N2761 R2761:S2761 N2762 S2762 M2763:N2763 R2763:S2763 N2764 S2764 M2765:N2765 R2765:S2765 N2766 S2766 M2767:N2767 R2767:S2767 N2768 S2768 M2769:N2769 R2769:S2769 N2770 S2770 M2771:N2771 R2771:S2771 N2772 S2772 M2773:N2777 R2773:S2777 N2778:N2779 S2778:S2779 M2780:N2789 R2780:S2789 N2790:N2866 S2790:S2866 M2867:M2870 R2867:R2870 N2871:N2874 S2871:S2874 M2875:M2885 R2875:R2885 S2886:S3118 R3119:T3119 N2886:N3122 S3120:S3122 S3125 R3126:T3126 S3127:S3131 R3132:T3132 N3125:N3398 S3133:S3398">
      <formula1>LEFT(M61, 3) = "10."</formula1>
    </dataValidation>
    <dataValidation type="decimal" operator="lessThan" allowBlank="1" showDropDown="1" sqref="AJ61:AJ64 AS61:AS64 AJ128 AJ153:AJ154 AS153:AS154 AJ159:AJ161 AS159:AS161 AJ174:AJ177 AS177 AJ189:AJ190 AP189:AP190 AS269 AJ270 AJ486:AJ491 AS486:AS491 AJ493:AJ496 AS493:AS496 AS536:AS550 AJ552 AS552 AJ554 AJ556:AJ561 AS556:AS561 AJ563 AS563 AJ565 AS565 AJ567:AJ572 AS567:AS572 AI593:AI597 AR593:AS597 AJ605:AJ607 AJ609 AS609 AJ645 AS645 AJ657:AJ662 AS657:AS662 AJ679:AJ699 AI700:AJ700 AS679:AS701 AJ701:AJ728 AS703:AS728 AS736 AR737:AS737 AJ734:AJ738 AS738 AS740:AS741 AJ740:AJ742 AR742:AS742 AR743:AR744 AJ745 AS745 AJ747:AJ749 AI750:AJ750 AS747:AS750 AJ753 AS753 AJ755:AJ757 AS755:AS757 AJ761 AS760:AS761 AJ765:AJ766 AS765:AS766 AS772:AS775 AS777 AJ772:AJ783 AS779:AS783 AS786:AS789 AJ786:AJ792 AS792 AJ803:AJ804 AS803:AS813 AP814 AS815:AS843 AJ807:AJ844 AJ847 AS846:AS847 AJ849:AJ850 AS849:AS850 AJ852 AS852 AS854:AS857 AJ854:AJ860 AS859:AS860 AS865 AJ865:AJ871 AS867:AS871 AS875:AS877 AJ876:AJ879 AJ883:AJ889 AS883:AS889 AJ891 AJ894:AJ895 AS894:AS895 AS897:AS902 AS905:AS908 AJ897:AJ912 AS911:AS912 AJ914:AJ915 AS914:AS917 AJ919:AJ920 AS919:AS920 AJ923 AS923 AJ926:AJ934 AS926:AS934 AS936:AS939 AJ936:AJ940 AS942:AS946 AJ942:AJ954 AS948:AS954 AJ956:AJ975 AS956:AS975 AJ977:AJ978 AJ980 AS977:AS980 AJ989 AJ991 AS990:AS991 AS993 AJ994 AS996:AS997 AJ996:AJ1001 AS999:AS1001 AJ1008:AJ1011 AJ1013:AJ1015 AS1009:AS1015 AS1018:AS1021 AS1023:AS1024 AS1026:AS1029 AS1031 AJ1018:AJ1034 AS1036 AS1038 AJ1039 AS1040 AS1042 AS1044 AS1046:AS1051 AJ1045:AJ1052 AS1053:AS1058 AJ1054:AJ1061 AS1061 AJ1064:AJ1070 AS1063:AS1070 AJ1072 AS1072 AS1074 AJ1075:AJ1078 AS1076:AS1078 AS1080 AS1083:AS1086 AJ1083:AJ1088 AS1088 AJ1090:AJ1094 AJ1096:AJ1100 AS1090:AS1100 AS1104 AS1106:AS1110 AS1112 AS1117 AS1119:AS1129 AJ1103:AJ1140 AS1132:AS1141 AJ1144:AJ1146 AS1143:AS1146 AS1148:AS1155 AJ1149:AJ1156 AS1157:AS1189 AS1191 AJ1158:AJ1197 AS1193:AS1197 AJ1200 AS1200 AJ1202 AS1202 AJ1204 AS1204 AJ1206 AS1206 AS1208 AJ1210 AS1210 AS1212 AJ1214 AS1214 AS1216 AJ1218 AS1218 AJ1222 AJ1224 AJ1228 AJ1230 AJ1232 AJ1234 AJ1236:AJ1278 AI1279:AJ1283 AS1236:AS1283 AJ1295:AJ1296 AS1295:AS1296 AJ1321 AS1321 AJ1324 AS1324 AJ1326 AS1326 AJ1328 AS1328 AS1339:AS1340 AS1341:AT1341 AS1342 AS1343:AT1343 AJ1339:AJ1345 AS1344:AS1345 AI1348:AJ1348 AS1348:AS1352 AJ1349:AJ1353 AS1353:AT1353 AI1354:AJ1354 AJ1355 AS1354:AS1355 AJ1356:AK1356 AS1356:AT1356 AI1357:AJ1359 AJ1360 AS1357:AS1360 AJ1361:AK1361 AS1361:AT1361 AJ1364:AJ1365 AJ1366:AK1366 AJ1367:AJ1368 AJ1369:AK1369 AJ1370:AJ1372 AS1364:AS1372 AJ1373:AK1373 AS1373:AT1373 AJ1374:AJ1375 AI1376:AJ1376 AJ1377:AJ1379 AS1374:AS1379 AJ1385:AJ1386 AI1387:AJ1388 AJ1389 AI1390:AJ1390 AJ1391 AI1392:AJ1392 AJ1393:AJ1395 AI1396:AJ1396 AJ1397:AJ1400 AS1385:AS1400 AJ1402 AS1402 AI1404:AJ1404 AJ1405 AI1406:AJ1406 AJ1407 AS1404:AS1407 AJ1411:AJ1425 AS1411:AS1425 AJ1431:AJ1433 AS1431:AS1433 AJ1435:AJ1437 AS1435:AS1437 AJ1440:AJ1443 AS1440:AS1443 AJ1445:AJ1446 AS1445:AS1446 AJ1450 AS1450 AJ1454 AS1454 AE1478 AI1478:AJ1478 AJ1479 AI1480:AJ1480 AJ1481:AJ1485 AI1486:AJ1486 AJ1487:AJ1492 AI1493:AJ1493 AJ1494:AJ1496 AI1497:AJ1497 AJ1498 AI1499:AJ1499 AJ1500 AS1478:AS1500 AJ1579:AJ1581 AS1579:AS1581 AY1680 AS1658:AS1681 AJ1658:AJ1726 AJ1728:AJ1861 AS1684:AS1861 AE1915 AI1914:AI1915 AI1916:AJ1916 AI1917 AI1918:AJ1919 AJ1920:AJ1921 AI1922:AJ1923 AS1922:AS1923 AI1925 AI1926:AJ1927 AJ1928 AI1929:AJ1930 AJ1931:AJ1932 AI1933:AJ1935 AJ1936 AI1937:AJ1939 AI1940 AI1941:AJ1941 AJ1942 AI1943:AJ1944 AI1945 AI1946:AJ1946 AJ1947 AI1948:AJ1949 AS1926:AS1949 AJ1950:AJ1951 AI1952:AI1953 AJ1954 AI1955:AJ1955 AI1956 AJ1957 AI1958:AJ1958 AJ1959:AJ1960 AI1961:AJ1961 AJ1962:AJ1963 AI1964 AJ1965:AJ1966 AI1967:AJ1967 AI1968:AI1969 AJ1970:AJ1971 AI1972:AJ1972 AJ1973:AJ1974 AI1975:AJ1977 AI1978:AI1979 AI1980:AJ1980 AI1981:AI1982 AI1983:AJ1983 AJ1984 AI1985:AJ1985 AI1986:AI1987 AJ1988 AI1989:AJ1989 AI1990 AJ1991:AJ1992 AI1993:AJ1993 AJ1994:AJ1995 AI1996 AJ1997:AJ1998 AI1999:AJ1999 AI2000:AI2001 AJ2002:AJ2003 AI2004:AI2005 AI2006:AJ2006 AI2007 AJ2008 AI2009:AJ2011 AJ2012:AJ2013 AI2014:AJ2014 AJ2015:AJ2016 AI2017:AI2018 AI2019:AJ2019 AJ2020:AJ2021 AI2022:AI2023 AI2024:AJ2025 AJ2026:AJ2027 AI2028:AJ2029 AJ2030 AI2031 AI2032:AJ2032 AI2033:AI2034 AJ2035:AJ2036 AI2037:AJ2038 AI2039 AJ2040 AI2041:AJ2041 AI2042 AI2043:AJ2043 AJ2044 AI2045:AJ2045 AJ2046:AJ2047 AI2048:AJ2048 AJ2049 AI2050:AJ2050 AJ2051 AI2052:AJ2052 AI2053 AJ2054:AJ2055 AI2056 AI2057:AJ2057 AJ2058:AJ2059 AI2060:AI2061 AI2062:AJ2062 AJ2063:AJ2064 AI2065 AI2066:AJ2066 AJ2067 AS1951:AS2067 AI2075:AJ2075 AS2075:AS2084 AJ2076:AJ2088 AI2089:AJ2089 AS2086:AS2089 AS2090:AT2090 AJ2090:AJ2111 AI2112:AJ2112 AJ2113:AJ2116 AI2117:AJ2117 AJ2118:AJ2134 AI2135:AJ2135 AJ2136 AI2137:AJ2137 AJ2138:AJ2141 AI2142:AJ2142 AJ2143:AJ2249 AS2091:AS2249 AJ2252 AS2252 AJ2256:AJ2257 AS2255:AS2257 AS2259 AJ2259:AJ2266 AJ2268 AS2264:AS2268 AJ2270 AS2270 AJ2272:AJ2274 AS2272:AS2274 AJ2276:AJ2277 AS2276:AS2277 AJ2280 AS2280 AJ2282 AS2282 AJ2284 AS2284 AJ2286 AS2286 AJ2288 AS2288 AJ2290 AS2290:AS2291 AJ2298:AJ2299 AS2298:AS2299 AJ2301 AS2301 AJ2304:AJ2305 AS2304:AS2305 AJ2307 AS2307 AJ2309 AS2309 AJ2322 AS2322 AS2325 AJ2328 AS2328 AJ2330 AS2330 AJ2334 AS2334 AJ2336 AS2336 AJ2338 AS2338 AJ2341 AS2341 AJ2347 AS2347 AJ2349 AS2349 AJ2352 AS2352 AJ2356:AJ2357 AS2357 AS2359:AS2360 AJ2359:AJ2362 AS2362 AJ2381 AS2381 AS2388:AT2389 AJ2388:AJ2394 AI2395:AJ2395 AS2390:AS2395 AS2396:AT2400 AS2401:AS2404 AJ2396:AJ2406 AJ2407:AK2410 AS2405:AT2410 AS2411:AS2413 AS2414:AT2415 AS2416:AS2422 AS2423:AT2426 AS2427:AS2430 AJ2411:AJ2431 AS2431:AU2431 AJ2432:AK2434 AJ2435 AJ2436:AK2440 AJ2441:AJ2469 AJ2470:AK2472 AJ2473 AJ2474:AK2478 AJ2479:AJ2566 AS2432:AS2566 AJ2567:AK2569 AS2567:AT2569 AJ2570:AJ2614 AS2570:AS2614 AS2616:AS2631 AS2632:AT2632 AS2633:AS2658 AG2659:AG2660 AJ2616:AJ2669 AJ2670:AK2673 AM2670:AM2673 AS2659:AT2673 AS2674:AS2676 AS2677:AT2679 AS2680:AS2685 AS2686:AT2689 AS2690:AS2692 AS2693:AT2694 AJ2674:AJ2695 AS2695 AI2696:AI2697 AR2696:AR2697 AJ2698:AJ2699 AN2698:AN2699 AS2698:AS2699 AW2698:AW2699 AI2700:AJ2701 AR2700:AS2701 AI2702 AR2702 AJ2703:AJ2704 AN2703:AN2704 AS2703:AS2704 AW2703:AW2704 AI2705 AR2705 AJ2706:AJ2709 AN2706:AN2709 AS2706:AS2709 AW2706:AW2709 AI2710 AR2710 AJ2711:AJ2715 AN2711:AN2715 AS2711:AS2715 AI2716:AJ2719 AR2716:AS2719 AG2720:AG2723 AJ2720:AJ2723 AS2720:AS2723 AI2724 AR2724 AJ2725:AJ2726 AN2725:AN2726 AW2725:AW2726 AS2725:AS2728 AI2727:AI2732 AR2729:AR2732 AJ2733 AS2733 AI2734 AR2734 AJ2735 AN2735 AS2735 AW2735 AI2736 AR2736 AJ2737 AN2737 AS2737 AW2737 AI2738:AI2739 AR2738:AR2739 AI2740:AJ2741 AR2740:AS2741 AJ2742:AJ2749 AS2742:AS2749 AI2750 AR2750 AJ2751:AJ2752 AN2751:AN2752 AS2751:AS2752 AW2751:AW2752 AI2753 AR2753 AJ2754 AN2754 AS2754 AW2754 AI2755 AR2755 AJ2756 AN2756 AS2756 AW2756 AI2757 AR2757 AJ2758 AN2758 AS2758 AW2758 AI2759 AR2759 AJ2760 AN2760 AS2760 AW2760 AI2761 AR2761 AJ2762 AN2762 AS2762 AW2762 AI2763 AR2763 AJ2764 AN2764 AS2764 AW2764 AI2765 AR2765 AJ2766 AN2766 AS2766 AW2766 AI2767 AR2767 AJ2768 AN2768 AS2768 AW2768 AI2769 AR2769 AJ2770 AN2770 AS2770 AW2770 AI2771 AR2771 AJ2772 AN2772 AS2772 AW2772 AI2773:AI2777 AR2773:AR2777 AJ2778:AJ2779 AN2778:AN2779 AS2778:AS2779 AI2780:AI2789 AR2780:AR2789 AN2791:AN2792 AN2794:AN2795 AN2797:AN2798 AN2800:AN2801 AN2803:AN2804 AN2806:AN2807 AN2809:AN2810 AN2812:AN2813 AN2815:AN2816 AN2818:AN2819 AN2821:AN2822 AN2824:AN2825 AN2827:AN2828 AN2830:AN2831 AN2833:AN2834 AN2836:AN2837 AN2839:AN2840 AN2842:AN2843 AN2845:AN2846 AN2848:AN2849 AN2851:AN2852 AJ2790:AJ2866 AN2854:AN2866 AS2790:AS2866 AW2790:AW2866 AI2867:AI2870 AR2867:AR2870 AG2872 AJ2871:AJ2874 AS2871:AS2874 AR2875:AS2876 AI2875:AJ2877 AR2877:AR2881 AI2878:AI2885 AR2883:AR2885 AJ2886:AJ3011 AJ3012:AL3012 AJ3013:AJ3016 AJ3017:AK3018 AJ3019:AJ3118 AI3119:AJ3119 AS2886:AS3119 AJ3120 AJ3121:AK3121 AS3120:AT3121 AJ3122 AS3122 AJ3125 AS3125:AT3125 AI3126:AJ3126 AJ3127:AJ3398 AS3126:AS3398">
      <formula1>1.1</formula1>
    </dataValidation>
    <dataValidation type="custom" allowBlank="1" showDropDown="1" sqref="AP183 AP657 AP1984 AP2091">
      <formula1>isnumber(#REF!)</formula1>
    </dataValidation>
    <dataValidation type="list" allowBlank="1" showErrorMessage="1" sqref="AX361 AX526 AX528 AX532 AX1647 AX1651 AX1653 AX1655 AX1657 AX2072 AX2363:AX2387">
      <formula1>#REF!</formula1>
    </dataValidation>
    <dataValidation type="list" allowBlank="1" showErrorMessage="1" sqref="AM1278:AM1283 AV1278:AV1283 AM1296 AV1296 AM1321 AV1321 AM1324 AV1324 AM1326 AV1326 AM1328 AV1328 AM1339:AM1345 AV1339:AV1345 AM1348:AM1361 AV1348:AV1361 AM1364:AM1379 AV1364:AV1379 AM1385:AM1400 AV1385:AV1400 AM1402 AV1402 AM1406 AV1404:AV1407 AM1423:AM1425 AV1423:AV1425 AM1431:AM1433 AV1431:AV1433 AM1435:AM1436 AV1435:AV1437 AM1441:AM1442 AV1441:AV1443 AM1478:AM1500 AV1478:AV1500 AM1579:AM1581 AV1579:AV1581 AM1739:AM1861 AV1739:AV1861 AM1914:AM1939 AV1914:AV1939 AM2075:AM2249 AV2075:AV2249 AM2388:AM2406 AM2411:AM2614 AV2388:AV2614 AM2616:AM2669 AM2674:AM2726 AL2727:AL2728 AM2729:AM2738 AV2616:AV2738 AL2739 AU2739 AM2740:AM2867 AV2740:AV2867 AL2868:AM2868 AU2868:AV2868 AL2869 AU2869 AV2870:AV3016 AM2870:AM3122 AV3018:AV3122 AM3125:AM3398 AV3125:AV3398">
      <formula1>#REF!</formula1>
    </dataValidation>
    <dataValidation type="list" allowBlank="1" showErrorMessage="1" sqref="D5:D6 D2125:D2136 D2514 D2522:D2523 D2608:D2609 D3185:D3193">
      <formula1>"Mariem,Roksana,Thomas,Maria,Shruti,Antony,Radoslaw,Fabienne,Daniel,Ray,Nikolay,Hakile,Raul,Alisa,Teshome,Adira,Jyoti,Maureen,Nikita,Husnain,Sarah,Alexsandr,Vidhi,Mario,Diego,Corinna,Tafere,Kamran"</formula1>
    </dataValidation>
    <dataValidation type="decimal" operator="lessThanOrEqual" allowBlank="1" showDropDown="1" sqref="AJ4:AJ60 AS4:AS60 AJ65:AJ95 AS65:AS95 AK96:AK97 AT96:AT97 AJ98:AJ123 AJ124:AK124 AJ125 AJ126:AK127 AJ129:AK129 AJ130:AJ152 AS98:AS152 AJ155:AJ158 AS155:AS158 AJ162:AJ173 AS162:AS176 AJ178:AJ188 AJ191:AJ217 AJ218:AM219 AJ220 AS178:AS220 AJ221:AM221 AS221:AV221 AS222:AS224 AS225:AV225 AJ222:AJ244 AS226:AS244 AJ245:AM245 AS245:AV245 AS246:AS247 AS248:AV248 AS249:AS266 AJ246:AJ268 AS267:AT268 AJ269:AM269 AJ271:AJ360 AS270:AS360 AS362:AS477 AS479 AJ362:AJ485 AS481:AS485 AJ492 AS492 AJ497:AJ525 AS497:AS525 AJ527 AS527 AJ529:AJ531 AS529:AS531 AJ533:AJ535 AS533:AS535 AJ538 AJ551 AS551 AJ553 AJ555 AS553:AS555 AJ562 AS562 AJ564 AS564 AJ566 AS566 AS573:AS592 AJ573:AJ604 AS598:AS604 AJ608 AS608 AJ610:AJ644 AS610:AS644 AJ646:AJ656 AS646:AS656 AJ663:AJ678 AS663:AS678 AS702 AJ729:AJ733 AS729:AS735 AJ739 AS739 AJ743:AJ744 AS743:AS744 AJ746 AS746 AJ751:AJ752 AS751:AS752 AJ754 AS754 AJ758:AJ759 AS758:AS759 AJ762:AJ764 AS762:AS764 AJ767:AJ771 AS767:AS771 AS776 AS778 AJ784:AJ785 AS784:AS785 AS790:AS791 AJ793:AJ802 AS793:AS802 AJ805:AJ806 AS814 AS844:AS845 AJ845:AJ846 AJ848 AS848 AJ851 AS851 AJ853 AS853 AS858 AR925:AR926 AS1030 AS1033:AS1034 AS1045 AS1075 AS1087 AS1089 AS1101 AS1103 AS1105 AS1111 AS1113:AS1116 AS1118 AS1130 AS1156 AS1190 AJ1198:AJ1199 AS1198:AS1199 AJ1201 AS1201 AJ1203 AS1203 AJ1205 AS1205 AS1207 AJ1207:AJ1209 AS1209 AS1211 AJ1211:AJ1213 AS1213 AS1215 AJ1215:AJ1217 AS1217 AJ1219:AJ1221 AJ1223 AJ1225:AJ1227 AJ1229 AJ1231 AJ1233 AJ1235 AS1219:AS1235 AJ1284:AJ1294 AS1284:AS1294 AJ1297:AJ1320 AS1297:AS1320 AJ1322:AJ1323 AS1322:AS1323 AJ1325 AS1325 AJ1327 AS1327 AJ1329:AJ1338 AS1329:AS1338 AJ1346:AJ1347 AS1346:AS1347 AJ1362:AJ1363 AS1362:AS1363 AJ1380:AJ1384 AS1380:AS1384 AJ1401 AS1401 AJ1403 AS1403 AW1408 AJ1408:AJ1410 AS1408:AS1410 AW1410 AJ1426:AJ1430 AS1426:AS1430 AJ1434 AS1434 AJ1438:AJ1439 AS1438:AS1439 AJ1444 AS1444 AJ1447:AJ1449 AS1447:AS1449 AJ1451:AJ1453 AS1451:AS1453 AJ1455:AJ1477 AS1455:AS1477 AJ1501:AJ1578 AS1501:AS1578 AJ1582:AJ1646 AS1582:AS1646 AJ1648:AJ1650 AS1648:AS1650 AJ1652 AS1652 AJ1654 AS1654 AJ1656 AS1656 AJ1862:AJ1913 AS1862:AS1919 AS1924:AS1925 AJ1940 AJ1945 AJ1952:AJ1953 AJ1956 AJ1964 AJ1968:AJ1969 AJ1978:AJ1979 AJ1981:AJ1982 AJ1986:AJ1987 AJ1990 AJ1996 AJ2000:AJ2001 AJ2004:AJ2005 AJ2007 AJ2017:AJ2018 AJ2022:AJ2023 AJ2031 AJ2033:AJ2034 AJ2039 AJ2042 AJ2053 AJ2056 AJ2060:AJ2061 AJ2065 AJ2068:AJ2071 AS2068:AS2071 AJ2073:AJ2074 AS2073:AS2074 AJ2250:AJ2251 AS2250:AS2251 AR2252:AR2274 AI2275:AI2296 AR2297 AI2298 AI2310:AI2320 AR2299:AR2326 AR2335 AR2337:AR2341 AR2343 AP2344 AP2352 AR2345:AR2362 AJ2615 AS2615 AJ3123:AJ3124 AS3123:AS3124">
      <formula1>1.0</formula1>
    </dataValidation>
    <dataValidation type="list" allowBlank="1" showErrorMessage="1" sqref="AL1278:AL1283 AU1278:AU1283 AL1296 AU1296 AL1321 AU1321 AL1324 AU1324 AL1326 AU1326 AL1328 AU1328 AL1339:AL1345 AU1339:AU1345 AL1348:AL1361 AU1348:AU1361 AL1364 AU1364 AL1366:AL1367 AU1366:AU1367 AL1369:AL1370 AU1369:AU1370 AL1373:AL1374 AU1373:AU1374 AL1376:AL1379 AU1376:AU1379 AL1385:AL1400 AU1385:AU1400 AL1402 AU1402 AL1406 AU1404:AU1407 AL1423:AL1425 AU1423:AU1425 AL1431:AL1433 AU1431:AU1433 AL1435:AL1437 AU1435:AU1437 AL1441:AL1443 AU1441:AU1443 AL1478:AL1480 AU1478:AU1480 AL1485:AL1487 AU1485:AU1487 AL1490 AU1490 AL1492:AL1493 AU1492:AU1493 AL1495 AU1495 AL1497 AU1497 AL1499 AU1499 AL1914:AL1939 AU1914:AU1939 AL2075 AU2075 AL2077:AL2090 AU2077:AU2090 AL2105 AU2105 AL2107 AU2107 AL2112 AU2112 AL2115 AU2115 AL2117:AL2133 AU2117:AU2133 AL2135 AU2135 AL2137:AL2138 AU2137:AU2138 AL2142 AU2142 AL2144:AL2145 AU2144:AU2145 AL2198 AU2198 AL2200 AU2200 AL2202 AU2202 AL2204 AU2204 AL2206 AU2206 AL2208 AU2208 AL2210 AU2210 AL2212 AU2212 AL2214 AU2214 AL2216 AU2216 AL2218 AU2218 AL2220 AU2220 AL2222 AU2222 AL2224 AU2224 AL2226 AU2226 AL2228 AU2228 AL2230 AU2230 AL2232 AU2232 AL2234 AU2234 AL2236 AU2236 AL2238 AU2238 AL2240 AU2240 AL2242 AU2242 AL2244 AU2244 AL2246 AU2246 AL2248 AU2248 AU2388:AU2430 AL2388:AL2614 AU2432:AU2614 AL2616:AL2726 AK2727:AK2728 AL2729:AL2738 AU2616:AU2738 AK2739 AT2739 AL2740:AL2867 AU2740:AU2867 AK2868:AK2869 AT2868:AT2869 AU2870:AU3002 AT3003:AU3003 AL2870:AL3004 AL3006:AL3011 AK3013:AL3013 AL3014:AL3121 AU3004:AU3121 AL3125:AL3398 AU3125:AU3398">
      <formula1>#REF!</formula1>
    </dataValidation>
    <dataValidation type="list" allowBlank="1" showErrorMessage="1" sqref="D2:D3 D7:D2124 D2137:D2513 D2515:D2521 D2524:D2607 D2610:D2893 D2927:D3184 D3194:D3398">
      <formula1>"Mariem,Roksana,Thomas,Maria,Shruti,Antony,Radoslaw,Fabienne,Daniel,Ray,Nikolay,Hakile,Raul,Alisa,Teshome,Adira,Jyoti,Maureen,Nikita,Husnain,Sarah,Alexsandr,Vidhi,Mario,Diego,Corinna,Tafere,Kamran,Baha"</formula1>
    </dataValidation>
    <dataValidation type="list" allowBlank="1" showErrorMessage="1" sqref="Z4:Z360 Z362:Z525 Z527 Z529:Z531 Z533:Z1277 Z1284:Z1295 Z1297:Z1320 Z1322:Z1323 Z1325 Z1327 Z1329:Z1338 Z1346:Z1347 Z1362:Z1363 Z1380:Z1384 Z1401 Z1403 Z1408:Z1422 Z1426:Z1430 Z1434 Z1438:Z1440 Z1444:Z1477 Z1501:Z1578 Z1582:Z1646 Z1648:Z1650 Z1652 Z1654 Z1656 Z1658:Z1738 Z1862:Z1913 Z1940:Z2071 Z2073:Z2074 Z2250:Z2362 Z2615 Z3123:Z3124">
      <formula1>'Data validation'!$G$2:$G$20</formula1>
    </dataValidation>
    <dataValidation type="list" allowBlank="1" showErrorMessage="1" sqref="AL4:AL95 AU4:AU95 AM96:AM97 AV96:AV97 AL98:AL217 AL220 AU98:AU220 AU222:AU224 AL222:AL244 AU226:AU244 AU246:AU247 AL246:AL268 AL270:AL360 AU249:AU360 AL362:AL525 AU362:AU525 AL527 AU527 AL529:AL531 AU529:AU531 AL533:AL1277 AU533:AU1277 AL1284:AL1295 AU1284:AU1295 AL1297:AL1320 AU1297:AU1320 AL1322:AL1323 AU1322:AU1323 AL1325 AU1325 AL1327 AU1327 AL1329:AL1338 AU1329:AU1338 AL1346:AL1347 AU1346:AU1347 AL1362:AL1363 AU1362:AU1363 AL1365 AU1365 AL1368 AU1368 AL1371:AL1372 AU1371:AU1372 AL1375 AU1375 AL1380:AL1384 AU1380:AU1384 AL1401 AU1401 AU1403 AL1403:AL1405 AL1407:AL1422 AU1408:AU1422 AL1426:AL1430 AU1426:AU1430 AL1434 AU1434 AL1438:AL1440 AU1438:AU1440 AL1444:AL1477 AU1444:AU1477 AL1481:AL1484 AU1481:AU1484 AL1488:AL1489 AU1488:AU1489 AL1491 AU1491 AL1494 AU1494 AL1496 AU1496 AL1498 AU1498 AL1500:AL1646 AU1500:AU1646 AL1648:AL1650 AU1648:AU1650 AL1652 AU1652 AL1654 AU1654 AL1656 AU1656 AL1658:AL1913 AU1658:AU1913 AL1940:AL2071 AU1940:AU2071 AL2073:AL2074 AU2073:AU2074 AL2076 AU2076 AL2091:AL2104 AU2091:AU2104 AL2106 AU2106 AL2108:AL2111 AU2108:AU2111 AL2113:AL2114 AU2113:AU2114 AL2116 AU2116 AL2134 AU2134 AL2136 AU2136 AL2139:AL2141 AU2139:AU2141 AL2143 AU2143 AL2146:AL2197 AU2146:AU2197 AL2199 AU2199 AL2201 AU2201 AL2203 AU2203 AL2205 AU2205 AL2207 AU2207 AL2209 AU2209 AL2211 AU2211 AL2213 AU2213 AL2215 AU2215 AL2217 AU2217 AL2219 AU2219 AL2221 AU2221 AL2223 AU2223 AL2225 AU2225 AL2227 AU2227 AL2229 AU2229 AL2231 AU2231 AL2233 AU2233 AL2235 AU2235 AL2237 AU2237 AL2239 AU2239 AL2241 AU2241 AL2243 AU2243 AL2245 AU2245 AL2247 AU2247 AL2249:AL2362 AU2249:AU2362 AL2615 AU2615 AL3005 AL3122:AL3124 AU3122:AU3124">
      <formula1>'Data validation'!$E$2:$E$4</formula1>
    </dataValidation>
    <dataValidation type="custom" allowBlank="1" showDropDown="1" sqref="N657 S657 R1359 R1971 R1984">
      <formula1>LEFT(#REF!, 3) = "10."</formula1>
    </dataValidation>
    <dataValidation type="list" allowBlank="1" showErrorMessage="1" sqref="C3:C3398">
      <formula1>'Data validation'!$O$2:$O$4</formula1>
    </dataValidation>
    <dataValidation type="list" allowBlank="1" sqref="Z361 Z526 Z528 Z532 Z1647 Z1651 Z1653 Z1655 Z1657 Z2072 Z2363:Z2387">
      <formula1>#REF!</formula1>
    </dataValidation>
    <dataValidation type="custom" allowBlank="1" showDropDown="1" showErrorMessage="1" sqref="I61:I64 I128:I129 I153:J154 I159:J161 I174:I177 I189:J190 J265:J266 I269:J269 I270 I486:J491 I493:J496 I536:J550 I552:J552 I554 I556:J561 I563:J563 I565 I567:I569 I570:J572 H593:I597 I605:J607 I609:J609 I645:J645 I657:J662 I679:J921 J922 I923:J924 J925 I926:J1197 I1200 I1202 I1204 I1206 I1208 I1210 I1212 I1214 I1216 I1218 I1220 I1222 I1224 I1226 I1228 I1230 I1232 I1234 I1236:J1277 I1295:J1296 I1321 I1324 I1326 I1328 I1339:I1343 I1345 I1349:I1350 I1352:I1353 I1355:I1356 I1360:I1361 I1364:I1375 I1386 I1389 I1391 I1393 I1395 I1397 I1399 I1400:J1400 I1402:J1402 I1405 I1407 I1411:I1413 I1414:J1422 I1423:I1425 I1430 I1431:J1433 I1434:I1437 I1440:I1443 I1445:I1446 I1450 I1454 I1481:I1484 I1488:I1489 I1491 I1494 I1496 I1498 I1500 I1579:I1581 I1658:J1738 I1739:I1861 I2076:I2088 I2090:I2104 I2106 I2108:I2111 I2113:I2114 I2116 I2118:I2132 I2134 I2136 I2138:I2141 I2143:I2249 I2252:J2252 J2253:J2254 I2255:J2257 J2258 I2259:J2260 J2261 I2262:J2262 J2263 I2264:J2264 J2265:J2267 I2268:J2268 J2269 I2270:J2270 J2271 I2272:J2274 J2275 I2276:J2277 J2279 I2280:J2280 J2281 I2282:J2282 J2283 I2284:J2284 J2285 I2286:J2286 J2287 I2288:J2288 J2289 I2290:J2290 J2291:J2297 I2298:J2299 J2300 I2301:J2301 J2302:J2303 I2304:J2309 I2321:J2322 J2323:J2326 I2327:J2330 J2333 I2334:J2334 J2335 I2336:J2336 J2337 I2338:J2338 J2339:J2340 I2341:J2342 J2343 I2344:J2344 J2345:J2346 I2347:J2347 J2348 I2349:J2349 J2350:J2351 I2352:J2352 J2353:J2356 I2357:J2357 J2358 I2359:J2360 J2361 I2362:J2362 I2388:I2394 I2396:I2614 I2616:I2695 H2696:H2697 I2698:I2699 H2700:H2701 H2702:J2702 I2703:I2704 H2705:J2705 I2706:I2709 H2710:J2710 I2711:I2715 H2716:J2719 I2720:I2723 H2724:J2724 I2725:I2726 H2727:H2728 H2729:J2729 H2730:H2732 I2733 H2734:J2734 I2735 H2736:J2736 I2737 H2738:J2738 H2739 H2740:J2741 I2742:I2749 H2750:J2750 I2751:J2752 H2753:J2753 I2754:J2754 H2755:J2755 I2756:J2756 H2757:J2757 I2758:J2758 H2759:J2759 I2760:J2760 H2761:J2761 I2762:J2762 H2763:J2763 I2764:J2764 H2765:J2765 I2766:J2766 H2767:J2767 I2768:J2768 H2769:J2769 I2770:J2770 H2771:J2771 I2772:J2772 H2773:J2777 I2778:I2779 H2780:J2789 I2790:I2866 H2867:H2870 I2871:I2874 H2875:H2885 I2886:I3118 I3120:I3122 I3127:I3131 I3133:I3398">
      <formula1>OR(NOT(ISERROR(DATEVALUE(H61))), AND(ISNUMBER(H61), LEFT(CELL("format", H61))="D"))</formula1>
    </dataValidation>
    <dataValidation type="list" allowBlank="1" sqref="AH1279 AH1281 AH1283 AH1340:AH1345 AH1348:AH1361 AH1364 AH1366:AH1367 AH1369:AH1370 AH1373:AH1374 AH1376:AH1379 AH1386 AH1388:AH1399 AH1404:AH1407 AH1478 AH1480 AH1485:AH1487 AH1490 AH1492:AH1493 AH1495 AH1497 AH1499 AH2075:AH2089 AH2105 AH2107 AH2115 AH2118:AH2133 AH2135 AH2137:AH2138 AH2142 AH2144:AH2145 AH2198 AQ2198 AH2200 AQ2200 AH2202 AQ2202 AH2204 AQ2204 AH2206 AQ2206 AH2208 AQ2208 AH2210 AQ2210 AH2212 AQ2212 AH2214 AQ2214 AH2216 AQ2216 AH2218 AQ2218 AH2220 AQ2220 AH2222 AQ2222 AH2224 AQ2224 AH2226 AQ2226 AH2228 AQ2228 AH2230 AQ2230 AQ2232 AQ2234 AH2236 AQ2236 AH2238 AQ2238 AH2240 AQ2240 AH2242 AQ2242 AH2244 AQ2244 AH2246 AQ2246 AH2248 AQ2248 AH2388:AH2510 AH2513:AH2514 AH2518:AH2523 AH2526:AH2538 AH2540 AH2542:AH2561 AH2563:AH2582 AH2585 AH2587:AH2604 AH2616:AH2695 AG2696:AH2697 AH2698:AH2699 AG2700:AH2702 AH2703:AH2704 AG2705:AH2705 AH2706:AH2709 AG2710:AH2710 AH2711:AH2715 AG2716:AH2719 AH2720:AH2723 AG2724:AH2724 AH2725:AH2726 AG2727:AG2728 AG2729:AH2732 AH2733 AG2734:AH2734 AH2735 AG2736:AH2736 AH2737 AG2738:AH2738 AG2739 AG2740:AH2741 AH2742:AH2749 AG2750:AH2750 AH2751:AH2752 AG2753:AH2753 AH2754 AG2755:AH2755 AH2756 AG2757:AH2757 AH2758 AG2759:AH2759 AH2760 AG2761:AH2761 AH2762 AG2763:AH2763 AH2764 AG2765:AH2765 AH2766 AG2767:AH2767 AH2768 AG2769:AH2769 AH2770 AG2771:AH2771 AH2772 AG2773:AH2777 AH2778:AH2779 AG2780:AH2789 AH2790:AH2866 AG2867:AH2868 AG2869 AG2870:AH2870 AH2871:AH2874 AG2875:AH2885 AQ2927 AH2886:AH2961 AH2963:AH2977 AH2979:AH3121 AH3125 AH3127:AH3398">
      <formula1>#REF!</formula1>
    </dataValidation>
    <dataValidation type="list" allowBlank="1" sqref="AR558 AR561 AP593:AP597 AH1296 AQ1296 AH1321 AH1324 AH1326 AQ1326 AH1328 AQ1328 AH1339 AQ1339 AQ1365 AQ1368 AQ1371:AQ1372 AQ1375 AQ1400 AQ1402 AQ1405 AQ1407 AQ1423:AQ1424 AH1432 AQ1431:AQ1433 AQ1435:AQ1437 AQ1441 AQ1481:AQ1484 AQ1488:AQ1492 AQ1494 AQ1496 AQ1498 AQ1500 AQ1579:AQ1581 AQ1739:AQ1861 AH1917 AH1920:AH1921 AH1924 AH1928 AH1931:AH1932 AH1936 AH1938 AQ1914:AQ1939 AQ2076 AQ2090:AQ2098 AQ2100:AQ2103 AQ2106 AQ2108:AQ2111 AQ2113:AQ2114 AQ2116 AQ2126 AQ2134 AQ2136 AQ2138:AQ2141 AQ2143 AQ2146:AQ2164 AQ2166:AQ2178 AQ2180:AQ2182 AQ2184:AQ2197 AQ2199 AQ2201 AQ2203 AQ2205 AQ2207 AQ2209 AQ2211 AQ2213 AQ2215 AQ2217 AQ2219 AQ2221 AQ2223 AQ2225 AQ2227 AQ2229 AQ2231 AQ2233 AQ2235 AQ2237 AQ2239 AQ2241 AQ2243 AQ2245 AQ2247 AQ2249 AR2328 AR2330 AR2334 AR2336 AQ2394 AQ3122">
      <formula1>#REF!</formula1>
    </dataValidation>
    <dataValidation type="decimal" operator="greaterThan" allowBlank="1" showDropDown="1" sqref="AF361:AI361 AO361 AF526:AI526 AO526 AF528:AI528 AO528 AF532:AI532 AO532 AF922:AG922 AI922 AO922 AG923 AF925:AG925 AI925 AO925 AG926 AF1647:AI1647 AO1647 AF1651:AI1651 AO1651 AF1653:AI1653 AO1653 AF1655:AI1655 AO1655 AF1657:AI1657 AF2072:AI2072 AN2072:AO2072 AF2253:AG2254 AI2253:AI2254 AN2253:AP2254 AG2255 AN2256:AN2257 AF2258:AG2258 AI2258 AO2258 AG2259 AN2260:AO2266 AF2260:AG2267 AI2260:AI2267 AO2267 AF2269:AG2269 AI2269 AO2269 AG2270 AF2271:AG2271 AI2271 AO2271 AO2275:AP2275 AR2275 AN2278:AP2278 AO2279:AP2279 AR2278:AR2279 AO2281:AP2281 AR2281 AN2283:AP2283 AR2283 AN2284 AO2285:AP2285 AR2285 AD2287 AN2287:AO2287 AR2287 AN2289:AP2289 AR2289 AN2291:AP2296 AR2291:AR2296 AF2297:AG2297 AI2297 AN2297:AO2297 AF2300 AI2300 AN2300:AO2300 AF2302 AF2303:AG2303 AI2302:AI2303 AN2302:AO2303 AG2304 AN2304:AN2305 AF2306:AG2306 AI2306 AN2306:AO2306 AN2307 AF2308:AG2308 AI2308 AN2308:AO2308 AN2309 AF2310:AG2321 AI2321 AN2310:AO2321 AN2322 AF2323:AG2326 AF2327 AI2323:AI2327 AN2323:AO2327 AN2328 AF2329:AG2329 AI2329 AN2329:AO2329 AN2330 AF2331:AG2332 AF2333 AI2331:AI2333 AN2331:AO2333 AF2335 AI2335 AN2334:AN2336 AF2337 AF2339:AG2339 AF2340 AI2339:AI2340 AN2337:AO2340 AN2341 AF2342:AF2345 AF2346:AG2346 AI2342:AI2346 AN2342:AO2346 AG2347 AN2347 AF2348 AI2348 AN2348:AO2348 AN2349 AF2350:AG2351 AI2350:AI2351 AN2350:AO2351 AF2353:AG2355 AI2353:AI2355 AF2356 AN2353:AO2356 AN2357 AF2358:AG2358 AI2358 AN2358:AO2358 AG2359 AN2359:AN2360 AF2361:AG2361 AN2361:AO2361 AI2361:AI2362 AF2363:AI2380 AF2381 AH2381:AI2381 AF2382:AI2387 AN2363:AO2387 AN2388:AN2392 AN2394">
      <formula1>0.0</formula1>
    </dataValidation>
    <dataValidation type="list" allowBlank="1" sqref="AQ1278:AQ1283 AQ1340:AQ1345 AQ1348:AQ1361 AQ1364 AQ1366:AQ1367 AQ1369:AQ1370 AQ1373:AQ1374 AQ1377 AQ1379 AQ1386 AQ1388:AQ1393 AQ1395 AQ1399 AQ1478:AQ1480 AQ1485:AQ1487 AQ1493 AQ1495 AQ1497 AQ1499 AQ2075 AQ2077:AQ2078 AQ2081:AQ2089 AQ2105 AQ2107 AQ2112 AQ2115 AQ2118:AQ2121 AQ2123:AQ2125 AQ2127:AQ2133 AQ2135 AQ2137 AQ2142 AQ2144:AQ2145 AQ2388:AQ2392 AQ2396:AQ2510 AQ2513:AQ2538 AQ2540 AQ2542:AQ2604 AQ2616:AQ2695 AP2696:AQ2697 AQ2698:AQ2701 AP2702:AQ2702 AQ2703:AQ2704 AP2705:AQ2705 AQ2706:AQ2709 AP2710:AQ2710 AQ2711:AQ2715 AP2716:AQ2719 AQ2720:AQ2723 AP2724:AQ2724 AQ2725:AQ2726 AP2729:AQ2731 AP2732 AQ2733 AP2734:AQ2734 AQ2735 AP2736:AQ2736 AQ2737 AP2738:AQ2738 AP2739 AP2740:AQ2741 AQ2742:AQ2749 AP2750:AQ2750 AQ2751:AQ2752 AP2753:AQ2753 AQ2754 AP2755:AQ2755 AQ2756 AP2757:AQ2757 AQ2758 AP2759:AQ2759 AQ2760 AP2761:AQ2761 AQ2762 AP2763:AQ2763 AQ2764 AP2765:AQ2765 AQ2766 AP2767:AQ2767 AQ2768 AP2769:AQ2769 AQ2770 AP2771:AQ2771 AQ2772 AP2773:AQ2777 AQ2778:AQ2779 AP2780:AQ2789 AQ2790:AQ2866 AP2867:AQ2868 AP2869 AP2870:AQ2870 AQ2871:AQ2877 AP2878:AQ2881 AQ2882 AP2883:AQ2885 AQ2886:AQ2926 AQ2928:AQ3065 AP3066:AQ3066 AQ3067:AQ3068 AP3069:AQ3072 AQ3073:AQ3121 AQ3125 AQ3127:AQ3398">
      <formula1>#REF!</formula1>
    </dataValidation>
    <dataValidation type="list" allowBlank="1" showErrorMessage="1" sqref="AX1278:AX1283 AX1296 AX1321 AX1324 AX1326 AX1328 AX1339:AX1345 AX1348:AX1361 AX1364:AX1379 AX1385:AX1400 AX1402 AX1404:AX1407 AX1423:AX1425 AX1431:AX1433 AX1435:AX1437 AX1441:AX1443 AX1478:AX1500 AX1579:AX1581 AX1739:AX1861 AX1914:AX1939 AX2075:AX2249 AX2388:AX2614 AX2616:AX2695 AW2696:AX2697 AX2698:AX2699 AW2700:AX2702 AX2703:AX2704 AW2705:AX2705 AX2706:AX2709 AW2710:AX2710 AX2711:AX2715 AW2716:AX2719 AX2720:AX2723 AW2724:AX2724 AX2725:AX2726 AW2727:AX2732 AX2733 AW2734:AX2734 AX2735 AW2736:AX2736 AX2737 AW2738:AX2741 AX2742:AX2749 AW2750:AX2750 AX2751:AX2752 AW2753:AX2753 AX2754 AW2755:AX2755 AX2756 AW2757:AX2757 AX2758 AW2759:AX2759 AX2760 AW2761:AX2761 AX2762 AW2763:AX2763 AX2764 AW2765:AX2765 AX2766 AW2767:AX2767 AX2768 AW2769:AX2769 AX2770 AW2771:AX2771 AX2772 AW2773:AX2777 AX2778:AX2779 AW2780:AX2789 AX2790:AX2866 AW2867:AX2870 AX2871:AX2874 AW2875:AX2885 AX2886:AX3122 AX3125:AX3398">
      <formula1>#REF!</formula1>
    </dataValidation>
    <dataValidation type="list" allowBlank="1" showErrorMessage="1" sqref="AM361 AV361 AM526 AV526 AM528 AV528 AM532 AV532 AM1647 AV1647 AM1651 AV1651 AM1653 AV1653 AM1655 AV1655 AM1657 AV1657 AM2072 AV2072 AM2363:AM2387 AV2363:AV2387">
      <formula1>#REF!</formula1>
    </dataValidation>
    <dataValidation type="list" allowBlank="1" sqref="AQ361 AQ526 AQ528 AQ532 AQ1647 AQ1651 AQ1653 AQ1655 AQ1657 AQ2072 AQ2363:AQ2380 AQ2382:AQ2387">
      <formula1>#REF!</formula1>
    </dataValidation>
    <dataValidation type="list" allowBlank="1" sqref="AQ1376 AQ1378 AQ1385 AQ1387 AQ1394 AQ1396:AQ1398 AQ1404 AQ2117 AQ2395 AQ2605:AQ2614 AQ3126">
      <formula1>#REF!</formula1>
    </dataValidation>
    <dataValidation type="custom" allowBlank="1" showDropDown="1" showErrorMessage="1" sqref="I361:J361 I526:J526 I528:J528 I532:J532 I922 I925 I1647:J1647 I1651:J1651 I1653:J1653 I1655:J1655 I1657:J1657 I2072:J2072 I2253:I2254 I2258 I2261 I2263 I2265:I2267 I2269 I2271 I2275 I2278:J2278 I2279 I2281 I2283 I2285 I2287 I2289 I2291:I2297 I2300 I2302:I2303 I2310:J2320 I2323:I2326 I2331:J2332 I2333 I2335 I2337 I2339:I2340 I2343 I2345:I2346 I2348 I2350:I2351 I2353:I2356 I2358 I2361 I2363:J2387">
      <formula1>OR(NOT(ISERROR(DATEVALUE(I361))), AND(ISNUMBER(I361), LEFT(CELL("format", I361))="D"))</formula1>
    </dataValidation>
    <dataValidation type="list" allowBlank="1" sqref="AH4:AH95 AQ4:AQ95 AH96:AI97 AR96:AR97 AH98:AH360 AQ98:AQ360 AH362:AH525 AQ362:AQ525 AH527 AQ527 AH529:AH531 AQ529:AQ531 AH533:AH1176 AQ533:AQ1277 AH1178:AH1278 AH1280 AH1282 AH1284:AH1295 AQ1285:AQ1295 AH1297:AH1320 AH1322:AH1323 AH1325 AQ1297:AQ1325 AH1327 AQ1327 AH1329:AH1338 AQ1329:AQ1338 AH1346:AH1347 AQ1346:AQ1347 AH1362:AH1363 AQ1362:AQ1363 AQ1380:AQ1384 AH1380:AH1385 AH1387 AH1401 AQ1401 AH1403 AQ1403 AQ1406 AQ1408:AQ1422 AQ1425:AQ1430 AH1408:AH1431 AQ1434 AQ1438:AQ1440 AH1433:AH1477 AQ1442:AQ1477 AH1479 AH1501:AH1578 AQ1501:AQ1578 AH1582:AH1646 AQ1582:AQ1646 AH1648:AH1650 AQ1648:AQ1650 AH1652 AQ1652 AH1654 AQ1654 AH1656 AQ1656 AH1658:AH1738 AQ1658:AQ1738 AH1807:AH1808 AH1810 AQ1862:AQ1913 AH1862:AH1916 AH1940:AH2071 AQ1940:AQ2071 AH2073:AH2074 AQ2073:AQ2074 AQ2079:AQ2080 AQ2099 AQ2104 AH2112:AH2114 AH2117 AQ2122 AQ2165 AQ2179 AQ2183 AH2232 AH2234 AH2250:AH2362 AQ2250:AQ2362 AQ2381 AQ2393 AH2511:AH2512 AQ2511:AQ2512 AH2515:AH2517 AH2524:AH2525 AH2539 AQ2539 AH2541 AQ2541 AH2562 AH2583:AH2584 AH2586 AH2615 AQ2615 AH2962 AH2978 AH3123:AH3124 AQ3123:AQ3124 AH3126">
      <formula1>'Data validation'!$A$2:$A$14</formula1>
    </dataValidation>
    <dataValidation type="list" allowBlank="1" sqref="Z1278:Z1283 Z1296 Z1321 Z1324 Z1326 Z1328 Z1339:Z1345 Z1348:Z1361 Z1364:Z1379 Z1385:Z1400 Z1402 Z1404:Z1407 Z1423:Z1425 Z1431:Z1433 Z1435:Z1437 Z1441:Z1443 Z1478:Z1500 Z1579:Z1581 Z1739:Z1861 Z1914:AA1914 Z1915:Z1931 Z1932:AA1932 Z1933:Z1939 Z2075:Z2249 Z2388:Z2614 Z2616:Z2695 Y2696:Z2697 Z2698:Z2699 Y2700:Z2702 Z2703:Z2704 Y2705:Z2705 Z2706:Z2709 Y2710:Z2710 Z2711:Z2715 Y2716:Z2719 Z2720:Z2723 Y2724:Z2724 Z2725:Z2726 Y2727:Z2732 Z2733 Y2734:Z2734 Z2735 Y2736:Z2736 Z2737 Y2738:Z2738 Y2739 Y2740:Z2741 Z2742:Z2749 Y2750:Z2750 Z2751:Z2752 Y2753:Z2753 Z2754 Y2755:Z2755 Z2756 Y2757:Z2757 Z2758 Y2759:Z2759 Z2760 Y2761:Z2761 Z2762 Y2763:Z2763 Z2764 Y2765:Z2765 Z2766 Y2767:Z2767 Z2768 Y2769:Z2769 Z2770 Y2771:Z2771 Z2772 Y2773:Z2777 Z2778:Z2779 Y2780:Z2789 Z2790:Z2866 Y2867:Z2870 Z2871:Z2874 Y2875:Z2885 Z2886:Z3122 Z3125:Z3398">
      <formula1>#REF!</formula1>
    </dataValidation>
    <dataValidation type="list" allowBlank="1" showErrorMessage="1" sqref="AK1278:AK1283 AT1278:AT1283 AK1296 AT1296 AK1321 AT1321 AK1324 AT1324 AK1326 AT1326 AK1328 AT1328 AT1339:AT1340 AT1344 AK1339:AK1345 AT1348:AT1351 AT1354 AK1348:AK1355 AT1357:AT1359 AK1357:AK1360 AK1364:AK1365 AK1367:AK1368 AK1370:AK1372 AT1364:AT1372 AK1374:AK1379 AT1374:AT1379 AK1385:AK1400 AT1385:AT1400 AK1402 AT1402 AK1404:AK1407 AT1404:AT1407 AK1423:AK1425 AT1423:AT1425 AK1431:AK1433 AT1431:AT1433 AK1435:AK1437 AT1435:AT1437 AK1441:AK1443 AT1441:AT1443 AK1478:AK1500 AT1478:AT1500 AK1579:AK1581 AT1579:AT1581 AK1739:AK1861 AT1739:AT1861 AK1914:AK1915 AK1917 AK1922:AK1925 AK1928:AK1939 AT1914:AT1939 AT2075:AT2084 AT2086:AT2089 AK2075:AK2249 AT2091:AT2249 AT2390:AT2395 AT2401:AT2404 AK2388:AK2406 AT2411:AT2413 AT2416:AT2422 AT2427:AT2430 AK2411:AK2431 AK2435 AK2441:AK2469 AK2473 AK2479:AK2566 AT2432:AT2566 AK2570:AK2614 AT2570:AT2614 AT2616:AT2631 AT2633:AT2658 AK2616:AK2669 AT2674:AT2676 AT2680:AT2685 AT2690:AT2692 AK2674:AK2695 AT2695 AJ2696:AK2697 AS2696:AT2697 AK2698:AK2701 AT2698:AT2701 AJ2702:AK2702 AS2702:AT2702 AK2703:AK2704 AT2703:AT2704 AJ2705:AK2705 AS2705:AT2705 AK2706:AK2709 AT2706:AT2709 AJ2710:AK2710 AS2710:AT2710 AK2711:AK2723 AT2711:AT2723 AJ2724:AK2724 AS2724:AT2724 AK2725:AK2726 AJ2727:AJ2728 AT2725:AT2728 AJ2729:AK2732 AS2729:AT2732 AK2733 AT2733 AJ2734:AK2734 AS2734:AT2734 AK2735 AT2735 AJ2736:AK2736 AS2736:AT2736 AK2737 AT2737 AJ2738:AK2738 AS2738:AT2738 AJ2739 AS2739 AK2740:AK2749 AT2740:AT2749 AJ2750:AK2750 AS2750:AT2750 AK2751:AK2752 AT2751:AT2752 AJ2753:AK2753 AS2753:AT2753 AK2754 AT2754 AJ2755:AK2755 AS2755:AT2755 AK2756 AT2756 AJ2757:AK2757 AS2757:AT2757 AK2758 AT2758 AJ2759:AK2759 AS2759:AT2759 AK2760 AT2760 AJ2761:AK2761 AS2761:AT2761 AK2762 AT2762 AJ2763:AK2763 AS2763:AT2763 AK2764 AT2764 AJ2765:AK2765 AS2765:AT2765 AK2766 AT2766 AJ2767:AK2767 AS2767:AT2767 AK2768 AT2768 AJ2769:AK2769 AS2769:AT2769 AK2770 AT2770 AJ2771:AK2771 AS2771:AT2771 AK2772 AT2772 AJ2773:AK2777 AS2773:AT2777 AK2778:AK2779 AT2778:AT2779 AJ2780:AK2789 AS2780:AT2789 AK2790:AK2866 AT2790:AT2866 AJ2867:AK2867 AS2867:AT2867 AJ2868:AJ2869 AS2868:AS2869 AJ2870:AK2870 AS2870:AT2870 AT2871:AT2876 AK2871:AK2877 AS2877:AT2881 AT2882 AJ2878:AK2885 AS2883:AT2885 AT2886:AT3002 AK2886:AK3011 AK3014:AK3016 AT3004:AT3119 AK3019:AK3120 AK3122 AT3122 AK3125:AK3398 AT3126:AT3398">
      <formula1>#REF!</formula1>
    </dataValidation>
    <dataValidation type="custom" allowBlank="1" showDropDown="1" sqref="AP361 AP526 AP528 AP532 AP925 AP1647 AP1651 AP1653 AP1655 AP1657 AP2072 AP2258:AP2267 AP2271 AP2297 AP2300 AP2302:AP2303 AP2306 AP2308 AP2310:AP2321 AP2323 AP2325:AP2326 AP2329 AP2331 AP2346 AP2350:AP2351 AP2353:AP2356 AP2358 AP2361 AP2363:AP2380">
      <formula1>ISNUMBER(AP361)</formula1>
    </dataValidation>
    <dataValidation type="list" allowBlank="1" showErrorMessage="1" sqref="AK361 AT361 AK526 AT526 AK528 AT528 AK532 AT532 AK1647 AT1647 AK1651 AT1651 AK1653 AT1653 AK1655 AT1655 AK1657 AT1657 AK2072 AT2072 AK2363:AK2380 AK2382:AK2387 AT2363:AT2387">
      <formula1>#REF!</formula1>
    </dataValidation>
    <dataValidation type="list" allowBlank="1" showErrorMessage="1" sqref="AX4:AX95 AX98:AX360 AX362:AX525 AX527 AX529:AX531 AX533:AX1277 AX1284:AX1295 AX1297:AX1320 AX1322:AX1323 AX1325 AX1327 AX1329:AX1338 AX1346:AX1347 AX1362:AX1363 AX1380:AX1384 AX1401 AX1403 AX1408:AX1422 AX1426:AX1430 AX1434 AX1438:AX1440 AX1444:AX1477 AX1501:AX1578 AX1582:AX1646 AX1648:AX1650 AX1652 AX1654 AX1656 AX1658:AX1738 AX1862:AX1913 AX1940:AX2071 AX2073:AX2074 AX2250:AX2362 AX2615 AX3123:AX3124">
      <formula1>'Data validation'!$Q$2:$Q$5</formula1>
    </dataValidation>
    <dataValidation type="list" allowBlank="1" showErrorMessage="1" sqref="AK4:AK95 AT4:AT95 AL96:AL97 AU96:AU97 AK98:AK123 AK125 AK128 AK130:AK217 AK220 AT98:AT220 AT222:AT224 AK222:AK244 AT226:AT244 AT246:AT247 AT249:AT266 AK246:AK268 AK270:AK360 AT269:AT360 AK362:AK525 AT362:AT525 AK527 AT527 AK529:AK531 AT529:AT531 AK533:AK1277 AT533:AT1277 AK1284:AK1295 AT1284:AT1295 AK1297:AK1320 AT1297:AT1320 AK1322:AK1323 AT1322:AT1323 AK1325 AT1325 AK1327 AT1327 AK1329:AK1338 AT1329:AT1338 AT1342 AK1346:AK1347 AT1345:AT1347 AT1352 AT1355 AT1360 AK1362:AK1363 AT1362:AT1363 AK1380:AK1384 AT1380:AT1384 AK1401 AT1401 AK1403 AT1403 AK1408:AK1422 AT1408:AT1422 AK1426:AK1430 AT1426:AT1430 AK1434 AT1434 AK1438:AK1440 AT1438:AT1440 AK1444:AK1477 AT1444:AT1477 AK1501:AK1578 AT1501:AT1578 AK1582:AK1646 AT1582:AT1646 AK1648:AK1650 AT1648:AT1650 AK1652 AT1652 AK1654 AT1654 AK1656 AT1656 AK1658:AK1738 AT1658:AT1738 AK1862:AK1913 AT1862:AT1913 AK1916 AK1918:AK1921 AK1926:AK1927 AK1940:AK2071 AT1940:AT2071 AK2073:AK2074 AT2073:AT2074 AT2085 AK2250:AK2362 AT2250:AT2362 AK2381 AK2615 AT2615 AK3123:AK3124 AT3123:AT3124">
      <formula1>'Data validation'!$C$2:$C$7</formula1>
    </dataValidation>
    <dataValidation type="list" allowBlank="1" sqref="AH1177">
      <formula1>'Data validation'!$A$2:$A$15</formula1>
    </dataValidation>
    <dataValidation type="list" allowBlank="1" sqref="AH2605:AH2614">
      <formula1>#REF!</formula1>
    </dataValidation>
    <dataValidation type="list" allowBlank="1" sqref="AG101">
      <formula1>#REF!</formula1>
    </dataValidation>
    <dataValidation type="list" allowBlank="1" showErrorMessage="1" sqref="AL361 AU361 AL526 AU526 AL528 AU528 AL532 AU532 AL1647 AU1647 AL1651 AU1651 AL1653 AU1653 AL1655 AU1655 AL1657 AU1657 AL2072 AU2072 AL2363:AL2387 AU2363:AU2387">
      <formula1>#REF!</formula1>
    </dataValidation>
    <dataValidation type="list" allowBlank="1" showErrorMessage="1" sqref="AM4:AM95 AV4:AV95 AN96:AN97 AW96:AW97 AM98:AM217 AM220 AV98:AV220 AV222:AV224 AM222:AM244 AV226:AV244 AV246:AV247 AM246:AM268 AM270:AM360 AV249:AV360 AV362:AV517 AM362:AM525 AV521:AV525 AM527 AV527 AM529:AM531 AV529:AV531 AM533:AM1277 AV533:AV1277 AM1284:AM1295 AV1284:AV1295 AM1297:AM1320 AV1297:AV1320 AM1322:AM1323 AV1322:AV1323 AM1325 AV1325 AM1327 AV1327 AM1329:AM1338 AV1329:AV1338 AM1346:AM1347 AV1346:AV1347 AM1362:AM1363 AV1362:AV1363 AM1380:AM1384 AV1380:AV1384 AM1401 AV1401 AV1403 AM1403:AM1405 AM1407:AM1422 AV1408:AV1422 AM1426:AM1430 AV1426:AV1430 AM1434 AV1434 AM1437:AM1440 AV1438:AV1440 AM1443:AM1477 AV1444:AV1477 AM1501:AM1578 AV1501:AV1578 AM1582:AM1646 AV1582:AV1646 AM1648:AM1650 AV1648:AV1650 AM1652 AV1652 AM1654 AV1654 AM1656 AV1656 AM1658:AM1738 AV1658:AV1738 AV1862:AV1909 AM1862:AM1913 AV1911:AV1913 AM1940:AM2071 AV1940:AV2071 AM2073:AM2074 AV2073:AV2074 AM2250:AM2362 AV2250:AV2362 AM2615 AV2615 AV3017 AM3123:AM3124 AV3123:AV3124">
      <formula1>'Data validation'!$J$2:$J$4</formula1>
    </dataValidation>
    <dataValidation type="list" allowBlank="1" showErrorMessage="1" sqref="D2897:D2915">
      <formula1>"Mariem,Roksana,Thomas,Maria,Shruti,Antony,Radoslaw,Fabienne,Daniel,Ray,Nikolay,Hakile,Raul,Alisa,Teshome,Adira,Jyoti,Maureen,Nikita,Husnain,Sarah,Alexsandr,Vidhi,Mario,Diego,Corinna,Tafere,Kamran,Baha,Marta"</formula1>
    </dataValidation>
    <dataValidation type="list" allowBlank="1" showErrorMessage="1" sqref="B4:B3398">
      <formula1>'Data validation'!$M$2:$M$9</formula1>
    </dataValidation>
    <dataValidation type="custom" allowBlank="1" showDropDown="1" sqref="N361 S361 N526 S526 N528 S528 N532 S532 N922 S922 N925 S925 N1647 S1647 N1651 S1651 N1653 S1653 N1655 S1655 N1657 S1657 N2072 S2072 N2253:N2254 S2253:S2254 N2258 S2258 N2260:N2267 S2260:S2267 N2269 S2269 N2271 S2271 N2275 S2275 N2278:N2279 S2278:S2279 N2281 S2281 N2283 S2283 N2285 S2285 N2287 S2287 N2289 S2289 S2291:S2297 N2291:N2298 N2300 S2300 N2302:N2303 S2302:S2303 N2306 S2306 N2308 S2308 N2310:N2321 S2310:S2321 N2323:N2327 S2323:S2327 N2329 S2329 N2331:N2333 S2331:S2333 N2335 S2335 N2337 S2337 N2339:N2340 S2339:S2340 N2342:N2346 S2342:S2346 N2348 S2348 N2350:N2351 S2350:S2351 N2353:N2356 S2353:S2356 N2358 S2358 N2361 S2361 N2363:N2387 S2363:S2387">
      <formula1>LEFT(N361, 3) = "10."</formula1>
    </dataValidation>
    <dataValidation type="decimal" operator="greaterThan" allowBlank="1" showDropDown="1" sqref="AF4:AF60 AO4:AO60 AF61:AG64 AI61:AI64 AN61:AO64 AF65:AF84 AF86:AF95 AO65:AO95 AG96:AG97 AP96:AP97 AO98:AO100 AI101 AO101:AP101 AO102:AO127 AN128:AO129 AW128:AW129 AF98:AF152 AO130:AO152 AF153:AG154 AI153:AI154 AN153:AO154 AF155:AF158 AF159:AG161 AI159:AI161 AO155:AO173 AF162:AF176 AF177:AG177 AI177 AN174:AO178 AF178:AF188 AF189:AG190 AI189:AI190 AO179:AO268 AI269 AD269:AD270 AN269:AO271 AF191:AF360 AO272:AO360 AF362:AF485 AF486:AG491 AI486:AI491 AF492 AF493:AG496 AI493:AI496 AF497:AF525 AO362:AO525 AF527 AO527 AF529:AF531 AO529:AO531 AF533:AF535 AO533:AO535 AI536:AJ537 AI538 AF536:AG550 AI539:AJ550 AF551 AF552:AG552 AI552 AN536:AO552 AF553 AF554:AG554 AO553:AO554 AF555 AF556:AG561 AI556:AI561 AF562 AF563:AG563 AI563 AF564 AF565:AG565 AI565 AN555:AO565 AF566 AO566:AO569 AF567:AG572 AI567:AI572 AW570:AW572 AF573:AF592 AN570:AO592 AE593:AG597 AN593:AN597 AF598:AF604 AF605:AG607 AS605:AS607 AF608 AF609:AG609 AI609 AF610:AF644 AF645:AG645 AI645 AF646:AF656 AF657:AG662 AI657:AI662 AN598:AO662 AF663:AF678 AO663:AO678 AF679:AG682 AE683:AG683 AI679:AI699 AI701:AI702 AF684:AG709 AE710:AG710 AW709:AW710 AF711:AG712 AE713:AG719 AF720:AG720 AE721:AG721 AI709:AI723 AF722:AG728 AI728 AF729:AF733 AF734:AG738 AI734:AI738 AF739 AF740:AG742 AI740:AI742 AN679:AO742 AF743:AF744 AO743:AO744 AF745:AG745 AN745:AO745 AF746 AO746 AI745:AI749 AF747:AG750 AF751:AF752 AF753:AG753 AI753 AF754 AF755:AG757 AI755:AI757 AF758:AF759 AD760 AI760:AJ760 AF760:AG761 AI761 AF762:AF764 AF765:AG766 AI765:AI766 AF767:AF771 AI772 AF772:AG775 AF776:AF779 AF780:AG783 AI774:AI784 AF784:AF785 AF786:AG789 AF790:AF791 AF792:AG792 AI786:AI792 AF793:AF802 AF803:AG804 AF805:AF806 AI803:AI817 AI819:AI822 AI824 AI826 AI830 AI832 AI834 AI836 AI838 AI840 AF807:AG844 AI842:AI844 AF845:AF846 AF847:AG847 AF848 AF849:AG850 AI847:AI850 AF851 AF852:AG852 AI852 AF853 AF854:AG855 AF856 AD859 AI854:AI859 AF857:AG860 AF861:AF864 AF865:AG871 AI865:AI871 AF872:AF874 AF875:AG877 AI875:AI877 AF878:AF882 AF883:AG889 AN747:AO889 AF890:AF893 AN890:AN893 AF894:AG895 AF896 AI883:AI901 AF897:AG902 AF903:AF904 AF905:AG908 AI905:AI908 AF909 AF910:AG912 AI910:AI912 AF913 AI914:AI915 AI916:AJ917 AF914:AG920 AI918:AI920 AF921 AN894:AO921 AE922 AN922 AE923:AF923 AI923 AF924 AN923:AO924 AE925 AN925 AE926:AF926 AF927:AG934 AI926:AI934 AF935 AF936:AG939 AF940:AF941 AN926:AO943 AN944:AP944 AF942:AG946 AF947 AF948:AG954 AF955 AN945:AO956 AN957:AP961 AF956:AG975 AF976 AF977:AG978 AI936:AI978 AF979 AF980:AG980 AF981:AF988 AI980:AI988 AI990:AJ990 AF989:AG991 AN962:AO991 AN992 AJ993 AF993:AG994 AI994 AF995 AF996:AG997 AI996:AI997 AD998 AF998 AF999:AG999 AG1000 AF1001:AG1001 AI999:AI1001 AF1002:AF1007 AI1009:AI1011 AI1012:AJ1012 AF1008:AG1015 AI1013:AI1015 AI1019:AI1021 AF1018:AG1030 AE1031:AG1031 AF1032:AG1034 AI1023:AI1034 AN993:AO1034 AD1035:AG1035 AN1035:AP1035 AS1035 AD1036 AD1038 AI1035:AJ1038 AI1039 AD1040 AD1042 AD1044 AI1040:AJ1044 AF1036:AG1045 AE1046:AG1046 AI1045:AI1052 AI1053:AJ1053 AI1054:AI1061 AD1063 AI1062:AJ1063 AI1064:AI1070 AI1071:AJ1071 AI1072 AD1074 AI1073:AJ1074 AI1075:AI1078 AI1079:AJ1079 AD1080 AJ1080 AF1047:AG1081 AN1036:AO1081 AD1082:AG1082 AI1081:AJ1082 AN1082:AP1082 AS1082 AI1083:AI1088 AI1089:AJ1089 AI1090:AI1094 AI1095:AJ1095 AI1096:AI1100 AN1083:AO1101 AD1102 AI1101:AJ1102 AN1102:AP1102 AS1102 AF1083:AG1121 AE1122:AF1122 AE1123:AG1124 AE1125:AF1125 AN1103:AO1130 AN1131:AP1131 AS1131 AI1103:AI1140 AD1142 AI1141:AJ1143 AI1144:AI1146 AI1147:AJ1148 AI1149:AI1156 AI1157:AJ1157 AF1126:AG1197 AI1158:AI1197 AN1132:AO1197 AO1198 AF1198:AF1199 AF1200:AG1200 AI1200 AF1201 AF1202:AG1202 AI1202 AF1203 AF1204:AG1204 AF1205 AF1206:AG1206 AI1206 AI1208 AF1207:AF1209 AF1210:AG1210 AI1210 AF1211 AF1212:AG1212 AI1212 AF1213 AF1214:AG1214 AI1214 AF1215 AF1216:AG1216 AI1216 AF1217 AF1218:AG1218 AI1218 AF1219 AF1220:AG1220 AI1220 AF1221 AF1222:AG1222 AI1222 AF1223 AF1224:AG1224 AI1224 AF1225:AF1227 AF1228:AG1228 AF1229 AF1230:AG1230 AI1230 AI1232 AF1231:AF1233 AF1234:AG1234 AI1234 AF1235 AF1236:AG1277 AE1278:AG1278 AI1236:AI1278 AF1279:AG1279 AE1280:AG1282 AF1283:AG1283 AN1199:AO1283 AF1284:AF1294 AO1284:AO1294 AN1295:AO1295 AF1295:AG1296 AI1295:AI1296 AF1297:AF1320 AF1321:AG1321 AI1321 AF1322:AF1323 AF1324:AG1324 AI1324 AF1325 AF1326:AG1326 AI1326 AF1327 AF1328:AG1328 AI1328 AF1329:AF1338 AO1296:AO1340 AN1341:AO1341 AO1342 AF1339:AG1343 AN1343:AO1343 AE1344:AG1344 AF1345:AG1345 AI1339:AI1345 AF1346:AF1347 AO1344:AO1347 AE1348:AG1348 AF1349:AG1350 AE1351:AG1351 AI1349:AI1353 AF1352:AG1356 AI1355:AI1356 AE1357:AG1359 AW1357:AW1359 AF1360:AG1361 AI1360:AI1361 AN1348:AO1361 AF1362:AF1363 AO1362:AO1363 AF1364:AG1364 AI1364 AF1365:AI1365 AF1366:AG1367 AI1366:AI1367 AF1368:AI1368 AF1369:AG1370 AI1369:AI1370 AF1371:AI1372 AF1373:AG1374 AI1373:AI1374 AF1375:AI1375 AE1376:AG1376 AF1377:AG1379 AI1377:AI1379 AN1364:AO1379 AF1380:AF1384 AO1380:AO1384 AF1385:AG1386 AI1385:AI1386 AE1387:AG1387 AI1389 AI1391 AF1388:AG1393 AE1394:AG1394 AI1393:AI1395 AF1395:AG1399 AI1397:AI1399 AF1400:AI1400 AN1385:AO1400 AF1401 AO1401 AF1402:AI1402 AN1402:AO1402 AF1403 AO1403 AF1404:AG1405 AI1405 AE1406:AG1406 AF1407:AG1407 AI1407 AN1404:AO1407 AF1408:AF1410 AO1408:AO1410 AF1411:AG1425 AI1411:AI1425 AN1411:AO1425 AF1426:AF1430 AI1431:AI1433 AF1431:AG1437 AI1435:AI1437 AF1438:AF1439 AO1426:AO1439 AF1440:AG1443 AI1440:AI1443 AF1444 AF1445:AG1446 AI1445:AI1446 AN1440:AO1446 AF1447:AF1449 AO1447:AO1449 AF1450:AG1450 AI1450 AF1451:AF1453 AF1454:AG1454 AI1454 AN1450:AO1454 AF1455:AF1477 AO1455:AO1477 AF1478:AG1479 AI1479 AE1480:AG1480 AF1481:AI1484 AI1485 AF1485:AG1487 AI1487 AF1488:AI1489 AE1490:AG1490 AI1490 AF1491:AI1491 AF1492:AG1492 AI1492 AE1493:AG1493 AF1494:AI1494 AF1495:AG1495 AI1495 AF1496:AI1496 AF1497:AG1497 AF1498:AI1498 AE1499:AG1499 AF1500:AI1500 AN1478:AO1500 AF1501:AF1578 AO1501:AO1578 AF1579:AI1581 AN1579:AO1581 AF1582:AF1646 AO1582:AO1646 AF1648:AF1650 AO1648:AO1650 AF1652 AO1652 AF1654 AO1654 AF1656 AI1658:AI1674 AI1676:AI1678 AI1685:AI1705 AF1658:AG1712 AE1713:AG1713 AI1707:AI1721 AI1723 AI1725:AI1726 AD1727 AI1727:AJ1727 AF1714:AG1738 AI1728:AI1738 AO1656:AO1738 AF1739:AI1806 AF1807:AG1808 AI1807:AI1808 AF1809:AI1809 AF1810:AG1810 AI1810 AF1811:AI1861 AN1739:AO1861 AF1862:AF1913 AE1914:AG1914 AJ1914:AJ1915 AF1915:AG1916 AE1917:AG1917 AJ1917 AF1918:AH1918 AE1919:AH1919 AE1920:AG1921 AI1920:AI1921 AO1862:AO1921 AS1920:AS1921 AE1922:AH1923 AF1924:AG1924 AI1924:AJ1924 AJ1925 AE1925:AH1927 AF1928:AG1928 AI1928 AE1929:AH1929 AF1930:AH1930 AE1931:AG1932 AI1931:AI1932 AE1933:AH1935 AF1936:AG1936 AI1936 AE1937:AH1937 AE1938:AG1938 AE1939:AH1939 AI1942 AN1922:AO1942 AN1943:AP1943 AI1947 AI1950:AI1951 AI1954 AI1957 AI1959:AI1960 AI1962:AI1963 AI1965:AI1966 AI1970:AI1971 AN1944:AO1972 AN1973:AP1973 AI1973:AI1974 AI1984 AI1988 AI1991:AI1992 AI1994:AI1995 AI1997:AI1998 AI2002:AI2003 AI2008 AI2012:AI2013 AI2015:AI2016 AI2020:AI2021 AI2026:AI2027 AI2030 AI2035:AI2036 AI2040 AI2044 AI2046:AI2047 AI2049 AI2051 AI2054:AI2055 AI2058:AI2059 AI2063:AI2064 AE1940:AG2067 AI2067 AN1974:AO2067 AF2068:AF2071 AO2068:AO2071 AF2073:AF2074 AO2073:AO2074 AE2075:AG2075 AF2076:AG2088 AI2076:AI2088 AE2089:AG2089 AF2090:AI2104 AE2105:AG2105 AI2105 AF2106:AI2106 AF2107:AG2107 AI2107 AF2108:AI2111 AE2112:AG2112 AF2113:AG2114 AE2115:AG2115 AI2113:AI2115 AF2116:AI2116 AE2117:AG2117 AF2118:AG2133 AI2118:AI2133 AF2134:AI2134 AE2135:AG2135 AF2136:AI2136 AE2137:AG2137 AF2138:AG2138 AI2138 AF2139:AI2141 AE2142:AG2142 AF2143:AI2143 AF2144:AG2145 AI2144:AI2145 AF2146:AI2197 AF2198:AG2198 AI2198 AF2199:AI2199 AF2200:AG2200 AI2200 AF2201:AI2201 AF2202:AG2202 AI2202 AF2203:AI2203 AF2204:AG2204 AI2204 AF2205:AI2205 AF2206:AG2206 AI2206 AF2207:AI2207 AF2208:AG2208 AI2208 AF2209:AI2209 AF2210:AG2210 AI2210 AF2211:AI2211 AF2212:AG2212 AI2212 AF2213:AI2213 AF2214:AG2214 AI2214 AF2215:AI2215 AF2216:AG2216 AI2216 AF2217:AI2217 AF2218:AG2218 AI2218 AF2219:AI2219 AF2220:AG2220 AI2220 AF2221:AI2221 AF2222:AG2222 AI2222 AF2223:AI2223 AF2224:AG2224 AI2224 AF2225:AI2225 AF2226:AG2226 AI2226 AF2227:AI2227 AF2228:AG2228 AI2228 AF2229:AI2229 AF2230:AG2230 AI2230 AF2231:AI2231 AF2232:AG2232 AI2232 AF2233:AI2233 AF2234:AG2234 AI2234 AF2235:AI2235 AF2236:AG2236 AI2236 AF2237:AI2237 AF2238:AG2238 AI2238 AF2239:AI2239 AF2240:AG2240 AI2240 AF2241:AI2241 AF2242:AG2242 AI2242 AF2243:AI2243 AF2244:AG2244 AI2244 AF2245:AI2245 AF2246:AG2246 AI2246 AF2247:AI2247 AF2248:AG2248 AI2248 AF2249:AI2249 AN2075:AO2249 AF2250:AF2251 AO2250:AO2251 AE2252:AG2252 AI2252 AN2252:AO2252 AE2253:AE2254 AE2255:AF2255 AN2255:AO2255 AE2256:AG2257 AI2255:AI2257 AO2256:AO2257 AE2258 AN2258 AE2259:AF2259 AI2259 AN2259:AO2259 AE2260:AE2267 AN2267 AE2268:AG2268 AI2268 AN2268:AO2268 AE2269 AN2269 AE2270:AF2270 AI2270 AN2270:AO2270 AE2271 AN2271 AE2272:AG2274 AI2272:AI2274 AN2272:AO2274 AN2275 AN2276:AP2277 AR2276:AR2277 AN2279 AN2280:AP2280 AR2280 AN2281 AN2282:AP2282 AR2282 AO2284:AP2284 AR2284 AN2285 AN2286:AP2286 AR2286 AP2287 AN2288:AP2288 AR2288 AN2290:AP2290 AR2290 AE2275:AE2298 AN2298:AP2298 AR2298 AE2299:AG2299 AI2299 AN2299:AO2299 AE2300 AG2300 AE2301:AG2301 AI2301 AN2301:AO2301 AG2302 AE2302:AE2303 AE2304:AF2304 AE2305:AG2305 AI2304:AI2305 AO2304:AO2305 AE2306 AE2307:AG2307 AI2307 AO2307 AE2308 AE2309:AG2309 AI2309 AO2309 AE2310:AE2321 AE2322:AG2322 AI2322 AO2322 AE2323:AE2327 AG2327 AE2328:AG2328 AI2328 AO2328 AE2329 AE2330:AG2330 AI2330 AO2330 AE2331:AE2333 AG2333 AE2334:AG2334 AI2334 AE2335 AG2335 AE2336:AG2336 AP2334:AP2336 AE2337 AG2337 AE2338:AG2338 AI2336:AI2338 AE2339:AE2340 AG2340 AE2341:AG2341 AI2341 AO2341 AG2342:AG2345 AE2342:AE2346 AE2347:AF2347 AI2347 AO2347 AE2348 AG2348 AE2349:AG2349 AI2349 AO2349 AE2350:AE2351 AE2352:AG2352 AI2352 AN2352:AO2352 AE2353:AE2356 AG2356 AE2357:AG2357 AI2356:AI2357 AO2357 AE2358 AE2359:AF2359 AE2360:AG2360 AI2359:AI2360 AO2359:AO2360 AE2361 AE2362:AG2362 AN2362:AO2362 AG2381 AO2388:AO2392 AN2393:AO2393 AF2388:AG2394 AI2388:AI2394 AO2394 AE2395:AG2395 AN2395:AO2406 AM2407:AO2410 AF2396:AG2614 AI2396:AI2614 AN2411:AO2614 AF2615 AO2615 AF2616:AG2658 AF2659:AF2660 AI2616:AI2673 AI2677:AI2679 AF2661:AG2695 AI2681:AI2695 AN2616:AO2695 AE2696:AF2697 AN2696:AN2697 AF2698:AG2699 AI2698:AI2699 AO2698:AO2699 AN2700:AO2701 AE2700:AF2702 AN2702 AF2703:AG2704 AI2703:AI2704 AO2703:AO2704 AE2705:AF2705 AN2705 AF2706:AG2709 AI2706:AI2709 AO2706:AO2709 AE2710:AF2710 AN2710 AF2711:AG2715 AI2711:AI2715 AO2711:AO2715 AE2716:AF2719 AF2720:AF2723 AI2720:AI2723 AN2716:AO2723 AE2724:AF2724 AN2724 AF2725:AG2726 AI2725:AI2726 AO2725:AO2726 AH2727:AH2728 AM2727:AO2728 AE2727:AF2732 AN2729:AN2732 AF2733:AG2733 AI2733 AN2733:AO2733 AE2734:AF2734 AN2734 AF2735:AG2735 AI2735 AO2735 AE2736:AF2736 AN2736 AF2737:AG2737 AI2737 AO2737 AN2738 AH2739 AM2739:AN2739 AE2738:AF2741 AF2742:AG2749 AI2742:AI2749 AN2740:AO2749 AE2750:AF2750 AN2750 AF2751:AG2752 AI2751:AI2752 AO2751:AO2752 AE2753:AF2753 AN2753 AF2754:AG2754 AI2754 AO2754 AE2755:AF2755 AN2755 AF2756:AG2756 AI2756 AO2756 AE2757:AF2757 AN2757 AF2758:AG2758 AI2758 AO2758 AE2759:AF2759 AN2759 AF2760:AG2760 AI2760 AO2760 AE2761:AF2761 AN2761 AF2762:AG2762 AI2762 AO2762 AE2763:AF2763 AN2763 AF2764:AG2764 AI2764 AO2764 AE2765:AF2765 AN2765 AF2766:AG2766 AI2766 AO2766 AE2767:AF2767 AN2767 AF2768:AG2768 AI2768 AO2768 AE2769:AF2769 AN2769 AF2770:AG2770 AI2770 AO2770 AE2771:AF2771 AN2771 AF2772:AG2772 AI2772 AO2772 AE2773:AF2777 AN2773:AN2777 AF2778:AG2779 AI2778:AI2779 AO2778:AO2779 AE2780:AF2789 AN2780:AN2789 AN2790:AO2790 AO2791:AP2792 AN2793:AO2793 AO2794:AP2795 AN2796:AO2796 AO2797:AP2798 AN2799:AP2799 AO2800:AP2800 AO2801 AN2802:AP2802 AO2803:AP2803 AO2804 AN2805:AP2805 AO2806:AP2807 AN2808:AP2808 AO2809:AP2810 AN2811:AP2811 AO2812:AP2813 AN2814:AP2814 AO2815:AP2816 AN2817:AP2817 AO2818:AP2819 AN2820:AP2820 AO2821:AP2822 AN2823:AP2823 AO2824:AP2825 AN2826:AP2826 AO2827:AP2828 AN2829:AP2829 AO2830:AP2831 AN2832:AP2832 AO2833:AP2834 AN2835:AP2835 AO2836:AO2837 AN2838:AP2838 AO2839:AO2840 AN2841:AP2841 AO2842:AP2843 AN2844:AP2844 AO2845:AP2846 AN2847:AP2847 AO2848:AP2849 AN2850:AP2850 AO2851:AP2852 AN2853:AP2853 AO2854:AP2855 AO2856 AO2857:AP2858 AO2859 AO2860:AP2861 AO2862 AF2790:AG2866 AI2790:AI2866 AO2863:AP2866 AN2867:AN2868 AH2869 AM2869:AN2869 AE2867:AF2870 AN2870 AF2871:AG2871 AF2872 AF2873:AG2874 AI2871:AI2874 AN2871:AO2877 AN2878:AN2881 AN2882:AP2882 AR2882:AS2882 AE2875:AF2885 AN2883:AN2885 AN2886:AO2926 AN2927:AP2927 AI2886:AI3081 AF2886:AG3118 AI3083:AI3118 AN2928:AO3118 AE3119:AG3119 AO3119 AF3120:AG3121 AI3120:AI3121 AF3122:AI3122 AN3120:AO3122 AF3123:AF3124 AO3123:AO3124 AF3125:AG3125 AI3125 AE3126:AG3126 AF3127:AG3131 AE3132:AG3132 AW3186:AW3191 AF3133:AG3398 AI3127:AI3398 AN3125:AO3398">
      <formula1>0.0</formula1>
    </dataValidation>
    <dataValidation type="list" allowBlank="1" sqref="AR2327 AR2329 AR2331:AR2332">
      <formula1>#REF!</formula1>
    </dataValidation>
    <dataValidation type="custom" allowBlank="1" showDropDown="1" sqref="N4:N60 N65:N127 N130:N152 S4:S152 N155:N158 S155:S158 N162:N173 N178:N188 S162:S188 N191:N268 S191:S298 S299:T299 N271:N360 S300:S360 S362:S480 N362:N485 N492 S492 N497:N525 S497:S525 N527 S527 N529:N531 S529:S531 N533:N535 S533:S535 N551 S551 S553 N553:N555 S555 N562 S562 N564 S564 N566 S566 N573:N604 S573:S604 N608 S608 N610:N644 S610:S644 N646:N656 S646:S656 N663:N678 S663:S678 M922:M923 R922:R923 M925:M926 R925:R926 N1035 N1198:N1199 S1198:S1199 N1201 N1203 N1205 N1207 N1209 N1211 N1213 N1215 N1217 N1219 N1221 N1223 N1225 N1227 N1229 N1231 N1233 N1235 N1284:N1294 S1284:S1294 N1297:N1320 S1297:S1320 N1322:N1323 S1322:S1323 N1325 N1327 N1329:N1338 S1325:S1338 N1346:N1347 S1346:S1347 N1362:N1363 S1362:S1363 N1380:N1384 S1380:S1384 N1401 S1401 N1403 S1403 N1408:N1410 S1408:S1410 N1426:N1429 S1426:S1429 N1438:N1439 S1438:S1439 N1444 S1444 N1447:N1449 S1447:S1449 N1451:N1453 S1451:S1453 N1455:N1477 S1455:S1477 N1501:N1578 S1501:S1578 N1582:N1646 S1582:S1646 N1648:N1650 S1648:S1650 N1652 S1652 N1654 S1654 N1656 S1656 S1862:T1863 S1865:T1877 S1878:S1886 S1887:T1889 N1862:N1913 N1940 S1890:S1940 N1945:N1946 S1945:S1946 S1950:S1951 N1950:N1953 N1956 N1960 S1960 N1964:N1965 S1965 S1967 N1967:N1969 N1971:N1974 S1971:S1974 N1978:N1982 N1985:N1987 N1989:N1990 N1992 S1992 N1996 N1999:N2001 N2004:N2005 N2007:N2008 N2012 S2012 N2015 S2015 S2017 N2017:N2018 N2022:N2024 N2026 S2026 S2030:S2031 N2028:N2034 S2036:S2037 N2036:N2040 S2040 N2042:N2044 S2044 S2046:S2047 N2046:N2048 S2051 N2051:N2054 S2054 N2056 N2058 S2058 N2060:N2062 N2064:N2066 S2064:S2066 N2068:N2071 S2068:S2071 N2073:N2074 S2073:S2074 N2250:N2251 S2250:S2251 M2252:M2362 R2252:R2362 N2615 S2615 N3123:N3124 S3123:S3124">
      <formula1>left(M4, 3)="10."</formula1>
    </dataValidation>
    <dataValidation type="custom" allowBlank="1" showDropDown="1" sqref="I4:J23 I24:I60 I65:J127 J128:J129 I130:J152 I155:J158 I162:J173 J174:J177 I178:J188 I191:J207 I208:I219 I220:J233 I234 I235:J235 I236:I242 I243:J264 I265:I266 I267:J268 J270 I271:J360 I362:J485 I492:J492 I497:J525 I527:J527 I529:J531 I533:J535 I551:J551 I553 I555:J555 I562:J562 I564 I566 I573:J592 J593:J597 I598:J604 I608:J608 I610:J644 I646:J656 I663:J678 H922:H923 H925:H926 I1198:J1199 I1201:J1201 I1203:J1203 I1205:J1205 I1207:J1207 I1209:J1209 I1211:J1211 I1213:J1213 I1215:J1215 I1217:J1217 I1219:J1219 I1221:J1221 I1223:J1223 I1225:J1225 I1227:J1227 I1229:J1229 I1231:J1231 I1233:J1233 I1235:J1235 I1278:J1294 I1297:J1320 J1321 I1322:J1323 J1324 I1325:J1325 J1326 I1327:J1327 J1328 I1329:J1338 J1339 J1342 I1344 I1346:J1347 I1348 I1351 I1354 I1357:I1359 I1362:J1363 I1376 I1378 I1380:J1385 I1387:J1388 J1389 I1390:J1390 J1391 I1392:J1392 J1393 I1394:J1394 J1395 I1396:J1396 J1397 I1398:J1398 J1399 I1401:J1401 I1403:J1404 J1405 I1406:J1406 J1407 I1408:J1410 J1411:J1413 J1423:J1425 I1426:J1429 J1430 J1434:J1437 I1438:J1439 J1440:J1443 I1444:J1444 J1445:J1446 I1447:J1449 J1450 I1451:J1453 J1454 I1455:J1480 I1485:J1487 I1490:J1490 I1492:J1493 I1495:J1495 I1497:J1497 I1499:J1499 I1501:J1578 I1582:J1646 I1648:J1650 I1652:J1652 I1654:J1654 I1656:J1656 I1862:I1913 I1914:J2071 I2073:J2075 I2089:J2089 J2090 I2105:J2105 I2107:J2107 I2112:J2112 I2115:J2115 I2117:J2117 J2118:J2120 J2123:J2124 J2127:J2132 I2133:J2133 I2135:J2135 I2137:J2137 J2138 I2142:J2142 I2250:J2251 H2252:H2362 I2395:J2395 I2615:J2615 I3119:J3119 I3123:J3124 I3126 I3132:J3132">
      <formula1>OR(NOT(ISERROR(DATEVALUE(H4))), AND(ISNUMBER(H4), LEFT(CELL("format", H4))="D"))</formula1>
    </dataValidation>
    <dataValidation type="decimal" operator="lessThan" allowBlank="1" showDropDown="1" sqref="AJ361 AS361 AJ526 AS526 AJ528 AS528 AJ532 AS532 AJ922 AS922 AJ925 AS925 AJ1647 AS1647 AJ1651 AS1651 AJ1653 AS1653 AJ1655 AS1655 AJ1657 AS1657 AJ2072 AS2072 AS2253:AS2254 AJ2253:AJ2255 AJ2258 AS2258 AS2260:AS2263 AJ2267 AJ2269 AS2269 AJ2271 AS2271 AJ2275 AS2275 AJ2278:AJ2279 AS2278:AS2279 AJ2281 AS2281 AJ2283 AS2283 AJ2285 AS2285 AJ2287 AS2287 AJ2289 AS2289 AJ2291:AJ2297 AS2292:AS2297 AJ2300 AS2300 AJ2302:AJ2303 AS2302:AS2303 AJ2306 AS2306 AJ2308 AS2308 AJ2310:AJ2321 AS2310:AS2321 AS2323:AS2324 AJ2323:AJ2327 AS2326:AS2327 AJ2329 AS2329 AJ2331:AJ2333 AS2331:AS2333 AJ2335 AS2335 AJ2337 AS2337 AJ2339:AJ2340 AS2339:AS2340 AJ2342:AJ2346 AS2342:AS2346 AJ2348 AS2348 AJ2350:AJ2351 AS2350:AS2351 AJ2353:AJ2355 AS2353:AS2356 AJ2358 AS2358 AS2361 AJ2363:AJ2380 AS2363:AS2380 AJ2382:AJ2387 AS2382:AS2387">
      <formula1>1.1</formula1>
    </dataValidation>
  </dataValidations>
  <hyperlinks>
    <hyperlink r:id="rId2" ref="AW4"/>
    <hyperlink r:id="rId3" ref="AX4"/>
    <hyperlink r:id="rId4" ref="AR6"/>
    <hyperlink r:id="rId5" ref="AW6"/>
    <hyperlink r:id="rId6" ref="AX6"/>
    <hyperlink r:id="rId7" ref="S7"/>
    <hyperlink r:id="rId8" ref="AW7"/>
    <hyperlink r:id="rId9" ref="AX7"/>
    <hyperlink r:id="rId10" ref="S8"/>
    <hyperlink r:id="rId11" ref="AW8"/>
    <hyperlink r:id="rId12" ref="AX8"/>
    <hyperlink r:id="rId13" ref="L10"/>
    <hyperlink r:id="rId14" ref="AY10"/>
    <hyperlink r:id="rId15" ref="R11"/>
    <hyperlink r:id="rId16" ref="AW11"/>
    <hyperlink r:id="rId17" ref="R12"/>
    <hyperlink r:id="rId18" ref="AW20"/>
    <hyperlink r:id="rId19" ref="AW21"/>
    <hyperlink r:id="rId20" ref="AW22"/>
    <hyperlink r:id="rId21" ref="AW23"/>
    <hyperlink r:id="rId22" ref="AW25"/>
    <hyperlink r:id="rId23" ref="AW26"/>
    <hyperlink r:id="rId24" ref="AW27"/>
    <hyperlink r:id="rId25" ref="S65"/>
    <hyperlink r:id="rId26" ref="S66"/>
    <hyperlink r:id="rId27" ref="S67"/>
    <hyperlink r:id="rId28" ref="S68"/>
    <hyperlink r:id="rId29" ref="S69"/>
    <hyperlink r:id="rId30" ref="K71"/>
    <hyperlink r:id="rId31" ref="R71"/>
    <hyperlink r:id="rId32" ref="S71"/>
    <hyperlink r:id="rId33" ref="AW71"/>
    <hyperlink r:id="rId34" ref="AX71"/>
    <hyperlink r:id="rId35" ref="K80"/>
    <hyperlink r:id="rId36" ref="AW80"/>
    <hyperlink r:id="rId37" ref="AX80"/>
    <hyperlink r:id="rId38" ref="K81"/>
    <hyperlink r:id="rId39" ref="M81"/>
    <hyperlink r:id="rId40" ref="AW81"/>
    <hyperlink r:id="rId41" ref="AX81"/>
    <hyperlink r:id="rId42" ref="S86"/>
    <hyperlink r:id="rId43" ref="S88"/>
    <hyperlink r:id="rId44" ref="S90"/>
    <hyperlink r:id="rId45" ref="S92"/>
    <hyperlink r:id="rId46" ref="S94"/>
    <hyperlink r:id="rId47" ref="S95"/>
    <hyperlink r:id="rId48" ref="K114"/>
    <hyperlink r:id="rId49" ref="R120"/>
    <hyperlink r:id="rId50" ref="S120"/>
    <hyperlink r:id="rId51" ref="R121"/>
    <hyperlink r:id="rId52" ref="S121"/>
    <hyperlink r:id="rId53" ref="R122"/>
    <hyperlink r:id="rId54" ref="S122"/>
    <hyperlink r:id="rId55" ref="R123"/>
    <hyperlink r:id="rId56" ref="S123"/>
    <hyperlink r:id="rId57" ref="AW130"/>
    <hyperlink r:id="rId58" ref="AX130"/>
    <hyperlink r:id="rId59" ref="R131"/>
    <hyperlink r:id="rId60" ref="S131"/>
    <hyperlink r:id="rId61" ref="AW131"/>
    <hyperlink r:id="rId62" ref="AX131"/>
    <hyperlink r:id="rId63" ref="R132"/>
    <hyperlink r:id="rId64" ref="S132"/>
    <hyperlink r:id="rId65" ref="AW132"/>
    <hyperlink r:id="rId66" ref="AX132"/>
    <hyperlink r:id="rId67" ref="R133"/>
    <hyperlink r:id="rId68" ref="S133"/>
    <hyperlink r:id="rId69" ref="AW133"/>
    <hyperlink r:id="rId70" ref="AX133"/>
    <hyperlink r:id="rId71" ref="R134"/>
    <hyperlink r:id="rId72" ref="S134"/>
    <hyperlink r:id="rId73" ref="AW134"/>
    <hyperlink r:id="rId74" ref="AX134"/>
    <hyperlink r:id="rId75" ref="AW135"/>
    <hyperlink r:id="rId76" ref="AX135"/>
    <hyperlink r:id="rId77" ref="AW136"/>
    <hyperlink r:id="rId78" ref="AX136"/>
    <hyperlink r:id="rId79" ref="AW137"/>
    <hyperlink r:id="rId80" ref="AX137"/>
    <hyperlink r:id="rId81" ref="AW138"/>
    <hyperlink r:id="rId82" ref="AX138"/>
    <hyperlink r:id="rId83" ref="S144"/>
    <hyperlink r:id="rId84" ref="R145"/>
    <hyperlink r:id="rId85" ref="S145"/>
    <hyperlink r:id="rId86" ref="AI145"/>
    <hyperlink r:id="rId87" ref="AJ145"/>
    <hyperlink r:id="rId88" ref="AK145"/>
    <hyperlink r:id="rId89" ref="AR145"/>
    <hyperlink r:id="rId90" ref="AS145"/>
    <hyperlink r:id="rId91" ref="AT145"/>
    <hyperlink r:id="rId92" ref="R146"/>
    <hyperlink r:id="rId93" ref="S146"/>
    <hyperlink r:id="rId94" ref="AW152"/>
    <hyperlink r:id="rId95" ref="AX152"/>
    <hyperlink r:id="rId96" ref="AW153"/>
    <hyperlink r:id="rId97" ref="AW154"/>
    <hyperlink r:id="rId98" ref="AW155"/>
    <hyperlink r:id="rId99" ref="AX155"/>
    <hyperlink r:id="rId100" ref="T156"/>
    <hyperlink r:id="rId101" ref="S158"/>
    <hyperlink r:id="rId102" ref="AW158"/>
    <hyperlink r:id="rId103" ref="AX158"/>
    <hyperlink r:id="rId104" ref="R159"/>
    <hyperlink r:id="rId105" ref="S162"/>
    <hyperlink r:id="rId106" ref="AW162"/>
    <hyperlink r:id="rId107" ref="AX162"/>
    <hyperlink r:id="rId108" ref="S163"/>
    <hyperlink r:id="rId109" ref="AW163"/>
    <hyperlink r:id="rId110" ref="AX163"/>
    <hyperlink r:id="rId111" ref="S164"/>
    <hyperlink r:id="rId112" ref="AW164"/>
    <hyperlink r:id="rId113" ref="AX164"/>
    <hyperlink r:id="rId114" ref="S165"/>
    <hyperlink r:id="rId115" ref="AW165"/>
    <hyperlink r:id="rId116" ref="AX165"/>
    <hyperlink r:id="rId117" ref="S166"/>
    <hyperlink r:id="rId118" ref="AW166"/>
    <hyperlink r:id="rId119" ref="AX166"/>
    <hyperlink r:id="rId120" ref="R167"/>
    <hyperlink r:id="rId121" ref="R168"/>
    <hyperlink r:id="rId122" ref="AW179"/>
    <hyperlink r:id="rId123" ref="AX179"/>
    <hyperlink r:id="rId124" ref="AW180"/>
    <hyperlink r:id="rId125" ref="AX180"/>
    <hyperlink r:id="rId126" ref="AW181"/>
    <hyperlink r:id="rId127" ref="AX181"/>
    <hyperlink r:id="rId128" ref="AW182"/>
    <hyperlink r:id="rId129" ref="AX182"/>
    <hyperlink r:id="rId130" ref="AW183"/>
    <hyperlink r:id="rId131" ref="AX183"/>
    <hyperlink r:id="rId132" ref="AW184"/>
    <hyperlink r:id="rId133" ref="AX184"/>
    <hyperlink r:id="rId134" ref="AW185"/>
    <hyperlink r:id="rId135" ref="AX185"/>
    <hyperlink r:id="rId136" ref="AW186"/>
    <hyperlink r:id="rId137" ref="AX186"/>
    <hyperlink r:id="rId138" ref="AW188"/>
    <hyperlink r:id="rId139" ref="AX188"/>
    <hyperlink r:id="rId140" ref="AW189"/>
    <hyperlink r:id="rId141" ref="AW190"/>
    <hyperlink r:id="rId142" ref="AW191"/>
    <hyperlink r:id="rId143" ref="AX191"/>
    <hyperlink r:id="rId144" ref="AW192"/>
    <hyperlink r:id="rId145" ref="AX192"/>
    <hyperlink r:id="rId146" ref="AW194"/>
    <hyperlink r:id="rId147" ref="AX194"/>
    <hyperlink r:id="rId148" ref="AW195"/>
    <hyperlink r:id="rId149" ref="AX195"/>
    <hyperlink r:id="rId150" ref="AW196"/>
    <hyperlink r:id="rId151" ref="AX196"/>
    <hyperlink r:id="rId152" ref="AW197"/>
    <hyperlink r:id="rId153" ref="AX197"/>
    <hyperlink r:id="rId154" ref="AW198"/>
    <hyperlink r:id="rId155" ref="AX198"/>
    <hyperlink r:id="rId156" ref="AW199"/>
    <hyperlink r:id="rId157" ref="AX199"/>
    <hyperlink r:id="rId158" ref="M207"/>
    <hyperlink r:id="rId159" ref="R207"/>
    <hyperlink r:id="rId160" ref="K250"/>
    <hyperlink r:id="rId161" ref="M250"/>
    <hyperlink r:id="rId162" ref="R250"/>
    <hyperlink r:id="rId163" ref="S250"/>
    <hyperlink r:id="rId164" ref="M252"/>
    <hyperlink r:id="rId165" ref="R252"/>
    <hyperlink r:id="rId166" ref="S252"/>
    <hyperlink r:id="rId167" ref="M254"/>
    <hyperlink r:id="rId168" ref="R254"/>
    <hyperlink r:id="rId169" ref="S254"/>
    <hyperlink r:id="rId170" ref="M256"/>
    <hyperlink r:id="rId171" ref="R256"/>
    <hyperlink r:id="rId172" ref="S256"/>
    <hyperlink r:id="rId173" ref="T259"/>
    <hyperlink r:id="rId174" ref="W259"/>
    <hyperlink r:id="rId175" ref="R260"/>
    <hyperlink r:id="rId176" ref="T260"/>
    <hyperlink r:id="rId177" ref="T261"/>
    <hyperlink r:id="rId178" ref="T262"/>
    <hyperlink r:id="rId179" ref="W263"/>
    <hyperlink r:id="rId180" ref="R264"/>
    <hyperlink r:id="rId181" ref="S264"/>
    <hyperlink r:id="rId182" ref="AW265"/>
    <hyperlink r:id="rId183" ref="AX265"/>
    <hyperlink r:id="rId184" ref="AW266"/>
    <hyperlink r:id="rId185" ref="AX266"/>
    <hyperlink r:id="rId186" ref="AW267"/>
    <hyperlink r:id="rId187" ref="AX267"/>
    <hyperlink r:id="rId188" ref="AW268"/>
    <hyperlink r:id="rId189" ref="AX268"/>
    <hyperlink r:id="rId190" ref="AW269"/>
    <hyperlink r:id="rId191" ref="AX269"/>
    <hyperlink r:id="rId192" ref="M270"/>
    <hyperlink r:id="rId193" ref="AW270"/>
    <hyperlink r:id="rId194" ref="AX270"/>
    <hyperlink r:id="rId195" ref="N271"/>
    <hyperlink r:id="rId196" ref="S271"/>
    <hyperlink r:id="rId197" ref="T271"/>
    <hyperlink r:id="rId198" ref="U271"/>
    <hyperlink r:id="rId199" ref="M272"/>
    <hyperlink r:id="rId200" ref="R272"/>
    <hyperlink r:id="rId201" ref="S272"/>
    <hyperlink r:id="rId202" ref="T272"/>
    <hyperlink r:id="rId203" ref="M273"/>
    <hyperlink r:id="rId204" ref="R273"/>
    <hyperlink r:id="rId205" ref="S273"/>
    <hyperlink r:id="rId206" ref="T273"/>
    <hyperlink r:id="rId207" ref="M274"/>
    <hyperlink r:id="rId208" ref="R274"/>
    <hyperlink r:id="rId209" ref="S274"/>
    <hyperlink r:id="rId210" ref="T274"/>
    <hyperlink r:id="rId211" ref="M275"/>
    <hyperlink r:id="rId212" ref="R275"/>
    <hyperlink r:id="rId213" ref="S275"/>
    <hyperlink r:id="rId214" ref="T275"/>
    <hyperlink r:id="rId215" ref="M276"/>
    <hyperlink r:id="rId216" ref="R276"/>
    <hyperlink r:id="rId217" ref="S276"/>
    <hyperlink r:id="rId218" ref="T276"/>
    <hyperlink r:id="rId219" ref="M277"/>
    <hyperlink r:id="rId220" ref="R277"/>
    <hyperlink r:id="rId221" ref="S277"/>
    <hyperlink r:id="rId222" ref="T277"/>
    <hyperlink r:id="rId223" ref="M278"/>
    <hyperlink r:id="rId224" ref="R278"/>
    <hyperlink r:id="rId225" ref="S278"/>
    <hyperlink r:id="rId226" ref="T278"/>
    <hyperlink r:id="rId227" ref="M279"/>
    <hyperlink r:id="rId228" ref="R279"/>
    <hyperlink r:id="rId229" ref="S279"/>
    <hyperlink r:id="rId230" ref="T279"/>
    <hyperlink r:id="rId231" ref="M280"/>
    <hyperlink r:id="rId232" ref="R280"/>
    <hyperlink r:id="rId233" ref="S280"/>
    <hyperlink r:id="rId234" ref="T280"/>
    <hyperlink r:id="rId235" ref="M281"/>
    <hyperlink r:id="rId236" ref="R281"/>
    <hyperlink r:id="rId237" ref="S281"/>
    <hyperlink r:id="rId238" ref="T281"/>
    <hyperlink r:id="rId239" ref="M282"/>
    <hyperlink r:id="rId240" ref="S282"/>
    <hyperlink r:id="rId241" ref="AW282"/>
    <hyperlink r:id="rId242" ref="W283"/>
    <hyperlink r:id="rId243" ref="AW283"/>
    <hyperlink r:id="rId244" ref="AX283"/>
    <hyperlink r:id="rId245" ref="S284"/>
    <hyperlink r:id="rId246" ref="AW284"/>
    <hyperlink r:id="rId247" ref="W285"/>
    <hyperlink r:id="rId248" ref="AW285"/>
    <hyperlink r:id="rId249" ref="M286"/>
    <hyperlink r:id="rId250" ref="AW286"/>
    <hyperlink r:id="rId251" ref="W287"/>
    <hyperlink r:id="rId252" ref="AW287"/>
    <hyperlink r:id="rId253" ref="M288"/>
    <hyperlink r:id="rId254" ref="AW288"/>
    <hyperlink r:id="rId255" ref="AX288"/>
    <hyperlink r:id="rId256" ref="W289"/>
    <hyperlink r:id="rId257" ref="AW289"/>
    <hyperlink r:id="rId258" ref="M290"/>
    <hyperlink r:id="rId259" ref="AW290"/>
    <hyperlink r:id="rId260" ref="AX290"/>
    <hyperlink r:id="rId261" ref="W291"/>
    <hyperlink r:id="rId262" ref="AW291"/>
    <hyperlink r:id="rId263" ref="M292"/>
    <hyperlink r:id="rId264" ref="AW292"/>
    <hyperlink r:id="rId265" ref="AX292"/>
    <hyperlink r:id="rId266" ref="W293"/>
    <hyperlink r:id="rId267" ref="AW293"/>
    <hyperlink r:id="rId268" ref="W294"/>
    <hyperlink r:id="rId269" ref="AW294"/>
    <hyperlink r:id="rId270" ref="W295"/>
    <hyperlink r:id="rId271" ref="AW295"/>
    <hyperlink r:id="rId272" ref="W296"/>
    <hyperlink r:id="rId273" ref="AW296"/>
    <hyperlink r:id="rId274" ref="W297"/>
    <hyperlink r:id="rId275" ref="AW297"/>
    <hyperlink r:id="rId276" ref="T298"/>
    <hyperlink r:id="rId277" ref="U298"/>
    <hyperlink r:id="rId278" ref="M299"/>
    <hyperlink r:id="rId279" ref="T299"/>
    <hyperlink r:id="rId280" ref="T300"/>
    <hyperlink r:id="rId281" ref="M301"/>
    <hyperlink r:id="rId282" ref="T301"/>
    <hyperlink r:id="rId283" ref="T302"/>
    <hyperlink r:id="rId284" ref="U302"/>
    <hyperlink r:id="rId285" ref="T303"/>
    <hyperlink r:id="rId286" ref="U303"/>
    <hyperlink r:id="rId287" ref="AW304"/>
    <hyperlink r:id="rId288" ref="AX304"/>
    <hyperlink r:id="rId289" ref="R305"/>
    <hyperlink r:id="rId290" ref="S305"/>
    <hyperlink r:id="rId291" ref="AW305"/>
    <hyperlink r:id="rId292" ref="AX305"/>
    <hyperlink r:id="rId293" ref="R307"/>
    <hyperlink r:id="rId294" ref="S307"/>
    <hyperlink r:id="rId295" ref="AW307"/>
    <hyperlink r:id="rId296" ref="AX307"/>
    <hyperlink r:id="rId297" ref="R309"/>
    <hyperlink r:id="rId298" ref="S309"/>
    <hyperlink r:id="rId299" ref="AW309"/>
    <hyperlink r:id="rId300" ref="AX309"/>
    <hyperlink r:id="rId301" ref="R311"/>
    <hyperlink r:id="rId302" ref="S311"/>
    <hyperlink r:id="rId303" ref="AW311"/>
    <hyperlink r:id="rId304" ref="AX311"/>
    <hyperlink r:id="rId305" ref="R312"/>
    <hyperlink r:id="rId306" ref="S312"/>
    <hyperlink r:id="rId307" ref="AW312"/>
    <hyperlink r:id="rId308" ref="W313"/>
    <hyperlink r:id="rId309" ref="Y313"/>
    <hyperlink r:id="rId310" ref="N318"/>
    <hyperlink r:id="rId311" ref="N319"/>
    <hyperlink r:id="rId312" ref="R319"/>
    <hyperlink r:id="rId313" ref="S319"/>
    <hyperlink r:id="rId314" ref="T329"/>
    <hyperlink r:id="rId315" ref="M330"/>
    <hyperlink r:id="rId316" ref="T330"/>
    <hyperlink r:id="rId317" ref="T331"/>
    <hyperlink r:id="rId318" ref="M332"/>
    <hyperlink r:id="rId319" ref="T332"/>
    <hyperlink r:id="rId320" ref="T333"/>
    <hyperlink r:id="rId321" ref="M334"/>
    <hyperlink r:id="rId322" ref="T334"/>
    <hyperlink r:id="rId323" ref="T335"/>
    <hyperlink r:id="rId324" ref="M336"/>
    <hyperlink r:id="rId325" ref="T336"/>
    <hyperlink r:id="rId326" ref="T337"/>
    <hyperlink r:id="rId327" ref="M338"/>
    <hyperlink r:id="rId328" ref="T338"/>
    <hyperlink r:id="rId329" ref="T339"/>
    <hyperlink r:id="rId330" ref="M340"/>
    <hyperlink r:id="rId331" ref="T340"/>
    <hyperlink r:id="rId332" ref="T341"/>
    <hyperlink r:id="rId333" ref="M342"/>
    <hyperlink r:id="rId334" ref="T342"/>
    <hyperlink r:id="rId335" ref="T343"/>
    <hyperlink r:id="rId336" ref="M344"/>
    <hyperlink r:id="rId337" ref="T344"/>
    <hyperlink r:id="rId338" ref="T345"/>
    <hyperlink r:id="rId339" ref="M346"/>
    <hyperlink r:id="rId340" ref="T346"/>
    <hyperlink r:id="rId341" ref="M347"/>
    <hyperlink r:id="rId342" ref="T347"/>
    <hyperlink r:id="rId343" ref="M353"/>
    <hyperlink r:id="rId344" ref="AW353"/>
    <hyperlink r:id="rId345" ref="N354"/>
    <hyperlink r:id="rId346" ref="N355"/>
    <hyperlink r:id="rId347" ref="T355"/>
    <hyperlink r:id="rId348" ref="AW359"/>
    <hyperlink r:id="rId349" ref="AX359"/>
    <hyperlink r:id="rId350" ref="T360"/>
    <hyperlink r:id="rId351" ref="L362"/>
    <hyperlink r:id="rId352" ref="R362"/>
    <hyperlink r:id="rId353" ref="W362"/>
    <hyperlink r:id="rId354" ref="Y362"/>
    <hyperlink r:id="rId355" ref="AY362"/>
    <hyperlink r:id="rId356" ref="W381"/>
    <hyperlink r:id="rId357" ref="W386"/>
    <hyperlink r:id="rId358" ref="W387"/>
    <hyperlink r:id="rId359" ref="W388"/>
    <hyperlink r:id="rId360" ref="W389"/>
    <hyperlink r:id="rId361" ref="W390"/>
    <hyperlink r:id="rId362" ref="W391"/>
    <hyperlink r:id="rId363" ref="W392"/>
    <hyperlink r:id="rId364" ref="W393"/>
    <hyperlink r:id="rId365" ref="W394"/>
    <hyperlink r:id="rId366" ref="W395"/>
    <hyperlink r:id="rId367" ref="W396"/>
    <hyperlink r:id="rId368" ref="W397"/>
    <hyperlink r:id="rId369" ref="R398"/>
    <hyperlink r:id="rId370" ref="R401"/>
    <hyperlink r:id="rId371" ref="S401"/>
    <hyperlink r:id="rId372" ref="R403"/>
    <hyperlink r:id="rId373" ref="S403"/>
    <hyperlink r:id="rId374" ref="R404"/>
    <hyperlink r:id="rId375" ref="S404"/>
    <hyperlink r:id="rId376" ref="AW425"/>
    <hyperlink r:id="rId377" ref="AX425"/>
    <hyperlink r:id="rId378" ref="AW426"/>
    <hyperlink r:id="rId379" ref="AX426"/>
    <hyperlink r:id="rId380" ref="AW427"/>
    <hyperlink r:id="rId381" ref="AX427"/>
    <hyperlink r:id="rId382" ref="AW428"/>
    <hyperlink r:id="rId383" ref="AX428"/>
    <hyperlink r:id="rId384" ref="AW429"/>
    <hyperlink r:id="rId385" ref="AX429"/>
    <hyperlink r:id="rId386" ref="AW430"/>
    <hyperlink r:id="rId387" ref="AX430"/>
    <hyperlink r:id="rId388" ref="K431"/>
    <hyperlink r:id="rId389" ref="R431"/>
    <hyperlink r:id="rId390" ref="K432"/>
    <hyperlink r:id="rId391" ref="R432"/>
    <hyperlink r:id="rId392" ref="R433"/>
    <hyperlink r:id="rId393" ref="AW433"/>
    <hyperlink r:id="rId394" ref="AX433"/>
    <hyperlink r:id="rId395" ref="R434"/>
    <hyperlink r:id="rId396" ref="AW434"/>
    <hyperlink r:id="rId397" ref="AX434"/>
    <hyperlink r:id="rId398" ref="R435"/>
    <hyperlink r:id="rId399" ref="AW435"/>
    <hyperlink r:id="rId400" ref="AX435"/>
    <hyperlink r:id="rId401" ref="R436"/>
    <hyperlink r:id="rId402" ref="AW436"/>
    <hyperlink r:id="rId403" ref="AX436"/>
    <hyperlink r:id="rId404" ref="R437"/>
    <hyperlink r:id="rId405" ref="AW437"/>
    <hyperlink r:id="rId406" ref="AX437"/>
    <hyperlink r:id="rId407" ref="AW439"/>
    <hyperlink r:id="rId408" ref="AX439"/>
    <hyperlink r:id="rId409" ref="AW440"/>
    <hyperlink r:id="rId410" ref="AX440"/>
    <hyperlink r:id="rId411" ref="AW441"/>
    <hyperlink r:id="rId412" ref="AX441"/>
    <hyperlink r:id="rId413" ref="AW442"/>
    <hyperlink r:id="rId414" ref="AX442"/>
    <hyperlink r:id="rId415" ref="AW443"/>
    <hyperlink r:id="rId416" ref="AX443"/>
    <hyperlink r:id="rId417" ref="AW444"/>
    <hyperlink r:id="rId418" ref="AX444"/>
    <hyperlink r:id="rId419" ref="M446"/>
    <hyperlink r:id="rId420" ref="M447"/>
    <hyperlink r:id="rId421" ref="AW448"/>
    <hyperlink r:id="rId422" ref="AX448"/>
    <hyperlink r:id="rId423" ref="AW449"/>
    <hyperlink r:id="rId424" ref="AX449"/>
    <hyperlink r:id="rId425" ref="T450"/>
    <hyperlink r:id="rId426" ref="R451"/>
    <hyperlink r:id="rId427" ref="T451"/>
    <hyperlink r:id="rId428" ref="T452"/>
    <hyperlink r:id="rId429" ref="R453"/>
    <hyperlink r:id="rId430" ref="T453"/>
    <hyperlink r:id="rId431" ref="T454"/>
    <hyperlink r:id="rId432" ref="R455"/>
    <hyperlink r:id="rId433" ref="S455"/>
    <hyperlink r:id="rId434" ref="R461"/>
    <hyperlink r:id="rId435" ref="L462"/>
    <hyperlink r:id="rId436" ref="M466"/>
    <hyperlink r:id="rId437" ref="R466"/>
    <hyperlink r:id="rId438" ref="S466"/>
    <hyperlink r:id="rId439" ref="AW466"/>
    <hyperlink r:id="rId440" ref="AX466"/>
    <hyperlink r:id="rId441" ref="AW468"/>
    <hyperlink r:id="rId442" ref="AW469"/>
    <hyperlink r:id="rId443" ref="AW470"/>
    <hyperlink r:id="rId444" ref="AW471"/>
    <hyperlink r:id="rId445" ref="AW472"/>
    <hyperlink r:id="rId446" ref="AW473"/>
    <hyperlink r:id="rId447" ref="AW474"/>
    <hyperlink r:id="rId448" ref="AW475"/>
    <hyperlink r:id="rId449" ref="AW476"/>
    <hyperlink r:id="rId450" ref="AW477"/>
    <hyperlink r:id="rId451" ref="M478"/>
    <hyperlink r:id="rId452" ref="M479"/>
    <hyperlink r:id="rId453" ref="M480"/>
    <hyperlink r:id="rId454" ref="M486"/>
    <hyperlink r:id="rId455" ref="AN497"/>
    <hyperlink r:id="rId456" ref="AO497"/>
    <hyperlink r:id="rId457" ref="AW497"/>
    <hyperlink r:id="rId458" ref="M498"/>
    <hyperlink r:id="rId459" ref="AN498"/>
    <hyperlink r:id="rId460" ref="AO498"/>
    <hyperlink r:id="rId461" ref="AP498"/>
    <hyperlink r:id="rId462" ref="AW498"/>
    <hyperlink r:id="rId463" ref="AX498"/>
    <hyperlink r:id="rId464" ref="M499"/>
    <hyperlink r:id="rId465" ref="AN499"/>
    <hyperlink r:id="rId466" ref="AO499"/>
    <hyperlink r:id="rId467" ref="AP499"/>
    <hyperlink r:id="rId468" ref="AW499"/>
    <hyperlink r:id="rId469" ref="AX499"/>
    <hyperlink r:id="rId470" ref="M500"/>
    <hyperlink r:id="rId471" ref="AN500"/>
    <hyperlink r:id="rId472" ref="AO500"/>
    <hyperlink r:id="rId473" ref="AP500"/>
    <hyperlink r:id="rId474" ref="AW500"/>
    <hyperlink r:id="rId475" ref="AX500"/>
    <hyperlink r:id="rId476" ref="M501"/>
    <hyperlink r:id="rId477" ref="AN501"/>
    <hyperlink r:id="rId478" ref="AO501"/>
    <hyperlink r:id="rId479" ref="AP501"/>
    <hyperlink r:id="rId480" ref="AW501"/>
    <hyperlink r:id="rId481" ref="AX501"/>
    <hyperlink r:id="rId482" ref="M502"/>
    <hyperlink r:id="rId483" ref="AN502"/>
    <hyperlink r:id="rId484" ref="AO502"/>
    <hyperlink r:id="rId485" ref="AP502"/>
    <hyperlink r:id="rId486" ref="AW502"/>
    <hyperlink r:id="rId487" ref="AX502"/>
    <hyperlink r:id="rId488" ref="M503"/>
    <hyperlink r:id="rId489" ref="AN503"/>
    <hyperlink r:id="rId490" ref="AO503"/>
    <hyperlink r:id="rId491" ref="AP503"/>
    <hyperlink r:id="rId492" ref="AW503"/>
    <hyperlink r:id="rId493" ref="AX503"/>
    <hyperlink r:id="rId494" ref="M504"/>
    <hyperlink r:id="rId495" ref="AN504"/>
    <hyperlink r:id="rId496" ref="AO504"/>
    <hyperlink r:id="rId497" ref="AP504"/>
    <hyperlink r:id="rId498" ref="AW504"/>
    <hyperlink r:id="rId499" ref="AX504"/>
    <hyperlink r:id="rId500" ref="M505"/>
    <hyperlink r:id="rId501" ref="AN505"/>
    <hyperlink r:id="rId502" ref="AO505"/>
    <hyperlink r:id="rId503" ref="AP505"/>
    <hyperlink r:id="rId504" ref="AW505"/>
    <hyperlink r:id="rId505" ref="AX505"/>
    <hyperlink r:id="rId506" ref="M506"/>
    <hyperlink r:id="rId507" ref="AN506"/>
    <hyperlink r:id="rId508" ref="AO506"/>
    <hyperlink r:id="rId509" ref="AP506"/>
    <hyperlink r:id="rId510" ref="AW506"/>
    <hyperlink r:id="rId511" ref="AX506"/>
    <hyperlink r:id="rId512" ref="M507"/>
    <hyperlink r:id="rId513" ref="AN507"/>
    <hyperlink r:id="rId514" ref="AO507"/>
    <hyperlink r:id="rId515" ref="AP507"/>
    <hyperlink r:id="rId516" ref="AW507"/>
    <hyperlink r:id="rId517" ref="AX507"/>
    <hyperlink r:id="rId518" ref="M508"/>
    <hyperlink r:id="rId519" ref="AN508"/>
    <hyperlink r:id="rId520" ref="AO508"/>
    <hyperlink r:id="rId521" ref="AP508"/>
    <hyperlink r:id="rId522" ref="AW508"/>
    <hyperlink r:id="rId523" ref="AX508"/>
    <hyperlink r:id="rId524" ref="AW509"/>
    <hyperlink r:id="rId525" ref="K510"/>
    <hyperlink r:id="rId526" ref="M510"/>
    <hyperlink r:id="rId527" ref="AN510"/>
    <hyperlink r:id="rId528" ref="AO510"/>
    <hyperlink r:id="rId529" ref="AP510"/>
    <hyperlink r:id="rId530" ref="AW510"/>
    <hyperlink r:id="rId531" ref="AX510"/>
    <hyperlink r:id="rId532" ref="AY510"/>
    <hyperlink r:id="rId533" ref="K511"/>
    <hyperlink r:id="rId534" ref="M511"/>
    <hyperlink r:id="rId535" ref="AN511"/>
    <hyperlink r:id="rId536" ref="AO511"/>
    <hyperlink r:id="rId537" ref="AP511"/>
    <hyperlink r:id="rId538" ref="AW511"/>
    <hyperlink r:id="rId539" ref="AX511"/>
    <hyperlink r:id="rId540" ref="AW512"/>
    <hyperlink r:id="rId541" ref="K513"/>
    <hyperlink r:id="rId542" ref="M513"/>
    <hyperlink r:id="rId543" ref="AN513"/>
    <hyperlink r:id="rId544" ref="AO513"/>
    <hyperlink r:id="rId545" ref="AW513"/>
    <hyperlink r:id="rId546" ref="AX513"/>
    <hyperlink r:id="rId547" ref="T514"/>
    <hyperlink r:id="rId548" ref="U514"/>
    <hyperlink r:id="rId549" ref="T515"/>
    <hyperlink r:id="rId550" ref="T516"/>
    <hyperlink r:id="rId551" ref="T517"/>
    <hyperlink r:id="rId552" ref="T521"/>
    <hyperlink r:id="rId553" ref="U521"/>
    <hyperlink r:id="rId554" ref="M526"/>
    <hyperlink r:id="rId555" ref="AW529"/>
    <hyperlink r:id="rId556" ref="AX529"/>
    <hyperlink r:id="rId557" ref="AW530"/>
    <hyperlink r:id="rId558" ref="AX530"/>
    <hyperlink r:id="rId559" ref="AW531"/>
    <hyperlink r:id="rId560" ref="AX531"/>
    <hyperlink r:id="rId561" ref="AW532"/>
    <hyperlink r:id="rId562" ref="AN533"/>
    <hyperlink r:id="rId563" ref="AN534"/>
    <hyperlink r:id="rId564" ref="AN535"/>
    <hyperlink r:id="rId565" ref="M538"/>
    <hyperlink r:id="rId566" ref="R538"/>
    <hyperlink r:id="rId567" ref="M553"/>
    <hyperlink r:id="rId568" ref="AN553"/>
    <hyperlink r:id="rId569" ref="AW553"/>
    <hyperlink r:id="rId570" ref="M554"/>
    <hyperlink r:id="rId571" ref="AN554"/>
    <hyperlink r:id="rId572" ref="AW554"/>
    <hyperlink r:id="rId573" ref="AW555"/>
    <hyperlink r:id="rId574" ref="AW556"/>
    <hyperlink r:id="rId575" ref="AW599"/>
    <hyperlink r:id="rId576" ref="AX599"/>
    <hyperlink r:id="rId577" ref="AW600"/>
    <hyperlink r:id="rId578" ref="AX600"/>
    <hyperlink r:id="rId579" ref="AW601"/>
    <hyperlink r:id="rId580" ref="AX601"/>
    <hyperlink r:id="rId581" ref="AW602"/>
    <hyperlink r:id="rId582" ref="AX602"/>
    <hyperlink r:id="rId583" ref="AW603"/>
    <hyperlink r:id="rId584" ref="AX603"/>
    <hyperlink r:id="rId585" ref="AW604"/>
    <hyperlink r:id="rId586" ref="AX604"/>
    <hyperlink r:id="rId587" ref="AW605"/>
    <hyperlink r:id="rId588" ref="AX605"/>
    <hyperlink r:id="rId589" ref="AW606"/>
    <hyperlink r:id="rId590" ref="AX606"/>
    <hyperlink r:id="rId591" ref="AW607"/>
    <hyperlink r:id="rId592" ref="AX607"/>
    <hyperlink r:id="rId593" ref="R609"/>
    <hyperlink r:id="rId594" ref="T647"/>
    <hyperlink r:id="rId595" ref="T648"/>
    <hyperlink r:id="rId596" ref="AW648"/>
    <hyperlink r:id="rId597" ref="R649"/>
    <hyperlink r:id="rId598" ref="T649"/>
    <hyperlink r:id="rId599" ref="AW649"/>
    <hyperlink r:id="rId600" ref="T650"/>
    <hyperlink r:id="rId601" ref="AW650"/>
    <hyperlink r:id="rId602" ref="T651"/>
    <hyperlink r:id="rId603" ref="AW651"/>
    <hyperlink r:id="rId604" ref="T652"/>
    <hyperlink r:id="rId605" ref="AW652"/>
    <hyperlink r:id="rId606" ref="T653"/>
    <hyperlink r:id="rId607" ref="AW653"/>
    <hyperlink r:id="rId608" ref="T654"/>
    <hyperlink r:id="rId609" ref="AW654"/>
    <hyperlink r:id="rId610" ref="T655"/>
    <hyperlink r:id="rId611" ref="AW655"/>
    <hyperlink r:id="rId612" ref="T656"/>
    <hyperlink r:id="rId613" ref="AW656"/>
    <hyperlink r:id="rId614" ref="T657"/>
    <hyperlink r:id="rId615" ref="AW657"/>
    <hyperlink r:id="rId616" ref="AX657"/>
    <hyperlink r:id="rId617" ref="T658"/>
    <hyperlink r:id="rId618" ref="AW658"/>
    <hyperlink r:id="rId619" ref="AX658"/>
    <hyperlink r:id="rId620" ref="T659"/>
    <hyperlink r:id="rId621" ref="AW659"/>
    <hyperlink r:id="rId622" ref="AX659"/>
    <hyperlink r:id="rId623" ref="T660"/>
    <hyperlink r:id="rId624" ref="AW660"/>
    <hyperlink r:id="rId625" ref="AX660"/>
    <hyperlink r:id="rId626" ref="T661"/>
    <hyperlink r:id="rId627" ref="AW661"/>
    <hyperlink r:id="rId628" ref="AX661"/>
    <hyperlink r:id="rId629" ref="T662"/>
    <hyperlink r:id="rId630" ref="AW662"/>
    <hyperlink r:id="rId631" ref="AX662"/>
    <hyperlink r:id="rId632" ref="AN663"/>
    <hyperlink r:id="rId633" ref="AO663"/>
    <hyperlink r:id="rId634" ref="AP663"/>
    <hyperlink r:id="rId635" ref="AW663"/>
    <hyperlink r:id="rId636" ref="AX663"/>
    <hyperlink r:id="rId637" ref="AN664"/>
    <hyperlink r:id="rId638" ref="AO664"/>
    <hyperlink r:id="rId639" ref="AP664"/>
    <hyperlink r:id="rId640" ref="AW664"/>
    <hyperlink r:id="rId641" ref="AX664"/>
    <hyperlink r:id="rId642" ref="AN665"/>
    <hyperlink r:id="rId643" ref="AO665"/>
    <hyperlink r:id="rId644" ref="AP665"/>
    <hyperlink r:id="rId645" ref="AW665"/>
    <hyperlink r:id="rId646" ref="AX665"/>
    <hyperlink r:id="rId647" ref="AN666"/>
    <hyperlink r:id="rId648" ref="AO666"/>
    <hyperlink r:id="rId649" ref="AP666"/>
    <hyperlink r:id="rId650" ref="AW666"/>
    <hyperlink r:id="rId651" ref="AX666"/>
    <hyperlink r:id="rId652" ref="AN667"/>
    <hyperlink r:id="rId653" ref="AO667"/>
    <hyperlink r:id="rId654" ref="AP667"/>
    <hyperlink r:id="rId655" ref="AW667"/>
    <hyperlink r:id="rId656" ref="AX667"/>
    <hyperlink r:id="rId657" ref="AN668"/>
    <hyperlink r:id="rId658" ref="AO668"/>
    <hyperlink r:id="rId659" ref="AP668"/>
    <hyperlink r:id="rId660" ref="AW668"/>
    <hyperlink r:id="rId661" ref="AX668"/>
    <hyperlink r:id="rId662" ref="AN669"/>
    <hyperlink r:id="rId663" ref="AO669"/>
    <hyperlink r:id="rId664" ref="AP669"/>
    <hyperlink r:id="rId665" ref="AW669"/>
    <hyperlink r:id="rId666" ref="AX669"/>
    <hyperlink r:id="rId667" ref="AN670"/>
    <hyperlink r:id="rId668" ref="AO670"/>
    <hyperlink r:id="rId669" ref="AP670"/>
    <hyperlink r:id="rId670" ref="AW670"/>
    <hyperlink r:id="rId671" ref="AX670"/>
    <hyperlink r:id="rId672" ref="AN671"/>
    <hyperlink r:id="rId673" ref="AO671"/>
    <hyperlink r:id="rId674" ref="AP671"/>
    <hyperlink r:id="rId675" ref="AW671"/>
    <hyperlink r:id="rId676" ref="AX671"/>
    <hyperlink r:id="rId677" ref="AN672"/>
    <hyperlink r:id="rId678" ref="AO672"/>
    <hyperlink r:id="rId679" ref="AP672"/>
    <hyperlink r:id="rId680" ref="AW672"/>
    <hyperlink r:id="rId681" ref="AX672"/>
    <hyperlink r:id="rId682" ref="AN673"/>
    <hyperlink r:id="rId683" ref="AO673"/>
    <hyperlink r:id="rId684" ref="AP673"/>
    <hyperlink r:id="rId685" ref="AW673"/>
    <hyperlink r:id="rId686" ref="AX673"/>
    <hyperlink r:id="rId687" ref="AN674"/>
    <hyperlink r:id="rId688" ref="AO674"/>
    <hyperlink r:id="rId689" ref="AP674"/>
    <hyperlink r:id="rId690" ref="AW674"/>
    <hyperlink r:id="rId691" ref="AX674"/>
    <hyperlink r:id="rId692" ref="AN675"/>
    <hyperlink r:id="rId693" ref="AO675"/>
    <hyperlink r:id="rId694" ref="AP675"/>
    <hyperlink r:id="rId695" ref="AW675"/>
    <hyperlink r:id="rId696" ref="AX675"/>
    <hyperlink r:id="rId697" ref="AN676"/>
    <hyperlink r:id="rId698" ref="AO676"/>
    <hyperlink r:id="rId699" ref="AP676"/>
    <hyperlink r:id="rId700" ref="AW676"/>
    <hyperlink r:id="rId701" ref="AX676"/>
    <hyperlink r:id="rId702" ref="AN677"/>
    <hyperlink r:id="rId703" ref="AO677"/>
    <hyperlink r:id="rId704" ref="AP677"/>
    <hyperlink r:id="rId705" ref="AW677"/>
    <hyperlink r:id="rId706" ref="AX677"/>
    <hyperlink r:id="rId707" ref="AN678"/>
    <hyperlink r:id="rId708" ref="AO678"/>
    <hyperlink r:id="rId709" ref="AP678"/>
    <hyperlink r:id="rId710" ref="AW678"/>
    <hyperlink r:id="rId711" ref="AX678"/>
    <hyperlink r:id="rId712" ref="K680"/>
    <hyperlink r:id="rId713" ref="AR682"/>
    <hyperlink r:id="rId714" ref="K688"/>
    <hyperlink r:id="rId715" ref="T688"/>
    <hyperlink r:id="rId716" ref="AW688"/>
    <hyperlink r:id="rId717" ref="K690"/>
    <hyperlink r:id="rId718" ref="R690"/>
    <hyperlink r:id="rId719" location="gid=288814287" ref="AR690"/>
    <hyperlink r:id="rId720" ref="AW690"/>
    <hyperlink r:id="rId721" ref="K691"/>
    <hyperlink r:id="rId722" ref="R691"/>
    <hyperlink r:id="rId723" location="Results" ref="AR691"/>
    <hyperlink r:id="rId724" ref="AW691"/>
    <hyperlink r:id="rId725" ref="K692"/>
    <hyperlink r:id="rId726" ref="R692"/>
    <hyperlink r:id="rId727" location="Results" ref="AR692"/>
    <hyperlink r:id="rId728" ref="AW692"/>
    <hyperlink r:id="rId729" ref="K693"/>
    <hyperlink r:id="rId730" ref="R693"/>
    <hyperlink r:id="rId731" location="Results" ref="AR693"/>
    <hyperlink r:id="rId732" ref="AW693"/>
    <hyperlink r:id="rId733" ref="K694"/>
    <hyperlink r:id="rId734" ref="R694"/>
    <hyperlink r:id="rId735" location="Results" ref="AR694"/>
    <hyperlink r:id="rId736" ref="AW694"/>
    <hyperlink r:id="rId737" ref="K695"/>
    <hyperlink r:id="rId738" ref="R695"/>
    <hyperlink r:id="rId739" location="Results" ref="AR695"/>
    <hyperlink r:id="rId740" ref="AW695"/>
    <hyperlink r:id="rId741" ref="K696"/>
    <hyperlink r:id="rId742" ref="R696"/>
    <hyperlink r:id="rId743" location="Results" ref="AR696"/>
    <hyperlink r:id="rId744" ref="AW696"/>
    <hyperlink r:id="rId745" ref="K698"/>
    <hyperlink r:id="rId746" ref="AW698"/>
    <hyperlink r:id="rId747" ref="K699"/>
    <hyperlink r:id="rId748" ref="AW699"/>
    <hyperlink r:id="rId749" ref="AW702"/>
    <hyperlink r:id="rId750" ref="K703"/>
    <hyperlink r:id="rId751" ref="AR703"/>
    <hyperlink r:id="rId752" ref="AW703"/>
    <hyperlink r:id="rId753" ref="K704"/>
    <hyperlink r:id="rId754" ref="AR704"/>
    <hyperlink r:id="rId755" ref="AW704"/>
    <hyperlink r:id="rId756" ref="K705"/>
    <hyperlink r:id="rId757" ref="AR705"/>
    <hyperlink r:id="rId758" ref="AW705"/>
    <hyperlink r:id="rId759" ref="AR706"/>
    <hyperlink r:id="rId760" ref="AW706"/>
    <hyperlink r:id="rId761" ref="K707"/>
    <hyperlink r:id="rId762" ref="AR707"/>
    <hyperlink r:id="rId763" ref="AW707"/>
    <hyperlink r:id="rId764" ref="K708"/>
    <hyperlink r:id="rId765" ref="AR708"/>
    <hyperlink r:id="rId766" ref="AW708"/>
    <hyperlink r:id="rId767" ref="AW709"/>
    <hyperlink r:id="rId768" ref="AR710"/>
    <hyperlink r:id="rId769" ref="AW710"/>
    <hyperlink r:id="rId770" ref="K714"/>
    <hyperlink r:id="rId771" ref="K715"/>
    <hyperlink r:id="rId772" ref="K716"/>
    <hyperlink r:id="rId773" ref="K717"/>
    <hyperlink r:id="rId774" ref="K718"/>
    <hyperlink r:id="rId775" ref="K719"/>
    <hyperlink r:id="rId776" ref="T721"/>
    <hyperlink r:id="rId777" ref="K722"/>
    <hyperlink r:id="rId778" ref="T728"/>
    <hyperlink r:id="rId779" ref="AR728"/>
    <hyperlink r:id="rId780" ref="T729"/>
    <hyperlink r:id="rId781" ref="AR729"/>
    <hyperlink r:id="rId782" ref="AW729"/>
    <hyperlink r:id="rId783" ref="T730"/>
    <hyperlink r:id="rId784" ref="AR730"/>
    <hyperlink r:id="rId785" ref="AW730"/>
    <hyperlink r:id="rId786" ref="T731"/>
    <hyperlink r:id="rId787" ref="AR731"/>
    <hyperlink r:id="rId788" ref="AW731"/>
    <hyperlink r:id="rId789" ref="T732"/>
    <hyperlink r:id="rId790" ref="AR732"/>
    <hyperlink r:id="rId791" ref="AW732"/>
    <hyperlink r:id="rId792" ref="T733"/>
    <hyperlink r:id="rId793" ref="AR733"/>
    <hyperlink r:id="rId794" ref="AW733"/>
    <hyperlink r:id="rId795" ref="T734"/>
    <hyperlink r:id="rId796" ref="AN734"/>
    <hyperlink r:id="rId797" ref="AW734"/>
    <hyperlink r:id="rId798" ref="T735"/>
    <hyperlink r:id="rId799" ref="AN735"/>
    <hyperlink r:id="rId800" ref="AW735"/>
    <hyperlink r:id="rId801" location="Anticipated_challenges" ref="K736"/>
    <hyperlink r:id="rId802" ref="AN736"/>
    <hyperlink r:id="rId803" ref="AW736"/>
    <hyperlink r:id="rId804" ref="K738"/>
    <hyperlink r:id="rId805" ref="AW738"/>
    <hyperlink r:id="rId806" ref="K739"/>
    <hyperlink r:id="rId807" ref="AW739"/>
    <hyperlink r:id="rId808" ref="L742"/>
    <hyperlink r:id="rId809" ref="AR742"/>
    <hyperlink r:id="rId810" ref="L743"/>
    <hyperlink r:id="rId811" ref="AR743"/>
    <hyperlink r:id="rId812" ref="L744"/>
    <hyperlink r:id="rId813" ref="AR744"/>
    <hyperlink r:id="rId814" ref="AI746"/>
    <hyperlink r:id="rId815" location="gid=288814287" ref="AR747"/>
    <hyperlink r:id="rId816" location="gid=288814287" ref="AR748"/>
    <hyperlink r:id="rId817" ref="AW748"/>
    <hyperlink r:id="rId818" location="gid=288814287" ref="AR749"/>
    <hyperlink r:id="rId819" ref="AW749"/>
    <hyperlink r:id="rId820" ref="K751"/>
    <hyperlink r:id="rId821" ref="AR751"/>
    <hyperlink r:id="rId822" ref="AW751"/>
    <hyperlink r:id="rId823" ref="K752"/>
    <hyperlink r:id="rId824" ref="AR752"/>
    <hyperlink r:id="rId825" ref="AW752"/>
    <hyperlink r:id="rId826" ref="AR753"/>
    <hyperlink r:id="rId827" ref="AW753"/>
    <hyperlink r:id="rId828" ref="K754"/>
    <hyperlink r:id="rId829" ref="AR754"/>
    <hyperlink r:id="rId830" ref="AW754"/>
    <hyperlink r:id="rId831" ref="K755"/>
    <hyperlink r:id="rId832" ref="L755"/>
    <hyperlink r:id="rId833" ref="K756"/>
    <hyperlink r:id="rId834" ref="L756"/>
    <hyperlink r:id="rId835" ref="K757"/>
    <hyperlink r:id="rId836" ref="L757"/>
    <hyperlink r:id="rId837" ref="K758"/>
    <hyperlink r:id="rId838" ref="AR758"/>
    <hyperlink r:id="rId839" ref="K759"/>
    <hyperlink r:id="rId840" ref="K762"/>
    <hyperlink r:id="rId841" ref="K763"/>
    <hyperlink r:id="rId842" ref="K764"/>
    <hyperlink r:id="rId843" ref="K766"/>
    <hyperlink r:id="rId844" ref="T766"/>
    <hyperlink r:id="rId845" ref="AR766"/>
    <hyperlink r:id="rId846" ref="K767"/>
    <hyperlink r:id="rId847" ref="T767"/>
    <hyperlink r:id="rId848" ref="AR767"/>
    <hyperlink r:id="rId849" ref="K768"/>
    <hyperlink r:id="rId850" ref="T768"/>
    <hyperlink r:id="rId851" ref="AR768"/>
    <hyperlink r:id="rId852" ref="K769"/>
    <hyperlink r:id="rId853" ref="T769"/>
    <hyperlink r:id="rId854" ref="AR769"/>
    <hyperlink r:id="rId855" ref="K770"/>
    <hyperlink r:id="rId856" ref="T770"/>
    <hyperlink r:id="rId857" ref="AR770"/>
    <hyperlink r:id="rId858" ref="K771"/>
    <hyperlink r:id="rId859" ref="T771"/>
    <hyperlink r:id="rId860" ref="AR771"/>
    <hyperlink r:id="rId861" ref="T774"/>
    <hyperlink r:id="rId862" ref="T775"/>
    <hyperlink r:id="rId863" ref="T776"/>
    <hyperlink r:id="rId864" ref="T777"/>
    <hyperlink r:id="rId865" ref="T778"/>
    <hyperlink r:id="rId866" ref="T779"/>
    <hyperlink r:id="rId867" ref="T783"/>
    <hyperlink r:id="rId868" ref="T789"/>
    <hyperlink r:id="rId869" ref="AR789"/>
    <hyperlink r:id="rId870" ref="T790"/>
    <hyperlink r:id="rId871" ref="AR790"/>
    <hyperlink r:id="rId872" ref="T791"/>
    <hyperlink r:id="rId873" ref="AR791"/>
    <hyperlink r:id="rId874" ref="T792"/>
    <hyperlink r:id="rId875" ref="AN792"/>
    <hyperlink r:id="rId876" ref="L793"/>
    <hyperlink r:id="rId877" ref="T793"/>
    <hyperlink r:id="rId878" ref="AR793"/>
    <hyperlink r:id="rId879" ref="L794"/>
    <hyperlink r:id="rId880" ref="T794"/>
    <hyperlink r:id="rId881" ref="L795"/>
    <hyperlink r:id="rId882" ref="T795"/>
    <hyperlink r:id="rId883" ref="L796"/>
    <hyperlink r:id="rId884" ref="T796"/>
    <hyperlink r:id="rId885" ref="L797"/>
    <hyperlink r:id="rId886" ref="T797"/>
    <hyperlink r:id="rId887" ref="L798"/>
    <hyperlink r:id="rId888" ref="T798"/>
    <hyperlink r:id="rId889" ref="L799"/>
    <hyperlink r:id="rId890" ref="T799"/>
    <hyperlink r:id="rId891" ref="L800"/>
    <hyperlink r:id="rId892" ref="T800"/>
    <hyperlink r:id="rId893" ref="L801"/>
    <hyperlink r:id="rId894" ref="T801"/>
    <hyperlink r:id="rId895" ref="L802"/>
    <hyperlink r:id="rId896" ref="T802"/>
    <hyperlink r:id="rId897" ref="T803"/>
    <hyperlink r:id="rId898" ref="AN803"/>
    <hyperlink r:id="rId899" ref="AR803"/>
    <hyperlink r:id="rId900" ref="K804"/>
    <hyperlink r:id="rId901" ref="T804"/>
    <hyperlink r:id="rId902" ref="AR804"/>
    <hyperlink r:id="rId903" ref="AW804"/>
    <hyperlink r:id="rId904" ref="K805"/>
    <hyperlink r:id="rId905" ref="T805"/>
    <hyperlink r:id="rId906" ref="AR805"/>
    <hyperlink r:id="rId907" ref="AW805"/>
    <hyperlink r:id="rId908" ref="K806"/>
    <hyperlink r:id="rId909" ref="T806"/>
    <hyperlink r:id="rId910" ref="AR806"/>
    <hyperlink r:id="rId911" ref="AW806"/>
    <hyperlink r:id="rId912" ref="T807"/>
    <hyperlink r:id="rId913" ref="T808"/>
    <hyperlink r:id="rId914" ref="AR809"/>
    <hyperlink r:id="rId915" ref="AR810"/>
    <hyperlink r:id="rId916" ref="AR811"/>
    <hyperlink r:id="rId917" ref="AR812"/>
    <hyperlink r:id="rId918" ref="AR813"/>
    <hyperlink r:id="rId919" ref="AR814"/>
    <hyperlink r:id="rId920" ref="AR815"/>
    <hyperlink r:id="rId921" ref="AR816"/>
    <hyperlink r:id="rId922" ref="AR817"/>
    <hyperlink r:id="rId923" ref="K818"/>
    <hyperlink r:id="rId924" ref="AR818"/>
    <hyperlink r:id="rId925" ref="AW818"/>
    <hyperlink r:id="rId926" ref="AR819"/>
    <hyperlink r:id="rId927" ref="AR820"/>
    <hyperlink r:id="rId928" ref="AR821"/>
    <hyperlink r:id="rId929" ref="AR822"/>
    <hyperlink r:id="rId930" ref="AR823"/>
    <hyperlink r:id="rId931" ref="K824"/>
    <hyperlink r:id="rId932" ref="AR824"/>
    <hyperlink r:id="rId933" ref="K825"/>
    <hyperlink r:id="rId934" ref="K827"/>
    <hyperlink r:id="rId935" ref="K828"/>
    <hyperlink r:id="rId936" ref="K829"/>
    <hyperlink r:id="rId937" ref="K831"/>
    <hyperlink r:id="rId938" ref="K833"/>
    <hyperlink r:id="rId939" ref="K835"/>
    <hyperlink r:id="rId940" ref="K837"/>
    <hyperlink r:id="rId941" ref="K839"/>
    <hyperlink r:id="rId942" ref="K841"/>
    <hyperlink r:id="rId943" ref="AN843"/>
    <hyperlink r:id="rId944" ref="K844"/>
    <hyperlink r:id="rId945" ref="T844"/>
    <hyperlink r:id="rId946" ref="AN844"/>
    <hyperlink r:id="rId947" ref="K845"/>
    <hyperlink r:id="rId948" ref="T845"/>
    <hyperlink r:id="rId949" ref="AN845"/>
    <hyperlink r:id="rId950" ref="K846"/>
    <hyperlink r:id="rId951" ref="T846"/>
    <hyperlink r:id="rId952" ref="AN846"/>
    <hyperlink r:id="rId953" ref="T847"/>
    <hyperlink r:id="rId954" ref="T848"/>
    <hyperlink r:id="rId955" ref="T849"/>
    <hyperlink r:id="rId956" ref="AR849"/>
    <hyperlink r:id="rId957" ref="T850"/>
    <hyperlink r:id="rId958" ref="T851"/>
    <hyperlink r:id="rId959" ref="AR851"/>
    <hyperlink r:id="rId960" ref="T852"/>
    <hyperlink r:id="rId961" ref="AR852"/>
    <hyperlink r:id="rId962" ref="T853"/>
    <hyperlink r:id="rId963" ref="AR853"/>
    <hyperlink r:id="rId964" ref="K855"/>
    <hyperlink r:id="rId965" ref="K856"/>
    <hyperlink r:id="rId966" ref="AR857"/>
    <hyperlink r:id="rId967" ref="AR858"/>
    <hyperlink r:id="rId968" ref="K860"/>
    <hyperlink r:id="rId969" ref="T860"/>
    <hyperlink r:id="rId970" ref="AW860"/>
    <hyperlink r:id="rId971" ref="K861"/>
    <hyperlink r:id="rId972" ref="T861"/>
    <hyperlink r:id="rId973" ref="AW861"/>
    <hyperlink r:id="rId974" ref="K862"/>
    <hyperlink r:id="rId975" ref="T862"/>
    <hyperlink r:id="rId976" ref="AW862"/>
    <hyperlink r:id="rId977" ref="K863"/>
    <hyperlink r:id="rId978" ref="T863"/>
    <hyperlink r:id="rId979" ref="AW863"/>
    <hyperlink r:id="rId980" ref="K864"/>
    <hyperlink r:id="rId981" ref="T864"/>
    <hyperlink r:id="rId982" ref="AW864"/>
    <hyperlink r:id="rId983" ref="AW866"/>
    <hyperlink r:id="rId984" ref="AR867"/>
    <hyperlink r:id="rId985" ref="T870"/>
    <hyperlink r:id="rId986" ref="AR870"/>
    <hyperlink r:id="rId987" ref="AW870"/>
    <hyperlink r:id="rId988" ref="K871"/>
    <hyperlink r:id="rId989" ref="T871"/>
    <hyperlink r:id="rId990" ref="AR871"/>
    <hyperlink r:id="rId991" ref="AW871"/>
    <hyperlink r:id="rId992" ref="K872"/>
    <hyperlink r:id="rId993" ref="T872"/>
    <hyperlink r:id="rId994" ref="AR872"/>
    <hyperlink r:id="rId995" ref="AW872"/>
    <hyperlink r:id="rId996" ref="K873"/>
    <hyperlink r:id="rId997" ref="T873"/>
    <hyperlink r:id="rId998" ref="AR873"/>
    <hyperlink r:id="rId999" ref="AW873"/>
    <hyperlink r:id="rId1000" ref="K874"/>
    <hyperlink r:id="rId1001" ref="T874"/>
    <hyperlink r:id="rId1002" ref="AR874"/>
    <hyperlink r:id="rId1003" ref="AW874"/>
    <hyperlink r:id="rId1004" ref="K875"/>
    <hyperlink r:id="rId1005" ref="AW875"/>
    <hyperlink r:id="rId1006" ref="AN883"/>
    <hyperlink r:id="rId1007" ref="AR883"/>
    <hyperlink r:id="rId1008" ref="AR884"/>
    <hyperlink r:id="rId1009" ref="AR888"/>
    <hyperlink r:id="rId1010" ref="K889"/>
    <hyperlink r:id="rId1011" ref="T889"/>
    <hyperlink r:id="rId1012" ref="K890"/>
    <hyperlink r:id="rId1013" ref="T890"/>
    <hyperlink r:id="rId1014" ref="K891"/>
    <hyperlink r:id="rId1015" ref="T891"/>
    <hyperlink r:id="rId1016" ref="K892"/>
    <hyperlink r:id="rId1017" ref="T892"/>
    <hyperlink r:id="rId1018" ref="K893"/>
    <hyperlink r:id="rId1019" ref="T893"/>
    <hyperlink r:id="rId1020" ref="AR894"/>
    <hyperlink r:id="rId1021" ref="K895"/>
    <hyperlink r:id="rId1022" ref="T895"/>
    <hyperlink r:id="rId1023" ref="AR895"/>
    <hyperlink r:id="rId1024" ref="K896"/>
    <hyperlink r:id="rId1025" ref="T896"/>
    <hyperlink r:id="rId1026" ref="AR896"/>
    <hyperlink r:id="rId1027" ref="AR899"/>
    <hyperlink r:id="rId1028" ref="AR900"/>
    <hyperlink r:id="rId1029" ref="K902"/>
    <hyperlink r:id="rId1030" ref="T902"/>
    <hyperlink r:id="rId1031" ref="AR902"/>
    <hyperlink r:id="rId1032" ref="K903"/>
    <hyperlink r:id="rId1033" ref="T903"/>
    <hyperlink r:id="rId1034" ref="AR903"/>
    <hyperlink r:id="rId1035" ref="K904"/>
    <hyperlink r:id="rId1036" ref="T904"/>
    <hyperlink r:id="rId1037" ref="AR904"/>
    <hyperlink r:id="rId1038" ref="K906"/>
    <hyperlink r:id="rId1039" ref="K908"/>
    <hyperlink r:id="rId1040" ref="T908"/>
    <hyperlink r:id="rId1041" ref="AR908"/>
    <hyperlink r:id="rId1042" ref="K909"/>
    <hyperlink r:id="rId1043" ref="T909"/>
    <hyperlink r:id="rId1044" ref="AR909"/>
    <hyperlink r:id="rId1045" ref="T911"/>
    <hyperlink r:id="rId1046" ref="AR911"/>
    <hyperlink r:id="rId1047" ref="K912"/>
    <hyperlink r:id="rId1048" ref="T912"/>
    <hyperlink r:id="rId1049" ref="AR912"/>
    <hyperlink r:id="rId1050" ref="K913"/>
    <hyperlink r:id="rId1051" ref="T913"/>
    <hyperlink r:id="rId1052" ref="AR913"/>
    <hyperlink r:id="rId1053" ref="AW913"/>
    <hyperlink r:id="rId1054" ref="K914"/>
    <hyperlink r:id="rId1055" ref="T914"/>
    <hyperlink r:id="rId1056" ref="AN914"/>
    <hyperlink r:id="rId1057" ref="AW914"/>
    <hyperlink r:id="rId1058" ref="K915"/>
    <hyperlink r:id="rId1059" ref="T915"/>
    <hyperlink r:id="rId1060" ref="T916"/>
    <hyperlink r:id="rId1061" ref="AR916"/>
    <hyperlink r:id="rId1062" ref="T917"/>
    <hyperlink r:id="rId1063" ref="AR917"/>
    <hyperlink r:id="rId1064" ref="T918"/>
    <hyperlink r:id="rId1065" ref="AR918"/>
    <hyperlink r:id="rId1066" ref="K920"/>
    <hyperlink r:id="rId1067" ref="T920"/>
    <hyperlink r:id="rId1068" ref="AR920"/>
    <hyperlink r:id="rId1069" ref="K921"/>
    <hyperlink r:id="rId1070" ref="T921"/>
    <hyperlink r:id="rId1071" ref="AR921"/>
    <hyperlink r:id="rId1072" ref="S922"/>
    <hyperlink r:id="rId1073" ref="T922"/>
    <hyperlink r:id="rId1074" ref="AR922"/>
    <hyperlink r:id="rId1075" ref="AR923"/>
    <hyperlink r:id="rId1076" ref="K924"/>
    <hyperlink r:id="rId1077" ref="T924"/>
    <hyperlink r:id="rId1078" ref="AR924"/>
    <hyperlink r:id="rId1079" ref="S925"/>
    <hyperlink r:id="rId1080" ref="T925"/>
    <hyperlink r:id="rId1081" ref="AW925"/>
    <hyperlink r:id="rId1082" ref="AW926"/>
    <hyperlink r:id="rId1083" ref="AR927"/>
    <hyperlink r:id="rId1084" ref="K928"/>
    <hyperlink r:id="rId1085" ref="AR928"/>
    <hyperlink r:id="rId1086" ref="AN929"/>
    <hyperlink r:id="rId1087" ref="K930"/>
    <hyperlink r:id="rId1088" ref="T930"/>
    <hyperlink r:id="rId1089" ref="AN930"/>
    <hyperlink r:id="rId1090" ref="AR930"/>
    <hyperlink r:id="rId1091" ref="AW930"/>
    <hyperlink r:id="rId1092" ref="K934"/>
    <hyperlink r:id="rId1093" ref="K935"/>
    <hyperlink r:id="rId1094" ref="K939"/>
    <hyperlink r:id="rId1095" ref="K940"/>
    <hyperlink r:id="rId1096" ref="K941"/>
    <hyperlink r:id="rId1097" ref="K944"/>
    <hyperlink r:id="rId1098" ref="K946"/>
    <hyperlink r:id="rId1099" ref="AW946"/>
    <hyperlink r:id="rId1100" ref="K947"/>
    <hyperlink r:id="rId1101" ref="AW947"/>
    <hyperlink r:id="rId1102" ref="T948"/>
    <hyperlink r:id="rId1103" ref="AN949"/>
    <hyperlink r:id="rId1104" ref="AN950"/>
    <hyperlink r:id="rId1105" ref="K952"/>
    <hyperlink r:id="rId1106" ref="AN953"/>
    <hyperlink r:id="rId1107" ref="K954"/>
    <hyperlink r:id="rId1108" ref="AN954"/>
    <hyperlink r:id="rId1109" ref="AW954"/>
    <hyperlink r:id="rId1110" ref="K955"/>
    <hyperlink r:id="rId1111" ref="AN955"/>
    <hyperlink r:id="rId1112" ref="AW955"/>
    <hyperlink r:id="rId1113" ref="K957"/>
    <hyperlink r:id="rId1114" ref="K958"/>
    <hyperlink r:id="rId1115" ref="K959"/>
    <hyperlink r:id="rId1116" ref="K960"/>
    <hyperlink r:id="rId1117" ref="K961"/>
    <hyperlink r:id="rId1118" ref="K962"/>
    <hyperlink r:id="rId1119" ref="K963"/>
    <hyperlink r:id="rId1120" ref="K964"/>
    <hyperlink r:id="rId1121" ref="K965"/>
    <hyperlink r:id="rId1122" ref="K966"/>
    <hyperlink r:id="rId1123" ref="K967"/>
    <hyperlink r:id="rId1124" ref="K968"/>
    <hyperlink r:id="rId1125" ref="K969"/>
    <hyperlink r:id="rId1126" ref="K970"/>
    <hyperlink r:id="rId1127" ref="K972"/>
    <hyperlink r:id="rId1128" ref="K973"/>
    <hyperlink r:id="rId1129" ref="K974"/>
    <hyperlink r:id="rId1130" ref="K975"/>
    <hyperlink r:id="rId1131" ref="K976"/>
    <hyperlink r:id="rId1132" ref="T990"/>
    <hyperlink r:id="rId1133" ref="T991"/>
    <hyperlink r:id="rId1134" ref="AN991"/>
    <hyperlink r:id="rId1135" ref="AW991"/>
    <hyperlink r:id="rId1136" ref="T992"/>
    <hyperlink r:id="rId1137" ref="AN992"/>
    <hyperlink r:id="rId1138" ref="AW992"/>
    <hyperlink r:id="rId1139" ref="T993"/>
    <hyperlink r:id="rId1140" ref="K994"/>
    <hyperlink r:id="rId1141" ref="T994"/>
    <hyperlink r:id="rId1142" ref="AW994"/>
    <hyperlink r:id="rId1143" ref="K995"/>
    <hyperlink r:id="rId1144" ref="T995"/>
    <hyperlink r:id="rId1145" ref="K997"/>
    <hyperlink r:id="rId1146" ref="AW997"/>
    <hyperlink r:id="rId1147" ref="T1000"/>
    <hyperlink r:id="rId1148" ref="T1001"/>
    <hyperlink r:id="rId1149" ref="AW1001"/>
    <hyperlink r:id="rId1150" ref="T1002"/>
    <hyperlink r:id="rId1151" ref="AW1002"/>
    <hyperlink r:id="rId1152" ref="T1003"/>
    <hyperlink r:id="rId1153" ref="AW1003"/>
    <hyperlink r:id="rId1154" ref="T1004"/>
    <hyperlink r:id="rId1155" ref="AW1004"/>
    <hyperlink r:id="rId1156" ref="T1005"/>
    <hyperlink r:id="rId1157" ref="AW1005"/>
    <hyperlink r:id="rId1158" ref="T1006"/>
    <hyperlink r:id="rId1159" ref="AW1006"/>
    <hyperlink r:id="rId1160" ref="T1007"/>
    <hyperlink r:id="rId1161" ref="AW1007"/>
    <hyperlink r:id="rId1162" ref="T1008"/>
    <hyperlink r:id="rId1163" ref="T1009"/>
    <hyperlink r:id="rId1164" ref="T1010"/>
    <hyperlink r:id="rId1165" ref="T1011"/>
    <hyperlink r:id="rId1166" ref="AW1011"/>
    <hyperlink r:id="rId1167" ref="T1012"/>
    <hyperlink r:id="rId1168" ref="T1013"/>
    <hyperlink r:id="rId1169" ref="K1015"/>
    <hyperlink r:id="rId1170" ref="K1016"/>
    <hyperlink r:id="rId1171" ref="K1017"/>
    <hyperlink r:id="rId1172" ref="K1019"/>
    <hyperlink r:id="rId1173" ref="R1026"/>
    <hyperlink r:id="rId1174" ref="AN1027"/>
    <hyperlink r:id="rId1175" ref="K1028"/>
    <hyperlink r:id="rId1176" ref="AN1028"/>
    <hyperlink r:id="rId1177" ref="AN1029"/>
    <hyperlink r:id="rId1178" ref="K1035"/>
    <hyperlink r:id="rId1179" ref="K1038"/>
    <hyperlink r:id="rId1180" ref="K1040"/>
    <hyperlink r:id="rId1181" ref="K1041"/>
    <hyperlink r:id="rId1182" ref="AN1043"/>
    <hyperlink r:id="rId1183" ref="K1053"/>
    <hyperlink r:id="rId1184" ref="T1054"/>
    <hyperlink r:id="rId1185" ref="T1055"/>
    <hyperlink r:id="rId1186" ref="K1063"/>
    <hyperlink r:id="rId1187" ref="K1064"/>
    <hyperlink r:id="rId1188" ref="K1067"/>
    <hyperlink r:id="rId1189" ref="AN1068"/>
    <hyperlink r:id="rId1190" ref="AN1069"/>
    <hyperlink r:id="rId1191" ref="AN1070"/>
    <hyperlink r:id="rId1192" ref="K1075"/>
    <hyperlink r:id="rId1193" ref="K1076"/>
    <hyperlink r:id="rId1194" ref="T1079"/>
    <hyperlink r:id="rId1195" ref="AX1079"/>
    <hyperlink r:id="rId1196" ref="T1080"/>
    <hyperlink r:id="rId1197" ref="AX1080"/>
    <hyperlink r:id="rId1198" ref="AX1081"/>
    <hyperlink r:id="rId1199" ref="R1083"/>
    <hyperlink r:id="rId1200" ref="AX1083"/>
    <hyperlink r:id="rId1201" ref="K1085"/>
    <hyperlink r:id="rId1202" ref="AX1085"/>
    <hyperlink r:id="rId1203" ref="AX1087"/>
    <hyperlink r:id="rId1204" ref="AX1088"/>
    <hyperlink r:id="rId1205" ref="AX1089"/>
    <hyperlink r:id="rId1206" ref="AX1090"/>
    <hyperlink r:id="rId1207" ref="AX1091"/>
    <hyperlink r:id="rId1208" ref="AX1092"/>
    <hyperlink r:id="rId1209" ref="AX1093"/>
    <hyperlink r:id="rId1210" ref="AX1094"/>
    <hyperlink r:id="rId1211" ref="AX1095"/>
    <hyperlink r:id="rId1212" ref="AX1096"/>
    <hyperlink r:id="rId1213" ref="AN1097"/>
    <hyperlink r:id="rId1214" ref="AX1097"/>
    <hyperlink r:id="rId1215" ref="AN1098"/>
    <hyperlink r:id="rId1216" ref="AS1098"/>
    <hyperlink r:id="rId1217" ref="AX1098"/>
    <hyperlink r:id="rId1218" ref="AX1099"/>
    <hyperlink r:id="rId1219" ref="AX1101"/>
    <hyperlink r:id="rId1220" ref="AX1102"/>
    <hyperlink r:id="rId1221" ref="AN1103"/>
    <hyperlink r:id="rId1222" ref="AX1103"/>
    <hyperlink r:id="rId1223" ref="AN1104"/>
    <hyperlink r:id="rId1224" ref="AX1104"/>
    <hyperlink r:id="rId1225" ref="AX1105"/>
    <hyperlink r:id="rId1226" ref="AX1106"/>
    <hyperlink r:id="rId1227" ref="AX1107"/>
    <hyperlink r:id="rId1228" ref="AX1108"/>
    <hyperlink r:id="rId1229" ref="AX1109"/>
    <hyperlink r:id="rId1230" ref="AX1111"/>
    <hyperlink r:id="rId1231" ref="AX1112"/>
    <hyperlink r:id="rId1232" ref="AN1113"/>
    <hyperlink r:id="rId1233" ref="AX1113"/>
    <hyperlink r:id="rId1234" ref="AN1114"/>
    <hyperlink r:id="rId1235" ref="AN1115"/>
    <hyperlink r:id="rId1236" ref="AX1115"/>
    <hyperlink r:id="rId1237" ref="AN1116"/>
    <hyperlink r:id="rId1238" ref="AN1117"/>
    <hyperlink r:id="rId1239" ref="AX1117"/>
    <hyperlink r:id="rId1240" ref="AN1118"/>
    <hyperlink r:id="rId1241" ref="AX1118"/>
    <hyperlink r:id="rId1242" ref="AN1119"/>
    <hyperlink r:id="rId1243" ref="AX1119"/>
    <hyperlink r:id="rId1244" ref="AX1120"/>
    <hyperlink r:id="rId1245" ref="AX1121"/>
    <hyperlink r:id="rId1246" ref="AX1122"/>
    <hyperlink r:id="rId1247" ref="AX1123"/>
    <hyperlink r:id="rId1248" ref="AX1124"/>
    <hyperlink r:id="rId1249" ref="AX1125"/>
    <hyperlink r:id="rId1250" ref="AX1126"/>
    <hyperlink r:id="rId1251" ref="N1127"/>
    <hyperlink r:id="rId1252" ref="AX1127"/>
    <hyperlink r:id="rId1253" ref="AX1128"/>
    <hyperlink r:id="rId1254" ref="AX1129"/>
    <hyperlink r:id="rId1255" ref="AX1130"/>
    <hyperlink r:id="rId1256" ref="AX1131"/>
    <hyperlink r:id="rId1257" ref="AX1132"/>
    <hyperlink r:id="rId1258" ref="AX1133"/>
    <hyperlink r:id="rId1259" ref="AX1134"/>
    <hyperlink r:id="rId1260" ref="AX1135"/>
    <hyperlink r:id="rId1261" ref="AX1136"/>
    <hyperlink r:id="rId1262" ref="AX1137"/>
    <hyperlink r:id="rId1263" ref="AX1138"/>
    <hyperlink r:id="rId1264" ref="AX1139"/>
    <hyperlink r:id="rId1265" ref="AX1140"/>
    <hyperlink r:id="rId1266" ref="AX1141"/>
    <hyperlink r:id="rId1267" ref="AN1142"/>
    <hyperlink r:id="rId1268" ref="AX1142"/>
    <hyperlink r:id="rId1269" ref="AN1143"/>
    <hyperlink r:id="rId1270" ref="AX1143"/>
    <hyperlink r:id="rId1271" ref="AX1144"/>
    <hyperlink r:id="rId1272" ref="AN1145"/>
    <hyperlink r:id="rId1273" ref="AX1145"/>
    <hyperlink r:id="rId1274" ref="AX1146"/>
    <hyperlink r:id="rId1275" ref="AX1147"/>
    <hyperlink r:id="rId1276" ref="AX1148"/>
    <hyperlink r:id="rId1277" ref="T1149"/>
    <hyperlink r:id="rId1278" ref="AX1149"/>
    <hyperlink r:id="rId1279" ref="T1150"/>
    <hyperlink r:id="rId1280" ref="AX1150"/>
    <hyperlink r:id="rId1281" ref="T1151"/>
    <hyperlink r:id="rId1282" ref="AX1151"/>
    <hyperlink r:id="rId1283" ref="T1152"/>
    <hyperlink r:id="rId1284" ref="AX1152"/>
    <hyperlink r:id="rId1285" ref="T1153"/>
    <hyperlink r:id="rId1286" ref="AX1153"/>
    <hyperlink r:id="rId1287" ref="T1154"/>
    <hyperlink r:id="rId1288" ref="AX1154"/>
    <hyperlink r:id="rId1289" ref="T1155"/>
    <hyperlink r:id="rId1290" ref="T1156"/>
    <hyperlink r:id="rId1291" ref="AN1156"/>
    <hyperlink r:id="rId1292" ref="T1157"/>
    <hyperlink r:id="rId1293" ref="AX1157"/>
    <hyperlink r:id="rId1294" ref="T1158"/>
    <hyperlink r:id="rId1295" ref="T1159"/>
    <hyperlink r:id="rId1296" ref="AX1159"/>
    <hyperlink r:id="rId1297" ref="T1160"/>
    <hyperlink r:id="rId1298" ref="AX1160"/>
    <hyperlink r:id="rId1299" ref="T1161"/>
    <hyperlink r:id="rId1300" ref="AX1161"/>
    <hyperlink r:id="rId1301" ref="T1162"/>
    <hyperlink r:id="rId1302" ref="AX1162"/>
    <hyperlink r:id="rId1303" ref="T1163"/>
    <hyperlink r:id="rId1304" ref="AX1163"/>
    <hyperlink r:id="rId1305" ref="T1164"/>
    <hyperlink r:id="rId1306" ref="AN1164"/>
    <hyperlink r:id="rId1307" ref="AX1164"/>
    <hyperlink r:id="rId1308" ref="T1165"/>
    <hyperlink r:id="rId1309" ref="AN1165"/>
    <hyperlink r:id="rId1310" ref="AX1165"/>
    <hyperlink r:id="rId1311" ref="T1166"/>
    <hyperlink r:id="rId1312" ref="AX1166"/>
    <hyperlink r:id="rId1313" ref="T1167"/>
    <hyperlink r:id="rId1314" ref="AX1167"/>
    <hyperlink r:id="rId1315" ref="T1168"/>
    <hyperlink r:id="rId1316" ref="T1169"/>
    <hyperlink r:id="rId1317" ref="AX1169"/>
    <hyperlink r:id="rId1318" ref="T1170"/>
    <hyperlink r:id="rId1319" ref="AX1170"/>
    <hyperlink r:id="rId1320" ref="T1171"/>
    <hyperlink r:id="rId1321" ref="AX1171"/>
    <hyperlink r:id="rId1322" ref="T1172"/>
    <hyperlink r:id="rId1323" ref="AX1172"/>
    <hyperlink r:id="rId1324" ref="T1173"/>
    <hyperlink r:id="rId1325" ref="AX1173"/>
    <hyperlink r:id="rId1326" ref="T1174"/>
    <hyperlink r:id="rId1327" ref="AX1174"/>
    <hyperlink r:id="rId1328" ref="T1175"/>
    <hyperlink r:id="rId1329" ref="AN1175"/>
    <hyperlink r:id="rId1330" ref="AX1175"/>
    <hyperlink r:id="rId1331" ref="T1176"/>
    <hyperlink r:id="rId1332" ref="AN1176"/>
    <hyperlink r:id="rId1333" ref="AX1176"/>
    <hyperlink r:id="rId1334" ref="T1177"/>
    <hyperlink r:id="rId1335" ref="AX1177"/>
    <hyperlink r:id="rId1336" ref="T1178"/>
    <hyperlink r:id="rId1337" ref="AS1178"/>
    <hyperlink r:id="rId1338" ref="AX1178"/>
    <hyperlink r:id="rId1339" ref="T1179"/>
    <hyperlink r:id="rId1340" ref="AX1179"/>
    <hyperlink r:id="rId1341" ref="T1180"/>
    <hyperlink r:id="rId1342" ref="AX1180"/>
    <hyperlink r:id="rId1343" ref="T1181"/>
    <hyperlink r:id="rId1344" ref="AX1181"/>
    <hyperlink r:id="rId1345" ref="T1182"/>
    <hyperlink r:id="rId1346" ref="AX1182"/>
    <hyperlink r:id="rId1347" ref="T1183"/>
    <hyperlink r:id="rId1348" ref="AX1183"/>
    <hyperlink r:id="rId1349" ref="T1184"/>
    <hyperlink r:id="rId1350" ref="AX1184"/>
    <hyperlink r:id="rId1351" ref="T1185"/>
    <hyperlink r:id="rId1352" ref="AX1185"/>
    <hyperlink r:id="rId1353" ref="T1186"/>
    <hyperlink r:id="rId1354" ref="AX1186"/>
    <hyperlink r:id="rId1355" ref="T1187"/>
    <hyperlink r:id="rId1356" ref="AX1187"/>
    <hyperlink r:id="rId1357" ref="T1188"/>
    <hyperlink r:id="rId1358" ref="AX1188"/>
    <hyperlink r:id="rId1359" ref="T1189"/>
    <hyperlink r:id="rId1360" ref="AX1189"/>
    <hyperlink r:id="rId1361" ref="L1190"/>
    <hyperlink r:id="rId1362" ref="T1190"/>
    <hyperlink r:id="rId1363" ref="AX1190"/>
    <hyperlink r:id="rId1364" ref="T1191"/>
    <hyperlink r:id="rId1365" ref="AN1191"/>
    <hyperlink r:id="rId1366" ref="AX1191"/>
    <hyperlink r:id="rId1367" ref="T1192"/>
    <hyperlink r:id="rId1368" ref="AW1192"/>
    <hyperlink r:id="rId1369" ref="AX1192"/>
    <hyperlink r:id="rId1370" ref="T1193"/>
    <hyperlink r:id="rId1371" ref="AX1193"/>
    <hyperlink r:id="rId1372" ref="T1194"/>
    <hyperlink r:id="rId1373" ref="AX1194"/>
    <hyperlink r:id="rId1374" ref="T1195"/>
    <hyperlink r:id="rId1375" ref="AX1195"/>
    <hyperlink r:id="rId1376" ref="BH1195"/>
    <hyperlink r:id="rId1377" ref="T1196"/>
    <hyperlink r:id="rId1378" ref="AX1196"/>
    <hyperlink r:id="rId1379" ref="T1197"/>
    <hyperlink r:id="rId1380" ref="AX1197"/>
    <hyperlink r:id="rId1381" ref="R1198"/>
    <hyperlink r:id="rId1382" ref="AW1198"/>
    <hyperlink r:id="rId1383" ref="AX1198"/>
    <hyperlink r:id="rId1384" ref="S1200"/>
    <hyperlink r:id="rId1385" ref="AW1200"/>
    <hyperlink r:id="rId1386" ref="S1201"/>
    <hyperlink r:id="rId1387" ref="S1202"/>
    <hyperlink r:id="rId1388" ref="AW1202"/>
    <hyperlink r:id="rId1389" ref="S1203"/>
    <hyperlink r:id="rId1390" ref="S1204"/>
    <hyperlink r:id="rId1391" ref="AW1204"/>
    <hyperlink r:id="rId1392" ref="S1205"/>
    <hyperlink r:id="rId1393" ref="S1206"/>
    <hyperlink r:id="rId1394" ref="AW1206"/>
    <hyperlink r:id="rId1395" ref="S1207"/>
    <hyperlink r:id="rId1396" ref="S1208"/>
    <hyperlink r:id="rId1397" ref="AW1208"/>
    <hyperlink r:id="rId1398" ref="S1209"/>
    <hyperlink r:id="rId1399" ref="S1210"/>
    <hyperlink r:id="rId1400" ref="AW1210"/>
    <hyperlink r:id="rId1401" ref="S1211"/>
    <hyperlink r:id="rId1402" ref="S1212"/>
    <hyperlink r:id="rId1403" ref="AW1212"/>
    <hyperlink r:id="rId1404" ref="S1213"/>
    <hyperlink r:id="rId1405" ref="S1214"/>
    <hyperlink r:id="rId1406" ref="AW1214"/>
    <hyperlink r:id="rId1407" ref="S1215"/>
    <hyperlink r:id="rId1408" ref="S1216"/>
    <hyperlink r:id="rId1409" ref="AW1216"/>
    <hyperlink r:id="rId1410" ref="S1217"/>
    <hyperlink r:id="rId1411" ref="S1218"/>
    <hyperlink r:id="rId1412" ref="AW1218"/>
    <hyperlink r:id="rId1413" ref="S1219"/>
    <hyperlink r:id="rId1414" ref="S1220"/>
    <hyperlink r:id="rId1415" ref="AW1220"/>
    <hyperlink r:id="rId1416" ref="S1221"/>
    <hyperlink r:id="rId1417" ref="S1222"/>
    <hyperlink r:id="rId1418" ref="AW1222"/>
    <hyperlink r:id="rId1419" ref="S1223"/>
    <hyperlink r:id="rId1420" ref="S1224"/>
    <hyperlink r:id="rId1421" ref="AW1224"/>
    <hyperlink r:id="rId1422" ref="S1225"/>
    <hyperlink r:id="rId1423" ref="S1226"/>
    <hyperlink r:id="rId1424" ref="AW1226"/>
    <hyperlink r:id="rId1425" ref="S1227"/>
    <hyperlink r:id="rId1426" ref="S1228"/>
    <hyperlink r:id="rId1427" ref="AW1228"/>
    <hyperlink r:id="rId1428" ref="S1229"/>
    <hyperlink r:id="rId1429" ref="S1230"/>
    <hyperlink r:id="rId1430" ref="AW1230"/>
    <hyperlink r:id="rId1431" ref="S1231"/>
    <hyperlink r:id="rId1432" ref="S1232"/>
    <hyperlink r:id="rId1433" ref="AW1232"/>
    <hyperlink r:id="rId1434" ref="S1233"/>
    <hyperlink r:id="rId1435" ref="S1234"/>
    <hyperlink r:id="rId1436" ref="AW1234"/>
    <hyperlink r:id="rId1437" ref="S1235"/>
    <hyperlink r:id="rId1438" ref="AW1236"/>
    <hyperlink r:id="rId1439" ref="AW1237"/>
    <hyperlink r:id="rId1440" ref="AW1238"/>
    <hyperlink r:id="rId1441" ref="AW1239"/>
    <hyperlink r:id="rId1442" ref="AW1240"/>
    <hyperlink r:id="rId1443" ref="AW1241"/>
    <hyperlink r:id="rId1444" ref="AW1242"/>
    <hyperlink r:id="rId1445" ref="AW1243"/>
    <hyperlink r:id="rId1446" ref="AW1244"/>
    <hyperlink r:id="rId1447" ref="AW1245"/>
    <hyperlink r:id="rId1448" ref="T1246"/>
    <hyperlink r:id="rId1449" ref="AW1246"/>
    <hyperlink r:id="rId1450" ref="AW1247"/>
    <hyperlink r:id="rId1451" ref="T1248"/>
    <hyperlink r:id="rId1452" ref="AW1248"/>
    <hyperlink r:id="rId1453" ref="AW1249"/>
    <hyperlink r:id="rId1454" ref="T1250"/>
    <hyperlink r:id="rId1455" ref="AW1250"/>
    <hyperlink r:id="rId1456" ref="AW1251"/>
    <hyperlink r:id="rId1457" ref="T1252"/>
    <hyperlink r:id="rId1458" ref="AW1252"/>
    <hyperlink r:id="rId1459" ref="AW1253"/>
    <hyperlink r:id="rId1460" ref="T1254"/>
    <hyperlink r:id="rId1461" ref="AW1254"/>
    <hyperlink r:id="rId1462" ref="AW1255"/>
    <hyperlink r:id="rId1463" ref="T1256"/>
    <hyperlink r:id="rId1464" ref="AW1256"/>
    <hyperlink r:id="rId1465" ref="AW1257"/>
    <hyperlink r:id="rId1466" ref="T1258"/>
    <hyperlink r:id="rId1467" ref="AW1258"/>
    <hyperlink r:id="rId1468" ref="AW1259"/>
    <hyperlink r:id="rId1469" ref="T1260"/>
    <hyperlink r:id="rId1470" ref="AW1260"/>
    <hyperlink r:id="rId1471" ref="AW1261"/>
    <hyperlink r:id="rId1472" ref="T1262"/>
    <hyperlink r:id="rId1473" ref="AW1262"/>
    <hyperlink r:id="rId1474" ref="AW1263"/>
    <hyperlink r:id="rId1475" ref="AW1264"/>
    <hyperlink r:id="rId1476" ref="AW1265"/>
    <hyperlink r:id="rId1477" ref="T1266"/>
    <hyperlink r:id="rId1478" ref="AW1266"/>
    <hyperlink r:id="rId1479" ref="AW1267"/>
    <hyperlink r:id="rId1480" ref="T1268"/>
    <hyperlink r:id="rId1481" ref="AW1268"/>
    <hyperlink r:id="rId1482" ref="AW1269"/>
    <hyperlink r:id="rId1483" ref="T1270"/>
    <hyperlink r:id="rId1484" ref="AW1270"/>
    <hyperlink r:id="rId1485" ref="AW1271"/>
    <hyperlink r:id="rId1486" ref="T1272"/>
    <hyperlink r:id="rId1487" ref="AW1272"/>
    <hyperlink r:id="rId1488" ref="AW1273"/>
    <hyperlink r:id="rId1489" ref="T1274"/>
    <hyperlink r:id="rId1490" ref="AW1274"/>
    <hyperlink r:id="rId1491" ref="AW1275"/>
    <hyperlink r:id="rId1492" ref="T1276"/>
    <hyperlink r:id="rId1493" ref="AW1276"/>
    <hyperlink r:id="rId1494" ref="AW1277"/>
    <hyperlink r:id="rId1495" ref="T1278"/>
    <hyperlink r:id="rId1496" ref="T1279"/>
    <hyperlink r:id="rId1497" ref="T1280"/>
    <hyperlink r:id="rId1498" ref="T1282"/>
    <hyperlink r:id="rId1499" ref="T1284"/>
    <hyperlink r:id="rId1500" ref="AW1284"/>
    <hyperlink r:id="rId1501" ref="T1285"/>
    <hyperlink r:id="rId1502" ref="AW1285"/>
    <hyperlink r:id="rId1503" ref="T1286"/>
    <hyperlink r:id="rId1504" ref="AW1286"/>
    <hyperlink r:id="rId1505" ref="T1287"/>
    <hyperlink r:id="rId1506" ref="AW1287"/>
    <hyperlink r:id="rId1507" ref="T1288"/>
    <hyperlink r:id="rId1508" ref="AW1288"/>
    <hyperlink r:id="rId1509" ref="T1289"/>
    <hyperlink r:id="rId1510" ref="AW1289"/>
    <hyperlink r:id="rId1511" ref="T1290"/>
    <hyperlink r:id="rId1512" ref="AW1290"/>
    <hyperlink r:id="rId1513" ref="T1291"/>
    <hyperlink r:id="rId1514" ref="AW1291"/>
    <hyperlink r:id="rId1515" ref="T1292"/>
    <hyperlink r:id="rId1516" ref="AW1292"/>
    <hyperlink r:id="rId1517" ref="T1293"/>
    <hyperlink r:id="rId1518" ref="AW1293"/>
    <hyperlink r:id="rId1519" ref="R1295"/>
    <hyperlink r:id="rId1520" ref="T1301"/>
    <hyperlink r:id="rId1521" ref="AW1310"/>
    <hyperlink r:id="rId1522" ref="AW1311"/>
    <hyperlink r:id="rId1523" ref="R1312"/>
    <hyperlink r:id="rId1524" ref="S1312"/>
    <hyperlink r:id="rId1525" ref="R1314"/>
    <hyperlink r:id="rId1526" ref="S1314"/>
    <hyperlink r:id="rId1527" ref="T1317"/>
    <hyperlink r:id="rId1528" ref="T1318"/>
    <hyperlink r:id="rId1529" ref="M1319"/>
    <hyperlink r:id="rId1530" ref="M1320"/>
    <hyperlink r:id="rId1531" ref="M1322"/>
    <hyperlink r:id="rId1532" ref="M1323"/>
    <hyperlink r:id="rId1533" ref="M1325"/>
    <hyperlink r:id="rId1534" ref="M1327"/>
    <hyperlink r:id="rId1535" ref="T1329"/>
    <hyperlink r:id="rId1536" ref="T1331"/>
    <hyperlink r:id="rId1537" ref="M1332"/>
    <hyperlink r:id="rId1538" ref="T1332"/>
    <hyperlink r:id="rId1539" ref="AW1332"/>
    <hyperlink r:id="rId1540" ref="M1333"/>
    <hyperlink r:id="rId1541" ref="M1334"/>
    <hyperlink r:id="rId1542" ref="M1335"/>
    <hyperlink r:id="rId1543" ref="M1336"/>
    <hyperlink r:id="rId1544" ref="M1337"/>
    <hyperlink r:id="rId1545" ref="M1338"/>
    <hyperlink r:id="rId1546" ref="T1340"/>
    <hyperlink r:id="rId1547" ref="Y1340"/>
    <hyperlink r:id="rId1548" ref="T1341"/>
    <hyperlink r:id="rId1549" ref="Y1341"/>
    <hyperlink r:id="rId1550" ref="AW1342"/>
    <hyperlink r:id="rId1551" ref="AW1343"/>
    <hyperlink r:id="rId1552" ref="AW1344"/>
    <hyperlink r:id="rId1553" ref="AW1345"/>
    <hyperlink r:id="rId1554" ref="T1346"/>
    <hyperlink r:id="rId1555" ref="T1347"/>
    <hyperlink r:id="rId1556" ref="AW1351"/>
    <hyperlink r:id="rId1557" ref="AW1352"/>
    <hyperlink r:id="rId1558" ref="AW1353"/>
    <hyperlink r:id="rId1559" ref="T1354"/>
    <hyperlink r:id="rId1560" ref="T1355"/>
    <hyperlink r:id="rId1561" ref="T1356"/>
    <hyperlink r:id="rId1562" ref="AW1357"/>
    <hyperlink r:id="rId1563" ref="AW1358"/>
    <hyperlink r:id="rId1564" ref="AW1359"/>
    <hyperlink r:id="rId1565" ref="AW1360"/>
    <hyperlink r:id="rId1566" ref="AW1361"/>
    <hyperlink r:id="rId1567" ref="T1362"/>
    <hyperlink r:id="rId1568" ref="T1380"/>
    <hyperlink r:id="rId1569" ref="AW1380"/>
    <hyperlink r:id="rId1570" ref="T1381"/>
    <hyperlink r:id="rId1571" ref="AW1381"/>
    <hyperlink r:id="rId1572" ref="T1382"/>
    <hyperlink r:id="rId1573" ref="AW1382"/>
    <hyperlink r:id="rId1574" ref="T1383"/>
    <hyperlink r:id="rId1575" ref="AW1383"/>
    <hyperlink r:id="rId1576" ref="T1384"/>
    <hyperlink r:id="rId1577" ref="AW1384"/>
    <hyperlink r:id="rId1578" ref="T1385"/>
    <hyperlink r:id="rId1579" ref="T1386"/>
    <hyperlink r:id="rId1580" ref="T1387"/>
    <hyperlink r:id="rId1581" ref="AW1400"/>
    <hyperlink r:id="rId1582" ref="AW1401"/>
    <hyperlink r:id="rId1583" ref="AX1401"/>
    <hyperlink r:id="rId1584" ref="AW1402"/>
    <hyperlink r:id="rId1585" ref="AW1403"/>
    <hyperlink r:id="rId1586" ref="AX1403"/>
    <hyperlink r:id="rId1587" ref="AW1407"/>
    <hyperlink r:id="rId1588" ref="L1408"/>
    <hyperlink r:id="rId1589" ref="L1410"/>
    <hyperlink r:id="rId1590" ref="T1426"/>
    <hyperlink r:id="rId1591" ref="T1427"/>
    <hyperlink r:id="rId1592" ref="T1428"/>
    <hyperlink r:id="rId1593" ref="T1429"/>
    <hyperlink r:id="rId1594" ref="R1430"/>
    <hyperlink r:id="rId1595" ref="T1438"/>
    <hyperlink r:id="rId1596" ref="T1439"/>
    <hyperlink r:id="rId1597" ref="AW1444"/>
    <hyperlink r:id="rId1598" ref="AX1444"/>
    <hyperlink r:id="rId1599" ref="AW1445"/>
    <hyperlink r:id="rId1600" ref="AW1446"/>
    <hyperlink r:id="rId1601" ref="T1447"/>
    <hyperlink r:id="rId1602" ref="T1448"/>
    <hyperlink r:id="rId1603" ref="AW1449"/>
    <hyperlink r:id="rId1604" ref="AX1449"/>
    <hyperlink r:id="rId1605" ref="R1451"/>
    <hyperlink r:id="rId1606" ref="S1451"/>
    <hyperlink r:id="rId1607" ref="R1452"/>
    <hyperlink r:id="rId1608" ref="S1452"/>
    <hyperlink r:id="rId1609" ref="R1453"/>
    <hyperlink r:id="rId1610" ref="S1453"/>
    <hyperlink r:id="rId1611" ref="R1454"/>
    <hyperlink r:id="rId1612" ref="T1455"/>
    <hyperlink r:id="rId1613" ref="T1456"/>
    <hyperlink r:id="rId1614" ref="T1457"/>
    <hyperlink r:id="rId1615" ref="T1458"/>
    <hyperlink r:id="rId1616" ref="AW1458"/>
    <hyperlink r:id="rId1617" ref="T1459"/>
    <hyperlink r:id="rId1618" ref="T1460"/>
    <hyperlink r:id="rId1619" ref="AW1460"/>
    <hyperlink r:id="rId1620" ref="T1461"/>
    <hyperlink r:id="rId1621" ref="T1462"/>
    <hyperlink r:id="rId1622" ref="AW1462"/>
    <hyperlink r:id="rId1623" ref="AW1463"/>
    <hyperlink r:id="rId1624" ref="AX1463"/>
    <hyperlink r:id="rId1625" ref="AW1464"/>
    <hyperlink r:id="rId1626" ref="AX1464"/>
    <hyperlink r:id="rId1627" ref="AW1465"/>
    <hyperlink r:id="rId1628" ref="AX1465"/>
    <hyperlink r:id="rId1629" ref="AW1466"/>
    <hyperlink r:id="rId1630" ref="AX1466"/>
    <hyperlink r:id="rId1631" ref="AW1467"/>
    <hyperlink r:id="rId1632" ref="T1468"/>
    <hyperlink r:id="rId1633" ref="T1469"/>
    <hyperlink r:id="rId1634" ref="T1470"/>
    <hyperlink r:id="rId1635" ref="T1471"/>
    <hyperlink r:id="rId1636" ref="AW1472"/>
    <hyperlink r:id="rId1637" ref="AX1472"/>
    <hyperlink r:id="rId1638" ref="AW1473"/>
    <hyperlink r:id="rId1639" ref="AX1473"/>
    <hyperlink r:id="rId1640" ref="AW1474"/>
    <hyperlink r:id="rId1641" ref="AX1474"/>
    <hyperlink r:id="rId1642" ref="AW1475"/>
    <hyperlink r:id="rId1643" ref="AX1475"/>
    <hyperlink r:id="rId1644" ref="T1476"/>
    <hyperlink r:id="rId1645" ref="T1477"/>
    <hyperlink r:id="rId1646" ref="T1478"/>
    <hyperlink r:id="rId1647" ref="T1479"/>
    <hyperlink r:id="rId1648" ref="T1480"/>
    <hyperlink r:id="rId1649" ref="T1481"/>
    <hyperlink r:id="rId1650" ref="T1482"/>
    <hyperlink r:id="rId1651" ref="T1483"/>
    <hyperlink r:id="rId1652" ref="T1484"/>
    <hyperlink r:id="rId1653" ref="T1485"/>
    <hyperlink r:id="rId1654" ref="T1486"/>
    <hyperlink r:id="rId1655" ref="T1487"/>
    <hyperlink r:id="rId1656" ref="T1488"/>
    <hyperlink r:id="rId1657" ref="AW1488"/>
    <hyperlink r:id="rId1658" ref="T1489"/>
    <hyperlink r:id="rId1659" ref="AW1489"/>
    <hyperlink r:id="rId1660" ref="T1490"/>
    <hyperlink r:id="rId1661" ref="AW1490"/>
    <hyperlink r:id="rId1662" ref="T1491"/>
    <hyperlink r:id="rId1663" ref="AW1491"/>
    <hyperlink r:id="rId1664" ref="T1492"/>
    <hyperlink r:id="rId1665" ref="AW1492"/>
    <hyperlink r:id="rId1666" ref="T1493"/>
    <hyperlink r:id="rId1667" ref="AW1493"/>
    <hyperlink r:id="rId1668" ref="T1494"/>
    <hyperlink r:id="rId1669" ref="AW1494"/>
    <hyperlink r:id="rId1670" ref="T1495"/>
    <hyperlink r:id="rId1671" ref="AW1495"/>
    <hyperlink r:id="rId1672" ref="T1496"/>
    <hyperlink r:id="rId1673" ref="AW1496"/>
    <hyperlink r:id="rId1674" ref="T1497"/>
    <hyperlink r:id="rId1675" ref="AW1497"/>
    <hyperlink r:id="rId1676" ref="T1498"/>
    <hyperlink r:id="rId1677" ref="AW1498"/>
    <hyperlink r:id="rId1678" ref="T1499"/>
    <hyperlink r:id="rId1679" ref="AW1499"/>
    <hyperlink r:id="rId1680" ref="T1500"/>
    <hyperlink r:id="rId1681" ref="AW1500"/>
    <hyperlink r:id="rId1682" ref="R1501"/>
    <hyperlink r:id="rId1683" ref="AR1501"/>
    <hyperlink r:id="rId1684" ref="AW1501"/>
    <hyperlink r:id="rId1685" ref="AX1501"/>
    <hyperlink r:id="rId1686" ref="AR1505"/>
    <hyperlink r:id="rId1687" ref="AW1505"/>
    <hyperlink r:id="rId1688" ref="AX1505"/>
    <hyperlink r:id="rId1689" ref="AR1506"/>
    <hyperlink r:id="rId1690" ref="AW1506"/>
    <hyperlink r:id="rId1691" ref="AX1506"/>
    <hyperlink r:id="rId1692" ref="AW1507"/>
    <hyperlink r:id="rId1693" ref="AX1507"/>
    <hyperlink r:id="rId1694" ref="AW1509"/>
    <hyperlink r:id="rId1695" ref="AX1509"/>
    <hyperlink r:id="rId1696" ref="AW1510"/>
    <hyperlink r:id="rId1697" ref="AX1510"/>
    <hyperlink r:id="rId1698" ref="AW1511"/>
    <hyperlink r:id="rId1699" ref="AX1511"/>
    <hyperlink r:id="rId1700" ref="AW1512"/>
    <hyperlink r:id="rId1701" ref="AX1512"/>
    <hyperlink r:id="rId1702" ref="AW1513"/>
    <hyperlink r:id="rId1703" ref="AX1513"/>
    <hyperlink r:id="rId1704" ref="AW1514"/>
    <hyperlink r:id="rId1705" ref="AX1514"/>
    <hyperlink r:id="rId1706" ref="AW1515"/>
    <hyperlink r:id="rId1707" ref="AX1515"/>
    <hyperlink r:id="rId1708" ref="AW1516"/>
    <hyperlink r:id="rId1709" ref="AX1516"/>
    <hyperlink r:id="rId1710" ref="AW1517"/>
    <hyperlink r:id="rId1711" ref="AX1517"/>
    <hyperlink r:id="rId1712" ref="AW1518"/>
    <hyperlink r:id="rId1713" ref="AX1518"/>
    <hyperlink r:id="rId1714" ref="AW1519"/>
    <hyperlink r:id="rId1715" ref="AX1519"/>
    <hyperlink r:id="rId1716" ref="AW1520"/>
    <hyperlink r:id="rId1717" ref="AX1520"/>
    <hyperlink r:id="rId1718" ref="R1521"/>
    <hyperlink r:id="rId1719" ref="S1521"/>
    <hyperlink r:id="rId1720" ref="AW1521"/>
    <hyperlink r:id="rId1721" ref="AX1521"/>
    <hyperlink r:id="rId1722" ref="AW1522"/>
    <hyperlink r:id="rId1723" ref="AX1522"/>
    <hyperlink r:id="rId1724" ref="AW1523"/>
    <hyperlink r:id="rId1725" ref="AX1523"/>
    <hyperlink r:id="rId1726" ref="AR1524"/>
    <hyperlink r:id="rId1727" ref="AS1524"/>
    <hyperlink r:id="rId1728" ref="AT1524"/>
    <hyperlink r:id="rId1729" ref="AW1524"/>
    <hyperlink r:id="rId1730" ref="AX1524"/>
    <hyperlink r:id="rId1731" ref="AW1525"/>
    <hyperlink r:id="rId1732" ref="AX1525"/>
    <hyperlink r:id="rId1733" ref="AW1526"/>
    <hyperlink r:id="rId1734" ref="AX1526"/>
    <hyperlink r:id="rId1735" ref="K1527"/>
    <hyperlink r:id="rId1736" ref="M1527"/>
    <hyperlink r:id="rId1737" ref="T1527"/>
    <hyperlink r:id="rId1738" ref="AW1527"/>
    <hyperlink r:id="rId1739" ref="M1528"/>
    <hyperlink r:id="rId1740" ref="T1528"/>
    <hyperlink r:id="rId1741" ref="M1529"/>
    <hyperlink r:id="rId1742" ref="T1529"/>
    <hyperlink r:id="rId1743" ref="AW1529"/>
    <hyperlink r:id="rId1744" ref="M1530"/>
    <hyperlink r:id="rId1745" ref="T1530"/>
    <hyperlink r:id="rId1746" ref="K1531"/>
    <hyperlink r:id="rId1747" ref="M1531"/>
    <hyperlink r:id="rId1748" ref="T1531"/>
    <hyperlink r:id="rId1749" ref="AW1531"/>
    <hyperlink r:id="rId1750" ref="M1532"/>
    <hyperlink r:id="rId1751" ref="T1532"/>
    <hyperlink r:id="rId1752" ref="M1533"/>
    <hyperlink r:id="rId1753" ref="T1533"/>
    <hyperlink r:id="rId1754" ref="AW1533"/>
    <hyperlink r:id="rId1755" ref="M1534"/>
    <hyperlink r:id="rId1756" ref="T1534"/>
    <hyperlink r:id="rId1757" ref="M1535"/>
    <hyperlink r:id="rId1758" ref="T1535"/>
    <hyperlink r:id="rId1759" ref="AW1535"/>
    <hyperlink r:id="rId1760" ref="M1536"/>
    <hyperlink r:id="rId1761" ref="T1536"/>
    <hyperlink r:id="rId1762" ref="M1537"/>
    <hyperlink r:id="rId1763" ref="T1537"/>
    <hyperlink r:id="rId1764" ref="AW1537"/>
    <hyperlink r:id="rId1765" ref="M1538"/>
    <hyperlink r:id="rId1766" ref="T1538"/>
    <hyperlink r:id="rId1767" ref="M1539"/>
    <hyperlink r:id="rId1768" ref="T1539"/>
    <hyperlink r:id="rId1769" ref="AW1539"/>
    <hyperlink r:id="rId1770" ref="M1540"/>
    <hyperlink r:id="rId1771" ref="T1540"/>
    <hyperlink r:id="rId1772" ref="M1541"/>
    <hyperlink r:id="rId1773" ref="T1541"/>
    <hyperlink r:id="rId1774" ref="AW1541"/>
    <hyperlink r:id="rId1775" ref="M1542"/>
    <hyperlink r:id="rId1776" ref="T1542"/>
    <hyperlink r:id="rId1777" ref="M1543"/>
    <hyperlink r:id="rId1778" ref="T1543"/>
    <hyperlink r:id="rId1779" ref="AN1543"/>
    <hyperlink r:id="rId1780" ref="AW1543"/>
    <hyperlink r:id="rId1781" ref="M1544"/>
    <hyperlink r:id="rId1782" ref="T1544"/>
    <hyperlink r:id="rId1783" ref="M1545"/>
    <hyperlink r:id="rId1784" ref="T1545"/>
    <hyperlink r:id="rId1785" ref="AN1545"/>
    <hyperlink r:id="rId1786" ref="AW1545"/>
    <hyperlink r:id="rId1787" ref="M1546"/>
    <hyperlink r:id="rId1788" ref="T1546"/>
    <hyperlink r:id="rId1789" ref="M1547"/>
    <hyperlink r:id="rId1790" ref="T1547"/>
    <hyperlink r:id="rId1791" ref="AW1547"/>
    <hyperlink r:id="rId1792" ref="M1548"/>
    <hyperlink r:id="rId1793" ref="T1548"/>
    <hyperlink r:id="rId1794" ref="K1549"/>
    <hyperlink r:id="rId1795" ref="M1549"/>
    <hyperlink r:id="rId1796" ref="T1549"/>
    <hyperlink r:id="rId1797" ref="AW1549"/>
    <hyperlink r:id="rId1798" ref="M1550"/>
    <hyperlink r:id="rId1799" ref="T1550"/>
    <hyperlink r:id="rId1800" ref="K1551"/>
    <hyperlink r:id="rId1801" ref="M1551"/>
    <hyperlink r:id="rId1802" ref="N1551"/>
    <hyperlink r:id="rId1803" ref="T1551"/>
    <hyperlink r:id="rId1804" ref="AW1551"/>
    <hyperlink r:id="rId1805" ref="M1552"/>
    <hyperlink r:id="rId1806" ref="N1552"/>
    <hyperlink r:id="rId1807" ref="T1552"/>
    <hyperlink r:id="rId1808" ref="M1553"/>
    <hyperlink r:id="rId1809" ref="T1553"/>
    <hyperlink r:id="rId1810" ref="AW1553"/>
    <hyperlink r:id="rId1811" ref="M1554"/>
    <hyperlink r:id="rId1812" ref="T1554"/>
    <hyperlink r:id="rId1813" ref="M1555"/>
    <hyperlink r:id="rId1814" ref="T1555"/>
    <hyperlink r:id="rId1815" ref="AW1555"/>
    <hyperlink r:id="rId1816" ref="M1556"/>
    <hyperlink r:id="rId1817" ref="T1556"/>
    <hyperlink r:id="rId1818" ref="K1557"/>
    <hyperlink r:id="rId1819" ref="M1557"/>
    <hyperlink r:id="rId1820" ref="T1557"/>
    <hyperlink r:id="rId1821" ref="AN1557"/>
    <hyperlink r:id="rId1822" ref="AW1557"/>
    <hyperlink r:id="rId1823" ref="M1558"/>
    <hyperlink r:id="rId1824" ref="T1558"/>
    <hyperlink r:id="rId1825" ref="K1559"/>
    <hyperlink r:id="rId1826" ref="M1559"/>
    <hyperlink r:id="rId1827" ref="T1559"/>
    <hyperlink r:id="rId1828" ref="AW1559"/>
    <hyperlink r:id="rId1829" ref="M1560"/>
    <hyperlink r:id="rId1830" ref="T1560"/>
    <hyperlink r:id="rId1831" ref="M1561"/>
    <hyperlink r:id="rId1832" ref="T1561"/>
    <hyperlink r:id="rId1833" ref="AN1561"/>
    <hyperlink r:id="rId1834" ref="AW1561"/>
    <hyperlink r:id="rId1835" ref="M1562"/>
    <hyperlink r:id="rId1836" ref="T1562"/>
    <hyperlink r:id="rId1837" ref="M1563"/>
    <hyperlink r:id="rId1838" ref="T1563"/>
    <hyperlink r:id="rId1839" ref="AW1563"/>
    <hyperlink r:id="rId1840" ref="M1564"/>
    <hyperlink r:id="rId1841" ref="T1564"/>
    <hyperlink r:id="rId1842" ref="M1565"/>
    <hyperlink r:id="rId1843" ref="T1565"/>
    <hyperlink r:id="rId1844" ref="AW1565"/>
    <hyperlink r:id="rId1845" ref="M1566"/>
    <hyperlink r:id="rId1846" ref="T1566"/>
    <hyperlink r:id="rId1847" ref="M1567"/>
    <hyperlink r:id="rId1848" ref="T1567"/>
    <hyperlink r:id="rId1849" ref="AW1567"/>
    <hyperlink r:id="rId1850" ref="M1568"/>
    <hyperlink r:id="rId1851" ref="T1568"/>
    <hyperlink r:id="rId1852" ref="M1569"/>
    <hyperlink r:id="rId1853" ref="T1569"/>
    <hyperlink r:id="rId1854" ref="AW1569"/>
    <hyperlink r:id="rId1855" ref="M1570"/>
    <hyperlink r:id="rId1856" ref="T1570"/>
    <hyperlink r:id="rId1857" ref="M1571"/>
    <hyperlink r:id="rId1858" ref="T1571"/>
    <hyperlink r:id="rId1859" ref="AW1571"/>
    <hyperlink r:id="rId1860" ref="M1572"/>
    <hyperlink r:id="rId1861" ref="T1572"/>
    <hyperlink r:id="rId1862" ref="M1573"/>
    <hyperlink r:id="rId1863" ref="T1573"/>
    <hyperlink r:id="rId1864" ref="AW1573"/>
    <hyperlink r:id="rId1865" ref="M1574"/>
    <hyperlink r:id="rId1866" ref="M1575"/>
    <hyperlink r:id="rId1867" ref="AW1575"/>
    <hyperlink r:id="rId1868" ref="M1576"/>
    <hyperlink r:id="rId1869" ref="M1577"/>
    <hyperlink r:id="rId1870" ref="AW1577"/>
    <hyperlink r:id="rId1871" ref="M1578"/>
    <hyperlink r:id="rId1872" ref="AW1579"/>
    <hyperlink r:id="rId1873" ref="AW1580"/>
    <hyperlink r:id="rId1874" ref="AW1581"/>
    <hyperlink r:id="rId1875" ref="AW1582"/>
    <hyperlink r:id="rId1876" ref="AX1582"/>
    <hyperlink r:id="rId1877" ref="K1583"/>
    <hyperlink r:id="rId1878" ref="R1583"/>
    <hyperlink r:id="rId1879" ref="S1583"/>
    <hyperlink r:id="rId1880" ref="AW1583"/>
    <hyperlink r:id="rId1881" ref="AX1583"/>
    <hyperlink r:id="rId1882" ref="K1584"/>
    <hyperlink r:id="rId1883" ref="R1584"/>
    <hyperlink r:id="rId1884" ref="S1584"/>
    <hyperlink r:id="rId1885" ref="AW1584"/>
    <hyperlink r:id="rId1886" ref="AX1584"/>
    <hyperlink r:id="rId1887" ref="K1585"/>
    <hyperlink r:id="rId1888" ref="R1585"/>
    <hyperlink r:id="rId1889" ref="S1585"/>
    <hyperlink r:id="rId1890" ref="AW1585"/>
    <hyperlink r:id="rId1891" ref="AX1585"/>
    <hyperlink r:id="rId1892" ref="K1586"/>
    <hyperlink r:id="rId1893" ref="R1586"/>
    <hyperlink r:id="rId1894" ref="S1586"/>
    <hyperlink r:id="rId1895" ref="AW1586"/>
    <hyperlink r:id="rId1896" ref="AX1586"/>
    <hyperlink r:id="rId1897" ref="K1587"/>
    <hyperlink r:id="rId1898" ref="R1587"/>
    <hyperlink r:id="rId1899" ref="S1587"/>
    <hyperlink r:id="rId1900" ref="AW1587"/>
    <hyperlink r:id="rId1901" ref="AX1587"/>
    <hyperlink r:id="rId1902" ref="K1588"/>
    <hyperlink r:id="rId1903" ref="R1588"/>
    <hyperlink r:id="rId1904" ref="S1588"/>
    <hyperlink r:id="rId1905" ref="AW1588"/>
    <hyperlink r:id="rId1906" ref="AX1588"/>
    <hyperlink r:id="rId1907" ref="K1589"/>
    <hyperlink r:id="rId1908" ref="R1589"/>
    <hyperlink r:id="rId1909" ref="S1589"/>
    <hyperlink r:id="rId1910" ref="AW1589"/>
    <hyperlink r:id="rId1911" ref="AX1589"/>
    <hyperlink r:id="rId1912" ref="Y1647"/>
    <hyperlink r:id="rId1913" ref="AW1658"/>
    <hyperlink r:id="rId1914" ref="M1659"/>
    <hyperlink r:id="rId1915" ref="AW1659"/>
    <hyperlink r:id="rId1916" ref="M1660"/>
    <hyperlink r:id="rId1917" ref="AW1660"/>
    <hyperlink r:id="rId1918" ref="M1661"/>
    <hyperlink r:id="rId1919" ref="AW1661"/>
    <hyperlink r:id="rId1920" ref="AW1662"/>
    <hyperlink r:id="rId1921" ref="AW1663"/>
    <hyperlink r:id="rId1922" ref="AW1664"/>
    <hyperlink r:id="rId1923" ref="AW1665"/>
    <hyperlink r:id="rId1924" ref="AW1666"/>
    <hyperlink r:id="rId1925" ref="AW1667"/>
    <hyperlink r:id="rId1926" ref="AW1668"/>
    <hyperlink r:id="rId1927" ref="AW1669"/>
    <hyperlink r:id="rId1928" ref="AW1670"/>
    <hyperlink r:id="rId1929" ref="AW1671"/>
    <hyperlink r:id="rId1930" ref="AW1672"/>
    <hyperlink r:id="rId1931" ref="AW1673"/>
    <hyperlink r:id="rId1932" ref="AW1674"/>
    <hyperlink r:id="rId1933" ref="AW1675"/>
    <hyperlink r:id="rId1934" ref="AW1676"/>
    <hyperlink r:id="rId1935" ref="AW1677"/>
    <hyperlink r:id="rId1936" ref="AW1678"/>
    <hyperlink r:id="rId1937" ref="AW1679"/>
    <hyperlink r:id="rId1938" ref="AW1680"/>
    <hyperlink r:id="rId1939" ref="AW1681"/>
    <hyperlink r:id="rId1940" ref="AW1682"/>
    <hyperlink r:id="rId1941" ref="AW1683"/>
    <hyperlink r:id="rId1942" ref="AW1684"/>
    <hyperlink r:id="rId1943" ref="AW1685"/>
    <hyperlink r:id="rId1944" ref="AW1686"/>
    <hyperlink r:id="rId1945" ref="AW1687"/>
    <hyperlink r:id="rId1946" ref="AW1688"/>
    <hyperlink r:id="rId1947" ref="AW1689"/>
    <hyperlink r:id="rId1948" ref="AW1690"/>
    <hyperlink r:id="rId1949" ref="AW1691"/>
    <hyperlink r:id="rId1950" ref="AW1692"/>
    <hyperlink r:id="rId1951" ref="AW1693"/>
    <hyperlink r:id="rId1952" ref="AW1694"/>
    <hyperlink r:id="rId1953" ref="AW1695"/>
    <hyperlink r:id="rId1954" ref="AW1696"/>
    <hyperlink r:id="rId1955" ref="AW1697"/>
    <hyperlink r:id="rId1956" ref="AW1698"/>
    <hyperlink r:id="rId1957" ref="AW1699"/>
    <hyperlink r:id="rId1958" ref="AW1700"/>
    <hyperlink r:id="rId1959" ref="AW1701"/>
    <hyperlink r:id="rId1960" ref="AW1702"/>
    <hyperlink r:id="rId1961" ref="AW1703"/>
    <hyperlink r:id="rId1962" ref="AW1704"/>
    <hyperlink r:id="rId1963" ref="AW1705"/>
    <hyperlink r:id="rId1964" ref="AW1706"/>
    <hyperlink r:id="rId1965" ref="AW1707"/>
    <hyperlink r:id="rId1966" ref="AW1708"/>
    <hyperlink r:id="rId1967" ref="AW1709"/>
    <hyperlink r:id="rId1968" ref="AW1710"/>
    <hyperlink r:id="rId1969" ref="AW1711"/>
    <hyperlink r:id="rId1970" ref="AW1712"/>
    <hyperlink r:id="rId1971" ref="AW1713"/>
    <hyperlink r:id="rId1972" ref="AW1714"/>
    <hyperlink r:id="rId1973" ref="AW1715"/>
    <hyperlink r:id="rId1974" ref="AW1716"/>
    <hyperlink r:id="rId1975" ref="AW1717"/>
    <hyperlink r:id="rId1976" ref="AW1718"/>
    <hyperlink r:id="rId1977" ref="AW1719"/>
    <hyperlink r:id="rId1978" ref="AW1720"/>
    <hyperlink r:id="rId1979" ref="AW1721"/>
    <hyperlink r:id="rId1980" ref="AW1722"/>
    <hyperlink r:id="rId1981" ref="AW1723"/>
    <hyperlink r:id="rId1982" ref="AW1724"/>
    <hyperlink r:id="rId1983" ref="AW1725"/>
    <hyperlink r:id="rId1984" ref="AW1726"/>
    <hyperlink r:id="rId1985" ref="AW1727"/>
    <hyperlink r:id="rId1986" ref="AW1728"/>
    <hyperlink r:id="rId1987" ref="AW1729"/>
    <hyperlink r:id="rId1988" ref="AW1730"/>
    <hyperlink r:id="rId1989" ref="AW1731"/>
    <hyperlink r:id="rId1990" ref="S1732"/>
    <hyperlink r:id="rId1991" ref="AW1732"/>
    <hyperlink r:id="rId1992" ref="AW1733"/>
    <hyperlink r:id="rId1993" ref="AW1734"/>
    <hyperlink r:id="rId1994" ref="AW1735"/>
    <hyperlink r:id="rId1995" ref="AW1736"/>
    <hyperlink r:id="rId1996" ref="AW1737"/>
    <hyperlink r:id="rId1997" ref="AW1738"/>
    <hyperlink r:id="rId1998" ref="AW1739"/>
    <hyperlink r:id="rId1999" ref="AW1740"/>
    <hyperlink r:id="rId2000" ref="AW1741"/>
    <hyperlink r:id="rId2001" ref="AW1742"/>
    <hyperlink r:id="rId2002" ref="AW1743"/>
    <hyperlink r:id="rId2003" ref="AW1744"/>
    <hyperlink r:id="rId2004" ref="AW1745"/>
    <hyperlink r:id="rId2005" ref="AW1746"/>
    <hyperlink r:id="rId2006" ref="AW1747"/>
    <hyperlink r:id="rId2007" ref="AW1748"/>
    <hyperlink r:id="rId2008" ref="AW1749"/>
    <hyperlink r:id="rId2009" ref="AW1750"/>
    <hyperlink r:id="rId2010" ref="AW1751"/>
    <hyperlink r:id="rId2011" ref="AW1752"/>
    <hyperlink r:id="rId2012" ref="AW1753"/>
    <hyperlink r:id="rId2013" ref="AW1754"/>
    <hyperlink r:id="rId2014" ref="AW1755"/>
    <hyperlink r:id="rId2015" ref="AW1756"/>
    <hyperlink r:id="rId2016" ref="AW1757"/>
    <hyperlink r:id="rId2017" ref="AW1758"/>
    <hyperlink r:id="rId2018" ref="AW1759"/>
    <hyperlink r:id="rId2019" ref="AW1760"/>
    <hyperlink r:id="rId2020" ref="AW1761"/>
    <hyperlink r:id="rId2021" ref="AW1762"/>
    <hyperlink r:id="rId2022" ref="AW1763"/>
    <hyperlink r:id="rId2023" ref="AW1764"/>
    <hyperlink r:id="rId2024" ref="AW1765"/>
    <hyperlink r:id="rId2025" ref="AW1766"/>
    <hyperlink r:id="rId2026" ref="AW1768"/>
    <hyperlink r:id="rId2027" ref="AW1769"/>
    <hyperlink r:id="rId2028" ref="AW1770"/>
    <hyperlink r:id="rId2029" ref="AW1771"/>
    <hyperlink r:id="rId2030" ref="AW1772"/>
    <hyperlink r:id="rId2031" ref="AW1773"/>
    <hyperlink r:id="rId2032" ref="AW1774"/>
    <hyperlink r:id="rId2033" ref="AW1775"/>
    <hyperlink r:id="rId2034" ref="AW1776"/>
    <hyperlink r:id="rId2035" ref="AW1777"/>
    <hyperlink r:id="rId2036" ref="AW1778"/>
    <hyperlink r:id="rId2037" ref="AW1779"/>
    <hyperlink r:id="rId2038" ref="AW1780"/>
    <hyperlink r:id="rId2039" ref="AW1781"/>
    <hyperlink r:id="rId2040" ref="AW1782"/>
    <hyperlink r:id="rId2041" ref="AW1783"/>
    <hyperlink r:id="rId2042" ref="AW1784"/>
    <hyperlink r:id="rId2043" ref="AW1785"/>
    <hyperlink r:id="rId2044" ref="AW1786"/>
    <hyperlink r:id="rId2045" ref="AW1787"/>
    <hyperlink r:id="rId2046" ref="AW1788"/>
    <hyperlink r:id="rId2047" ref="AW1789"/>
    <hyperlink r:id="rId2048" ref="AW1790"/>
    <hyperlink r:id="rId2049" ref="AW1791"/>
    <hyperlink r:id="rId2050" ref="AW1792"/>
    <hyperlink r:id="rId2051" ref="AW1793"/>
    <hyperlink r:id="rId2052" ref="AW1794"/>
    <hyperlink r:id="rId2053" ref="AW1795"/>
    <hyperlink r:id="rId2054" ref="AW1796"/>
    <hyperlink r:id="rId2055" ref="AW1797"/>
    <hyperlink r:id="rId2056" ref="AW1798"/>
    <hyperlink r:id="rId2057" ref="AW1799"/>
    <hyperlink r:id="rId2058" ref="AW1800"/>
    <hyperlink r:id="rId2059" ref="AW1801"/>
    <hyperlink r:id="rId2060" ref="AW1802"/>
    <hyperlink r:id="rId2061" ref="AW1803"/>
    <hyperlink r:id="rId2062" ref="AW1804"/>
    <hyperlink r:id="rId2063" ref="AW1805"/>
    <hyperlink r:id="rId2064" ref="AW1806"/>
    <hyperlink r:id="rId2065" ref="AW1807"/>
    <hyperlink r:id="rId2066" ref="AW1808"/>
    <hyperlink r:id="rId2067" ref="AW1809"/>
    <hyperlink r:id="rId2068" ref="AW1810"/>
    <hyperlink r:id="rId2069" ref="AW1811"/>
    <hyperlink r:id="rId2070" ref="AW1812"/>
    <hyperlink r:id="rId2071" ref="AW1813"/>
    <hyperlink r:id="rId2072" ref="AW1814"/>
    <hyperlink r:id="rId2073" ref="AW1815"/>
    <hyperlink r:id="rId2074" ref="AW1816"/>
    <hyperlink r:id="rId2075" ref="AW1817"/>
    <hyperlink r:id="rId2076" ref="AW1818"/>
    <hyperlink r:id="rId2077" ref="AW1819"/>
    <hyperlink r:id="rId2078" ref="AW1820"/>
    <hyperlink r:id="rId2079" ref="AW1821"/>
    <hyperlink r:id="rId2080" ref="AW1822"/>
    <hyperlink r:id="rId2081" ref="AW1823"/>
    <hyperlink r:id="rId2082" ref="AW1824"/>
    <hyperlink r:id="rId2083" ref="AW1825"/>
    <hyperlink r:id="rId2084" ref="AW1826"/>
    <hyperlink r:id="rId2085" ref="AW1827"/>
    <hyperlink r:id="rId2086" ref="AW1828"/>
    <hyperlink r:id="rId2087" ref="AW1829"/>
    <hyperlink r:id="rId2088" ref="AW1830"/>
    <hyperlink r:id="rId2089" ref="AW1831"/>
    <hyperlink r:id="rId2090" ref="AW1832"/>
    <hyperlink r:id="rId2091" ref="AW1833"/>
    <hyperlink r:id="rId2092" ref="AW1834"/>
    <hyperlink r:id="rId2093" ref="AW1835"/>
    <hyperlink r:id="rId2094" ref="AW1836"/>
    <hyperlink r:id="rId2095" ref="AW1837"/>
    <hyperlink r:id="rId2096" ref="AW1838"/>
    <hyperlink r:id="rId2097" ref="AW1839"/>
    <hyperlink r:id="rId2098" ref="AW1840"/>
    <hyperlink r:id="rId2099" ref="AW1841"/>
    <hyperlink r:id="rId2100" ref="AW1842"/>
    <hyperlink r:id="rId2101" ref="AW1843"/>
    <hyperlink r:id="rId2102" ref="AW1844"/>
    <hyperlink r:id="rId2103" ref="AW1845"/>
    <hyperlink r:id="rId2104" ref="AW1846"/>
    <hyperlink r:id="rId2105" ref="AW1847"/>
    <hyperlink r:id="rId2106" ref="AW1848"/>
    <hyperlink r:id="rId2107" ref="AW1849"/>
    <hyperlink r:id="rId2108" ref="AW1850"/>
    <hyperlink r:id="rId2109" ref="AW1851"/>
    <hyperlink r:id="rId2110" ref="AW1852"/>
    <hyperlink r:id="rId2111" ref="AW1853"/>
    <hyperlink r:id="rId2112" ref="AW1854"/>
    <hyperlink r:id="rId2113" ref="AW1855"/>
    <hyperlink r:id="rId2114" ref="AW1856"/>
    <hyperlink r:id="rId2115" ref="AW1857"/>
    <hyperlink r:id="rId2116" ref="AW1858"/>
    <hyperlink r:id="rId2117" ref="AW1859"/>
    <hyperlink r:id="rId2118" ref="AW1860"/>
    <hyperlink r:id="rId2119" ref="AW1861"/>
    <hyperlink r:id="rId2120" ref="R1862"/>
    <hyperlink r:id="rId2121" ref="T1862"/>
    <hyperlink r:id="rId2122" ref="AW1862"/>
    <hyperlink r:id="rId2123" ref="T1863"/>
    <hyperlink r:id="rId2124" ref="AW1863"/>
    <hyperlink r:id="rId2125" ref="T1864"/>
    <hyperlink r:id="rId2126" ref="AW1864"/>
    <hyperlink r:id="rId2127" ref="T1865"/>
    <hyperlink r:id="rId2128" ref="AW1865"/>
    <hyperlink r:id="rId2129" ref="T1866"/>
    <hyperlink r:id="rId2130" ref="AW1866"/>
    <hyperlink r:id="rId2131" ref="T1867"/>
    <hyperlink r:id="rId2132" ref="AW1867"/>
    <hyperlink r:id="rId2133" ref="R1868"/>
    <hyperlink r:id="rId2134" ref="T1868"/>
    <hyperlink r:id="rId2135" ref="AW1868"/>
    <hyperlink r:id="rId2136" ref="T1869"/>
    <hyperlink r:id="rId2137" ref="AW1869"/>
    <hyperlink r:id="rId2138" ref="T1870"/>
    <hyperlink r:id="rId2139" ref="AW1870"/>
    <hyperlink r:id="rId2140" ref="T1871"/>
    <hyperlink r:id="rId2141" ref="AW1871"/>
    <hyperlink r:id="rId2142" ref="T1874"/>
    <hyperlink r:id="rId2143" ref="AW1874"/>
    <hyperlink r:id="rId2144" ref="T1875"/>
    <hyperlink r:id="rId2145" ref="AW1875"/>
    <hyperlink r:id="rId2146" ref="T1876"/>
    <hyperlink r:id="rId2147" ref="AW1876"/>
    <hyperlink r:id="rId2148" ref="T1877"/>
    <hyperlink r:id="rId2149" ref="AW1877"/>
    <hyperlink r:id="rId2150" ref="AW1878"/>
    <hyperlink r:id="rId2151" ref="AW1879"/>
    <hyperlink r:id="rId2152" ref="AW1880"/>
    <hyperlink r:id="rId2153" ref="AW1881"/>
    <hyperlink r:id="rId2154" ref="AW1882"/>
    <hyperlink r:id="rId2155" ref="AW1883"/>
    <hyperlink r:id="rId2156" ref="AW1884"/>
    <hyperlink r:id="rId2157" ref="AW1885"/>
    <hyperlink r:id="rId2158" ref="AW1886"/>
    <hyperlink r:id="rId2159" ref="AW1887"/>
    <hyperlink r:id="rId2160" ref="AW1888"/>
    <hyperlink r:id="rId2161" ref="AW1889"/>
    <hyperlink r:id="rId2162" ref="AW1890"/>
    <hyperlink r:id="rId2163" ref="AW1891"/>
    <hyperlink r:id="rId2164" ref="AW1892"/>
    <hyperlink r:id="rId2165" ref="AW1893"/>
    <hyperlink r:id="rId2166" ref="AW1894"/>
    <hyperlink r:id="rId2167" ref="AW1895"/>
    <hyperlink r:id="rId2168" ref="AW1896"/>
    <hyperlink r:id="rId2169" ref="AW1897"/>
    <hyperlink r:id="rId2170" ref="AW1898"/>
    <hyperlink r:id="rId2171" ref="AW1899"/>
    <hyperlink r:id="rId2172" ref="AW1900"/>
    <hyperlink r:id="rId2173" ref="AW1901"/>
    <hyperlink r:id="rId2174" ref="AW1904"/>
    <hyperlink r:id="rId2175" ref="AW1905"/>
    <hyperlink r:id="rId2176" ref="L1908"/>
    <hyperlink r:id="rId2177" ref="T1908"/>
    <hyperlink r:id="rId2178" ref="AW1908"/>
    <hyperlink r:id="rId2179" ref="AW1909"/>
    <hyperlink r:id="rId2180" ref="R1910"/>
    <hyperlink r:id="rId2181" ref="AW1910"/>
    <hyperlink r:id="rId2182" ref="R1911"/>
    <hyperlink r:id="rId2183" ref="AW1911"/>
    <hyperlink r:id="rId2184" ref="AW1912"/>
    <hyperlink r:id="rId2185" ref="AW1913"/>
    <hyperlink r:id="rId2186" ref="AW1914"/>
    <hyperlink r:id="rId2187" ref="AW1915"/>
    <hyperlink r:id="rId2188" ref="AW1916"/>
    <hyperlink r:id="rId2189" ref="AW1917"/>
    <hyperlink r:id="rId2190" ref="AW1918"/>
    <hyperlink r:id="rId2191" ref="AW1919"/>
    <hyperlink r:id="rId2192" ref="AW1920"/>
    <hyperlink r:id="rId2193" ref="AW1921"/>
    <hyperlink r:id="rId2194" ref="AW1922"/>
    <hyperlink r:id="rId2195" ref="AW1923"/>
    <hyperlink r:id="rId2196" ref="AW1924"/>
    <hyperlink r:id="rId2197" ref="AW1925"/>
    <hyperlink r:id="rId2198" ref="AW1926"/>
    <hyperlink r:id="rId2199" ref="AW1927"/>
    <hyperlink r:id="rId2200" ref="AW1928"/>
    <hyperlink r:id="rId2201" ref="AW1929"/>
    <hyperlink r:id="rId2202" ref="AW1930"/>
    <hyperlink r:id="rId2203" ref="AW1931"/>
    <hyperlink r:id="rId2204" ref="AW1932"/>
    <hyperlink r:id="rId2205" ref="AW1933"/>
    <hyperlink r:id="rId2206" ref="AW1934"/>
    <hyperlink r:id="rId2207" ref="AW1935"/>
    <hyperlink r:id="rId2208" ref="AW1936"/>
    <hyperlink r:id="rId2209" ref="AW1937"/>
    <hyperlink r:id="rId2210" ref="AW1938"/>
    <hyperlink r:id="rId2211" ref="AW1939"/>
    <hyperlink r:id="rId2212" ref="AW1940"/>
    <hyperlink r:id="rId2213" ref="AW1941"/>
    <hyperlink r:id="rId2214" ref="T1942"/>
    <hyperlink r:id="rId2215" ref="AW1942"/>
    <hyperlink r:id="rId2216" ref="T1943"/>
    <hyperlink r:id="rId2217" ref="AW1943"/>
    <hyperlink r:id="rId2218" ref="K1944"/>
    <hyperlink r:id="rId2219" ref="R1944"/>
    <hyperlink r:id="rId2220" ref="AW1944"/>
    <hyperlink r:id="rId2221" ref="AW1945"/>
    <hyperlink r:id="rId2222" ref="AW1946"/>
    <hyperlink r:id="rId2223" ref="AW1947"/>
    <hyperlink r:id="rId2224" ref="AW1948"/>
    <hyperlink r:id="rId2225" ref="AW1949"/>
    <hyperlink r:id="rId2226" ref="AW1950"/>
    <hyperlink r:id="rId2227" ref="AW1951"/>
    <hyperlink r:id="rId2228" ref="AW1952"/>
    <hyperlink r:id="rId2229" ref="AW1953"/>
    <hyperlink r:id="rId2230" ref="AW1954"/>
    <hyperlink r:id="rId2231" ref="AW1955"/>
    <hyperlink r:id="rId2232" ref="AW1956"/>
    <hyperlink r:id="rId2233" ref="AW1957"/>
    <hyperlink r:id="rId2234" ref="AW1958"/>
    <hyperlink r:id="rId2235" ref="AW1959"/>
    <hyperlink r:id="rId2236" ref="AW1960"/>
    <hyperlink r:id="rId2237" ref="AW1961"/>
    <hyperlink r:id="rId2238" ref="AW1962"/>
    <hyperlink r:id="rId2239" ref="AW1963"/>
    <hyperlink r:id="rId2240" ref="AW1964"/>
    <hyperlink r:id="rId2241" ref="AW1965"/>
    <hyperlink r:id="rId2242" ref="AW1966"/>
    <hyperlink r:id="rId2243" ref="AW1967"/>
    <hyperlink r:id="rId2244" ref="AW1968"/>
    <hyperlink r:id="rId2245" ref="AW1969"/>
    <hyperlink r:id="rId2246" ref="AW1971"/>
    <hyperlink r:id="rId2247" ref="AW1972"/>
    <hyperlink r:id="rId2248" ref="AW1973"/>
    <hyperlink r:id="rId2249" ref="AW1975"/>
    <hyperlink r:id="rId2250" ref="AW1976"/>
    <hyperlink r:id="rId2251" ref="AW1977"/>
    <hyperlink r:id="rId2252" ref="AW1978"/>
    <hyperlink r:id="rId2253" ref="AW1979"/>
    <hyperlink r:id="rId2254" ref="AW1980"/>
    <hyperlink r:id="rId2255" ref="AW1981"/>
    <hyperlink r:id="rId2256" ref="AW1982"/>
    <hyperlink r:id="rId2257" ref="AW1983"/>
    <hyperlink r:id="rId2258" ref="AW1985"/>
    <hyperlink r:id="rId2259" ref="AW1987"/>
    <hyperlink r:id="rId2260" ref="AW1988"/>
    <hyperlink r:id="rId2261" ref="AW1989"/>
    <hyperlink r:id="rId2262" ref="AW1991"/>
    <hyperlink r:id="rId2263" ref="AW1992"/>
    <hyperlink r:id="rId2264" ref="AW1993"/>
    <hyperlink r:id="rId2265" ref="AW1994"/>
    <hyperlink r:id="rId2266" ref="AW1995"/>
    <hyperlink r:id="rId2267" ref="AW1997"/>
    <hyperlink r:id="rId2268" ref="AW1999"/>
    <hyperlink r:id="rId2269" ref="AW2000"/>
    <hyperlink r:id="rId2270" ref="AW2001"/>
    <hyperlink r:id="rId2271" ref="AW2003"/>
    <hyperlink r:id="rId2272" ref="K2004"/>
    <hyperlink r:id="rId2273" ref="AW2004"/>
    <hyperlink r:id="rId2274" ref="AW2005"/>
    <hyperlink r:id="rId2275" ref="AW2006"/>
    <hyperlink r:id="rId2276" ref="AW2007"/>
    <hyperlink r:id="rId2277" ref="AW2008"/>
    <hyperlink r:id="rId2278" ref="AW2009"/>
    <hyperlink r:id="rId2279" ref="K2010"/>
    <hyperlink r:id="rId2280" ref="AW2010"/>
    <hyperlink r:id="rId2281" ref="AW2011"/>
    <hyperlink r:id="rId2282" ref="AW2012"/>
    <hyperlink r:id="rId2283" ref="AW2013"/>
    <hyperlink r:id="rId2284" ref="AW2015"/>
    <hyperlink r:id="rId2285" ref="AW2017"/>
    <hyperlink r:id="rId2286" ref="AW2018"/>
    <hyperlink r:id="rId2287" ref="AW2019"/>
    <hyperlink r:id="rId2288" ref="AW2020"/>
    <hyperlink r:id="rId2289" ref="AW2021"/>
    <hyperlink r:id="rId2290" ref="AW2023"/>
    <hyperlink r:id="rId2291" ref="AW2025"/>
    <hyperlink r:id="rId2292" ref="AW2026"/>
    <hyperlink r:id="rId2293" ref="AW2027"/>
    <hyperlink r:id="rId2294" ref="AW2029"/>
    <hyperlink r:id="rId2295" ref="K2030"/>
    <hyperlink r:id="rId2296" ref="AW2031"/>
    <hyperlink r:id="rId2297" ref="AW2032"/>
    <hyperlink r:id="rId2298" ref="AW2033"/>
    <hyperlink r:id="rId2299" ref="AW2035"/>
    <hyperlink r:id="rId2300" ref="AW2036"/>
    <hyperlink r:id="rId2301" ref="AW2037"/>
    <hyperlink r:id="rId2302" ref="AW2039"/>
    <hyperlink r:id="rId2303" ref="AW2041"/>
    <hyperlink r:id="rId2304" ref="AW2042"/>
    <hyperlink r:id="rId2305" ref="AW2043"/>
    <hyperlink r:id="rId2306" ref="AW2044"/>
    <hyperlink r:id="rId2307" ref="AW2045"/>
    <hyperlink r:id="rId2308" ref="K2046"/>
    <hyperlink r:id="rId2309" ref="AW2046"/>
    <hyperlink r:id="rId2310" ref="AW2047"/>
    <hyperlink r:id="rId2311" ref="AW2048"/>
    <hyperlink r:id="rId2312" ref="AW2049"/>
    <hyperlink r:id="rId2313" ref="AW2051"/>
    <hyperlink r:id="rId2314" ref="AW2053"/>
    <hyperlink r:id="rId2315" ref="K2054"/>
    <hyperlink r:id="rId2316" ref="AW2055"/>
    <hyperlink r:id="rId2317" ref="AW2056"/>
    <hyperlink r:id="rId2318" ref="AW2057"/>
    <hyperlink r:id="rId2319" ref="AW2058"/>
    <hyperlink r:id="rId2320" ref="AW2059"/>
    <hyperlink r:id="rId2321" ref="AW2062"/>
    <hyperlink r:id="rId2322" ref="AW2063"/>
    <hyperlink r:id="rId2323" ref="AW2064"/>
    <hyperlink r:id="rId2324" ref="AW2065"/>
    <hyperlink r:id="rId2325" ref="AW2067"/>
    <hyperlink r:id="rId2326" ref="T2068"/>
    <hyperlink r:id="rId2327" ref="AW2068"/>
    <hyperlink r:id="rId2328" ref="AX2068"/>
    <hyperlink r:id="rId2329" ref="T2069"/>
    <hyperlink r:id="rId2330" ref="AW2069"/>
    <hyperlink r:id="rId2331" ref="AX2069"/>
    <hyperlink r:id="rId2332" ref="T2070"/>
    <hyperlink r:id="rId2333" ref="AW2070"/>
    <hyperlink r:id="rId2334" ref="AX2070"/>
    <hyperlink r:id="rId2335" ref="R2073"/>
    <hyperlink r:id="rId2336" ref="AW2073"/>
    <hyperlink r:id="rId2337" ref="AX2073"/>
    <hyperlink r:id="rId2338" ref="T2079"/>
    <hyperlink r:id="rId2339" ref="AN2079"/>
    <hyperlink r:id="rId2340" ref="AW2079"/>
    <hyperlink r:id="rId2341" ref="M2080"/>
    <hyperlink r:id="rId2342" ref="T2080"/>
    <hyperlink r:id="rId2343" ref="AN2080"/>
    <hyperlink r:id="rId2344" ref="AW2081"/>
    <hyperlink r:id="rId2345" ref="L2082"/>
    <hyperlink r:id="rId2346" ref="M2082"/>
    <hyperlink r:id="rId2347" ref="AW2082"/>
    <hyperlink r:id="rId2348" ref="AW2087"/>
    <hyperlink r:id="rId2349" ref="AW2088"/>
    <hyperlink r:id="rId2350" ref="AW2089"/>
    <hyperlink r:id="rId2351" ref="AW2090"/>
    <hyperlink r:id="rId2352" ref="AW2092"/>
    <hyperlink r:id="rId2353" ref="AW2112"/>
    <hyperlink r:id="rId2354" ref="AW2113"/>
    <hyperlink r:id="rId2355" ref="AW2114"/>
    <hyperlink r:id="rId2356" ref="AW2115"/>
    <hyperlink r:id="rId2357" ref="AW2116"/>
    <hyperlink r:id="rId2358" ref="AW2117"/>
    <hyperlink r:id="rId2359" ref="AW2118"/>
    <hyperlink r:id="rId2360" ref="AW2119"/>
    <hyperlink r:id="rId2361" ref="AW2121"/>
    <hyperlink r:id="rId2362" ref="AW2122"/>
    <hyperlink r:id="rId2363" ref="AW2123"/>
    <hyperlink r:id="rId2364" ref="M2124"/>
    <hyperlink r:id="rId2365" ref="AW2124"/>
    <hyperlink r:id="rId2366" ref="T2125"/>
    <hyperlink r:id="rId2367" ref="AR2125"/>
    <hyperlink r:id="rId2368" ref="AW2125"/>
    <hyperlink r:id="rId2369" ref="T2126"/>
    <hyperlink r:id="rId2370" ref="AR2126"/>
    <hyperlink r:id="rId2371" ref="AW2126"/>
    <hyperlink r:id="rId2372" ref="AW2127"/>
    <hyperlink r:id="rId2373" ref="M2128"/>
    <hyperlink r:id="rId2374" ref="R2128"/>
    <hyperlink r:id="rId2375" ref="AW2128"/>
    <hyperlink r:id="rId2376" ref="AW2129"/>
    <hyperlink r:id="rId2377" ref="M2130"/>
    <hyperlink r:id="rId2378" ref="R2130"/>
    <hyperlink r:id="rId2379" ref="AW2130"/>
    <hyperlink r:id="rId2380" ref="AW2131"/>
    <hyperlink r:id="rId2381" ref="M2132"/>
    <hyperlink r:id="rId2382" ref="R2132"/>
    <hyperlink r:id="rId2383" ref="AW2132"/>
    <hyperlink r:id="rId2384" ref="AW2137"/>
    <hyperlink r:id="rId2385" ref="AW2138"/>
    <hyperlink r:id="rId2386" ref="AW2139"/>
    <hyperlink r:id="rId2387" ref="AW2140"/>
    <hyperlink r:id="rId2388" ref="AW2141"/>
    <hyperlink r:id="rId2389" ref="K2146"/>
    <hyperlink r:id="rId2390" ref="AW2146"/>
    <hyperlink r:id="rId2391" ref="K2147"/>
    <hyperlink r:id="rId2392" ref="AW2147"/>
    <hyperlink r:id="rId2393" ref="AW2150"/>
    <hyperlink r:id="rId2394" ref="AW2151"/>
    <hyperlink r:id="rId2395" ref="AW2166"/>
    <hyperlink r:id="rId2396" ref="AW2167"/>
    <hyperlink r:id="rId2397" ref="AW2180"/>
    <hyperlink r:id="rId2398" ref="L2181"/>
    <hyperlink r:id="rId2399" ref="AW2181"/>
    <hyperlink r:id="rId2400" ref="AW2182"/>
    <hyperlink r:id="rId2401" ref="AW2184"/>
    <hyperlink r:id="rId2402" ref="AW2185"/>
    <hyperlink r:id="rId2403" ref="AW2200"/>
    <hyperlink r:id="rId2404" ref="AW2202"/>
    <hyperlink r:id="rId2405" ref="AW2204"/>
    <hyperlink r:id="rId2406" ref="AW2206"/>
    <hyperlink r:id="rId2407" ref="AW2208"/>
    <hyperlink r:id="rId2408" ref="AW2210"/>
    <hyperlink r:id="rId2409" ref="AW2212"/>
    <hyperlink r:id="rId2410" ref="AW2214"/>
    <hyperlink r:id="rId2411" ref="AW2216"/>
    <hyperlink r:id="rId2412" ref="AW2218"/>
    <hyperlink r:id="rId2413" ref="AW2220"/>
    <hyperlink r:id="rId2414" ref="AW2222"/>
    <hyperlink r:id="rId2415" ref="AW2224"/>
    <hyperlink r:id="rId2416" ref="AW2226"/>
    <hyperlink r:id="rId2417" ref="AW2228"/>
    <hyperlink r:id="rId2418" ref="AW2230"/>
    <hyperlink r:id="rId2419" ref="AW2232"/>
    <hyperlink r:id="rId2420" ref="AW2234"/>
    <hyperlink r:id="rId2421" ref="AW2236"/>
    <hyperlink r:id="rId2422" ref="AW2238"/>
    <hyperlink r:id="rId2423" ref="AW2240"/>
    <hyperlink r:id="rId2424" ref="AW2242"/>
    <hyperlink r:id="rId2425" ref="AW2244"/>
    <hyperlink r:id="rId2426" ref="AW2246"/>
    <hyperlink r:id="rId2427" ref="AW2248"/>
    <hyperlink r:id="rId2428" ref="K2250"/>
    <hyperlink r:id="rId2429" ref="AW2250"/>
    <hyperlink r:id="rId2430" ref="AX2250"/>
    <hyperlink r:id="rId2431" ref="AW2251"/>
    <hyperlink r:id="rId2432" ref="AW2252"/>
    <hyperlink r:id="rId2433" ref="S2253"/>
    <hyperlink r:id="rId2434" ref="T2253"/>
    <hyperlink r:id="rId2435" ref="AW2253"/>
    <hyperlink r:id="rId2436" ref="S2254"/>
    <hyperlink r:id="rId2437" ref="T2254"/>
    <hyperlink r:id="rId2438" ref="AW2254"/>
    <hyperlink r:id="rId2439" ref="T2255"/>
    <hyperlink r:id="rId2440" ref="AW2255"/>
    <hyperlink r:id="rId2441" ref="AW2256"/>
    <hyperlink r:id="rId2442" ref="AW2257"/>
    <hyperlink r:id="rId2443" ref="S2258"/>
    <hyperlink r:id="rId2444" ref="T2258"/>
    <hyperlink r:id="rId2445" ref="AW2258"/>
    <hyperlink r:id="rId2446" ref="T2259"/>
    <hyperlink r:id="rId2447" ref="AW2259"/>
    <hyperlink r:id="rId2448" ref="S2260"/>
    <hyperlink r:id="rId2449" ref="T2260"/>
    <hyperlink r:id="rId2450" ref="AW2260"/>
    <hyperlink r:id="rId2451" ref="S2261"/>
    <hyperlink r:id="rId2452" ref="T2261"/>
    <hyperlink r:id="rId2453" ref="AW2261"/>
    <hyperlink r:id="rId2454" ref="S2262"/>
    <hyperlink r:id="rId2455" ref="T2262"/>
    <hyperlink r:id="rId2456" ref="AW2262"/>
    <hyperlink r:id="rId2457" ref="S2263"/>
    <hyperlink r:id="rId2458" ref="T2263"/>
    <hyperlink r:id="rId2459" ref="AW2263"/>
    <hyperlink r:id="rId2460" ref="S2264"/>
    <hyperlink r:id="rId2461" ref="T2264"/>
    <hyperlink r:id="rId2462" ref="AW2264"/>
    <hyperlink r:id="rId2463" ref="S2265"/>
    <hyperlink r:id="rId2464" ref="T2265"/>
    <hyperlink r:id="rId2465" ref="AW2265"/>
    <hyperlink r:id="rId2466" ref="S2266"/>
    <hyperlink r:id="rId2467" ref="T2266"/>
    <hyperlink r:id="rId2468" ref="AW2266"/>
    <hyperlink r:id="rId2469" ref="S2267"/>
    <hyperlink r:id="rId2470" ref="T2267"/>
    <hyperlink r:id="rId2471" ref="AR2267"/>
    <hyperlink r:id="rId2472" ref="AW2267"/>
    <hyperlink r:id="rId2473" ref="AW2268"/>
    <hyperlink r:id="rId2474" ref="S2269"/>
    <hyperlink r:id="rId2475" ref="T2269"/>
    <hyperlink r:id="rId2476" ref="T2270"/>
    <hyperlink r:id="rId2477" ref="AW2270"/>
    <hyperlink r:id="rId2478" ref="S2271"/>
    <hyperlink r:id="rId2479" ref="T2271"/>
    <hyperlink r:id="rId2480" ref="AW2271"/>
    <hyperlink r:id="rId2481" ref="AW2272"/>
    <hyperlink r:id="rId2482" ref="AW2273"/>
    <hyperlink r:id="rId2483" ref="AW2274"/>
    <hyperlink r:id="rId2484" ref="M2275"/>
    <hyperlink r:id="rId2485" ref="S2275"/>
    <hyperlink r:id="rId2486" ref="T2275"/>
    <hyperlink r:id="rId2487" ref="AW2275"/>
    <hyperlink r:id="rId2488" ref="M2276"/>
    <hyperlink r:id="rId2489" ref="T2276"/>
    <hyperlink r:id="rId2490" ref="AR2276"/>
    <hyperlink r:id="rId2491" ref="AW2276"/>
    <hyperlink r:id="rId2492" ref="M2277"/>
    <hyperlink r:id="rId2493" ref="T2277"/>
    <hyperlink r:id="rId2494" ref="AR2277"/>
    <hyperlink r:id="rId2495" ref="AW2277"/>
    <hyperlink r:id="rId2496" ref="S2278"/>
    <hyperlink r:id="rId2497" ref="T2278"/>
    <hyperlink r:id="rId2498" ref="AW2278"/>
    <hyperlink r:id="rId2499" ref="M2279"/>
    <hyperlink r:id="rId2500" ref="S2279"/>
    <hyperlink r:id="rId2501" ref="T2279"/>
    <hyperlink r:id="rId2502" ref="AW2279"/>
    <hyperlink r:id="rId2503" ref="AY2279"/>
    <hyperlink r:id="rId2504" ref="T2280"/>
    <hyperlink r:id="rId2505" ref="AR2280"/>
    <hyperlink r:id="rId2506" ref="AW2280"/>
    <hyperlink r:id="rId2507" ref="S2281"/>
    <hyperlink r:id="rId2508" ref="T2281"/>
    <hyperlink r:id="rId2509" ref="T2282"/>
    <hyperlink r:id="rId2510" ref="AR2282"/>
    <hyperlink r:id="rId2511" ref="AW2282"/>
    <hyperlink r:id="rId2512" ref="S2283"/>
    <hyperlink r:id="rId2513" ref="T2283"/>
    <hyperlink r:id="rId2514" ref="AW2283"/>
    <hyperlink r:id="rId2515" ref="AW2284"/>
    <hyperlink r:id="rId2516" ref="S2285"/>
    <hyperlink r:id="rId2517" ref="T2285"/>
    <hyperlink r:id="rId2518" ref="T2286"/>
    <hyperlink r:id="rId2519" ref="AR2286"/>
    <hyperlink r:id="rId2520" ref="S2287"/>
    <hyperlink r:id="rId2521" ref="T2287"/>
    <hyperlink r:id="rId2522" ref="T2288"/>
    <hyperlink r:id="rId2523" ref="AR2288"/>
    <hyperlink r:id="rId2524" ref="S2289"/>
    <hyperlink r:id="rId2525" ref="T2289"/>
    <hyperlink r:id="rId2526" ref="AR2289"/>
    <hyperlink r:id="rId2527" ref="AW2289"/>
    <hyperlink r:id="rId2528" ref="T2290"/>
    <hyperlink r:id="rId2529" ref="AW2290"/>
    <hyperlink r:id="rId2530" ref="S2291"/>
    <hyperlink r:id="rId2531" ref="T2291"/>
    <hyperlink r:id="rId2532" ref="AW2291"/>
    <hyperlink r:id="rId2533" ref="K2292"/>
    <hyperlink r:id="rId2534" ref="S2292"/>
    <hyperlink r:id="rId2535" ref="T2292"/>
    <hyperlink r:id="rId2536" ref="AW2292"/>
    <hyperlink r:id="rId2537" ref="S2293"/>
    <hyperlink r:id="rId2538" ref="T2293"/>
    <hyperlink r:id="rId2539" ref="AW2293"/>
    <hyperlink r:id="rId2540" ref="K2294"/>
    <hyperlink r:id="rId2541" ref="S2294"/>
    <hyperlink r:id="rId2542" ref="T2294"/>
    <hyperlink r:id="rId2543" ref="AW2294"/>
    <hyperlink r:id="rId2544" ref="S2295"/>
    <hyperlink r:id="rId2545" ref="T2295"/>
    <hyperlink r:id="rId2546" ref="AW2295"/>
    <hyperlink r:id="rId2547" ref="S2296"/>
    <hyperlink r:id="rId2548" ref="T2296"/>
    <hyperlink r:id="rId2549" ref="AW2296"/>
    <hyperlink r:id="rId2550" ref="S2297"/>
    <hyperlink r:id="rId2551" ref="T2297"/>
    <hyperlink r:id="rId2552" ref="AW2297"/>
    <hyperlink r:id="rId2553" ref="T2298"/>
    <hyperlink r:id="rId2554" ref="AR2298"/>
    <hyperlink r:id="rId2555" ref="T2299"/>
    <hyperlink r:id="rId2556" ref="AW2299"/>
    <hyperlink r:id="rId2557" ref="S2300"/>
    <hyperlink r:id="rId2558" ref="T2300"/>
    <hyperlink r:id="rId2559" ref="AW2300"/>
    <hyperlink r:id="rId2560" ref="AW2301"/>
    <hyperlink r:id="rId2561" ref="K2302"/>
    <hyperlink r:id="rId2562" ref="S2302"/>
    <hyperlink r:id="rId2563" ref="T2302"/>
    <hyperlink r:id="rId2564" ref="AW2302"/>
    <hyperlink r:id="rId2565" ref="S2303"/>
    <hyperlink r:id="rId2566" ref="T2303"/>
    <hyperlink r:id="rId2567" ref="AW2303"/>
    <hyperlink r:id="rId2568" ref="AW2304"/>
    <hyperlink r:id="rId2569" ref="AW2305"/>
    <hyperlink r:id="rId2570" ref="S2306"/>
    <hyperlink r:id="rId2571" ref="T2306"/>
    <hyperlink r:id="rId2572" ref="T2307"/>
    <hyperlink r:id="rId2573" ref="AW2307"/>
    <hyperlink r:id="rId2574" ref="S2308"/>
    <hyperlink r:id="rId2575" ref="T2308"/>
    <hyperlink r:id="rId2576" ref="T2309"/>
    <hyperlink r:id="rId2577" ref="AW2309"/>
    <hyperlink r:id="rId2578" ref="S2310"/>
    <hyperlink r:id="rId2579" ref="T2310"/>
    <hyperlink r:id="rId2580" ref="AW2310"/>
    <hyperlink r:id="rId2581" ref="S2311"/>
    <hyperlink r:id="rId2582" ref="T2311"/>
    <hyperlink r:id="rId2583" ref="AW2311"/>
    <hyperlink r:id="rId2584" ref="S2312"/>
    <hyperlink r:id="rId2585" ref="T2312"/>
    <hyperlink r:id="rId2586" ref="AW2312"/>
    <hyperlink r:id="rId2587" ref="S2313"/>
    <hyperlink r:id="rId2588" ref="T2313"/>
    <hyperlink r:id="rId2589" ref="AR2313"/>
    <hyperlink r:id="rId2590" ref="AW2313"/>
    <hyperlink r:id="rId2591" ref="S2314"/>
    <hyperlink r:id="rId2592" ref="T2314"/>
    <hyperlink r:id="rId2593" ref="AW2314"/>
    <hyperlink r:id="rId2594" ref="S2315"/>
    <hyperlink r:id="rId2595" ref="T2315"/>
    <hyperlink r:id="rId2596" ref="AW2315"/>
    <hyperlink r:id="rId2597" ref="S2316"/>
    <hyperlink r:id="rId2598" ref="T2316"/>
    <hyperlink r:id="rId2599" ref="AW2316"/>
    <hyperlink r:id="rId2600" ref="S2317"/>
    <hyperlink r:id="rId2601" ref="T2317"/>
    <hyperlink r:id="rId2602" ref="AW2317"/>
    <hyperlink r:id="rId2603" ref="S2318"/>
    <hyperlink r:id="rId2604" ref="T2318"/>
    <hyperlink r:id="rId2605" ref="AW2318"/>
    <hyperlink r:id="rId2606" ref="S2319"/>
    <hyperlink r:id="rId2607" ref="T2319"/>
    <hyperlink r:id="rId2608" ref="AW2319"/>
    <hyperlink r:id="rId2609" ref="S2320"/>
    <hyperlink r:id="rId2610" ref="T2320"/>
    <hyperlink r:id="rId2611" ref="AW2320"/>
    <hyperlink r:id="rId2612" ref="S2321"/>
    <hyperlink r:id="rId2613" ref="T2321"/>
    <hyperlink r:id="rId2614" ref="AW2321"/>
    <hyperlink r:id="rId2615" ref="T2322"/>
    <hyperlink r:id="rId2616" ref="AW2322"/>
    <hyperlink r:id="rId2617" ref="S2323"/>
    <hyperlink r:id="rId2618" ref="T2323"/>
    <hyperlink r:id="rId2619" ref="AW2323"/>
    <hyperlink r:id="rId2620" ref="S2324"/>
    <hyperlink r:id="rId2621" ref="T2324"/>
    <hyperlink r:id="rId2622" ref="AW2324"/>
    <hyperlink r:id="rId2623" ref="S2325"/>
    <hyperlink r:id="rId2624" ref="T2325"/>
    <hyperlink r:id="rId2625" ref="AW2325"/>
    <hyperlink r:id="rId2626" ref="S2326"/>
    <hyperlink r:id="rId2627" ref="T2326"/>
    <hyperlink r:id="rId2628" ref="AW2326"/>
    <hyperlink r:id="rId2629" ref="S2327"/>
    <hyperlink r:id="rId2630" ref="T2327"/>
    <hyperlink r:id="rId2631" ref="AR2327"/>
    <hyperlink r:id="rId2632" ref="AW2327"/>
    <hyperlink r:id="rId2633" ref="T2328"/>
    <hyperlink r:id="rId2634" ref="AW2328"/>
    <hyperlink r:id="rId2635" ref="S2329"/>
    <hyperlink r:id="rId2636" ref="T2329"/>
    <hyperlink r:id="rId2637" ref="AR2329"/>
    <hyperlink r:id="rId2638" ref="AW2329"/>
    <hyperlink r:id="rId2639" ref="T2330"/>
    <hyperlink r:id="rId2640" ref="AW2330"/>
    <hyperlink r:id="rId2641" ref="S2331"/>
    <hyperlink r:id="rId2642" ref="T2331"/>
    <hyperlink r:id="rId2643" ref="AW2331"/>
    <hyperlink r:id="rId2644" ref="S2332"/>
    <hyperlink r:id="rId2645" ref="T2332"/>
    <hyperlink r:id="rId2646" ref="AW2332"/>
    <hyperlink r:id="rId2647" ref="S2333"/>
    <hyperlink r:id="rId2648" ref="T2333"/>
    <hyperlink r:id="rId2649" ref="AR2333"/>
    <hyperlink r:id="rId2650" ref="AW2333"/>
    <hyperlink r:id="rId2651" ref="T2334"/>
    <hyperlink r:id="rId2652" ref="AW2334"/>
    <hyperlink r:id="rId2653" ref="S2335"/>
    <hyperlink r:id="rId2654" ref="T2335"/>
    <hyperlink r:id="rId2655" ref="AW2335"/>
    <hyperlink r:id="rId2656" ref="T2336"/>
    <hyperlink r:id="rId2657" ref="AW2336"/>
    <hyperlink r:id="rId2658" ref="S2337"/>
    <hyperlink r:id="rId2659" ref="T2337"/>
    <hyperlink r:id="rId2660" ref="AW2337"/>
    <hyperlink r:id="rId2661" ref="T2338"/>
    <hyperlink r:id="rId2662" ref="AW2338"/>
    <hyperlink r:id="rId2663" ref="K2339"/>
    <hyperlink r:id="rId2664" ref="S2339"/>
    <hyperlink r:id="rId2665" ref="T2339"/>
    <hyperlink r:id="rId2666" ref="AW2339"/>
    <hyperlink r:id="rId2667" ref="S2340"/>
    <hyperlink r:id="rId2668" ref="T2340"/>
    <hyperlink r:id="rId2669" ref="AW2340"/>
    <hyperlink r:id="rId2670" ref="T2341"/>
    <hyperlink r:id="rId2671" ref="AW2341"/>
    <hyperlink r:id="rId2672" ref="S2342"/>
    <hyperlink r:id="rId2673" ref="AW2342"/>
    <hyperlink r:id="rId2674" ref="AW2343"/>
    <hyperlink r:id="rId2675" ref="AW2344"/>
    <hyperlink r:id="rId2676" ref="AW2345"/>
    <hyperlink r:id="rId2677" ref="S2346"/>
    <hyperlink r:id="rId2678" ref="T2346"/>
    <hyperlink r:id="rId2679" ref="AR2346"/>
    <hyperlink r:id="rId2680" ref="AW2346"/>
    <hyperlink r:id="rId2681" ref="T2347"/>
    <hyperlink r:id="rId2682" ref="AW2347"/>
    <hyperlink r:id="rId2683" ref="S2348"/>
    <hyperlink r:id="rId2684" ref="T2348"/>
    <hyperlink r:id="rId2685" ref="AR2348"/>
    <hyperlink r:id="rId2686" ref="AW2348"/>
    <hyperlink r:id="rId2687" ref="AW2349"/>
    <hyperlink r:id="rId2688" ref="S2350"/>
    <hyperlink r:id="rId2689" ref="T2350"/>
    <hyperlink r:id="rId2690" ref="AW2350"/>
    <hyperlink r:id="rId2691" ref="S2351"/>
    <hyperlink r:id="rId2692" ref="T2351"/>
    <hyperlink r:id="rId2693" ref="AR2351"/>
    <hyperlink r:id="rId2694" ref="AW2351"/>
    <hyperlink r:id="rId2695" ref="T2352"/>
    <hyperlink r:id="rId2696" ref="AR2352"/>
    <hyperlink r:id="rId2697" ref="AW2352"/>
    <hyperlink r:id="rId2698" ref="S2353"/>
    <hyperlink r:id="rId2699" ref="T2353"/>
    <hyperlink r:id="rId2700" ref="AW2353"/>
    <hyperlink r:id="rId2701" ref="S2354"/>
    <hyperlink r:id="rId2702" ref="T2354"/>
    <hyperlink r:id="rId2703" ref="AW2354"/>
    <hyperlink r:id="rId2704" ref="S2355"/>
    <hyperlink r:id="rId2705" ref="T2355"/>
    <hyperlink r:id="rId2706" ref="AR2355"/>
    <hyperlink r:id="rId2707" ref="AW2355"/>
    <hyperlink r:id="rId2708" ref="S2356"/>
    <hyperlink r:id="rId2709" ref="T2356"/>
    <hyperlink r:id="rId2710" ref="AR2356"/>
    <hyperlink r:id="rId2711" ref="AW2356"/>
    <hyperlink r:id="rId2712" ref="T2357"/>
    <hyperlink r:id="rId2713" ref="AW2357"/>
    <hyperlink r:id="rId2714" ref="S2358"/>
    <hyperlink r:id="rId2715" ref="T2358"/>
    <hyperlink r:id="rId2716" ref="AW2358"/>
    <hyperlink r:id="rId2717" ref="T2359"/>
    <hyperlink r:id="rId2718" ref="AW2359"/>
    <hyperlink r:id="rId2719" ref="AW2360"/>
    <hyperlink r:id="rId2720" ref="S2361"/>
    <hyperlink r:id="rId2721" ref="T2361"/>
    <hyperlink r:id="rId2722" ref="AW2361"/>
    <hyperlink r:id="rId2723" ref="L2362"/>
    <hyperlink r:id="rId2724" ref="AW2362"/>
    <hyperlink r:id="rId2725" ref="AW2363"/>
    <hyperlink r:id="rId2726" ref="AW2364"/>
    <hyperlink r:id="rId2727" ref="AW2388"/>
    <hyperlink r:id="rId2728" ref="AW2389"/>
    <hyperlink r:id="rId2729" ref="L2390"/>
    <hyperlink r:id="rId2730" ref="M2390"/>
    <hyperlink r:id="rId2731" ref="AW2390"/>
    <hyperlink r:id="rId2732" ref="M2393"/>
    <hyperlink r:id="rId2733" ref="T2393"/>
    <hyperlink r:id="rId2734" ref="AN2393"/>
    <hyperlink r:id="rId2735" ref="T2394"/>
    <hyperlink r:id="rId2736" ref="AR2394"/>
    <hyperlink r:id="rId2737" ref="AW2394"/>
    <hyperlink r:id="rId2738" ref="AW2396"/>
    <hyperlink r:id="rId2739" ref="AW2397"/>
    <hyperlink r:id="rId2740" ref="AW2398"/>
    <hyperlink r:id="rId2741" ref="AW2399"/>
    <hyperlink r:id="rId2742" ref="AW2400"/>
    <hyperlink r:id="rId2743" ref="AW2401"/>
    <hyperlink r:id="rId2744" ref="AW2402"/>
    <hyperlink r:id="rId2745" ref="AW2403"/>
    <hyperlink r:id="rId2746" ref="AW2404"/>
    <hyperlink r:id="rId2747" ref="AW2405"/>
    <hyperlink r:id="rId2748" ref="AW2406"/>
    <hyperlink r:id="rId2749" ref="AW2407"/>
    <hyperlink r:id="rId2750" ref="AW2408"/>
    <hyperlink r:id="rId2751" ref="AW2409"/>
    <hyperlink r:id="rId2752" ref="AW2410"/>
    <hyperlink r:id="rId2753" ref="AW2411"/>
    <hyperlink r:id="rId2754" ref="AW2412"/>
    <hyperlink r:id="rId2755" ref="AW2413"/>
    <hyperlink r:id="rId2756" ref="AW2414"/>
    <hyperlink r:id="rId2757" ref="AW2415"/>
    <hyperlink r:id="rId2758" ref="AW2416"/>
    <hyperlink r:id="rId2759" ref="L2417"/>
    <hyperlink r:id="rId2760" ref="AR2417"/>
    <hyperlink r:id="rId2761" ref="AW2417"/>
    <hyperlink r:id="rId2762" ref="AW2418"/>
    <hyperlink r:id="rId2763" ref="AW2419"/>
    <hyperlink r:id="rId2764" ref="AW2420"/>
    <hyperlink r:id="rId2765" ref="AW2421"/>
    <hyperlink r:id="rId2766" ref="AW2422"/>
    <hyperlink r:id="rId2767" ref="AW2423"/>
    <hyperlink r:id="rId2768" ref="AW2424"/>
    <hyperlink r:id="rId2769" ref="AW2425"/>
    <hyperlink r:id="rId2770" ref="AW2426"/>
    <hyperlink r:id="rId2771" ref="AW2427"/>
    <hyperlink r:id="rId2772" ref="AW2428"/>
    <hyperlink r:id="rId2773" ref="AW2429"/>
    <hyperlink r:id="rId2774" ref="AW2430"/>
    <hyperlink r:id="rId2775" ref="AW2431"/>
    <hyperlink r:id="rId2776" ref="AW2432"/>
    <hyperlink r:id="rId2777" ref="AW2433"/>
    <hyperlink r:id="rId2778" ref="AW2434"/>
    <hyperlink r:id="rId2779" ref="AW2435"/>
    <hyperlink r:id="rId2780" ref="AW2436"/>
    <hyperlink r:id="rId2781" ref="AW2437"/>
    <hyperlink r:id="rId2782" ref="AW2438"/>
    <hyperlink r:id="rId2783" ref="Q2439"/>
    <hyperlink r:id="rId2784" ref="AW2439"/>
    <hyperlink r:id="rId2785" ref="Q2440"/>
    <hyperlink r:id="rId2786" ref="AW2440"/>
    <hyperlink r:id="rId2787" ref="AW2441"/>
    <hyperlink r:id="rId2788" ref="AW2442"/>
    <hyperlink r:id="rId2789" ref="AW2443"/>
    <hyperlink r:id="rId2790" ref="AW2444"/>
    <hyperlink r:id="rId2791" ref="AW2445"/>
    <hyperlink r:id="rId2792" ref="AW2446"/>
    <hyperlink r:id="rId2793" ref="AW2447"/>
    <hyperlink r:id="rId2794" ref="AW2448"/>
    <hyperlink r:id="rId2795" ref="AW2449"/>
    <hyperlink r:id="rId2796" ref="AW2450"/>
    <hyperlink r:id="rId2797" ref="AW2451"/>
    <hyperlink r:id="rId2798" ref="AW2452"/>
    <hyperlink r:id="rId2799" ref="AW2453"/>
    <hyperlink r:id="rId2800" ref="AW2454"/>
    <hyperlink r:id="rId2801" ref="AW2455"/>
    <hyperlink r:id="rId2802" ref="AW2456"/>
    <hyperlink r:id="rId2803" ref="AW2457"/>
    <hyperlink r:id="rId2804" ref="AW2458"/>
    <hyperlink r:id="rId2805" ref="AW2459"/>
    <hyperlink r:id="rId2806" ref="AW2460"/>
    <hyperlink r:id="rId2807" ref="AW2461"/>
    <hyperlink r:id="rId2808" ref="AW2462"/>
    <hyperlink r:id="rId2809" ref="AW2463"/>
    <hyperlink r:id="rId2810" ref="AW2464"/>
    <hyperlink r:id="rId2811" ref="AW2465"/>
    <hyperlink r:id="rId2812" ref="AW2466"/>
    <hyperlink r:id="rId2813" ref="AW2467"/>
    <hyperlink r:id="rId2814" ref="AW2468"/>
    <hyperlink r:id="rId2815" ref="AW2469"/>
    <hyperlink r:id="rId2816" ref="AW2470"/>
    <hyperlink r:id="rId2817" ref="AW2471"/>
    <hyperlink r:id="rId2818" ref="AW2472"/>
    <hyperlink r:id="rId2819" ref="AW2473"/>
    <hyperlink r:id="rId2820" ref="AW2474"/>
    <hyperlink r:id="rId2821" ref="AW2475"/>
    <hyperlink r:id="rId2822" ref="AW2476"/>
    <hyperlink r:id="rId2823" ref="Q2477"/>
    <hyperlink r:id="rId2824" ref="AW2477"/>
    <hyperlink r:id="rId2825" ref="Q2478"/>
    <hyperlink r:id="rId2826" ref="AW2478"/>
    <hyperlink r:id="rId2827" ref="AW2479"/>
    <hyperlink r:id="rId2828" ref="AW2480"/>
    <hyperlink r:id="rId2829" ref="AW2481"/>
    <hyperlink r:id="rId2830" ref="AW2482"/>
    <hyperlink r:id="rId2831" ref="AW2483"/>
    <hyperlink r:id="rId2832" ref="AW2484"/>
    <hyperlink r:id="rId2833" ref="AW2485"/>
    <hyperlink r:id="rId2834" ref="AW2486"/>
    <hyperlink r:id="rId2835" ref="AW2487"/>
    <hyperlink r:id="rId2836" ref="AW2488"/>
    <hyperlink r:id="rId2837" ref="AW2489"/>
    <hyperlink r:id="rId2838" ref="AW2490"/>
    <hyperlink r:id="rId2839" ref="AW2491"/>
    <hyperlink r:id="rId2840" ref="AW2492"/>
    <hyperlink r:id="rId2841" ref="AW2493"/>
    <hyperlink r:id="rId2842" ref="AW2494"/>
    <hyperlink r:id="rId2843" ref="AW2495"/>
    <hyperlink r:id="rId2844" ref="AW2496"/>
    <hyperlink r:id="rId2845" ref="AW2497"/>
    <hyperlink r:id="rId2846" ref="AW2498"/>
    <hyperlink r:id="rId2847" ref="AW2499"/>
    <hyperlink r:id="rId2848" ref="AW2500"/>
    <hyperlink r:id="rId2849" ref="AW2501"/>
    <hyperlink r:id="rId2850" ref="AW2502"/>
    <hyperlink r:id="rId2851" ref="AW2503"/>
    <hyperlink r:id="rId2852" ref="AW2504"/>
    <hyperlink r:id="rId2853" ref="AW2505"/>
    <hyperlink r:id="rId2854" ref="AW2506"/>
    <hyperlink r:id="rId2855" ref="AW2507"/>
    <hyperlink r:id="rId2856" ref="T2508"/>
    <hyperlink r:id="rId2857" ref="AW2508"/>
    <hyperlink r:id="rId2858" ref="T2509"/>
    <hyperlink r:id="rId2859" ref="AW2509"/>
    <hyperlink r:id="rId2860" ref="T2510"/>
    <hyperlink r:id="rId2861" ref="AW2510"/>
    <hyperlink r:id="rId2862" ref="T2511"/>
    <hyperlink r:id="rId2863" ref="AW2511"/>
    <hyperlink r:id="rId2864" ref="T2512"/>
    <hyperlink r:id="rId2865" ref="AW2512"/>
    <hyperlink r:id="rId2866" ref="AW2518"/>
    <hyperlink r:id="rId2867" ref="AW2519"/>
    <hyperlink r:id="rId2868" ref="AW2520"/>
    <hyperlink r:id="rId2869" ref="AW2521"/>
    <hyperlink r:id="rId2870" ref="N2522"/>
    <hyperlink r:id="rId2871" ref="AW2522"/>
    <hyperlink r:id="rId2872" ref="N2523"/>
    <hyperlink r:id="rId2873" ref="AW2523"/>
    <hyperlink r:id="rId2874" ref="AW2525"/>
    <hyperlink r:id="rId2875" ref="AW2526"/>
    <hyperlink r:id="rId2876" ref="AW2527"/>
    <hyperlink r:id="rId2877" ref="AW2528"/>
    <hyperlink r:id="rId2878" ref="AW2529"/>
    <hyperlink r:id="rId2879" ref="AW2530"/>
    <hyperlink r:id="rId2880" ref="AW2531"/>
    <hyperlink r:id="rId2881" ref="AW2532"/>
    <hyperlink r:id="rId2882" ref="AW2533"/>
    <hyperlink r:id="rId2883" ref="AW2534"/>
    <hyperlink r:id="rId2884" ref="AW2535"/>
    <hyperlink r:id="rId2885" ref="AW2536"/>
    <hyperlink r:id="rId2886" ref="AW2537"/>
    <hyperlink r:id="rId2887" ref="AW2538"/>
    <hyperlink r:id="rId2888" ref="AW2539"/>
    <hyperlink r:id="rId2889" ref="AW2540"/>
    <hyperlink r:id="rId2890" ref="AW2541"/>
    <hyperlink r:id="rId2891" ref="AW2542"/>
    <hyperlink r:id="rId2892" ref="AW2543"/>
    <hyperlink r:id="rId2893" ref="AW2544"/>
    <hyperlink r:id="rId2894" ref="T2545"/>
    <hyperlink r:id="rId2895" ref="AW2545"/>
    <hyperlink r:id="rId2896" ref="T2546"/>
    <hyperlink r:id="rId2897" ref="AW2546"/>
    <hyperlink r:id="rId2898" ref="T2547"/>
    <hyperlink r:id="rId2899" ref="AW2547"/>
    <hyperlink r:id="rId2900" ref="T2548"/>
    <hyperlink r:id="rId2901" ref="AW2548"/>
    <hyperlink r:id="rId2902" ref="T2549"/>
    <hyperlink r:id="rId2903" ref="AW2549"/>
    <hyperlink r:id="rId2904" ref="T2550"/>
    <hyperlink r:id="rId2905" ref="AW2550"/>
    <hyperlink r:id="rId2906" ref="T2551"/>
    <hyperlink r:id="rId2907" ref="AW2551"/>
    <hyperlink r:id="rId2908" ref="T2552"/>
    <hyperlink r:id="rId2909" ref="AW2552"/>
    <hyperlink r:id="rId2910" ref="T2553"/>
    <hyperlink r:id="rId2911" ref="AW2553"/>
    <hyperlink r:id="rId2912" ref="T2554"/>
    <hyperlink r:id="rId2913" ref="AW2554"/>
    <hyperlink r:id="rId2914" ref="T2555"/>
    <hyperlink r:id="rId2915" ref="AW2555"/>
    <hyperlink r:id="rId2916" ref="T2556"/>
    <hyperlink r:id="rId2917" ref="AW2556"/>
    <hyperlink r:id="rId2918" ref="T2557"/>
    <hyperlink r:id="rId2919" ref="AW2557"/>
    <hyperlink r:id="rId2920" ref="T2558"/>
    <hyperlink r:id="rId2921" ref="AW2558"/>
    <hyperlink r:id="rId2922" ref="T2559"/>
    <hyperlink r:id="rId2923" ref="AW2559"/>
    <hyperlink r:id="rId2924" ref="T2560"/>
    <hyperlink r:id="rId2925" ref="AW2560"/>
    <hyperlink r:id="rId2926" ref="T2561"/>
    <hyperlink r:id="rId2927" ref="AW2561"/>
    <hyperlink r:id="rId2928" ref="T2562"/>
    <hyperlink r:id="rId2929" ref="AW2562"/>
    <hyperlink r:id="rId2930" ref="T2563"/>
    <hyperlink r:id="rId2931" ref="AW2563"/>
    <hyperlink r:id="rId2932" ref="T2564"/>
    <hyperlink r:id="rId2933" ref="AW2564"/>
    <hyperlink r:id="rId2934" ref="T2565"/>
    <hyperlink r:id="rId2935" ref="AW2565"/>
    <hyperlink r:id="rId2936" ref="T2566"/>
    <hyperlink r:id="rId2937" ref="AW2566"/>
    <hyperlink r:id="rId2938" ref="T2567"/>
    <hyperlink r:id="rId2939" ref="AW2567"/>
    <hyperlink r:id="rId2940" ref="T2568"/>
    <hyperlink r:id="rId2941" ref="AW2568"/>
    <hyperlink r:id="rId2942" ref="T2569"/>
    <hyperlink r:id="rId2943" ref="AW2569"/>
    <hyperlink r:id="rId2944" ref="T2570"/>
    <hyperlink r:id="rId2945" ref="AW2570"/>
    <hyperlink r:id="rId2946" ref="T2571"/>
    <hyperlink r:id="rId2947" ref="AW2571"/>
    <hyperlink r:id="rId2948" ref="T2572"/>
    <hyperlink r:id="rId2949" ref="AW2572"/>
    <hyperlink r:id="rId2950" ref="T2573"/>
    <hyperlink r:id="rId2951" ref="AW2573"/>
    <hyperlink r:id="rId2952" ref="T2574"/>
    <hyperlink r:id="rId2953" ref="AW2574"/>
    <hyperlink r:id="rId2954" ref="T2575"/>
    <hyperlink r:id="rId2955" ref="AW2575"/>
    <hyperlink r:id="rId2956" ref="T2576"/>
    <hyperlink r:id="rId2957" ref="AW2576"/>
    <hyperlink r:id="rId2958" ref="T2577"/>
    <hyperlink r:id="rId2959" ref="AW2577"/>
    <hyperlink r:id="rId2960" ref="T2578"/>
    <hyperlink r:id="rId2961" ref="AW2578"/>
    <hyperlink r:id="rId2962" ref="T2579"/>
    <hyperlink r:id="rId2963" ref="AW2579"/>
    <hyperlink r:id="rId2964" ref="T2580"/>
    <hyperlink r:id="rId2965" ref="AW2580"/>
    <hyperlink r:id="rId2966" ref="T2581"/>
    <hyperlink r:id="rId2967" ref="AW2581"/>
    <hyperlink r:id="rId2968" ref="T2582"/>
    <hyperlink r:id="rId2969" ref="AW2582"/>
    <hyperlink r:id="rId2970" ref="T2583"/>
    <hyperlink r:id="rId2971" ref="AW2583"/>
    <hyperlink r:id="rId2972" ref="T2584"/>
    <hyperlink r:id="rId2973" ref="AW2584"/>
    <hyperlink r:id="rId2974" ref="T2585"/>
    <hyperlink r:id="rId2975" ref="AW2585"/>
    <hyperlink r:id="rId2976" ref="T2586"/>
    <hyperlink r:id="rId2977" ref="AW2586"/>
    <hyperlink r:id="rId2978" ref="T2587"/>
    <hyperlink r:id="rId2979" ref="AW2587"/>
    <hyperlink r:id="rId2980" ref="T2588"/>
    <hyperlink r:id="rId2981" ref="AW2588"/>
    <hyperlink r:id="rId2982" ref="T2589"/>
    <hyperlink r:id="rId2983" ref="AW2589"/>
    <hyperlink r:id="rId2984" ref="T2590"/>
    <hyperlink r:id="rId2985" ref="AW2590"/>
    <hyperlink r:id="rId2986" ref="T2591"/>
    <hyperlink r:id="rId2987" ref="AW2591"/>
    <hyperlink r:id="rId2988" ref="T2592"/>
    <hyperlink r:id="rId2989" ref="AW2592"/>
    <hyperlink r:id="rId2990" ref="T2593"/>
    <hyperlink r:id="rId2991" ref="AW2593"/>
    <hyperlink r:id="rId2992" ref="T2594"/>
    <hyperlink r:id="rId2993" ref="AW2594"/>
    <hyperlink r:id="rId2994" ref="T2595"/>
    <hyperlink r:id="rId2995" ref="AW2595"/>
    <hyperlink r:id="rId2996" ref="T2596"/>
    <hyperlink r:id="rId2997" ref="AW2596"/>
    <hyperlink r:id="rId2998" ref="T2597"/>
    <hyperlink r:id="rId2999" ref="AW2597"/>
    <hyperlink r:id="rId3000" ref="T2598"/>
    <hyperlink r:id="rId3001" ref="AW2598"/>
    <hyperlink r:id="rId3002" ref="T2599"/>
    <hyperlink r:id="rId3003" ref="AW2599"/>
    <hyperlink r:id="rId3004" ref="T2600"/>
    <hyperlink r:id="rId3005" ref="AW2600"/>
    <hyperlink r:id="rId3006" ref="T2601"/>
    <hyperlink r:id="rId3007" ref="AW2601"/>
    <hyperlink r:id="rId3008" ref="T2602"/>
    <hyperlink r:id="rId3009" ref="AW2602"/>
    <hyperlink r:id="rId3010" ref="T2603"/>
    <hyperlink r:id="rId3011" ref="AW2603"/>
    <hyperlink r:id="rId3012" ref="AW2604"/>
    <hyperlink r:id="rId3013" ref="AW2605"/>
    <hyperlink r:id="rId3014" ref="AW2606"/>
    <hyperlink r:id="rId3015" ref="AW2607"/>
    <hyperlink r:id="rId3016" ref="N2608"/>
    <hyperlink r:id="rId3017" ref="AW2608"/>
    <hyperlink r:id="rId3018" ref="N2609"/>
    <hyperlink r:id="rId3019" ref="AW2609"/>
    <hyperlink r:id="rId3020" ref="AW2610"/>
    <hyperlink r:id="rId3021" ref="AW2611"/>
    <hyperlink r:id="rId3022" ref="AW2612"/>
    <hyperlink r:id="rId3023" ref="T2613"/>
    <hyperlink r:id="rId3024" ref="AW2613"/>
    <hyperlink r:id="rId3025" ref="T2614"/>
    <hyperlink r:id="rId3026" ref="AW2614"/>
    <hyperlink r:id="rId3027" ref="AW2616"/>
    <hyperlink r:id="rId3028" ref="AW2617"/>
    <hyperlink r:id="rId3029" ref="AW2618"/>
    <hyperlink r:id="rId3030" ref="AW2619"/>
    <hyperlink r:id="rId3031" ref="AW2620"/>
    <hyperlink r:id="rId3032" ref="AW2621"/>
    <hyperlink r:id="rId3033" ref="AW2622"/>
    <hyperlink r:id="rId3034" ref="AW2623"/>
    <hyperlink r:id="rId3035" ref="T2624"/>
    <hyperlink r:id="rId3036" ref="AW2624"/>
    <hyperlink r:id="rId3037" ref="T2625"/>
    <hyperlink r:id="rId3038" ref="AW2625"/>
    <hyperlink r:id="rId3039" ref="AW2626"/>
    <hyperlink r:id="rId3040" ref="AW2627"/>
    <hyperlink r:id="rId3041" ref="AW2628"/>
    <hyperlink r:id="rId3042" ref="AW2629"/>
    <hyperlink r:id="rId3043" ref="AW2630"/>
    <hyperlink r:id="rId3044" ref="AW2631"/>
    <hyperlink r:id="rId3045" ref="AW2632"/>
    <hyperlink r:id="rId3046" ref="T2633"/>
    <hyperlink r:id="rId3047" ref="AW2633"/>
    <hyperlink r:id="rId3048" ref="T2637"/>
    <hyperlink r:id="rId3049" ref="AW2637"/>
    <hyperlink r:id="rId3050" ref="AW2638"/>
    <hyperlink r:id="rId3051" ref="AW2639"/>
    <hyperlink r:id="rId3052" ref="AW2640"/>
    <hyperlink r:id="rId3053" ref="AW2642"/>
    <hyperlink r:id="rId3054" ref="AW2643"/>
    <hyperlink r:id="rId3055" ref="AW2644"/>
    <hyperlink r:id="rId3056" ref="AW2645"/>
    <hyperlink r:id="rId3057" ref="T2646"/>
    <hyperlink r:id="rId3058" ref="AW2646"/>
    <hyperlink r:id="rId3059" ref="T2647"/>
    <hyperlink r:id="rId3060" ref="AW2647"/>
    <hyperlink r:id="rId3061" ref="AW2651"/>
    <hyperlink r:id="rId3062" ref="AW2652"/>
    <hyperlink r:id="rId3063" ref="T2659"/>
    <hyperlink r:id="rId3064" ref="AW2659"/>
    <hyperlink r:id="rId3065" ref="T2660"/>
    <hyperlink r:id="rId3066" ref="AW2660"/>
    <hyperlink r:id="rId3067" ref="T2661"/>
    <hyperlink r:id="rId3068" ref="AW2661"/>
    <hyperlink r:id="rId3069" ref="T2662"/>
    <hyperlink r:id="rId3070" ref="AW2662"/>
    <hyperlink r:id="rId3071" ref="T2663"/>
    <hyperlink r:id="rId3072" ref="AW2663"/>
    <hyperlink r:id="rId3073" ref="T2664"/>
    <hyperlink r:id="rId3074" ref="AW2664"/>
    <hyperlink r:id="rId3075" ref="T2665"/>
    <hyperlink r:id="rId3076" ref="AW2665"/>
    <hyperlink r:id="rId3077" ref="T2666"/>
    <hyperlink r:id="rId3078" ref="AW2666"/>
    <hyperlink r:id="rId3079" ref="T2667"/>
    <hyperlink r:id="rId3080" ref="AW2667"/>
    <hyperlink r:id="rId3081" ref="T2668"/>
    <hyperlink r:id="rId3082" ref="AW2668"/>
    <hyperlink r:id="rId3083" ref="T2669"/>
    <hyperlink r:id="rId3084" ref="AW2669"/>
    <hyperlink r:id="rId3085" ref="T2670"/>
    <hyperlink r:id="rId3086" ref="AW2670"/>
    <hyperlink r:id="rId3087" ref="T2671"/>
    <hyperlink r:id="rId3088" ref="AW2671"/>
    <hyperlink r:id="rId3089" ref="T2672"/>
    <hyperlink r:id="rId3090" ref="AW2672"/>
    <hyperlink r:id="rId3091" ref="T2673"/>
    <hyperlink r:id="rId3092" ref="AW2673"/>
    <hyperlink r:id="rId3093" ref="T2674"/>
    <hyperlink r:id="rId3094" ref="AW2674"/>
    <hyperlink r:id="rId3095" ref="T2675"/>
    <hyperlink r:id="rId3096" ref="AW2675"/>
    <hyperlink r:id="rId3097" ref="T2676"/>
    <hyperlink r:id="rId3098" ref="AW2676"/>
    <hyperlink r:id="rId3099" ref="T2677"/>
    <hyperlink r:id="rId3100" ref="AW2677"/>
    <hyperlink r:id="rId3101" ref="T2678"/>
    <hyperlink r:id="rId3102" ref="AW2678"/>
    <hyperlink r:id="rId3103" ref="AW2679"/>
    <hyperlink r:id="rId3104" ref="T2680"/>
    <hyperlink r:id="rId3105" ref="AW2680"/>
    <hyperlink r:id="rId3106" ref="T2681"/>
    <hyperlink r:id="rId3107" ref="AW2681"/>
    <hyperlink r:id="rId3108" ref="T2682"/>
    <hyperlink r:id="rId3109" ref="AW2682"/>
    <hyperlink r:id="rId3110" ref="T2683"/>
    <hyperlink r:id="rId3111" ref="AW2683"/>
    <hyperlink r:id="rId3112" ref="T2684"/>
    <hyperlink r:id="rId3113" ref="AW2684"/>
    <hyperlink r:id="rId3114" ref="T2685"/>
    <hyperlink r:id="rId3115" ref="AW2685"/>
    <hyperlink r:id="rId3116" ref="T2686"/>
    <hyperlink r:id="rId3117" ref="AW2686"/>
    <hyperlink r:id="rId3118" ref="T2687"/>
    <hyperlink r:id="rId3119" ref="AW2687"/>
    <hyperlink r:id="rId3120" ref="T2688"/>
    <hyperlink r:id="rId3121" ref="AW2688"/>
    <hyperlink r:id="rId3122" ref="T2689"/>
    <hyperlink r:id="rId3123" ref="AW2689"/>
    <hyperlink r:id="rId3124" ref="T2690"/>
    <hyperlink r:id="rId3125" ref="AW2690"/>
    <hyperlink r:id="rId3126" ref="T2691"/>
    <hyperlink r:id="rId3127" ref="AW2691"/>
    <hyperlink r:id="rId3128" ref="T2692"/>
    <hyperlink r:id="rId3129" ref="AW2692"/>
    <hyperlink r:id="rId3130" ref="AW2693"/>
    <hyperlink r:id="rId3131" ref="T2694"/>
    <hyperlink r:id="rId3132" ref="AW2694"/>
    <hyperlink r:id="rId3133" ref="R2695"/>
    <hyperlink r:id="rId3134" ref="AN2700"/>
    <hyperlink r:id="rId3135" ref="AO2700"/>
    <hyperlink r:id="rId3136" ref="AW2700"/>
    <hyperlink r:id="rId3137" ref="AX2700"/>
    <hyperlink r:id="rId3138" ref="R2702"/>
    <hyperlink r:id="rId3139" ref="S2702"/>
    <hyperlink r:id="rId3140" ref="R2705"/>
    <hyperlink r:id="rId3141" ref="S2705"/>
    <hyperlink r:id="rId3142" ref="AW2710"/>
    <hyperlink r:id="rId3143" ref="AX2710"/>
    <hyperlink r:id="rId3144" ref="AW2711"/>
    <hyperlink r:id="rId3145" ref="AW2712"/>
    <hyperlink r:id="rId3146" ref="AW2713"/>
    <hyperlink r:id="rId3147" ref="AW2714"/>
    <hyperlink r:id="rId3148" ref="AW2715"/>
    <hyperlink r:id="rId3149" ref="AW2730"/>
    <hyperlink r:id="rId3150" ref="AX2730"/>
    <hyperlink r:id="rId3151" ref="AW2731"/>
    <hyperlink r:id="rId3152" ref="AX2731"/>
    <hyperlink r:id="rId3153" ref="K2732"/>
    <hyperlink r:id="rId3154" ref="R2736"/>
    <hyperlink r:id="rId3155" ref="S2736"/>
    <hyperlink r:id="rId3156" ref="R2738"/>
    <hyperlink r:id="rId3157" ref="S2738"/>
    <hyperlink r:id="rId3158" ref="AW2740"/>
    <hyperlink r:id="rId3159" ref="AX2740"/>
    <hyperlink r:id="rId3160" ref="AW2741"/>
    <hyperlink r:id="rId3161" ref="AX2741"/>
    <hyperlink r:id="rId3162" ref="AW2742"/>
    <hyperlink r:id="rId3163" ref="AW2743"/>
    <hyperlink r:id="rId3164" ref="AW2744"/>
    <hyperlink r:id="rId3165" ref="AW2745"/>
    <hyperlink r:id="rId3166" ref="AW2746"/>
    <hyperlink r:id="rId3167" ref="AW2747"/>
    <hyperlink r:id="rId3168" ref="AW2748"/>
    <hyperlink r:id="rId3169" ref="AW2749"/>
    <hyperlink r:id="rId3170" ref="Q2750"/>
    <hyperlink r:id="rId3171" ref="R2750"/>
    <hyperlink r:id="rId3172" ref="X2750"/>
    <hyperlink r:id="rId3173" ref="Q2751"/>
    <hyperlink r:id="rId3174" ref="X2751"/>
    <hyperlink r:id="rId3175" ref="Q2752"/>
    <hyperlink r:id="rId3176" ref="X2752"/>
    <hyperlink r:id="rId3177" ref="Q2753"/>
    <hyperlink r:id="rId3178" ref="X2753"/>
    <hyperlink r:id="rId3179" ref="Q2754"/>
    <hyperlink r:id="rId3180" ref="X2754"/>
    <hyperlink r:id="rId3181" ref="Q2755"/>
    <hyperlink r:id="rId3182" ref="X2755"/>
    <hyperlink r:id="rId3183" ref="Q2756"/>
    <hyperlink r:id="rId3184" ref="X2756"/>
    <hyperlink r:id="rId3185" ref="Q2757"/>
    <hyperlink r:id="rId3186" ref="X2757"/>
    <hyperlink r:id="rId3187" ref="Q2758"/>
    <hyperlink r:id="rId3188" ref="X2758"/>
    <hyperlink r:id="rId3189" ref="Q2759"/>
    <hyperlink r:id="rId3190" ref="X2759"/>
    <hyperlink r:id="rId3191" ref="Q2760"/>
    <hyperlink r:id="rId3192" ref="X2760"/>
    <hyperlink r:id="rId3193" ref="Q2761"/>
    <hyperlink r:id="rId3194" ref="X2761"/>
    <hyperlink r:id="rId3195" ref="Q2762"/>
    <hyperlink r:id="rId3196" ref="X2762"/>
    <hyperlink r:id="rId3197" ref="Q2763"/>
    <hyperlink r:id="rId3198" ref="X2763"/>
    <hyperlink r:id="rId3199" ref="Q2764"/>
    <hyperlink r:id="rId3200" ref="X2764"/>
    <hyperlink r:id="rId3201" ref="Q2765"/>
    <hyperlink r:id="rId3202" ref="X2765"/>
    <hyperlink r:id="rId3203" ref="Q2766"/>
    <hyperlink r:id="rId3204" ref="X2766"/>
    <hyperlink r:id="rId3205" ref="Q2767"/>
    <hyperlink r:id="rId3206" ref="X2767"/>
    <hyperlink r:id="rId3207" ref="Q2768"/>
    <hyperlink r:id="rId3208" ref="X2768"/>
    <hyperlink r:id="rId3209" ref="Q2769"/>
    <hyperlink r:id="rId3210" ref="X2769"/>
    <hyperlink r:id="rId3211" ref="Q2770"/>
    <hyperlink r:id="rId3212" ref="X2770"/>
    <hyperlink r:id="rId3213" ref="Q2771"/>
    <hyperlink r:id="rId3214" ref="X2771"/>
    <hyperlink r:id="rId3215" ref="Q2772"/>
    <hyperlink r:id="rId3216" ref="X2772"/>
    <hyperlink r:id="rId3217" ref="Q2773"/>
    <hyperlink r:id="rId3218" ref="X2773"/>
    <hyperlink r:id="rId3219" ref="Q2774"/>
    <hyperlink r:id="rId3220" ref="X2774"/>
    <hyperlink r:id="rId3221" ref="Q2775"/>
    <hyperlink r:id="rId3222" ref="X2775"/>
    <hyperlink r:id="rId3223" ref="Q2776"/>
    <hyperlink r:id="rId3224" ref="X2776"/>
    <hyperlink r:id="rId3225" ref="R2777"/>
    <hyperlink r:id="rId3226" ref="S2777"/>
    <hyperlink r:id="rId3227" ref="AW2778"/>
    <hyperlink r:id="rId3228" ref="AW2779"/>
    <hyperlink r:id="rId3229" ref="R2780"/>
    <hyperlink r:id="rId3230" ref="S2780"/>
    <hyperlink r:id="rId3231" ref="R2781"/>
    <hyperlink r:id="rId3232" ref="S2781"/>
    <hyperlink r:id="rId3233" ref="R2782"/>
    <hyperlink r:id="rId3234" ref="S2782"/>
    <hyperlink r:id="rId3235" ref="R2783"/>
    <hyperlink r:id="rId3236" ref="S2783"/>
    <hyperlink r:id="rId3237" ref="R2784"/>
    <hyperlink r:id="rId3238" ref="S2784"/>
    <hyperlink r:id="rId3239" ref="R2785"/>
    <hyperlink r:id="rId3240" ref="S2785"/>
    <hyperlink r:id="rId3241" ref="R2786"/>
    <hyperlink r:id="rId3242" ref="S2786"/>
    <hyperlink r:id="rId3243" ref="R2787"/>
    <hyperlink r:id="rId3244" ref="S2787"/>
    <hyperlink r:id="rId3245" ref="R2788"/>
    <hyperlink r:id="rId3246" ref="S2788"/>
    <hyperlink r:id="rId3247" ref="R2789"/>
    <hyperlink r:id="rId3248" ref="S2789"/>
    <hyperlink r:id="rId3249" ref="N2875"/>
    <hyperlink r:id="rId3250" ref="S2875"/>
    <hyperlink r:id="rId3251" ref="T2875"/>
    <hyperlink r:id="rId3252" ref="AN2875"/>
    <hyperlink r:id="rId3253" ref="AO2875"/>
    <hyperlink r:id="rId3254" ref="AW2875"/>
    <hyperlink r:id="rId3255" ref="AX2875"/>
    <hyperlink r:id="rId3256" ref="N2876"/>
    <hyperlink r:id="rId3257" ref="S2876"/>
    <hyperlink r:id="rId3258" ref="N2877"/>
    <hyperlink r:id="rId3259" ref="S2877"/>
    <hyperlink r:id="rId3260" ref="N2878"/>
    <hyperlink r:id="rId3261" ref="S2878"/>
    <hyperlink r:id="rId3262" ref="AW2878"/>
    <hyperlink r:id="rId3263" ref="AX2878"/>
    <hyperlink r:id="rId3264" ref="N2879"/>
    <hyperlink r:id="rId3265" ref="S2879"/>
    <hyperlink r:id="rId3266" ref="N2880"/>
    <hyperlink r:id="rId3267" ref="T2880"/>
    <hyperlink r:id="rId3268" ref="AN2880"/>
    <hyperlink r:id="rId3269" ref="AO2880"/>
    <hyperlink r:id="rId3270" ref="N2881"/>
    <hyperlink r:id="rId3271" ref="S2881"/>
    <hyperlink r:id="rId3272" ref="AW2881"/>
    <hyperlink r:id="rId3273" ref="AX2881"/>
    <hyperlink r:id="rId3274" ref="N2882"/>
    <hyperlink r:id="rId3275" ref="S2882"/>
    <hyperlink r:id="rId3276" ref="N2883"/>
    <hyperlink r:id="rId3277" ref="S2883"/>
    <hyperlink r:id="rId3278" ref="N2884"/>
    <hyperlink r:id="rId3279" ref="S2884"/>
    <hyperlink r:id="rId3280" ref="N2885"/>
    <hyperlink r:id="rId3281" ref="S2885"/>
    <hyperlink r:id="rId3282" ref="AW2885"/>
    <hyperlink r:id="rId3283" ref="AX2885"/>
    <hyperlink r:id="rId3284" ref="N2886"/>
    <hyperlink r:id="rId3285" ref="S2886"/>
    <hyperlink r:id="rId3286" ref="AW2886"/>
    <hyperlink r:id="rId3287" ref="N2887"/>
    <hyperlink r:id="rId3288" ref="S2887"/>
    <hyperlink r:id="rId3289" ref="N2888"/>
    <hyperlink r:id="rId3290" ref="S2888"/>
    <hyperlink r:id="rId3291" ref="S2889"/>
    <hyperlink r:id="rId3292" ref="S2890"/>
    <hyperlink r:id="rId3293" ref="AW2890"/>
    <hyperlink r:id="rId3294" ref="S2891"/>
    <hyperlink r:id="rId3295" ref="AW2891"/>
    <hyperlink r:id="rId3296" ref="S2892"/>
    <hyperlink r:id="rId3297" ref="K2893"/>
    <hyperlink r:id="rId3298" ref="S2893"/>
    <hyperlink r:id="rId3299" ref="AW2909"/>
    <hyperlink r:id="rId3300" ref="AW2910"/>
    <hyperlink r:id="rId3301" ref="AW2911"/>
    <hyperlink r:id="rId3302" ref="AW2912"/>
    <hyperlink r:id="rId3303" ref="AW2913"/>
    <hyperlink r:id="rId3304" ref="R2927"/>
    <hyperlink r:id="rId3305" ref="T2927"/>
    <hyperlink r:id="rId3306" ref="AW2927"/>
    <hyperlink r:id="rId3307" ref="AW2928"/>
    <hyperlink r:id="rId3308" ref="AW2929"/>
    <hyperlink r:id="rId3309" ref="AW2930"/>
    <hyperlink r:id="rId3310" ref="AW2931"/>
    <hyperlink r:id="rId3311" ref="AW2932"/>
    <hyperlink r:id="rId3312" ref="AW2933"/>
    <hyperlink r:id="rId3313" ref="AW2934"/>
    <hyperlink r:id="rId3314" ref="AW2935"/>
    <hyperlink r:id="rId3315" ref="AW2936"/>
    <hyperlink r:id="rId3316" ref="AW2937"/>
    <hyperlink r:id="rId3317" ref="AW2938"/>
    <hyperlink r:id="rId3318" ref="AW2939"/>
    <hyperlink r:id="rId3319" ref="AW2940"/>
    <hyperlink r:id="rId3320" ref="AW2941"/>
    <hyperlink r:id="rId3321" ref="AW2942"/>
    <hyperlink r:id="rId3322" ref="AW2943"/>
    <hyperlink r:id="rId3323" ref="AW2944"/>
    <hyperlink r:id="rId3324" ref="AW2945"/>
    <hyperlink r:id="rId3325" ref="AW2946"/>
    <hyperlink r:id="rId3326" ref="AW2947"/>
    <hyperlink r:id="rId3327" ref="AW2948"/>
    <hyperlink r:id="rId3328" ref="AW2949"/>
    <hyperlink r:id="rId3329" ref="AW2950"/>
    <hyperlink r:id="rId3330" ref="AW2951"/>
    <hyperlink r:id="rId3331" ref="AW2952"/>
    <hyperlink r:id="rId3332" ref="AW2953"/>
    <hyperlink r:id="rId3333" ref="AW2954"/>
    <hyperlink r:id="rId3334" ref="AW2955"/>
    <hyperlink r:id="rId3335" ref="AW2956"/>
    <hyperlink r:id="rId3336" ref="AW2957"/>
    <hyperlink r:id="rId3337" ref="AW2958"/>
    <hyperlink r:id="rId3338" ref="AW2959"/>
    <hyperlink r:id="rId3339" ref="AW2960"/>
    <hyperlink r:id="rId3340" ref="AW2961"/>
    <hyperlink r:id="rId3341" ref="AW2962"/>
    <hyperlink r:id="rId3342" ref="AW2963"/>
    <hyperlink r:id="rId3343" ref="AW2964"/>
    <hyperlink r:id="rId3344" ref="S2965"/>
    <hyperlink r:id="rId3345" ref="AW2965"/>
    <hyperlink r:id="rId3346" ref="AW2966"/>
    <hyperlink r:id="rId3347" ref="S2967"/>
    <hyperlink r:id="rId3348" ref="AW2967"/>
    <hyperlink r:id="rId3349" ref="AW2969"/>
    <hyperlink r:id="rId3350" ref="AW2970"/>
    <hyperlink r:id="rId3351" ref="AW2971"/>
    <hyperlink r:id="rId3352" ref="S2973"/>
    <hyperlink r:id="rId3353" ref="T2973"/>
    <hyperlink r:id="rId3354" ref="R2974"/>
    <hyperlink r:id="rId3355" ref="T2974"/>
    <hyperlink r:id="rId3356" ref="AW2974"/>
    <hyperlink r:id="rId3357" ref="T2975"/>
    <hyperlink r:id="rId3358" ref="AW2975"/>
    <hyperlink r:id="rId3359" ref="R2976"/>
    <hyperlink r:id="rId3360" ref="T2976"/>
    <hyperlink r:id="rId3361" ref="AW2976"/>
    <hyperlink r:id="rId3362" ref="S2977"/>
    <hyperlink r:id="rId3363" ref="T2977"/>
    <hyperlink r:id="rId3364" ref="AW2977"/>
    <hyperlink r:id="rId3365" ref="S2978"/>
    <hyperlink r:id="rId3366" ref="T2978"/>
    <hyperlink r:id="rId3367" ref="AW2978"/>
    <hyperlink r:id="rId3368" ref="S2979"/>
    <hyperlink r:id="rId3369" ref="T2979"/>
    <hyperlink r:id="rId3370" ref="AW2979"/>
    <hyperlink r:id="rId3371" ref="S2980"/>
    <hyperlink r:id="rId3372" ref="T2980"/>
    <hyperlink r:id="rId3373" ref="AW2980"/>
    <hyperlink r:id="rId3374" ref="T2981"/>
    <hyperlink r:id="rId3375" ref="X2981"/>
    <hyperlink r:id="rId3376" location="heading=h.9x21u9ixbezz" ref="AW2981"/>
    <hyperlink r:id="rId3377" ref="T2982"/>
    <hyperlink r:id="rId3378" ref="X2982"/>
    <hyperlink r:id="rId3379" location="heading=h.9x21u9ixbezz" ref="AW2982"/>
    <hyperlink r:id="rId3380" ref="T2983"/>
    <hyperlink r:id="rId3381" ref="X2983"/>
    <hyperlink r:id="rId3382" location="heading=h.9x21u9ixbezz" ref="AW2983"/>
    <hyperlink r:id="rId3383" ref="T2984"/>
    <hyperlink r:id="rId3384" ref="X2984"/>
    <hyperlink r:id="rId3385" location="heading=h.9x21u9ixbezz" ref="AW2984"/>
    <hyperlink r:id="rId3386" ref="T2985"/>
    <hyperlink r:id="rId3387" ref="X2985"/>
    <hyperlink r:id="rId3388" location="heading=h.9x21u9ixbezz" ref="AW2985"/>
    <hyperlink r:id="rId3389" ref="T2986"/>
    <hyperlink r:id="rId3390" ref="X2986"/>
    <hyperlink r:id="rId3391" location="heading=h.9x21u9ixbezz" ref="AW2986"/>
    <hyperlink r:id="rId3392" ref="T2987"/>
    <hyperlink r:id="rId3393" ref="X2987"/>
    <hyperlink r:id="rId3394" location="heading=h.9x21u9ixbezz" ref="AW2987"/>
    <hyperlink r:id="rId3395" ref="T2988"/>
    <hyperlink r:id="rId3396" ref="X2988"/>
    <hyperlink r:id="rId3397" location="heading=h.9x21u9ixbezz" ref="AW2988"/>
    <hyperlink r:id="rId3398" ref="T2989"/>
    <hyperlink r:id="rId3399" ref="X2989"/>
    <hyperlink r:id="rId3400" location="heading=h.9x21u9ixbezz" ref="AW2989"/>
    <hyperlink r:id="rId3401" ref="T2990"/>
    <hyperlink r:id="rId3402" ref="X2990"/>
    <hyperlink r:id="rId3403" location="heading=h.9x21u9ixbezz" ref="AW2990"/>
    <hyperlink r:id="rId3404" ref="T2991"/>
    <hyperlink r:id="rId3405" ref="X2991"/>
    <hyperlink r:id="rId3406" location="heading=h.9x21u9ixbezz" ref="AW2991"/>
    <hyperlink r:id="rId3407" ref="T2992"/>
    <hyperlink r:id="rId3408" ref="X2992"/>
    <hyperlink r:id="rId3409" location="heading=h.9x21u9ixbezz" ref="AW2992"/>
    <hyperlink r:id="rId3410" ref="T2993"/>
    <hyperlink r:id="rId3411" ref="S2995"/>
    <hyperlink r:id="rId3412" ref="T2995"/>
    <hyperlink r:id="rId3413" ref="T2996"/>
    <hyperlink r:id="rId3414" ref="N2998"/>
    <hyperlink r:id="rId3415" ref="S2998"/>
    <hyperlink r:id="rId3416" ref="AW2998"/>
    <hyperlink r:id="rId3417" ref="AW2999"/>
    <hyperlink r:id="rId3418" ref="AW3000"/>
    <hyperlink r:id="rId3419" ref="AW3001"/>
    <hyperlink r:id="rId3420" ref="AW3002"/>
    <hyperlink r:id="rId3421" ref="AW3003"/>
    <hyperlink r:id="rId3422" ref="AW3004"/>
    <hyperlink r:id="rId3423" ref="AW3005"/>
    <hyperlink r:id="rId3424" ref="AW3006"/>
    <hyperlink r:id="rId3425" ref="AW3007"/>
    <hyperlink r:id="rId3426" ref="AW3008"/>
    <hyperlink r:id="rId3427" ref="AW3009"/>
    <hyperlink r:id="rId3428" ref="AW3010"/>
    <hyperlink r:id="rId3429" ref="AW3011"/>
    <hyperlink r:id="rId3430" ref="AW3012"/>
    <hyperlink r:id="rId3431" ref="AW3013"/>
    <hyperlink r:id="rId3432" ref="AW3014"/>
    <hyperlink r:id="rId3433" ref="AW3015"/>
    <hyperlink r:id="rId3434" ref="AW3016"/>
    <hyperlink r:id="rId3435" ref="AW3017"/>
    <hyperlink r:id="rId3436" ref="AW3018"/>
    <hyperlink r:id="rId3437" ref="AW3019"/>
    <hyperlink r:id="rId3438" ref="AW3020"/>
    <hyperlink r:id="rId3439" ref="AW3021"/>
    <hyperlink r:id="rId3440" ref="AW3022"/>
    <hyperlink r:id="rId3441" ref="AW3023"/>
    <hyperlink r:id="rId3442" ref="AW3024"/>
    <hyperlink r:id="rId3443" ref="AW3025"/>
    <hyperlink r:id="rId3444" ref="AW3026"/>
    <hyperlink r:id="rId3445" ref="AW3027"/>
    <hyperlink r:id="rId3446" ref="AW3028"/>
    <hyperlink r:id="rId3447" ref="AW3029"/>
    <hyperlink r:id="rId3448" ref="AW3030"/>
    <hyperlink r:id="rId3449" ref="AW3031"/>
    <hyperlink r:id="rId3450" ref="AW3032"/>
    <hyperlink r:id="rId3451" ref="AW3033"/>
    <hyperlink r:id="rId3452" ref="AW3034"/>
    <hyperlink r:id="rId3453" ref="AW3035"/>
    <hyperlink r:id="rId3454" ref="AW3036"/>
    <hyperlink r:id="rId3455" ref="AW3037"/>
    <hyperlink r:id="rId3456" ref="AW3038"/>
    <hyperlink r:id="rId3457" ref="AW3039"/>
    <hyperlink r:id="rId3458" ref="AW3040"/>
    <hyperlink r:id="rId3459" ref="AW3041"/>
    <hyperlink r:id="rId3460" ref="AW3042"/>
    <hyperlink r:id="rId3461" ref="AW3043"/>
    <hyperlink r:id="rId3462" ref="AW3044"/>
    <hyperlink r:id="rId3463" ref="AW3045"/>
    <hyperlink r:id="rId3464" ref="AW3046"/>
    <hyperlink r:id="rId3465" ref="AW3047"/>
    <hyperlink r:id="rId3466" ref="AW3048"/>
    <hyperlink r:id="rId3467" ref="AW3049"/>
    <hyperlink r:id="rId3468" ref="AW3050"/>
    <hyperlink r:id="rId3469" ref="AW3051"/>
    <hyperlink r:id="rId3470" ref="AW3052"/>
    <hyperlink r:id="rId3471" ref="AW3053"/>
    <hyperlink r:id="rId3472" ref="AW3054"/>
    <hyperlink r:id="rId3473" ref="AW3055"/>
    <hyperlink r:id="rId3474" ref="AW3056"/>
    <hyperlink r:id="rId3475" ref="AW3057"/>
    <hyperlink r:id="rId3476" ref="AW3058"/>
    <hyperlink r:id="rId3477" ref="AW3059"/>
    <hyperlink r:id="rId3478" ref="AW3060"/>
    <hyperlink r:id="rId3479" ref="AW3061"/>
    <hyperlink r:id="rId3480" ref="AW3062"/>
    <hyperlink r:id="rId3481" ref="AW3063"/>
    <hyperlink r:id="rId3482" ref="AW3064"/>
    <hyperlink r:id="rId3483" ref="AW3065"/>
    <hyperlink r:id="rId3484" ref="AW3066"/>
    <hyperlink r:id="rId3485" ref="AW3067"/>
    <hyperlink r:id="rId3486" ref="AW3068"/>
    <hyperlink r:id="rId3487" ref="AW3069"/>
    <hyperlink r:id="rId3488" ref="AW3070"/>
    <hyperlink r:id="rId3489" ref="AW3071"/>
    <hyperlink r:id="rId3490" ref="AW3072"/>
    <hyperlink r:id="rId3491" ref="AW3074"/>
    <hyperlink r:id="rId3492" ref="AW3075"/>
    <hyperlink r:id="rId3493" ref="AW3076"/>
    <hyperlink r:id="rId3494" ref="AW3077"/>
    <hyperlink r:id="rId3495" ref="AW3078"/>
    <hyperlink r:id="rId3496" ref="AW3079"/>
    <hyperlink r:id="rId3497" ref="AW3080"/>
    <hyperlink r:id="rId3498" ref="AW3082"/>
    <hyperlink r:id="rId3499" ref="AW3083"/>
    <hyperlink r:id="rId3500" ref="AW3084"/>
    <hyperlink r:id="rId3501" ref="AW3085"/>
    <hyperlink r:id="rId3502" ref="AW3086"/>
    <hyperlink r:id="rId3503" ref="AW3087"/>
    <hyperlink r:id="rId3504" ref="AW3088"/>
    <hyperlink r:id="rId3505" ref="AW3089"/>
    <hyperlink r:id="rId3506" ref="AW3090"/>
    <hyperlink r:id="rId3507" ref="AW3091"/>
    <hyperlink r:id="rId3508" ref="AW3092"/>
    <hyperlink r:id="rId3509" ref="AW3093"/>
    <hyperlink r:id="rId3510" ref="AW3094"/>
    <hyperlink r:id="rId3511" ref="AW3095"/>
    <hyperlink r:id="rId3512" ref="AW3096"/>
    <hyperlink r:id="rId3513" ref="AW3097"/>
    <hyperlink r:id="rId3514" ref="AW3098"/>
    <hyperlink r:id="rId3515" ref="AW3099"/>
    <hyperlink r:id="rId3516" ref="AW3100"/>
    <hyperlink r:id="rId3517" ref="AW3101"/>
    <hyperlink r:id="rId3518" ref="AW3102"/>
    <hyperlink r:id="rId3519" ref="AW3103"/>
    <hyperlink r:id="rId3520" ref="AW3104"/>
    <hyperlink r:id="rId3521" ref="AW3105"/>
    <hyperlink r:id="rId3522" ref="AW3106"/>
    <hyperlink r:id="rId3523" ref="AW3107"/>
    <hyperlink r:id="rId3524" ref="AW3108"/>
    <hyperlink r:id="rId3525" ref="AW3109"/>
    <hyperlink r:id="rId3526" ref="AW3110"/>
    <hyperlink r:id="rId3527" ref="AW3111"/>
    <hyperlink r:id="rId3528" ref="AW3112"/>
    <hyperlink r:id="rId3529" ref="AW3113"/>
    <hyperlink r:id="rId3530" ref="AW3114"/>
    <hyperlink r:id="rId3531" ref="AW3115"/>
    <hyperlink r:id="rId3532" ref="AW3116"/>
    <hyperlink r:id="rId3533" ref="AW3117"/>
    <hyperlink r:id="rId3534" ref="AW3118"/>
    <hyperlink r:id="rId3535" ref="AW3119"/>
    <hyperlink r:id="rId3536" ref="AW3120"/>
    <hyperlink r:id="rId3537" ref="T3123"/>
    <hyperlink r:id="rId3538" ref="T3124"/>
    <hyperlink r:id="rId3539" ref="AW3124"/>
    <hyperlink r:id="rId3540" ref="T3127"/>
    <hyperlink r:id="rId3541" ref="T3129"/>
    <hyperlink r:id="rId3542" ref="T3130"/>
    <hyperlink r:id="rId3543" ref="T3131"/>
    <hyperlink r:id="rId3544" location=":~:text=d%20%3D%20.02%2C%20with%20a%2090%25%20confidence%20interval%20of%20%5B%2D.11%2C%20%2B.15%5D" ref="AR3131"/>
    <hyperlink r:id="rId3545" ref="AW3131"/>
    <hyperlink r:id="rId3546" ref="T3132"/>
    <hyperlink r:id="rId3547" ref="T3133"/>
    <hyperlink r:id="rId3548" location=":~:text=You%20really%20should,to%20study%20something" ref="AR3133"/>
    <hyperlink r:id="rId3549" ref="T3134"/>
    <hyperlink r:id="rId3550" location=":~:text=You%20really%20should,to%20study%20something" ref="AR3134"/>
    <hyperlink r:id="rId3551" ref="T3135"/>
    <hyperlink r:id="rId3552" location=":~:text=The%20effect%20size,d%20%3D%20%2D0.40" ref="AR3135"/>
    <hyperlink r:id="rId3553" ref="AW3135"/>
    <hyperlink r:id="rId3554" ref="AW3136"/>
    <hyperlink r:id="rId3555" ref="AW3137"/>
    <hyperlink r:id="rId3556" ref="K3138"/>
    <hyperlink r:id="rId3557" ref="AW3138"/>
    <hyperlink r:id="rId3558" ref="K3139"/>
    <hyperlink r:id="rId3559" ref="AW3139"/>
    <hyperlink r:id="rId3560" ref="AW3140"/>
    <hyperlink r:id="rId3561" ref="AW3141"/>
    <hyperlink r:id="rId3562" ref="K3142"/>
    <hyperlink r:id="rId3563" ref="AW3142"/>
    <hyperlink r:id="rId3564" ref="AW3143"/>
    <hyperlink r:id="rId3565" ref="AW3144"/>
    <hyperlink r:id="rId3566" ref="AW3145"/>
    <hyperlink r:id="rId3567" ref="K3146"/>
    <hyperlink r:id="rId3568" ref="AW3146"/>
    <hyperlink r:id="rId3569" ref="AW3147"/>
    <hyperlink r:id="rId3570" ref="AW3148"/>
    <hyperlink r:id="rId3571" ref="K3149"/>
    <hyperlink r:id="rId3572" ref="AW3149"/>
    <hyperlink r:id="rId3573" ref="K3150"/>
    <hyperlink r:id="rId3574" ref="AW3150"/>
    <hyperlink r:id="rId3575" ref="AW3151"/>
    <hyperlink r:id="rId3576" ref="K3152"/>
    <hyperlink r:id="rId3577" ref="AW3152"/>
    <hyperlink r:id="rId3578" ref="K3153"/>
    <hyperlink r:id="rId3579" ref="AW3153"/>
    <hyperlink r:id="rId3580" ref="K3154"/>
    <hyperlink r:id="rId3581" ref="AW3154"/>
    <hyperlink r:id="rId3582" ref="AW3155"/>
    <hyperlink r:id="rId3583" ref="K3156"/>
    <hyperlink r:id="rId3584" ref="AW3156"/>
    <hyperlink r:id="rId3585" ref="K3157"/>
    <hyperlink r:id="rId3586" ref="AW3157"/>
    <hyperlink r:id="rId3587" ref="K3158"/>
    <hyperlink r:id="rId3588" ref="AW3158"/>
    <hyperlink r:id="rId3589" ref="AW3159"/>
    <hyperlink r:id="rId3590" ref="AW3160"/>
    <hyperlink r:id="rId3591" ref="AW3161"/>
    <hyperlink r:id="rId3592" ref="AW3162"/>
    <hyperlink r:id="rId3593" ref="AW3163"/>
    <hyperlink r:id="rId3594" ref="AW3164"/>
    <hyperlink r:id="rId3595" ref="AW3165"/>
    <hyperlink r:id="rId3596" ref="AW3166"/>
    <hyperlink r:id="rId3597" ref="AW3167"/>
    <hyperlink r:id="rId3598" ref="AW3168"/>
    <hyperlink r:id="rId3599" ref="AW3169"/>
    <hyperlink r:id="rId3600" ref="AW3170"/>
    <hyperlink r:id="rId3601" ref="AW3171"/>
    <hyperlink r:id="rId3602" ref="AW3172"/>
    <hyperlink r:id="rId3603" ref="AW3173"/>
    <hyperlink r:id="rId3604" ref="AW3174"/>
    <hyperlink r:id="rId3605" ref="S3175"/>
    <hyperlink r:id="rId3606" ref="AW3175"/>
    <hyperlink r:id="rId3607" ref="S3176"/>
    <hyperlink r:id="rId3608" ref="AW3176"/>
    <hyperlink r:id="rId3609" ref="S3177"/>
    <hyperlink r:id="rId3610" ref="AW3177"/>
    <hyperlink r:id="rId3611" ref="S3178"/>
    <hyperlink r:id="rId3612" ref="AW3178"/>
    <hyperlink r:id="rId3613" ref="S3179"/>
    <hyperlink r:id="rId3614" ref="AW3179"/>
    <hyperlink r:id="rId3615" ref="S3180"/>
    <hyperlink r:id="rId3616" ref="AW3180"/>
    <hyperlink r:id="rId3617" ref="S3181"/>
    <hyperlink r:id="rId3618" ref="AW3181"/>
    <hyperlink r:id="rId3619" ref="S3182"/>
    <hyperlink r:id="rId3620" ref="AW3182"/>
    <hyperlink r:id="rId3621" ref="S3183"/>
    <hyperlink r:id="rId3622" ref="T3183"/>
    <hyperlink r:id="rId3623" ref="AW3183"/>
    <hyperlink r:id="rId3624" ref="S3184"/>
    <hyperlink r:id="rId3625" ref="T3184"/>
    <hyperlink r:id="rId3626" ref="AW3184"/>
    <hyperlink r:id="rId3627" ref="N3201"/>
    <hyperlink r:id="rId3628" ref="S3201"/>
    <hyperlink r:id="rId3629" ref="AW3201"/>
    <hyperlink r:id="rId3630" ref="AW3202"/>
    <hyperlink r:id="rId3631" ref="AW3203"/>
    <hyperlink r:id="rId3632" ref="AW3204"/>
    <hyperlink r:id="rId3633" ref="AW3205"/>
    <hyperlink r:id="rId3634" ref="AW3206"/>
    <hyperlink r:id="rId3635" ref="AW3207"/>
    <hyperlink r:id="rId3636" ref="AW3208"/>
    <hyperlink r:id="rId3637" ref="AW3209"/>
    <hyperlink r:id="rId3638" ref="AW3210"/>
    <hyperlink r:id="rId3639" ref="AW3211"/>
    <hyperlink r:id="rId3640" ref="AW3212"/>
    <hyperlink r:id="rId3641" ref="AW3213"/>
    <hyperlink r:id="rId3642" ref="AN3214"/>
    <hyperlink r:id="rId3643" ref="AW3214"/>
    <hyperlink r:id="rId3644" ref="AN3215"/>
    <hyperlink r:id="rId3645" ref="AW3215"/>
    <hyperlink r:id="rId3646" ref="AW3216"/>
    <hyperlink r:id="rId3647" ref="AN3217"/>
    <hyperlink r:id="rId3648" ref="AW3217"/>
    <hyperlink r:id="rId3649" ref="AN3219"/>
    <hyperlink r:id="rId3650" ref="AW3219"/>
    <hyperlink r:id="rId3651" location=":~:text=Section%204-,Results%20from%20the%20two%2Dway%20ANOVA%20did%20not%20substantially%20differ%20from,2%20and%20Supplemental%20material%201b%20for%20detailed%20results%20and%20error%20results).,-Download%3A%20Download" ref="AR3220"/>
    <hyperlink r:id="rId3652" ref="AW3220"/>
    <hyperlink r:id="rId3653" ref="AW3221"/>
    <hyperlink r:id="rId3654" ref="AW3222"/>
    <hyperlink r:id="rId3655" ref="N3223"/>
    <hyperlink r:id="rId3656" ref="AW3223"/>
    <hyperlink r:id="rId3657" ref="N3224"/>
    <hyperlink r:id="rId3658" ref="AW3224"/>
    <hyperlink r:id="rId3659" ref="N3225"/>
    <hyperlink r:id="rId3660" ref="AW3225"/>
    <hyperlink r:id="rId3661" ref="N3226"/>
    <hyperlink r:id="rId3662" ref="AW3226"/>
    <hyperlink r:id="rId3663" ref="N3227"/>
    <hyperlink r:id="rId3664" ref="S3227"/>
    <hyperlink r:id="rId3665" ref="AW3230"/>
    <hyperlink r:id="rId3666" ref="AW3231"/>
    <hyperlink r:id="rId3667" ref="AW3234"/>
    <hyperlink r:id="rId3668" ref="AW3235"/>
  </hyperlinks>
  <drawing r:id="rId3669"/>
  <legacyDrawing r:id="rId36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0.38"/>
  </cols>
  <sheetData>
    <row r="1">
      <c r="A1" s="64" t="s">
        <v>33</v>
      </c>
      <c r="B1" s="64" t="s">
        <v>19021</v>
      </c>
      <c r="C1" s="64" t="s">
        <v>19022</v>
      </c>
    </row>
    <row r="2">
      <c r="A2" s="64" t="s">
        <v>68</v>
      </c>
      <c r="B2" s="64">
        <v>1.0</v>
      </c>
      <c r="C2" s="64">
        <v>1.0</v>
      </c>
    </row>
    <row r="3">
      <c r="A3" s="64" t="s">
        <v>278</v>
      </c>
      <c r="B3" s="64">
        <v>124.0</v>
      </c>
      <c r="C3" s="64">
        <v>39.0</v>
      </c>
    </row>
    <row r="4">
      <c r="A4" s="64" t="s">
        <v>516</v>
      </c>
      <c r="B4" s="64">
        <v>210.0</v>
      </c>
      <c r="C4" s="64">
        <v>38.0</v>
      </c>
    </row>
    <row r="5">
      <c r="A5" s="64" t="s">
        <v>583</v>
      </c>
      <c r="B5" s="64">
        <v>150.0</v>
      </c>
      <c r="C5" s="64">
        <v>61.0</v>
      </c>
    </row>
    <row r="6">
      <c r="A6" s="64" t="s">
        <v>7925</v>
      </c>
      <c r="B6" s="64">
        <v>1.0</v>
      </c>
      <c r="C6" s="64">
        <v>1.0</v>
      </c>
    </row>
    <row r="7">
      <c r="A7" s="64" t="s">
        <v>145</v>
      </c>
      <c r="B7" s="64">
        <v>932.0</v>
      </c>
      <c r="C7" s="64">
        <v>419.0</v>
      </c>
    </row>
    <row r="8">
      <c r="A8" s="64" t="s">
        <v>4516</v>
      </c>
      <c r="B8" s="64">
        <v>67.0</v>
      </c>
      <c r="C8" s="64">
        <v>21.0</v>
      </c>
    </row>
    <row r="9">
      <c r="A9" s="64" t="s">
        <v>107</v>
      </c>
      <c r="B9" s="64">
        <v>891.0</v>
      </c>
      <c r="C9" s="64">
        <v>483.0</v>
      </c>
    </row>
    <row r="10">
      <c r="A10" s="64" t="s">
        <v>2006</v>
      </c>
      <c r="B10" s="64">
        <v>19.0</v>
      </c>
      <c r="C10" s="64">
        <v>16.0</v>
      </c>
    </row>
    <row r="11">
      <c r="A11" s="64" t="s">
        <v>19023</v>
      </c>
      <c r="B11" s="64">
        <v>2395.0</v>
      </c>
      <c r="C11" s="64">
        <v>572.0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2.75"/>
    <col customWidth="1" min="3" max="3" width="16.13"/>
  </cols>
  <sheetData>
    <row r="1">
      <c r="B1" s="2422" t="s">
        <v>19024</v>
      </c>
    </row>
    <row r="2">
      <c r="B2" s="2423" t="s">
        <v>19025</v>
      </c>
    </row>
    <row r="4">
      <c r="A4" s="243"/>
      <c r="B4" s="2424" t="s">
        <v>19026</v>
      </c>
      <c r="C4" s="243"/>
      <c r="D4" s="243"/>
      <c r="E4" s="243"/>
      <c r="F4" s="243"/>
      <c r="G4" s="243"/>
    </row>
    <row r="5">
      <c r="B5" s="59" t="s">
        <v>19027</v>
      </c>
      <c r="C5" s="1060">
        <v>0.96</v>
      </c>
    </row>
    <row r="6">
      <c r="B6" s="59" t="s">
        <v>19028</v>
      </c>
      <c r="C6" s="1060">
        <v>1.25</v>
      </c>
      <c r="D6" s="1060"/>
    </row>
    <row r="7">
      <c r="B7" s="59" t="s">
        <v>19029</v>
      </c>
      <c r="C7" s="1060">
        <v>631.0</v>
      </c>
      <c r="D7" s="1808" t="s">
        <v>19030</v>
      </c>
    </row>
    <row r="8">
      <c r="H8" s="59" t="s">
        <v>19031</v>
      </c>
    </row>
    <row r="9">
      <c r="B9" s="59" t="s">
        <v>19032</v>
      </c>
      <c r="C9" s="1060">
        <v>0.67</v>
      </c>
    </row>
    <row r="10">
      <c r="B10" s="59" t="s">
        <v>19033</v>
      </c>
      <c r="C10" s="1060">
        <v>0.79</v>
      </c>
      <c r="D10" s="1060"/>
    </row>
    <row r="11">
      <c r="B11" s="59" t="s">
        <v>19034</v>
      </c>
      <c r="C11" s="1060">
        <v>631.0</v>
      </c>
    </row>
    <row r="14">
      <c r="B14" s="59" t="s">
        <v>19035</v>
      </c>
      <c r="C14" s="2425" t="str">
        <f>IF(ISBLANK(C7), 
   "=(" &amp; C9 &amp; "-" &amp; C5 &amp; ")/SQRT((" &amp; C10 &amp; "^2+" &amp; C6 &amp; "^2)/2)", 
   "=(" &amp; C9 &amp; "-" &amp; C5 &amp; ")/SQRT(((" &amp; C7 &amp; "-1)*" &amp; C10 &amp; "^2+(" &amp; C11 &amp; "-1)*" &amp; C6 &amp; "^2)/(" &amp; C7 &amp; "+" &amp; C11 &amp; "-2)))"
)
</f>
        <v>=(0.67-0.96)/SQRT(((631-1)*0.79^2+(631-1)*1.25^2)/(631+631-2)))</v>
      </c>
    </row>
    <row r="15">
      <c r="B15" s="59" t="s">
        <v>19036</v>
      </c>
      <c r="C15" s="2426">
        <f>IF(ISBLANK(C7), 
   (C9-C5)/sqrt((C10^2+C6^2)/2), 
   (C9-C5)/SQRT(((C7-1)*C10^2+(C11-1)*C6^2)/(C7+C11-2))
)</f>
        <v>-0.2773500981</v>
      </c>
    </row>
    <row r="16">
      <c r="B16" s="2427"/>
    </row>
    <row r="17">
      <c r="A17" s="243"/>
      <c r="B17" s="2424" t="s">
        <v>19037</v>
      </c>
      <c r="C17" s="243"/>
      <c r="D17" s="243"/>
      <c r="E17" s="243"/>
      <c r="F17" s="243"/>
      <c r="G17" s="243"/>
    </row>
    <row r="18">
      <c r="C18" s="59"/>
      <c r="D18" s="59"/>
    </row>
    <row r="19">
      <c r="B19" s="2428" t="s">
        <v>19038</v>
      </c>
      <c r="C19" s="535"/>
      <c r="D19" s="535"/>
      <c r="E19" s="536"/>
      <c r="F19" s="536"/>
      <c r="G19" s="536"/>
    </row>
    <row r="20">
      <c r="C20" s="59"/>
      <c r="D20" s="59"/>
    </row>
    <row r="21">
      <c r="C21" s="2429" t="s">
        <v>19039</v>
      </c>
      <c r="D21" s="2429" t="s">
        <v>19040</v>
      </c>
    </row>
    <row r="22">
      <c r="B22" s="59" t="s">
        <v>19041</v>
      </c>
      <c r="C22" s="1060">
        <v>6.25</v>
      </c>
      <c r="D22" s="1060">
        <f t="shared" ref="D22:D23" si="1">100-6.25</f>
        <v>93.75</v>
      </c>
    </row>
    <row r="23">
      <c r="B23" s="59" t="s">
        <v>19042</v>
      </c>
      <c r="C23" s="1060">
        <v>6.25</v>
      </c>
      <c r="D23" s="1060">
        <f t="shared" si="1"/>
        <v>93.75</v>
      </c>
    </row>
    <row r="25">
      <c r="B25" s="59" t="s">
        <v>19043</v>
      </c>
      <c r="C25" s="2425" t="str">
        <f> "=(" &amp; C22 &amp; "/" &amp; D22 &amp; ")/(" &amp; C23 &amp; "/" &amp; D23 &amp; ")"
</f>
        <v>=(6.25/93.75)/(6.25/93.75)</v>
      </c>
    </row>
    <row r="26">
      <c r="B26" s="59" t="s">
        <v>19044</v>
      </c>
      <c r="C26" s="2426">
        <f>(C22/D22)/(C23/D23)</f>
        <v>1</v>
      </c>
    </row>
    <row r="28">
      <c r="B28" s="2428" t="s">
        <v>19045</v>
      </c>
      <c r="C28" s="536"/>
      <c r="D28" s="536"/>
      <c r="E28" s="536"/>
      <c r="F28" s="536"/>
      <c r="G28" s="536"/>
    </row>
    <row r="30">
      <c r="B30" s="59" t="s">
        <v>19041</v>
      </c>
      <c r="C30" s="2430">
        <v>0.18</v>
      </c>
    </row>
    <row r="31">
      <c r="B31" s="59" t="s">
        <v>19042</v>
      </c>
      <c r="C31" s="2430">
        <v>0.82</v>
      </c>
    </row>
    <row r="33">
      <c r="B33" s="59" t="s">
        <v>19043</v>
      </c>
      <c r="C33" s="2425" t="str">
        <f> "=(" &amp; C30 &amp; "/(1-" &amp; C30 &amp; "))/(" &amp; C31 &amp; "/(1-" &amp; C31 &amp; "))"
</f>
        <v>=(0.18/(1-0.18))/(0.82/(1-0.82))</v>
      </c>
      <c r="K33" s="2431"/>
    </row>
    <row r="34">
      <c r="B34" s="59" t="s">
        <v>19044</v>
      </c>
      <c r="C34" s="2426">
        <f>(C30/(1-C30))/(C31/(1-C31))</f>
        <v>0.04818560381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427" t="s">
        <v>19046</v>
      </c>
      <c r="C1" s="2427" t="s">
        <v>19047</v>
      </c>
      <c r="E1" s="2427" t="s">
        <v>19048</v>
      </c>
      <c r="G1" s="2427" t="s">
        <v>19049</v>
      </c>
      <c r="J1" s="2427" t="s">
        <v>19050</v>
      </c>
      <c r="M1" s="2427" t="s">
        <v>33</v>
      </c>
      <c r="O1" s="2427" t="s">
        <v>34</v>
      </c>
      <c r="Q1" s="2432" t="s">
        <v>19051</v>
      </c>
    </row>
    <row r="2">
      <c r="A2" s="59" t="s">
        <v>980</v>
      </c>
      <c r="C2" s="59" t="s">
        <v>165</v>
      </c>
      <c r="E2" s="59" t="s">
        <v>211</v>
      </c>
      <c r="G2" s="59" t="s">
        <v>141</v>
      </c>
      <c r="J2" s="59" t="s">
        <v>134</v>
      </c>
      <c r="M2" s="335" t="s">
        <v>278</v>
      </c>
      <c r="O2" s="59" t="s">
        <v>19052</v>
      </c>
      <c r="Q2" s="156" t="s">
        <v>431</v>
      </c>
    </row>
    <row r="3">
      <c r="A3" s="59" t="s">
        <v>354</v>
      </c>
      <c r="C3" s="59" t="s">
        <v>128</v>
      </c>
      <c r="E3" s="59" t="s">
        <v>129</v>
      </c>
      <c r="G3" s="59" t="s">
        <v>579</v>
      </c>
      <c r="J3" s="59" t="s">
        <v>130</v>
      </c>
      <c r="M3" s="335" t="s">
        <v>583</v>
      </c>
      <c r="O3" s="59" t="s">
        <v>108</v>
      </c>
      <c r="Q3" s="156" t="s">
        <v>136</v>
      </c>
    </row>
    <row r="4">
      <c r="A4" s="59" t="s">
        <v>2798</v>
      </c>
      <c r="C4" s="59" t="s">
        <v>328</v>
      </c>
      <c r="E4" s="59" t="s">
        <v>179</v>
      </c>
      <c r="G4" s="59" t="s">
        <v>1593</v>
      </c>
      <c r="J4" s="59" t="s">
        <v>1898</v>
      </c>
      <c r="M4" s="126" t="s">
        <v>145</v>
      </c>
      <c r="O4" s="59" t="s">
        <v>19053</v>
      </c>
      <c r="Q4" s="156" t="s">
        <v>144</v>
      </c>
    </row>
    <row r="5">
      <c r="A5" s="59" t="s">
        <v>1249</v>
      </c>
      <c r="C5" s="59" t="s">
        <v>2242</v>
      </c>
      <c r="G5" s="59" t="s">
        <v>1072</v>
      </c>
      <c r="M5" s="126" t="s">
        <v>4516</v>
      </c>
      <c r="Q5" s="59" t="s">
        <v>567</v>
      </c>
    </row>
    <row r="6">
      <c r="A6" s="59" t="s">
        <v>166</v>
      </c>
      <c r="C6" s="59" t="s">
        <v>18430</v>
      </c>
      <c r="G6" s="59" t="s">
        <v>1802</v>
      </c>
      <c r="M6" s="65" t="s">
        <v>107</v>
      </c>
    </row>
    <row r="7">
      <c r="A7" s="64" t="s">
        <v>132</v>
      </c>
      <c r="C7" s="59" t="s">
        <v>131</v>
      </c>
      <c r="G7" s="59" t="s">
        <v>234</v>
      </c>
      <c r="M7" s="59" t="s">
        <v>2006</v>
      </c>
    </row>
    <row r="8">
      <c r="A8" s="59" t="s">
        <v>3556</v>
      </c>
      <c r="G8" s="59" t="s">
        <v>2933</v>
      </c>
      <c r="M8" s="59" t="s">
        <v>7925</v>
      </c>
    </row>
    <row r="9">
      <c r="A9" s="64" t="s">
        <v>595</v>
      </c>
      <c r="G9" s="59" t="s">
        <v>158</v>
      </c>
      <c r="M9" s="59" t="s">
        <v>516</v>
      </c>
    </row>
    <row r="10">
      <c r="A10" s="59" t="s">
        <v>715</v>
      </c>
      <c r="G10" s="59" t="s">
        <v>203</v>
      </c>
    </row>
    <row r="11">
      <c r="A11" s="59" t="s">
        <v>208</v>
      </c>
      <c r="G11" s="59" t="s">
        <v>288</v>
      </c>
    </row>
    <row r="12">
      <c r="A12" s="59" t="s">
        <v>2612</v>
      </c>
      <c r="G12" s="59" t="s">
        <v>1672</v>
      </c>
    </row>
    <row r="13">
      <c r="A13" s="59" t="s">
        <v>127</v>
      </c>
      <c r="G13" s="59" t="s">
        <v>2072</v>
      </c>
    </row>
    <row r="14">
      <c r="A14" s="59" t="s">
        <v>264</v>
      </c>
      <c r="G14" s="59" t="s">
        <v>496</v>
      </c>
    </row>
    <row r="15">
      <c r="A15" s="59" t="s">
        <v>867</v>
      </c>
      <c r="G15" s="59" t="s">
        <v>831</v>
      </c>
    </row>
    <row r="16">
      <c r="A16" s="59" t="s">
        <v>322</v>
      </c>
      <c r="G16" s="59" t="s">
        <v>1569</v>
      </c>
    </row>
    <row r="17">
      <c r="G17" s="59" t="s">
        <v>2038</v>
      </c>
    </row>
    <row r="18">
      <c r="G18" s="59" t="s">
        <v>121</v>
      </c>
    </row>
    <row r="19">
      <c r="G19" s="59" t="s">
        <v>219</v>
      </c>
    </row>
    <row r="20">
      <c r="G20" s="59" t="s">
        <v>1004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13"/>
    <col customWidth="1" min="2" max="2" width="37.75"/>
  </cols>
  <sheetData>
    <row r="1">
      <c r="A1" s="2433" t="str">
        <f>IFERROR(__xludf.DUMMYFUNCTION("IMPORTRANGE(""https://docs.google.com/spreadsheets/d/1x68oW2H_Xrdv44fIeycl4fegsmQgCa60GxeZZ_hAR90/edit?gid=1787592819#gid=1787592819"", ""'File links'!A:D"")"),"DOI")</f>
        <v>DOI</v>
      </c>
      <c r="B1" s="2433" t="str">
        <f>IFERROR(__xludf.DUMMYFUNCTION("""COMPUTED_VALUE"""),"URL")</f>
        <v>URL</v>
      </c>
      <c r="C1" s="156"/>
      <c r="D1" s="156"/>
      <c r="E1" s="2434"/>
    </row>
    <row r="2">
      <c r="A2" s="156" t="str">
        <f>IFERROR(__xludf.DUMMYFUNCTION("""COMPUTED_VALUE"""),"10.17705/1atrr.00047")</f>
        <v>10.17705/1atrr.00047</v>
      </c>
      <c r="B2" s="442" t="str">
        <f>IFERROR(__xludf.DUMMYFUNCTION("""COMPUTED_VALUE"""),"https://drive.google.com/file/d/1Y1H6PG4OrpSbuYF3C1qofQDrfY3s9t9C/view?usp=drivesdk")</f>
        <v>https://drive.google.com/file/d/1Y1H6PG4OrpSbuYF3C1qofQDrfY3s9t9C/view?usp=drivesdk</v>
      </c>
      <c r="C2" s="336" t="str">
        <f>IFERROR(__xludf.DUMMYFUNCTION("""COMPUTED_VALUE"""),"10.17705--1atrr.00047.pdf")</f>
        <v>10.17705--1atrr.00047.pdf</v>
      </c>
      <c r="D2" s="336" t="str">
        <f>IFERROR(__xludf.DUMMYFUNCTION("""COMPUTED_VALUE"""),"application/pdf")</f>
        <v>application/pdf</v>
      </c>
    </row>
    <row r="3">
      <c r="A3" s="156" t="str">
        <f>IFERROR(__xludf.DUMMYFUNCTION("""COMPUTED_VALUE"""),"10.1037/0022-3514.77.4.785")</f>
        <v>10.1037/0022-3514.77.4.785</v>
      </c>
      <c r="B3" s="442" t="str">
        <f>IFERROR(__xludf.DUMMYFUNCTION("""COMPUTED_VALUE"""),"https://drive.google.com/file/d/19BYjzsMkYCiipD-HEqq4sHumZDCTO5SQ/view?usp=drivesdk")</f>
        <v>https://drive.google.com/file/d/19BYjzsMkYCiipD-HEqq4sHumZDCTO5SQ/view?usp=drivesdk</v>
      </c>
      <c r="C3" s="336" t="str">
        <f>IFERROR(__xludf.DUMMYFUNCTION("""COMPUTED_VALUE"""),"10.1037--0022-3514.77.4.785.pdf")</f>
        <v>10.1037--0022-3514.77.4.785.pdf</v>
      </c>
      <c r="D3" s="336" t="str">
        <f>IFERROR(__xludf.DUMMYFUNCTION("""COMPUTED_VALUE"""),"application/pdf")</f>
        <v>application/pdf</v>
      </c>
    </row>
    <row r="4">
      <c r="A4" s="156" t="str">
        <f>IFERROR(__xludf.DUMMYFUNCTION("""COMPUTED_VALUE"""),"10.1073/pnas.1523586113")</f>
        <v>10.1073/pnas.1523586113</v>
      </c>
      <c r="B4" s="442" t="str">
        <f>IFERROR(__xludf.DUMMYFUNCTION("""COMPUTED_VALUE"""),"https://drive.google.com/file/d/17CimGUvhLJDkg1bbuFUCRcNLQJR1151z/view?usp=drivesdk")</f>
        <v>https://drive.google.com/file/d/17CimGUvhLJDkg1bbuFUCRcNLQJR1151z/view?usp=drivesdk</v>
      </c>
      <c r="C4" s="336" t="str">
        <f>IFERROR(__xludf.DUMMYFUNCTION("""COMPUTED_VALUE"""),"10.1073--pnas.1523586113.pdf")</f>
        <v>10.1073--pnas.1523586113.pdf</v>
      </c>
      <c r="D4" s="336" t="str">
        <f>IFERROR(__xludf.DUMMYFUNCTION("""COMPUTED_VALUE"""),"application/pdf")</f>
        <v>application/pdf</v>
      </c>
    </row>
    <row r="5">
      <c r="A5" s="156" t="str">
        <f>IFERROR(__xludf.DUMMYFUNCTION("""COMPUTED_VALUE"""),"10.1086/661890")</f>
        <v>10.1086/661890</v>
      </c>
      <c r="B5" s="442" t="str">
        <f>IFERROR(__xludf.DUMMYFUNCTION("""COMPUTED_VALUE"""),"https://drive.google.com/file/d/1fcLB4lAMMhIYG5_xSfIxQZGpuZJ18Sdr/view?usp=drivesdk")</f>
        <v>https://drive.google.com/file/d/1fcLB4lAMMhIYG5_xSfIxQZGpuZJ18Sdr/view?usp=drivesdk</v>
      </c>
      <c r="C5" s="336" t="str">
        <f>IFERROR(__xludf.DUMMYFUNCTION("""COMPUTED_VALUE"""),"10.1086--661890.pdf")</f>
        <v>10.1086--661890.pdf</v>
      </c>
      <c r="D5" s="336" t="str">
        <f>IFERROR(__xludf.DUMMYFUNCTION("""COMPUTED_VALUE"""),"application/pdf")</f>
        <v>application/pdf</v>
      </c>
    </row>
    <row r="6">
      <c r="A6" s="156" t="str">
        <f>IFERROR(__xludf.DUMMYFUNCTION("""COMPUTED_VALUE"""),"10.1038/nature03701")</f>
        <v>10.1038/nature03701</v>
      </c>
      <c r="B6" s="442" t="str">
        <f>IFERROR(__xludf.DUMMYFUNCTION("""COMPUTED_VALUE"""),"https://drive.google.com/file/d/1nYYa0gLLgCvS_g2hsEjrlxwNp7S-dCCR/view?usp=drivesdk")</f>
        <v>https://drive.google.com/file/d/1nYYa0gLLgCvS_g2hsEjrlxwNp7S-dCCR/view?usp=drivesdk</v>
      </c>
      <c r="C6" s="336" t="str">
        <f>IFERROR(__xludf.DUMMYFUNCTION("""COMPUTED_VALUE"""),"10.1038--nature03701.pdf")</f>
        <v>10.1038--nature03701.pdf</v>
      </c>
      <c r="D6" s="336" t="str">
        <f>IFERROR(__xludf.DUMMYFUNCTION("""COMPUTED_VALUE"""),"application/pdf")</f>
        <v>application/pdf</v>
      </c>
    </row>
    <row r="7">
      <c r="A7" s="156" t="str">
        <f>IFERROR(__xludf.DUMMYFUNCTION("""COMPUTED_VALUE"""),"10.1016/j.bodyim.2012.05.004")</f>
        <v>10.1016/j.bodyim.2012.05.004</v>
      </c>
      <c r="B7" s="442" t="str">
        <f>IFERROR(__xludf.DUMMYFUNCTION("""COMPUTED_VALUE"""),"https://drive.google.com/file/d/1a2ZFACxecXhPcNg3kD_X6MTEHKfKYaHV/view?usp=drivesdk")</f>
        <v>https://drive.google.com/file/d/1a2ZFACxecXhPcNg3kD_X6MTEHKfKYaHV/view?usp=drivesdk</v>
      </c>
      <c r="C7" s="336" t="str">
        <f>IFERROR(__xludf.DUMMYFUNCTION("""COMPUTED_VALUE"""),"10.1016--j.bodyim.2012.05.004.pdf")</f>
        <v>10.1016--j.bodyim.2012.05.004.pdf</v>
      </c>
      <c r="D7" s="336" t="str">
        <f>IFERROR(__xludf.DUMMYFUNCTION("""COMPUTED_VALUE"""),"application/pdf")</f>
        <v>application/pdf</v>
      </c>
    </row>
    <row r="8">
      <c r="A8" s="156" t="str">
        <f>IFERROR(__xludf.DUMMYFUNCTION("""COMPUTED_VALUE"""),"10.1371/journal.pone.0137000")</f>
        <v>10.1371/journal.pone.0137000</v>
      </c>
      <c r="B8" s="442" t="str">
        <f>IFERROR(__xludf.DUMMYFUNCTION("""COMPUTED_VALUE"""),"https://drive.google.com/file/d/1IrVsmf4IOT-xeJS2Ek22hrWc6J-o834t/view?usp=drivesdk")</f>
        <v>https://drive.google.com/file/d/1IrVsmf4IOT-xeJS2Ek22hrWc6J-o834t/view?usp=drivesdk</v>
      </c>
      <c r="C8" s="336" t="str">
        <f>IFERROR(__xludf.DUMMYFUNCTION("""COMPUTED_VALUE"""),"10.1371--journal.pone.0137000.pdf")</f>
        <v>10.1371--journal.pone.0137000.pdf</v>
      </c>
      <c r="D8" s="336" t="str">
        <f>IFERROR(__xludf.DUMMYFUNCTION("""COMPUTED_VALUE"""),"application/pdf")</f>
        <v>application/pdf</v>
      </c>
    </row>
    <row r="9">
      <c r="A9" s="156" t="str">
        <f>IFERROR(__xludf.DUMMYFUNCTION("""COMPUTED_VALUE"""),"10.1177/0956797612458804")</f>
        <v>10.1177/0956797612458804</v>
      </c>
      <c r="B9" s="442" t="str">
        <f>IFERROR(__xludf.DUMMYFUNCTION("""COMPUTED_VALUE"""),"https://drive.google.com/file/d/1Jd9MsnQd6R5R3K3dP58TuRQ5p0v1jFBb/view?usp=drivesdk")</f>
        <v>https://drive.google.com/file/d/1Jd9MsnQd6R5R3K3dP58TuRQ5p0v1jFBb/view?usp=drivesdk</v>
      </c>
      <c r="C9" s="336" t="str">
        <f>IFERROR(__xludf.DUMMYFUNCTION("""COMPUTED_VALUE"""),"10.1177--0956797612458804.pdf")</f>
        <v>10.1177--0956797612458804.pdf</v>
      </c>
      <c r="D9" s="336" t="str">
        <f>IFERROR(__xludf.DUMMYFUNCTION("""COMPUTED_VALUE"""),"application/pdf")</f>
        <v>application/pdf</v>
      </c>
    </row>
    <row r="10">
      <c r="A10" s="156" t="str">
        <f>IFERROR(__xludf.DUMMYFUNCTION("""COMPUTED_VALUE"""),"10.3928/0048-5713-19951201-07")</f>
        <v>10.3928/0048-5713-19951201-07</v>
      </c>
      <c r="B10" s="442" t="str">
        <f>IFERROR(__xludf.DUMMYFUNCTION("""COMPUTED_VALUE"""),"https://drive.google.com/file/d/15ZZ9b0Pz3TA5Fk8pU9NM9W5STlvE7q_w/view?usp=drivesdk")</f>
        <v>https://drive.google.com/file/d/15ZZ9b0Pz3TA5Fk8pU9NM9W5STlvE7q_w/view?usp=drivesdk</v>
      </c>
      <c r="C10" s="336" t="str">
        <f>IFERROR(__xludf.DUMMYFUNCTION("""COMPUTED_VALUE"""),"10.3928--0048-5713-19951201-07.pdf")</f>
        <v>10.3928--0048-5713-19951201-07.pdf</v>
      </c>
      <c r="D10" s="336" t="str">
        <f>IFERROR(__xludf.DUMMYFUNCTION("""COMPUTED_VALUE"""),"application/pdf")</f>
        <v>application/pdf</v>
      </c>
    </row>
    <row r="11">
      <c r="A11" s="156" t="str">
        <f>IFERROR(__xludf.DUMMYFUNCTION("""COMPUTED_VALUE"""),"10.15626/mp.2020.2538")</f>
        <v>10.15626/mp.2020.2538</v>
      </c>
      <c r="B11" s="442" t="str">
        <f>IFERROR(__xludf.DUMMYFUNCTION("""COMPUTED_VALUE"""),"https://drive.google.com/file/d/1LUKsOQ0PBWeX-dWwj0M26kBRPbnX3UdU/view?usp=drivesdk")</f>
        <v>https://drive.google.com/file/d/1LUKsOQ0PBWeX-dWwj0M26kBRPbnX3UdU/view?usp=drivesdk</v>
      </c>
      <c r="C11" s="336" t="str">
        <f>IFERROR(__xludf.DUMMYFUNCTION("""COMPUTED_VALUE"""),"10.15626--MP.2020.2538.pdf")</f>
        <v>10.15626--MP.2020.2538.pdf</v>
      </c>
      <c r="D11" s="336" t="str">
        <f>IFERROR(__xludf.DUMMYFUNCTION("""COMPUTED_VALUE"""),"application/pdf")</f>
        <v>application/pdf</v>
      </c>
    </row>
    <row r="12">
      <c r="A12" s="156" t="str">
        <f>IFERROR(__xludf.DUMMYFUNCTION("""COMPUTED_VALUE"""),"10.1080/00224545.2022.2036670")</f>
        <v>10.1080/00224545.2022.2036670</v>
      </c>
      <c r="B12" s="442" t="str">
        <f>IFERROR(__xludf.DUMMYFUNCTION("""COMPUTED_VALUE"""),"https://drive.google.com/file/d/1-sPLPEF4sp3j_E7-v4v7o18jBkSnNWAQ/view?usp=drivesdk")</f>
        <v>https://drive.google.com/file/d/1-sPLPEF4sp3j_E7-v4v7o18jBkSnNWAQ/view?usp=drivesdk</v>
      </c>
      <c r="C12" s="336" t="str">
        <f>IFERROR(__xludf.DUMMYFUNCTION("""COMPUTED_VALUE"""),"10.1080--00224545.2022.2036670.pdf")</f>
        <v>10.1080--00224545.2022.2036670.pdf</v>
      </c>
      <c r="D12" s="336" t="str">
        <f>IFERROR(__xludf.DUMMYFUNCTION("""COMPUTED_VALUE"""),"application/pdf")</f>
        <v>application/pdf</v>
      </c>
    </row>
    <row r="13">
      <c r="A13" s="156" t="str">
        <f>IFERROR(__xludf.DUMMYFUNCTION("""COMPUTED_VALUE"""),"10.31234/osf.io/uhbk9")</f>
        <v>10.31234/osf.io/uhbk9</v>
      </c>
      <c r="B13" s="442" t="str">
        <f>IFERROR(__xludf.DUMMYFUNCTION("""COMPUTED_VALUE"""),"https://drive.google.com/file/d/1P6__eckbdkv4HtK-z5a0UTlnCMY2vp5O/view?usp=drivesdk")</f>
        <v>https://drive.google.com/file/d/1P6__eckbdkv4HtK-z5a0UTlnCMY2vp5O/view?usp=drivesdk</v>
      </c>
      <c r="C13" s="336" t="str">
        <f>IFERROR(__xludf.DUMMYFUNCTION("""COMPUTED_VALUE"""),"10.31234--osf.io--uhbk9.pdf")</f>
        <v>10.31234--osf.io--uhbk9.pdf</v>
      </c>
      <c r="D13" s="336" t="str">
        <f>IFERROR(__xludf.DUMMYFUNCTION("""COMPUTED_VALUE"""),"application/pdf")</f>
        <v>application/pdf</v>
      </c>
    </row>
    <row r="14">
      <c r="A14" s="156" t="str">
        <f>IFERROR(__xludf.DUMMYFUNCTION("""COMPUTED_VALUE"""),"10.1080/09658211.2023.2198327")</f>
        <v>10.1080/09658211.2023.2198327</v>
      </c>
      <c r="B14" s="442" t="str">
        <f>IFERROR(__xludf.DUMMYFUNCTION("""COMPUTED_VALUE"""),"https://drive.google.com/file/d/1BLm9m9zQbKmIQvYYdQuYw0qUzxfkwOrr/view?usp=drivesdk")</f>
        <v>https://drive.google.com/file/d/1BLm9m9zQbKmIQvYYdQuYw0qUzxfkwOrr/view?usp=drivesdk</v>
      </c>
      <c r="C14" s="336" t="str">
        <f>IFERROR(__xludf.DUMMYFUNCTION("""COMPUTED_VALUE"""),"10.1080--09658211.2023.2198327.pdf")</f>
        <v>10.1080--09658211.2023.2198327.pdf</v>
      </c>
      <c r="D14" s="336" t="str">
        <f>IFERROR(__xludf.DUMMYFUNCTION("""COMPUTED_VALUE"""),"application/pdf")</f>
        <v>application/pdf</v>
      </c>
    </row>
    <row r="15">
      <c r="A15" s="156" t="str">
        <f>IFERROR(__xludf.DUMMYFUNCTION("""COMPUTED_VALUE"""),"10.1016/j.cortex.2022.10.005")</f>
        <v>10.1016/j.cortex.2022.10.005</v>
      </c>
      <c r="B15" s="442" t="str">
        <f>IFERROR(__xludf.DUMMYFUNCTION("""COMPUTED_VALUE"""),"https://drive.google.com/file/d/1dLdBc3oYaUpmAkv8ifMPAnoUfM2wXSEc/view?usp=drivesdk")</f>
        <v>https://drive.google.com/file/d/1dLdBc3oYaUpmAkv8ifMPAnoUfM2wXSEc/view?usp=drivesdk</v>
      </c>
      <c r="C15" s="336" t="str">
        <f>IFERROR(__xludf.DUMMYFUNCTION("""COMPUTED_VALUE"""),"10.1016--j.cortex.2022.10.005.pdf")</f>
        <v>10.1016--j.cortex.2022.10.005.pdf</v>
      </c>
      <c r="D15" s="336" t="str">
        <f>IFERROR(__xludf.DUMMYFUNCTION("""COMPUTED_VALUE"""),"application/pdf")</f>
        <v>application/pdf</v>
      </c>
    </row>
    <row r="16">
      <c r="A16" s="156" t="str">
        <f>IFERROR(__xludf.DUMMYFUNCTION("""COMPUTED_VALUE"""),"10.1177/1091142117721739")</f>
        <v>10.1177/1091142117721739</v>
      </c>
      <c r="B16" s="442" t="str">
        <f>IFERROR(__xludf.DUMMYFUNCTION("""COMPUTED_VALUE"""),"https://drive.google.com/file/d/1LlyFdxum4y8lQ-J8ULEq4iY--wT0XEnX/view?usp=drivesdk")</f>
        <v>https://drive.google.com/file/d/1LlyFdxum4y8lQ-J8ULEq4iY--wT0XEnX/view?usp=drivesdk</v>
      </c>
      <c r="C16" s="336" t="str">
        <f>IFERROR(__xludf.DUMMYFUNCTION("""COMPUTED_VALUE"""),"10.1177--1091142117721739.pdf")</f>
        <v>10.1177--1091142117721739.pdf</v>
      </c>
      <c r="D16" s="336" t="str">
        <f>IFERROR(__xludf.DUMMYFUNCTION("""COMPUTED_VALUE"""),"application/pdf")</f>
        <v>application/pdf</v>
      </c>
    </row>
    <row r="17">
      <c r="A17" s="156" t="str">
        <f>IFERROR(__xludf.DUMMYFUNCTION("""COMPUTED_VALUE"""),"10.1111/j.1471-6402.1997.tb00120.x")</f>
        <v>10.1111/j.1471-6402.1997.tb00120.x</v>
      </c>
      <c r="B17" s="442" t="str">
        <f>IFERROR(__xludf.DUMMYFUNCTION("""COMPUTED_VALUE"""),"https://drive.google.com/file/d/12nsEg-XCgHkt5qqhUPjUiPb-0cgLFkuB/view?usp=drivesdk")</f>
        <v>https://drive.google.com/file/d/12nsEg-XCgHkt5qqhUPjUiPb-0cgLFkuB/view?usp=drivesdk</v>
      </c>
      <c r="C17" s="336" t="str">
        <f>IFERROR(__xludf.DUMMYFUNCTION("""COMPUTED_VALUE"""),"10.1111--j.1471-6402.1997.tb00120.x.pdf")</f>
        <v>10.1111--j.1471-6402.1997.tb00120.x.pdf</v>
      </c>
      <c r="D17" s="336" t="str">
        <f>IFERROR(__xludf.DUMMYFUNCTION("""COMPUTED_VALUE"""),"application/pdf")</f>
        <v>application/pdf</v>
      </c>
    </row>
    <row r="18">
      <c r="A18" s="156" t="str">
        <f>IFERROR(__xludf.DUMMYFUNCTION("""COMPUTED_VALUE"""),"10.1177/0956797619835768")</f>
        <v>10.1177/0956797619835768</v>
      </c>
      <c r="B18" s="442" t="str">
        <f>IFERROR(__xludf.DUMMYFUNCTION("""COMPUTED_VALUE"""),"https://drive.google.com/file/d/1saWLjS-kipdtKgZWmmOraj_vYJ5_c585/view?usp=drivesdk")</f>
        <v>https://drive.google.com/file/d/1saWLjS-kipdtKgZWmmOraj_vYJ5_c585/view?usp=drivesdk</v>
      </c>
      <c r="C18" s="336" t="str">
        <f>IFERROR(__xludf.DUMMYFUNCTION("""COMPUTED_VALUE"""),"10.1177--0956797619835768.pdf")</f>
        <v>10.1177--0956797619835768.pdf</v>
      </c>
      <c r="D18" s="336" t="str">
        <f>IFERROR(__xludf.DUMMYFUNCTION("""COMPUTED_VALUE"""),"application/pdf")</f>
        <v>application/pdf</v>
      </c>
    </row>
    <row r="19">
      <c r="A19" s="156" t="str">
        <f>IFERROR(__xludf.DUMMYFUNCTION("""COMPUTED_VALUE"""),"10.1111/pops.12505")</f>
        <v>10.1111/pops.12505</v>
      </c>
      <c r="B19" s="442" t="str">
        <f>IFERROR(__xludf.DUMMYFUNCTION("""COMPUTED_VALUE"""),"https://drive.google.com/file/d/1Ry6FucHklLIQeRbNX3Cjdl8al-P4HIWM/view?usp=drivesdk")</f>
        <v>https://drive.google.com/file/d/1Ry6FucHklLIQeRbNX3Cjdl8al-P4HIWM/view?usp=drivesdk</v>
      </c>
      <c r="C19" s="336" t="str">
        <f>IFERROR(__xludf.DUMMYFUNCTION("""COMPUTED_VALUE"""),"10.1111--pops.12505.pdf")</f>
        <v>10.1111--pops.12505.pdf</v>
      </c>
      <c r="D19" s="336" t="str">
        <f>IFERROR(__xludf.DUMMYFUNCTION("""COMPUTED_VALUE"""),"application/pdf")</f>
        <v>application/pdf</v>
      </c>
    </row>
    <row r="20">
      <c r="A20" s="156" t="str">
        <f>IFERROR(__xludf.DUMMYFUNCTION("""COMPUTED_VALUE"""),"10.1016/j.cortex.2017.03.007")</f>
        <v>10.1016/j.cortex.2017.03.007</v>
      </c>
      <c r="B20" s="442" t="str">
        <f>IFERROR(__xludf.DUMMYFUNCTION("""COMPUTED_VALUE"""),"https://drive.google.com/file/d/17k5CukbPIp4AD2KEcHMwWy7Nop_vLLeM/view?usp=drivesdk")</f>
        <v>https://drive.google.com/file/d/17k5CukbPIp4AD2KEcHMwWy7Nop_vLLeM/view?usp=drivesdk</v>
      </c>
      <c r="C20" s="336" t="str">
        <f>IFERROR(__xludf.DUMMYFUNCTION("""COMPUTED_VALUE"""),"10.1016--j.cortex.2017.03.007.pdf")</f>
        <v>10.1016--j.cortex.2017.03.007.pdf</v>
      </c>
      <c r="D20" s="336" t="str">
        <f>IFERROR(__xludf.DUMMYFUNCTION("""COMPUTED_VALUE"""),"application/pdf")</f>
        <v>application/pdf</v>
      </c>
    </row>
    <row r="21">
      <c r="A21" s="156" t="str">
        <f>IFERROR(__xludf.DUMMYFUNCTION("""COMPUTED_VALUE"""),"10.1098/rsos.171127")</f>
        <v>10.1098/rsos.171127</v>
      </c>
      <c r="B21" s="442" t="str">
        <f>IFERROR(__xludf.DUMMYFUNCTION("""COMPUTED_VALUE"""),"https://drive.google.com/file/d/1SB5hLHPsOGngwfGReki2o4frfyK_qamd/view?usp=drivesdk")</f>
        <v>https://drive.google.com/file/d/1SB5hLHPsOGngwfGReki2o4frfyK_qamd/view?usp=drivesdk</v>
      </c>
      <c r="C21" s="336" t="str">
        <f>IFERROR(__xludf.DUMMYFUNCTION("""COMPUTED_VALUE"""),"10.1098--rsos.171127.pdf")</f>
        <v>10.1098--rsos.171127.pdf</v>
      </c>
      <c r="D21" s="336" t="str">
        <f>IFERROR(__xludf.DUMMYFUNCTION("""COMPUTED_VALUE"""),"application/pdf")</f>
        <v>application/pdf</v>
      </c>
    </row>
    <row r="22">
      <c r="A22" s="156" t="str">
        <f>IFERROR(__xludf.DUMMYFUNCTION("""COMPUTED_VALUE"""),"10.1098/rsos.191795")</f>
        <v>10.1098/rsos.191795</v>
      </c>
      <c r="B22" s="442" t="str">
        <f>IFERROR(__xludf.DUMMYFUNCTION("""COMPUTED_VALUE"""),"https://drive.google.com/file/d/1SHt-8pn9bvsma7o8SjTFplcg2pFFbPAz/view?usp=drivesdk")</f>
        <v>https://drive.google.com/file/d/1SHt-8pn9bvsma7o8SjTFplcg2pFFbPAz/view?usp=drivesdk</v>
      </c>
      <c r="C22" s="336" t="str">
        <f>IFERROR(__xludf.DUMMYFUNCTION("""COMPUTED_VALUE"""),"10.1098--rsos.191795.pdf")</f>
        <v>10.1098--rsos.191795.pdf</v>
      </c>
      <c r="D22" s="336" t="str">
        <f>IFERROR(__xludf.DUMMYFUNCTION("""COMPUTED_VALUE"""),"application/pdf")</f>
        <v>application/pdf</v>
      </c>
    </row>
    <row r="23">
      <c r="A23" s="156" t="str">
        <f>IFERROR(__xludf.DUMMYFUNCTION("""COMPUTED_VALUE"""),"10.1177/09567976211024535")</f>
        <v>10.1177/09567976211024535</v>
      </c>
      <c r="B23" s="442" t="str">
        <f>IFERROR(__xludf.DUMMYFUNCTION("""COMPUTED_VALUE"""),"https://drive.google.com/file/d/1uabCd7tRzuYbMgMYfngWf8jyCb968QZU/view?usp=drivesdk")</f>
        <v>https://drive.google.com/file/d/1uabCd7tRzuYbMgMYfngWf8jyCb968QZU/view?usp=drivesdk</v>
      </c>
      <c r="C23" s="336" t="str">
        <f>IFERROR(__xludf.DUMMYFUNCTION("""COMPUTED_VALUE"""),"10.1177--09567976211024535.pdf")</f>
        <v>10.1177--09567976211024535.pdf</v>
      </c>
      <c r="D23" s="336" t="str">
        <f>IFERROR(__xludf.DUMMYFUNCTION("""COMPUTED_VALUE"""),"application/pdf")</f>
        <v>application/pdf</v>
      </c>
    </row>
    <row r="24">
      <c r="A24" s="156" t="str">
        <f>IFERROR(__xludf.DUMMYFUNCTION("""COMPUTED_VALUE"""),"10.1080/02699931.2018.1468732")</f>
        <v>10.1080/02699931.2018.1468732</v>
      </c>
      <c r="B24" s="442" t="str">
        <f>IFERROR(__xludf.DUMMYFUNCTION("""COMPUTED_VALUE"""),"https://drive.google.com/file/d/1vrK0UJ_8hyDpbgm2_MkPAqowaajwo8Pm/view?usp=drivesdk")</f>
        <v>https://drive.google.com/file/d/1vrK0UJ_8hyDpbgm2_MkPAqowaajwo8Pm/view?usp=drivesdk</v>
      </c>
      <c r="C24" s="336" t="str">
        <f>IFERROR(__xludf.DUMMYFUNCTION("""COMPUTED_VALUE"""),"10.1080--02699931.2018.1468732.pdf")</f>
        <v>10.1080--02699931.2018.1468732.pdf</v>
      </c>
      <c r="D24" s="336" t="str">
        <f>IFERROR(__xludf.DUMMYFUNCTION("""COMPUTED_VALUE"""),"application/pdf")</f>
        <v>application/pdf</v>
      </c>
    </row>
    <row r="25">
      <c r="A25" s="156" t="str">
        <f>IFERROR(__xludf.DUMMYFUNCTION("""COMPUTED_VALUE"""),"10.1177/2167702619859335")</f>
        <v>10.1177/2167702619859335</v>
      </c>
      <c r="B25" s="442" t="str">
        <f>IFERROR(__xludf.DUMMYFUNCTION("""COMPUTED_VALUE"""),"https://drive.google.com/file/d/1739jbksBFcYjKBdmZoaC7IXQS965DJ3J/view?usp=drivesdk")</f>
        <v>https://drive.google.com/file/d/1739jbksBFcYjKBdmZoaC7IXQS965DJ3J/view?usp=drivesdk</v>
      </c>
      <c r="C25" s="336" t="str">
        <f>IFERROR(__xludf.DUMMYFUNCTION("""COMPUTED_VALUE"""),"10.1177--2167702619859335.pdf")</f>
        <v>10.1177--2167702619859335.pdf</v>
      </c>
      <c r="D25" s="336" t="str">
        <f>IFERROR(__xludf.DUMMYFUNCTION("""COMPUTED_VALUE"""),"application/pdf")</f>
        <v>application/pdf</v>
      </c>
    </row>
    <row r="26">
      <c r="A26" s="156" t="str">
        <f>IFERROR(__xludf.DUMMYFUNCTION("""COMPUTED_VALUE"""),"10.1371/journal.pone.0051382")</f>
        <v>10.1371/journal.pone.0051382</v>
      </c>
      <c r="B26" s="442" t="str">
        <f>IFERROR(__xludf.DUMMYFUNCTION("""COMPUTED_VALUE"""),"https://drive.google.com/file/d/16HEvSk60ES-i1kvKDnwAGvkzVfGYfT-S/view?usp=drivesdk")</f>
        <v>https://drive.google.com/file/d/16HEvSk60ES-i1kvKDnwAGvkzVfGYfT-S/view?usp=drivesdk</v>
      </c>
      <c r="C26" s="336" t="str">
        <f>IFERROR(__xludf.DUMMYFUNCTION("""COMPUTED_VALUE"""),"10.1371--journal.pone.0051382.pdf")</f>
        <v>10.1371--journal.pone.0051382.pdf</v>
      </c>
      <c r="D26" s="336" t="str">
        <f>IFERROR(__xludf.DUMMYFUNCTION("""COMPUTED_VALUE"""),"application/pdf")</f>
        <v>application/pdf</v>
      </c>
    </row>
    <row r="27">
      <c r="A27" s="156" t="str">
        <f>IFERROR(__xludf.DUMMYFUNCTION("""COMPUTED_VALUE"""),"10.3758/s13421-018-0803-y")</f>
        <v>10.3758/s13421-018-0803-y</v>
      </c>
      <c r="B27" s="442" t="str">
        <f>IFERROR(__xludf.DUMMYFUNCTION("""COMPUTED_VALUE"""),"https://drive.google.com/file/d/1nTnzddYTwxxy0iyhnksJQNz8SimJnchv/view?usp=drivesdk")</f>
        <v>https://drive.google.com/file/d/1nTnzddYTwxxy0iyhnksJQNz8SimJnchv/view?usp=drivesdk</v>
      </c>
      <c r="C27" s="336" t="str">
        <f>IFERROR(__xludf.DUMMYFUNCTION("""COMPUTED_VALUE"""),"10.3758--s13421-018-0803-y.pdf")</f>
        <v>10.3758--s13421-018-0803-y.pdf</v>
      </c>
      <c r="D27" s="336" t="str">
        <f>IFERROR(__xludf.DUMMYFUNCTION("""COMPUTED_VALUE"""),"application/pdf")</f>
        <v>application/pdf</v>
      </c>
    </row>
    <row r="28">
      <c r="A28" s="156" t="str">
        <f>IFERROR(__xludf.DUMMYFUNCTION("""COMPUTED_VALUE"""),"10.1016/j.bodyim.2021.05.005")</f>
        <v>10.1016/j.bodyim.2021.05.005</v>
      </c>
      <c r="B28" s="442" t="str">
        <f>IFERROR(__xludf.DUMMYFUNCTION("""COMPUTED_VALUE"""),"https://drive.google.com/file/d/180QB6T6E8AomkzG_Et8jvS_s7FB-J01s/view?usp=drivesdk")</f>
        <v>https://drive.google.com/file/d/180QB6T6E8AomkzG_Et8jvS_s7FB-J01s/view?usp=drivesdk</v>
      </c>
      <c r="C28" s="336" t="str">
        <f>IFERROR(__xludf.DUMMYFUNCTION("""COMPUTED_VALUE"""),"10.1016--j.bodyim.2021.05.005.pdf")</f>
        <v>10.1016--j.bodyim.2021.05.005.pdf</v>
      </c>
      <c r="D28" s="336" t="str">
        <f>IFERROR(__xludf.DUMMYFUNCTION("""COMPUTED_VALUE"""),"application/pdf")</f>
        <v>application/pdf</v>
      </c>
    </row>
    <row r="29">
      <c r="A29" s="156" t="str">
        <f>IFERROR(__xludf.DUMMYFUNCTION("""COMPUTED_VALUE"""),"10.1162/0033553041502153")</f>
        <v>10.1162/0033553041502153</v>
      </c>
      <c r="B29" s="442" t="str">
        <f>IFERROR(__xludf.DUMMYFUNCTION("""COMPUTED_VALUE"""),"https://drive.google.com/file/d/186z10d8mVaYGccEPrM1n7UChuShJcEwS/view?usp=drivesdk")</f>
        <v>https://drive.google.com/file/d/186z10d8mVaYGccEPrM1n7UChuShJcEwS/view?usp=drivesdk</v>
      </c>
      <c r="C29" s="336" t="str">
        <f>IFERROR(__xludf.DUMMYFUNCTION("""COMPUTED_VALUE"""),"10.1162--0033553041502153.pdf")</f>
        <v>10.1162--0033553041502153.pdf</v>
      </c>
      <c r="D29" s="336" t="str">
        <f>IFERROR(__xludf.DUMMYFUNCTION("""COMPUTED_VALUE"""),"application/pdf")</f>
        <v>application/pdf</v>
      </c>
    </row>
    <row r="30">
      <c r="A30" s="156" t="str">
        <f>IFERROR(__xludf.DUMMYFUNCTION("""COMPUTED_VALUE"""),"10.1037/h0029611")</f>
        <v>10.1037/h0029611</v>
      </c>
      <c r="B30" s="442" t="str">
        <f>IFERROR(__xludf.DUMMYFUNCTION("""COMPUTED_VALUE"""),"https://drive.google.com/file/d/1GOfCc2jEzxfcB5NWPoKxmn-R6splM-mt/view?usp=drivesdk")</f>
        <v>https://drive.google.com/file/d/1GOfCc2jEzxfcB5NWPoKxmn-R6splM-mt/view?usp=drivesdk</v>
      </c>
      <c r="C30" s="336" t="str">
        <f>IFERROR(__xludf.DUMMYFUNCTION("""COMPUTED_VALUE"""),"10.1037--h0029611.pdf")</f>
        <v>10.1037--h0029611.pdf</v>
      </c>
      <c r="D30" s="336" t="str">
        <f>IFERROR(__xludf.DUMMYFUNCTION("""COMPUTED_VALUE"""),"application/pdf")</f>
        <v>application/pdf</v>
      </c>
    </row>
    <row r="31">
      <c r="A31" s="156" t="str">
        <f>IFERROR(__xludf.DUMMYFUNCTION("""COMPUTED_VALUE"""),"10.1177/0956797614548726")</f>
        <v>10.1177/0956797614548726</v>
      </c>
      <c r="B31" s="442" t="str">
        <f>IFERROR(__xludf.DUMMYFUNCTION("""COMPUTED_VALUE"""),"https://drive.google.com/file/d/1DV_bvC2F5r5Q7NYNgqE5RD615FWWumua/view?usp=drivesdk")</f>
        <v>https://drive.google.com/file/d/1DV_bvC2F5r5Q7NYNgqE5RD615FWWumua/view?usp=drivesdk</v>
      </c>
      <c r="C31" s="336" t="str">
        <f>IFERROR(__xludf.DUMMYFUNCTION("""COMPUTED_VALUE"""),"10.1177--0956797614548726.pdf")</f>
        <v>10.1177--0956797614548726.pdf</v>
      </c>
      <c r="D31" s="336" t="str">
        <f>IFERROR(__xludf.DUMMYFUNCTION("""COMPUTED_VALUE"""),"application/pdf")</f>
        <v>application/pdf</v>
      </c>
    </row>
    <row r="32">
      <c r="A32" s="156" t="str">
        <f>IFERROR(__xludf.DUMMYFUNCTION("""COMPUTED_VALUE"""),"10.2139/ssrn.1798773")</f>
        <v>10.2139/ssrn.1798773</v>
      </c>
      <c r="B32" s="442" t="str">
        <f>IFERROR(__xludf.DUMMYFUNCTION("""COMPUTED_VALUE"""),"https://drive.google.com/file/d/1Dtnm-IfcnVdYh2VDYnB8KTfjN5XbfR6U/view?usp=drivesdk")</f>
        <v>https://drive.google.com/file/d/1Dtnm-IfcnVdYh2VDYnB8KTfjN5XbfR6U/view?usp=drivesdk</v>
      </c>
      <c r="C32" s="336" t="str">
        <f>IFERROR(__xludf.DUMMYFUNCTION("""COMPUTED_VALUE"""),"10.2139--ssrn.1798773.pdf")</f>
        <v>10.2139--ssrn.1798773.pdf</v>
      </c>
      <c r="D32" s="336" t="str">
        <f>IFERROR(__xludf.DUMMYFUNCTION("""COMPUTED_VALUE"""),"application/pdf")</f>
        <v>application/pdf</v>
      </c>
    </row>
    <row r="33">
      <c r="A33" s="156" t="str">
        <f>IFERROR(__xludf.DUMMYFUNCTION("""COMPUTED_VALUE"""),"10.1016/j.neures.2010.07.428")</f>
        <v>10.1016/j.neures.2010.07.428</v>
      </c>
      <c r="B33" s="442" t="str">
        <f>IFERROR(__xludf.DUMMYFUNCTION("""COMPUTED_VALUE"""),"https://drive.google.com/file/d/1OJWgpK8N5khvg6csE4BjxQKlUwqJRoig/view?usp=drivesdk")</f>
        <v>https://drive.google.com/file/d/1OJWgpK8N5khvg6csE4BjxQKlUwqJRoig/view?usp=drivesdk</v>
      </c>
      <c r="C33" s="336" t="str">
        <f>IFERROR(__xludf.DUMMYFUNCTION("""COMPUTED_VALUE"""),"10.1016--j.neures.2010.07.428.pdf")</f>
        <v>10.1016--j.neures.2010.07.428.pdf</v>
      </c>
      <c r="D33" s="336" t="str">
        <f>IFERROR(__xludf.DUMMYFUNCTION("""COMPUTED_VALUE"""),"application/pdf")</f>
        <v>application/pdf</v>
      </c>
    </row>
    <row r="34">
      <c r="A34" s="156" t="str">
        <f>IFERROR(__xludf.DUMMYFUNCTION("""COMPUTED_VALUE"""),"10.1002/hbm.21275")</f>
        <v>10.1002/hbm.21275</v>
      </c>
      <c r="B34" s="442" t="str">
        <f>IFERROR(__xludf.DUMMYFUNCTION("""COMPUTED_VALUE"""),"https://drive.google.com/file/d/1c-3v_5fQZZav-toITpIWnrCKACtClmLM/view?usp=drivesdk")</f>
        <v>https://drive.google.com/file/d/1c-3v_5fQZZav-toITpIWnrCKACtClmLM/view?usp=drivesdk</v>
      </c>
      <c r="C34" s="336" t="str">
        <f>IFERROR(__xludf.DUMMYFUNCTION("""COMPUTED_VALUE"""),"10.1002--hbm.21275.pdf")</f>
        <v>10.1002--hbm.21275.pdf</v>
      </c>
      <c r="D34" s="336" t="str">
        <f>IFERROR(__xludf.DUMMYFUNCTION("""COMPUTED_VALUE"""),"application/pdf")</f>
        <v>application/pdf</v>
      </c>
    </row>
    <row r="35">
      <c r="A35" s="156" t="str">
        <f>IFERROR(__xludf.DUMMYFUNCTION("""COMPUTED_VALUE"""),"10.1086/678484")</f>
        <v>10.1086/678484</v>
      </c>
      <c r="B35" s="442" t="str">
        <f>IFERROR(__xludf.DUMMYFUNCTION("""COMPUTED_VALUE"""),"https://drive.google.com/file/d/1bt2sxnloXub_4dCp8ySCfMSk87PSKSGR/view?usp=drivesdk")</f>
        <v>https://drive.google.com/file/d/1bt2sxnloXub_4dCp8ySCfMSk87PSKSGR/view?usp=drivesdk</v>
      </c>
      <c r="C35" s="336" t="str">
        <f>IFERROR(__xludf.DUMMYFUNCTION("""COMPUTED_VALUE"""),"10.1086--678484.pdf")</f>
        <v>10.1086--678484.pdf</v>
      </c>
      <c r="D35" s="336" t="str">
        <f>IFERROR(__xludf.DUMMYFUNCTION("""COMPUTED_VALUE"""),"application/pdf")</f>
        <v>application/pdf</v>
      </c>
    </row>
    <row r="36">
      <c r="A36" s="156" t="str">
        <f>IFERROR(__xludf.DUMMYFUNCTION("""COMPUTED_VALUE"""),"10.1038/nature06288")</f>
        <v>10.1038/nature06288</v>
      </c>
      <c r="B36" s="442" t="str">
        <f>IFERROR(__xludf.DUMMYFUNCTION("""COMPUTED_VALUE"""),"https://drive.google.com/file/d/1DAF-1ME0Ox9xapd6Koii547l1xCiSYo6/view?usp=drivesdk")</f>
        <v>https://drive.google.com/file/d/1DAF-1ME0Ox9xapd6Koii547l1xCiSYo6/view?usp=drivesdk</v>
      </c>
      <c r="C36" s="336" t="str">
        <f>IFERROR(__xludf.DUMMYFUNCTION("""COMPUTED_VALUE"""),"10.1038--nature06288.pdf")</f>
        <v>10.1038--nature06288.pdf</v>
      </c>
      <c r="D36" s="336" t="str">
        <f>IFERROR(__xludf.DUMMYFUNCTION("""COMPUTED_VALUE"""),"application/pdf")</f>
        <v>application/pdf</v>
      </c>
    </row>
    <row r="37">
      <c r="A37" s="156" t="str">
        <f>IFERROR(__xludf.DUMMYFUNCTION("""COMPUTED_VALUE"""),"10.1080/87565649009540453")</f>
        <v>10.1080/87565649009540453</v>
      </c>
      <c r="B37" s="442" t="str">
        <f>IFERROR(__xludf.DUMMYFUNCTION("""COMPUTED_VALUE"""),"https://drive.google.com/file/d/1VU-u6hVIDmi3ktFEqPfK3I_RwWihJd_N/view?usp=drivesdk")</f>
        <v>https://drive.google.com/file/d/1VU-u6hVIDmi3ktFEqPfK3I_RwWihJd_N/view?usp=drivesdk</v>
      </c>
      <c r="C37" s="336" t="str">
        <f>IFERROR(__xludf.DUMMYFUNCTION("""COMPUTED_VALUE"""),"10.1080--87565649009540453.pdf")</f>
        <v>10.1080--87565649009540453.pdf</v>
      </c>
      <c r="D37" s="336" t="str">
        <f>IFERROR(__xludf.DUMMYFUNCTION("""COMPUTED_VALUE"""),"application/pdf")</f>
        <v>application/pdf</v>
      </c>
    </row>
    <row r="38">
      <c r="A38" s="156" t="str">
        <f>IFERROR(__xludf.DUMMYFUNCTION("""COMPUTED_VALUE"""),"10.1177/2167702618757658")</f>
        <v>10.1177/2167702618757658</v>
      </c>
      <c r="B38" s="442" t="str">
        <f>IFERROR(__xludf.DUMMYFUNCTION("""COMPUTED_VALUE"""),"https://drive.google.com/file/d/1JsE2aYLgg05Jy0CmD9Vn1upSh36fWFT4/view?usp=drivesdk")</f>
        <v>https://drive.google.com/file/d/1JsE2aYLgg05Jy0CmD9Vn1upSh36fWFT4/view?usp=drivesdk</v>
      </c>
      <c r="C38" s="336" t="str">
        <f>IFERROR(__xludf.DUMMYFUNCTION("""COMPUTED_VALUE"""),"10.1177--2167702618757658.pdf")</f>
        <v>10.1177--2167702618757658.pdf</v>
      </c>
      <c r="D38" s="336" t="str">
        <f>IFERROR(__xludf.DUMMYFUNCTION("""COMPUTED_VALUE"""),"application/pdf")</f>
        <v>application/pdf</v>
      </c>
    </row>
    <row r="39">
      <c r="A39" s="156" t="str">
        <f>IFERROR(__xludf.DUMMYFUNCTION("""COMPUTED_VALUE"""),"10.1111/1467-9280.00430")</f>
        <v>10.1111/1467-9280.00430</v>
      </c>
      <c r="B39" s="442" t="str">
        <f>IFERROR(__xludf.DUMMYFUNCTION("""COMPUTED_VALUE"""),"https://drive.google.com/file/d/1gclbS5ZAeFa_DfD6U3yiF5_e7_Yg90s0/view?usp=drivesdk")</f>
        <v>https://drive.google.com/file/d/1gclbS5ZAeFa_DfD6U3yiF5_e7_Yg90s0/view?usp=drivesdk</v>
      </c>
      <c r="C39" s="336" t="str">
        <f>IFERROR(__xludf.DUMMYFUNCTION("""COMPUTED_VALUE"""),"10.1111--1467-9280.00430.pdf")</f>
        <v>10.1111--1467-9280.00430.pdf</v>
      </c>
      <c r="D39" s="336" t="str">
        <f>IFERROR(__xludf.DUMMYFUNCTION("""COMPUTED_VALUE"""),"application/pdf")</f>
        <v>application/pdf</v>
      </c>
    </row>
    <row r="40">
      <c r="A40" s="156" t="str">
        <f>IFERROR(__xludf.DUMMYFUNCTION("""COMPUTED_VALUE"""),"10.1111/1467-9280.00326")</f>
        <v>10.1111/1467-9280.00326</v>
      </c>
      <c r="B40" s="442" t="str">
        <f>IFERROR(__xludf.DUMMYFUNCTION("""COMPUTED_VALUE"""),"https://drive.google.com/file/d/1ow140BOKO4jJKVAsaAC8hxqWGYkeuS6N/view?usp=drivesdk")</f>
        <v>https://drive.google.com/file/d/1ow140BOKO4jJKVAsaAC8hxqWGYkeuS6N/view?usp=drivesdk</v>
      </c>
      <c r="C40" s="336" t="str">
        <f>IFERROR(__xludf.DUMMYFUNCTION("""COMPUTED_VALUE"""),"10.1111--1467-9280.00326.pdf")</f>
        <v>10.1111--1467-9280.00326.pdf</v>
      </c>
      <c r="D40" s="336" t="str">
        <f>IFERROR(__xludf.DUMMYFUNCTION("""COMPUTED_VALUE"""),"application/pdf")</f>
        <v>application/pdf</v>
      </c>
    </row>
    <row r="41">
      <c r="A41" s="156" t="str">
        <f>IFERROR(__xludf.DUMMYFUNCTION("""COMPUTED_VALUE"""),"10.1126/science.1167748")</f>
        <v>10.1126/science.1167748</v>
      </c>
      <c r="B41" s="442" t="str">
        <f>IFERROR(__xludf.DUMMYFUNCTION("""COMPUTED_VALUE"""),"https://drive.google.com/file/d/1FQJpaH7J3eF5IWX4mQZvn4hmYURhxGaG/view?usp=drivesdk")</f>
        <v>https://drive.google.com/file/d/1FQJpaH7J3eF5IWX4mQZvn4hmYURhxGaG/view?usp=drivesdk</v>
      </c>
      <c r="C41" s="336" t="str">
        <f>IFERROR(__xludf.DUMMYFUNCTION("""COMPUTED_VALUE"""),"10.1126--science.1167748.pdf")</f>
        <v>10.1126--science.1167748.pdf</v>
      </c>
      <c r="D41" s="336" t="str">
        <f>IFERROR(__xludf.DUMMYFUNCTION("""COMPUTED_VALUE"""),"application/pdf")</f>
        <v>application/pdf</v>
      </c>
    </row>
    <row r="42">
      <c r="A42" s="156" t="str">
        <f>IFERROR(__xludf.DUMMYFUNCTION("""COMPUTED_VALUE"""),"10.1111/j.1467-9280.1992.tb00678.x")</f>
        <v>10.1111/j.1467-9280.1992.tb00678.x</v>
      </c>
      <c r="B42" s="442" t="str">
        <f>IFERROR(__xludf.DUMMYFUNCTION("""COMPUTED_VALUE"""),"https://drive.google.com/file/d/1A7IQYIfVS1sTYZUl5_NoD4Q6b1T3hSOE/view?usp=drivesdk")</f>
        <v>https://drive.google.com/file/d/1A7IQYIfVS1sTYZUl5_NoD4Q6b1T3hSOE/view?usp=drivesdk</v>
      </c>
      <c r="C42" s="336" t="str">
        <f>IFERROR(__xludf.DUMMYFUNCTION("""COMPUTED_VALUE"""),"10.1111--j.1467-9280.1992.tb00678.x.pdf")</f>
        <v>10.1111--j.1467-9280.1992.tb00678.x.pdf</v>
      </c>
      <c r="D42" s="336" t="str">
        <f>IFERROR(__xludf.DUMMYFUNCTION("""COMPUTED_VALUE"""),"application/pdf")</f>
        <v>application/pdf</v>
      </c>
    </row>
    <row r="43">
      <c r="A43" s="156" t="str">
        <f>IFERROR(__xludf.DUMMYFUNCTION("""COMPUTED_VALUE"""),"10.1126/science.1121629")</f>
        <v>10.1126/science.1121629</v>
      </c>
      <c r="B43" s="442" t="str">
        <f>IFERROR(__xludf.DUMMYFUNCTION("""COMPUTED_VALUE"""),"https://drive.google.com/file/d/1BZtRJ02shFZjYSEcLvnyj0pKcfmvcWZd/view?usp=drivesdk")</f>
        <v>https://drive.google.com/file/d/1BZtRJ02shFZjYSEcLvnyj0pKcfmvcWZd/view?usp=drivesdk</v>
      </c>
      <c r="C43" s="336" t="str">
        <f>IFERROR(__xludf.DUMMYFUNCTION("""COMPUTED_VALUE"""),"10.1126--science.1121629.pdf")</f>
        <v>10.1126--science.1121629.pdf</v>
      </c>
      <c r="D43" s="336" t="str">
        <f>IFERROR(__xludf.DUMMYFUNCTION("""COMPUTED_VALUE"""),"application/pdf")</f>
        <v>application/pdf</v>
      </c>
    </row>
    <row r="44">
      <c r="A44" s="156" t="str">
        <f>IFERROR(__xludf.DUMMYFUNCTION("""COMPUTED_VALUE"""),"10.1037/apl0000183")</f>
        <v>10.1037/apl0000183</v>
      </c>
      <c r="B44" s="442" t="str">
        <f>IFERROR(__xludf.DUMMYFUNCTION("""COMPUTED_VALUE"""),"https://drive.google.com/file/d/1pLcsY8nK1FeQHu1LdzUR0lJkukmwZ3Vb/view?usp=drivesdk")</f>
        <v>https://drive.google.com/file/d/1pLcsY8nK1FeQHu1LdzUR0lJkukmwZ3Vb/view?usp=drivesdk</v>
      </c>
      <c r="C44" s="336" t="str">
        <f>IFERROR(__xludf.DUMMYFUNCTION("""COMPUTED_VALUE"""),"10.1037--apl0000183.pdf")</f>
        <v>10.1037--apl0000183.pdf</v>
      </c>
      <c r="D44" s="336" t="str">
        <f>IFERROR(__xludf.DUMMYFUNCTION("""COMPUTED_VALUE"""),"application/pdf")</f>
        <v>application/pdf</v>
      </c>
    </row>
    <row r="45">
      <c r="A45" s="156" t="str">
        <f>IFERROR(__xludf.DUMMYFUNCTION("""COMPUTED_VALUE"""),"10.1037/0033-2909.130.5.813")</f>
        <v>10.1037/0033-2909.130.5.813</v>
      </c>
      <c r="B45" s="442" t="str">
        <f>IFERROR(__xludf.DUMMYFUNCTION("""COMPUTED_VALUE"""),"https://drive.google.com/file/d/19OvezacVtq5E6qdJTGr77RwUV8By58ds/view?usp=drivesdk")</f>
        <v>https://drive.google.com/file/d/19OvezacVtq5E6qdJTGr77RwUV8By58ds/view?usp=drivesdk</v>
      </c>
      <c r="C45" s="336" t="str">
        <f>IFERROR(__xludf.DUMMYFUNCTION("""COMPUTED_VALUE"""),"10.1037--0033-2909.130.5.813.pdf")</f>
        <v>10.1037--0033-2909.130.5.813.pdf</v>
      </c>
      <c r="D45" s="336" t="str">
        <f>IFERROR(__xludf.DUMMYFUNCTION("""COMPUTED_VALUE"""),"application/pdf")</f>
        <v>application/pdf</v>
      </c>
    </row>
    <row r="46">
      <c r="A46" s="156" t="str">
        <f>IFERROR(__xludf.DUMMYFUNCTION("""COMPUTED_VALUE"""),"10.1016/j.obhdp.2013.05.001")</f>
        <v>10.1016/j.obhdp.2013.05.001</v>
      </c>
      <c r="B46" s="442" t="str">
        <f>IFERROR(__xludf.DUMMYFUNCTION("""COMPUTED_VALUE"""),"https://drive.google.com/file/d/1IsAxrHbWXTYQA-yUQNXr1hgjkCfnrOnZ/view?usp=drivesdk")</f>
        <v>https://drive.google.com/file/d/1IsAxrHbWXTYQA-yUQNXr1hgjkCfnrOnZ/view?usp=drivesdk</v>
      </c>
      <c r="C46" s="336" t="str">
        <f>IFERROR(__xludf.DUMMYFUNCTION("""COMPUTED_VALUE"""),"10.1016--j.obhdp.2013.05.001.pdf")</f>
        <v>10.1016--j.obhdp.2013.05.001.pdf</v>
      </c>
      <c r="D46" s="336" t="str">
        <f>IFERROR(__xludf.DUMMYFUNCTION("""COMPUTED_VALUE"""),"application/pdf")</f>
        <v>application/pdf</v>
      </c>
    </row>
    <row r="47">
      <c r="A47" s="156" t="str">
        <f>IFERROR(__xludf.DUMMYFUNCTION("""COMPUTED_VALUE"""),"10.1111/j.1467-9280.2008.02100.x")</f>
        <v>10.1111/j.1467-9280.2008.02100.x</v>
      </c>
      <c r="B47" s="442" t="str">
        <f>IFERROR(__xludf.DUMMYFUNCTION("""COMPUTED_VALUE"""),"https://drive.google.com/file/d/1xSVM7VMKatYnl6XkKdkAikq6Hru3wdAI/view?usp=drivesdk")</f>
        <v>https://drive.google.com/file/d/1xSVM7VMKatYnl6XkKdkAikq6Hru3wdAI/view?usp=drivesdk</v>
      </c>
      <c r="C47" s="336" t="str">
        <f>IFERROR(__xludf.DUMMYFUNCTION("""COMPUTED_VALUE"""),"10.1111--j.1467-9280.2008.02100.x.pdf")</f>
        <v>10.1111--j.1467-9280.2008.02100.x.pdf</v>
      </c>
      <c r="D47" s="336" t="str">
        <f>IFERROR(__xludf.DUMMYFUNCTION("""COMPUTED_VALUE"""),"application/pdf")</f>
        <v>application/pdf</v>
      </c>
    </row>
    <row r="48">
      <c r="A48" s="156" t="str">
        <f>IFERROR(__xludf.DUMMYFUNCTION("""COMPUTED_VALUE"""),"10.1037/a0035789")</f>
        <v>10.1037/a0035789</v>
      </c>
      <c r="B48" s="442" t="str">
        <f>IFERROR(__xludf.DUMMYFUNCTION("""COMPUTED_VALUE"""),"https://drive.google.com/file/d/1FjE8oIOE36cyAL422NDi-LLlJCe5NrRU/view?usp=drivesdk")</f>
        <v>https://drive.google.com/file/d/1FjE8oIOE36cyAL422NDi-LLlJCe5NrRU/view?usp=drivesdk</v>
      </c>
      <c r="C48" s="336" t="str">
        <f>IFERROR(__xludf.DUMMYFUNCTION("""COMPUTED_VALUE"""),"10.1037--a0035789.pdf")</f>
        <v>10.1037--a0035789.pdf</v>
      </c>
      <c r="D48" s="336" t="str">
        <f>IFERROR(__xludf.DUMMYFUNCTION("""COMPUTED_VALUE"""),"application/pdf")</f>
        <v>application/pdf</v>
      </c>
    </row>
    <row r="49">
      <c r="A49" s="156" t="str">
        <f>IFERROR(__xludf.DUMMYFUNCTION("""COMPUTED_VALUE"""),"10.1016/j.obhdp.2009.01.001")</f>
        <v>10.1016/j.obhdp.2009.01.001</v>
      </c>
      <c r="B49" s="442" t="str">
        <f>IFERROR(__xludf.DUMMYFUNCTION("""COMPUTED_VALUE"""),"https://drive.google.com/file/d/15BF8OmP5jtaEWWYkqexESPGYmO6G2k5L/view?usp=drivesdk")</f>
        <v>https://drive.google.com/file/d/15BF8OmP5jtaEWWYkqexESPGYmO6G2k5L/view?usp=drivesdk</v>
      </c>
      <c r="C49" s="336" t="str">
        <f>IFERROR(__xludf.DUMMYFUNCTION("""COMPUTED_VALUE"""),"10.1016--j.obhdp.2009.01.001.pdf")</f>
        <v>10.1016--j.obhdp.2009.01.001.pdf</v>
      </c>
      <c r="D49" s="336" t="str">
        <f>IFERROR(__xludf.DUMMYFUNCTION("""COMPUTED_VALUE"""),"application/pdf")</f>
        <v>application/pdf</v>
      </c>
    </row>
    <row r="50">
      <c r="A50" s="156" t="str">
        <f>IFERROR(__xludf.DUMMYFUNCTION("""COMPUTED_VALUE"""),"10.1016/j.leaqua.2018.01.002")</f>
        <v>10.1016/j.leaqua.2018.01.002</v>
      </c>
      <c r="B50" s="442" t="str">
        <f>IFERROR(__xludf.DUMMYFUNCTION("""COMPUTED_VALUE"""),"https://drive.google.com/file/d/1vRtCivn2QapXmNi8PUTnUFWZoQNn1ghS/view?usp=drivesdk")</f>
        <v>https://drive.google.com/file/d/1vRtCivn2QapXmNi8PUTnUFWZoQNn1ghS/view?usp=drivesdk</v>
      </c>
      <c r="C50" s="336" t="str">
        <f>IFERROR(__xludf.DUMMYFUNCTION("""COMPUTED_VALUE"""),"10.1016--j.leaqua.2018.01.002.pdf")</f>
        <v>10.1016--j.leaqua.2018.01.002.pdf</v>
      </c>
      <c r="D50" s="336" t="str">
        <f>IFERROR(__xludf.DUMMYFUNCTION("""COMPUTED_VALUE"""),"application/pdf")</f>
        <v>application/pdf</v>
      </c>
    </row>
    <row r="51">
      <c r="A51" s="156" t="str">
        <f>IFERROR(__xludf.DUMMYFUNCTION("""COMPUTED_VALUE"""),"10.1016/j.beth.2006.03.002")</f>
        <v>10.1016/j.beth.2006.03.002</v>
      </c>
      <c r="B51" s="442" t="str">
        <f>IFERROR(__xludf.DUMMYFUNCTION("""COMPUTED_VALUE"""),"https://drive.google.com/file/d/1xQVLBf9H_-09jP0kpgMWEGuyFupTFBor/view?usp=drivesdk")</f>
        <v>https://drive.google.com/file/d/1xQVLBf9H_-09jP0kpgMWEGuyFupTFBor/view?usp=drivesdk</v>
      </c>
      <c r="C51" s="336" t="str">
        <f>IFERROR(__xludf.DUMMYFUNCTION("""COMPUTED_VALUE"""),"10.1016--j.beth.2006.03.002.pdf")</f>
        <v>10.1016--j.beth.2006.03.002.pdf</v>
      </c>
      <c r="D51" s="336" t="str">
        <f>IFERROR(__xludf.DUMMYFUNCTION("""COMPUTED_VALUE"""),"application/pdf")</f>
        <v>application/pdf</v>
      </c>
    </row>
    <row r="52">
      <c r="A52" s="156" t="str">
        <f>IFERROR(__xludf.DUMMYFUNCTION("""COMPUTED_VALUE"""),"10.1002/job.1992")</f>
        <v>10.1002/job.1992</v>
      </c>
      <c r="B52" s="442" t="str">
        <f>IFERROR(__xludf.DUMMYFUNCTION("""COMPUTED_VALUE"""),"https://drive.google.com/file/d/1jEiCM4amu7q5InbrvHMBqZ8T4x_jz3D3/view?usp=drivesdk")</f>
        <v>https://drive.google.com/file/d/1jEiCM4amu7q5InbrvHMBqZ8T4x_jz3D3/view?usp=drivesdk</v>
      </c>
      <c r="C52" s="336" t="str">
        <f>IFERROR(__xludf.DUMMYFUNCTION("""COMPUTED_VALUE"""),"10.1002--job.1992.pdf")</f>
        <v>10.1002--job.1992.pdf</v>
      </c>
      <c r="D52" s="336" t="str">
        <f>IFERROR(__xludf.DUMMYFUNCTION("""COMPUTED_VALUE"""),"application/pdf")</f>
        <v>application/pdf</v>
      </c>
    </row>
    <row r="53">
      <c r="A53" s="156" t="str">
        <f>IFERROR(__xludf.DUMMYFUNCTION("""COMPUTED_VALUE"""),"10.1037/0021-9010.64.6.648")</f>
        <v>10.1037/0021-9010.64.6.648</v>
      </c>
      <c r="B53" s="442" t="str">
        <f>IFERROR(__xludf.DUMMYFUNCTION("""COMPUTED_VALUE"""),"https://drive.google.com/file/d/1DPC7kTGAKWOdHVuSDS9Kti6H9UiJyVdE/view?usp=drivesdk")</f>
        <v>https://drive.google.com/file/d/1DPC7kTGAKWOdHVuSDS9Kti6H9UiJyVdE/view?usp=drivesdk</v>
      </c>
      <c r="C53" s="336" t="str">
        <f>IFERROR(__xludf.DUMMYFUNCTION("""COMPUTED_VALUE"""),"10.1037--0021-9010.64.6.648.pdf")</f>
        <v>10.1037--0021-9010.64.6.648.pdf</v>
      </c>
      <c r="D53" s="336" t="str">
        <f>IFERROR(__xludf.DUMMYFUNCTION("""COMPUTED_VALUE"""),"application/pdf")</f>
        <v>application/pdf</v>
      </c>
    </row>
    <row r="54">
      <c r="A54" s="156" t="str">
        <f>IFERROR(__xludf.DUMMYFUNCTION("""COMPUTED_VALUE"""),"10.1037/h0027407")</f>
        <v>10.1037/h0027407</v>
      </c>
      <c r="B54" s="442" t="str">
        <f>IFERROR(__xludf.DUMMYFUNCTION("""COMPUTED_VALUE"""),"https://drive.google.com/file/d/1Go4wBGbJgkNpz4Gzrp-0kVVsoMRrHmrZ/view?usp=drivesdk")</f>
        <v>https://drive.google.com/file/d/1Go4wBGbJgkNpz4Gzrp-0kVVsoMRrHmrZ/view?usp=drivesdk</v>
      </c>
      <c r="C54" s="336" t="str">
        <f>IFERROR(__xludf.DUMMYFUNCTION("""COMPUTED_VALUE"""),"10.1037--h0027407.pdf")</f>
        <v>10.1037--h0027407.pdf</v>
      </c>
      <c r="D54" s="336" t="str">
        <f>IFERROR(__xludf.DUMMYFUNCTION("""COMPUTED_VALUE"""),"application/pdf")</f>
        <v>application/pdf</v>
      </c>
    </row>
    <row r="55">
      <c r="A55" s="156" t="str">
        <f>IFERROR(__xludf.DUMMYFUNCTION("""COMPUTED_VALUE"""),"10.1037/apl0000383")</f>
        <v>10.1037/apl0000383</v>
      </c>
      <c r="B55" s="442" t="str">
        <f>IFERROR(__xludf.DUMMYFUNCTION("""COMPUTED_VALUE"""),"https://drive.google.com/file/d/1NCYWY28mySlW6r1Ce1EmPIxlxJnXKEeA/view?usp=drivesdk")</f>
        <v>https://drive.google.com/file/d/1NCYWY28mySlW6r1Ce1EmPIxlxJnXKEeA/view?usp=drivesdk</v>
      </c>
      <c r="C55" s="336" t="str">
        <f>IFERROR(__xludf.DUMMYFUNCTION("""COMPUTED_VALUE"""),"10.1037--apl0000383.pdf")</f>
        <v>10.1037--apl0000383.pdf</v>
      </c>
      <c r="D55" s="336" t="str">
        <f>IFERROR(__xludf.DUMMYFUNCTION("""COMPUTED_VALUE"""),"application/pdf")</f>
        <v>application/pdf</v>
      </c>
    </row>
    <row r="56">
      <c r="A56" s="156" t="str">
        <f>IFERROR(__xludf.DUMMYFUNCTION("""COMPUTED_VALUE"""),"10.1037/pac0000446")</f>
        <v>10.1037/pac0000446</v>
      </c>
      <c r="B56" s="442" t="str">
        <f>IFERROR(__xludf.DUMMYFUNCTION("""COMPUTED_VALUE"""),"https://drive.google.com/file/d/1VWVBxo0R_uSQmNqltg1Izp_wQqjadDat/view?usp=drivesdk")</f>
        <v>https://drive.google.com/file/d/1VWVBxo0R_uSQmNqltg1Izp_wQqjadDat/view?usp=drivesdk</v>
      </c>
      <c r="C56" s="336" t="str">
        <f>IFERROR(__xludf.DUMMYFUNCTION("""COMPUTED_VALUE"""),"10.1037--pac0000446.pdf")</f>
        <v>10.1037--pac0000446.pdf</v>
      </c>
      <c r="D56" s="336" t="str">
        <f>IFERROR(__xludf.DUMMYFUNCTION("""COMPUTED_VALUE"""),"application/pdf")</f>
        <v>application/pdf</v>
      </c>
    </row>
    <row r="57">
      <c r="A57" s="156" t="str">
        <f>IFERROR(__xludf.DUMMYFUNCTION("""COMPUTED_VALUE"""),"10.1037//0021-9010.82.2.247")</f>
        <v>10.1037//0021-9010.82.2.247</v>
      </c>
      <c r="B57" s="442" t="str">
        <f>IFERROR(__xludf.DUMMYFUNCTION("""COMPUTED_VALUE"""),"https://drive.google.com/file/d/1Xg0YhEf3_C2G1OdCppRlgLW9ZMxNhTFk/view?usp=drivesdk")</f>
        <v>https://drive.google.com/file/d/1Xg0YhEf3_C2G1OdCppRlgLW9ZMxNhTFk/view?usp=drivesdk</v>
      </c>
      <c r="C57" s="336" t="str">
        <f>IFERROR(__xludf.DUMMYFUNCTION("""COMPUTED_VALUE"""),"10.1037----0021-9010.82.2.247.pdf")</f>
        <v>10.1037----0021-9010.82.2.247.pdf</v>
      </c>
      <c r="D57" s="336" t="str">
        <f>IFERROR(__xludf.DUMMYFUNCTION("""COMPUTED_VALUE"""),"application/pdf")</f>
        <v>application/pdf</v>
      </c>
    </row>
    <row r="58">
      <c r="A58" s="156" t="str">
        <f>IFERROR(__xludf.DUMMYFUNCTION("""COMPUTED_VALUE"""),"10.1037/apl0000254")</f>
        <v>10.1037/apl0000254</v>
      </c>
      <c r="B58" s="442" t="str">
        <f>IFERROR(__xludf.DUMMYFUNCTION("""COMPUTED_VALUE"""),"https://drive.google.com/file/d/1WRSouUQ1esEyS3H9QQHF6VP3pyZTYfbe/view?usp=drivesdk")</f>
        <v>https://drive.google.com/file/d/1WRSouUQ1esEyS3H9QQHF6VP3pyZTYfbe/view?usp=drivesdk</v>
      </c>
      <c r="C58" s="336" t="str">
        <f>IFERROR(__xludf.DUMMYFUNCTION("""COMPUTED_VALUE"""),"10.1037--apl0000254.pdf")</f>
        <v>10.1037--apl0000254.pdf</v>
      </c>
      <c r="D58" s="336" t="str">
        <f>IFERROR(__xludf.DUMMYFUNCTION("""COMPUTED_VALUE"""),"application/pdf")</f>
        <v>application/pdf</v>
      </c>
    </row>
    <row r="59">
      <c r="A59" s="156" t="str">
        <f>IFERROR(__xludf.DUMMYFUNCTION("""COMPUTED_VALUE"""),"10.1037/bul0000135")</f>
        <v>10.1037/bul0000135</v>
      </c>
      <c r="B59" s="442" t="str">
        <f>IFERROR(__xludf.DUMMYFUNCTION("""COMPUTED_VALUE"""),"https://drive.google.com/file/d/1i-jn6ySTfcPpur-eEzNLl9eDUu63SbrF/view?usp=drivesdk")</f>
        <v>https://drive.google.com/file/d/1i-jn6ySTfcPpur-eEzNLl9eDUu63SbrF/view?usp=drivesdk</v>
      </c>
      <c r="C59" s="336" t="str">
        <f>IFERROR(__xludf.DUMMYFUNCTION("""COMPUTED_VALUE"""),"10.1037--bul0000135.pdf")</f>
        <v>10.1037--bul0000135.pdf</v>
      </c>
      <c r="D59" s="336" t="str">
        <f>IFERROR(__xludf.DUMMYFUNCTION("""COMPUTED_VALUE"""),"application/pdf")</f>
        <v>application/pdf</v>
      </c>
    </row>
    <row r="60">
      <c r="A60" s="156" t="str">
        <f>IFERROR(__xludf.DUMMYFUNCTION("""COMPUTED_VALUE"""),"10.1037/10165-004")</f>
        <v>10.1037/10165-004</v>
      </c>
      <c r="B60" s="442" t="str">
        <f>IFERROR(__xludf.DUMMYFUNCTION("""COMPUTED_VALUE"""),"https://drive.google.com/file/d/1HEFgf5WprkOtnlg5CuC2TbyvztdSsHXA/view?usp=drivesdk")</f>
        <v>https://drive.google.com/file/d/1HEFgf5WprkOtnlg5CuC2TbyvztdSsHXA/view?usp=drivesdk</v>
      </c>
      <c r="C60" s="336" t="str">
        <f>IFERROR(__xludf.DUMMYFUNCTION("""COMPUTED_VALUE"""),"10.1037--10165-004.pdf")</f>
        <v>10.1037--10165-004.pdf</v>
      </c>
      <c r="D60" s="336" t="str">
        <f>IFERROR(__xludf.DUMMYFUNCTION("""COMPUTED_VALUE"""),"application/pdf")</f>
        <v>application/pdf</v>
      </c>
    </row>
    <row r="61">
      <c r="A61" s="156" t="str">
        <f>IFERROR(__xludf.DUMMYFUNCTION("""COMPUTED_VALUE"""),"10.1287/mnsc.2021.4219")</f>
        <v>10.1287/mnsc.2021.4219</v>
      </c>
      <c r="B61" s="442" t="str">
        <f>IFERROR(__xludf.DUMMYFUNCTION("""COMPUTED_VALUE"""),"https://drive.google.com/file/d/1XMQIhbvCTxrEJDpxqZBfVzAvcKmPsrBZ/view?usp=drivesdk")</f>
        <v>https://drive.google.com/file/d/1XMQIhbvCTxrEJDpxqZBfVzAvcKmPsrBZ/view?usp=drivesdk</v>
      </c>
      <c r="C61" s="336" t="str">
        <f>IFERROR(__xludf.DUMMYFUNCTION("""COMPUTED_VALUE"""),"10.1287--mnsc.2021.4219.pdf")</f>
        <v>10.1287--mnsc.2021.4219.pdf</v>
      </c>
      <c r="D61" s="336" t="str">
        <f>IFERROR(__xludf.DUMMYFUNCTION("""COMPUTED_VALUE"""),"application/pdf")</f>
        <v>application/pdf</v>
      </c>
    </row>
    <row r="62">
      <c r="A62" s="156" t="str">
        <f>IFERROR(__xludf.DUMMYFUNCTION("""COMPUTED_VALUE"""),"10.34891/20211105-533")</f>
        <v>10.34891/20211105-533</v>
      </c>
      <c r="B62" s="442" t="str">
        <f>IFERROR(__xludf.DUMMYFUNCTION("""COMPUTED_VALUE"""),"https://drive.google.com/file/d/19YmABhdDCIpdhfD7204UorAKJcVFmGyB/view?usp=drivesdk")</f>
        <v>https://drive.google.com/file/d/19YmABhdDCIpdhfD7204UorAKJcVFmGyB/view?usp=drivesdk</v>
      </c>
      <c r="C62" s="336" t="str">
        <f>IFERROR(__xludf.DUMMYFUNCTION("""COMPUTED_VALUE"""),"10.34891--20211105-533.pdf")</f>
        <v>10.34891--20211105-533.pdf</v>
      </c>
      <c r="D62" s="336" t="str">
        <f>IFERROR(__xludf.DUMMYFUNCTION("""COMPUTED_VALUE"""),"application/pdf")</f>
        <v>application/pdf</v>
      </c>
    </row>
    <row r="63">
      <c r="A63" s="156" t="str">
        <f>IFERROR(__xludf.DUMMYFUNCTION("""COMPUTED_VALUE"""),"10.1111/ijsa.12344")</f>
        <v>10.1111/ijsa.12344</v>
      </c>
      <c r="B63" s="442" t="str">
        <f>IFERROR(__xludf.DUMMYFUNCTION("""COMPUTED_VALUE"""),"https://drive.google.com/file/d/1SOPs2GJBcgw_G0bKtPC4Th7eG_ManoJd/view?usp=drivesdk")</f>
        <v>https://drive.google.com/file/d/1SOPs2GJBcgw_G0bKtPC4Th7eG_ManoJd/view?usp=drivesdk</v>
      </c>
      <c r="C63" s="336" t="str">
        <f>IFERROR(__xludf.DUMMYFUNCTION("""COMPUTED_VALUE"""),"10.1111--ijsa.12344.pdf")</f>
        <v>10.1111--ijsa.12344.pdf</v>
      </c>
      <c r="D63" s="336" t="str">
        <f>IFERROR(__xludf.DUMMYFUNCTION("""COMPUTED_VALUE"""),"application/pdf")</f>
        <v>application/pdf</v>
      </c>
    </row>
    <row r="64">
      <c r="A64" s="156" t="str">
        <f>IFERROR(__xludf.DUMMYFUNCTION("""COMPUTED_VALUE"""),"10.1108/cdi-04-2022-0100")</f>
        <v>10.1108/cdi-04-2022-0100</v>
      </c>
      <c r="B64" s="442" t="str">
        <f>IFERROR(__xludf.DUMMYFUNCTION("""COMPUTED_VALUE"""),"https://drive.google.com/file/d/1yl0jhBdumRyzmMIzcloa9sKFHPhKF8OK/view?usp=drivesdk")</f>
        <v>https://drive.google.com/file/d/1yl0jhBdumRyzmMIzcloa9sKFHPhKF8OK/view?usp=drivesdk</v>
      </c>
      <c r="C64" s="336" t="str">
        <f>IFERROR(__xludf.DUMMYFUNCTION("""COMPUTED_VALUE"""),"10.1108--CDI-04-2022-0100.pdf")</f>
        <v>10.1108--CDI-04-2022-0100.pdf</v>
      </c>
      <c r="D64" s="336" t="str">
        <f>IFERROR(__xludf.DUMMYFUNCTION("""COMPUTED_VALUE"""),"application/pdf")</f>
        <v>application/pdf</v>
      </c>
    </row>
    <row r="65">
      <c r="A65" s="156" t="str">
        <f>IFERROR(__xludf.DUMMYFUNCTION("""COMPUTED_VALUE"""),"10.1108/jocm-10-2020-0332")</f>
        <v>10.1108/jocm-10-2020-0332</v>
      </c>
      <c r="B65" s="442" t="str">
        <f>IFERROR(__xludf.DUMMYFUNCTION("""COMPUTED_VALUE"""),"https://drive.google.com/file/d/1wITfbFPTbRTzHFkX871k1T9s08S1avdD/view?usp=drivesdk")</f>
        <v>https://drive.google.com/file/d/1wITfbFPTbRTzHFkX871k1T9s08S1avdD/view?usp=drivesdk</v>
      </c>
      <c r="C65" s="336" t="str">
        <f>IFERROR(__xludf.DUMMYFUNCTION("""COMPUTED_VALUE"""),"10.1108--JOCM-10-2020-0332.pdf")</f>
        <v>10.1108--JOCM-10-2020-0332.pdf</v>
      </c>
      <c r="D65" s="336" t="str">
        <f>IFERROR(__xludf.DUMMYFUNCTION("""COMPUTED_VALUE"""),"application/pdf")</f>
        <v>application/pdf</v>
      </c>
    </row>
    <row r="66">
      <c r="A66" s="156" t="str">
        <f>IFERROR(__xludf.DUMMYFUNCTION("""COMPUTED_VALUE"""),"10.2307/257060")</f>
        <v>10.2307/257060</v>
      </c>
      <c r="B66" s="442" t="str">
        <f>IFERROR(__xludf.DUMMYFUNCTION("""COMPUTED_VALUE"""),"https://drive.google.com/file/d/1398bbdesLVQD_blh-JVEzern2utYk9f5/view?usp=drivesdk")</f>
        <v>https://drive.google.com/file/d/1398bbdesLVQD_blh-JVEzern2utYk9f5/view?usp=drivesdk</v>
      </c>
      <c r="C66" s="336" t="str">
        <f>IFERROR(__xludf.DUMMYFUNCTION("""COMPUTED_VALUE"""),"10.2307--257060.pdf")</f>
        <v>10.2307--257060.pdf</v>
      </c>
      <c r="D66" s="336" t="str">
        <f>IFERROR(__xludf.DUMMYFUNCTION("""COMPUTED_VALUE"""),"application/pdf")</f>
        <v>application/pdf</v>
      </c>
    </row>
    <row r="67">
      <c r="A67" s="156" t="str">
        <f>IFERROR(__xludf.DUMMYFUNCTION("""COMPUTED_VALUE"""),"10.1177/1742715011429588")</f>
        <v>10.1177/1742715011429588</v>
      </c>
      <c r="B67" s="442" t="str">
        <f>IFERROR(__xludf.DUMMYFUNCTION("""COMPUTED_VALUE"""),"https://drive.google.com/file/d/1guPuG4Yot2C3n3INqBLJT2SUuL7OEVqb/view?usp=drivesdk")</f>
        <v>https://drive.google.com/file/d/1guPuG4Yot2C3n3INqBLJT2SUuL7OEVqb/view?usp=drivesdk</v>
      </c>
      <c r="C67" s="336" t="str">
        <f>IFERROR(__xludf.DUMMYFUNCTION("""COMPUTED_VALUE"""),"10.1177--1742715011429588.pdf")</f>
        <v>10.1177--1742715011429588.pdf</v>
      </c>
      <c r="D67" s="336" t="str">
        <f>IFERROR(__xludf.DUMMYFUNCTION("""COMPUTED_VALUE"""),"application/pdf")</f>
        <v>application/pdf</v>
      </c>
    </row>
    <row r="68">
      <c r="A68" s="156" t="str">
        <f>IFERROR(__xludf.DUMMYFUNCTION("""COMPUTED_VALUE"""),"10.1002/job.336")</f>
        <v>10.1002/job.336</v>
      </c>
      <c r="B68" s="442" t="str">
        <f>IFERROR(__xludf.DUMMYFUNCTION("""COMPUTED_VALUE"""),"https://drive.google.com/file/d/1Ejtm_QBqdgPmIq91-p0tkBvSKLlu6s1b/view?usp=drivesdk")</f>
        <v>https://drive.google.com/file/d/1Ejtm_QBqdgPmIq91-p0tkBvSKLlu6s1b/view?usp=drivesdk</v>
      </c>
      <c r="C68" s="336" t="str">
        <f>IFERROR(__xludf.DUMMYFUNCTION("""COMPUTED_VALUE"""),"10.1002--job.336.pdf")</f>
        <v>10.1002--job.336.pdf</v>
      </c>
      <c r="D68" s="336" t="str">
        <f>IFERROR(__xludf.DUMMYFUNCTION("""COMPUTED_VALUE"""),"application/pdf")</f>
        <v>application/pdf</v>
      </c>
    </row>
    <row r="69">
      <c r="A69" s="156" t="str">
        <f>IFERROR(__xludf.DUMMYFUNCTION("""COMPUTED_VALUE"""),"10.1016/0749-5978(92)90069-j")</f>
        <v>10.1016/0749-5978(92)90069-j</v>
      </c>
      <c r="B69" s="442" t="str">
        <f>IFERROR(__xludf.DUMMYFUNCTION("""COMPUTED_VALUE"""),"https://drive.google.com/file/d/1CebArmOyvhk6TS7GUk7KioJhsZEYW5MG/view?usp=drivesdk")</f>
        <v>https://drive.google.com/file/d/1CebArmOyvhk6TS7GUk7KioJhsZEYW5MG/view?usp=drivesdk</v>
      </c>
      <c r="C69" s="336" t="str">
        <f>IFERROR(__xludf.DUMMYFUNCTION("""COMPUTED_VALUE"""),"10.1016--0749-5978(92)90069-J.pdf")</f>
        <v>10.1016--0749-5978(92)90069-J.pdf</v>
      </c>
      <c r="D69" s="336" t="str">
        <f>IFERROR(__xludf.DUMMYFUNCTION("""COMPUTED_VALUE"""),"application/pdf")</f>
        <v>application/pdf</v>
      </c>
    </row>
    <row r="70">
      <c r="A70" s="156" t="str">
        <f>IFERROR(__xludf.DUMMYFUNCTION("""COMPUTED_VALUE"""),"10.1177/1046496406291560")</f>
        <v>10.1177/1046496406291560</v>
      </c>
      <c r="B70" s="442" t="str">
        <f>IFERROR(__xludf.DUMMYFUNCTION("""COMPUTED_VALUE"""),"https://drive.google.com/file/d/1figCFS9-689vIdjMd__cksJc4UwyJJDs/view?usp=drivesdk")</f>
        <v>https://drive.google.com/file/d/1figCFS9-689vIdjMd__cksJc4UwyJJDs/view?usp=drivesdk</v>
      </c>
      <c r="C70" s="336" t="str">
        <f>IFERROR(__xludf.DUMMYFUNCTION("""COMPUTED_VALUE"""),"10.1177--1046496406291560.pdf")</f>
        <v>10.1177--1046496406291560.pdf</v>
      </c>
      <c r="D70" s="336" t="str">
        <f>IFERROR(__xludf.DUMMYFUNCTION("""COMPUTED_VALUE"""),"application/pdf")</f>
        <v>application/pdf</v>
      </c>
    </row>
    <row r="71">
      <c r="A71" s="156" t="str">
        <f>IFERROR(__xludf.DUMMYFUNCTION("""COMPUTED_VALUE"""),"10.1111/j.1744-6570.2005.00716.x")</f>
        <v>10.1111/j.1744-6570.2005.00716.x</v>
      </c>
      <c r="B71" s="442" t="str">
        <f>IFERROR(__xludf.DUMMYFUNCTION("""COMPUTED_VALUE"""),"https://drive.google.com/file/d/19hXfxJd8AsSuQIlFNb6NcdzuO6Ix_aVZ/view?usp=drivesdk")</f>
        <v>https://drive.google.com/file/d/19hXfxJd8AsSuQIlFNb6NcdzuO6Ix_aVZ/view?usp=drivesdk</v>
      </c>
      <c r="C71" s="336" t="str">
        <f>IFERROR(__xludf.DUMMYFUNCTION("""COMPUTED_VALUE"""),"10.1111--j.1744-6570.2005.00716.x.pdf")</f>
        <v>10.1111--j.1744-6570.2005.00716.x.pdf</v>
      </c>
      <c r="D71" s="336" t="str">
        <f>IFERROR(__xludf.DUMMYFUNCTION("""COMPUTED_VALUE"""),"application/pdf")</f>
        <v>application/pdf</v>
      </c>
    </row>
    <row r="72">
      <c r="A72" s="156" t="str">
        <f>IFERROR(__xludf.DUMMYFUNCTION("""COMPUTED_VALUE"""),"10.1037/0021-9010.93.5.1118")</f>
        <v>10.1037/0021-9010.93.5.1118</v>
      </c>
      <c r="B72" s="442" t="str">
        <f>IFERROR(__xludf.DUMMYFUNCTION("""COMPUTED_VALUE"""),"https://drive.google.com/file/d/1OqNP32KOc_YSqFHpjz4nNvLXQ6zte2pY/view?usp=drivesdk")</f>
        <v>https://drive.google.com/file/d/1OqNP32KOc_YSqFHpjz4nNvLXQ6zte2pY/view?usp=drivesdk</v>
      </c>
      <c r="C72" s="336" t="str">
        <f>IFERROR(__xludf.DUMMYFUNCTION("""COMPUTED_VALUE"""),"10.1037--0021-9010.93.5.1118.pdf")</f>
        <v>10.1037--0021-9010.93.5.1118.pdf</v>
      </c>
      <c r="D72" s="336" t="str">
        <f>IFERROR(__xludf.DUMMYFUNCTION("""COMPUTED_VALUE"""),"application/pdf")</f>
        <v>application/pdf</v>
      </c>
    </row>
    <row r="73">
      <c r="A73" s="156" t="str">
        <f>IFERROR(__xludf.DUMMYFUNCTION("""COMPUTED_VALUE"""),"10.1006/obhd.1997.2743")</f>
        <v>10.1006/obhd.1997.2743</v>
      </c>
      <c r="B73" s="442" t="str">
        <f>IFERROR(__xludf.DUMMYFUNCTION("""COMPUTED_VALUE"""),"https://drive.google.com/file/d/1hqMzD5PLs2nBo4O4BRt_pfkmBBPQxY8A/view?usp=drivesdk")</f>
        <v>https://drive.google.com/file/d/1hqMzD5PLs2nBo4O4BRt_pfkmBBPQxY8A/view?usp=drivesdk</v>
      </c>
      <c r="C73" s="336" t="str">
        <f>IFERROR(__xludf.DUMMYFUNCTION("""COMPUTED_VALUE"""),"10.1006--obhd.1997.2743.pdf")</f>
        <v>10.1006--obhd.1997.2743.pdf</v>
      </c>
      <c r="D73" s="336" t="str">
        <f>IFERROR(__xludf.DUMMYFUNCTION("""COMPUTED_VALUE"""),"application/pdf")</f>
        <v>application/pdf</v>
      </c>
    </row>
    <row r="74">
      <c r="A74" s="156" t="str">
        <f>IFERROR(__xludf.DUMMYFUNCTION("""COMPUTED_VALUE"""),"10.1016/j.leaqua.2010.03.005")</f>
        <v>10.1016/j.leaqua.2010.03.005</v>
      </c>
      <c r="B74" s="442" t="str">
        <f>IFERROR(__xludf.DUMMYFUNCTION("""COMPUTED_VALUE"""),"https://drive.google.com/file/d/1fC5A-rrpNu2GlFxzohOA6Pqyg4sPbju4/view?usp=drivesdk")</f>
        <v>https://drive.google.com/file/d/1fC5A-rrpNu2GlFxzohOA6Pqyg4sPbju4/view?usp=drivesdk</v>
      </c>
      <c r="C74" s="336" t="str">
        <f>IFERROR(__xludf.DUMMYFUNCTION("""COMPUTED_VALUE"""),"10.1016--j.leaqua.2010.03.005.pdf")</f>
        <v>10.1016--j.leaqua.2010.03.005.pdf</v>
      </c>
      <c r="D74" s="336" t="str">
        <f>IFERROR(__xludf.DUMMYFUNCTION("""COMPUTED_VALUE"""),"application/pdf")</f>
        <v>application/pdf</v>
      </c>
    </row>
    <row r="75">
      <c r="A75" s="156" t="str">
        <f>IFERROR(__xludf.DUMMYFUNCTION("""COMPUTED_VALUE"""),"10.1006/obhd.1995.1027")</f>
        <v>10.1006/obhd.1995.1027</v>
      </c>
      <c r="B75" s="677" t="str">
        <f>IFERROR(__xludf.DUMMYFUNCTION("""COMPUTED_VALUE"""),"https://drive.google.com/file/d/1btZJeLpOgMwnUvkiVPW8mNcBNS33N-Jp/view?usp=drivesdk")</f>
        <v>https://drive.google.com/file/d/1btZJeLpOgMwnUvkiVPW8mNcBNS33N-Jp/view?usp=drivesdk</v>
      </c>
      <c r="C75" s="156" t="str">
        <f>IFERROR(__xludf.DUMMYFUNCTION("""COMPUTED_VALUE"""),"10.1006--obhd.1995.1027.pdf")</f>
        <v>10.1006--obhd.1995.1027.pdf</v>
      </c>
      <c r="D75" s="156" t="str">
        <f>IFERROR(__xludf.DUMMYFUNCTION("""COMPUTED_VALUE"""),"application/pdf")</f>
        <v>application/pdf</v>
      </c>
    </row>
    <row r="76">
      <c r="A76" s="156" t="str">
        <f>IFERROR(__xludf.DUMMYFUNCTION("""COMPUTED_VALUE"""),"10.1177/1059601192173010")</f>
        <v>10.1177/1059601192173010</v>
      </c>
      <c r="B76" s="677" t="str">
        <f>IFERROR(__xludf.DUMMYFUNCTION("""COMPUTED_VALUE"""),"https://drive.google.com/file/d/1xO1eFcN3Fyao_5pjlwQOOuiTfEBVgOfl/view?usp=drivesdk")</f>
        <v>https://drive.google.com/file/d/1xO1eFcN3Fyao_5pjlwQOOuiTfEBVgOfl/view?usp=drivesdk</v>
      </c>
      <c r="C76" s="156" t="str">
        <f>IFERROR(__xludf.DUMMYFUNCTION("""COMPUTED_VALUE"""),"10.1177--1059601192173010.pdf")</f>
        <v>10.1177--1059601192173010.pdf</v>
      </c>
      <c r="D76" s="156" t="str">
        <f>IFERROR(__xludf.DUMMYFUNCTION("""COMPUTED_VALUE"""),"application/pdf")</f>
        <v>application/pdf</v>
      </c>
    </row>
    <row r="77">
      <c r="A77" s="156" t="str">
        <f>IFERROR(__xludf.DUMMYFUNCTION("""COMPUTED_VALUE"""),"10.1348/096317907x180360")</f>
        <v>10.1348/096317907x180360</v>
      </c>
      <c r="B77" s="677" t="str">
        <f>IFERROR(__xludf.DUMMYFUNCTION("""COMPUTED_VALUE"""),"https://drive.google.com/file/d/1NY_Mp13alUyeeU19O4R8tHyA3dZA_RqB/view?usp=drivesdk")</f>
        <v>https://drive.google.com/file/d/1NY_Mp13alUyeeU19O4R8tHyA3dZA_RqB/view?usp=drivesdk</v>
      </c>
      <c r="C77" s="156" t="str">
        <f>IFERROR(__xludf.DUMMYFUNCTION("""COMPUTED_VALUE"""),"10.1348--096317907X180360.pdf")</f>
        <v>10.1348--096317907X180360.pdf</v>
      </c>
      <c r="D77" s="156" t="str">
        <f>IFERROR(__xludf.DUMMYFUNCTION("""COMPUTED_VALUE"""),"application/pdf")</f>
        <v>application/pdf</v>
      </c>
    </row>
    <row r="78">
      <c r="A78" s="156" t="str">
        <f>IFERROR(__xludf.DUMMYFUNCTION("""COMPUTED_VALUE"""),"10.5465/amj.2007.25525781")</f>
        <v>10.5465/amj.2007.25525781</v>
      </c>
      <c r="B78" s="677" t="str">
        <f>IFERROR(__xludf.DUMMYFUNCTION("""COMPUTED_VALUE"""),"https://drive.google.com/file/d/14hGv6YTpkiL88RVOElEz602di2Omzr7f/view?usp=drivesdk")</f>
        <v>https://drive.google.com/file/d/14hGv6YTpkiL88RVOElEz602di2Omzr7f/view?usp=drivesdk</v>
      </c>
      <c r="C78" s="156" t="str">
        <f>IFERROR(__xludf.DUMMYFUNCTION("""COMPUTED_VALUE"""),"10.5465--amj.2007.25525781.pdf")</f>
        <v>10.5465--amj.2007.25525781.pdf</v>
      </c>
      <c r="D78" s="156" t="str">
        <f>IFERROR(__xludf.DUMMYFUNCTION("""COMPUTED_VALUE"""),"application/pdf")</f>
        <v>application/pdf</v>
      </c>
    </row>
    <row r="79">
      <c r="A79" s="156" t="str">
        <f>IFERROR(__xludf.DUMMYFUNCTION("""COMPUTED_VALUE"""),"10.1016/j.obhdp.2021.04.001")</f>
        <v>10.1016/j.obhdp.2021.04.001</v>
      </c>
      <c r="B79" s="677" t="str">
        <f>IFERROR(__xludf.DUMMYFUNCTION("""COMPUTED_VALUE"""),"https://drive.google.com/file/d/1gJaw8VmCsIpql6YNiaEbtlS9i9ZvnI4j/view?usp=drivesdk")</f>
        <v>https://drive.google.com/file/d/1gJaw8VmCsIpql6YNiaEbtlS9i9ZvnI4j/view?usp=drivesdk</v>
      </c>
      <c r="C79" s="156" t="str">
        <f>IFERROR(__xludf.DUMMYFUNCTION("""COMPUTED_VALUE"""),"10.1016--j.obhdp.2021.04.001.pdf")</f>
        <v>10.1016--j.obhdp.2021.04.001.pdf</v>
      </c>
      <c r="D79" s="156" t="str">
        <f>IFERROR(__xludf.DUMMYFUNCTION("""COMPUTED_VALUE"""),"application/pdf")</f>
        <v>application/pdf</v>
      </c>
    </row>
    <row r="80">
      <c r="A80" s="156" t="str">
        <f>IFERROR(__xludf.DUMMYFUNCTION("""COMPUTED_VALUE"""),"10.1108/cdi-07-2017-0117")</f>
        <v>10.1108/cdi-07-2017-0117</v>
      </c>
      <c r="B80" s="677" t="str">
        <f>IFERROR(__xludf.DUMMYFUNCTION("""COMPUTED_VALUE"""),"https://drive.google.com/file/d/1lxNyrut30LtG_T4vh_0nc19pFOLnkqB_/view?usp=drivesdk")</f>
        <v>https://drive.google.com/file/d/1lxNyrut30LtG_T4vh_0nc19pFOLnkqB_/view?usp=drivesdk</v>
      </c>
      <c r="C80" s="156" t="str">
        <f>IFERROR(__xludf.DUMMYFUNCTION("""COMPUTED_VALUE"""),"10.1108--CDI-07-2017-0117.pdf")</f>
        <v>10.1108--CDI-07-2017-0117.pdf</v>
      </c>
      <c r="D80" s="156" t="str">
        <f>IFERROR(__xludf.DUMMYFUNCTION("""COMPUTED_VALUE"""),"application/pdf")</f>
        <v>application/pdf</v>
      </c>
    </row>
    <row r="81">
      <c r="A81" s="156" t="str">
        <f>IFERROR(__xludf.DUMMYFUNCTION("""COMPUTED_VALUE"""),"10.1108/02683941111164508")</f>
        <v>10.1108/02683941111164508</v>
      </c>
      <c r="B81" s="677" t="str">
        <f>IFERROR(__xludf.DUMMYFUNCTION("""COMPUTED_VALUE"""),"https://drive.google.com/file/d/1IT9oNkAZ6FDjr30hAo06liqM6KgbzmZ4/view?usp=drivesdk")</f>
        <v>https://drive.google.com/file/d/1IT9oNkAZ6FDjr30hAo06liqM6KgbzmZ4/view?usp=drivesdk</v>
      </c>
      <c r="C81" s="156" t="str">
        <f>IFERROR(__xludf.DUMMYFUNCTION("""COMPUTED_VALUE"""),"10.1108--02683941111164508.pdf")</f>
        <v>10.1108--02683941111164508.pdf</v>
      </c>
      <c r="D81" s="156" t="str">
        <f>IFERROR(__xludf.DUMMYFUNCTION("""COMPUTED_VALUE"""),"application/pdf")</f>
        <v>application/pdf</v>
      </c>
    </row>
    <row r="82">
      <c r="A82" s="156" t="str">
        <f>IFERROR(__xludf.DUMMYFUNCTION("""COMPUTED_VALUE"""),"10.1080/1359432x.2012.673280")</f>
        <v>10.1080/1359432x.2012.673280</v>
      </c>
      <c r="B82" s="677" t="str">
        <f>IFERROR(__xludf.DUMMYFUNCTION("""COMPUTED_VALUE"""),"https://drive.google.com/file/d/1CTMitGghA7LzumLb0G1bazQ0Tn14Zqw7/view?usp=drivesdk")</f>
        <v>https://drive.google.com/file/d/1CTMitGghA7LzumLb0G1bazQ0Tn14Zqw7/view?usp=drivesdk</v>
      </c>
      <c r="C82" s="156" t="str">
        <f>IFERROR(__xludf.DUMMYFUNCTION("""COMPUTED_VALUE"""),"10.1080--1359432X.2012.673280.pdf")</f>
        <v>10.1080--1359432X.2012.673280.pdf</v>
      </c>
      <c r="D82" s="156" t="str">
        <f>IFERROR(__xludf.DUMMYFUNCTION("""COMPUTED_VALUE"""),"application/pdf")</f>
        <v>application/pdf</v>
      </c>
    </row>
    <row r="83">
      <c r="A83" s="156" t="str">
        <f>IFERROR(__xludf.DUMMYFUNCTION("""COMPUTED_VALUE"""),"10.1006/obhd.1999.2828")</f>
        <v>10.1006/obhd.1999.2828</v>
      </c>
      <c r="B83" s="677" t="str">
        <f>IFERROR(__xludf.DUMMYFUNCTION("""COMPUTED_VALUE"""),"https://drive.google.com/file/d/1zfUf9igyV4JLZQHMfABoA7bxu_wA8Z6Z/view?usp=drivesdk")</f>
        <v>https://drive.google.com/file/d/1zfUf9igyV4JLZQHMfABoA7bxu_wA8Z6Z/view?usp=drivesdk</v>
      </c>
      <c r="C83" s="156" t="str">
        <f>IFERROR(__xludf.DUMMYFUNCTION("""COMPUTED_VALUE"""),"10.1006--obhd.1999.2828.pdf")</f>
        <v>10.1006--obhd.1999.2828.pdf</v>
      </c>
      <c r="D83" s="156" t="str">
        <f>IFERROR(__xludf.DUMMYFUNCTION("""COMPUTED_VALUE"""),"application/pdf")</f>
        <v>application/pdf</v>
      </c>
    </row>
    <row r="84">
      <c r="A84" s="156" t="str">
        <f>IFERROR(__xludf.DUMMYFUNCTION("""COMPUTED_VALUE"""),"10.1177/1059601111423532")</f>
        <v>10.1177/1059601111423532</v>
      </c>
      <c r="B84" s="677" t="str">
        <f>IFERROR(__xludf.DUMMYFUNCTION("""COMPUTED_VALUE"""),"https://drive.google.com/file/d/1SdwnFHhjN0wtZdJb1CsMjDk96JOA-3qX/view?usp=drivesdk")</f>
        <v>https://drive.google.com/file/d/1SdwnFHhjN0wtZdJb1CsMjDk96JOA-3qX/view?usp=drivesdk</v>
      </c>
      <c r="C84" s="156" t="str">
        <f>IFERROR(__xludf.DUMMYFUNCTION("""COMPUTED_VALUE"""),"10.1177--1059601111423532.pdf")</f>
        <v>10.1177--1059601111423532.pdf</v>
      </c>
      <c r="D84" s="156" t="str">
        <f>IFERROR(__xludf.DUMMYFUNCTION("""COMPUTED_VALUE"""),"application/pdf")</f>
        <v>application/pdf</v>
      </c>
    </row>
    <row r="85">
      <c r="A85" s="156" t="str">
        <f>IFERROR(__xludf.DUMMYFUNCTION("""COMPUTED_VALUE"""),"10.1037/h0023542")</f>
        <v>10.1037/h0023542</v>
      </c>
      <c r="B85" s="677" t="str">
        <f>IFERROR(__xludf.DUMMYFUNCTION("""COMPUTED_VALUE"""),"https://drive.google.com/file/d/1ThSCbcm9NT9u5rjmqEXoygC-NEFFbBy2/view?usp=drivesdk")</f>
        <v>https://drive.google.com/file/d/1ThSCbcm9NT9u5rjmqEXoygC-NEFFbBy2/view?usp=drivesdk</v>
      </c>
      <c r="C85" s="156" t="str">
        <f>IFERROR(__xludf.DUMMYFUNCTION("""COMPUTED_VALUE"""),"10.1037--h0023542.pdf")</f>
        <v>10.1037--h0023542.pdf</v>
      </c>
      <c r="D85" s="156" t="str">
        <f>IFERROR(__xludf.DUMMYFUNCTION("""COMPUTED_VALUE"""),"application/pdf")</f>
        <v>application/pdf</v>
      </c>
    </row>
    <row r="86">
      <c r="A86" s="156" t="str">
        <f>IFERROR(__xludf.DUMMYFUNCTION("""COMPUTED_VALUE"""),"10.1037/0021-9010.85.6.860")</f>
        <v>10.1037/0021-9010.85.6.860</v>
      </c>
      <c r="B86" s="677" t="str">
        <f>IFERROR(__xludf.DUMMYFUNCTION("""COMPUTED_VALUE"""),"https://drive.google.com/file/d/1YOnZXeIyBoFQpqvd6yBrqbMmDNtPl_I7/view?usp=drivesdk")</f>
        <v>https://drive.google.com/file/d/1YOnZXeIyBoFQpqvd6yBrqbMmDNtPl_I7/view?usp=drivesdk</v>
      </c>
      <c r="C86" s="156" t="str">
        <f>IFERROR(__xludf.DUMMYFUNCTION("""COMPUTED_VALUE"""),"10.1037--0021-9010.85.6.860.pdf")</f>
        <v>10.1037--0021-9010.85.6.860.pdf</v>
      </c>
      <c r="D86" s="156" t="str">
        <f>IFERROR(__xludf.DUMMYFUNCTION("""COMPUTED_VALUE"""),"application/pdf")</f>
        <v>application/pdf</v>
      </c>
    </row>
    <row r="87">
      <c r="A87" s="156" t="str">
        <f>IFERROR(__xludf.DUMMYFUNCTION("""COMPUTED_VALUE"""),"10.1037/0021-9010.69.2.349")</f>
        <v>10.1037/0021-9010.69.2.349</v>
      </c>
      <c r="B87" s="677" t="str">
        <f>IFERROR(__xludf.DUMMYFUNCTION("""COMPUTED_VALUE"""),"https://drive.google.com/file/d/19zetYy8nodSdbgFCvhMoDdfh_hhFri5m/view?usp=drivesdk")</f>
        <v>https://drive.google.com/file/d/19zetYy8nodSdbgFCvhMoDdfh_hhFri5m/view?usp=drivesdk</v>
      </c>
      <c r="C87" s="156" t="str">
        <f>IFERROR(__xludf.DUMMYFUNCTION("""COMPUTED_VALUE"""),"10.1037--0021-9010.69.2.349.pdf")</f>
        <v>10.1037--0021-9010.69.2.349.pdf</v>
      </c>
      <c r="D87" s="156" t="str">
        <f>IFERROR(__xludf.DUMMYFUNCTION("""COMPUTED_VALUE"""),"application/pdf")</f>
        <v>application/pdf</v>
      </c>
    </row>
    <row r="88">
      <c r="A88" s="156" t="str">
        <f>IFERROR(__xludf.DUMMYFUNCTION("""COMPUTED_VALUE"""),"10.1037/apl0000096")</f>
        <v>10.1037/apl0000096</v>
      </c>
      <c r="B88" s="677" t="str">
        <f>IFERROR(__xludf.DUMMYFUNCTION("""COMPUTED_VALUE"""),"https://drive.google.com/file/d/1HgWfF6B0qOcSs0NXi6mXulVTd8c1tH-1/view?usp=drivesdk")</f>
        <v>https://drive.google.com/file/d/1HgWfF6B0qOcSs0NXi6mXulVTd8c1tH-1/view?usp=drivesdk</v>
      </c>
      <c r="C88" s="156" t="str">
        <f>IFERROR(__xludf.DUMMYFUNCTION("""COMPUTED_VALUE"""),"10.1037--apl0000096.pdf")</f>
        <v>10.1037--apl0000096.pdf</v>
      </c>
      <c r="D88" s="156" t="str">
        <f>IFERROR(__xludf.DUMMYFUNCTION("""COMPUTED_VALUE"""),"application/pdf")</f>
        <v>application/pdf</v>
      </c>
    </row>
    <row r="89">
      <c r="A89" s="156" t="str">
        <f>IFERROR(__xludf.DUMMYFUNCTION("""COMPUTED_VALUE"""),"10.1002/job.4030100108")</f>
        <v>10.1002/job.4030100108</v>
      </c>
      <c r="B89" s="677" t="str">
        <f>IFERROR(__xludf.DUMMYFUNCTION("""COMPUTED_VALUE"""),"https://drive.google.com/file/d/194Jg8h9cA9uB0VBCFjZon7jCcE4l0eye/view?usp=drivesdk")</f>
        <v>https://drive.google.com/file/d/194Jg8h9cA9uB0VBCFjZon7jCcE4l0eye/view?usp=drivesdk</v>
      </c>
      <c r="C89" s="156" t="str">
        <f>IFERROR(__xludf.DUMMYFUNCTION("""COMPUTED_VALUE"""),"10.1002--job.4030100108.pdf")</f>
        <v>10.1002--job.4030100108.pdf</v>
      </c>
      <c r="D89" s="156" t="str">
        <f>IFERROR(__xludf.DUMMYFUNCTION("""COMPUTED_VALUE"""),"application/pdf")</f>
        <v>application/pdf</v>
      </c>
    </row>
    <row r="90">
      <c r="A90" s="156" t="str">
        <f>IFERROR(__xludf.DUMMYFUNCTION("""COMPUTED_VALUE"""),"10.1037/0021-9010.66.5.582")</f>
        <v>10.1037/0021-9010.66.5.582</v>
      </c>
      <c r="B90" s="677" t="str">
        <f>IFERROR(__xludf.DUMMYFUNCTION("""COMPUTED_VALUE"""),"https://drive.google.com/file/d/1HKJhYQRUf6q_nkNYE6sPv-RURWvjZEbc/view?usp=drivesdk")</f>
        <v>https://drive.google.com/file/d/1HKJhYQRUf6q_nkNYE6sPv-RURWvjZEbc/view?usp=drivesdk</v>
      </c>
      <c r="C90" s="156" t="str">
        <f>IFERROR(__xludf.DUMMYFUNCTION("""COMPUTED_VALUE"""),"10.1037--0021-9010.66.5.582.pdf")</f>
        <v>10.1037--0021-9010.66.5.582.pdf</v>
      </c>
      <c r="D90" s="156" t="str">
        <f>IFERROR(__xludf.DUMMYFUNCTION("""COMPUTED_VALUE"""),"application/pdf")</f>
        <v>application/pdf</v>
      </c>
    </row>
    <row r="91">
      <c r="A91" s="156" t="str">
        <f>IFERROR(__xludf.DUMMYFUNCTION("""COMPUTED_VALUE"""),"10.1037/0021-9010.70.3.423")</f>
        <v>10.1037/0021-9010.70.3.423</v>
      </c>
      <c r="B91" s="677" t="str">
        <f>IFERROR(__xludf.DUMMYFUNCTION("""COMPUTED_VALUE"""),"https://drive.google.com/file/d/10fDogv4EY5jJW4yYJcCgApBtNRd_p5Zs/view?usp=drivesdk")</f>
        <v>https://drive.google.com/file/d/10fDogv4EY5jJW4yYJcCgApBtNRd_p5Zs/view?usp=drivesdk</v>
      </c>
      <c r="C91" s="156" t="str">
        <f>IFERROR(__xludf.DUMMYFUNCTION("""COMPUTED_VALUE"""),"10.1037--0021-9010.70.3.423.pdf")</f>
        <v>10.1037--0021-9010.70.3.423.pdf</v>
      </c>
      <c r="D91" s="156" t="str">
        <f>IFERROR(__xludf.DUMMYFUNCTION("""COMPUTED_VALUE"""),"application/pdf")</f>
        <v>application/pdf</v>
      </c>
    </row>
    <row r="92">
      <c r="A92" s="156" t="str">
        <f>IFERROR(__xludf.DUMMYFUNCTION("""COMPUTED_VALUE"""),"10.1016/j.obhdp.2003.10.001")</f>
        <v>10.1016/j.obhdp.2003.10.001</v>
      </c>
      <c r="B92" s="677" t="str">
        <f>IFERROR(__xludf.DUMMYFUNCTION("""COMPUTED_VALUE"""),"https://drive.google.com/file/d/1L0JEBu9wmTn9ipTdZ9As779WByZN23cS/view?usp=drivesdk")</f>
        <v>https://drive.google.com/file/d/1L0JEBu9wmTn9ipTdZ9As779WByZN23cS/view?usp=drivesdk</v>
      </c>
      <c r="C92" s="156" t="str">
        <f>IFERROR(__xludf.DUMMYFUNCTION("""COMPUTED_VALUE"""),"10.1016--j.obhdp.2003.10.001.pdf")</f>
        <v>10.1016--j.obhdp.2003.10.001.pdf</v>
      </c>
      <c r="D92" s="156" t="str">
        <f>IFERROR(__xludf.DUMMYFUNCTION("""COMPUTED_VALUE"""),"application/pdf")</f>
        <v>application/pdf</v>
      </c>
    </row>
    <row r="93">
      <c r="A93" s="156" t="str">
        <f>IFERROR(__xludf.DUMMYFUNCTION("""COMPUTED_VALUE"""),"10.1002/job.4030130405")</f>
        <v>10.1002/job.4030130405</v>
      </c>
      <c r="B93" s="677" t="str">
        <f>IFERROR(__xludf.DUMMYFUNCTION("""COMPUTED_VALUE"""),"https://drive.google.com/file/d/12V5ucoeNi9G0bo4IptMdfSpBs3hOz0nf/view?usp=drivesdk")</f>
        <v>https://drive.google.com/file/d/12V5ucoeNi9G0bo4IptMdfSpBs3hOz0nf/view?usp=drivesdk</v>
      </c>
      <c r="C93" s="156" t="str">
        <f>IFERROR(__xludf.DUMMYFUNCTION("""COMPUTED_VALUE"""),"10.1002--job.4030130405.pdf")</f>
        <v>10.1002--job.4030130405.pdf</v>
      </c>
      <c r="D93" s="156" t="str">
        <f>IFERROR(__xludf.DUMMYFUNCTION("""COMPUTED_VALUE"""),"application/pdf")</f>
        <v>application/pdf</v>
      </c>
    </row>
    <row r="94">
      <c r="A94" s="156" t="str">
        <f>IFERROR(__xludf.DUMMYFUNCTION("""COMPUTED_VALUE"""),"10.1016/s1048-9843(97)90031-x")</f>
        <v>10.1016/s1048-9843(97)90031-x</v>
      </c>
      <c r="B94" s="677" t="str">
        <f>IFERROR(__xludf.DUMMYFUNCTION("""COMPUTED_VALUE"""),"https://drive.google.com/file/d/1k1X3bQV9TzCCD4IlqxqPYfdo83h0OHmP/view?usp=drivesdk")</f>
        <v>https://drive.google.com/file/d/1k1X3bQV9TzCCD4IlqxqPYfdo83h0OHmP/view?usp=drivesdk</v>
      </c>
      <c r="C94" s="156" t="str">
        <f>IFERROR(__xludf.DUMMYFUNCTION("""COMPUTED_VALUE"""),"10.1016--S1048-9843(97)90031-X.pdf")</f>
        <v>10.1016--S1048-9843(97)90031-X.pdf</v>
      </c>
      <c r="D94" s="156" t="str">
        <f>IFERROR(__xludf.DUMMYFUNCTION("""COMPUTED_VALUE"""),"application/pdf")</f>
        <v>application/pdf</v>
      </c>
    </row>
    <row r="95">
      <c r="A95" s="156" t="str">
        <f>IFERROR(__xludf.DUMMYFUNCTION("""COMPUTED_VALUE"""),"10.2307/3069445")</f>
        <v>10.2307/3069445</v>
      </c>
      <c r="B95" s="677" t="str">
        <f>IFERROR(__xludf.DUMMYFUNCTION("""COMPUTED_VALUE"""),"https://drive.google.com/file/d/17rBKvr-zjXs3WfrE37F92ZbymbliUh4A/view?usp=drivesdk")</f>
        <v>https://drive.google.com/file/d/17rBKvr-zjXs3WfrE37F92ZbymbliUh4A/view?usp=drivesdk</v>
      </c>
      <c r="C95" s="156" t="str">
        <f>IFERROR(__xludf.DUMMYFUNCTION("""COMPUTED_VALUE"""),"10.2307--3069445.pdf")</f>
        <v>10.2307--3069445.pdf</v>
      </c>
      <c r="D95" s="156" t="str">
        <f>IFERROR(__xludf.DUMMYFUNCTION("""COMPUTED_VALUE"""),"application/pdf")</f>
        <v>application/pdf</v>
      </c>
    </row>
    <row r="96">
      <c r="A96" s="156" t="str">
        <f>IFERROR(__xludf.DUMMYFUNCTION("""COMPUTED_VALUE"""),"10.1002/1099-1379(200008)21:5&lt;487::aid-job57&gt;3.0.co;2-p")</f>
        <v>10.1002/1099-1379(200008)21:5&lt;487::aid-job57&gt;3.0.co;2-p</v>
      </c>
      <c r="B96" s="677" t="str">
        <f>IFERROR(__xludf.DUMMYFUNCTION("""COMPUTED_VALUE"""),"https://drive.google.com/file/d/1QJ1QA_hGVAO4cg0FHDazvy-0h4f5kcZH/view?usp=drivesdk")</f>
        <v>https://drive.google.com/file/d/1QJ1QA_hGVAO4cg0FHDazvy-0h4f5kcZH/view?usp=drivesdk</v>
      </c>
      <c r="C96" s="156" t="str">
        <f>IFERROR(__xludf.DUMMYFUNCTION("""COMPUTED_VALUE"""),"10.1002--1099-1379(200008)21:5&lt;487::AID-JOB57&gt;3.0.CO;2-P.pdf")</f>
        <v>10.1002--1099-1379(200008)21:5&lt;487::AID-JOB57&gt;3.0.CO;2-P.pdf</v>
      </c>
      <c r="D96" s="156" t="str">
        <f>IFERROR(__xludf.DUMMYFUNCTION("""COMPUTED_VALUE"""),"application/pdf")</f>
        <v>application/pdf</v>
      </c>
    </row>
    <row r="97">
      <c r="A97" s="156" t="str">
        <f>IFERROR(__xludf.DUMMYFUNCTION("""COMPUTED_VALUE"""),"10.1002/job.231")</f>
        <v>10.1002/job.231</v>
      </c>
      <c r="B97" s="677" t="str">
        <f>IFERROR(__xludf.DUMMYFUNCTION("""COMPUTED_VALUE"""),"https://drive.google.com/file/d/1Wl-Ma8TYbbwvnivHK1k9fScESSLzvo7E/view?usp=drivesdk")</f>
        <v>https://drive.google.com/file/d/1Wl-Ma8TYbbwvnivHK1k9fScESSLzvo7E/view?usp=drivesdk</v>
      </c>
      <c r="C97" s="156" t="str">
        <f>IFERROR(__xludf.DUMMYFUNCTION("""COMPUTED_VALUE"""),"10.1002--job.231.pdf")</f>
        <v>10.1002--job.231.pdf</v>
      </c>
      <c r="D97" s="156" t="str">
        <f>IFERROR(__xludf.DUMMYFUNCTION("""COMPUTED_VALUE"""),"application/pdf")</f>
        <v>application/pdf</v>
      </c>
    </row>
    <row r="98">
      <c r="A98" s="156" t="str">
        <f>IFERROR(__xludf.DUMMYFUNCTION("""COMPUTED_VALUE"""),"10.1006/obhd.1994.1048")</f>
        <v>10.1006/obhd.1994.1048</v>
      </c>
      <c r="B98" s="677" t="str">
        <f>IFERROR(__xludf.DUMMYFUNCTION("""COMPUTED_VALUE"""),"https://drive.google.com/file/d/1FU29SOZM23s_7QTSoXduUnSJvebTWVgd/view?usp=drivesdk")</f>
        <v>https://drive.google.com/file/d/1FU29SOZM23s_7QTSoXduUnSJvebTWVgd/view?usp=drivesdk</v>
      </c>
      <c r="C98" s="156" t="str">
        <f>IFERROR(__xludf.DUMMYFUNCTION("""COMPUTED_VALUE"""),"10.1006--obhd.1994.1048.pdf")</f>
        <v>10.1006--obhd.1994.1048.pdf</v>
      </c>
      <c r="D98" s="156" t="str">
        <f>IFERROR(__xludf.DUMMYFUNCTION("""COMPUTED_VALUE"""),"application/pdf")</f>
        <v>application/pdf</v>
      </c>
    </row>
    <row r="99">
      <c r="A99" s="156" t="str">
        <f>IFERROR(__xludf.DUMMYFUNCTION("""COMPUTED_VALUE"""),"10.1111/j.1468-2389.2011.00561.x")</f>
        <v>10.1111/j.1468-2389.2011.00561.x</v>
      </c>
      <c r="B99" s="677" t="str">
        <f>IFERROR(__xludf.DUMMYFUNCTION("""COMPUTED_VALUE"""),"https://drive.google.com/file/d/1yJlrubd5xqo8Y46IKMA08QC9JgFEarjo/view?usp=drivesdk")</f>
        <v>https://drive.google.com/file/d/1yJlrubd5xqo8Y46IKMA08QC9JgFEarjo/view?usp=drivesdk</v>
      </c>
      <c r="C99" s="156" t="str">
        <f>IFERROR(__xludf.DUMMYFUNCTION("""COMPUTED_VALUE"""),"10.1111--j.1468-2389.2011.00561.x.pdf")</f>
        <v>10.1111--j.1468-2389.2011.00561.x.pdf</v>
      </c>
      <c r="D99" s="156" t="str">
        <f>IFERROR(__xludf.DUMMYFUNCTION("""COMPUTED_VALUE"""),"application/pdf")</f>
        <v>application/pdf</v>
      </c>
    </row>
    <row r="100">
      <c r="A100" s="156" t="str">
        <f>IFERROR(__xludf.DUMMYFUNCTION("""COMPUTED_VALUE"""),"10.1111/j.1744-6570.1969.tb02301.x")</f>
        <v>10.1111/j.1744-6570.1969.tb02301.x</v>
      </c>
      <c r="B100" s="677" t="str">
        <f>IFERROR(__xludf.DUMMYFUNCTION("""COMPUTED_VALUE"""),"https://drive.google.com/file/d/1mNMSYELyVuOU6TMtfY3_SU3eElANuRCq/view?usp=drivesdk")</f>
        <v>https://drive.google.com/file/d/1mNMSYELyVuOU6TMtfY3_SU3eElANuRCq/view?usp=drivesdk</v>
      </c>
      <c r="C100" s="156" t="str">
        <f>IFERROR(__xludf.DUMMYFUNCTION("""COMPUTED_VALUE"""),"10.1111--j.1744-6570.1969.tb02301.x.pdf")</f>
        <v>10.1111--j.1744-6570.1969.tb02301.x.pdf</v>
      </c>
      <c r="D100" s="156" t="str">
        <f>IFERROR(__xludf.DUMMYFUNCTION("""COMPUTED_VALUE"""),"application/pdf")</f>
        <v>application/pdf</v>
      </c>
    </row>
    <row r="101">
      <c r="A101" s="156" t="str">
        <f>IFERROR(__xludf.DUMMYFUNCTION("""COMPUTED_VALUE"""),"10.1006/obhd.1996.2672")</f>
        <v>10.1006/obhd.1996.2672</v>
      </c>
      <c r="B101" s="677" t="str">
        <f>IFERROR(__xludf.DUMMYFUNCTION("""COMPUTED_VALUE"""),"https://drive.google.com/file/d/1XHwantHHXjvqUA4h_kjIvPYd2kD5Jyx3/view?usp=drivesdk")</f>
        <v>https://drive.google.com/file/d/1XHwantHHXjvqUA4h_kjIvPYd2kD5Jyx3/view?usp=drivesdk</v>
      </c>
      <c r="C101" s="156" t="str">
        <f>IFERROR(__xludf.DUMMYFUNCTION("""COMPUTED_VALUE"""),"10.1006--obhd.1996.2672.pdf")</f>
        <v>10.1006--obhd.1996.2672.pdf</v>
      </c>
      <c r="D101" s="156" t="str">
        <f>IFERROR(__xludf.DUMMYFUNCTION("""COMPUTED_VALUE"""),"application/pdf")</f>
        <v>application/pdf</v>
      </c>
    </row>
    <row r="102">
      <c r="A102" s="156" t="str">
        <f>IFERROR(__xludf.DUMMYFUNCTION("""COMPUTED_VALUE"""),"10.1016/j.leaqua.2020.101423")</f>
        <v>10.1016/j.leaqua.2020.101423</v>
      </c>
      <c r="B102" s="677" t="str">
        <f>IFERROR(__xludf.DUMMYFUNCTION("""COMPUTED_VALUE"""),"https://drive.google.com/file/d/1nUo9WjTZnbERPPJGJ92wTHHh-N_Go9gv/view?usp=drivesdk")</f>
        <v>https://drive.google.com/file/d/1nUo9WjTZnbERPPJGJ92wTHHh-N_Go9gv/view?usp=drivesdk</v>
      </c>
      <c r="C102" s="156" t="str">
        <f>IFERROR(__xludf.DUMMYFUNCTION("""COMPUTED_VALUE"""),"10.1016--j.leaqua.2020.101423.pdf")</f>
        <v>10.1016--j.leaqua.2020.101423.pdf</v>
      </c>
      <c r="D102" s="156" t="str">
        <f>IFERROR(__xludf.DUMMYFUNCTION("""COMPUTED_VALUE"""),"application/pdf")</f>
        <v>application/pdf</v>
      </c>
    </row>
    <row r="103">
      <c r="A103" s="156" t="str">
        <f>IFERROR(__xludf.DUMMYFUNCTION("""COMPUTED_VALUE"""),"10.1108/cdi-12-2018-0327")</f>
        <v>10.1108/cdi-12-2018-0327</v>
      </c>
      <c r="B103" s="677" t="str">
        <f>IFERROR(__xludf.DUMMYFUNCTION("""COMPUTED_VALUE"""),"https://drive.google.com/file/d/1RmoCMP8is9P9i3jndJQRRTlgReQ98ZSI/view?usp=drivesdk")</f>
        <v>https://drive.google.com/file/d/1RmoCMP8is9P9i3jndJQRRTlgReQ98ZSI/view?usp=drivesdk</v>
      </c>
      <c r="C103" s="156" t="str">
        <f>IFERROR(__xludf.DUMMYFUNCTION("""COMPUTED_VALUE"""),"10.1108--CDI-12-2018-0327.pdf")</f>
        <v>10.1108--CDI-12-2018-0327.pdf</v>
      </c>
      <c r="D103" s="156" t="str">
        <f>IFERROR(__xludf.DUMMYFUNCTION("""COMPUTED_VALUE"""),"application/pdf")</f>
        <v>application/pdf</v>
      </c>
    </row>
    <row r="104">
      <c r="A104" s="156" t="str">
        <f>IFERROR(__xludf.DUMMYFUNCTION("""COMPUTED_VALUE"""),"10.1037/0021-9010.88.1.6")</f>
        <v>10.1037/0021-9010.88.1.6</v>
      </c>
      <c r="B104" s="677" t="str">
        <f>IFERROR(__xludf.DUMMYFUNCTION("""COMPUTED_VALUE"""),"https://drive.google.com/file/d/1DfO2lyfbdPCjlRMrEXIYJK5gJAswYfO0/view?usp=drivesdk")</f>
        <v>https://drive.google.com/file/d/1DfO2lyfbdPCjlRMrEXIYJK5gJAswYfO0/view?usp=drivesdk</v>
      </c>
      <c r="C104" s="156" t="str">
        <f>IFERROR(__xludf.DUMMYFUNCTION("""COMPUTED_VALUE"""),"10.1037--0021-9010.88.1.6.pdf")</f>
        <v>10.1037--0021-9010.88.1.6.pdf</v>
      </c>
      <c r="D104" s="156" t="str">
        <f>IFERROR(__xludf.DUMMYFUNCTION("""COMPUTED_VALUE"""),"application/pdf")</f>
        <v>application/pdf</v>
      </c>
    </row>
    <row r="105">
      <c r="A105" s="156" t="str">
        <f>IFERROR(__xludf.DUMMYFUNCTION("""COMPUTED_VALUE"""),"10.1006/obhd.2001.2953")</f>
        <v>10.1006/obhd.2001.2953</v>
      </c>
      <c r="B105" s="677" t="str">
        <f>IFERROR(__xludf.DUMMYFUNCTION("""COMPUTED_VALUE"""),"https://drive.google.com/file/d/1UV1_g6L3rog7I0tTFqXL0l-1RDbnPRHY/view?usp=drivesdk")</f>
        <v>https://drive.google.com/file/d/1UV1_g6L3rog7I0tTFqXL0l-1RDbnPRHY/view?usp=drivesdk</v>
      </c>
      <c r="C105" s="156" t="str">
        <f>IFERROR(__xludf.DUMMYFUNCTION("""COMPUTED_VALUE"""),"10.1006--obhd.2001.2953.pdf")</f>
        <v>10.1006--obhd.2001.2953.pdf</v>
      </c>
      <c r="D105" s="156" t="str">
        <f>IFERROR(__xludf.DUMMYFUNCTION("""COMPUTED_VALUE"""),"application/pdf")</f>
        <v>application/pdf</v>
      </c>
    </row>
    <row r="106">
      <c r="A106" s="156" t="str">
        <f>IFERROR(__xludf.DUMMYFUNCTION("""COMPUTED_VALUE"""),"10.1111/ijsa.12341")</f>
        <v>10.1111/ijsa.12341</v>
      </c>
      <c r="B106" s="677" t="str">
        <f>IFERROR(__xludf.DUMMYFUNCTION("""COMPUTED_VALUE"""),"https://drive.google.com/file/d/1GZc38L64kTG8nJmMzERvJXrILaTjP0DW/view?usp=drivesdk")</f>
        <v>https://drive.google.com/file/d/1GZc38L64kTG8nJmMzERvJXrILaTjP0DW/view?usp=drivesdk</v>
      </c>
      <c r="C106" s="156" t="str">
        <f>IFERROR(__xludf.DUMMYFUNCTION("""COMPUTED_VALUE"""),"10.1111--ijsa.12341.pdf")</f>
        <v>10.1111--ijsa.12341.pdf</v>
      </c>
      <c r="D106" s="156" t="str">
        <f>IFERROR(__xludf.DUMMYFUNCTION("""COMPUTED_VALUE"""),"application/pdf")</f>
        <v>application/pdf</v>
      </c>
    </row>
    <row r="107">
      <c r="A107" s="156" t="str">
        <f>IFERROR(__xludf.DUMMYFUNCTION("""COMPUTED_VALUE"""),"10.1111/j.1744-6570.1997.tb00707.x")</f>
        <v>10.1111/j.1744-6570.1997.tb00707.x</v>
      </c>
      <c r="B107" s="677" t="str">
        <f>IFERROR(__xludf.DUMMYFUNCTION("""COMPUTED_VALUE"""),"https://drive.google.com/file/d/1Tzj9Sha3iMsDcqkoXxX7sF0Tuc0VnEe4/view?usp=drivesdk")</f>
        <v>https://drive.google.com/file/d/1Tzj9Sha3iMsDcqkoXxX7sF0Tuc0VnEe4/view?usp=drivesdk</v>
      </c>
      <c r="C107" s="156" t="str">
        <f>IFERROR(__xludf.DUMMYFUNCTION("""COMPUTED_VALUE"""),"10.1111--j.1744-6570.1997.tb00707.x.pdf")</f>
        <v>10.1111--j.1744-6570.1997.tb00707.x.pdf</v>
      </c>
      <c r="D107" s="156" t="str">
        <f>IFERROR(__xludf.DUMMYFUNCTION("""COMPUTED_VALUE"""),"application/pdf")</f>
        <v>application/pdf</v>
      </c>
    </row>
    <row r="108">
      <c r="A108" s="156" t="str">
        <f>IFERROR(__xludf.DUMMYFUNCTION("""COMPUTED_VALUE"""),"10.1006/obhd.1994.1042")</f>
        <v>10.1006/obhd.1994.1042</v>
      </c>
      <c r="B108" s="677" t="str">
        <f>IFERROR(__xludf.DUMMYFUNCTION("""COMPUTED_VALUE"""),"https://drive.google.com/file/d/1sOq0Q6Aa8an8MKQ0o3Ciqtm1cl3BE9Lh/view?usp=drivesdk")</f>
        <v>https://drive.google.com/file/d/1sOq0Q6Aa8an8MKQ0o3Ciqtm1cl3BE9Lh/view?usp=drivesdk</v>
      </c>
      <c r="C108" s="156" t="str">
        <f>IFERROR(__xludf.DUMMYFUNCTION("""COMPUTED_VALUE"""),"10.1006--obhd.1994.1042.pdf")</f>
        <v>10.1006--obhd.1994.1042.pdf</v>
      </c>
      <c r="D108" s="156" t="str">
        <f>IFERROR(__xludf.DUMMYFUNCTION("""COMPUTED_VALUE"""),"application/pdf")</f>
        <v>application/pdf</v>
      </c>
    </row>
    <row r="109">
      <c r="A109" s="156" t="str">
        <f>IFERROR(__xludf.DUMMYFUNCTION("""COMPUTED_VALUE"""),"10.1016/j.obhdp.2004.03.002")</f>
        <v>10.1016/j.obhdp.2004.03.002</v>
      </c>
      <c r="B109" s="677" t="str">
        <f>IFERROR(__xludf.DUMMYFUNCTION("""COMPUTED_VALUE"""),"https://drive.google.com/file/d/1ZkY7DMQQzu1g1IUTURnCgY3CZCEc0cdK/view?usp=drivesdk")</f>
        <v>https://drive.google.com/file/d/1ZkY7DMQQzu1g1IUTURnCgY3CZCEc0cdK/view?usp=drivesdk</v>
      </c>
      <c r="C109" s="156" t="str">
        <f>IFERROR(__xludf.DUMMYFUNCTION("""COMPUTED_VALUE"""),"10.1016--j.obhdp.2004.03.002.pdf")</f>
        <v>10.1016--j.obhdp.2004.03.002.pdf</v>
      </c>
      <c r="D109" s="156" t="str">
        <f>IFERROR(__xludf.DUMMYFUNCTION("""COMPUTED_VALUE"""),"application/pdf")</f>
        <v>application/pdf</v>
      </c>
    </row>
    <row r="110">
      <c r="A110" s="156" t="str">
        <f>IFERROR(__xludf.DUMMYFUNCTION("""COMPUTED_VALUE"""),"10.1016/j.obhdp.2004.03.002")</f>
        <v>10.1016/j.obhdp.2004.03.002</v>
      </c>
      <c r="B110" s="677" t="str">
        <f>IFERROR(__xludf.DUMMYFUNCTION("""COMPUTED_VALUE"""),"https://drive.google.com/file/d/1fSoLHhIRisJI9mDZEG0MomhXlWLFD1WK/view?usp=drivesdk")</f>
        <v>https://drive.google.com/file/d/1fSoLHhIRisJI9mDZEG0MomhXlWLFD1WK/view?usp=drivesdk</v>
      </c>
      <c r="C110" s="156" t="str">
        <f>IFERROR(__xludf.DUMMYFUNCTION("""COMPUTED_VALUE"""),"10.1016--j.obhdp.2004.03.002.pdf")</f>
        <v>10.1016--j.obhdp.2004.03.002.pdf</v>
      </c>
      <c r="D110" s="156" t="str">
        <f>IFERROR(__xludf.DUMMYFUNCTION("""COMPUTED_VALUE"""),"application/pdf")</f>
        <v>application/pdf</v>
      </c>
    </row>
    <row r="111">
      <c r="A111" s="156" t="str">
        <f>IFERROR(__xludf.DUMMYFUNCTION("""COMPUTED_VALUE"""),"10.1016/j.obhdp.2006.04.004")</f>
        <v>10.1016/j.obhdp.2006.04.004</v>
      </c>
      <c r="B111" s="677" t="str">
        <f>IFERROR(__xludf.DUMMYFUNCTION("""COMPUTED_VALUE"""),"https://drive.google.com/file/d/1K9zfhpj64C1Ct8oqomjeuIl8Jvddu8mU/view?usp=drivesdk")</f>
        <v>https://drive.google.com/file/d/1K9zfhpj64C1Ct8oqomjeuIl8Jvddu8mU/view?usp=drivesdk</v>
      </c>
      <c r="C111" s="156" t="str">
        <f>IFERROR(__xludf.DUMMYFUNCTION("""COMPUTED_VALUE"""),"10.1016--j.obhdp.2006.04.004.pdf")</f>
        <v>10.1016--j.obhdp.2006.04.004.pdf</v>
      </c>
      <c r="D111" s="156" t="str">
        <f>IFERROR(__xludf.DUMMYFUNCTION("""COMPUTED_VALUE"""),"application/pdf")</f>
        <v>application/pdf</v>
      </c>
    </row>
    <row r="112">
      <c r="A112" s="156" t="str">
        <f>IFERROR(__xludf.DUMMYFUNCTION("""COMPUTED_VALUE"""),"10.1037/0021-9010.86.4.684")</f>
        <v>10.1037/0021-9010.86.4.684</v>
      </c>
      <c r="B112" s="677" t="str">
        <f>IFERROR(__xludf.DUMMYFUNCTION("""COMPUTED_VALUE"""),"https://drive.google.com/file/d/13zteTAPC4nEPrpKHGXyU7SOLm8BHT4pt/view?usp=drivesdk")</f>
        <v>https://drive.google.com/file/d/13zteTAPC4nEPrpKHGXyU7SOLm8BHT4pt/view?usp=drivesdk</v>
      </c>
      <c r="C112" s="156" t="str">
        <f>IFERROR(__xludf.DUMMYFUNCTION("""COMPUTED_VALUE"""),"10.1037--0021-9010.86.4.684.pdf")</f>
        <v>10.1037--0021-9010.86.4.684.pdf</v>
      </c>
      <c r="D112" s="156" t="str">
        <f>IFERROR(__xludf.DUMMYFUNCTION("""COMPUTED_VALUE"""),"application/pdf")</f>
        <v>application/pdf</v>
      </c>
    </row>
    <row r="113">
      <c r="A113" s="156" t="str">
        <f>IFERROR(__xludf.DUMMYFUNCTION("""COMPUTED_VALUE"""),"10.1177/001872677402700704")</f>
        <v>10.1177/001872677402700704</v>
      </c>
      <c r="B113" s="677" t="str">
        <f>IFERROR(__xludf.DUMMYFUNCTION("""COMPUTED_VALUE"""),"https://drive.google.com/file/d/1SkBPvLptzBp6Le-HNxUcOPq3JDLbAV8C/view?usp=drivesdk")</f>
        <v>https://drive.google.com/file/d/1SkBPvLptzBp6Le-HNxUcOPq3JDLbAV8C/view?usp=drivesdk</v>
      </c>
      <c r="C113" s="156" t="str">
        <f>IFERROR(__xludf.DUMMYFUNCTION("""COMPUTED_VALUE"""),"10.1177--001872677402700704.pdf")</f>
        <v>10.1177--001872677402700704.pdf</v>
      </c>
      <c r="D113" s="156" t="str">
        <f>IFERROR(__xludf.DUMMYFUNCTION("""COMPUTED_VALUE"""),"application/pdf")</f>
        <v>application/pdf</v>
      </c>
    </row>
    <row r="114">
      <c r="A114" s="156" t="str">
        <f>IFERROR(__xludf.DUMMYFUNCTION("""COMPUTED_VALUE"""),"10.1177/1742715011407386")</f>
        <v>10.1177/1742715011407386</v>
      </c>
      <c r="B114" s="677" t="str">
        <f>IFERROR(__xludf.DUMMYFUNCTION("""COMPUTED_VALUE"""),"https://drive.google.com/file/d/1d3GHtXA-PyNAhFEfmESdyl6NNfjeEBF-/view?usp=drivesdk")</f>
        <v>https://drive.google.com/file/d/1d3GHtXA-PyNAhFEfmESdyl6NNfjeEBF-/view?usp=drivesdk</v>
      </c>
      <c r="C114" s="156" t="str">
        <f>IFERROR(__xludf.DUMMYFUNCTION("""COMPUTED_VALUE"""),"10.1177--1742715011407386.pdf")</f>
        <v>10.1177--1742715011407386.pdf</v>
      </c>
      <c r="D114" s="156" t="str">
        <f>IFERROR(__xludf.DUMMYFUNCTION("""COMPUTED_VALUE"""),"application/pdf")</f>
        <v>application/pdf</v>
      </c>
    </row>
    <row r="115">
      <c r="A115" s="156" t="str">
        <f>IFERROR(__xludf.DUMMYFUNCTION("""COMPUTED_VALUE"""),"10.1037/h0076916")</f>
        <v>10.1037/h0076916</v>
      </c>
      <c r="B115" s="677" t="str">
        <f>IFERROR(__xludf.DUMMYFUNCTION("""COMPUTED_VALUE"""),"https://drive.google.com/file/d/1nF1FuGmRSfPkOfvJoFANBQd2NY3iysUg/view?usp=drivesdk")</f>
        <v>https://drive.google.com/file/d/1nF1FuGmRSfPkOfvJoFANBQd2NY3iysUg/view?usp=drivesdk</v>
      </c>
      <c r="C115" s="156" t="str">
        <f>IFERROR(__xludf.DUMMYFUNCTION("""COMPUTED_VALUE"""),"10.1037--h0076916.pdf")</f>
        <v>10.1037--h0076916.pdf</v>
      </c>
      <c r="D115" s="156" t="str">
        <f>IFERROR(__xludf.DUMMYFUNCTION("""COMPUTED_VALUE"""),"application/pdf")</f>
        <v>application/pdf</v>
      </c>
    </row>
    <row r="116">
      <c r="A116" s="156" t="str">
        <f>IFERROR(__xludf.DUMMYFUNCTION("""COMPUTED_VALUE"""),"10.1037/0021-9010.79.1.77")</f>
        <v>10.1037/0021-9010.79.1.77</v>
      </c>
      <c r="B116" s="677" t="str">
        <f>IFERROR(__xludf.DUMMYFUNCTION("""COMPUTED_VALUE"""),"https://drive.google.com/file/d/1wEhASX6cLcnXw48U7_dF8rsyCNBIxSx1/view?usp=drivesdk")</f>
        <v>https://drive.google.com/file/d/1wEhASX6cLcnXw48U7_dF8rsyCNBIxSx1/view?usp=drivesdk</v>
      </c>
      <c r="C116" s="156" t="str">
        <f>IFERROR(__xludf.DUMMYFUNCTION("""COMPUTED_VALUE"""),"10.1037--0021-9010.79.1.77.pdf")</f>
        <v>10.1037--0021-9010.79.1.77.pdf</v>
      </c>
      <c r="D116" s="156" t="str">
        <f>IFERROR(__xludf.DUMMYFUNCTION("""COMPUTED_VALUE"""),"application/pdf")</f>
        <v>application/pdf</v>
      </c>
    </row>
    <row r="117">
      <c r="A117" s="156" t="str">
        <f>IFERROR(__xludf.DUMMYFUNCTION("""COMPUTED_VALUE"""),"10.1177/001872678103400704")</f>
        <v>10.1177/001872678103400704</v>
      </c>
      <c r="B117" s="677" t="str">
        <f>IFERROR(__xludf.DUMMYFUNCTION("""COMPUTED_VALUE"""),"https://drive.google.com/file/d/16t_ug3CaNusaKCLWcRAMt3OWtKvwyRks/view?usp=drivesdk")</f>
        <v>https://drive.google.com/file/d/16t_ug3CaNusaKCLWcRAMt3OWtKvwyRks/view?usp=drivesdk</v>
      </c>
      <c r="C117" s="156" t="str">
        <f>IFERROR(__xludf.DUMMYFUNCTION("""COMPUTED_VALUE"""),"10.1177--001872678103400704.pdf")</f>
        <v>10.1177--001872678103400704.pdf</v>
      </c>
      <c r="D117" s="156" t="str">
        <f>IFERROR(__xludf.DUMMYFUNCTION("""COMPUTED_VALUE"""),"application/pdf")</f>
        <v>application/pdf</v>
      </c>
    </row>
    <row r="118">
      <c r="A118" s="156" t="str">
        <f>IFERROR(__xludf.DUMMYFUNCTION("""COMPUTED_VALUE"""),"10.1037/0021-9010.74.6.869")</f>
        <v>10.1037/0021-9010.74.6.869</v>
      </c>
      <c r="B118" s="677" t="str">
        <f>IFERROR(__xludf.DUMMYFUNCTION("""COMPUTED_VALUE"""),"https://drive.google.com/file/d/1NGwiQE7OCeLgst8X2rXUXP21dq9Q518c/view?usp=drivesdk")</f>
        <v>https://drive.google.com/file/d/1NGwiQE7OCeLgst8X2rXUXP21dq9Q518c/view?usp=drivesdk</v>
      </c>
      <c r="C118" s="156" t="str">
        <f>IFERROR(__xludf.DUMMYFUNCTION("""COMPUTED_VALUE"""),"10.1037--0021-9010.74.6.869.pdf")</f>
        <v>10.1037--0021-9010.74.6.869.pdf</v>
      </c>
      <c r="D118" s="156" t="str">
        <f>IFERROR(__xludf.DUMMYFUNCTION("""COMPUTED_VALUE"""),"application/pdf")</f>
        <v>application/pdf</v>
      </c>
    </row>
    <row r="119">
      <c r="A119" s="156" t="str">
        <f>IFERROR(__xludf.DUMMYFUNCTION("""COMPUTED_VALUE"""),"10.1177/1059601115625155")</f>
        <v>10.1177/1059601115625155</v>
      </c>
      <c r="B119" s="677" t="str">
        <f>IFERROR(__xludf.DUMMYFUNCTION("""COMPUTED_VALUE"""),"https://drive.google.com/file/d/1S5OEsfFrjvDWZg2UxXrLf8CsebFririY/view?usp=drivesdk")</f>
        <v>https://drive.google.com/file/d/1S5OEsfFrjvDWZg2UxXrLf8CsebFririY/view?usp=drivesdk</v>
      </c>
      <c r="C119" s="156" t="str">
        <f>IFERROR(__xludf.DUMMYFUNCTION("""COMPUTED_VALUE"""),"10.1177--1059601115625155.pdf")</f>
        <v>10.1177--1059601115625155.pdf</v>
      </c>
      <c r="D119" s="156" t="str">
        <f>IFERROR(__xludf.DUMMYFUNCTION("""COMPUTED_VALUE"""),"application/pdf")</f>
        <v>application/pdf</v>
      </c>
    </row>
    <row r="120">
      <c r="A120" s="156" t="str">
        <f>IFERROR(__xludf.DUMMYFUNCTION("""COMPUTED_VALUE"""),"10.1177/001872677002300104")</f>
        <v>10.1177/001872677002300104</v>
      </c>
      <c r="B120" s="677" t="str">
        <f>IFERROR(__xludf.DUMMYFUNCTION("""COMPUTED_VALUE"""),"https://drive.google.com/file/d/17x4KDwm1lZHkbqNrhLMwggDyslBkX0rc/view?usp=drivesdk")</f>
        <v>https://drive.google.com/file/d/17x4KDwm1lZHkbqNrhLMwggDyslBkX0rc/view?usp=drivesdk</v>
      </c>
      <c r="C120" s="156" t="str">
        <f>IFERROR(__xludf.DUMMYFUNCTION("""COMPUTED_VALUE"""),"10.1177--001872677002300104.pdf")</f>
        <v>10.1177--001872677002300104.pdf</v>
      </c>
      <c r="D120" s="156" t="str">
        <f>IFERROR(__xludf.DUMMYFUNCTION("""COMPUTED_VALUE"""),"application/pdf")</f>
        <v>application/pdf</v>
      </c>
    </row>
    <row r="121">
      <c r="A121" s="156" t="str">
        <f>IFERROR(__xludf.DUMMYFUNCTION("""COMPUTED_VALUE"""),"10.2307/256034")</f>
        <v>10.2307/256034</v>
      </c>
      <c r="B121" s="677" t="str">
        <f>IFERROR(__xludf.DUMMYFUNCTION("""COMPUTED_VALUE"""),"https://drive.google.com/file/d/1-MKPgE5eeH2iuqZqvWkLfwVBo0d0nk8p/view?usp=drivesdk")</f>
        <v>https://drive.google.com/file/d/1-MKPgE5eeH2iuqZqvWkLfwVBo0d0nk8p/view?usp=drivesdk</v>
      </c>
      <c r="C121" s="156" t="str">
        <f>IFERROR(__xludf.DUMMYFUNCTION("""COMPUTED_VALUE"""),"10.2307--256034.pdf")</f>
        <v>10.2307--256034.pdf</v>
      </c>
      <c r="D121" s="156" t="str">
        <f>IFERROR(__xludf.DUMMYFUNCTION("""COMPUTED_VALUE"""),"application/pdf")</f>
        <v>application/pdf</v>
      </c>
    </row>
    <row r="122">
      <c r="A122" s="156" t="str">
        <f>IFERROR(__xludf.DUMMYFUNCTION("""COMPUTED_VALUE"""),"10.1037/0021-9010.67.2.245")</f>
        <v>10.1037/0021-9010.67.2.245</v>
      </c>
      <c r="B122" s="677" t="str">
        <f>IFERROR(__xludf.DUMMYFUNCTION("""COMPUTED_VALUE"""),"https://drive.google.com/file/d/15TviLeO9381ETQsop9lJxKkt_zGJpXCM/view?usp=drivesdk")</f>
        <v>https://drive.google.com/file/d/15TviLeO9381ETQsop9lJxKkt_zGJpXCM/view?usp=drivesdk</v>
      </c>
      <c r="C122" s="156" t="str">
        <f>IFERROR(__xludf.DUMMYFUNCTION("""COMPUTED_VALUE"""),"10.1037--0021-9010.67.2.245.pdf")</f>
        <v>10.1037--0021-9010.67.2.245.pdf</v>
      </c>
      <c r="D122" s="156" t="str">
        <f>IFERROR(__xludf.DUMMYFUNCTION("""COMPUTED_VALUE"""),"application/pdf")</f>
        <v>application/pdf</v>
      </c>
    </row>
    <row r="123">
      <c r="A123" s="156" t="str">
        <f>IFERROR(__xludf.DUMMYFUNCTION("""COMPUTED_VALUE"""),"10.2307/255436")</f>
        <v>10.2307/255436</v>
      </c>
      <c r="B123" s="677" t="str">
        <f>IFERROR(__xludf.DUMMYFUNCTION("""COMPUTED_VALUE"""),"https://drive.google.com/file/d/1_C8YFj82OxTlfEGn6_JqVOrerb3Wk9JZ/view?usp=drivesdk")</f>
        <v>https://drive.google.com/file/d/1_C8YFj82OxTlfEGn6_JqVOrerb3Wk9JZ/view?usp=drivesdk</v>
      </c>
      <c r="C123" s="156" t="str">
        <f>IFERROR(__xludf.DUMMYFUNCTION("""COMPUTED_VALUE"""),"10.2307--255436.pdf")</f>
        <v>10.2307--255436.pdf</v>
      </c>
      <c r="D123" s="156" t="str">
        <f>IFERROR(__xludf.DUMMYFUNCTION("""COMPUTED_VALUE"""),"application/pdf")</f>
        <v>application/pdf</v>
      </c>
    </row>
    <row r="124">
      <c r="A124" s="156" t="str">
        <f>IFERROR(__xludf.DUMMYFUNCTION("""COMPUTED_VALUE"""),"10.1037/h0076590")</f>
        <v>10.1037/h0076590</v>
      </c>
      <c r="B124" s="677" t="str">
        <f>IFERROR(__xludf.DUMMYFUNCTION("""COMPUTED_VALUE"""),"https://drive.google.com/file/d/1FJAN3eyWVY5MdaWnh5B4QdBTAYbOGwHg/view?usp=drivesdk")</f>
        <v>https://drive.google.com/file/d/1FJAN3eyWVY5MdaWnh5B4QdBTAYbOGwHg/view?usp=drivesdk</v>
      </c>
      <c r="C124" s="156" t="str">
        <f>IFERROR(__xludf.DUMMYFUNCTION("""COMPUTED_VALUE"""),"10.1037--h0076590.pdf")</f>
        <v>10.1037--h0076590.pdf</v>
      </c>
      <c r="D124" s="156" t="str">
        <f>IFERROR(__xludf.DUMMYFUNCTION("""COMPUTED_VALUE"""),"application/pdf")</f>
        <v>application/pdf</v>
      </c>
    </row>
    <row r="125">
      <c r="A125" s="156" t="str">
        <f>IFERROR(__xludf.DUMMYFUNCTION("""COMPUTED_VALUE"""),"10.2307/256866")</f>
        <v>10.2307/256866</v>
      </c>
      <c r="B125" s="677" t="str">
        <f>IFERROR(__xludf.DUMMYFUNCTION("""COMPUTED_VALUE"""),"https://drive.google.com/file/d/1tGQy62qBemNRdv1CCoRwhShVTPgdpX17/view?usp=drivesdk")</f>
        <v>https://drive.google.com/file/d/1tGQy62qBemNRdv1CCoRwhShVTPgdpX17/view?usp=drivesdk</v>
      </c>
      <c r="C125" s="156" t="str">
        <f>IFERROR(__xludf.DUMMYFUNCTION("""COMPUTED_VALUE"""),"10.2307--256866.pdf")</f>
        <v>10.2307--256866.pdf</v>
      </c>
      <c r="D125" s="156" t="str">
        <f>IFERROR(__xludf.DUMMYFUNCTION("""COMPUTED_VALUE"""),"application/pdf")</f>
        <v>application/pdf</v>
      </c>
    </row>
    <row r="126">
      <c r="A126" s="156" t="str">
        <f>IFERROR(__xludf.DUMMYFUNCTION("""COMPUTED_VALUE"""),"10.1177/001872679905200305")</f>
        <v>10.1177/001872679905200305</v>
      </c>
      <c r="B126" s="677" t="str">
        <f>IFERROR(__xludf.DUMMYFUNCTION("""COMPUTED_VALUE"""),"https://drive.google.com/file/d/12ayHKrk8dWjTGdvI_EykU4V7gASAwsSF/view?usp=drivesdk")</f>
        <v>https://drive.google.com/file/d/12ayHKrk8dWjTGdvI_EykU4V7gASAwsSF/view?usp=drivesdk</v>
      </c>
      <c r="C126" s="156" t="str">
        <f>IFERROR(__xludf.DUMMYFUNCTION("""COMPUTED_VALUE"""),"10.1177--001872679905200305.pdf")</f>
        <v>10.1177--001872679905200305.pdf</v>
      </c>
      <c r="D126" s="156" t="str">
        <f>IFERROR(__xludf.DUMMYFUNCTION("""COMPUTED_VALUE"""),"application/pdf")</f>
        <v>application/pdf</v>
      </c>
    </row>
    <row r="127">
      <c r="A127" s="156" t="str">
        <f>IFERROR(__xludf.DUMMYFUNCTION("""COMPUTED_VALUE"""),"10.2307/20159601")</f>
        <v>10.2307/20159601</v>
      </c>
      <c r="B127" s="677" t="str">
        <f>IFERROR(__xludf.DUMMYFUNCTION("""COMPUTED_VALUE"""),"https://drive.google.com/file/d/1NEjz6HMIxfkz_ig2cAptyyww2c-9xxH2/view?usp=drivesdk")</f>
        <v>https://drive.google.com/file/d/1NEjz6HMIxfkz_ig2cAptyyww2c-9xxH2/view?usp=drivesdk</v>
      </c>
      <c r="C127" s="156" t="str">
        <f>IFERROR(__xludf.DUMMYFUNCTION("""COMPUTED_VALUE"""),"10.2307--20159601.pdf")</f>
        <v>10.2307--20159601.pdf</v>
      </c>
      <c r="D127" s="156" t="str">
        <f>IFERROR(__xludf.DUMMYFUNCTION("""COMPUTED_VALUE"""),"application/pdf")</f>
        <v>application/pdf</v>
      </c>
    </row>
    <row r="128">
      <c r="A128" s="156" t="str">
        <f>IFERROR(__xludf.DUMMYFUNCTION("""COMPUTED_VALUE"""),"10.1177/014920630202800106")</f>
        <v>10.1177/014920630202800106</v>
      </c>
      <c r="B128" s="677" t="str">
        <f>IFERROR(__xludf.DUMMYFUNCTION("""COMPUTED_VALUE"""),"https://drive.google.com/file/d/17xRisFaEdb8sQ_Jnp07PmJvPm3L2ogKT/view?usp=drivesdk")</f>
        <v>https://drive.google.com/file/d/17xRisFaEdb8sQ_Jnp07PmJvPm3L2ogKT/view?usp=drivesdk</v>
      </c>
      <c r="C128" s="156" t="str">
        <f>IFERROR(__xludf.DUMMYFUNCTION("""COMPUTED_VALUE"""),"10.1177--014920630202800106.pdf")</f>
        <v>10.1177--014920630202800106.pdf</v>
      </c>
      <c r="D128" s="156" t="str">
        <f>IFERROR(__xludf.DUMMYFUNCTION("""COMPUTED_VALUE"""),"application/pdf")</f>
        <v>application/pdf</v>
      </c>
    </row>
    <row r="129">
      <c r="A129" s="156" t="str">
        <f>IFERROR(__xludf.DUMMYFUNCTION("""COMPUTED_VALUE"""),"10.1177/0149206312443557")</f>
        <v>10.1177/0149206312443557</v>
      </c>
      <c r="B129" s="677" t="str">
        <f>IFERROR(__xludf.DUMMYFUNCTION("""COMPUTED_VALUE"""),"https://drive.google.com/file/d/1qcpZmyQfWGKyAKm6cAOG429DdPFkwXR1/view?usp=drivesdk")</f>
        <v>https://drive.google.com/file/d/1qcpZmyQfWGKyAKm6cAOG429DdPFkwXR1/view?usp=drivesdk</v>
      </c>
      <c r="C129" s="156" t="str">
        <f>IFERROR(__xludf.DUMMYFUNCTION("""COMPUTED_VALUE"""),"10.1177--0149206312443557.pdf")</f>
        <v>10.1177--0149206312443557.pdf</v>
      </c>
      <c r="D129" s="156" t="str">
        <f>IFERROR(__xludf.DUMMYFUNCTION("""COMPUTED_VALUE"""),"application/pdf")</f>
        <v>application/pdf</v>
      </c>
    </row>
    <row r="130">
      <c r="A130" s="156" t="str">
        <f>IFERROR(__xludf.DUMMYFUNCTION("""COMPUTED_VALUE"""),"10.1111/1467-6486.t01-1-00378")</f>
        <v>10.1111/1467-6486.t01-1-00378</v>
      </c>
      <c r="B130" s="677" t="str">
        <f>IFERROR(__xludf.DUMMYFUNCTION("""COMPUTED_VALUE"""),"https://drive.google.com/file/d/1JPn1_M8M9Ak5XFqjxy1ZwUFV1I8DEUXs/view?usp=drivesdk")</f>
        <v>https://drive.google.com/file/d/1JPn1_M8M9Ak5XFqjxy1ZwUFV1I8DEUXs/view?usp=drivesdk</v>
      </c>
      <c r="C130" s="156" t="str">
        <f>IFERROR(__xludf.DUMMYFUNCTION("""COMPUTED_VALUE"""),"10.1111--1467-6486.t01-1-00378.pdf")</f>
        <v>10.1111--1467-6486.t01-1-00378.pdf</v>
      </c>
      <c r="D130" s="156" t="str">
        <f>IFERROR(__xludf.DUMMYFUNCTION("""COMPUTED_VALUE"""),"application/pdf")</f>
        <v>application/pdf</v>
      </c>
    </row>
    <row r="131">
      <c r="A131" s="156" t="str">
        <f>IFERROR(__xludf.DUMMYFUNCTION("""COMPUTED_VALUE"""),"10.1037/h0032457")</f>
        <v>10.1037/h0032457</v>
      </c>
      <c r="B131" s="677" t="str">
        <f>IFERROR(__xludf.DUMMYFUNCTION("""COMPUTED_VALUE"""),"https://drive.google.com/file/d/1sr1ugEfrG06nBhUzhH_Gqa1HJpQlSeVs/view?usp=drivesdk")</f>
        <v>https://drive.google.com/file/d/1sr1ugEfrG06nBhUzhH_Gqa1HJpQlSeVs/view?usp=drivesdk</v>
      </c>
      <c r="C131" s="156" t="str">
        <f>IFERROR(__xludf.DUMMYFUNCTION("""COMPUTED_VALUE"""),"10.1037--h0032457.pdf")</f>
        <v>10.1037--h0032457.pdf</v>
      </c>
      <c r="D131" s="156" t="str">
        <f>IFERROR(__xludf.DUMMYFUNCTION("""COMPUTED_VALUE"""),"application/pdf")</f>
        <v>application/pdf</v>
      </c>
    </row>
    <row r="132">
      <c r="A132" s="156" t="str">
        <f>IFERROR(__xludf.DUMMYFUNCTION("""COMPUTED_VALUE"""),"10.1016/j.obhdp.2008.02.005")</f>
        <v>10.1016/j.obhdp.2008.02.005</v>
      </c>
      <c r="B132" s="677" t="str">
        <f>IFERROR(__xludf.DUMMYFUNCTION("""COMPUTED_VALUE"""),"https://drive.google.com/file/d/1XFLe1Hj1cy4ps0wY68AyaWppg9yQzf_h/view?usp=drivesdk")</f>
        <v>https://drive.google.com/file/d/1XFLe1Hj1cy4ps0wY68AyaWppg9yQzf_h/view?usp=drivesdk</v>
      </c>
      <c r="C132" s="156" t="str">
        <f>IFERROR(__xludf.DUMMYFUNCTION("""COMPUTED_VALUE"""),"10.1016--j.obhdp.2008.02.005.pdf")</f>
        <v>10.1016--j.obhdp.2008.02.005.pdf</v>
      </c>
      <c r="D132" s="156" t="str">
        <f>IFERROR(__xludf.DUMMYFUNCTION("""COMPUTED_VALUE"""),"application/pdf")</f>
        <v>application/pdf</v>
      </c>
    </row>
    <row r="133">
      <c r="A133" s="156" t="str">
        <f>IFERROR(__xludf.DUMMYFUNCTION("""COMPUTED_VALUE"""),"10.1111/1748-8583.12362")</f>
        <v>10.1111/1748-8583.12362</v>
      </c>
      <c r="B133" s="677" t="str">
        <f>IFERROR(__xludf.DUMMYFUNCTION("""COMPUTED_VALUE"""),"https://drive.google.com/file/d/1y5xcHYwlqQSG-RdbIPIaV7xSFJKHxpCy/view?usp=drivesdk")</f>
        <v>https://drive.google.com/file/d/1y5xcHYwlqQSG-RdbIPIaV7xSFJKHxpCy/view?usp=drivesdk</v>
      </c>
      <c r="C133" s="156" t="str">
        <f>IFERROR(__xludf.DUMMYFUNCTION("""COMPUTED_VALUE"""),"10.1111--1748-8583.12362.pdf")</f>
        <v>10.1111--1748-8583.12362.pdf</v>
      </c>
      <c r="D133" s="156" t="str">
        <f>IFERROR(__xludf.DUMMYFUNCTION("""COMPUTED_VALUE"""),"application/pdf")</f>
        <v>application/pdf</v>
      </c>
    </row>
    <row r="134">
      <c r="A134" s="156" t="str">
        <f>IFERROR(__xludf.DUMMYFUNCTION("""COMPUTED_VALUE"""),"10.2307/256213")</f>
        <v>10.2307/256213</v>
      </c>
      <c r="B134" s="677" t="str">
        <f>IFERROR(__xludf.DUMMYFUNCTION("""COMPUTED_VALUE"""),"https://drive.google.com/file/d/1IeQmY-CX4cnN_NDX35YWzh3kUQPqF8vm/view?usp=drivesdk")</f>
        <v>https://drive.google.com/file/d/1IeQmY-CX4cnN_NDX35YWzh3kUQPqF8vm/view?usp=drivesdk</v>
      </c>
      <c r="C134" s="156" t="str">
        <f>IFERROR(__xludf.DUMMYFUNCTION("""COMPUTED_VALUE"""),"10.2307--256213.pdf")</f>
        <v>10.2307--256213.pdf</v>
      </c>
      <c r="D134" s="156" t="str">
        <f>IFERROR(__xludf.DUMMYFUNCTION("""COMPUTED_VALUE"""),"application/pdf")</f>
        <v>application/pdf</v>
      </c>
    </row>
    <row r="135">
      <c r="A135" s="156" t="str">
        <f>IFERROR(__xludf.DUMMYFUNCTION("""COMPUTED_VALUE"""),"10.1002/job.577")</f>
        <v>10.1002/job.577</v>
      </c>
      <c r="B135" s="677" t="str">
        <f>IFERROR(__xludf.DUMMYFUNCTION("""COMPUTED_VALUE"""),"https://drive.google.com/file/d/16ziL8jSZBvjfI3zCy6I2ljsBrbIOrEm_/view?usp=drivesdk")</f>
        <v>https://drive.google.com/file/d/16ziL8jSZBvjfI3zCy6I2ljsBrbIOrEm_/view?usp=drivesdk</v>
      </c>
      <c r="C135" s="156" t="str">
        <f>IFERROR(__xludf.DUMMYFUNCTION("""COMPUTED_VALUE"""),"10.1002--job.577.pdf")</f>
        <v>10.1002--job.577.pdf</v>
      </c>
      <c r="D135" s="156" t="str">
        <f>IFERROR(__xludf.DUMMYFUNCTION("""COMPUTED_VALUE"""),"application/pdf")</f>
        <v>application/pdf</v>
      </c>
    </row>
    <row r="136">
      <c r="A136" s="156" t="str">
        <f>IFERROR(__xludf.DUMMYFUNCTION("""COMPUTED_VALUE"""),"10.1111/j.1744-6570.1958.tb00037.x")</f>
        <v>10.1111/j.1744-6570.1958.tb00037.x</v>
      </c>
      <c r="B136" s="677" t="str">
        <f>IFERROR(__xludf.DUMMYFUNCTION("""COMPUTED_VALUE"""),"https://drive.google.com/file/d/1dsxU30DbINO2amgF3uqgjlh8wnopIaai/view?usp=drivesdk")</f>
        <v>https://drive.google.com/file/d/1dsxU30DbINO2amgF3uqgjlh8wnopIaai/view?usp=drivesdk</v>
      </c>
      <c r="C136" s="156" t="str">
        <f>IFERROR(__xludf.DUMMYFUNCTION("""COMPUTED_VALUE"""),"10.1111--j.1744-6570.1958.tb00037.x.pdf")</f>
        <v>10.1111--j.1744-6570.1958.tb00037.x.pdf</v>
      </c>
      <c r="D136" s="156" t="str">
        <f>IFERROR(__xludf.DUMMYFUNCTION("""COMPUTED_VALUE"""),"application/pdf")</f>
        <v>application/pdf</v>
      </c>
    </row>
    <row r="137">
      <c r="A137" s="156" t="str">
        <f>IFERROR(__xludf.DUMMYFUNCTION("""COMPUTED_VALUE"""),"10.1037/0021-9010.92.3.786")</f>
        <v>10.1037/0021-9010.92.3.786</v>
      </c>
      <c r="B137" s="677" t="str">
        <f>IFERROR(__xludf.DUMMYFUNCTION("""COMPUTED_VALUE"""),"https://drive.google.com/file/d/1gm7Xp1zy8mbzruAdJsZv3pgRXwVS7RdV/view?usp=drivesdk")</f>
        <v>https://drive.google.com/file/d/1gm7Xp1zy8mbzruAdJsZv3pgRXwVS7RdV/view?usp=drivesdk</v>
      </c>
      <c r="C137" s="156" t="str">
        <f>IFERROR(__xludf.DUMMYFUNCTION("""COMPUTED_VALUE"""),"10.1037--0021-9010.92.3.786.pdf")</f>
        <v>10.1037--0021-9010.92.3.786.pdf</v>
      </c>
      <c r="D137" s="156" t="str">
        <f>IFERROR(__xludf.DUMMYFUNCTION("""COMPUTED_VALUE"""),"application/pdf")</f>
        <v>application/pdf</v>
      </c>
    </row>
    <row r="138">
      <c r="A138" s="156" t="str">
        <f>IFERROR(__xludf.DUMMYFUNCTION("""COMPUTED_VALUE"""),"10.1037/0021-9010.74.3.411")</f>
        <v>10.1037/0021-9010.74.3.411</v>
      </c>
      <c r="B138" s="677" t="str">
        <f>IFERROR(__xludf.DUMMYFUNCTION("""COMPUTED_VALUE"""),"https://drive.google.com/file/d/1A48Wp2HllRYF2gNX5IVcNWg7jEVHx9gz/view?usp=drivesdk")</f>
        <v>https://drive.google.com/file/d/1A48Wp2HllRYF2gNX5IVcNWg7jEVHx9gz/view?usp=drivesdk</v>
      </c>
      <c r="C138" s="156" t="str">
        <f>IFERROR(__xludf.DUMMYFUNCTION("""COMPUTED_VALUE"""),"10.1037--0021-9010.74.3.411.pdf")</f>
        <v>10.1037--0021-9010.74.3.411.pdf</v>
      </c>
      <c r="D138" s="156" t="str">
        <f>IFERROR(__xludf.DUMMYFUNCTION("""COMPUTED_VALUE"""),"application/pdf")</f>
        <v>application/pdf</v>
      </c>
    </row>
    <row r="139">
      <c r="A139" s="156" t="str">
        <f>IFERROR(__xludf.DUMMYFUNCTION("""COMPUTED_VALUE"""),"10.1037/0021-9010.90.3.553")</f>
        <v>10.1037/0021-9010.90.3.553</v>
      </c>
      <c r="B139" s="677" t="str">
        <f>IFERROR(__xludf.DUMMYFUNCTION("""COMPUTED_VALUE"""),"https://drive.google.com/file/d/1yzOy5RyHtPTqW9q46XTc1TaSrjr4Yyrq/view?usp=drivesdk")</f>
        <v>https://drive.google.com/file/d/1yzOy5RyHtPTqW9q46XTc1TaSrjr4Yyrq/view?usp=drivesdk</v>
      </c>
      <c r="C139" s="156" t="str">
        <f>IFERROR(__xludf.DUMMYFUNCTION("""COMPUTED_VALUE"""),"10.1037--0021-9010.90.3.553.pdf")</f>
        <v>10.1037--0021-9010.90.3.553.pdf</v>
      </c>
      <c r="D139" s="156" t="str">
        <f>IFERROR(__xludf.DUMMYFUNCTION("""COMPUTED_VALUE"""),"application/pdf")</f>
        <v>application/pdf</v>
      </c>
    </row>
    <row r="140">
      <c r="A140" s="156" t="str">
        <f>IFERROR(__xludf.DUMMYFUNCTION("""COMPUTED_VALUE"""),"10.1037/0021-9010.86.2.293")</f>
        <v>10.1037/0021-9010.86.2.293</v>
      </c>
      <c r="B140" s="677" t="str">
        <f>IFERROR(__xludf.DUMMYFUNCTION("""COMPUTED_VALUE"""),"https://drive.google.com/file/d/18AFmwQ0RlXza0cLo2LTlHuC2iCQHOPVC/view?usp=drivesdk")</f>
        <v>https://drive.google.com/file/d/18AFmwQ0RlXza0cLo2LTlHuC2iCQHOPVC/view?usp=drivesdk</v>
      </c>
      <c r="C140" s="156" t="str">
        <f>IFERROR(__xludf.DUMMYFUNCTION("""COMPUTED_VALUE"""),"10.1037--0021-9010.86.2.293.pdf")</f>
        <v>10.1037--0021-9010.86.2.293.pdf</v>
      </c>
      <c r="D140" s="156" t="str">
        <f>IFERROR(__xludf.DUMMYFUNCTION("""COMPUTED_VALUE"""),"application/pdf")</f>
        <v>application/pdf</v>
      </c>
    </row>
    <row r="141">
      <c r="A141" s="156" t="str">
        <f>IFERROR(__xludf.DUMMYFUNCTION("""COMPUTED_VALUE"""),"10.1111/1467-6486.00282")</f>
        <v>10.1111/1467-6486.00282</v>
      </c>
      <c r="B141" s="677" t="str">
        <f>IFERROR(__xludf.DUMMYFUNCTION("""COMPUTED_VALUE"""),"https://drive.google.com/file/d/1ENHPOfgO3OSx5WytuJbD2wsrjBNmb2gB/view?usp=drivesdk")</f>
        <v>https://drive.google.com/file/d/1ENHPOfgO3OSx5WytuJbD2wsrjBNmb2gB/view?usp=drivesdk</v>
      </c>
      <c r="C141" s="156" t="str">
        <f>IFERROR(__xludf.DUMMYFUNCTION("""COMPUTED_VALUE"""),"10.1111--1467-6486.00282.pdf")</f>
        <v>10.1111--1467-6486.00282.pdf</v>
      </c>
      <c r="D141" s="156" t="str">
        <f>IFERROR(__xludf.DUMMYFUNCTION("""COMPUTED_VALUE"""),"application/pdf")</f>
        <v>application/pdf</v>
      </c>
    </row>
    <row r="142">
      <c r="A142" s="156" t="str">
        <f>IFERROR(__xludf.DUMMYFUNCTION("""COMPUTED_VALUE"""),"10.1037/0021-9010.70.1.108")</f>
        <v>10.1037/0021-9010.70.1.108</v>
      </c>
      <c r="B142" s="677" t="str">
        <f>IFERROR(__xludf.DUMMYFUNCTION("""COMPUTED_VALUE"""),"https://drive.google.com/file/d/1hNuT-TdVM50Dh3IHVqyLCjDHgLL97kGq/view?usp=drivesdk")</f>
        <v>https://drive.google.com/file/d/1hNuT-TdVM50Dh3IHVqyLCjDHgLL97kGq/view?usp=drivesdk</v>
      </c>
      <c r="C142" s="156" t="str">
        <f>IFERROR(__xludf.DUMMYFUNCTION("""COMPUTED_VALUE"""),"10.1037--0021-9010.70.1.108.pdf")</f>
        <v>10.1037--0021-9010.70.1.108.pdf</v>
      </c>
      <c r="D142" s="156" t="str">
        <f>IFERROR(__xludf.DUMMYFUNCTION("""COMPUTED_VALUE"""),"application/pdf")</f>
        <v>application/pdf</v>
      </c>
    </row>
    <row r="143">
      <c r="A143" s="156" t="str">
        <f>IFERROR(__xludf.DUMMYFUNCTION("""COMPUTED_VALUE"""),"10.1111/peps.12357")</f>
        <v>10.1111/peps.12357</v>
      </c>
      <c r="B143" s="677" t="str">
        <f>IFERROR(__xludf.DUMMYFUNCTION("""COMPUTED_VALUE"""),"https://drive.google.com/file/d/1FqeY0JUGHc4A6lgyu2gPAMkhgeaGNaW-/view?usp=drivesdk")</f>
        <v>https://drive.google.com/file/d/1FqeY0JUGHc4A6lgyu2gPAMkhgeaGNaW-/view?usp=drivesdk</v>
      </c>
      <c r="C143" s="156" t="str">
        <f>IFERROR(__xludf.DUMMYFUNCTION("""COMPUTED_VALUE"""),"10.1111--peps.12357.pdf")</f>
        <v>10.1111--peps.12357.pdf</v>
      </c>
      <c r="D143" s="156" t="str">
        <f>IFERROR(__xludf.DUMMYFUNCTION("""COMPUTED_VALUE"""),"application/pdf")</f>
        <v>application/pdf</v>
      </c>
    </row>
    <row r="144">
      <c r="A144" s="156" t="str">
        <f>IFERROR(__xludf.DUMMYFUNCTION("""COMPUTED_VALUE"""),"10.1037/0021-9010.89.1.150")</f>
        <v>10.1037/0021-9010.89.1.150</v>
      </c>
      <c r="B144" s="677" t="str">
        <f>IFERROR(__xludf.DUMMYFUNCTION("""COMPUTED_VALUE"""),"https://drive.google.com/file/d/1VxSs8rlsmqSHxoyDH3TrPm0jSxVW1uzL/view?usp=drivesdk")</f>
        <v>https://drive.google.com/file/d/1VxSs8rlsmqSHxoyDH3TrPm0jSxVW1uzL/view?usp=drivesdk</v>
      </c>
      <c r="C144" s="156" t="str">
        <f>IFERROR(__xludf.DUMMYFUNCTION("""COMPUTED_VALUE"""),"10.1037--0021-9010.89.1.150.pdf")</f>
        <v>10.1037--0021-9010.89.1.150.pdf</v>
      </c>
      <c r="D144" s="156" t="str">
        <f>IFERROR(__xludf.DUMMYFUNCTION("""COMPUTED_VALUE"""),"application/pdf")</f>
        <v>application/pdf</v>
      </c>
    </row>
    <row r="145">
      <c r="A145" s="156" t="str">
        <f>IFERROR(__xludf.DUMMYFUNCTION("""COMPUTED_VALUE"""),"10.1006/obhd.2001.2956")</f>
        <v>10.1006/obhd.2001.2956</v>
      </c>
      <c r="B145" s="677" t="str">
        <f>IFERROR(__xludf.DUMMYFUNCTION("""COMPUTED_VALUE"""),"https://drive.google.com/file/d/1AxDN1lO8aGVYVkqwStoqiIBEcLZ3tBjh/view?usp=drivesdk")</f>
        <v>https://drive.google.com/file/d/1AxDN1lO8aGVYVkqwStoqiIBEcLZ3tBjh/view?usp=drivesdk</v>
      </c>
      <c r="C145" s="156" t="str">
        <f>IFERROR(__xludf.DUMMYFUNCTION("""COMPUTED_VALUE"""),"10.1006--obhd.2001.2956.pdf")</f>
        <v>10.1006--obhd.2001.2956.pdf</v>
      </c>
      <c r="D145" s="156" t="str">
        <f>IFERROR(__xludf.DUMMYFUNCTION("""COMPUTED_VALUE"""),"application/pdf")</f>
        <v>application/pdf</v>
      </c>
    </row>
    <row r="146">
      <c r="A146" s="156" t="str">
        <f>IFERROR(__xludf.DUMMYFUNCTION("""COMPUTED_VALUE"""),"10.1111/ijsa.12095")</f>
        <v>10.1111/ijsa.12095</v>
      </c>
      <c r="B146" s="677" t="str">
        <f>IFERROR(__xludf.DUMMYFUNCTION("""COMPUTED_VALUE"""),"https://drive.google.com/file/d/1n_Kdh3QRrMvpN-x2XFBVnDzGh9xRcqNM/view?usp=drivesdk")</f>
        <v>https://drive.google.com/file/d/1n_Kdh3QRrMvpN-x2XFBVnDzGh9xRcqNM/view?usp=drivesdk</v>
      </c>
      <c r="C146" s="156" t="str">
        <f>IFERROR(__xludf.DUMMYFUNCTION("""COMPUTED_VALUE"""),"10.1111--ijsa.12095.pdf")</f>
        <v>10.1111--ijsa.12095.pdf</v>
      </c>
      <c r="D146" s="156" t="str">
        <f>IFERROR(__xludf.DUMMYFUNCTION("""COMPUTED_VALUE"""),"application/pdf")</f>
        <v>application/pdf</v>
      </c>
    </row>
    <row r="147">
      <c r="A147" s="156" t="str">
        <f>IFERROR(__xludf.DUMMYFUNCTION("""COMPUTED_VALUE"""),"10.1037/0021-9010.70.3.540")</f>
        <v>10.1037/0021-9010.70.3.540</v>
      </c>
      <c r="B147" s="677" t="str">
        <f>IFERROR(__xludf.DUMMYFUNCTION("""COMPUTED_VALUE"""),"https://drive.google.com/file/d/1JIS73Lg2BDMm6c52zcPRO3mJzXbelLUy/view?usp=drivesdk")</f>
        <v>https://drive.google.com/file/d/1JIS73Lg2BDMm6c52zcPRO3mJzXbelLUy/view?usp=drivesdk</v>
      </c>
      <c r="C147" s="156" t="str">
        <f>IFERROR(__xludf.DUMMYFUNCTION("""COMPUTED_VALUE"""),"10.1037--0021-9010.70.3.540.pdf")</f>
        <v>10.1037--0021-9010.70.3.540.pdf</v>
      </c>
      <c r="D147" s="156" t="str">
        <f>IFERROR(__xludf.DUMMYFUNCTION("""COMPUTED_VALUE"""),"application/pdf")</f>
        <v>application/pdf</v>
      </c>
    </row>
    <row r="148">
      <c r="A148" s="156" t="str">
        <f>IFERROR(__xludf.DUMMYFUNCTION("""COMPUTED_VALUE"""),"10.1037/0021-9010.90.5.1002")</f>
        <v>10.1037/0021-9010.90.5.1002</v>
      </c>
      <c r="B148" s="677" t="str">
        <f>IFERROR(__xludf.DUMMYFUNCTION("""COMPUTED_VALUE"""),"https://drive.google.com/file/d/1AvzMsyrLDlXR5sYqv4e7W5gNCldzc4Az/view?usp=drivesdk")</f>
        <v>https://drive.google.com/file/d/1AvzMsyrLDlXR5sYqv4e7W5gNCldzc4Az/view?usp=drivesdk</v>
      </c>
      <c r="C148" s="156" t="str">
        <f>IFERROR(__xludf.DUMMYFUNCTION("""COMPUTED_VALUE"""),"10.1037--0021-9010.90.5.1002.pdf")</f>
        <v>10.1037--0021-9010.90.5.1002.pdf</v>
      </c>
      <c r="D148" s="156" t="str">
        <f>IFERROR(__xludf.DUMMYFUNCTION("""COMPUTED_VALUE"""),"application/pdf")</f>
        <v>application/pdf</v>
      </c>
    </row>
    <row r="149">
      <c r="A149" s="156" t="str">
        <f>IFERROR(__xludf.DUMMYFUNCTION("""COMPUTED_VALUE"""),"10.1002/(sici)1099-1379(199903)20:2&lt;175::aid-job882&gt;3.0.co;2-e")</f>
        <v>10.1002/(sici)1099-1379(199903)20:2&lt;175::aid-job882&gt;3.0.co;2-e</v>
      </c>
      <c r="B149" s="677" t="str">
        <f>IFERROR(__xludf.DUMMYFUNCTION("""COMPUTED_VALUE"""),"https://drive.google.com/file/d/1Tek4QKDewflsXjmUSyzDZRI8EeKeRVM6/view?usp=drivesdk")</f>
        <v>https://drive.google.com/file/d/1Tek4QKDewflsXjmUSyzDZRI8EeKeRVM6/view?usp=drivesdk</v>
      </c>
      <c r="C149" s="156" t="str">
        <f>IFERROR(__xludf.DUMMYFUNCTION("""COMPUTED_VALUE"""),"10.1002--(SICI)1099-1379(199903)20:2&lt;175::AID-JOB882&gt;3.0.CO;2-E.pdf")</f>
        <v>10.1002--(SICI)1099-1379(199903)20:2&lt;175::AID-JOB882&gt;3.0.CO;2-E.pdf</v>
      </c>
      <c r="D149" s="156" t="str">
        <f>IFERROR(__xludf.DUMMYFUNCTION("""COMPUTED_VALUE"""),"application/pdf")</f>
        <v>application/pdf</v>
      </c>
    </row>
    <row r="150">
      <c r="A150" s="156" t="str">
        <f>IFERROR(__xludf.DUMMYFUNCTION("""COMPUTED_VALUE"""),"10.1111/j.1744-6570.1997.tb01490.x")</f>
        <v>10.1111/j.1744-6570.1997.tb01490.x</v>
      </c>
      <c r="B150" s="677" t="str">
        <f>IFERROR(__xludf.DUMMYFUNCTION("""COMPUTED_VALUE"""),"https://drive.google.com/file/d/15xe_V5k9RTQpZVqg1qKFhmJ1oawQecuS/view?usp=drivesdk")</f>
        <v>https://drive.google.com/file/d/15xe_V5k9RTQpZVqg1qKFhmJ1oawQecuS/view?usp=drivesdk</v>
      </c>
      <c r="C150" s="156" t="str">
        <f>IFERROR(__xludf.DUMMYFUNCTION("""COMPUTED_VALUE"""),"10.1111--j.1744-6570.1997.tb01490.x.pdf")</f>
        <v>10.1111--j.1744-6570.1997.tb01490.x.pdf</v>
      </c>
      <c r="D150" s="156" t="str">
        <f>IFERROR(__xludf.DUMMYFUNCTION("""COMPUTED_VALUE"""),"application/pdf")</f>
        <v>application/pdf</v>
      </c>
    </row>
    <row r="151">
      <c r="A151" s="156" t="str">
        <f>IFERROR(__xludf.DUMMYFUNCTION("""COMPUTED_VALUE"""),"10.1037/0021-9010.85.6.996")</f>
        <v>10.1037/0021-9010.85.6.996</v>
      </c>
      <c r="B151" s="677" t="str">
        <f>IFERROR(__xludf.DUMMYFUNCTION("""COMPUTED_VALUE"""),"https://drive.google.com/file/d/1LTLAR0sx1VhEPiuPBd4cXSmF9Om2NCRO/view?usp=drivesdk")</f>
        <v>https://drive.google.com/file/d/1LTLAR0sx1VhEPiuPBd4cXSmF9Om2NCRO/view?usp=drivesdk</v>
      </c>
      <c r="C151" s="156" t="str">
        <f>IFERROR(__xludf.DUMMYFUNCTION("""COMPUTED_VALUE"""),"10.1037--0021-9010.85.6.996.pdf")</f>
        <v>10.1037--0021-9010.85.6.996.pdf</v>
      </c>
      <c r="D151" s="156" t="str">
        <f>IFERROR(__xludf.DUMMYFUNCTION("""COMPUTED_VALUE"""),"application/pdf")</f>
        <v>application/pdf</v>
      </c>
    </row>
    <row r="152">
      <c r="A152" s="156" t="str">
        <f>IFERROR(__xludf.DUMMYFUNCTION("""COMPUTED_VALUE"""),"10.1111/1468-2389.00132")</f>
        <v>10.1111/1468-2389.00132</v>
      </c>
      <c r="B152" s="677" t="str">
        <f>IFERROR(__xludf.DUMMYFUNCTION("""COMPUTED_VALUE"""),"https://drive.google.com/file/d/1bsa9ewTKv6aoDFvv5XO6HEaALNY6zd6o/view?usp=drivesdk")</f>
        <v>https://drive.google.com/file/d/1bsa9ewTKv6aoDFvv5XO6HEaALNY6zd6o/view?usp=drivesdk</v>
      </c>
      <c r="C152" s="156" t="str">
        <f>IFERROR(__xludf.DUMMYFUNCTION("""COMPUTED_VALUE"""),"10.1111--1468-2389.00132.pdf")</f>
        <v>10.1111--1468-2389.00132.pdf</v>
      </c>
      <c r="D152" s="156" t="str">
        <f>IFERROR(__xludf.DUMMYFUNCTION("""COMPUTED_VALUE"""),"application/pdf")</f>
        <v>application/pdf</v>
      </c>
    </row>
    <row r="153">
      <c r="A153" s="156" t="str">
        <f>IFERROR(__xludf.DUMMYFUNCTION("""COMPUTED_VALUE"""),"10.1037/0021-9010.67.5.640")</f>
        <v>10.1037/0021-9010.67.5.640</v>
      </c>
      <c r="B153" s="677" t="str">
        <f>IFERROR(__xludf.DUMMYFUNCTION("""COMPUTED_VALUE"""),"https://drive.google.com/file/d/1i1CbRERxyKW1FFbhZ8l_KsOGenombCL-/view?usp=drivesdk")</f>
        <v>https://drive.google.com/file/d/1i1CbRERxyKW1FFbhZ8l_KsOGenombCL-/view?usp=drivesdk</v>
      </c>
      <c r="C153" s="156" t="str">
        <f>IFERROR(__xludf.DUMMYFUNCTION("""COMPUTED_VALUE"""),"10.1037--0021-9010.67.5.640.pdf")</f>
        <v>10.1037--0021-9010.67.5.640.pdf</v>
      </c>
      <c r="D153" s="156" t="str">
        <f>IFERROR(__xludf.DUMMYFUNCTION("""COMPUTED_VALUE"""),"application/pdf")</f>
        <v>application/pdf</v>
      </c>
    </row>
    <row r="154">
      <c r="A154" s="156" t="str">
        <f>IFERROR(__xludf.DUMMYFUNCTION("""COMPUTED_VALUE"""),"10.1037/0021-9010.73.3.467")</f>
        <v>10.1037/0021-9010.73.3.467</v>
      </c>
      <c r="B154" s="677" t="str">
        <f>IFERROR(__xludf.DUMMYFUNCTION("""COMPUTED_VALUE"""),"https://drive.google.com/file/d/1V6v17XrOALAlZel_ce1TcDO3tA9wxzSO/view?usp=drivesdk")</f>
        <v>https://drive.google.com/file/d/1V6v17XrOALAlZel_ce1TcDO3tA9wxzSO/view?usp=drivesdk</v>
      </c>
      <c r="C154" s="156" t="str">
        <f>IFERROR(__xludf.DUMMYFUNCTION("""COMPUTED_VALUE"""),"10.1037--0021-9010.73.3.467.pdf")</f>
        <v>10.1037--0021-9010.73.3.467.pdf</v>
      </c>
      <c r="D154" s="156" t="str">
        <f>IFERROR(__xludf.DUMMYFUNCTION("""COMPUTED_VALUE"""),"application/pdf")</f>
        <v>application/pdf</v>
      </c>
    </row>
    <row r="155">
      <c r="A155" s="156" t="str">
        <f>IFERROR(__xludf.DUMMYFUNCTION("""COMPUTED_VALUE"""),"10.1037/0021-9010.87.4.715")</f>
        <v>10.1037/0021-9010.87.4.715</v>
      </c>
      <c r="B155" s="677" t="str">
        <f>IFERROR(__xludf.DUMMYFUNCTION("""COMPUTED_VALUE"""),"https://drive.google.com/file/d/1_EzHR9pcK0ngqgMik_fV8GDpObIK8wd2/view?usp=drivesdk")</f>
        <v>https://drive.google.com/file/d/1_EzHR9pcK0ngqgMik_fV8GDpObIK8wd2/view?usp=drivesdk</v>
      </c>
      <c r="C155" s="156" t="str">
        <f>IFERROR(__xludf.DUMMYFUNCTION("""COMPUTED_VALUE"""),"10.1037--0021-9010.87.4.715.pdf")</f>
        <v>10.1037--0021-9010.87.4.715.pdf</v>
      </c>
      <c r="D155" s="156" t="str">
        <f>IFERROR(__xludf.DUMMYFUNCTION("""COMPUTED_VALUE"""),"application/pdf")</f>
        <v>application/pdf</v>
      </c>
    </row>
    <row r="156">
      <c r="A156" s="156" t="str">
        <f>IFERROR(__xludf.DUMMYFUNCTION("""COMPUTED_VALUE"""),"10.1037/0021-9010.88.3.404")</f>
        <v>10.1037/0021-9010.88.3.404</v>
      </c>
      <c r="B156" s="677" t="str">
        <f>IFERROR(__xludf.DUMMYFUNCTION("""COMPUTED_VALUE"""),"https://drive.google.com/file/d/1mCjJEa0zEdrLp7xaVHvS-ueqh5_YiyPt/view?usp=drivesdk")</f>
        <v>https://drive.google.com/file/d/1mCjJEa0zEdrLp7xaVHvS-ueqh5_YiyPt/view?usp=drivesdk</v>
      </c>
      <c r="C156" s="156" t="str">
        <f>IFERROR(__xludf.DUMMYFUNCTION("""COMPUTED_VALUE"""),"10.1037--0021-9010.88.3.404.pdf")</f>
        <v>10.1037--0021-9010.88.3.404.pdf</v>
      </c>
      <c r="D156" s="156" t="str">
        <f>IFERROR(__xludf.DUMMYFUNCTION("""COMPUTED_VALUE"""),"application/pdf")</f>
        <v>application/pdf</v>
      </c>
    </row>
    <row r="157">
      <c r="A157" s="156" t="str">
        <f>IFERROR(__xludf.DUMMYFUNCTION("""COMPUTED_VALUE"""),"10.1177/0018726707080078")</f>
        <v>10.1177/0018726707080078</v>
      </c>
      <c r="B157" s="677" t="str">
        <f>IFERROR(__xludf.DUMMYFUNCTION("""COMPUTED_VALUE"""),"https://drive.google.com/file/d/1_MG2hCFLSC3hK9JN_Vd97ScYOFkmCeNB/view?usp=drivesdk")</f>
        <v>https://drive.google.com/file/d/1_MG2hCFLSC3hK9JN_Vd97ScYOFkmCeNB/view?usp=drivesdk</v>
      </c>
      <c r="C157" s="156" t="str">
        <f>IFERROR(__xludf.DUMMYFUNCTION("""COMPUTED_VALUE"""),"10.1177--0018726707080078.pdf")</f>
        <v>10.1177--0018726707080078.pdf</v>
      </c>
      <c r="D157" s="156" t="str">
        <f>IFERROR(__xludf.DUMMYFUNCTION("""COMPUTED_VALUE"""),"application/pdf")</f>
        <v>application/pdf</v>
      </c>
    </row>
    <row r="158">
      <c r="A158" s="156" t="str">
        <f>IFERROR(__xludf.DUMMYFUNCTION("""COMPUTED_VALUE"""),"10.1108/lodj-09-2012-0121")</f>
        <v>10.1108/lodj-09-2012-0121</v>
      </c>
      <c r="B158" s="677" t="str">
        <f>IFERROR(__xludf.DUMMYFUNCTION("""COMPUTED_VALUE"""),"https://drive.google.com/file/d/1nLVCcdv_66nYF2sRvhid60_rUR9xBJTg/view?usp=drivesdk")</f>
        <v>https://drive.google.com/file/d/1nLVCcdv_66nYF2sRvhid60_rUR9xBJTg/view?usp=drivesdk</v>
      </c>
      <c r="C158" s="156" t="str">
        <f>IFERROR(__xludf.DUMMYFUNCTION("""COMPUTED_VALUE"""),"10.1108--LODJ-09-2012-0121.pdf")</f>
        <v>10.1108--LODJ-09-2012-0121.pdf</v>
      </c>
      <c r="D158" s="156" t="str">
        <f>IFERROR(__xludf.DUMMYFUNCTION("""COMPUTED_VALUE"""),"application/pdf")</f>
        <v>application/pdf</v>
      </c>
    </row>
    <row r="159">
      <c r="A159" s="156" t="str">
        <f>IFERROR(__xludf.DUMMYFUNCTION("""COMPUTED_VALUE"""),"10.1080/1359432x.2019.1677609")</f>
        <v>10.1080/1359432x.2019.1677609</v>
      </c>
      <c r="B159" s="677" t="str">
        <f>IFERROR(__xludf.DUMMYFUNCTION("""COMPUTED_VALUE"""),"https://drive.google.com/file/d/15reetxk-u0hOy-vfR2jI4B4Tpns5w20E/view?usp=drivesdk")</f>
        <v>https://drive.google.com/file/d/15reetxk-u0hOy-vfR2jI4B4Tpns5w20E/view?usp=drivesdk</v>
      </c>
      <c r="C159" s="156" t="str">
        <f>IFERROR(__xludf.DUMMYFUNCTION("""COMPUTED_VALUE"""),"10.1080--1359432X.2019.1677609.pdf")</f>
        <v>10.1080--1359432X.2019.1677609.pdf</v>
      </c>
      <c r="D159" s="156" t="str">
        <f>IFERROR(__xludf.DUMMYFUNCTION("""COMPUTED_VALUE"""),"application/pdf")</f>
        <v>application/pdf</v>
      </c>
    </row>
    <row r="160">
      <c r="A160" s="156" t="str">
        <f>IFERROR(__xludf.DUMMYFUNCTION("""COMPUTED_VALUE"""),"10.1348/096317908x280935")</f>
        <v>10.1348/096317908x280935</v>
      </c>
      <c r="B160" s="677" t="str">
        <f>IFERROR(__xludf.DUMMYFUNCTION("""COMPUTED_VALUE"""),"https://drive.google.com/file/d/1IpWFLyUE9G-tAeYRc1SQmc72yXV_hf4B/view?usp=drivesdk")</f>
        <v>https://drive.google.com/file/d/1IpWFLyUE9G-tAeYRc1SQmc72yXV_hf4B/view?usp=drivesdk</v>
      </c>
      <c r="C160" s="156" t="str">
        <f>IFERROR(__xludf.DUMMYFUNCTION("""COMPUTED_VALUE"""),"10.1348--096317908X280935.pdf")</f>
        <v>10.1348--096317908X280935.pdf</v>
      </c>
      <c r="D160" s="156" t="str">
        <f>IFERROR(__xludf.DUMMYFUNCTION("""COMPUTED_VALUE"""),"application/pdf")</f>
        <v>application/pdf</v>
      </c>
    </row>
    <row r="161">
      <c r="A161" s="156" t="str">
        <f>IFERROR(__xludf.DUMMYFUNCTION("""COMPUTED_VALUE"""),"10.1177/001872679404700703")</f>
        <v>10.1177/001872679404700703</v>
      </c>
      <c r="B161" s="677" t="str">
        <f>IFERROR(__xludf.DUMMYFUNCTION("""COMPUTED_VALUE"""),"https://drive.google.com/file/d/1Vy08NiNuTh9JYWcF1W2Vf2axFtKh4drW/view?usp=drivesdk")</f>
        <v>https://drive.google.com/file/d/1Vy08NiNuTh9JYWcF1W2Vf2axFtKh4drW/view?usp=drivesdk</v>
      </c>
      <c r="C161" s="156" t="str">
        <f>IFERROR(__xludf.DUMMYFUNCTION("""COMPUTED_VALUE"""),"10.1177--001872679404700703.pdf")</f>
        <v>10.1177--001872679404700703.pdf</v>
      </c>
      <c r="D161" s="156" t="str">
        <f>IFERROR(__xludf.DUMMYFUNCTION("""COMPUTED_VALUE"""),"application/pdf")</f>
        <v>application/pdf</v>
      </c>
    </row>
    <row r="162">
      <c r="A162" s="156" t="str">
        <f>IFERROR(__xludf.DUMMYFUNCTION("""COMPUTED_VALUE"""),"10.1111/j.2044-8325.2011.02046.x")</f>
        <v>10.1111/j.2044-8325.2011.02046.x</v>
      </c>
      <c r="B162" s="677" t="str">
        <f>IFERROR(__xludf.DUMMYFUNCTION("""COMPUTED_VALUE"""),"https://drive.google.com/file/d/16T75K2ElhxvGzIP1ipvvQWXWcnxAXrX5/view?usp=drivesdk")</f>
        <v>https://drive.google.com/file/d/16T75K2ElhxvGzIP1ipvvQWXWcnxAXrX5/view?usp=drivesdk</v>
      </c>
      <c r="C162" s="156" t="str">
        <f>IFERROR(__xludf.DUMMYFUNCTION("""COMPUTED_VALUE"""),"10.1111--j.2044-8325.2011.02046.x.pdf")</f>
        <v>10.1111--j.2044-8325.2011.02046.x.pdf</v>
      </c>
      <c r="D162" s="156" t="str">
        <f>IFERROR(__xludf.DUMMYFUNCTION("""COMPUTED_VALUE"""),"application/pdf")</f>
        <v>application/pdf</v>
      </c>
    </row>
    <row r="163">
      <c r="A163" s="156" t="str">
        <f>IFERROR(__xludf.DUMMYFUNCTION("""COMPUTED_VALUE"""),"10.1111/1467-6486.00108")</f>
        <v>10.1111/1467-6486.00108</v>
      </c>
      <c r="B163" s="677" t="str">
        <f>IFERROR(__xludf.DUMMYFUNCTION("""COMPUTED_VALUE"""),"https://drive.google.com/file/d/12kl7B_gN5NAhDlyqunW2AObCMtswBLHg/view?usp=drivesdk")</f>
        <v>https://drive.google.com/file/d/12kl7B_gN5NAhDlyqunW2AObCMtswBLHg/view?usp=drivesdk</v>
      </c>
      <c r="C163" s="156" t="str">
        <f>IFERROR(__xludf.DUMMYFUNCTION("""COMPUTED_VALUE"""),"10.1111--1467-6486.00108.pdf")</f>
        <v>10.1111--1467-6486.00108.pdf</v>
      </c>
      <c r="D163" s="156" t="str">
        <f>IFERROR(__xludf.DUMMYFUNCTION("""COMPUTED_VALUE"""),"application/pdf")</f>
        <v>application/pdf</v>
      </c>
    </row>
    <row r="164">
      <c r="A164" s="156" t="str">
        <f>IFERROR(__xludf.DUMMYFUNCTION("""COMPUTED_VALUE"""),"10.1108/02683941011048373")</f>
        <v>10.1108/02683941011048373</v>
      </c>
      <c r="B164" s="677" t="str">
        <f>IFERROR(__xludf.DUMMYFUNCTION("""COMPUTED_VALUE"""),"https://drive.google.com/file/d/1y6WGFS3SYXDWhx4DUfRNBiJJJw0zcU9I/view?usp=drivesdk")</f>
        <v>https://drive.google.com/file/d/1y6WGFS3SYXDWhx4DUfRNBiJJJw0zcU9I/view?usp=drivesdk</v>
      </c>
      <c r="C164" s="156" t="str">
        <f>IFERROR(__xludf.DUMMYFUNCTION("""COMPUTED_VALUE"""),"10.1108--02683941011048373.pdf")</f>
        <v>10.1108--02683941011048373.pdf</v>
      </c>
      <c r="D164" s="156" t="str">
        <f>IFERROR(__xludf.DUMMYFUNCTION("""COMPUTED_VALUE"""),"application/pdf")</f>
        <v>application/pdf</v>
      </c>
    </row>
    <row r="165">
      <c r="A165" s="156" t="str">
        <f>IFERROR(__xludf.DUMMYFUNCTION("""COMPUTED_VALUE"""),"10.1002/hrm.20418")</f>
        <v>10.1002/hrm.20418</v>
      </c>
      <c r="B165" s="677" t="str">
        <f>IFERROR(__xludf.DUMMYFUNCTION("""COMPUTED_VALUE"""),"https://drive.google.com/file/d/1ao4tQCyXI8ZxraKax0MLjjmpUVIrrFTd/view?usp=drivesdk")</f>
        <v>https://drive.google.com/file/d/1ao4tQCyXI8ZxraKax0MLjjmpUVIrrFTd/view?usp=drivesdk</v>
      </c>
      <c r="C165" s="156" t="str">
        <f>IFERROR(__xludf.DUMMYFUNCTION("""COMPUTED_VALUE"""),"10.1002--hrm.20418.pdf")</f>
        <v>10.1002--hrm.20418.pdf</v>
      </c>
      <c r="D165" s="156" t="str">
        <f>IFERROR(__xludf.DUMMYFUNCTION("""COMPUTED_VALUE"""),"application/pdf")</f>
        <v>application/pdf</v>
      </c>
    </row>
    <row r="166">
      <c r="A166" s="156" t="str">
        <f>IFERROR(__xludf.DUMMYFUNCTION("""COMPUTED_VALUE"""),"10.1016/j.leaqua.2014.11.005")</f>
        <v>10.1016/j.leaqua.2014.11.005</v>
      </c>
      <c r="B166" s="677" t="str">
        <f>IFERROR(__xludf.DUMMYFUNCTION("""COMPUTED_VALUE"""),"https://drive.google.com/file/d/1EG5ZqNiwCNQczFoJvA0qgtnaMaJN7DjJ/view?usp=drivesdk")</f>
        <v>https://drive.google.com/file/d/1EG5ZqNiwCNQczFoJvA0qgtnaMaJN7DjJ/view?usp=drivesdk</v>
      </c>
      <c r="C166" s="156" t="str">
        <f>IFERROR(__xludf.DUMMYFUNCTION("""COMPUTED_VALUE"""),"10.1016--j.leaqua.2014.11.005.pdf")</f>
        <v>10.1016--j.leaqua.2014.11.005.pdf</v>
      </c>
      <c r="D166" s="156" t="str">
        <f>IFERROR(__xludf.DUMMYFUNCTION("""COMPUTED_VALUE"""),"application/pdf")</f>
        <v>application/pdf</v>
      </c>
    </row>
    <row r="167">
      <c r="A167" s="156" t="str">
        <f>IFERROR(__xludf.DUMMYFUNCTION("""COMPUTED_VALUE"""),"10.1037/a0024739")</f>
        <v>10.1037/a0024739</v>
      </c>
      <c r="B167" s="677" t="str">
        <f>IFERROR(__xludf.DUMMYFUNCTION("""COMPUTED_VALUE"""),"https://drive.google.com/file/d/1A-wGvCZNEQ7az_ALsu-ACa_3AsMfQT49/view?usp=drivesdk")</f>
        <v>https://drive.google.com/file/d/1A-wGvCZNEQ7az_ALsu-ACa_3AsMfQT49/view?usp=drivesdk</v>
      </c>
      <c r="C167" s="156" t="str">
        <f>IFERROR(__xludf.DUMMYFUNCTION("""COMPUTED_VALUE"""),"10.1037--a0024739.pdf")</f>
        <v>10.1037--a0024739.pdf</v>
      </c>
      <c r="D167" s="156" t="str">
        <f>IFERROR(__xludf.DUMMYFUNCTION("""COMPUTED_VALUE"""),"application/pdf")</f>
        <v>application/pdf</v>
      </c>
    </row>
    <row r="168">
      <c r="A168" s="156" t="str">
        <f>IFERROR(__xludf.DUMMYFUNCTION("""COMPUTED_VALUE"""),"10.1108/lodj-08-2012-0097")</f>
        <v>10.1108/lodj-08-2012-0097</v>
      </c>
      <c r="B168" s="677" t="str">
        <f>IFERROR(__xludf.DUMMYFUNCTION("""COMPUTED_VALUE"""),"https://drive.google.com/file/d/1oHwAEcQrTCmOHPcPPh29idBejLo5Zg6Y/view?usp=drivesdk")</f>
        <v>https://drive.google.com/file/d/1oHwAEcQrTCmOHPcPPh29idBejLo5Zg6Y/view?usp=drivesdk</v>
      </c>
      <c r="C168" s="156" t="str">
        <f>IFERROR(__xludf.DUMMYFUNCTION("""COMPUTED_VALUE"""),"10.1108--LODJ-08-2012-0097.pdf")</f>
        <v>10.1108--LODJ-08-2012-0097.pdf</v>
      </c>
      <c r="D168" s="156" t="str">
        <f>IFERROR(__xludf.DUMMYFUNCTION("""COMPUTED_VALUE"""),"application/pdf")</f>
        <v>application/pdf</v>
      </c>
    </row>
    <row r="169">
      <c r="A169" s="156" t="str">
        <f>IFERROR(__xludf.DUMMYFUNCTION("""COMPUTED_VALUE"""),"10.1348/0963179041752691")</f>
        <v>10.1348/0963179041752691</v>
      </c>
      <c r="B169" s="677" t="str">
        <f>IFERROR(__xludf.DUMMYFUNCTION("""COMPUTED_VALUE"""),"https://drive.google.com/file/d/1LTsn9mOcJwq9UJlCnngwgrmXQJ2qTkCy/view?usp=drivesdk")</f>
        <v>https://drive.google.com/file/d/1LTsn9mOcJwq9UJlCnngwgrmXQJ2qTkCy/view?usp=drivesdk</v>
      </c>
      <c r="C169" s="156" t="str">
        <f>IFERROR(__xludf.DUMMYFUNCTION("""COMPUTED_VALUE"""),"10.1348--0963179041752691.pdf")</f>
        <v>10.1348--0963179041752691.pdf</v>
      </c>
      <c r="D169" s="156" t="str">
        <f>IFERROR(__xludf.DUMMYFUNCTION("""COMPUTED_VALUE"""),"application/pdf")</f>
        <v>application/pdf</v>
      </c>
    </row>
    <row r="170">
      <c r="A170" s="156" t="str">
        <f>IFERROR(__xludf.DUMMYFUNCTION("""COMPUTED_VALUE"""),"10.1177/001872679004300806")</f>
        <v>10.1177/001872679004300806</v>
      </c>
      <c r="B170" s="677" t="str">
        <f>IFERROR(__xludf.DUMMYFUNCTION("""COMPUTED_VALUE"""),"https://drive.google.com/file/d/1iOArfd24jMuY_j52dasZjZYJSXGlA86T/view?usp=drivesdk")</f>
        <v>https://drive.google.com/file/d/1iOArfd24jMuY_j52dasZjZYJSXGlA86T/view?usp=drivesdk</v>
      </c>
      <c r="C170" s="156" t="str">
        <f>IFERROR(__xludf.DUMMYFUNCTION("""COMPUTED_VALUE"""),"10.1177--001872679004300806.pdf")</f>
        <v>10.1177--001872679004300806.pdf</v>
      </c>
      <c r="D170" s="156" t="str">
        <f>IFERROR(__xludf.DUMMYFUNCTION("""COMPUTED_VALUE"""),"application/pdf")</f>
        <v>application/pdf</v>
      </c>
    </row>
    <row r="171">
      <c r="A171" s="156" t="str">
        <f>IFERROR(__xludf.DUMMYFUNCTION("""COMPUTED_VALUE"""),"10.1348/096317905x55271")</f>
        <v>10.1348/096317905x55271</v>
      </c>
      <c r="B171" s="677" t="str">
        <f>IFERROR(__xludf.DUMMYFUNCTION("""COMPUTED_VALUE"""),"https://drive.google.com/file/d/1eP-M3h6_zyo74P4oZEhe0Pekzs-jOTaD/view?usp=drivesdk")</f>
        <v>https://drive.google.com/file/d/1eP-M3h6_zyo74P4oZEhe0Pekzs-jOTaD/view?usp=drivesdk</v>
      </c>
      <c r="C171" s="156" t="str">
        <f>IFERROR(__xludf.DUMMYFUNCTION("""COMPUTED_VALUE"""),"10.1348--096317905X55271.pdf")</f>
        <v>10.1348--096317905X55271.pdf</v>
      </c>
      <c r="D171" s="156" t="str">
        <f>IFERROR(__xludf.DUMMYFUNCTION("""COMPUTED_VALUE"""),"application/pdf")</f>
        <v>application/pdf</v>
      </c>
    </row>
    <row r="172">
      <c r="A172" s="156" t="str">
        <f>IFERROR(__xludf.DUMMYFUNCTION("""COMPUTED_VALUE"""),"10.2307/256206")</f>
        <v>10.2307/256206</v>
      </c>
      <c r="B172" s="677" t="str">
        <f>IFERROR(__xludf.DUMMYFUNCTION("""COMPUTED_VALUE"""),"https://drive.google.com/file/d/1fI6e235X1MrHdE453S_n5OyxOGIe0pC7/view?usp=drivesdk")</f>
        <v>https://drive.google.com/file/d/1fI6e235X1MrHdE453S_n5OyxOGIe0pC7/view?usp=drivesdk</v>
      </c>
      <c r="C172" s="156" t="str">
        <f>IFERROR(__xludf.DUMMYFUNCTION("""COMPUTED_VALUE"""),"10.2307--256206.pdf")</f>
        <v>10.2307--256206.pdf</v>
      </c>
      <c r="D172" s="156" t="str">
        <f>IFERROR(__xludf.DUMMYFUNCTION("""COMPUTED_VALUE"""),"application/pdf")</f>
        <v>application/pdf</v>
      </c>
    </row>
    <row r="173">
      <c r="A173" s="156" t="str">
        <f>IFERROR(__xludf.DUMMYFUNCTION("""COMPUTED_VALUE"""),"10.1037/a0034376")</f>
        <v>10.1037/a0034376</v>
      </c>
      <c r="B173" s="677" t="str">
        <f>IFERROR(__xludf.DUMMYFUNCTION("""COMPUTED_VALUE"""),"https://drive.google.com/file/d/1slyzIANWOU2lMl4r2vJg06ZJ4rYtveRp/view?usp=drivesdk")</f>
        <v>https://drive.google.com/file/d/1slyzIANWOU2lMl4r2vJg06ZJ4rYtveRp/view?usp=drivesdk</v>
      </c>
      <c r="C173" s="156" t="str">
        <f>IFERROR(__xludf.DUMMYFUNCTION("""COMPUTED_VALUE"""),"10.1037--a0034376.pdf")</f>
        <v>10.1037--a0034376.pdf</v>
      </c>
      <c r="D173" s="156" t="str">
        <f>IFERROR(__xludf.DUMMYFUNCTION("""COMPUTED_VALUE"""),"application/pdf")</f>
        <v>application/pdf</v>
      </c>
    </row>
    <row r="174">
      <c r="A174" s="156" t="str">
        <f>IFERROR(__xludf.DUMMYFUNCTION("""COMPUTED_VALUE"""),"10.1177/1094428112470847")</f>
        <v>10.1177/1094428112470847</v>
      </c>
      <c r="B174" s="677" t="str">
        <f>IFERROR(__xludf.DUMMYFUNCTION("""COMPUTED_VALUE"""),"https://drive.google.com/file/d/18wJfMB-nV9D257bRuTcXr-nnlem7sCQF/view?usp=drivesdk")</f>
        <v>https://drive.google.com/file/d/18wJfMB-nV9D257bRuTcXr-nnlem7sCQF/view?usp=drivesdk</v>
      </c>
      <c r="C174" s="156" t="str">
        <f>IFERROR(__xludf.DUMMYFUNCTION("""COMPUTED_VALUE"""),"10.1177--1094428112470847.pdf")</f>
        <v>10.1177--1094428112470847.pdf</v>
      </c>
      <c r="D174" s="156" t="str">
        <f>IFERROR(__xludf.DUMMYFUNCTION("""COMPUTED_VALUE"""),"application/pdf")</f>
        <v>application/pdf</v>
      </c>
    </row>
    <row r="175">
      <c r="A175" s="156" t="str">
        <f>IFERROR(__xludf.DUMMYFUNCTION("""COMPUTED_VALUE"""),"10.1177/001872679404700302")</f>
        <v>10.1177/001872679404700302</v>
      </c>
      <c r="B175" s="677" t="str">
        <f>IFERROR(__xludf.DUMMYFUNCTION("""COMPUTED_VALUE"""),"https://drive.google.com/file/d/1OwZhS2fmqyYYe-YhCkxVALPGlvTcbg5D/view?usp=drivesdk")</f>
        <v>https://drive.google.com/file/d/1OwZhS2fmqyYYe-YhCkxVALPGlvTcbg5D/view?usp=drivesdk</v>
      </c>
      <c r="C175" s="156" t="str">
        <f>IFERROR(__xludf.DUMMYFUNCTION("""COMPUTED_VALUE"""),"10.1177--001872679404700302.pdf")</f>
        <v>10.1177--001872679404700302.pdf</v>
      </c>
      <c r="D175" s="156" t="str">
        <f>IFERROR(__xludf.DUMMYFUNCTION("""COMPUTED_VALUE"""),"application/pdf")</f>
        <v>application/pdf</v>
      </c>
    </row>
    <row r="176">
      <c r="A176" s="156" t="str">
        <f>IFERROR(__xludf.DUMMYFUNCTION("""COMPUTED_VALUE"""),"10.1108/02683941211199545")</f>
        <v>10.1108/02683941211199545</v>
      </c>
      <c r="B176" s="677" t="str">
        <f>IFERROR(__xludf.DUMMYFUNCTION("""COMPUTED_VALUE"""),"https://drive.google.com/file/d/10g95i5zYVr4kpjtg6Swyx9SzRRGKLhF3/view?usp=drivesdk")</f>
        <v>https://drive.google.com/file/d/10g95i5zYVr4kpjtg6Swyx9SzRRGKLhF3/view?usp=drivesdk</v>
      </c>
      <c r="C176" s="156" t="str">
        <f>IFERROR(__xludf.DUMMYFUNCTION("""COMPUTED_VALUE"""),"10.1108--02683941211199545.pdf")</f>
        <v>10.1108--02683941211199545.pdf</v>
      </c>
      <c r="D176" s="156" t="str">
        <f>IFERROR(__xludf.DUMMYFUNCTION("""COMPUTED_VALUE"""),"application/pdf")</f>
        <v>application/pdf</v>
      </c>
    </row>
    <row r="177">
      <c r="A177" s="156" t="str">
        <f>IFERROR(__xludf.DUMMYFUNCTION("""COMPUTED_VALUE"""),"10.1177/1742715018807042")</f>
        <v>10.1177/1742715018807042</v>
      </c>
      <c r="B177" s="677" t="str">
        <f>IFERROR(__xludf.DUMMYFUNCTION("""COMPUTED_VALUE"""),"https://drive.google.com/file/d/1wyG44SWGaM29EN9VtmyTx0MPhfE3nuk9/view?usp=drivesdk")</f>
        <v>https://drive.google.com/file/d/1wyG44SWGaM29EN9VtmyTx0MPhfE3nuk9/view?usp=drivesdk</v>
      </c>
      <c r="C177" s="156" t="str">
        <f>IFERROR(__xludf.DUMMYFUNCTION("""COMPUTED_VALUE"""),"10.1177--1742715018807042.pdf")</f>
        <v>10.1177--1742715018807042.pdf</v>
      </c>
      <c r="D177" s="156" t="str">
        <f>IFERROR(__xludf.DUMMYFUNCTION("""COMPUTED_VALUE"""),"application/pdf")</f>
        <v>application/pdf</v>
      </c>
    </row>
    <row r="178">
      <c r="A178" s="156" t="str">
        <f>IFERROR(__xludf.DUMMYFUNCTION("""COMPUTED_VALUE"""),"10.1037/0021-9010.79.2.260")</f>
        <v>10.1037/0021-9010.79.2.260</v>
      </c>
      <c r="B178" s="677" t="str">
        <f>IFERROR(__xludf.DUMMYFUNCTION("""COMPUTED_VALUE"""),"https://drive.google.com/file/d/1A2IBAnIa5QedmGrWZzWEWoKhNdX0jk22/view?usp=drivesdk")</f>
        <v>https://drive.google.com/file/d/1A2IBAnIa5QedmGrWZzWEWoKhNdX0jk22/view?usp=drivesdk</v>
      </c>
      <c r="C178" s="156" t="str">
        <f>IFERROR(__xludf.DUMMYFUNCTION("""COMPUTED_VALUE"""),"10.1037--0021-9010.79.2.260.pdf")</f>
        <v>10.1037--0021-9010.79.2.260.pdf</v>
      </c>
      <c r="D178" s="156" t="str">
        <f>IFERROR(__xludf.DUMMYFUNCTION("""COMPUTED_VALUE"""),"application/pdf")</f>
        <v>application/pdf</v>
      </c>
    </row>
    <row r="179">
      <c r="A179" s="156" t="str">
        <f>IFERROR(__xludf.DUMMYFUNCTION("""COMPUTED_VALUE"""),"10.1006/obhd.2000.2903")</f>
        <v>10.1006/obhd.2000.2903</v>
      </c>
      <c r="B179" s="677" t="str">
        <f>IFERROR(__xludf.DUMMYFUNCTION("""COMPUTED_VALUE"""),"https://drive.google.com/file/d/1PDKERSaijFk0sW1VC1p_BF25zrFUsBWF/view?usp=drivesdk")</f>
        <v>https://drive.google.com/file/d/1PDKERSaijFk0sW1VC1p_BF25zrFUsBWF/view?usp=drivesdk</v>
      </c>
      <c r="C179" s="156" t="str">
        <f>IFERROR(__xludf.DUMMYFUNCTION("""COMPUTED_VALUE"""),"10.1006--obhd.2000.2903.pdf")</f>
        <v>10.1006--obhd.2000.2903.pdf</v>
      </c>
      <c r="D179" s="156" t="str">
        <f>IFERROR(__xludf.DUMMYFUNCTION("""COMPUTED_VALUE"""),"application/pdf")</f>
        <v>application/pdf</v>
      </c>
    </row>
    <row r="180">
      <c r="A180" s="156" t="str">
        <f>IFERROR(__xludf.DUMMYFUNCTION("""COMPUTED_VALUE"""),"10.1111/j.2044-8325.1994.tb00549.x")</f>
        <v>10.1111/j.2044-8325.1994.tb00549.x</v>
      </c>
      <c r="B180" s="677" t="str">
        <f>IFERROR(__xludf.DUMMYFUNCTION("""COMPUTED_VALUE"""),"https://drive.google.com/file/d/1ctYTXs6Tw9u4JAPLAampTUTytHBWIcQE/view?usp=drivesdk")</f>
        <v>https://drive.google.com/file/d/1ctYTXs6Tw9u4JAPLAampTUTytHBWIcQE/view?usp=drivesdk</v>
      </c>
      <c r="C180" s="156" t="str">
        <f>IFERROR(__xludf.DUMMYFUNCTION("""COMPUTED_VALUE"""),"10.1111--j.2044-8325.1994.tb00549.x.pdf")</f>
        <v>10.1111--j.2044-8325.1994.tb00549.x.pdf</v>
      </c>
      <c r="D180" s="156" t="str">
        <f>IFERROR(__xludf.DUMMYFUNCTION("""COMPUTED_VALUE"""),"application/pdf")</f>
        <v>application/pdf</v>
      </c>
    </row>
    <row r="181">
      <c r="A181" s="156" t="str">
        <f>IFERROR(__xludf.DUMMYFUNCTION("""COMPUTED_VALUE"""),"10.1348/096317908x360684")</f>
        <v>10.1348/096317908x360684</v>
      </c>
      <c r="B181" s="677" t="str">
        <f>IFERROR(__xludf.DUMMYFUNCTION("""COMPUTED_VALUE"""),"https://drive.google.com/file/d/1hIHtLmoN85-zIunFoLkucLiUMrcrZ4kO/view?usp=drivesdk")</f>
        <v>https://drive.google.com/file/d/1hIHtLmoN85-zIunFoLkucLiUMrcrZ4kO/view?usp=drivesdk</v>
      </c>
      <c r="C181" s="156" t="str">
        <f>IFERROR(__xludf.DUMMYFUNCTION("""COMPUTED_VALUE"""),"10.1348--096317908X360684.pdf")</f>
        <v>10.1348--096317908X360684.pdf</v>
      </c>
      <c r="D181" s="156" t="str">
        <f>IFERROR(__xludf.DUMMYFUNCTION("""COMPUTED_VALUE"""),"application/pdf")</f>
        <v>application/pdf</v>
      </c>
    </row>
    <row r="182">
      <c r="A182" s="156" t="str">
        <f>IFERROR(__xludf.DUMMYFUNCTION("""COMPUTED_VALUE"""),"10.1111/ijsa.12265")</f>
        <v>10.1111/ijsa.12265</v>
      </c>
      <c r="B182" s="677" t="str">
        <f>IFERROR(__xludf.DUMMYFUNCTION("""COMPUTED_VALUE"""),"https://drive.google.com/file/d/1casmF63d6UCd8ePLuQsDUJR03xbf_vj-/view?usp=drivesdk")</f>
        <v>https://drive.google.com/file/d/1casmF63d6UCd8ePLuQsDUJR03xbf_vj-/view?usp=drivesdk</v>
      </c>
      <c r="C182" s="156" t="str">
        <f>IFERROR(__xludf.DUMMYFUNCTION("""COMPUTED_VALUE"""),"10.1111--ijsa.12265.pdf")</f>
        <v>10.1111--ijsa.12265.pdf</v>
      </c>
      <c r="D182" s="156" t="str">
        <f>IFERROR(__xludf.DUMMYFUNCTION("""COMPUTED_VALUE"""),"application/pdf")</f>
        <v>application/pdf</v>
      </c>
    </row>
    <row r="183">
      <c r="A183" s="156" t="str">
        <f>IFERROR(__xludf.DUMMYFUNCTION("""COMPUTED_VALUE"""),"10.1177/0149206307302551")</f>
        <v>10.1177/0149206307302551</v>
      </c>
      <c r="B183" s="677" t="str">
        <f>IFERROR(__xludf.DUMMYFUNCTION("""COMPUTED_VALUE"""),"https://drive.google.com/file/d/10zjtQMXw_mVBTcksrWYO3-WHZDh5PhtU/view?usp=drivesdk")</f>
        <v>https://drive.google.com/file/d/10zjtQMXw_mVBTcksrWYO3-WHZDh5PhtU/view?usp=drivesdk</v>
      </c>
      <c r="C183" s="156" t="str">
        <f>IFERROR(__xludf.DUMMYFUNCTION("""COMPUTED_VALUE"""),"10.1177--0149206307302551.pdf")</f>
        <v>10.1177--0149206307302551.pdf</v>
      </c>
      <c r="D183" s="156" t="str">
        <f>IFERROR(__xludf.DUMMYFUNCTION("""COMPUTED_VALUE"""),"application/pdf")</f>
        <v>application/pdf</v>
      </c>
    </row>
    <row r="184">
      <c r="A184" s="156" t="str">
        <f>IFERROR(__xludf.DUMMYFUNCTION("""COMPUTED_VALUE"""),"10.1177/0149206309345019")</f>
        <v>10.1177/0149206309345019</v>
      </c>
      <c r="B184" s="677" t="str">
        <f>IFERROR(__xludf.DUMMYFUNCTION("""COMPUTED_VALUE"""),"https://drive.google.com/file/d/1INrYgOm8wfcMzqBNbAQZt3Ri3ZSuSpJ1/view?usp=drivesdk")</f>
        <v>https://drive.google.com/file/d/1INrYgOm8wfcMzqBNbAQZt3Ri3ZSuSpJ1/view?usp=drivesdk</v>
      </c>
      <c r="C184" s="156" t="str">
        <f>IFERROR(__xludf.DUMMYFUNCTION("""COMPUTED_VALUE"""),"10.1177--0149206309345019.pdf")</f>
        <v>10.1177--0149206309345019.pdf</v>
      </c>
      <c r="D184" s="156" t="str">
        <f>IFERROR(__xludf.DUMMYFUNCTION("""COMPUTED_VALUE"""),"application/pdf")</f>
        <v>application/pdf</v>
      </c>
    </row>
    <row r="185">
      <c r="A185" s="156" t="str">
        <f>IFERROR(__xludf.DUMMYFUNCTION("""COMPUTED_VALUE"""),"10.1177/1046496491221004")</f>
        <v>10.1177/1046496491221004</v>
      </c>
      <c r="B185" s="677" t="str">
        <f>IFERROR(__xludf.DUMMYFUNCTION("""COMPUTED_VALUE"""),"https://drive.google.com/file/d/1_8LuLjeXmn9z8_he_OHlfUHjZJ7pyxJk/view?usp=drivesdk")</f>
        <v>https://drive.google.com/file/d/1_8LuLjeXmn9z8_he_OHlfUHjZJ7pyxJk/view?usp=drivesdk</v>
      </c>
      <c r="C185" s="156" t="str">
        <f>IFERROR(__xludf.DUMMYFUNCTION("""COMPUTED_VALUE"""),"10.1177--1046496491221004.pdf")</f>
        <v>10.1177--1046496491221004.pdf</v>
      </c>
      <c r="D185" s="156" t="str">
        <f>IFERROR(__xludf.DUMMYFUNCTION("""COMPUTED_VALUE"""),"application/pdf")</f>
        <v>application/pdf</v>
      </c>
    </row>
    <row r="186">
      <c r="A186" s="156" t="str">
        <f>IFERROR(__xludf.DUMMYFUNCTION("""COMPUTED_VALUE"""),"10.1037/0021-9010.85.2.219")</f>
        <v>10.1037/0021-9010.85.2.219</v>
      </c>
      <c r="B186" s="677" t="str">
        <f>IFERROR(__xludf.DUMMYFUNCTION("""COMPUTED_VALUE"""),"https://drive.google.com/file/d/1rFt4mm_xpIAlONL-Q0W7ajrXVkxbYYyz/view?usp=drivesdk")</f>
        <v>https://drive.google.com/file/d/1rFt4mm_xpIAlONL-Q0W7ajrXVkxbYYyz/view?usp=drivesdk</v>
      </c>
      <c r="C186" s="156" t="str">
        <f>IFERROR(__xludf.DUMMYFUNCTION("""COMPUTED_VALUE"""),"10.1037--0021-9010.85.2.219.pdf")</f>
        <v>10.1037--0021-9010.85.2.219.pdf</v>
      </c>
      <c r="D186" s="156" t="str">
        <f>IFERROR(__xludf.DUMMYFUNCTION("""COMPUTED_VALUE"""),"application/pdf")</f>
        <v>application/pdf</v>
      </c>
    </row>
    <row r="187">
      <c r="A187" s="156" t="str">
        <f>IFERROR(__xludf.DUMMYFUNCTION("""COMPUTED_VALUE"""),"10.1177/014920639702300403")</f>
        <v>10.1177/014920639702300403</v>
      </c>
      <c r="B187" s="677" t="str">
        <f>IFERROR(__xludf.DUMMYFUNCTION("""COMPUTED_VALUE"""),"https://drive.google.com/file/d/1-s9bMvlhmlKFsiRLDFI3bl4L2X7mIKeh/view?usp=drivesdk")</f>
        <v>https://drive.google.com/file/d/1-s9bMvlhmlKFsiRLDFI3bl4L2X7mIKeh/view?usp=drivesdk</v>
      </c>
      <c r="C187" s="156" t="str">
        <f>IFERROR(__xludf.DUMMYFUNCTION("""COMPUTED_VALUE"""),"10.1177--014920639702300403.pdf")</f>
        <v>10.1177--014920639702300403.pdf</v>
      </c>
      <c r="D187" s="156" t="str">
        <f>IFERROR(__xludf.DUMMYFUNCTION("""COMPUTED_VALUE"""),"application/pdf")</f>
        <v>application/pdf</v>
      </c>
    </row>
    <row r="188">
      <c r="A188" s="156" t="str">
        <f>IFERROR(__xludf.DUMMYFUNCTION("""COMPUTED_VALUE"""),"10.1006/obhd.1999.2834")</f>
        <v>10.1006/obhd.1999.2834</v>
      </c>
      <c r="B188" s="677" t="str">
        <f>IFERROR(__xludf.DUMMYFUNCTION("""COMPUTED_VALUE"""),"https://drive.google.com/file/d/1JwbbTtqp1CeQGjjwKLHnx5YCvp0y-b2Y/view?usp=drivesdk")</f>
        <v>https://drive.google.com/file/d/1JwbbTtqp1CeQGjjwKLHnx5YCvp0y-b2Y/view?usp=drivesdk</v>
      </c>
      <c r="C188" s="156" t="str">
        <f>IFERROR(__xludf.DUMMYFUNCTION("""COMPUTED_VALUE"""),"10.1006--obhd.1999.2834.pdf")</f>
        <v>10.1006--obhd.1999.2834.pdf</v>
      </c>
      <c r="D188" s="156" t="str">
        <f>IFERROR(__xludf.DUMMYFUNCTION("""COMPUTED_VALUE"""),"application/pdf")</f>
        <v>application/pdf</v>
      </c>
    </row>
    <row r="189">
      <c r="A189" s="156" t="str">
        <f>IFERROR(__xludf.DUMMYFUNCTION("""COMPUTED_VALUE"""),"10.1111/j.0965-075x.2005.00297.x")</f>
        <v>10.1111/j.0965-075x.2005.00297.x</v>
      </c>
      <c r="B189" s="677" t="str">
        <f>IFERROR(__xludf.DUMMYFUNCTION("""COMPUTED_VALUE"""),"https://drive.google.com/file/d/1_-oK1kgN0rqGzgqKOEopXZA_aycerClh/view?usp=drivesdk")</f>
        <v>https://drive.google.com/file/d/1_-oK1kgN0rqGzgqKOEopXZA_aycerClh/view?usp=drivesdk</v>
      </c>
      <c r="C189" s="156" t="str">
        <f>IFERROR(__xludf.DUMMYFUNCTION("""COMPUTED_VALUE"""),"10.1111--j.0965-075X.2005.00297.x.pdf")</f>
        <v>10.1111--j.0965-075X.2005.00297.x.pdf</v>
      </c>
      <c r="D189" s="156" t="str">
        <f>IFERROR(__xludf.DUMMYFUNCTION("""COMPUTED_VALUE"""),"application/pdf")</f>
        <v>application/pdf</v>
      </c>
    </row>
    <row r="190">
      <c r="A190" s="156" t="str">
        <f>IFERROR(__xludf.DUMMYFUNCTION("""COMPUTED_VALUE"""),"10.1006/obhd.1999.2822")</f>
        <v>10.1006/obhd.1999.2822</v>
      </c>
      <c r="B190" s="677" t="str">
        <f>IFERROR(__xludf.DUMMYFUNCTION("""COMPUTED_VALUE"""),"https://drive.google.com/file/d/1rgxOiziQddWT9NZ68KsqMwaKsYAxGwY5/view?usp=drivesdk")</f>
        <v>https://drive.google.com/file/d/1rgxOiziQddWT9NZ68KsqMwaKsYAxGwY5/view?usp=drivesdk</v>
      </c>
      <c r="C190" s="156" t="str">
        <f>IFERROR(__xludf.DUMMYFUNCTION("""COMPUTED_VALUE"""),"10.1006--obhd.1999.2822.pdf")</f>
        <v>10.1006--obhd.1999.2822.pdf</v>
      </c>
      <c r="D190" s="156" t="str">
        <f>IFERROR(__xludf.DUMMYFUNCTION("""COMPUTED_VALUE"""),"application/pdf")</f>
        <v>application/pdf</v>
      </c>
    </row>
    <row r="191">
      <c r="A191" s="156" t="str">
        <f>IFERROR(__xludf.DUMMYFUNCTION("""COMPUTED_VALUE"""),"10.1037/0021-9010.70.4.777")</f>
        <v>10.1037/0021-9010.70.4.777</v>
      </c>
      <c r="B191" s="677" t="str">
        <f>IFERROR(__xludf.DUMMYFUNCTION("""COMPUTED_VALUE"""),"https://drive.google.com/file/d/1pIIG0ZQBb46cqDdsTz5tB3FytjK5h1Hi/view?usp=drivesdk")</f>
        <v>https://drive.google.com/file/d/1pIIG0ZQBb46cqDdsTz5tB3FytjK5h1Hi/view?usp=drivesdk</v>
      </c>
      <c r="C191" s="156" t="str">
        <f>IFERROR(__xludf.DUMMYFUNCTION("""COMPUTED_VALUE"""),"10.1037--0021-9010.70.4.777.pdf")</f>
        <v>10.1037--0021-9010.70.4.777.pdf</v>
      </c>
      <c r="D191" s="156" t="str">
        <f>IFERROR(__xludf.DUMMYFUNCTION("""COMPUTED_VALUE"""),"application/pdf")</f>
        <v>application/pdf</v>
      </c>
    </row>
    <row r="192">
      <c r="A192" s="156" t="str">
        <f>IFERROR(__xludf.DUMMYFUNCTION("""COMPUTED_VALUE"""),"10.1016/j.obhdp.2006.04.001")</f>
        <v>10.1016/j.obhdp.2006.04.001</v>
      </c>
      <c r="B192" s="677" t="str">
        <f>IFERROR(__xludf.DUMMYFUNCTION("""COMPUTED_VALUE"""),"https://drive.google.com/file/d/1kRAZv8AQgJWtv6psSuoq4TlL6AlstG91/view?usp=drivesdk")</f>
        <v>https://drive.google.com/file/d/1kRAZv8AQgJWtv6psSuoq4TlL6AlstG91/view?usp=drivesdk</v>
      </c>
      <c r="C192" s="156" t="str">
        <f>IFERROR(__xludf.DUMMYFUNCTION("""COMPUTED_VALUE"""),"10.1016--j.obhdp.2006.04.001.pdf")</f>
        <v>10.1016--j.obhdp.2006.04.001.pdf</v>
      </c>
      <c r="D192" s="156" t="str">
        <f>IFERROR(__xludf.DUMMYFUNCTION("""COMPUTED_VALUE"""),"application/pdf")</f>
        <v>application/pdf</v>
      </c>
    </row>
    <row r="193">
      <c r="A193" s="156" t="str">
        <f>IFERROR(__xludf.DUMMYFUNCTION("""COMPUTED_VALUE"""),"10.1006/obhd.2000.2890")</f>
        <v>10.1006/obhd.2000.2890</v>
      </c>
      <c r="B193" s="677" t="str">
        <f>IFERROR(__xludf.DUMMYFUNCTION("""COMPUTED_VALUE"""),"https://drive.google.com/file/d/12Grha0IblEDRDsru1sBT-e5WAtsgYAtY/view?usp=drivesdk")</f>
        <v>https://drive.google.com/file/d/12Grha0IblEDRDsru1sBT-e5WAtsgYAtY/view?usp=drivesdk</v>
      </c>
      <c r="C193" s="156" t="str">
        <f>IFERROR(__xludf.DUMMYFUNCTION("""COMPUTED_VALUE"""),"10.1006--obhd.2000.2890.pdf")</f>
        <v>10.1006--obhd.2000.2890.pdf</v>
      </c>
      <c r="D193" s="156" t="str">
        <f>IFERROR(__xludf.DUMMYFUNCTION("""COMPUTED_VALUE"""),"application/pdf")</f>
        <v>application/pdf</v>
      </c>
    </row>
    <row r="194">
      <c r="A194" s="156" t="str">
        <f>IFERROR(__xludf.DUMMYFUNCTION("""COMPUTED_VALUE"""),"10.1111/j.1744-6570.1996.tb01806.x")</f>
        <v>10.1111/j.1744-6570.1996.tb01806.x</v>
      </c>
      <c r="B194" s="677" t="str">
        <f>IFERROR(__xludf.DUMMYFUNCTION("""COMPUTED_VALUE"""),"https://drive.google.com/file/d/1JiCpM3GBMboleEO7mO1cyDcLD7k6QP8D/view?usp=drivesdk")</f>
        <v>https://drive.google.com/file/d/1JiCpM3GBMboleEO7mO1cyDcLD7k6QP8D/view?usp=drivesdk</v>
      </c>
      <c r="C194" s="156" t="str">
        <f>IFERROR(__xludf.DUMMYFUNCTION("""COMPUTED_VALUE"""),"10.1111--j.1744-6570.1996.tb01806.x.pdf")</f>
        <v>10.1111--j.1744-6570.1996.tb01806.x.pdf</v>
      </c>
      <c r="D194" s="156" t="str">
        <f>IFERROR(__xludf.DUMMYFUNCTION("""COMPUTED_VALUE"""),"application/pdf")</f>
        <v>application/pdf</v>
      </c>
    </row>
    <row r="195">
      <c r="A195" s="156" t="str">
        <f>IFERROR(__xludf.DUMMYFUNCTION("""COMPUTED_VALUE"""),"10.1016/s1048-9843(03)00008-0")</f>
        <v>10.1016/s1048-9843(03)00008-0</v>
      </c>
      <c r="B195" s="677" t="str">
        <f>IFERROR(__xludf.DUMMYFUNCTION("""COMPUTED_VALUE"""),"https://drive.google.com/file/d/1-_nqeFaAjH1Om4M9pTrpOXbibw2HMm81/view?usp=drivesdk")</f>
        <v>https://drive.google.com/file/d/1-_nqeFaAjH1Om4M9pTrpOXbibw2HMm81/view?usp=drivesdk</v>
      </c>
      <c r="C195" s="156" t="str">
        <f>IFERROR(__xludf.DUMMYFUNCTION("""COMPUTED_VALUE"""),"10.1016--S1048-9843(03)00008-0.pdf")</f>
        <v>10.1016--S1048-9843(03)00008-0.pdf</v>
      </c>
      <c r="D195" s="156" t="str">
        <f>IFERROR(__xludf.DUMMYFUNCTION("""COMPUTED_VALUE"""),"application/pdf")</f>
        <v>application/pdf</v>
      </c>
    </row>
    <row r="196">
      <c r="A196" s="156" t="str">
        <f>IFERROR(__xludf.DUMMYFUNCTION("""COMPUTED_VALUE"""),"10.1177/001872679604900404")</f>
        <v>10.1177/001872679604900404</v>
      </c>
      <c r="B196" s="677" t="str">
        <f>IFERROR(__xludf.DUMMYFUNCTION("""COMPUTED_VALUE"""),"https://drive.google.com/file/d/1V7UFaNoVrI2M_g0YAfROloNHMwkg59IN/view?usp=drivesdk")</f>
        <v>https://drive.google.com/file/d/1V7UFaNoVrI2M_g0YAfROloNHMwkg59IN/view?usp=drivesdk</v>
      </c>
      <c r="C196" s="156" t="str">
        <f>IFERROR(__xludf.DUMMYFUNCTION("""COMPUTED_VALUE"""),"10.1177--001872679604900404.pdf")</f>
        <v>10.1177--001872679604900404.pdf</v>
      </c>
      <c r="D196" s="156" t="str">
        <f>IFERROR(__xludf.DUMMYFUNCTION("""COMPUTED_VALUE"""),"application/pdf")</f>
        <v>application/pdf</v>
      </c>
    </row>
    <row r="197">
      <c r="A197" s="156" t="str">
        <f>IFERROR(__xludf.DUMMYFUNCTION("""COMPUTED_VALUE"""),"10.2307/255600")</f>
        <v>10.2307/255600</v>
      </c>
      <c r="B197" s="677" t="str">
        <f>IFERROR(__xludf.DUMMYFUNCTION("""COMPUTED_VALUE"""),"https://drive.google.com/file/d/1Ma4Ik60HmA5Wd8aZgjVgbueJGW8edvaX/view?usp=drivesdk")</f>
        <v>https://drive.google.com/file/d/1Ma4Ik60HmA5Wd8aZgjVgbueJGW8edvaX/view?usp=drivesdk</v>
      </c>
      <c r="C197" s="156" t="str">
        <f>IFERROR(__xludf.DUMMYFUNCTION("""COMPUTED_VALUE"""),"10.2307--255600.pdf")</f>
        <v>10.2307--255600.pdf</v>
      </c>
      <c r="D197" s="156" t="str">
        <f>IFERROR(__xludf.DUMMYFUNCTION("""COMPUTED_VALUE"""),"application/pdf")</f>
        <v>application/pdf</v>
      </c>
    </row>
    <row r="198">
      <c r="A198" s="156" t="str">
        <f>IFERROR(__xludf.DUMMYFUNCTION("""COMPUTED_VALUE"""),"10.1016/j.obhdp.2009.02.001")</f>
        <v>10.1016/j.obhdp.2009.02.001</v>
      </c>
      <c r="B198" s="677" t="str">
        <f>IFERROR(__xludf.DUMMYFUNCTION("""COMPUTED_VALUE"""),"https://drive.google.com/file/d/1MLqE41WBXXBhu7YLW0Zv0oPbdd9eeBce/view?usp=drivesdk")</f>
        <v>https://drive.google.com/file/d/1MLqE41WBXXBhu7YLW0Zv0oPbdd9eeBce/view?usp=drivesdk</v>
      </c>
      <c r="C198" s="156" t="str">
        <f>IFERROR(__xludf.DUMMYFUNCTION("""COMPUTED_VALUE"""),"10.1016--j.obhdp.2009.02.001.pdf")</f>
        <v>10.1016--j.obhdp.2009.02.001.pdf</v>
      </c>
      <c r="D198" s="156" t="str">
        <f>IFERROR(__xludf.DUMMYFUNCTION("""COMPUTED_VALUE"""),"application/pdf")</f>
        <v>application/pdf</v>
      </c>
    </row>
    <row r="199">
      <c r="A199" s="156" t="str">
        <f>IFERROR(__xludf.DUMMYFUNCTION("""COMPUTED_VALUE"""),"10.1177/0149206320908630")</f>
        <v>10.1177/0149206320908630</v>
      </c>
      <c r="B199" s="677" t="str">
        <f>IFERROR(__xludf.DUMMYFUNCTION("""COMPUTED_VALUE"""),"https://drive.google.com/file/d/1tO6CTx_0r41JlP8AINGS6eNVMLtJKTue/view?usp=drivesdk")</f>
        <v>https://drive.google.com/file/d/1tO6CTx_0r41JlP8AINGS6eNVMLtJKTue/view?usp=drivesdk</v>
      </c>
      <c r="C199" s="156" t="str">
        <f>IFERROR(__xludf.DUMMYFUNCTION("""COMPUTED_VALUE"""),"10.1177--0149206320908630.pdf")</f>
        <v>10.1177--0149206320908630.pdf</v>
      </c>
      <c r="D199" s="156" t="str">
        <f>IFERROR(__xludf.DUMMYFUNCTION("""COMPUTED_VALUE"""),"application/pdf")</f>
        <v>application/pdf</v>
      </c>
    </row>
    <row r="200">
      <c r="A200" s="156" t="str">
        <f>IFERROR(__xludf.DUMMYFUNCTION("""COMPUTED_VALUE"""),"10.1348/096317999166789")</f>
        <v>10.1348/096317999166789</v>
      </c>
      <c r="B200" s="677" t="str">
        <f>IFERROR(__xludf.DUMMYFUNCTION("""COMPUTED_VALUE"""),"https://drive.google.com/file/d/1dXG8OJ-s5Uzs24mWLcN6FVS3RtfNb9p2/view?usp=drivesdk")</f>
        <v>https://drive.google.com/file/d/1dXG8OJ-s5Uzs24mWLcN6FVS3RtfNb9p2/view?usp=drivesdk</v>
      </c>
      <c r="C200" s="156" t="str">
        <f>IFERROR(__xludf.DUMMYFUNCTION("""COMPUTED_VALUE"""),"10.1348--096317999166789.pdf")</f>
        <v>10.1348--096317999166789.pdf</v>
      </c>
      <c r="D200" s="156" t="str">
        <f>IFERROR(__xludf.DUMMYFUNCTION("""COMPUTED_VALUE"""),"application/pdf")</f>
        <v>application/pdf</v>
      </c>
    </row>
    <row r="201">
      <c r="A201" s="156" t="str">
        <f>IFERROR(__xludf.DUMMYFUNCTION("""COMPUTED_VALUE"""),"10.1111/j.2044-8325.1995.tb00584.x")</f>
        <v>10.1111/j.2044-8325.1995.tb00584.x</v>
      </c>
      <c r="B201" s="677" t="str">
        <f>IFERROR(__xludf.DUMMYFUNCTION("""COMPUTED_VALUE"""),"https://drive.google.com/file/d/1A13UMziu1Wx1cewaRi5PBRW15UovHrui/view?usp=drivesdk")</f>
        <v>https://drive.google.com/file/d/1A13UMziu1Wx1cewaRi5PBRW15UovHrui/view?usp=drivesdk</v>
      </c>
      <c r="C201" s="156" t="str">
        <f>IFERROR(__xludf.DUMMYFUNCTION("""COMPUTED_VALUE"""),"10.1111--j.2044-8325.1995.tb00584.x.pdf")</f>
        <v>10.1111--j.2044-8325.1995.tb00584.x.pdf</v>
      </c>
      <c r="D201" s="156" t="str">
        <f>IFERROR(__xludf.DUMMYFUNCTION("""COMPUTED_VALUE"""),"application/pdf")</f>
        <v>application/pdf</v>
      </c>
    </row>
    <row r="202">
      <c r="A202" s="156" t="str">
        <f>IFERROR(__xludf.DUMMYFUNCTION("""COMPUTED_VALUE"""),"10.1177/109442810144003")</f>
        <v>10.1177/109442810144003</v>
      </c>
      <c r="B202" s="677" t="str">
        <f>IFERROR(__xludf.DUMMYFUNCTION("""COMPUTED_VALUE"""),"https://drive.google.com/file/d/1yEdX6zFFS9G5xecy3Zj5_9wVwftMV2UE/view?usp=drivesdk")</f>
        <v>https://drive.google.com/file/d/1yEdX6zFFS9G5xecy3Zj5_9wVwftMV2UE/view?usp=drivesdk</v>
      </c>
      <c r="C202" s="156" t="str">
        <f>IFERROR(__xludf.DUMMYFUNCTION("""COMPUTED_VALUE"""),"10.1177--109442810144003.pdf")</f>
        <v>10.1177--109442810144003.pdf</v>
      </c>
      <c r="D202" s="156" t="str">
        <f>IFERROR(__xludf.DUMMYFUNCTION("""COMPUTED_VALUE"""),"application/pdf")</f>
        <v>application/pdf</v>
      </c>
    </row>
    <row r="203">
      <c r="A203" s="156" t="str">
        <f>IFERROR(__xludf.DUMMYFUNCTION("""COMPUTED_VALUE"""),"10.1016/0749-5978(91)90034-q")</f>
        <v>10.1016/0749-5978(91)90034-q</v>
      </c>
      <c r="B203" s="677" t="str">
        <f>IFERROR(__xludf.DUMMYFUNCTION("""COMPUTED_VALUE"""),"https://drive.google.com/file/d/1bOhNXQijxEgh4Kj7dhi6wRucTS5G6xbO/view?usp=drivesdk")</f>
        <v>https://drive.google.com/file/d/1bOhNXQijxEgh4Kj7dhi6wRucTS5G6xbO/view?usp=drivesdk</v>
      </c>
      <c r="C203" s="156" t="str">
        <f>IFERROR(__xludf.DUMMYFUNCTION("""COMPUTED_VALUE"""),"10.1016--0749-5978(91)90034-Q.pdf")</f>
        <v>10.1016--0749-5978(91)90034-Q.pdf</v>
      </c>
      <c r="D203" s="156" t="str">
        <f>IFERROR(__xludf.DUMMYFUNCTION("""COMPUTED_VALUE"""),"application/pdf")</f>
        <v>application/pdf</v>
      </c>
    </row>
    <row r="204">
      <c r="A204" s="156" t="str">
        <f>IFERROR(__xludf.DUMMYFUNCTION("""COMPUTED_VALUE"""),"10.2307/257015")</f>
        <v>10.2307/257015</v>
      </c>
      <c r="B204" s="677" t="str">
        <f>IFERROR(__xludf.DUMMYFUNCTION("""COMPUTED_VALUE"""),"https://drive.google.com/file/d/14sTTUHHxEAS5sWrJSedLBys_hOOx7kwl/view?usp=drivesdk")</f>
        <v>https://drive.google.com/file/d/14sTTUHHxEAS5sWrJSedLBys_hOOx7kwl/view?usp=drivesdk</v>
      </c>
      <c r="C204" s="156" t="str">
        <f>IFERROR(__xludf.DUMMYFUNCTION("""COMPUTED_VALUE"""),"10.2307--257015.pdf")</f>
        <v>10.2307--257015.pdf</v>
      </c>
      <c r="D204" s="156" t="str">
        <f>IFERROR(__xludf.DUMMYFUNCTION("""COMPUTED_VALUE"""),"application/pdf")</f>
        <v>application/pdf</v>
      </c>
    </row>
    <row r="205">
      <c r="A205" s="156" t="str">
        <f>IFERROR(__xludf.DUMMYFUNCTION("""COMPUTED_VALUE"""),"10.2307/255423")</f>
        <v>10.2307/255423</v>
      </c>
      <c r="B205" s="677" t="str">
        <f>IFERROR(__xludf.DUMMYFUNCTION("""COMPUTED_VALUE"""),"https://drive.google.com/file/d/19VutC3kb75QkZ31e54mWSOZVCDxwToZf/view?usp=drivesdk")</f>
        <v>https://drive.google.com/file/d/19VutC3kb75QkZ31e54mWSOZVCDxwToZf/view?usp=drivesdk</v>
      </c>
      <c r="C205" s="156" t="str">
        <f>IFERROR(__xludf.DUMMYFUNCTION("""COMPUTED_VALUE"""),"10.2307--255423.pdf")</f>
        <v>10.2307--255423.pdf</v>
      </c>
      <c r="D205" s="156" t="str">
        <f>IFERROR(__xludf.DUMMYFUNCTION("""COMPUTED_VALUE"""),"application/pdf")</f>
        <v>application/pdf</v>
      </c>
    </row>
    <row r="206">
      <c r="A206" s="156" t="str">
        <f>IFERROR(__xludf.DUMMYFUNCTION("""COMPUTED_VALUE"""),"10.1111/j.1744-6570.1978.tb02130.x")</f>
        <v>10.1111/j.1744-6570.1978.tb02130.x</v>
      </c>
      <c r="B206" s="677" t="str">
        <f>IFERROR(__xludf.DUMMYFUNCTION("""COMPUTED_VALUE"""),"https://drive.google.com/file/d/1rRa5Ov_4KH959CW4vVY3vtN9KAqvjbYg/view?usp=drivesdk")</f>
        <v>https://drive.google.com/file/d/1rRa5Ov_4KH959CW4vVY3vtN9KAqvjbYg/view?usp=drivesdk</v>
      </c>
      <c r="C206" s="156" t="str">
        <f>IFERROR(__xludf.DUMMYFUNCTION("""COMPUTED_VALUE"""),"10.1111--j.1744-6570.1978.tb02130.x.pdf")</f>
        <v>10.1111--j.1744-6570.1978.tb02130.x.pdf</v>
      </c>
      <c r="D206" s="156" t="str">
        <f>IFERROR(__xludf.DUMMYFUNCTION("""COMPUTED_VALUE"""),"application/pdf")</f>
        <v>application/pdf</v>
      </c>
    </row>
    <row r="207">
      <c r="A207" s="156" t="str">
        <f>IFERROR(__xludf.DUMMYFUNCTION("""COMPUTED_VALUE"""),"10.1002/job.4030110202")</f>
        <v>10.1002/job.4030110202</v>
      </c>
      <c r="B207" s="677" t="str">
        <f>IFERROR(__xludf.DUMMYFUNCTION("""COMPUTED_VALUE"""),"https://drive.google.com/file/d/1lMYMyTdUxng9kA4vr7ZafvBPZQntsVeE/view?usp=drivesdk")</f>
        <v>https://drive.google.com/file/d/1lMYMyTdUxng9kA4vr7ZafvBPZQntsVeE/view?usp=drivesdk</v>
      </c>
      <c r="C207" s="156" t="str">
        <f>IFERROR(__xludf.DUMMYFUNCTION("""COMPUTED_VALUE"""),"10.1002--job.4030110202.pdf")</f>
        <v>10.1002--job.4030110202.pdf</v>
      </c>
      <c r="D207" s="156" t="str">
        <f>IFERROR(__xludf.DUMMYFUNCTION("""COMPUTED_VALUE"""),"application/pdf")</f>
        <v>application/pdf</v>
      </c>
    </row>
    <row r="208">
      <c r="A208" s="156" t="str">
        <f>IFERROR(__xludf.DUMMYFUNCTION("""COMPUTED_VALUE"""),"10.1006/obhd.1995.1059")</f>
        <v>10.1006/obhd.1995.1059</v>
      </c>
      <c r="B208" s="677" t="str">
        <f>IFERROR(__xludf.DUMMYFUNCTION("""COMPUTED_VALUE"""),"https://drive.google.com/file/d/13kMd5gdnNjeV3i4RLjgrwxu2N97r8sr9/view?usp=drivesdk")</f>
        <v>https://drive.google.com/file/d/13kMd5gdnNjeV3i4RLjgrwxu2N97r8sr9/view?usp=drivesdk</v>
      </c>
      <c r="C208" s="156" t="str">
        <f>IFERROR(__xludf.DUMMYFUNCTION("""COMPUTED_VALUE"""),"10.1006--obhd.1995.1059.pdf")</f>
        <v>10.1006--obhd.1995.1059.pdf</v>
      </c>
      <c r="D208" s="156" t="str">
        <f>IFERROR(__xludf.DUMMYFUNCTION("""COMPUTED_VALUE"""),"application/pdf")</f>
        <v>application/pdf</v>
      </c>
    </row>
    <row r="209">
      <c r="A209" s="156" t="str">
        <f>IFERROR(__xludf.DUMMYFUNCTION("""COMPUTED_VALUE"""),"10.1037/h0076548")</f>
        <v>10.1037/h0076548</v>
      </c>
      <c r="B209" s="677" t="str">
        <f>IFERROR(__xludf.DUMMYFUNCTION("""COMPUTED_VALUE"""),"https://drive.google.com/file/d/1iM0MJgBUo18pVKWRJM13y7ZbOSMAZKhn/view?usp=drivesdk")</f>
        <v>https://drive.google.com/file/d/1iM0MJgBUo18pVKWRJM13y7ZbOSMAZKhn/view?usp=drivesdk</v>
      </c>
      <c r="C209" s="156" t="str">
        <f>IFERROR(__xludf.DUMMYFUNCTION("""COMPUTED_VALUE"""),"10.1037--h0076548.pdf")</f>
        <v>10.1037--h0076548.pdf</v>
      </c>
      <c r="D209" s="156" t="str">
        <f>IFERROR(__xludf.DUMMYFUNCTION("""COMPUTED_VALUE"""),"application/pdf")</f>
        <v>application/pdf</v>
      </c>
    </row>
    <row r="210">
      <c r="A210" s="156" t="str">
        <f>IFERROR(__xludf.DUMMYFUNCTION("""COMPUTED_VALUE"""),"10.1037/0021-9010.74.5.823")</f>
        <v>10.1037/0021-9010.74.5.823</v>
      </c>
      <c r="B210" s="677" t="str">
        <f>IFERROR(__xludf.DUMMYFUNCTION("""COMPUTED_VALUE"""),"https://drive.google.com/file/d/1Rxggnxz-MwIiSQIguFknoJI7JLzCagao/view?usp=drivesdk")</f>
        <v>https://drive.google.com/file/d/1Rxggnxz-MwIiSQIguFknoJI7JLzCagao/view?usp=drivesdk</v>
      </c>
      <c r="C210" s="156" t="str">
        <f>IFERROR(__xludf.DUMMYFUNCTION("""COMPUTED_VALUE"""),"10.1037--0021-9010.74.5.823.pdf")</f>
        <v>10.1037--0021-9010.74.5.823.pdf</v>
      </c>
      <c r="D210" s="156" t="str">
        <f>IFERROR(__xludf.DUMMYFUNCTION("""COMPUTED_VALUE"""),"application/pdf")</f>
        <v>application/pdf</v>
      </c>
    </row>
    <row r="211">
      <c r="A211" s="156" t="str">
        <f>IFERROR(__xludf.DUMMYFUNCTION("""COMPUTED_VALUE"""),"10.1111/j.1744-6570.1993.tb00878.x")</f>
        <v>10.1111/j.1744-6570.1993.tb00878.x</v>
      </c>
      <c r="B211" s="677" t="str">
        <f>IFERROR(__xludf.DUMMYFUNCTION("""COMPUTED_VALUE"""),"https://drive.google.com/file/d/1p1qfqsqSynrvTPerVD4NgQH8Y6mqaXU6/view?usp=drivesdk")</f>
        <v>https://drive.google.com/file/d/1p1qfqsqSynrvTPerVD4NgQH8Y6mqaXU6/view?usp=drivesdk</v>
      </c>
      <c r="C211" s="156" t="str">
        <f>IFERROR(__xludf.DUMMYFUNCTION("""COMPUTED_VALUE"""),"10.1111--j.1744-6570.1993.tb00878.x.pdf")</f>
        <v>10.1111--j.1744-6570.1993.tb00878.x.pdf</v>
      </c>
      <c r="D211" s="156" t="str">
        <f>IFERROR(__xludf.DUMMYFUNCTION("""COMPUTED_VALUE"""),"application/pdf")</f>
        <v>application/pdf</v>
      </c>
    </row>
    <row r="212">
      <c r="A212" s="156" t="str">
        <f>IFERROR(__xludf.DUMMYFUNCTION("""COMPUTED_VALUE"""),"10.1016/j.obhdp.2014.11.003")</f>
        <v>10.1016/j.obhdp.2014.11.003</v>
      </c>
      <c r="B212" s="677" t="str">
        <f>IFERROR(__xludf.DUMMYFUNCTION("""COMPUTED_VALUE"""),"https://drive.google.com/file/d/11N_qm1jefvRJTpRoz1H_fDC9T9Uo_MYM/view?usp=drivesdk")</f>
        <v>https://drive.google.com/file/d/11N_qm1jefvRJTpRoz1H_fDC9T9Uo_MYM/view?usp=drivesdk</v>
      </c>
      <c r="C212" s="156" t="str">
        <f>IFERROR(__xludf.DUMMYFUNCTION("""COMPUTED_VALUE"""),"10.1016--j.obhdp.2014.11.003.pdf")</f>
        <v>10.1016--j.obhdp.2014.11.003.pdf</v>
      </c>
      <c r="D212" s="156" t="str">
        <f>IFERROR(__xludf.DUMMYFUNCTION("""COMPUTED_VALUE"""),"application/pdf")</f>
        <v>application/pdf</v>
      </c>
    </row>
    <row r="213">
      <c r="A213" s="156" t="str">
        <f>IFERROR(__xludf.DUMMYFUNCTION("""COMPUTED_VALUE"""),"10.1037/0021-9010.86.3.451")</f>
        <v>10.1037/0021-9010.86.3.451</v>
      </c>
      <c r="B213" s="677" t="str">
        <f>IFERROR(__xludf.DUMMYFUNCTION("""COMPUTED_VALUE"""),"https://drive.google.com/file/d/1MBbG4NwhRszoEhvA9UqTK9LCJGAbEDxB/view?usp=drivesdk")</f>
        <v>https://drive.google.com/file/d/1MBbG4NwhRszoEhvA9UqTK9LCJGAbEDxB/view?usp=drivesdk</v>
      </c>
      <c r="C213" s="156" t="str">
        <f>IFERROR(__xludf.DUMMYFUNCTION("""COMPUTED_VALUE"""),"10.1037--0021-9010.86.3.451.pdf")</f>
        <v>10.1037--0021-9010.86.3.451.pdf</v>
      </c>
      <c r="D213" s="156" t="str">
        <f>IFERROR(__xludf.DUMMYFUNCTION("""COMPUTED_VALUE"""),"application/pdf")</f>
        <v>application/pdf</v>
      </c>
    </row>
    <row r="214">
      <c r="A214" s="156" t="str">
        <f>IFERROR(__xludf.DUMMYFUNCTION("""COMPUTED_VALUE"""),"10.1111/ncmr.12153")</f>
        <v>10.1111/ncmr.12153</v>
      </c>
      <c r="B214" s="677" t="str">
        <f>IFERROR(__xludf.DUMMYFUNCTION("""COMPUTED_VALUE"""),"https://drive.google.com/file/d/1tYc1ZJj5RRIeL4CGwDnRflS6fcpKfnpZ/view?usp=drivesdk")</f>
        <v>https://drive.google.com/file/d/1tYc1ZJj5RRIeL4CGwDnRflS6fcpKfnpZ/view?usp=drivesdk</v>
      </c>
      <c r="C214" s="156" t="str">
        <f>IFERROR(__xludf.DUMMYFUNCTION("""COMPUTED_VALUE"""),"10.1111--ncmr.12153.pdf")</f>
        <v>10.1111--ncmr.12153.pdf</v>
      </c>
      <c r="D214" s="156" t="str">
        <f>IFERROR(__xludf.DUMMYFUNCTION("""COMPUTED_VALUE"""),"application/pdf")</f>
        <v>application/pdf</v>
      </c>
    </row>
    <row r="215">
      <c r="A215" s="156" t="str">
        <f>IFERROR(__xludf.DUMMYFUNCTION("""COMPUTED_VALUE"""),"10.1111/ijsa.12227")</f>
        <v>10.1111/ijsa.12227</v>
      </c>
      <c r="B215" s="677" t="str">
        <f>IFERROR(__xludf.DUMMYFUNCTION("""COMPUTED_VALUE"""),"https://drive.google.com/file/d/1_KRn5c6ILT1V6OnrHEFHw_R_vd9Ymlbc/view?usp=drivesdk")</f>
        <v>https://drive.google.com/file/d/1_KRn5c6ILT1V6OnrHEFHw_R_vd9Ymlbc/view?usp=drivesdk</v>
      </c>
      <c r="C215" s="156" t="str">
        <f>IFERROR(__xludf.DUMMYFUNCTION("""COMPUTED_VALUE"""),"10.1111--ijsa.12227.pdf")</f>
        <v>10.1111--ijsa.12227.pdf</v>
      </c>
      <c r="D215" s="156" t="str">
        <f>IFERROR(__xludf.DUMMYFUNCTION("""COMPUTED_VALUE"""),"application/pdf")</f>
        <v>application/pdf</v>
      </c>
    </row>
    <row r="216">
      <c r="A216" s="156" t="str">
        <f>IFERROR(__xludf.DUMMYFUNCTION("""COMPUTED_VALUE"""),"10.1006/obhd.2000.2934")</f>
        <v>10.1006/obhd.2000.2934</v>
      </c>
      <c r="B216" s="677" t="str">
        <f>IFERROR(__xludf.DUMMYFUNCTION("""COMPUTED_VALUE"""),"https://drive.google.com/file/d/1w73SBsRo3_tt8THmjDfToeYcZ00h7otm/view?usp=drivesdk")</f>
        <v>https://drive.google.com/file/d/1w73SBsRo3_tt8THmjDfToeYcZ00h7otm/view?usp=drivesdk</v>
      </c>
      <c r="C216" s="156" t="str">
        <f>IFERROR(__xludf.DUMMYFUNCTION("""COMPUTED_VALUE"""),"10.1006--obhd.2000.2934.pdf")</f>
        <v>10.1006--obhd.2000.2934.pdf</v>
      </c>
      <c r="D216" s="156" t="str">
        <f>IFERROR(__xludf.DUMMYFUNCTION("""COMPUTED_VALUE"""),"application/pdf")</f>
        <v>application/pdf</v>
      </c>
    </row>
    <row r="217">
      <c r="A217" s="156" t="str">
        <f>IFERROR(__xludf.DUMMYFUNCTION("""COMPUTED_VALUE"""),"10.1037/h0027796")</f>
        <v>10.1037/h0027796</v>
      </c>
      <c r="B217" s="677" t="str">
        <f>IFERROR(__xludf.DUMMYFUNCTION("""COMPUTED_VALUE"""),"https://drive.google.com/file/d/12iphP7b9Dy_cRnYWgcnh0NSggqkB0b_Q/view?usp=drivesdk")</f>
        <v>https://drive.google.com/file/d/12iphP7b9Dy_cRnYWgcnh0NSggqkB0b_Q/view?usp=drivesdk</v>
      </c>
      <c r="C217" s="156" t="str">
        <f>IFERROR(__xludf.DUMMYFUNCTION("""COMPUTED_VALUE"""),"10.1037--h0027796.pdf")</f>
        <v>10.1037--h0027796.pdf</v>
      </c>
      <c r="D217" s="156" t="str">
        <f>IFERROR(__xludf.DUMMYFUNCTION("""COMPUTED_VALUE"""),"application/pdf")</f>
        <v>application/pdf</v>
      </c>
    </row>
    <row r="218">
      <c r="A218" s="156" t="str">
        <f>IFERROR(__xludf.DUMMYFUNCTION("""COMPUTED_VALUE"""),"10.1348/096317906x118685")</f>
        <v>10.1348/096317906x118685</v>
      </c>
      <c r="B218" s="677" t="str">
        <f>IFERROR(__xludf.DUMMYFUNCTION("""COMPUTED_VALUE"""),"https://drive.google.com/file/d/1aUnL3AC6Lag2YL3jIv0MCpVVEJexlUqN/view?usp=drivesdk")</f>
        <v>https://drive.google.com/file/d/1aUnL3AC6Lag2YL3jIv0MCpVVEJexlUqN/view?usp=drivesdk</v>
      </c>
      <c r="C218" s="156" t="str">
        <f>IFERROR(__xludf.DUMMYFUNCTION("""COMPUTED_VALUE"""),"10.1348--096317906X118685.pdf")</f>
        <v>10.1348--096317906X118685.pdf</v>
      </c>
      <c r="D218" s="156" t="str">
        <f>IFERROR(__xludf.DUMMYFUNCTION("""COMPUTED_VALUE"""),"application/pdf")</f>
        <v>application/pdf</v>
      </c>
    </row>
    <row r="219">
      <c r="A219" s="156" t="str">
        <f>IFERROR(__xludf.DUMMYFUNCTION("""COMPUTED_VALUE"""),"10.1111/j.1467-6486.2004.00456.x")</f>
        <v>10.1111/j.1467-6486.2004.00456.x</v>
      </c>
      <c r="B219" s="677" t="str">
        <f>IFERROR(__xludf.DUMMYFUNCTION("""COMPUTED_VALUE"""),"https://drive.google.com/file/d/1MTGbOPuWU5Zdtv0IQhwqEFpK1vBJ2LLn/view?usp=drivesdk")</f>
        <v>https://drive.google.com/file/d/1MTGbOPuWU5Zdtv0IQhwqEFpK1vBJ2LLn/view?usp=drivesdk</v>
      </c>
      <c r="C219" s="156" t="str">
        <f>IFERROR(__xludf.DUMMYFUNCTION("""COMPUTED_VALUE"""),"10.1111--j.1467-6486.2004.00456.x.pdf")</f>
        <v>10.1111--j.1467-6486.2004.00456.x.pdf</v>
      </c>
      <c r="D219" s="156" t="str">
        <f>IFERROR(__xludf.DUMMYFUNCTION("""COMPUTED_VALUE"""),"application/pdf")</f>
        <v>application/pdf</v>
      </c>
    </row>
    <row r="220">
      <c r="A220" s="156" t="str">
        <f>IFERROR(__xludf.DUMMYFUNCTION("""COMPUTED_VALUE"""),"10.1016/j.leaqua.2015.08.005")</f>
        <v>10.1016/j.leaqua.2015.08.005</v>
      </c>
      <c r="B220" s="677" t="str">
        <f>IFERROR(__xludf.DUMMYFUNCTION("""COMPUTED_VALUE"""),"https://drive.google.com/file/d/15Lqbo2RhHIDgeHQ67dSIbTmFtVTyHit4/view?usp=drivesdk")</f>
        <v>https://drive.google.com/file/d/15Lqbo2RhHIDgeHQ67dSIbTmFtVTyHit4/view?usp=drivesdk</v>
      </c>
      <c r="C220" s="156" t="str">
        <f>IFERROR(__xludf.DUMMYFUNCTION("""COMPUTED_VALUE"""),"10.1016--j.leaqua.2015.08.005.pdf")</f>
        <v>10.1016--j.leaqua.2015.08.005.pdf</v>
      </c>
      <c r="D220" s="156" t="str">
        <f>IFERROR(__xludf.DUMMYFUNCTION("""COMPUTED_VALUE"""),"application/pdf")</f>
        <v>application/pdf</v>
      </c>
    </row>
    <row r="221">
      <c r="A221" s="156" t="str">
        <f>IFERROR(__xludf.DUMMYFUNCTION("""COMPUTED_VALUE"""),"10.1037/h0036457")</f>
        <v>10.1037/h0036457</v>
      </c>
      <c r="B221" s="677" t="str">
        <f>IFERROR(__xludf.DUMMYFUNCTION("""COMPUTED_VALUE"""),"https://drive.google.com/file/d/1OVX2qQByWg6mFZduAzvtJmyFYI6v1OI-/view?usp=drivesdk")</f>
        <v>https://drive.google.com/file/d/1OVX2qQByWg6mFZduAzvtJmyFYI6v1OI-/view?usp=drivesdk</v>
      </c>
      <c r="C221" s="156" t="str">
        <f>IFERROR(__xludf.DUMMYFUNCTION("""COMPUTED_VALUE"""),"10.1037--h0036457.pdf")</f>
        <v>10.1037--h0036457.pdf</v>
      </c>
      <c r="D221" s="156" t="str">
        <f>IFERROR(__xludf.DUMMYFUNCTION("""COMPUTED_VALUE"""),"application/pdf")</f>
        <v>application/pdf</v>
      </c>
    </row>
    <row r="222">
      <c r="A222" s="156" t="str">
        <f>IFERROR(__xludf.DUMMYFUNCTION("""COMPUTED_VALUE"""),"10.1080/13594320701473065")</f>
        <v>10.1080/13594320701473065</v>
      </c>
      <c r="B222" s="677" t="str">
        <f>IFERROR(__xludf.DUMMYFUNCTION("""COMPUTED_VALUE"""),"https://drive.google.com/file/d/1xG0iV_PsqzgoLeqw0r757PVu76I-ewez/view?usp=drivesdk")</f>
        <v>https://drive.google.com/file/d/1xG0iV_PsqzgoLeqw0r757PVu76I-ewez/view?usp=drivesdk</v>
      </c>
      <c r="C222" s="156" t="str">
        <f>IFERROR(__xludf.DUMMYFUNCTION("""COMPUTED_VALUE"""),"10.1080--13594320701473065.pdf")</f>
        <v>10.1080--13594320701473065.pdf</v>
      </c>
      <c r="D222" s="156" t="str">
        <f>IFERROR(__xludf.DUMMYFUNCTION("""COMPUTED_VALUE"""),"application/pdf")</f>
        <v>application/pdf</v>
      </c>
    </row>
    <row r="223">
      <c r="A223" s="156" t="str">
        <f>IFERROR(__xludf.DUMMYFUNCTION("""COMPUTED_VALUE"""),"10.1177/0149206320948602")</f>
        <v>10.1177/0149206320948602</v>
      </c>
      <c r="B223" s="677" t="str">
        <f>IFERROR(__xludf.DUMMYFUNCTION("""COMPUTED_VALUE"""),"https://drive.google.com/file/d/1hWi3x-TCNfd-F1_H_mFJPH6IWPCclXrx/view?usp=drivesdk")</f>
        <v>https://drive.google.com/file/d/1hWi3x-TCNfd-F1_H_mFJPH6IWPCclXrx/view?usp=drivesdk</v>
      </c>
      <c r="C223" s="156" t="str">
        <f>IFERROR(__xludf.DUMMYFUNCTION("""COMPUTED_VALUE"""),"10.1177--0149206320948602.pdf")</f>
        <v>10.1177--0149206320948602.pdf</v>
      </c>
      <c r="D223" s="156" t="str">
        <f>IFERROR(__xludf.DUMMYFUNCTION("""COMPUTED_VALUE"""),"application/pdf")</f>
        <v>application/pdf</v>
      </c>
    </row>
    <row r="224">
      <c r="A224" s="156" t="str">
        <f>IFERROR(__xludf.DUMMYFUNCTION("""COMPUTED_VALUE"""),"10.1037/0021-9010.84.1.14")</f>
        <v>10.1037/0021-9010.84.1.14</v>
      </c>
      <c r="B224" s="677" t="str">
        <f>IFERROR(__xludf.DUMMYFUNCTION("""COMPUTED_VALUE"""),"https://drive.google.com/file/d/1uBgGQtZ5oK8SqKSUBr3hMygngs0gWnpa/view?usp=drivesdk")</f>
        <v>https://drive.google.com/file/d/1uBgGQtZ5oK8SqKSUBr3hMygngs0gWnpa/view?usp=drivesdk</v>
      </c>
      <c r="C224" s="156" t="str">
        <f>IFERROR(__xludf.DUMMYFUNCTION("""COMPUTED_VALUE"""),"10.1037--0021-9010.84.1.14.pdf")</f>
        <v>10.1037--0021-9010.84.1.14.pdf</v>
      </c>
      <c r="D224" s="156" t="str">
        <f>IFERROR(__xludf.DUMMYFUNCTION("""COMPUTED_VALUE"""),"application/pdf")</f>
        <v>application/pdf</v>
      </c>
    </row>
    <row r="225">
      <c r="A225" s="156" t="str">
        <f>IFERROR(__xludf.DUMMYFUNCTION("""COMPUTED_VALUE"""),"10.1111/joop.12339")</f>
        <v>10.1111/joop.12339</v>
      </c>
      <c r="B225" s="677" t="str">
        <f>IFERROR(__xludf.DUMMYFUNCTION("""COMPUTED_VALUE"""),"https://drive.google.com/file/d/1E_6b4zZ-omtmOjjj8-XeF45BcnWI7vyy/view?usp=drivesdk")</f>
        <v>https://drive.google.com/file/d/1E_6b4zZ-omtmOjjj8-XeF45BcnWI7vyy/view?usp=drivesdk</v>
      </c>
      <c r="C225" s="156" t="str">
        <f>IFERROR(__xludf.DUMMYFUNCTION("""COMPUTED_VALUE"""),"10.1111--joop.12339.pdf")</f>
        <v>10.1111--joop.12339.pdf</v>
      </c>
      <c r="D225" s="156" t="str">
        <f>IFERROR(__xludf.DUMMYFUNCTION("""COMPUTED_VALUE"""),"application/pdf")</f>
        <v>application/pdf</v>
      </c>
    </row>
    <row r="226">
      <c r="A226" s="156" t="str">
        <f>IFERROR(__xludf.DUMMYFUNCTION("""COMPUTED_VALUE"""),"10.1037/0021-9010.66.5.646")</f>
        <v>10.1037/0021-9010.66.5.646</v>
      </c>
      <c r="B226" s="677" t="str">
        <f>IFERROR(__xludf.DUMMYFUNCTION("""COMPUTED_VALUE"""),"https://drive.google.com/file/d/1pG-Y5xMIaPafDnkZr7vDsn-8REMTA2Kx/view?usp=drivesdk")</f>
        <v>https://drive.google.com/file/d/1pG-Y5xMIaPafDnkZr7vDsn-8REMTA2Kx/view?usp=drivesdk</v>
      </c>
      <c r="C226" s="156" t="str">
        <f>IFERROR(__xludf.DUMMYFUNCTION("""COMPUTED_VALUE"""),"10.1037--0021-9010.66.5.646.pdf")</f>
        <v>10.1037--0021-9010.66.5.646.pdf</v>
      </c>
      <c r="D226" s="156" t="str">
        <f>IFERROR(__xludf.DUMMYFUNCTION("""COMPUTED_VALUE"""),"application/pdf")</f>
        <v>application/pdf</v>
      </c>
    </row>
    <row r="227">
      <c r="A227" s="156" t="str">
        <f>IFERROR(__xludf.DUMMYFUNCTION("""COMPUTED_VALUE"""),"10.1348/096317901167415")</f>
        <v>10.1348/096317901167415</v>
      </c>
      <c r="B227" s="677" t="str">
        <f>IFERROR(__xludf.DUMMYFUNCTION("""COMPUTED_VALUE"""),"https://drive.google.com/file/d/1F3QGAzryYQVpOPZCE3yB3UL0B50sD5Qh/view?usp=drivesdk")</f>
        <v>https://drive.google.com/file/d/1F3QGAzryYQVpOPZCE3yB3UL0B50sD5Qh/view?usp=drivesdk</v>
      </c>
      <c r="C227" s="156" t="str">
        <f>IFERROR(__xludf.DUMMYFUNCTION("""COMPUTED_VALUE"""),"10.1348--096317901167415.pdf")</f>
        <v>10.1348--096317901167415.pdf</v>
      </c>
      <c r="D227" s="156" t="str">
        <f>IFERROR(__xludf.DUMMYFUNCTION("""COMPUTED_VALUE"""),"application/pdf")</f>
        <v>application/pdf</v>
      </c>
    </row>
    <row r="228">
      <c r="A228" s="156" t="str">
        <f>IFERROR(__xludf.DUMMYFUNCTION("""COMPUTED_VALUE"""),"10.1037/0021-9010.82.5.783")</f>
        <v>10.1037/0021-9010.82.5.783</v>
      </c>
      <c r="B228" s="677" t="str">
        <f>IFERROR(__xludf.DUMMYFUNCTION("""COMPUTED_VALUE"""),"https://drive.google.com/file/d/10anZGhjlOvO7aQbMT3QNUTGFyzMK1wgg/view?usp=drivesdk")</f>
        <v>https://drive.google.com/file/d/10anZGhjlOvO7aQbMT3QNUTGFyzMK1wgg/view?usp=drivesdk</v>
      </c>
      <c r="C228" s="156" t="str">
        <f>IFERROR(__xludf.DUMMYFUNCTION("""COMPUTED_VALUE"""),"10.1037--0021-9010.82.5.783.pdf")</f>
        <v>10.1037--0021-9010.82.5.783.pdf</v>
      </c>
      <c r="D228" s="156" t="str">
        <f>IFERROR(__xludf.DUMMYFUNCTION("""COMPUTED_VALUE"""),"application/pdf")</f>
        <v>application/pdf</v>
      </c>
    </row>
    <row r="229">
      <c r="A229" s="156" t="str">
        <f>IFERROR(__xludf.DUMMYFUNCTION("""COMPUTED_VALUE"""),"10.1016/j.leaqua.2013.03.005")</f>
        <v>10.1016/j.leaqua.2013.03.005</v>
      </c>
      <c r="B229" s="677" t="str">
        <f>IFERROR(__xludf.DUMMYFUNCTION("""COMPUTED_VALUE"""),"https://drive.google.com/file/d/1afj3FrBsNoCIkF325jw9kpZNtSxdsFWv/view?usp=drivesdk")</f>
        <v>https://drive.google.com/file/d/1afj3FrBsNoCIkF325jw9kpZNtSxdsFWv/view?usp=drivesdk</v>
      </c>
      <c r="C229" s="156" t="str">
        <f>IFERROR(__xludf.DUMMYFUNCTION("""COMPUTED_VALUE"""),"10.1016--j.leaqua.2013.03.005.pdf")</f>
        <v>10.1016--j.leaqua.2013.03.005.pdf</v>
      </c>
      <c r="D229" s="156" t="str">
        <f>IFERROR(__xludf.DUMMYFUNCTION("""COMPUTED_VALUE"""),"application/pdf")</f>
        <v>application/pdf</v>
      </c>
    </row>
    <row r="230">
      <c r="A230" s="156" t="str">
        <f>IFERROR(__xludf.DUMMYFUNCTION("""COMPUTED_VALUE"""),"10.1037/0021-9010.79.4.631")</f>
        <v>10.1037/0021-9010.79.4.631</v>
      </c>
      <c r="B230" s="677" t="str">
        <f>IFERROR(__xludf.DUMMYFUNCTION("""COMPUTED_VALUE"""),"https://drive.google.com/file/d/1GruSYQTYj27hi7nYv76yP2TA5pAQWpdz/view?usp=drivesdk")</f>
        <v>https://drive.google.com/file/d/1GruSYQTYj27hi7nYv76yP2TA5pAQWpdz/view?usp=drivesdk</v>
      </c>
      <c r="C230" s="156" t="str">
        <f>IFERROR(__xludf.DUMMYFUNCTION("""COMPUTED_VALUE"""),"10.1037--0021-9010.79.4.631.pdf")</f>
        <v>10.1037--0021-9010.79.4.631.pdf</v>
      </c>
      <c r="D230" s="156" t="str">
        <f>IFERROR(__xludf.DUMMYFUNCTION("""COMPUTED_VALUE"""),"application/pdf")</f>
        <v>application/pdf</v>
      </c>
    </row>
    <row r="231">
      <c r="A231" s="156" t="str">
        <f>IFERROR(__xludf.DUMMYFUNCTION("""COMPUTED_VALUE"""),"10.1037/0021-9010.77.1.55")</f>
        <v>10.1037/0021-9010.77.1.55</v>
      </c>
      <c r="B231" s="677" t="str">
        <f>IFERROR(__xludf.DUMMYFUNCTION("""COMPUTED_VALUE"""),"https://drive.google.com/file/d/1Af3oU7fMCAkPCXAmt2AH4pAZ2pYtymoW/view?usp=drivesdk")</f>
        <v>https://drive.google.com/file/d/1Af3oU7fMCAkPCXAmt2AH4pAZ2pYtymoW/view?usp=drivesdk</v>
      </c>
      <c r="C231" s="156" t="str">
        <f>IFERROR(__xludf.DUMMYFUNCTION("""COMPUTED_VALUE"""),"10.1037--0021-9010.77.1.55.pdf")</f>
        <v>10.1037--0021-9010.77.1.55.pdf</v>
      </c>
      <c r="D231" s="156" t="str">
        <f>IFERROR(__xludf.DUMMYFUNCTION("""COMPUTED_VALUE"""),"application/pdf")</f>
        <v>application/pdf</v>
      </c>
    </row>
    <row r="232">
      <c r="A232" s="156" t="str">
        <f>IFERROR(__xludf.DUMMYFUNCTION("""COMPUTED_VALUE"""),"10.1016/j.obhdp.2011.11.010")</f>
        <v>10.1016/j.obhdp.2011.11.010</v>
      </c>
      <c r="B232" s="677" t="str">
        <f>IFERROR(__xludf.DUMMYFUNCTION("""COMPUTED_VALUE"""),"https://drive.google.com/file/d/1QJ6DIHVjj7eu454NMl7cg_hqGVXGr2SH/view?usp=drivesdk")</f>
        <v>https://drive.google.com/file/d/1QJ6DIHVjj7eu454NMl7cg_hqGVXGr2SH/view?usp=drivesdk</v>
      </c>
      <c r="C232" s="156" t="str">
        <f>IFERROR(__xludf.DUMMYFUNCTION("""COMPUTED_VALUE"""),"10.1016--j.obhdp.2011.11.010.pdf")</f>
        <v>10.1016--j.obhdp.2011.11.010.pdf</v>
      </c>
      <c r="D232" s="156" t="str">
        <f>IFERROR(__xludf.DUMMYFUNCTION("""COMPUTED_VALUE"""),"application/pdf")</f>
        <v>application/pdf</v>
      </c>
    </row>
    <row r="233">
      <c r="A233" s="156" t="str">
        <f>IFERROR(__xludf.DUMMYFUNCTION("""COMPUTED_VALUE"""),"10.2307/256307")</f>
        <v>10.2307/256307</v>
      </c>
      <c r="B233" s="677" t="str">
        <f>IFERROR(__xludf.DUMMYFUNCTION("""COMPUTED_VALUE"""),"https://drive.google.com/file/d/1rIXV-wnGDKvubdUQQxmdU_Wv0qPz-V-F/view?usp=drivesdk")</f>
        <v>https://drive.google.com/file/d/1rIXV-wnGDKvubdUQQxmdU_Wv0qPz-V-F/view?usp=drivesdk</v>
      </c>
      <c r="C233" s="156" t="str">
        <f>IFERROR(__xludf.DUMMYFUNCTION("""COMPUTED_VALUE"""),"10.2307--256307.pdf")</f>
        <v>10.2307--256307.pdf</v>
      </c>
      <c r="D233" s="156" t="str">
        <f>IFERROR(__xludf.DUMMYFUNCTION("""COMPUTED_VALUE"""),"application/pdf")</f>
        <v>application/pdf</v>
      </c>
    </row>
    <row r="234">
      <c r="A234" s="156" t="str">
        <f>IFERROR(__xludf.DUMMYFUNCTION("""COMPUTED_VALUE"""),"10.5465/amle.2014.0146")</f>
        <v>10.5465/amle.2014.0146</v>
      </c>
      <c r="B234" s="677" t="str">
        <f>IFERROR(__xludf.DUMMYFUNCTION("""COMPUTED_VALUE"""),"https://drive.google.com/file/d/12BclVbSEH8zh6pi7DamlMGRa-usp4H1t/view?usp=drivesdk")</f>
        <v>https://drive.google.com/file/d/12BclVbSEH8zh6pi7DamlMGRa-usp4H1t/view?usp=drivesdk</v>
      </c>
      <c r="C234" s="156" t="str">
        <f>IFERROR(__xludf.DUMMYFUNCTION("""COMPUTED_VALUE"""),"10.5465--amle.2014.0146.pdf")</f>
        <v>10.5465--amle.2014.0146.pdf</v>
      </c>
      <c r="D234" s="156" t="str">
        <f>IFERROR(__xludf.DUMMYFUNCTION("""COMPUTED_VALUE"""),"application/pdf")</f>
        <v>application/pdf</v>
      </c>
    </row>
    <row r="235">
      <c r="A235" s="156" t="str">
        <f>IFERROR(__xludf.DUMMYFUNCTION("""COMPUTED_VALUE"""),"10.1177/001872679004300501")</f>
        <v>10.1177/001872679004300501</v>
      </c>
      <c r="B235" s="677" t="str">
        <f>IFERROR(__xludf.DUMMYFUNCTION("""COMPUTED_VALUE"""),"https://drive.google.com/file/d/1ECkWjwYiI0lv6dn19X2mEO2nCPJ9mlE6/view?usp=drivesdk")</f>
        <v>https://drive.google.com/file/d/1ECkWjwYiI0lv6dn19X2mEO2nCPJ9mlE6/view?usp=drivesdk</v>
      </c>
      <c r="C235" s="156" t="str">
        <f>IFERROR(__xludf.DUMMYFUNCTION("""COMPUTED_VALUE"""),"10.1177--001872679004300501.pdf")</f>
        <v>10.1177--001872679004300501.pdf</v>
      </c>
      <c r="D235" s="156" t="str">
        <f>IFERROR(__xludf.DUMMYFUNCTION("""COMPUTED_VALUE"""),"application/pdf")</f>
        <v>application/pdf</v>
      </c>
    </row>
    <row r="236">
      <c r="A236" s="156" t="str">
        <f>IFERROR(__xludf.DUMMYFUNCTION("""COMPUTED_VALUE"""),"10.1016/j.obhdp.2019.05.005")</f>
        <v>10.1016/j.obhdp.2019.05.005</v>
      </c>
      <c r="B236" s="677" t="str">
        <f>IFERROR(__xludf.DUMMYFUNCTION("""COMPUTED_VALUE"""),"https://drive.google.com/file/d/1_xduvacj438WLVUcuNu4qKwuAkTb-F9l/view?usp=drivesdk")</f>
        <v>https://drive.google.com/file/d/1_xduvacj438WLVUcuNu4qKwuAkTb-F9l/view?usp=drivesdk</v>
      </c>
      <c r="C236" s="156" t="str">
        <f>IFERROR(__xludf.DUMMYFUNCTION("""COMPUTED_VALUE"""),"10.1016--j.obhdp.2019.05.005.pdf")</f>
        <v>10.1016--j.obhdp.2019.05.005.pdf</v>
      </c>
      <c r="D236" s="156" t="str">
        <f>IFERROR(__xludf.DUMMYFUNCTION("""COMPUTED_VALUE"""),"application/pdf")</f>
        <v>application/pdf</v>
      </c>
    </row>
    <row r="237">
      <c r="A237" s="156" t="str">
        <f>IFERROR(__xludf.DUMMYFUNCTION("""COMPUTED_VALUE"""),"10.1177/001872678103400404")</f>
        <v>10.1177/001872678103400404</v>
      </c>
      <c r="B237" s="677" t="str">
        <f>IFERROR(__xludf.DUMMYFUNCTION("""COMPUTED_VALUE"""),"https://drive.google.com/file/d/15TBBAgRRQJjXyZotluDbDiTdoC7yIa7z/view?usp=drivesdk")</f>
        <v>https://drive.google.com/file/d/15TBBAgRRQJjXyZotluDbDiTdoC7yIa7z/view?usp=drivesdk</v>
      </c>
      <c r="C237" s="156" t="str">
        <f>IFERROR(__xludf.DUMMYFUNCTION("""COMPUTED_VALUE"""),"10.1177--001872678103400404.pdf")</f>
        <v>10.1177--001872678103400404.pdf</v>
      </c>
      <c r="D237" s="156" t="str">
        <f>IFERROR(__xludf.DUMMYFUNCTION("""COMPUTED_VALUE"""),"application/pdf")</f>
        <v>application/pdf</v>
      </c>
    </row>
    <row r="238">
      <c r="A238" s="156" t="str">
        <f>IFERROR(__xludf.DUMMYFUNCTION("""COMPUTED_VALUE"""),"10.1348/096317902321119574")</f>
        <v>10.1348/096317902321119574</v>
      </c>
      <c r="B238" s="677" t="str">
        <f>IFERROR(__xludf.DUMMYFUNCTION("""COMPUTED_VALUE"""),"https://drive.google.com/file/d/1sPCaP_tZ0rEs6A2e34Hp1ZNmLEvenXSK/view?usp=drivesdk")</f>
        <v>https://drive.google.com/file/d/1sPCaP_tZ0rEs6A2e34Hp1ZNmLEvenXSK/view?usp=drivesdk</v>
      </c>
      <c r="C238" s="156" t="str">
        <f>IFERROR(__xludf.DUMMYFUNCTION("""COMPUTED_VALUE"""),"10.1348--096317902321119574.pdf")</f>
        <v>10.1348--096317902321119574.pdf</v>
      </c>
      <c r="D238" s="156" t="str">
        <f>IFERROR(__xludf.DUMMYFUNCTION("""COMPUTED_VALUE"""),"application/pdf")</f>
        <v>application/pdf</v>
      </c>
    </row>
    <row r="239">
      <c r="A239" s="156" t="str">
        <f>IFERROR(__xludf.DUMMYFUNCTION("""COMPUTED_VALUE"""),"10.1006/obhd.1995.1095")</f>
        <v>10.1006/obhd.1995.1095</v>
      </c>
      <c r="B239" s="677" t="str">
        <f>IFERROR(__xludf.DUMMYFUNCTION("""COMPUTED_VALUE"""),"https://drive.google.com/file/d/1wgnG6Soqh9ROCizK12VPMpOolrnD6nej/view?usp=drivesdk")</f>
        <v>https://drive.google.com/file/d/1wgnG6Soqh9ROCizK12VPMpOolrnD6nej/view?usp=drivesdk</v>
      </c>
      <c r="C239" s="156" t="str">
        <f>IFERROR(__xludf.DUMMYFUNCTION("""COMPUTED_VALUE"""),"10.1006--obhd.1995.1095.pdf")</f>
        <v>10.1006--obhd.1995.1095.pdf</v>
      </c>
      <c r="D239" s="156" t="str">
        <f>IFERROR(__xludf.DUMMYFUNCTION("""COMPUTED_VALUE"""),"application/pdf")</f>
        <v>application/pdf</v>
      </c>
    </row>
    <row r="240">
      <c r="A240" s="156" t="str">
        <f>IFERROR(__xludf.DUMMYFUNCTION("""COMPUTED_VALUE"""),"10.1177/001872679504801003")</f>
        <v>10.1177/001872679504801003</v>
      </c>
      <c r="B240" s="677" t="str">
        <f>IFERROR(__xludf.DUMMYFUNCTION("""COMPUTED_VALUE"""),"https://drive.google.com/file/d/1FSedrQvB_-Rc2v4sl8L6pi6TxGR6LfrB/view?usp=drivesdk")</f>
        <v>https://drive.google.com/file/d/1FSedrQvB_-Rc2v4sl8L6pi6TxGR6LfrB/view?usp=drivesdk</v>
      </c>
      <c r="C240" s="156" t="str">
        <f>IFERROR(__xludf.DUMMYFUNCTION("""COMPUTED_VALUE"""),"10.1177--001872679504801003.pdf")</f>
        <v>10.1177--001872679504801003.pdf</v>
      </c>
      <c r="D240" s="156" t="str">
        <f>IFERROR(__xludf.DUMMYFUNCTION("""COMPUTED_VALUE"""),"application/pdf")</f>
        <v>application/pdf</v>
      </c>
    </row>
    <row r="241">
      <c r="A241" s="156" t="str">
        <f>IFERROR(__xludf.DUMMYFUNCTION("""COMPUTED_VALUE"""),"10.1111/j.1467-6486.1990.tb00250.x")</f>
        <v>10.1111/j.1467-6486.1990.tb00250.x</v>
      </c>
      <c r="B241" s="677" t="str">
        <f>IFERROR(__xludf.DUMMYFUNCTION("""COMPUTED_VALUE"""),"https://drive.google.com/file/d/1Vx6-t5JTOQEvSnRpBNp2R_O-Zebg0dSZ/view?usp=drivesdk")</f>
        <v>https://drive.google.com/file/d/1Vx6-t5JTOQEvSnRpBNp2R_O-Zebg0dSZ/view?usp=drivesdk</v>
      </c>
      <c r="C241" s="156" t="str">
        <f>IFERROR(__xludf.DUMMYFUNCTION("""COMPUTED_VALUE"""),"10.1111--j.1467-6486.1990.tb00250.x.pdf")</f>
        <v>10.1111--j.1467-6486.1990.tb00250.x.pdf</v>
      </c>
      <c r="D241" s="156" t="str">
        <f>IFERROR(__xludf.DUMMYFUNCTION("""COMPUTED_VALUE"""),"application/pdf")</f>
        <v>application/pdf</v>
      </c>
    </row>
    <row r="242">
      <c r="A242" s="156" t="str">
        <f>IFERROR(__xludf.DUMMYFUNCTION("""COMPUTED_VALUE"""),"10.1037/h0036771")</f>
        <v>10.1037/h0036771</v>
      </c>
      <c r="B242" s="677" t="str">
        <f>IFERROR(__xludf.DUMMYFUNCTION("""COMPUTED_VALUE"""),"https://drive.google.com/file/d/1FK8U1l_sec0nw2maZFzrfgyfc_jssV4R/view?usp=drivesdk")</f>
        <v>https://drive.google.com/file/d/1FK8U1l_sec0nw2maZFzrfgyfc_jssV4R/view?usp=drivesdk</v>
      </c>
      <c r="C242" s="156" t="str">
        <f>IFERROR(__xludf.DUMMYFUNCTION("""COMPUTED_VALUE"""),"10.1037--h0036771.pdf")</f>
        <v>10.1037--h0036771.pdf</v>
      </c>
      <c r="D242" s="156" t="str">
        <f>IFERROR(__xludf.DUMMYFUNCTION("""COMPUTED_VALUE"""),"application/pdf")</f>
        <v>application/pdf</v>
      </c>
    </row>
    <row r="243">
      <c r="A243" s="156" t="str">
        <f>IFERROR(__xludf.DUMMYFUNCTION("""COMPUTED_VALUE"""),"10.1037/0021-9010.83.1.84")</f>
        <v>10.1037/0021-9010.83.1.84</v>
      </c>
      <c r="B243" s="677" t="str">
        <f>IFERROR(__xludf.DUMMYFUNCTION("""COMPUTED_VALUE"""),"https://drive.google.com/file/d/16QRcoc2qYP1rPo-RZHr3IXE1JFR_nCwl/view?usp=drivesdk")</f>
        <v>https://drive.google.com/file/d/16QRcoc2qYP1rPo-RZHr3IXE1JFR_nCwl/view?usp=drivesdk</v>
      </c>
      <c r="C243" s="156" t="str">
        <f>IFERROR(__xludf.DUMMYFUNCTION("""COMPUTED_VALUE"""),"10.1037--0021-9010.83.1.84.pdf")</f>
        <v>10.1037--0021-9010.83.1.84.pdf</v>
      </c>
      <c r="D243" s="156" t="str">
        <f>IFERROR(__xludf.DUMMYFUNCTION("""COMPUTED_VALUE"""),"application/pdf")</f>
        <v>application/pdf</v>
      </c>
    </row>
    <row r="244">
      <c r="A244" s="156" t="str">
        <f>IFERROR(__xludf.DUMMYFUNCTION("""COMPUTED_VALUE"""),"10.1177/1046496405281768")</f>
        <v>10.1177/1046496405281768</v>
      </c>
      <c r="B244" s="677" t="str">
        <f>IFERROR(__xludf.DUMMYFUNCTION("""COMPUTED_VALUE"""),"https://drive.google.com/file/d/125oW-Yy66IiXYKhOycj3l8EvyroOpztd/view?usp=drivesdk")</f>
        <v>https://drive.google.com/file/d/125oW-Yy66IiXYKhOycj3l8EvyroOpztd/view?usp=drivesdk</v>
      </c>
      <c r="C244" s="156" t="str">
        <f>IFERROR(__xludf.DUMMYFUNCTION("""COMPUTED_VALUE"""),"10.1177--1046496405281768.pdf")</f>
        <v>10.1177--1046496405281768.pdf</v>
      </c>
      <c r="D244" s="156" t="str">
        <f>IFERROR(__xludf.DUMMYFUNCTION("""COMPUTED_VALUE"""),"application/pdf")</f>
        <v>application/pdf</v>
      </c>
    </row>
    <row r="245">
      <c r="A245" s="156" t="str">
        <f>IFERROR(__xludf.DUMMYFUNCTION("""COMPUTED_VALUE"""),"10.1037/0021-9010.90.6.1204")</f>
        <v>10.1037/0021-9010.90.6.1204</v>
      </c>
      <c r="B245" s="677" t="str">
        <f>IFERROR(__xludf.DUMMYFUNCTION("""COMPUTED_VALUE"""),"https://drive.google.com/file/d/1eVE-lCxbUlNH7-YGgiUbyQXMysi4YxYm/view?usp=drivesdk")</f>
        <v>https://drive.google.com/file/d/1eVE-lCxbUlNH7-YGgiUbyQXMysi4YxYm/view?usp=drivesdk</v>
      </c>
      <c r="C245" s="156" t="str">
        <f>IFERROR(__xludf.DUMMYFUNCTION("""COMPUTED_VALUE"""),"10.1037--0021-9010.90.6.1204.pdf")</f>
        <v>10.1037--0021-9010.90.6.1204.pdf</v>
      </c>
      <c r="D245" s="156" t="str">
        <f>IFERROR(__xludf.DUMMYFUNCTION("""COMPUTED_VALUE"""),"application/pdf")</f>
        <v>application/pdf</v>
      </c>
    </row>
    <row r="246">
      <c r="A246" s="156" t="str">
        <f>IFERROR(__xludf.DUMMYFUNCTION("""COMPUTED_VALUE"""),"10.1037/0021-9010.77.4.562")</f>
        <v>10.1037/0021-9010.77.4.562</v>
      </c>
      <c r="B246" s="677" t="str">
        <f>IFERROR(__xludf.DUMMYFUNCTION("""COMPUTED_VALUE"""),"https://drive.google.com/file/d/1CrPXnG4uuv89aHq13TGsUNP-O4delOv5/view?usp=drivesdk")</f>
        <v>https://drive.google.com/file/d/1CrPXnG4uuv89aHq13TGsUNP-O4delOv5/view?usp=drivesdk</v>
      </c>
      <c r="C246" s="156" t="str">
        <f>IFERROR(__xludf.DUMMYFUNCTION("""COMPUTED_VALUE"""),"10.1037--0021-9010.77.4.562.pdf")</f>
        <v>10.1037--0021-9010.77.4.562.pdf</v>
      </c>
      <c r="D246" s="156" t="str">
        <f>IFERROR(__xludf.DUMMYFUNCTION("""COMPUTED_VALUE"""),"application/pdf")</f>
        <v>application/pdf</v>
      </c>
    </row>
    <row r="247">
      <c r="A247" s="156" t="str">
        <f>IFERROR(__xludf.DUMMYFUNCTION("""COMPUTED_VALUE"""),"10.2307/2785898")</f>
        <v>10.2307/2785898</v>
      </c>
      <c r="B247" s="677" t="str">
        <f>IFERROR(__xludf.DUMMYFUNCTION("""COMPUTED_VALUE"""),"https://drive.google.com/file/d/1BtiJ11K5eqpsqlj5PQJbG7xfO8pM9oMv/view?usp=drivesdk")</f>
        <v>https://drive.google.com/file/d/1BtiJ11K5eqpsqlj5PQJbG7xfO8pM9oMv/view?usp=drivesdk</v>
      </c>
      <c r="C247" s="156" t="str">
        <f>IFERROR(__xludf.DUMMYFUNCTION("""COMPUTED_VALUE"""),"10.2307--2785898.pdf")</f>
        <v>10.2307--2785898.pdf</v>
      </c>
      <c r="D247" s="156" t="str">
        <f>IFERROR(__xludf.DUMMYFUNCTION("""COMPUTED_VALUE"""),"application/pdf")</f>
        <v>application/pdf</v>
      </c>
    </row>
    <row r="248">
      <c r="A248" s="156" t="str">
        <f>IFERROR(__xludf.DUMMYFUNCTION("""COMPUTED_VALUE"""),"10.1080/13594320701693225")</f>
        <v>10.1080/13594320701693225</v>
      </c>
      <c r="B248" s="677" t="str">
        <f>IFERROR(__xludf.DUMMYFUNCTION("""COMPUTED_VALUE"""),"https://drive.google.com/file/d/1EbDqteZKjOCKGj59-S4EWDLxkuXjzhaL/view?usp=drivesdk")</f>
        <v>https://drive.google.com/file/d/1EbDqteZKjOCKGj59-S4EWDLxkuXjzhaL/view?usp=drivesdk</v>
      </c>
      <c r="C248" s="156" t="str">
        <f>IFERROR(__xludf.DUMMYFUNCTION("""COMPUTED_VALUE"""),"10.1080--13594320701693225.pdf")</f>
        <v>10.1080--13594320701693225.pdf</v>
      </c>
      <c r="D248" s="156" t="str">
        <f>IFERROR(__xludf.DUMMYFUNCTION("""COMPUTED_VALUE"""),"application/pdf")</f>
        <v>application/pdf</v>
      </c>
    </row>
    <row r="249">
      <c r="A249" s="156" t="str">
        <f>IFERROR(__xludf.DUMMYFUNCTION("""COMPUTED_VALUE"""),"10.1016/0030-5073(83)90120-4")</f>
        <v>10.1016/0030-5073(83)90120-4</v>
      </c>
      <c r="B249" s="677" t="str">
        <f>IFERROR(__xludf.DUMMYFUNCTION("""COMPUTED_VALUE"""),"https://drive.google.com/file/d/1t_1Ta5v64ZRnXNjpz_IhVas3VlhZn4fQ/view?usp=drivesdk")</f>
        <v>https://drive.google.com/file/d/1t_1Ta5v64ZRnXNjpz_IhVas3VlhZn4fQ/view?usp=drivesdk</v>
      </c>
      <c r="C249" s="156" t="str">
        <f>IFERROR(__xludf.DUMMYFUNCTION("""COMPUTED_VALUE"""),"10.1016--0030-5073(83)90120-4.pdf")</f>
        <v>10.1016--0030-5073(83)90120-4.pdf</v>
      </c>
      <c r="D249" s="156" t="str">
        <f>IFERROR(__xludf.DUMMYFUNCTION("""COMPUTED_VALUE"""),"application/pdf")</f>
        <v>application/pdf</v>
      </c>
    </row>
    <row r="250">
      <c r="A250" s="156" t="str">
        <f>IFERROR(__xludf.DUMMYFUNCTION("""COMPUTED_VALUE"""),"10.2307/20650309")</f>
        <v>10.2307/20650309</v>
      </c>
      <c r="B250" s="677" t="str">
        <f>IFERROR(__xludf.DUMMYFUNCTION("""COMPUTED_VALUE"""),"https://drive.google.com/file/d/1eqDmH-dclTWnNxnAK_2qulmpcYeOnLRM/view?usp=drivesdk")</f>
        <v>https://drive.google.com/file/d/1eqDmH-dclTWnNxnAK_2qulmpcYeOnLRM/view?usp=drivesdk</v>
      </c>
      <c r="C250" s="156" t="str">
        <f>IFERROR(__xludf.DUMMYFUNCTION("""COMPUTED_VALUE"""),"10.2307--20650309.pdf")</f>
        <v>10.2307--20650309.pdf</v>
      </c>
      <c r="D250" s="156" t="str">
        <f>IFERROR(__xludf.DUMMYFUNCTION("""COMPUTED_VALUE"""),"application/pdf")</f>
        <v>application/pdf</v>
      </c>
    </row>
    <row r="251">
      <c r="A251" s="156" t="str">
        <f>IFERROR(__xludf.DUMMYFUNCTION("""COMPUTED_VALUE"""),"10.1037/0021-9010.91.5.1013")</f>
        <v>10.1037/0021-9010.91.5.1013</v>
      </c>
      <c r="B251" s="677" t="str">
        <f>IFERROR(__xludf.DUMMYFUNCTION("""COMPUTED_VALUE"""),"https://drive.google.com/file/d/1Wu37bIilIEhyFAd60cmUu4U-LvXfjohq/view?usp=drivesdk")</f>
        <v>https://drive.google.com/file/d/1Wu37bIilIEhyFAd60cmUu4U-LvXfjohq/view?usp=drivesdk</v>
      </c>
      <c r="C251" s="156" t="str">
        <f>IFERROR(__xludf.DUMMYFUNCTION("""COMPUTED_VALUE"""),"10.1037--0021-9010.91.5.1013.pdf")</f>
        <v>10.1037--0021-9010.91.5.1013.pdf</v>
      </c>
      <c r="D251" s="156" t="str">
        <f>IFERROR(__xludf.DUMMYFUNCTION("""COMPUTED_VALUE"""),"application/pdf")</f>
        <v>application/pdf</v>
      </c>
    </row>
    <row r="252">
      <c r="A252" s="156" t="str">
        <f>IFERROR(__xludf.DUMMYFUNCTION("""COMPUTED_VALUE"""),"10.1037/0033-2909.126.4.530")</f>
        <v>10.1037/0033-2909.126.4.530</v>
      </c>
      <c r="B252" s="677" t="str">
        <f>IFERROR(__xludf.DUMMYFUNCTION("""COMPUTED_VALUE"""),"https://drive.google.com/file/d/1kC_R-_InTxLi72opkKV_tpg8fncE4hcZ/view?usp=drivesdk")</f>
        <v>https://drive.google.com/file/d/1kC_R-_InTxLi72opkKV_tpg8fncE4hcZ/view?usp=drivesdk</v>
      </c>
      <c r="C252" s="156" t="str">
        <f>IFERROR(__xludf.DUMMYFUNCTION("""COMPUTED_VALUE"""),"10.1037--0033-2909.126.4.530.pdf")</f>
        <v>10.1037--0033-2909.126.4.530.pdf</v>
      </c>
      <c r="D252" s="156" t="str">
        <f>IFERROR(__xludf.DUMMYFUNCTION("""COMPUTED_VALUE"""),"application/pdf")</f>
        <v>application/pdf</v>
      </c>
    </row>
    <row r="253">
      <c r="A253" s="156" t="str">
        <f>IFERROR(__xludf.DUMMYFUNCTION("""COMPUTED_VALUE"""),"10.1037/0022-3514.70.1.66")</f>
        <v>10.1037/0022-3514.70.1.66</v>
      </c>
      <c r="B253" s="677" t="str">
        <f>IFERROR(__xludf.DUMMYFUNCTION("""COMPUTED_VALUE"""),"https://drive.google.com/file/d/1b5id8Z2_uP76pWjVUJRT44mCTshhg-_7/view?usp=drivesdk")</f>
        <v>https://drive.google.com/file/d/1b5id8Z2_uP76pWjVUJRT44mCTshhg-_7/view?usp=drivesdk</v>
      </c>
      <c r="C253" s="156" t="str">
        <f>IFERROR(__xludf.DUMMYFUNCTION("""COMPUTED_VALUE"""),"10.1037--0022-3514.70.1.66.pdf")</f>
        <v>10.1037--0022-3514.70.1.66.pdf</v>
      </c>
      <c r="D253" s="156" t="str">
        <f>IFERROR(__xludf.DUMMYFUNCTION("""COMPUTED_VALUE"""),"application/pdf")</f>
        <v>application/pdf</v>
      </c>
    </row>
    <row r="254">
      <c r="A254" s="156" t="str">
        <f>IFERROR(__xludf.DUMMYFUNCTION("""COMPUTED_VALUE"""),"10.1016/j.obhdp.2005.09.002")</f>
        <v>10.1016/j.obhdp.2005.09.002</v>
      </c>
      <c r="B254" s="677" t="str">
        <f>IFERROR(__xludf.DUMMYFUNCTION("""COMPUTED_VALUE"""),"https://drive.google.com/file/d/1gXPYlXRF5WvLBhevKmNpXKayL_LwNiy7/view?usp=drivesdk")</f>
        <v>https://drive.google.com/file/d/1gXPYlXRF5WvLBhevKmNpXKayL_LwNiy7/view?usp=drivesdk</v>
      </c>
      <c r="C254" s="156" t="str">
        <f>IFERROR(__xludf.DUMMYFUNCTION("""COMPUTED_VALUE"""),"10.1016--j.obhdp.2005.09.002.pdf")</f>
        <v>10.1016--j.obhdp.2005.09.002.pdf</v>
      </c>
      <c r="D254" s="156" t="str">
        <f>IFERROR(__xludf.DUMMYFUNCTION("""COMPUTED_VALUE"""),"application/pdf")</f>
        <v>application/pdf</v>
      </c>
    </row>
    <row r="255">
      <c r="A255" s="156" t="str">
        <f>IFERROR(__xludf.DUMMYFUNCTION("""COMPUTED_VALUE"""),"10.1037/0021-9010.91.3.636")</f>
        <v>10.1037/0021-9010.91.3.636</v>
      </c>
      <c r="B255" s="677" t="str">
        <f>IFERROR(__xludf.DUMMYFUNCTION("""COMPUTED_VALUE"""),"https://drive.google.com/file/d/1SFKJngNaXEig3hdDO4p6wklI3cupf_yz/view?usp=drivesdk")</f>
        <v>https://drive.google.com/file/d/1SFKJngNaXEig3hdDO4p6wklI3cupf_yz/view?usp=drivesdk</v>
      </c>
      <c r="C255" s="156" t="str">
        <f>IFERROR(__xludf.DUMMYFUNCTION("""COMPUTED_VALUE"""),"10.1037--0021-9010.91.3.636.pdf")</f>
        <v>10.1037--0021-9010.91.3.636.pdf</v>
      </c>
      <c r="D255" s="156" t="str">
        <f>IFERROR(__xludf.DUMMYFUNCTION("""COMPUTED_VALUE"""),"application/pdf")</f>
        <v>application/pdf</v>
      </c>
    </row>
    <row r="256">
      <c r="A256" s="156" t="str">
        <f>IFERROR(__xludf.DUMMYFUNCTION("""COMPUTED_VALUE"""),"10.1037/0021-9010.88.6.989")</f>
        <v>10.1037/0021-9010.88.6.989</v>
      </c>
      <c r="B256" s="677" t="str">
        <f>IFERROR(__xludf.DUMMYFUNCTION("""COMPUTED_VALUE"""),"https://drive.google.com/file/d/1iIxek-inhm9WSs05oxEzZikjb_99YErj/view?usp=drivesdk")</f>
        <v>https://drive.google.com/file/d/1iIxek-inhm9WSs05oxEzZikjb_99YErj/view?usp=drivesdk</v>
      </c>
      <c r="C256" s="156" t="str">
        <f>IFERROR(__xludf.DUMMYFUNCTION("""COMPUTED_VALUE"""),"10.1037--0021-9010.88.6.989.pdf")</f>
        <v>10.1037--0021-9010.88.6.989.pdf</v>
      </c>
      <c r="D256" s="156" t="str">
        <f>IFERROR(__xludf.DUMMYFUNCTION("""COMPUTED_VALUE"""),"application/pdf")</f>
        <v>application/pdf</v>
      </c>
    </row>
    <row r="257">
      <c r="A257" s="156" t="str">
        <f>IFERROR(__xludf.DUMMYFUNCTION("""COMPUTED_VALUE"""),"10.1108/cdi-05-2013-0063")</f>
        <v>10.1108/cdi-05-2013-0063</v>
      </c>
      <c r="B257" s="677" t="str">
        <f>IFERROR(__xludf.DUMMYFUNCTION("""COMPUTED_VALUE"""),"https://drive.google.com/file/d/1D-gx9_DJR6Y8nE3CXK_4SkpcjTBkkore/view?usp=drivesdk")</f>
        <v>https://drive.google.com/file/d/1D-gx9_DJR6Y8nE3CXK_4SkpcjTBkkore/view?usp=drivesdk</v>
      </c>
      <c r="C257" s="156" t="str">
        <f>IFERROR(__xludf.DUMMYFUNCTION("""COMPUTED_VALUE"""),"10.1108--CDI-05-2013-0063.pdf")</f>
        <v>10.1108--CDI-05-2013-0063.pdf</v>
      </c>
      <c r="D257" s="156" t="str">
        <f>IFERROR(__xludf.DUMMYFUNCTION("""COMPUTED_VALUE"""),"application/pdf")</f>
        <v>application/pdf</v>
      </c>
    </row>
    <row r="258">
      <c r="A258" s="156" t="str">
        <f>IFERROR(__xludf.DUMMYFUNCTION("""COMPUTED_VALUE"""),"10.1037/a0012981")</f>
        <v>10.1037/a0012981</v>
      </c>
      <c r="B258" s="677" t="str">
        <f>IFERROR(__xludf.DUMMYFUNCTION("""COMPUTED_VALUE"""),"https://drive.google.com/file/d/1TkKAz9ljo3bjXZxQT4NYRm51bs1H53VS/view?usp=drivesdk")</f>
        <v>https://drive.google.com/file/d/1TkKAz9ljo3bjXZxQT4NYRm51bs1H53VS/view?usp=drivesdk</v>
      </c>
      <c r="C258" s="156" t="str">
        <f>IFERROR(__xludf.DUMMYFUNCTION("""COMPUTED_VALUE"""),"10.1037--a0012981.pdf")</f>
        <v>10.1037--a0012981.pdf</v>
      </c>
      <c r="D258" s="156" t="str">
        <f>IFERROR(__xludf.DUMMYFUNCTION("""COMPUTED_VALUE"""),"application/pdf")</f>
        <v>application/pdf</v>
      </c>
    </row>
    <row r="259">
      <c r="A259" s="156" t="str">
        <f>IFERROR(__xludf.DUMMYFUNCTION("""COMPUTED_VALUE"""),"10.1037/0021-9010.90.6.1241")</f>
        <v>10.1037/0021-9010.90.6.1241</v>
      </c>
      <c r="B259" s="677" t="str">
        <f>IFERROR(__xludf.DUMMYFUNCTION("""COMPUTED_VALUE"""),"https://drive.google.com/file/d/1k1DJhy2X3Nv4xlnIcIJYFR0kSmaMcgXD/view?usp=drivesdk")</f>
        <v>https://drive.google.com/file/d/1k1DJhy2X3Nv4xlnIcIJYFR0kSmaMcgXD/view?usp=drivesdk</v>
      </c>
      <c r="C259" s="156" t="str">
        <f>IFERROR(__xludf.DUMMYFUNCTION("""COMPUTED_VALUE"""),"10.1037--0021-9010.90.6.1241.pdf")</f>
        <v>10.1037--0021-9010.90.6.1241.pdf</v>
      </c>
      <c r="D259" s="156" t="str">
        <f>IFERROR(__xludf.DUMMYFUNCTION("""COMPUTED_VALUE"""),"application/pdf")</f>
        <v>application/pdf</v>
      </c>
    </row>
    <row r="260">
      <c r="A260" s="156" t="str">
        <f>IFERROR(__xludf.DUMMYFUNCTION("""COMPUTED_VALUE"""),"10.1111/j.1744-6570.2007.00087.x")</f>
        <v>10.1111/j.1744-6570.2007.00087.x</v>
      </c>
      <c r="B260" s="677" t="str">
        <f>IFERROR(__xludf.DUMMYFUNCTION("""COMPUTED_VALUE"""),"https://drive.google.com/file/d/1BDNupSttqVO-yRP9PRoNI-IgtI8b71aQ/view?usp=drivesdk")</f>
        <v>https://drive.google.com/file/d/1BDNupSttqVO-yRP9PRoNI-IgtI8b71aQ/view?usp=drivesdk</v>
      </c>
      <c r="C260" s="156" t="str">
        <f>IFERROR(__xludf.DUMMYFUNCTION("""COMPUTED_VALUE"""),"10.1111--j.1744-6570.2007.00087.x.pdf")</f>
        <v>10.1111--j.1744-6570.2007.00087.x.pdf</v>
      </c>
      <c r="D260" s="156" t="str">
        <f>IFERROR(__xludf.DUMMYFUNCTION("""COMPUTED_VALUE"""),"application/pdf")</f>
        <v>application/pdf</v>
      </c>
    </row>
    <row r="261">
      <c r="A261" s="156" t="str">
        <f>IFERROR(__xludf.DUMMYFUNCTION("""COMPUTED_VALUE"""),"10.1177/001316445401400407")</f>
        <v>10.1177/001316445401400407</v>
      </c>
      <c r="B261" s="677" t="str">
        <f>IFERROR(__xludf.DUMMYFUNCTION("""COMPUTED_VALUE"""),"https://drive.google.com/file/d/1FH6CpgRwWdADxlzZhDP6QyZlgA6XX3S1/view?usp=drivesdk")</f>
        <v>https://drive.google.com/file/d/1FH6CpgRwWdADxlzZhDP6QyZlgA6XX3S1/view?usp=drivesdk</v>
      </c>
      <c r="C261" s="156" t="str">
        <f>IFERROR(__xludf.DUMMYFUNCTION("""COMPUTED_VALUE"""),"10.1177--001316445401400407.pdf")</f>
        <v>10.1177--001316445401400407.pdf</v>
      </c>
      <c r="D261" s="156" t="str">
        <f>IFERROR(__xludf.DUMMYFUNCTION("""COMPUTED_VALUE"""),"application/pdf")</f>
        <v>application/pdf</v>
      </c>
    </row>
    <row r="262">
      <c r="A262" s="156" t="str">
        <f>IFERROR(__xludf.DUMMYFUNCTION("""COMPUTED_VALUE"""),"10.1111/j.1744-6570.1999.tb00163.x")</f>
        <v>10.1111/j.1744-6570.1999.tb00163.x</v>
      </c>
      <c r="B262" s="677" t="str">
        <f>IFERROR(__xludf.DUMMYFUNCTION("""COMPUTED_VALUE"""),"https://drive.google.com/file/d/1Okch4CdpQseHg6V3zCFb8EZ13ZiRjRip/view?usp=drivesdk")</f>
        <v>https://drive.google.com/file/d/1Okch4CdpQseHg6V3zCFb8EZ13ZiRjRip/view?usp=drivesdk</v>
      </c>
      <c r="C262" s="156" t="str">
        <f>IFERROR(__xludf.DUMMYFUNCTION("""COMPUTED_VALUE"""),"10.1111--j.1744-6570.1999.tb00163.x.pdf")</f>
        <v>10.1111--j.1744-6570.1999.tb00163.x.pdf</v>
      </c>
      <c r="D262" s="156" t="str">
        <f>IFERROR(__xludf.DUMMYFUNCTION("""COMPUTED_VALUE"""),"application/pdf")</f>
        <v>application/pdf</v>
      </c>
    </row>
    <row r="263">
      <c r="A263" s="156" t="str">
        <f>IFERROR(__xludf.DUMMYFUNCTION("""COMPUTED_VALUE"""),"10.2307/256083")</f>
        <v>10.2307/256083</v>
      </c>
      <c r="B263" s="677" t="str">
        <f>IFERROR(__xludf.DUMMYFUNCTION("""COMPUTED_VALUE"""),"https://drive.google.com/file/d/1jwIV77IGytt0vdCVn85l2Ck7J0Xxuzty/view?usp=drivesdk")</f>
        <v>https://drive.google.com/file/d/1jwIV77IGytt0vdCVn85l2Ck7J0Xxuzty/view?usp=drivesdk</v>
      </c>
      <c r="C263" s="156" t="str">
        <f>IFERROR(__xludf.DUMMYFUNCTION("""COMPUTED_VALUE"""),"10.2307--256083.pdf")</f>
        <v>10.2307--256083.pdf</v>
      </c>
      <c r="D263" s="156" t="str">
        <f>IFERROR(__xludf.DUMMYFUNCTION("""COMPUTED_VALUE"""),"application/pdf")</f>
        <v>application/pdf</v>
      </c>
    </row>
    <row r="264">
      <c r="A264" s="156" t="str">
        <f>IFERROR(__xludf.DUMMYFUNCTION("""COMPUTED_VALUE"""),"10.1006/obhd.1996.0062")</f>
        <v>10.1006/obhd.1996.0062</v>
      </c>
      <c r="B264" s="677" t="str">
        <f>IFERROR(__xludf.DUMMYFUNCTION("""COMPUTED_VALUE"""),"https://drive.google.com/file/d/1MUeEaq8UQodJfzv8dgpiDvz5tgiTMCld/view?usp=drivesdk")</f>
        <v>https://drive.google.com/file/d/1MUeEaq8UQodJfzv8dgpiDvz5tgiTMCld/view?usp=drivesdk</v>
      </c>
      <c r="C264" s="156" t="str">
        <f>IFERROR(__xludf.DUMMYFUNCTION("""COMPUTED_VALUE"""),"10.1006--obhd.1996.0062.pdf")</f>
        <v>10.1006--obhd.1996.0062.pdf</v>
      </c>
      <c r="D264" s="156" t="str">
        <f>IFERROR(__xludf.DUMMYFUNCTION("""COMPUTED_VALUE"""),"application/pdf")</f>
        <v>application/pdf</v>
      </c>
    </row>
    <row r="265">
      <c r="A265" s="156" t="str">
        <f>IFERROR(__xludf.DUMMYFUNCTION("""COMPUTED_VALUE"""),"10.1080/01449298708901855")</f>
        <v>10.1080/01449298708901855</v>
      </c>
      <c r="B265" s="677" t="str">
        <f>IFERROR(__xludf.DUMMYFUNCTION("""COMPUTED_VALUE"""),"https://drive.google.com/file/d/1IYnrX5aD6i8wchcuh0awE3qvnuaVBJbF/view?usp=drivesdk")</f>
        <v>https://drive.google.com/file/d/1IYnrX5aD6i8wchcuh0awE3qvnuaVBJbF/view?usp=drivesdk</v>
      </c>
      <c r="C265" s="156" t="str">
        <f>IFERROR(__xludf.DUMMYFUNCTION("""COMPUTED_VALUE"""),"10.1080--01449298708901855.pdf")</f>
        <v>10.1080--01449298708901855.pdf</v>
      </c>
      <c r="D265" s="156" t="str">
        <f>IFERROR(__xludf.DUMMYFUNCTION("""COMPUTED_VALUE"""),"application/pdf")</f>
        <v>application/pdf</v>
      </c>
    </row>
    <row r="266">
      <c r="A266" s="156" t="str">
        <f>IFERROR(__xludf.DUMMYFUNCTION("""COMPUTED_VALUE"""),"10.1037/0021-9010.63.2.228")</f>
        <v>10.1037/0021-9010.63.2.228</v>
      </c>
      <c r="B266" s="677" t="str">
        <f>IFERROR(__xludf.DUMMYFUNCTION("""COMPUTED_VALUE"""),"https://drive.google.com/file/d/1VLvHZtMfM11_FVSV9-MtpVicGoGnQHpg/view?usp=drivesdk")</f>
        <v>https://drive.google.com/file/d/1VLvHZtMfM11_FVSV9-MtpVicGoGnQHpg/view?usp=drivesdk</v>
      </c>
      <c r="C266" s="156" t="str">
        <f>IFERROR(__xludf.DUMMYFUNCTION("""COMPUTED_VALUE"""),"10.1037--0021-9010.63.2.228.pdf")</f>
        <v>10.1037--0021-9010.63.2.228.pdf</v>
      </c>
      <c r="D266" s="156" t="str">
        <f>IFERROR(__xludf.DUMMYFUNCTION("""COMPUTED_VALUE"""),"application/pdf")</f>
        <v>application/pdf</v>
      </c>
    </row>
    <row r="267">
      <c r="A267" s="156" t="str">
        <f>IFERROR(__xludf.DUMMYFUNCTION("""COMPUTED_VALUE"""),"10.2307/2392454")</f>
        <v>10.2307/2392454</v>
      </c>
      <c r="B267" s="677" t="str">
        <f>IFERROR(__xludf.DUMMYFUNCTION("""COMPUTED_VALUE"""),"https://drive.google.com/file/d/1By_gwM-tIIz6Ru3DTPnNc_dIysGLSSGp/view?usp=drivesdk")</f>
        <v>https://drive.google.com/file/d/1By_gwM-tIIz6Ru3DTPnNc_dIysGLSSGp/view?usp=drivesdk</v>
      </c>
      <c r="C267" s="156" t="str">
        <f>IFERROR(__xludf.DUMMYFUNCTION("""COMPUTED_VALUE"""),"10.2307--2392454.pdf")</f>
        <v>10.2307--2392454.pdf</v>
      </c>
      <c r="D267" s="156" t="str">
        <f>IFERROR(__xludf.DUMMYFUNCTION("""COMPUTED_VALUE"""),"application/pdf")</f>
        <v>application/pdf</v>
      </c>
    </row>
    <row r="268">
      <c r="A268" s="156" t="str">
        <f>IFERROR(__xludf.DUMMYFUNCTION("""COMPUTED_VALUE"""),"10.1207/s15324834basp1802_1")</f>
        <v>10.1207/s15324834basp1802_1</v>
      </c>
      <c r="B268" s="677" t="str">
        <f>IFERROR(__xludf.DUMMYFUNCTION("""COMPUTED_VALUE"""),"https://drive.google.com/file/d/1FXttfmbPjL67WUzdvG7g0eM_rqlHCtLg/view?usp=drivesdk")</f>
        <v>https://drive.google.com/file/d/1FXttfmbPjL67WUzdvG7g0eM_rqlHCtLg/view?usp=drivesdk</v>
      </c>
      <c r="C268" s="156" t="str">
        <f>IFERROR(__xludf.DUMMYFUNCTION("""COMPUTED_VALUE"""),"10.1207--s15324834basp1802_1.pdf")</f>
        <v>10.1207--s15324834basp1802_1.pdf</v>
      </c>
      <c r="D268" s="156" t="str">
        <f>IFERROR(__xludf.DUMMYFUNCTION("""COMPUTED_VALUE"""),"application/pdf")</f>
        <v>application/pdf</v>
      </c>
    </row>
    <row r="269">
      <c r="A269" s="156" t="str">
        <f>IFERROR(__xludf.DUMMYFUNCTION("""COMPUTED_VALUE"""),"10.1037/0021-9010.72.4.522")</f>
        <v>10.1037/0021-9010.72.4.522</v>
      </c>
      <c r="B269" s="677" t="str">
        <f>IFERROR(__xludf.DUMMYFUNCTION("""COMPUTED_VALUE"""),"https://drive.google.com/file/d/1nBZAexBcFDwwKyytvOGDx82XpIytW9lp/view?usp=drivesdk")</f>
        <v>https://drive.google.com/file/d/1nBZAexBcFDwwKyytvOGDx82XpIytW9lp/view?usp=drivesdk</v>
      </c>
      <c r="C269" s="156" t="str">
        <f>IFERROR(__xludf.DUMMYFUNCTION("""COMPUTED_VALUE"""),"10.1037--0021-9010.72.4.522.pdf")</f>
        <v>10.1037--0021-9010.72.4.522.pdf</v>
      </c>
      <c r="D269" s="156" t="str">
        <f>IFERROR(__xludf.DUMMYFUNCTION("""COMPUTED_VALUE"""),"application/pdf")</f>
        <v>application/pdf</v>
      </c>
    </row>
    <row r="270">
      <c r="A270" s="156" t="str">
        <f>IFERROR(__xludf.DUMMYFUNCTION("""COMPUTED_VALUE"""),"10.1037/0021-9010.72.3.444")</f>
        <v>10.1037/0021-9010.72.3.444</v>
      </c>
      <c r="B270" s="677" t="str">
        <f>IFERROR(__xludf.DUMMYFUNCTION("""COMPUTED_VALUE"""),"https://drive.google.com/file/d/1IljoOGZ-HUpTLTwH3iIX3f8RbbZMpIsD/view?usp=drivesdk")</f>
        <v>https://drive.google.com/file/d/1IljoOGZ-HUpTLTwH3iIX3f8RbbZMpIsD/view?usp=drivesdk</v>
      </c>
      <c r="C270" s="156" t="str">
        <f>IFERROR(__xludf.DUMMYFUNCTION("""COMPUTED_VALUE"""),"10.1037--0021-9010.72.3.444.pdf")</f>
        <v>10.1037--0021-9010.72.3.444.pdf</v>
      </c>
      <c r="D270" s="156" t="str">
        <f>IFERROR(__xludf.DUMMYFUNCTION("""COMPUTED_VALUE"""),"application/pdf")</f>
        <v>application/pdf</v>
      </c>
    </row>
    <row r="271">
      <c r="A271" s="156" t="str">
        <f>IFERROR(__xludf.DUMMYFUNCTION("""COMPUTED_VALUE"""),"10.1006/obhd.1996.0049")</f>
        <v>10.1006/obhd.1996.0049</v>
      </c>
      <c r="B271" s="677" t="str">
        <f>IFERROR(__xludf.DUMMYFUNCTION("""COMPUTED_VALUE"""),"https://drive.google.com/file/d/1n6_hQ20znAbm4NDSyc3vZJdM4JMIuTMi/view?usp=drivesdk")</f>
        <v>https://drive.google.com/file/d/1n6_hQ20znAbm4NDSyc3vZJdM4JMIuTMi/view?usp=drivesdk</v>
      </c>
      <c r="C271" s="156" t="str">
        <f>IFERROR(__xludf.DUMMYFUNCTION("""COMPUTED_VALUE"""),"10.1006--obhd.1996.0049.pdf")</f>
        <v>10.1006--obhd.1996.0049.pdf</v>
      </c>
      <c r="D271" s="156" t="str">
        <f>IFERROR(__xludf.DUMMYFUNCTION("""COMPUTED_VALUE"""),"application/pdf")</f>
        <v>application/pdf</v>
      </c>
    </row>
    <row r="272">
      <c r="A272" s="156" t="str">
        <f>IFERROR(__xludf.DUMMYFUNCTION("""COMPUTED_VALUE"""),"10.2307/256584")</f>
        <v>10.2307/256584</v>
      </c>
      <c r="B272" s="677" t="str">
        <f>IFERROR(__xludf.DUMMYFUNCTION("""COMPUTED_VALUE"""),"https://drive.google.com/file/d/1wgTGpXIh5XlRUTxUzQRZuRuv1CTMeUIB/view?usp=drivesdk")</f>
        <v>https://drive.google.com/file/d/1wgTGpXIh5XlRUTxUzQRZuRuv1CTMeUIB/view?usp=drivesdk</v>
      </c>
      <c r="C272" s="156" t="str">
        <f>IFERROR(__xludf.DUMMYFUNCTION("""COMPUTED_VALUE"""),"10.2307--256584.pdf")</f>
        <v>10.2307--256584.pdf</v>
      </c>
      <c r="D272" s="156" t="str">
        <f>IFERROR(__xludf.DUMMYFUNCTION("""COMPUTED_VALUE"""),"application/pdf")</f>
        <v>application/pdf</v>
      </c>
    </row>
    <row r="273">
      <c r="A273" s="156" t="str">
        <f>IFERROR(__xludf.DUMMYFUNCTION("""COMPUTED_VALUE"""),"10.1037/0033-295x.95.3.371")</f>
        <v>10.1037/0033-295x.95.3.371</v>
      </c>
      <c r="B273" s="677" t="str">
        <f>IFERROR(__xludf.DUMMYFUNCTION("""COMPUTED_VALUE"""),"https://drive.google.com/file/d/1wfPA0fmENt-tXV4XaCTB_AwPr9RmUvNH/view?usp=drivesdk")</f>
        <v>https://drive.google.com/file/d/1wfPA0fmENt-tXV4XaCTB_AwPr9RmUvNH/view?usp=drivesdk</v>
      </c>
      <c r="C273" s="156" t="str">
        <f>IFERROR(__xludf.DUMMYFUNCTION("""COMPUTED_VALUE"""),"10.1037--0033-295X.95.3.371.pdf")</f>
        <v>10.1037--0033-295X.95.3.371.pdf</v>
      </c>
      <c r="D273" s="156" t="str">
        <f>IFERROR(__xludf.DUMMYFUNCTION("""COMPUTED_VALUE"""),"application/pdf")</f>
        <v>application/pdf</v>
      </c>
    </row>
    <row r="274">
      <c r="A274" s="156" t="str">
        <f>IFERROR(__xludf.DUMMYFUNCTION("""COMPUTED_VALUE"""),"10.1037/0021-9010.87.1.164")</f>
        <v>10.1037/0021-9010.87.1.164</v>
      </c>
      <c r="B274" s="677" t="str">
        <f>IFERROR(__xludf.DUMMYFUNCTION("""COMPUTED_VALUE"""),"https://drive.google.com/file/d/1DkbIC4OUAbkUdfr8DLk4gtUOeZoou4Qx/view?usp=drivesdk")</f>
        <v>https://drive.google.com/file/d/1DkbIC4OUAbkUdfr8DLk4gtUOeZoou4Qx/view?usp=drivesdk</v>
      </c>
      <c r="C274" s="156" t="str">
        <f>IFERROR(__xludf.DUMMYFUNCTION("""COMPUTED_VALUE"""),"10.1037--0021-9010.87.1.164.pdf")</f>
        <v>10.1037--0021-9010.87.1.164.pdf</v>
      </c>
      <c r="D274" s="156" t="str">
        <f>IFERROR(__xludf.DUMMYFUNCTION("""COMPUTED_VALUE"""),"application/pdf")</f>
        <v>application/pdf</v>
      </c>
    </row>
    <row r="275">
      <c r="A275" s="156" t="str">
        <f>IFERROR(__xludf.DUMMYFUNCTION("""COMPUTED_VALUE"""),"10.1111/j.1744-6570.1966.tb02028.x")</f>
        <v>10.1111/j.1744-6570.1966.tb02028.x</v>
      </c>
      <c r="B275" s="677" t="str">
        <f>IFERROR(__xludf.DUMMYFUNCTION("""COMPUTED_VALUE"""),"https://drive.google.com/file/d/1Oyx0pc8ZVlTprGgUt7_fOBA87xjOPHOd/view?usp=drivesdk")</f>
        <v>https://drive.google.com/file/d/1Oyx0pc8ZVlTprGgUt7_fOBA87xjOPHOd/view?usp=drivesdk</v>
      </c>
      <c r="C275" s="156" t="str">
        <f>IFERROR(__xludf.DUMMYFUNCTION("""COMPUTED_VALUE"""),"10.1111--j.1744-6570.1966.tb02028.x.pdf")</f>
        <v>10.1111--j.1744-6570.1966.tb02028.x.pdf</v>
      </c>
      <c r="D275" s="156" t="str">
        <f>IFERROR(__xludf.DUMMYFUNCTION("""COMPUTED_VALUE"""),"application/pdf")</f>
        <v>application/pdf</v>
      </c>
    </row>
    <row r="276">
      <c r="A276" s="156" t="str">
        <f>IFERROR(__xludf.DUMMYFUNCTION("""COMPUTED_VALUE"""),"10.1037/h0024237")</f>
        <v>10.1037/h0024237</v>
      </c>
      <c r="B276" s="677" t="str">
        <f>IFERROR(__xludf.DUMMYFUNCTION("""COMPUTED_VALUE"""),"https://drive.google.com/file/d/1_QxdHmD6p0LMdFFkPDlXNxwaCVmyY8Ws/view?usp=drivesdk")</f>
        <v>https://drive.google.com/file/d/1_QxdHmD6p0LMdFFkPDlXNxwaCVmyY8Ws/view?usp=drivesdk</v>
      </c>
      <c r="C276" s="156" t="str">
        <f>IFERROR(__xludf.DUMMYFUNCTION("""COMPUTED_VALUE"""),"10.1037--h0024237.pdf")</f>
        <v>10.1037--h0024237.pdf</v>
      </c>
      <c r="D276" s="156" t="str">
        <f>IFERROR(__xludf.DUMMYFUNCTION("""COMPUTED_VALUE"""),"application/pdf")</f>
        <v>application/pdf</v>
      </c>
    </row>
    <row r="277">
      <c r="A277" s="156" t="str">
        <f>IFERROR(__xludf.DUMMYFUNCTION("""COMPUTED_VALUE"""),"10.1111/j.1467-9280.1993.tb00471.x")</f>
        <v>10.1111/j.1467-9280.1993.tb00471.x</v>
      </c>
      <c r="B277" s="677" t="str">
        <f>IFERROR(__xludf.DUMMYFUNCTION("""COMPUTED_VALUE"""),"https://drive.google.com/file/d/15E2a1NUuWmWK9ru9qEUqy-mh-BWvSM-V/view?usp=drivesdk")</f>
        <v>https://drive.google.com/file/d/15E2a1NUuWmWK9ru9qEUqy-mh-BWvSM-V/view?usp=drivesdk</v>
      </c>
      <c r="C277" s="156" t="str">
        <f>IFERROR(__xludf.DUMMYFUNCTION("""COMPUTED_VALUE"""),"10.1111--j.1467-9280.1993.tb00471.x.pdf")</f>
        <v>10.1111--j.1467-9280.1993.tb00471.x.pdf</v>
      </c>
      <c r="D277" s="156" t="str">
        <f>IFERROR(__xludf.DUMMYFUNCTION("""COMPUTED_VALUE"""),"application/pdf")</f>
        <v>application/pdf</v>
      </c>
    </row>
    <row r="278">
      <c r="A278" s="156" t="str">
        <f>IFERROR(__xludf.DUMMYFUNCTION("""COMPUTED_VALUE"""),"10.1080/14768320600941814")</f>
        <v>10.1080/14768320600941814</v>
      </c>
      <c r="B278" s="677" t="str">
        <f>IFERROR(__xludf.DUMMYFUNCTION("""COMPUTED_VALUE"""),"https://drive.google.com/file/d/19N8pwZMy0LVwDbLIUF-zXafkfJMueuzz/view?usp=drivesdk")</f>
        <v>https://drive.google.com/file/d/19N8pwZMy0LVwDbLIUF-zXafkfJMueuzz/view?usp=drivesdk</v>
      </c>
      <c r="C278" s="156" t="str">
        <f>IFERROR(__xludf.DUMMYFUNCTION("""COMPUTED_VALUE"""),"10.1080--14768320600941814.pdf")</f>
        <v>10.1080--14768320600941814.pdf</v>
      </c>
      <c r="D278" s="156" t="str">
        <f>IFERROR(__xludf.DUMMYFUNCTION("""COMPUTED_VALUE"""),"application/pdf")</f>
        <v>application/pdf</v>
      </c>
    </row>
    <row r="279">
      <c r="A279" s="156" t="str">
        <f>IFERROR(__xludf.DUMMYFUNCTION("""COMPUTED_VALUE"""),"10.1006/obhd.1998.2779")</f>
        <v>10.1006/obhd.1998.2779</v>
      </c>
      <c r="B279" s="677" t="str">
        <f>IFERROR(__xludf.DUMMYFUNCTION("""COMPUTED_VALUE"""),"https://drive.google.com/file/d/1EYj-AJ9FNNmlYCeK1jXlxcdlU8yoEf8U/view?usp=drivesdk")</f>
        <v>https://drive.google.com/file/d/1EYj-AJ9FNNmlYCeK1jXlxcdlU8yoEf8U/view?usp=drivesdk</v>
      </c>
      <c r="C279" s="156" t="str">
        <f>IFERROR(__xludf.DUMMYFUNCTION("""COMPUTED_VALUE"""),"10.1006--obhd.1998.2779.pdf")</f>
        <v>10.1006--obhd.1998.2779.pdf</v>
      </c>
      <c r="D279" s="156" t="str">
        <f>IFERROR(__xludf.DUMMYFUNCTION("""COMPUTED_VALUE"""),"application/pdf")</f>
        <v>application/pdf</v>
      </c>
    </row>
    <row r="280">
      <c r="A280" s="156" t="str">
        <f>IFERROR(__xludf.DUMMYFUNCTION("""COMPUTED_VALUE"""),"10.1006/obhd.1996.0077")</f>
        <v>10.1006/obhd.1996.0077</v>
      </c>
      <c r="B280" s="677" t="str">
        <f>IFERROR(__xludf.DUMMYFUNCTION("""COMPUTED_VALUE"""),"https://drive.google.com/file/d/1H5kmXn2jT9V_CTV9u2e0PVKO4jeKLaHx/view?usp=drivesdk")</f>
        <v>https://drive.google.com/file/d/1H5kmXn2jT9V_CTV9u2e0PVKO4jeKLaHx/view?usp=drivesdk</v>
      </c>
      <c r="C280" s="156" t="str">
        <f>IFERROR(__xludf.DUMMYFUNCTION("""COMPUTED_VALUE"""),"10.1006--obhd.1996.0077.pdf")</f>
        <v>10.1006--obhd.1996.0077.pdf</v>
      </c>
      <c r="D280" s="156" t="str">
        <f>IFERROR(__xludf.DUMMYFUNCTION("""COMPUTED_VALUE"""),"application/pdf")</f>
        <v>application/pdf</v>
      </c>
    </row>
    <row r="281">
      <c r="A281" s="156" t="str">
        <f>IFERROR(__xludf.DUMMYFUNCTION("""COMPUTED_VALUE"""),"10.1016/j.hrmr.2020.100789")</f>
        <v>10.1016/j.hrmr.2020.100789</v>
      </c>
      <c r="B281" s="677" t="str">
        <f>IFERROR(__xludf.DUMMYFUNCTION("""COMPUTED_VALUE"""),"https://drive.google.com/file/d/1TYOhaEz5YA4ymkP4vRgmQmI2Gpkyh7kI/view?usp=drivesdk")</f>
        <v>https://drive.google.com/file/d/1TYOhaEz5YA4ymkP4vRgmQmI2Gpkyh7kI/view?usp=drivesdk</v>
      </c>
      <c r="C281" s="156" t="str">
        <f>IFERROR(__xludf.DUMMYFUNCTION("""COMPUTED_VALUE"""),"10.1016--j.hrmr.2020.100789.pdf")</f>
        <v>10.1016--j.hrmr.2020.100789.pdf</v>
      </c>
      <c r="D281" s="156" t="str">
        <f>IFERROR(__xludf.DUMMYFUNCTION("""COMPUTED_VALUE"""),"application/pdf")</f>
        <v>application/pdf</v>
      </c>
    </row>
    <row r="282">
      <c r="A282" s="156" t="str">
        <f>IFERROR(__xludf.DUMMYFUNCTION("""COMPUTED_VALUE"""),"10.1037/0021-9010.81.2.161")</f>
        <v>10.1037/0021-9010.81.2.161</v>
      </c>
      <c r="B282" s="677" t="str">
        <f>IFERROR(__xludf.DUMMYFUNCTION("""COMPUTED_VALUE"""),"https://drive.google.com/file/d/1eC3ImDX6vCsruBUdhf-InV8MxKa86ca9/view?usp=drivesdk")</f>
        <v>https://drive.google.com/file/d/1eC3ImDX6vCsruBUdhf-InV8MxKa86ca9/view?usp=drivesdk</v>
      </c>
      <c r="C282" s="156" t="str">
        <f>IFERROR(__xludf.DUMMYFUNCTION("""COMPUTED_VALUE"""),"10.1037--0021-9010.81.2.161.pdf")</f>
        <v>10.1037--0021-9010.81.2.161.pdf</v>
      </c>
      <c r="D282" s="156" t="str">
        <f>IFERROR(__xludf.DUMMYFUNCTION("""COMPUTED_VALUE"""),"application/pdf")</f>
        <v>application/pdf</v>
      </c>
    </row>
    <row r="283">
      <c r="A283" s="156" t="str">
        <f>IFERROR(__xludf.DUMMYFUNCTION("""COMPUTED_VALUE"""),"10.1177/1069072717723095")</f>
        <v>10.1177/1069072717723095</v>
      </c>
      <c r="B283" s="677" t="str">
        <f>IFERROR(__xludf.DUMMYFUNCTION("""COMPUTED_VALUE"""),"https://drive.google.com/file/d/17U9RMLqGCEBrogjDtefhjwPoPQI0EHQS/view?usp=drivesdk")</f>
        <v>https://drive.google.com/file/d/17U9RMLqGCEBrogjDtefhjwPoPQI0EHQS/view?usp=drivesdk</v>
      </c>
      <c r="C283" s="156" t="str">
        <f>IFERROR(__xludf.DUMMYFUNCTION("""COMPUTED_VALUE"""),"10.1177--1069072717723095.pdf")</f>
        <v>10.1177--1069072717723095.pdf</v>
      </c>
      <c r="D283" s="156" t="str">
        <f>IFERROR(__xludf.DUMMYFUNCTION("""COMPUTED_VALUE"""),"application/pdf")</f>
        <v>application/pdf</v>
      </c>
    </row>
    <row r="284">
      <c r="A284" s="156" t="str">
        <f>IFERROR(__xludf.DUMMYFUNCTION("""COMPUTED_VALUE"""),"10.1016/0749-5978(92)90053-a")</f>
        <v>10.1016/0749-5978(92)90053-a</v>
      </c>
      <c r="B284" s="677" t="str">
        <f>IFERROR(__xludf.DUMMYFUNCTION("""COMPUTED_VALUE"""),"https://drive.google.com/file/d/1-AYmO0YcwlXM4iwg187p4Ut7JCPIAcHu/view?usp=drivesdk")</f>
        <v>https://drive.google.com/file/d/1-AYmO0YcwlXM4iwg187p4Ut7JCPIAcHu/view?usp=drivesdk</v>
      </c>
      <c r="C284" s="156" t="str">
        <f>IFERROR(__xludf.DUMMYFUNCTION("""COMPUTED_VALUE"""),"10.1016--0749-5978(92)90053-A.pdf")</f>
        <v>10.1016--0749-5978(92)90053-A.pdf</v>
      </c>
      <c r="D284" s="156" t="str">
        <f>IFERROR(__xludf.DUMMYFUNCTION("""COMPUTED_VALUE"""),"application/pdf")</f>
        <v>application/pdf</v>
      </c>
    </row>
    <row r="285">
      <c r="A285" s="156" t="str">
        <f>IFERROR(__xludf.DUMMYFUNCTION("""COMPUTED_VALUE"""),"10.1002/job.92")</f>
        <v>10.1002/job.92</v>
      </c>
      <c r="B285" s="677" t="str">
        <f>IFERROR(__xludf.DUMMYFUNCTION("""COMPUTED_VALUE"""),"https://drive.google.com/file/d/1lPIN90Oxm68BObKRk2JvLMusl4eYjWaV/view?usp=drivesdk")</f>
        <v>https://drive.google.com/file/d/1lPIN90Oxm68BObKRk2JvLMusl4eYjWaV/view?usp=drivesdk</v>
      </c>
      <c r="C285" s="156" t="str">
        <f>IFERROR(__xludf.DUMMYFUNCTION("""COMPUTED_VALUE"""),"10.1002--job.92.pdf")</f>
        <v>10.1002--job.92.pdf</v>
      </c>
      <c r="D285" s="156" t="str">
        <f>IFERROR(__xludf.DUMMYFUNCTION("""COMPUTED_VALUE"""),"application/pdf")</f>
        <v>application/pdf</v>
      </c>
    </row>
    <row r="286">
      <c r="A286" s="156" t="str">
        <f>IFERROR(__xludf.DUMMYFUNCTION("""COMPUTED_VALUE"""),"10.1016/j.jmp.2004.01.001")</f>
        <v>10.1016/j.jmp.2004.01.001</v>
      </c>
      <c r="B286" s="677" t="str">
        <f>IFERROR(__xludf.DUMMYFUNCTION("""COMPUTED_VALUE"""),"https://drive.google.com/file/d/1U4En_0sRIgGMtR_aeXkIGVEdeF7aDoTt/view?usp=drivesdk")</f>
        <v>https://drive.google.com/file/d/1U4En_0sRIgGMtR_aeXkIGVEdeF7aDoTt/view?usp=drivesdk</v>
      </c>
      <c r="C286" s="156" t="str">
        <f>IFERROR(__xludf.DUMMYFUNCTION("""COMPUTED_VALUE"""),"10.1016--j.jmp.2004.01.001.pdf")</f>
        <v>10.1016--j.jmp.2004.01.001.pdf</v>
      </c>
      <c r="D286" s="156" t="str">
        <f>IFERROR(__xludf.DUMMYFUNCTION("""COMPUTED_VALUE"""),"application/pdf")</f>
        <v>application/pdf</v>
      </c>
    </row>
    <row r="287">
      <c r="A287" s="156" t="str">
        <f>IFERROR(__xludf.DUMMYFUNCTION("""COMPUTED_VALUE"""),"10.1037/0021-9010.81.4.331")</f>
        <v>10.1037/0021-9010.81.4.331</v>
      </c>
      <c r="B287" s="677" t="str">
        <f>IFERROR(__xludf.DUMMYFUNCTION("""COMPUTED_VALUE"""),"https://drive.google.com/file/d/1nzuwT8bxt2R4p9dSgyGk2nA_IyFvM8mx/view?usp=drivesdk")</f>
        <v>https://drive.google.com/file/d/1nzuwT8bxt2R4p9dSgyGk2nA_IyFvM8mx/view?usp=drivesdk</v>
      </c>
      <c r="C287" s="156" t="str">
        <f>IFERROR(__xludf.DUMMYFUNCTION("""COMPUTED_VALUE"""),"10.1037--0021-9010.81.4.331.pdf")</f>
        <v>10.1037--0021-9010.81.4.331.pdf</v>
      </c>
      <c r="D287" s="156" t="str">
        <f>IFERROR(__xludf.DUMMYFUNCTION("""COMPUTED_VALUE"""),"application/pdf")</f>
        <v>application/pdf</v>
      </c>
    </row>
    <row r="288">
      <c r="A288" s="156" t="str">
        <f>IFERROR(__xludf.DUMMYFUNCTION("""COMPUTED_VALUE"""),"10.1177/001872677302600206")</f>
        <v>10.1177/001872677302600206</v>
      </c>
      <c r="B288" s="677" t="str">
        <f>IFERROR(__xludf.DUMMYFUNCTION("""COMPUTED_VALUE"""),"https://drive.google.com/file/d/1v1Ke66IwX2Opi8e30nt9-JKJg55ehgW6/view?usp=drivesdk")</f>
        <v>https://drive.google.com/file/d/1v1Ke66IwX2Opi8e30nt9-JKJg55ehgW6/view?usp=drivesdk</v>
      </c>
      <c r="C288" s="156" t="str">
        <f>IFERROR(__xludf.DUMMYFUNCTION("""COMPUTED_VALUE"""),"10.1177--001872677302600206.pdf")</f>
        <v>10.1177--001872677302600206.pdf</v>
      </c>
      <c r="D288" s="156" t="str">
        <f>IFERROR(__xludf.DUMMYFUNCTION("""COMPUTED_VALUE"""),"application/pdf")</f>
        <v>application/pdf</v>
      </c>
    </row>
    <row r="289">
      <c r="A289" s="156" t="str">
        <f>IFERROR(__xludf.DUMMYFUNCTION("""COMPUTED_VALUE"""),"10.1002/job.4030150508")</f>
        <v>10.1002/job.4030150508</v>
      </c>
      <c r="B289" s="677" t="str">
        <f>IFERROR(__xludf.DUMMYFUNCTION("""COMPUTED_VALUE"""),"https://drive.google.com/file/d/1zM8dzZzToiGYepDqSVoRfRTAj0xB2uoz/view?usp=drivesdk")</f>
        <v>https://drive.google.com/file/d/1zM8dzZzToiGYepDqSVoRfRTAj0xB2uoz/view?usp=drivesdk</v>
      </c>
      <c r="C289" s="156" t="str">
        <f>IFERROR(__xludf.DUMMYFUNCTION("""COMPUTED_VALUE"""),"10.1002--job.4030150508.pdf")</f>
        <v>10.1002--job.4030150508.pdf</v>
      </c>
      <c r="D289" s="156" t="str">
        <f>IFERROR(__xludf.DUMMYFUNCTION("""COMPUTED_VALUE"""),"application/pdf")</f>
        <v>application/pdf</v>
      </c>
    </row>
    <row r="290">
      <c r="A290" s="156" t="str">
        <f>IFERROR(__xludf.DUMMYFUNCTION("""COMPUTED_VALUE"""),"10.1016/0030-5073(67)90021-9")</f>
        <v>10.1016/0030-5073(67)90021-9</v>
      </c>
      <c r="B290" s="677" t="str">
        <f>IFERROR(__xludf.DUMMYFUNCTION("""COMPUTED_VALUE"""),"https://drive.google.com/file/d/1NhqsWF1BsSsBVIu4_fRaegF1rny4CPsS/view?usp=drivesdk")</f>
        <v>https://drive.google.com/file/d/1NhqsWF1BsSsBVIu4_fRaegF1rny4CPsS/view?usp=drivesdk</v>
      </c>
      <c r="C290" s="156" t="str">
        <f>IFERROR(__xludf.DUMMYFUNCTION("""COMPUTED_VALUE"""),"10.1016--0030-5073(67)90021-9.pdf")</f>
        <v>10.1016--0030-5073(67)90021-9.pdf</v>
      </c>
      <c r="D290" s="156" t="str">
        <f>IFERROR(__xludf.DUMMYFUNCTION("""COMPUTED_VALUE"""),"application/pdf")</f>
        <v>application/pdf</v>
      </c>
    </row>
    <row r="291">
      <c r="A291" s="156" t="str">
        <f>IFERROR(__xludf.DUMMYFUNCTION("""COMPUTED_VALUE"""),"10.1037/0021-9010.76.1.137")</f>
        <v>10.1037/0021-9010.76.1.137</v>
      </c>
      <c r="B291" s="677" t="str">
        <f>IFERROR(__xludf.DUMMYFUNCTION("""COMPUTED_VALUE"""),"https://drive.google.com/file/d/1NXncVzKi4au9cliVWtR6PiThfUO3JXlu/view?usp=drivesdk")</f>
        <v>https://drive.google.com/file/d/1NXncVzKi4au9cliVWtR6PiThfUO3JXlu/view?usp=drivesdk</v>
      </c>
      <c r="C291" s="156" t="str">
        <f>IFERROR(__xludf.DUMMYFUNCTION("""COMPUTED_VALUE"""),"10.1037--0021-9010.76.1.137.pdf")</f>
        <v>10.1037--0021-9010.76.1.137.pdf</v>
      </c>
      <c r="D291" s="156" t="str">
        <f>IFERROR(__xludf.DUMMYFUNCTION("""COMPUTED_VALUE"""),"application/pdf")</f>
        <v>application/pdf</v>
      </c>
    </row>
    <row r="292">
      <c r="A292" s="156" t="str">
        <f>IFERROR(__xludf.DUMMYFUNCTION("""COMPUTED_VALUE"""),"10.1177/001872677903200503")</f>
        <v>10.1177/001872677903200503</v>
      </c>
      <c r="B292" s="677" t="str">
        <f>IFERROR(__xludf.DUMMYFUNCTION("""COMPUTED_VALUE"""),"https://drive.google.com/file/d/1Iri-BlPzXpppvedBgL332wuNWoKl3GBi/view?usp=drivesdk")</f>
        <v>https://drive.google.com/file/d/1Iri-BlPzXpppvedBgL332wuNWoKl3GBi/view?usp=drivesdk</v>
      </c>
      <c r="C292" s="156" t="str">
        <f>IFERROR(__xludf.DUMMYFUNCTION("""COMPUTED_VALUE"""),"10.1177--001872677903200503.pdf")</f>
        <v>10.1177--001872677903200503.pdf</v>
      </c>
      <c r="D292" s="156" t="str">
        <f>IFERROR(__xludf.DUMMYFUNCTION("""COMPUTED_VALUE"""),"application/pdf")</f>
        <v>application/pdf</v>
      </c>
    </row>
    <row r="293">
      <c r="A293" s="156" t="str">
        <f>IFERROR(__xludf.DUMMYFUNCTION("""COMPUTED_VALUE"""),"10.1080/13594320903223839")</f>
        <v>10.1080/13594320903223839</v>
      </c>
      <c r="B293" s="677" t="str">
        <f>IFERROR(__xludf.DUMMYFUNCTION("""COMPUTED_VALUE"""),"https://drive.google.com/file/d/1Sf8fr80rdM2vDylr3ynXaY7lG38m55Lb/view?usp=drivesdk")</f>
        <v>https://drive.google.com/file/d/1Sf8fr80rdM2vDylr3ynXaY7lG38m55Lb/view?usp=drivesdk</v>
      </c>
      <c r="C293" s="156" t="str">
        <f>IFERROR(__xludf.DUMMYFUNCTION("""COMPUTED_VALUE"""),"10.1080--13594320903223839.pdf")</f>
        <v>10.1080--13594320903223839.pdf</v>
      </c>
      <c r="D293" s="156" t="str">
        <f>IFERROR(__xludf.DUMMYFUNCTION("""COMPUTED_VALUE"""),"application/pdf")</f>
        <v>application/pdf</v>
      </c>
    </row>
    <row r="294">
      <c r="A294" s="156" t="str">
        <f>IFERROR(__xludf.DUMMYFUNCTION("""COMPUTED_VALUE"""),"10.2307/1126958")</f>
        <v>10.2307/1126958</v>
      </c>
      <c r="B294" s="677" t="str">
        <f>IFERROR(__xludf.DUMMYFUNCTION("""COMPUTED_VALUE"""),"https://drive.google.com/file/d/1vpqXtXD2DmRq57y0qe-bZumNIuktnNc8/view?usp=drivesdk")</f>
        <v>https://drive.google.com/file/d/1vpqXtXD2DmRq57y0qe-bZumNIuktnNc8/view?usp=drivesdk</v>
      </c>
      <c r="C294" s="156" t="str">
        <f>IFERROR(__xludf.DUMMYFUNCTION("""COMPUTED_VALUE"""),"10.2307--1126958.pdf")</f>
        <v>10.2307--1126958.pdf</v>
      </c>
      <c r="D294" s="156" t="str">
        <f>IFERROR(__xludf.DUMMYFUNCTION("""COMPUTED_VALUE"""),"application/pdf")</f>
        <v>application/pdf</v>
      </c>
    </row>
    <row r="295">
      <c r="A295" s="156" t="str">
        <f>IFERROR(__xludf.DUMMYFUNCTION("""COMPUTED_VALUE"""),"10.2307/2391786")</f>
        <v>10.2307/2391786</v>
      </c>
      <c r="B295" s="677" t="str">
        <f>IFERROR(__xludf.DUMMYFUNCTION("""COMPUTED_VALUE"""),"https://drive.google.com/file/d/1K58B4V5Ou9RiaXJ1Ce9vgK1rUcyszuQm/view?usp=drivesdk")</f>
        <v>https://drive.google.com/file/d/1K58B4V5Ou9RiaXJ1Ce9vgK1rUcyszuQm/view?usp=drivesdk</v>
      </c>
      <c r="C295" s="156" t="str">
        <f>IFERROR(__xludf.DUMMYFUNCTION("""COMPUTED_VALUE"""),"10.2307--2391786.pdf")</f>
        <v>10.2307--2391786.pdf</v>
      </c>
      <c r="D295" s="156" t="str">
        <f>IFERROR(__xludf.DUMMYFUNCTION("""COMPUTED_VALUE"""),"application/pdf")</f>
        <v>application/pdf</v>
      </c>
    </row>
    <row r="296">
      <c r="A296" s="156" t="str">
        <f>IFERROR(__xludf.DUMMYFUNCTION("""COMPUTED_VALUE"""),"10.1037/h0022937")</f>
        <v>10.1037/h0022937</v>
      </c>
      <c r="B296" s="677" t="str">
        <f>IFERROR(__xludf.DUMMYFUNCTION("""COMPUTED_VALUE"""),"https://drive.google.com/file/d/1A5kY0NZUcTDsUX0GIYmEQu9DloCIrtOV/view?usp=drivesdk")</f>
        <v>https://drive.google.com/file/d/1A5kY0NZUcTDsUX0GIYmEQu9DloCIrtOV/view?usp=drivesdk</v>
      </c>
      <c r="C296" s="156" t="str">
        <f>IFERROR(__xludf.DUMMYFUNCTION("""COMPUTED_VALUE"""),"10.1037--h0022937.pdf")</f>
        <v>10.1037--h0022937.pdf</v>
      </c>
      <c r="D296" s="156" t="str">
        <f>IFERROR(__xludf.DUMMYFUNCTION("""COMPUTED_VALUE"""),"application/pdf")</f>
        <v>application/pdf</v>
      </c>
    </row>
    <row r="297">
      <c r="A297" s="156" t="str">
        <f>IFERROR(__xludf.DUMMYFUNCTION("""COMPUTED_VALUE"""),"10.2307/2392436")</f>
        <v>10.2307/2392436</v>
      </c>
      <c r="B297" s="677" t="str">
        <f>IFERROR(__xludf.DUMMYFUNCTION("""COMPUTED_VALUE"""),"https://drive.google.com/file/d/1lFSpRq1xHgoM0q1hb9HwfhqHZUWDBJI2/view?usp=drivesdk")</f>
        <v>https://drive.google.com/file/d/1lFSpRq1xHgoM0q1hb9HwfhqHZUWDBJI2/view?usp=drivesdk</v>
      </c>
      <c r="C297" s="156" t="str">
        <f>IFERROR(__xludf.DUMMYFUNCTION("""COMPUTED_VALUE"""),"10.2307--2392436.pdf")</f>
        <v>10.2307--2392436.pdf</v>
      </c>
      <c r="D297" s="156" t="str">
        <f>IFERROR(__xludf.DUMMYFUNCTION("""COMPUTED_VALUE"""),"application/pdf")</f>
        <v>application/pdf</v>
      </c>
    </row>
    <row r="298">
      <c r="A298" s="156" t="str">
        <f>IFERROR(__xludf.DUMMYFUNCTION("""COMPUTED_VALUE"""),"10.1037/h0035791")</f>
        <v>10.1037/h0035791</v>
      </c>
      <c r="B298" s="677" t="str">
        <f>IFERROR(__xludf.DUMMYFUNCTION("""COMPUTED_VALUE"""),"https://drive.google.com/file/d/1eLjPcdaaph61B69dnjf7n3TPsp3pQImO/view?usp=drivesdk")</f>
        <v>https://drive.google.com/file/d/1eLjPcdaaph61B69dnjf7n3TPsp3pQImO/view?usp=drivesdk</v>
      </c>
      <c r="C298" s="156" t="str">
        <f>IFERROR(__xludf.DUMMYFUNCTION("""COMPUTED_VALUE"""),"10.1037--h0035791.pdf")</f>
        <v>10.1037--h0035791.pdf</v>
      </c>
      <c r="D298" s="156" t="str">
        <f>IFERROR(__xludf.DUMMYFUNCTION("""COMPUTED_VALUE"""),"application/pdf")</f>
        <v>application/pdf</v>
      </c>
    </row>
    <row r="299">
      <c r="A299" s="156" t="str">
        <f>IFERROR(__xludf.DUMMYFUNCTION("""COMPUTED_VALUE"""),"10.2307/256833")</f>
        <v>10.2307/256833</v>
      </c>
      <c r="B299" s="677" t="str">
        <f>IFERROR(__xludf.DUMMYFUNCTION("""COMPUTED_VALUE"""),"https://drive.google.com/file/d/1VqbgfPvzolVGqgwodZvMt3H9Gv5veDzP/view?usp=drivesdk")</f>
        <v>https://drive.google.com/file/d/1VqbgfPvzolVGqgwodZvMt3H9Gv5veDzP/view?usp=drivesdk</v>
      </c>
      <c r="C299" s="156" t="str">
        <f>IFERROR(__xludf.DUMMYFUNCTION("""COMPUTED_VALUE"""),"10.2307--256833.pdf")</f>
        <v>10.2307--256833.pdf</v>
      </c>
      <c r="D299" s="156" t="str">
        <f>IFERROR(__xludf.DUMMYFUNCTION("""COMPUTED_VALUE"""),"application/pdf")</f>
        <v>application/pdf</v>
      </c>
    </row>
    <row r="300">
      <c r="A300" s="156" t="str">
        <f>IFERROR(__xludf.DUMMYFUNCTION("""COMPUTED_VALUE"""),"10.1037/0021-9010.80.5.628")</f>
        <v>10.1037/0021-9010.80.5.628</v>
      </c>
      <c r="B300" s="677" t="str">
        <f>IFERROR(__xludf.DUMMYFUNCTION("""COMPUTED_VALUE"""),"https://drive.google.com/file/d/1hWitN9UHyWx3G-z2BBqNPGwMWtgm8Fkb/view?usp=drivesdk")</f>
        <v>https://drive.google.com/file/d/1hWitN9UHyWx3G-z2BBqNPGwMWtgm8Fkb/view?usp=drivesdk</v>
      </c>
      <c r="C300" s="156" t="str">
        <f>IFERROR(__xludf.DUMMYFUNCTION("""COMPUTED_VALUE"""),"10.1037--0021-9010.80.5.628.pdf")</f>
        <v>10.1037--0021-9010.80.5.628.pdf</v>
      </c>
      <c r="D300" s="156" t="str">
        <f>IFERROR(__xludf.DUMMYFUNCTION("""COMPUTED_VALUE"""),"application/pdf")</f>
        <v>application/pdf</v>
      </c>
    </row>
    <row r="301">
      <c r="A301" s="156" t="str">
        <f>IFERROR(__xludf.DUMMYFUNCTION("""COMPUTED_VALUE"""),"10.1037/0021-9010.79.4.592")</f>
        <v>10.1037/0021-9010.79.4.592</v>
      </c>
      <c r="B301" s="677" t="str">
        <f>IFERROR(__xludf.DUMMYFUNCTION("""COMPUTED_VALUE"""),"https://drive.google.com/file/d/1Q4HqMQUdO5fVqviBWpcKBVsk1Q0ud_BJ/view?usp=drivesdk")</f>
        <v>https://drive.google.com/file/d/1Q4HqMQUdO5fVqviBWpcKBVsk1Q0ud_BJ/view?usp=drivesdk</v>
      </c>
      <c r="C301" s="156" t="str">
        <f>IFERROR(__xludf.DUMMYFUNCTION("""COMPUTED_VALUE"""),"10.1037--0021-9010.79.4.592.pdf")</f>
        <v>10.1037--0021-9010.79.4.592.pdf</v>
      </c>
      <c r="D301" s="156" t="str">
        <f>IFERROR(__xludf.DUMMYFUNCTION("""COMPUTED_VALUE"""),"application/pdf")</f>
        <v>application/pdf</v>
      </c>
    </row>
    <row r="302">
      <c r="A302" s="156" t="str">
        <f>IFERROR(__xludf.DUMMYFUNCTION("""COMPUTED_VALUE"""),"10.1037/0021-9010.93.5.1104")</f>
        <v>10.1037/0021-9010.93.5.1104</v>
      </c>
      <c r="B302" s="677" t="str">
        <f>IFERROR(__xludf.DUMMYFUNCTION("""COMPUTED_VALUE"""),"https://drive.google.com/file/d/1WsxDtrRFRkWrCQttfA5OLOTbWi_mcyNb/view?usp=drivesdk")</f>
        <v>https://drive.google.com/file/d/1WsxDtrRFRkWrCQttfA5OLOTbWi_mcyNb/view?usp=drivesdk</v>
      </c>
      <c r="C302" s="156" t="str">
        <f>IFERROR(__xludf.DUMMYFUNCTION("""COMPUTED_VALUE"""),"10.1037--0021-9010.93.5.1104.pdf")</f>
        <v>10.1037--0021-9010.93.5.1104.pdf</v>
      </c>
      <c r="D302" s="156" t="str">
        <f>IFERROR(__xludf.DUMMYFUNCTION("""COMPUTED_VALUE"""),"application/pdf")</f>
        <v>application/pdf</v>
      </c>
    </row>
    <row r="303">
      <c r="A303" s="156" t="str">
        <f>IFERROR(__xludf.DUMMYFUNCTION("""COMPUTED_VALUE"""),"10.1016/0001-8791(71)90010-8")</f>
        <v>10.1016/0001-8791(71)90010-8</v>
      </c>
      <c r="B303" s="677" t="str">
        <f>IFERROR(__xludf.DUMMYFUNCTION("""COMPUTED_VALUE"""),"https://drive.google.com/file/d/1aWYLmux0U20GhHvoLidD-4y0F8MW8Bjc/view?usp=drivesdk")</f>
        <v>https://drive.google.com/file/d/1aWYLmux0U20GhHvoLidD-4y0F8MW8Bjc/view?usp=drivesdk</v>
      </c>
      <c r="C303" s="156" t="str">
        <f>IFERROR(__xludf.DUMMYFUNCTION("""COMPUTED_VALUE"""),"10.1016--0001-8791(71)90010-8.pdf")</f>
        <v>10.1016--0001-8791(71)90010-8.pdf</v>
      </c>
      <c r="D303" s="156" t="str">
        <f>IFERROR(__xludf.DUMMYFUNCTION("""COMPUTED_VALUE"""),"application/pdf")</f>
        <v>application/pdf</v>
      </c>
    </row>
    <row r="304">
      <c r="A304" s="156" t="str">
        <f>IFERROR(__xludf.DUMMYFUNCTION("""COMPUTED_VALUE"""),"10.1037/0022-3514.85.6.1121")</f>
        <v>10.1037/0022-3514.85.6.1121</v>
      </c>
      <c r="B304" s="677" t="str">
        <f>IFERROR(__xludf.DUMMYFUNCTION("""COMPUTED_VALUE"""),"https://drive.google.com/file/d/1o_gi-Pat05RlZE8GgtC5-4xu1505dF8Y/view?usp=drivesdk")</f>
        <v>https://drive.google.com/file/d/1o_gi-Pat05RlZE8GgtC5-4xu1505dF8Y/view?usp=drivesdk</v>
      </c>
      <c r="C304" s="156" t="str">
        <f>IFERROR(__xludf.DUMMYFUNCTION("""COMPUTED_VALUE"""),"10.1037--0022-3514.85.6.1121.pdf")</f>
        <v>10.1037--0022-3514.85.6.1121.pdf</v>
      </c>
      <c r="D304" s="156" t="str">
        <f>IFERROR(__xludf.DUMMYFUNCTION("""COMPUTED_VALUE"""),"application/pdf")</f>
        <v>application/pdf</v>
      </c>
    </row>
    <row r="305">
      <c r="A305" s="156" t="str">
        <f>IFERROR(__xludf.DUMMYFUNCTION("""COMPUTED_VALUE"""),"10.1037/a0027983")</f>
        <v>10.1037/a0027983</v>
      </c>
      <c r="B305" s="677" t="str">
        <f>IFERROR(__xludf.DUMMYFUNCTION("""COMPUTED_VALUE"""),"https://drive.google.com/file/d/1F0sZGq5X_UbY_KQwRgvQwUT6SLIMLzZK/view?usp=drivesdk")</f>
        <v>https://drive.google.com/file/d/1F0sZGq5X_UbY_KQwRgvQwUT6SLIMLzZK/view?usp=drivesdk</v>
      </c>
      <c r="C305" s="156" t="str">
        <f>IFERROR(__xludf.DUMMYFUNCTION("""COMPUTED_VALUE"""),"10.1037--a0027983.pdf")</f>
        <v>10.1037--a0027983.pdf</v>
      </c>
      <c r="D305" s="156" t="str">
        <f>IFERROR(__xludf.DUMMYFUNCTION("""COMPUTED_VALUE"""),"application/pdf")</f>
        <v>application/pdf</v>
      </c>
    </row>
    <row r="306">
      <c r="A306" s="156" t="str">
        <f>IFERROR(__xludf.DUMMYFUNCTION("""COMPUTED_VALUE"""),"10.1037/a0013203")</f>
        <v>10.1037/a0013203</v>
      </c>
      <c r="B306" s="677" t="str">
        <f>IFERROR(__xludf.DUMMYFUNCTION("""COMPUTED_VALUE"""),"https://drive.google.com/file/d/1-Lhzzq9KjrRv22Rr_HTvtYU2IyQQela2/view?usp=drivesdk")</f>
        <v>https://drive.google.com/file/d/1-Lhzzq9KjrRv22Rr_HTvtYU2IyQQela2/view?usp=drivesdk</v>
      </c>
      <c r="C306" s="156" t="str">
        <f>IFERROR(__xludf.DUMMYFUNCTION("""COMPUTED_VALUE"""),"10.1037--a0013203.pdf")</f>
        <v>10.1037--a0013203.pdf</v>
      </c>
      <c r="D306" s="156" t="str">
        <f>IFERROR(__xludf.DUMMYFUNCTION("""COMPUTED_VALUE"""),"application/pdf")</f>
        <v>application/pdf</v>
      </c>
    </row>
    <row r="307">
      <c r="A307" s="156" t="str">
        <f>IFERROR(__xludf.DUMMYFUNCTION("""COMPUTED_VALUE"""),"10.1037/h0044544")</f>
        <v>10.1037/h0044544</v>
      </c>
      <c r="B307" s="677" t="str">
        <f>IFERROR(__xludf.DUMMYFUNCTION("""COMPUTED_VALUE"""),"https://drive.google.com/file/d/1lJX_uLqQTFzl3Dr9EVAYC6OFLvyy8w5u/view?usp=drivesdk")</f>
        <v>https://drive.google.com/file/d/1lJX_uLqQTFzl3Dr9EVAYC6OFLvyy8w5u/view?usp=drivesdk</v>
      </c>
      <c r="C307" s="156" t="str">
        <f>IFERROR(__xludf.DUMMYFUNCTION("""COMPUTED_VALUE"""),"10.1037--h0044544.pdf")</f>
        <v>10.1037--h0044544.pdf</v>
      </c>
      <c r="D307" s="156" t="str">
        <f>IFERROR(__xludf.DUMMYFUNCTION("""COMPUTED_VALUE"""),"application/pdf")</f>
        <v>application/pdf</v>
      </c>
    </row>
    <row r="308">
      <c r="A308" s="156" t="str">
        <f>IFERROR(__xludf.DUMMYFUNCTION("""COMPUTED_VALUE"""),"10.1037/0022-3514.57.3.388")</f>
        <v>10.1037/0022-3514.57.3.388</v>
      </c>
      <c r="B308" s="677" t="str">
        <f>IFERROR(__xludf.DUMMYFUNCTION("""COMPUTED_VALUE"""),"https://drive.google.com/file/d/1oGYeh9V0nFH0wwp11viZxGidPq5oejO2/view?usp=drivesdk")</f>
        <v>https://drive.google.com/file/d/1oGYeh9V0nFH0wwp11viZxGidPq5oejO2/view?usp=drivesdk</v>
      </c>
      <c r="C308" s="156" t="str">
        <f>IFERROR(__xludf.DUMMYFUNCTION("""COMPUTED_VALUE"""),"10.1037--0022-3514.57.3.388.pdf")</f>
        <v>10.1037--0022-3514.57.3.388.pdf</v>
      </c>
      <c r="D308" s="156" t="str">
        <f>IFERROR(__xludf.DUMMYFUNCTION("""COMPUTED_VALUE"""),"application/pdf")</f>
        <v>application/pdf</v>
      </c>
    </row>
    <row r="309">
      <c r="A309" s="156" t="str">
        <f>IFERROR(__xludf.DUMMYFUNCTION("""COMPUTED_VALUE"""),"10.1037/0021-9010.89.6.991")</f>
        <v>10.1037/0021-9010.89.6.991</v>
      </c>
      <c r="B309" s="677" t="str">
        <f>IFERROR(__xludf.DUMMYFUNCTION("""COMPUTED_VALUE"""),"https://drive.google.com/file/d/1X-6b6C2jqCLlB69Z0urRtA1EhjNXHCzQ/view?usp=drivesdk")</f>
        <v>https://drive.google.com/file/d/1X-6b6C2jqCLlB69Z0urRtA1EhjNXHCzQ/view?usp=drivesdk</v>
      </c>
      <c r="C309" s="156" t="str">
        <f>IFERROR(__xludf.DUMMYFUNCTION("""COMPUTED_VALUE"""),"10.1037--0021-9010.89.6.991.pdf")</f>
        <v>10.1037--0021-9010.89.6.991.pdf</v>
      </c>
      <c r="D309" s="156" t="str">
        <f>IFERROR(__xludf.DUMMYFUNCTION("""COMPUTED_VALUE"""),"application/pdf")</f>
        <v>application/pdf</v>
      </c>
    </row>
    <row r="310">
      <c r="A310" s="156" t="str">
        <f>IFERROR(__xludf.DUMMYFUNCTION("""COMPUTED_VALUE"""),"10.1037/0021-9010.72.3.387")</f>
        <v>10.1037/0021-9010.72.3.387</v>
      </c>
      <c r="B310" s="677" t="str">
        <f>IFERROR(__xludf.DUMMYFUNCTION("""COMPUTED_VALUE"""),"https://drive.google.com/file/d/1XTk0Dj79cVp0cUkpk-g11B8k5bVu1aRp/view?usp=drivesdk")</f>
        <v>https://drive.google.com/file/d/1XTk0Dj79cVp0cUkpk-g11B8k5bVu1aRp/view?usp=drivesdk</v>
      </c>
      <c r="C310" s="156" t="str">
        <f>IFERROR(__xludf.DUMMYFUNCTION("""COMPUTED_VALUE"""),"10.1037--0021-9010.72.3.387.pdf")</f>
        <v>10.1037--0021-9010.72.3.387.pdf</v>
      </c>
      <c r="D310" s="156" t="str">
        <f>IFERROR(__xludf.DUMMYFUNCTION("""COMPUTED_VALUE"""),"application/pdf")</f>
        <v>application/pdf</v>
      </c>
    </row>
    <row r="311">
      <c r="A311" s="156" t="str">
        <f>IFERROR(__xludf.DUMMYFUNCTION("""COMPUTED_VALUE"""),"10.1006/obhd.1999.2867")</f>
        <v>10.1006/obhd.1999.2867</v>
      </c>
      <c r="B311" s="677" t="str">
        <f>IFERROR(__xludf.DUMMYFUNCTION("""COMPUTED_VALUE"""),"https://drive.google.com/file/d/1xDh1FZEI5wPBK7K_THUMUiu2sVx9jg-D/view?usp=drivesdk")</f>
        <v>https://drive.google.com/file/d/1xDh1FZEI5wPBK7K_THUMUiu2sVx9jg-D/view?usp=drivesdk</v>
      </c>
      <c r="C311" s="156" t="str">
        <f>IFERROR(__xludf.DUMMYFUNCTION("""COMPUTED_VALUE"""),"10.1006--obhd.1999.2867.pdf")</f>
        <v>10.1006--obhd.1999.2867.pdf</v>
      </c>
      <c r="D311" s="156" t="str">
        <f>IFERROR(__xludf.DUMMYFUNCTION("""COMPUTED_VALUE"""),"application/pdf")</f>
        <v>application/pdf</v>
      </c>
    </row>
    <row r="312">
      <c r="A312" s="156" t="str">
        <f>IFERROR(__xludf.DUMMYFUNCTION("""COMPUTED_VALUE"""),"10.1037/0021-9010.84.3.390")</f>
        <v>10.1037/0021-9010.84.3.390</v>
      </c>
      <c r="B312" s="677" t="str">
        <f>IFERROR(__xludf.DUMMYFUNCTION("""COMPUTED_VALUE"""),"https://drive.google.com/file/d/1lE_G5W7x7KUXTWGKisDTd3tKAHM9mZYV/view?usp=drivesdk")</f>
        <v>https://drive.google.com/file/d/1lE_G5W7x7KUXTWGKisDTd3tKAHM9mZYV/view?usp=drivesdk</v>
      </c>
      <c r="C312" s="156" t="str">
        <f>IFERROR(__xludf.DUMMYFUNCTION("""COMPUTED_VALUE"""),"10.1037--0021-9010.84.3.390.pdf")</f>
        <v>10.1037--0021-9010.84.3.390.pdf</v>
      </c>
      <c r="D312" s="156" t="str">
        <f>IFERROR(__xludf.DUMMYFUNCTION("""COMPUTED_VALUE"""),"application/pdf")</f>
        <v>application/pdf</v>
      </c>
    </row>
    <row r="313">
      <c r="A313" s="156" t="str">
        <f>IFERROR(__xludf.DUMMYFUNCTION("""COMPUTED_VALUE"""),"10.2307/2392616")</f>
        <v>10.2307/2392616</v>
      </c>
      <c r="B313" s="677" t="str">
        <f>IFERROR(__xludf.DUMMYFUNCTION("""COMPUTED_VALUE"""),"https://drive.google.com/file/d/12qCiKv6J4SgfX_pd5fuvCVNxmM3skl1d/view?usp=drivesdk")</f>
        <v>https://drive.google.com/file/d/12qCiKv6J4SgfX_pd5fuvCVNxmM3skl1d/view?usp=drivesdk</v>
      </c>
      <c r="C313" s="156" t="str">
        <f>IFERROR(__xludf.DUMMYFUNCTION("""COMPUTED_VALUE"""),"10.2307--2392616.pdf")</f>
        <v>10.2307--2392616.pdf</v>
      </c>
      <c r="D313" s="156" t="str">
        <f>IFERROR(__xludf.DUMMYFUNCTION("""COMPUTED_VALUE"""),"application/pdf")</f>
        <v>application/pdf</v>
      </c>
    </row>
    <row r="314">
      <c r="A314" s="156" t="str">
        <f>IFERROR(__xludf.DUMMYFUNCTION("""COMPUTED_VALUE"""),"10.1037/0021-9010.66.5.541")</f>
        <v>10.1037/0021-9010.66.5.541</v>
      </c>
      <c r="B314" s="677" t="str">
        <f>IFERROR(__xludf.DUMMYFUNCTION("""COMPUTED_VALUE"""),"https://drive.google.com/file/d/1s26m-98VmwIJwxMC-Tm7qt1TA0dRKbhZ/view?usp=drivesdk")</f>
        <v>https://drive.google.com/file/d/1s26m-98VmwIJwxMC-Tm7qt1TA0dRKbhZ/view?usp=drivesdk</v>
      </c>
      <c r="C314" s="156" t="str">
        <f>IFERROR(__xludf.DUMMYFUNCTION("""COMPUTED_VALUE"""),"10.1037--0021-9010.66.5.541.pdf")</f>
        <v>10.1037--0021-9010.66.5.541.pdf</v>
      </c>
      <c r="D314" s="156" t="str">
        <f>IFERROR(__xludf.DUMMYFUNCTION("""COMPUTED_VALUE"""),"application/pdf")</f>
        <v>application/pdf</v>
      </c>
    </row>
    <row r="315">
      <c r="A315" s="156" t="str">
        <f>IFERROR(__xludf.DUMMYFUNCTION("""COMPUTED_VALUE"""),"10.5465/amj.2015.0195")</f>
        <v>10.5465/amj.2015.0195</v>
      </c>
      <c r="B315" s="677" t="str">
        <f>IFERROR(__xludf.DUMMYFUNCTION("""COMPUTED_VALUE"""),"https://drive.google.com/file/d/1IT7jjcf9J3PwVo0SiLbD1-_kgao0Lls3/view?usp=drivesdk")</f>
        <v>https://drive.google.com/file/d/1IT7jjcf9J3PwVo0SiLbD1-_kgao0Lls3/view?usp=drivesdk</v>
      </c>
      <c r="C315" s="156" t="str">
        <f>IFERROR(__xludf.DUMMYFUNCTION("""COMPUTED_VALUE"""),"10.5465--amj.2015.0195.pdf")</f>
        <v>10.5465--amj.2015.0195.pdf</v>
      </c>
      <c r="D315" s="156" t="str">
        <f>IFERROR(__xludf.DUMMYFUNCTION("""COMPUTED_VALUE"""),"application/pdf")</f>
        <v>application/pdf</v>
      </c>
    </row>
    <row r="316">
      <c r="A316" s="156" t="str">
        <f>IFERROR(__xludf.DUMMYFUNCTION("""COMPUTED_VALUE"""),"10.1037/0021-9010.80.5.607")</f>
        <v>10.1037/0021-9010.80.5.607</v>
      </c>
      <c r="B316" s="677" t="str">
        <f>IFERROR(__xludf.DUMMYFUNCTION("""COMPUTED_VALUE"""),"https://drive.google.com/file/d/1OEKtffSTFiXq5s3wLrvuxat7FMfx2aB4/view?usp=drivesdk")</f>
        <v>https://drive.google.com/file/d/1OEKtffSTFiXq5s3wLrvuxat7FMfx2aB4/view?usp=drivesdk</v>
      </c>
      <c r="C316" s="156" t="str">
        <f>IFERROR(__xludf.DUMMYFUNCTION("""COMPUTED_VALUE"""),"10.1037--0021-9010.80.5.607.pdf")</f>
        <v>10.1037--0021-9010.80.5.607.pdf</v>
      </c>
      <c r="D316" s="156" t="str">
        <f>IFERROR(__xludf.DUMMYFUNCTION("""COMPUTED_VALUE"""),"application/pdf")</f>
        <v>application/pdf</v>
      </c>
    </row>
    <row r="317">
      <c r="A317" s="156" t="str">
        <f>IFERROR(__xludf.DUMMYFUNCTION("""COMPUTED_VALUE"""),"10.1037/0096-3445.126.1.45")</f>
        <v>10.1037/0096-3445.126.1.45</v>
      </c>
      <c r="B317" s="677" t="str">
        <f>IFERROR(__xludf.DUMMYFUNCTION("""COMPUTED_VALUE"""),"https://drive.google.com/file/d/1wWXyXYtJ4DQfvQnS8MOu18ThLCF7elMp/view?usp=drivesdk")</f>
        <v>https://drive.google.com/file/d/1wWXyXYtJ4DQfvQnS8MOu18ThLCF7elMp/view?usp=drivesdk</v>
      </c>
      <c r="C317" s="156" t="str">
        <f>IFERROR(__xludf.DUMMYFUNCTION("""COMPUTED_VALUE"""),"10.1037--0096-3445.126.1.45.pdf")</f>
        <v>10.1037--0096-3445.126.1.45.pdf</v>
      </c>
      <c r="D317" s="156" t="str">
        <f>IFERROR(__xludf.DUMMYFUNCTION("""COMPUTED_VALUE"""),"application/pdf")</f>
        <v>application/pdf</v>
      </c>
    </row>
    <row r="318">
      <c r="A318" s="156" t="str">
        <f>IFERROR(__xludf.DUMMYFUNCTION("""COMPUTED_VALUE"""),"10.1080/08959285.2014.929692")</f>
        <v>10.1080/08959285.2014.929692</v>
      </c>
      <c r="B318" s="677" t="str">
        <f>IFERROR(__xludf.DUMMYFUNCTION("""COMPUTED_VALUE"""),"https://drive.google.com/file/d/1kFuZ0XixFtPIX9hTbUTTCzKnnWeeZYDf/view?usp=drivesdk")</f>
        <v>https://drive.google.com/file/d/1kFuZ0XixFtPIX9hTbUTTCzKnnWeeZYDf/view?usp=drivesdk</v>
      </c>
      <c r="C318" s="156" t="str">
        <f>IFERROR(__xludf.DUMMYFUNCTION("""COMPUTED_VALUE"""),"10.1080--08959285.2014.929692.pdf")</f>
        <v>10.1080--08959285.2014.929692.pdf</v>
      </c>
      <c r="D318" s="156" t="str">
        <f>IFERROR(__xludf.DUMMYFUNCTION("""COMPUTED_VALUE"""),"application/pdf")</f>
        <v>application/pdf</v>
      </c>
    </row>
    <row r="319">
      <c r="A319" s="156" t="str">
        <f>IFERROR(__xludf.DUMMYFUNCTION("""COMPUTED_VALUE"""),"10.1037/0021-9010.61.4.446")</f>
        <v>10.1037/0021-9010.61.4.446</v>
      </c>
      <c r="B319" s="677" t="str">
        <f>IFERROR(__xludf.DUMMYFUNCTION("""COMPUTED_VALUE"""),"https://drive.google.com/file/d/1RPVjb6dAsE-e8x9z9QTHxbx-zkpvNcIg/view?usp=drivesdk")</f>
        <v>https://drive.google.com/file/d/1RPVjb6dAsE-e8x9z9QTHxbx-zkpvNcIg/view?usp=drivesdk</v>
      </c>
      <c r="C319" s="156" t="str">
        <f>IFERROR(__xludf.DUMMYFUNCTION("""COMPUTED_VALUE"""),"10.1037--0021-9010.61.4.446.pdf")</f>
        <v>10.1037--0021-9010.61.4.446.pdf</v>
      </c>
      <c r="D319" s="156" t="str">
        <f>IFERROR(__xludf.DUMMYFUNCTION("""COMPUTED_VALUE"""),"application/pdf")</f>
        <v>application/pdf</v>
      </c>
    </row>
    <row r="320">
      <c r="A320" s="156" t="str">
        <f>IFERROR(__xludf.DUMMYFUNCTION("""COMPUTED_VALUE"""),"10.1037/0021-9010.83.3.462")</f>
        <v>10.1037/0021-9010.83.3.462</v>
      </c>
      <c r="B320" s="677" t="str">
        <f>IFERROR(__xludf.DUMMYFUNCTION("""COMPUTED_VALUE"""),"https://drive.google.com/file/d/1xTXT5XPhZrilG-fLyyYegJ8wHBpiban_/view?usp=drivesdk")</f>
        <v>https://drive.google.com/file/d/1xTXT5XPhZrilG-fLyyYegJ8wHBpiban_/view?usp=drivesdk</v>
      </c>
      <c r="C320" s="156" t="str">
        <f>IFERROR(__xludf.DUMMYFUNCTION("""COMPUTED_VALUE"""),"10.1037--0021-9010.83.3.462.pdf")</f>
        <v>10.1037--0021-9010.83.3.462.pdf</v>
      </c>
      <c r="D320" s="156" t="str">
        <f>IFERROR(__xludf.DUMMYFUNCTION("""COMPUTED_VALUE"""),"application/pdf")</f>
        <v>application/pdf</v>
      </c>
    </row>
    <row r="321">
      <c r="A321" s="156" t="str">
        <f>IFERROR(__xludf.DUMMYFUNCTION("""COMPUTED_VALUE"""),"10.2307/256404")</f>
        <v>10.2307/256404</v>
      </c>
      <c r="B321" s="677" t="str">
        <f>IFERROR(__xludf.DUMMYFUNCTION("""COMPUTED_VALUE"""),"https://drive.google.com/file/d/1W0xu5YzAKPDJ2AuD8Ik22civDGZ0Q6VX/view?usp=drivesdk")</f>
        <v>https://drive.google.com/file/d/1W0xu5YzAKPDJ2AuD8Ik22civDGZ0Q6VX/view?usp=drivesdk</v>
      </c>
      <c r="C321" s="156" t="str">
        <f>IFERROR(__xludf.DUMMYFUNCTION("""COMPUTED_VALUE"""),"10.2307--256404.pdf")</f>
        <v>10.2307--256404.pdf</v>
      </c>
      <c r="D321" s="156" t="str">
        <f>IFERROR(__xludf.DUMMYFUNCTION("""COMPUTED_VALUE"""),"application/pdf")</f>
        <v>application/pdf</v>
      </c>
    </row>
    <row r="322">
      <c r="A322" s="156" t="str">
        <f>IFERROR(__xludf.DUMMYFUNCTION("""COMPUTED_VALUE"""),"10.1111/j.1744-6570.1991.tb00701.x")</f>
        <v>10.1111/j.1744-6570.1991.tb00701.x</v>
      </c>
      <c r="B322" s="677" t="str">
        <f>IFERROR(__xludf.DUMMYFUNCTION("""COMPUTED_VALUE"""),"https://drive.google.com/file/d/17e6qF1_VMvgfLa4Xv9IPbs5MFwrhjmSP/view?usp=drivesdk")</f>
        <v>https://drive.google.com/file/d/17e6qF1_VMvgfLa4Xv9IPbs5MFwrhjmSP/view?usp=drivesdk</v>
      </c>
      <c r="C322" s="156" t="str">
        <f>IFERROR(__xludf.DUMMYFUNCTION("""COMPUTED_VALUE"""),"10.1111--j.1744-6570.1991.tb00701.x.pdf")</f>
        <v>10.1111--j.1744-6570.1991.tb00701.x.pdf</v>
      </c>
      <c r="D322" s="156" t="str">
        <f>IFERROR(__xludf.DUMMYFUNCTION("""COMPUTED_VALUE"""),"application/pdf")</f>
        <v>application/pdf</v>
      </c>
    </row>
    <row r="323">
      <c r="A323" s="156" t="str">
        <f>IFERROR(__xludf.DUMMYFUNCTION("""COMPUTED_VALUE"""),"10.1037/0021-9010.82.3.390")</f>
        <v>10.1037/0021-9010.82.3.390</v>
      </c>
      <c r="B323" s="677" t="str">
        <f>IFERROR(__xludf.DUMMYFUNCTION("""COMPUTED_VALUE"""),"https://drive.google.com/file/d/1QtfRoYfCEgN8kW9kfpa9E4HE5zVA3kwh/view?usp=drivesdk")</f>
        <v>https://drive.google.com/file/d/1QtfRoYfCEgN8kW9kfpa9E4HE5zVA3kwh/view?usp=drivesdk</v>
      </c>
      <c r="C323" s="156" t="str">
        <f>IFERROR(__xludf.DUMMYFUNCTION("""COMPUTED_VALUE"""),"10.1037--0021-9010.82.3.390.pdf")</f>
        <v>10.1037--0021-9010.82.3.390.pdf</v>
      </c>
      <c r="D323" s="156" t="str">
        <f>IFERROR(__xludf.DUMMYFUNCTION("""COMPUTED_VALUE"""),"application/pdf")</f>
        <v>application/pdf</v>
      </c>
    </row>
    <row r="324">
      <c r="A324" s="156" t="str">
        <f>IFERROR(__xludf.DUMMYFUNCTION("""COMPUTED_VALUE"""),"10.1177/103841629800700106")</f>
        <v>10.1177/103841629800700106</v>
      </c>
      <c r="B324" s="677" t="str">
        <f>IFERROR(__xludf.DUMMYFUNCTION("""COMPUTED_VALUE"""),"https://drive.google.com/file/d/1518u5815iOo80zbyuz9-kHkquWxNxpad/view?usp=drivesdk")</f>
        <v>https://drive.google.com/file/d/1518u5815iOo80zbyuz9-kHkquWxNxpad/view?usp=drivesdk</v>
      </c>
      <c r="C324" s="156" t="str">
        <f>IFERROR(__xludf.DUMMYFUNCTION("""COMPUTED_VALUE"""),"10.1177--103841629800700106.pdf")</f>
        <v>10.1177--103841629800700106.pdf</v>
      </c>
      <c r="D324" s="156" t="str">
        <f>IFERROR(__xludf.DUMMYFUNCTION("""COMPUTED_VALUE"""),"application/pdf")</f>
        <v>application/pdf</v>
      </c>
    </row>
    <row r="325">
      <c r="A325" s="156" t="str">
        <f>IFERROR(__xludf.DUMMYFUNCTION("""COMPUTED_VALUE"""),"10.1037/0021-9010.65.4.479")</f>
        <v>10.1037/0021-9010.65.4.479</v>
      </c>
      <c r="B325" s="677" t="str">
        <f>IFERROR(__xludf.DUMMYFUNCTION("""COMPUTED_VALUE"""),"https://drive.google.com/file/d/1P_pRgTFBMoidfvsn5tY3n7SBVWvENXXn/view?usp=drivesdk")</f>
        <v>https://drive.google.com/file/d/1P_pRgTFBMoidfvsn5tY3n7SBVWvENXXn/view?usp=drivesdk</v>
      </c>
      <c r="C325" s="156" t="str">
        <f>IFERROR(__xludf.DUMMYFUNCTION("""COMPUTED_VALUE"""),"10.1037--0021-9010.65.4.479.pdf")</f>
        <v>10.1037--0021-9010.65.4.479.pdf</v>
      </c>
      <c r="D325" s="156" t="str">
        <f>IFERROR(__xludf.DUMMYFUNCTION("""COMPUTED_VALUE"""),"application/pdf")</f>
        <v>application/pdf</v>
      </c>
    </row>
    <row r="326">
      <c r="A326" s="156" t="str">
        <f>IFERROR(__xludf.DUMMYFUNCTION("""COMPUTED_VALUE"""),"10.1037/0021-9010.70.1.29")</f>
        <v>10.1037/0021-9010.70.1.29</v>
      </c>
      <c r="B326" s="677" t="str">
        <f>IFERROR(__xludf.DUMMYFUNCTION("""COMPUTED_VALUE"""),"https://drive.google.com/file/d/1v7zu6XbXRHoXs-7JSP25VGVnsNP6A_jX/view?usp=drivesdk")</f>
        <v>https://drive.google.com/file/d/1v7zu6XbXRHoXs-7JSP25VGVnsNP6A_jX/view?usp=drivesdk</v>
      </c>
      <c r="C326" s="156" t="str">
        <f>IFERROR(__xludf.DUMMYFUNCTION("""COMPUTED_VALUE"""),"10.1037--0021-9010.70.1.29.pdf")</f>
        <v>10.1037--0021-9010.70.1.29.pdf</v>
      </c>
      <c r="D326" s="156" t="str">
        <f>IFERROR(__xludf.DUMMYFUNCTION("""COMPUTED_VALUE"""),"application/pdf")</f>
        <v>application/pdf</v>
      </c>
    </row>
    <row r="327">
      <c r="A327" s="156" t="str">
        <f>IFERROR(__xludf.DUMMYFUNCTION("""COMPUTED_VALUE"""),"10.2307/256921")</f>
        <v>10.2307/256921</v>
      </c>
      <c r="B327" s="677" t="str">
        <f>IFERROR(__xludf.DUMMYFUNCTION("""COMPUTED_VALUE"""),"https://drive.google.com/file/d/1mBzFBCsE1vm3CKMKVrFptlCXm7WZIBky/view?usp=drivesdk")</f>
        <v>https://drive.google.com/file/d/1mBzFBCsE1vm3CKMKVrFptlCXm7WZIBky/view?usp=drivesdk</v>
      </c>
      <c r="C327" s="156" t="str">
        <f>IFERROR(__xludf.DUMMYFUNCTION("""COMPUTED_VALUE"""),"10.2307--256921.pdf")</f>
        <v>10.2307--256921.pdf</v>
      </c>
      <c r="D327" s="156" t="str">
        <f>IFERROR(__xludf.DUMMYFUNCTION("""COMPUTED_VALUE"""),"application/pdf")</f>
        <v>application/pdf</v>
      </c>
    </row>
    <row r="328">
      <c r="A328" s="156" t="str">
        <f>IFERROR(__xludf.DUMMYFUNCTION("""COMPUTED_VALUE"""),"10.1016/0001-4575(80)90018-4")</f>
        <v>10.1016/0001-4575(80)90018-4</v>
      </c>
      <c r="B328" s="677" t="str">
        <f>IFERROR(__xludf.DUMMYFUNCTION("""COMPUTED_VALUE"""),"https://drive.google.com/file/d/1s69aQI-0IM0vLTu3bML2mU_QbATlOmhu/view?usp=drivesdk")</f>
        <v>https://drive.google.com/file/d/1s69aQI-0IM0vLTu3bML2mU_QbATlOmhu/view?usp=drivesdk</v>
      </c>
      <c r="C328" s="156" t="str">
        <f>IFERROR(__xludf.DUMMYFUNCTION("""COMPUTED_VALUE"""),"10.1016--0001-4575(80)90018-4.pdf")</f>
        <v>10.1016--0001-4575(80)90018-4.pdf</v>
      </c>
      <c r="D328" s="156" t="str">
        <f>IFERROR(__xludf.DUMMYFUNCTION("""COMPUTED_VALUE"""),"application/pdf")</f>
        <v>application/pdf</v>
      </c>
    </row>
    <row r="329">
      <c r="A329" s="156" t="str">
        <f>IFERROR(__xludf.DUMMYFUNCTION("""COMPUTED_VALUE"""),"10.5465/amj.2006.20785670")</f>
        <v>10.5465/amj.2006.20785670</v>
      </c>
      <c r="B329" s="677" t="str">
        <f>IFERROR(__xludf.DUMMYFUNCTION("""COMPUTED_VALUE"""),"https://drive.google.com/file/d/15mQBh3vsD8URQi3Ev_kwyXaqmnl0cao8/view?usp=drivesdk")</f>
        <v>https://drive.google.com/file/d/15mQBh3vsD8URQi3Ev_kwyXaqmnl0cao8/view?usp=drivesdk</v>
      </c>
      <c r="C329" s="156" t="str">
        <f>IFERROR(__xludf.DUMMYFUNCTION("""COMPUTED_VALUE"""),"10.5465--amj.2006.20785670.pdf")</f>
        <v>10.5465--amj.2006.20785670.pdf</v>
      </c>
      <c r="D329" s="156" t="str">
        <f>IFERROR(__xludf.DUMMYFUNCTION("""COMPUTED_VALUE"""),"application/pdf")</f>
        <v>application/pdf</v>
      </c>
    </row>
    <row r="330">
      <c r="A330" s="156" t="str">
        <f>IFERROR(__xludf.DUMMYFUNCTION("""COMPUTED_VALUE"""),"10.1002/hrm.21464")</f>
        <v>10.1002/hrm.21464</v>
      </c>
      <c r="B330" s="677" t="str">
        <f>IFERROR(__xludf.DUMMYFUNCTION("""COMPUTED_VALUE"""),"https://drive.google.com/file/d/1chHae6x11SjPt64gW5U6i3iq8hgn5ATd/view?usp=drivesdk")</f>
        <v>https://drive.google.com/file/d/1chHae6x11SjPt64gW5U6i3iq8hgn5ATd/view?usp=drivesdk</v>
      </c>
      <c r="C330" s="156" t="str">
        <f>IFERROR(__xludf.DUMMYFUNCTION("""COMPUTED_VALUE"""),"10.1002--hrm.21464.pdf")</f>
        <v>10.1002--hrm.21464.pdf</v>
      </c>
      <c r="D330" s="156" t="str">
        <f>IFERROR(__xludf.DUMMYFUNCTION("""COMPUTED_VALUE"""),"application/pdf")</f>
        <v>application/pdf</v>
      </c>
    </row>
    <row r="331">
      <c r="A331" s="156" t="str">
        <f>IFERROR(__xludf.DUMMYFUNCTION("""COMPUTED_VALUE"""),"10.1080/1359432x.2019.1584183")</f>
        <v>10.1080/1359432x.2019.1584183</v>
      </c>
      <c r="B331" s="677" t="str">
        <f>IFERROR(__xludf.DUMMYFUNCTION("""COMPUTED_VALUE"""),"https://drive.google.com/file/d/1zVTWq7I8TIS6eGJya2U5gMvyWW0Wq_nK/view?usp=drivesdk")</f>
        <v>https://drive.google.com/file/d/1zVTWq7I8TIS6eGJya2U5gMvyWW0Wq_nK/view?usp=drivesdk</v>
      </c>
      <c r="C331" s="156" t="str">
        <f>IFERROR(__xludf.DUMMYFUNCTION("""COMPUTED_VALUE"""),"10.1080--1359432X.2019.1584183.pdf")</f>
        <v>10.1080--1359432X.2019.1584183.pdf</v>
      </c>
      <c r="D331" s="156" t="str">
        <f>IFERROR(__xludf.DUMMYFUNCTION("""COMPUTED_VALUE"""),"application/pdf")</f>
        <v>application/pdf</v>
      </c>
    </row>
    <row r="332">
      <c r="A332" s="156" t="str">
        <f>IFERROR(__xludf.DUMMYFUNCTION("""COMPUTED_VALUE"""),"10.1177/014920639502100608")</f>
        <v>10.1177/014920639502100608</v>
      </c>
      <c r="B332" s="677" t="str">
        <f>IFERROR(__xludf.DUMMYFUNCTION("""COMPUTED_VALUE"""),"https://drive.google.com/file/d/1T6MI-QrvVvuxvpPRZQnRn0ZOT5mfcASs/view?usp=drivesdk")</f>
        <v>https://drive.google.com/file/d/1T6MI-QrvVvuxvpPRZQnRn0ZOT5mfcASs/view?usp=drivesdk</v>
      </c>
      <c r="C332" s="156" t="str">
        <f>IFERROR(__xludf.DUMMYFUNCTION("""COMPUTED_VALUE"""),"10.1177--014920639502100608.pdf")</f>
        <v>10.1177--014920639502100608.pdf</v>
      </c>
      <c r="D332" s="156" t="str">
        <f>IFERROR(__xludf.DUMMYFUNCTION("""COMPUTED_VALUE"""),"application/pdf")</f>
        <v>application/pdf</v>
      </c>
    </row>
    <row r="333">
      <c r="A333" s="156" t="str">
        <f>IFERROR(__xludf.DUMMYFUNCTION("""COMPUTED_VALUE"""),"10.1006/obhd.1997.2695")</f>
        <v>10.1006/obhd.1997.2695</v>
      </c>
      <c r="B333" s="677" t="str">
        <f>IFERROR(__xludf.DUMMYFUNCTION("""COMPUTED_VALUE"""),"https://drive.google.com/file/d/1QKSVrVs3ToVlnjO6iEoxwGCX6epTjmVZ/view?usp=drivesdk")</f>
        <v>https://drive.google.com/file/d/1QKSVrVs3ToVlnjO6iEoxwGCX6epTjmVZ/view?usp=drivesdk</v>
      </c>
      <c r="C333" s="156" t="str">
        <f>IFERROR(__xludf.DUMMYFUNCTION("""COMPUTED_VALUE"""),"10.1006--obhd.1997.2695.pdf")</f>
        <v>10.1006--obhd.1997.2695.pdf</v>
      </c>
      <c r="D333" s="156" t="str">
        <f>IFERROR(__xludf.DUMMYFUNCTION("""COMPUTED_VALUE"""),"application/pdf")</f>
        <v>application/pdf</v>
      </c>
    </row>
    <row r="334">
      <c r="A334" s="156" t="str">
        <f>IFERROR(__xludf.DUMMYFUNCTION("""COMPUTED_VALUE"""),"10.1080/13594320600989583")</f>
        <v>10.1080/13594320600989583</v>
      </c>
      <c r="B334" s="677" t="str">
        <f>IFERROR(__xludf.DUMMYFUNCTION("""COMPUTED_VALUE"""),"https://drive.google.com/file/d/1CXMF_prLulQt9TmDj8jXynwOKdLqsKcv/view?usp=drivesdk")</f>
        <v>https://drive.google.com/file/d/1CXMF_prLulQt9TmDj8jXynwOKdLqsKcv/view?usp=drivesdk</v>
      </c>
      <c r="C334" s="156" t="str">
        <f>IFERROR(__xludf.DUMMYFUNCTION("""COMPUTED_VALUE"""),"10.1080--13594320600989583.pdf")</f>
        <v>10.1080--13594320600989583.pdf</v>
      </c>
      <c r="D334" s="156" t="str">
        <f>IFERROR(__xludf.DUMMYFUNCTION("""COMPUTED_VALUE"""),"application/pdf")</f>
        <v>application/pdf</v>
      </c>
    </row>
    <row r="335">
      <c r="A335" s="156" t="str">
        <f>IFERROR(__xludf.DUMMYFUNCTION("""COMPUTED_VALUE"""),"10.1080/002075997400629")</f>
        <v>10.1080/002075997400629</v>
      </c>
      <c r="B335" s="677" t="str">
        <f>IFERROR(__xludf.DUMMYFUNCTION("""COMPUTED_VALUE"""),"https://drive.google.com/file/d/1r5ovnhAzHBaCUudZn50hc3NoyL8jZAmC/view?usp=drivesdk")</f>
        <v>https://drive.google.com/file/d/1r5ovnhAzHBaCUudZn50hc3NoyL8jZAmC/view?usp=drivesdk</v>
      </c>
      <c r="C335" s="156" t="str">
        <f>IFERROR(__xludf.DUMMYFUNCTION("""COMPUTED_VALUE"""),"10.1080--002075997400629.pdf")</f>
        <v>10.1080--002075997400629.pdf</v>
      </c>
      <c r="D335" s="156" t="str">
        <f>IFERROR(__xludf.DUMMYFUNCTION("""COMPUTED_VALUE"""),"application/pdf")</f>
        <v>application/pdf</v>
      </c>
    </row>
    <row r="336">
      <c r="A336" s="156" t="str">
        <f>IFERROR(__xludf.DUMMYFUNCTION("""COMPUTED_VALUE"""),"10.5465/amj.2010.0441")</f>
        <v>10.5465/amj.2010.0441</v>
      </c>
      <c r="B336" s="677" t="str">
        <f>IFERROR(__xludf.DUMMYFUNCTION("""COMPUTED_VALUE"""),"https://drive.google.com/file/d/1gmNjtyz5pPZ4yXAlGbkikOo202Q8OE2f/view?usp=drivesdk")</f>
        <v>https://drive.google.com/file/d/1gmNjtyz5pPZ4yXAlGbkikOo202Q8OE2f/view?usp=drivesdk</v>
      </c>
      <c r="C336" s="156" t="str">
        <f>IFERROR(__xludf.DUMMYFUNCTION("""COMPUTED_VALUE"""),"10.5465--amj.2010.0441.pdf")</f>
        <v>10.5465--amj.2010.0441.pdf</v>
      </c>
      <c r="D336" s="156" t="str">
        <f>IFERROR(__xludf.DUMMYFUNCTION("""COMPUTED_VALUE"""),"application/pdf")</f>
        <v>application/pdf</v>
      </c>
    </row>
    <row r="337">
      <c r="A337" s="156" t="str">
        <f>IFERROR(__xludf.DUMMYFUNCTION("""COMPUTED_VALUE"""),"10.1037/0021-9010.72.3.344")</f>
        <v>10.1037/0021-9010.72.3.344</v>
      </c>
      <c r="B337" s="677" t="str">
        <f>IFERROR(__xludf.DUMMYFUNCTION("""COMPUTED_VALUE"""),"https://drive.google.com/file/d/1kxkyKkDKE_f6tUlJtBg2iiCz8l4PaTXq/view?usp=drivesdk")</f>
        <v>https://drive.google.com/file/d/1kxkyKkDKE_f6tUlJtBg2iiCz8l4PaTXq/view?usp=drivesdk</v>
      </c>
      <c r="C337" s="156" t="str">
        <f>IFERROR(__xludf.DUMMYFUNCTION("""COMPUTED_VALUE"""),"10.1037--0021-9010.72.3.344.pdf")</f>
        <v>10.1037--0021-9010.72.3.344.pdf</v>
      </c>
      <c r="D337" s="156" t="str">
        <f>IFERROR(__xludf.DUMMYFUNCTION("""COMPUTED_VALUE"""),"application/pdf")</f>
        <v>application/pdf</v>
      </c>
    </row>
    <row r="338">
      <c r="A338" s="156" t="str">
        <f>IFERROR(__xludf.DUMMYFUNCTION("""COMPUTED_VALUE"""),"10.1108/01437730410544755")</f>
        <v>10.1108/01437730410544755</v>
      </c>
      <c r="B338" s="677" t="str">
        <f>IFERROR(__xludf.DUMMYFUNCTION("""COMPUTED_VALUE"""),"https://drive.google.com/file/d/191wNcdlu6WSjOiLz6ynsrrPs-OvHpvBb/view?usp=drivesdk")</f>
        <v>https://drive.google.com/file/d/191wNcdlu6WSjOiLz6ynsrrPs-OvHpvBb/view?usp=drivesdk</v>
      </c>
      <c r="C338" s="156" t="str">
        <f>IFERROR(__xludf.DUMMYFUNCTION("""COMPUTED_VALUE"""),"10.1108--01437730410544755.pdf")</f>
        <v>10.1108--01437730410544755.pdf</v>
      </c>
      <c r="D338" s="156" t="str">
        <f>IFERROR(__xludf.DUMMYFUNCTION("""COMPUTED_VALUE"""),"application/pdf")</f>
        <v>application/pdf</v>
      </c>
    </row>
    <row r="339">
      <c r="A339" s="156" t="str">
        <f>IFERROR(__xludf.DUMMYFUNCTION("""COMPUTED_VALUE"""),"10.1002/job.4030020205")</f>
        <v>10.1002/job.4030020205</v>
      </c>
      <c r="B339" s="677" t="str">
        <f>IFERROR(__xludf.DUMMYFUNCTION("""COMPUTED_VALUE"""),"https://drive.google.com/file/d/1S6q42zMajW3e56q4dEzSxwGeaOEtme7A/view?usp=drivesdk")</f>
        <v>https://drive.google.com/file/d/1S6q42zMajW3e56q4dEzSxwGeaOEtme7A/view?usp=drivesdk</v>
      </c>
      <c r="C339" s="156" t="str">
        <f>IFERROR(__xludf.DUMMYFUNCTION("""COMPUTED_VALUE"""),"10.1002--job.4030020205.pdf")</f>
        <v>10.1002--job.4030020205.pdf</v>
      </c>
      <c r="D339" s="156" t="str">
        <f>IFERROR(__xludf.DUMMYFUNCTION("""COMPUTED_VALUE"""),"application/pdf")</f>
        <v>application/pdf</v>
      </c>
    </row>
    <row r="340">
      <c r="A340" s="156" t="str">
        <f>IFERROR(__xludf.DUMMYFUNCTION("""COMPUTED_VALUE"""),"10.1348/096317901167217")</f>
        <v>10.1348/096317901167217</v>
      </c>
      <c r="B340" s="677" t="str">
        <f>IFERROR(__xludf.DUMMYFUNCTION("""COMPUTED_VALUE"""),"https://drive.google.com/file/d/1bEaoql3JPo9kr-cVBMicceFggwTMTsuH/view?usp=drivesdk")</f>
        <v>https://drive.google.com/file/d/1bEaoql3JPo9kr-cVBMicceFggwTMTsuH/view?usp=drivesdk</v>
      </c>
      <c r="C340" s="156" t="str">
        <f>IFERROR(__xludf.DUMMYFUNCTION("""COMPUTED_VALUE"""),"10.1348--096317901167217.pdf")</f>
        <v>10.1348--096317901167217.pdf</v>
      </c>
      <c r="D340" s="156" t="str">
        <f>IFERROR(__xludf.DUMMYFUNCTION("""COMPUTED_VALUE"""),"application/pdf")</f>
        <v>application/pdf</v>
      </c>
    </row>
    <row r="341">
      <c r="A341" s="156" t="str">
        <f>IFERROR(__xludf.DUMMYFUNCTION("""COMPUTED_VALUE"""),"10.2307/255852")</f>
        <v>10.2307/255852</v>
      </c>
      <c r="B341" s="677" t="str">
        <f>IFERROR(__xludf.DUMMYFUNCTION("""COMPUTED_VALUE"""),"https://drive.google.com/file/d/17_tDs0eYV7L5-i0jFrbeoHaRBrcSQ9-9/view?usp=drivesdk")</f>
        <v>https://drive.google.com/file/d/17_tDs0eYV7L5-i0jFrbeoHaRBrcSQ9-9/view?usp=drivesdk</v>
      </c>
      <c r="C341" s="156" t="str">
        <f>IFERROR(__xludf.DUMMYFUNCTION("""COMPUTED_VALUE"""),"10.2307--255852.pdf")</f>
        <v>10.2307--255852.pdf</v>
      </c>
      <c r="D341" s="156" t="str">
        <f>IFERROR(__xludf.DUMMYFUNCTION("""COMPUTED_VALUE"""),"application/pdf")</f>
        <v>application/pdf</v>
      </c>
    </row>
    <row r="342">
      <c r="A342" s="156" t="str">
        <f>IFERROR(__xludf.DUMMYFUNCTION("""COMPUTED_VALUE"""),"10.1037/a0023222")</f>
        <v>10.1037/a0023222</v>
      </c>
      <c r="B342" s="677" t="str">
        <f>IFERROR(__xludf.DUMMYFUNCTION("""COMPUTED_VALUE"""),"https://drive.google.com/file/d/1dRy6uzp7aqKlyDxCgKtUe6SdqAcqJcFb/view?usp=drivesdk")</f>
        <v>https://drive.google.com/file/d/1dRy6uzp7aqKlyDxCgKtUe6SdqAcqJcFb/view?usp=drivesdk</v>
      </c>
      <c r="C342" s="156" t="str">
        <f>IFERROR(__xludf.DUMMYFUNCTION("""COMPUTED_VALUE"""),"10.1037--a0023222.pdf")</f>
        <v>10.1037--a0023222.pdf</v>
      </c>
      <c r="D342" s="156" t="str">
        <f>IFERROR(__xludf.DUMMYFUNCTION("""COMPUTED_VALUE"""),"application/pdf")</f>
        <v>application/pdf</v>
      </c>
    </row>
    <row r="343">
      <c r="A343" s="156" t="str">
        <f>IFERROR(__xludf.DUMMYFUNCTION("""COMPUTED_VALUE"""),"10.1177/014920639001600102")</f>
        <v>10.1177/014920639001600102</v>
      </c>
      <c r="B343" s="677" t="str">
        <f>IFERROR(__xludf.DUMMYFUNCTION("""COMPUTED_VALUE"""),"https://drive.google.com/file/d/1Chh6vBl85oVtpr9-puQubPDNnbZkh7KZ/view?usp=drivesdk")</f>
        <v>https://drive.google.com/file/d/1Chh6vBl85oVtpr9-puQubPDNnbZkh7KZ/view?usp=drivesdk</v>
      </c>
      <c r="C343" s="156" t="str">
        <f>IFERROR(__xludf.DUMMYFUNCTION("""COMPUTED_VALUE"""),"10.1177--014920639001600102.pdf")</f>
        <v>10.1177--014920639001600102.pdf</v>
      </c>
      <c r="D343" s="156" t="str">
        <f>IFERROR(__xludf.DUMMYFUNCTION("""COMPUTED_VALUE"""),"application/pdf")</f>
        <v>application/pdf</v>
      </c>
    </row>
    <row r="344">
      <c r="A344" s="156" t="str">
        <f>IFERROR(__xludf.DUMMYFUNCTION("""COMPUTED_VALUE"""),"10.1037/0022-3514.59.2.270")</f>
        <v>10.1037/0022-3514.59.2.270</v>
      </c>
      <c r="B344" s="677" t="str">
        <f>IFERROR(__xludf.DUMMYFUNCTION("""COMPUTED_VALUE"""),"https://drive.google.com/file/d/1DYmdntblIulNRsPyyrm5x22gnHhoY8pq/view?usp=drivesdk")</f>
        <v>https://drive.google.com/file/d/1DYmdntblIulNRsPyyrm5x22gnHhoY8pq/view?usp=drivesdk</v>
      </c>
      <c r="C344" s="156" t="str">
        <f>IFERROR(__xludf.DUMMYFUNCTION("""COMPUTED_VALUE"""),"10.1037--0022-3514.59.2.270.pdf")</f>
        <v>10.1037--0022-3514.59.2.270.pdf</v>
      </c>
      <c r="D344" s="156" t="str">
        <f>IFERROR(__xludf.DUMMYFUNCTION("""COMPUTED_VALUE"""),"application/pdf")</f>
        <v>application/pdf</v>
      </c>
    </row>
    <row r="345">
      <c r="A345" s="156" t="str">
        <f>IFERROR(__xludf.DUMMYFUNCTION("""COMPUTED_VALUE"""),"10.1108/02683940910952697")</f>
        <v>10.1108/02683940910952697</v>
      </c>
      <c r="B345" s="677" t="str">
        <f>IFERROR(__xludf.DUMMYFUNCTION("""COMPUTED_VALUE"""),"https://drive.google.com/file/d/1WwOkola1OT6nmGNnVySUNIkgQCDn8G1O/view?usp=drivesdk")</f>
        <v>https://drive.google.com/file/d/1WwOkola1OT6nmGNnVySUNIkgQCDn8G1O/view?usp=drivesdk</v>
      </c>
      <c r="C345" s="156" t="str">
        <f>IFERROR(__xludf.DUMMYFUNCTION("""COMPUTED_VALUE"""),"10.1108--02683940910952697.pdf")</f>
        <v>10.1108--02683940910952697.pdf</v>
      </c>
      <c r="D345" s="156" t="str">
        <f>IFERROR(__xludf.DUMMYFUNCTION("""COMPUTED_VALUE"""),"application/pdf")</f>
        <v>application/pdf</v>
      </c>
    </row>
    <row r="346">
      <c r="A346" s="156" t="str">
        <f>IFERROR(__xludf.DUMMYFUNCTION("""COMPUTED_VALUE"""),"10.1016/j.leaqua.2016.09.001")</f>
        <v>10.1016/j.leaqua.2016.09.001</v>
      </c>
      <c r="B346" s="677" t="str">
        <f>IFERROR(__xludf.DUMMYFUNCTION("""COMPUTED_VALUE"""),"https://drive.google.com/file/d/12BgAmyTUM9zXROL8EJBSKj47rzdgie8X/view?usp=drivesdk")</f>
        <v>https://drive.google.com/file/d/12BgAmyTUM9zXROL8EJBSKj47rzdgie8X/view?usp=drivesdk</v>
      </c>
      <c r="C346" s="156" t="str">
        <f>IFERROR(__xludf.DUMMYFUNCTION("""COMPUTED_VALUE"""),"10.1016--j.leaqua.2016.09.001.pdf")</f>
        <v>10.1016--j.leaqua.2016.09.001.pdf</v>
      </c>
      <c r="D346" s="156" t="str">
        <f>IFERROR(__xludf.DUMMYFUNCTION("""COMPUTED_VALUE"""),"application/pdf")</f>
        <v>application/pdf</v>
      </c>
    </row>
    <row r="347">
      <c r="A347" s="156" t="str">
        <f>IFERROR(__xludf.DUMMYFUNCTION("""COMPUTED_VALUE"""),"10.1037/0021-9010.73.3.371")</f>
        <v>10.1037/0021-9010.73.3.371</v>
      </c>
      <c r="B347" s="677" t="str">
        <f>IFERROR(__xludf.DUMMYFUNCTION("""COMPUTED_VALUE"""),"https://drive.google.com/file/d/1wD5K7vGl237GSVx_g7ZuNDVuTVXH6WuK/view?usp=drivesdk")</f>
        <v>https://drive.google.com/file/d/1wD5K7vGl237GSVx_g7ZuNDVuTVXH6WuK/view?usp=drivesdk</v>
      </c>
      <c r="C347" s="156" t="str">
        <f>IFERROR(__xludf.DUMMYFUNCTION("""COMPUTED_VALUE"""),"10.1037--0021-9010.73.3.371.pdf")</f>
        <v>10.1037--0021-9010.73.3.371.pdf</v>
      </c>
      <c r="D347" s="156" t="str">
        <f>IFERROR(__xludf.DUMMYFUNCTION("""COMPUTED_VALUE"""),"application/pdf")</f>
        <v>application/pdf</v>
      </c>
    </row>
    <row r="348">
      <c r="A348" s="156" t="str">
        <f>IFERROR(__xludf.DUMMYFUNCTION("""COMPUTED_VALUE"""),"10.1111/j.1464-0597.1991.tb01002.x")</f>
        <v>10.1111/j.1464-0597.1991.tb01002.x</v>
      </c>
      <c r="B348" s="677" t="str">
        <f>IFERROR(__xludf.DUMMYFUNCTION("""COMPUTED_VALUE"""),"https://drive.google.com/file/d/1EkBM9C5Mvo2bILgH28D18nu6tfMH-AQM/view?usp=drivesdk")</f>
        <v>https://drive.google.com/file/d/1EkBM9C5Mvo2bILgH28D18nu6tfMH-AQM/view?usp=drivesdk</v>
      </c>
      <c r="C348" s="156" t="str">
        <f>IFERROR(__xludf.DUMMYFUNCTION("""COMPUTED_VALUE"""),"10.1111--j.1464-0597.1991.tb01002.x.pdf")</f>
        <v>10.1111--j.1464-0597.1991.tb01002.x.pdf</v>
      </c>
      <c r="D348" s="156" t="str">
        <f>IFERROR(__xludf.DUMMYFUNCTION("""COMPUTED_VALUE"""),"application/pdf")</f>
        <v>application/pdf</v>
      </c>
    </row>
    <row r="349">
      <c r="A349" s="156" t="str">
        <f>IFERROR(__xludf.DUMMYFUNCTION("""COMPUTED_VALUE"""),"10.1002/(sici)1099-0771(199909)12:3&lt;207::aid-bdm322&gt;3.0.co;2-p")</f>
        <v>10.1002/(sici)1099-0771(199909)12:3&lt;207::aid-bdm322&gt;3.0.co;2-p</v>
      </c>
      <c r="B349" s="677" t="str">
        <f>IFERROR(__xludf.DUMMYFUNCTION("""COMPUTED_VALUE"""),"https://drive.google.com/file/d/1tWXH9wN-LAm3w7fnnjQxnR4HsGwal6Kx/view?usp=drivesdk")</f>
        <v>https://drive.google.com/file/d/1tWXH9wN-LAm3w7fnnjQxnR4HsGwal6Kx/view?usp=drivesdk</v>
      </c>
      <c r="C349" s="156" t="str">
        <f>IFERROR(__xludf.DUMMYFUNCTION("""COMPUTED_VALUE"""),"10.1002--(SICI)1099-0771(199909)12:3&lt;207::AID-BDM322&gt;3.0.CO;2-P.pdf")</f>
        <v>10.1002--(SICI)1099-0771(199909)12:3&lt;207::AID-BDM322&gt;3.0.CO;2-P.pdf</v>
      </c>
      <c r="D349" s="156" t="str">
        <f>IFERROR(__xludf.DUMMYFUNCTION("""COMPUTED_VALUE"""),"application/pdf")</f>
        <v>application/pdf</v>
      </c>
    </row>
    <row r="350">
      <c r="A350" s="156" t="str">
        <f>IFERROR(__xludf.DUMMYFUNCTION("""COMPUTED_VALUE"""),"10.1016/s0001-8791(03)00038-1")</f>
        <v>10.1016/s0001-8791(03)00038-1</v>
      </c>
      <c r="B350" s="677" t="str">
        <f>IFERROR(__xludf.DUMMYFUNCTION("""COMPUTED_VALUE"""),"https://drive.google.com/file/d/1_8pCZB3pw8U1_io8whrbB1Gwpr26Wcew/view?usp=drivesdk")</f>
        <v>https://drive.google.com/file/d/1_8pCZB3pw8U1_io8whrbB1Gwpr26Wcew/view?usp=drivesdk</v>
      </c>
      <c r="C350" s="156" t="str">
        <f>IFERROR(__xludf.DUMMYFUNCTION("""COMPUTED_VALUE"""),"10.1016--S0001-8791(03)00038-1.pdf")</f>
        <v>10.1016--S0001-8791(03)00038-1.pdf</v>
      </c>
      <c r="D350" s="156" t="str">
        <f>IFERROR(__xludf.DUMMYFUNCTION("""COMPUTED_VALUE"""),"application/pdf")</f>
        <v>application/pdf</v>
      </c>
    </row>
    <row r="351">
      <c r="A351" s="156" t="str">
        <f>IFERROR(__xludf.DUMMYFUNCTION("""COMPUTED_VALUE"""),"10.1037/a0026655")</f>
        <v>10.1037/a0026655</v>
      </c>
      <c r="B351" s="677" t="str">
        <f>IFERROR(__xludf.DUMMYFUNCTION("""COMPUTED_VALUE"""),"https://drive.google.com/file/d/1qLQqiOwiE_r8bWR1z8K85zTLukbEGBUS/view?usp=drivesdk")</f>
        <v>https://drive.google.com/file/d/1qLQqiOwiE_r8bWR1z8K85zTLukbEGBUS/view?usp=drivesdk</v>
      </c>
      <c r="C351" s="156" t="str">
        <f>IFERROR(__xludf.DUMMYFUNCTION("""COMPUTED_VALUE"""),"10.1037--a0026655.pdf")</f>
        <v>10.1037--a0026655.pdf</v>
      </c>
      <c r="D351" s="156" t="str">
        <f>IFERROR(__xludf.DUMMYFUNCTION("""COMPUTED_VALUE"""),"application/pdf")</f>
        <v>application/pdf</v>
      </c>
    </row>
    <row r="352">
      <c r="A352" s="156" t="str">
        <f>IFERROR(__xludf.DUMMYFUNCTION("""COMPUTED_VALUE"""),"10.2307/30040664")</f>
        <v>10.2307/30040664</v>
      </c>
      <c r="B352" s="677" t="str">
        <f>IFERROR(__xludf.DUMMYFUNCTION("""COMPUTED_VALUE"""),"https://drive.google.com/file/d/1bYfm5MH4oAijzOFnIThP8bgDImV713jA/view?usp=drivesdk")</f>
        <v>https://drive.google.com/file/d/1bYfm5MH4oAijzOFnIThP8bgDImV713jA/view?usp=drivesdk</v>
      </c>
      <c r="C352" s="156" t="str">
        <f>IFERROR(__xludf.DUMMYFUNCTION("""COMPUTED_VALUE"""),"10.2307--30040664.pdf")</f>
        <v>10.2307--30040664.pdf</v>
      </c>
      <c r="D352" s="156" t="str">
        <f>IFERROR(__xludf.DUMMYFUNCTION("""COMPUTED_VALUE"""),"application/pdf")</f>
        <v>application/pdf</v>
      </c>
    </row>
    <row r="353">
      <c r="A353" s="156" t="str">
        <f>IFERROR(__xludf.DUMMYFUNCTION("""COMPUTED_VALUE"""),"10.1002/smj.4250140602")</f>
        <v>10.1002/smj.4250140602</v>
      </c>
      <c r="B353" s="677" t="str">
        <f>IFERROR(__xludf.DUMMYFUNCTION("""COMPUTED_VALUE"""),"https://drive.google.com/file/d/1lAJWl23b0fzfqClyvqCvmz4aSdKIgGIL/view?usp=drivesdk")</f>
        <v>https://drive.google.com/file/d/1lAJWl23b0fzfqClyvqCvmz4aSdKIgGIL/view?usp=drivesdk</v>
      </c>
      <c r="C353" s="156" t="str">
        <f>IFERROR(__xludf.DUMMYFUNCTION("""COMPUTED_VALUE"""),"10.1002--smj.4250140602.pdf")</f>
        <v>10.1002--smj.4250140602.pdf</v>
      </c>
      <c r="D353" s="156" t="str">
        <f>IFERROR(__xludf.DUMMYFUNCTION("""COMPUTED_VALUE"""),"application/pdf")</f>
        <v>application/pdf</v>
      </c>
    </row>
    <row r="354">
      <c r="A354" s="156" t="str">
        <f>IFERROR(__xludf.DUMMYFUNCTION("""COMPUTED_VALUE"""),"10.1111/j.1540-4560.1951.tb02240.x")</f>
        <v>10.1111/j.1540-4560.1951.tb02240.x</v>
      </c>
      <c r="B354" s="677" t="str">
        <f>IFERROR(__xludf.DUMMYFUNCTION("""COMPUTED_VALUE"""),"https://drive.google.com/file/d/1Q4utWCMJXBj1rVJAIVm1NjQYRp_ZZD7Y/view?usp=drivesdk")</f>
        <v>https://drive.google.com/file/d/1Q4utWCMJXBj1rVJAIVm1NjQYRp_ZZD7Y/view?usp=drivesdk</v>
      </c>
      <c r="C354" s="156" t="str">
        <f>IFERROR(__xludf.DUMMYFUNCTION("""COMPUTED_VALUE"""),"10.1111--j.1540-4560.1951.tb02240.x.pdf")</f>
        <v>10.1111--j.1540-4560.1951.tb02240.x.pdf</v>
      </c>
      <c r="D354" s="156" t="str">
        <f>IFERROR(__xludf.DUMMYFUNCTION("""COMPUTED_VALUE"""),"application/pdf")</f>
        <v>application/pdf</v>
      </c>
    </row>
    <row r="355">
      <c r="A355" s="156" t="str">
        <f>IFERROR(__xludf.DUMMYFUNCTION("""COMPUTED_VALUE"""),"10.1037/0021-9010.72.1.62")</f>
        <v>10.1037/0021-9010.72.1.62</v>
      </c>
      <c r="B355" s="677" t="str">
        <f>IFERROR(__xludf.DUMMYFUNCTION("""COMPUTED_VALUE"""),"https://drive.google.com/file/d/1gI81Kj1u0dCWvY9mBZIdcFeqtg9ldYF2/view?usp=drivesdk")</f>
        <v>https://drive.google.com/file/d/1gI81Kj1u0dCWvY9mBZIdcFeqtg9ldYF2/view?usp=drivesdk</v>
      </c>
      <c r="C355" s="156" t="str">
        <f>IFERROR(__xludf.DUMMYFUNCTION("""COMPUTED_VALUE"""),"10.1037--0021-9010.72.1.62.pdf")</f>
        <v>10.1037--0021-9010.72.1.62.pdf</v>
      </c>
      <c r="D355" s="156" t="str">
        <f>IFERROR(__xludf.DUMMYFUNCTION("""COMPUTED_VALUE"""),"application/pdf")</f>
        <v>application/pdf</v>
      </c>
    </row>
    <row r="356">
      <c r="A356" s="156" t="str">
        <f>IFERROR(__xludf.DUMMYFUNCTION("""COMPUTED_VALUE"""),"10.1037/0021-9010.66.5.598")</f>
        <v>10.1037/0021-9010.66.5.598</v>
      </c>
      <c r="B356" s="677" t="str">
        <f>IFERROR(__xludf.DUMMYFUNCTION("""COMPUTED_VALUE"""),"https://drive.google.com/file/d/1vArcbKAgEmEWejRnakWUfomGnsH5tn4W/view?usp=drivesdk")</f>
        <v>https://drive.google.com/file/d/1vArcbKAgEmEWejRnakWUfomGnsH5tn4W/view?usp=drivesdk</v>
      </c>
      <c r="C356" s="156" t="str">
        <f>IFERROR(__xludf.DUMMYFUNCTION("""COMPUTED_VALUE"""),"10.1037--0021-9010.66.5.598.pdf")</f>
        <v>10.1037--0021-9010.66.5.598.pdf</v>
      </c>
      <c r="D356" s="156" t="str">
        <f>IFERROR(__xludf.DUMMYFUNCTION("""COMPUTED_VALUE"""),"application/pdf")</f>
        <v>application/pdf</v>
      </c>
    </row>
    <row r="357">
      <c r="A357" s="156" t="str">
        <f>IFERROR(__xludf.DUMMYFUNCTION("""COMPUTED_VALUE"""),"10.1111/j.1744-6570.1998.tb00252.x")</f>
        <v>10.1111/j.1744-6570.1998.tb00252.x</v>
      </c>
      <c r="B357" s="677" t="str">
        <f>IFERROR(__xludf.DUMMYFUNCTION("""COMPUTED_VALUE"""),"https://drive.google.com/file/d/1UHWACn9Nb4VelPRgXSIGlDkAUk_C2XrY/view?usp=drivesdk")</f>
        <v>https://drive.google.com/file/d/1UHWACn9Nb4VelPRgXSIGlDkAUk_C2XrY/view?usp=drivesdk</v>
      </c>
      <c r="C357" s="156" t="str">
        <f>IFERROR(__xludf.DUMMYFUNCTION("""COMPUTED_VALUE"""),"10.1111--j.1744-6570.1998.tb00252.x.pdf")</f>
        <v>10.1111--j.1744-6570.1998.tb00252.x.pdf</v>
      </c>
      <c r="D357" s="156" t="str">
        <f>IFERROR(__xludf.DUMMYFUNCTION("""COMPUTED_VALUE"""),"application/pdf")</f>
        <v>application/pdf</v>
      </c>
    </row>
    <row r="358">
      <c r="A358" s="156" t="str">
        <f>IFERROR(__xludf.DUMMYFUNCTION("""COMPUTED_VALUE"""),"10.1006/obhd.1998.2780")</f>
        <v>10.1006/obhd.1998.2780</v>
      </c>
      <c r="B358" s="677" t="str">
        <f>IFERROR(__xludf.DUMMYFUNCTION("""COMPUTED_VALUE"""),"https://drive.google.com/file/d/1S69otxyEHHYfHasqVFCFLrpq9qfre1cG/view?usp=drivesdk")</f>
        <v>https://drive.google.com/file/d/1S69otxyEHHYfHasqVFCFLrpq9qfre1cG/view?usp=drivesdk</v>
      </c>
      <c r="C358" s="156" t="str">
        <f>IFERROR(__xludf.DUMMYFUNCTION("""COMPUTED_VALUE"""),"10.1006--obhd.1998.2780.pdf")</f>
        <v>10.1006--obhd.1998.2780.pdf</v>
      </c>
      <c r="D358" s="156" t="str">
        <f>IFERROR(__xludf.DUMMYFUNCTION("""COMPUTED_VALUE"""),"application/pdf")</f>
        <v>application/pdf</v>
      </c>
    </row>
    <row r="359">
      <c r="A359" s="156" t="str">
        <f>IFERROR(__xludf.DUMMYFUNCTION("""COMPUTED_VALUE"""),"10.1006/jesp.1994.1003")</f>
        <v>10.1006/jesp.1994.1003</v>
      </c>
      <c r="B359" s="677" t="str">
        <f>IFERROR(__xludf.DUMMYFUNCTION("""COMPUTED_VALUE"""),"https://drive.google.com/file/d/1G4fER-msQOprc8Y6XVSOHNwysw1dsz_M/view?usp=drivesdk")</f>
        <v>https://drive.google.com/file/d/1G4fER-msQOprc8Y6XVSOHNwysw1dsz_M/view?usp=drivesdk</v>
      </c>
      <c r="C359" s="156" t="str">
        <f>IFERROR(__xludf.DUMMYFUNCTION("""COMPUTED_VALUE"""),"10.1006--jesp.1994.1003.pdf")</f>
        <v>10.1006--jesp.1994.1003.pdf</v>
      </c>
      <c r="D359" s="156" t="str">
        <f>IFERROR(__xludf.DUMMYFUNCTION("""COMPUTED_VALUE"""),"application/pdf")</f>
        <v>application/pdf</v>
      </c>
    </row>
    <row r="360">
      <c r="A360" s="156" t="str">
        <f>IFERROR(__xludf.DUMMYFUNCTION("""COMPUTED_VALUE"""),"10.1037/0021-9010.67.6.868")</f>
        <v>10.1037/0021-9010.67.6.868</v>
      </c>
      <c r="B360" s="677" t="str">
        <f>IFERROR(__xludf.DUMMYFUNCTION("""COMPUTED_VALUE"""),"https://drive.google.com/file/d/1_IBV79wnvdxg0ewozQfTeEifd97WXkBt/view?usp=drivesdk")</f>
        <v>https://drive.google.com/file/d/1_IBV79wnvdxg0ewozQfTeEifd97WXkBt/view?usp=drivesdk</v>
      </c>
      <c r="C360" s="156" t="str">
        <f>IFERROR(__xludf.DUMMYFUNCTION("""COMPUTED_VALUE"""),"10.1037--0021-9010.67.6.868.pdf")</f>
        <v>10.1037--0021-9010.67.6.868.pdf</v>
      </c>
      <c r="D360" s="156" t="str">
        <f>IFERROR(__xludf.DUMMYFUNCTION("""COMPUTED_VALUE"""),"application/pdf")</f>
        <v>application/pdf</v>
      </c>
    </row>
    <row r="361">
      <c r="A361" s="156" t="str">
        <f>IFERROR(__xludf.DUMMYFUNCTION("""COMPUTED_VALUE"""),"10.1006/jesp.1995.1012")</f>
        <v>10.1006/jesp.1995.1012</v>
      </c>
      <c r="B361" s="677" t="str">
        <f>IFERROR(__xludf.DUMMYFUNCTION("""COMPUTED_VALUE"""),"https://drive.google.com/file/d/1Znz2cysuzqGLY68gM36qcVMDtzSrRBhU/view?usp=drivesdk")</f>
        <v>https://drive.google.com/file/d/1Znz2cysuzqGLY68gM36qcVMDtzSrRBhU/view?usp=drivesdk</v>
      </c>
      <c r="C361" s="156" t="str">
        <f>IFERROR(__xludf.DUMMYFUNCTION("""COMPUTED_VALUE"""),"10.1006--jesp.1995.1012.pdf")</f>
        <v>10.1006--jesp.1995.1012.pdf</v>
      </c>
      <c r="D361" s="156" t="str">
        <f>IFERROR(__xludf.DUMMYFUNCTION("""COMPUTED_VALUE"""),"application/pdf")</f>
        <v>application/pdf</v>
      </c>
    </row>
    <row r="362">
      <c r="A362" s="156" t="str">
        <f>IFERROR(__xludf.DUMMYFUNCTION("""COMPUTED_VALUE"""),"10.1111/j.1744-6570.1993.tb01571.x")</f>
        <v>10.1111/j.1744-6570.1993.tb01571.x</v>
      </c>
      <c r="B362" s="677" t="str">
        <f>IFERROR(__xludf.DUMMYFUNCTION("""COMPUTED_VALUE"""),"https://drive.google.com/file/d/1Xb6r5Sg08ie-70ZRarJLJ0HXZhA8pR-k/view?usp=drivesdk")</f>
        <v>https://drive.google.com/file/d/1Xb6r5Sg08ie-70ZRarJLJ0HXZhA8pR-k/view?usp=drivesdk</v>
      </c>
      <c r="C362" s="156" t="str">
        <f>IFERROR(__xludf.DUMMYFUNCTION("""COMPUTED_VALUE"""),"10.1111--j.1744-6570.1993.tb01571.x.pdf")</f>
        <v>10.1111--j.1744-6570.1993.tb01571.x.pdf</v>
      </c>
      <c r="D362" s="156" t="str">
        <f>IFERROR(__xludf.DUMMYFUNCTION("""COMPUTED_VALUE"""),"application/pdf")</f>
        <v>application/pdf</v>
      </c>
    </row>
    <row r="363">
      <c r="A363" s="156" t="str">
        <f>IFERROR(__xludf.DUMMYFUNCTION("""COMPUTED_VALUE"""),"10.1016/s1048-9843(98)90038-8")</f>
        <v>10.1016/s1048-9843(98)90038-8</v>
      </c>
      <c r="B363" s="677" t="str">
        <f>IFERROR(__xludf.DUMMYFUNCTION("""COMPUTED_VALUE"""),"https://drive.google.com/file/d/1SiUbejtLMZIlgDDNSY37EhfU5KVeOIOp/view?usp=drivesdk")</f>
        <v>https://drive.google.com/file/d/1SiUbejtLMZIlgDDNSY37EhfU5KVeOIOp/view?usp=drivesdk</v>
      </c>
      <c r="C363" s="156" t="str">
        <f>IFERROR(__xludf.DUMMYFUNCTION("""COMPUTED_VALUE"""),"10.1016--S1048-9843(98)90038-8.pdf")</f>
        <v>10.1016--S1048-9843(98)90038-8.pdf</v>
      </c>
      <c r="D363" s="156" t="str">
        <f>IFERROR(__xludf.DUMMYFUNCTION("""COMPUTED_VALUE"""),"application/pdf")</f>
        <v>application/pdf</v>
      </c>
    </row>
    <row r="364">
      <c r="A364" s="156" t="str">
        <f>IFERROR(__xludf.DUMMYFUNCTION("""COMPUTED_VALUE"""),"10.2307/2117753")</f>
        <v>10.2307/2117753</v>
      </c>
      <c r="B364" s="677" t="str">
        <f>IFERROR(__xludf.DUMMYFUNCTION("""COMPUTED_VALUE"""),"https://drive.google.com/file/d/1Pml0NZRsfOysQAMn6JrlwAgAx1237UbE/view?usp=drivesdk")</f>
        <v>https://drive.google.com/file/d/1Pml0NZRsfOysQAMn6JrlwAgAx1237UbE/view?usp=drivesdk</v>
      </c>
      <c r="C364" s="156" t="str">
        <f>IFERROR(__xludf.DUMMYFUNCTION("""COMPUTED_VALUE"""),"10.2307--2117753.pdf")</f>
        <v>10.2307--2117753.pdf</v>
      </c>
      <c r="D364" s="156" t="str">
        <f>IFERROR(__xludf.DUMMYFUNCTION("""COMPUTED_VALUE"""),"application/pdf")</f>
        <v>application/pdf</v>
      </c>
    </row>
    <row r="365">
      <c r="A365" s="156" t="str">
        <f>IFERROR(__xludf.DUMMYFUNCTION("""COMPUTED_VALUE"""),"10.2307/255784")</f>
        <v>10.2307/255784</v>
      </c>
      <c r="B365" s="677" t="str">
        <f>IFERROR(__xludf.DUMMYFUNCTION("""COMPUTED_VALUE"""),"https://drive.google.com/file/d/1RPAwEFx8I1R74xrEoSoTRg1lJQG9P5CL/view?usp=drivesdk")</f>
        <v>https://drive.google.com/file/d/1RPAwEFx8I1R74xrEoSoTRg1lJQG9P5CL/view?usp=drivesdk</v>
      </c>
      <c r="C365" s="156" t="str">
        <f>IFERROR(__xludf.DUMMYFUNCTION("""COMPUTED_VALUE"""),"10.2307--255784.pdf")</f>
        <v>10.2307--255784.pdf</v>
      </c>
      <c r="D365" s="156" t="str">
        <f>IFERROR(__xludf.DUMMYFUNCTION("""COMPUTED_VALUE"""),"application/pdf")</f>
        <v>application/pdf</v>
      </c>
    </row>
    <row r="366">
      <c r="A366" s="156" t="str">
        <f>IFERROR(__xludf.DUMMYFUNCTION("""COMPUTED_VALUE"""),"10.1002/1099-0771(200007/09)13:3&lt;329::aid-bdm356&gt;3.0.co;2-q")</f>
        <v>10.1002/1099-0771(200007/09)13:3&lt;329::aid-bdm356&gt;3.0.co;2-q</v>
      </c>
      <c r="B366" s="677" t="str">
        <f>IFERROR(__xludf.DUMMYFUNCTION("""COMPUTED_VALUE"""),"https://drive.google.com/file/d/1ev72IDNl2mCWJhTasc1EYGJO6GTUrmqa/view?usp=drivesdk")</f>
        <v>https://drive.google.com/file/d/1ev72IDNl2mCWJhTasc1EYGJO6GTUrmqa/view?usp=drivesdk</v>
      </c>
      <c r="C366" s="156" t="str">
        <f>IFERROR(__xludf.DUMMYFUNCTION("""COMPUTED_VALUE"""),"10.1002--1099-0771(200007--09)13:3&lt;329::AID-BDM356&gt;3.0.CO;2-Q.pdf")</f>
        <v>10.1002--1099-0771(200007--09)13:3&lt;329::AID-BDM356&gt;3.0.CO;2-Q.pdf</v>
      </c>
      <c r="D366" s="156" t="str">
        <f>IFERROR(__xludf.DUMMYFUNCTION("""COMPUTED_VALUE"""),"application/pdf")</f>
        <v>application/pdf</v>
      </c>
    </row>
    <row r="367">
      <c r="A367" s="156" t="str">
        <f>IFERROR(__xludf.DUMMYFUNCTION("""COMPUTED_VALUE"""),"10.1007/bf01126707")</f>
        <v>10.1007/bf01126707</v>
      </c>
      <c r="B367" s="677" t="str">
        <f>IFERROR(__xludf.DUMMYFUNCTION("""COMPUTED_VALUE"""),"https://drive.google.com/file/d/1y-ClKplSDZbSDj9JICuN8NS0Mjk6NunL/view?usp=drivesdk")</f>
        <v>https://drive.google.com/file/d/1y-ClKplSDZbSDj9JICuN8NS0Mjk6NunL/view?usp=drivesdk</v>
      </c>
      <c r="C367" s="156" t="str">
        <f>IFERROR(__xludf.DUMMYFUNCTION("""COMPUTED_VALUE"""),"10.1007--BF01126707.pdf")</f>
        <v>10.1007--BF01126707.pdf</v>
      </c>
      <c r="D367" s="156" t="str">
        <f>IFERROR(__xludf.DUMMYFUNCTION("""COMPUTED_VALUE"""),"application/pdf")</f>
        <v>application/pdf</v>
      </c>
    </row>
    <row r="368">
      <c r="A368" s="156" t="str">
        <f>IFERROR(__xludf.DUMMYFUNCTION("""COMPUTED_VALUE"""),"10.5465/amj.2005.18803920")</f>
        <v>10.5465/amj.2005.18803920</v>
      </c>
      <c r="B368" s="677" t="str">
        <f>IFERROR(__xludf.DUMMYFUNCTION("""COMPUTED_VALUE"""),"https://drive.google.com/file/d/19Fl-39IlzoCfmIEOsnY6JKwu2bUiX3MO/view?usp=drivesdk")</f>
        <v>https://drive.google.com/file/d/19Fl-39IlzoCfmIEOsnY6JKwu2bUiX3MO/view?usp=drivesdk</v>
      </c>
      <c r="C368" s="156" t="str">
        <f>IFERROR(__xludf.DUMMYFUNCTION("""COMPUTED_VALUE"""),"10.5465--amj.2005.18803920.pdf")</f>
        <v>10.5465--amj.2005.18803920.pdf</v>
      </c>
      <c r="D368" s="156" t="str">
        <f>IFERROR(__xludf.DUMMYFUNCTION("""COMPUTED_VALUE"""),"application/pdf")</f>
        <v>application/pdf</v>
      </c>
    </row>
    <row r="369">
      <c r="A369" s="156" t="str">
        <f>IFERROR(__xludf.DUMMYFUNCTION("""COMPUTED_VALUE"""),"10.1037/0021-9010.72.3.416")</f>
        <v>10.1037/0021-9010.72.3.416</v>
      </c>
      <c r="B369" s="677" t="str">
        <f>IFERROR(__xludf.DUMMYFUNCTION("""COMPUTED_VALUE"""),"https://drive.google.com/file/d/1-HbB1R9rUkZyBA6k76KWaAbDsT1gjxYO/view?usp=drivesdk")</f>
        <v>https://drive.google.com/file/d/1-HbB1R9rUkZyBA6k76KWaAbDsT1gjxYO/view?usp=drivesdk</v>
      </c>
      <c r="C369" s="156" t="str">
        <f>IFERROR(__xludf.DUMMYFUNCTION("""COMPUTED_VALUE"""),"10.1037--0021-9010.72.3.416.pdf")</f>
        <v>10.1037--0021-9010.72.3.416.pdf</v>
      </c>
      <c r="D369" s="156" t="str">
        <f>IFERROR(__xludf.DUMMYFUNCTION("""COMPUTED_VALUE"""),"application/pdf")</f>
        <v>application/pdf</v>
      </c>
    </row>
    <row r="370">
      <c r="A370" s="156" t="str">
        <f>IFERROR(__xludf.DUMMYFUNCTION("""COMPUTED_VALUE"""),"10.1016/0749-5978(86)90056-7")</f>
        <v>10.1016/0749-5978(86)90056-7</v>
      </c>
      <c r="B370" s="677" t="str">
        <f>IFERROR(__xludf.DUMMYFUNCTION("""COMPUTED_VALUE"""),"https://drive.google.com/file/d/1F49REiDAYzMubDAe3MtDbOAzdlry6s6_/view?usp=drivesdk")</f>
        <v>https://drive.google.com/file/d/1F49REiDAYzMubDAe3MtDbOAzdlry6s6_/view?usp=drivesdk</v>
      </c>
      <c r="C370" s="156" t="str">
        <f>IFERROR(__xludf.DUMMYFUNCTION("""COMPUTED_VALUE"""),"10.1016--0749-5978(86)90056-7.pdf")</f>
        <v>10.1016--0749-5978(86)90056-7.pdf</v>
      </c>
      <c r="D370" s="156" t="str">
        <f>IFERROR(__xludf.DUMMYFUNCTION("""COMPUTED_VALUE"""),"application/pdf")</f>
        <v>application/pdf</v>
      </c>
    </row>
    <row r="371">
      <c r="A371" s="156" t="str">
        <f>IFERROR(__xludf.DUMMYFUNCTION("""COMPUTED_VALUE"""),"10.2307/258835")</f>
        <v>10.2307/258835</v>
      </c>
      <c r="B371" s="677" t="str">
        <f>IFERROR(__xludf.DUMMYFUNCTION("""COMPUTED_VALUE"""),"https://drive.google.com/file/d/1-mRX6-K14MRBPbv70jcqjI6pFDDlkp6f/view?usp=drivesdk")</f>
        <v>https://drive.google.com/file/d/1-mRX6-K14MRBPbv70jcqjI6pFDDlkp6f/view?usp=drivesdk</v>
      </c>
      <c r="C371" s="156" t="str">
        <f>IFERROR(__xludf.DUMMYFUNCTION("""COMPUTED_VALUE"""),"10.2307--258835.pdf")</f>
        <v>10.2307--258835.pdf</v>
      </c>
      <c r="D371" s="156" t="str">
        <f>IFERROR(__xludf.DUMMYFUNCTION("""COMPUTED_VALUE"""),"application/pdf")</f>
        <v>application/pdf</v>
      </c>
    </row>
    <row r="372">
      <c r="A372" s="156" t="str">
        <f>IFERROR(__xludf.DUMMYFUNCTION("""COMPUTED_VALUE"""),"10.2307/254774")</f>
        <v>10.2307/254774</v>
      </c>
      <c r="B372" s="677" t="str">
        <f>IFERROR(__xludf.DUMMYFUNCTION("""COMPUTED_VALUE"""),"https://drive.google.com/file/d/13JuK8F5cAr0NcgdQMexknkEUN1Pt55HM/view?usp=drivesdk")</f>
        <v>https://drive.google.com/file/d/13JuK8F5cAr0NcgdQMexknkEUN1Pt55HM/view?usp=drivesdk</v>
      </c>
      <c r="C372" s="156" t="str">
        <f>IFERROR(__xludf.DUMMYFUNCTION("""COMPUTED_VALUE"""),"10.2307--254774.pdf")</f>
        <v>10.2307--254774.pdf</v>
      </c>
      <c r="D372" s="156" t="str">
        <f>IFERROR(__xludf.DUMMYFUNCTION("""COMPUTED_VALUE"""),"application/pdf")</f>
        <v>application/pdf</v>
      </c>
    </row>
    <row r="373">
      <c r="A373" s="156" t="str">
        <f>IFERROR(__xludf.DUMMYFUNCTION("""COMPUTED_VALUE"""),"10.1111/j.1744-6570.1969.tb00334.x")</f>
        <v>10.1111/j.1744-6570.1969.tb00334.x</v>
      </c>
      <c r="B373" s="677" t="str">
        <f>IFERROR(__xludf.DUMMYFUNCTION("""COMPUTED_VALUE"""),"https://drive.google.com/file/d/1gHx96vgOr6oOtWOX-PMyHSBX1iz_spTQ/view?usp=drivesdk")</f>
        <v>https://drive.google.com/file/d/1gHx96vgOr6oOtWOX-PMyHSBX1iz_spTQ/view?usp=drivesdk</v>
      </c>
      <c r="C373" s="156" t="str">
        <f>IFERROR(__xludf.DUMMYFUNCTION("""COMPUTED_VALUE"""),"10.1111--j.1744-6570.1969.tb00334.x.pdf")</f>
        <v>10.1111--j.1744-6570.1969.tb00334.x.pdf</v>
      </c>
      <c r="D373" s="156" t="str">
        <f>IFERROR(__xludf.DUMMYFUNCTION("""COMPUTED_VALUE"""),"application/pdf")</f>
        <v>application/pdf</v>
      </c>
    </row>
    <row r="374">
      <c r="A374" s="156" t="str">
        <f>IFERROR(__xludf.DUMMYFUNCTION("""COMPUTED_VALUE"""),"10.2307/255435")</f>
        <v>10.2307/255435</v>
      </c>
      <c r="B374" s="677" t="str">
        <f>IFERROR(__xludf.DUMMYFUNCTION("""COMPUTED_VALUE"""),"https://drive.google.com/file/d/1qzoJ5NDPk8c3zhlYn9hfymGZcTrf4iJO/view?usp=drivesdk")</f>
        <v>https://drive.google.com/file/d/1qzoJ5NDPk8c3zhlYn9hfymGZcTrf4iJO/view?usp=drivesdk</v>
      </c>
      <c r="C374" s="156" t="str">
        <f>IFERROR(__xludf.DUMMYFUNCTION("""COMPUTED_VALUE"""),"10.2307--255435.pdf")</f>
        <v>10.2307--255435.pdf</v>
      </c>
      <c r="D374" s="156" t="str">
        <f>IFERROR(__xludf.DUMMYFUNCTION("""COMPUTED_VALUE"""),"application/pdf")</f>
        <v>application/pdf</v>
      </c>
    </row>
    <row r="375">
      <c r="A375" s="156" t="str">
        <f>IFERROR(__xludf.DUMMYFUNCTION("""COMPUTED_VALUE"""),"10.1037/0033-2909.106.3.410")</f>
        <v>10.1037/0033-2909.106.3.410</v>
      </c>
      <c r="B375" s="677" t="str">
        <f>IFERROR(__xludf.DUMMYFUNCTION("""COMPUTED_VALUE"""),"https://drive.google.com/file/d/1_MeAdzsFfNvLrCQ3sSFDdCr8HpTmq2IU/view?usp=drivesdk")</f>
        <v>https://drive.google.com/file/d/1_MeAdzsFfNvLrCQ3sSFDdCr8HpTmq2IU/view?usp=drivesdk</v>
      </c>
      <c r="C375" s="156" t="str">
        <f>IFERROR(__xludf.DUMMYFUNCTION("""COMPUTED_VALUE"""),"10.1037--0033-2909.106.3.410.pdf")</f>
        <v>10.1037--0033-2909.106.3.410.pdf</v>
      </c>
      <c r="D375" s="156" t="str">
        <f>IFERROR(__xludf.DUMMYFUNCTION("""COMPUTED_VALUE"""),"application/pdf")</f>
        <v>application/pdf</v>
      </c>
    </row>
    <row r="376">
      <c r="A376" s="156" t="str">
        <f>IFERROR(__xludf.DUMMYFUNCTION("""COMPUTED_VALUE"""),"10.1037/h0031152")</f>
        <v>10.1037/h0031152</v>
      </c>
      <c r="B376" s="677" t="str">
        <f>IFERROR(__xludf.DUMMYFUNCTION("""COMPUTED_VALUE"""),"https://drive.google.com/file/d/1WGzOmcgtGFQYRA6wT5mHhQdNCmOSx2CQ/view?usp=drivesdk")</f>
        <v>https://drive.google.com/file/d/1WGzOmcgtGFQYRA6wT5mHhQdNCmOSx2CQ/view?usp=drivesdk</v>
      </c>
      <c r="C376" s="156" t="str">
        <f>IFERROR(__xludf.DUMMYFUNCTION("""COMPUTED_VALUE"""),"10.1037--h0031152.pdf")</f>
        <v>10.1037--h0031152.pdf</v>
      </c>
      <c r="D376" s="156" t="str">
        <f>IFERROR(__xludf.DUMMYFUNCTION("""COMPUTED_VALUE"""),"application/pdf")</f>
        <v>application/pdf</v>
      </c>
    </row>
    <row r="377">
      <c r="A377" s="156" t="str">
        <f>IFERROR(__xludf.DUMMYFUNCTION("""COMPUTED_VALUE"""),"10.1037/0021-9010.72.4.573")</f>
        <v>10.1037/0021-9010.72.4.573</v>
      </c>
      <c r="B377" s="677" t="str">
        <f>IFERROR(__xludf.DUMMYFUNCTION("""COMPUTED_VALUE"""),"https://drive.google.com/file/d/1ajxvIZjaHlczZK9kLas3Htg_Gnc-BrFU/view?usp=drivesdk")</f>
        <v>https://drive.google.com/file/d/1ajxvIZjaHlczZK9kLas3Htg_Gnc-BrFU/view?usp=drivesdk</v>
      </c>
      <c r="C377" s="156" t="str">
        <f>IFERROR(__xludf.DUMMYFUNCTION("""COMPUTED_VALUE"""),"10.1037--0021-9010.72.4.573.pdf")</f>
        <v>10.1037--0021-9010.72.4.573.pdf</v>
      </c>
      <c r="D377" s="156" t="str">
        <f>IFERROR(__xludf.DUMMYFUNCTION("""COMPUTED_VALUE"""),"application/pdf")</f>
        <v>application/pdf</v>
      </c>
    </row>
    <row r="378">
      <c r="A378" s="156" t="str">
        <f>IFERROR(__xludf.DUMMYFUNCTION("""COMPUTED_VALUE"""),"10.1111/j.1744-6570.1991.tb00693.x")</f>
        <v>10.1111/j.1744-6570.1991.tb00693.x</v>
      </c>
      <c r="B378" s="677" t="str">
        <f>IFERROR(__xludf.DUMMYFUNCTION("""COMPUTED_VALUE"""),"https://drive.google.com/file/d/1WK3WM5pGKaiswbdg2yZvRvtRHwa01GsY/view?usp=drivesdk")</f>
        <v>https://drive.google.com/file/d/1WK3WM5pGKaiswbdg2yZvRvtRHwa01GsY/view?usp=drivesdk</v>
      </c>
      <c r="C378" s="156" t="str">
        <f>IFERROR(__xludf.DUMMYFUNCTION("""COMPUTED_VALUE"""),"10.1111--j.1744-6570.1991.tb00693.x.pdf")</f>
        <v>10.1111--j.1744-6570.1991.tb00693.x.pdf</v>
      </c>
      <c r="D378" s="156" t="str">
        <f>IFERROR(__xludf.DUMMYFUNCTION("""COMPUTED_VALUE"""),"application/pdf")</f>
        <v>application/pdf</v>
      </c>
    </row>
    <row r="379">
      <c r="A379" s="156" t="str">
        <f>IFERROR(__xludf.DUMMYFUNCTION("""COMPUTED_VALUE"""),"10.1002/bdm.1789")</f>
        <v>10.1002/bdm.1789</v>
      </c>
      <c r="B379" s="677" t="str">
        <f>IFERROR(__xludf.DUMMYFUNCTION("""COMPUTED_VALUE"""),"https://drive.google.com/file/d/1BmwJYklXp9TW8kIsj_AjHhg4J8Xscsn6/view?usp=drivesdk")</f>
        <v>https://drive.google.com/file/d/1BmwJYklXp9TW8kIsj_AjHhg4J8Xscsn6/view?usp=drivesdk</v>
      </c>
      <c r="C379" s="156" t="str">
        <f>IFERROR(__xludf.DUMMYFUNCTION("""COMPUTED_VALUE"""),"10.1002--bdm.1789.pdf")</f>
        <v>10.1002--bdm.1789.pdf</v>
      </c>
      <c r="D379" s="156" t="str">
        <f>IFERROR(__xludf.DUMMYFUNCTION("""COMPUTED_VALUE"""),"application/pdf")</f>
        <v>application/pdf</v>
      </c>
    </row>
    <row r="380">
      <c r="A380" s="156" t="str">
        <f>IFERROR(__xludf.DUMMYFUNCTION("""COMPUTED_VALUE"""),"10.1037/0021-9010.82.1.143")</f>
        <v>10.1037/0021-9010.82.1.143</v>
      </c>
      <c r="B380" s="677" t="str">
        <f>IFERROR(__xludf.DUMMYFUNCTION("""COMPUTED_VALUE"""),"https://drive.google.com/file/d/1u46I-xh_B-isC9Tx3RbD1ZJVW6wbiq8H/view?usp=drivesdk")</f>
        <v>https://drive.google.com/file/d/1u46I-xh_B-isC9Tx3RbD1ZJVW6wbiq8H/view?usp=drivesdk</v>
      </c>
      <c r="C380" s="156" t="str">
        <f>IFERROR(__xludf.DUMMYFUNCTION("""COMPUTED_VALUE"""),"10.1037--0021-9010.82.1.143.pdf")</f>
        <v>10.1037--0021-9010.82.1.143.pdf</v>
      </c>
      <c r="D380" s="156" t="str">
        <f>IFERROR(__xludf.DUMMYFUNCTION("""COMPUTED_VALUE"""),"application/pdf")</f>
        <v>application/pdf</v>
      </c>
    </row>
    <row r="381">
      <c r="A381" s="156" t="str">
        <f>IFERROR(__xludf.DUMMYFUNCTION("""COMPUTED_VALUE"""),"10.1080/1359432x.2019.1590337")</f>
        <v>10.1080/1359432x.2019.1590337</v>
      </c>
      <c r="B381" s="677" t="str">
        <f>IFERROR(__xludf.DUMMYFUNCTION("""COMPUTED_VALUE"""),"https://drive.google.com/file/d/12qf1qrJScepeuumFFj5t9dzpLohKg-Ip/view?usp=drivesdk")</f>
        <v>https://drive.google.com/file/d/12qf1qrJScepeuumFFj5t9dzpLohKg-Ip/view?usp=drivesdk</v>
      </c>
      <c r="C381" s="156" t="str">
        <f>IFERROR(__xludf.DUMMYFUNCTION("""COMPUTED_VALUE"""),"10.1080--1359432X.2019.1590337.pdf")</f>
        <v>10.1080--1359432X.2019.1590337.pdf</v>
      </c>
      <c r="D381" s="156" t="str">
        <f>IFERROR(__xludf.DUMMYFUNCTION("""COMPUTED_VALUE"""),"application/pdf")</f>
        <v>application/pdf</v>
      </c>
    </row>
    <row r="382">
      <c r="A382" s="156" t="str">
        <f>IFERROR(__xludf.DUMMYFUNCTION("""COMPUTED_VALUE"""),"10.1111/ijsa.12144")</f>
        <v>10.1111/ijsa.12144</v>
      </c>
      <c r="B382" s="677" t="str">
        <f>IFERROR(__xludf.DUMMYFUNCTION("""COMPUTED_VALUE"""),"https://drive.google.com/file/d/1U3Nz5it4F6r6cJWegYctppAbeltRi0AZ/view?usp=drivesdk")</f>
        <v>https://drive.google.com/file/d/1U3Nz5it4F6r6cJWegYctppAbeltRi0AZ/view?usp=drivesdk</v>
      </c>
      <c r="C382" s="156" t="str">
        <f>IFERROR(__xludf.DUMMYFUNCTION("""COMPUTED_VALUE"""),"10.1111--ijsa.12144.pdf")</f>
        <v>10.1111--ijsa.12144.pdf</v>
      </c>
      <c r="D382" s="156" t="str">
        <f>IFERROR(__xludf.DUMMYFUNCTION("""COMPUTED_VALUE"""),"application/pdf")</f>
        <v>application/pdf</v>
      </c>
    </row>
    <row r="383">
      <c r="A383" s="156" t="str">
        <f>IFERROR(__xludf.DUMMYFUNCTION("""COMPUTED_VALUE"""),"10.1037/0022-3514.75.6.1411")</f>
        <v>10.1037/0022-3514.75.6.1411</v>
      </c>
      <c r="B383" s="677" t="str">
        <f>IFERROR(__xludf.DUMMYFUNCTION("""COMPUTED_VALUE"""),"https://drive.google.com/file/d/14SkGd-WcSFt9ITiBBhXxR_j-ctYySuv3/view?usp=drivesdk")</f>
        <v>https://drive.google.com/file/d/14SkGd-WcSFt9ITiBBhXxR_j-ctYySuv3/view?usp=drivesdk</v>
      </c>
      <c r="C383" s="156" t="str">
        <f>IFERROR(__xludf.DUMMYFUNCTION("""COMPUTED_VALUE"""),"10.1037--0022-3514.75.6.1411.pdf")</f>
        <v>10.1037--0022-3514.75.6.1411.pdf</v>
      </c>
      <c r="D383" s="156" t="str">
        <f>IFERROR(__xludf.DUMMYFUNCTION("""COMPUTED_VALUE"""),"application/pdf")</f>
        <v>application/pdf</v>
      </c>
    </row>
    <row r="384">
      <c r="A384" s="156" t="str">
        <f>IFERROR(__xludf.DUMMYFUNCTION("""COMPUTED_VALUE"""),"10.2466/pr0.1965.17.2.519")</f>
        <v>10.2466/pr0.1965.17.2.519</v>
      </c>
      <c r="B384" s="677" t="str">
        <f>IFERROR(__xludf.DUMMYFUNCTION("""COMPUTED_VALUE"""),"https://drive.google.com/file/d/1OZ9MnwnUuWekhkQB2WKkdOcf8LDn0YBs/view?usp=drivesdk")</f>
        <v>https://drive.google.com/file/d/1OZ9MnwnUuWekhkQB2WKkdOcf8LDn0YBs/view?usp=drivesdk</v>
      </c>
      <c r="C384" s="156" t="str">
        <f>IFERROR(__xludf.DUMMYFUNCTION("""COMPUTED_VALUE"""),"10.2466--pr0.1965.17.2.519.pdf")</f>
        <v>10.2466--pr0.1965.17.2.519.pdf</v>
      </c>
      <c r="D384" s="156" t="str">
        <f>IFERROR(__xludf.DUMMYFUNCTION("""COMPUTED_VALUE"""),"application/pdf")</f>
        <v>application/pdf</v>
      </c>
    </row>
    <row r="385">
      <c r="A385" s="156" t="str">
        <f>IFERROR(__xludf.DUMMYFUNCTION("""COMPUTED_VALUE"""),"10.2307/2393080")</f>
        <v>10.2307/2393080</v>
      </c>
      <c r="B385" s="677" t="str">
        <f>IFERROR(__xludf.DUMMYFUNCTION("""COMPUTED_VALUE"""),"https://drive.google.com/file/d/16qbYRwBZRWoP9nuFmEGk94iJ8VHsg3Le/view?usp=drivesdk")</f>
        <v>https://drive.google.com/file/d/16qbYRwBZRWoP9nuFmEGk94iJ8VHsg3Le/view?usp=drivesdk</v>
      </c>
      <c r="C385" s="156" t="str">
        <f>IFERROR(__xludf.DUMMYFUNCTION("""COMPUTED_VALUE"""),"10.2307--2393080.pdf")</f>
        <v>10.2307--2393080.pdf</v>
      </c>
      <c r="D385" s="156" t="str">
        <f>IFERROR(__xludf.DUMMYFUNCTION("""COMPUTED_VALUE"""),"application/pdf")</f>
        <v>application/pdf</v>
      </c>
    </row>
    <row r="386">
      <c r="A386" s="156" t="str">
        <f>IFERROR(__xludf.DUMMYFUNCTION("""COMPUTED_VALUE"""),"10.1037/0021-9010.87.3.474")</f>
        <v>10.1037/0021-9010.87.3.474</v>
      </c>
      <c r="B386" s="677" t="str">
        <f>IFERROR(__xludf.DUMMYFUNCTION("""COMPUTED_VALUE"""),"https://drive.google.com/file/d/1MJqXbTH4bS9C4HfJZRVQDmRqUd8H5lNe/view?usp=drivesdk")</f>
        <v>https://drive.google.com/file/d/1MJqXbTH4bS9C4HfJZRVQDmRqUd8H5lNe/view?usp=drivesdk</v>
      </c>
      <c r="C386" s="156" t="str">
        <f>IFERROR(__xludf.DUMMYFUNCTION("""COMPUTED_VALUE"""),"10.1037--0021-9010.87.3.474.pdf")</f>
        <v>10.1037--0021-9010.87.3.474.pdf</v>
      </c>
      <c r="D386" s="156" t="str">
        <f>IFERROR(__xludf.DUMMYFUNCTION("""COMPUTED_VALUE"""),"application/pdf")</f>
        <v>application/pdf</v>
      </c>
    </row>
    <row r="387">
      <c r="A387" s="156" t="str">
        <f>IFERROR(__xludf.DUMMYFUNCTION("""COMPUTED_VALUE"""),"10.1037/0021-9010.91.1.97")</f>
        <v>10.1037/0021-9010.91.1.97</v>
      </c>
      <c r="B387" s="677" t="str">
        <f>IFERROR(__xludf.DUMMYFUNCTION("""COMPUTED_VALUE"""),"https://drive.google.com/file/d/146vQI6PoR6JlkbKc0wZxo-vTLeoXdBuy/view?usp=drivesdk")</f>
        <v>https://drive.google.com/file/d/146vQI6PoR6JlkbKc0wZxo-vTLeoXdBuy/view?usp=drivesdk</v>
      </c>
      <c r="C387" s="156" t="str">
        <f>IFERROR(__xludf.DUMMYFUNCTION("""COMPUTED_VALUE"""),"10.1037--0021-9010.91.1.97.pdf")</f>
        <v>10.1037--0021-9010.91.1.97.pdf</v>
      </c>
      <c r="D387" s="156" t="str">
        <f>IFERROR(__xludf.DUMMYFUNCTION("""COMPUTED_VALUE"""),"application/pdf")</f>
        <v>application/pdf</v>
      </c>
    </row>
    <row r="388">
      <c r="A388" s="156" t="str">
        <f>IFERROR(__xludf.DUMMYFUNCTION("""COMPUTED_VALUE"""),"10.1037/0021-9010.87.2.220")</f>
        <v>10.1037/0021-9010.87.2.220</v>
      </c>
      <c r="B388" s="677" t="str">
        <f>IFERROR(__xludf.DUMMYFUNCTION("""COMPUTED_VALUE"""),"https://drive.google.com/file/d/1f9C_c2sCZCZd7IhO62zi-zNVnBS790ZT/view?usp=drivesdk")</f>
        <v>https://drive.google.com/file/d/1f9C_c2sCZCZd7IhO62zi-zNVnBS790ZT/view?usp=drivesdk</v>
      </c>
      <c r="C388" s="156" t="str">
        <f>IFERROR(__xludf.DUMMYFUNCTION("""COMPUTED_VALUE"""),"10.1037--0021-9010.87.2.220.pdf")</f>
        <v>10.1037--0021-9010.87.2.220.pdf</v>
      </c>
      <c r="D388" s="156" t="str">
        <f>IFERROR(__xludf.DUMMYFUNCTION("""COMPUTED_VALUE"""),"application/pdf")</f>
        <v>application/pdf</v>
      </c>
    </row>
    <row r="389">
      <c r="A389" s="156" t="str">
        <f>IFERROR(__xludf.DUMMYFUNCTION("""COMPUTED_VALUE"""),"10.1086/266773")</f>
        <v>10.1086/266773</v>
      </c>
      <c r="B389" s="677" t="str">
        <f>IFERROR(__xludf.DUMMYFUNCTION("""COMPUTED_VALUE"""),"https://drive.google.com/file/d/16LQMkyLPu_oL8Ui5radejqve_0DUtVlQ/view?usp=drivesdk")</f>
        <v>https://drive.google.com/file/d/16LQMkyLPu_oL8Ui5radejqve_0DUtVlQ/view?usp=drivesdk</v>
      </c>
      <c r="C389" s="156" t="str">
        <f>IFERROR(__xludf.DUMMYFUNCTION("""COMPUTED_VALUE"""),"10.1086--266773.pdf")</f>
        <v>10.1086--266773.pdf</v>
      </c>
      <c r="D389" s="156" t="str">
        <f>IFERROR(__xludf.DUMMYFUNCTION("""COMPUTED_VALUE"""),"application/pdf")</f>
        <v>application/pdf</v>
      </c>
    </row>
    <row r="390">
      <c r="A390" s="156" t="str">
        <f>IFERROR(__xludf.DUMMYFUNCTION("""COMPUTED_VALUE"""),"10.1016/j.jvb.2018.05.003")</f>
        <v>10.1016/j.jvb.2018.05.003</v>
      </c>
      <c r="B390" s="677" t="str">
        <f>IFERROR(__xludf.DUMMYFUNCTION("""COMPUTED_VALUE"""),"https://drive.google.com/file/d/11pACMmHjE0HDAbYn6PC_v4_Yw-SX2yZh/view?usp=drivesdk")</f>
        <v>https://drive.google.com/file/d/11pACMmHjE0HDAbYn6PC_v4_Yw-SX2yZh/view?usp=drivesdk</v>
      </c>
      <c r="C390" s="156" t="str">
        <f>IFERROR(__xludf.DUMMYFUNCTION("""COMPUTED_VALUE"""),"10.1016--j.jvb.2018.05.003.pdf")</f>
        <v>10.1016--j.jvb.2018.05.003.pdf</v>
      </c>
      <c r="D390" s="156" t="str">
        <f>IFERROR(__xludf.DUMMYFUNCTION("""COMPUTED_VALUE"""),"application/pdf")</f>
        <v>application/pdf</v>
      </c>
    </row>
    <row r="391">
      <c r="A391" s="156" t="str">
        <f>IFERROR(__xludf.DUMMYFUNCTION("""COMPUTED_VALUE"""),"10.1016/j.jvb.2012.04.003")</f>
        <v>10.1016/j.jvb.2012.04.003</v>
      </c>
      <c r="B391" s="677" t="str">
        <f>IFERROR(__xludf.DUMMYFUNCTION("""COMPUTED_VALUE"""),"https://drive.google.com/file/d/1lqzf678nINDmNV9ncRFVe0fWUy5LAiwL/view?usp=drivesdk")</f>
        <v>https://drive.google.com/file/d/1lqzf678nINDmNV9ncRFVe0fWUy5LAiwL/view?usp=drivesdk</v>
      </c>
      <c r="C391" s="156" t="str">
        <f>IFERROR(__xludf.DUMMYFUNCTION("""COMPUTED_VALUE"""),"10.1016--j.jvb.2012.04.003.pdf")</f>
        <v>10.1016--j.jvb.2012.04.003.pdf</v>
      </c>
      <c r="D391" s="156" t="str">
        <f>IFERROR(__xludf.DUMMYFUNCTION("""COMPUTED_VALUE"""),"application/pdf")</f>
        <v>application/pdf</v>
      </c>
    </row>
    <row r="392">
      <c r="A392" s="156" t="str">
        <f>IFERROR(__xludf.DUMMYFUNCTION("""COMPUTED_VALUE"""),"10.1111/j.2044-8325.1997.tb00634.x")</f>
        <v>10.1111/j.2044-8325.1997.tb00634.x</v>
      </c>
      <c r="B392" s="677" t="str">
        <f>IFERROR(__xludf.DUMMYFUNCTION("""COMPUTED_VALUE"""),"https://drive.google.com/file/d/1sGHSm7nnh9zV9Qod3V-PuSGgCKbMNeR5/view?usp=drivesdk")</f>
        <v>https://drive.google.com/file/d/1sGHSm7nnh9zV9Qod3V-PuSGgCKbMNeR5/view?usp=drivesdk</v>
      </c>
      <c r="C392" s="156" t="str">
        <f>IFERROR(__xludf.DUMMYFUNCTION("""COMPUTED_VALUE"""),"10.1111--j.2044-8325.1997.tb00634.x.pdf")</f>
        <v>10.1111--j.2044-8325.1997.tb00634.x.pdf</v>
      </c>
      <c r="D392" s="156" t="str">
        <f>IFERROR(__xludf.DUMMYFUNCTION("""COMPUTED_VALUE"""),"application/pdf")</f>
        <v>application/pdf</v>
      </c>
    </row>
    <row r="393">
      <c r="A393" s="156" t="str">
        <f>IFERROR(__xludf.DUMMYFUNCTION("""COMPUTED_VALUE"""),"10.1016/j.leaqua.2009.04.009")</f>
        <v>10.1016/j.leaqua.2009.04.009</v>
      </c>
      <c r="B393" s="677" t="str">
        <f>IFERROR(__xludf.DUMMYFUNCTION("""COMPUTED_VALUE"""),"https://drive.google.com/file/d/1qTL6PKBSthtYdj48L7Dk62yERqPqKBnq/view?usp=drivesdk")</f>
        <v>https://drive.google.com/file/d/1qTL6PKBSthtYdj48L7Dk62yERqPqKBnq/view?usp=drivesdk</v>
      </c>
      <c r="C393" s="156" t="str">
        <f>IFERROR(__xludf.DUMMYFUNCTION("""COMPUTED_VALUE"""),"10.1016--j.leaqua.2009.04.009.pdf")</f>
        <v>10.1016--j.leaqua.2009.04.009.pdf</v>
      </c>
      <c r="D393" s="156" t="str">
        <f>IFERROR(__xludf.DUMMYFUNCTION("""COMPUTED_VALUE"""),"application/pdf")</f>
        <v>application/pdf</v>
      </c>
    </row>
    <row r="394">
      <c r="A394" s="156" t="str">
        <f>IFERROR(__xludf.DUMMYFUNCTION("""COMPUTED_VALUE"""),"10.1177/001872089203400309")</f>
        <v>10.1177/001872089203400309</v>
      </c>
      <c r="B394" s="677" t="str">
        <f>IFERROR(__xludf.DUMMYFUNCTION("""COMPUTED_VALUE"""),"https://drive.google.com/file/d/1PF-ONVan29qVkvxeDu57WWyCBOMY5gc6/view?usp=drivesdk")</f>
        <v>https://drive.google.com/file/d/1PF-ONVan29qVkvxeDu57WWyCBOMY5gc6/view?usp=drivesdk</v>
      </c>
      <c r="C394" s="156" t="str">
        <f>IFERROR(__xludf.DUMMYFUNCTION("""COMPUTED_VALUE"""),"10.1177--001872089203400309.pdf")</f>
        <v>10.1177--001872089203400309.pdf</v>
      </c>
      <c r="D394" s="156" t="str">
        <f>IFERROR(__xludf.DUMMYFUNCTION("""COMPUTED_VALUE"""),"application/pdf")</f>
        <v>application/pdf</v>
      </c>
    </row>
    <row r="395">
      <c r="A395" s="156" t="str">
        <f>IFERROR(__xludf.DUMMYFUNCTION("""COMPUTED_VALUE"""),"10.1037/0021-9010.76.5.725")</f>
        <v>10.1037/0021-9010.76.5.725</v>
      </c>
      <c r="B395" s="677" t="str">
        <f>IFERROR(__xludf.DUMMYFUNCTION("""COMPUTED_VALUE"""),"https://drive.google.com/file/d/1YbpWhweIEsKiS7GFHm3nLJg56Zl96x9a/view?usp=drivesdk")</f>
        <v>https://drive.google.com/file/d/1YbpWhweIEsKiS7GFHm3nLJg56Zl96x9a/view?usp=drivesdk</v>
      </c>
      <c r="C395" s="156" t="str">
        <f>IFERROR(__xludf.DUMMYFUNCTION("""COMPUTED_VALUE"""),"10.1037--0021-9010.76.5.725.pdf")</f>
        <v>10.1037--0021-9010.76.5.725.pdf</v>
      </c>
      <c r="D395" s="156" t="str">
        <f>IFERROR(__xludf.DUMMYFUNCTION("""COMPUTED_VALUE"""),"application/pdf")</f>
        <v>application/pdf</v>
      </c>
    </row>
    <row r="396">
      <c r="A396" s="156" t="str">
        <f>IFERROR(__xludf.DUMMYFUNCTION("""COMPUTED_VALUE"""),"10.1111/j.1469-8986.1984.tb00257.x")</f>
        <v>10.1111/j.1469-8986.1984.tb00257.x</v>
      </c>
      <c r="B396" s="677" t="str">
        <f>IFERROR(__xludf.DUMMYFUNCTION("""COMPUTED_VALUE"""),"https://drive.google.com/file/d/1rXfUsq0xVvORWF5g0tFbfUqqoi3e3Sg8/view?usp=drivesdk")</f>
        <v>https://drive.google.com/file/d/1rXfUsq0xVvORWF5g0tFbfUqqoi3e3Sg8/view?usp=drivesdk</v>
      </c>
      <c r="C396" s="156" t="str">
        <f>IFERROR(__xludf.DUMMYFUNCTION("""COMPUTED_VALUE"""),"10.1111--j.1469-8986.1984.tb00257.x.pdf")</f>
        <v>10.1111--j.1469-8986.1984.tb00257.x.pdf</v>
      </c>
      <c r="D396" s="156" t="str">
        <f>IFERROR(__xludf.DUMMYFUNCTION("""COMPUTED_VALUE"""),"application/pdf")</f>
        <v>application/pdf</v>
      </c>
    </row>
    <row r="397">
      <c r="A397" s="156" t="str">
        <f>IFERROR(__xludf.DUMMYFUNCTION("""COMPUTED_VALUE"""),"10.2307/2392342")</f>
        <v>10.2307/2392342</v>
      </c>
      <c r="B397" s="677" t="str">
        <f>IFERROR(__xludf.DUMMYFUNCTION("""COMPUTED_VALUE"""),"https://drive.google.com/file/d/1Jas-alh7WgK3Ar1zirKWgeqjudJ2dlCs/view?usp=drivesdk")</f>
        <v>https://drive.google.com/file/d/1Jas-alh7WgK3Ar1zirKWgeqjudJ2dlCs/view?usp=drivesdk</v>
      </c>
      <c r="C397" s="156" t="str">
        <f>IFERROR(__xludf.DUMMYFUNCTION("""COMPUTED_VALUE"""),"10.2307--2392342.pdf")</f>
        <v>10.2307--2392342.pdf</v>
      </c>
      <c r="D397" s="156" t="str">
        <f>IFERROR(__xludf.DUMMYFUNCTION("""COMPUTED_VALUE"""),"application/pdf")</f>
        <v>application/pdf</v>
      </c>
    </row>
    <row r="398">
      <c r="A398" s="156" t="str">
        <f>IFERROR(__xludf.DUMMYFUNCTION("""COMPUTED_VALUE"""),"10.5465/amle.2009.41788843")</f>
        <v>10.5465/amle.2009.41788843</v>
      </c>
      <c r="B398" s="677" t="str">
        <f>IFERROR(__xludf.DUMMYFUNCTION("""COMPUTED_VALUE"""),"https://drive.google.com/file/d/1_nUCNz7ppfweUNUw1lew4XekOyVhvToR/view?usp=drivesdk")</f>
        <v>https://drive.google.com/file/d/1_nUCNz7ppfweUNUw1lew4XekOyVhvToR/view?usp=drivesdk</v>
      </c>
      <c r="C398" s="156" t="str">
        <f>IFERROR(__xludf.DUMMYFUNCTION("""COMPUTED_VALUE"""),"10.5465--amle.2009.41788843.pdf")</f>
        <v>10.5465--amle.2009.41788843.pdf</v>
      </c>
      <c r="D398" s="156" t="str">
        <f>IFERROR(__xludf.DUMMYFUNCTION("""COMPUTED_VALUE"""),"application/pdf")</f>
        <v>application/pdf</v>
      </c>
    </row>
    <row r="399">
      <c r="A399" s="156" t="str">
        <f>IFERROR(__xludf.DUMMYFUNCTION("""COMPUTED_VALUE"""),"10.1016/0030-5073(83)90153-8")</f>
        <v>10.1016/0030-5073(83)90153-8</v>
      </c>
      <c r="B399" s="677" t="str">
        <f>IFERROR(__xludf.DUMMYFUNCTION("""COMPUTED_VALUE"""),"https://drive.google.com/file/d/1XUqYDvRfVyGRhvXM6kcpOzp7DX3UJ0Is/view?usp=drivesdk")</f>
        <v>https://drive.google.com/file/d/1XUqYDvRfVyGRhvXM6kcpOzp7DX3UJ0Is/view?usp=drivesdk</v>
      </c>
      <c r="C399" s="156" t="str">
        <f>IFERROR(__xludf.DUMMYFUNCTION("""COMPUTED_VALUE"""),"10.1016--0030-5073(83)90153-8.pdf")</f>
        <v>10.1016--0030-5073(83)90153-8.pdf</v>
      </c>
      <c r="D399" s="156" t="str">
        <f>IFERROR(__xludf.DUMMYFUNCTION("""COMPUTED_VALUE"""),"application/pdf")</f>
        <v>application/pdf</v>
      </c>
    </row>
    <row r="400">
      <c r="A400" s="156" t="str">
        <f>IFERROR(__xludf.DUMMYFUNCTION("""COMPUTED_VALUE"""),"10.1016/j.jpubeco.2014.06.014")</f>
        <v>10.1016/j.jpubeco.2014.06.014</v>
      </c>
      <c r="B400" s="677" t="str">
        <f>IFERROR(__xludf.DUMMYFUNCTION("""COMPUTED_VALUE"""),"https://drive.google.com/file/d/1Br8t8IiiC_exSZq1ZnqPalLUyH8BPsld/view?usp=drivesdk")</f>
        <v>https://drive.google.com/file/d/1Br8t8IiiC_exSZq1ZnqPalLUyH8BPsld/view?usp=drivesdk</v>
      </c>
      <c r="C400" s="156" t="str">
        <f>IFERROR(__xludf.DUMMYFUNCTION("""COMPUTED_VALUE"""),"10.1016--j.jpubeco.2014.06.014.pdf")</f>
        <v>10.1016--j.jpubeco.2014.06.014.pdf</v>
      </c>
      <c r="D400" s="156" t="str">
        <f>IFERROR(__xludf.DUMMYFUNCTION("""COMPUTED_VALUE"""),"application/pdf")</f>
        <v>application/pdf</v>
      </c>
    </row>
    <row r="401">
      <c r="A401" s="156" t="str">
        <f>IFERROR(__xludf.DUMMYFUNCTION("""COMPUTED_VALUE"""),"10.1348/096317900167029")</f>
        <v>10.1348/096317900167029</v>
      </c>
      <c r="B401" s="677" t="str">
        <f>IFERROR(__xludf.DUMMYFUNCTION("""COMPUTED_VALUE"""),"https://drive.google.com/file/d/16EhPJV1HvGMKnVDFJVva89oMexd28xVE/view?usp=drivesdk")</f>
        <v>https://drive.google.com/file/d/16EhPJV1HvGMKnVDFJVva89oMexd28xVE/view?usp=drivesdk</v>
      </c>
      <c r="C401" s="156" t="str">
        <f>IFERROR(__xludf.DUMMYFUNCTION("""COMPUTED_VALUE"""),"10.1348--096317900167029.pdf")</f>
        <v>10.1348--096317900167029.pdf</v>
      </c>
      <c r="D401" s="156" t="str">
        <f>IFERROR(__xludf.DUMMYFUNCTION("""COMPUTED_VALUE"""),"application/pdf")</f>
        <v>application/pdf</v>
      </c>
    </row>
    <row r="402">
      <c r="A402" s="156" t="str">
        <f>IFERROR(__xludf.DUMMYFUNCTION("""COMPUTED_VALUE"""),"10.1007/bf00057884")</f>
        <v>10.1007/bf00057884</v>
      </c>
      <c r="B402" s="677" t="str">
        <f>IFERROR(__xludf.DUMMYFUNCTION("""COMPUTED_VALUE"""),"https://drive.google.com/file/d/1ztojVCVNJN7SCFW388op8xlaeK_Vw1xf/view?usp=drivesdk")</f>
        <v>https://drive.google.com/file/d/1ztojVCVNJN7SCFW388op8xlaeK_Vw1xf/view?usp=drivesdk</v>
      </c>
      <c r="C402" s="156" t="str">
        <f>IFERROR(__xludf.DUMMYFUNCTION("""COMPUTED_VALUE"""),"10.1007--BF00057884.pdf")</f>
        <v>10.1007--BF00057884.pdf</v>
      </c>
      <c r="D402" s="156" t="str">
        <f>IFERROR(__xludf.DUMMYFUNCTION("""COMPUTED_VALUE"""),"application/pdf")</f>
        <v>application/pdf</v>
      </c>
    </row>
    <row r="403">
      <c r="A403" s="156" t="str">
        <f>IFERROR(__xludf.DUMMYFUNCTION("""COMPUTED_VALUE"""),"10.1111/j.1744-6570.1994.tb02408.x")</f>
        <v>10.1111/j.1744-6570.1994.tb02408.x</v>
      </c>
      <c r="B403" s="677" t="str">
        <f>IFERROR(__xludf.DUMMYFUNCTION("""COMPUTED_VALUE"""),"https://drive.google.com/file/d/1XwKhsZb5ScuKKX0YhptYMvxsBVJ_4owE/view?usp=drivesdk")</f>
        <v>https://drive.google.com/file/d/1XwKhsZb5ScuKKX0YhptYMvxsBVJ_4owE/view?usp=drivesdk</v>
      </c>
      <c r="C403" s="156" t="str">
        <f>IFERROR(__xludf.DUMMYFUNCTION("""COMPUTED_VALUE"""),"10.1111--j.1744-6570.1994.tb02408.x.pdf")</f>
        <v>10.1111--j.1744-6570.1994.tb02408.x.pdf</v>
      </c>
      <c r="D403" s="156" t="str">
        <f>IFERROR(__xludf.DUMMYFUNCTION("""COMPUTED_VALUE"""),"application/pdf")</f>
        <v>application/pdf</v>
      </c>
    </row>
    <row r="404">
      <c r="A404" s="156" t="str">
        <f>IFERROR(__xludf.DUMMYFUNCTION("""COMPUTED_VALUE"""),"10.1037/0022-3514.58.1.48")</f>
        <v>10.1037/0022-3514.58.1.48</v>
      </c>
      <c r="B404" s="677" t="str">
        <f>IFERROR(__xludf.DUMMYFUNCTION("""COMPUTED_VALUE"""),"https://drive.google.com/file/d/1PEf9rED297kwhsS0ya9FjTDJGhP2QID8/view?usp=drivesdk")</f>
        <v>https://drive.google.com/file/d/1PEf9rED297kwhsS0ya9FjTDJGhP2QID8/view?usp=drivesdk</v>
      </c>
      <c r="C404" s="156" t="str">
        <f>IFERROR(__xludf.DUMMYFUNCTION("""COMPUTED_VALUE"""),"10.1037--0022-3514.58.1.48.pdf")</f>
        <v>10.1037--0022-3514.58.1.48.pdf</v>
      </c>
      <c r="D404" s="156" t="str">
        <f>IFERROR(__xludf.DUMMYFUNCTION("""COMPUTED_VALUE"""),"application/pdf")</f>
        <v>application/pdf</v>
      </c>
    </row>
    <row r="405">
      <c r="A405" s="156" t="str">
        <f>IFERROR(__xludf.DUMMYFUNCTION("""COMPUTED_VALUE"""),"10.1037/0021-9010.82.1.44")</f>
        <v>10.1037/0021-9010.82.1.44</v>
      </c>
      <c r="B405" s="677" t="str">
        <f>IFERROR(__xludf.DUMMYFUNCTION("""COMPUTED_VALUE"""),"https://drive.google.com/file/d/1eT9mW-qU416CviL_IYrjtqKQfZPk282G/view?usp=drivesdk")</f>
        <v>https://drive.google.com/file/d/1eT9mW-qU416CviL_IYrjtqKQfZPk282G/view?usp=drivesdk</v>
      </c>
      <c r="C405" s="156" t="str">
        <f>IFERROR(__xludf.DUMMYFUNCTION("""COMPUTED_VALUE"""),"10.1037--0021-9010.82.1.44.pdf")</f>
        <v>10.1037--0021-9010.82.1.44.pdf</v>
      </c>
      <c r="D405" s="156" t="str">
        <f>IFERROR(__xludf.DUMMYFUNCTION("""COMPUTED_VALUE"""),"application/pdf")</f>
        <v>application/pdf</v>
      </c>
    </row>
    <row r="406">
      <c r="A406" s="156" t="str">
        <f>IFERROR(__xludf.DUMMYFUNCTION("""COMPUTED_VALUE"""),"10.1037/0021-9010.75.3.310")</f>
        <v>10.1037/0021-9010.75.3.310</v>
      </c>
      <c r="B406" s="677" t="str">
        <f>IFERROR(__xludf.DUMMYFUNCTION("""COMPUTED_VALUE"""),"https://drive.google.com/file/d/1-1olBFiltjIpsFSPUQ1V-CD1CKd8YLSA/view?usp=drivesdk")</f>
        <v>https://drive.google.com/file/d/1-1olBFiltjIpsFSPUQ1V-CD1CKd8YLSA/view?usp=drivesdk</v>
      </c>
      <c r="C406" s="156" t="str">
        <f>IFERROR(__xludf.DUMMYFUNCTION("""COMPUTED_VALUE"""),"10.1037--0021-9010.75.3.310.pdf")</f>
        <v>10.1037--0021-9010.75.3.310.pdf</v>
      </c>
      <c r="D406" s="156" t="str">
        <f>IFERROR(__xludf.DUMMYFUNCTION("""COMPUTED_VALUE"""),"application/pdf")</f>
        <v>application/pdf</v>
      </c>
    </row>
    <row r="407">
      <c r="A407" s="156" t="str">
        <f>IFERROR(__xludf.DUMMYFUNCTION("""COMPUTED_VALUE"""),"10.1002/ajmg.b.31194")</f>
        <v>10.1002/ajmg.b.31194</v>
      </c>
      <c r="B407" s="677" t="str">
        <f>IFERROR(__xludf.DUMMYFUNCTION("""COMPUTED_VALUE"""),"https://drive.google.com/file/d/1hImNSN8BKFhUur1k5a3KAz4xCJWGtJvT/view?usp=drivesdk")</f>
        <v>https://drive.google.com/file/d/1hImNSN8BKFhUur1k5a3KAz4xCJWGtJvT/view?usp=drivesdk</v>
      </c>
      <c r="C407" s="156" t="str">
        <f>IFERROR(__xludf.DUMMYFUNCTION("""COMPUTED_VALUE"""),"10.1002--ajmg.b.31194.pdf")</f>
        <v>10.1002--ajmg.b.31194.pdf</v>
      </c>
      <c r="D407" s="156" t="str">
        <f>IFERROR(__xludf.DUMMYFUNCTION("""COMPUTED_VALUE"""),"application/pdf")</f>
        <v>application/pdf</v>
      </c>
    </row>
    <row r="408">
      <c r="A408" s="156" t="str">
        <f>IFERROR(__xludf.DUMMYFUNCTION("""COMPUTED_VALUE"""),"10.1002/ijc.31536")</f>
        <v>10.1002/ijc.31536</v>
      </c>
      <c r="B408" s="677" t="str">
        <f>IFERROR(__xludf.DUMMYFUNCTION("""COMPUTED_VALUE"""),"https://drive.google.com/file/d/1dZhEjyHuknv6NWnTUKDEMrzO8qMhIMze/view?usp=drivesdk")</f>
        <v>https://drive.google.com/file/d/1dZhEjyHuknv6NWnTUKDEMrzO8qMhIMze/view?usp=drivesdk</v>
      </c>
      <c r="C408" s="156" t="str">
        <f>IFERROR(__xludf.DUMMYFUNCTION("""COMPUTED_VALUE"""),"10.1002--ijc.31536.pdf")</f>
        <v>10.1002--ijc.31536.pdf</v>
      </c>
      <c r="D408" s="156" t="str">
        <f>IFERROR(__xludf.DUMMYFUNCTION("""COMPUTED_VALUE"""),"application/pdf")</f>
        <v>application/pdf</v>
      </c>
    </row>
    <row r="409">
      <c r="A409" s="156" t="str">
        <f>IFERROR(__xludf.DUMMYFUNCTION("""COMPUTED_VALUE"""),"10.1111/sltb.12603")</f>
        <v>10.1111/sltb.12603</v>
      </c>
      <c r="B409" s="677" t="str">
        <f>IFERROR(__xludf.DUMMYFUNCTION("""COMPUTED_VALUE"""),"https://drive.google.com/file/d/1zQMuON3k0VJxo26pOuz9c7JIB74DnNZS/view?usp=drivesdk")</f>
        <v>https://drive.google.com/file/d/1zQMuON3k0VJxo26pOuz9c7JIB74DnNZS/view?usp=drivesdk</v>
      </c>
      <c r="C409" s="156" t="str">
        <f>IFERROR(__xludf.DUMMYFUNCTION("""COMPUTED_VALUE"""),"10.1111--sltb.12603.pdf")</f>
        <v>10.1111--sltb.12603.pdf</v>
      </c>
      <c r="D409" s="156" t="str">
        <f>IFERROR(__xludf.DUMMYFUNCTION("""COMPUTED_VALUE"""),"application/pdf")</f>
        <v>application/pdf</v>
      </c>
    </row>
    <row r="410">
      <c r="A410" s="156" t="str">
        <f>IFERROR(__xludf.DUMMYFUNCTION("""COMPUTED_VALUE"""),"10.1037/abn0000074")</f>
        <v>10.1037/abn0000074</v>
      </c>
      <c r="B410" s="677" t="str">
        <f>IFERROR(__xludf.DUMMYFUNCTION("""COMPUTED_VALUE"""),"https://drive.google.com/file/d/1EeW99WGRe7l9yyIocyrku0wXNCMoCNIE/view?usp=drivesdk")</f>
        <v>https://drive.google.com/file/d/1EeW99WGRe7l9yyIocyrku0wXNCMoCNIE/view?usp=drivesdk</v>
      </c>
      <c r="C410" s="156" t="str">
        <f>IFERROR(__xludf.DUMMYFUNCTION("""COMPUTED_VALUE"""),"10.1037--abn0000074.pdf")</f>
        <v>10.1037--abn0000074.pdf</v>
      </c>
      <c r="D410" s="156" t="str">
        <f>IFERROR(__xludf.DUMMYFUNCTION("""COMPUTED_VALUE"""),"application/pdf")</f>
        <v>application/pdf</v>
      </c>
    </row>
    <row r="411">
      <c r="A411" s="156" t="str">
        <f>IFERROR(__xludf.DUMMYFUNCTION("""COMPUTED_VALUE"""),"10.1016/j.evolhumbehav.2010.12.002")</f>
        <v>10.1016/j.evolhumbehav.2010.12.002</v>
      </c>
      <c r="B411" s="677" t="str">
        <f>IFERROR(__xludf.DUMMYFUNCTION("""COMPUTED_VALUE"""),"https://drive.google.com/file/d/1C0bLndU2B9h0aoL452LPrhkcRop4BAHV/view?usp=drivesdk")</f>
        <v>https://drive.google.com/file/d/1C0bLndU2B9h0aoL452LPrhkcRop4BAHV/view?usp=drivesdk</v>
      </c>
      <c r="C411" s="156" t="str">
        <f>IFERROR(__xludf.DUMMYFUNCTION("""COMPUTED_VALUE"""),"10.1016--j.evolhumbehav.2010.12.002.pdf")</f>
        <v>10.1016--j.evolhumbehav.2010.12.002.pdf</v>
      </c>
      <c r="D411" s="156" t="str">
        <f>IFERROR(__xludf.DUMMYFUNCTION("""COMPUTED_VALUE"""),"application/pdf")</f>
        <v>application/pdf</v>
      </c>
    </row>
    <row r="412">
      <c r="A412" s="156" t="str">
        <f>IFERROR(__xludf.DUMMYFUNCTION("""COMPUTED_VALUE"""),"10.1080/02687030600631827")</f>
        <v>10.1080/02687030600631827</v>
      </c>
      <c r="B412" s="677" t="str">
        <f>IFERROR(__xludf.DUMMYFUNCTION("""COMPUTED_VALUE"""),"https://drive.google.com/file/d/1zTMlOFWNTfGXuxYg38c1Rclwf7vMtQVs/view?usp=drivesdk")</f>
        <v>https://drive.google.com/file/d/1zTMlOFWNTfGXuxYg38c1Rclwf7vMtQVs/view?usp=drivesdk</v>
      </c>
      <c r="C412" s="156" t="str">
        <f>IFERROR(__xludf.DUMMYFUNCTION("""COMPUTED_VALUE"""),"10.1080--02687030600631827.pdf")</f>
        <v>10.1080--02687030600631827.pdf</v>
      </c>
      <c r="D412" s="156" t="str">
        <f>IFERROR(__xludf.DUMMYFUNCTION("""COMPUTED_VALUE"""),"application/pdf")</f>
        <v>application/pdf</v>
      </c>
    </row>
    <row r="413">
      <c r="A413" s="156" t="str">
        <f>IFERROR(__xludf.DUMMYFUNCTION("""COMPUTED_VALUE"""),"10.1016/j.jneuroling.2010.05.001")</f>
        <v>10.1016/j.jneuroling.2010.05.001</v>
      </c>
      <c r="B413" s="677" t="str">
        <f>IFERROR(__xludf.DUMMYFUNCTION("""COMPUTED_VALUE"""),"https://drive.google.com/file/d/1zlIibgTl_xuo-gJvDI1iuFuL7MwgpJud/view?usp=drivesdk")</f>
        <v>https://drive.google.com/file/d/1zlIibgTl_xuo-gJvDI1iuFuL7MwgpJud/view?usp=drivesdk</v>
      </c>
      <c r="C413" s="156" t="str">
        <f>IFERROR(__xludf.DUMMYFUNCTION("""COMPUTED_VALUE"""),"10.1016--j.jneuroling.2010.05.001.pdf")</f>
        <v>10.1016--j.jneuroling.2010.05.001.pdf</v>
      </c>
      <c r="D413" s="156" t="str">
        <f>IFERROR(__xludf.DUMMYFUNCTION("""COMPUTED_VALUE"""),"application/pdf")</f>
        <v>application/pdf</v>
      </c>
    </row>
    <row r="414">
      <c r="A414" s="156" t="str">
        <f>IFERROR(__xludf.DUMMYFUNCTION("""COMPUTED_VALUE"""),"10.1037/a0029288")</f>
        <v>10.1037/a0029288</v>
      </c>
      <c r="B414" s="677" t="str">
        <f>IFERROR(__xludf.DUMMYFUNCTION("""COMPUTED_VALUE"""),"https://drive.google.com/file/d/1vcCVkrjNwZHH8glmh9tGMygAb5DPf3dE/view?usp=drivesdk")</f>
        <v>https://drive.google.com/file/d/1vcCVkrjNwZHH8glmh9tGMygAb5DPf3dE/view?usp=drivesdk</v>
      </c>
      <c r="C414" s="156" t="str">
        <f>IFERROR(__xludf.DUMMYFUNCTION("""COMPUTED_VALUE"""),"10.1037--a0029288.pdf")</f>
        <v>10.1037--a0029288.pdf</v>
      </c>
      <c r="D414" s="156" t="str">
        <f>IFERROR(__xludf.DUMMYFUNCTION("""COMPUTED_VALUE"""),"application/pdf")</f>
        <v>application/pdf</v>
      </c>
    </row>
    <row r="415">
      <c r="A415" s="156" t="str">
        <f>IFERROR(__xludf.DUMMYFUNCTION("""COMPUTED_VALUE"""),"10.1037/0022-3514.54.5.768")</f>
        <v>10.1037/0022-3514.54.5.768</v>
      </c>
      <c r="B415" s="677" t="str">
        <f>IFERROR(__xludf.DUMMYFUNCTION("""COMPUTED_VALUE"""),"https://drive.google.com/file/d/1o7gUPIWlsZsKfDZUwMPrcvteUhl63aT7/view?usp=drivesdk")</f>
        <v>https://drive.google.com/file/d/1o7gUPIWlsZsKfDZUwMPrcvteUhl63aT7/view?usp=drivesdk</v>
      </c>
      <c r="C415" s="156" t="str">
        <f>IFERROR(__xludf.DUMMYFUNCTION("""COMPUTED_VALUE"""),"10.1037--0022-3514.54.5.768.pdf")</f>
        <v>10.1037--0022-3514.54.5.768.pdf</v>
      </c>
      <c r="D415" s="156" t="str">
        <f>IFERROR(__xludf.DUMMYFUNCTION("""COMPUTED_VALUE"""),"application/pdf")</f>
        <v>application/pdf</v>
      </c>
    </row>
    <row r="416">
      <c r="A416" s="156" t="str">
        <f>IFERROR(__xludf.DUMMYFUNCTION("""COMPUTED_VALUE"""),"10.3758/s13423-014-0757-4")</f>
        <v>10.3758/s13423-014-0757-4</v>
      </c>
      <c r="B416" s="677" t="str">
        <f>IFERROR(__xludf.DUMMYFUNCTION("""COMPUTED_VALUE"""),"https://drive.google.com/file/d/1p5ydRsZ4brAO2FqzQtlUbRAhPkcmRVgm/view?usp=drivesdk")</f>
        <v>https://drive.google.com/file/d/1p5ydRsZ4brAO2FqzQtlUbRAhPkcmRVgm/view?usp=drivesdk</v>
      </c>
      <c r="C416" s="156" t="str">
        <f>IFERROR(__xludf.DUMMYFUNCTION("""COMPUTED_VALUE"""),"10.3758--s13423-014-0757-4.pdf")</f>
        <v>10.3758--s13423-014-0757-4.pdf</v>
      </c>
      <c r="D416" s="156" t="str">
        <f>IFERROR(__xludf.DUMMYFUNCTION("""COMPUTED_VALUE"""),"application/pdf")</f>
        <v>application/pdf</v>
      </c>
    </row>
    <row r="417">
      <c r="A417" s="156" t="str">
        <f>IFERROR(__xludf.DUMMYFUNCTION("""COMPUTED_VALUE"""),"10.1126/science.1239918")</f>
        <v>10.1126/science.1239918</v>
      </c>
      <c r="B417" s="677" t="str">
        <f>IFERROR(__xludf.DUMMYFUNCTION("""COMPUTED_VALUE"""),"https://drive.google.com/file/d/1r4PVlL83grqiq4UZ0to7L57VLrbdB9hi/view?usp=drivesdk")</f>
        <v>https://drive.google.com/file/d/1r4PVlL83grqiq4UZ0to7L57VLrbdB9hi/view?usp=drivesdk</v>
      </c>
      <c r="C417" s="156" t="str">
        <f>IFERROR(__xludf.DUMMYFUNCTION("""COMPUTED_VALUE"""),"10.1126--science.1239918.pdf")</f>
        <v>10.1126--science.1239918.pdf</v>
      </c>
      <c r="D417" s="156" t="str">
        <f>IFERROR(__xludf.DUMMYFUNCTION("""COMPUTED_VALUE"""),"application/pdf")</f>
        <v>application/pdf</v>
      </c>
    </row>
    <row r="418">
      <c r="A418" s="156" t="str">
        <f>IFERROR(__xludf.DUMMYFUNCTION("""COMPUTED_VALUE"""),"10.1162/qjec.122.3.1067")</f>
        <v>10.1162/qjec.122.3.1067</v>
      </c>
      <c r="B418" s="677" t="str">
        <f>IFERROR(__xludf.DUMMYFUNCTION("""COMPUTED_VALUE"""),"https://drive.google.com/file/d/1twhY2w0ctG7Af9H6UOJm8wdSXyXO8TAo/view?usp=drivesdk")</f>
        <v>https://drive.google.com/file/d/1twhY2w0ctG7Af9H6UOJm8wdSXyXO8TAo/view?usp=drivesdk</v>
      </c>
      <c r="C418" s="156" t="str">
        <f>IFERROR(__xludf.DUMMYFUNCTION("""COMPUTED_VALUE"""),"10.1162--qjec.122.3.1067.pdf")</f>
        <v>10.1162--qjec.122.3.1067.pdf</v>
      </c>
      <c r="D418" s="156" t="str">
        <f>IFERROR(__xludf.DUMMYFUNCTION("""COMPUTED_VALUE"""),"application/pdf")</f>
        <v>application/pdf</v>
      </c>
    </row>
    <row r="419">
      <c r="A419" s="156" t="str">
        <f>IFERROR(__xludf.DUMMYFUNCTION("""COMPUTED_VALUE"""),"10.1126/science.1222426")</f>
        <v>10.1126/science.1222426</v>
      </c>
      <c r="B419" s="677" t="str">
        <f>IFERROR(__xludf.DUMMYFUNCTION("""COMPUTED_VALUE"""),"https://drive.google.com/file/d/1wNBIYZ5dm9n9bSFCAgoMnPNgBJBMSCyH/view?usp=drivesdk")</f>
        <v>https://drive.google.com/file/d/1wNBIYZ5dm9n9bSFCAgoMnPNgBJBMSCyH/view?usp=drivesdk</v>
      </c>
      <c r="C419" s="156" t="str">
        <f>IFERROR(__xludf.DUMMYFUNCTION("""COMPUTED_VALUE"""),"10.1126--science.1222426.pdf")</f>
        <v>10.1126--science.1222426.pdf</v>
      </c>
      <c r="D419" s="156" t="str">
        <f>IFERROR(__xludf.DUMMYFUNCTION("""COMPUTED_VALUE"""),"application/pdf")</f>
        <v>application/pdf</v>
      </c>
    </row>
    <row r="420">
      <c r="A420" s="156" t="str">
        <f>IFERROR(__xludf.DUMMYFUNCTION("""COMPUTED_VALUE"""),"10.1037/0022-3514.94.4.600")</f>
        <v>10.1037/0022-3514.94.4.600</v>
      </c>
      <c r="B420" s="677" t="str">
        <f>IFERROR(__xludf.DUMMYFUNCTION("""COMPUTED_VALUE"""),"https://drive.google.com/file/d/1UTh20eT7TkvvPfQekHv-og8JNZ7R1WP8/view?usp=drivesdk")</f>
        <v>https://drive.google.com/file/d/1UTh20eT7TkvvPfQekHv-og8JNZ7R1WP8/view?usp=drivesdk</v>
      </c>
      <c r="C420" s="156" t="str">
        <f>IFERROR(__xludf.DUMMYFUNCTION("""COMPUTED_VALUE"""),"10.1037--0022-3514.94.4.600.pdf")</f>
        <v>10.1037--0022-3514.94.4.600.pdf</v>
      </c>
      <c r="D420" s="156" t="str">
        <f>IFERROR(__xludf.DUMMYFUNCTION("""COMPUTED_VALUE"""),"application/pdf")</f>
        <v>application/pdf</v>
      </c>
    </row>
    <row r="421">
      <c r="A421" s="156" t="str">
        <f>IFERROR(__xludf.DUMMYFUNCTION("""COMPUTED_VALUE"""),"10.1037/0022-3514.94.1.116")</f>
        <v>10.1037/0022-3514.94.1.116</v>
      </c>
      <c r="B421" s="677" t="str">
        <f>IFERROR(__xludf.DUMMYFUNCTION("""COMPUTED_VALUE"""),"https://drive.google.com/file/d/1je9cw-vS4o0h7s6-W5SXMCb_uEat2QOt/view?usp=drivesdk")</f>
        <v>https://drive.google.com/file/d/1je9cw-vS4o0h7s6-W5SXMCb_uEat2QOt/view?usp=drivesdk</v>
      </c>
      <c r="C421" s="156" t="str">
        <f>IFERROR(__xludf.DUMMYFUNCTION("""COMPUTED_VALUE"""),"10.1037--0022-3514.94.1.116.pdf")</f>
        <v>10.1037--0022-3514.94.1.116.pdf</v>
      </c>
      <c r="D421" s="156" t="str">
        <f>IFERROR(__xludf.DUMMYFUNCTION("""COMPUTED_VALUE"""),"application/pdf")</f>
        <v>application/pdf</v>
      </c>
    </row>
    <row r="422">
      <c r="A422" s="156" t="str">
        <f>IFERROR(__xludf.DUMMYFUNCTION("""COMPUTED_VALUE"""),"10.1037/0022-3514.94.1.48")</f>
        <v>10.1037/0022-3514.94.1.48</v>
      </c>
      <c r="B422" s="677" t="str">
        <f>IFERROR(__xludf.DUMMYFUNCTION("""COMPUTED_VALUE"""),"https://drive.google.com/file/d/12hPE3_ROkrr-EwAg8DQR8e8OYrtwuoYT/view?usp=drivesdk")</f>
        <v>https://drive.google.com/file/d/12hPE3_ROkrr-EwAg8DQR8e8OYrtwuoYT/view?usp=drivesdk</v>
      </c>
      <c r="C422" s="156" t="str">
        <f>IFERROR(__xludf.DUMMYFUNCTION("""COMPUTED_VALUE"""),"10.1037--0022-3514.94.1.48.pdf")</f>
        <v>10.1037--0022-3514.94.1.48.pdf</v>
      </c>
      <c r="D422" s="156" t="str">
        <f>IFERROR(__xludf.DUMMYFUNCTION("""COMPUTED_VALUE"""),"application/pdf")</f>
        <v>application/pdf</v>
      </c>
    </row>
    <row r="423">
      <c r="A423" s="156" t="str">
        <f>IFERROR(__xludf.DUMMYFUNCTION("""COMPUTED_VALUE"""),"10.1016/j.jesp.2016.11.003")</f>
        <v>10.1016/j.jesp.2016.11.003</v>
      </c>
      <c r="B423" s="677" t="str">
        <f>IFERROR(__xludf.DUMMYFUNCTION("""COMPUTED_VALUE"""),"https://drive.google.com/file/d/1ZkYyI9Xh0T6WySPVfqp6p62lMTtr4-4Z/view?usp=drivesdk")</f>
        <v>https://drive.google.com/file/d/1ZkYyI9Xh0T6WySPVfqp6p62lMTtr4-4Z/view?usp=drivesdk</v>
      </c>
      <c r="C423" s="156" t="str">
        <f>IFERROR(__xludf.DUMMYFUNCTION("""COMPUTED_VALUE"""),"10.1016--j.jesp.2016.11.003.pdf")</f>
        <v>10.1016--j.jesp.2016.11.003.pdf</v>
      </c>
      <c r="D423" s="156" t="str">
        <f>IFERROR(__xludf.DUMMYFUNCTION("""COMPUTED_VALUE"""),"application/pdf")</f>
        <v>application/pdf</v>
      </c>
    </row>
    <row r="424">
      <c r="A424" s="156" t="str">
        <f>IFERROR(__xludf.DUMMYFUNCTION("""COMPUTED_VALUE"""),"10.1016/j.cub.2004.01.029")</f>
        <v>10.1016/j.cub.2004.01.029</v>
      </c>
      <c r="B424" s="677" t="str">
        <f>IFERROR(__xludf.DUMMYFUNCTION("""COMPUTED_VALUE"""),"https://drive.google.com/file/d/1oLyXVFY64dU4qE6_b-iVXYa7asikLA1e/view?usp=drivesdk")</f>
        <v>https://drive.google.com/file/d/1oLyXVFY64dU4qE6_b-iVXYa7asikLA1e/view?usp=drivesdk</v>
      </c>
      <c r="C424" s="156" t="str">
        <f>IFERROR(__xludf.DUMMYFUNCTION("""COMPUTED_VALUE"""),"10.1016--j.cub.2004.01.029.pdf")</f>
        <v>10.1016--j.cub.2004.01.029.pdf</v>
      </c>
      <c r="D424" s="156" t="str">
        <f>IFERROR(__xludf.DUMMYFUNCTION("""COMPUTED_VALUE"""),"application/pdf")</f>
        <v>application/pdf</v>
      </c>
    </row>
    <row r="425">
      <c r="A425" s="156" t="str">
        <f>IFERROR(__xludf.DUMMYFUNCTION("""COMPUTED_VALUE"""),"10.1016/0022-1031(89)90010-3")</f>
        <v>10.1016/0022-1031(89)90010-3</v>
      </c>
      <c r="B425" s="677" t="str">
        <f>IFERROR(__xludf.DUMMYFUNCTION("""COMPUTED_VALUE"""),"https://drive.google.com/file/d/1C1_WdM4KBfxxYh8OlSnsd2WhUKw-IYkW/view?usp=drivesdk")</f>
        <v>https://drive.google.com/file/d/1C1_WdM4KBfxxYh8OlSnsd2WhUKw-IYkW/view?usp=drivesdk</v>
      </c>
      <c r="C425" s="156" t="str">
        <f>IFERROR(__xludf.DUMMYFUNCTION("""COMPUTED_VALUE"""),"10.1016--0022-1031(89)90010-3.pdf")</f>
        <v>10.1016--0022-1031(89)90010-3.pdf</v>
      </c>
      <c r="D425" s="156" t="str">
        <f>IFERROR(__xludf.DUMMYFUNCTION("""COMPUTED_VALUE"""),"application/pdf")</f>
        <v>application/pdf</v>
      </c>
    </row>
    <row r="426">
      <c r="A426" s="156" t="str">
        <f>IFERROR(__xludf.DUMMYFUNCTION("""COMPUTED_VALUE"""),"10.1016/j.cognition.2013.09.001")</f>
        <v>10.1016/j.cognition.2013.09.001</v>
      </c>
      <c r="B426" s="677" t="str">
        <f>IFERROR(__xludf.DUMMYFUNCTION("""COMPUTED_VALUE"""),"https://drive.google.com/file/d/1Q1ahJAjmoMnVd-4_yOjQiQ_6STDFGEiQ/view?usp=drivesdk")</f>
        <v>https://drive.google.com/file/d/1Q1ahJAjmoMnVd-4_yOjQiQ_6STDFGEiQ/view?usp=drivesdk</v>
      </c>
      <c r="C426" s="156" t="str">
        <f>IFERROR(__xludf.DUMMYFUNCTION("""COMPUTED_VALUE"""),"10.1016--j.cognition.2013.09.001.pdf")</f>
        <v>10.1016--j.cognition.2013.09.001.pdf</v>
      </c>
      <c r="D426" s="156" t="str">
        <f>IFERROR(__xludf.DUMMYFUNCTION("""COMPUTED_VALUE"""),"application/pdf")</f>
        <v>application/pdf</v>
      </c>
    </row>
    <row r="427">
      <c r="A427" s="156" t="str">
        <f>IFERROR(__xludf.DUMMYFUNCTION("""COMPUTED_VALUE"""),"10.1037/xlm0000377")</f>
        <v>10.1037/xlm0000377</v>
      </c>
      <c r="B427" s="677" t="str">
        <f>IFERROR(__xludf.DUMMYFUNCTION("""COMPUTED_VALUE"""),"https://drive.google.com/file/d/1n43nCIdzroDCA5ShXF2in5DWlH9WAzYn/view?usp=drivesdk")</f>
        <v>https://drive.google.com/file/d/1n43nCIdzroDCA5ShXF2in5DWlH9WAzYn/view?usp=drivesdk</v>
      </c>
      <c r="C427" s="156" t="str">
        <f>IFERROR(__xludf.DUMMYFUNCTION("""COMPUTED_VALUE"""),"10.1037--xlm0000377.pdf")</f>
        <v>10.1037--xlm0000377.pdf</v>
      </c>
      <c r="D427" s="156" t="str">
        <f>IFERROR(__xludf.DUMMYFUNCTION("""COMPUTED_VALUE"""),"application/pdf")</f>
        <v>application/pdf</v>
      </c>
    </row>
    <row r="428">
      <c r="A428" s="156" t="str">
        <f>IFERROR(__xludf.DUMMYFUNCTION("""COMPUTED_VALUE"""),"10.1037/neu0000624")</f>
        <v>10.1037/neu0000624</v>
      </c>
      <c r="B428" s="677" t="str">
        <f>IFERROR(__xludf.DUMMYFUNCTION("""COMPUTED_VALUE"""),"https://drive.google.com/file/d/1bSv72xFyxGw7YEFRKwAnEoZvhaoLs3rS/view?usp=drivesdk")</f>
        <v>https://drive.google.com/file/d/1bSv72xFyxGw7YEFRKwAnEoZvhaoLs3rS/view?usp=drivesdk</v>
      </c>
      <c r="C428" s="156" t="str">
        <f>IFERROR(__xludf.DUMMYFUNCTION("""COMPUTED_VALUE"""),"10.1037--neu0000624.pdf")</f>
        <v>10.1037--neu0000624.pdf</v>
      </c>
      <c r="D428" s="156" t="str">
        <f>IFERROR(__xludf.DUMMYFUNCTION("""COMPUTED_VALUE"""),"application/pdf")</f>
        <v>application/pdf</v>
      </c>
    </row>
    <row r="429">
      <c r="A429" s="156" t="str">
        <f>IFERROR(__xludf.DUMMYFUNCTION("""COMPUTED_VALUE"""),"10.1037/pas0000828")</f>
        <v>10.1037/pas0000828</v>
      </c>
      <c r="B429" s="677" t="str">
        <f>IFERROR(__xludf.DUMMYFUNCTION("""COMPUTED_VALUE"""),"https://drive.google.com/file/d/1YinBEFlPWlfEH_bG8z4XkTlvx0nzgfXp/view?usp=drivesdk")</f>
        <v>https://drive.google.com/file/d/1YinBEFlPWlfEH_bG8z4XkTlvx0nzgfXp/view?usp=drivesdk</v>
      </c>
      <c r="C429" s="156" t="str">
        <f>IFERROR(__xludf.DUMMYFUNCTION("""COMPUTED_VALUE"""),"10.1037--pas0000828.pdf")</f>
        <v>10.1037--pas0000828.pdf</v>
      </c>
      <c r="D429" s="156" t="str">
        <f>IFERROR(__xludf.DUMMYFUNCTION("""COMPUTED_VALUE"""),"application/pdf")</f>
        <v>application/pdf</v>
      </c>
    </row>
    <row r="430">
      <c r="A430" s="156" t="str">
        <f>IFERROR(__xludf.DUMMYFUNCTION("""COMPUTED_VALUE"""),"10.1037/cdp0000160")</f>
        <v>10.1037/cdp0000160</v>
      </c>
      <c r="B430" s="677" t="str">
        <f>IFERROR(__xludf.DUMMYFUNCTION("""COMPUTED_VALUE"""),"https://drive.google.com/file/d/1MQ3w3WfQxZ6ToVmZ173hLxaon51AX3aW/view?usp=drivesdk")</f>
        <v>https://drive.google.com/file/d/1MQ3w3WfQxZ6ToVmZ173hLxaon51AX3aW/view?usp=drivesdk</v>
      </c>
      <c r="C430" s="156" t="str">
        <f>IFERROR(__xludf.DUMMYFUNCTION("""COMPUTED_VALUE"""),"10.1037--cdp0000160.pdf")</f>
        <v>10.1037--cdp0000160.pdf</v>
      </c>
      <c r="D430" s="156" t="str">
        <f>IFERROR(__xludf.DUMMYFUNCTION("""COMPUTED_VALUE"""),"application/pdf")</f>
        <v>application/pdf</v>
      </c>
    </row>
    <row r="431">
      <c r="A431" s="156" t="str">
        <f>IFERROR(__xludf.DUMMYFUNCTION("""COMPUTED_VALUE"""),"10.1037/pspa0000238")</f>
        <v>10.1037/pspa0000238</v>
      </c>
      <c r="B431" s="677" t="str">
        <f>IFERROR(__xludf.DUMMYFUNCTION("""COMPUTED_VALUE"""),"https://drive.google.com/file/d/1dHBucRJRw0IVd0McFp9a2a53k2pQgcVy/view?usp=drivesdk")</f>
        <v>https://drive.google.com/file/d/1dHBucRJRw0IVd0McFp9a2a53k2pQgcVy/view?usp=drivesdk</v>
      </c>
      <c r="C431" s="156" t="str">
        <f>IFERROR(__xludf.DUMMYFUNCTION("""COMPUTED_VALUE"""),"10.1037--pspa0000238.pdf")</f>
        <v>10.1037--pspa0000238.pdf</v>
      </c>
      <c r="D431" s="156" t="str">
        <f>IFERROR(__xludf.DUMMYFUNCTION("""COMPUTED_VALUE"""),"application/pdf")</f>
        <v>application/pdf</v>
      </c>
    </row>
    <row r="432">
      <c r="A432" s="156" t="str">
        <f>IFERROR(__xludf.DUMMYFUNCTION("""COMPUTED_VALUE"""),"10.1037/xhp0000489")</f>
        <v>10.1037/xhp0000489</v>
      </c>
      <c r="B432" s="677" t="str">
        <f>IFERROR(__xludf.DUMMYFUNCTION("""COMPUTED_VALUE"""),"https://drive.google.com/file/d/1ztV4sm_g7GaGIn0FBAq6FBAAcURkmtLU/view?usp=drivesdk")</f>
        <v>https://drive.google.com/file/d/1ztV4sm_g7GaGIn0FBAq6FBAAcURkmtLU/view?usp=drivesdk</v>
      </c>
      <c r="C432" s="156" t="str">
        <f>IFERROR(__xludf.DUMMYFUNCTION("""COMPUTED_VALUE"""),"10.1037--xhp0000489.pdf")</f>
        <v>10.1037--xhp0000489.pdf</v>
      </c>
      <c r="D432" s="156" t="str">
        <f>IFERROR(__xludf.DUMMYFUNCTION("""COMPUTED_VALUE"""),"application/pdf")</f>
        <v>application/pdf</v>
      </c>
    </row>
    <row r="433">
      <c r="A433" s="156" t="str">
        <f>IFERROR(__xludf.DUMMYFUNCTION("""COMPUTED_VALUE"""),"10.1037/xlm0000832")</f>
        <v>10.1037/xlm0000832</v>
      </c>
      <c r="B433" s="677" t="str">
        <f>IFERROR(__xludf.DUMMYFUNCTION("""COMPUTED_VALUE"""),"https://drive.google.com/file/d/1Q_AQkWrzJPOWXXQGTT-RjNguCxhF1jt2/view?usp=drivesdk")</f>
        <v>https://drive.google.com/file/d/1Q_AQkWrzJPOWXXQGTT-RjNguCxhF1jt2/view?usp=drivesdk</v>
      </c>
      <c r="C433" s="156" t="str">
        <f>IFERROR(__xludf.DUMMYFUNCTION("""COMPUTED_VALUE"""),"10.1037--xlm0000832.pdf")</f>
        <v>10.1037--xlm0000832.pdf</v>
      </c>
      <c r="D433" s="156" t="str">
        <f>IFERROR(__xludf.DUMMYFUNCTION("""COMPUTED_VALUE"""),"application/pdf")</f>
        <v>application/pdf</v>
      </c>
    </row>
    <row r="434">
      <c r="A434" s="156" t="str">
        <f>IFERROR(__xludf.DUMMYFUNCTION("""COMPUTED_VALUE"""),"10.1037/dev0000499")</f>
        <v>10.1037/dev0000499</v>
      </c>
      <c r="B434" s="677" t="str">
        <f>IFERROR(__xludf.DUMMYFUNCTION("""COMPUTED_VALUE"""),"https://drive.google.com/file/d/189Sb48CFms1NmdjM2wTIeW9XVaeVeMls/view?usp=drivesdk")</f>
        <v>https://drive.google.com/file/d/189Sb48CFms1NmdjM2wTIeW9XVaeVeMls/view?usp=drivesdk</v>
      </c>
      <c r="C434" s="156" t="str">
        <f>IFERROR(__xludf.DUMMYFUNCTION("""COMPUTED_VALUE"""),"10.1037--dev0000499.pdf")</f>
        <v>10.1037--dev0000499.pdf</v>
      </c>
      <c r="D434" s="156" t="str">
        <f>IFERROR(__xludf.DUMMYFUNCTION("""COMPUTED_VALUE"""),"application/pdf")</f>
        <v>application/pdf</v>
      </c>
    </row>
    <row r="435">
      <c r="A435" s="156" t="str">
        <f>IFERROR(__xludf.DUMMYFUNCTION("""COMPUTED_VALUE"""),"10.1037/xhp0000383")</f>
        <v>10.1037/xhp0000383</v>
      </c>
      <c r="B435" s="677" t="str">
        <f>IFERROR(__xludf.DUMMYFUNCTION("""COMPUTED_VALUE"""),"https://drive.google.com/file/d/10hurbl9nS6fmXkrg4GlKo2phFHobMFbe/view?usp=drivesdk")</f>
        <v>https://drive.google.com/file/d/10hurbl9nS6fmXkrg4GlKo2phFHobMFbe/view?usp=drivesdk</v>
      </c>
      <c r="C435" s="156" t="str">
        <f>IFERROR(__xludf.DUMMYFUNCTION("""COMPUTED_VALUE"""),"10.1037--xhp0000383.pdf")</f>
        <v>10.1037--xhp0000383.pdf</v>
      </c>
      <c r="D435" s="156" t="str">
        <f>IFERROR(__xludf.DUMMYFUNCTION("""COMPUTED_VALUE"""),"application/pdf")</f>
        <v>application/pdf</v>
      </c>
    </row>
    <row r="436">
      <c r="A436" s="156" t="str">
        <f>IFERROR(__xludf.DUMMYFUNCTION("""COMPUTED_VALUE"""),"10.1037/xhp0000605")</f>
        <v>10.1037/xhp0000605</v>
      </c>
      <c r="B436" s="677" t="str">
        <f>IFERROR(__xludf.DUMMYFUNCTION("""COMPUTED_VALUE"""),"https://drive.google.com/file/d/1hfQPaevumxJWY4X3_PpHaWP-ePxFpP8K/view?usp=drivesdk")</f>
        <v>https://drive.google.com/file/d/1hfQPaevumxJWY4X3_PpHaWP-ePxFpP8K/view?usp=drivesdk</v>
      </c>
      <c r="C436" s="156" t="str">
        <f>IFERROR(__xludf.DUMMYFUNCTION("""COMPUTED_VALUE"""),"10.1037--xhp0000605.pdf")</f>
        <v>10.1037--xhp0000605.pdf</v>
      </c>
      <c r="D436" s="156" t="str">
        <f>IFERROR(__xludf.DUMMYFUNCTION("""COMPUTED_VALUE"""),"application/pdf")</f>
        <v>application/pdf</v>
      </c>
    </row>
    <row r="437">
      <c r="A437" s="156" t="str">
        <f>IFERROR(__xludf.DUMMYFUNCTION("""COMPUTED_VALUE"""),"10.1037/pst0000133")</f>
        <v>10.1037/pst0000133</v>
      </c>
      <c r="B437" s="677" t="str">
        <f>IFERROR(__xludf.DUMMYFUNCTION("""COMPUTED_VALUE"""),"https://drive.google.com/file/d/1NJ-8RgiOIK0KrPabafmBQ8LbMZ8hxtzJ/view?usp=drivesdk")</f>
        <v>https://drive.google.com/file/d/1NJ-8RgiOIK0KrPabafmBQ8LbMZ8hxtzJ/view?usp=drivesdk</v>
      </c>
      <c r="C437" s="156" t="str">
        <f>IFERROR(__xludf.DUMMYFUNCTION("""COMPUTED_VALUE"""),"10.1037--pst0000133.pdf")</f>
        <v>10.1037--pst0000133.pdf</v>
      </c>
      <c r="D437" s="156" t="str">
        <f>IFERROR(__xludf.DUMMYFUNCTION("""COMPUTED_VALUE"""),"application/pdf")</f>
        <v>application/pdf</v>
      </c>
    </row>
    <row r="438">
      <c r="A438" s="156" t="str">
        <f>IFERROR(__xludf.DUMMYFUNCTION("""COMPUTED_VALUE"""),"10.1037/xge0000595")</f>
        <v>10.1037/xge0000595</v>
      </c>
      <c r="B438" s="677" t="str">
        <f>IFERROR(__xludf.DUMMYFUNCTION("""COMPUTED_VALUE"""),"https://drive.google.com/file/d/1EL43ztfF_feMGsgKOFTG1SJrxpDl4-af/view?usp=drivesdk")</f>
        <v>https://drive.google.com/file/d/1EL43ztfF_feMGsgKOFTG1SJrxpDl4-af/view?usp=drivesdk</v>
      </c>
      <c r="C438" s="156" t="str">
        <f>IFERROR(__xludf.DUMMYFUNCTION("""COMPUTED_VALUE"""),"10.1037--xge0000595.pdf")</f>
        <v>10.1037--xge0000595.pdf</v>
      </c>
      <c r="D438" s="156" t="str">
        <f>IFERROR(__xludf.DUMMYFUNCTION("""COMPUTED_VALUE"""),"application/pdf")</f>
        <v>application/pdf</v>
      </c>
    </row>
    <row r="439">
      <c r="A439" s="156" t="str">
        <f>IFERROR(__xludf.DUMMYFUNCTION("""COMPUTED_VALUE"""),"10.1037/0096-1523.3.3.444")</f>
        <v>10.1037/0096-1523.3.3.444</v>
      </c>
      <c r="B439" s="677" t="str">
        <f>IFERROR(__xludf.DUMMYFUNCTION("""COMPUTED_VALUE"""),"https://drive.google.com/file/d/1e_cR2GlFgY2aeZapqCHrM2KPmJZfyRw7/view?usp=drivesdk")</f>
        <v>https://drive.google.com/file/d/1e_cR2GlFgY2aeZapqCHrM2KPmJZfyRw7/view?usp=drivesdk</v>
      </c>
      <c r="C439" s="156" t="str">
        <f>IFERROR(__xludf.DUMMYFUNCTION("""COMPUTED_VALUE"""),"10.1037--0096-1523.3.3.444.pdf")</f>
        <v>10.1037--0096-1523.3.3.444.pdf</v>
      </c>
      <c r="D439" s="156" t="str">
        <f>IFERROR(__xludf.DUMMYFUNCTION("""COMPUTED_VALUE"""),"application/pdf")</f>
        <v>application/pdf</v>
      </c>
    </row>
    <row r="440">
      <c r="A440" s="156" t="str">
        <f>IFERROR(__xludf.DUMMYFUNCTION("""COMPUTED_VALUE"""),"10.1037/lhb0000295")</f>
        <v>10.1037/lhb0000295</v>
      </c>
      <c r="B440" s="677" t="str">
        <f>IFERROR(__xludf.DUMMYFUNCTION("""COMPUTED_VALUE"""),"https://drive.google.com/file/d/1jPfVZ0dMwxbbwFVj65Khoc7JUkP-pmhI/view?usp=drivesdk")</f>
        <v>https://drive.google.com/file/d/1jPfVZ0dMwxbbwFVj65Khoc7JUkP-pmhI/view?usp=drivesdk</v>
      </c>
      <c r="C440" s="156" t="str">
        <f>IFERROR(__xludf.DUMMYFUNCTION("""COMPUTED_VALUE"""),"10.1037--lhb0000295.pdf")</f>
        <v>10.1037--lhb0000295.pdf</v>
      </c>
      <c r="D440" s="156" t="str">
        <f>IFERROR(__xludf.DUMMYFUNCTION("""COMPUTED_VALUE"""),"application/pdf")</f>
        <v>application/pdf</v>
      </c>
    </row>
    <row r="441">
      <c r="A441" s="156" t="str">
        <f>IFERROR(__xludf.DUMMYFUNCTION("""COMPUTED_VALUE"""),"10.1037/0022-3514.58.2.308")</f>
        <v>10.1037/0022-3514.58.2.308</v>
      </c>
      <c r="B441" s="677" t="str">
        <f>IFERROR(__xludf.DUMMYFUNCTION("""COMPUTED_VALUE"""),"https://drive.google.com/file/d/1U9dS52LdC9ZgN6m7GNmer6EnAXMNkLSU/view?usp=drivesdk")</f>
        <v>https://drive.google.com/file/d/1U9dS52LdC9ZgN6m7GNmer6EnAXMNkLSU/view?usp=drivesdk</v>
      </c>
      <c r="C441" s="156" t="str">
        <f>IFERROR(__xludf.DUMMYFUNCTION("""COMPUTED_VALUE"""),"10.1037--0022-3514.58.2.308.pdf")</f>
        <v>10.1037--0022-3514.58.2.308.pdf</v>
      </c>
      <c r="D441" s="156" t="str">
        <f>IFERROR(__xludf.DUMMYFUNCTION("""COMPUTED_VALUE"""),"application/pdf")</f>
        <v>application/pdf</v>
      </c>
    </row>
    <row r="442">
      <c r="A442" s="156" t="str">
        <f>IFERROR(__xludf.DUMMYFUNCTION("""COMPUTED_VALUE"""),"10.1016/j.jsp.2011.09.003")</f>
        <v>10.1016/j.jsp.2011.09.003</v>
      </c>
      <c r="B442" s="677" t="str">
        <f>IFERROR(__xludf.DUMMYFUNCTION("""COMPUTED_VALUE"""),"https://drive.google.com/file/d/10DDGp2B8Yn0wieAlLCpE3O3FmPIwTkH0/view?usp=drivesdk")</f>
        <v>https://drive.google.com/file/d/10DDGp2B8Yn0wieAlLCpE3O3FmPIwTkH0/view?usp=drivesdk</v>
      </c>
      <c r="C442" s="156" t="str">
        <f>IFERROR(__xludf.DUMMYFUNCTION("""COMPUTED_VALUE"""),"10.1016--j.jsp.2011.09.003.pdf")</f>
        <v>10.1016--j.jsp.2011.09.003.pdf</v>
      </c>
      <c r="D442" s="156" t="str">
        <f>IFERROR(__xludf.DUMMYFUNCTION("""COMPUTED_VALUE"""),"application/pdf")</f>
        <v>application/pdf</v>
      </c>
    </row>
    <row r="443">
      <c r="A443" s="156" t="str">
        <f>IFERROR(__xludf.DUMMYFUNCTION("""COMPUTED_VALUE"""),"10.1007/s10071-012-0510-1")</f>
        <v>10.1007/s10071-012-0510-1</v>
      </c>
      <c r="B443" s="677" t="str">
        <f>IFERROR(__xludf.DUMMYFUNCTION("""COMPUTED_VALUE"""),"https://drive.google.com/file/d/16m76DC9Npc0jCnGwsQ8nKrupD4QgliOl/view?usp=drivesdk")</f>
        <v>https://drive.google.com/file/d/16m76DC9Npc0jCnGwsQ8nKrupD4QgliOl/view?usp=drivesdk</v>
      </c>
      <c r="C443" s="156" t="str">
        <f>IFERROR(__xludf.DUMMYFUNCTION("""COMPUTED_VALUE"""),"10.1007--s10071-012-0510-1.pdf")</f>
        <v>10.1007--s10071-012-0510-1.pdf</v>
      </c>
      <c r="D443" s="156" t="str">
        <f>IFERROR(__xludf.DUMMYFUNCTION("""COMPUTED_VALUE"""),"application/pdf")</f>
        <v>application/pdf</v>
      </c>
    </row>
    <row r="444">
      <c r="A444" s="156" t="str">
        <f>IFERROR(__xludf.DUMMYFUNCTION("""COMPUTED_VALUE"""),"10.1016/j.cognition.2009.07.009")</f>
        <v>10.1016/j.cognition.2009.07.009</v>
      </c>
      <c r="B444" s="677" t="str">
        <f>IFERROR(__xludf.DUMMYFUNCTION("""COMPUTED_VALUE"""),"https://drive.google.com/file/d/1z_volmrfjJgRJnliCY1m7ue3JMQRWwlm/view?usp=drivesdk")</f>
        <v>https://drive.google.com/file/d/1z_volmrfjJgRJnliCY1m7ue3JMQRWwlm/view?usp=drivesdk</v>
      </c>
      <c r="C444" s="156" t="str">
        <f>IFERROR(__xludf.DUMMYFUNCTION("""COMPUTED_VALUE"""),"10.1016--j.cognition.2009.07.009.pdf")</f>
        <v>10.1016--j.cognition.2009.07.009.pdf</v>
      </c>
      <c r="D444" s="156" t="str">
        <f>IFERROR(__xludf.DUMMYFUNCTION("""COMPUTED_VALUE"""),"application/pdf")</f>
        <v>application/pdf</v>
      </c>
    </row>
    <row r="445">
      <c r="A445" s="156" t="str">
        <f>IFERROR(__xludf.DUMMYFUNCTION("""COMPUTED_VALUE"""),"10.1016/j.jrp.2017.02.004")</f>
        <v>10.1016/j.jrp.2017.02.004</v>
      </c>
      <c r="B445" s="677" t="str">
        <f>IFERROR(__xludf.DUMMYFUNCTION("""COMPUTED_VALUE"""),"https://drive.google.com/file/d/1zS_Iy8h521FYFiLZIvUKu37nU4BTMQ5h/view?usp=drivesdk")</f>
        <v>https://drive.google.com/file/d/1zS_Iy8h521FYFiLZIvUKu37nU4BTMQ5h/view?usp=drivesdk</v>
      </c>
      <c r="C445" s="156" t="str">
        <f>IFERROR(__xludf.DUMMYFUNCTION("""COMPUTED_VALUE"""),"10.1016--j.jrp.2017.02.004.pdf")</f>
        <v>10.1016--j.jrp.2017.02.004.pdf</v>
      </c>
      <c r="D445" s="156" t="str">
        <f>IFERROR(__xludf.DUMMYFUNCTION("""COMPUTED_VALUE"""),"application/pdf")</f>
        <v>application/pdf</v>
      </c>
    </row>
    <row r="446">
      <c r="A446" s="156" t="str">
        <f>IFERROR(__xludf.DUMMYFUNCTION("""COMPUTED_VALUE"""),"10.1080/02699931.2017.1394817")</f>
        <v>10.1080/02699931.2017.1394817</v>
      </c>
      <c r="B446" s="677" t="str">
        <f>IFERROR(__xludf.DUMMYFUNCTION("""COMPUTED_VALUE"""),"https://drive.google.com/file/d/1s0WlRsrZ01TxBU3MnX3vrQ0wV9s2gaGo/view?usp=drivesdk")</f>
        <v>https://drive.google.com/file/d/1s0WlRsrZ01TxBU3MnX3vrQ0wV9s2gaGo/view?usp=drivesdk</v>
      </c>
      <c r="C446" s="156" t="str">
        <f>IFERROR(__xludf.DUMMYFUNCTION("""COMPUTED_VALUE"""),"10.1080--02699931.2017.1394817.pdf")</f>
        <v>10.1080--02699931.2017.1394817.pdf</v>
      </c>
      <c r="D446" s="156" t="str">
        <f>IFERROR(__xludf.DUMMYFUNCTION("""COMPUTED_VALUE"""),"application/pdf")</f>
        <v>application/pdf</v>
      </c>
    </row>
    <row r="447">
      <c r="A447" s="156" t="str">
        <f>IFERROR(__xludf.DUMMYFUNCTION("""COMPUTED_VALUE"""),"10.1016/j.chiabu.2005.11.004")</f>
        <v>10.1016/j.chiabu.2005.11.004</v>
      </c>
      <c r="B447" s="677" t="str">
        <f>IFERROR(__xludf.DUMMYFUNCTION("""COMPUTED_VALUE"""),"https://drive.google.com/file/d/19nCVIQ6VnGPLHlanb3AKs-nW87NY5F3-/view?usp=drivesdk")</f>
        <v>https://drive.google.com/file/d/19nCVIQ6VnGPLHlanb3AKs-nW87NY5F3-/view?usp=drivesdk</v>
      </c>
      <c r="C447" s="156" t="str">
        <f>IFERROR(__xludf.DUMMYFUNCTION("""COMPUTED_VALUE"""),"10.1016--j.chiabu.2005.11.004.pdf")</f>
        <v>10.1016--j.chiabu.2005.11.004.pdf</v>
      </c>
      <c r="D447" s="156" t="str">
        <f>IFERROR(__xludf.DUMMYFUNCTION("""COMPUTED_VALUE"""),"application/pdf")</f>
        <v>application/pdf</v>
      </c>
    </row>
    <row r="448">
      <c r="A448" s="156" t="str">
        <f>IFERROR(__xludf.DUMMYFUNCTION("""COMPUTED_VALUE"""),"10.1027/1614-0001.27.2.87")</f>
        <v>10.1027/1614-0001.27.2.87</v>
      </c>
      <c r="B448" s="677" t="str">
        <f>IFERROR(__xludf.DUMMYFUNCTION("""COMPUTED_VALUE"""),"https://drive.google.com/file/d/1iNlAXnWfTRozYu1XlZqHS-gDutQkaC9V/view?usp=drivesdk")</f>
        <v>https://drive.google.com/file/d/1iNlAXnWfTRozYu1XlZqHS-gDutQkaC9V/view?usp=drivesdk</v>
      </c>
      <c r="C448" s="156" t="str">
        <f>IFERROR(__xludf.DUMMYFUNCTION("""COMPUTED_VALUE"""),"10.1027--1614-0001.27.2.87.pdf")</f>
        <v>10.1027--1614-0001.27.2.87.pdf</v>
      </c>
      <c r="D448" s="156" t="str">
        <f>IFERROR(__xludf.DUMMYFUNCTION("""COMPUTED_VALUE"""),"application/pdf")</f>
        <v>application/pdf</v>
      </c>
    </row>
    <row r="449">
      <c r="A449" s="156" t="str">
        <f>IFERROR(__xludf.DUMMYFUNCTION("""COMPUTED_VALUE"""),"10.21091/mppa.2008.1002")</f>
        <v>10.21091/mppa.2008.1002</v>
      </c>
      <c r="B449" s="677" t="str">
        <f>IFERROR(__xludf.DUMMYFUNCTION("""COMPUTED_VALUE"""),"https://drive.google.com/file/d/1JgZNoOa9FybjOpshO0wGXBOF8pwPjwiz/view?usp=drivesdk")</f>
        <v>https://drive.google.com/file/d/1JgZNoOa9FybjOpshO0wGXBOF8pwPjwiz/view?usp=drivesdk</v>
      </c>
      <c r="C449" s="156" t="str">
        <f>IFERROR(__xludf.DUMMYFUNCTION("""COMPUTED_VALUE"""),"10.21091--mppa.2008.1002.pdf")</f>
        <v>10.21091--mppa.2008.1002.pdf</v>
      </c>
      <c r="D449" s="156" t="str">
        <f>IFERROR(__xludf.DUMMYFUNCTION("""COMPUTED_VALUE"""),"application/pdf")</f>
        <v>application/pdf</v>
      </c>
    </row>
    <row r="450">
      <c r="A450" s="156" t="str">
        <f>IFERROR(__xludf.DUMMYFUNCTION("""COMPUTED_VALUE"""),"10.2196/jmir.2551")</f>
        <v>10.2196/jmir.2551</v>
      </c>
      <c r="B450" s="677" t="str">
        <f>IFERROR(__xludf.DUMMYFUNCTION("""COMPUTED_VALUE"""),"https://drive.google.com/file/d/1NI7K1hH--xMpo2uHfi_Wrqoa2SB84m9Z/view?usp=drivesdk")</f>
        <v>https://drive.google.com/file/d/1NI7K1hH--xMpo2uHfi_Wrqoa2SB84m9Z/view?usp=drivesdk</v>
      </c>
      <c r="C450" s="156" t="str">
        <f>IFERROR(__xludf.DUMMYFUNCTION("""COMPUTED_VALUE"""),"10.2196--jmir.2551.pdf")</f>
        <v>10.2196--jmir.2551.pdf</v>
      </c>
      <c r="D450" s="156" t="str">
        <f>IFERROR(__xludf.DUMMYFUNCTION("""COMPUTED_VALUE"""),"application/pdf")</f>
        <v>application/pdf</v>
      </c>
    </row>
    <row r="451">
      <c r="A451" s="156" t="str">
        <f>IFERROR(__xludf.DUMMYFUNCTION("""COMPUTED_VALUE"""),"10.1037/0022-3514.78.1.81")</f>
        <v>10.1037/0022-3514.78.1.81</v>
      </c>
      <c r="B451" s="677" t="str">
        <f>IFERROR(__xludf.DUMMYFUNCTION("""COMPUTED_VALUE"""),"https://drive.google.com/file/d/11hl35AxJdih8-lFEGgzscJ_yujZE6nkt/view?usp=drivesdk")</f>
        <v>https://drive.google.com/file/d/11hl35AxJdih8-lFEGgzscJ_yujZE6nkt/view?usp=drivesdk</v>
      </c>
      <c r="C451" s="156" t="str">
        <f>IFERROR(__xludf.DUMMYFUNCTION("""COMPUTED_VALUE"""),"10.1037--0022-3514.78.1.81.pdf")</f>
        <v>10.1037--0022-3514.78.1.81.pdf</v>
      </c>
      <c r="D451" s="156" t="str">
        <f>IFERROR(__xludf.DUMMYFUNCTION("""COMPUTED_VALUE"""),"application/pdf")</f>
        <v>application/pdf</v>
      </c>
    </row>
    <row r="452">
      <c r="A452" s="156" t="str">
        <f>IFERROR(__xludf.DUMMYFUNCTION("""COMPUTED_VALUE"""),"10.1016/j.appet.2016.07.009")</f>
        <v>10.1016/j.appet.2016.07.009</v>
      </c>
      <c r="B452" s="677" t="str">
        <f>IFERROR(__xludf.DUMMYFUNCTION("""COMPUTED_VALUE"""),"https://drive.google.com/file/d/1vBjyyS7jNQVYoeGReboKa5xH42VPt2sw/view?usp=drivesdk")</f>
        <v>https://drive.google.com/file/d/1vBjyyS7jNQVYoeGReboKa5xH42VPt2sw/view?usp=drivesdk</v>
      </c>
      <c r="C452" s="156" t="str">
        <f>IFERROR(__xludf.DUMMYFUNCTION("""COMPUTED_VALUE"""),"10.1016--j.appet.2016.07.009.pdf")</f>
        <v>10.1016--j.appet.2016.07.009.pdf</v>
      </c>
      <c r="D452" s="156" t="str">
        <f>IFERROR(__xludf.DUMMYFUNCTION("""COMPUTED_VALUE"""),"application/pdf")</f>
        <v>application/pdf</v>
      </c>
    </row>
    <row r="453">
      <c r="A453" s="156" t="str">
        <f>IFERROR(__xludf.DUMMYFUNCTION("""COMPUTED_VALUE"""),"10.1037/0096-3445.136.3.430")</f>
        <v>10.1037/0096-3445.136.3.430</v>
      </c>
      <c r="B453" s="677" t="str">
        <f>IFERROR(__xludf.DUMMYFUNCTION("""COMPUTED_VALUE"""),"https://drive.google.com/file/d/1SpxlykDLCl7RMd3XR0sk2MzBTckndlaS/view?usp=drivesdk")</f>
        <v>https://drive.google.com/file/d/1SpxlykDLCl7RMd3XR0sk2MzBTckndlaS/view?usp=drivesdk</v>
      </c>
      <c r="C453" s="156" t="str">
        <f>IFERROR(__xludf.DUMMYFUNCTION("""COMPUTED_VALUE"""),"10.1037--0096-3445.136.3.430.pdf")</f>
        <v>10.1037--0096-3445.136.3.430.pdf</v>
      </c>
      <c r="D453" s="156" t="str">
        <f>IFERROR(__xludf.DUMMYFUNCTION("""COMPUTED_VALUE"""),"application/pdf")</f>
        <v>application/pdf</v>
      </c>
    </row>
    <row r="454">
      <c r="A454" s="156" t="str">
        <f>IFERROR(__xludf.DUMMYFUNCTION("""COMPUTED_VALUE"""),"10.1037/xhp0000331")</f>
        <v>10.1037/xhp0000331</v>
      </c>
      <c r="B454" s="677" t="str">
        <f>IFERROR(__xludf.DUMMYFUNCTION("""COMPUTED_VALUE"""),"https://drive.google.com/file/d/1tnrtY2AGZh3sxH7hAyNkGXrh3VXkllfn/view?usp=drivesdk")</f>
        <v>https://drive.google.com/file/d/1tnrtY2AGZh3sxH7hAyNkGXrh3VXkllfn/view?usp=drivesdk</v>
      </c>
      <c r="C454" s="156" t="str">
        <f>IFERROR(__xludf.DUMMYFUNCTION("""COMPUTED_VALUE"""),"10.1037--xhp0000331.pdf")</f>
        <v>10.1037--xhp0000331.pdf</v>
      </c>
      <c r="D454" s="156" t="str">
        <f>IFERROR(__xludf.DUMMYFUNCTION("""COMPUTED_VALUE"""),"application/pdf")</f>
        <v>application/pdf</v>
      </c>
    </row>
    <row r="455">
      <c r="A455" s="156" t="str">
        <f>IFERROR(__xludf.DUMMYFUNCTION("""COMPUTED_VALUE"""),"10.3758/s13414-014-0802-4")</f>
        <v>10.3758/s13414-014-0802-4</v>
      </c>
      <c r="B455" s="677" t="str">
        <f>IFERROR(__xludf.DUMMYFUNCTION("""COMPUTED_VALUE"""),"https://drive.google.com/file/d/1TdZCuKlnyQMdvVEQilVLFtG0dCtKm22E/view?usp=drivesdk")</f>
        <v>https://drive.google.com/file/d/1TdZCuKlnyQMdvVEQilVLFtG0dCtKm22E/view?usp=drivesdk</v>
      </c>
      <c r="C455" s="156" t="str">
        <f>IFERROR(__xludf.DUMMYFUNCTION("""COMPUTED_VALUE"""),"10.3758--s13414-014-0802-4.pdf")</f>
        <v>10.3758--s13414-014-0802-4.pdf</v>
      </c>
      <c r="D455" s="156" t="str">
        <f>IFERROR(__xludf.DUMMYFUNCTION("""COMPUTED_VALUE"""),"application/pdf")</f>
        <v>application/pdf</v>
      </c>
    </row>
    <row r="456">
      <c r="A456" s="156" t="str">
        <f>IFERROR(__xludf.DUMMYFUNCTION("""COMPUTED_VALUE"""),"10.1037/xhp0000180")</f>
        <v>10.1037/xhp0000180</v>
      </c>
      <c r="B456" s="677" t="str">
        <f>IFERROR(__xludf.DUMMYFUNCTION("""COMPUTED_VALUE"""),"https://drive.google.com/file/d/1CaxkyK-Tso63dZIngc3kC3aS7PPxTe9j/view?usp=drivesdk")</f>
        <v>https://drive.google.com/file/d/1CaxkyK-Tso63dZIngc3kC3aS7PPxTe9j/view?usp=drivesdk</v>
      </c>
      <c r="C456" s="156" t="str">
        <f>IFERROR(__xludf.DUMMYFUNCTION("""COMPUTED_VALUE"""),"10.1037--xhp0000180.pdf")</f>
        <v>10.1037--xhp0000180.pdf</v>
      </c>
      <c r="D456" s="156" t="str">
        <f>IFERROR(__xludf.DUMMYFUNCTION("""COMPUTED_VALUE"""),"application/pdf")</f>
        <v>application/pdf</v>
      </c>
    </row>
    <row r="457">
      <c r="A457" s="156" t="str">
        <f>IFERROR(__xludf.DUMMYFUNCTION("""COMPUTED_VALUE"""),"10.1037/xge0000067")</f>
        <v>10.1037/xge0000067</v>
      </c>
      <c r="B457" s="677" t="str">
        <f>IFERROR(__xludf.DUMMYFUNCTION("""COMPUTED_VALUE"""),"https://drive.google.com/file/d/1pjJ_mexej_HCDWJOoBg_-5Xnqe2I7BQP/view?usp=drivesdk")</f>
        <v>https://drive.google.com/file/d/1pjJ_mexej_HCDWJOoBg_-5Xnqe2I7BQP/view?usp=drivesdk</v>
      </c>
      <c r="C457" s="156" t="str">
        <f>IFERROR(__xludf.DUMMYFUNCTION("""COMPUTED_VALUE"""),"10.1037--xge0000067.pdf")</f>
        <v>10.1037--xge0000067.pdf</v>
      </c>
      <c r="D457" s="156" t="str">
        <f>IFERROR(__xludf.DUMMYFUNCTION("""COMPUTED_VALUE"""),"application/pdf")</f>
        <v>application/pdf</v>
      </c>
    </row>
    <row r="458">
      <c r="A458" s="156" t="str">
        <f>IFERROR(__xludf.DUMMYFUNCTION("""COMPUTED_VALUE"""),"10.1027/1864-9335/a000188")</f>
        <v>10.1027/1864-9335/a000188</v>
      </c>
      <c r="B458" s="677" t="str">
        <f>IFERROR(__xludf.DUMMYFUNCTION("""COMPUTED_VALUE"""),"https://drive.google.com/file/d/1gIFaH8XjdZA95I3TztAnPRHTUvE4NZf9/view?usp=drivesdk")</f>
        <v>https://drive.google.com/file/d/1gIFaH8XjdZA95I3TztAnPRHTUvE4NZf9/view?usp=drivesdk</v>
      </c>
      <c r="C458" s="156" t="str">
        <f>IFERROR(__xludf.DUMMYFUNCTION("""COMPUTED_VALUE"""),"10.1027--1864-9335--a000188.pdf")</f>
        <v>10.1027--1864-9335--a000188.pdf</v>
      </c>
      <c r="D458" s="156" t="str">
        <f>IFERROR(__xludf.DUMMYFUNCTION("""COMPUTED_VALUE"""),"application/pdf")</f>
        <v>application/pdf</v>
      </c>
    </row>
    <row r="459">
      <c r="A459" s="156" t="str">
        <f>IFERROR(__xludf.DUMMYFUNCTION("""COMPUTED_VALUE"""),"10.1037/cep0000225")</f>
        <v>10.1037/cep0000225</v>
      </c>
      <c r="B459" s="677" t="str">
        <f>IFERROR(__xludf.DUMMYFUNCTION("""COMPUTED_VALUE"""),"https://drive.google.com/file/d/1uU-gCjIDWi8WD9XqUkSZVmwfEbyUznW8/view?usp=drivesdk")</f>
        <v>https://drive.google.com/file/d/1uU-gCjIDWi8WD9XqUkSZVmwfEbyUznW8/view?usp=drivesdk</v>
      </c>
      <c r="C459" s="156" t="str">
        <f>IFERROR(__xludf.DUMMYFUNCTION("""COMPUTED_VALUE"""),"10.1037--cep0000225.pdf")</f>
        <v>10.1037--cep0000225.pdf</v>
      </c>
      <c r="D459" s="156" t="str">
        <f>IFERROR(__xludf.DUMMYFUNCTION("""COMPUTED_VALUE"""),"application/pdf")</f>
        <v>application/pdf</v>
      </c>
    </row>
    <row r="460">
      <c r="A460" s="156" t="str">
        <f>IFERROR(__xludf.DUMMYFUNCTION("""COMPUTED_VALUE"""),"10.1027/1015-5759/a000481")</f>
        <v>10.1027/1015-5759/a000481</v>
      </c>
      <c r="B460" s="677" t="str">
        <f>IFERROR(__xludf.DUMMYFUNCTION("""COMPUTED_VALUE"""),"https://drive.google.com/file/d/1RpVITN8ah7IwxTNwb99QdNd3R25KYLqZ/view?usp=drivesdk")</f>
        <v>https://drive.google.com/file/d/1RpVITN8ah7IwxTNwb99QdNd3R25KYLqZ/view?usp=drivesdk</v>
      </c>
      <c r="C460" s="156" t="str">
        <f>IFERROR(__xludf.DUMMYFUNCTION("""COMPUTED_VALUE"""),"10.1027--1015-5759--a000481.pdf")</f>
        <v>10.1027--1015-5759--a000481.pdf</v>
      </c>
      <c r="D460" s="156" t="str">
        <f>IFERROR(__xludf.DUMMYFUNCTION("""COMPUTED_VALUE"""),"application/pdf")</f>
        <v>application/pdf</v>
      </c>
    </row>
    <row r="461">
      <c r="A461" s="156" t="str">
        <f>IFERROR(__xludf.DUMMYFUNCTION("""COMPUTED_VALUE"""),"10.1037/gdn0000121")</f>
        <v>10.1037/gdn0000121</v>
      </c>
      <c r="B461" s="677" t="str">
        <f>IFERROR(__xludf.DUMMYFUNCTION("""COMPUTED_VALUE"""),"https://drive.google.com/file/d/1GXFYL_KXrCpINA-p_KVupwToPo9ENZoH/view?usp=drivesdk")</f>
        <v>https://drive.google.com/file/d/1GXFYL_KXrCpINA-p_KVupwToPo9ENZoH/view?usp=drivesdk</v>
      </c>
      <c r="C461" s="156" t="str">
        <f>IFERROR(__xludf.DUMMYFUNCTION("""COMPUTED_VALUE"""),"10.1037--gdn0000121.pdf")</f>
        <v>10.1037--gdn0000121.pdf</v>
      </c>
      <c r="D461" s="156" t="str">
        <f>IFERROR(__xludf.DUMMYFUNCTION("""COMPUTED_VALUE"""),"application/pdf")</f>
        <v>application/pdf</v>
      </c>
    </row>
    <row r="462">
      <c r="A462" s="156" t="str">
        <f>IFERROR(__xludf.DUMMYFUNCTION("""COMPUTED_VALUE"""),"10.1525/collabra.337")</f>
        <v>10.1525/collabra.337</v>
      </c>
      <c r="B462" s="677" t="str">
        <f>IFERROR(__xludf.DUMMYFUNCTION("""COMPUTED_VALUE"""),"https://drive.google.com/file/d/1DQavlL_rW2Y3VYQP1kVKsj2ntiUNQWxZ/view?usp=drivesdk")</f>
        <v>https://drive.google.com/file/d/1DQavlL_rW2Y3VYQP1kVKsj2ntiUNQWxZ/view?usp=drivesdk</v>
      </c>
      <c r="C462" s="156" t="str">
        <f>IFERROR(__xludf.DUMMYFUNCTION("""COMPUTED_VALUE"""),"10.1525--collabra.337.pdf")</f>
        <v>10.1525--collabra.337.pdf</v>
      </c>
      <c r="D462" s="156" t="str">
        <f>IFERROR(__xludf.DUMMYFUNCTION("""COMPUTED_VALUE"""),"application/pdf")</f>
        <v>application/pdf</v>
      </c>
    </row>
    <row r="463">
      <c r="A463" s="156" t="str">
        <f>IFERROR(__xludf.DUMMYFUNCTION("""COMPUTED_VALUE"""),"10.1525/mp.2019.37.1.26")</f>
        <v>10.1525/mp.2019.37.1.26</v>
      </c>
      <c r="B463" s="677" t="str">
        <f>IFERROR(__xludf.DUMMYFUNCTION("""COMPUTED_VALUE"""),"https://drive.google.com/file/d/1GqaKToOKvlz6zi858wJ3zfKrsajcb-35/view?usp=drivesdk")</f>
        <v>https://drive.google.com/file/d/1GqaKToOKvlz6zi858wJ3zfKrsajcb-35/view?usp=drivesdk</v>
      </c>
      <c r="C463" s="156" t="str">
        <f>IFERROR(__xludf.DUMMYFUNCTION("""COMPUTED_VALUE"""),"10.1525--mp.2019.37.1.26.pdf")</f>
        <v>10.1525--mp.2019.37.1.26.pdf</v>
      </c>
      <c r="D463" s="156" t="str">
        <f>IFERROR(__xludf.DUMMYFUNCTION("""COMPUTED_VALUE"""),"application/pdf")</f>
        <v>application/pdf</v>
      </c>
    </row>
    <row r="464">
      <c r="A464" s="156" t="str">
        <f>IFERROR(__xludf.DUMMYFUNCTION("""COMPUTED_VALUE"""),"10.5334/pb-53-2-33")</f>
        <v>10.5334/pb-53-2-33</v>
      </c>
      <c r="B464" s="677" t="str">
        <f>IFERROR(__xludf.DUMMYFUNCTION("""COMPUTED_VALUE"""),"https://drive.google.com/file/d/1x4NI56w21VapyXcuGgFNdGv8DmkbYyIm/view?usp=drivesdk")</f>
        <v>https://drive.google.com/file/d/1x4NI56w21VapyXcuGgFNdGv8DmkbYyIm/view?usp=drivesdk</v>
      </c>
      <c r="C464" s="156" t="str">
        <f>IFERROR(__xludf.DUMMYFUNCTION("""COMPUTED_VALUE"""),"10.5334--pb-53-2-33.pdf")</f>
        <v>10.5334--pb-53-2-33.pdf</v>
      </c>
      <c r="D464" s="156" t="str">
        <f>IFERROR(__xludf.DUMMYFUNCTION("""COMPUTED_VALUE"""),"application/pdf")</f>
        <v>application/pdf</v>
      </c>
    </row>
    <row r="465">
      <c r="A465" s="156" t="str">
        <f>IFERROR(__xludf.DUMMYFUNCTION("""COMPUTED_VALUE"""),"10.1037/pspi0000218")</f>
        <v>10.1037/pspi0000218</v>
      </c>
      <c r="B465" s="677" t="str">
        <f>IFERROR(__xludf.DUMMYFUNCTION("""COMPUTED_VALUE"""),"https://drive.google.com/file/d/1vR06FdNyEytssJNLngm20V8kUMiVw3DY/view?usp=drivesdk")</f>
        <v>https://drive.google.com/file/d/1vR06FdNyEytssJNLngm20V8kUMiVw3DY/view?usp=drivesdk</v>
      </c>
      <c r="C465" s="156" t="str">
        <f>IFERROR(__xludf.DUMMYFUNCTION("""COMPUTED_VALUE"""),"10.1037--pspi0000218.pdf")</f>
        <v>10.1037--pspi0000218.pdf</v>
      </c>
      <c r="D465" s="156" t="str">
        <f>IFERROR(__xludf.DUMMYFUNCTION("""COMPUTED_VALUE"""),"application/pdf")</f>
        <v>application/pdf</v>
      </c>
    </row>
    <row r="466">
      <c r="A466" s="156" t="str">
        <f>IFERROR(__xludf.DUMMYFUNCTION("""COMPUTED_VALUE"""),"10.1027/1864-9335/a000236")</f>
        <v>10.1027/1864-9335/a000236</v>
      </c>
      <c r="B466" s="677" t="str">
        <f>IFERROR(__xludf.DUMMYFUNCTION("""COMPUTED_VALUE"""),"https://drive.google.com/file/d/1Cu-1t8OJNGvBi0AOJZIW6H8v58ySmuGI/view?usp=drivesdk")</f>
        <v>https://drive.google.com/file/d/1Cu-1t8OJNGvBi0AOJZIW6H8v58ySmuGI/view?usp=drivesdk</v>
      </c>
      <c r="C466" s="156" t="str">
        <f>IFERROR(__xludf.DUMMYFUNCTION("""COMPUTED_VALUE"""),"10.1027--1864-9335--a000236.pdf")</f>
        <v>10.1027--1864-9335--a000236.pdf</v>
      </c>
      <c r="D466" s="156" t="str">
        <f>IFERROR(__xludf.DUMMYFUNCTION("""COMPUTED_VALUE"""),"application/pdf")</f>
        <v>application/pdf</v>
      </c>
    </row>
    <row r="467">
      <c r="A467" s="156" t="str">
        <f>IFERROR(__xludf.DUMMYFUNCTION("""COMPUTED_VALUE"""),"10.1016/j.paid.2018.11.030")</f>
        <v>10.1016/j.paid.2018.11.030</v>
      </c>
      <c r="B467" s="677" t="str">
        <f>IFERROR(__xludf.DUMMYFUNCTION("""COMPUTED_VALUE"""),"https://drive.google.com/file/d/1Jj1O8c_9L34nAOJtKso9nfPa4g3Mfysr/view?usp=drivesdk")</f>
        <v>https://drive.google.com/file/d/1Jj1O8c_9L34nAOJtKso9nfPa4g3Mfysr/view?usp=drivesdk</v>
      </c>
      <c r="C467" s="156" t="str">
        <f>IFERROR(__xludf.DUMMYFUNCTION("""COMPUTED_VALUE"""),"10.1016--j.paid.2018.11.030.pdf")</f>
        <v>10.1016--j.paid.2018.11.030.pdf</v>
      </c>
      <c r="D467" s="156" t="str">
        <f>IFERROR(__xludf.DUMMYFUNCTION("""COMPUTED_VALUE"""),"application/pdf")</f>
        <v>application/pdf</v>
      </c>
    </row>
    <row r="468">
      <c r="A468" s="156" t="str">
        <f>IFERROR(__xludf.DUMMYFUNCTION("""COMPUTED_VALUE"""),"10.1037/xge0000363")</f>
        <v>10.1037/xge0000363</v>
      </c>
      <c r="B468" s="677" t="str">
        <f>IFERROR(__xludf.DUMMYFUNCTION("""COMPUTED_VALUE"""),"https://drive.google.com/file/d/1lEv0bZRjokbgXTUNzSA0h6exnegNkQSO/view?usp=drivesdk")</f>
        <v>https://drive.google.com/file/d/1lEv0bZRjokbgXTUNzSA0h6exnegNkQSO/view?usp=drivesdk</v>
      </c>
      <c r="C468" s="156" t="str">
        <f>IFERROR(__xludf.DUMMYFUNCTION("""COMPUTED_VALUE"""),"10.1037--xge0000363.pdf")</f>
        <v>10.1037--xge0000363.pdf</v>
      </c>
      <c r="D468" s="156" t="str">
        <f>IFERROR(__xludf.DUMMYFUNCTION("""COMPUTED_VALUE"""),"application/pdf")</f>
        <v>application/pdf</v>
      </c>
    </row>
    <row r="469">
      <c r="A469" s="156" t="str">
        <f>IFERROR(__xludf.DUMMYFUNCTION("""COMPUTED_VALUE"""),"10.1037/hea0000339")</f>
        <v>10.1037/hea0000339</v>
      </c>
      <c r="B469" s="677" t="str">
        <f>IFERROR(__xludf.DUMMYFUNCTION("""COMPUTED_VALUE"""),"https://drive.google.com/file/d/1pU-ErY9_5d1luT5mq4sd3ClC-Qp4_FmB/view?usp=drivesdk")</f>
        <v>https://drive.google.com/file/d/1pU-ErY9_5d1luT5mq4sd3ClC-Qp4_FmB/view?usp=drivesdk</v>
      </c>
      <c r="C469" s="156" t="str">
        <f>IFERROR(__xludf.DUMMYFUNCTION("""COMPUTED_VALUE"""),"10.1037--hea0000339.pdf")</f>
        <v>10.1037--hea0000339.pdf</v>
      </c>
      <c r="D469" s="156" t="str">
        <f>IFERROR(__xludf.DUMMYFUNCTION("""COMPUTED_VALUE"""),"application/pdf")</f>
        <v>application/pdf</v>
      </c>
    </row>
    <row r="470">
      <c r="A470" s="156" t="str">
        <f>IFERROR(__xludf.DUMMYFUNCTION("""COMPUTED_VALUE"""),"10.1027/1618-3169/a000272")</f>
        <v>10.1027/1618-3169/a000272</v>
      </c>
      <c r="B470" s="677" t="str">
        <f>IFERROR(__xludf.DUMMYFUNCTION("""COMPUTED_VALUE"""),"https://drive.google.com/file/d/1SHo9uaRoUt61BTr0U3JEHdYkT0-VW3By/view?usp=drivesdk")</f>
        <v>https://drive.google.com/file/d/1SHo9uaRoUt61BTr0U3JEHdYkT0-VW3By/view?usp=drivesdk</v>
      </c>
      <c r="C470" s="156" t="str">
        <f>IFERROR(__xludf.DUMMYFUNCTION("""COMPUTED_VALUE"""),"10.1027--1618-3169--a000272.pdf")</f>
        <v>10.1027--1618-3169--a000272.pdf</v>
      </c>
      <c r="D470" s="156" t="str">
        <f>IFERROR(__xludf.DUMMYFUNCTION("""COMPUTED_VALUE"""),"application/pdf")</f>
        <v>application/pdf</v>
      </c>
    </row>
    <row r="471">
      <c r="A471" s="156" t="str">
        <f>IFERROR(__xludf.DUMMYFUNCTION("""COMPUTED_VALUE"""),"10.1037/neu0000606")</f>
        <v>10.1037/neu0000606</v>
      </c>
      <c r="B471" s="677" t="str">
        <f>IFERROR(__xludf.DUMMYFUNCTION("""COMPUTED_VALUE"""),"https://drive.google.com/file/d/1qzW5JqJRzeu9m6gesSUyqoAmlStjA43I/view?usp=drivesdk")</f>
        <v>https://drive.google.com/file/d/1qzW5JqJRzeu9m6gesSUyqoAmlStjA43I/view?usp=drivesdk</v>
      </c>
      <c r="C471" s="156" t="str">
        <f>IFERROR(__xludf.DUMMYFUNCTION("""COMPUTED_VALUE"""),"10.1037--neu0000606.pdf")</f>
        <v>10.1037--neu0000606.pdf</v>
      </c>
      <c r="D471" s="156" t="str">
        <f>IFERROR(__xludf.DUMMYFUNCTION("""COMPUTED_VALUE"""),"application/pdf")</f>
        <v>application/pdf</v>
      </c>
    </row>
    <row r="472">
      <c r="A472" s="156" t="str">
        <f>IFERROR(__xludf.DUMMYFUNCTION("""COMPUTED_VALUE"""),"10.1037/xlm0000399")</f>
        <v>10.1037/xlm0000399</v>
      </c>
      <c r="B472" s="677" t="str">
        <f>IFERROR(__xludf.DUMMYFUNCTION("""COMPUTED_VALUE"""),"https://drive.google.com/file/d/1DqbmCE0koXHnNxn-CiJlr6S89vFA1rei/view?usp=drivesdk")</f>
        <v>https://drive.google.com/file/d/1DqbmCE0koXHnNxn-CiJlr6S89vFA1rei/view?usp=drivesdk</v>
      </c>
      <c r="C472" s="156" t="str">
        <f>IFERROR(__xludf.DUMMYFUNCTION("""COMPUTED_VALUE"""),"10.1037--xlm0000399.pdf")</f>
        <v>10.1037--xlm0000399.pdf</v>
      </c>
      <c r="D472" s="156" t="str">
        <f>IFERROR(__xludf.DUMMYFUNCTION("""COMPUTED_VALUE"""),"application/pdf")</f>
        <v>application/pdf</v>
      </c>
    </row>
    <row r="473">
      <c r="A473" s="156" t="str">
        <f>IFERROR(__xludf.DUMMYFUNCTION("""COMPUTED_VALUE"""),"10.1037/xhp0000483")</f>
        <v>10.1037/xhp0000483</v>
      </c>
      <c r="B473" s="677" t="str">
        <f>IFERROR(__xludf.DUMMYFUNCTION("""COMPUTED_VALUE"""),"https://drive.google.com/file/d/1i97cxJsLqvPvidMfhm1pdXUQaUG58YLH/view?usp=drivesdk")</f>
        <v>https://drive.google.com/file/d/1i97cxJsLqvPvidMfhm1pdXUQaUG58YLH/view?usp=drivesdk</v>
      </c>
      <c r="C473" s="156" t="str">
        <f>IFERROR(__xludf.DUMMYFUNCTION("""COMPUTED_VALUE"""),"10.1037--xhp0000483.pdf")</f>
        <v>10.1037--xhp0000483.pdf</v>
      </c>
      <c r="D473" s="156" t="str">
        <f>IFERROR(__xludf.DUMMYFUNCTION("""COMPUTED_VALUE"""),"application/pdf")</f>
        <v>application/pdf</v>
      </c>
    </row>
    <row r="474">
      <c r="A474" s="156" t="str">
        <f>IFERROR(__xludf.DUMMYFUNCTION("""COMPUTED_VALUE"""),"10.1016/j.infbeh.2011.09.007")</f>
        <v>10.1016/j.infbeh.2011.09.007</v>
      </c>
      <c r="B474" s="677" t="str">
        <f>IFERROR(__xludf.DUMMYFUNCTION("""COMPUTED_VALUE"""),"https://drive.google.com/file/d/1GrzwoPy_KXCYzere0iGBOB5QpMo0QXHW/view?usp=drivesdk")</f>
        <v>https://drive.google.com/file/d/1GrzwoPy_KXCYzere0iGBOB5QpMo0QXHW/view?usp=drivesdk</v>
      </c>
      <c r="C474" s="156" t="str">
        <f>IFERROR(__xludf.DUMMYFUNCTION("""COMPUTED_VALUE"""),"10.1016--j.infbeh.2011.09.007.pdf")</f>
        <v>10.1016--j.infbeh.2011.09.007.pdf</v>
      </c>
      <c r="D474" s="156" t="str">
        <f>IFERROR(__xludf.DUMMYFUNCTION("""COMPUTED_VALUE"""),"application/pdf")</f>
        <v>application/pdf</v>
      </c>
    </row>
    <row r="475">
      <c r="A475" s="156" t="str">
        <f>IFERROR(__xludf.DUMMYFUNCTION("""COMPUTED_VALUE"""),"10.3758/s13423-018-1503-0")</f>
        <v>10.3758/s13423-018-1503-0</v>
      </c>
      <c r="B475" s="677" t="str">
        <f>IFERROR(__xludf.DUMMYFUNCTION("""COMPUTED_VALUE"""),"https://drive.google.com/file/d/1nD3-iZ1nWk84gxQauX1rwDy2vl4lzHy1/view?usp=drivesdk")</f>
        <v>https://drive.google.com/file/d/1nD3-iZ1nWk84gxQauX1rwDy2vl4lzHy1/view?usp=drivesdk</v>
      </c>
      <c r="C475" s="156" t="str">
        <f>IFERROR(__xludf.DUMMYFUNCTION("""COMPUTED_VALUE"""),"10.3758--s13423-018-1503-0.pdf")</f>
        <v>10.3758--s13423-018-1503-0.pdf</v>
      </c>
      <c r="D475" s="156" t="str">
        <f>IFERROR(__xludf.DUMMYFUNCTION("""COMPUTED_VALUE"""),"application/pdf")</f>
        <v>application/pdf</v>
      </c>
    </row>
    <row r="476">
      <c r="A476" s="156" t="str">
        <f>IFERROR(__xludf.DUMMYFUNCTION("""COMPUTED_VALUE"""),"10.3758/s13423-020-01834-4")</f>
        <v>10.3758/s13423-020-01834-4</v>
      </c>
      <c r="B476" s="677" t="str">
        <f>IFERROR(__xludf.DUMMYFUNCTION("""COMPUTED_VALUE"""),"https://drive.google.com/file/d/1qERJwV5I4kjdIq5NbjsYgn1oZuQ5u6py/view?usp=drivesdk")</f>
        <v>https://drive.google.com/file/d/1qERJwV5I4kjdIq5NbjsYgn1oZuQ5u6py/view?usp=drivesdk</v>
      </c>
      <c r="C476" s="156" t="str">
        <f>IFERROR(__xludf.DUMMYFUNCTION("""COMPUTED_VALUE"""),"10.3758--s13423-020-01834-4.pdf")</f>
        <v>10.3758--s13423-020-01834-4.pdf</v>
      </c>
      <c r="D476" s="156" t="str">
        <f>IFERROR(__xludf.DUMMYFUNCTION("""COMPUTED_VALUE"""),"application/pdf")</f>
        <v>application/pdf</v>
      </c>
    </row>
    <row r="477">
      <c r="A477" s="156" t="str">
        <f>IFERROR(__xludf.DUMMYFUNCTION("""COMPUTED_VALUE"""),"10.3758/s13423-012-0250-x")</f>
        <v>10.3758/s13423-012-0250-x</v>
      </c>
      <c r="B477" s="677" t="str">
        <f>IFERROR(__xludf.DUMMYFUNCTION("""COMPUTED_VALUE"""),"https://drive.google.com/file/d/14M7-IkyWVfj3eY4hw0qFelu5WsEpipeb/view?usp=drivesdk")</f>
        <v>https://drive.google.com/file/d/14M7-IkyWVfj3eY4hw0qFelu5WsEpipeb/view?usp=drivesdk</v>
      </c>
      <c r="C477" s="156" t="str">
        <f>IFERROR(__xludf.DUMMYFUNCTION("""COMPUTED_VALUE"""),"10.3758--s13423-012-0250-x.pdf")</f>
        <v>10.3758--s13423-012-0250-x.pdf</v>
      </c>
      <c r="D477" s="156" t="str">
        <f>IFERROR(__xludf.DUMMYFUNCTION("""COMPUTED_VALUE"""),"application/pdf")</f>
        <v>application/pdf</v>
      </c>
    </row>
    <row r="478">
      <c r="A478" s="156" t="str">
        <f>IFERROR(__xludf.DUMMYFUNCTION("""COMPUTED_VALUE"""),"10.3758/s13423-014-0645-y")</f>
        <v>10.3758/s13423-014-0645-y</v>
      </c>
      <c r="B478" s="677" t="str">
        <f>IFERROR(__xludf.DUMMYFUNCTION("""COMPUTED_VALUE"""),"https://drive.google.com/file/d/1qJeSoowwY1PmRvutkQhS4ULIY3SaG9Pw/view?usp=drivesdk")</f>
        <v>https://drive.google.com/file/d/1qJeSoowwY1PmRvutkQhS4ULIY3SaG9Pw/view?usp=drivesdk</v>
      </c>
      <c r="C478" s="156" t="str">
        <f>IFERROR(__xludf.DUMMYFUNCTION("""COMPUTED_VALUE"""),"10.3758--s13423-014-0645-y.pdf")</f>
        <v>10.3758--s13423-014-0645-y.pdf</v>
      </c>
      <c r="D478" s="156" t="str">
        <f>IFERROR(__xludf.DUMMYFUNCTION("""COMPUTED_VALUE"""),"application/pdf")</f>
        <v>application/pdf</v>
      </c>
    </row>
    <row r="479">
      <c r="A479" s="156" t="str">
        <f>IFERROR(__xludf.DUMMYFUNCTION("""COMPUTED_VALUE"""),"10.3758/s13414-019-01715-6")</f>
        <v>10.3758/s13414-019-01715-6</v>
      </c>
      <c r="B479" s="677" t="str">
        <f>IFERROR(__xludf.DUMMYFUNCTION("""COMPUTED_VALUE"""),"https://drive.google.com/file/d/1LIpAnCD_qY_nhb2Uv3KtimlebkZZRxuB/view?usp=drivesdk")</f>
        <v>https://drive.google.com/file/d/1LIpAnCD_qY_nhb2Uv3KtimlebkZZRxuB/view?usp=drivesdk</v>
      </c>
      <c r="C479" s="156" t="str">
        <f>IFERROR(__xludf.DUMMYFUNCTION("""COMPUTED_VALUE"""),"10.3758--s13414-019-01715-6.pdf")</f>
        <v>10.3758--s13414-019-01715-6.pdf</v>
      </c>
      <c r="D479" s="156" t="str">
        <f>IFERROR(__xludf.DUMMYFUNCTION("""COMPUTED_VALUE"""),"application/pdf")</f>
        <v>application/pdf</v>
      </c>
    </row>
    <row r="480">
      <c r="A480" s="156" t="str">
        <f>IFERROR(__xludf.DUMMYFUNCTION("""COMPUTED_VALUE"""),"10.3758/s13414-018-01655-7")</f>
        <v>10.3758/s13414-018-01655-7</v>
      </c>
      <c r="B480" s="677" t="str">
        <f>IFERROR(__xludf.DUMMYFUNCTION("""COMPUTED_VALUE"""),"https://drive.google.com/file/d/1P7wYUg2mdfDHpizyWR-Lc6NmlbIvnsOb/view?usp=drivesdk")</f>
        <v>https://drive.google.com/file/d/1P7wYUg2mdfDHpizyWR-Lc6NmlbIvnsOb/view?usp=drivesdk</v>
      </c>
      <c r="C480" s="156" t="str">
        <f>IFERROR(__xludf.DUMMYFUNCTION("""COMPUTED_VALUE"""),"10.3758--s13414-018-01655-7.pdf")</f>
        <v>10.3758--s13414-018-01655-7.pdf</v>
      </c>
      <c r="D480" s="156" t="str">
        <f>IFERROR(__xludf.DUMMYFUNCTION("""COMPUTED_VALUE"""),"application/pdf")</f>
        <v>application/pdf</v>
      </c>
    </row>
    <row r="481">
      <c r="A481" s="156" t="str">
        <f>IFERROR(__xludf.DUMMYFUNCTION("""COMPUTED_VALUE"""),"10.3758/s13414-017-1360-3")</f>
        <v>10.3758/s13414-017-1360-3</v>
      </c>
      <c r="B481" s="677" t="str">
        <f>IFERROR(__xludf.DUMMYFUNCTION("""COMPUTED_VALUE"""),"https://drive.google.com/file/d/1_OW7cSGipialnxLe9tmXZ4efVfbQhbOh/view?usp=drivesdk")</f>
        <v>https://drive.google.com/file/d/1_OW7cSGipialnxLe9tmXZ4efVfbQhbOh/view?usp=drivesdk</v>
      </c>
      <c r="C481" s="156" t="str">
        <f>IFERROR(__xludf.DUMMYFUNCTION("""COMPUTED_VALUE"""),"10.3758--s13414-017-1360-3.pdf")</f>
        <v>10.3758--s13414-017-1360-3.pdf</v>
      </c>
      <c r="D481" s="156" t="str">
        <f>IFERROR(__xludf.DUMMYFUNCTION("""COMPUTED_VALUE"""),"application/pdf")</f>
        <v>application/pdf</v>
      </c>
    </row>
    <row r="482">
      <c r="A482" s="156" t="str">
        <f>IFERROR(__xludf.DUMMYFUNCTION("""COMPUTED_VALUE"""),"10.3758/s13414-017-1288-7")</f>
        <v>10.3758/s13414-017-1288-7</v>
      </c>
      <c r="B482" s="677" t="str">
        <f>IFERROR(__xludf.DUMMYFUNCTION("""COMPUTED_VALUE"""),"https://drive.google.com/file/d/1-cJaQM_AmenLnu0hUtdh3LIE6NGYHPlz/view?usp=drivesdk")</f>
        <v>https://drive.google.com/file/d/1-cJaQM_AmenLnu0hUtdh3LIE6NGYHPlz/view?usp=drivesdk</v>
      </c>
      <c r="C482" s="156" t="str">
        <f>IFERROR(__xludf.DUMMYFUNCTION("""COMPUTED_VALUE"""),"10.3758--s13414-017-1288-7.pdf")</f>
        <v>10.3758--s13414-017-1288-7.pdf</v>
      </c>
      <c r="D482" s="156" t="str">
        <f>IFERROR(__xludf.DUMMYFUNCTION("""COMPUTED_VALUE"""),"application/pdf")</f>
        <v>application/pdf</v>
      </c>
    </row>
    <row r="483">
      <c r="A483" s="156" t="str">
        <f>IFERROR(__xludf.DUMMYFUNCTION("""COMPUTED_VALUE"""),"10.3758/s13414-015-1036-9")</f>
        <v>10.3758/s13414-015-1036-9</v>
      </c>
      <c r="B483" s="677" t="str">
        <f>IFERROR(__xludf.DUMMYFUNCTION("""COMPUTED_VALUE"""),"https://drive.google.com/file/d/1_OMEmK-xGGxIcxXMudVcgb287sBrfI-c/view?usp=drivesdk")</f>
        <v>https://drive.google.com/file/d/1_OMEmK-xGGxIcxXMudVcgb287sBrfI-c/view?usp=drivesdk</v>
      </c>
      <c r="C483" s="156" t="str">
        <f>IFERROR(__xludf.DUMMYFUNCTION("""COMPUTED_VALUE"""),"10.3758--s13414-015-1036-9.pdf")</f>
        <v>10.3758--s13414-015-1036-9.pdf</v>
      </c>
      <c r="D483" s="156" t="str">
        <f>IFERROR(__xludf.DUMMYFUNCTION("""COMPUTED_VALUE"""),"application/pdf")</f>
        <v>application/pdf</v>
      </c>
    </row>
    <row r="484">
      <c r="A484" s="156" t="str">
        <f>IFERROR(__xludf.DUMMYFUNCTION("""COMPUTED_VALUE"""),"10.3758/s13414-014-0641-3")</f>
        <v>10.3758/s13414-014-0641-3</v>
      </c>
      <c r="B484" s="677" t="str">
        <f>IFERROR(__xludf.DUMMYFUNCTION("""COMPUTED_VALUE"""),"https://drive.google.com/file/d/1G0OoyvhuYrU7WZDuNhWFZwWlUOOVmyOv/view?usp=drivesdk")</f>
        <v>https://drive.google.com/file/d/1G0OoyvhuYrU7WZDuNhWFZwWlUOOVmyOv/view?usp=drivesdk</v>
      </c>
      <c r="C484" s="156" t="str">
        <f>IFERROR(__xludf.DUMMYFUNCTION("""COMPUTED_VALUE"""),"10.3758--s13414-014-0641-3.pdf")</f>
        <v>10.3758--s13414-014-0641-3.pdf</v>
      </c>
      <c r="D484" s="156" t="str">
        <f>IFERROR(__xludf.DUMMYFUNCTION("""COMPUTED_VALUE"""),"application/pdf")</f>
        <v>application/pdf</v>
      </c>
    </row>
    <row r="485">
      <c r="A485" s="156" t="str">
        <f>IFERROR(__xludf.DUMMYFUNCTION("""COMPUTED_VALUE"""),"10.3758/s13414-015-0950-1")</f>
        <v>10.3758/s13414-015-0950-1</v>
      </c>
      <c r="B485" s="677" t="str">
        <f>IFERROR(__xludf.DUMMYFUNCTION("""COMPUTED_VALUE"""),"https://drive.google.com/file/d/1pH8UjTqHvQA54nGuFmjvM5i_7vzv3rDT/view?usp=drivesdk")</f>
        <v>https://drive.google.com/file/d/1pH8UjTqHvQA54nGuFmjvM5i_7vzv3rDT/view?usp=drivesdk</v>
      </c>
      <c r="C485" s="156" t="str">
        <f>IFERROR(__xludf.DUMMYFUNCTION("""COMPUTED_VALUE"""),"10.3758--s13414-015-0950-1.pdf")</f>
        <v>10.3758--s13414-015-0950-1.pdf</v>
      </c>
      <c r="D485" s="156" t="str">
        <f>IFERROR(__xludf.DUMMYFUNCTION("""COMPUTED_VALUE"""),"application/pdf")</f>
        <v>application/pdf</v>
      </c>
    </row>
    <row r="486">
      <c r="A486" s="156" t="str">
        <f>IFERROR(__xludf.DUMMYFUNCTION("""COMPUTED_VALUE"""),"10.3389/fpsyg.2020.00551")</f>
        <v>10.3389/fpsyg.2020.00551</v>
      </c>
      <c r="B486" s="677" t="str">
        <f>IFERROR(__xludf.DUMMYFUNCTION("""COMPUTED_VALUE"""),"https://drive.google.com/file/d/1IrNVyMTx_bTlf5Hqc4VqZVke3TI05zBF/view?usp=drivesdk")</f>
        <v>https://drive.google.com/file/d/1IrNVyMTx_bTlf5Hqc4VqZVke3TI05zBF/view?usp=drivesdk</v>
      </c>
      <c r="C486" s="156" t="str">
        <f>IFERROR(__xludf.DUMMYFUNCTION("""COMPUTED_VALUE"""),"10.3389--fpsyg.2020.00551.pdf")</f>
        <v>10.3389--fpsyg.2020.00551.pdf</v>
      </c>
      <c r="D486" s="156" t="str">
        <f>IFERROR(__xludf.DUMMYFUNCTION("""COMPUTED_VALUE"""),"application/pdf")</f>
        <v>application/pdf</v>
      </c>
    </row>
    <row r="487">
      <c r="A487" s="156" t="str">
        <f>IFERROR(__xludf.DUMMYFUNCTION("""COMPUTED_VALUE"""),"10.3758/s13414-011-0183-x")</f>
        <v>10.3758/s13414-011-0183-x</v>
      </c>
      <c r="B487" s="677" t="str">
        <f>IFERROR(__xludf.DUMMYFUNCTION("""COMPUTED_VALUE"""),"https://drive.google.com/file/d/1fUw7SZkD_uHIUTBQKndZvh3FJSh0Nusj/view?usp=drivesdk")</f>
        <v>https://drive.google.com/file/d/1fUw7SZkD_uHIUTBQKndZvh3FJSh0Nusj/view?usp=drivesdk</v>
      </c>
      <c r="C487" s="156" t="str">
        <f>IFERROR(__xludf.DUMMYFUNCTION("""COMPUTED_VALUE"""),"10.3758--s13414-011-0183-x.pdf")</f>
        <v>10.3758--s13414-011-0183-x.pdf</v>
      </c>
      <c r="D487" s="156" t="str">
        <f>IFERROR(__xludf.DUMMYFUNCTION("""COMPUTED_VALUE"""),"application/pdf")</f>
        <v>application/pdf</v>
      </c>
    </row>
    <row r="488">
      <c r="A488" s="156" t="str">
        <f>IFERROR(__xludf.DUMMYFUNCTION("""COMPUTED_VALUE"""),"10.3389/fpsyg.2020.00079")</f>
        <v>10.3389/fpsyg.2020.00079</v>
      </c>
      <c r="B488" s="677" t="str">
        <f>IFERROR(__xludf.DUMMYFUNCTION("""COMPUTED_VALUE"""),"https://drive.google.com/file/d/1hFr4-jgHTEmYr7YSzBifQ5IOHWa7Pl9E/view?usp=drivesdk")</f>
        <v>https://drive.google.com/file/d/1hFr4-jgHTEmYr7YSzBifQ5IOHWa7Pl9E/view?usp=drivesdk</v>
      </c>
      <c r="C488" s="156" t="str">
        <f>IFERROR(__xludf.DUMMYFUNCTION("""COMPUTED_VALUE"""),"10.3389--fpsyg.2020.00079.pdf")</f>
        <v>10.3389--fpsyg.2020.00079.pdf</v>
      </c>
      <c r="D488" s="156" t="str">
        <f>IFERROR(__xludf.DUMMYFUNCTION("""COMPUTED_VALUE"""),"application/pdf")</f>
        <v>application/pdf</v>
      </c>
    </row>
    <row r="489">
      <c r="A489" s="156" t="str">
        <f>IFERROR(__xludf.DUMMYFUNCTION("""COMPUTED_VALUE"""),"10.3389/fpsyg.2016.01003")</f>
        <v>10.3389/fpsyg.2016.01003</v>
      </c>
      <c r="B489" s="677" t="str">
        <f>IFERROR(__xludf.DUMMYFUNCTION("""COMPUTED_VALUE"""),"https://drive.google.com/file/d/1VdIdLWVxUUUtmOmE-vgm5rpR4GCXm-ok/view?usp=drivesdk")</f>
        <v>https://drive.google.com/file/d/1VdIdLWVxUUUtmOmE-vgm5rpR4GCXm-ok/view?usp=drivesdk</v>
      </c>
      <c r="C489" s="156" t="str">
        <f>IFERROR(__xludf.DUMMYFUNCTION("""COMPUTED_VALUE"""),"10.3389--fpsyg.2016.01003.pdf")</f>
        <v>10.3389--fpsyg.2016.01003.pdf</v>
      </c>
      <c r="D489" s="156" t="str">
        <f>IFERROR(__xludf.DUMMYFUNCTION("""COMPUTED_VALUE"""),"application/pdf")</f>
        <v>application/pdf</v>
      </c>
    </row>
    <row r="490">
      <c r="A490" s="156" t="str">
        <f>IFERROR(__xludf.DUMMYFUNCTION("""COMPUTED_VALUE"""),"10.1177/1948550620937937")</f>
        <v>10.1177/1948550620937937</v>
      </c>
      <c r="B490" s="677" t="str">
        <f>IFERROR(__xludf.DUMMYFUNCTION("""COMPUTED_VALUE"""),"https://drive.google.com/file/d/1WUtQQHrljf7PtfBYdUBTJMxRn8sxQk7E/view?usp=drivesdk")</f>
        <v>https://drive.google.com/file/d/1WUtQQHrljf7PtfBYdUBTJMxRn8sxQk7E/view?usp=drivesdk</v>
      </c>
      <c r="C490" s="156" t="str">
        <f>IFERROR(__xludf.DUMMYFUNCTION("""COMPUTED_VALUE"""),"10.1177--1948550620937937.pdf")</f>
        <v>10.1177--1948550620937937.pdf</v>
      </c>
      <c r="D490" s="156" t="str">
        <f>IFERROR(__xludf.DUMMYFUNCTION("""COMPUTED_VALUE"""),"application/pdf")</f>
        <v>application/pdf</v>
      </c>
    </row>
    <row r="491">
      <c r="A491" s="156" t="str">
        <f>IFERROR(__xludf.DUMMYFUNCTION("""COMPUTED_VALUE"""),"10.1177/0301006620915421")</f>
        <v>10.1177/0301006620915421</v>
      </c>
      <c r="B491" s="677" t="str">
        <f>IFERROR(__xludf.DUMMYFUNCTION("""COMPUTED_VALUE"""),"https://drive.google.com/file/d/11vXVXqTk1ZS0xTI6dzcKs2EolcAACvMR/view?usp=drivesdk")</f>
        <v>https://drive.google.com/file/d/11vXVXqTk1ZS0xTI6dzcKs2EolcAACvMR/view?usp=drivesdk</v>
      </c>
      <c r="C491" s="156" t="str">
        <f>IFERROR(__xludf.DUMMYFUNCTION("""COMPUTED_VALUE"""),"10.1177--0301006620915421.pdf")</f>
        <v>10.1177--0301006620915421.pdf</v>
      </c>
      <c r="D491" s="156" t="str">
        <f>IFERROR(__xludf.DUMMYFUNCTION("""COMPUTED_VALUE"""),"application/pdf")</f>
        <v>application/pdf</v>
      </c>
    </row>
    <row r="492">
      <c r="A492" s="156" t="str">
        <f>IFERROR(__xludf.DUMMYFUNCTION("""COMPUTED_VALUE"""),"10.1177/1073191112450907")</f>
        <v>10.1177/1073191112450907</v>
      </c>
      <c r="B492" s="677" t="str">
        <f>IFERROR(__xludf.DUMMYFUNCTION("""COMPUTED_VALUE"""),"https://drive.google.com/file/d/1ZoZ7bFy8e_oROY1OPQFaJYZF56-kK6IF/view?usp=drivesdk")</f>
        <v>https://drive.google.com/file/d/1ZoZ7bFy8e_oROY1OPQFaJYZF56-kK6IF/view?usp=drivesdk</v>
      </c>
      <c r="C492" s="156" t="str">
        <f>IFERROR(__xludf.DUMMYFUNCTION("""COMPUTED_VALUE"""),"10.1177--1073191112450907.pdf")</f>
        <v>10.1177--1073191112450907.pdf</v>
      </c>
      <c r="D492" s="156" t="str">
        <f>IFERROR(__xludf.DUMMYFUNCTION("""COMPUTED_VALUE"""),"application/pdf")</f>
        <v>application/pdf</v>
      </c>
    </row>
    <row r="493">
      <c r="A493" s="156" t="str">
        <f>IFERROR(__xludf.DUMMYFUNCTION("""COMPUTED_VALUE"""),"10.1111/jcpp.13224")</f>
        <v>10.1111/jcpp.13224</v>
      </c>
      <c r="B493" s="677" t="str">
        <f>IFERROR(__xludf.DUMMYFUNCTION("""COMPUTED_VALUE"""),"https://drive.google.com/file/d/1dn1a4gLg5PLdy712BbJGJhezT0TYMsrc/view?usp=drivesdk")</f>
        <v>https://drive.google.com/file/d/1dn1a4gLg5PLdy712BbJGJhezT0TYMsrc/view?usp=drivesdk</v>
      </c>
      <c r="C493" s="156" t="str">
        <f>IFERROR(__xludf.DUMMYFUNCTION("""COMPUTED_VALUE"""),"10.1111--jcpp.13224.pdf")</f>
        <v>10.1111--jcpp.13224.pdf</v>
      </c>
      <c r="D493" s="156" t="str">
        <f>IFERROR(__xludf.DUMMYFUNCTION("""COMPUTED_VALUE"""),"application/pdf")</f>
        <v>application/pdf</v>
      </c>
    </row>
    <row r="494">
      <c r="A494" s="156" t="str">
        <f>IFERROR(__xludf.DUMMYFUNCTION("""COMPUTED_VALUE"""),"10.1111/j.2044-8295.2012.02107.x")</f>
        <v>10.1111/j.2044-8295.2012.02107.x</v>
      </c>
      <c r="B494" s="677" t="str">
        <f>IFERROR(__xludf.DUMMYFUNCTION("""COMPUTED_VALUE"""),"https://drive.google.com/file/d/1d0J439HUZYCCa5KilnSLacdTm3lD93Si/view?usp=drivesdk")</f>
        <v>https://drive.google.com/file/d/1d0J439HUZYCCa5KilnSLacdTm3lD93Si/view?usp=drivesdk</v>
      </c>
      <c r="C494" s="156" t="str">
        <f>IFERROR(__xludf.DUMMYFUNCTION("""COMPUTED_VALUE"""),"10.1111--j.2044-8295.2012.02107.x.pdf")</f>
        <v>10.1111--j.2044-8295.2012.02107.x.pdf</v>
      </c>
      <c r="D494" s="156" t="str">
        <f>IFERROR(__xludf.DUMMYFUNCTION("""COMPUTED_VALUE"""),"application/pdf")</f>
        <v>application/pdf</v>
      </c>
    </row>
    <row r="495">
      <c r="A495" s="156" t="str">
        <f>IFERROR(__xludf.DUMMYFUNCTION("""COMPUTED_VALUE"""),"10.1111/cdev.12381")</f>
        <v>10.1111/cdev.12381</v>
      </c>
      <c r="B495" s="677" t="str">
        <f>IFERROR(__xludf.DUMMYFUNCTION("""COMPUTED_VALUE"""),"https://drive.google.com/file/d/1gDoDULeuVLOPrKx75VM5XT6J6o-QuO9x/view?usp=drivesdk")</f>
        <v>https://drive.google.com/file/d/1gDoDULeuVLOPrKx75VM5XT6J6o-QuO9x/view?usp=drivesdk</v>
      </c>
      <c r="C495" s="156" t="str">
        <f>IFERROR(__xludf.DUMMYFUNCTION("""COMPUTED_VALUE"""),"10.1111--cdev.12381.pdf")</f>
        <v>10.1111--cdev.12381.pdf</v>
      </c>
      <c r="D495" s="156" t="str">
        <f>IFERROR(__xludf.DUMMYFUNCTION("""COMPUTED_VALUE"""),"application/pdf")</f>
        <v>application/pdf</v>
      </c>
    </row>
    <row r="496">
      <c r="A496" s="156" t="str">
        <f>IFERROR(__xludf.DUMMYFUNCTION("""COMPUTED_VALUE"""),"10.1097/psy.0b013e318227a9bc")</f>
        <v>10.1097/psy.0b013e318227a9bc</v>
      </c>
      <c r="B496" s="677" t="str">
        <f>IFERROR(__xludf.DUMMYFUNCTION("""COMPUTED_VALUE"""),"https://drive.google.com/file/d/1B-klQ6VcjFDo5YSJOyapoB7mniiHyJM-/view?usp=drivesdk")</f>
        <v>https://drive.google.com/file/d/1B-klQ6VcjFDo5YSJOyapoB7mniiHyJM-/view?usp=drivesdk</v>
      </c>
      <c r="C496" s="156" t="str">
        <f>IFERROR(__xludf.DUMMYFUNCTION("""COMPUTED_VALUE"""),"10.1097--PSY.0b013e318227a9bc.pdf")</f>
        <v>10.1097--PSY.0b013e318227a9bc.pdf</v>
      </c>
      <c r="D496" s="156" t="str">
        <f>IFERROR(__xludf.DUMMYFUNCTION("""COMPUTED_VALUE"""),"application/pdf")</f>
        <v>application/pdf</v>
      </c>
    </row>
    <row r="497">
      <c r="A497" s="156" t="str">
        <f>IFERROR(__xludf.DUMMYFUNCTION("""COMPUTED_VALUE"""),"10.1080/17470218.2017.1307427")</f>
        <v>10.1080/17470218.2017.1307427</v>
      </c>
      <c r="B497" s="677" t="str">
        <f>IFERROR(__xludf.DUMMYFUNCTION("""COMPUTED_VALUE"""),"https://drive.google.com/file/d/1BJJnDqtGCA2RwvFM6nYRkjOjGvKuVPie/view?usp=drivesdk")</f>
        <v>https://drive.google.com/file/d/1BJJnDqtGCA2RwvFM6nYRkjOjGvKuVPie/view?usp=drivesdk</v>
      </c>
      <c r="C497" s="156" t="str">
        <f>IFERROR(__xludf.DUMMYFUNCTION("""COMPUTED_VALUE"""),"10.1080--17470218.2017.1307427.pdf")</f>
        <v>10.1080--17470218.2017.1307427.pdf</v>
      </c>
      <c r="D497" s="156" t="str">
        <f>IFERROR(__xludf.DUMMYFUNCTION("""COMPUTED_VALUE"""),"application/pdf")</f>
        <v>application/pdf</v>
      </c>
    </row>
    <row r="498">
      <c r="A498" s="156" t="str">
        <f>IFERROR(__xludf.DUMMYFUNCTION("""COMPUTED_VALUE"""),"10.1111/apps.12176")</f>
        <v>10.1111/apps.12176</v>
      </c>
      <c r="B498" s="677" t="str">
        <f>IFERROR(__xludf.DUMMYFUNCTION("""COMPUTED_VALUE"""),"https://drive.google.com/file/d/1kZIid5fynCnPwgUntQz2bOZyjP3neLUq/view?usp=drivesdk")</f>
        <v>https://drive.google.com/file/d/1kZIid5fynCnPwgUntQz2bOZyjP3neLUq/view?usp=drivesdk</v>
      </c>
      <c r="C498" s="156" t="str">
        <f>IFERROR(__xludf.DUMMYFUNCTION("""COMPUTED_VALUE"""),"10.1111--apps.12176.pdf")</f>
        <v>10.1111--apps.12176.pdf</v>
      </c>
      <c r="D498" s="156" t="str">
        <f>IFERROR(__xludf.DUMMYFUNCTION("""COMPUTED_VALUE"""),"application/pdf")</f>
        <v>application/pdf</v>
      </c>
    </row>
    <row r="499">
      <c r="A499" s="156" t="str">
        <f>IFERROR(__xludf.DUMMYFUNCTION("""COMPUTED_VALUE"""),"10.1080/17470218.2015.1049624")</f>
        <v>10.1080/17470218.2015.1049624</v>
      </c>
      <c r="B499" s="677" t="str">
        <f>IFERROR(__xludf.DUMMYFUNCTION("""COMPUTED_VALUE"""),"https://drive.google.com/file/d/14u7Em6PY2XtQDFetT5115-mZHxqTv21F/view?usp=drivesdk")</f>
        <v>https://drive.google.com/file/d/14u7Em6PY2XtQDFetT5115-mZHxqTv21F/view?usp=drivesdk</v>
      </c>
      <c r="C499" s="156" t="str">
        <f>IFERROR(__xludf.DUMMYFUNCTION("""COMPUTED_VALUE"""),"10.1080--17470218.2015.1049624.pdf")</f>
        <v>10.1080--17470218.2015.1049624.pdf</v>
      </c>
      <c r="D499" s="156" t="str">
        <f>IFERROR(__xludf.DUMMYFUNCTION("""COMPUTED_VALUE"""),"application/pdf")</f>
        <v>application/pdf</v>
      </c>
    </row>
    <row r="500">
      <c r="A500" s="156" t="str">
        <f>IFERROR(__xludf.DUMMYFUNCTION("""COMPUTED_VALUE"""),"10.1080/17470218.2011.582126")</f>
        <v>10.1080/17470218.2011.582126</v>
      </c>
      <c r="B500" s="677" t="str">
        <f>IFERROR(__xludf.DUMMYFUNCTION("""COMPUTED_VALUE"""),"https://drive.google.com/file/d/1IgKtD8jabQllXituIofroEOo9fB9Orqh/view?usp=drivesdk")</f>
        <v>https://drive.google.com/file/d/1IgKtD8jabQllXituIofroEOo9fB9Orqh/view?usp=drivesdk</v>
      </c>
      <c r="C500" s="156" t="str">
        <f>IFERROR(__xludf.DUMMYFUNCTION("""COMPUTED_VALUE"""),"10.1080--17470218.2011.582126.pdf")</f>
        <v>10.1080--17470218.2011.582126.pdf</v>
      </c>
      <c r="D500" s="156" t="str">
        <f>IFERROR(__xludf.DUMMYFUNCTION("""COMPUTED_VALUE"""),"application/pdf")</f>
        <v>application/pdf</v>
      </c>
    </row>
    <row r="501">
      <c r="A501" s="156" t="str">
        <f>IFERROR(__xludf.DUMMYFUNCTION("""COMPUTED_VALUE"""),"10.1080/17470218.2010.533440")</f>
        <v>10.1080/17470218.2010.533440</v>
      </c>
      <c r="B501" s="677" t="str">
        <f>IFERROR(__xludf.DUMMYFUNCTION("""COMPUTED_VALUE"""),"https://drive.google.com/file/d/1aTwCR34zsNrEqVnS5Rpcc2VFXM5ds4FM/view?usp=drivesdk")</f>
        <v>https://drive.google.com/file/d/1aTwCR34zsNrEqVnS5Rpcc2VFXM5ds4FM/view?usp=drivesdk</v>
      </c>
      <c r="C501" s="156" t="str">
        <f>IFERROR(__xludf.DUMMYFUNCTION("""COMPUTED_VALUE"""),"10.1080--17470218.2010.533440.pdf")</f>
        <v>10.1080--17470218.2010.533440.pdf</v>
      </c>
      <c r="D501" s="156" t="str">
        <f>IFERROR(__xludf.DUMMYFUNCTION("""COMPUTED_VALUE"""),"application/pdf")</f>
        <v>application/pdf</v>
      </c>
    </row>
    <row r="502">
      <c r="A502" s="156" t="str">
        <f>IFERROR(__xludf.DUMMYFUNCTION("""COMPUTED_VALUE"""),"10.1080/17439760.2011.570367")</f>
        <v>10.1080/17439760.2011.570367</v>
      </c>
      <c r="B502" s="677" t="str">
        <f>IFERROR(__xludf.DUMMYFUNCTION("""COMPUTED_VALUE"""),"https://drive.google.com/file/d/1omR1E_287y0ccIGES_pkcPdSBWMVOwau/view?usp=drivesdk")</f>
        <v>https://drive.google.com/file/d/1omR1E_287y0ccIGES_pkcPdSBWMVOwau/view?usp=drivesdk</v>
      </c>
      <c r="C502" s="156" t="str">
        <f>IFERROR(__xludf.DUMMYFUNCTION("""COMPUTED_VALUE"""),"10.1080--17439760.2011.570367.pdf")</f>
        <v>10.1080--17439760.2011.570367.pdf</v>
      </c>
      <c r="D502" s="156" t="str">
        <f>IFERROR(__xludf.DUMMYFUNCTION("""COMPUTED_VALUE"""),"application/pdf")</f>
        <v>application/pdf</v>
      </c>
    </row>
    <row r="503">
      <c r="A503" s="156" t="str">
        <f>IFERROR(__xludf.DUMMYFUNCTION("""COMPUTED_VALUE"""),"10.1080/13506285.2012.663416")</f>
        <v>10.1080/13506285.2012.663416</v>
      </c>
      <c r="B503" s="677" t="str">
        <f>IFERROR(__xludf.DUMMYFUNCTION("""COMPUTED_VALUE"""),"https://drive.google.com/file/d/1Z3j-GYmYTaTznFvifGqn7i6RJJ1lfSuV/view?usp=drivesdk")</f>
        <v>https://drive.google.com/file/d/1Z3j-GYmYTaTznFvifGqn7i6RJJ1lfSuV/view?usp=drivesdk</v>
      </c>
      <c r="C503" s="156" t="str">
        <f>IFERROR(__xludf.DUMMYFUNCTION("""COMPUTED_VALUE"""),"10.1080--13506285.2012.663416.pdf")</f>
        <v>10.1080--13506285.2012.663416.pdf</v>
      </c>
      <c r="D503" s="156" t="str">
        <f>IFERROR(__xludf.DUMMYFUNCTION("""COMPUTED_VALUE"""),"application/pdf")</f>
        <v>application/pdf</v>
      </c>
    </row>
    <row r="504">
      <c r="A504" s="156" t="str">
        <f>IFERROR(__xludf.DUMMYFUNCTION("""COMPUTED_VALUE"""),"10.1080/1357650x.2010.506690")</f>
        <v>10.1080/1357650x.2010.506690</v>
      </c>
      <c r="B504" s="677" t="str">
        <f>IFERROR(__xludf.DUMMYFUNCTION("""COMPUTED_VALUE"""),"https://drive.google.com/file/d/1fCISpYasktPoFRN0Myss5J4MijpvlwTW/view?usp=drivesdk")</f>
        <v>https://drive.google.com/file/d/1fCISpYasktPoFRN0Myss5J4MijpvlwTW/view?usp=drivesdk</v>
      </c>
      <c r="C504" s="156" t="str">
        <f>IFERROR(__xludf.DUMMYFUNCTION("""COMPUTED_VALUE"""),"10.1080--1357650X.2010.506690.pdf")</f>
        <v>10.1080--1357650X.2010.506690.pdf</v>
      </c>
      <c r="D504" s="156" t="str">
        <f>IFERROR(__xludf.DUMMYFUNCTION("""COMPUTED_VALUE"""),"application/pdf")</f>
        <v>application/pdf</v>
      </c>
    </row>
    <row r="505">
      <c r="A505" s="156" t="str">
        <f>IFERROR(__xludf.DUMMYFUNCTION("""COMPUTED_VALUE"""),"10.1080/15298868.2018.1465846")</f>
        <v>10.1080/15298868.2018.1465846</v>
      </c>
      <c r="B505" s="677" t="str">
        <f>IFERROR(__xludf.DUMMYFUNCTION("""COMPUTED_VALUE"""),"https://drive.google.com/file/d/1jqQLxaW0DJnb5Ilyxo3zqAwagggjh2pL/view?usp=drivesdk")</f>
        <v>https://drive.google.com/file/d/1jqQLxaW0DJnb5Ilyxo3zqAwagggjh2pL/view?usp=drivesdk</v>
      </c>
      <c r="C505" s="156" t="str">
        <f>IFERROR(__xludf.DUMMYFUNCTION("""COMPUTED_VALUE"""),"10.1080--15298868.2018.1465846.pdf")</f>
        <v>10.1080--15298868.2018.1465846.pdf</v>
      </c>
      <c r="D505" s="156" t="str">
        <f>IFERROR(__xludf.DUMMYFUNCTION("""COMPUTED_VALUE"""),"application/pdf")</f>
        <v>application/pdf</v>
      </c>
    </row>
    <row r="506">
      <c r="A506" s="156" t="str">
        <f>IFERROR(__xludf.DUMMYFUNCTION("""COMPUTED_VALUE"""),"10.1080/0163853x.2018.1515556")</f>
        <v>10.1080/0163853x.2018.1515556</v>
      </c>
      <c r="B506" s="677" t="str">
        <f>IFERROR(__xludf.DUMMYFUNCTION("""COMPUTED_VALUE"""),"https://drive.google.com/file/d/1UGC3b7krG3oJ8u8s822kpJoBygN9UGhC/view?usp=drivesdk")</f>
        <v>https://drive.google.com/file/d/1UGC3b7krG3oJ8u8s822kpJoBygN9UGhC/view?usp=drivesdk</v>
      </c>
      <c r="C506" s="156" t="str">
        <f>IFERROR(__xludf.DUMMYFUNCTION("""COMPUTED_VALUE"""),"10.1080--0163853X.2018.1515556.pdf")</f>
        <v>10.1080--0163853X.2018.1515556.pdf</v>
      </c>
      <c r="D506" s="156" t="str">
        <f>IFERROR(__xludf.DUMMYFUNCTION("""COMPUTED_VALUE"""),"application/pdf")</f>
        <v>application/pdf</v>
      </c>
    </row>
    <row r="507">
      <c r="A507" s="156" t="str">
        <f>IFERROR(__xludf.DUMMYFUNCTION("""COMPUTED_VALUE"""),"10.1080/00224545.2018.1491470")</f>
        <v>10.1080/00224545.2018.1491470</v>
      </c>
      <c r="B507" s="677" t="str">
        <f>IFERROR(__xludf.DUMMYFUNCTION("""COMPUTED_VALUE"""),"https://drive.google.com/file/d/1hMvLSTpx8nWLZWeysIdJuwN0X9hkRuiz/view?usp=drivesdk")</f>
        <v>https://drive.google.com/file/d/1hMvLSTpx8nWLZWeysIdJuwN0X9hkRuiz/view?usp=drivesdk</v>
      </c>
      <c r="C507" s="156" t="str">
        <f>IFERROR(__xludf.DUMMYFUNCTION("""COMPUTED_VALUE"""),"10.1080--00224545.2018.1491470.pdf")</f>
        <v>10.1080--00224545.2018.1491470.pdf</v>
      </c>
      <c r="D507" s="156" t="str">
        <f>IFERROR(__xludf.DUMMYFUNCTION("""COMPUTED_VALUE"""),"application/pdf")</f>
        <v>application/pdf</v>
      </c>
    </row>
    <row r="508">
      <c r="A508" s="156" t="str">
        <f>IFERROR(__xludf.DUMMYFUNCTION("""COMPUTED_VALUE"""),"10.1080/09658211.2019.1661494")</f>
        <v>10.1080/09658211.2019.1661494</v>
      </c>
      <c r="B508" s="677" t="str">
        <f>IFERROR(__xludf.DUMMYFUNCTION("""COMPUTED_VALUE"""),"https://drive.google.com/file/d/1pjbdT8T05B8fcfdSmmw3QKOoALt3a8U3/view?usp=drivesdk")</f>
        <v>https://drive.google.com/file/d/1pjbdT8T05B8fcfdSmmw3QKOoALt3a8U3/view?usp=drivesdk</v>
      </c>
      <c r="C508" s="156" t="str">
        <f>IFERROR(__xludf.DUMMYFUNCTION("""COMPUTED_VALUE"""),"10.1080--09658211.2019.1661494.pdf")</f>
        <v>10.1080--09658211.2019.1661494.pdf</v>
      </c>
      <c r="D508" s="156" t="str">
        <f>IFERROR(__xludf.DUMMYFUNCTION("""COMPUTED_VALUE"""),"application/pdf")</f>
        <v>application/pdf</v>
      </c>
    </row>
    <row r="509">
      <c r="A509" s="156" t="str">
        <f>IFERROR(__xludf.DUMMYFUNCTION("""COMPUTED_VALUE"""),"10.1037/a0039508")</f>
        <v>10.1037/a0039508</v>
      </c>
      <c r="B509" s="677" t="str">
        <f>IFERROR(__xludf.DUMMYFUNCTION("""COMPUTED_VALUE"""),"https://drive.google.com/file/d/1GRTqbCWAEBCV2QfRHU13UrkkwGZPmzAG/view?usp=drivesdk")</f>
        <v>https://drive.google.com/file/d/1GRTqbCWAEBCV2QfRHU13UrkkwGZPmzAG/view?usp=drivesdk</v>
      </c>
      <c r="C509" s="156" t="str">
        <f>IFERROR(__xludf.DUMMYFUNCTION("""COMPUTED_VALUE"""),"10.1037--a0039508.pdf")</f>
        <v>10.1037--a0039508.pdf</v>
      </c>
      <c r="D509" s="156" t="str">
        <f>IFERROR(__xludf.DUMMYFUNCTION("""COMPUTED_VALUE"""),"application/pdf")</f>
        <v>application/pdf</v>
      </c>
    </row>
    <row r="510">
      <c r="A510" s="156" t="str">
        <f>IFERROR(__xludf.DUMMYFUNCTION("""COMPUTED_VALUE"""),"10.1037/a0028585")</f>
        <v>10.1037/a0028585</v>
      </c>
      <c r="B510" s="677" t="str">
        <f>IFERROR(__xludf.DUMMYFUNCTION("""COMPUTED_VALUE"""),"https://drive.google.com/file/d/1b_OxExSYYVolsLS5Yqo5u_ej_T6vY1eh/view?usp=drivesdk")</f>
        <v>https://drive.google.com/file/d/1b_OxExSYYVolsLS5Yqo5u_ej_T6vY1eh/view?usp=drivesdk</v>
      </c>
      <c r="C510" s="156" t="str">
        <f>IFERROR(__xludf.DUMMYFUNCTION("""COMPUTED_VALUE"""),"10.1037--a0028585.pdf")</f>
        <v>10.1037--a0028585.pdf</v>
      </c>
      <c r="D510" s="156" t="str">
        <f>IFERROR(__xludf.DUMMYFUNCTION("""COMPUTED_VALUE"""),"application/pdf")</f>
        <v>application/pdf</v>
      </c>
    </row>
    <row r="511">
      <c r="A511" s="156" t="str">
        <f>IFERROR(__xludf.DUMMYFUNCTION("""COMPUTED_VALUE"""),"10.1037/a0027210")</f>
        <v>10.1037/a0027210</v>
      </c>
      <c r="B511" s="677" t="str">
        <f>IFERROR(__xludf.DUMMYFUNCTION("""COMPUTED_VALUE"""),"https://drive.google.com/file/d/169Td0Bt44wDGjDK_tDhgAEVPDzq0e4Q0/view?usp=drivesdk")</f>
        <v>https://drive.google.com/file/d/169Td0Bt44wDGjDK_tDhgAEVPDzq0e4Q0/view?usp=drivesdk</v>
      </c>
      <c r="C511" s="156" t="str">
        <f>IFERROR(__xludf.DUMMYFUNCTION("""COMPUTED_VALUE"""),"10.1037--a0027210.pdf")</f>
        <v>10.1037--a0027210.pdf</v>
      </c>
      <c r="D511" s="156" t="str">
        <f>IFERROR(__xludf.DUMMYFUNCTION("""COMPUTED_VALUE"""),"application/pdf")</f>
        <v>application/pdf</v>
      </c>
    </row>
    <row r="512">
      <c r="A512" s="156" t="str">
        <f>IFERROR(__xludf.DUMMYFUNCTION("""COMPUTED_VALUE"""),"10.1017/sjp.2016.81")</f>
        <v>10.1017/sjp.2016.81</v>
      </c>
      <c r="B512" s="677" t="str">
        <f>IFERROR(__xludf.DUMMYFUNCTION("""COMPUTED_VALUE"""),"https://drive.google.com/file/d/1YtEOvcyALNN7Ic8BmqCXlWtWsWTo9fEx/view?usp=drivesdk")</f>
        <v>https://drive.google.com/file/d/1YtEOvcyALNN7Ic8BmqCXlWtWsWTo9fEx/view?usp=drivesdk</v>
      </c>
      <c r="C512" s="156" t="str">
        <f>IFERROR(__xludf.DUMMYFUNCTION("""COMPUTED_VALUE"""),"10.1017--sjp.2016.81.pdf")</f>
        <v>10.1017--sjp.2016.81.pdf</v>
      </c>
      <c r="D512" s="156" t="str">
        <f>IFERROR(__xludf.DUMMYFUNCTION("""COMPUTED_VALUE"""),"application/pdf")</f>
        <v>application/pdf</v>
      </c>
    </row>
    <row r="513">
      <c r="A513" s="156" t="str">
        <f>IFERROR(__xludf.DUMMYFUNCTION("""COMPUTED_VALUE"""),"10.1017/s0033291714002359")</f>
        <v>10.1017/s0033291714002359</v>
      </c>
      <c r="B513" s="677" t="str">
        <f>IFERROR(__xludf.DUMMYFUNCTION("""COMPUTED_VALUE"""),"https://drive.google.com/file/d/1m41Y5bRbRKdsEa0ih_pOIVBMGSOx1a50/view?usp=drivesdk")</f>
        <v>https://drive.google.com/file/d/1m41Y5bRbRKdsEa0ih_pOIVBMGSOx1a50/view?usp=drivesdk</v>
      </c>
      <c r="C513" s="156" t="str">
        <f>IFERROR(__xludf.DUMMYFUNCTION("""COMPUTED_VALUE"""),"10.1017--S0033291714002359.pdf")</f>
        <v>10.1017--S0033291714002359.pdf</v>
      </c>
      <c r="D513" s="156" t="str">
        <f>IFERROR(__xludf.DUMMYFUNCTION("""COMPUTED_VALUE"""),"application/pdf")</f>
        <v>application/pdf</v>
      </c>
    </row>
    <row r="514">
      <c r="A514" s="156" t="str">
        <f>IFERROR(__xludf.DUMMYFUNCTION("""COMPUTED_VALUE"""),"10.1016/j.visres.2020.04.011")</f>
        <v>10.1016/j.visres.2020.04.011</v>
      </c>
      <c r="B514" s="677" t="str">
        <f>IFERROR(__xludf.DUMMYFUNCTION("""COMPUTED_VALUE"""),"https://drive.google.com/file/d/1qimrxh5RX2KBUiWE73XYLKpOASqxDvje/view?usp=drivesdk")</f>
        <v>https://drive.google.com/file/d/1qimrxh5RX2KBUiWE73XYLKpOASqxDvje/view?usp=drivesdk</v>
      </c>
      <c r="C514" s="156" t="str">
        <f>IFERROR(__xludf.DUMMYFUNCTION("""COMPUTED_VALUE"""),"10.1016--j.visres.2020.04.011.pdf")</f>
        <v>10.1016--j.visres.2020.04.011.pdf</v>
      </c>
      <c r="D514" s="156" t="str">
        <f>IFERROR(__xludf.DUMMYFUNCTION("""COMPUTED_VALUE"""),"application/pdf")</f>
        <v>application/pdf</v>
      </c>
    </row>
    <row r="515">
      <c r="A515" s="156" t="str">
        <f>IFERROR(__xludf.DUMMYFUNCTION("""COMPUTED_VALUE"""),"10.1016/j.jecp.2020.104841")</f>
        <v>10.1016/j.jecp.2020.104841</v>
      </c>
      <c r="B515" s="677" t="str">
        <f>IFERROR(__xludf.DUMMYFUNCTION("""COMPUTED_VALUE"""),"https://drive.google.com/file/d/1HAngOCE4WSvbqx5DD0Lqg7L3PnH2Gb09/view?usp=drivesdk")</f>
        <v>https://drive.google.com/file/d/1HAngOCE4WSvbqx5DD0Lqg7L3PnH2Gb09/view?usp=drivesdk</v>
      </c>
      <c r="C515" s="156" t="str">
        <f>IFERROR(__xludf.DUMMYFUNCTION("""COMPUTED_VALUE"""),"10.1016--j.jecp.2020.104841.pdf")</f>
        <v>10.1016--j.jecp.2020.104841.pdf</v>
      </c>
      <c r="D515" s="156" t="str">
        <f>IFERROR(__xludf.DUMMYFUNCTION("""COMPUTED_VALUE"""),"application/pdf")</f>
        <v>application/pdf</v>
      </c>
    </row>
    <row r="516">
      <c r="A516" s="156" t="str">
        <f>IFERROR(__xludf.DUMMYFUNCTION("""COMPUTED_VALUE"""),"10.1016/j.jml.2015.05.003")</f>
        <v>10.1016/j.jml.2015.05.003</v>
      </c>
      <c r="B516" s="677" t="str">
        <f>IFERROR(__xludf.DUMMYFUNCTION("""COMPUTED_VALUE"""),"https://drive.google.com/file/d/1K38objbDYZJKUFI_vcMUgt0u-BJM-8lV/view?usp=drivesdk")</f>
        <v>https://drive.google.com/file/d/1K38objbDYZJKUFI_vcMUgt0u-BJM-8lV/view?usp=drivesdk</v>
      </c>
      <c r="C516" s="156" t="str">
        <f>IFERROR(__xludf.DUMMYFUNCTION("""COMPUTED_VALUE"""),"10.1016--j.jml.2015.05.003.pdf")</f>
        <v>10.1016--j.jml.2015.05.003.pdf</v>
      </c>
      <c r="D516" s="156" t="str">
        <f>IFERROR(__xludf.DUMMYFUNCTION("""COMPUTED_VALUE"""),"application/pdf")</f>
        <v>application/pdf</v>
      </c>
    </row>
    <row r="517">
      <c r="A517" s="156" t="str">
        <f>IFERROR(__xludf.DUMMYFUNCTION("""COMPUTED_VALUE"""),"10.1016/j.lindif.2014.11.026")</f>
        <v>10.1016/j.lindif.2014.11.026</v>
      </c>
      <c r="B517" s="677" t="str">
        <f>IFERROR(__xludf.DUMMYFUNCTION("""COMPUTED_VALUE"""),"https://drive.google.com/file/d/1nyrPYEAEmOV0l8BBZ-TwjZscIO47pCqu/view?usp=drivesdk")</f>
        <v>https://drive.google.com/file/d/1nyrPYEAEmOV0l8BBZ-TwjZscIO47pCqu/view?usp=drivesdk</v>
      </c>
      <c r="C517" s="156" t="str">
        <f>IFERROR(__xludf.DUMMYFUNCTION("""COMPUTED_VALUE"""),"10.1016--j.lindif.2014.11.026.pdf")</f>
        <v>10.1016--j.lindif.2014.11.026.pdf</v>
      </c>
      <c r="D517" s="156" t="str">
        <f>IFERROR(__xludf.DUMMYFUNCTION("""COMPUTED_VALUE"""),"application/pdf")</f>
        <v>application/pdf</v>
      </c>
    </row>
    <row r="518">
      <c r="A518" s="156" t="str">
        <f>IFERROR(__xludf.DUMMYFUNCTION("""COMPUTED_VALUE"""),"10.1016/j.jecp.2017.02.010")</f>
        <v>10.1016/j.jecp.2017.02.010</v>
      </c>
      <c r="B518" s="677" t="str">
        <f>IFERROR(__xludf.DUMMYFUNCTION("""COMPUTED_VALUE"""),"https://drive.google.com/file/d/17gn-vcqDbhUFsbNZTF0tOFBHOJmDDGJv/view?usp=drivesdk")</f>
        <v>https://drive.google.com/file/d/17gn-vcqDbhUFsbNZTF0tOFBHOJmDDGJv/view?usp=drivesdk</v>
      </c>
      <c r="C518" s="156" t="str">
        <f>IFERROR(__xludf.DUMMYFUNCTION("""COMPUTED_VALUE"""),"10.1016--j.jecp.2017.02.010.pdf")</f>
        <v>10.1016--j.jecp.2017.02.010.pdf</v>
      </c>
      <c r="D518" s="156" t="str">
        <f>IFERROR(__xludf.DUMMYFUNCTION("""COMPUTED_VALUE"""),"application/pdf")</f>
        <v>application/pdf</v>
      </c>
    </row>
    <row r="519">
      <c r="A519" s="156" t="str">
        <f>IFERROR(__xludf.DUMMYFUNCTION("""COMPUTED_VALUE"""),"10.1016/j.jecp.2015.01.015")</f>
        <v>10.1016/j.jecp.2015.01.015</v>
      </c>
      <c r="B519" s="677" t="str">
        <f>IFERROR(__xludf.DUMMYFUNCTION("""COMPUTED_VALUE"""),"https://drive.google.com/file/d/1RypXVnQqW3pRLSNY4ebD5lNE_Zztv4Qi/view?usp=drivesdk")</f>
        <v>https://drive.google.com/file/d/1RypXVnQqW3pRLSNY4ebD5lNE_Zztv4Qi/view?usp=drivesdk</v>
      </c>
      <c r="C519" s="156" t="str">
        <f>IFERROR(__xludf.DUMMYFUNCTION("""COMPUTED_VALUE"""),"10.1016--j.jecp.2015.01.015.pdf")</f>
        <v>10.1016--j.jecp.2015.01.015.pdf</v>
      </c>
      <c r="D519" s="156" t="str">
        <f>IFERROR(__xludf.DUMMYFUNCTION("""COMPUTED_VALUE"""),"application/pdf")</f>
        <v>application/pdf</v>
      </c>
    </row>
    <row r="520">
      <c r="A520" s="156" t="str">
        <f>IFERROR(__xludf.DUMMYFUNCTION("""COMPUTED_VALUE"""),"10.1016/j.jecp.2011.10.007")</f>
        <v>10.1016/j.jecp.2011.10.007</v>
      </c>
      <c r="B520" s="677" t="str">
        <f>IFERROR(__xludf.DUMMYFUNCTION("""COMPUTED_VALUE"""),"https://drive.google.com/file/d/1nchNDy-IQ-ZK5BBUQFkc8o7NlheQuY9g/view?usp=drivesdk")</f>
        <v>https://drive.google.com/file/d/1nchNDy-IQ-ZK5BBUQFkc8o7NlheQuY9g/view?usp=drivesdk</v>
      </c>
      <c r="C520" s="156" t="str">
        <f>IFERROR(__xludf.DUMMYFUNCTION("""COMPUTED_VALUE"""),"10.1016--j.jecp.2011.10.007.pdf")</f>
        <v>10.1016--j.jecp.2011.10.007.pdf</v>
      </c>
      <c r="D520" s="156" t="str">
        <f>IFERROR(__xludf.DUMMYFUNCTION("""COMPUTED_VALUE"""),"application/pdf")</f>
        <v>application/pdf</v>
      </c>
    </row>
    <row r="521">
      <c r="A521" s="156" t="str">
        <f>IFERROR(__xludf.DUMMYFUNCTION("""COMPUTED_VALUE"""),"10.1016/j.cognition.2014.07.002")</f>
        <v>10.1016/j.cognition.2014.07.002</v>
      </c>
      <c r="B521" s="677" t="str">
        <f>IFERROR(__xludf.DUMMYFUNCTION("""COMPUTED_VALUE"""),"https://drive.google.com/file/d/1H_h0BB3KtaOPeHAYT11_e1uwW5wNfgZ8/view?usp=drivesdk")</f>
        <v>https://drive.google.com/file/d/1H_h0BB3KtaOPeHAYT11_e1uwW5wNfgZ8/view?usp=drivesdk</v>
      </c>
      <c r="C521" s="156" t="str">
        <f>IFERROR(__xludf.DUMMYFUNCTION("""COMPUTED_VALUE"""),"10.1016--j.cognition.2014.07.002.pdf")</f>
        <v>10.1016--j.cognition.2014.07.002.pdf</v>
      </c>
      <c r="D521" s="156" t="str">
        <f>IFERROR(__xludf.DUMMYFUNCTION("""COMPUTED_VALUE"""),"application/pdf")</f>
        <v>application/pdf</v>
      </c>
    </row>
    <row r="522">
      <c r="A522" s="156" t="str">
        <f>IFERROR(__xludf.DUMMYFUNCTION("""COMPUTED_VALUE"""),"10.3389/fpsyg.2014.00875")</f>
        <v>10.3389/fpsyg.2014.00875</v>
      </c>
      <c r="B522" s="677" t="str">
        <f>IFERROR(__xludf.DUMMYFUNCTION("""COMPUTED_VALUE"""),"https://drive.google.com/file/d/1sZVg5bDmS-U_sBg8ykLltDjaMY4kIFwz/view?usp=drivesdk")</f>
        <v>https://drive.google.com/file/d/1sZVg5bDmS-U_sBg8ykLltDjaMY4kIFwz/view?usp=drivesdk</v>
      </c>
      <c r="C522" s="156" t="str">
        <f>IFERROR(__xludf.DUMMYFUNCTION("""COMPUTED_VALUE"""),"10.3389--fpsyg.2014.00875.pdf")</f>
        <v>10.3389--fpsyg.2014.00875.pdf</v>
      </c>
      <c r="D522" s="156" t="str">
        <f>IFERROR(__xludf.DUMMYFUNCTION("""COMPUTED_VALUE"""),"application/pdf")</f>
        <v>application/pdf</v>
      </c>
    </row>
    <row r="523">
      <c r="A523" s="677" t="str">
        <f>IFERROR(__xludf.DUMMYFUNCTION("""COMPUTED_VALUE"""),"10.1002/bdm.2149")</f>
        <v>10.1002/bdm.2149</v>
      </c>
      <c r="B523" s="677" t="str">
        <f>IFERROR(__xludf.DUMMYFUNCTION("""COMPUTED_VALUE"""),"https://drive.google.com/file/d/1u9U_3wFQZTo72O0qCGz8MT2oRO7HpyxX/view?usp=drivesdk")</f>
        <v>https://drive.google.com/file/d/1u9U_3wFQZTo72O0qCGz8MT2oRO7HpyxX/view?usp=drivesdk</v>
      </c>
      <c r="C523" s="156" t="str">
        <f>IFERROR(__xludf.DUMMYFUNCTION("""COMPUTED_VALUE"""),"10.1002--bdm.2149.pdf")</f>
        <v>10.1002--bdm.2149.pdf</v>
      </c>
      <c r="D523" s="156" t="str">
        <f>IFERROR(__xludf.DUMMYFUNCTION("""COMPUTED_VALUE"""),"application/pdf")</f>
        <v>application/pdf</v>
      </c>
    </row>
    <row r="524">
      <c r="A524" s="677" t="str">
        <f>IFERROR(__xludf.DUMMYFUNCTION("""COMPUTED_VALUE"""),"10.1177/0748175614522268")</f>
        <v>10.1177/0748175614522268</v>
      </c>
      <c r="B524" s="677" t="str">
        <f>IFERROR(__xludf.DUMMYFUNCTION("""COMPUTED_VALUE"""),"https://drive.google.com/file/d/1tZsSYNtItNyVWS0GzUOR8pz9_K6HDsaE/view?usp=drivesdk")</f>
        <v>https://drive.google.com/file/d/1tZsSYNtItNyVWS0GzUOR8pz9_K6HDsaE/view?usp=drivesdk</v>
      </c>
      <c r="C524" s="156" t="str">
        <f>IFERROR(__xludf.DUMMYFUNCTION("""COMPUTED_VALUE"""),"10.1177--0748175614522268.pdf")</f>
        <v>10.1177--0748175614522268.pdf</v>
      </c>
      <c r="D524" s="156" t="str">
        <f>IFERROR(__xludf.DUMMYFUNCTION("""COMPUTED_VALUE"""),"application/pdf")</f>
        <v>application/pdf</v>
      </c>
    </row>
    <row r="525">
      <c r="A525" s="677" t="str">
        <f>IFERROR(__xludf.DUMMYFUNCTION("""COMPUTED_VALUE"""),"10.1037/a0027965")</f>
        <v>10.1037/a0027965</v>
      </c>
      <c r="B525" s="677" t="str">
        <f>IFERROR(__xludf.DUMMYFUNCTION("""COMPUTED_VALUE"""),"https://drive.google.com/file/d/1TCvzGX_QjTDawYGcwuyL1guQ97gyDqDK/view?usp=drivesdk")</f>
        <v>https://drive.google.com/file/d/1TCvzGX_QjTDawYGcwuyL1guQ97gyDqDK/view?usp=drivesdk</v>
      </c>
      <c r="C525" s="156" t="str">
        <f>IFERROR(__xludf.DUMMYFUNCTION("""COMPUTED_VALUE"""),"10.1037--a0027965.pdf")</f>
        <v>10.1037--a0027965.pdf</v>
      </c>
      <c r="D525" s="156" t="str">
        <f>IFERROR(__xludf.DUMMYFUNCTION("""COMPUTED_VALUE"""),"application/pdf")</f>
        <v>application/pdf</v>
      </c>
    </row>
    <row r="526">
      <c r="A526" s="156" t="str">
        <f>IFERROR(__xludf.DUMMYFUNCTION("""COMPUTED_VALUE"""),"10.1007/s12310-016-9205-0")</f>
        <v>10.1007/s12310-016-9205-0</v>
      </c>
      <c r="B526" s="677" t="str">
        <f>IFERROR(__xludf.DUMMYFUNCTION("""COMPUTED_VALUE"""),"https://drive.google.com/file/d/1kYtmHv99YL8-QMGH8Bs0TfxUkoSjE305/view?usp=drivesdk")</f>
        <v>https://drive.google.com/file/d/1kYtmHv99YL8-QMGH8Bs0TfxUkoSjE305/view?usp=drivesdk</v>
      </c>
      <c r="C526" s="156" t="str">
        <f>IFERROR(__xludf.DUMMYFUNCTION("""COMPUTED_VALUE"""),"10.1007--s12310-016-9205-0.pdf")</f>
        <v>10.1007--s12310-016-9205-0.pdf</v>
      </c>
      <c r="D526" s="156" t="str">
        <f>IFERROR(__xludf.DUMMYFUNCTION("""COMPUTED_VALUE"""),"application/pdf")</f>
        <v>application/pdf</v>
      </c>
    </row>
    <row r="527">
      <c r="A527" s="156" t="str">
        <f>IFERROR(__xludf.DUMMYFUNCTION("""COMPUTED_VALUE"""),"10.1002/da.21946")</f>
        <v>10.1002/da.21946</v>
      </c>
      <c r="B527" s="677" t="str">
        <f>IFERROR(__xludf.DUMMYFUNCTION("""COMPUTED_VALUE"""),"https://drive.google.com/file/d/1DGNX57WrXHNmnuB7Kj7_IVzs3mhivTqV/view?usp=drivesdk")</f>
        <v>https://drive.google.com/file/d/1DGNX57WrXHNmnuB7Kj7_IVzs3mhivTqV/view?usp=drivesdk</v>
      </c>
      <c r="C527" s="156" t="str">
        <f>IFERROR(__xludf.DUMMYFUNCTION("""COMPUTED_VALUE"""),"10.1002--da.21946.pdf")</f>
        <v>10.1002--da.21946.pdf</v>
      </c>
      <c r="D527" s="156" t="str">
        <f>IFERROR(__xludf.DUMMYFUNCTION("""COMPUTED_VALUE"""),"application/pdf")</f>
        <v>application/pdf</v>
      </c>
    </row>
    <row r="528">
      <c r="A528" s="677" t="str">
        <f>IFERROR(__xludf.DUMMYFUNCTION("""COMPUTED_VALUE"""),"10.1002/bin.1707")</f>
        <v>10.1002/bin.1707</v>
      </c>
      <c r="B528" s="677" t="str">
        <f>IFERROR(__xludf.DUMMYFUNCTION("""COMPUTED_VALUE"""),"https://drive.google.com/file/d/1pYSMRfkiWxfvT3vwpJ2NpW6jjkIHGvcA/view?usp=drivesdk")</f>
        <v>https://drive.google.com/file/d/1pYSMRfkiWxfvT3vwpJ2NpW6jjkIHGvcA/view?usp=drivesdk</v>
      </c>
      <c r="C528" s="156" t="str">
        <f>IFERROR(__xludf.DUMMYFUNCTION("""COMPUTED_VALUE"""),"10.1002--bin.1707.pdf")</f>
        <v>10.1002--bin.1707.pdf</v>
      </c>
      <c r="D528" s="156" t="str">
        <f>IFERROR(__xludf.DUMMYFUNCTION("""COMPUTED_VALUE"""),"application/pdf")</f>
        <v>application/pdf</v>
      </c>
    </row>
    <row r="529">
      <c r="A529" s="156" t="str">
        <f>IFERROR(__xludf.DUMMYFUNCTION("""COMPUTED_VALUE"""),"10.1016/j.concog.2015.07.003")</f>
        <v>10.1016/j.concog.2015.07.003</v>
      </c>
      <c r="B529" s="677" t="str">
        <f>IFERROR(__xludf.DUMMYFUNCTION("""COMPUTED_VALUE"""),"https://drive.google.com/file/d/1N0YzCVxYTyKgh2PiwI2otcSjy-8S615o/view?usp=drivesdk")</f>
        <v>https://drive.google.com/file/d/1N0YzCVxYTyKgh2PiwI2otcSjy-8S615o/view?usp=drivesdk</v>
      </c>
      <c r="C529" s="156" t="str">
        <f>IFERROR(__xludf.DUMMYFUNCTION("""COMPUTED_VALUE"""),"10.1016--j.concog.2015.07.003.pdf")</f>
        <v>10.1016--j.concog.2015.07.003.pdf</v>
      </c>
      <c r="D529" s="156" t="str">
        <f>IFERROR(__xludf.DUMMYFUNCTION("""COMPUTED_VALUE"""),"application/pdf")</f>
        <v>application/pdf</v>
      </c>
    </row>
    <row r="530">
      <c r="A530" s="156" t="str">
        <f>IFERROR(__xludf.DUMMYFUNCTION("""COMPUTED_VALUE"""),"10.1002/casp.2412")</f>
        <v>10.1002/casp.2412</v>
      </c>
      <c r="B530" s="677" t="str">
        <f>IFERROR(__xludf.DUMMYFUNCTION("""COMPUTED_VALUE"""),"https://drive.google.com/file/d/1rDpeTmFeblvvCYONCJJEj-DVK7SMA0iz/view?usp=drivesdk")</f>
        <v>https://drive.google.com/file/d/1rDpeTmFeblvvCYONCJJEj-DVK7SMA0iz/view?usp=drivesdk</v>
      </c>
      <c r="C530" s="156" t="str">
        <f>IFERROR(__xludf.DUMMYFUNCTION("""COMPUTED_VALUE"""),"10.1002--casp.2412.pdf")</f>
        <v>10.1002--casp.2412.pdf</v>
      </c>
      <c r="D530" s="156" t="str">
        <f>IFERROR(__xludf.DUMMYFUNCTION("""COMPUTED_VALUE"""),"application/pdf")</f>
        <v>application/pdf</v>
      </c>
    </row>
    <row r="531">
      <c r="A531" s="156" t="str">
        <f>IFERROR(__xludf.DUMMYFUNCTION("""COMPUTED_VALUE"""),"10.3389/fpsyg.2019.01095")</f>
        <v>10.3389/fpsyg.2019.01095</v>
      </c>
      <c r="B531" s="677" t="str">
        <f>IFERROR(__xludf.DUMMYFUNCTION("""COMPUTED_VALUE"""),"https://drive.google.com/file/d/1B8hhxVlq7cnNDBLJ9shwPam-B15NJmeg/view?usp=drivesdk")</f>
        <v>https://drive.google.com/file/d/1B8hhxVlq7cnNDBLJ9shwPam-B15NJmeg/view?usp=drivesdk</v>
      </c>
      <c r="C531" s="156" t="str">
        <f>IFERROR(__xludf.DUMMYFUNCTION("""COMPUTED_VALUE"""),"10.3389--fpsyg.2019.01095.pdf")</f>
        <v>10.3389--fpsyg.2019.01095.pdf</v>
      </c>
      <c r="D531" s="156" t="str">
        <f>IFERROR(__xludf.DUMMYFUNCTION("""COMPUTED_VALUE"""),"application/pdf")</f>
        <v>application/pdf</v>
      </c>
    </row>
    <row r="532">
      <c r="A532" s="677" t="str">
        <f>IFERROR(__xludf.DUMMYFUNCTION("""COMPUTED_VALUE"""),"10.3389/fpsyg.2017.00971")</f>
        <v>10.3389/fpsyg.2017.00971</v>
      </c>
      <c r="B532" s="677" t="str">
        <f>IFERROR(__xludf.DUMMYFUNCTION("""COMPUTED_VALUE"""),"https://drive.google.com/file/d/1czfjL33TgYf4q2u9VCi5Xq7X99EOUVWb/view?usp=drivesdk")</f>
        <v>https://drive.google.com/file/d/1czfjL33TgYf4q2u9VCi5Xq7X99EOUVWb/view?usp=drivesdk</v>
      </c>
      <c r="C532" s="156" t="str">
        <f>IFERROR(__xludf.DUMMYFUNCTION("""COMPUTED_VALUE"""),"10.3389--fpsyg.2017.00971.pdf")</f>
        <v>10.3389--fpsyg.2017.00971.pdf</v>
      </c>
      <c r="D532" s="156" t="str">
        <f>IFERROR(__xludf.DUMMYFUNCTION("""COMPUTED_VALUE"""),"application/pdf")</f>
        <v>application/pdf</v>
      </c>
    </row>
    <row r="533">
      <c r="A533" s="677" t="str">
        <f>IFERROR(__xludf.DUMMYFUNCTION("""COMPUTED_VALUE"""),"10.3389/fpsyg.2015.01337")</f>
        <v>10.3389/fpsyg.2015.01337</v>
      </c>
      <c r="B533" s="677" t="str">
        <f>IFERROR(__xludf.DUMMYFUNCTION("""COMPUTED_VALUE"""),"https://drive.google.com/file/d/1yR9cZml3hQ6T4MOjIUa34kloKZbkx3-C/view?usp=drivesdk")</f>
        <v>https://drive.google.com/file/d/1yR9cZml3hQ6T4MOjIUa34kloKZbkx3-C/view?usp=drivesdk</v>
      </c>
      <c r="C533" s="156" t="str">
        <f>IFERROR(__xludf.DUMMYFUNCTION("""COMPUTED_VALUE"""),"10.3389--fpsyg.2015.01337.pdf")</f>
        <v>10.3389--fpsyg.2015.01337.pdf</v>
      </c>
      <c r="D533" s="156" t="str">
        <f>IFERROR(__xludf.DUMMYFUNCTION("""COMPUTED_VALUE"""),"application/pdf")</f>
        <v>application/pdf</v>
      </c>
    </row>
    <row r="534">
      <c r="A534" s="156" t="str">
        <f>IFERROR(__xludf.DUMMYFUNCTION("""COMPUTED_VALUE"""),"10.3389/fpsyg.2014.01555")</f>
        <v>10.3389/fpsyg.2014.01555</v>
      </c>
      <c r="B534" s="677" t="str">
        <f>IFERROR(__xludf.DUMMYFUNCTION("""COMPUTED_VALUE"""),"https://drive.google.com/file/d/1_FGRZjXjzcqQ7WnfRV3bnK84pUSZVMOj/view?usp=drivesdk")</f>
        <v>https://drive.google.com/file/d/1_FGRZjXjzcqQ7WnfRV3bnK84pUSZVMOj/view?usp=drivesdk</v>
      </c>
      <c r="C534" s="156" t="str">
        <f>IFERROR(__xludf.DUMMYFUNCTION("""COMPUTED_VALUE"""),"10.3389--fpsyg.2014.01555.pdf")</f>
        <v>10.3389--fpsyg.2014.01555.pdf</v>
      </c>
      <c r="D534" s="156" t="str">
        <f>IFERROR(__xludf.DUMMYFUNCTION("""COMPUTED_VALUE"""),"application/pdf")</f>
        <v>application/pdf</v>
      </c>
    </row>
    <row r="535">
      <c r="A535" s="156" t="str">
        <f>IFERROR(__xludf.DUMMYFUNCTION("""COMPUTED_VALUE"""),"10.1177/1354067x19871197")</f>
        <v>10.1177/1354067x19871197</v>
      </c>
      <c r="B535" s="677" t="str">
        <f>IFERROR(__xludf.DUMMYFUNCTION("""COMPUTED_VALUE"""),"https://drive.google.com/file/d/1FctWG5fFtd9swb7nf5clhW4ybriZAiax/view?usp=drivesdk")</f>
        <v>https://drive.google.com/file/d/1FctWG5fFtd9swb7nf5clhW4ybriZAiax/view?usp=drivesdk</v>
      </c>
      <c r="C535" s="156" t="str">
        <f>IFERROR(__xludf.DUMMYFUNCTION("""COMPUTED_VALUE"""),"10.1177--1354067X19871197.pdf")</f>
        <v>10.1177--1354067X19871197.pdf</v>
      </c>
      <c r="D535" s="156" t="str">
        <f>IFERROR(__xludf.DUMMYFUNCTION("""COMPUTED_VALUE"""),"application/pdf")</f>
        <v>application/pdf</v>
      </c>
    </row>
    <row r="536">
      <c r="A536" s="156" t="str">
        <f>IFERROR(__xludf.DUMMYFUNCTION("""COMPUTED_VALUE"""),"10.1177/1948550616628608")</f>
        <v>10.1177/1948550616628608</v>
      </c>
      <c r="B536" s="677" t="str">
        <f>IFERROR(__xludf.DUMMYFUNCTION("""COMPUTED_VALUE"""),"https://drive.google.com/file/d/1ZWX5KE0H0RPR24ghjhKYXvWGtyhSD23_/view?usp=drivesdk")</f>
        <v>https://drive.google.com/file/d/1ZWX5KE0H0RPR24ghjhKYXvWGtyhSD23_/view?usp=drivesdk</v>
      </c>
      <c r="C536" s="156" t="str">
        <f>IFERROR(__xludf.DUMMYFUNCTION("""COMPUTED_VALUE"""),"10.1177--1948550616628608.pdf")</f>
        <v>10.1177--1948550616628608.pdf</v>
      </c>
      <c r="D536" s="156" t="str">
        <f>IFERROR(__xludf.DUMMYFUNCTION("""COMPUTED_VALUE"""),"application/pdf")</f>
        <v>application/pdf</v>
      </c>
    </row>
    <row r="537">
      <c r="A537" s="156" t="str">
        <f>IFERROR(__xludf.DUMMYFUNCTION("""COMPUTED_VALUE"""),"10.1177/1948550618775410")</f>
        <v>10.1177/1948550618775410</v>
      </c>
      <c r="B537" s="677" t="str">
        <f>IFERROR(__xludf.DUMMYFUNCTION("""COMPUTED_VALUE"""),"https://drive.google.com/file/d/1n-YFdWO33LCJLrsGwdf6SUcNCcJ53BpW/view?usp=drivesdk")</f>
        <v>https://drive.google.com/file/d/1n-YFdWO33LCJLrsGwdf6SUcNCcJ53BpW/view?usp=drivesdk</v>
      </c>
      <c r="C537" s="156" t="str">
        <f>IFERROR(__xludf.DUMMYFUNCTION("""COMPUTED_VALUE"""),"10.1177--1948550618775410.pdf")</f>
        <v>10.1177--1948550618775410.pdf</v>
      </c>
      <c r="D537" s="156" t="str">
        <f>IFERROR(__xludf.DUMMYFUNCTION("""COMPUTED_VALUE"""),"application/pdf")</f>
        <v>application/pdf</v>
      </c>
    </row>
    <row r="538">
      <c r="A538" s="156" t="str">
        <f>IFERROR(__xludf.DUMMYFUNCTION("""COMPUTED_VALUE"""),"10.1177/0956797614555727")</f>
        <v>10.1177/0956797614555727</v>
      </c>
      <c r="B538" s="677" t="str">
        <f>IFERROR(__xludf.DUMMYFUNCTION("""COMPUTED_VALUE"""),"https://drive.google.com/file/d/1O9M0CA6B7G5i7npjjN1LKo5jBTjt5NOW/view?usp=drivesdk")</f>
        <v>https://drive.google.com/file/d/1O9M0CA6B7G5i7npjjN1LKo5jBTjt5NOW/view?usp=drivesdk</v>
      </c>
      <c r="C538" s="156" t="str">
        <f>IFERROR(__xludf.DUMMYFUNCTION("""COMPUTED_VALUE"""),"10.1177--0956797614555727.pdf")</f>
        <v>10.1177--0956797614555727.pdf</v>
      </c>
      <c r="D538" s="156" t="str">
        <f>IFERROR(__xludf.DUMMYFUNCTION("""COMPUTED_VALUE"""),"application/pdf")</f>
        <v>application/pdf</v>
      </c>
    </row>
    <row r="539">
      <c r="A539" s="156" t="str">
        <f>IFERROR(__xludf.DUMMYFUNCTION("""COMPUTED_VALUE"""),"10.1080/20445911.2017.1282489")</f>
        <v>10.1080/20445911.2017.1282489</v>
      </c>
      <c r="B539" s="677" t="str">
        <f>IFERROR(__xludf.DUMMYFUNCTION("""COMPUTED_VALUE"""),"https://drive.google.com/file/d/19SmX_tapJY3aFhmBJ2wCA9JR7-zTq3Im/view?usp=drivesdk")</f>
        <v>https://drive.google.com/file/d/19SmX_tapJY3aFhmBJ2wCA9JR7-zTq3Im/view?usp=drivesdk</v>
      </c>
      <c r="C539" s="156" t="str">
        <f>IFERROR(__xludf.DUMMYFUNCTION("""COMPUTED_VALUE"""),"10.1080--20445911.2017.1282489.pdf")</f>
        <v>10.1080--20445911.2017.1282489.pdf</v>
      </c>
      <c r="D539" s="156" t="str">
        <f>IFERROR(__xludf.DUMMYFUNCTION("""COMPUTED_VALUE"""),"application/pdf")</f>
        <v>application/pdf</v>
      </c>
    </row>
    <row r="540">
      <c r="A540" s="156" t="str">
        <f>IFERROR(__xludf.DUMMYFUNCTION("""COMPUTED_VALUE"""),"10.1080/02699931.2019.1591345")</f>
        <v>10.1080/02699931.2019.1591345</v>
      </c>
      <c r="B540" s="677" t="str">
        <f>IFERROR(__xludf.DUMMYFUNCTION("""COMPUTED_VALUE"""),"https://drive.google.com/file/d/1HJMB1bI2CWhZOO3borrGfJOymzupaxok/view?usp=drivesdk")</f>
        <v>https://drive.google.com/file/d/1HJMB1bI2CWhZOO3borrGfJOymzupaxok/view?usp=drivesdk</v>
      </c>
      <c r="C540" s="156" t="str">
        <f>IFERROR(__xludf.DUMMYFUNCTION("""COMPUTED_VALUE"""),"10.1080--02699931.2019.1591345.pdf")</f>
        <v>10.1080--02699931.2019.1591345.pdf</v>
      </c>
      <c r="D540" s="156" t="str">
        <f>IFERROR(__xludf.DUMMYFUNCTION("""COMPUTED_VALUE"""),"application/pdf")</f>
        <v>application/pdf</v>
      </c>
    </row>
    <row r="541">
      <c r="A541" s="156" t="str">
        <f>IFERROR(__xludf.DUMMYFUNCTION("""COMPUTED_VALUE"""),"10.1016/j.jesp.2017.12.008")</f>
        <v>10.1016/j.jesp.2017.12.008</v>
      </c>
      <c r="B541" s="677" t="str">
        <f>IFERROR(__xludf.DUMMYFUNCTION("""COMPUTED_VALUE"""),"https://drive.google.com/file/d/1LowDJBDZp2XUkp6htHz84wR3I5Aby3WN/view?usp=drivesdk")</f>
        <v>https://drive.google.com/file/d/1LowDJBDZp2XUkp6htHz84wR3I5Aby3WN/view?usp=drivesdk</v>
      </c>
      <c r="C541" s="156" t="str">
        <f>IFERROR(__xludf.DUMMYFUNCTION("""COMPUTED_VALUE"""),"10.1016--j.jesp.2017.12.008.pdf")</f>
        <v>10.1016--j.jesp.2017.12.008.pdf</v>
      </c>
      <c r="D541" s="156" t="str">
        <f>IFERROR(__xludf.DUMMYFUNCTION("""COMPUTED_VALUE"""),"application/pdf")</f>
        <v>application/pdf</v>
      </c>
    </row>
    <row r="542">
      <c r="A542" s="156" t="str">
        <f>IFERROR(__xludf.DUMMYFUNCTION("""COMPUTED_VALUE"""),"10.1016/j.cognition.2016.07.008")</f>
        <v>10.1016/j.cognition.2016.07.008</v>
      </c>
      <c r="B542" s="677" t="str">
        <f>IFERROR(__xludf.DUMMYFUNCTION("""COMPUTED_VALUE"""),"https://drive.google.com/file/d/1S03bY4QGzb_LsniulJX2-t2kmpPxhMWP/view?usp=drivesdk")</f>
        <v>https://drive.google.com/file/d/1S03bY4QGzb_LsniulJX2-t2kmpPxhMWP/view?usp=drivesdk</v>
      </c>
      <c r="C542" s="156" t="str">
        <f>IFERROR(__xludf.DUMMYFUNCTION("""COMPUTED_VALUE"""),"10.1016--j.cognition.2016.07.008.pdf")</f>
        <v>10.1016--j.cognition.2016.07.008.pdf</v>
      </c>
      <c r="D542" s="156" t="str">
        <f>IFERROR(__xludf.DUMMYFUNCTION("""COMPUTED_VALUE"""),"application/pdf")</f>
        <v>application/pdf</v>
      </c>
    </row>
    <row r="543">
      <c r="A543" s="156" t="str">
        <f>IFERROR(__xludf.DUMMYFUNCTION("""COMPUTED_VALUE"""),"10.1007/s00426-018-1001-z")</f>
        <v>10.1007/s00426-018-1001-z</v>
      </c>
      <c r="B543" s="677" t="str">
        <f>IFERROR(__xludf.DUMMYFUNCTION("""COMPUTED_VALUE"""),"https://drive.google.com/file/d/12Y4-F1R64ahc-IfJWR9onKydaREtjT5Z/view?usp=drivesdk")</f>
        <v>https://drive.google.com/file/d/12Y4-F1R64ahc-IfJWR9onKydaREtjT5Z/view?usp=drivesdk</v>
      </c>
      <c r="C543" s="156" t="str">
        <f>IFERROR(__xludf.DUMMYFUNCTION("""COMPUTED_VALUE"""),"10.1007--s00426-018-1001-z.pdf")</f>
        <v>10.1007--s00426-018-1001-z.pdf</v>
      </c>
      <c r="D543" s="156" t="str">
        <f>IFERROR(__xludf.DUMMYFUNCTION("""COMPUTED_VALUE"""),"application/pdf")</f>
        <v>application/pdf</v>
      </c>
    </row>
    <row r="544">
      <c r="A544" s="156" t="str">
        <f>IFERROR(__xludf.DUMMYFUNCTION("""COMPUTED_VALUE"""),"10.1016/j.actpsy.2016.08.008")</f>
        <v>10.1016/j.actpsy.2016.08.008</v>
      </c>
      <c r="B544" s="677" t="str">
        <f>IFERROR(__xludf.DUMMYFUNCTION("""COMPUTED_VALUE"""),"https://drive.google.com/file/d/1gqsiRL3uWmF0FYynu5VpRmj0rQrNvKAW/view?usp=drivesdk")</f>
        <v>https://drive.google.com/file/d/1gqsiRL3uWmF0FYynu5VpRmj0rQrNvKAW/view?usp=drivesdk</v>
      </c>
      <c r="C544" s="156" t="str">
        <f>IFERROR(__xludf.DUMMYFUNCTION("""COMPUTED_VALUE"""),"10.1016--j.actpsy.2016.08.008.pdf")</f>
        <v>10.1016--j.actpsy.2016.08.008.pdf</v>
      </c>
      <c r="D544" s="156" t="str">
        <f>IFERROR(__xludf.DUMMYFUNCTION("""COMPUTED_VALUE"""),"application/pdf")</f>
        <v>application/pdf</v>
      </c>
    </row>
    <row r="545">
      <c r="A545" s="156" t="str">
        <f>IFERROR(__xludf.DUMMYFUNCTION("""COMPUTED_VALUE"""),"10.1002/acp.3254")</f>
        <v>10.1002/acp.3254</v>
      </c>
      <c r="B545" s="677" t="str">
        <f>IFERROR(__xludf.DUMMYFUNCTION("""COMPUTED_VALUE"""),"https://drive.google.com/file/d/1_4bsoNftxzrYgW0LoOb8o7nEpbEykoBX/view?usp=drivesdk")</f>
        <v>https://drive.google.com/file/d/1_4bsoNftxzrYgW0LoOb8o7nEpbEykoBX/view?usp=drivesdk</v>
      </c>
      <c r="C545" s="156" t="str">
        <f>IFERROR(__xludf.DUMMYFUNCTION("""COMPUTED_VALUE"""),"10.1002--acp.3254.pdf")</f>
        <v>10.1002--acp.3254.pdf</v>
      </c>
      <c r="D545" s="156" t="str">
        <f>IFERROR(__xludf.DUMMYFUNCTION("""COMPUTED_VALUE"""),"application/pdf")</f>
        <v>application/pdf</v>
      </c>
    </row>
    <row r="546">
      <c r="A546" s="156" t="str">
        <f>IFERROR(__xludf.DUMMYFUNCTION("""COMPUTED_VALUE"""),"10.3758/s13421-018-0833-5")</f>
        <v>10.3758/s13421-018-0833-5</v>
      </c>
      <c r="B546" s="677" t="str">
        <f>IFERROR(__xludf.DUMMYFUNCTION("""COMPUTED_VALUE"""),"https://drive.google.com/file/d/1-xDngnZCU1Q30JZaNakmMeial4_1JeC4/view?usp=drivesdk")</f>
        <v>https://drive.google.com/file/d/1-xDngnZCU1Q30JZaNakmMeial4_1JeC4/view?usp=drivesdk</v>
      </c>
      <c r="C546" s="156" t="str">
        <f>IFERROR(__xludf.DUMMYFUNCTION("""COMPUTED_VALUE"""),"10.3758--s13421-018-0833-5.pdf")</f>
        <v>10.3758--s13421-018-0833-5.pdf</v>
      </c>
      <c r="D546" s="156" t="str">
        <f>IFERROR(__xludf.DUMMYFUNCTION("""COMPUTED_VALUE"""),"application/pdf")</f>
        <v>application/pdf</v>
      </c>
    </row>
    <row r="547">
      <c r="A547" s="156" t="str">
        <f>IFERROR(__xludf.DUMMYFUNCTION("""COMPUTED_VALUE"""),"10.3389/fpsyg.2016.00994")</f>
        <v>10.3389/fpsyg.2016.00994</v>
      </c>
      <c r="B547" s="677" t="str">
        <f>IFERROR(__xludf.DUMMYFUNCTION("""COMPUTED_VALUE"""),"https://drive.google.com/file/d/1-pDeEfPAf_mQH8ArTtwNV5-DRSSLbAeW/view?usp=drivesdk")</f>
        <v>https://drive.google.com/file/d/1-pDeEfPAf_mQH8ArTtwNV5-DRSSLbAeW/view?usp=drivesdk</v>
      </c>
      <c r="C547" s="156" t="str">
        <f>IFERROR(__xludf.DUMMYFUNCTION("""COMPUTED_VALUE"""),"10.3389--fpsyg.2016.00994.pdf")</f>
        <v>10.3389--fpsyg.2016.00994.pdf</v>
      </c>
      <c r="D547" s="156" t="str">
        <f>IFERROR(__xludf.DUMMYFUNCTION("""COMPUTED_VALUE"""),"application/pdf")</f>
        <v>application/pdf</v>
      </c>
    </row>
    <row r="548">
      <c r="A548" s="156" t="str">
        <f>IFERROR(__xludf.DUMMYFUNCTION("""COMPUTED_VALUE"""),"10.3389/fpsyg.2014.01511")</f>
        <v>10.3389/fpsyg.2014.01511</v>
      </c>
      <c r="B548" s="677" t="str">
        <f>IFERROR(__xludf.DUMMYFUNCTION("""COMPUTED_VALUE"""),"https://drive.google.com/file/d/192u6FsPH0dfUlR5C4F3pu39u_VTTNdUA/view?usp=drivesdk")</f>
        <v>https://drive.google.com/file/d/192u6FsPH0dfUlR5C4F3pu39u_VTTNdUA/view?usp=drivesdk</v>
      </c>
      <c r="C548" s="156" t="str">
        <f>IFERROR(__xludf.DUMMYFUNCTION("""COMPUTED_VALUE"""),"10.3389--fpsyg.2014.01511.pdf")</f>
        <v>10.3389--fpsyg.2014.01511.pdf</v>
      </c>
      <c r="D548" s="156" t="str">
        <f>IFERROR(__xludf.DUMMYFUNCTION("""COMPUTED_VALUE"""),"application/pdf")</f>
        <v>application/pdf</v>
      </c>
    </row>
    <row r="549">
      <c r="A549" s="156" t="str">
        <f>IFERROR(__xludf.DUMMYFUNCTION("""COMPUTED_VALUE"""),"10.3389/fpsyg.2014.00362")</f>
        <v>10.3389/fpsyg.2014.00362</v>
      </c>
      <c r="B549" s="677" t="str">
        <f>IFERROR(__xludf.DUMMYFUNCTION("""COMPUTED_VALUE"""),"https://drive.google.com/file/d/1HIgqnSklfRU_KSuAKqwCjemBDMJZRLug/view?usp=drivesdk")</f>
        <v>https://drive.google.com/file/d/1HIgqnSklfRU_KSuAKqwCjemBDMJZRLug/view?usp=drivesdk</v>
      </c>
      <c r="C549" s="156" t="str">
        <f>IFERROR(__xludf.DUMMYFUNCTION("""COMPUTED_VALUE"""),"10.3389--fpsyg.2014.00362.pdf")</f>
        <v>10.3389--fpsyg.2014.00362.pdf</v>
      </c>
      <c r="D549" s="156" t="str">
        <f>IFERROR(__xludf.DUMMYFUNCTION("""COMPUTED_VALUE"""),"application/pdf")</f>
        <v>application/pdf</v>
      </c>
    </row>
    <row r="550">
      <c r="A550" s="156" t="str">
        <f>IFERROR(__xludf.DUMMYFUNCTION("""COMPUTED_VALUE"""),"10.3389/fpsyg.2013.00571")</f>
        <v>10.3389/fpsyg.2013.00571</v>
      </c>
      <c r="B550" s="677" t="str">
        <f>IFERROR(__xludf.DUMMYFUNCTION("""COMPUTED_VALUE"""),"https://drive.google.com/file/d/1ZZkjNeDnTCzxLDzikYrUDBxDsz5cDS5n/view?usp=drivesdk")</f>
        <v>https://drive.google.com/file/d/1ZZkjNeDnTCzxLDzikYrUDBxDsz5cDS5n/view?usp=drivesdk</v>
      </c>
      <c r="C550" s="156" t="str">
        <f>IFERROR(__xludf.DUMMYFUNCTION("""COMPUTED_VALUE"""),"10.3389--fpsyg.2013.00571.pdf")</f>
        <v>10.3389--fpsyg.2013.00571.pdf</v>
      </c>
      <c r="D550" s="156" t="str">
        <f>IFERROR(__xludf.DUMMYFUNCTION("""COMPUTED_VALUE"""),"application/pdf")</f>
        <v>application/pdf</v>
      </c>
    </row>
    <row r="551">
      <c r="A551" s="156" t="str">
        <f>IFERROR(__xludf.DUMMYFUNCTION("""COMPUTED_VALUE"""),"10.2224/sbp.2013.41.2.335")</f>
        <v>10.2224/sbp.2013.41.2.335</v>
      </c>
      <c r="B551" s="677" t="str">
        <f>IFERROR(__xludf.DUMMYFUNCTION("""COMPUTED_VALUE"""),"https://drive.google.com/file/d/1D0Fsvp14jMjK3rw8vwMmZaVNx40ve7Hq/view?usp=drivesdk")</f>
        <v>https://drive.google.com/file/d/1D0Fsvp14jMjK3rw8vwMmZaVNx40ve7Hq/view?usp=drivesdk</v>
      </c>
      <c r="C551" s="156" t="str">
        <f>IFERROR(__xludf.DUMMYFUNCTION("""COMPUTED_VALUE"""),"10.2224--sbp.2013.41.2.335.pdf")</f>
        <v>10.2224--sbp.2013.41.2.335.pdf</v>
      </c>
      <c r="D551" s="156" t="str">
        <f>IFERROR(__xludf.DUMMYFUNCTION("""COMPUTED_VALUE"""),"application/pdf")</f>
        <v>application/pdf</v>
      </c>
    </row>
    <row r="552">
      <c r="A552" s="156" t="str">
        <f>IFERROR(__xludf.DUMMYFUNCTION("""COMPUTED_VALUE"""),"10.1186/s41155-017-0074-8")</f>
        <v>10.1186/s41155-017-0074-8</v>
      </c>
      <c r="B552" s="677" t="str">
        <f>IFERROR(__xludf.DUMMYFUNCTION("""COMPUTED_VALUE"""),"https://drive.google.com/file/d/1Y1VIRvIVjTRFsw_vfCRlae-RuBBKW-9z/view?usp=drivesdk")</f>
        <v>https://drive.google.com/file/d/1Y1VIRvIVjTRFsw_vfCRlae-RuBBKW-9z/view?usp=drivesdk</v>
      </c>
      <c r="C552" s="156" t="str">
        <f>IFERROR(__xludf.DUMMYFUNCTION("""COMPUTED_VALUE"""),"10.1186--s41155-017-0074-8.pdf")</f>
        <v>10.1186--s41155-017-0074-8.pdf</v>
      </c>
      <c r="D552" s="156" t="str">
        <f>IFERROR(__xludf.DUMMYFUNCTION("""COMPUTED_VALUE"""),"application/pdf")</f>
        <v>application/pdf</v>
      </c>
    </row>
    <row r="553">
      <c r="A553" s="156" t="str">
        <f>IFERROR(__xludf.DUMMYFUNCTION("""COMPUTED_VALUE"""),"10.1080/02699931.2014.935297")</f>
        <v>10.1080/02699931.2014.935297</v>
      </c>
      <c r="B553" s="677" t="str">
        <f>IFERROR(__xludf.DUMMYFUNCTION("""COMPUTED_VALUE"""),"https://drive.google.com/file/d/1dXPNsLLzR8QFXaAf9TTMn-6H4Ab51Cr8/view?usp=drivesdk")</f>
        <v>https://drive.google.com/file/d/1dXPNsLLzR8QFXaAf9TTMn-6H4Ab51Cr8/view?usp=drivesdk</v>
      </c>
      <c r="C553" s="156" t="str">
        <f>IFERROR(__xludf.DUMMYFUNCTION("""COMPUTED_VALUE"""),"10.1080--02699931.2014.935297.pdf")</f>
        <v>10.1080--02699931.2014.935297.pdf</v>
      </c>
      <c r="D553" s="156" t="str">
        <f>IFERROR(__xludf.DUMMYFUNCTION("""COMPUTED_VALUE"""),"application/pdf")</f>
        <v>application/pdf</v>
      </c>
    </row>
    <row r="554">
      <c r="A554" s="156" t="str">
        <f>IFERROR(__xludf.DUMMYFUNCTION("""COMPUTED_VALUE"""),"10.1111/ajsp.12080")</f>
        <v>10.1111/ajsp.12080</v>
      </c>
      <c r="B554" s="677" t="str">
        <f>IFERROR(__xludf.DUMMYFUNCTION("""COMPUTED_VALUE"""),"https://drive.google.com/file/d/1kusUe8iFNhGsEDBWV6t4bCbXbSVs7CFx/view?usp=drivesdk")</f>
        <v>https://drive.google.com/file/d/1kusUe8iFNhGsEDBWV6t4bCbXbSVs7CFx/view?usp=drivesdk</v>
      </c>
      <c r="C554" s="156" t="str">
        <f>IFERROR(__xludf.DUMMYFUNCTION("""COMPUTED_VALUE"""),"10.1111--ajsp.12080.pdf")</f>
        <v>10.1111--ajsp.12080.pdf</v>
      </c>
      <c r="D554" s="156" t="str">
        <f>IFERROR(__xludf.DUMMYFUNCTION("""COMPUTED_VALUE"""),"application/pdf")</f>
        <v>application/pdf</v>
      </c>
    </row>
    <row r="555">
      <c r="A555" s="156" t="str">
        <f>IFERROR(__xludf.DUMMYFUNCTION("""COMPUTED_VALUE"""),"10.1037/a0025169")</f>
        <v>10.1037/a0025169</v>
      </c>
      <c r="B555" s="677" t="str">
        <f>IFERROR(__xludf.DUMMYFUNCTION("""COMPUTED_VALUE"""),"https://drive.google.com/file/d/1TH7LBpo-Ac8cTpIy_dacnVAx8ZxTtUDX/view?usp=drivesdk")</f>
        <v>https://drive.google.com/file/d/1TH7LBpo-Ac8cTpIy_dacnVAx8ZxTtUDX/view?usp=drivesdk</v>
      </c>
      <c r="C555" s="156" t="str">
        <f>IFERROR(__xludf.DUMMYFUNCTION("""COMPUTED_VALUE"""),"10.1037--a0025169.pdf")</f>
        <v>10.1037--a0025169.pdf</v>
      </c>
      <c r="D555" s="156" t="str">
        <f>IFERROR(__xludf.DUMMYFUNCTION("""COMPUTED_VALUE"""),"application/pdf")</f>
        <v>application/pdf</v>
      </c>
    </row>
    <row r="556">
      <c r="A556" s="156" t="str">
        <f>IFERROR(__xludf.DUMMYFUNCTION("""COMPUTED_VALUE"""),"10.1016/j.jsp.2017.07.006")</f>
        <v>10.1016/j.jsp.2017.07.006</v>
      </c>
      <c r="B556" s="677" t="str">
        <f>IFERROR(__xludf.DUMMYFUNCTION("""COMPUTED_VALUE"""),"https://drive.google.com/file/d/14XkXU9N9T4t6rk1hW0sFQDIe_r8yOUU3/view?usp=drivesdk")</f>
        <v>https://drive.google.com/file/d/14XkXU9N9T4t6rk1hW0sFQDIe_r8yOUU3/view?usp=drivesdk</v>
      </c>
      <c r="C556" s="156" t="str">
        <f>IFERROR(__xludf.DUMMYFUNCTION("""COMPUTED_VALUE"""),"10.1016--j.jsp.2017.07.006.pdf")</f>
        <v>10.1016--j.jsp.2017.07.006.pdf</v>
      </c>
      <c r="D556" s="156" t="str">
        <f>IFERROR(__xludf.DUMMYFUNCTION("""COMPUTED_VALUE"""),"application/pdf")</f>
        <v>application/pdf</v>
      </c>
    </row>
    <row r="557">
      <c r="A557" s="156" t="str">
        <f>IFERROR(__xludf.DUMMYFUNCTION("""COMPUTED_VALUE"""),"10.1017/sjp.2015.104")</f>
        <v>10.1017/sjp.2015.104</v>
      </c>
      <c r="B557" s="677" t="str">
        <f>IFERROR(__xludf.DUMMYFUNCTION("""COMPUTED_VALUE"""),"https://drive.google.com/file/d/1Rcz8eIa2iwIWWS_Mb8fhOtD6LJW1eld-/view?usp=drivesdk")</f>
        <v>https://drive.google.com/file/d/1Rcz8eIa2iwIWWS_Mb8fhOtD6LJW1eld-/view?usp=drivesdk</v>
      </c>
      <c r="C557" s="156" t="str">
        <f>IFERROR(__xludf.DUMMYFUNCTION("""COMPUTED_VALUE"""),"10.1017--sjp.2015.104.pdf")</f>
        <v>10.1017--sjp.2015.104.pdf</v>
      </c>
      <c r="D557" s="156" t="str">
        <f>IFERROR(__xludf.DUMMYFUNCTION("""COMPUTED_VALUE"""),"application/pdf")</f>
        <v>application/pdf</v>
      </c>
    </row>
    <row r="558">
      <c r="A558" s="156" t="str">
        <f>IFERROR(__xludf.DUMMYFUNCTION("""COMPUTED_VALUE"""),"10.1016/j.paid.2017.02.069")</f>
        <v>10.1016/j.paid.2017.02.069</v>
      </c>
      <c r="B558" s="677" t="str">
        <f>IFERROR(__xludf.DUMMYFUNCTION("""COMPUTED_VALUE"""),"https://drive.google.com/file/d/1iHQUXLdlV_DEJMQ_aq_cC-SvgIHVAaqI/view?usp=drivesdk")</f>
        <v>https://drive.google.com/file/d/1iHQUXLdlV_DEJMQ_aq_cC-SvgIHVAaqI/view?usp=drivesdk</v>
      </c>
      <c r="C558" s="156" t="str">
        <f>IFERROR(__xludf.DUMMYFUNCTION("""COMPUTED_VALUE"""),"10.1016--j.paid.2017.02.069.pdf")</f>
        <v>10.1016--j.paid.2017.02.069.pdf</v>
      </c>
      <c r="D558" s="156" t="str">
        <f>IFERROR(__xludf.DUMMYFUNCTION("""COMPUTED_VALUE"""),"application/pdf")</f>
        <v>application/pdf</v>
      </c>
    </row>
    <row r="559">
      <c r="A559" s="156" t="str">
        <f>IFERROR(__xludf.DUMMYFUNCTION("""COMPUTED_VALUE"""),"10.1016/j.jrp.2014.09.005")</f>
        <v>10.1016/j.jrp.2014.09.005</v>
      </c>
      <c r="B559" s="677" t="str">
        <f>IFERROR(__xludf.DUMMYFUNCTION("""COMPUTED_VALUE"""),"https://drive.google.com/file/d/1eM7v8ojRHGwFe8FJpWvWsC2hDfCEau6K/view?usp=drivesdk")</f>
        <v>https://drive.google.com/file/d/1eM7v8ojRHGwFe8FJpWvWsC2hDfCEau6K/view?usp=drivesdk</v>
      </c>
      <c r="C559" s="156" t="str">
        <f>IFERROR(__xludf.DUMMYFUNCTION("""COMPUTED_VALUE"""),"10.1016--j.jrp.2014.09.005.pdf")</f>
        <v>10.1016--j.jrp.2014.09.005.pdf</v>
      </c>
      <c r="D559" s="156" t="str">
        <f>IFERROR(__xludf.DUMMYFUNCTION("""COMPUTED_VALUE"""),"application/pdf")</f>
        <v>application/pdf</v>
      </c>
    </row>
    <row r="560">
      <c r="A560" s="156" t="str">
        <f>IFERROR(__xludf.DUMMYFUNCTION("""COMPUTED_VALUE"""),"10.1016/j.actpsy.2013.11.004")</f>
        <v>10.1016/j.actpsy.2013.11.004</v>
      </c>
      <c r="B560" s="677" t="str">
        <f>IFERROR(__xludf.DUMMYFUNCTION("""COMPUTED_VALUE"""),"https://drive.google.com/file/d/14GeTuuDcvGnyFN0009dd6R1-OtK24ZAP/view?usp=drivesdk")</f>
        <v>https://drive.google.com/file/d/14GeTuuDcvGnyFN0009dd6R1-OtK24ZAP/view?usp=drivesdk</v>
      </c>
      <c r="C560" s="156" t="str">
        <f>IFERROR(__xludf.DUMMYFUNCTION("""COMPUTED_VALUE"""),"10.1016--j.actpsy.2013.11.004.pdf")</f>
        <v>10.1016--j.actpsy.2013.11.004.pdf</v>
      </c>
      <c r="D560" s="156" t="str">
        <f>IFERROR(__xludf.DUMMYFUNCTION("""COMPUTED_VALUE"""),"application/pdf")</f>
        <v>application/pdf</v>
      </c>
    </row>
    <row r="561">
      <c r="A561" s="156" t="str">
        <f>IFERROR(__xludf.DUMMYFUNCTION("""COMPUTED_VALUE"""),"10.1016/j.actpsy.2011.07.007")</f>
        <v>10.1016/j.actpsy.2011.07.007</v>
      </c>
      <c r="B561" s="677" t="str">
        <f>IFERROR(__xludf.DUMMYFUNCTION("""COMPUTED_VALUE"""),"https://drive.google.com/file/d/11LA3heiN90GGDiax7QtguujQjiwyu9kD/view?usp=drivesdk")</f>
        <v>https://drive.google.com/file/d/11LA3heiN90GGDiax7QtguujQjiwyu9kD/view?usp=drivesdk</v>
      </c>
      <c r="C561" s="156" t="str">
        <f>IFERROR(__xludf.DUMMYFUNCTION("""COMPUTED_VALUE"""),"10.1016--j.actpsy.2011.07.007.pdf")</f>
        <v>10.1016--j.actpsy.2011.07.007.pdf</v>
      </c>
      <c r="D561" s="156" t="str">
        <f>IFERROR(__xludf.DUMMYFUNCTION("""COMPUTED_VALUE"""),"application/pdf")</f>
        <v>application/pdf</v>
      </c>
    </row>
    <row r="562">
      <c r="A562" s="156" t="str">
        <f>IFERROR(__xludf.DUMMYFUNCTION("""COMPUTED_VALUE"""),"10.1007/s10865-015-9647-0")</f>
        <v>10.1007/s10865-015-9647-0</v>
      </c>
      <c r="B562" s="677" t="str">
        <f>IFERROR(__xludf.DUMMYFUNCTION("""COMPUTED_VALUE"""),"https://drive.google.com/file/d/1ZVhYZp01PzxL_VPWUZGFJTNT6bK258ax/view?usp=drivesdk")</f>
        <v>https://drive.google.com/file/d/1ZVhYZp01PzxL_VPWUZGFJTNT6bK258ax/view?usp=drivesdk</v>
      </c>
      <c r="C562" s="156" t="str">
        <f>IFERROR(__xludf.DUMMYFUNCTION("""COMPUTED_VALUE"""),"10.1007--s10865-015-9647-0.pdf")</f>
        <v>10.1007--s10865-015-9647-0.pdf</v>
      </c>
      <c r="D562" s="156" t="str">
        <f>IFERROR(__xludf.DUMMYFUNCTION("""COMPUTED_VALUE"""),"application/pdf")</f>
        <v>application/pdf</v>
      </c>
    </row>
    <row r="563">
      <c r="A563" s="156" t="str">
        <f>IFERROR(__xludf.DUMMYFUNCTION("""COMPUTED_VALUE"""),"10.1007/s10803-013-1900-1")</f>
        <v>10.1007/s10803-013-1900-1</v>
      </c>
      <c r="B563" s="677" t="str">
        <f>IFERROR(__xludf.DUMMYFUNCTION("""COMPUTED_VALUE"""),"https://drive.google.com/file/d/1cTS_L14IMe69spwJnjmmtddzn9eVdb4W/view?usp=drivesdk")</f>
        <v>https://drive.google.com/file/d/1cTS_L14IMe69spwJnjmmtddzn9eVdb4W/view?usp=drivesdk</v>
      </c>
      <c r="C563" s="156" t="str">
        <f>IFERROR(__xludf.DUMMYFUNCTION("""COMPUTED_VALUE"""),"10.1007--s10803-013-1900-1.pdf")</f>
        <v>10.1007--s10803-013-1900-1.pdf</v>
      </c>
      <c r="D563" s="156" t="str">
        <f>IFERROR(__xludf.DUMMYFUNCTION("""COMPUTED_VALUE"""),"application/pdf")</f>
        <v>application/pdf</v>
      </c>
    </row>
    <row r="564">
      <c r="A564" s="156" t="str">
        <f>IFERROR(__xludf.DUMMYFUNCTION("""COMPUTED_VALUE"""),"10.1007/s00426-017-0921-3")</f>
        <v>10.1007/s00426-017-0921-3</v>
      </c>
      <c r="B564" s="677" t="str">
        <f>IFERROR(__xludf.DUMMYFUNCTION("""COMPUTED_VALUE"""),"https://drive.google.com/file/d/1eTT-z3W59HCeZCSxkMv9ObSn8ZxR7bgl/view?usp=drivesdk")</f>
        <v>https://drive.google.com/file/d/1eTT-z3W59HCeZCSxkMv9ObSn8ZxR7bgl/view?usp=drivesdk</v>
      </c>
      <c r="C564" s="156" t="str">
        <f>IFERROR(__xludf.DUMMYFUNCTION("""COMPUTED_VALUE"""),"10.1007--s00426-017-0921-3.pdf")</f>
        <v>10.1007--s00426-017-0921-3.pdf</v>
      </c>
      <c r="D564" s="156" t="str">
        <f>IFERROR(__xludf.DUMMYFUNCTION("""COMPUTED_VALUE"""),"application/pdf")</f>
        <v>application/pdf</v>
      </c>
    </row>
    <row r="565">
      <c r="A565" s="156" t="str">
        <f>IFERROR(__xludf.DUMMYFUNCTION("""COMPUTED_VALUE"""),"10.1007/s10862-013-9379-9")</f>
        <v>10.1007/s10862-013-9379-9</v>
      </c>
      <c r="B565" s="677" t="str">
        <f>IFERROR(__xludf.DUMMYFUNCTION("""COMPUTED_VALUE"""),"https://drive.google.com/file/d/1vqZS6YvnVP7WM3ColgxpdhNh_-LNaWT0/view?usp=drivesdk")</f>
        <v>https://drive.google.com/file/d/1vqZS6YvnVP7WM3ColgxpdhNh_-LNaWT0/view?usp=drivesdk</v>
      </c>
      <c r="C565" s="156" t="str">
        <f>IFERROR(__xludf.DUMMYFUNCTION("""COMPUTED_VALUE"""),"10.1007--s10862-013-9379-9.pdf")</f>
        <v>10.1007--s10862-013-9379-9.pdf</v>
      </c>
      <c r="D565" s="156" t="str">
        <f>IFERROR(__xludf.DUMMYFUNCTION("""COMPUTED_VALUE"""),"application/pdf")</f>
        <v>application/pdf</v>
      </c>
    </row>
    <row r="566">
      <c r="A566" s="156" t="str">
        <f>IFERROR(__xludf.DUMMYFUNCTION("""COMPUTED_VALUE"""),"10.1007/s10803-014-2139-1")</f>
        <v>10.1007/s10803-014-2139-1</v>
      </c>
      <c r="B566" s="677" t="str">
        <f>IFERROR(__xludf.DUMMYFUNCTION("""COMPUTED_VALUE"""),"https://drive.google.com/file/d/1ysVp3Vk_Bm-kgrT2l1h9mJDlMwC7toGK/view?usp=drivesdk")</f>
        <v>https://drive.google.com/file/d/1ysVp3Vk_Bm-kgrT2l1h9mJDlMwC7toGK/view?usp=drivesdk</v>
      </c>
      <c r="C566" s="156" t="str">
        <f>IFERROR(__xludf.DUMMYFUNCTION("""COMPUTED_VALUE"""),"10.1007--s10803-014-2139-1.pdf")</f>
        <v>10.1007--s10803-014-2139-1.pdf</v>
      </c>
      <c r="D566" s="156" t="str">
        <f>IFERROR(__xludf.DUMMYFUNCTION("""COMPUTED_VALUE"""),"application/pdf")</f>
        <v>application/pdf</v>
      </c>
    </row>
    <row r="567">
      <c r="A567" s="156" t="str">
        <f>IFERROR(__xludf.DUMMYFUNCTION("""COMPUTED_VALUE"""),"10.1002/pits.21953")</f>
        <v>10.1002/pits.21953</v>
      </c>
      <c r="B567" s="677" t="str">
        <f>IFERROR(__xludf.DUMMYFUNCTION("""COMPUTED_VALUE"""),"https://drive.google.com/file/d/1rehvP0kDldNOg4rLY0VGFiwvPM2zft3H/view?usp=drivesdk")</f>
        <v>https://drive.google.com/file/d/1rehvP0kDldNOg4rLY0VGFiwvPM2zft3H/view?usp=drivesdk</v>
      </c>
      <c r="C567" s="156" t="str">
        <f>IFERROR(__xludf.DUMMYFUNCTION("""COMPUTED_VALUE"""),"10.1002--pits.21953.pdf")</f>
        <v>10.1002--pits.21953.pdf</v>
      </c>
      <c r="D567" s="156" t="str">
        <f>IFERROR(__xludf.DUMMYFUNCTION("""COMPUTED_VALUE"""),"application/pdf")</f>
        <v>application/pdf</v>
      </c>
    </row>
    <row r="568">
      <c r="A568" s="156" t="str">
        <f>IFERROR(__xludf.DUMMYFUNCTION("""COMPUTED_VALUE"""),"10.1002/jaba.237")</f>
        <v>10.1002/jaba.237</v>
      </c>
      <c r="B568" s="677" t="str">
        <f>IFERROR(__xludf.DUMMYFUNCTION("""COMPUTED_VALUE"""),"https://drive.google.com/file/d/1EwsF0pnLu0pGACJr3ju1dbwNB6CV2Y9L/view?usp=drivesdk")</f>
        <v>https://drive.google.com/file/d/1EwsF0pnLu0pGACJr3ju1dbwNB6CV2Y9L/view?usp=drivesdk</v>
      </c>
      <c r="C568" s="156" t="str">
        <f>IFERROR(__xludf.DUMMYFUNCTION("""COMPUTED_VALUE"""),"10.1002--jaba.237.pdf")</f>
        <v>10.1002--jaba.237.pdf</v>
      </c>
      <c r="D568" s="156" t="str">
        <f>IFERROR(__xludf.DUMMYFUNCTION("""COMPUTED_VALUE"""),"application/pdf")</f>
        <v>application/pdf</v>
      </c>
    </row>
    <row r="569">
      <c r="A569" s="156" t="str">
        <f>IFERROR(__xludf.DUMMYFUNCTION("""COMPUTED_VALUE"""),"10.1002/jclp.23049")</f>
        <v>10.1002/jclp.23049</v>
      </c>
      <c r="B569" s="677" t="str">
        <f>IFERROR(__xludf.DUMMYFUNCTION("""COMPUTED_VALUE"""),"https://drive.google.com/file/d/1Y_EpmCGK_8GrQO61cfo7567_OUWQW7vY/view?usp=drivesdk")</f>
        <v>https://drive.google.com/file/d/1Y_EpmCGK_8GrQO61cfo7567_OUWQW7vY/view?usp=drivesdk</v>
      </c>
      <c r="C569" s="156" t="str">
        <f>IFERROR(__xludf.DUMMYFUNCTION("""COMPUTED_VALUE"""),"10.1002--jclp.23049.pdf")</f>
        <v>10.1002--jclp.23049.pdf</v>
      </c>
      <c r="D569" s="156" t="str">
        <f>IFERROR(__xludf.DUMMYFUNCTION("""COMPUTED_VALUE"""),"application/pdf")</f>
        <v>application/pdf</v>
      </c>
    </row>
    <row r="570">
      <c r="A570" s="156" t="str">
        <f>IFERROR(__xludf.DUMMYFUNCTION("""COMPUTED_VALUE"""),"10.1002/jaba.554")</f>
        <v>10.1002/jaba.554</v>
      </c>
      <c r="B570" s="677" t="str">
        <f>IFERROR(__xludf.DUMMYFUNCTION("""COMPUTED_VALUE"""),"https://drive.google.com/file/d/1nDrRbUYA46OyT_UiAcU2qmsoDAB6UA-A/view?usp=drivesdk")</f>
        <v>https://drive.google.com/file/d/1nDrRbUYA46OyT_UiAcU2qmsoDAB6UA-A/view?usp=drivesdk</v>
      </c>
      <c r="C570" s="156" t="str">
        <f>IFERROR(__xludf.DUMMYFUNCTION("""COMPUTED_VALUE"""),"10.1002--jaba.554.pdf")</f>
        <v>10.1002--jaba.554.pdf</v>
      </c>
      <c r="D570" s="156" t="str">
        <f>IFERROR(__xludf.DUMMYFUNCTION("""COMPUTED_VALUE"""),"application/pdf")</f>
        <v>application/pdf</v>
      </c>
    </row>
    <row r="571">
      <c r="A571" s="156" t="str">
        <f>IFERROR(__xludf.DUMMYFUNCTION("""COMPUTED_VALUE"""),"10.1002/erv.2569")</f>
        <v>10.1002/erv.2569</v>
      </c>
      <c r="B571" s="677" t="str">
        <f>IFERROR(__xludf.DUMMYFUNCTION("""COMPUTED_VALUE"""),"https://drive.google.com/file/d/1kAx4QgQTtcia-MvI5rRWYKB2z3n665tZ/view?usp=drivesdk")</f>
        <v>https://drive.google.com/file/d/1kAx4QgQTtcia-MvI5rRWYKB2z3n665tZ/view?usp=drivesdk</v>
      </c>
      <c r="C571" s="156" t="str">
        <f>IFERROR(__xludf.DUMMYFUNCTION("""COMPUTED_VALUE"""),"10.1002--erv.2569.pdf")</f>
        <v>10.1002--erv.2569.pdf</v>
      </c>
      <c r="D571" s="156" t="str">
        <f>IFERROR(__xludf.DUMMYFUNCTION("""COMPUTED_VALUE"""),"application/pdf")</f>
        <v>application/pdf</v>
      </c>
    </row>
    <row r="572">
      <c r="A572" s="156" t="str">
        <f>IFERROR(__xludf.DUMMYFUNCTION("""COMPUTED_VALUE"""),"10.1002/bin.1411")</f>
        <v>10.1002/bin.1411</v>
      </c>
      <c r="B572" s="677" t="str">
        <f>IFERROR(__xludf.DUMMYFUNCTION("""COMPUTED_VALUE"""),"https://drive.google.com/file/d/1nsz8SSPJ4Z_KpxpqXeVCe6NFPGxdyDUu/view?usp=drivesdk")</f>
        <v>https://drive.google.com/file/d/1nsz8SSPJ4Z_KpxpqXeVCe6NFPGxdyDUu/view?usp=drivesdk</v>
      </c>
      <c r="C572" s="156" t="str">
        <f>IFERROR(__xludf.DUMMYFUNCTION("""COMPUTED_VALUE"""),"10.1002--bin.1411.pdf")</f>
        <v>10.1002--bin.1411.pdf</v>
      </c>
      <c r="D572" s="156" t="str">
        <f>IFERROR(__xludf.DUMMYFUNCTION("""COMPUTED_VALUE"""),"application/pdf")</f>
        <v>application/pdf</v>
      </c>
    </row>
    <row r="573">
      <c r="A573" s="156" t="str">
        <f>IFERROR(__xludf.DUMMYFUNCTION("""COMPUTED_VALUE"""),"10.1177/0145445518786463")</f>
        <v>10.1177/0145445518786463</v>
      </c>
      <c r="B573" s="677" t="str">
        <f>IFERROR(__xludf.DUMMYFUNCTION("""COMPUTED_VALUE"""),"https://drive.google.com/file/d/1CIbkQesjQVKAtLNB3N7o4aZKLXHDZRky/view?usp=drivesdk")</f>
        <v>https://drive.google.com/file/d/1CIbkQesjQVKAtLNB3N7o4aZKLXHDZRky/view?usp=drivesdk</v>
      </c>
      <c r="C573" s="156" t="str">
        <f>IFERROR(__xludf.DUMMYFUNCTION("""COMPUTED_VALUE"""),"10.1177--0145445518786463.pdf")</f>
        <v>10.1177--0145445518786463.pdf</v>
      </c>
      <c r="D573" s="156" t="str">
        <f>IFERROR(__xludf.DUMMYFUNCTION("""COMPUTED_VALUE"""),"application/pdf")</f>
        <v>application/pdf</v>
      </c>
    </row>
    <row r="574">
      <c r="A574" s="156" t="str">
        <f>IFERROR(__xludf.DUMMYFUNCTION("""COMPUTED_VALUE"""),"10.1177/1948550619866187")</f>
        <v>10.1177/1948550619866187</v>
      </c>
      <c r="B574" s="677" t="str">
        <f>IFERROR(__xludf.DUMMYFUNCTION("""COMPUTED_VALUE"""),"https://drive.google.com/file/d/1CYyKHdz5t84W1sLTpB2JiwKkJfGqmCNm/view?usp=drivesdk")</f>
        <v>https://drive.google.com/file/d/1CYyKHdz5t84W1sLTpB2JiwKkJfGqmCNm/view?usp=drivesdk</v>
      </c>
      <c r="C574" s="156" t="str">
        <f>IFERROR(__xludf.DUMMYFUNCTION("""COMPUTED_VALUE"""),"10.1177--1948550619866187.pdf")</f>
        <v>10.1177--1948550619866187.pdf</v>
      </c>
      <c r="D574" s="156" t="str">
        <f>IFERROR(__xludf.DUMMYFUNCTION("""COMPUTED_VALUE"""),"application/pdf")</f>
        <v>application/pdf</v>
      </c>
    </row>
    <row r="575">
      <c r="A575" s="156" t="str">
        <f>IFERROR(__xludf.DUMMYFUNCTION("""COMPUTED_VALUE"""),"10.1177/1073191111415365")</f>
        <v>10.1177/1073191111415365</v>
      </c>
      <c r="B575" s="677" t="str">
        <f>IFERROR(__xludf.DUMMYFUNCTION("""COMPUTED_VALUE"""),"https://drive.google.com/file/d/1YLHlRVO4zMTD5FBk42S7nbccUGUSdMfC/view?usp=drivesdk")</f>
        <v>https://drive.google.com/file/d/1YLHlRVO4zMTD5FBk42S7nbccUGUSdMfC/view?usp=drivesdk</v>
      </c>
      <c r="C575" s="156" t="str">
        <f>IFERROR(__xludf.DUMMYFUNCTION("""COMPUTED_VALUE"""),"10.1177--1073191111415365.pdf")</f>
        <v>10.1177--1073191111415365.pdf</v>
      </c>
      <c r="D575" s="156" t="str">
        <f>IFERROR(__xludf.DUMMYFUNCTION("""COMPUTED_VALUE"""),"application/pdf")</f>
        <v>application/pdf</v>
      </c>
    </row>
    <row r="576">
      <c r="A576" s="156" t="str">
        <f>IFERROR(__xludf.DUMMYFUNCTION("""COMPUTED_VALUE"""),"10.1016/j.jrp.2014.04.009")</f>
        <v>10.1016/j.jrp.2014.04.009</v>
      </c>
      <c r="B576" s="677" t="str">
        <f>IFERROR(__xludf.DUMMYFUNCTION("""COMPUTED_VALUE"""),"https://drive.google.com/file/d/1UtoGZpomIGzea_7hOnR-61jrm2F9PfBb/view?usp=drivesdk")</f>
        <v>https://drive.google.com/file/d/1UtoGZpomIGzea_7hOnR-61jrm2F9PfBb/view?usp=drivesdk</v>
      </c>
      <c r="C576" s="156" t="str">
        <f>IFERROR(__xludf.DUMMYFUNCTION("""COMPUTED_VALUE"""),"10.1016--j.jrp.2014.04.009.pdf")</f>
        <v>10.1016--j.jrp.2014.04.009.pdf</v>
      </c>
      <c r="D576" s="156" t="str">
        <f>IFERROR(__xludf.DUMMYFUNCTION("""COMPUTED_VALUE"""),"application/pdf")</f>
        <v>application/pdf</v>
      </c>
    </row>
    <row r="577">
      <c r="A577" s="156" t="str">
        <f>IFERROR(__xludf.DUMMYFUNCTION("""COMPUTED_VALUE"""),"10.3389/fpsyg.2019.00209")</f>
        <v>10.3389/fpsyg.2019.00209</v>
      </c>
      <c r="B577" s="677" t="str">
        <f>IFERROR(__xludf.DUMMYFUNCTION("""COMPUTED_VALUE"""),"https://drive.google.com/file/d/1M19iPSon4hZri_TBOGH_WpyLcx3HcCL1/view?usp=drivesdk")</f>
        <v>https://drive.google.com/file/d/1M19iPSon4hZri_TBOGH_WpyLcx3HcCL1/view?usp=drivesdk</v>
      </c>
      <c r="C577" s="156" t="str">
        <f>IFERROR(__xludf.DUMMYFUNCTION("""COMPUTED_VALUE"""),"10.3389--fpsyg.2019.00209.pdf")</f>
        <v>10.3389--fpsyg.2019.00209.pdf</v>
      </c>
      <c r="D577" s="156" t="str">
        <f>IFERROR(__xludf.DUMMYFUNCTION("""COMPUTED_VALUE"""),"application/pdf")</f>
        <v>application/pdf</v>
      </c>
    </row>
    <row r="578">
      <c r="A578" s="156" t="str">
        <f>IFERROR(__xludf.DUMMYFUNCTION("""COMPUTED_VALUE"""),"10.1016/j.brat.2017.07.012")</f>
        <v>10.1016/j.brat.2017.07.012</v>
      </c>
      <c r="B578" s="677" t="str">
        <f>IFERROR(__xludf.DUMMYFUNCTION("""COMPUTED_VALUE"""),"https://drive.google.com/file/d/1ut_39xjWXzZfdC-mooi3K8eOOTVCtLi4/view?usp=drivesdk")</f>
        <v>https://drive.google.com/file/d/1ut_39xjWXzZfdC-mooi3K8eOOTVCtLi4/view?usp=drivesdk</v>
      </c>
      <c r="C578" s="156" t="str">
        <f>IFERROR(__xludf.DUMMYFUNCTION("""COMPUTED_VALUE"""),"10.1016--j.brat.2017.07.012.pdf")</f>
        <v>10.1016--j.brat.2017.07.012.pdf</v>
      </c>
      <c r="D578" s="156" t="str">
        <f>IFERROR(__xludf.DUMMYFUNCTION("""COMPUTED_VALUE"""),"application/pdf")</f>
        <v>application/pdf</v>
      </c>
    </row>
    <row r="579">
      <c r="A579" s="156" t="str">
        <f>IFERROR(__xludf.DUMMYFUNCTION("""COMPUTED_VALUE"""),"10.1111/bjhp.12422")</f>
        <v>10.1111/bjhp.12422</v>
      </c>
      <c r="B579" s="677" t="str">
        <f>IFERROR(__xludf.DUMMYFUNCTION("""COMPUTED_VALUE"""),"https://drive.google.com/file/d/1f3VX1OLfQmn8JftTcrO7GsaKuGD3i0sF/view?usp=drivesdk")</f>
        <v>https://drive.google.com/file/d/1f3VX1OLfQmn8JftTcrO7GsaKuGD3i0sF/view?usp=drivesdk</v>
      </c>
      <c r="C579" s="156" t="str">
        <f>IFERROR(__xludf.DUMMYFUNCTION("""COMPUTED_VALUE"""),"10.1111--bjhp.12422.pdf")</f>
        <v>10.1111--bjhp.12422.pdf</v>
      </c>
      <c r="D579" s="156" t="str">
        <f>IFERROR(__xludf.DUMMYFUNCTION("""COMPUTED_VALUE"""),"application/pdf")</f>
        <v>application/pdf</v>
      </c>
    </row>
    <row r="580">
      <c r="A580" s="156" t="str">
        <f>IFERROR(__xludf.DUMMYFUNCTION("""COMPUTED_VALUE"""),"10.1080/00221309.2013.831804")</f>
        <v>10.1080/00221309.2013.831804</v>
      </c>
      <c r="B580" s="677" t="str">
        <f>IFERROR(__xludf.DUMMYFUNCTION("""COMPUTED_VALUE"""),"https://drive.google.com/file/d/1fG17Xjgz4obfXcnkblykNgpNL9XPrpo0/view?usp=drivesdk")</f>
        <v>https://drive.google.com/file/d/1fG17Xjgz4obfXcnkblykNgpNL9XPrpo0/view?usp=drivesdk</v>
      </c>
      <c r="C580" s="156" t="str">
        <f>IFERROR(__xludf.DUMMYFUNCTION("""COMPUTED_VALUE"""),"10.1080--00221309.2013.831804.pdf")</f>
        <v>10.1080--00221309.2013.831804.pdf</v>
      </c>
      <c r="D580" s="156" t="str">
        <f>IFERROR(__xludf.DUMMYFUNCTION("""COMPUTED_VALUE"""),"application/pdf")</f>
        <v>application/pdf</v>
      </c>
    </row>
    <row r="581">
      <c r="A581" s="156" t="str">
        <f>IFERROR(__xludf.DUMMYFUNCTION("""COMPUTED_VALUE"""),"10.1080/02699931.2016.1168779")</f>
        <v>10.1080/02699931.2016.1168779</v>
      </c>
      <c r="B581" s="677" t="str">
        <f>IFERROR(__xludf.DUMMYFUNCTION("""COMPUTED_VALUE"""),"https://drive.google.com/file/d/1gPGnEbDjqg2vBIKsJCJcHa5KsIEH-XUh/view?usp=drivesdk")</f>
        <v>https://drive.google.com/file/d/1gPGnEbDjqg2vBIKsJCJcHa5KsIEH-XUh/view?usp=drivesdk</v>
      </c>
      <c r="C581" s="156" t="str">
        <f>IFERROR(__xludf.DUMMYFUNCTION("""COMPUTED_VALUE"""),"10.1080--02699931.2016.1168779.pdf")</f>
        <v>10.1080--02699931.2016.1168779.pdf</v>
      </c>
      <c r="D581" s="156" t="str">
        <f>IFERROR(__xludf.DUMMYFUNCTION("""COMPUTED_VALUE"""),"application/pdf")</f>
        <v>application/pdf</v>
      </c>
    </row>
    <row r="582">
      <c r="A582" s="156" t="str">
        <f>IFERROR(__xludf.DUMMYFUNCTION("""COMPUTED_VALUE"""),"10.1037/a0022822")</f>
        <v>10.1037/a0022822</v>
      </c>
      <c r="B582" s="677" t="str">
        <f>IFERROR(__xludf.DUMMYFUNCTION("""COMPUTED_VALUE"""),"https://drive.google.com/file/d/1U_ShHWq38K7Bj_BiFcoNDh9B-h-W_OJr/view?usp=drivesdk")</f>
        <v>https://drive.google.com/file/d/1U_ShHWq38K7Bj_BiFcoNDh9B-h-W_OJr/view?usp=drivesdk</v>
      </c>
      <c r="C582" s="156" t="str">
        <f>IFERROR(__xludf.DUMMYFUNCTION("""COMPUTED_VALUE"""),"10.1037--a0022822.pdf")</f>
        <v>10.1037--a0022822.pdf</v>
      </c>
      <c r="D582" s="156" t="str">
        <f>IFERROR(__xludf.DUMMYFUNCTION("""COMPUTED_VALUE"""),"application/pdf")</f>
        <v>application/pdf</v>
      </c>
    </row>
    <row r="583">
      <c r="A583" s="156" t="str">
        <f>IFERROR(__xludf.DUMMYFUNCTION("""COMPUTED_VALUE"""),"10.1016/j.paid.2019.06.012")</f>
        <v>10.1016/j.paid.2019.06.012</v>
      </c>
      <c r="B583" s="677" t="str">
        <f>IFERROR(__xludf.DUMMYFUNCTION("""COMPUTED_VALUE"""),"https://drive.google.com/file/d/1wyBTkcn_GE4mfO1uGUr7qem3oLNBUJa_/view?usp=drivesdk")</f>
        <v>https://drive.google.com/file/d/1wyBTkcn_GE4mfO1uGUr7qem3oLNBUJa_/view?usp=drivesdk</v>
      </c>
      <c r="C583" s="156" t="str">
        <f>IFERROR(__xludf.DUMMYFUNCTION("""COMPUTED_VALUE"""),"10.1016--j.paid.2019.06.012.pdf")</f>
        <v>10.1016--j.paid.2019.06.012.pdf</v>
      </c>
      <c r="D583" s="156" t="str">
        <f>IFERROR(__xludf.DUMMYFUNCTION("""COMPUTED_VALUE"""),"application/pdf")</f>
        <v>application/pdf</v>
      </c>
    </row>
    <row r="584">
      <c r="A584" s="156" t="str">
        <f>IFERROR(__xludf.DUMMYFUNCTION("""COMPUTED_VALUE"""),"10.1016/j.paid.2015.08.031")</f>
        <v>10.1016/j.paid.2015.08.031</v>
      </c>
      <c r="B584" s="677" t="str">
        <f>IFERROR(__xludf.DUMMYFUNCTION("""COMPUTED_VALUE"""),"https://drive.google.com/file/d/16JQNoO8JQulQ1kvBIF9ooglN6nvnOKwR/view?usp=drivesdk")</f>
        <v>https://drive.google.com/file/d/16JQNoO8JQulQ1kvBIF9ooglN6nvnOKwR/view?usp=drivesdk</v>
      </c>
      <c r="C584" s="156" t="str">
        <f>IFERROR(__xludf.DUMMYFUNCTION("""COMPUTED_VALUE"""),"10.1016--j.paid.2015.08.031.pdf")</f>
        <v>10.1016--j.paid.2015.08.031.pdf</v>
      </c>
      <c r="D584" s="156" t="str">
        <f>IFERROR(__xludf.DUMMYFUNCTION("""COMPUTED_VALUE"""),"application/pdf")</f>
        <v>application/pdf</v>
      </c>
    </row>
    <row r="585">
      <c r="A585" s="156" t="str">
        <f>IFERROR(__xludf.DUMMYFUNCTION("""COMPUTED_VALUE"""),"10.1007/s10566-014-9293-7")</f>
        <v>10.1007/s10566-014-9293-7</v>
      </c>
      <c r="B585" s="677" t="str">
        <f>IFERROR(__xludf.DUMMYFUNCTION("""COMPUTED_VALUE"""),"https://drive.google.com/file/d/1Czc5aZ-JQl9Ze5sayp-QbkKeN2bHe1gk/view?usp=drivesdk")</f>
        <v>https://drive.google.com/file/d/1Czc5aZ-JQl9Ze5sayp-QbkKeN2bHe1gk/view?usp=drivesdk</v>
      </c>
      <c r="C585" s="156" t="str">
        <f>IFERROR(__xludf.DUMMYFUNCTION("""COMPUTED_VALUE"""),"10.1007--s10566-014-9293-7.pdf")</f>
        <v>10.1007--s10566-014-9293-7.pdf</v>
      </c>
      <c r="D585" s="156" t="str">
        <f>IFERROR(__xludf.DUMMYFUNCTION("""COMPUTED_VALUE"""),"application/pdf")</f>
        <v>application/pdf</v>
      </c>
    </row>
    <row r="586">
      <c r="A586" s="156" t="str">
        <f>IFERROR(__xludf.DUMMYFUNCTION("""COMPUTED_VALUE"""),"10.1002/pchj.339")</f>
        <v>10.1002/pchj.339</v>
      </c>
      <c r="B586" s="677" t="str">
        <f>IFERROR(__xludf.DUMMYFUNCTION("""COMPUTED_VALUE"""),"https://drive.google.com/file/d/1INr3r-uiHA_8jbfY-cR2T050CvniVkN7/view?usp=drivesdk")</f>
        <v>https://drive.google.com/file/d/1INr3r-uiHA_8jbfY-cR2T050CvniVkN7/view?usp=drivesdk</v>
      </c>
      <c r="C586" s="156" t="str">
        <f>IFERROR(__xludf.DUMMYFUNCTION("""COMPUTED_VALUE"""),"10.1002--pchj.339.pdf")</f>
        <v>10.1002--pchj.339.pdf</v>
      </c>
      <c r="D586" s="156" t="str">
        <f>IFERROR(__xludf.DUMMYFUNCTION("""COMPUTED_VALUE"""),"application/pdf")</f>
        <v>application/pdf</v>
      </c>
    </row>
    <row r="587">
      <c r="A587" s="156" t="str">
        <f>IFERROR(__xludf.DUMMYFUNCTION("""COMPUTED_VALUE"""),"10.1016/j.jrp.2010.11.010")</f>
        <v>10.1016/j.jrp.2010.11.010</v>
      </c>
      <c r="B587" s="677" t="str">
        <f>IFERROR(__xludf.DUMMYFUNCTION("""COMPUTED_VALUE"""),"https://drive.google.com/file/d/1RyN83mHGTApKt6B6S4Jlo5fQbPQSk-_h/view?usp=drivesdk")</f>
        <v>https://drive.google.com/file/d/1RyN83mHGTApKt6B6S4Jlo5fQbPQSk-_h/view?usp=drivesdk</v>
      </c>
      <c r="C587" s="156" t="str">
        <f>IFERROR(__xludf.DUMMYFUNCTION("""COMPUTED_VALUE"""),"10.1016--j.jrp.2010.11.010.pdf")</f>
        <v>10.1016--j.jrp.2010.11.010.pdf</v>
      </c>
      <c r="D587" s="156" t="str">
        <f>IFERROR(__xludf.DUMMYFUNCTION("""COMPUTED_VALUE"""),"application/pdf")</f>
        <v>application/pdf</v>
      </c>
    </row>
    <row r="588">
      <c r="A588" s="156" t="str">
        <f>IFERROR(__xludf.DUMMYFUNCTION("""COMPUTED_VALUE"""),"10.3758/s13421-019-00899-4")</f>
        <v>10.3758/s13421-019-00899-4</v>
      </c>
      <c r="B588" s="677" t="str">
        <f>IFERROR(__xludf.DUMMYFUNCTION("""COMPUTED_VALUE"""),"https://drive.google.com/file/d/1O4Z3E8WDBEBZlyUl5ki0754W75nCVFl9/view?usp=drivesdk")</f>
        <v>https://drive.google.com/file/d/1O4Z3E8WDBEBZlyUl5ki0754W75nCVFl9/view?usp=drivesdk</v>
      </c>
      <c r="C588" s="156" t="str">
        <f>IFERROR(__xludf.DUMMYFUNCTION("""COMPUTED_VALUE"""),"10.3758--s13421-019-00899-4.pdf")</f>
        <v>10.3758--s13421-019-00899-4.pdf</v>
      </c>
      <c r="D588" s="156" t="str">
        <f>IFERROR(__xludf.DUMMYFUNCTION("""COMPUTED_VALUE"""),"application/pdf")</f>
        <v>application/pdf</v>
      </c>
    </row>
    <row r="589">
      <c r="A589" s="156" t="str">
        <f>IFERROR(__xludf.DUMMYFUNCTION("""COMPUTED_VALUE"""),"10.7334/psicothema2019.405")</f>
        <v>10.7334/psicothema2019.405</v>
      </c>
      <c r="B589" s="677" t="str">
        <f>IFERROR(__xludf.DUMMYFUNCTION("""COMPUTED_VALUE"""),"https://drive.google.com/file/d/1hscDuQECm52P5exUVaXPVs51ZzXtuRaT/view?usp=drivesdk")</f>
        <v>https://drive.google.com/file/d/1hscDuQECm52P5exUVaXPVs51ZzXtuRaT/view?usp=drivesdk</v>
      </c>
      <c r="C589" s="156" t="str">
        <f>IFERROR(__xludf.DUMMYFUNCTION("""COMPUTED_VALUE"""),"10.7334--psicothema2019.405.pdf")</f>
        <v>10.7334--psicothema2019.405.pdf</v>
      </c>
      <c r="D589" s="156" t="str">
        <f>IFERROR(__xludf.DUMMYFUNCTION("""COMPUTED_VALUE"""),"application/pdf")</f>
        <v>application/pdf</v>
      </c>
    </row>
    <row r="590">
      <c r="A590" s="156" t="str">
        <f>IFERROR(__xludf.DUMMYFUNCTION("""COMPUTED_VALUE"""),"10.1177/0033294120957242")</f>
        <v>10.1177/0033294120957242</v>
      </c>
      <c r="B590" s="677" t="str">
        <f>IFERROR(__xludf.DUMMYFUNCTION("""COMPUTED_VALUE"""),"https://drive.google.com/file/d/1uqKCBjjsBLLP9R1cY7CSscLngEMlvgsZ/view?usp=drivesdk")</f>
        <v>https://drive.google.com/file/d/1uqKCBjjsBLLP9R1cY7CSscLngEMlvgsZ/view?usp=drivesdk</v>
      </c>
      <c r="C590" s="156" t="str">
        <f>IFERROR(__xludf.DUMMYFUNCTION("""COMPUTED_VALUE"""),"10.1177--0033294120957242.pdf")</f>
        <v>10.1177--0033294120957242.pdf</v>
      </c>
      <c r="D590" s="156" t="str">
        <f>IFERROR(__xludf.DUMMYFUNCTION("""COMPUTED_VALUE"""),"application/pdf")</f>
        <v>application/pdf</v>
      </c>
    </row>
    <row r="591">
      <c r="A591" s="156" t="str">
        <f>IFERROR(__xludf.DUMMYFUNCTION("""COMPUTED_VALUE"""),"10.3758/s13420-011-0022-x")</f>
        <v>10.3758/s13420-011-0022-x</v>
      </c>
      <c r="B591" s="677" t="str">
        <f>IFERROR(__xludf.DUMMYFUNCTION("""COMPUTED_VALUE"""),"https://drive.google.com/file/d/1AuNAf7lnOvo7QrZ-J4vwc9f1vUg542gd/view?usp=drivesdk")</f>
        <v>https://drive.google.com/file/d/1AuNAf7lnOvo7QrZ-J4vwc9f1vUg542gd/view?usp=drivesdk</v>
      </c>
      <c r="C591" s="156" t="str">
        <f>IFERROR(__xludf.DUMMYFUNCTION("""COMPUTED_VALUE"""),"10.3758--s13420-011-0022-x.pdf")</f>
        <v>10.3758--s13420-011-0022-x.pdf</v>
      </c>
      <c r="D591" s="156" t="str">
        <f>IFERROR(__xludf.DUMMYFUNCTION("""COMPUTED_VALUE"""),"application/pdf")</f>
        <v>application/pdf</v>
      </c>
    </row>
    <row r="592">
      <c r="A592" s="156" t="str">
        <f>IFERROR(__xludf.DUMMYFUNCTION("""COMPUTED_VALUE"""),"10.3758/s13420-019-00400-w")</f>
        <v>10.3758/s13420-019-00400-w</v>
      </c>
      <c r="B592" s="677" t="str">
        <f>IFERROR(__xludf.DUMMYFUNCTION("""COMPUTED_VALUE"""),"https://drive.google.com/file/d/1Onjhzt6DwoZrjGjz6X61baw4m0bp-7E_/view?usp=drivesdk")</f>
        <v>https://drive.google.com/file/d/1Onjhzt6DwoZrjGjz6X61baw4m0bp-7E_/view?usp=drivesdk</v>
      </c>
      <c r="C592" s="156" t="str">
        <f>IFERROR(__xludf.DUMMYFUNCTION("""COMPUTED_VALUE"""),"10.3758--s13420-019-00400-w.pdf")</f>
        <v>10.3758--s13420-019-00400-w.pdf</v>
      </c>
      <c r="D592" s="156" t="str">
        <f>IFERROR(__xludf.DUMMYFUNCTION("""COMPUTED_VALUE"""),"application/pdf")</f>
        <v>application/pdf</v>
      </c>
    </row>
    <row r="593">
      <c r="A593" s="156" t="str">
        <f>IFERROR(__xludf.DUMMYFUNCTION("""COMPUTED_VALUE"""),"10.3389/fpsyg.2018.02374")</f>
        <v>10.3389/fpsyg.2018.02374</v>
      </c>
      <c r="B593" s="677" t="str">
        <f>IFERROR(__xludf.DUMMYFUNCTION("""COMPUTED_VALUE"""),"https://drive.google.com/file/d/18TggGlWkXeSu5bk_69IJ9x2PmMxVkhua/view?usp=drivesdk")</f>
        <v>https://drive.google.com/file/d/18TggGlWkXeSu5bk_69IJ9x2PmMxVkhua/view?usp=drivesdk</v>
      </c>
      <c r="C593" s="156" t="str">
        <f>IFERROR(__xludf.DUMMYFUNCTION("""COMPUTED_VALUE"""),"10.3389--fpsyg.2018.02374.pdf")</f>
        <v>10.3389--fpsyg.2018.02374.pdf</v>
      </c>
      <c r="D593" s="156" t="str">
        <f>IFERROR(__xludf.DUMMYFUNCTION("""COMPUTED_VALUE"""),"application/pdf")</f>
        <v>application/pdf</v>
      </c>
    </row>
    <row r="594">
      <c r="A594" s="156" t="str">
        <f>IFERROR(__xludf.DUMMYFUNCTION("""COMPUTED_VALUE"""),"10.3389/fpsyg.2013.00858")</f>
        <v>10.3389/fpsyg.2013.00858</v>
      </c>
      <c r="B594" s="677" t="str">
        <f>IFERROR(__xludf.DUMMYFUNCTION("""COMPUTED_VALUE"""),"https://drive.google.com/file/d/1tER524eY1Pm4waC522tn1TKATaBAcIdy/view?usp=drivesdk")</f>
        <v>https://drive.google.com/file/d/1tER524eY1Pm4waC522tn1TKATaBAcIdy/view?usp=drivesdk</v>
      </c>
      <c r="C594" s="156" t="str">
        <f>IFERROR(__xludf.DUMMYFUNCTION("""COMPUTED_VALUE"""),"10.3389--fpsyg.2013.00858.pdf")</f>
        <v>10.3389--fpsyg.2013.00858.pdf</v>
      </c>
      <c r="D594" s="156" t="str">
        <f>IFERROR(__xludf.DUMMYFUNCTION("""COMPUTED_VALUE"""),"application/pdf")</f>
        <v>application/pdf</v>
      </c>
    </row>
    <row r="595">
      <c r="A595" s="156" t="str">
        <f>IFERROR(__xludf.DUMMYFUNCTION("""COMPUTED_VALUE"""),"10.3389/fnhum.2019.00119")</f>
        <v>10.3389/fnhum.2019.00119</v>
      </c>
      <c r="B595" s="677" t="str">
        <f>IFERROR(__xludf.DUMMYFUNCTION("""COMPUTED_VALUE"""),"https://drive.google.com/file/d/1xZ5HwISaypm-rAliUK4bTLRksYd6Ggmp/view?usp=drivesdk")</f>
        <v>https://drive.google.com/file/d/1xZ5HwISaypm-rAliUK4bTLRksYd6Ggmp/view?usp=drivesdk</v>
      </c>
      <c r="C595" s="156" t="str">
        <f>IFERROR(__xludf.DUMMYFUNCTION("""COMPUTED_VALUE"""),"10.3389--fnhum.2019.00119.pdf")</f>
        <v>10.3389--fnhum.2019.00119.pdf</v>
      </c>
      <c r="D595" s="156" t="str">
        <f>IFERROR(__xludf.DUMMYFUNCTION("""COMPUTED_VALUE"""),"application/pdf")</f>
        <v>application/pdf</v>
      </c>
    </row>
    <row r="596">
      <c r="A596" s="156" t="str">
        <f>IFERROR(__xludf.DUMMYFUNCTION("""COMPUTED_VALUE"""),"10.1901/jeab.2011.96-243")</f>
        <v>10.1901/jeab.2011.96-243</v>
      </c>
      <c r="B596" s="677" t="str">
        <f>IFERROR(__xludf.DUMMYFUNCTION("""COMPUTED_VALUE"""),"https://drive.google.com/file/d/1-wdncb2cO0VeOs6J7tH6tKqbYdC4tKJa/view?usp=drivesdk")</f>
        <v>https://drive.google.com/file/d/1-wdncb2cO0VeOs6J7tH6tKqbYdC4tKJa/view?usp=drivesdk</v>
      </c>
      <c r="C596" s="156" t="str">
        <f>IFERROR(__xludf.DUMMYFUNCTION("""COMPUTED_VALUE"""),"10.1901--jeab.2011.96-243.pdf")</f>
        <v>10.1901--jeab.2011.96-243.pdf</v>
      </c>
      <c r="D596" s="156" t="str">
        <f>IFERROR(__xludf.DUMMYFUNCTION("""COMPUTED_VALUE"""),"application/pdf")</f>
        <v>application/pdf</v>
      </c>
    </row>
    <row r="597">
      <c r="A597" s="156" t="str">
        <f>IFERROR(__xludf.DUMMYFUNCTION("""COMPUTED_VALUE"""),"10.1177/1368430219861848")</f>
        <v>10.1177/1368430219861848</v>
      </c>
      <c r="B597" s="677" t="str">
        <f>IFERROR(__xludf.DUMMYFUNCTION("""COMPUTED_VALUE"""),"https://drive.google.com/file/d/1iaViZsT5wDy5G8zBeOeH6DEs-CR3Ac5P/view?usp=drivesdk")</f>
        <v>https://drive.google.com/file/d/1iaViZsT5wDy5G8zBeOeH6DEs-CR3Ac5P/view?usp=drivesdk</v>
      </c>
      <c r="C597" s="156" t="str">
        <f>IFERROR(__xludf.DUMMYFUNCTION("""COMPUTED_VALUE"""),"10.1177--1368430219861848.pdf")</f>
        <v>10.1177--1368430219861848.pdf</v>
      </c>
      <c r="D597" s="156" t="str">
        <f>IFERROR(__xludf.DUMMYFUNCTION("""COMPUTED_VALUE"""),"application/pdf")</f>
        <v>application/pdf</v>
      </c>
    </row>
    <row r="598">
      <c r="A598" s="156" t="str">
        <f>IFERROR(__xludf.DUMMYFUNCTION("""COMPUTED_VALUE"""),"10.1093/geronb/gbt044")</f>
        <v>10.1093/geronb/gbt044</v>
      </c>
      <c r="B598" s="677" t="str">
        <f>IFERROR(__xludf.DUMMYFUNCTION("""COMPUTED_VALUE"""),"https://drive.google.com/file/d/1aNzKHnUJIxhkPSrHpYsD3L4dSNXQ-vB-/view?usp=drivesdk")</f>
        <v>https://drive.google.com/file/d/1aNzKHnUJIxhkPSrHpYsD3L4dSNXQ-vB-/view?usp=drivesdk</v>
      </c>
      <c r="C598" s="156" t="str">
        <f>IFERROR(__xludf.DUMMYFUNCTION("""COMPUTED_VALUE"""),"10.1093--geronb--gbt044.pdf")</f>
        <v>10.1093--geronb--gbt044.pdf</v>
      </c>
      <c r="D598" s="156" t="str">
        <f>IFERROR(__xludf.DUMMYFUNCTION("""COMPUTED_VALUE"""),"application/pdf")</f>
        <v>application/pdf</v>
      </c>
    </row>
    <row r="599">
      <c r="A599" s="156" t="str">
        <f>IFERROR(__xludf.DUMMYFUNCTION("""COMPUTED_VALUE"""),"10.1111/bjso.12217")</f>
        <v>10.1111/bjso.12217</v>
      </c>
      <c r="B599" s="677" t="str">
        <f>IFERROR(__xludf.DUMMYFUNCTION("""COMPUTED_VALUE"""),"https://drive.google.com/file/d/1xrLs1VeE6z1N0rhUYb4xMyLvV1mRyn-h/view?usp=drivesdk")</f>
        <v>https://drive.google.com/file/d/1xrLs1VeE6z1N0rhUYb4xMyLvV1mRyn-h/view?usp=drivesdk</v>
      </c>
      <c r="C599" s="156" t="str">
        <f>IFERROR(__xludf.DUMMYFUNCTION("""COMPUTED_VALUE"""),"10.1111--bjso.12217.pdf")</f>
        <v>10.1111--bjso.12217.pdf</v>
      </c>
      <c r="D599" s="156" t="str">
        <f>IFERROR(__xludf.DUMMYFUNCTION("""COMPUTED_VALUE"""),"application/pdf")</f>
        <v>application/pdf</v>
      </c>
    </row>
    <row r="600">
      <c r="A600" s="156" t="str">
        <f>IFERROR(__xludf.DUMMYFUNCTION("""COMPUTED_VALUE"""),"10.1080/10409289.2011.616134")</f>
        <v>10.1080/10409289.2011.616134</v>
      </c>
      <c r="B600" s="677" t="str">
        <f>IFERROR(__xludf.DUMMYFUNCTION("""COMPUTED_VALUE"""),"https://drive.google.com/file/d/16J07lShWNnRCs5jdoy3kElpIS8XbsQTz/view?usp=drivesdk")</f>
        <v>https://drive.google.com/file/d/16J07lShWNnRCs5jdoy3kElpIS8XbsQTz/view?usp=drivesdk</v>
      </c>
      <c r="C600" s="156" t="str">
        <f>IFERROR(__xludf.DUMMYFUNCTION("""COMPUTED_VALUE"""),"10.1080--10409289.2011.616134.pdf")</f>
        <v>10.1080--10409289.2011.616134.pdf</v>
      </c>
      <c r="D600" s="156" t="str">
        <f>IFERROR(__xludf.DUMMYFUNCTION("""COMPUTED_VALUE"""),"application/pdf")</f>
        <v>application/pdf</v>
      </c>
    </row>
    <row r="601">
      <c r="A601" s="156" t="str">
        <f>IFERROR(__xludf.DUMMYFUNCTION("""COMPUTED_VALUE"""),"10.1080/00222895.2014.898608")</f>
        <v>10.1080/00222895.2014.898608</v>
      </c>
      <c r="B601" s="677" t="str">
        <f>IFERROR(__xludf.DUMMYFUNCTION("""COMPUTED_VALUE"""),"https://drive.google.com/file/d/1LxeevgLjyT8AkjlH4E6MYnCp9eeL2d8B/view?usp=drivesdk")</f>
        <v>https://drive.google.com/file/d/1LxeevgLjyT8AkjlH4E6MYnCp9eeL2d8B/view?usp=drivesdk</v>
      </c>
      <c r="C601" s="156" t="str">
        <f>IFERROR(__xludf.DUMMYFUNCTION("""COMPUTED_VALUE"""),"10.1080--00222895.2014.898608.pdf")</f>
        <v>10.1080--00222895.2014.898608.pdf</v>
      </c>
      <c r="D601" s="156" t="str">
        <f>IFERROR(__xludf.DUMMYFUNCTION("""COMPUTED_VALUE"""),"application/pdf")</f>
        <v>application/pdf</v>
      </c>
    </row>
    <row r="602">
      <c r="A602" s="156" t="str">
        <f>IFERROR(__xludf.DUMMYFUNCTION("""COMPUTED_VALUE"""),"10.1068/i0484")</f>
        <v>10.1068/i0484</v>
      </c>
      <c r="B602" s="677" t="str">
        <f>IFERROR(__xludf.DUMMYFUNCTION("""COMPUTED_VALUE"""),"https://drive.google.com/file/d/1gjjSTXPvy0oA6FE6LBYps63-uCAoPuvQ/view?usp=drivesdk")</f>
        <v>https://drive.google.com/file/d/1gjjSTXPvy0oA6FE6LBYps63-uCAoPuvQ/view?usp=drivesdk</v>
      </c>
      <c r="C602" s="156" t="str">
        <f>IFERROR(__xludf.DUMMYFUNCTION("""COMPUTED_VALUE"""),"10.1068--i0484.pdf")</f>
        <v>10.1068--i0484.pdf</v>
      </c>
      <c r="D602" s="156" t="str">
        <f>IFERROR(__xludf.DUMMYFUNCTION("""COMPUTED_VALUE"""),"application/pdf")</f>
        <v>application/pdf</v>
      </c>
    </row>
    <row r="603">
      <c r="A603" s="156" t="str">
        <f>IFERROR(__xludf.DUMMYFUNCTION("""COMPUTED_VALUE"""),"10.1080/00222895.2012.746635")</f>
        <v>10.1080/00222895.2012.746635</v>
      </c>
      <c r="B603" s="677" t="str">
        <f>IFERROR(__xludf.DUMMYFUNCTION("""COMPUTED_VALUE"""),"https://drive.google.com/file/d/1uH-moXpKZkoW06G-uMIqMrMsOgICxhxK/view?usp=drivesdk")</f>
        <v>https://drive.google.com/file/d/1uH-moXpKZkoW06G-uMIqMrMsOgICxhxK/view?usp=drivesdk</v>
      </c>
      <c r="C603" s="156" t="str">
        <f>IFERROR(__xludf.DUMMYFUNCTION("""COMPUTED_VALUE"""),"10.1080--00222895.2012.746635.pdf")</f>
        <v>10.1080--00222895.2012.746635.pdf</v>
      </c>
      <c r="D603" s="156" t="str">
        <f>IFERROR(__xludf.DUMMYFUNCTION("""COMPUTED_VALUE"""),"application/pdf")</f>
        <v>application/pdf</v>
      </c>
    </row>
    <row r="604">
      <c r="A604" s="156" t="str">
        <f>IFERROR(__xludf.DUMMYFUNCTION("""COMPUTED_VALUE"""),"10.1016/j.psym.2016.03.006")</f>
        <v>10.1016/j.psym.2016.03.006</v>
      </c>
      <c r="B604" s="677" t="str">
        <f>IFERROR(__xludf.DUMMYFUNCTION("""COMPUTED_VALUE"""),"https://drive.google.com/file/d/1E0ejpct5a7_vB178iahBwAL_i2oxz72N/view?usp=drivesdk")</f>
        <v>https://drive.google.com/file/d/1E0ejpct5a7_vB178iahBwAL_i2oxz72N/view?usp=drivesdk</v>
      </c>
      <c r="C604" s="156" t="str">
        <f>IFERROR(__xludf.DUMMYFUNCTION("""COMPUTED_VALUE"""),"10.1016--j.psym.2016.03.006.pdf")</f>
        <v>10.1016--j.psym.2016.03.006.pdf</v>
      </c>
      <c r="D604" s="156" t="str">
        <f>IFERROR(__xludf.DUMMYFUNCTION("""COMPUTED_VALUE"""),"application/pdf")</f>
        <v>application/pdf</v>
      </c>
    </row>
    <row r="605">
      <c r="A605" s="156" t="str">
        <f>IFERROR(__xludf.DUMMYFUNCTION("""COMPUTED_VALUE"""),"10.3758/s13421-018-0888-3")</f>
        <v>10.3758/s13421-018-0888-3</v>
      </c>
      <c r="B605" s="677" t="str">
        <f>IFERROR(__xludf.DUMMYFUNCTION("""COMPUTED_VALUE"""),"https://drive.google.com/file/d/1StamO0swYfk-wAy_lOvSoSp4ZqzBiRbh/view?usp=drivesdk")</f>
        <v>https://drive.google.com/file/d/1StamO0swYfk-wAy_lOvSoSp4ZqzBiRbh/view?usp=drivesdk</v>
      </c>
      <c r="C605" s="156" t="str">
        <f>IFERROR(__xludf.DUMMYFUNCTION("""COMPUTED_VALUE"""),"10.3758--s13421-018-0888-3.pdf")</f>
        <v>10.3758--s13421-018-0888-3.pdf</v>
      </c>
      <c r="D605" s="156" t="str">
        <f>IFERROR(__xludf.DUMMYFUNCTION("""COMPUTED_VALUE"""),"application/pdf")</f>
        <v>application/pdf</v>
      </c>
    </row>
    <row r="606">
      <c r="A606" s="156" t="str">
        <f>IFERROR(__xludf.DUMMYFUNCTION("""COMPUTED_VALUE"""),"10.5406/amerjpsyc.126.2.0213")</f>
        <v>10.5406/amerjpsyc.126.2.0213</v>
      </c>
      <c r="B606" s="677" t="str">
        <f>IFERROR(__xludf.DUMMYFUNCTION("""COMPUTED_VALUE"""),"https://drive.google.com/file/d/1ULXsAIovWTEPQuG4O21N-Lh-v1ny-4DE/view?usp=drivesdk")</f>
        <v>https://drive.google.com/file/d/1ULXsAIovWTEPQuG4O21N-Lh-v1ny-4DE/view?usp=drivesdk</v>
      </c>
      <c r="C606" s="156" t="str">
        <f>IFERROR(__xludf.DUMMYFUNCTION("""COMPUTED_VALUE"""),"10.5406--amerjpsyc.126.2.0213.pdf")</f>
        <v>10.5406--amerjpsyc.126.2.0213.pdf</v>
      </c>
      <c r="D606" s="156" t="str">
        <f>IFERROR(__xludf.DUMMYFUNCTION("""COMPUTED_VALUE"""),"application/pdf")</f>
        <v>application/pdf</v>
      </c>
    </row>
    <row r="607">
      <c r="A607" s="156" t="str">
        <f>IFERROR(__xludf.DUMMYFUNCTION("""COMPUTED_VALUE"""),"10.3389/fpsyg.2019.01764")</f>
        <v>10.3389/fpsyg.2019.01764</v>
      </c>
      <c r="B607" s="677" t="str">
        <f>IFERROR(__xludf.DUMMYFUNCTION("""COMPUTED_VALUE"""),"https://drive.google.com/file/d/1JPaP_f2HLFWbr6dF63wyeT5vTMKoOwU9/view?usp=drivesdk")</f>
        <v>https://drive.google.com/file/d/1JPaP_f2HLFWbr6dF63wyeT5vTMKoOwU9/view?usp=drivesdk</v>
      </c>
      <c r="C607" s="156" t="str">
        <f>IFERROR(__xludf.DUMMYFUNCTION("""COMPUTED_VALUE"""),"10.3389--fpsyg.2019.01764.pdf")</f>
        <v>10.3389--fpsyg.2019.01764.pdf</v>
      </c>
      <c r="D607" s="156" t="str">
        <f>IFERROR(__xludf.DUMMYFUNCTION("""COMPUTED_VALUE"""),"application/pdf")</f>
        <v>application/pdf</v>
      </c>
    </row>
    <row r="608">
      <c r="A608" s="156" t="str">
        <f>IFERROR(__xludf.DUMMYFUNCTION("""COMPUTED_VALUE"""),"10.3389/fpsyg.2019.02871")</f>
        <v>10.3389/fpsyg.2019.02871</v>
      </c>
      <c r="B608" s="677" t="str">
        <f>IFERROR(__xludf.DUMMYFUNCTION("""COMPUTED_VALUE"""),"https://drive.google.com/file/d/1OKGSbjtkK7WMQzhNE_1dy7jpQ8WERmvS/view?usp=drivesdk")</f>
        <v>https://drive.google.com/file/d/1OKGSbjtkK7WMQzhNE_1dy7jpQ8WERmvS/view?usp=drivesdk</v>
      </c>
      <c r="C608" s="156" t="str">
        <f>IFERROR(__xludf.DUMMYFUNCTION("""COMPUTED_VALUE"""),"10.3389--fpsyg.2019.02871.pdf")</f>
        <v>10.3389--fpsyg.2019.02871.pdf</v>
      </c>
      <c r="D608" s="156" t="str">
        <f>IFERROR(__xludf.DUMMYFUNCTION("""COMPUTED_VALUE"""),"application/pdf")</f>
        <v>application/pdf</v>
      </c>
    </row>
    <row r="609">
      <c r="A609" s="156" t="str">
        <f>IFERROR(__xludf.DUMMYFUNCTION("""COMPUTED_VALUE"""),"10.3390/jintelligence7030020")</f>
        <v>10.3390/jintelligence7030020</v>
      </c>
      <c r="B609" s="677" t="str">
        <f>IFERROR(__xludf.DUMMYFUNCTION("""COMPUTED_VALUE"""),"https://drive.google.com/file/d/1uT-eWn5IJIikqJUZyuqDaofuNttOkErM/view?usp=drivesdk")</f>
        <v>https://drive.google.com/file/d/1uT-eWn5IJIikqJUZyuqDaofuNttOkErM/view?usp=drivesdk</v>
      </c>
      <c r="C609" s="156" t="str">
        <f>IFERROR(__xludf.DUMMYFUNCTION("""COMPUTED_VALUE"""),"10.3390--jintelligence7030020.pdf")</f>
        <v>10.3390--jintelligence7030020.pdf</v>
      </c>
      <c r="D609" s="156" t="str">
        <f>IFERROR(__xludf.DUMMYFUNCTION("""COMPUTED_VALUE"""),"application/pdf")</f>
        <v>application/pdf</v>
      </c>
    </row>
    <row r="610">
      <c r="A610" s="156" t="str">
        <f>IFERROR(__xludf.DUMMYFUNCTION("""COMPUTED_VALUE"""),"10.3389/fpsyg.2016.01977")</f>
        <v>10.3389/fpsyg.2016.01977</v>
      </c>
      <c r="B610" s="677" t="str">
        <f>IFERROR(__xludf.DUMMYFUNCTION("""COMPUTED_VALUE"""),"https://drive.google.com/file/d/1RIoU1EHXXToXQVufwn8hsLnT0Ption0D/view?usp=drivesdk")</f>
        <v>https://drive.google.com/file/d/1RIoU1EHXXToXQVufwn8hsLnT0Ption0D/view?usp=drivesdk</v>
      </c>
      <c r="C610" s="156" t="str">
        <f>IFERROR(__xludf.DUMMYFUNCTION("""COMPUTED_VALUE"""),"10.3389--fpsyg.2016.01977.pdf")</f>
        <v>10.3389--fpsyg.2016.01977.pdf</v>
      </c>
      <c r="D610" s="156" t="str">
        <f>IFERROR(__xludf.DUMMYFUNCTION("""COMPUTED_VALUE"""),"application/pdf")</f>
        <v>application/pdf</v>
      </c>
    </row>
    <row r="611">
      <c r="A611" s="156" t="str">
        <f>IFERROR(__xludf.DUMMYFUNCTION("""COMPUTED_VALUE"""),"10.3389/fpsyg.2016.01508")</f>
        <v>10.3389/fpsyg.2016.01508</v>
      </c>
      <c r="B611" s="677" t="str">
        <f>IFERROR(__xludf.DUMMYFUNCTION("""COMPUTED_VALUE"""),"https://drive.google.com/file/d/1zRyA0n0mfr52RrXmAL0tnAw25PS4iHLF/view?usp=drivesdk")</f>
        <v>https://drive.google.com/file/d/1zRyA0n0mfr52RrXmAL0tnAw25PS4iHLF/view?usp=drivesdk</v>
      </c>
      <c r="C611" s="156" t="str">
        <f>IFERROR(__xludf.DUMMYFUNCTION("""COMPUTED_VALUE"""),"10.3389--fpsyg.2016.01508.pdf")</f>
        <v>10.3389--fpsyg.2016.01508.pdf</v>
      </c>
      <c r="D611" s="156" t="str">
        <f>IFERROR(__xludf.DUMMYFUNCTION("""COMPUTED_VALUE"""),"application/pdf")</f>
        <v>application/pdf</v>
      </c>
    </row>
    <row r="612">
      <c r="A612" s="156" t="str">
        <f>IFERROR(__xludf.DUMMYFUNCTION("""COMPUTED_VALUE"""),"10.3389/fpsyg.2016.00986")</f>
        <v>10.3389/fpsyg.2016.00986</v>
      </c>
      <c r="B612" s="677" t="str">
        <f>IFERROR(__xludf.DUMMYFUNCTION("""COMPUTED_VALUE"""),"https://drive.google.com/file/d/1es5MVutCL3UqvrvKc9-kSyBmXThLwaQq/view?usp=drivesdk")</f>
        <v>https://drive.google.com/file/d/1es5MVutCL3UqvrvKc9-kSyBmXThLwaQq/view?usp=drivesdk</v>
      </c>
      <c r="C612" s="156" t="str">
        <f>IFERROR(__xludf.DUMMYFUNCTION("""COMPUTED_VALUE"""),"10.3389--fpsyg.2016.00986.pdf")</f>
        <v>10.3389--fpsyg.2016.00986.pdf</v>
      </c>
      <c r="D612" s="156" t="str">
        <f>IFERROR(__xludf.DUMMYFUNCTION("""COMPUTED_VALUE"""),"application/pdf")</f>
        <v>application/pdf</v>
      </c>
    </row>
    <row r="613">
      <c r="A613" s="156" t="str">
        <f>IFERROR(__xludf.DUMMYFUNCTION("""COMPUTED_VALUE"""),"10.3389/fpsyg.2015.01744")</f>
        <v>10.3389/fpsyg.2015.01744</v>
      </c>
      <c r="B613" s="677" t="str">
        <f>IFERROR(__xludf.DUMMYFUNCTION("""COMPUTED_VALUE"""),"https://drive.google.com/file/d/1yZJyIjffRAiS9fHpR-tpr5bBSGvnCr5y/view?usp=drivesdk")</f>
        <v>https://drive.google.com/file/d/1yZJyIjffRAiS9fHpR-tpr5bBSGvnCr5y/view?usp=drivesdk</v>
      </c>
      <c r="C613" s="156" t="str">
        <f>IFERROR(__xludf.DUMMYFUNCTION("""COMPUTED_VALUE"""),"10.3389--fpsyg.2015.01744.pdf")</f>
        <v>10.3389--fpsyg.2015.01744.pdf</v>
      </c>
      <c r="D613" s="156" t="str">
        <f>IFERROR(__xludf.DUMMYFUNCTION("""COMPUTED_VALUE"""),"application/pdf")</f>
        <v>application/pdf</v>
      </c>
    </row>
    <row r="614">
      <c r="A614" s="156" t="str">
        <f>IFERROR(__xludf.DUMMYFUNCTION("""COMPUTED_VALUE"""),"10.3389/fpsyg.2015.01040")</f>
        <v>10.3389/fpsyg.2015.01040</v>
      </c>
      <c r="B614" s="677" t="str">
        <f>IFERROR(__xludf.DUMMYFUNCTION("""COMPUTED_VALUE"""),"https://drive.google.com/file/d/12kQse8I8kXtJaKBNg-Gmo9WbpuHi6FYd/view?usp=drivesdk")</f>
        <v>https://drive.google.com/file/d/12kQse8I8kXtJaKBNg-Gmo9WbpuHi6FYd/view?usp=drivesdk</v>
      </c>
      <c r="C614" s="156" t="str">
        <f>IFERROR(__xludf.DUMMYFUNCTION("""COMPUTED_VALUE"""),"10.3389--fpsyg.2015.01040.pdf")</f>
        <v>10.3389--fpsyg.2015.01040.pdf</v>
      </c>
      <c r="D614" s="156" t="str">
        <f>IFERROR(__xludf.DUMMYFUNCTION("""COMPUTED_VALUE"""),"application/pdf")</f>
        <v>application/pdf</v>
      </c>
    </row>
    <row r="615">
      <c r="A615" s="156" t="str">
        <f>IFERROR(__xludf.DUMMYFUNCTION("""COMPUTED_VALUE"""),"10.3389/fpsyg.2014.00309")</f>
        <v>10.3389/fpsyg.2014.00309</v>
      </c>
      <c r="B615" s="677" t="str">
        <f>IFERROR(__xludf.DUMMYFUNCTION("""COMPUTED_VALUE"""),"https://drive.google.com/file/d/1usJJGqcL3p5ZN10txY2RkWXs6pnx6Fj8/view?usp=drivesdk")</f>
        <v>https://drive.google.com/file/d/1usJJGqcL3p5ZN10txY2RkWXs6pnx6Fj8/view?usp=drivesdk</v>
      </c>
      <c r="C615" s="156" t="str">
        <f>IFERROR(__xludf.DUMMYFUNCTION("""COMPUTED_VALUE"""),"10.3389--fpsyg.2014.00309.pdf")</f>
        <v>10.3389--fpsyg.2014.00309.pdf</v>
      </c>
      <c r="D615" s="156" t="str">
        <f>IFERROR(__xludf.DUMMYFUNCTION("""COMPUTED_VALUE"""),"application/pdf")</f>
        <v>application/pdf</v>
      </c>
    </row>
    <row r="616">
      <c r="A616" s="156" t="str">
        <f>IFERROR(__xludf.DUMMYFUNCTION("""COMPUTED_VALUE"""),"10.17105/spr45-1.73-92")</f>
        <v>10.17105/spr45-1.73-92</v>
      </c>
      <c r="B616" s="677" t="str">
        <f>IFERROR(__xludf.DUMMYFUNCTION("""COMPUTED_VALUE"""),"https://drive.google.com/file/d/1SIjm2JssM2EZ_NwGent9c3diUYGEo_3c/view?usp=drivesdk")</f>
        <v>https://drive.google.com/file/d/1SIjm2JssM2EZ_NwGent9c3diUYGEo_3c/view?usp=drivesdk</v>
      </c>
      <c r="C616" s="156" t="str">
        <f>IFERROR(__xludf.DUMMYFUNCTION("""COMPUTED_VALUE"""),"10.17105--SPR45-1.73-92.pdf")</f>
        <v>10.17105--SPR45-1.73-92.pdf</v>
      </c>
      <c r="D616" s="156" t="str">
        <f>IFERROR(__xludf.DUMMYFUNCTION("""COMPUTED_VALUE"""),"application/pdf")</f>
        <v>application/pdf</v>
      </c>
    </row>
    <row r="617">
      <c r="A617" s="156" t="str">
        <f>IFERROR(__xludf.DUMMYFUNCTION("""COMPUTED_VALUE"""),"10.15288/jsad.2015.76.872")</f>
        <v>10.15288/jsad.2015.76.872</v>
      </c>
      <c r="B617" s="677" t="str">
        <f>IFERROR(__xludf.DUMMYFUNCTION("""COMPUTED_VALUE"""),"https://drive.google.com/file/d/19v1x1uCamcKrhdrugNTwZ3pF4Tf5RH7Q/view?usp=drivesdk")</f>
        <v>https://drive.google.com/file/d/19v1x1uCamcKrhdrugNTwZ3pF4Tf5RH7Q/view?usp=drivesdk</v>
      </c>
      <c r="C617" s="156" t="str">
        <f>IFERROR(__xludf.DUMMYFUNCTION("""COMPUTED_VALUE"""),"10.15288--jsad.2015.76.872.pdf")</f>
        <v>10.15288--jsad.2015.76.872.pdf</v>
      </c>
      <c r="D617" s="156" t="str">
        <f>IFERROR(__xludf.DUMMYFUNCTION("""COMPUTED_VALUE"""),"application/pdf")</f>
        <v>application/pdf</v>
      </c>
    </row>
    <row r="618">
      <c r="A618" s="156" t="str">
        <f>IFERROR(__xludf.DUMMYFUNCTION("""COMPUTED_VALUE"""),"10.15288/jsad.2019.80.86")</f>
        <v>10.15288/jsad.2019.80.86</v>
      </c>
      <c r="B618" s="677" t="str">
        <f>IFERROR(__xludf.DUMMYFUNCTION("""COMPUTED_VALUE"""),"https://drive.google.com/file/d/1wqk0p6y8yDLhB-aQWBS8U3ZdkGM0zp91/view?usp=drivesdk")</f>
        <v>https://drive.google.com/file/d/1wqk0p6y8yDLhB-aQWBS8U3ZdkGM0zp91/view?usp=drivesdk</v>
      </c>
      <c r="C618" s="156" t="str">
        <f>IFERROR(__xludf.DUMMYFUNCTION("""COMPUTED_VALUE"""),"10.15288--jsad.2019.80.86.pdf")</f>
        <v>10.15288--jsad.2019.80.86.pdf</v>
      </c>
      <c r="D618" s="156" t="str">
        <f>IFERROR(__xludf.DUMMYFUNCTION("""COMPUTED_VALUE"""),"application/pdf")</f>
        <v>application/pdf</v>
      </c>
    </row>
    <row r="619">
      <c r="A619" s="156" t="str">
        <f>IFERROR(__xludf.DUMMYFUNCTION("""COMPUTED_VALUE"""),"10.1525/collabra.181")</f>
        <v>10.1525/collabra.181</v>
      </c>
      <c r="B619" s="677" t="str">
        <f>IFERROR(__xludf.DUMMYFUNCTION("""COMPUTED_VALUE"""),"https://drive.google.com/file/d/1DeclU8bo_EajHy62KBulDJsICNIpaU6S/view?usp=drivesdk")</f>
        <v>https://drive.google.com/file/d/1DeclU8bo_EajHy62KBulDJsICNIpaU6S/view?usp=drivesdk</v>
      </c>
      <c r="C619" s="156" t="str">
        <f>IFERROR(__xludf.DUMMYFUNCTION("""COMPUTED_VALUE"""),"10.1525--collabra.181.pdf")</f>
        <v>10.1525--collabra.181.pdf</v>
      </c>
      <c r="D619" s="156" t="str">
        <f>IFERROR(__xludf.DUMMYFUNCTION("""COMPUTED_VALUE"""),"application/pdf")</f>
        <v>application/pdf</v>
      </c>
    </row>
    <row r="620">
      <c r="A620" s="156" t="str">
        <f>IFERROR(__xludf.DUMMYFUNCTION("""COMPUTED_VALUE"""),"10.1177/1359105315624748")</f>
        <v>10.1177/1359105315624748</v>
      </c>
      <c r="B620" s="677" t="str">
        <f>IFERROR(__xludf.DUMMYFUNCTION("""COMPUTED_VALUE"""),"https://drive.google.com/file/d/10Eo0J82R8-lNLugaP3ioLGuZiHR_YMqz/view?usp=drivesdk")</f>
        <v>https://drive.google.com/file/d/10Eo0J82R8-lNLugaP3ioLGuZiHR_YMqz/view?usp=drivesdk</v>
      </c>
      <c r="C620" s="156" t="str">
        <f>IFERROR(__xludf.DUMMYFUNCTION("""COMPUTED_VALUE"""),"10.1177--1359105315624748.pdf")</f>
        <v>10.1177--1359105315624748.pdf</v>
      </c>
      <c r="D620" s="156" t="str">
        <f>IFERROR(__xludf.DUMMYFUNCTION("""COMPUTED_VALUE"""),"application/pdf")</f>
        <v>application/pdf</v>
      </c>
    </row>
    <row r="621">
      <c r="A621" s="156" t="str">
        <f>IFERROR(__xludf.DUMMYFUNCTION("""COMPUTED_VALUE"""),"10.1177/1029864915613390")</f>
        <v>10.1177/1029864915613390</v>
      </c>
      <c r="B621" s="677" t="str">
        <f>IFERROR(__xludf.DUMMYFUNCTION("""COMPUTED_VALUE"""),"https://drive.google.com/file/d/1CLr5l61PoH31HwCXvlDRMJaZxMs3bl4x/view?usp=drivesdk")</f>
        <v>https://drive.google.com/file/d/1CLr5l61PoH31HwCXvlDRMJaZxMs3bl4x/view?usp=drivesdk</v>
      </c>
      <c r="C621" s="156" t="str">
        <f>IFERROR(__xludf.DUMMYFUNCTION("""COMPUTED_VALUE"""),"10.1177--1029864915613390.pdf")</f>
        <v>10.1177--1029864915613390.pdf</v>
      </c>
      <c r="D621" s="156" t="str">
        <f>IFERROR(__xludf.DUMMYFUNCTION("""COMPUTED_VALUE"""),"application/pdf")</f>
        <v>application/pdf</v>
      </c>
    </row>
    <row r="622">
      <c r="A622" s="156" t="str">
        <f>IFERROR(__xludf.DUMMYFUNCTION("""COMPUTED_VALUE"""),"10.1177/2041669517698149")</f>
        <v>10.1177/2041669517698149</v>
      </c>
      <c r="B622" s="677" t="str">
        <f>IFERROR(__xludf.DUMMYFUNCTION("""COMPUTED_VALUE"""),"https://drive.google.com/file/d/1pnU3f55XAHee41gNCwU5Ym5cdfkRRfQB/view?usp=drivesdk")</f>
        <v>https://drive.google.com/file/d/1pnU3f55XAHee41gNCwU5Ym5cdfkRRfQB/view?usp=drivesdk</v>
      </c>
      <c r="C622" s="156" t="str">
        <f>IFERROR(__xludf.DUMMYFUNCTION("""COMPUTED_VALUE"""),"10.1177--2041669517698149.pdf")</f>
        <v>10.1177--2041669517698149.pdf</v>
      </c>
      <c r="D622" s="156" t="str">
        <f>IFERROR(__xludf.DUMMYFUNCTION("""COMPUTED_VALUE"""),"application/pdf")</f>
        <v>application/pdf</v>
      </c>
    </row>
    <row r="623">
      <c r="A623" s="156" t="str">
        <f>IFERROR(__xludf.DUMMYFUNCTION("""COMPUTED_VALUE"""),"10.1177/0145445515616105")</f>
        <v>10.1177/0145445515616105</v>
      </c>
      <c r="B623" s="677" t="str">
        <f>IFERROR(__xludf.DUMMYFUNCTION("""COMPUTED_VALUE"""),"https://drive.google.com/file/d/12_eolJBnsG2YR9WEI-mbEdpO0V6IV8kg/view?usp=drivesdk")</f>
        <v>https://drive.google.com/file/d/12_eolJBnsG2YR9WEI-mbEdpO0V6IV8kg/view?usp=drivesdk</v>
      </c>
      <c r="C623" s="156" t="str">
        <f>IFERROR(__xludf.DUMMYFUNCTION("""COMPUTED_VALUE"""),"10.1177--0145445515616105.pdf")</f>
        <v>10.1177--0145445515616105.pdf</v>
      </c>
      <c r="D623" s="156" t="str">
        <f>IFERROR(__xludf.DUMMYFUNCTION("""COMPUTED_VALUE"""),"application/pdf")</f>
        <v>application/pdf</v>
      </c>
    </row>
    <row r="624">
      <c r="A624" s="156" t="str">
        <f>IFERROR(__xludf.DUMMYFUNCTION("""COMPUTED_VALUE"""),"10.1177/0886260516653550")</f>
        <v>10.1177/0886260516653550</v>
      </c>
      <c r="B624" s="677" t="str">
        <f>IFERROR(__xludf.DUMMYFUNCTION("""COMPUTED_VALUE"""),"https://drive.google.com/file/d/1Q0nfazCXWUWVxmiel0DDbVNdHI60PGO5/view?usp=drivesdk")</f>
        <v>https://drive.google.com/file/d/1Q0nfazCXWUWVxmiel0DDbVNdHI60PGO5/view?usp=drivesdk</v>
      </c>
      <c r="C624" s="156" t="str">
        <f>IFERROR(__xludf.DUMMYFUNCTION("""COMPUTED_VALUE"""),"10.1177--0886260516653550.pdf")</f>
        <v>10.1177--0886260516653550.pdf</v>
      </c>
      <c r="D624" s="156" t="str">
        <f>IFERROR(__xludf.DUMMYFUNCTION("""COMPUTED_VALUE"""),"application/pdf")</f>
        <v>application/pdf</v>
      </c>
    </row>
    <row r="625">
      <c r="A625" s="156" t="str">
        <f>IFERROR(__xludf.DUMMYFUNCTION("""COMPUTED_VALUE"""),"10.1177/0305735614535829")</f>
        <v>10.1177/0305735614535829</v>
      </c>
      <c r="B625" s="677" t="str">
        <f>IFERROR(__xludf.DUMMYFUNCTION("""COMPUTED_VALUE"""),"https://drive.google.com/file/d/1UDemnLRW6k-u9Q9FNFrVZu-v1MeMsHKy/view?usp=drivesdk")</f>
        <v>https://drive.google.com/file/d/1UDemnLRW6k-u9Q9FNFrVZu-v1MeMsHKy/view?usp=drivesdk</v>
      </c>
      <c r="C625" s="156" t="str">
        <f>IFERROR(__xludf.DUMMYFUNCTION("""COMPUTED_VALUE"""),"10.1177--0305735614535829.pdf")</f>
        <v>10.1177--0305735614535829.pdf</v>
      </c>
      <c r="D625" s="156" t="str">
        <f>IFERROR(__xludf.DUMMYFUNCTION("""COMPUTED_VALUE"""),"application/pdf")</f>
        <v>application/pdf</v>
      </c>
    </row>
    <row r="626">
      <c r="A626" s="156" t="str">
        <f>IFERROR(__xludf.DUMMYFUNCTION("""COMPUTED_VALUE"""),"10.1177/0018720818784803")</f>
        <v>10.1177/0018720818784803</v>
      </c>
      <c r="B626" s="677" t="str">
        <f>IFERROR(__xludf.DUMMYFUNCTION("""COMPUTED_VALUE"""),"https://drive.google.com/file/d/12StMxdPEO6VdXacH_ArIrFUGxvJIXW5L/view?usp=drivesdk")</f>
        <v>https://drive.google.com/file/d/12StMxdPEO6VdXacH_ArIrFUGxvJIXW5L/view?usp=drivesdk</v>
      </c>
      <c r="C626" s="156" t="str">
        <f>IFERROR(__xludf.DUMMYFUNCTION("""COMPUTED_VALUE"""),"10.1177--0018720818784803.pdf")</f>
        <v>10.1177--0018720818784803.pdf</v>
      </c>
      <c r="D626" s="156" t="str">
        <f>IFERROR(__xludf.DUMMYFUNCTION("""COMPUTED_VALUE"""),"application/pdf")</f>
        <v>application/pdf</v>
      </c>
    </row>
    <row r="627">
      <c r="A627" s="156" t="str">
        <f>IFERROR(__xludf.DUMMYFUNCTION("""COMPUTED_VALUE"""),"10.1162/jocn_a_01337")</f>
        <v>10.1162/jocn_a_01337</v>
      </c>
      <c r="B627" s="677" t="str">
        <f>IFERROR(__xludf.DUMMYFUNCTION("""COMPUTED_VALUE"""),"https://drive.google.com/file/d/1AtlOizVLsTw3FbzyWGHaHArqEWm3mte2/view?usp=drivesdk")</f>
        <v>https://drive.google.com/file/d/1AtlOizVLsTw3FbzyWGHaHArqEWm3mte2/view?usp=drivesdk</v>
      </c>
      <c r="C627" s="156" t="str">
        <f>IFERROR(__xludf.DUMMYFUNCTION("""COMPUTED_VALUE"""),"10.1162--jocn_a_01337.pdf")</f>
        <v>10.1162--jocn_a_01337.pdf</v>
      </c>
      <c r="D627" s="156" t="str">
        <f>IFERROR(__xludf.DUMMYFUNCTION("""COMPUTED_VALUE"""),"application/pdf")</f>
        <v>application/pdf</v>
      </c>
    </row>
    <row r="628">
      <c r="A628" s="156" t="str">
        <f>IFERROR(__xludf.DUMMYFUNCTION("""COMPUTED_VALUE"""),"10.1111/psyp.13458")</f>
        <v>10.1111/psyp.13458</v>
      </c>
      <c r="B628" s="677" t="str">
        <f>IFERROR(__xludf.DUMMYFUNCTION("""COMPUTED_VALUE"""),"https://drive.google.com/file/d/1AKrYbOAGpqmfFKElJaUfo2joQDe9OqAk/view?usp=drivesdk")</f>
        <v>https://drive.google.com/file/d/1AKrYbOAGpqmfFKElJaUfo2joQDe9OqAk/view?usp=drivesdk</v>
      </c>
      <c r="C628" s="156" t="str">
        <f>IFERROR(__xludf.DUMMYFUNCTION("""COMPUTED_VALUE"""),"10.1111--psyp.13458.pdf")</f>
        <v>10.1111--psyp.13458.pdf</v>
      </c>
      <c r="D628" s="156" t="str">
        <f>IFERROR(__xludf.DUMMYFUNCTION("""COMPUTED_VALUE"""),"application/pdf")</f>
        <v>application/pdf</v>
      </c>
    </row>
    <row r="629">
      <c r="A629" s="156" t="str">
        <f>IFERROR(__xludf.DUMMYFUNCTION("""COMPUTED_VALUE"""),"10.1111/jpr.12243")</f>
        <v>10.1111/jpr.12243</v>
      </c>
      <c r="B629" s="677" t="str">
        <f>IFERROR(__xludf.DUMMYFUNCTION("""COMPUTED_VALUE"""),"https://drive.google.com/file/d/1RQaA1WkzztLmftYsu4yTXc3vSvbUktPY/view?usp=drivesdk")</f>
        <v>https://drive.google.com/file/d/1RQaA1WkzztLmftYsu4yTXc3vSvbUktPY/view?usp=drivesdk</v>
      </c>
      <c r="C629" s="156" t="str">
        <f>IFERROR(__xludf.DUMMYFUNCTION("""COMPUTED_VALUE"""),"10.1111--jpr.12243.pdf")</f>
        <v>10.1111--jpr.12243.pdf</v>
      </c>
      <c r="D629" s="156" t="str">
        <f>IFERROR(__xludf.DUMMYFUNCTION("""COMPUTED_VALUE"""),"application/pdf")</f>
        <v>application/pdf</v>
      </c>
    </row>
    <row r="630">
      <c r="A630" s="156" t="str">
        <f>IFERROR(__xludf.DUMMYFUNCTION("""COMPUTED_VALUE"""),"10.1111/mbe.12253")</f>
        <v>10.1111/mbe.12253</v>
      </c>
      <c r="B630" s="677" t="str">
        <f>IFERROR(__xludf.DUMMYFUNCTION("""COMPUTED_VALUE"""),"https://drive.google.com/file/d/1apyZdvi_KdCBzEGB6R0bH0S0reFtNw19/view?usp=drivesdk")</f>
        <v>https://drive.google.com/file/d/1apyZdvi_KdCBzEGB6R0bH0S0reFtNw19/view?usp=drivesdk</v>
      </c>
      <c r="C630" s="156" t="str">
        <f>IFERROR(__xludf.DUMMYFUNCTION("""COMPUTED_VALUE"""),"10.1111--mbe.12253.pdf")</f>
        <v>10.1111--mbe.12253.pdf</v>
      </c>
      <c r="D630" s="156" t="str">
        <f>IFERROR(__xludf.DUMMYFUNCTION("""COMPUTED_VALUE"""),"application/pdf")</f>
        <v>application/pdf</v>
      </c>
    </row>
    <row r="631">
      <c r="A631" s="156" t="str">
        <f>IFERROR(__xludf.DUMMYFUNCTION("""COMPUTED_VALUE"""),"10.1093/abm/kay043")</f>
        <v>10.1093/abm/kay043</v>
      </c>
      <c r="B631" s="677" t="str">
        <f>IFERROR(__xludf.DUMMYFUNCTION("""COMPUTED_VALUE"""),"https://drive.google.com/file/d/1GDEwZJBqf8FRNMdXoAoZM_BXmdXfHvpU/view?usp=drivesdk")</f>
        <v>https://drive.google.com/file/d/1GDEwZJBqf8FRNMdXoAoZM_BXmdXfHvpU/view?usp=drivesdk</v>
      </c>
      <c r="C631" s="156" t="str">
        <f>IFERROR(__xludf.DUMMYFUNCTION("""COMPUTED_VALUE"""),"10.1093--abm--kay043.pdf")</f>
        <v>10.1093--abm--kay043.pdf</v>
      </c>
      <c r="D631" s="156" t="str">
        <f>IFERROR(__xludf.DUMMYFUNCTION("""COMPUTED_VALUE"""),"application/pdf")</f>
        <v>application/pdf</v>
      </c>
    </row>
    <row r="632">
      <c r="A632" s="156" t="str">
        <f>IFERROR(__xludf.DUMMYFUNCTION("""COMPUTED_VALUE"""),"10.1101/lm.050211.119")</f>
        <v>10.1101/lm.050211.119</v>
      </c>
      <c r="B632" s="677" t="str">
        <f>IFERROR(__xludf.DUMMYFUNCTION("""COMPUTED_VALUE"""),"https://drive.google.com/file/d/1jHST9MnMjr0HQlGDLp_Lm9-snMiFjuTq/view?usp=drivesdk")</f>
        <v>https://drive.google.com/file/d/1jHST9MnMjr0HQlGDLp_Lm9-snMiFjuTq/view?usp=drivesdk</v>
      </c>
      <c r="C632" s="156" t="str">
        <f>IFERROR(__xludf.DUMMYFUNCTION("""COMPUTED_VALUE"""),"10.1101--lm.050211.119.pdf")</f>
        <v>10.1101--lm.050211.119.pdf</v>
      </c>
      <c r="D632" s="156" t="str">
        <f>IFERROR(__xludf.DUMMYFUNCTION("""COMPUTED_VALUE"""),"application/pdf")</f>
        <v>application/pdf</v>
      </c>
    </row>
    <row r="633">
      <c r="A633" s="156" t="str">
        <f>IFERROR(__xludf.DUMMYFUNCTION("""COMPUTED_VALUE"""),"10.1080/23273798.2016.1197954")</f>
        <v>10.1080/23273798.2016.1197954</v>
      </c>
      <c r="B633" s="677" t="str">
        <f>IFERROR(__xludf.DUMMYFUNCTION("""COMPUTED_VALUE"""),"https://drive.google.com/file/d/1jYBd2YRtSaav13uk6GeH-7S7mA1J-0Z3/view?usp=drivesdk")</f>
        <v>https://drive.google.com/file/d/1jYBd2YRtSaav13uk6GeH-7S7mA1J-0Z3/view?usp=drivesdk</v>
      </c>
      <c r="C633" s="156" t="str">
        <f>IFERROR(__xludf.DUMMYFUNCTION("""COMPUTED_VALUE"""),"10.1080--23273798.2016.1197954.pdf")</f>
        <v>10.1080--23273798.2016.1197954.pdf</v>
      </c>
      <c r="D633" s="156" t="str">
        <f>IFERROR(__xludf.DUMMYFUNCTION("""COMPUTED_VALUE"""),"application/pdf")</f>
        <v>application/pdf</v>
      </c>
    </row>
    <row r="634">
      <c r="A634" s="156" t="str">
        <f>IFERROR(__xludf.DUMMYFUNCTION("""COMPUTED_VALUE"""),"10.1080/1612197x.2016.1199580")</f>
        <v>10.1080/1612197x.2016.1199580</v>
      </c>
      <c r="B634" s="677" t="str">
        <f>IFERROR(__xludf.DUMMYFUNCTION("""COMPUTED_VALUE"""),"https://drive.google.com/file/d/1F04B6dgvTIlH1n-nzOIG6l50zrdV35YY/view?usp=drivesdk")</f>
        <v>https://drive.google.com/file/d/1F04B6dgvTIlH1n-nzOIG6l50zrdV35YY/view?usp=drivesdk</v>
      </c>
      <c r="C634" s="156" t="str">
        <f>IFERROR(__xludf.DUMMYFUNCTION("""COMPUTED_VALUE"""),"10.1080--1612197X.2016.1199580.pdf")</f>
        <v>10.1080--1612197X.2016.1199580.pdf</v>
      </c>
      <c r="D634" s="156" t="str">
        <f>IFERROR(__xludf.DUMMYFUNCTION("""COMPUTED_VALUE"""),"application/pdf")</f>
        <v>application/pdf</v>
      </c>
    </row>
    <row r="635">
      <c r="A635" s="156" t="str">
        <f>IFERROR(__xludf.DUMMYFUNCTION("""COMPUTED_VALUE"""),"10.1080/13218719.2018.1482570")</f>
        <v>10.1080/13218719.2018.1482570</v>
      </c>
      <c r="B635" s="677" t="str">
        <f>IFERROR(__xludf.DUMMYFUNCTION("""COMPUTED_VALUE"""),"https://drive.google.com/file/d/1BpZpFkqq5-xNfg3lGkVTJj3m72zefLqx/view?usp=drivesdk")</f>
        <v>https://drive.google.com/file/d/1BpZpFkqq5-xNfg3lGkVTJj3m72zefLqx/view?usp=drivesdk</v>
      </c>
      <c r="C635" s="156" t="str">
        <f>IFERROR(__xludf.DUMMYFUNCTION("""COMPUTED_VALUE"""),"10.1080--13218719.2018.1482570.pdf")</f>
        <v>10.1080--13218719.2018.1482570.pdf</v>
      </c>
      <c r="D635" s="156" t="str">
        <f>IFERROR(__xludf.DUMMYFUNCTION("""COMPUTED_VALUE"""),"application/pdf")</f>
        <v>application/pdf</v>
      </c>
    </row>
    <row r="636">
      <c r="A636" s="156" t="str">
        <f>IFERROR(__xludf.DUMMYFUNCTION("""COMPUTED_VALUE"""),"10.1080/1068316x.2019.1588970")</f>
        <v>10.1080/1068316x.2019.1588970</v>
      </c>
      <c r="B636" s="677" t="str">
        <f>IFERROR(__xludf.DUMMYFUNCTION("""COMPUTED_VALUE"""),"https://drive.google.com/file/d/1--7A_PcHgPiq9QMwhQCk-n6c_Az0uhy8/view?usp=drivesdk")</f>
        <v>https://drive.google.com/file/d/1--7A_PcHgPiq9QMwhQCk-n6c_Az0uhy8/view?usp=drivesdk</v>
      </c>
      <c r="C636" s="156" t="str">
        <f>IFERROR(__xludf.DUMMYFUNCTION("""COMPUTED_VALUE"""),"10.1080--1068316X.2019.1588970.pdf")</f>
        <v>10.1080--1068316X.2019.1588970.pdf</v>
      </c>
      <c r="D636" s="156" t="str">
        <f>IFERROR(__xludf.DUMMYFUNCTION("""COMPUTED_VALUE"""),"application/pdf")</f>
        <v>application/pdf</v>
      </c>
    </row>
    <row r="637">
      <c r="A637" s="156" t="str">
        <f>IFERROR(__xludf.DUMMYFUNCTION("""COMPUTED_VALUE"""),"10.1080/09658211.2011.590505")</f>
        <v>10.1080/09658211.2011.590505</v>
      </c>
      <c r="B637" s="677" t="str">
        <f>IFERROR(__xludf.DUMMYFUNCTION("""COMPUTED_VALUE"""),"https://drive.google.com/file/d/1zVdSJYf5rSapO3wb9lv8752WOX3UCAWR/view?usp=drivesdk")</f>
        <v>https://drive.google.com/file/d/1zVdSJYf5rSapO3wb9lv8752WOX3UCAWR/view?usp=drivesdk</v>
      </c>
      <c r="C637" s="156" t="str">
        <f>IFERROR(__xludf.DUMMYFUNCTION("""COMPUTED_VALUE"""),"10.1080--09658211.2011.590505.pdf")</f>
        <v>10.1080--09658211.2011.590505.pdf</v>
      </c>
      <c r="D637" s="156" t="str">
        <f>IFERROR(__xludf.DUMMYFUNCTION("""COMPUTED_VALUE"""),"application/pdf")</f>
        <v>application/pdf</v>
      </c>
    </row>
    <row r="638">
      <c r="A638" s="156" t="str">
        <f>IFERROR(__xludf.DUMMYFUNCTION("""COMPUTED_VALUE"""),"10.1080/02699931.2020.1863187")</f>
        <v>10.1080/02699931.2020.1863187</v>
      </c>
      <c r="B638" s="677" t="str">
        <f>IFERROR(__xludf.DUMMYFUNCTION("""COMPUTED_VALUE"""),"https://drive.google.com/file/d/110c7IPGGRfsNZhl6BVp-RH7A1oIVMpv2/view?usp=drivesdk")</f>
        <v>https://drive.google.com/file/d/110c7IPGGRfsNZhl6BVp-RH7A1oIVMpv2/view?usp=drivesdk</v>
      </c>
      <c r="C638" s="156" t="str">
        <f>IFERROR(__xludf.DUMMYFUNCTION("""COMPUTED_VALUE"""),"10.1080--02699931.2020.1863187.pdf")</f>
        <v>10.1080--02699931.2020.1863187.pdf</v>
      </c>
      <c r="D638" s="156" t="str">
        <f>IFERROR(__xludf.DUMMYFUNCTION("""COMPUTED_VALUE"""),"application/pdf")</f>
        <v>application/pdf</v>
      </c>
    </row>
    <row r="639">
      <c r="A639" s="156" t="str">
        <f>IFERROR(__xludf.DUMMYFUNCTION("""COMPUTED_VALUE"""),"10.1080/09540121.2011.630348")</f>
        <v>10.1080/09540121.2011.630348</v>
      </c>
      <c r="B639" s="677" t="str">
        <f>IFERROR(__xludf.DUMMYFUNCTION("""COMPUTED_VALUE"""),"https://drive.google.com/file/d/1HNurG-H_ZjwqqrmpEKeY-5mlDAUZ_pFB/view?usp=drivesdk")</f>
        <v>https://drive.google.com/file/d/1HNurG-H_ZjwqqrmpEKeY-5mlDAUZ_pFB/view?usp=drivesdk</v>
      </c>
      <c r="C639" s="156" t="str">
        <f>IFERROR(__xludf.DUMMYFUNCTION("""COMPUTED_VALUE"""),"10.1080--09540121.2011.630348.pdf")</f>
        <v>10.1080--09540121.2011.630348.pdf</v>
      </c>
      <c r="D639" s="156" t="str">
        <f>IFERROR(__xludf.DUMMYFUNCTION("""COMPUTED_VALUE"""),"application/pdf")</f>
        <v>application/pdf</v>
      </c>
    </row>
    <row r="640">
      <c r="A640" s="156" t="str">
        <f>IFERROR(__xludf.DUMMYFUNCTION("""COMPUTED_VALUE"""),"10.1080/02703149.2018.1425030")</f>
        <v>10.1080/02703149.2018.1425030</v>
      </c>
      <c r="B640" s="677" t="str">
        <f>IFERROR(__xludf.DUMMYFUNCTION("""COMPUTED_VALUE"""),"https://drive.google.com/file/d/1QbV55BXTdXq861LSw4L_QCApvMmN5RXS/view?usp=drivesdk")</f>
        <v>https://drive.google.com/file/d/1QbV55BXTdXq861LSw4L_QCApvMmN5RXS/view?usp=drivesdk</v>
      </c>
      <c r="C640" s="156" t="str">
        <f>IFERROR(__xludf.DUMMYFUNCTION("""COMPUTED_VALUE"""),"10.1080--02703149.2018.1425030.pdf")</f>
        <v>10.1080--02703149.2018.1425030.pdf</v>
      </c>
      <c r="D640" s="156" t="str">
        <f>IFERROR(__xludf.DUMMYFUNCTION("""COMPUTED_VALUE"""),"application/pdf")</f>
        <v>application/pdf</v>
      </c>
    </row>
    <row r="641">
      <c r="A641" s="156" t="str">
        <f>IFERROR(__xludf.DUMMYFUNCTION("""COMPUTED_VALUE"""),"10.1080/01639625.2014.924362")</f>
        <v>10.1080/01639625.2014.924362</v>
      </c>
      <c r="B641" s="677" t="str">
        <f>IFERROR(__xludf.DUMMYFUNCTION("""COMPUTED_VALUE"""),"https://drive.google.com/file/d/13EH3_geUqJVoe24H_0LbuQcBynxcBzsz/view?usp=drivesdk")</f>
        <v>https://drive.google.com/file/d/13EH3_geUqJVoe24H_0LbuQcBynxcBzsz/view?usp=drivesdk</v>
      </c>
      <c r="C641" s="156" t="str">
        <f>IFERROR(__xludf.DUMMYFUNCTION("""COMPUTED_VALUE"""),"10.1080--01639625.2014.924362.pdf")</f>
        <v>10.1080--01639625.2014.924362.pdf</v>
      </c>
      <c r="D641" s="156" t="str">
        <f>IFERROR(__xludf.DUMMYFUNCTION("""COMPUTED_VALUE"""),"application/pdf")</f>
        <v>application/pdf</v>
      </c>
    </row>
    <row r="642">
      <c r="A642" s="156" t="str">
        <f>IFERROR(__xludf.DUMMYFUNCTION("""COMPUTED_VALUE"""),"10.1080/02699931.2019.1710110")</f>
        <v>10.1080/02699931.2019.1710110</v>
      </c>
      <c r="B642" s="677" t="str">
        <f>IFERROR(__xludf.DUMMYFUNCTION("""COMPUTED_VALUE"""),"https://drive.google.com/file/d/155fnpYfibKoGlcB0MBwGNw4p5XMAHKcd/view?usp=drivesdk")</f>
        <v>https://drive.google.com/file/d/155fnpYfibKoGlcB0MBwGNw4p5XMAHKcd/view?usp=drivesdk</v>
      </c>
      <c r="C642" s="156" t="str">
        <f>IFERROR(__xludf.DUMMYFUNCTION("""COMPUTED_VALUE"""),"10.1080--02699931.2019.1710110.pdf")</f>
        <v>10.1080--02699931.2019.1710110.pdf</v>
      </c>
      <c r="D642" s="156" t="str">
        <f>IFERROR(__xludf.DUMMYFUNCTION("""COMPUTED_VALUE"""),"application/pdf")</f>
        <v>application/pdf</v>
      </c>
    </row>
    <row r="643">
      <c r="A643" s="156" t="str">
        <f>IFERROR(__xludf.DUMMYFUNCTION("""COMPUTED_VALUE"""),"10.1080/01608061.2020.1792027")</f>
        <v>10.1080/01608061.2020.1792027</v>
      </c>
      <c r="B643" s="677" t="str">
        <f>IFERROR(__xludf.DUMMYFUNCTION("""COMPUTED_VALUE"""),"https://drive.google.com/file/d/180UnCIEpRW3MLMjfsHZjeOnlogXsbneH/view?usp=drivesdk")</f>
        <v>https://drive.google.com/file/d/180UnCIEpRW3MLMjfsHZjeOnlogXsbneH/view?usp=drivesdk</v>
      </c>
      <c r="C643" s="156" t="str">
        <f>IFERROR(__xludf.DUMMYFUNCTION("""COMPUTED_VALUE"""),"10.1080--01608061.2020.1792027.pdf")</f>
        <v>10.1080--01608061.2020.1792027.pdf</v>
      </c>
      <c r="D643" s="156" t="str">
        <f>IFERROR(__xludf.DUMMYFUNCTION("""COMPUTED_VALUE"""),"application/pdf")</f>
        <v>application/pdf</v>
      </c>
    </row>
    <row r="644">
      <c r="A644" s="156" t="str">
        <f>IFERROR(__xludf.DUMMYFUNCTION("""COMPUTED_VALUE"""),"10.1080/00224545.2015.1129306")</f>
        <v>10.1080/00224545.2015.1129306</v>
      </c>
      <c r="B644" s="677" t="str">
        <f>IFERROR(__xludf.DUMMYFUNCTION("""COMPUTED_VALUE"""),"https://drive.google.com/file/d/1ksnyAQYIZqyXMBwht0zZREnRY54-JevG/view?usp=drivesdk")</f>
        <v>https://drive.google.com/file/d/1ksnyAQYIZqyXMBwht0zZREnRY54-JevG/view?usp=drivesdk</v>
      </c>
      <c r="C644" s="156" t="str">
        <f>IFERROR(__xludf.DUMMYFUNCTION("""COMPUTED_VALUE"""),"10.1080--00224545.2015.1129306.pdf")</f>
        <v>10.1080--00224545.2015.1129306.pdf</v>
      </c>
      <c r="D644" s="156" t="str">
        <f>IFERROR(__xludf.DUMMYFUNCTION("""COMPUTED_VALUE"""),"application/pdf")</f>
        <v>application/pdf</v>
      </c>
    </row>
    <row r="645">
      <c r="A645" s="156" t="str">
        <f>IFERROR(__xludf.DUMMYFUNCTION("""COMPUTED_VALUE"""),"10.1037/per0000041")</f>
        <v>10.1037/per0000041</v>
      </c>
      <c r="B645" s="677" t="str">
        <f>IFERROR(__xludf.DUMMYFUNCTION("""COMPUTED_VALUE"""),"https://drive.google.com/file/d/1oPfRpEBTF84OycOBd7uRQMJivVB-m2oP/view?usp=drivesdk")</f>
        <v>https://drive.google.com/file/d/1oPfRpEBTF84OycOBd7uRQMJivVB-m2oP/view?usp=drivesdk</v>
      </c>
      <c r="C645" s="156" t="str">
        <f>IFERROR(__xludf.DUMMYFUNCTION("""COMPUTED_VALUE"""),"10.1037--per0000041.pdf")</f>
        <v>10.1037--per0000041.pdf</v>
      </c>
      <c r="D645" s="156" t="str">
        <f>IFERROR(__xludf.DUMMYFUNCTION("""COMPUTED_VALUE"""),"application/pdf")</f>
        <v>application/pdf</v>
      </c>
    </row>
    <row r="646">
      <c r="A646" s="156" t="str">
        <f>IFERROR(__xludf.DUMMYFUNCTION("""COMPUTED_VALUE"""),"10.1037/a0029513")</f>
        <v>10.1037/a0029513</v>
      </c>
      <c r="B646" s="677" t="str">
        <f>IFERROR(__xludf.DUMMYFUNCTION("""COMPUTED_VALUE"""),"https://drive.google.com/file/d/10gCAiRaTpYw50HfVvJb2qrR3LIeoZoNW/view?usp=drivesdk")</f>
        <v>https://drive.google.com/file/d/10gCAiRaTpYw50HfVvJb2qrR3LIeoZoNW/view?usp=drivesdk</v>
      </c>
      <c r="C646" s="156" t="str">
        <f>IFERROR(__xludf.DUMMYFUNCTION("""COMPUTED_VALUE"""),"10.1037--a0029513.pdf")</f>
        <v>10.1037--a0029513.pdf</v>
      </c>
      <c r="D646" s="156" t="str">
        <f>IFERROR(__xludf.DUMMYFUNCTION("""COMPUTED_VALUE"""),"application/pdf")</f>
        <v>application/pdf</v>
      </c>
    </row>
    <row r="647">
      <c r="A647" s="156" t="str">
        <f>IFERROR(__xludf.DUMMYFUNCTION("""COMPUTED_VALUE"""),"10.1037/a0024923")</f>
        <v>10.1037/a0024923</v>
      </c>
      <c r="B647" s="677" t="str">
        <f>IFERROR(__xludf.DUMMYFUNCTION("""COMPUTED_VALUE"""),"https://drive.google.com/file/d/13pqSs0UYFvLdiEJKx3meLSOT91LeUSuh/view?usp=drivesdk")</f>
        <v>https://drive.google.com/file/d/13pqSs0UYFvLdiEJKx3meLSOT91LeUSuh/view?usp=drivesdk</v>
      </c>
      <c r="C647" s="156" t="str">
        <f>IFERROR(__xludf.DUMMYFUNCTION("""COMPUTED_VALUE"""),"10.1037--a0024923.pdf")</f>
        <v>10.1037--a0024923.pdf</v>
      </c>
      <c r="D647" s="156" t="str">
        <f>IFERROR(__xludf.DUMMYFUNCTION("""COMPUTED_VALUE"""),"application/pdf")</f>
        <v>application/pdf</v>
      </c>
    </row>
    <row r="648">
      <c r="A648" s="156" t="str">
        <f>IFERROR(__xludf.DUMMYFUNCTION("""COMPUTED_VALUE"""),"10.1016/j.trf.2014.05.005")</f>
        <v>10.1016/j.trf.2014.05.005</v>
      </c>
      <c r="B648" s="677" t="str">
        <f>IFERROR(__xludf.DUMMYFUNCTION("""COMPUTED_VALUE"""),"https://drive.google.com/file/d/1RSHItVa-oZV7AbCQ0eh9-ehBv58e4eDc/view?usp=drivesdk")</f>
        <v>https://drive.google.com/file/d/1RSHItVa-oZV7AbCQ0eh9-ehBv58e4eDc/view?usp=drivesdk</v>
      </c>
      <c r="C648" s="156" t="str">
        <f>IFERROR(__xludf.DUMMYFUNCTION("""COMPUTED_VALUE"""),"10.1016--j.trf.2014.05.005.pdf")</f>
        <v>10.1016--j.trf.2014.05.005.pdf</v>
      </c>
      <c r="D648" s="156" t="str">
        <f>IFERROR(__xludf.DUMMYFUNCTION("""COMPUTED_VALUE"""),"application/pdf")</f>
        <v>application/pdf</v>
      </c>
    </row>
    <row r="649">
      <c r="A649" s="156" t="str">
        <f>IFERROR(__xludf.DUMMYFUNCTION("""COMPUTED_VALUE"""),"10.1016/j.paid.2018.07.021")</f>
        <v>10.1016/j.paid.2018.07.021</v>
      </c>
      <c r="B649" s="677" t="str">
        <f>IFERROR(__xludf.DUMMYFUNCTION("""COMPUTED_VALUE"""),"https://drive.google.com/file/d/1nlya6kQZ-aeXOdWln6eOPTSENrc8Tux5/view?usp=drivesdk")</f>
        <v>https://drive.google.com/file/d/1nlya6kQZ-aeXOdWln6eOPTSENrc8Tux5/view?usp=drivesdk</v>
      </c>
      <c r="C649" s="156" t="str">
        <f>IFERROR(__xludf.DUMMYFUNCTION("""COMPUTED_VALUE"""),"10.1016--j.paid.2018.07.021.pdf")</f>
        <v>10.1016--j.paid.2018.07.021.pdf</v>
      </c>
      <c r="D649" s="156" t="str">
        <f>IFERROR(__xludf.DUMMYFUNCTION("""COMPUTED_VALUE"""),"application/pdf")</f>
        <v>application/pdf</v>
      </c>
    </row>
    <row r="650">
      <c r="A650" s="156" t="str">
        <f>IFERROR(__xludf.DUMMYFUNCTION("""COMPUTED_VALUE"""),"10.1016/j.physbeh.2010.12.015")</f>
        <v>10.1016/j.physbeh.2010.12.015</v>
      </c>
      <c r="B650" s="677" t="str">
        <f>IFERROR(__xludf.DUMMYFUNCTION("""COMPUTED_VALUE"""),"https://drive.google.com/file/d/1zmRYTfOS6kDGIcUEEFyIw6hwkmLbLd2C/view?usp=drivesdk")</f>
        <v>https://drive.google.com/file/d/1zmRYTfOS6kDGIcUEEFyIw6hwkmLbLd2C/view?usp=drivesdk</v>
      </c>
      <c r="C650" s="156" t="str">
        <f>IFERROR(__xludf.DUMMYFUNCTION("""COMPUTED_VALUE"""),"10.1016--j.physbeh.2010.12.015.pdf")</f>
        <v>10.1016--j.physbeh.2010.12.015.pdf</v>
      </c>
      <c r="D650" s="156" t="str">
        <f>IFERROR(__xludf.DUMMYFUNCTION("""COMPUTED_VALUE"""),"application/pdf")</f>
        <v>application/pdf</v>
      </c>
    </row>
    <row r="651">
      <c r="A651" s="156" t="str">
        <f>IFERROR(__xludf.DUMMYFUNCTION("""COMPUTED_VALUE"""),"10.1016/j.neuropsychologia.2018.05.004")</f>
        <v>10.1016/j.neuropsychologia.2018.05.004</v>
      </c>
      <c r="B651" s="677" t="str">
        <f>IFERROR(__xludf.DUMMYFUNCTION("""COMPUTED_VALUE"""),"https://drive.google.com/file/d/1CE9z8pHdkOjBn6Ba6fM2Ik4nyVZdmm26/view?usp=drivesdk")</f>
        <v>https://drive.google.com/file/d/1CE9z8pHdkOjBn6Ba6fM2Ik4nyVZdmm26/view?usp=drivesdk</v>
      </c>
      <c r="C651" s="156" t="str">
        <f>IFERROR(__xludf.DUMMYFUNCTION("""COMPUTED_VALUE"""),"10.1016--j.neuropsychologia.2018.05.004.pdf")</f>
        <v>10.1016--j.neuropsychologia.2018.05.004.pdf</v>
      </c>
      <c r="D651" s="156" t="str">
        <f>IFERROR(__xludf.DUMMYFUNCTION("""COMPUTED_VALUE"""),"application/pdf")</f>
        <v>application/pdf</v>
      </c>
    </row>
    <row r="652">
      <c r="A652" s="156" t="str">
        <f>IFERROR(__xludf.DUMMYFUNCTION("""COMPUTED_VALUE"""),"10.1016/j.lindif.2015.12.026")</f>
        <v>10.1016/j.lindif.2015.12.026</v>
      </c>
      <c r="B652" s="677" t="str">
        <f>IFERROR(__xludf.DUMMYFUNCTION("""COMPUTED_VALUE"""),"https://drive.google.com/file/d/1Q9oL16iBjr8m6fB26vJ4sk61IKjHHCIo/view?usp=drivesdk")</f>
        <v>https://drive.google.com/file/d/1Q9oL16iBjr8m6fB26vJ4sk61IKjHHCIo/view?usp=drivesdk</v>
      </c>
      <c r="C652" s="156" t="str">
        <f>IFERROR(__xludf.DUMMYFUNCTION("""COMPUTED_VALUE"""),"10.1016--j.lindif.2015.12.026.pdf")</f>
        <v>10.1016--j.lindif.2015.12.026.pdf</v>
      </c>
      <c r="D652" s="156" t="str">
        <f>IFERROR(__xludf.DUMMYFUNCTION("""COMPUTED_VALUE"""),"application/pdf")</f>
        <v>application/pdf</v>
      </c>
    </row>
    <row r="653">
      <c r="A653" s="156" t="str">
        <f>IFERROR(__xludf.DUMMYFUNCTION("""COMPUTED_VALUE"""),"10.1016/j.jbtep.2020.101569")</f>
        <v>10.1016/j.jbtep.2020.101569</v>
      </c>
      <c r="B653" s="677" t="str">
        <f>IFERROR(__xludf.DUMMYFUNCTION("""COMPUTED_VALUE"""),"https://drive.google.com/file/d/1L9WmKWrJmdY3WhFd6IJ3w3z20Yu8p5PM/view?usp=drivesdk")</f>
        <v>https://drive.google.com/file/d/1L9WmKWrJmdY3WhFd6IJ3w3z20Yu8p5PM/view?usp=drivesdk</v>
      </c>
      <c r="C653" s="156" t="str">
        <f>IFERROR(__xludf.DUMMYFUNCTION("""COMPUTED_VALUE"""),"10.1016--j.jbtep.2020.101569.pdf")</f>
        <v>10.1016--j.jbtep.2020.101569.pdf</v>
      </c>
      <c r="D653" s="156" t="str">
        <f>IFERROR(__xludf.DUMMYFUNCTION("""COMPUTED_VALUE"""),"application/pdf")</f>
        <v>application/pdf</v>
      </c>
    </row>
    <row r="654">
      <c r="A654" s="156" t="str">
        <f>IFERROR(__xludf.DUMMYFUNCTION("""COMPUTED_VALUE"""),"10.1016/j.joep.2018.11.004")</f>
        <v>10.1016/j.joep.2018.11.004</v>
      </c>
      <c r="B654" s="677" t="str">
        <f>IFERROR(__xludf.DUMMYFUNCTION("""COMPUTED_VALUE"""),"https://drive.google.com/file/d/1jU4WVLVIMVjLbndmd1oIglQw1NjeWuN8/view?usp=drivesdk")</f>
        <v>https://drive.google.com/file/d/1jU4WVLVIMVjLbndmd1oIglQw1NjeWuN8/view?usp=drivesdk</v>
      </c>
      <c r="C654" s="156" t="str">
        <f>IFERROR(__xludf.DUMMYFUNCTION("""COMPUTED_VALUE"""),"10.1016--j.joep.2018.11.004.pdf")</f>
        <v>10.1016--j.joep.2018.11.004.pdf</v>
      </c>
      <c r="D654" s="156" t="str">
        <f>IFERROR(__xludf.DUMMYFUNCTION("""COMPUTED_VALUE"""),"application/pdf")</f>
        <v>application/pdf</v>
      </c>
    </row>
    <row r="655">
      <c r="A655" s="156" t="str">
        <f>IFERROR(__xludf.DUMMYFUNCTION("""COMPUTED_VALUE"""),"10.1016/j.jbtep.2020.101573")</f>
        <v>10.1016/j.jbtep.2020.101573</v>
      </c>
      <c r="B655" s="677" t="str">
        <f>IFERROR(__xludf.DUMMYFUNCTION("""COMPUTED_VALUE"""),"https://drive.google.com/file/d/1prx_SpmUyRZ5cDfirHGKUdutRkrszFZA/view?usp=drivesdk")</f>
        <v>https://drive.google.com/file/d/1prx_SpmUyRZ5cDfirHGKUdutRkrszFZA/view?usp=drivesdk</v>
      </c>
      <c r="C655" s="156" t="str">
        <f>IFERROR(__xludf.DUMMYFUNCTION("""COMPUTED_VALUE"""),"10.1016--j.jbtep.2020.101573.pdf")</f>
        <v>10.1016--j.jbtep.2020.101573.pdf</v>
      </c>
      <c r="D655" s="156" t="str">
        <f>IFERROR(__xludf.DUMMYFUNCTION("""COMPUTED_VALUE"""),"application/pdf")</f>
        <v>application/pdf</v>
      </c>
    </row>
    <row r="656">
      <c r="A656" s="156" t="str">
        <f>IFERROR(__xludf.DUMMYFUNCTION("""COMPUTED_VALUE"""),"10.1016/j.jbtep.2014.11.009")</f>
        <v>10.1016/j.jbtep.2014.11.009</v>
      </c>
      <c r="B656" s="677" t="str">
        <f>IFERROR(__xludf.DUMMYFUNCTION("""COMPUTED_VALUE"""),"https://drive.google.com/file/d/11rfoLU9N-33GZVUpkuSdLbsksE9UUrtg/view?usp=drivesdk")</f>
        <v>https://drive.google.com/file/d/11rfoLU9N-33GZVUpkuSdLbsksE9UUrtg/view?usp=drivesdk</v>
      </c>
      <c r="C656" s="156" t="str">
        <f>IFERROR(__xludf.DUMMYFUNCTION("""COMPUTED_VALUE"""),"10.1016--j.jbtep.2014.11.009.pdf")</f>
        <v>10.1016--j.jbtep.2014.11.009.pdf</v>
      </c>
      <c r="D656" s="156" t="str">
        <f>IFERROR(__xludf.DUMMYFUNCTION("""COMPUTED_VALUE"""),"application/pdf")</f>
        <v>application/pdf</v>
      </c>
    </row>
    <row r="657">
      <c r="A657" s="156" t="str">
        <f>IFERROR(__xludf.DUMMYFUNCTION("""COMPUTED_VALUE"""),"10.1016/j.eatbeh.2018.05.001")</f>
        <v>10.1016/j.eatbeh.2018.05.001</v>
      </c>
      <c r="B657" s="677" t="str">
        <f>IFERROR(__xludf.DUMMYFUNCTION("""COMPUTED_VALUE"""),"https://drive.google.com/file/d/1VFDrVPJ16syKmJZ9a-IOJ8lIGkiblhZN/view?usp=drivesdk")</f>
        <v>https://drive.google.com/file/d/1VFDrVPJ16syKmJZ9a-IOJ8lIGkiblhZN/view?usp=drivesdk</v>
      </c>
      <c r="C657" s="156" t="str">
        <f>IFERROR(__xludf.DUMMYFUNCTION("""COMPUTED_VALUE"""),"10.1016--j.eatbeh.2018.05.001.pdf")</f>
        <v>10.1016--j.eatbeh.2018.05.001.pdf</v>
      </c>
      <c r="D657" s="156" t="str">
        <f>IFERROR(__xludf.DUMMYFUNCTION("""COMPUTED_VALUE"""),"application/pdf")</f>
        <v>application/pdf</v>
      </c>
    </row>
    <row r="658">
      <c r="A658" s="156" t="str">
        <f>IFERROR(__xludf.DUMMYFUNCTION("""COMPUTED_VALUE"""),"10.1016/j.ijpsycho.2015.12.004")</f>
        <v>10.1016/j.ijpsycho.2015.12.004</v>
      </c>
      <c r="B658" s="677" t="str">
        <f>IFERROR(__xludf.DUMMYFUNCTION("""COMPUTED_VALUE"""),"https://drive.google.com/file/d/1n-aH1cl_KhJ5tAKkZfGd3huJb6qDvH71/view?usp=drivesdk")</f>
        <v>https://drive.google.com/file/d/1n-aH1cl_KhJ5tAKkZfGd3huJb6qDvH71/view?usp=drivesdk</v>
      </c>
      <c r="C658" s="156" t="str">
        <f>IFERROR(__xludf.DUMMYFUNCTION("""COMPUTED_VALUE"""),"10.1016--j.ijpsycho.2015.12.004.pdf")</f>
        <v>10.1016--j.ijpsycho.2015.12.004.pdf</v>
      </c>
      <c r="D658" s="156" t="str">
        <f>IFERROR(__xludf.DUMMYFUNCTION("""COMPUTED_VALUE"""),"application/pdf")</f>
        <v>application/pdf</v>
      </c>
    </row>
    <row r="659">
      <c r="A659" s="156" t="str">
        <f>IFERROR(__xludf.DUMMYFUNCTION("""COMPUTED_VALUE"""),"10.1016/j.dcn.2017.12.003")</f>
        <v>10.1016/j.dcn.2017.12.003</v>
      </c>
      <c r="B659" s="677" t="str">
        <f>IFERROR(__xludf.DUMMYFUNCTION("""COMPUTED_VALUE"""),"https://drive.google.com/file/d/1kQS-kx1jV-RoRamFPKT5qlhq7hXEXmwX/view?usp=drivesdk")</f>
        <v>https://drive.google.com/file/d/1kQS-kx1jV-RoRamFPKT5qlhq7hXEXmwX/view?usp=drivesdk</v>
      </c>
      <c r="C659" s="156" t="str">
        <f>IFERROR(__xludf.DUMMYFUNCTION("""COMPUTED_VALUE"""),"10.1016--j.dcn.2017.12.003.pdf")</f>
        <v>10.1016--j.dcn.2017.12.003.pdf</v>
      </c>
      <c r="D659" s="156" t="str">
        <f>IFERROR(__xludf.DUMMYFUNCTION("""COMPUTED_VALUE"""),"application/pdf")</f>
        <v>application/pdf</v>
      </c>
    </row>
    <row r="660">
      <c r="A660" s="156" t="str">
        <f>IFERROR(__xludf.DUMMYFUNCTION("""COMPUTED_VALUE"""),"10.1016/j.cortex.2020.07.013")</f>
        <v>10.1016/j.cortex.2020.07.013</v>
      </c>
      <c r="B660" s="677" t="str">
        <f>IFERROR(__xludf.DUMMYFUNCTION("""COMPUTED_VALUE"""),"https://drive.google.com/file/d/1xUncwZ0DyBC_gphDS3a8q-bzLEZylXdj/view?usp=drivesdk")</f>
        <v>https://drive.google.com/file/d/1xUncwZ0DyBC_gphDS3a8q-bzLEZylXdj/view?usp=drivesdk</v>
      </c>
      <c r="C660" s="156" t="str">
        <f>IFERROR(__xludf.DUMMYFUNCTION("""COMPUTED_VALUE"""),"10.1016--j.cortex.2020.07.013.pdf")</f>
        <v>10.1016--j.cortex.2020.07.013.pdf</v>
      </c>
      <c r="D660" s="156" t="str">
        <f>IFERROR(__xludf.DUMMYFUNCTION("""COMPUTED_VALUE"""),"application/pdf")</f>
        <v>application/pdf</v>
      </c>
    </row>
    <row r="661">
      <c r="A661" s="156" t="str">
        <f>IFERROR(__xludf.DUMMYFUNCTION("""COMPUTED_VALUE"""),"10.1016/j.cortex.2018.03.026")</f>
        <v>10.1016/j.cortex.2018.03.026</v>
      </c>
      <c r="B661" s="677" t="str">
        <f>IFERROR(__xludf.DUMMYFUNCTION("""COMPUTED_VALUE"""),"https://drive.google.com/file/d/12BNoLabno_WqWzR-kvInVbBatCRAfrPZ/view?usp=drivesdk")</f>
        <v>https://drive.google.com/file/d/12BNoLabno_WqWzR-kvInVbBatCRAfrPZ/view?usp=drivesdk</v>
      </c>
      <c r="C661" s="156" t="str">
        <f>IFERROR(__xludf.DUMMYFUNCTION("""COMPUTED_VALUE"""),"10.1016--j.cortex.2018.03.026.pdf")</f>
        <v>10.1016--j.cortex.2018.03.026.pdf</v>
      </c>
      <c r="D661" s="156" t="str">
        <f>IFERROR(__xludf.DUMMYFUNCTION("""COMPUTED_VALUE"""),"application/pdf")</f>
        <v>application/pdf</v>
      </c>
    </row>
    <row r="662">
      <c r="A662" s="156" t="str">
        <f>IFERROR(__xludf.DUMMYFUNCTION("""COMPUTED_VALUE"""),"10.1016/j.cortex.2019.03.026")</f>
        <v>10.1016/j.cortex.2019.03.026</v>
      </c>
      <c r="B662" s="677" t="str">
        <f>IFERROR(__xludf.DUMMYFUNCTION("""COMPUTED_VALUE"""),"https://drive.google.com/file/d/1MyRiEtlfJYAUVeQO0NToJp0ZjN8uffrl/view?usp=drivesdk")</f>
        <v>https://drive.google.com/file/d/1MyRiEtlfJYAUVeQO0NToJp0ZjN8uffrl/view?usp=drivesdk</v>
      </c>
      <c r="C662" s="156" t="str">
        <f>IFERROR(__xludf.DUMMYFUNCTION("""COMPUTED_VALUE"""),"10.1016--j.cortex.2019.03.026.pdf")</f>
        <v>10.1016--j.cortex.2019.03.026.pdf</v>
      </c>
      <c r="D662" s="156" t="str">
        <f>IFERROR(__xludf.DUMMYFUNCTION("""COMPUTED_VALUE"""),"application/pdf")</f>
        <v>application/pdf</v>
      </c>
    </row>
    <row r="663">
      <c r="A663" s="156" t="str">
        <f>IFERROR(__xludf.DUMMYFUNCTION("""COMPUTED_VALUE"""),"10.1016/j.cognition.2017.09.005")</f>
        <v>10.1016/j.cognition.2017.09.005</v>
      </c>
      <c r="B663" s="677" t="str">
        <f>IFERROR(__xludf.DUMMYFUNCTION("""COMPUTED_VALUE"""),"https://drive.google.com/file/d/18l1u9WldKybMsycKcX5hDqGJIpRCJcJg/view?usp=drivesdk")</f>
        <v>https://drive.google.com/file/d/18l1u9WldKybMsycKcX5hDqGJIpRCJcJg/view?usp=drivesdk</v>
      </c>
      <c r="C663" s="156" t="str">
        <f>IFERROR(__xludf.DUMMYFUNCTION("""COMPUTED_VALUE"""),"10.1016--j.cognition.2017.09.005.pdf")</f>
        <v>10.1016--j.cognition.2017.09.005.pdf</v>
      </c>
      <c r="D663" s="156" t="str">
        <f>IFERROR(__xludf.DUMMYFUNCTION("""COMPUTED_VALUE"""),"application/pdf")</f>
        <v>application/pdf</v>
      </c>
    </row>
    <row r="664">
      <c r="A664" s="156" t="str">
        <f>IFERROR(__xludf.DUMMYFUNCTION("""COMPUTED_VALUE"""),"10.1016/j.beproc.2017.03.017")</f>
        <v>10.1016/j.beproc.2017.03.017</v>
      </c>
      <c r="B664" s="677" t="str">
        <f>IFERROR(__xludf.DUMMYFUNCTION("""COMPUTED_VALUE"""),"https://drive.google.com/file/d/18A-XkqCG4rLDKbmUuabq3z5jBo-_eF76/view?usp=drivesdk")</f>
        <v>https://drive.google.com/file/d/18A-XkqCG4rLDKbmUuabq3z5jBo-_eF76/view?usp=drivesdk</v>
      </c>
      <c r="C664" s="156" t="str">
        <f>IFERROR(__xludf.DUMMYFUNCTION("""COMPUTED_VALUE"""),"10.1016--j.beproc.2017.03.017.pdf")</f>
        <v>10.1016--j.beproc.2017.03.017.pdf</v>
      </c>
      <c r="D664" s="156" t="str">
        <f>IFERROR(__xludf.DUMMYFUNCTION("""COMPUTED_VALUE"""),"application/pdf")</f>
        <v>application/pdf</v>
      </c>
    </row>
    <row r="665">
      <c r="A665" s="156" t="str">
        <f>IFERROR(__xludf.DUMMYFUNCTION("""COMPUTED_VALUE"""),"10.1016/j.cognition.2014.09.003")</f>
        <v>10.1016/j.cognition.2014.09.003</v>
      </c>
      <c r="B665" s="677" t="str">
        <f>IFERROR(__xludf.DUMMYFUNCTION("""COMPUTED_VALUE"""),"https://drive.google.com/file/d/1oK-_u713Q6fX6dkgvkAlMIXsdLA243yv/view?usp=drivesdk")</f>
        <v>https://drive.google.com/file/d/1oK-_u713Q6fX6dkgvkAlMIXsdLA243yv/view?usp=drivesdk</v>
      </c>
      <c r="C665" s="156" t="str">
        <f>IFERROR(__xludf.DUMMYFUNCTION("""COMPUTED_VALUE"""),"10.1016--j.cognition.2014.09.003.pdf")</f>
        <v>10.1016--j.cognition.2014.09.003.pdf</v>
      </c>
      <c r="D665" s="156" t="str">
        <f>IFERROR(__xludf.DUMMYFUNCTION("""COMPUTED_VALUE"""),"application/pdf")</f>
        <v>application/pdf</v>
      </c>
    </row>
    <row r="666">
      <c r="A666" s="156" t="str">
        <f>IFERROR(__xludf.DUMMYFUNCTION("""COMPUTED_VALUE"""),"10.1016/j.beproc.2014.10.005")</f>
        <v>10.1016/j.beproc.2014.10.005</v>
      </c>
      <c r="B666" s="677" t="str">
        <f>IFERROR(__xludf.DUMMYFUNCTION("""COMPUTED_VALUE"""),"https://drive.google.com/file/d/17wiSKvjYrvXNe8RjsNZ_QkmrEGxMPxq_/view?usp=drivesdk")</f>
        <v>https://drive.google.com/file/d/17wiSKvjYrvXNe8RjsNZ_QkmrEGxMPxq_/view?usp=drivesdk</v>
      </c>
      <c r="C666" s="156" t="str">
        <f>IFERROR(__xludf.DUMMYFUNCTION("""COMPUTED_VALUE"""),"10.1016--j.beproc.2014.10.005.pdf")</f>
        <v>10.1016--j.beproc.2014.10.005.pdf</v>
      </c>
      <c r="D666" s="156" t="str">
        <f>IFERROR(__xludf.DUMMYFUNCTION("""COMPUTED_VALUE"""),"application/pdf")</f>
        <v>application/pdf</v>
      </c>
    </row>
    <row r="667">
      <c r="A667" s="156" t="str">
        <f>IFERROR(__xludf.DUMMYFUNCTION("""COMPUTED_VALUE"""),"10.1016/j.bandc.2015.02.002")</f>
        <v>10.1016/j.bandc.2015.02.002</v>
      </c>
      <c r="B667" s="677" t="str">
        <f>IFERROR(__xludf.DUMMYFUNCTION("""COMPUTED_VALUE"""),"https://drive.google.com/file/d/1Z1rpz2vQ1UnJBGhW3MRBqbnI3-9YIE7P/view?usp=drivesdk")</f>
        <v>https://drive.google.com/file/d/1Z1rpz2vQ1UnJBGhW3MRBqbnI3-9YIE7P/view?usp=drivesdk</v>
      </c>
      <c r="C667" s="156" t="str">
        <f>IFERROR(__xludf.DUMMYFUNCTION("""COMPUTED_VALUE"""),"10.1016--j.bandc.2015.02.002.pdf")</f>
        <v>10.1016--j.bandc.2015.02.002.pdf</v>
      </c>
      <c r="D667" s="156" t="str">
        <f>IFERROR(__xludf.DUMMYFUNCTION("""COMPUTED_VALUE"""),"application/pdf")</f>
        <v>application/pdf</v>
      </c>
    </row>
    <row r="668">
      <c r="A668" s="156" t="str">
        <f>IFERROR(__xludf.DUMMYFUNCTION("""COMPUTED_VALUE"""),"10.1016/j.addbeh.2019.01.035")</f>
        <v>10.1016/j.addbeh.2019.01.035</v>
      </c>
      <c r="B668" s="677" t="str">
        <f>IFERROR(__xludf.DUMMYFUNCTION("""COMPUTED_VALUE"""),"https://drive.google.com/file/d/1SPPwXl3EN9zetSmA-e3Z644z35ulTeZ3/view?usp=drivesdk")</f>
        <v>https://drive.google.com/file/d/1SPPwXl3EN9zetSmA-e3Z644z35ulTeZ3/view?usp=drivesdk</v>
      </c>
      <c r="C668" s="156" t="str">
        <f>IFERROR(__xludf.DUMMYFUNCTION("""COMPUTED_VALUE"""),"10.1016--j.addbeh.2019.01.035.pdf")</f>
        <v>10.1016--j.addbeh.2019.01.035.pdf</v>
      </c>
      <c r="D668" s="156" t="str">
        <f>IFERROR(__xludf.DUMMYFUNCTION("""COMPUTED_VALUE"""),"application/pdf")</f>
        <v>application/pdf</v>
      </c>
    </row>
    <row r="669">
      <c r="A669" s="156" t="str">
        <f>IFERROR(__xludf.DUMMYFUNCTION("""COMPUTED_VALUE"""),"10.1016/j.addbeh.2013.11.008")</f>
        <v>10.1016/j.addbeh.2013.11.008</v>
      </c>
      <c r="B669" s="677" t="str">
        <f>IFERROR(__xludf.DUMMYFUNCTION("""COMPUTED_VALUE"""),"https://drive.google.com/file/d/1TOJYdFZuCFZ6A-6WUNAnOwXUFPx1LKjL/view?usp=drivesdk")</f>
        <v>https://drive.google.com/file/d/1TOJYdFZuCFZ6A-6WUNAnOwXUFPx1LKjL/view?usp=drivesdk</v>
      </c>
      <c r="C669" s="156" t="str">
        <f>IFERROR(__xludf.DUMMYFUNCTION("""COMPUTED_VALUE"""),"10.1016--j.addbeh.2013.11.008.pdf")</f>
        <v>10.1016--j.addbeh.2013.11.008.pdf</v>
      </c>
      <c r="D669" s="156" t="str">
        <f>IFERROR(__xludf.DUMMYFUNCTION("""COMPUTED_VALUE"""),"application/pdf")</f>
        <v>application/pdf</v>
      </c>
    </row>
    <row r="670">
      <c r="A670" s="156" t="str">
        <f>IFERROR(__xludf.DUMMYFUNCTION("""COMPUTED_VALUE"""),"10.1007/s12671-017-0729-7")</f>
        <v>10.1007/s12671-017-0729-7</v>
      </c>
      <c r="B670" s="677" t="str">
        <f>IFERROR(__xludf.DUMMYFUNCTION("""COMPUTED_VALUE"""),"https://drive.google.com/file/d/13hQx91DnpYAhqX2PDuFS8C7yUaeYoSMB/view?usp=drivesdk")</f>
        <v>https://drive.google.com/file/d/13hQx91DnpYAhqX2PDuFS8C7yUaeYoSMB/view?usp=drivesdk</v>
      </c>
      <c r="C670" s="156" t="str">
        <f>IFERROR(__xludf.DUMMYFUNCTION("""COMPUTED_VALUE"""),"10.1007--s12671-017-0729-7.pdf")</f>
        <v>10.1007--s12671-017-0729-7.pdf</v>
      </c>
      <c r="D670" s="156" t="str">
        <f>IFERROR(__xludf.DUMMYFUNCTION("""COMPUTED_VALUE"""),"application/pdf")</f>
        <v>application/pdf</v>
      </c>
    </row>
    <row r="671">
      <c r="A671" s="156" t="str">
        <f>IFERROR(__xludf.DUMMYFUNCTION("""COMPUTED_VALUE"""),"10.1007/s10882-014-9400-6")</f>
        <v>10.1007/s10882-014-9400-6</v>
      </c>
      <c r="B671" s="677" t="str">
        <f>IFERROR(__xludf.DUMMYFUNCTION("""COMPUTED_VALUE"""),"https://drive.google.com/file/d/1QA7YAwgg5b8YsqnwWC4ZDvDqVn4dmSLL/view?usp=drivesdk")</f>
        <v>https://drive.google.com/file/d/1QA7YAwgg5b8YsqnwWC4ZDvDqVn4dmSLL/view?usp=drivesdk</v>
      </c>
      <c r="C671" s="156" t="str">
        <f>IFERROR(__xludf.DUMMYFUNCTION("""COMPUTED_VALUE"""),"10.1007--s10882-014-9400-6.pdf")</f>
        <v>10.1007--s10882-014-9400-6.pdf</v>
      </c>
      <c r="D671" s="156" t="str">
        <f>IFERROR(__xludf.DUMMYFUNCTION("""COMPUTED_VALUE"""),"application/pdf")</f>
        <v>application/pdf</v>
      </c>
    </row>
    <row r="672">
      <c r="A672" s="156" t="str">
        <f>IFERROR(__xludf.DUMMYFUNCTION("""COMPUTED_VALUE"""),"10.1016/j.addbeh.2011.07.020")</f>
        <v>10.1016/j.addbeh.2011.07.020</v>
      </c>
      <c r="B672" s="677" t="str">
        <f>IFERROR(__xludf.DUMMYFUNCTION("""COMPUTED_VALUE"""),"https://drive.google.com/file/d/1qecxJdtawJYZmBtkcoMEpwDPo65HDsq2/view?usp=drivesdk")</f>
        <v>https://drive.google.com/file/d/1qecxJdtawJYZmBtkcoMEpwDPo65HDsq2/view?usp=drivesdk</v>
      </c>
      <c r="C672" s="156" t="str">
        <f>IFERROR(__xludf.DUMMYFUNCTION("""COMPUTED_VALUE"""),"10.1016--j.addbeh.2011.07.020.pdf")</f>
        <v>10.1016--j.addbeh.2011.07.020.pdf</v>
      </c>
      <c r="D672" s="156" t="str">
        <f>IFERROR(__xludf.DUMMYFUNCTION("""COMPUTED_VALUE"""),"application/pdf")</f>
        <v>application/pdf</v>
      </c>
    </row>
    <row r="673">
      <c r="A673" s="156" t="str">
        <f>IFERROR(__xludf.DUMMYFUNCTION("""COMPUTED_VALUE"""),"10.1007/s10578-018-0818-4")</f>
        <v>10.1007/s10578-018-0818-4</v>
      </c>
      <c r="B673" s="677" t="str">
        <f>IFERROR(__xludf.DUMMYFUNCTION("""COMPUTED_VALUE"""),"https://drive.google.com/file/d/1K7P5oYfEmH71kcaOfP7Dmjql5yh28Dm7/view?usp=drivesdk")</f>
        <v>https://drive.google.com/file/d/1K7P5oYfEmH71kcaOfP7Dmjql5yh28Dm7/view?usp=drivesdk</v>
      </c>
      <c r="C673" s="156" t="str">
        <f>IFERROR(__xludf.DUMMYFUNCTION("""COMPUTED_VALUE"""),"10.1007--s10578-018-0818-4.pdf")</f>
        <v>10.1007--s10578-018-0818-4.pdf</v>
      </c>
      <c r="D673" s="156" t="str">
        <f>IFERROR(__xludf.DUMMYFUNCTION("""COMPUTED_VALUE"""),"application/pdf")</f>
        <v>application/pdf</v>
      </c>
    </row>
    <row r="674">
      <c r="A674" s="156" t="str">
        <f>IFERROR(__xludf.DUMMYFUNCTION("""COMPUTED_VALUE"""),"10.1007/s10508-018-1286-4")</f>
        <v>10.1007/s10508-018-1286-4</v>
      </c>
      <c r="B674" s="677" t="str">
        <f>IFERROR(__xludf.DUMMYFUNCTION("""COMPUTED_VALUE"""),"https://drive.google.com/file/d/1Qtqc8Y9nO0A_exYgizsLO37Iiop8gtyI/view?usp=drivesdk")</f>
        <v>https://drive.google.com/file/d/1Qtqc8Y9nO0A_exYgizsLO37Iiop8gtyI/view?usp=drivesdk</v>
      </c>
      <c r="C674" s="156" t="str">
        <f>IFERROR(__xludf.DUMMYFUNCTION("""COMPUTED_VALUE"""),"10.1007--s10508-018-1286-4.pdf")</f>
        <v>10.1007--s10508-018-1286-4.pdf</v>
      </c>
      <c r="D674" s="156" t="str">
        <f>IFERROR(__xludf.DUMMYFUNCTION("""COMPUTED_VALUE"""),"application/pdf")</f>
        <v>application/pdf</v>
      </c>
    </row>
    <row r="675">
      <c r="A675" s="156" t="str">
        <f>IFERROR(__xludf.DUMMYFUNCTION("""COMPUTED_VALUE"""),"10.1007/s10508-014-0329-8")</f>
        <v>10.1007/s10508-014-0329-8</v>
      </c>
      <c r="B675" s="677" t="str">
        <f>IFERROR(__xludf.DUMMYFUNCTION("""COMPUTED_VALUE"""),"https://drive.google.com/file/d/1PrXhDjMftmVVXPIzlR26bEkV-SjGoPKc/view?usp=drivesdk")</f>
        <v>https://drive.google.com/file/d/1PrXhDjMftmVVXPIzlR26bEkV-SjGoPKc/view?usp=drivesdk</v>
      </c>
      <c r="C675" s="156" t="str">
        <f>IFERROR(__xludf.DUMMYFUNCTION("""COMPUTED_VALUE"""),"10.1007--s10508-014-0329-8.pdf")</f>
        <v>10.1007--s10508-014-0329-8.pdf</v>
      </c>
      <c r="D675" s="156" t="str">
        <f>IFERROR(__xludf.DUMMYFUNCTION("""COMPUTED_VALUE"""),"application/pdf")</f>
        <v>application/pdf</v>
      </c>
    </row>
    <row r="676">
      <c r="A676" s="156" t="str">
        <f>IFERROR(__xludf.DUMMYFUNCTION("""COMPUTED_VALUE"""),"10.1002/jaba.606")</f>
        <v>10.1002/jaba.606</v>
      </c>
      <c r="B676" s="677" t="str">
        <f>IFERROR(__xludf.DUMMYFUNCTION("""COMPUTED_VALUE"""),"https://drive.google.com/file/d/1o6O-7mzih7pLbXI0LvgHAGTHdrcsdwPO/view?usp=drivesdk")</f>
        <v>https://drive.google.com/file/d/1o6O-7mzih7pLbXI0LvgHAGTHdrcsdwPO/view?usp=drivesdk</v>
      </c>
      <c r="C676" s="156" t="str">
        <f>IFERROR(__xludf.DUMMYFUNCTION("""COMPUTED_VALUE"""),"10.1002--jaba.606.pdf")</f>
        <v>10.1002--jaba.606.pdf</v>
      </c>
      <c r="D676" s="156" t="str">
        <f>IFERROR(__xludf.DUMMYFUNCTION("""COMPUTED_VALUE"""),"application/pdf")</f>
        <v>application/pdf</v>
      </c>
    </row>
    <row r="677">
      <c r="A677" s="156" t="str">
        <f>IFERROR(__xludf.DUMMYFUNCTION("""COMPUTED_VALUE"""),"10.1007/s10508-014-0428-6")</f>
        <v>10.1007/s10508-014-0428-6</v>
      </c>
      <c r="B677" s="677" t="str">
        <f>IFERROR(__xludf.DUMMYFUNCTION("""COMPUTED_VALUE"""),"https://drive.google.com/file/d/1usYtsHIoTKO8531DjDrxK0BeT1l_LPz6/view?usp=drivesdk")</f>
        <v>https://drive.google.com/file/d/1usYtsHIoTKO8531DjDrxK0BeT1l_LPz6/view?usp=drivesdk</v>
      </c>
      <c r="C677" s="156" t="str">
        <f>IFERROR(__xludf.DUMMYFUNCTION("""COMPUTED_VALUE"""),"10.1007--s10508-014-0428-6.pdf")</f>
        <v>10.1007--s10508-014-0428-6.pdf</v>
      </c>
      <c r="D677" s="156" t="str">
        <f>IFERROR(__xludf.DUMMYFUNCTION("""COMPUTED_VALUE"""),"application/pdf")</f>
        <v>application/pdf</v>
      </c>
    </row>
    <row r="678">
      <c r="A678" s="156" t="str">
        <f>IFERROR(__xludf.DUMMYFUNCTION("""COMPUTED_VALUE"""),"10.1002/erv.2344")</f>
        <v>10.1002/erv.2344</v>
      </c>
      <c r="B678" s="677" t="str">
        <f>IFERROR(__xludf.DUMMYFUNCTION("""COMPUTED_VALUE"""),"https://drive.google.com/file/d/1sdsQjWafNvJsqiOokdecPrifBQu9p9Px/view?usp=drivesdk")</f>
        <v>https://drive.google.com/file/d/1sdsQjWafNvJsqiOokdecPrifBQu9p9Px/view?usp=drivesdk</v>
      </c>
      <c r="C678" s="156" t="str">
        <f>IFERROR(__xludf.DUMMYFUNCTION("""COMPUTED_VALUE"""),"10.1002--erv.2344.pdf")</f>
        <v>10.1002--erv.2344.pdf</v>
      </c>
      <c r="D678" s="156" t="str">
        <f>IFERROR(__xludf.DUMMYFUNCTION("""COMPUTED_VALUE"""),"application/pdf")</f>
        <v>application/pdf</v>
      </c>
    </row>
    <row r="679">
      <c r="A679" s="156" t="str">
        <f>IFERROR(__xludf.DUMMYFUNCTION("""COMPUTED_VALUE"""),"10.1002/ejsp.850")</f>
        <v>10.1002/ejsp.850</v>
      </c>
      <c r="B679" s="677" t="str">
        <f>IFERROR(__xludf.DUMMYFUNCTION("""COMPUTED_VALUE"""),"https://drive.google.com/file/d/1JIio9dD942E8dACgVVdAKxTirhGvnXYU/view?usp=drivesdk")</f>
        <v>https://drive.google.com/file/d/1JIio9dD942E8dACgVVdAKxTirhGvnXYU/view?usp=drivesdk</v>
      </c>
      <c r="C679" s="156" t="str">
        <f>IFERROR(__xludf.DUMMYFUNCTION("""COMPUTED_VALUE"""),"10.1002--ejsp.850.pdf")</f>
        <v>10.1002--ejsp.850.pdf</v>
      </c>
      <c r="D679" s="156" t="str">
        <f>IFERROR(__xludf.DUMMYFUNCTION("""COMPUTED_VALUE"""),"application/pdf")</f>
        <v>application/pdf</v>
      </c>
    </row>
    <row r="680">
      <c r="A680" s="156" t="str">
        <f>IFERROR(__xludf.DUMMYFUNCTION("""COMPUTED_VALUE"""),"10.1016/j.paid.2015.08.050")</f>
        <v>10.1016/j.paid.2015.08.050</v>
      </c>
      <c r="B680" s="677" t="str">
        <f>IFERROR(__xludf.DUMMYFUNCTION("""COMPUTED_VALUE"""),"https://drive.google.com/file/d/1UP7ZYzMzV0FosoKq3xKtP3jqY-RWWp6q/view?usp=drivesdk")</f>
        <v>https://drive.google.com/file/d/1UP7ZYzMzV0FosoKq3xKtP3jqY-RWWp6q/view?usp=drivesdk</v>
      </c>
      <c r="C680" s="156" t="str">
        <f>IFERROR(__xludf.DUMMYFUNCTION("""COMPUTED_VALUE"""),"10.1016--j.paid.2015.08.050.pdf")</f>
        <v>10.1016--j.paid.2015.08.050.pdf</v>
      </c>
      <c r="D680" s="156" t="str">
        <f>IFERROR(__xludf.DUMMYFUNCTION("""COMPUTED_VALUE"""),"application/pdf")</f>
        <v>application/pdf</v>
      </c>
    </row>
    <row r="681">
      <c r="A681" s="156" t="str">
        <f>IFERROR(__xludf.DUMMYFUNCTION("""COMPUTED_VALUE"""),"10.1007/s10464-013-9587-1")</f>
        <v>10.1007/s10464-013-9587-1</v>
      </c>
      <c r="B681" s="677" t="str">
        <f>IFERROR(__xludf.DUMMYFUNCTION("""COMPUTED_VALUE"""),"https://drive.google.com/file/d/1oxrBEjfF17yXVvaokTD0u5RL_sgkSMgx/view?usp=drivesdk")</f>
        <v>https://drive.google.com/file/d/1oxrBEjfF17yXVvaokTD0u5RL_sgkSMgx/view?usp=drivesdk</v>
      </c>
      <c r="C681" s="156" t="str">
        <f>IFERROR(__xludf.DUMMYFUNCTION("""COMPUTED_VALUE"""),"10.1007--s10464-013-9587-1.pdf")</f>
        <v>10.1007--s10464-013-9587-1.pdf</v>
      </c>
      <c r="D681" s="156" t="str">
        <f>IFERROR(__xludf.DUMMYFUNCTION("""COMPUTED_VALUE"""),"application/pdf")</f>
        <v>application/pdf</v>
      </c>
    </row>
    <row r="682">
      <c r="A682" s="156" t="str">
        <f>IFERROR(__xludf.DUMMYFUNCTION("""COMPUTED_VALUE"""),"10.3389/fpsyg.2015.01221")</f>
        <v>10.3389/fpsyg.2015.01221</v>
      </c>
      <c r="B682" s="677" t="str">
        <f>IFERROR(__xludf.DUMMYFUNCTION("""COMPUTED_VALUE"""),"https://drive.google.com/file/d/1palPBkJHCvYlPBUeKlt_R0vV70lzSnDX/view?usp=drivesdk")</f>
        <v>https://drive.google.com/file/d/1palPBkJHCvYlPBUeKlt_R0vV70lzSnDX/view?usp=drivesdk</v>
      </c>
      <c r="C682" s="156" t="str">
        <f>IFERROR(__xludf.DUMMYFUNCTION("""COMPUTED_VALUE"""),"10.3389--fpsyg.2015.01221.pdf")</f>
        <v>10.3389--fpsyg.2015.01221.pdf</v>
      </c>
      <c r="D682" s="156" t="str">
        <f>IFERROR(__xludf.DUMMYFUNCTION("""COMPUTED_VALUE"""),"application/pdf")</f>
        <v>application/pdf</v>
      </c>
    </row>
    <row r="683">
      <c r="A683" s="156" t="str">
        <f>IFERROR(__xludf.DUMMYFUNCTION("""COMPUTED_VALUE"""),"10.1080/20445911.2013.817413")</f>
        <v>10.1080/20445911.2013.817413</v>
      </c>
      <c r="B683" s="677" t="str">
        <f>IFERROR(__xludf.DUMMYFUNCTION("""COMPUTED_VALUE"""),"https://drive.google.com/file/d/1nPKtIVln8V26-2TlelyxSIDrW9DB2IY4/view?usp=drivesdk")</f>
        <v>https://drive.google.com/file/d/1nPKtIVln8V26-2TlelyxSIDrW9DB2IY4/view?usp=drivesdk</v>
      </c>
      <c r="C683" s="156" t="str">
        <f>IFERROR(__xludf.DUMMYFUNCTION("""COMPUTED_VALUE"""),"10.1080--20445911.2013.817413.pdf")</f>
        <v>10.1080--20445911.2013.817413.pdf</v>
      </c>
      <c r="D683" s="156" t="str">
        <f>IFERROR(__xludf.DUMMYFUNCTION("""COMPUTED_VALUE"""),"application/pdf")</f>
        <v>application/pdf</v>
      </c>
    </row>
    <row r="684">
      <c r="A684" s="156" t="str">
        <f>IFERROR(__xludf.DUMMYFUNCTION("""COMPUTED_VALUE"""),"10.1177/0145445520920813")</f>
        <v>10.1177/0145445520920813</v>
      </c>
      <c r="B684" s="677" t="str">
        <f>IFERROR(__xludf.DUMMYFUNCTION("""COMPUTED_VALUE"""),"https://drive.google.com/file/d/1q-aYNt3MoOQkBO6zo6Y4QjY5op6bsWLz/view?usp=drivesdk")</f>
        <v>https://drive.google.com/file/d/1q-aYNt3MoOQkBO6zo6Y4QjY5op6bsWLz/view?usp=drivesdk</v>
      </c>
      <c r="C684" s="156" t="str">
        <f>IFERROR(__xludf.DUMMYFUNCTION("""COMPUTED_VALUE"""),"10.1177--0145445520920813.pdf")</f>
        <v>10.1177--0145445520920813.pdf</v>
      </c>
      <c r="D684" s="156" t="str">
        <f>IFERROR(__xludf.DUMMYFUNCTION("""COMPUTED_VALUE"""),"application/pdf")</f>
        <v>application/pdf</v>
      </c>
    </row>
    <row r="685">
      <c r="A685" s="156" t="str">
        <f>IFERROR(__xludf.DUMMYFUNCTION("""COMPUTED_VALUE"""),"10.1037/adb0000155")</f>
        <v>10.1037/adb0000155</v>
      </c>
      <c r="B685" s="677" t="str">
        <f>IFERROR(__xludf.DUMMYFUNCTION("""COMPUTED_VALUE"""),"https://drive.google.com/file/d/1EK70voCEjQThFwJv8w0XAfJnswIJGsgT/view?usp=drivesdk")</f>
        <v>https://drive.google.com/file/d/1EK70voCEjQThFwJv8w0XAfJnswIJGsgT/view?usp=drivesdk</v>
      </c>
      <c r="C685" s="156" t="str">
        <f>IFERROR(__xludf.DUMMYFUNCTION("""COMPUTED_VALUE"""),"10.1037--adb0000155.pdf")</f>
        <v>10.1037--adb0000155.pdf</v>
      </c>
      <c r="D685" s="156" t="str">
        <f>IFERROR(__xludf.DUMMYFUNCTION("""COMPUTED_VALUE"""),"application/pdf")</f>
        <v>application/pdf</v>
      </c>
    </row>
    <row r="686">
      <c r="A686" s="156" t="str">
        <f>IFERROR(__xludf.DUMMYFUNCTION("""COMPUTED_VALUE"""),"10.1037/abn0000144")</f>
        <v>10.1037/abn0000144</v>
      </c>
      <c r="B686" s="677" t="str">
        <f>IFERROR(__xludf.DUMMYFUNCTION("""COMPUTED_VALUE"""),"https://drive.google.com/file/d/1E9vjsTCQu9mBa51YODe8l3tjx7J7jUs5/view?usp=drivesdk")</f>
        <v>https://drive.google.com/file/d/1E9vjsTCQu9mBa51YODe8l3tjx7J7jUs5/view?usp=drivesdk</v>
      </c>
      <c r="C686" s="156" t="str">
        <f>IFERROR(__xludf.DUMMYFUNCTION("""COMPUTED_VALUE"""),"10.1037--abn0000144.pdf")</f>
        <v>10.1037--abn0000144.pdf</v>
      </c>
      <c r="D686" s="156" t="str">
        <f>IFERROR(__xludf.DUMMYFUNCTION("""COMPUTED_VALUE"""),"application/pdf")</f>
        <v>application/pdf</v>
      </c>
    </row>
    <row r="687">
      <c r="A687" s="156" t="str">
        <f>IFERROR(__xludf.DUMMYFUNCTION("""COMPUTED_VALUE"""),"10.1037/a0033303")</f>
        <v>10.1037/a0033303</v>
      </c>
      <c r="B687" s="677" t="str">
        <f>IFERROR(__xludf.DUMMYFUNCTION("""COMPUTED_VALUE"""),"https://drive.google.com/file/d/1lekgV_7d1Wb3Sleyh_r5jBNlDgkh0Qle/view?usp=drivesdk")</f>
        <v>https://drive.google.com/file/d/1lekgV_7d1Wb3Sleyh_r5jBNlDgkh0Qle/view?usp=drivesdk</v>
      </c>
      <c r="C687" s="156" t="str">
        <f>IFERROR(__xludf.DUMMYFUNCTION("""COMPUTED_VALUE"""),"10.1037--a0033303.pdf")</f>
        <v>10.1037--a0033303.pdf</v>
      </c>
      <c r="D687" s="156" t="str">
        <f>IFERROR(__xludf.DUMMYFUNCTION("""COMPUTED_VALUE"""),"application/pdf")</f>
        <v>application/pdf</v>
      </c>
    </row>
    <row r="688">
      <c r="A688" s="156" t="str">
        <f>IFERROR(__xludf.DUMMYFUNCTION("""COMPUTED_VALUE"""),"10.1016/j.psychsport.2015.08.007")</f>
        <v>10.1016/j.psychsport.2015.08.007</v>
      </c>
      <c r="B688" s="677" t="str">
        <f>IFERROR(__xludf.DUMMYFUNCTION("""COMPUTED_VALUE"""),"https://drive.google.com/file/d/1ChnTp3WwnI7GsVilMB_0xUxJVRcijITh/view?usp=drivesdk")</f>
        <v>https://drive.google.com/file/d/1ChnTp3WwnI7GsVilMB_0xUxJVRcijITh/view?usp=drivesdk</v>
      </c>
      <c r="C688" s="156" t="str">
        <f>IFERROR(__xludf.DUMMYFUNCTION("""COMPUTED_VALUE"""),"10.1016--j.psychsport.2015.08.007.pdf")</f>
        <v>10.1016--j.psychsport.2015.08.007.pdf</v>
      </c>
      <c r="D688" s="156" t="str">
        <f>IFERROR(__xludf.DUMMYFUNCTION("""COMPUTED_VALUE"""),"application/pdf")</f>
        <v>application/pdf</v>
      </c>
    </row>
    <row r="689">
      <c r="A689" s="156" t="str">
        <f>IFERROR(__xludf.DUMMYFUNCTION("""COMPUTED_VALUE"""),"10.1016/j.jbtep.2012.07.011")</f>
        <v>10.1016/j.jbtep.2012.07.011</v>
      </c>
      <c r="B689" s="677" t="str">
        <f>IFERROR(__xludf.DUMMYFUNCTION("""COMPUTED_VALUE"""),"https://drive.google.com/file/d/1xFzDm4S7_QQw1esjWmqi7nhg48Yqym3N/view?usp=drivesdk")</f>
        <v>https://drive.google.com/file/d/1xFzDm4S7_QQw1esjWmqi7nhg48Yqym3N/view?usp=drivesdk</v>
      </c>
      <c r="C689" s="156" t="str">
        <f>IFERROR(__xludf.DUMMYFUNCTION("""COMPUTED_VALUE"""),"10.1016--j.jbtep.2012.07.011.pdf")</f>
        <v>10.1016--j.jbtep.2012.07.011.pdf</v>
      </c>
      <c r="D689" s="156" t="str">
        <f>IFERROR(__xludf.DUMMYFUNCTION("""COMPUTED_VALUE"""),"application/pdf")</f>
        <v>application/pdf</v>
      </c>
    </row>
    <row r="690">
      <c r="A690" s="156" t="str">
        <f>IFERROR(__xludf.DUMMYFUNCTION("""COMPUTED_VALUE"""),"10.1016/j.janxdis.2014.01.004")</f>
        <v>10.1016/j.janxdis.2014.01.004</v>
      </c>
      <c r="B690" s="677" t="str">
        <f>IFERROR(__xludf.DUMMYFUNCTION("""COMPUTED_VALUE"""),"https://drive.google.com/file/d/1wwnFr3pqPX_LothYiI13vAF9BHLBTgr5/view?usp=drivesdk")</f>
        <v>https://drive.google.com/file/d/1wwnFr3pqPX_LothYiI13vAF9BHLBTgr5/view?usp=drivesdk</v>
      </c>
      <c r="C690" s="156" t="str">
        <f>IFERROR(__xludf.DUMMYFUNCTION("""COMPUTED_VALUE"""),"10.1016--j.janxdis.2014.01.004.pdf")</f>
        <v>10.1016--j.janxdis.2014.01.004.pdf</v>
      </c>
      <c r="D690" s="156" t="str">
        <f>IFERROR(__xludf.DUMMYFUNCTION("""COMPUTED_VALUE"""),"application/pdf")</f>
        <v>application/pdf</v>
      </c>
    </row>
    <row r="691">
      <c r="A691" s="156" t="str">
        <f>IFERROR(__xludf.DUMMYFUNCTION("""COMPUTED_VALUE"""),"10.1016/j.cognition.2013.11.014")</f>
        <v>10.1016/j.cognition.2013.11.014</v>
      </c>
      <c r="B691" s="677" t="str">
        <f>IFERROR(__xludf.DUMMYFUNCTION("""COMPUTED_VALUE"""),"https://drive.google.com/file/d/1AqmI6Zq6KP_U_Vn6pbBLW6XQLM1e2E2G/view?usp=drivesdk")</f>
        <v>https://drive.google.com/file/d/1AqmI6Zq6KP_U_Vn6pbBLW6XQLM1e2E2G/view?usp=drivesdk</v>
      </c>
      <c r="C691" s="156" t="str">
        <f>IFERROR(__xludf.DUMMYFUNCTION("""COMPUTED_VALUE"""),"10.1016--j.cognition.2013.11.014.pdf")</f>
        <v>10.1016--j.cognition.2013.11.014.pdf</v>
      </c>
      <c r="D691" s="156" t="str">
        <f>IFERROR(__xludf.DUMMYFUNCTION("""COMPUTED_VALUE"""),"application/pdf")</f>
        <v>application/pdf</v>
      </c>
    </row>
    <row r="692">
      <c r="A692" s="156" t="str">
        <f>IFERROR(__xludf.DUMMYFUNCTION("""COMPUTED_VALUE"""),"10.1016/j.actpsy.2014.11.008")</f>
        <v>10.1016/j.actpsy.2014.11.008</v>
      </c>
      <c r="B692" s="677" t="str">
        <f>IFERROR(__xludf.DUMMYFUNCTION("""COMPUTED_VALUE"""),"https://drive.google.com/file/d/1Ugkth0to_cNGmZpi0M4S3HNxgArz_XtF/view?usp=drivesdk")</f>
        <v>https://drive.google.com/file/d/1Ugkth0to_cNGmZpi0M4S3HNxgArz_XtF/view?usp=drivesdk</v>
      </c>
      <c r="C692" s="156" t="str">
        <f>IFERROR(__xludf.DUMMYFUNCTION("""COMPUTED_VALUE"""),"10.1016--j.actpsy.2014.11.008.pdf")</f>
        <v>10.1016--j.actpsy.2014.11.008.pdf</v>
      </c>
      <c r="D692" s="156" t="str">
        <f>IFERROR(__xludf.DUMMYFUNCTION("""COMPUTED_VALUE"""),"application/pdf")</f>
        <v>application/pdf</v>
      </c>
    </row>
    <row r="693">
      <c r="A693" s="156" t="str">
        <f>IFERROR(__xludf.DUMMYFUNCTION("""COMPUTED_VALUE"""),"10.1007/s10519-012-9570-x")</f>
        <v>10.1007/s10519-012-9570-x</v>
      </c>
      <c r="B693" s="677" t="str">
        <f>IFERROR(__xludf.DUMMYFUNCTION("""COMPUTED_VALUE"""),"https://drive.google.com/file/d/1P_5NDbaodkN-AqumONn0hzTVzSTSM4y7/view?usp=drivesdk")</f>
        <v>https://drive.google.com/file/d/1P_5NDbaodkN-AqumONn0hzTVzSTSM4y7/view?usp=drivesdk</v>
      </c>
      <c r="C693" s="156" t="str">
        <f>IFERROR(__xludf.DUMMYFUNCTION("""COMPUTED_VALUE"""),"10.1007--s10519-012-9570-x.pdf")</f>
        <v>10.1007--s10519-012-9570-x.pdf</v>
      </c>
      <c r="D693" s="156" t="str">
        <f>IFERROR(__xludf.DUMMYFUNCTION("""COMPUTED_VALUE"""),"application/pdf")</f>
        <v>application/pdf</v>
      </c>
    </row>
    <row r="694">
      <c r="A694" s="156" t="str">
        <f>IFERROR(__xludf.DUMMYFUNCTION("""COMPUTED_VALUE"""),"10.1007/s12144-018-9810-1")</f>
        <v>10.1007/s12144-018-9810-1</v>
      </c>
      <c r="B694" s="677" t="str">
        <f>IFERROR(__xludf.DUMMYFUNCTION("""COMPUTED_VALUE"""),"https://drive.google.com/file/d/1z_BdgeDAlPoyJc0uEwv-1ASySLTcgiv-/view?usp=drivesdk")</f>
        <v>https://drive.google.com/file/d/1z_BdgeDAlPoyJc0uEwv-1ASySLTcgiv-/view?usp=drivesdk</v>
      </c>
      <c r="C694" s="156" t="str">
        <f>IFERROR(__xludf.DUMMYFUNCTION("""COMPUTED_VALUE"""),"10.1007--s12144-018-9810-1.pdf")</f>
        <v>10.1007--s12144-018-9810-1.pdf</v>
      </c>
      <c r="D694" s="156" t="str">
        <f>IFERROR(__xludf.DUMMYFUNCTION("""COMPUTED_VALUE"""),"application/pdf")</f>
        <v>application/pdf</v>
      </c>
    </row>
    <row r="695">
      <c r="A695" s="156" t="str">
        <f>IFERROR(__xludf.DUMMYFUNCTION("""COMPUTED_VALUE"""),"10.1177/0886260514563833")</f>
        <v>10.1177/0886260514563833</v>
      </c>
      <c r="B695" s="677" t="str">
        <f>IFERROR(__xludf.DUMMYFUNCTION("""COMPUTED_VALUE"""),"https://drive.google.com/file/d/1pfk6NhLqZUxSC72HE5zA09nmkXL8bh3f/view?usp=drivesdk")</f>
        <v>https://drive.google.com/file/d/1pfk6NhLqZUxSC72HE5zA09nmkXL8bh3f/view?usp=drivesdk</v>
      </c>
      <c r="C695" s="156" t="str">
        <f>IFERROR(__xludf.DUMMYFUNCTION("""COMPUTED_VALUE"""),"10.1177--0886260514563833.pdf")</f>
        <v>10.1177--0886260514563833.pdf</v>
      </c>
      <c r="D695" s="156" t="str">
        <f>IFERROR(__xludf.DUMMYFUNCTION("""COMPUTED_VALUE"""),"application/pdf")</f>
        <v>application/pdf</v>
      </c>
    </row>
    <row r="696">
      <c r="A696" s="156" t="str">
        <f>IFERROR(__xludf.DUMMYFUNCTION("""COMPUTED_VALUE"""),"10.1016/j.jbtep.2018.01.005")</f>
        <v>10.1016/j.jbtep.2018.01.005</v>
      </c>
      <c r="B696" s="677" t="str">
        <f>IFERROR(__xludf.DUMMYFUNCTION("""COMPUTED_VALUE"""),"https://drive.google.com/file/d/17ketAgQS20_F9LvYc05suSn063Yk2r0z/view?usp=drivesdk")</f>
        <v>https://drive.google.com/file/d/17ketAgQS20_F9LvYc05suSn063Yk2r0z/view?usp=drivesdk</v>
      </c>
      <c r="C696" s="156" t="str">
        <f>IFERROR(__xludf.DUMMYFUNCTION("""COMPUTED_VALUE"""),"10.1016--j.jbtep.2018.01.005.pdf")</f>
        <v>10.1016--j.jbtep.2018.01.005.pdf</v>
      </c>
      <c r="D696" s="156" t="str">
        <f>IFERROR(__xludf.DUMMYFUNCTION("""COMPUTED_VALUE"""),"application/pdf")</f>
        <v>application/pdf</v>
      </c>
    </row>
    <row r="697">
      <c r="A697" s="156" t="str">
        <f>IFERROR(__xludf.DUMMYFUNCTION("""COMPUTED_VALUE"""),"10.1037/a0024313")</f>
        <v>10.1037/a0024313</v>
      </c>
      <c r="B697" s="677" t="str">
        <f>IFERROR(__xludf.DUMMYFUNCTION("""COMPUTED_VALUE"""),"https://drive.google.com/file/d/1_KL9OSscMIfIh3Xklw7COJgoijUC206n/view?usp=drivesdk")</f>
        <v>https://drive.google.com/file/d/1_KL9OSscMIfIh3Xklw7COJgoijUC206n/view?usp=drivesdk</v>
      </c>
      <c r="C697" s="156" t="str">
        <f>IFERROR(__xludf.DUMMYFUNCTION("""COMPUTED_VALUE"""),"10.1037--a0024313.pdf")</f>
        <v>10.1037--a0024313.pdf</v>
      </c>
      <c r="D697" s="156" t="str">
        <f>IFERROR(__xludf.DUMMYFUNCTION("""COMPUTED_VALUE"""),"application/pdf")</f>
        <v>application/pdf</v>
      </c>
    </row>
    <row r="698">
      <c r="A698" s="156" t="str">
        <f>IFERROR(__xludf.DUMMYFUNCTION("""COMPUTED_VALUE"""),"10.1016/j.cortex.2018.10.021")</f>
        <v>10.1016/j.cortex.2018.10.021</v>
      </c>
      <c r="B698" s="677" t="str">
        <f>IFERROR(__xludf.DUMMYFUNCTION("""COMPUTED_VALUE"""),"https://drive.google.com/file/d/1u1b7WcdpQ093xj3P4kbtxkfZbNQToggr/view?usp=drivesdk")</f>
        <v>https://drive.google.com/file/d/1u1b7WcdpQ093xj3P4kbtxkfZbNQToggr/view?usp=drivesdk</v>
      </c>
      <c r="C698" s="156" t="str">
        <f>IFERROR(__xludf.DUMMYFUNCTION("""COMPUTED_VALUE"""),"10.1016--j.cortex.2018.10.021.pdf")</f>
        <v>10.1016--j.cortex.2018.10.021.pdf</v>
      </c>
      <c r="D698" s="156" t="str">
        <f>IFERROR(__xludf.DUMMYFUNCTION("""COMPUTED_VALUE"""),"application/pdf")</f>
        <v>application/pdf</v>
      </c>
    </row>
    <row r="699">
      <c r="A699" s="156" t="str">
        <f>IFERROR(__xludf.DUMMYFUNCTION("""COMPUTED_VALUE"""),"10.1016/j.biopsycho.2014.07.005")</f>
        <v>10.1016/j.biopsycho.2014.07.005</v>
      </c>
      <c r="B699" s="677" t="str">
        <f>IFERROR(__xludf.DUMMYFUNCTION("""COMPUTED_VALUE"""),"https://drive.google.com/file/d/1PpT_-ZbMQ_UCSJ9H796om0Jjm1kvQ4Ai/view?usp=drivesdk")</f>
        <v>https://drive.google.com/file/d/1PpT_-ZbMQ_UCSJ9H796om0Jjm1kvQ4Ai/view?usp=drivesdk</v>
      </c>
      <c r="C699" s="156" t="str">
        <f>IFERROR(__xludf.DUMMYFUNCTION("""COMPUTED_VALUE"""),"10.1016--j.biopsycho.2014.07.005.pdf")</f>
        <v>10.1016--j.biopsycho.2014.07.005.pdf</v>
      </c>
      <c r="D699" s="156" t="str">
        <f>IFERROR(__xludf.DUMMYFUNCTION("""COMPUTED_VALUE"""),"application/pdf")</f>
        <v>application/pdf</v>
      </c>
    </row>
    <row r="700">
      <c r="A700" s="156" t="str">
        <f>IFERROR(__xludf.DUMMYFUNCTION("""COMPUTED_VALUE"""),"10.1016/j.beth.2019.12.006")</f>
        <v>10.1016/j.beth.2019.12.006</v>
      </c>
      <c r="B700" s="677" t="str">
        <f>IFERROR(__xludf.DUMMYFUNCTION("""COMPUTED_VALUE"""),"https://drive.google.com/file/d/1CbG1VOBApKmxZL6eX8yUgVdTUMTfuwuS/view?usp=drivesdk")</f>
        <v>https://drive.google.com/file/d/1CbG1VOBApKmxZL6eX8yUgVdTUMTfuwuS/view?usp=drivesdk</v>
      </c>
      <c r="C700" s="156" t="str">
        <f>IFERROR(__xludf.DUMMYFUNCTION("""COMPUTED_VALUE"""),"10.1016--j.beth.2019.12.006.pdf")</f>
        <v>10.1016--j.beth.2019.12.006.pdf</v>
      </c>
      <c r="D700" s="156" t="str">
        <f>IFERROR(__xludf.DUMMYFUNCTION("""COMPUTED_VALUE"""),"application/pdf")</f>
        <v>application/pdf</v>
      </c>
    </row>
    <row r="701">
      <c r="A701" s="156" t="str">
        <f>IFERROR(__xludf.DUMMYFUNCTION("""COMPUTED_VALUE"""),"10.1002/rrq.62")</f>
        <v>10.1002/rrq.62</v>
      </c>
      <c r="B701" s="677" t="str">
        <f>IFERROR(__xludf.DUMMYFUNCTION("""COMPUTED_VALUE"""),"https://drive.google.com/file/d/1yKVtmrrokbnG8vYzIP64Hzag1IRdVdz4/view?usp=drivesdk")</f>
        <v>https://drive.google.com/file/d/1yKVtmrrokbnG8vYzIP64Hzag1IRdVdz4/view?usp=drivesdk</v>
      </c>
      <c r="C701" s="156" t="str">
        <f>IFERROR(__xludf.DUMMYFUNCTION("""COMPUTED_VALUE"""),"10.1002--rrq.62.pdf")</f>
        <v>10.1002--rrq.62.pdf</v>
      </c>
      <c r="D701" s="156" t="str">
        <f>IFERROR(__xludf.DUMMYFUNCTION("""COMPUTED_VALUE"""),"application/pdf")</f>
        <v>application/pdf</v>
      </c>
    </row>
    <row r="702">
      <c r="A702" s="156" t="str">
        <f>IFERROR(__xludf.DUMMYFUNCTION("""COMPUTED_VALUE"""),"10.1016/j.cortex.2020.08.002")</f>
        <v>10.1016/j.cortex.2020.08.002</v>
      </c>
      <c r="B702" s="677" t="str">
        <f>IFERROR(__xludf.DUMMYFUNCTION("""COMPUTED_VALUE"""),"https://drive.google.com/file/d/1lxCGafMDrYAsyUwujfL4sNxOpaj27_ZL/view?usp=drivesdk")</f>
        <v>https://drive.google.com/file/d/1lxCGafMDrYAsyUwujfL4sNxOpaj27_ZL/view?usp=drivesdk</v>
      </c>
      <c r="C702" s="156" t="str">
        <f>IFERROR(__xludf.DUMMYFUNCTION("""COMPUTED_VALUE"""),"10.1016--j.cortex.2020.08.002.pdf")</f>
        <v>10.1016--j.cortex.2020.08.002.pdf</v>
      </c>
      <c r="D702" s="156" t="str">
        <f>IFERROR(__xludf.DUMMYFUNCTION("""COMPUTED_VALUE"""),"application/pdf")</f>
        <v>application/pdf</v>
      </c>
    </row>
    <row r="703">
      <c r="A703" s="156" t="str">
        <f>IFERROR(__xludf.DUMMYFUNCTION("""COMPUTED_VALUE"""),"10.1177/1073191111398314")</f>
        <v>10.1177/1073191111398314</v>
      </c>
      <c r="B703" s="677" t="str">
        <f>IFERROR(__xludf.DUMMYFUNCTION("""COMPUTED_VALUE"""),"https://drive.google.com/file/d/13MA74eS7DrujLk_XxKEwnhT26DlnYs97/view?usp=drivesdk")</f>
        <v>https://drive.google.com/file/d/13MA74eS7DrujLk_XxKEwnhT26DlnYs97/view?usp=drivesdk</v>
      </c>
      <c r="C703" s="156" t="str">
        <f>IFERROR(__xludf.DUMMYFUNCTION("""COMPUTED_VALUE"""),"10.1177--1073191111398314.pdf")</f>
        <v>10.1177--1073191111398314.pdf</v>
      </c>
      <c r="D703" s="156" t="str">
        <f>IFERROR(__xludf.DUMMYFUNCTION("""COMPUTED_VALUE"""),"application/pdf")</f>
        <v>application/pdf</v>
      </c>
    </row>
    <row r="704">
      <c r="A704" s="156" t="str">
        <f>IFERROR(__xludf.DUMMYFUNCTION("""COMPUTED_VALUE"""),"10.1016/j.cogdev.2017.08.006")</f>
        <v>10.1016/j.cogdev.2017.08.006</v>
      </c>
      <c r="B704" s="677" t="str">
        <f>IFERROR(__xludf.DUMMYFUNCTION("""COMPUTED_VALUE"""),"https://drive.google.com/file/d/1r8elKgOPwwO_4J-4uUv7we9zsgWV58SW/view?usp=drivesdk")</f>
        <v>https://drive.google.com/file/d/1r8elKgOPwwO_4J-4uUv7we9zsgWV58SW/view?usp=drivesdk</v>
      </c>
      <c r="C704" s="156" t="str">
        <f>IFERROR(__xludf.DUMMYFUNCTION("""COMPUTED_VALUE"""),"10.1016--j.cogdev.2017.08.006.pdf")</f>
        <v>10.1016--j.cogdev.2017.08.006.pdf</v>
      </c>
      <c r="D704" s="156" t="str">
        <f>IFERROR(__xludf.DUMMYFUNCTION("""COMPUTED_VALUE"""),"application/pdf")</f>
        <v>application/pdf</v>
      </c>
    </row>
    <row r="705">
      <c r="A705" s="156" t="str">
        <f>IFERROR(__xludf.DUMMYFUNCTION("""COMPUTED_VALUE"""),"10.1037/a0021682")</f>
        <v>10.1037/a0021682</v>
      </c>
      <c r="B705" s="677" t="str">
        <f>IFERROR(__xludf.DUMMYFUNCTION("""COMPUTED_VALUE"""),"https://drive.google.com/file/d/1r5DhKWjYUvxIKeRhA9vdGXw0vBkuFsPC/view?usp=drivesdk")</f>
        <v>https://drive.google.com/file/d/1r5DhKWjYUvxIKeRhA9vdGXw0vBkuFsPC/view?usp=drivesdk</v>
      </c>
      <c r="C705" s="156" t="str">
        <f>IFERROR(__xludf.DUMMYFUNCTION("""COMPUTED_VALUE"""),"10.1037--a0021682.pdf")</f>
        <v>10.1037--a0021682.pdf</v>
      </c>
      <c r="D705" s="156" t="str">
        <f>IFERROR(__xludf.DUMMYFUNCTION("""COMPUTED_VALUE"""),"application/pdf")</f>
        <v>application/pdf</v>
      </c>
    </row>
    <row r="706">
      <c r="A706" s="156" t="str">
        <f>IFERROR(__xludf.DUMMYFUNCTION("""COMPUTED_VALUE"""),"10.3758/s13428-020-01454-9")</f>
        <v>10.3758/s13428-020-01454-9</v>
      </c>
      <c r="B706" s="677" t="str">
        <f>IFERROR(__xludf.DUMMYFUNCTION("""COMPUTED_VALUE"""),"https://drive.google.com/file/d/1wsPvmROGursS4XKsLxJycBv3ribXTR4w/view?usp=drivesdk")</f>
        <v>https://drive.google.com/file/d/1wsPvmROGursS4XKsLxJycBv3ribXTR4w/view?usp=drivesdk</v>
      </c>
      <c r="C706" s="156" t="str">
        <f>IFERROR(__xludf.DUMMYFUNCTION("""COMPUTED_VALUE"""),"10.3758--s13428-020-01454-9.pdf")</f>
        <v>10.3758--s13428-020-01454-9.pdf</v>
      </c>
      <c r="D706" s="156" t="str">
        <f>IFERROR(__xludf.DUMMYFUNCTION("""COMPUTED_VALUE"""),"application/pdf")</f>
        <v>application/pdf</v>
      </c>
    </row>
    <row r="707">
      <c r="A707" s="156" t="str">
        <f>IFERROR(__xludf.DUMMYFUNCTION("""COMPUTED_VALUE"""),"10.1093/scan/nsz017")</f>
        <v>10.1093/scan/nsz017</v>
      </c>
      <c r="B707" s="677" t="str">
        <f>IFERROR(__xludf.DUMMYFUNCTION("""COMPUTED_VALUE"""),"https://drive.google.com/file/d/1au2hR22GOvMeETjwJ3lTlqjcWaBvzEum/view?usp=drivesdk")</f>
        <v>https://drive.google.com/file/d/1au2hR22GOvMeETjwJ3lTlqjcWaBvzEum/view?usp=drivesdk</v>
      </c>
      <c r="C707" s="156" t="str">
        <f>IFERROR(__xludf.DUMMYFUNCTION("""COMPUTED_VALUE"""),"10.1093--scan--nsz017.pdf")</f>
        <v>10.1093--scan--nsz017.pdf</v>
      </c>
      <c r="D707" s="156" t="str">
        <f>IFERROR(__xludf.DUMMYFUNCTION("""COMPUTED_VALUE"""),"application/pdf")</f>
        <v>application/pdf</v>
      </c>
    </row>
    <row r="708">
      <c r="A708" s="156" t="str">
        <f>IFERROR(__xludf.DUMMYFUNCTION("""COMPUTED_VALUE"""),"10.1111/psyp.12825")</f>
        <v>10.1111/psyp.12825</v>
      </c>
      <c r="B708" s="677" t="str">
        <f>IFERROR(__xludf.DUMMYFUNCTION("""COMPUTED_VALUE"""),"https://drive.google.com/file/d/1flry8FBKDxDv0ajq7hLaS4b12HuDR4Wh/view?usp=drivesdk")</f>
        <v>https://drive.google.com/file/d/1flry8FBKDxDv0ajq7hLaS4b12HuDR4Wh/view?usp=drivesdk</v>
      </c>
      <c r="C708" s="156" t="str">
        <f>IFERROR(__xludf.DUMMYFUNCTION("""COMPUTED_VALUE"""),"10.1111--psyp.12825.pdf")</f>
        <v>10.1111--psyp.12825.pdf</v>
      </c>
      <c r="D708" s="156" t="str">
        <f>IFERROR(__xludf.DUMMYFUNCTION("""COMPUTED_VALUE"""),"application/pdf")</f>
        <v>application/pdf</v>
      </c>
    </row>
    <row r="709">
      <c r="A709" s="156" t="str">
        <f>IFERROR(__xludf.DUMMYFUNCTION("""COMPUTED_VALUE"""),"10.1093/scan/nst154")</f>
        <v>10.1093/scan/nst154</v>
      </c>
      <c r="B709" s="677" t="str">
        <f>IFERROR(__xludf.DUMMYFUNCTION("""COMPUTED_VALUE"""),"https://drive.google.com/file/d/1kxPXoPxh1B_dQ6wBIvAGOLqJkpzkqj_N/view?usp=drivesdk")</f>
        <v>https://drive.google.com/file/d/1kxPXoPxh1B_dQ6wBIvAGOLqJkpzkqj_N/view?usp=drivesdk</v>
      </c>
      <c r="C709" s="156" t="str">
        <f>IFERROR(__xludf.DUMMYFUNCTION("""COMPUTED_VALUE"""),"10.1093--scan--nst154.pdf")</f>
        <v>10.1093--scan--nst154.pdf</v>
      </c>
      <c r="D709" s="156" t="str">
        <f>IFERROR(__xludf.DUMMYFUNCTION("""COMPUTED_VALUE"""),"application/pdf")</f>
        <v>application/pdf</v>
      </c>
    </row>
    <row r="710">
      <c r="A710" s="156" t="str">
        <f>IFERROR(__xludf.DUMMYFUNCTION("""COMPUTED_VALUE"""),"10.1016/j.jecp.2015.12.009")</f>
        <v>10.1016/j.jecp.2015.12.009</v>
      </c>
      <c r="B710" s="677" t="str">
        <f>IFERROR(__xludf.DUMMYFUNCTION("""COMPUTED_VALUE"""),"https://drive.google.com/file/d/10gteTCzwgF2BcALs53_sWbQIe6tWd8-O/view?usp=drivesdk")</f>
        <v>https://drive.google.com/file/d/10gteTCzwgF2BcALs53_sWbQIe6tWd8-O/view?usp=drivesdk</v>
      </c>
      <c r="C710" s="156" t="str">
        <f>IFERROR(__xludf.DUMMYFUNCTION("""COMPUTED_VALUE"""),"10.1016--j.jecp.2015.12.009.pdf")</f>
        <v>10.1016--j.jecp.2015.12.009.pdf</v>
      </c>
      <c r="D710" s="156" t="str">
        <f>IFERROR(__xludf.DUMMYFUNCTION("""COMPUTED_VALUE"""),"application/pdf")</f>
        <v>application/pdf</v>
      </c>
    </row>
    <row r="711">
      <c r="A711" s="156" t="str">
        <f>IFERROR(__xludf.DUMMYFUNCTION("""COMPUTED_VALUE"""),"10.1080/1357650x.2012.660164")</f>
        <v>10.1080/1357650x.2012.660164</v>
      </c>
      <c r="B711" s="677" t="str">
        <f>IFERROR(__xludf.DUMMYFUNCTION("""COMPUTED_VALUE"""),"https://drive.google.com/file/d/1qpBiKLV2mnRoKRlWX9cFNYnviuEXxigI/view?usp=drivesdk")</f>
        <v>https://drive.google.com/file/d/1qpBiKLV2mnRoKRlWX9cFNYnviuEXxigI/view?usp=drivesdk</v>
      </c>
      <c r="C711" s="156" t="str">
        <f>IFERROR(__xludf.DUMMYFUNCTION("""COMPUTED_VALUE"""),"10.1080--1357650X.2012.660164.pdf")</f>
        <v>10.1080--1357650X.2012.660164.pdf</v>
      </c>
      <c r="D711" s="156" t="str">
        <f>IFERROR(__xludf.DUMMYFUNCTION("""COMPUTED_VALUE"""),"application/pdf")</f>
        <v>application/pdf</v>
      </c>
    </row>
    <row r="712">
      <c r="A712" s="156" t="str">
        <f>IFERROR(__xludf.DUMMYFUNCTION("""COMPUTED_VALUE"""),"10.1016/j.biopsycho.2013.09.012")</f>
        <v>10.1016/j.biopsycho.2013.09.012</v>
      </c>
      <c r="B712" s="677" t="str">
        <f>IFERROR(__xludf.DUMMYFUNCTION("""COMPUTED_VALUE"""),"https://drive.google.com/file/d/1lTLmVi8ZhvcuffGz2MuWL8Db2NqCAEPn/view?usp=drivesdk")</f>
        <v>https://drive.google.com/file/d/1lTLmVi8ZhvcuffGz2MuWL8Db2NqCAEPn/view?usp=drivesdk</v>
      </c>
      <c r="C712" s="156" t="str">
        <f>IFERROR(__xludf.DUMMYFUNCTION("""COMPUTED_VALUE"""),"10.1016--j.biopsycho.2013.09.012.pdf")</f>
        <v>10.1016--j.biopsycho.2013.09.012.pdf</v>
      </c>
      <c r="D712" s="156" t="str">
        <f>IFERROR(__xludf.DUMMYFUNCTION("""COMPUTED_VALUE"""),"application/pdf")</f>
        <v>application/pdf</v>
      </c>
    </row>
    <row r="713">
      <c r="A713" s="156" t="str">
        <f>IFERROR(__xludf.DUMMYFUNCTION("""COMPUTED_VALUE"""),"10.1037/a0033323")</f>
        <v>10.1037/a0033323</v>
      </c>
      <c r="B713" s="677" t="str">
        <f>IFERROR(__xludf.DUMMYFUNCTION("""COMPUTED_VALUE"""),"https://drive.google.com/file/d/1nB-Z2mpxjqhJEcov3ZXKmYq-qUKUV3HO/view?usp=drivesdk")</f>
        <v>https://drive.google.com/file/d/1nB-Z2mpxjqhJEcov3ZXKmYq-qUKUV3HO/view?usp=drivesdk</v>
      </c>
      <c r="C713" s="156" t="str">
        <f>IFERROR(__xludf.DUMMYFUNCTION("""COMPUTED_VALUE"""),"10.1037--a0033323.pdf")</f>
        <v>10.1037--a0033323.pdf</v>
      </c>
      <c r="D713" s="156" t="str">
        <f>IFERROR(__xludf.DUMMYFUNCTION("""COMPUTED_VALUE"""),"application/pdf")</f>
        <v>application/pdf</v>
      </c>
    </row>
    <row r="714">
      <c r="A714" s="156" t="str">
        <f>IFERROR(__xludf.DUMMYFUNCTION("""COMPUTED_VALUE"""),"10.1016/j.actpsy.2014.05.008")</f>
        <v>10.1016/j.actpsy.2014.05.008</v>
      </c>
      <c r="B714" s="677" t="str">
        <f>IFERROR(__xludf.DUMMYFUNCTION("""COMPUTED_VALUE"""),"https://drive.google.com/file/d/1vok2QQdbGU6HD1pVNR7T1Kro746lt03X/view?usp=drivesdk")</f>
        <v>https://drive.google.com/file/d/1vok2QQdbGU6HD1pVNR7T1Kro746lt03X/view?usp=drivesdk</v>
      </c>
      <c r="C714" s="156" t="str">
        <f>IFERROR(__xludf.DUMMYFUNCTION("""COMPUTED_VALUE"""),"10.1016--j.actpsy.2014.05.008.pdf")</f>
        <v>10.1016--j.actpsy.2014.05.008.pdf</v>
      </c>
      <c r="D714" s="156" t="str">
        <f>IFERROR(__xludf.DUMMYFUNCTION("""COMPUTED_VALUE"""),"application/pdf")</f>
        <v>application/pdf</v>
      </c>
    </row>
    <row r="715">
      <c r="A715" s="156" t="str">
        <f>IFERROR(__xludf.DUMMYFUNCTION("""COMPUTED_VALUE"""),"10.1093/scan/nsx012")</f>
        <v>10.1093/scan/nsx012</v>
      </c>
      <c r="B715" s="677" t="str">
        <f>IFERROR(__xludf.DUMMYFUNCTION("""COMPUTED_VALUE"""),"https://drive.google.com/file/d/1i5P9CYU3PwRpo0jr51XfLdPcCDi36gaV/view?usp=drivesdk")</f>
        <v>https://drive.google.com/file/d/1i5P9CYU3PwRpo0jr51XfLdPcCDi36gaV/view?usp=drivesdk</v>
      </c>
      <c r="C715" s="156" t="str">
        <f>IFERROR(__xludf.DUMMYFUNCTION("""COMPUTED_VALUE"""),"10.1093--scan--nsx012.pdf")</f>
        <v>10.1093--scan--nsx012.pdf</v>
      </c>
      <c r="D715" s="156" t="str">
        <f>IFERROR(__xludf.DUMMYFUNCTION("""COMPUTED_VALUE"""),"application/pdf")</f>
        <v>application/pdf</v>
      </c>
    </row>
    <row r="716">
      <c r="A716" s="156" t="str">
        <f>IFERROR(__xludf.DUMMYFUNCTION("""COMPUTED_VALUE"""),"10.1080/00223891.2012.718303")</f>
        <v>10.1080/00223891.2012.718303</v>
      </c>
      <c r="B716" s="677" t="str">
        <f>IFERROR(__xludf.DUMMYFUNCTION("""COMPUTED_VALUE"""),"https://drive.google.com/file/d/1jYOkQfP3TGYDwEwf1sTOwhRaEOQGrkMp/view?usp=drivesdk")</f>
        <v>https://drive.google.com/file/d/1jYOkQfP3TGYDwEwf1sTOwhRaEOQGrkMp/view?usp=drivesdk</v>
      </c>
      <c r="C716" s="156" t="str">
        <f>IFERROR(__xludf.DUMMYFUNCTION("""COMPUTED_VALUE"""),"10.1080--00223891.2012.718303.pdf")</f>
        <v>10.1080--00223891.2012.718303.pdf</v>
      </c>
      <c r="D716" s="156" t="str">
        <f>IFERROR(__xludf.DUMMYFUNCTION("""COMPUTED_VALUE"""),"application/pdf")</f>
        <v>application/pdf</v>
      </c>
    </row>
    <row r="717">
      <c r="A717" s="156" t="str">
        <f>IFERROR(__xludf.DUMMYFUNCTION("""COMPUTED_VALUE"""),"10.1037/a0034748")</f>
        <v>10.1037/a0034748</v>
      </c>
      <c r="B717" s="677" t="str">
        <f>IFERROR(__xludf.DUMMYFUNCTION("""COMPUTED_VALUE"""),"https://drive.google.com/file/d/1S96rD1HxVDruOI5KJ_oKUBtEE9eHwU22/view?usp=drivesdk")</f>
        <v>https://drive.google.com/file/d/1S96rD1HxVDruOI5KJ_oKUBtEE9eHwU22/view?usp=drivesdk</v>
      </c>
      <c r="C717" s="156" t="str">
        <f>IFERROR(__xludf.DUMMYFUNCTION("""COMPUTED_VALUE"""),"10.1037--a0034748.pdf")</f>
        <v>10.1037--a0034748.pdf</v>
      </c>
      <c r="D717" s="156" t="str">
        <f>IFERROR(__xludf.DUMMYFUNCTION("""COMPUTED_VALUE"""),"application/pdf")</f>
        <v>application/pdf</v>
      </c>
    </row>
    <row r="718">
      <c r="A718" s="156" t="str">
        <f>IFERROR(__xludf.DUMMYFUNCTION("""COMPUTED_VALUE"""),"10.3758/s13414-015-0849-x")</f>
        <v>10.3758/s13414-015-0849-x</v>
      </c>
      <c r="B718" s="677" t="str">
        <f>IFERROR(__xludf.DUMMYFUNCTION("""COMPUTED_VALUE"""),"https://drive.google.com/file/d/1bp_2nclYAxMrWWnYQbE2xcFn9tbXNZYk/view?usp=drivesdk")</f>
        <v>https://drive.google.com/file/d/1bp_2nclYAxMrWWnYQbE2xcFn9tbXNZYk/view?usp=drivesdk</v>
      </c>
      <c r="C718" s="156" t="str">
        <f>IFERROR(__xludf.DUMMYFUNCTION("""COMPUTED_VALUE"""),"10.3758--s13414-015-0849-x.pdf")</f>
        <v>10.3758--s13414-015-0849-x.pdf</v>
      </c>
      <c r="D718" s="156" t="str">
        <f>IFERROR(__xludf.DUMMYFUNCTION("""COMPUTED_VALUE"""),"application/pdf")</f>
        <v>application/pdf</v>
      </c>
    </row>
    <row r="719">
      <c r="A719" s="156" t="str">
        <f>IFERROR(__xludf.DUMMYFUNCTION("""COMPUTED_VALUE"""),"10.1080/17470218.2012.699077")</f>
        <v>10.1080/17470218.2012.699077</v>
      </c>
      <c r="B719" s="677" t="str">
        <f>IFERROR(__xludf.DUMMYFUNCTION("""COMPUTED_VALUE"""),"https://drive.google.com/file/d/1G50bi0M3DPOF0ssclFtSLrS2Iko73KC5/view?usp=drivesdk")</f>
        <v>https://drive.google.com/file/d/1G50bi0M3DPOF0ssclFtSLrS2Iko73KC5/view?usp=drivesdk</v>
      </c>
      <c r="C719" s="156" t="str">
        <f>IFERROR(__xludf.DUMMYFUNCTION("""COMPUTED_VALUE"""),"10.1080--17470218.2012.699077.pdf")</f>
        <v>10.1080--17470218.2012.699077.pdf</v>
      </c>
      <c r="D719" s="156" t="str">
        <f>IFERROR(__xludf.DUMMYFUNCTION("""COMPUTED_VALUE"""),"application/pdf")</f>
        <v>application/pdf</v>
      </c>
    </row>
    <row r="720">
      <c r="A720" s="156" t="str">
        <f>IFERROR(__xludf.DUMMYFUNCTION("""COMPUTED_VALUE"""),"10.1037/a0030530")</f>
        <v>10.1037/a0030530</v>
      </c>
      <c r="B720" s="677" t="str">
        <f>IFERROR(__xludf.DUMMYFUNCTION("""COMPUTED_VALUE"""),"https://drive.google.com/file/d/1Zg2miz5ZfGSxRDRdlvEB-3_GocuUdLig/view?usp=drivesdk")</f>
        <v>https://drive.google.com/file/d/1Zg2miz5ZfGSxRDRdlvEB-3_GocuUdLig/view?usp=drivesdk</v>
      </c>
      <c r="C720" s="156" t="str">
        <f>IFERROR(__xludf.DUMMYFUNCTION("""COMPUTED_VALUE"""),"10.1037--a0030530.pdf")</f>
        <v>10.1037--a0030530.pdf</v>
      </c>
      <c r="D720" s="156" t="str">
        <f>IFERROR(__xludf.DUMMYFUNCTION("""COMPUTED_VALUE"""),"application/pdf")</f>
        <v>application/pdf</v>
      </c>
    </row>
    <row r="721">
      <c r="A721" s="156" t="str">
        <f>IFERROR(__xludf.DUMMYFUNCTION("""COMPUTED_VALUE"""),"10.1016/j.jecp.2018.11.005")</f>
        <v>10.1016/j.jecp.2018.11.005</v>
      </c>
      <c r="B721" s="677" t="str">
        <f>IFERROR(__xludf.DUMMYFUNCTION("""COMPUTED_VALUE"""),"https://drive.google.com/file/d/1_XYq2gzNMtOz4EDVMTniazopvckfGzjJ/view?usp=drivesdk")</f>
        <v>https://drive.google.com/file/d/1_XYq2gzNMtOz4EDVMTniazopvckfGzjJ/view?usp=drivesdk</v>
      </c>
      <c r="C721" s="156" t="str">
        <f>IFERROR(__xludf.DUMMYFUNCTION("""COMPUTED_VALUE"""),"10.1016--j.jecp.2018.11.005.pdf")</f>
        <v>10.1016--j.jecp.2018.11.005.pdf</v>
      </c>
      <c r="D721" s="156" t="str">
        <f>IFERROR(__xludf.DUMMYFUNCTION("""COMPUTED_VALUE"""),"application/pdf")</f>
        <v>application/pdf</v>
      </c>
    </row>
    <row r="722">
      <c r="A722" s="156" t="str">
        <f>IFERROR(__xludf.DUMMYFUNCTION("""COMPUTED_VALUE"""),"10.1016/j.infbeh.2012.07.022")</f>
        <v>10.1016/j.infbeh.2012.07.022</v>
      </c>
      <c r="B722" s="677" t="str">
        <f>IFERROR(__xludf.DUMMYFUNCTION("""COMPUTED_VALUE"""),"https://drive.google.com/file/d/1j_qr6psHEYuHUR2RWKIYTovcBcRUsxnq/view?usp=drivesdk")</f>
        <v>https://drive.google.com/file/d/1j_qr6psHEYuHUR2RWKIYTovcBcRUsxnq/view?usp=drivesdk</v>
      </c>
      <c r="C722" s="156" t="str">
        <f>IFERROR(__xludf.DUMMYFUNCTION("""COMPUTED_VALUE"""),"10.1016--j.infbeh.2012.07.022.pdf")</f>
        <v>10.1016--j.infbeh.2012.07.022.pdf</v>
      </c>
      <c r="D722" s="156" t="str">
        <f>IFERROR(__xludf.DUMMYFUNCTION("""COMPUTED_VALUE"""),"application/pdf")</f>
        <v>application/pdf</v>
      </c>
    </row>
    <row r="723">
      <c r="A723" s="156" t="str">
        <f>IFERROR(__xludf.DUMMYFUNCTION("""COMPUTED_VALUE"""),"10.1111/j.1467-6494.2012.00799.x")</f>
        <v>10.1111/j.1467-6494.2012.00799.x</v>
      </c>
      <c r="B723" s="677" t="str">
        <f>IFERROR(__xludf.DUMMYFUNCTION("""COMPUTED_VALUE"""),"https://drive.google.com/file/d/1vH3DP8zfMG4shuiJCF_9y7Cw0ICOezrn/view?usp=drivesdk")</f>
        <v>https://drive.google.com/file/d/1vH3DP8zfMG4shuiJCF_9y7Cw0ICOezrn/view?usp=drivesdk</v>
      </c>
      <c r="C723" s="156" t="str">
        <f>IFERROR(__xludf.DUMMYFUNCTION("""COMPUTED_VALUE"""),"10.1111--j.1467-6494.2012.00799.x.pdf")</f>
        <v>10.1111--j.1467-6494.2012.00799.x.pdf</v>
      </c>
      <c r="D723" s="156" t="str">
        <f>IFERROR(__xludf.DUMMYFUNCTION("""COMPUTED_VALUE"""),"application/pdf")</f>
        <v>application/pdf</v>
      </c>
    </row>
    <row r="724">
      <c r="A724" s="156" t="str">
        <f>IFERROR(__xludf.DUMMYFUNCTION("""COMPUTED_VALUE"""),"10.1080/20445911.2020.1805453")</f>
        <v>10.1080/20445911.2020.1805453</v>
      </c>
      <c r="B724" s="677" t="str">
        <f>IFERROR(__xludf.DUMMYFUNCTION("""COMPUTED_VALUE"""),"https://drive.google.com/file/d/1BF0dJSO5c8knpLNfVVuu_sfiQjFXxYT3/view?usp=drivesdk")</f>
        <v>https://drive.google.com/file/d/1BF0dJSO5c8knpLNfVVuu_sfiQjFXxYT3/view?usp=drivesdk</v>
      </c>
      <c r="C724" s="156" t="str">
        <f>IFERROR(__xludf.DUMMYFUNCTION("""COMPUTED_VALUE"""),"10.1080--20445911.2020.1805453.pdf")</f>
        <v>10.1080--20445911.2020.1805453.pdf</v>
      </c>
      <c r="D724" s="156" t="str">
        <f>IFERROR(__xludf.DUMMYFUNCTION("""COMPUTED_VALUE"""),"application/pdf")</f>
        <v>application/pdf</v>
      </c>
    </row>
    <row r="725">
      <c r="A725" s="156" t="str">
        <f>IFERROR(__xludf.DUMMYFUNCTION("""COMPUTED_VALUE"""),"10.1002/per.1938")</f>
        <v>10.1002/per.1938</v>
      </c>
      <c r="B725" s="677" t="str">
        <f>IFERROR(__xludf.DUMMYFUNCTION("""COMPUTED_VALUE"""),"https://drive.google.com/file/d/1CjM559EbUiNEptGp6Glgoplx3X8RjSlS/view?usp=drivesdk")</f>
        <v>https://drive.google.com/file/d/1CjM559EbUiNEptGp6Glgoplx3X8RjSlS/view?usp=drivesdk</v>
      </c>
      <c r="C725" s="156" t="str">
        <f>IFERROR(__xludf.DUMMYFUNCTION("""COMPUTED_VALUE"""),"10.1002--per.1938.pdf")</f>
        <v>10.1002--per.1938.pdf</v>
      </c>
      <c r="D725" s="156" t="str">
        <f>IFERROR(__xludf.DUMMYFUNCTION("""COMPUTED_VALUE"""),"application/pdf")</f>
        <v>application/pdf</v>
      </c>
    </row>
    <row r="726">
      <c r="A726" s="156" t="str">
        <f>IFERROR(__xludf.DUMMYFUNCTION("""COMPUTED_VALUE"""),"10.1016/j.cognition.2019.104116")</f>
        <v>10.1016/j.cognition.2019.104116</v>
      </c>
      <c r="B726" s="677" t="str">
        <f>IFERROR(__xludf.DUMMYFUNCTION("""COMPUTED_VALUE"""),"https://drive.google.com/file/d/1YtT623psftHels9o6FSH2YcTpXR8wPzc/view?usp=drivesdk")</f>
        <v>https://drive.google.com/file/d/1YtT623psftHels9o6FSH2YcTpXR8wPzc/view?usp=drivesdk</v>
      </c>
      <c r="C726" s="156" t="str">
        <f>IFERROR(__xludf.DUMMYFUNCTION("""COMPUTED_VALUE"""),"10.1016--j.cognition.2019.104116.pdf")</f>
        <v>10.1016--j.cognition.2019.104116.pdf</v>
      </c>
      <c r="D726" s="156" t="str">
        <f>IFERROR(__xludf.DUMMYFUNCTION("""COMPUTED_VALUE"""),"application/pdf")</f>
        <v>application/pdf</v>
      </c>
    </row>
    <row r="727">
      <c r="A727" s="156" t="str">
        <f>IFERROR(__xludf.DUMMYFUNCTION("""COMPUTED_VALUE"""),"10.1177/0886260512447579")</f>
        <v>10.1177/0886260512447579</v>
      </c>
      <c r="B727" s="677" t="str">
        <f>IFERROR(__xludf.DUMMYFUNCTION("""COMPUTED_VALUE"""),"https://drive.google.com/file/d/1H1yNOpX5qYdyxL3EO7YnKSYdsCP5nedi/view?usp=drivesdk")</f>
        <v>https://drive.google.com/file/d/1H1yNOpX5qYdyxL3EO7YnKSYdsCP5nedi/view?usp=drivesdk</v>
      </c>
      <c r="C727" s="156" t="str">
        <f>IFERROR(__xludf.DUMMYFUNCTION("""COMPUTED_VALUE"""),"10.1177--0886260512447579.pdf")</f>
        <v>10.1177--0886260512447579.pdf</v>
      </c>
      <c r="D727" s="156" t="str">
        <f>IFERROR(__xludf.DUMMYFUNCTION("""COMPUTED_VALUE"""),"application/pdf")</f>
        <v>application/pdf</v>
      </c>
    </row>
    <row r="728">
      <c r="A728" s="156" t="str">
        <f>IFERROR(__xludf.DUMMYFUNCTION("""COMPUTED_VALUE"""),"10.3389/fpsyg.2020.02107")</f>
        <v>10.3389/fpsyg.2020.02107</v>
      </c>
      <c r="B728" s="677" t="str">
        <f>IFERROR(__xludf.DUMMYFUNCTION("""COMPUTED_VALUE"""),"https://drive.google.com/file/d/1tQOX31Z0STAmSL7mq-TBOSYXoTyXP6U2/view?usp=drivesdk")</f>
        <v>https://drive.google.com/file/d/1tQOX31Z0STAmSL7mq-TBOSYXoTyXP6U2/view?usp=drivesdk</v>
      </c>
      <c r="C728" s="156" t="str">
        <f>IFERROR(__xludf.DUMMYFUNCTION("""COMPUTED_VALUE"""),"10.3389--fpsyg.2020.02107.pdf")</f>
        <v>10.3389--fpsyg.2020.02107.pdf</v>
      </c>
      <c r="D728" s="156" t="str">
        <f>IFERROR(__xludf.DUMMYFUNCTION("""COMPUTED_VALUE"""),"application/pdf")</f>
        <v>application/pdf</v>
      </c>
    </row>
    <row r="729">
      <c r="A729" s="156" t="str">
        <f>IFERROR(__xludf.DUMMYFUNCTION("""COMPUTED_VALUE"""),"10.1111/psyp.13432")</f>
        <v>10.1111/psyp.13432</v>
      </c>
      <c r="B729" s="677" t="str">
        <f>IFERROR(__xludf.DUMMYFUNCTION("""COMPUTED_VALUE"""),"https://drive.google.com/file/d/1pc4nc1BCgN81Y8IDVcxe7maUCWkOXmja/view?usp=drivesdk")</f>
        <v>https://drive.google.com/file/d/1pc4nc1BCgN81Y8IDVcxe7maUCWkOXmja/view?usp=drivesdk</v>
      </c>
      <c r="C729" s="156" t="str">
        <f>IFERROR(__xludf.DUMMYFUNCTION("""COMPUTED_VALUE"""),"10.1111--psyp.13432.pdf")</f>
        <v>10.1111--psyp.13432.pdf</v>
      </c>
      <c r="D729" s="156" t="str">
        <f>IFERROR(__xludf.DUMMYFUNCTION("""COMPUTED_VALUE"""),"application/pdf")</f>
        <v>application/pdf</v>
      </c>
    </row>
    <row r="730">
      <c r="A730" s="156" t="str">
        <f>IFERROR(__xludf.DUMMYFUNCTION("""COMPUTED_VALUE"""),"10.1111/jpr.12158")</f>
        <v>10.1111/jpr.12158</v>
      </c>
      <c r="B730" s="677" t="str">
        <f>IFERROR(__xludf.DUMMYFUNCTION("""COMPUTED_VALUE"""),"https://drive.google.com/file/d/1svdZaj_7y9fS8pedH0ijhA_SznLz_9zc/view?usp=drivesdk")</f>
        <v>https://drive.google.com/file/d/1svdZaj_7y9fS8pedH0ijhA_SznLz_9zc/view?usp=drivesdk</v>
      </c>
      <c r="C730" s="156" t="str">
        <f>IFERROR(__xludf.DUMMYFUNCTION("""COMPUTED_VALUE"""),"10.1111--jpr.12158.pdf")</f>
        <v>10.1111--jpr.12158.pdf</v>
      </c>
      <c r="D730" s="156" t="str">
        <f>IFERROR(__xludf.DUMMYFUNCTION("""COMPUTED_VALUE"""),"application/pdf")</f>
        <v>application/pdf</v>
      </c>
    </row>
    <row r="731">
      <c r="A731" s="156" t="str">
        <f>IFERROR(__xludf.DUMMYFUNCTION("""COMPUTED_VALUE"""),"10.1080/08870446.2013.841911")</f>
        <v>10.1080/08870446.2013.841911</v>
      </c>
      <c r="B731" s="677" t="str">
        <f>IFERROR(__xludf.DUMMYFUNCTION("""COMPUTED_VALUE"""),"https://drive.google.com/file/d/1K14nL3svQS6xWcpuI0cuQ6ubJYuuzAt0/view?usp=drivesdk")</f>
        <v>https://drive.google.com/file/d/1K14nL3svQS6xWcpuI0cuQ6ubJYuuzAt0/view?usp=drivesdk</v>
      </c>
      <c r="C731" s="156" t="str">
        <f>IFERROR(__xludf.DUMMYFUNCTION("""COMPUTED_VALUE"""),"10.1080--08870446.2013.841911.pdf")</f>
        <v>10.1080--08870446.2013.841911.pdf</v>
      </c>
      <c r="D731" s="156" t="str">
        <f>IFERROR(__xludf.DUMMYFUNCTION("""COMPUTED_VALUE"""),"application/pdf")</f>
        <v>application/pdf</v>
      </c>
    </row>
    <row r="732">
      <c r="A732" s="156" t="str">
        <f>IFERROR(__xludf.DUMMYFUNCTION("""COMPUTED_VALUE"""),"10.1080/1068316x.2014.951647")</f>
        <v>10.1080/1068316x.2014.951647</v>
      </c>
      <c r="B732" s="677" t="str">
        <f>IFERROR(__xludf.DUMMYFUNCTION("""COMPUTED_VALUE"""),"https://drive.google.com/file/d/1tXqiMH5JE4gum5NypylhS1eR4ERQrsUW/view?usp=drivesdk")</f>
        <v>https://drive.google.com/file/d/1tXqiMH5JE4gum5NypylhS1eR4ERQrsUW/view?usp=drivesdk</v>
      </c>
      <c r="C732" s="156" t="str">
        <f>IFERROR(__xludf.DUMMYFUNCTION("""COMPUTED_VALUE"""),"10.1080--1068316X.2014.951647.pdf")</f>
        <v>10.1080--1068316X.2014.951647.pdf</v>
      </c>
      <c r="D732" s="156" t="str">
        <f>IFERROR(__xludf.DUMMYFUNCTION("""COMPUTED_VALUE"""),"application/pdf")</f>
        <v>application/pdf</v>
      </c>
    </row>
    <row r="733">
      <c r="A733" s="156" t="str">
        <f>IFERROR(__xludf.DUMMYFUNCTION("""COMPUTED_VALUE"""),"10.1016/j.paid.2015.04.020")</f>
        <v>10.1016/j.paid.2015.04.020</v>
      </c>
      <c r="B733" s="677" t="str">
        <f>IFERROR(__xludf.DUMMYFUNCTION("""COMPUTED_VALUE"""),"https://drive.google.com/file/d/1RK2oKtV1Gyr7SWeCPNX-eKlkzav9LMrY/view?usp=drivesdk")</f>
        <v>https://drive.google.com/file/d/1RK2oKtV1Gyr7SWeCPNX-eKlkzav9LMrY/view?usp=drivesdk</v>
      </c>
      <c r="C733" s="156" t="str">
        <f>IFERROR(__xludf.DUMMYFUNCTION("""COMPUTED_VALUE"""),"10.1016--j.paid.2015.04.020.pdf")</f>
        <v>10.1016--j.paid.2015.04.020.pdf</v>
      </c>
      <c r="D733" s="156" t="str">
        <f>IFERROR(__xludf.DUMMYFUNCTION("""COMPUTED_VALUE"""),"application/pdf")</f>
        <v>application/pdf</v>
      </c>
    </row>
    <row r="734">
      <c r="A734" s="156" t="str">
        <f>IFERROR(__xludf.DUMMYFUNCTION("""COMPUTED_VALUE"""),"10.3758/s13421-019-00958-w")</f>
        <v>10.3758/s13421-019-00958-w</v>
      </c>
      <c r="B734" s="677" t="str">
        <f>IFERROR(__xludf.DUMMYFUNCTION("""COMPUTED_VALUE"""),"https://drive.google.com/file/d/1tIAGg_xu-FbshgCqRYXbob9d6h9xwTbE/view?usp=drivesdk")</f>
        <v>https://drive.google.com/file/d/1tIAGg_xu-FbshgCqRYXbob9d6h9xwTbE/view?usp=drivesdk</v>
      </c>
      <c r="C734" s="156" t="str">
        <f>IFERROR(__xludf.DUMMYFUNCTION("""COMPUTED_VALUE"""),"10.3758--s13421-019-00958-w.pdf")</f>
        <v>10.3758--s13421-019-00958-w.pdf</v>
      </c>
      <c r="D734" s="156" t="str">
        <f>IFERROR(__xludf.DUMMYFUNCTION("""COMPUTED_VALUE"""),"application/pdf")</f>
        <v>application/pdf</v>
      </c>
    </row>
    <row r="735">
      <c r="A735" s="156" t="str">
        <f>IFERROR(__xludf.DUMMYFUNCTION("""COMPUTED_VALUE"""),"10.3758/s13421-018-0805-9")</f>
        <v>10.3758/s13421-018-0805-9</v>
      </c>
      <c r="B735" s="677" t="str">
        <f>IFERROR(__xludf.DUMMYFUNCTION("""COMPUTED_VALUE"""),"https://drive.google.com/file/d/1GUi9PGmMS7Gtbf_FkIRgFe9od0B98yHT/view?usp=drivesdk")</f>
        <v>https://drive.google.com/file/d/1GUi9PGmMS7Gtbf_FkIRgFe9od0B98yHT/view?usp=drivesdk</v>
      </c>
      <c r="C735" s="156" t="str">
        <f>IFERROR(__xludf.DUMMYFUNCTION("""COMPUTED_VALUE"""),"10.3758--s13421-018-0805-9.pdf")</f>
        <v>10.3758--s13421-018-0805-9.pdf</v>
      </c>
      <c r="D735" s="156" t="str">
        <f>IFERROR(__xludf.DUMMYFUNCTION("""COMPUTED_VALUE"""),"application/pdf")</f>
        <v>application/pdf</v>
      </c>
    </row>
    <row r="736">
      <c r="A736" s="156" t="str">
        <f>IFERROR(__xludf.DUMMYFUNCTION("""COMPUTED_VALUE"""),"10.3389/fpsyg.2019.01863")</f>
        <v>10.3389/fpsyg.2019.01863</v>
      </c>
      <c r="B736" s="677" t="str">
        <f>IFERROR(__xludf.DUMMYFUNCTION("""COMPUTED_VALUE"""),"https://drive.google.com/file/d/1CYD24jISw8ep7FvRbGYJvaUNG9PIp-9g/view?usp=drivesdk")</f>
        <v>https://drive.google.com/file/d/1CYD24jISw8ep7FvRbGYJvaUNG9PIp-9g/view?usp=drivesdk</v>
      </c>
      <c r="C736" s="156" t="str">
        <f>IFERROR(__xludf.DUMMYFUNCTION("""COMPUTED_VALUE"""),"10.3389--fpsyg.2019.01863.pdf")</f>
        <v>10.3389--fpsyg.2019.01863.pdf</v>
      </c>
      <c r="D736" s="156" t="str">
        <f>IFERROR(__xludf.DUMMYFUNCTION("""COMPUTED_VALUE"""),"application/pdf")</f>
        <v>application/pdf</v>
      </c>
    </row>
    <row r="737">
      <c r="A737" s="156" t="str">
        <f>IFERROR(__xludf.DUMMYFUNCTION("""COMPUTED_VALUE"""),"10.2466/20.22.pms.114.1.185-188")</f>
        <v>10.2466/20.22.pms.114.1.185-188</v>
      </c>
      <c r="B737" s="677" t="str">
        <f>IFERROR(__xludf.DUMMYFUNCTION("""COMPUTED_VALUE"""),"https://drive.google.com/file/d/19wmJxGTBjUjFYD3wWH-3wyZBpZdWuDFa/view?usp=drivesdk")</f>
        <v>https://drive.google.com/file/d/19wmJxGTBjUjFYD3wWH-3wyZBpZdWuDFa/view?usp=drivesdk</v>
      </c>
      <c r="C737" s="156" t="str">
        <f>IFERROR(__xludf.DUMMYFUNCTION("""COMPUTED_VALUE"""),"10.2466--20.22.PMS.114.1.185-188.pdf")</f>
        <v>10.2466--20.22.PMS.114.1.185-188.pdf</v>
      </c>
      <c r="D737" s="156" t="str">
        <f>IFERROR(__xludf.DUMMYFUNCTION("""COMPUTED_VALUE"""),"application/pdf")</f>
        <v>application/pdf</v>
      </c>
    </row>
    <row r="738">
      <c r="A738" s="156" t="str">
        <f>IFERROR(__xludf.DUMMYFUNCTION("""COMPUTED_VALUE"""),"10.1177/1948550618808863")</f>
        <v>10.1177/1948550618808863</v>
      </c>
      <c r="B738" s="677" t="str">
        <f>IFERROR(__xludf.DUMMYFUNCTION("""COMPUTED_VALUE"""),"https://drive.google.com/file/d/1DV7EYoG14q6yEKU-j4L4Yr58W5W37NJa/view?usp=drivesdk")</f>
        <v>https://drive.google.com/file/d/1DV7EYoG14q6yEKU-j4L4Yr58W5W37NJa/view?usp=drivesdk</v>
      </c>
      <c r="C738" s="156" t="str">
        <f>IFERROR(__xludf.DUMMYFUNCTION("""COMPUTED_VALUE"""),"10.1177--1948550618808863.pdf")</f>
        <v>10.1177--1948550618808863.pdf</v>
      </c>
      <c r="D738" s="156" t="str">
        <f>IFERROR(__xludf.DUMMYFUNCTION("""COMPUTED_VALUE"""),"application/pdf")</f>
        <v>application/pdf</v>
      </c>
    </row>
    <row r="739">
      <c r="A739" s="156" t="str">
        <f>IFERROR(__xludf.DUMMYFUNCTION("""COMPUTED_VALUE"""),"10.1177/2515245920927643")</f>
        <v>10.1177/2515245920927643</v>
      </c>
      <c r="B739" s="677" t="str">
        <f>IFERROR(__xludf.DUMMYFUNCTION("""COMPUTED_VALUE"""),"https://drive.google.com/file/d/1TRcOw82zINnVGPZODLYBn7wB0bohVPCn/view?usp=drivesdk")</f>
        <v>https://drive.google.com/file/d/1TRcOw82zINnVGPZODLYBn7wB0bohVPCn/view?usp=drivesdk</v>
      </c>
      <c r="C739" s="156" t="str">
        <f>IFERROR(__xludf.DUMMYFUNCTION("""COMPUTED_VALUE"""),"10.1177--2515245920927643.pdf")</f>
        <v>10.1177--2515245920927643.pdf</v>
      </c>
      <c r="D739" s="156" t="str">
        <f>IFERROR(__xludf.DUMMYFUNCTION("""COMPUTED_VALUE"""),"application/pdf")</f>
        <v>application/pdf</v>
      </c>
    </row>
    <row r="740">
      <c r="A740" s="156" t="str">
        <f>IFERROR(__xludf.DUMMYFUNCTION("""COMPUTED_VALUE"""),"10.1080/07347332.2015.1082169")</f>
        <v>10.1080/07347332.2015.1082169</v>
      </c>
      <c r="B740" s="677" t="str">
        <f>IFERROR(__xludf.DUMMYFUNCTION("""COMPUTED_VALUE"""),"https://drive.google.com/file/d/1qZR_Iebw6hcHhVN17GWzDkr-XMum0Mo6/view?usp=drivesdk")</f>
        <v>https://drive.google.com/file/d/1qZR_Iebw6hcHhVN17GWzDkr-XMum0Mo6/view?usp=drivesdk</v>
      </c>
      <c r="C740" s="156" t="str">
        <f>IFERROR(__xludf.DUMMYFUNCTION("""COMPUTED_VALUE"""),"10.1080--07347332.2015.1082169.pdf")</f>
        <v>10.1080--07347332.2015.1082169.pdf</v>
      </c>
      <c r="D740" s="156" t="str">
        <f>IFERROR(__xludf.DUMMYFUNCTION("""COMPUTED_VALUE"""),"application/pdf")</f>
        <v>application/pdf</v>
      </c>
    </row>
    <row r="741">
      <c r="A741" s="156" t="str">
        <f>IFERROR(__xludf.DUMMYFUNCTION("""COMPUTED_VALUE"""),"10.1177/0146167213490963")</f>
        <v>10.1177/0146167213490963</v>
      </c>
      <c r="B741" s="677" t="str">
        <f>IFERROR(__xludf.DUMMYFUNCTION("""COMPUTED_VALUE"""),"https://drive.google.com/file/d/1z_35AIPiXek3PFjOOuDmdkQoF2wUxda5/view?usp=drivesdk")</f>
        <v>https://drive.google.com/file/d/1z_35AIPiXek3PFjOOuDmdkQoF2wUxda5/view?usp=drivesdk</v>
      </c>
      <c r="C741" s="156" t="str">
        <f>IFERROR(__xludf.DUMMYFUNCTION("""COMPUTED_VALUE"""),"10.1177--0146167213490963.pdf")</f>
        <v>10.1177--0146167213490963.pdf</v>
      </c>
      <c r="D741" s="156" t="str">
        <f>IFERROR(__xludf.DUMMYFUNCTION("""COMPUTED_VALUE"""),"application/pdf")</f>
        <v>application/pdf</v>
      </c>
    </row>
    <row r="742">
      <c r="A742" s="156" t="str">
        <f>IFERROR(__xludf.DUMMYFUNCTION("""COMPUTED_VALUE"""),"10.1037/a0038159")</f>
        <v>10.1037/a0038159</v>
      </c>
      <c r="B742" s="677" t="str">
        <f>IFERROR(__xludf.DUMMYFUNCTION("""COMPUTED_VALUE"""),"https://drive.google.com/file/d/1xp50Bkg-yRDZycvgmgYrHpJtXj7H2YJ-/view?usp=drivesdk")</f>
        <v>https://drive.google.com/file/d/1xp50Bkg-yRDZycvgmgYrHpJtXj7H2YJ-/view?usp=drivesdk</v>
      </c>
      <c r="C742" s="156" t="str">
        <f>IFERROR(__xludf.DUMMYFUNCTION("""COMPUTED_VALUE"""),"10.1037--a0038159.pdf")</f>
        <v>10.1037--a0038159.pdf</v>
      </c>
      <c r="D742" s="156" t="str">
        <f>IFERROR(__xludf.DUMMYFUNCTION("""COMPUTED_VALUE"""),"application/pdf")</f>
        <v>application/pdf</v>
      </c>
    </row>
    <row r="743">
      <c r="A743" s="156" t="str">
        <f>IFERROR(__xludf.DUMMYFUNCTION("""COMPUTED_VALUE"""),"10.1016/j.lindif.2015.03.029")</f>
        <v>10.1016/j.lindif.2015.03.029</v>
      </c>
      <c r="B743" s="677" t="str">
        <f>IFERROR(__xludf.DUMMYFUNCTION("""COMPUTED_VALUE"""),"https://drive.google.com/file/d/1AVV6-Q7D8JA_P53Os1-NpbSAM12e2oGQ/view?usp=drivesdk")</f>
        <v>https://drive.google.com/file/d/1AVV6-Q7D8JA_P53Os1-NpbSAM12e2oGQ/view?usp=drivesdk</v>
      </c>
      <c r="C743" s="156" t="str">
        <f>IFERROR(__xludf.DUMMYFUNCTION("""COMPUTED_VALUE"""),"10.1016--j.lindif.2015.03.029.pdf")</f>
        <v>10.1016--j.lindif.2015.03.029.pdf</v>
      </c>
      <c r="D743" s="156" t="str">
        <f>IFERROR(__xludf.DUMMYFUNCTION("""COMPUTED_VALUE"""),"application/pdf")</f>
        <v>application/pdf</v>
      </c>
    </row>
    <row r="744">
      <c r="A744" s="156" t="str">
        <f>IFERROR(__xludf.DUMMYFUNCTION("""COMPUTED_VALUE"""),"10.1016/j.paid.2014.12.045")</f>
        <v>10.1016/j.paid.2014.12.045</v>
      </c>
      <c r="B744" s="677" t="str">
        <f>IFERROR(__xludf.DUMMYFUNCTION("""COMPUTED_VALUE"""),"https://drive.google.com/file/d/1PUIy03yto_1SPuGImDvq6xf2WbqVDRPJ/view?usp=drivesdk")</f>
        <v>https://drive.google.com/file/d/1PUIy03yto_1SPuGImDvq6xf2WbqVDRPJ/view?usp=drivesdk</v>
      </c>
      <c r="C744" s="156" t="str">
        <f>IFERROR(__xludf.DUMMYFUNCTION("""COMPUTED_VALUE"""),"10.1016--j.paid.2014.12.045.pdf")</f>
        <v>10.1016--j.paid.2014.12.045.pdf</v>
      </c>
      <c r="D744" s="156" t="str">
        <f>IFERROR(__xludf.DUMMYFUNCTION("""COMPUTED_VALUE"""),"application/pdf")</f>
        <v>application/pdf</v>
      </c>
    </row>
    <row r="745">
      <c r="A745" s="156" t="str">
        <f>IFERROR(__xludf.DUMMYFUNCTION("""COMPUTED_VALUE"""),"10.1007/s40732-019-00358-1")</f>
        <v>10.1007/s40732-019-00358-1</v>
      </c>
      <c r="B745" s="677" t="str">
        <f>IFERROR(__xludf.DUMMYFUNCTION("""COMPUTED_VALUE"""),"https://drive.google.com/file/d/1ay9nixEy-e_JZrGaJ0O0utLjDBfwCO1N/view?usp=drivesdk")</f>
        <v>https://drive.google.com/file/d/1ay9nixEy-e_JZrGaJ0O0utLjDBfwCO1N/view?usp=drivesdk</v>
      </c>
      <c r="C745" s="156" t="str">
        <f>IFERROR(__xludf.DUMMYFUNCTION("""COMPUTED_VALUE"""),"10.1007--s40732-019-00358-1.pdf")</f>
        <v>10.1007--s40732-019-00358-1.pdf</v>
      </c>
      <c r="D745" s="156" t="str">
        <f>IFERROR(__xludf.DUMMYFUNCTION("""COMPUTED_VALUE"""),"application/pdf")</f>
        <v>application/pdf</v>
      </c>
    </row>
    <row r="746">
      <c r="A746" s="156" t="str">
        <f>IFERROR(__xludf.DUMMYFUNCTION("""COMPUTED_VALUE"""),"10.1007/s10608-020-10099-z")</f>
        <v>10.1007/s10608-020-10099-z</v>
      </c>
      <c r="B746" s="677" t="str">
        <f>IFERROR(__xludf.DUMMYFUNCTION("""COMPUTED_VALUE"""),"https://drive.google.com/file/d/1RySpFPc0eRHzms6sd6jkNeYgRvNmnjf9/view?usp=drivesdk")</f>
        <v>https://drive.google.com/file/d/1RySpFPc0eRHzms6sd6jkNeYgRvNmnjf9/view?usp=drivesdk</v>
      </c>
      <c r="C746" s="156" t="str">
        <f>IFERROR(__xludf.DUMMYFUNCTION("""COMPUTED_VALUE"""),"10.1007--s10608-020-10099-z.pdf")</f>
        <v>10.1007--s10608-020-10099-z.pdf</v>
      </c>
      <c r="D746" s="156" t="str">
        <f>IFERROR(__xludf.DUMMYFUNCTION("""COMPUTED_VALUE"""),"application/pdf")</f>
        <v>application/pdf</v>
      </c>
    </row>
    <row r="747">
      <c r="A747" s="156" t="str">
        <f>IFERROR(__xludf.DUMMYFUNCTION("""COMPUTED_VALUE"""),"10.1002/jaba.593")</f>
        <v>10.1002/jaba.593</v>
      </c>
      <c r="B747" s="677" t="str">
        <f>IFERROR(__xludf.DUMMYFUNCTION("""COMPUTED_VALUE"""),"https://drive.google.com/file/d/1vZfwwsrrwxCWk1DVduqI02M5iRoBi-bW/view?usp=drivesdk")</f>
        <v>https://drive.google.com/file/d/1vZfwwsrrwxCWk1DVduqI02M5iRoBi-bW/view?usp=drivesdk</v>
      </c>
      <c r="C747" s="156" t="str">
        <f>IFERROR(__xludf.DUMMYFUNCTION("""COMPUTED_VALUE"""),"10.1002--jaba.593.pdf")</f>
        <v>10.1002--jaba.593.pdf</v>
      </c>
      <c r="D747" s="156" t="str">
        <f>IFERROR(__xludf.DUMMYFUNCTION("""COMPUTED_VALUE"""),"application/pdf")</f>
        <v>application/pdf</v>
      </c>
    </row>
    <row r="748">
      <c r="A748" s="156" t="str">
        <f>IFERROR(__xludf.DUMMYFUNCTION("""COMPUTED_VALUE"""),"10.1002/ejsp.2172")</f>
        <v>10.1002/ejsp.2172</v>
      </c>
      <c r="B748" s="677" t="str">
        <f>IFERROR(__xludf.DUMMYFUNCTION("""COMPUTED_VALUE"""),"https://drive.google.com/file/d/1CvM7xnkkkbeaE-fXoQSrG0lcN_3ZfOWP/view?usp=drivesdk")</f>
        <v>https://drive.google.com/file/d/1CvM7xnkkkbeaE-fXoQSrG0lcN_3ZfOWP/view?usp=drivesdk</v>
      </c>
      <c r="C748" s="156" t="str">
        <f>IFERROR(__xludf.DUMMYFUNCTION("""COMPUTED_VALUE"""),"10.1002--ejsp.2172.pdf")</f>
        <v>10.1002--ejsp.2172.pdf</v>
      </c>
      <c r="D748" s="156" t="str">
        <f>IFERROR(__xludf.DUMMYFUNCTION("""COMPUTED_VALUE"""),"application/pdf")</f>
        <v>application/pdf</v>
      </c>
    </row>
    <row r="749">
      <c r="A749" s="156" t="str">
        <f>IFERROR(__xludf.DUMMYFUNCTION("""COMPUTED_VALUE"""),"10.1016/j.paid.2019.04.001")</f>
        <v>10.1016/j.paid.2019.04.001</v>
      </c>
      <c r="B749" s="677" t="str">
        <f>IFERROR(__xludf.DUMMYFUNCTION("""COMPUTED_VALUE"""),"https://drive.google.com/file/d/10cy62BuKk3ZsJEI6KY-SKtbl8hBswkhC/view?usp=drivesdk")</f>
        <v>https://drive.google.com/file/d/10cy62BuKk3ZsJEI6KY-SKtbl8hBswkhC/view?usp=drivesdk</v>
      </c>
      <c r="C749" s="156" t="str">
        <f>IFERROR(__xludf.DUMMYFUNCTION("""COMPUTED_VALUE"""),"10.1016--j.paid.2019.04.001.pdf")</f>
        <v>10.1016--j.paid.2019.04.001.pdf</v>
      </c>
      <c r="D749" s="156" t="str">
        <f>IFERROR(__xludf.DUMMYFUNCTION("""COMPUTED_VALUE"""),"application/pdf")</f>
        <v>application/pdf</v>
      </c>
    </row>
    <row r="750">
      <c r="A750" s="156" t="str">
        <f>IFERROR(__xludf.DUMMYFUNCTION("""COMPUTED_VALUE"""),"10.1002/ijop.12632")</f>
        <v>10.1002/ijop.12632</v>
      </c>
      <c r="B750" s="677" t="str">
        <f>IFERROR(__xludf.DUMMYFUNCTION("""COMPUTED_VALUE"""),"https://drive.google.com/file/d/1KPkGhJ36SscDhiJY_xrs9MK5rlZ-LdFN/view?usp=drivesdk")</f>
        <v>https://drive.google.com/file/d/1KPkGhJ36SscDhiJY_xrs9MK5rlZ-LdFN/view?usp=drivesdk</v>
      </c>
      <c r="C750" s="156" t="str">
        <f>IFERROR(__xludf.DUMMYFUNCTION("""COMPUTED_VALUE"""),"10.1002--ijop.12632.pdf")</f>
        <v>10.1002--ijop.12632.pdf</v>
      </c>
      <c r="D750" s="156" t="str">
        <f>IFERROR(__xludf.DUMMYFUNCTION("""COMPUTED_VALUE"""),"application/pdf")</f>
        <v>application/pdf</v>
      </c>
    </row>
    <row r="751">
      <c r="A751" s="156" t="str">
        <f>IFERROR(__xludf.DUMMYFUNCTION("""COMPUTED_VALUE"""),"10.1002/ejsp.2005")</f>
        <v>10.1002/ejsp.2005</v>
      </c>
      <c r="B751" s="677" t="str">
        <f>IFERROR(__xludf.DUMMYFUNCTION("""COMPUTED_VALUE"""),"https://drive.google.com/file/d/1_-jYWchTjICQBAa7ThgQUUY17j_-OYjh/view?usp=drivesdk")</f>
        <v>https://drive.google.com/file/d/1_-jYWchTjICQBAa7ThgQUUY17j_-OYjh/view?usp=drivesdk</v>
      </c>
      <c r="C751" s="156" t="str">
        <f>IFERROR(__xludf.DUMMYFUNCTION("""COMPUTED_VALUE"""),"10.1002--ejsp.2005.pdf")</f>
        <v>10.1002--ejsp.2005.pdf</v>
      </c>
      <c r="D751" s="156" t="str">
        <f>IFERROR(__xludf.DUMMYFUNCTION("""COMPUTED_VALUE"""),"application/pdf")</f>
        <v>application/pdf</v>
      </c>
    </row>
    <row r="752">
      <c r="A752" s="156" t="str">
        <f>IFERROR(__xludf.DUMMYFUNCTION("""COMPUTED_VALUE"""),"10.1177/2041669518755806")</f>
        <v>10.1177/2041669518755806</v>
      </c>
      <c r="B752" s="677" t="str">
        <f>IFERROR(__xludf.DUMMYFUNCTION("""COMPUTED_VALUE"""),"https://drive.google.com/file/d/1GTXEdJUuJb21E7LHdMQXoipETCucGvJb/view?usp=drivesdk")</f>
        <v>https://drive.google.com/file/d/1GTXEdJUuJb21E7LHdMQXoipETCucGvJb/view?usp=drivesdk</v>
      </c>
      <c r="C752" s="156" t="str">
        <f>IFERROR(__xludf.DUMMYFUNCTION("""COMPUTED_VALUE"""),"10.1177--2041669518755806.pdf")</f>
        <v>10.1177--2041669518755806.pdf</v>
      </c>
      <c r="D752" s="156" t="str">
        <f>IFERROR(__xludf.DUMMYFUNCTION("""COMPUTED_VALUE"""),"application/pdf")</f>
        <v>application/pdf</v>
      </c>
    </row>
    <row r="753">
      <c r="A753" s="156" t="str">
        <f>IFERROR(__xludf.DUMMYFUNCTION("""COMPUTED_VALUE"""),"10.1016/j.cogdev.2017.10.004")</f>
        <v>10.1016/j.cogdev.2017.10.004</v>
      </c>
      <c r="B753" s="677" t="str">
        <f>IFERROR(__xludf.DUMMYFUNCTION("""COMPUTED_VALUE"""),"https://drive.google.com/file/d/1ocNZeMn9M_WZa1vXf02DG5U03OQ_aZtw/view?usp=drivesdk")</f>
        <v>https://drive.google.com/file/d/1ocNZeMn9M_WZa1vXf02DG5U03OQ_aZtw/view?usp=drivesdk</v>
      </c>
      <c r="C753" s="156" t="str">
        <f>IFERROR(__xludf.DUMMYFUNCTION("""COMPUTED_VALUE"""),"10.1016--j.cogdev.2017.10.004.pdf")</f>
        <v>10.1016--j.cogdev.2017.10.004.pdf</v>
      </c>
      <c r="D753" s="156" t="str">
        <f>IFERROR(__xludf.DUMMYFUNCTION("""COMPUTED_VALUE"""),"application/pdf")</f>
        <v>application/pdf</v>
      </c>
    </row>
    <row r="754">
      <c r="A754" s="156" t="str">
        <f>IFERROR(__xludf.DUMMYFUNCTION("""COMPUTED_VALUE"""),"10.1097/psy.0b013e3181fdd074")</f>
        <v>10.1097/psy.0b013e3181fdd074</v>
      </c>
      <c r="B754" s="677" t="str">
        <f>IFERROR(__xludf.DUMMYFUNCTION("""COMPUTED_VALUE"""),"https://drive.google.com/file/d/1d9hveUFzxbKToR4lm23SLZP00kGrsbaz/view?usp=drivesdk")</f>
        <v>https://drive.google.com/file/d/1d9hveUFzxbKToR4lm23SLZP00kGrsbaz/view?usp=drivesdk</v>
      </c>
      <c r="C754" s="156" t="str">
        <f>IFERROR(__xludf.DUMMYFUNCTION("""COMPUTED_VALUE"""),"10.1097--PSY.0b013e3181fdd074.pdf")</f>
        <v>10.1097--PSY.0b013e3181fdd074.pdf</v>
      </c>
      <c r="D754" s="156" t="str">
        <f>IFERROR(__xludf.DUMMYFUNCTION("""COMPUTED_VALUE"""),"application/pdf")</f>
        <v>application/pdf</v>
      </c>
    </row>
    <row r="755">
      <c r="A755" s="156" t="str">
        <f>IFERROR(__xludf.DUMMYFUNCTION("""COMPUTED_VALUE"""),"10.1080/00223891.2012.700465")</f>
        <v>10.1080/00223891.2012.700465</v>
      </c>
      <c r="B755" s="677" t="str">
        <f>IFERROR(__xludf.DUMMYFUNCTION("""COMPUTED_VALUE"""),"https://drive.google.com/file/d/1Ij9uqCjnLFPAxCNOIiEjRrqXsGdqUerY/view?usp=drivesdk")</f>
        <v>https://drive.google.com/file/d/1Ij9uqCjnLFPAxCNOIiEjRrqXsGdqUerY/view?usp=drivesdk</v>
      </c>
      <c r="C755" s="156" t="str">
        <f>IFERROR(__xludf.DUMMYFUNCTION("""COMPUTED_VALUE"""),"10.1080--00223891.2012.700465.pdf")</f>
        <v>10.1080--00223891.2012.700465.pdf</v>
      </c>
      <c r="D755" s="156" t="str">
        <f>IFERROR(__xludf.DUMMYFUNCTION("""COMPUTED_VALUE"""),"application/pdf")</f>
        <v>application/pdf</v>
      </c>
    </row>
    <row r="756">
      <c r="A756" s="156" t="str">
        <f>IFERROR(__xludf.DUMMYFUNCTION("""COMPUTED_VALUE"""),"10.1111/psyp.12452")</f>
        <v>10.1111/psyp.12452</v>
      </c>
      <c r="B756" s="677" t="str">
        <f>IFERROR(__xludf.DUMMYFUNCTION("""COMPUTED_VALUE"""),"https://drive.google.com/file/d/1U5T2MAj5_QQykM-pybdbnGHkCMfgC2Ip/view?usp=drivesdk")</f>
        <v>https://drive.google.com/file/d/1U5T2MAj5_QQykM-pybdbnGHkCMfgC2Ip/view?usp=drivesdk</v>
      </c>
      <c r="C756" s="156" t="str">
        <f>IFERROR(__xludf.DUMMYFUNCTION("""COMPUTED_VALUE"""),"10.1111--psyp.12452.pdf")</f>
        <v>10.1111--psyp.12452.pdf</v>
      </c>
      <c r="D756" s="156" t="str">
        <f>IFERROR(__xludf.DUMMYFUNCTION("""COMPUTED_VALUE"""),"application/pdf")</f>
        <v>application/pdf</v>
      </c>
    </row>
    <row r="757">
      <c r="A757" s="156" t="str">
        <f>IFERROR(__xludf.DUMMYFUNCTION("""COMPUTED_VALUE"""),"10.1111/psyp.13061")</f>
        <v>10.1111/psyp.13061</v>
      </c>
      <c r="B757" s="677" t="str">
        <f>IFERROR(__xludf.DUMMYFUNCTION("""COMPUTED_VALUE"""),"https://drive.google.com/file/d/1m7NCe1rITz2NaoxpTRj7yj9gwrw-G2Cg/view?usp=drivesdk")</f>
        <v>https://drive.google.com/file/d/1m7NCe1rITz2NaoxpTRj7yj9gwrw-G2Cg/view?usp=drivesdk</v>
      </c>
      <c r="C757" s="156" t="str">
        <f>IFERROR(__xludf.DUMMYFUNCTION("""COMPUTED_VALUE"""),"10.1111--psyp.13061.pdf")</f>
        <v>10.1111--psyp.13061.pdf</v>
      </c>
      <c r="D757" s="156" t="str">
        <f>IFERROR(__xludf.DUMMYFUNCTION("""COMPUTED_VALUE"""),"application/pdf")</f>
        <v>application/pdf</v>
      </c>
    </row>
    <row r="758">
      <c r="A758" s="156" t="str">
        <f>IFERROR(__xludf.DUMMYFUNCTION("""COMPUTED_VALUE"""),"10.1101/lm.047282.117")</f>
        <v>10.1101/lm.047282.117</v>
      </c>
      <c r="B758" s="677" t="str">
        <f>IFERROR(__xludf.DUMMYFUNCTION("""COMPUTED_VALUE"""),"https://drive.google.com/file/d/1KweztB2AqdouHTLTx3ynCIVvh2Xd1bRn/view?usp=drivesdk")</f>
        <v>https://drive.google.com/file/d/1KweztB2AqdouHTLTx3ynCIVvh2Xd1bRn/view?usp=drivesdk</v>
      </c>
      <c r="C758" s="156" t="str">
        <f>IFERROR(__xludf.DUMMYFUNCTION("""COMPUTED_VALUE"""),"10.1101--lm.047282.117.pdf")</f>
        <v>10.1101--lm.047282.117.pdf</v>
      </c>
      <c r="D758" s="156" t="str">
        <f>IFERROR(__xludf.DUMMYFUNCTION("""COMPUTED_VALUE"""),"application/pdf")</f>
        <v>application/pdf</v>
      </c>
    </row>
    <row r="759">
      <c r="A759" s="156" t="str">
        <f>IFERROR(__xludf.DUMMYFUNCTION("""COMPUTED_VALUE"""),"10.1080/10720537.2017.1351013")</f>
        <v>10.1080/10720537.2017.1351013</v>
      </c>
      <c r="B759" s="677" t="str">
        <f>IFERROR(__xludf.DUMMYFUNCTION("""COMPUTED_VALUE"""),"https://drive.google.com/file/d/1NTKp4-GsdbGfJAQ5HINv60Kli5U7BPFK/view?usp=drivesdk")</f>
        <v>https://drive.google.com/file/d/1NTKp4-GsdbGfJAQ5HINv60Kli5U7BPFK/view?usp=drivesdk</v>
      </c>
      <c r="C759" s="156" t="str">
        <f>IFERROR(__xludf.DUMMYFUNCTION("""COMPUTED_VALUE"""),"10.1080--10720537.2017.1351013.pdf")</f>
        <v>10.1080--10720537.2017.1351013.pdf</v>
      </c>
      <c r="D759" s="156" t="str">
        <f>IFERROR(__xludf.DUMMYFUNCTION("""COMPUTED_VALUE"""),"application/pdf")</f>
        <v>application/pdf</v>
      </c>
    </row>
    <row r="760">
      <c r="A760" s="156" t="str">
        <f>IFERROR(__xludf.DUMMYFUNCTION("""COMPUTED_VALUE"""),"10.1080/10615806.2020.1763140")</f>
        <v>10.1080/10615806.2020.1763140</v>
      </c>
      <c r="B760" s="677" t="str">
        <f>IFERROR(__xludf.DUMMYFUNCTION("""COMPUTED_VALUE"""),"https://drive.google.com/file/d/16N0plOadQAJX7YbKVm1wHb5IuJ9Cf9kY/view?usp=drivesdk")</f>
        <v>https://drive.google.com/file/d/16N0plOadQAJX7YbKVm1wHb5IuJ9Cf9kY/view?usp=drivesdk</v>
      </c>
      <c r="C760" s="156" t="str">
        <f>IFERROR(__xludf.DUMMYFUNCTION("""COMPUTED_VALUE"""),"10.1080--10615806.2020.1763140.pdf")</f>
        <v>10.1080--10615806.2020.1763140.pdf</v>
      </c>
      <c r="D760" s="156" t="str">
        <f>IFERROR(__xludf.DUMMYFUNCTION("""COMPUTED_VALUE"""),"application/pdf")</f>
        <v>application/pdf</v>
      </c>
    </row>
    <row r="761">
      <c r="A761" s="156" t="str">
        <f>IFERROR(__xludf.DUMMYFUNCTION("""COMPUTED_VALUE"""),"10.1016/j.neuropsychologia.2012.03.012")</f>
        <v>10.1016/j.neuropsychologia.2012.03.012</v>
      </c>
      <c r="B761" s="677" t="str">
        <f>IFERROR(__xludf.DUMMYFUNCTION("""COMPUTED_VALUE"""),"https://drive.google.com/file/d/1Dr_J3dtP3MtuYZdf99UULUa0JK3uFgeC/view?usp=drivesdk")</f>
        <v>https://drive.google.com/file/d/1Dr_J3dtP3MtuYZdf99UULUa0JK3uFgeC/view?usp=drivesdk</v>
      </c>
      <c r="C761" s="156" t="str">
        <f>IFERROR(__xludf.DUMMYFUNCTION("""COMPUTED_VALUE"""),"10.1016--j.neuropsychologia.2012.03.012.pdf")</f>
        <v>10.1016--j.neuropsychologia.2012.03.012.pdf</v>
      </c>
      <c r="D761" s="156" t="str">
        <f>IFERROR(__xludf.DUMMYFUNCTION("""COMPUTED_VALUE"""),"application/pdf")</f>
        <v>application/pdf</v>
      </c>
    </row>
    <row r="762">
      <c r="A762" s="156" t="str">
        <f>IFERROR(__xludf.DUMMYFUNCTION("""COMPUTED_VALUE"""),"10.1016/j.joep.2020.102312")</f>
        <v>10.1016/j.joep.2020.102312</v>
      </c>
      <c r="B762" s="677" t="str">
        <f>IFERROR(__xludf.DUMMYFUNCTION("""COMPUTED_VALUE"""),"https://drive.google.com/file/d/1JWjkln9CJu8dWWG13eCkUEPE81p-_bbI/view?usp=drivesdk")</f>
        <v>https://drive.google.com/file/d/1JWjkln9CJu8dWWG13eCkUEPE81p-_bbI/view?usp=drivesdk</v>
      </c>
      <c r="C762" s="156" t="str">
        <f>IFERROR(__xludf.DUMMYFUNCTION("""COMPUTED_VALUE"""),"10.1016--j.joep.2020.102312.pdf")</f>
        <v>10.1016--j.joep.2020.102312.pdf</v>
      </c>
      <c r="D762" s="156" t="str">
        <f>IFERROR(__xludf.DUMMYFUNCTION("""COMPUTED_VALUE"""),"application/pdf")</f>
        <v>application/pdf</v>
      </c>
    </row>
    <row r="763">
      <c r="A763" s="156" t="str">
        <f>IFERROR(__xludf.DUMMYFUNCTION("""COMPUTED_VALUE"""),"10.1016/j.jesp.2020.104010")</f>
        <v>10.1016/j.jesp.2020.104010</v>
      </c>
      <c r="B763" s="677" t="str">
        <f>IFERROR(__xludf.DUMMYFUNCTION("""COMPUTED_VALUE"""),"https://drive.google.com/file/d/1BaJrMUMQAZQcIwW-WrR9NXs9CM0N1SkX/view?usp=drivesdk")</f>
        <v>https://drive.google.com/file/d/1BaJrMUMQAZQcIwW-WrR9NXs9CM0N1SkX/view?usp=drivesdk</v>
      </c>
      <c r="C763" s="156" t="str">
        <f>IFERROR(__xludf.DUMMYFUNCTION("""COMPUTED_VALUE"""),"10.1016--j.jesp.2020.104010.pdf")</f>
        <v>10.1016--j.jesp.2020.104010.pdf</v>
      </c>
      <c r="D763" s="156" t="str">
        <f>IFERROR(__xludf.DUMMYFUNCTION("""COMPUTED_VALUE"""),"application/pdf")</f>
        <v>application/pdf</v>
      </c>
    </row>
    <row r="764">
      <c r="A764" s="156" t="str">
        <f>IFERROR(__xludf.DUMMYFUNCTION("""COMPUTED_VALUE"""),"10.1016/j.joep.2018.12.001")</f>
        <v>10.1016/j.joep.2018.12.001</v>
      </c>
      <c r="B764" s="677" t="str">
        <f>IFERROR(__xludf.DUMMYFUNCTION("""COMPUTED_VALUE"""),"https://drive.google.com/file/d/1_b8mOSAsOMzbJVPB86zc3Ev432ugw-N0/view?usp=drivesdk")</f>
        <v>https://drive.google.com/file/d/1_b8mOSAsOMzbJVPB86zc3Ev432ugw-N0/view?usp=drivesdk</v>
      </c>
      <c r="C764" s="156" t="str">
        <f>IFERROR(__xludf.DUMMYFUNCTION("""COMPUTED_VALUE"""),"10.1016--j.joep.2018.12.001.pdf")</f>
        <v>10.1016--j.joep.2018.12.001.pdf</v>
      </c>
      <c r="D764" s="156" t="str">
        <f>IFERROR(__xludf.DUMMYFUNCTION("""COMPUTED_VALUE"""),"application/pdf")</f>
        <v>application/pdf</v>
      </c>
    </row>
    <row r="765">
      <c r="A765" s="156" t="str">
        <f>IFERROR(__xludf.DUMMYFUNCTION("""COMPUTED_VALUE"""),"10.1016/j.ijpsycho.2018.01.015")</f>
        <v>10.1016/j.ijpsycho.2018.01.015</v>
      </c>
      <c r="B765" s="677" t="str">
        <f>IFERROR(__xludf.DUMMYFUNCTION("""COMPUTED_VALUE"""),"https://drive.google.com/file/d/1ZyLeWcONfT3Lmf9dHHJqtgrU-MZcF3Ph/view?usp=drivesdk")</f>
        <v>https://drive.google.com/file/d/1ZyLeWcONfT3Lmf9dHHJqtgrU-MZcF3Ph/view?usp=drivesdk</v>
      </c>
      <c r="C765" s="156" t="str">
        <f>IFERROR(__xludf.DUMMYFUNCTION("""COMPUTED_VALUE"""),"10.1016--j.ijpsycho.2018.01.015.pdf")</f>
        <v>10.1016--j.ijpsycho.2018.01.015.pdf</v>
      </c>
      <c r="D765" s="156" t="str">
        <f>IFERROR(__xludf.DUMMYFUNCTION("""COMPUTED_VALUE"""),"application/pdf")</f>
        <v>application/pdf</v>
      </c>
    </row>
    <row r="766">
      <c r="A766" s="156" t="str">
        <f>IFERROR(__xludf.DUMMYFUNCTION("""COMPUTED_VALUE"""),"10.1016/j.bodyim.2017.07.003")</f>
        <v>10.1016/j.bodyim.2017.07.003</v>
      </c>
      <c r="B766" s="677" t="str">
        <f>IFERROR(__xludf.DUMMYFUNCTION("""COMPUTED_VALUE"""),"https://drive.google.com/file/d/1-U4mWEm3vaiLvomX0Ch-4HKs8d-LVX5-/view?usp=drivesdk")</f>
        <v>https://drive.google.com/file/d/1-U4mWEm3vaiLvomX0Ch-4HKs8d-LVX5-/view?usp=drivesdk</v>
      </c>
      <c r="C766" s="156" t="str">
        <f>IFERROR(__xludf.DUMMYFUNCTION("""COMPUTED_VALUE"""),"10.1016--j.bodyim.2017.07.003.pdf")</f>
        <v>10.1016--j.bodyim.2017.07.003.pdf</v>
      </c>
      <c r="D766" s="156" t="str">
        <f>IFERROR(__xludf.DUMMYFUNCTION("""COMPUTED_VALUE"""),"application/pdf")</f>
        <v>application/pdf</v>
      </c>
    </row>
    <row r="767">
      <c r="A767" s="156" t="str">
        <f>IFERROR(__xludf.DUMMYFUNCTION("""COMPUTED_VALUE"""),"10.1016/j.concog.2016.11.011")</f>
        <v>10.1016/j.concog.2016.11.011</v>
      </c>
      <c r="B767" s="677" t="str">
        <f>IFERROR(__xludf.DUMMYFUNCTION("""COMPUTED_VALUE"""),"https://drive.google.com/file/d/1mruXmvH2Pouq7XcDsaReJoumHS3Ak_BK/view?usp=drivesdk")</f>
        <v>https://drive.google.com/file/d/1mruXmvH2Pouq7XcDsaReJoumHS3Ak_BK/view?usp=drivesdk</v>
      </c>
      <c r="C767" s="156" t="str">
        <f>IFERROR(__xludf.DUMMYFUNCTION("""COMPUTED_VALUE"""),"10.1016--j.concog.2016.11.011.pdf")</f>
        <v>10.1016--j.concog.2016.11.011.pdf</v>
      </c>
      <c r="D767" s="156" t="str">
        <f>IFERROR(__xludf.DUMMYFUNCTION("""COMPUTED_VALUE"""),"application/pdf")</f>
        <v>application/pdf</v>
      </c>
    </row>
    <row r="768">
      <c r="A768" s="156" t="str">
        <f>IFERROR(__xludf.DUMMYFUNCTION("""COMPUTED_VALUE"""),"10.1016/j.beth.2016.11.011")</f>
        <v>10.1016/j.beth.2016.11.011</v>
      </c>
      <c r="B768" s="677" t="str">
        <f>IFERROR(__xludf.DUMMYFUNCTION("""COMPUTED_VALUE"""),"https://drive.google.com/file/d/145d_CA8T5qtTk-xcEGngNcczxZO4b9ij/view?usp=drivesdk")</f>
        <v>https://drive.google.com/file/d/145d_CA8T5qtTk-xcEGngNcczxZO4b9ij/view?usp=drivesdk</v>
      </c>
      <c r="C768" s="156" t="str">
        <f>IFERROR(__xludf.DUMMYFUNCTION("""COMPUTED_VALUE"""),"10.1016--j.beth.2016.11.011.pdf")</f>
        <v>10.1016--j.beth.2016.11.011.pdf</v>
      </c>
      <c r="D768" s="156" t="str">
        <f>IFERROR(__xludf.DUMMYFUNCTION("""COMPUTED_VALUE"""),"application/pdf")</f>
        <v>application/pdf</v>
      </c>
    </row>
    <row r="769">
      <c r="A769" s="156" t="str">
        <f>IFERROR(__xludf.DUMMYFUNCTION("""COMPUTED_VALUE"""),"10.1016/j.actpsy.2013.07.016")</f>
        <v>10.1016/j.actpsy.2013.07.016</v>
      </c>
      <c r="B769" s="677" t="str">
        <f>IFERROR(__xludf.DUMMYFUNCTION("""COMPUTED_VALUE"""),"https://drive.google.com/file/d/16fIu9vCQlb-Liuv0d6QNpzUH_0j6Wszs/view?usp=drivesdk")</f>
        <v>https://drive.google.com/file/d/16fIu9vCQlb-Liuv0d6QNpzUH_0j6Wszs/view?usp=drivesdk</v>
      </c>
      <c r="C769" s="156" t="str">
        <f>IFERROR(__xludf.DUMMYFUNCTION("""COMPUTED_VALUE"""),"10.1016--j.actpsy.2013.07.016.pdf")</f>
        <v>10.1016--j.actpsy.2013.07.016.pdf</v>
      </c>
      <c r="D769" s="156" t="str">
        <f>IFERROR(__xludf.DUMMYFUNCTION("""COMPUTED_VALUE"""),"application/pdf")</f>
        <v>application/pdf</v>
      </c>
    </row>
    <row r="770">
      <c r="A770" s="156" t="str">
        <f>IFERROR(__xludf.DUMMYFUNCTION("""COMPUTED_VALUE"""),"10.1016/j.bandc.2018.01.007")</f>
        <v>10.1016/j.bandc.2018.01.007</v>
      </c>
      <c r="B770" s="677" t="str">
        <f>IFERROR(__xludf.DUMMYFUNCTION("""COMPUTED_VALUE"""),"https://drive.google.com/file/d/1sG4y8zj0eD26U_-ccB6XYJYyLcy9IIAU/view?usp=drivesdk")</f>
        <v>https://drive.google.com/file/d/1sG4y8zj0eD26U_-ccB6XYJYyLcy9IIAU/view?usp=drivesdk</v>
      </c>
      <c r="C770" s="156" t="str">
        <f>IFERROR(__xludf.DUMMYFUNCTION("""COMPUTED_VALUE"""),"10.1016--j.bandc.2018.01.007.pdf")</f>
        <v>10.1016--j.bandc.2018.01.007.pdf</v>
      </c>
      <c r="D770" s="156" t="str">
        <f>IFERROR(__xludf.DUMMYFUNCTION("""COMPUTED_VALUE"""),"application/pdf")</f>
        <v>application/pdf</v>
      </c>
    </row>
    <row r="771">
      <c r="A771" s="156" t="str">
        <f>IFERROR(__xludf.DUMMYFUNCTION("""COMPUTED_VALUE"""),"10.1007/s10899-020-09932-7")</f>
        <v>10.1007/s10899-020-09932-7</v>
      </c>
      <c r="B771" s="677" t="str">
        <f>IFERROR(__xludf.DUMMYFUNCTION("""COMPUTED_VALUE"""),"https://drive.google.com/file/d/1IvnhnRqpaQxDIW6jkeFJ2j-TXawb-FQX/view?usp=drivesdk")</f>
        <v>https://drive.google.com/file/d/1IvnhnRqpaQxDIW6jkeFJ2j-TXawb-FQX/view?usp=drivesdk</v>
      </c>
      <c r="C771" s="156" t="str">
        <f>IFERROR(__xludf.DUMMYFUNCTION("""COMPUTED_VALUE"""),"10.1007--s10899-020-09932-7.pdf")</f>
        <v>10.1007--s10899-020-09932-7.pdf</v>
      </c>
      <c r="D771" s="156" t="str">
        <f>IFERROR(__xludf.DUMMYFUNCTION("""COMPUTED_VALUE"""),"application/pdf")</f>
        <v>application/pdf</v>
      </c>
    </row>
    <row r="772">
      <c r="A772" s="156" t="str">
        <f>IFERROR(__xludf.DUMMYFUNCTION("""COMPUTED_VALUE"""),"10.3389/fpsyg.2019.00632")</f>
        <v>10.3389/fpsyg.2019.00632</v>
      </c>
      <c r="B772" s="677" t="str">
        <f>IFERROR(__xludf.DUMMYFUNCTION("""COMPUTED_VALUE"""),"https://drive.google.com/file/d/1oUiWiRTeF5NO9j1I0dU-MesXSg3OdZcD/view?usp=drivesdk")</f>
        <v>https://drive.google.com/file/d/1oUiWiRTeF5NO9j1I0dU-MesXSg3OdZcD/view?usp=drivesdk</v>
      </c>
      <c r="C772" s="156" t="str">
        <f>IFERROR(__xludf.DUMMYFUNCTION("""COMPUTED_VALUE"""),"10.3389--fpsyg.2019.00632.pdf")</f>
        <v>10.3389--fpsyg.2019.00632.pdf</v>
      </c>
      <c r="D772" s="156" t="str">
        <f>IFERROR(__xludf.DUMMYFUNCTION("""COMPUTED_VALUE"""),"application/pdf")</f>
        <v>application/pdf</v>
      </c>
    </row>
    <row r="773">
      <c r="A773" s="156" t="str">
        <f>IFERROR(__xludf.DUMMYFUNCTION("""COMPUTED_VALUE"""),"10.1177/0146167213510746")</f>
        <v>10.1177/0146167213510746</v>
      </c>
      <c r="B773" s="677" t="str">
        <f>IFERROR(__xludf.DUMMYFUNCTION("""COMPUTED_VALUE"""),"https://drive.google.com/file/d/1-h4AeCKF0tncBY8p2kgJjJ4CQezmJNtx/view?usp=drivesdk")</f>
        <v>https://drive.google.com/file/d/1-h4AeCKF0tncBY8p2kgJjJ4CQezmJNtx/view?usp=drivesdk</v>
      </c>
      <c r="C773" s="156" t="str">
        <f>IFERROR(__xludf.DUMMYFUNCTION("""COMPUTED_VALUE"""),"10.1177--0146167213510746.pdf")</f>
        <v>10.1177--0146167213510746.pdf</v>
      </c>
      <c r="D773" s="156" t="str">
        <f>IFERROR(__xludf.DUMMYFUNCTION("""COMPUTED_VALUE"""),"application/pdf")</f>
        <v>application/pdf</v>
      </c>
    </row>
    <row r="774">
      <c r="A774" s="156" t="str">
        <f>IFERROR(__xludf.DUMMYFUNCTION("""COMPUTED_VALUE"""),"10.1037/a0013082")</f>
        <v>10.1037/a0013082</v>
      </c>
      <c r="B774" s="677" t="str">
        <f>IFERROR(__xludf.DUMMYFUNCTION("""COMPUTED_VALUE"""),"https://drive.google.com/file/d/1PTd-ayx-9XGJUc0TnmfMMQzyVDrmLsrS/view?usp=drivesdk")</f>
        <v>https://drive.google.com/file/d/1PTd-ayx-9XGJUc0TnmfMMQzyVDrmLsrS/view?usp=drivesdk</v>
      </c>
      <c r="C774" s="156" t="str">
        <f>IFERROR(__xludf.DUMMYFUNCTION("""COMPUTED_VALUE"""),"10.1037--a0013082.pdf")</f>
        <v>10.1037--a0013082.pdf</v>
      </c>
      <c r="D774" s="156" t="str">
        <f>IFERROR(__xludf.DUMMYFUNCTION("""COMPUTED_VALUE"""),"application/pdf")</f>
        <v>application/pdf</v>
      </c>
    </row>
    <row r="775">
      <c r="A775" s="156" t="str">
        <f>IFERROR(__xludf.DUMMYFUNCTION("""COMPUTED_VALUE"""),"10.1016/j.infbeh.2006.03.001")</f>
        <v>10.1016/j.infbeh.2006.03.001</v>
      </c>
      <c r="B775" s="677" t="str">
        <f>IFERROR(__xludf.DUMMYFUNCTION("""COMPUTED_VALUE"""),"https://drive.google.com/file/d/14g9vEqBZ-E5DAr0zFvoj5a0l_QKf7HEo/view?usp=drivesdk")</f>
        <v>https://drive.google.com/file/d/14g9vEqBZ-E5DAr0zFvoj5a0l_QKf7HEo/view?usp=drivesdk</v>
      </c>
      <c r="C775" s="156" t="str">
        <f>IFERROR(__xludf.DUMMYFUNCTION("""COMPUTED_VALUE"""),"10.1016--j.infbeh.2006.03.001.pdf")</f>
        <v>10.1016--j.infbeh.2006.03.001.pdf</v>
      </c>
      <c r="D775" s="156" t="str">
        <f>IFERROR(__xludf.DUMMYFUNCTION("""COMPUTED_VALUE"""),"application/pdf")</f>
        <v>application/pdf</v>
      </c>
    </row>
    <row r="776">
      <c r="A776" s="156" t="str">
        <f>IFERROR(__xludf.DUMMYFUNCTION("""COMPUTED_VALUE"""),"10.1073/pnas.1712757114")</f>
        <v>10.1073/pnas.1712757114</v>
      </c>
      <c r="B776" s="677" t="str">
        <f>IFERROR(__xludf.DUMMYFUNCTION("""COMPUTED_VALUE"""),"https://drive.google.com/file/d/1MNI9F_b-INeCuIQLWmRv_4mFyoF1dA8l/view?usp=drivesdk")</f>
        <v>https://drive.google.com/file/d/1MNI9F_b-INeCuIQLWmRv_4mFyoF1dA8l/view?usp=drivesdk</v>
      </c>
      <c r="C776" s="156" t="str">
        <f>IFERROR(__xludf.DUMMYFUNCTION("""COMPUTED_VALUE"""),"10.1073--pnas.1712757114.pdf")</f>
        <v>10.1073--pnas.1712757114.pdf</v>
      </c>
      <c r="D776" s="156" t="str">
        <f>IFERROR(__xludf.DUMMYFUNCTION("""COMPUTED_VALUE"""),"application/pdf")</f>
        <v>application/pdf</v>
      </c>
    </row>
    <row r="777">
      <c r="A777" s="156" t="str">
        <f>IFERROR(__xludf.DUMMYFUNCTION("""COMPUTED_VALUE"""),"10.1080/09541440143000113")</f>
        <v>10.1080/09541440143000113</v>
      </c>
      <c r="B777" s="677" t="str">
        <f>IFERROR(__xludf.DUMMYFUNCTION("""COMPUTED_VALUE"""),"https://drive.google.com/file/d/1ELJ2rVWHlx9zJRsE_POcYvkhc00dGKdv/view?usp=drivesdk")</f>
        <v>https://drive.google.com/file/d/1ELJ2rVWHlx9zJRsE_POcYvkhc00dGKdv/view?usp=drivesdk</v>
      </c>
      <c r="C777" s="156" t="str">
        <f>IFERROR(__xludf.DUMMYFUNCTION("""COMPUTED_VALUE"""),"10.1080--09541440143000113.pdf")</f>
        <v>10.1080--09541440143000113.pdf</v>
      </c>
      <c r="D777" s="156" t="str">
        <f>IFERROR(__xludf.DUMMYFUNCTION("""COMPUTED_VALUE"""),"application/pdf")</f>
        <v>application/pdf</v>
      </c>
    </row>
    <row r="778">
      <c r="A778" s="156" t="str">
        <f>IFERROR(__xludf.DUMMYFUNCTION("""COMPUTED_VALUE"""),"10.3758/pbr.16.4.684")</f>
        <v>10.3758/pbr.16.4.684</v>
      </c>
      <c r="B778" s="677" t="str">
        <f>IFERROR(__xludf.DUMMYFUNCTION("""COMPUTED_VALUE"""),"https://drive.google.com/file/d/11HHY1DhMIw5Jt3ifNiw2FSzGZAlHaTWc/view?usp=drivesdk")</f>
        <v>https://drive.google.com/file/d/11HHY1DhMIw5Jt3ifNiw2FSzGZAlHaTWc/view?usp=drivesdk</v>
      </c>
      <c r="C778" s="156" t="str">
        <f>IFERROR(__xludf.DUMMYFUNCTION("""COMPUTED_VALUE"""),"10.3758--PBR.16.4.684.pdf")</f>
        <v>10.3758--PBR.16.4.684.pdf</v>
      </c>
      <c r="D778" s="156" t="str">
        <f>IFERROR(__xludf.DUMMYFUNCTION("""COMPUTED_VALUE"""),"application/pdf")</f>
        <v>application/pdf</v>
      </c>
    </row>
    <row r="779">
      <c r="A779" s="156" t="str">
        <f>IFERROR(__xludf.DUMMYFUNCTION("""COMPUTED_VALUE"""),"10.1016/j.cognition.2013.02.010")</f>
        <v>10.1016/j.cognition.2013.02.010</v>
      </c>
      <c r="B779" s="677" t="str">
        <f>IFERROR(__xludf.DUMMYFUNCTION("""COMPUTED_VALUE"""),"https://drive.google.com/file/d/1i22pNvJdOKil2YjUFRJsbzihIjBDwr0D/view?usp=drivesdk")</f>
        <v>https://drive.google.com/file/d/1i22pNvJdOKil2YjUFRJsbzihIjBDwr0D/view?usp=drivesdk</v>
      </c>
      <c r="C779" s="156" t="str">
        <f>IFERROR(__xludf.DUMMYFUNCTION("""COMPUTED_VALUE"""),"10.1016--j.cognition.2013.02.010.pdf")</f>
        <v>10.1016--j.cognition.2013.02.010.pdf</v>
      </c>
      <c r="D779" s="156" t="str">
        <f>IFERROR(__xludf.DUMMYFUNCTION("""COMPUTED_VALUE"""),"application/pdf")</f>
        <v>application/pdf</v>
      </c>
    </row>
    <row r="780">
      <c r="A780" s="156" t="str">
        <f>IFERROR(__xludf.DUMMYFUNCTION("""COMPUTED_VALUE"""),"10.3389/fpsyg.2015.01213")</f>
        <v>10.3389/fpsyg.2015.01213</v>
      </c>
      <c r="B780" s="677" t="str">
        <f>IFERROR(__xludf.DUMMYFUNCTION("""COMPUTED_VALUE"""),"https://drive.google.com/file/d/16jE_US35YKNPq7V9h_dnE4HPYPThP32o/view?usp=drivesdk")</f>
        <v>https://drive.google.com/file/d/16jE_US35YKNPq7V9h_dnE4HPYPThP32o/view?usp=drivesdk</v>
      </c>
      <c r="C780" s="156" t="str">
        <f>IFERROR(__xludf.DUMMYFUNCTION("""COMPUTED_VALUE"""),"10.3389--fpsyg.2015.01213.pdf")</f>
        <v>10.3389--fpsyg.2015.01213.pdf</v>
      </c>
      <c r="D780" s="156" t="str">
        <f>IFERROR(__xludf.DUMMYFUNCTION("""COMPUTED_VALUE"""),"application/pdf")</f>
        <v>application/pdf</v>
      </c>
    </row>
    <row r="781">
      <c r="A781" s="156" t="str">
        <f>IFERROR(__xludf.DUMMYFUNCTION("""COMPUTED_VALUE"""),"10.3758/s13421-011-0157-1")</f>
        <v>10.3758/s13421-011-0157-1</v>
      </c>
      <c r="B781" s="677" t="str">
        <f>IFERROR(__xludf.DUMMYFUNCTION("""COMPUTED_VALUE"""),"https://drive.google.com/file/d/1S2RFw6xaGsXFBbQ_5G_loaBiDBP_KRy9/view?usp=drivesdk")</f>
        <v>https://drive.google.com/file/d/1S2RFw6xaGsXFBbQ_5G_loaBiDBP_KRy9/view?usp=drivesdk</v>
      </c>
      <c r="C781" s="156" t="str">
        <f>IFERROR(__xludf.DUMMYFUNCTION("""COMPUTED_VALUE"""),"10.3758--s13421-011-0157-1.pdf")</f>
        <v>10.3758--s13421-011-0157-1.pdf</v>
      </c>
      <c r="D781" s="156" t="str">
        <f>IFERROR(__xludf.DUMMYFUNCTION("""COMPUTED_VALUE"""),"application/pdf")</f>
        <v>application/pdf</v>
      </c>
    </row>
    <row r="782">
      <c r="A782" s="156" t="str">
        <f>IFERROR(__xludf.DUMMYFUNCTION("""COMPUTED_VALUE"""),"10.1007/s00221-010-2510-1")</f>
        <v>10.1007/s00221-010-2510-1</v>
      </c>
      <c r="B782" s="677" t="str">
        <f>IFERROR(__xludf.DUMMYFUNCTION("""COMPUTED_VALUE"""),"https://drive.google.com/file/d/10Lx18Hb5C_MI7gzdQ3xa-7WyCAueO4Vw/view?usp=drivesdk")</f>
        <v>https://drive.google.com/file/d/10Lx18Hb5C_MI7gzdQ3xa-7WyCAueO4Vw/view?usp=drivesdk</v>
      </c>
      <c r="C782" s="156" t="str">
        <f>IFERROR(__xludf.DUMMYFUNCTION("""COMPUTED_VALUE"""),"10.1007--s00221-010-2510-1.pdf")</f>
        <v>10.1007--s00221-010-2510-1.pdf</v>
      </c>
      <c r="D782" s="156" t="str">
        <f>IFERROR(__xludf.DUMMYFUNCTION("""COMPUTED_VALUE"""),"application/pdf")</f>
        <v>application/pdf</v>
      </c>
    </row>
    <row r="783">
      <c r="A783" s="156" t="str">
        <f>IFERROR(__xludf.DUMMYFUNCTION("""COMPUTED_VALUE"""),"10.1016/j.cub.2006.10.012")</f>
        <v>10.1016/j.cub.2006.10.012</v>
      </c>
      <c r="B783" s="677" t="str">
        <f>IFERROR(__xludf.DUMMYFUNCTION("""COMPUTED_VALUE"""),"https://drive.google.com/file/d/1aCDmZZ8H9clPp2gVRNCCngQDTDo1R9s5/view?usp=drivesdk")</f>
        <v>https://drive.google.com/file/d/1aCDmZZ8H9clPp2gVRNCCngQDTDo1R9s5/view?usp=drivesdk</v>
      </c>
      <c r="C783" s="156" t="str">
        <f>IFERROR(__xludf.DUMMYFUNCTION("""COMPUTED_VALUE"""),"10.1016--j.cub.2006.10.012.pdf")</f>
        <v>10.1016--j.cub.2006.10.012.pdf</v>
      </c>
      <c r="D783" s="156" t="str">
        <f>IFERROR(__xludf.DUMMYFUNCTION("""COMPUTED_VALUE"""),"application/pdf")</f>
        <v>application/pdf</v>
      </c>
    </row>
    <row r="784">
      <c r="A784" s="156" t="str">
        <f>IFERROR(__xludf.DUMMYFUNCTION("""COMPUTED_VALUE"""),"10.1111/j.1467-9280.2008.02143.x")</f>
        <v>10.1111/j.1467-9280.2008.02143.x</v>
      </c>
      <c r="B784" s="677" t="str">
        <f>IFERROR(__xludf.DUMMYFUNCTION("""COMPUTED_VALUE"""),"https://drive.google.com/file/d/1Xd95UC9a8EypRwXNiA8-mQL16juPYOUX/view?usp=drivesdk")</f>
        <v>https://drive.google.com/file/d/1Xd95UC9a8EypRwXNiA8-mQL16juPYOUX/view?usp=drivesdk</v>
      </c>
      <c r="C784" s="156" t="str">
        <f>IFERROR(__xludf.DUMMYFUNCTION("""COMPUTED_VALUE"""),"10.1111--j.1467-9280.2008.02143.x.pdf")</f>
        <v>10.1111--j.1467-9280.2008.02143.x.pdf</v>
      </c>
      <c r="D784" s="156" t="str">
        <f>IFERROR(__xludf.DUMMYFUNCTION("""COMPUTED_VALUE"""),"application/pdf")</f>
        <v>application/pdf</v>
      </c>
    </row>
    <row r="785">
      <c r="A785" s="156" t="str">
        <f>IFERROR(__xludf.DUMMYFUNCTION("""COMPUTED_VALUE"""),"10.1016/j.cognition.2011.12.006")</f>
        <v>10.1016/j.cognition.2011.12.006</v>
      </c>
      <c r="B785" s="677" t="str">
        <f>IFERROR(__xludf.DUMMYFUNCTION("""COMPUTED_VALUE"""),"https://drive.google.com/file/d/1JJZqD0s4reGHNz-ea1R4J-gV8vE42oJu/view?usp=drivesdk")</f>
        <v>https://drive.google.com/file/d/1JJZqD0s4reGHNz-ea1R4J-gV8vE42oJu/view?usp=drivesdk</v>
      </c>
      <c r="C785" s="156" t="str">
        <f>IFERROR(__xludf.DUMMYFUNCTION("""COMPUTED_VALUE"""),"10.1016--j.cognition.2011.12.006.pdf")</f>
        <v>10.1016--j.cognition.2011.12.006.pdf</v>
      </c>
      <c r="D785" s="156" t="str">
        <f>IFERROR(__xludf.DUMMYFUNCTION("""COMPUTED_VALUE"""),"application/pdf")</f>
        <v>application/pdf</v>
      </c>
    </row>
    <row r="786">
      <c r="A786" s="156" t="str">
        <f>IFERROR(__xludf.DUMMYFUNCTION("""COMPUTED_VALUE"""),"10.3758/bf03206462")</f>
        <v>10.3758/bf03206462</v>
      </c>
      <c r="B786" s="677" t="str">
        <f>IFERROR(__xludf.DUMMYFUNCTION("""COMPUTED_VALUE"""),"https://drive.google.com/file/d/16jeWCrE7AO_UDEe7e7alW4QHOsuvFwnV/view?usp=drivesdk")</f>
        <v>https://drive.google.com/file/d/16jeWCrE7AO_UDEe7e7alW4QHOsuvFwnV/view?usp=drivesdk</v>
      </c>
      <c r="C786" s="156" t="str">
        <f>IFERROR(__xludf.DUMMYFUNCTION("""COMPUTED_VALUE"""),"10.3758--bf03206462.pdf")</f>
        <v>10.3758--bf03206462.pdf</v>
      </c>
      <c r="D786" s="156" t="str">
        <f>IFERROR(__xludf.DUMMYFUNCTION("""COMPUTED_VALUE"""),"application/pdf")</f>
        <v>application/pdf</v>
      </c>
    </row>
    <row r="787">
      <c r="A787" s="156" t="str">
        <f>IFERROR(__xludf.DUMMYFUNCTION("""COMPUTED_VALUE"""),"10.1016/s0926-6410(02)00068-x")</f>
        <v>10.1016/s0926-6410(02)00068-x</v>
      </c>
      <c r="B787" s="677" t="str">
        <f>IFERROR(__xludf.DUMMYFUNCTION("""COMPUTED_VALUE"""),"https://drive.google.com/file/d/17KOW6DnkEyn_l_a8fa5ND--4kSpBVYsG/view?usp=drivesdk")</f>
        <v>https://drive.google.com/file/d/17KOW6DnkEyn_l_a8fa5ND--4kSpBVYsG/view?usp=drivesdk</v>
      </c>
      <c r="C787" s="156" t="str">
        <f>IFERROR(__xludf.DUMMYFUNCTION("""COMPUTED_VALUE"""),"10.1016--S0926-6410(02)00068-X.pdf")</f>
        <v>10.1016--S0926-6410(02)00068-X.pdf</v>
      </c>
      <c r="D787" s="156" t="str">
        <f>IFERROR(__xludf.DUMMYFUNCTION("""COMPUTED_VALUE"""),"application/pdf")</f>
        <v>application/pdf</v>
      </c>
    </row>
    <row r="788">
      <c r="A788" s="156" t="str">
        <f>IFERROR(__xludf.DUMMYFUNCTION("""COMPUTED_VALUE"""),"10.1038/4600")</f>
        <v>10.1038/4600</v>
      </c>
      <c r="B788" s="677" t="str">
        <f>IFERROR(__xludf.DUMMYFUNCTION("""COMPUTED_VALUE"""),"https://drive.google.com/file/d/1crXppj_Se6wfgmCYxKpUqaTE6iVzytcy/view?usp=drivesdk")</f>
        <v>https://drive.google.com/file/d/1crXppj_Se6wfgmCYxKpUqaTE6iVzytcy/view?usp=drivesdk</v>
      </c>
      <c r="C788" s="156" t="str">
        <f>IFERROR(__xludf.DUMMYFUNCTION("""COMPUTED_VALUE"""),"10.1038--4600.pdf")</f>
        <v>10.1038--4600.pdf</v>
      </c>
      <c r="D788" s="156" t="str">
        <f>IFERROR(__xludf.DUMMYFUNCTION("""COMPUTED_VALUE"""),"application/pdf")</f>
        <v>application/pdf</v>
      </c>
    </row>
    <row r="789">
      <c r="A789" s="156" t="str">
        <f>IFERROR(__xludf.DUMMYFUNCTION("""COMPUTED_VALUE"""),"10.1037/0022-3514.61.2.226")</f>
        <v>10.1037/0022-3514.61.2.226</v>
      </c>
      <c r="B789" s="677" t="str">
        <f>IFERROR(__xludf.DUMMYFUNCTION("""COMPUTED_VALUE"""),"https://drive.google.com/file/d/1XjGCxNCS_Qrfviw5gVJTm9-fhlfhnMNp/view?usp=drivesdk")</f>
        <v>https://drive.google.com/file/d/1XjGCxNCS_Qrfviw5gVJTm9-fhlfhnMNp/view?usp=drivesdk</v>
      </c>
      <c r="C789" s="156" t="str">
        <f>IFERROR(__xludf.DUMMYFUNCTION("""COMPUTED_VALUE"""),"10.1037--0022-3514.61.2.226.pdf")</f>
        <v>10.1037--0022-3514.61.2.226.pdf</v>
      </c>
      <c r="D789" s="156" t="str">
        <f>IFERROR(__xludf.DUMMYFUNCTION("""COMPUTED_VALUE"""),"application/pdf")</f>
        <v>application/pdf</v>
      </c>
    </row>
    <row r="790">
      <c r="A790" s="156" t="str">
        <f>IFERROR(__xludf.DUMMYFUNCTION("""COMPUTED_VALUE"""),"10.3389/fpsyg.2015.01311")</f>
        <v>10.3389/fpsyg.2015.01311</v>
      </c>
      <c r="B790" s="677" t="str">
        <f>IFERROR(__xludf.DUMMYFUNCTION("""COMPUTED_VALUE"""),"https://drive.google.com/file/d/1cQQSFE193cNSHxz7lNvmOP6Ik5q6z_D6/view?usp=drivesdk")</f>
        <v>https://drive.google.com/file/d/1cQQSFE193cNSHxz7lNvmOP6Ik5q6z_D6/view?usp=drivesdk</v>
      </c>
      <c r="C790" s="156" t="str">
        <f>IFERROR(__xludf.DUMMYFUNCTION("""COMPUTED_VALUE"""),"10.3389--fpsyg.2015.01311.pdf")</f>
        <v>10.3389--fpsyg.2015.01311.pdf</v>
      </c>
      <c r="D790" s="156" t="str">
        <f>IFERROR(__xludf.DUMMYFUNCTION("""COMPUTED_VALUE"""),"application/pdf")</f>
        <v>application/pdf</v>
      </c>
    </row>
    <row r="791">
      <c r="A791" s="156" t="str">
        <f>IFERROR(__xludf.DUMMYFUNCTION("""COMPUTED_VALUE"""),"10.1098/rstl.1824.0016")</f>
        <v>10.1098/rstl.1824.0016</v>
      </c>
      <c r="B791" s="677" t="str">
        <f>IFERROR(__xludf.DUMMYFUNCTION("""COMPUTED_VALUE"""),"https://drive.google.com/file/d/1qGttIW2KGjC3SBLZXz-N2CqkyCqCDBVw/view?usp=drivesdk")</f>
        <v>https://drive.google.com/file/d/1qGttIW2KGjC3SBLZXz-N2CqkyCqCDBVw/view?usp=drivesdk</v>
      </c>
      <c r="C791" s="156" t="str">
        <f>IFERROR(__xludf.DUMMYFUNCTION("""COMPUTED_VALUE"""),"10.1098--rstl.1824.0016.pdf")</f>
        <v>10.1098--rstl.1824.0016.pdf</v>
      </c>
      <c r="D791" s="156" t="str">
        <f>IFERROR(__xludf.DUMMYFUNCTION("""COMPUTED_VALUE"""),"application/pdf")</f>
        <v>application/pdf</v>
      </c>
    </row>
    <row r="792">
      <c r="A792" s="156" t="str">
        <f>IFERROR(__xludf.DUMMYFUNCTION("""COMPUTED_VALUE"""),"10.1016/s0005-7967(99)00130-8")</f>
        <v>10.1016/s0005-7967(99)00130-8</v>
      </c>
      <c r="B792" s="677" t="str">
        <f>IFERROR(__xludf.DUMMYFUNCTION("""COMPUTED_VALUE"""),"https://drive.google.com/file/d/1ruVWfjrff_H_DfXOgpfSBRkjv8wk0WMg/view?usp=drivesdk")</f>
        <v>https://drive.google.com/file/d/1ruVWfjrff_H_DfXOgpfSBRkjv8wk0WMg/view?usp=drivesdk</v>
      </c>
      <c r="C792" s="156" t="str">
        <f>IFERROR(__xludf.DUMMYFUNCTION("""COMPUTED_VALUE"""),"10.1016--s0005-7967(99)00130-8.pdf")</f>
        <v>10.1016--s0005-7967(99)00130-8.pdf</v>
      </c>
      <c r="D792" s="156" t="str">
        <f>IFERROR(__xludf.DUMMYFUNCTION("""COMPUTED_VALUE"""),"application/pdf")</f>
        <v>application/pdf</v>
      </c>
    </row>
    <row r="793">
      <c r="A793" s="156" t="str">
        <f>IFERROR(__xludf.DUMMYFUNCTION("""COMPUTED_VALUE"""),"10.1038/ng.3698")</f>
        <v>10.1038/ng.3698</v>
      </c>
      <c r="B793" s="677" t="str">
        <f>IFERROR(__xludf.DUMMYFUNCTION("""COMPUTED_VALUE"""),"https://drive.google.com/file/d/1dGYOB34NEJuNyBs1vIB2Uku-65g4BkQt/view?usp=drivesdk")</f>
        <v>https://drive.google.com/file/d/1dGYOB34NEJuNyBs1vIB2Uku-65g4BkQt/view?usp=drivesdk</v>
      </c>
      <c r="C793" s="156" t="str">
        <f>IFERROR(__xludf.DUMMYFUNCTION("""COMPUTED_VALUE"""),"10.1038--ng.3698.pdf")</f>
        <v>10.1038--ng.3698.pdf</v>
      </c>
      <c r="D793" s="156" t="str">
        <f>IFERROR(__xludf.DUMMYFUNCTION("""COMPUTED_VALUE"""),"application/pdf")</f>
        <v>application/pdf</v>
      </c>
    </row>
    <row r="794">
      <c r="A794" s="156" t="str">
        <f>IFERROR(__xludf.DUMMYFUNCTION("""COMPUTED_VALUE"""),"10.1037/0278-7393.32.4.935")</f>
        <v>10.1037/0278-7393.32.4.935</v>
      </c>
      <c r="B794" s="677" t="str">
        <f>IFERROR(__xludf.DUMMYFUNCTION("""COMPUTED_VALUE"""),"https://drive.google.com/file/d/1vadNfsWrki4ArFW08K47TxkquoK64dJU/view?usp=drivesdk")</f>
        <v>https://drive.google.com/file/d/1vadNfsWrki4ArFW08K47TxkquoK64dJU/view?usp=drivesdk</v>
      </c>
      <c r="C794" s="156" t="str">
        <f>IFERROR(__xludf.DUMMYFUNCTION("""COMPUTED_VALUE"""),"10.1037--0278-7393.32.4.935.pdf")</f>
        <v>10.1037--0278-7393.32.4.935.pdf</v>
      </c>
      <c r="D794" s="156" t="str">
        <f>IFERROR(__xludf.DUMMYFUNCTION("""COMPUTED_VALUE"""),"application/pdf")</f>
        <v>application/pdf</v>
      </c>
    </row>
    <row r="795">
      <c r="A795" s="156" t="str">
        <f>IFERROR(__xludf.DUMMYFUNCTION("""COMPUTED_VALUE"""),"10.1111/apps.12087")</f>
        <v>10.1111/apps.12087</v>
      </c>
      <c r="B795" s="677" t="str">
        <f>IFERROR(__xludf.DUMMYFUNCTION("""COMPUTED_VALUE"""),"https://drive.google.com/file/d/1mOzkLmNERiEw01oa1MU1cWAnNNyStAiJ/view?usp=drivesdk")</f>
        <v>https://drive.google.com/file/d/1mOzkLmNERiEw01oa1MU1cWAnNNyStAiJ/view?usp=drivesdk</v>
      </c>
      <c r="C795" s="156" t="str">
        <f>IFERROR(__xludf.DUMMYFUNCTION("""COMPUTED_VALUE"""),"10.1111--apps.12087.pdf")</f>
        <v>10.1111--apps.12087.pdf</v>
      </c>
      <c r="D795" s="156" t="str">
        <f>IFERROR(__xludf.DUMMYFUNCTION("""COMPUTED_VALUE"""),"application/pdf")</f>
        <v>application/pdf</v>
      </c>
    </row>
    <row r="796">
      <c r="A796" s="156" t="str">
        <f>IFERROR(__xludf.DUMMYFUNCTION("""COMPUTED_VALUE"""),"10.1016/0163-6383(91)90059-2")</f>
        <v>10.1016/0163-6383(91)90059-2</v>
      </c>
      <c r="B796" s="677" t="str">
        <f>IFERROR(__xludf.DUMMYFUNCTION("""COMPUTED_VALUE"""),"https://drive.google.com/file/d/1qnQiM7kFMXwYbP2TJAp3_kCcCqvEjKr-/view?usp=drivesdk")</f>
        <v>https://drive.google.com/file/d/1qnQiM7kFMXwYbP2TJAp3_kCcCqvEjKr-/view?usp=drivesdk</v>
      </c>
      <c r="C796" s="156" t="str">
        <f>IFERROR(__xludf.DUMMYFUNCTION("""COMPUTED_VALUE"""),"10.1016--0163-6383(91)90059-2.pdf")</f>
        <v>10.1016--0163-6383(91)90059-2.pdf</v>
      </c>
      <c r="D796" s="156" t="str">
        <f>IFERROR(__xludf.DUMMYFUNCTION("""COMPUTED_VALUE"""),"application/pdf")</f>
        <v>application/pdf</v>
      </c>
    </row>
    <row r="797">
      <c r="A797" s="156" t="str">
        <f>IFERROR(__xludf.DUMMYFUNCTION("""COMPUTED_VALUE"""),"10.1111/1467-9280.03432")</f>
        <v>10.1111/1467-9280.03432</v>
      </c>
      <c r="B797" s="677" t="str">
        <f>IFERROR(__xludf.DUMMYFUNCTION("""COMPUTED_VALUE"""),"https://drive.google.com/file/d/1UEXi-T2t0RdRKECqQyaRCiaq-UXwCJiC/view?usp=drivesdk")</f>
        <v>https://drive.google.com/file/d/1UEXi-T2t0RdRKECqQyaRCiaq-UXwCJiC/view?usp=drivesdk</v>
      </c>
      <c r="C797" s="156" t="str">
        <f>IFERROR(__xludf.DUMMYFUNCTION("""COMPUTED_VALUE"""),"10.1111--1467-9280.03432.pdf")</f>
        <v>10.1111--1467-9280.03432.pdf</v>
      </c>
      <c r="D797" s="156" t="str">
        <f>IFERROR(__xludf.DUMMYFUNCTION("""COMPUTED_VALUE"""),"application/pdf")</f>
        <v>application/pdf</v>
      </c>
    </row>
    <row r="798">
      <c r="A798" s="156" t="str">
        <f>IFERROR(__xludf.DUMMYFUNCTION("""COMPUTED_VALUE"""),"10.1007/s12160-009-9105-8")</f>
        <v>10.1007/s12160-009-9105-8</v>
      </c>
      <c r="B798" s="677" t="str">
        <f>IFERROR(__xludf.DUMMYFUNCTION("""COMPUTED_VALUE"""),"https://drive.google.com/file/d/1w0IU_kNe8U18EzEhF64mMZHAkk4IC1X5/view?usp=drivesdk")</f>
        <v>https://drive.google.com/file/d/1w0IU_kNe8U18EzEhF64mMZHAkk4IC1X5/view?usp=drivesdk</v>
      </c>
      <c r="C798" s="156" t="str">
        <f>IFERROR(__xludf.DUMMYFUNCTION("""COMPUTED_VALUE"""),"10.1007--s12160-009-9105-8.pdf")</f>
        <v>10.1007--s12160-009-9105-8.pdf</v>
      </c>
      <c r="D798" s="156" t="str">
        <f>IFERROR(__xludf.DUMMYFUNCTION("""COMPUTED_VALUE"""),"application/pdf")</f>
        <v>application/pdf</v>
      </c>
    </row>
    <row r="799">
      <c r="A799" s="156" t="str">
        <f>IFERROR(__xludf.DUMMYFUNCTION("""COMPUTED_VALUE"""),"10.3758/s13423-013-0531-z")</f>
        <v>10.3758/s13423-013-0531-z</v>
      </c>
      <c r="B799" s="677" t="str">
        <f>IFERROR(__xludf.DUMMYFUNCTION("""COMPUTED_VALUE"""),"https://drive.google.com/file/d/1_T2Mj56V6qmxm9CR0TYRyRQDmxxgQQ6o/view?usp=drivesdk")</f>
        <v>https://drive.google.com/file/d/1_T2Mj56V6qmxm9CR0TYRyRQDmxxgQQ6o/view?usp=drivesdk</v>
      </c>
      <c r="C799" s="156" t="str">
        <f>IFERROR(__xludf.DUMMYFUNCTION("""COMPUTED_VALUE"""),"10.3758--s13423-013-0531-z.pdf")</f>
        <v>10.3758--s13423-013-0531-z.pdf</v>
      </c>
      <c r="D799" s="156" t="str">
        <f>IFERROR(__xludf.DUMMYFUNCTION("""COMPUTED_VALUE"""),"application/pdf")</f>
        <v>application/pdf</v>
      </c>
    </row>
    <row r="800">
      <c r="A800" s="156" t="str">
        <f>IFERROR(__xludf.DUMMYFUNCTION("""COMPUTED_VALUE"""),"10.1080/713755604")</f>
        <v>10.1080/713755604</v>
      </c>
      <c r="B800" s="677" t="str">
        <f>IFERROR(__xludf.DUMMYFUNCTION("""COMPUTED_VALUE"""),"https://drive.google.com/file/d/13M2wvNnqLsmGIaIfTlBUWKDzXDBZoOym/view?usp=drivesdk")</f>
        <v>https://drive.google.com/file/d/13M2wvNnqLsmGIaIfTlBUWKDzXDBZoOym/view?usp=drivesdk</v>
      </c>
      <c r="C800" s="156" t="str">
        <f>IFERROR(__xludf.DUMMYFUNCTION("""COMPUTED_VALUE"""),"10.1080--713755604.pdf")</f>
        <v>10.1080--713755604.pdf</v>
      </c>
      <c r="D800" s="156" t="str">
        <f>IFERROR(__xludf.DUMMYFUNCTION("""COMPUTED_VALUE"""),"application/pdf")</f>
        <v>application/pdf</v>
      </c>
    </row>
    <row r="801">
      <c r="A801" s="156" t="str">
        <f>IFERROR(__xludf.DUMMYFUNCTION("""COMPUTED_VALUE"""),"10.1093/geronb/gbp041")</f>
        <v>10.1093/geronb/gbp041</v>
      </c>
      <c r="B801" s="677" t="str">
        <f>IFERROR(__xludf.DUMMYFUNCTION("""COMPUTED_VALUE"""),"https://drive.google.com/file/d/1WHTsvI8cXTsHTMzEARtyQibIRkXP6qPR/view?usp=drivesdk")</f>
        <v>https://drive.google.com/file/d/1WHTsvI8cXTsHTMzEARtyQibIRkXP6qPR/view?usp=drivesdk</v>
      </c>
      <c r="C801" s="156" t="str">
        <f>IFERROR(__xludf.DUMMYFUNCTION("""COMPUTED_VALUE"""),"10.1093--geronb--gbp041.pdf")</f>
        <v>10.1093--geronb--gbp041.pdf</v>
      </c>
      <c r="D801" s="156" t="str">
        <f>IFERROR(__xludf.DUMMYFUNCTION("""COMPUTED_VALUE"""),"application/pdf")</f>
        <v>application/pdf</v>
      </c>
    </row>
    <row r="802">
      <c r="A802" s="156" t="str">
        <f>IFERROR(__xludf.DUMMYFUNCTION("""COMPUTED_VALUE"""),"10.1348/000712608x386810")</f>
        <v>10.1348/000712608x386810</v>
      </c>
      <c r="B802" s="677" t="str">
        <f>IFERROR(__xludf.DUMMYFUNCTION("""COMPUTED_VALUE"""),"https://drive.google.com/file/d/1n1-6IIrMR1Ro9OHDYaG2T252mQaAxD4l/view?usp=drivesdk")</f>
        <v>https://drive.google.com/file/d/1n1-6IIrMR1Ro9OHDYaG2T252mQaAxD4l/view?usp=drivesdk</v>
      </c>
      <c r="C802" s="156" t="str">
        <f>IFERROR(__xludf.DUMMYFUNCTION("""COMPUTED_VALUE"""),"10.1348--000712608X386810.pdf")</f>
        <v>10.1348--000712608X386810.pdf</v>
      </c>
      <c r="D802" s="156" t="str">
        <f>IFERROR(__xludf.DUMMYFUNCTION("""COMPUTED_VALUE"""),"application/pdf")</f>
        <v>application/pdf</v>
      </c>
    </row>
    <row r="803">
      <c r="A803" s="156" t="str">
        <f>IFERROR(__xludf.DUMMYFUNCTION("""COMPUTED_VALUE"""),"10.1016/0022-1031(82)90083-x")</f>
        <v>10.1016/0022-1031(82)90083-x</v>
      </c>
      <c r="B803" s="677" t="str">
        <f>IFERROR(__xludf.DUMMYFUNCTION("""COMPUTED_VALUE"""),"https://drive.google.com/file/d/1SO2NgOMKNAEqNm3qpHy0seNyhM-OCyRn/view?usp=drivesdk")</f>
        <v>https://drive.google.com/file/d/1SO2NgOMKNAEqNm3qpHy0seNyhM-OCyRn/view?usp=drivesdk</v>
      </c>
      <c r="C803" s="156" t="str">
        <f>IFERROR(__xludf.DUMMYFUNCTION("""COMPUTED_VALUE"""),"10.1016--0022-1031(82)90083-X.pdf")</f>
        <v>10.1016--0022-1031(82)90083-X.pdf</v>
      </c>
      <c r="D803" s="156" t="str">
        <f>IFERROR(__xludf.DUMMYFUNCTION("""COMPUTED_VALUE"""),"application/pdf")</f>
        <v>application/pdf</v>
      </c>
    </row>
    <row r="804">
      <c r="A804" s="156" t="str">
        <f>IFERROR(__xludf.DUMMYFUNCTION("""COMPUTED_VALUE"""),"10.1038/87490")</f>
        <v>10.1038/87490</v>
      </c>
      <c r="B804" s="677" t="str">
        <f>IFERROR(__xludf.DUMMYFUNCTION("""COMPUTED_VALUE"""),"https://drive.google.com/file/d/1nkNVboN9bTFC6MiGQ5olQygyRQ-tqNPO/view?usp=drivesdk")</f>
        <v>https://drive.google.com/file/d/1nkNVboN9bTFC6MiGQ5olQygyRQ-tqNPO/view?usp=drivesdk</v>
      </c>
      <c r="C804" s="156" t="str">
        <f>IFERROR(__xludf.DUMMYFUNCTION("""COMPUTED_VALUE"""),"10.1038--87490.pdf")</f>
        <v>10.1038--87490.pdf</v>
      </c>
      <c r="D804" s="156" t="str">
        <f>IFERROR(__xludf.DUMMYFUNCTION("""COMPUTED_VALUE"""),"application/pdf")</f>
        <v>application/pdf</v>
      </c>
    </row>
    <row r="805">
      <c r="A805" s="156" t="str">
        <f>IFERROR(__xludf.DUMMYFUNCTION("""COMPUTED_VALUE"""),"10.1080/13803390701550110")</f>
        <v>10.1080/13803390701550110</v>
      </c>
      <c r="B805" s="677" t="str">
        <f>IFERROR(__xludf.DUMMYFUNCTION("""COMPUTED_VALUE"""),"https://drive.google.com/file/d/1sigMeAZiOAXFjIsNrKvpBxuAh_CbDGu3/view?usp=drivesdk")</f>
        <v>https://drive.google.com/file/d/1sigMeAZiOAXFjIsNrKvpBxuAh_CbDGu3/view?usp=drivesdk</v>
      </c>
      <c r="C805" s="156" t="str">
        <f>IFERROR(__xludf.DUMMYFUNCTION("""COMPUTED_VALUE"""),"10.1080--13803390701550110.pdf")</f>
        <v>10.1080--13803390701550110.pdf</v>
      </c>
      <c r="D805" s="156" t="str">
        <f>IFERROR(__xludf.DUMMYFUNCTION("""COMPUTED_VALUE"""),"application/pdf")</f>
        <v>application/pdf</v>
      </c>
    </row>
    <row r="806">
      <c r="A806" s="156" t="str">
        <f>IFERROR(__xludf.DUMMYFUNCTION("""COMPUTED_VALUE"""),"10.1080/09658211.2015.1019890")</f>
        <v>10.1080/09658211.2015.1019890</v>
      </c>
      <c r="B806" s="677" t="str">
        <f>IFERROR(__xludf.DUMMYFUNCTION("""COMPUTED_VALUE"""),"https://drive.google.com/file/d/1K1WaixSpclO_JCGx4Upc_1N4qwCDS3ZM/view?usp=drivesdk")</f>
        <v>https://drive.google.com/file/d/1K1WaixSpclO_JCGx4Upc_1N4qwCDS3ZM/view?usp=drivesdk</v>
      </c>
      <c r="C806" s="156" t="str">
        <f>IFERROR(__xludf.DUMMYFUNCTION("""COMPUTED_VALUE"""),"10.1080--09658211.2015.1019890.pdf")</f>
        <v>10.1080--09658211.2015.1019890.pdf</v>
      </c>
      <c r="D806" s="156" t="str">
        <f>IFERROR(__xludf.DUMMYFUNCTION("""COMPUTED_VALUE"""),"application/pdf")</f>
        <v>application/pdf</v>
      </c>
    </row>
    <row r="807">
      <c r="A807" s="156" t="str">
        <f>IFERROR(__xludf.DUMMYFUNCTION("""COMPUTED_VALUE"""),"10.1016/0010-0285(82)90005-6")</f>
        <v>10.1016/0010-0285(82)90005-6</v>
      </c>
      <c r="B807" s="677" t="str">
        <f>IFERROR(__xludf.DUMMYFUNCTION("""COMPUTED_VALUE"""),"https://drive.google.com/file/d/1qkc9JQ29jHCDBeBixkt3JV0SvVijPHtf/view?usp=drivesdk")</f>
        <v>https://drive.google.com/file/d/1qkc9JQ29jHCDBeBixkt3JV0SvVijPHtf/view?usp=drivesdk</v>
      </c>
      <c r="C807" s="156" t="str">
        <f>IFERROR(__xludf.DUMMYFUNCTION("""COMPUTED_VALUE"""),"10.1016--0010-0285(82)90005-6.pdf")</f>
        <v>10.1016--0010-0285(82)90005-6.pdf</v>
      </c>
      <c r="D807" s="156" t="str">
        <f>IFERROR(__xludf.DUMMYFUNCTION("""COMPUTED_VALUE"""),"application/pdf")</f>
        <v>application/pdf</v>
      </c>
    </row>
    <row r="808">
      <c r="A808" s="156" t="str">
        <f>IFERROR(__xludf.DUMMYFUNCTION("""COMPUTED_VALUE"""),"10.1016/j.jml.2014.05.003")</f>
        <v>10.1016/j.jml.2014.05.003</v>
      </c>
      <c r="B808" s="677" t="str">
        <f>IFERROR(__xludf.DUMMYFUNCTION("""COMPUTED_VALUE"""),"https://drive.google.com/file/d/1DqQftbza8azYmIDM9NPZMklghUGJscys/view?usp=drivesdk")</f>
        <v>https://drive.google.com/file/d/1DqQftbza8azYmIDM9NPZMklghUGJscys/view?usp=drivesdk</v>
      </c>
      <c r="C808" s="156" t="str">
        <f>IFERROR(__xludf.DUMMYFUNCTION("""COMPUTED_VALUE"""),"10.1016--j.jml.2014.05.003.pdf")</f>
        <v>10.1016--j.jml.2014.05.003.pdf</v>
      </c>
      <c r="D808" s="156" t="str">
        <f>IFERROR(__xludf.DUMMYFUNCTION("""COMPUTED_VALUE"""),"application/pdf")</f>
        <v>application/pdf</v>
      </c>
    </row>
    <row r="809">
      <c r="A809" s="156" t="str">
        <f>IFERROR(__xludf.DUMMYFUNCTION("""COMPUTED_VALUE"""),"10.1111/bjso.12231")</f>
        <v>10.1111/bjso.12231</v>
      </c>
      <c r="B809" s="677" t="str">
        <f>IFERROR(__xludf.DUMMYFUNCTION("""COMPUTED_VALUE"""),"https://drive.google.com/file/d/1by0UW5BJHCUfVKRFiok9qpkQTl_xBS3X/view?usp=drivesdk")</f>
        <v>https://drive.google.com/file/d/1by0UW5BJHCUfVKRFiok9qpkQTl_xBS3X/view?usp=drivesdk</v>
      </c>
      <c r="C809" s="156" t="str">
        <f>IFERROR(__xludf.DUMMYFUNCTION("""COMPUTED_VALUE"""),"10.1111--bjso.12231.pdf")</f>
        <v>10.1111--bjso.12231.pdf</v>
      </c>
      <c r="D809" s="156" t="str">
        <f>IFERROR(__xludf.DUMMYFUNCTION("""COMPUTED_VALUE"""),"application/pdf")</f>
        <v>application/pdf</v>
      </c>
    </row>
    <row r="810">
      <c r="A810" s="156" t="str">
        <f>IFERROR(__xludf.DUMMYFUNCTION("""COMPUTED_VALUE"""),"10.1016/0001-6918(91)90028-x")</f>
        <v>10.1016/0001-6918(91)90028-x</v>
      </c>
      <c r="B810" s="677" t="str">
        <f>IFERROR(__xludf.DUMMYFUNCTION("""COMPUTED_VALUE"""),"https://drive.google.com/file/d/10nt7oOcfXcuML9cN0iVRkjJVV6jijpFw/view?usp=drivesdk")</f>
        <v>https://drive.google.com/file/d/10nt7oOcfXcuML9cN0iVRkjJVV6jijpFw/view?usp=drivesdk</v>
      </c>
      <c r="C810" s="156" t="str">
        <f>IFERROR(__xludf.DUMMYFUNCTION("""COMPUTED_VALUE"""),"10.1016--0001-6918(91)90028-X.pdf")</f>
        <v>10.1016--0001-6918(91)90028-X.pdf</v>
      </c>
      <c r="D810" s="156" t="str">
        <f>IFERROR(__xludf.DUMMYFUNCTION("""COMPUTED_VALUE"""),"application/pdf")</f>
        <v>application/pdf</v>
      </c>
    </row>
    <row r="811">
      <c r="A811" s="156" t="str">
        <f>IFERROR(__xludf.DUMMYFUNCTION("""COMPUTED_VALUE"""),"10.1037/xhp0000084")</f>
        <v>10.1037/xhp0000084</v>
      </c>
      <c r="B811" s="677" t="str">
        <f>IFERROR(__xludf.DUMMYFUNCTION("""COMPUTED_VALUE"""),"https://drive.google.com/file/d/1I22saxpbc1EHGecBqpT-fXSJhkjweNTY/view?usp=drivesdk")</f>
        <v>https://drive.google.com/file/d/1I22saxpbc1EHGecBqpT-fXSJhkjweNTY/view?usp=drivesdk</v>
      </c>
      <c r="C811" s="156" t="str">
        <f>IFERROR(__xludf.DUMMYFUNCTION("""COMPUTED_VALUE"""),"10.1037--xhp0000084.pdf")</f>
        <v>10.1037--xhp0000084.pdf</v>
      </c>
      <c r="D811" s="156" t="str">
        <f>IFERROR(__xludf.DUMMYFUNCTION("""COMPUTED_VALUE"""),"application/pdf")</f>
        <v>application/pdf</v>
      </c>
    </row>
    <row r="812">
      <c r="A812" s="156" t="str">
        <f>IFERROR(__xludf.DUMMYFUNCTION("""COMPUTED_VALUE"""),"10.1016/j.neurobiolaging.2016.06.011")</f>
        <v>10.1016/j.neurobiolaging.2016.06.011</v>
      </c>
      <c r="B812" s="677" t="str">
        <f>IFERROR(__xludf.DUMMYFUNCTION("""COMPUTED_VALUE"""),"https://drive.google.com/file/d/1OXTMiHbkgJLp_KK1zFuYZ0jHT5c4tMmJ/view?usp=drivesdk")</f>
        <v>https://drive.google.com/file/d/1OXTMiHbkgJLp_KK1zFuYZ0jHT5c4tMmJ/view?usp=drivesdk</v>
      </c>
      <c r="C812" s="156" t="str">
        <f>IFERROR(__xludf.DUMMYFUNCTION("""COMPUTED_VALUE"""),"10.1016--j.neurobiolaging.2016.06.011.pdf")</f>
        <v>10.1016--j.neurobiolaging.2016.06.011.pdf</v>
      </c>
      <c r="D812" s="156" t="str">
        <f>IFERROR(__xludf.DUMMYFUNCTION("""COMPUTED_VALUE"""),"application/pdf")</f>
        <v>application/pdf</v>
      </c>
    </row>
    <row r="813">
      <c r="A813" s="156" t="str">
        <f>IFERROR(__xludf.DUMMYFUNCTION("""COMPUTED_VALUE"""),"10.1037/a0014747")</f>
        <v>10.1037/a0014747</v>
      </c>
      <c r="B813" s="677" t="str">
        <f>IFERROR(__xludf.DUMMYFUNCTION("""COMPUTED_VALUE"""),"https://drive.google.com/file/d/1_TP0Wa0yXbq86Xa2Y4btjURi-Y9mFjR_/view?usp=drivesdk")</f>
        <v>https://drive.google.com/file/d/1_TP0Wa0yXbq86Xa2Y4btjURi-Y9mFjR_/view?usp=drivesdk</v>
      </c>
      <c r="C813" s="156" t="str">
        <f>IFERROR(__xludf.DUMMYFUNCTION("""COMPUTED_VALUE"""),"10.1037--a0014747.pdf")</f>
        <v>10.1037--a0014747.pdf</v>
      </c>
      <c r="D813" s="156" t="str">
        <f>IFERROR(__xludf.DUMMYFUNCTION("""COMPUTED_VALUE"""),"application/pdf")</f>
        <v>application/pdf</v>
      </c>
    </row>
    <row r="814">
      <c r="A814" s="156" t="str">
        <f>IFERROR(__xludf.DUMMYFUNCTION("""COMPUTED_VALUE"""),"10.1037/a0017400")</f>
        <v>10.1037/a0017400</v>
      </c>
      <c r="B814" s="677" t="str">
        <f>IFERROR(__xludf.DUMMYFUNCTION("""COMPUTED_VALUE"""),"https://drive.google.com/file/d/1uEj_Q_UT0YXivXf3SOQHbic6SSKOP5Wo/view?usp=drivesdk")</f>
        <v>https://drive.google.com/file/d/1uEj_Q_UT0YXivXf3SOQHbic6SSKOP5Wo/view?usp=drivesdk</v>
      </c>
      <c r="C814" s="156" t="str">
        <f>IFERROR(__xludf.DUMMYFUNCTION("""COMPUTED_VALUE"""),"10.1037--a0017400.pdf")</f>
        <v>10.1037--a0017400.pdf</v>
      </c>
      <c r="D814" s="156" t="str">
        <f>IFERROR(__xludf.DUMMYFUNCTION("""COMPUTED_VALUE"""),"application/pdf")</f>
        <v>application/pdf</v>
      </c>
    </row>
    <row r="815">
      <c r="A815" s="156" t="str">
        <f>IFERROR(__xludf.DUMMYFUNCTION("""COMPUTED_VALUE"""),"10.1207/s15327752jpa8701_10")</f>
        <v>10.1207/s15327752jpa8701_10</v>
      </c>
      <c r="B815" s="677" t="str">
        <f>IFERROR(__xludf.DUMMYFUNCTION("""COMPUTED_VALUE"""),"https://drive.google.com/file/d/1dm4HHoXNo8_SdBZJx-lq8iR_0SiURHVb/view?usp=drivesdk")</f>
        <v>https://drive.google.com/file/d/1dm4HHoXNo8_SdBZJx-lq8iR_0SiURHVb/view?usp=drivesdk</v>
      </c>
      <c r="C815" s="156" t="str">
        <f>IFERROR(__xludf.DUMMYFUNCTION("""COMPUTED_VALUE"""),"10.1207--s15327752jpa8701_10.pdf")</f>
        <v>10.1207--s15327752jpa8701_10.pdf</v>
      </c>
      <c r="D815" s="156" t="str">
        <f>IFERROR(__xludf.DUMMYFUNCTION("""COMPUTED_VALUE"""),"application/pdf")</f>
        <v>application/pdf</v>
      </c>
    </row>
    <row r="816">
      <c r="A816" s="156" t="str">
        <f>IFERROR(__xludf.DUMMYFUNCTION("""COMPUTED_VALUE"""),"10.1016/j.neulet.2009.06.030")</f>
        <v>10.1016/j.neulet.2009.06.030</v>
      </c>
      <c r="B816" s="677" t="str">
        <f>IFERROR(__xludf.DUMMYFUNCTION("""COMPUTED_VALUE"""),"https://drive.google.com/file/d/1hmdhIHSa7EL6Z9nObEoIfsJkwqlb-ff4/view?usp=drivesdk")</f>
        <v>https://drive.google.com/file/d/1hmdhIHSa7EL6Z9nObEoIfsJkwqlb-ff4/view?usp=drivesdk</v>
      </c>
      <c r="C816" s="156" t="str">
        <f>IFERROR(__xludf.DUMMYFUNCTION("""COMPUTED_VALUE"""),"10.1016--j.neulet.2009.06.030.pdf")</f>
        <v>10.1016--j.neulet.2009.06.030.pdf</v>
      </c>
      <c r="D816" s="156" t="str">
        <f>IFERROR(__xludf.DUMMYFUNCTION("""COMPUTED_VALUE"""),"application/pdf")</f>
        <v>application/pdf</v>
      </c>
    </row>
    <row r="817">
      <c r="A817" s="156" t="str">
        <f>IFERROR(__xludf.DUMMYFUNCTION("""COMPUTED_VALUE"""),"10.1037/0021-9010.93.3.513")</f>
        <v>10.1037/0021-9010.93.3.513</v>
      </c>
      <c r="B817" s="677" t="str">
        <f>IFERROR(__xludf.DUMMYFUNCTION("""COMPUTED_VALUE"""),"https://drive.google.com/file/d/11pMvJ_CVfDeFL9ZeNZJUUEduMVPAFsyi/view?usp=drivesdk")</f>
        <v>https://drive.google.com/file/d/11pMvJ_CVfDeFL9ZeNZJUUEduMVPAFsyi/view?usp=drivesdk</v>
      </c>
      <c r="C817" s="156" t="str">
        <f>IFERROR(__xludf.DUMMYFUNCTION("""COMPUTED_VALUE"""),"10.1037--0021-9010.93.3.513.pdf")</f>
        <v>10.1037--0021-9010.93.3.513.pdf</v>
      </c>
      <c r="D817" s="156" t="str">
        <f>IFERROR(__xludf.DUMMYFUNCTION("""COMPUTED_VALUE"""),"application/pdf")</f>
        <v>application/pdf</v>
      </c>
    </row>
    <row r="818">
      <c r="A818" s="156" t="str">
        <f>IFERROR(__xludf.DUMMYFUNCTION("""COMPUTED_VALUE"""),"10.1016/s0960-9822(00)00672-2")</f>
        <v>10.1016/s0960-9822(00)00672-2</v>
      </c>
      <c r="B818" s="677" t="str">
        <f>IFERROR(__xludf.DUMMYFUNCTION("""COMPUTED_VALUE"""),"https://drive.google.com/file/d/1K0eJKcnQRt66lAmIESx0PMwKg8V3iAfG/view?usp=drivesdk")</f>
        <v>https://drive.google.com/file/d/1K0eJKcnQRt66lAmIESx0PMwKg8V3iAfG/view?usp=drivesdk</v>
      </c>
      <c r="C818" s="156" t="str">
        <f>IFERROR(__xludf.DUMMYFUNCTION("""COMPUTED_VALUE"""),"10.1016--S0960-9822(00)00672-2.pdf")</f>
        <v>10.1016--S0960-9822(00)00672-2.pdf</v>
      </c>
      <c r="D818" s="156" t="str">
        <f>IFERROR(__xludf.DUMMYFUNCTION("""COMPUTED_VALUE"""),"application/pdf")</f>
        <v>application/pdf</v>
      </c>
    </row>
    <row r="819">
      <c r="A819" s="156" t="str">
        <f>IFERROR(__xludf.DUMMYFUNCTION("""COMPUTED_VALUE"""),"10.1080/14640748808402300")</f>
        <v>10.1080/14640748808402300</v>
      </c>
      <c r="B819" s="677" t="str">
        <f>IFERROR(__xludf.DUMMYFUNCTION("""COMPUTED_VALUE"""),"https://drive.google.com/file/d/1n6o1Qp7PKqqbb7iGxwiWf9eTzY31KZxU/view?usp=drivesdk")</f>
        <v>https://drive.google.com/file/d/1n6o1Qp7PKqqbb7iGxwiWf9eTzY31KZxU/view?usp=drivesdk</v>
      </c>
      <c r="C819" s="156" t="str">
        <f>IFERROR(__xludf.DUMMYFUNCTION("""COMPUTED_VALUE"""),"10.1080--14640748808402300.pdf")</f>
        <v>10.1080--14640748808402300.pdf</v>
      </c>
      <c r="D819" s="156" t="str">
        <f>IFERROR(__xludf.DUMMYFUNCTION("""COMPUTED_VALUE"""),"application/pdf")</f>
        <v>application/pdf</v>
      </c>
    </row>
    <row r="820">
      <c r="A820" s="156" t="str">
        <f>IFERROR(__xludf.DUMMYFUNCTION("""COMPUTED_VALUE"""),"10.3758/s13421-010-0023-6")</f>
        <v>10.3758/s13421-010-0023-6</v>
      </c>
      <c r="B820" s="677" t="str">
        <f>IFERROR(__xludf.DUMMYFUNCTION("""COMPUTED_VALUE"""),"https://drive.google.com/file/d/18ac5266QZEasrJychSNi7jb-OpL3x40W/view?usp=drivesdk")</f>
        <v>https://drive.google.com/file/d/18ac5266QZEasrJychSNi7jb-OpL3x40W/view?usp=drivesdk</v>
      </c>
      <c r="C820" s="156" t="str">
        <f>IFERROR(__xludf.DUMMYFUNCTION("""COMPUTED_VALUE"""),"10.3758--s13421-010-0023-6.pdf")</f>
        <v>10.3758--s13421-010-0023-6.pdf</v>
      </c>
      <c r="D820" s="156" t="str">
        <f>IFERROR(__xludf.DUMMYFUNCTION("""COMPUTED_VALUE"""),"application/pdf")</f>
        <v>application/pdf</v>
      </c>
    </row>
    <row r="821">
      <c r="A821" s="156" t="str">
        <f>IFERROR(__xludf.DUMMYFUNCTION("""COMPUTED_VALUE"""),"10.1111/j.1467-8624.2010.01512.x")</f>
        <v>10.1111/j.1467-8624.2010.01512.x</v>
      </c>
      <c r="B821" s="677" t="str">
        <f>IFERROR(__xludf.DUMMYFUNCTION("""COMPUTED_VALUE"""),"https://drive.google.com/file/d/1Sefz-Q7mz41kQmRmnDvSwg5gqIK0WBnG/view?usp=drivesdk")</f>
        <v>https://drive.google.com/file/d/1Sefz-Q7mz41kQmRmnDvSwg5gqIK0WBnG/view?usp=drivesdk</v>
      </c>
      <c r="C821" s="156" t="str">
        <f>IFERROR(__xludf.DUMMYFUNCTION("""COMPUTED_VALUE"""),"10.1111--j.1467-8624.2010.01512.x.pdf")</f>
        <v>10.1111--j.1467-8624.2010.01512.x.pdf</v>
      </c>
      <c r="D821" s="156" t="str">
        <f>IFERROR(__xludf.DUMMYFUNCTION("""COMPUTED_VALUE"""),"application/pdf")</f>
        <v>application/pdf</v>
      </c>
    </row>
    <row r="822">
      <c r="A822" s="156" t="str">
        <f>IFERROR(__xludf.DUMMYFUNCTION("""COMPUTED_VALUE"""),"10.1016/j.paid.2010.09.021.")</f>
        <v>10.1016/j.paid.2010.09.021.</v>
      </c>
      <c r="B822" s="677" t="str">
        <f>IFERROR(__xludf.DUMMYFUNCTION("""COMPUTED_VALUE"""),"https://drive.google.com/file/d/1jbq11eIFm8vAYC4_yXfmwl9MB3vGb54_/view?usp=drivesdk")</f>
        <v>https://drive.google.com/file/d/1jbq11eIFm8vAYC4_yXfmwl9MB3vGb54_/view?usp=drivesdk</v>
      </c>
      <c r="C822" s="156" t="str">
        <f>IFERROR(__xludf.DUMMYFUNCTION("""COMPUTED_VALUE"""),"10.1016--j.paid.2010.09.021..pdf")</f>
        <v>10.1016--j.paid.2010.09.021..pdf</v>
      </c>
      <c r="D822" s="156" t="str">
        <f>IFERROR(__xludf.DUMMYFUNCTION("""COMPUTED_VALUE"""),"application/pdf")</f>
        <v>application/pdf</v>
      </c>
    </row>
    <row r="823">
      <c r="A823" s="156" t="str">
        <f>IFERROR(__xludf.DUMMYFUNCTION("""COMPUTED_VALUE"""),"10.1016/j.lingua.2013.05.004")</f>
        <v>10.1016/j.lingua.2013.05.004</v>
      </c>
      <c r="B823" s="677" t="str">
        <f>IFERROR(__xludf.DUMMYFUNCTION("""COMPUTED_VALUE"""),"https://drive.google.com/file/d/19jcT2kBbSLBsA8f-ZU3m1rUwFWGPTEWO/view?usp=drivesdk")</f>
        <v>https://drive.google.com/file/d/19jcT2kBbSLBsA8f-ZU3m1rUwFWGPTEWO/view?usp=drivesdk</v>
      </c>
      <c r="C823" s="156" t="str">
        <f>IFERROR(__xludf.DUMMYFUNCTION("""COMPUTED_VALUE"""),"10.1016--j.lingua.2013.05.004.pdf")</f>
        <v>10.1016--j.lingua.2013.05.004.pdf</v>
      </c>
      <c r="D823" s="156" t="str">
        <f>IFERROR(__xludf.DUMMYFUNCTION("""COMPUTED_VALUE"""),"application/pdf")</f>
        <v>application/pdf</v>
      </c>
    </row>
    <row r="824">
      <c r="A824" s="156" t="str">
        <f>IFERROR(__xludf.DUMMYFUNCTION("""COMPUTED_VALUE"""),"10.1080/17470218.2013.859714")</f>
        <v>10.1080/17470218.2013.859714</v>
      </c>
      <c r="B824" s="677" t="str">
        <f>IFERROR(__xludf.DUMMYFUNCTION("""COMPUTED_VALUE"""),"https://drive.google.com/file/d/1qpys0s9nBCJzlrBNa7f6gyySvyXL7MXJ/view?usp=drivesdk")</f>
        <v>https://drive.google.com/file/d/1qpys0s9nBCJzlrBNa7f6gyySvyXL7MXJ/view?usp=drivesdk</v>
      </c>
      <c r="C824" s="156" t="str">
        <f>IFERROR(__xludf.DUMMYFUNCTION("""COMPUTED_VALUE"""),"10.1080--17470218.2013.859714.pdf")</f>
        <v>10.1080--17470218.2013.859714.pdf</v>
      </c>
      <c r="D824" s="156" t="str">
        <f>IFERROR(__xludf.DUMMYFUNCTION("""COMPUTED_VALUE"""),"application/pdf")</f>
        <v>application/pdf</v>
      </c>
    </row>
    <row r="825">
      <c r="A825" s="156" t="str">
        <f>IFERROR(__xludf.DUMMYFUNCTION("""COMPUTED_VALUE"""),"10.1121/1.3629144")</f>
        <v>10.1121/1.3629144</v>
      </c>
      <c r="B825" s="677" t="str">
        <f>IFERROR(__xludf.DUMMYFUNCTION("""COMPUTED_VALUE"""),"https://drive.google.com/file/d/1MvZu5qo0pPQcoL6SAizgSBHhn4-T6jfM/view?usp=drivesdk")</f>
        <v>https://drive.google.com/file/d/1MvZu5qo0pPQcoL6SAizgSBHhn4-T6jfM/view?usp=drivesdk</v>
      </c>
      <c r="C825" s="156" t="str">
        <f>IFERROR(__xludf.DUMMYFUNCTION("""COMPUTED_VALUE"""),"10.1121--1.3629144.pdf")</f>
        <v>10.1121--1.3629144.pdf</v>
      </c>
      <c r="D825" s="156" t="str">
        <f>IFERROR(__xludf.DUMMYFUNCTION("""COMPUTED_VALUE"""),"application/pdf")</f>
        <v>application/pdf</v>
      </c>
    </row>
    <row r="826">
      <c r="A826" s="156" t="str">
        <f>IFERROR(__xludf.DUMMYFUNCTION("""COMPUTED_VALUE"""),"10.1016/j.jecp.2006.03.009")</f>
        <v>10.1016/j.jecp.2006.03.009</v>
      </c>
      <c r="B826" s="677" t="str">
        <f>IFERROR(__xludf.DUMMYFUNCTION("""COMPUTED_VALUE"""),"https://drive.google.com/file/d/1c1k1gKJ0KBPYv5VRXYOoGS_3bgJfnTwd/view?usp=drivesdk")</f>
        <v>https://drive.google.com/file/d/1c1k1gKJ0KBPYv5VRXYOoGS_3bgJfnTwd/view?usp=drivesdk</v>
      </c>
      <c r="C826" s="156" t="str">
        <f>IFERROR(__xludf.DUMMYFUNCTION("""COMPUTED_VALUE"""),"10.1016--j.jecp.2006.03.009.pdf")</f>
        <v>10.1016--j.jecp.2006.03.009.pdf</v>
      </c>
      <c r="D826" s="156" t="str">
        <f>IFERROR(__xludf.DUMMYFUNCTION("""COMPUTED_VALUE"""),"application/pdf")</f>
        <v>application/pdf</v>
      </c>
    </row>
    <row r="827">
      <c r="A827" s="156" t="str">
        <f>IFERROR(__xludf.DUMMYFUNCTION("""COMPUTED_VALUE"""),"10.1037/0033-295x.84.4.327")</f>
        <v>10.1037/0033-295x.84.4.327</v>
      </c>
      <c r="B827" s="677" t="str">
        <f>IFERROR(__xludf.DUMMYFUNCTION("""COMPUTED_VALUE"""),"https://drive.google.com/file/d/10TV0T46B7cqSe0DuBNj6RYiSrqG-eO8l/view?usp=drivesdk")</f>
        <v>https://drive.google.com/file/d/10TV0T46B7cqSe0DuBNj6RYiSrqG-eO8l/view?usp=drivesdk</v>
      </c>
      <c r="C827" s="156" t="str">
        <f>IFERROR(__xludf.DUMMYFUNCTION("""COMPUTED_VALUE"""),"10.1037--0033-295X.84.4.327.pdf")</f>
        <v>10.1037--0033-295X.84.4.327.pdf</v>
      </c>
      <c r="D827" s="156" t="str">
        <f>IFERROR(__xludf.DUMMYFUNCTION("""COMPUTED_VALUE"""),"application/pdf")</f>
        <v>application/pdf</v>
      </c>
    </row>
    <row r="828">
      <c r="A828" s="156" t="str">
        <f>IFERROR(__xludf.DUMMYFUNCTION("""COMPUTED_VALUE"""),"10.1007/s00213-012-2745-6")</f>
        <v>10.1007/s00213-012-2745-6</v>
      </c>
      <c r="B828" s="677" t="str">
        <f>IFERROR(__xludf.DUMMYFUNCTION("""COMPUTED_VALUE"""),"https://drive.google.com/file/d/17RrMQtMr27FGUV7R-pVdPn87s05UNWWl/view?usp=drivesdk")</f>
        <v>https://drive.google.com/file/d/17RrMQtMr27FGUV7R-pVdPn87s05UNWWl/view?usp=drivesdk</v>
      </c>
      <c r="C828" s="156" t="str">
        <f>IFERROR(__xludf.DUMMYFUNCTION("""COMPUTED_VALUE"""),"10.1007--s00213-012-2745-6.pdf")</f>
        <v>10.1007--s00213-012-2745-6.pdf</v>
      </c>
      <c r="D828" s="156" t="str">
        <f>IFERROR(__xludf.DUMMYFUNCTION("""COMPUTED_VALUE"""),"application/pdf")</f>
        <v>application/pdf</v>
      </c>
    </row>
    <row r="829">
      <c r="A829" s="156" t="str">
        <f>IFERROR(__xludf.DUMMYFUNCTION("""COMPUTED_VALUE"""),"10.1037/a0019187")</f>
        <v>10.1037/a0019187</v>
      </c>
      <c r="B829" s="677" t="str">
        <f>IFERROR(__xludf.DUMMYFUNCTION("""COMPUTED_VALUE"""),"https://drive.google.com/file/d/1EJi1y_1ouX9AqIRv0DPgc0QP6Rskbwgf/view?usp=drivesdk")</f>
        <v>https://drive.google.com/file/d/1EJi1y_1ouX9AqIRv0DPgc0QP6Rskbwgf/view?usp=drivesdk</v>
      </c>
      <c r="C829" s="156" t="str">
        <f>IFERROR(__xludf.DUMMYFUNCTION("""COMPUTED_VALUE"""),"10.1037--a0019187.pdf")</f>
        <v>10.1037--a0019187.pdf</v>
      </c>
      <c r="D829" s="156" t="str">
        <f>IFERROR(__xludf.DUMMYFUNCTION("""COMPUTED_VALUE"""),"application/pdf")</f>
        <v>application/pdf</v>
      </c>
    </row>
    <row r="830">
      <c r="A830" s="156" t="str">
        <f>IFERROR(__xludf.DUMMYFUNCTION("""COMPUTED_VALUE"""),"10.1523/jneurosci.2513-09.2009")</f>
        <v>10.1523/jneurosci.2513-09.2009</v>
      </c>
      <c r="B830" s="677" t="str">
        <f>IFERROR(__xludf.DUMMYFUNCTION("""COMPUTED_VALUE"""),"https://drive.google.com/file/d/1KN1EWniqjNl4OnLIFMrGRR63JlQklVIO/view?usp=drivesdk")</f>
        <v>https://drive.google.com/file/d/1KN1EWniqjNl4OnLIFMrGRR63JlQklVIO/view?usp=drivesdk</v>
      </c>
      <c r="C830" s="156" t="str">
        <f>IFERROR(__xludf.DUMMYFUNCTION("""COMPUTED_VALUE"""),"10.1523--JNEUROSCI.2513-09.2009.pdf")</f>
        <v>10.1523--JNEUROSCI.2513-09.2009.pdf</v>
      </c>
      <c r="D830" s="156" t="str">
        <f>IFERROR(__xludf.DUMMYFUNCTION("""COMPUTED_VALUE"""),"application/pdf")</f>
        <v>application/pdf</v>
      </c>
    </row>
    <row r="831">
      <c r="A831" s="156" t="str">
        <f>IFERROR(__xludf.DUMMYFUNCTION("""COMPUTED_VALUE"""),"10.1037/0022-0167.53.2.151")</f>
        <v>10.1037/0022-0167.53.2.151</v>
      </c>
      <c r="B831" s="677" t="str">
        <f>IFERROR(__xludf.DUMMYFUNCTION("""COMPUTED_VALUE"""),"https://drive.google.com/file/d/11TkjjlIy0l1_VcddPFY6PZdNPWLNgYgp/view?usp=drivesdk")</f>
        <v>https://drive.google.com/file/d/11TkjjlIy0l1_VcddPFY6PZdNPWLNgYgp/view?usp=drivesdk</v>
      </c>
      <c r="C831" s="156" t="str">
        <f>IFERROR(__xludf.DUMMYFUNCTION("""COMPUTED_VALUE"""),"10.1037--0022-0167.53.2.151.pdf")</f>
        <v>10.1037--0022-0167.53.2.151.pdf</v>
      </c>
      <c r="D831" s="156" t="str">
        <f>IFERROR(__xludf.DUMMYFUNCTION("""COMPUTED_VALUE"""),"application/pdf")</f>
        <v>application/pdf</v>
      </c>
    </row>
    <row r="832">
      <c r="A832" s="156" t="str">
        <f>IFERROR(__xludf.DUMMYFUNCTION("""COMPUTED_VALUE"""),"10.1001/archgenpsychiatry.2011.1574")</f>
        <v>10.1001/archgenpsychiatry.2011.1574</v>
      </c>
      <c r="B832" s="677" t="str">
        <f>IFERROR(__xludf.DUMMYFUNCTION("""COMPUTED_VALUE"""),"https://drive.google.com/file/d/1MA-4Wk9ULU29KzmGixLnWU7Vpj89d19H/view?usp=drivesdk")</f>
        <v>https://drive.google.com/file/d/1MA-4Wk9ULU29KzmGixLnWU7Vpj89d19H/view?usp=drivesdk</v>
      </c>
      <c r="C832" s="156" t="str">
        <f>IFERROR(__xludf.DUMMYFUNCTION("""COMPUTED_VALUE"""),"10.1001--archgenpsychiatry.2011.1574.pdf")</f>
        <v>10.1001--archgenpsychiatry.2011.1574.pdf</v>
      </c>
      <c r="D832" s="156" t="str">
        <f>IFERROR(__xludf.DUMMYFUNCTION("""COMPUTED_VALUE"""),"application/pdf")</f>
        <v>application/pdf</v>
      </c>
    </row>
    <row r="833">
      <c r="A833" s="156" t="str">
        <f>IFERROR(__xludf.DUMMYFUNCTION("""COMPUTED_VALUE"""),"10.1016/j.pain.2004.07.022")</f>
        <v>10.1016/j.pain.2004.07.022</v>
      </c>
      <c r="B833" s="677" t="str">
        <f>IFERROR(__xludf.DUMMYFUNCTION("""COMPUTED_VALUE"""),"https://drive.google.com/file/d/11i_Elby3e5vg0K4oxYHAqkgbsyXT0wuh/view?usp=drivesdk")</f>
        <v>https://drive.google.com/file/d/11i_Elby3e5vg0K4oxYHAqkgbsyXT0wuh/view?usp=drivesdk</v>
      </c>
      <c r="C833" s="156" t="str">
        <f>IFERROR(__xludf.DUMMYFUNCTION("""COMPUTED_VALUE"""),"10.1016--j.pain.2004.07.022.pdf")</f>
        <v>10.1016--j.pain.2004.07.022.pdf</v>
      </c>
      <c r="D833" s="156" t="str">
        <f>IFERROR(__xludf.DUMMYFUNCTION("""COMPUTED_VALUE"""),"application/pdf")</f>
        <v>application/pdf</v>
      </c>
    </row>
    <row r="834">
      <c r="A834" s="156" t="str">
        <f>IFERROR(__xludf.DUMMYFUNCTION("""COMPUTED_VALUE"""),"10.1002/bin.269")</f>
        <v>10.1002/bin.269</v>
      </c>
      <c r="B834" s="677" t="str">
        <f>IFERROR(__xludf.DUMMYFUNCTION("""COMPUTED_VALUE"""),"https://drive.google.com/file/d/1oCYIZ3A3h_Atk2WmT9epdXO3AdLdzZn6/view?usp=drivesdk")</f>
        <v>https://drive.google.com/file/d/1oCYIZ3A3h_Atk2WmT9epdXO3AdLdzZn6/view?usp=drivesdk</v>
      </c>
      <c r="C834" s="156" t="str">
        <f>IFERROR(__xludf.DUMMYFUNCTION("""COMPUTED_VALUE"""),"10.1002--bin.269.pdf")</f>
        <v>10.1002--bin.269.pdf</v>
      </c>
      <c r="D834" s="156" t="str">
        <f>IFERROR(__xludf.DUMMYFUNCTION("""COMPUTED_VALUE"""),"application/pdf")</f>
        <v>application/pdf</v>
      </c>
    </row>
    <row r="835">
      <c r="A835" s="156" t="str">
        <f>IFERROR(__xludf.DUMMYFUNCTION("""COMPUTED_VALUE"""),"10.1068/p7140")</f>
        <v>10.1068/p7140</v>
      </c>
      <c r="B835" s="677" t="str">
        <f>IFERROR(__xludf.DUMMYFUNCTION("""COMPUTED_VALUE"""),"https://drive.google.com/file/d/11sWex7jKveQZeyuHutPSEfoLLG3wPuUJ/view?usp=drivesdk")</f>
        <v>https://drive.google.com/file/d/11sWex7jKveQZeyuHutPSEfoLLG3wPuUJ/view?usp=drivesdk</v>
      </c>
      <c r="C835" s="156" t="str">
        <f>IFERROR(__xludf.DUMMYFUNCTION("""COMPUTED_VALUE"""),"10.1068--p7140.pdf")</f>
        <v>10.1068--p7140.pdf</v>
      </c>
      <c r="D835" s="156" t="str">
        <f>IFERROR(__xludf.DUMMYFUNCTION("""COMPUTED_VALUE"""),"application/pdf")</f>
        <v>application/pdf</v>
      </c>
    </row>
    <row r="836">
      <c r="A836" s="156" t="str">
        <f>IFERROR(__xludf.DUMMYFUNCTION("""COMPUTED_VALUE"""),"10.1037/0022-3514.88.6.1029")</f>
        <v>10.1037/0022-3514.88.6.1029</v>
      </c>
      <c r="B836" s="677" t="str">
        <f>IFERROR(__xludf.DUMMYFUNCTION("""COMPUTED_VALUE"""),"https://drive.google.com/file/d/15-fNv-w_EYbUj3hP_RrWjmQtKmIxjNcl/view?usp=drivesdk")</f>
        <v>https://drive.google.com/file/d/15-fNv-w_EYbUj3hP_RrWjmQtKmIxjNcl/view?usp=drivesdk</v>
      </c>
      <c r="C836" s="156" t="str">
        <f>IFERROR(__xludf.DUMMYFUNCTION("""COMPUTED_VALUE"""),"10.1037--0022-3514.88.6.1029.pdf")</f>
        <v>10.1037--0022-3514.88.6.1029.pdf</v>
      </c>
      <c r="D836" s="156" t="str">
        <f>IFERROR(__xludf.DUMMYFUNCTION("""COMPUTED_VALUE"""),"application/pdf")</f>
        <v>application/pdf</v>
      </c>
    </row>
    <row r="837">
      <c r="A837" s="156" t="str">
        <f>IFERROR(__xludf.DUMMYFUNCTION("""COMPUTED_VALUE"""),"10.1016/j.cognition.2006.07.003")</f>
        <v>10.1016/j.cognition.2006.07.003</v>
      </c>
      <c r="B837" s="677" t="str">
        <f>IFERROR(__xludf.DUMMYFUNCTION("""COMPUTED_VALUE"""),"https://drive.google.com/file/d/1WRp-XKYuoC--ZzptdZHr_Zl2Y1f41l8M/view?usp=drivesdk")</f>
        <v>https://drive.google.com/file/d/1WRp-XKYuoC--ZzptdZHr_Zl2Y1f41l8M/view?usp=drivesdk</v>
      </c>
      <c r="C837" s="156" t="str">
        <f>IFERROR(__xludf.DUMMYFUNCTION("""COMPUTED_VALUE"""),"10.1016--j.cognition.2006.07.003.pdf")</f>
        <v>10.1016--j.cognition.2006.07.003.pdf</v>
      </c>
      <c r="D837" s="156" t="str">
        <f>IFERROR(__xludf.DUMMYFUNCTION("""COMPUTED_VALUE"""),"application/pdf")</f>
        <v>application/pdf</v>
      </c>
    </row>
    <row r="838">
      <c r="A838" s="156" t="str">
        <f>IFERROR(__xludf.DUMMYFUNCTION("""COMPUTED_VALUE"""),"10.1080/17470218.2013.836232")</f>
        <v>10.1080/17470218.2013.836232</v>
      </c>
      <c r="B838" s="677" t="str">
        <f>IFERROR(__xludf.DUMMYFUNCTION("""COMPUTED_VALUE"""),"https://drive.google.com/file/d/1J_cS1D8HkOdqvBmQsXHjL1FZDmJs7lqQ/view?usp=drivesdk")</f>
        <v>https://drive.google.com/file/d/1J_cS1D8HkOdqvBmQsXHjL1FZDmJs7lqQ/view?usp=drivesdk</v>
      </c>
      <c r="C838" s="156" t="str">
        <f>IFERROR(__xludf.DUMMYFUNCTION("""COMPUTED_VALUE"""),"10.1080--17470218.2013.836232.pdf")</f>
        <v>10.1080--17470218.2013.836232.pdf</v>
      </c>
      <c r="D838" s="156" t="str">
        <f>IFERROR(__xludf.DUMMYFUNCTION("""COMPUTED_VALUE"""),"application/pdf")</f>
        <v>application/pdf</v>
      </c>
    </row>
    <row r="839">
      <c r="A839" s="156" t="str">
        <f>IFERROR(__xludf.DUMMYFUNCTION("""COMPUTED_VALUE"""),"10.1080/0015587x.1920.9719123")</f>
        <v>10.1080/0015587x.1920.9719123</v>
      </c>
      <c r="B839" s="677" t="str">
        <f>IFERROR(__xludf.DUMMYFUNCTION("""COMPUTED_VALUE"""),"https://drive.google.com/file/d/1u_OXA8JrcF5gJWXF7Ba95PFAVzQEQmQK/view?usp=drivesdk")</f>
        <v>https://drive.google.com/file/d/1u_OXA8JrcF5gJWXF7Ba95PFAVzQEQmQK/view?usp=drivesdk</v>
      </c>
      <c r="C839" s="156" t="str">
        <f>IFERROR(__xludf.DUMMYFUNCTION("""COMPUTED_VALUE"""),"10.1080--0015587X.1920.9719123.pdf")</f>
        <v>10.1080--0015587X.1920.9719123.pdf</v>
      </c>
      <c r="D839" s="156" t="str">
        <f>IFERROR(__xludf.DUMMYFUNCTION("""COMPUTED_VALUE"""),"application/pdf")</f>
        <v>application/pdf</v>
      </c>
    </row>
    <row r="840">
      <c r="A840" s="156" t="str">
        <f>IFERROR(__xludf.DUMMYFUNCTION("""COMPUTED_VALUE"""),"10.3389/fpsyg.2011.00183")</f>
        <v>10.3389/fpsyg.2011.00183</v>
      </c>
      <c r="B840" s="677" t="str">
        <f>IFERROR(__xludf.DUMMYFUNCTION("""COMPUTED_VALUE"""),"https://drive.google.com/file/d/1Hg5VDszXlRVdNjTivLuNrhGtcNgJY6YO/view?usp=drivesdk")</f>
        <v>https://drive.google.com/file/d/1Hg5VDszXlRVdNjTivLuNrhGtcNgJY6YO/view?usp=drivesdk</v>
      </c>
      <c r="C840" s="156" t="str">
        <f>IFERROR(__xludf.DUMMYFUNCTION("""COMPUTED_VALUE"""),"10.3389--fpsyg.2011.00183.pdf")</f>
        <v>10.3389--fpsyg.2011.00183.pdf</v>
      </c>
      <c r="D840" s="156" t="str">
        <f>IFERROR(__xludf.DUMMYFUNCTION("""COMPUTED_VALUE"""),"application/pdf")</f>
        <v>application/pdf</v>
      </c>
    </row>
    <row r="841">
      <c r="A841" s="156" t="str">
        <f>IFERROR(__xludf.DUMMYFUNCTION("""COMPUTED_VALUE"""),"10.3389/fpsyg.2015.00786")</f>
        <v>10.3389/fpsyg.2015.00786</v>
      </c>
      <c r="B841" s="677" t="str">
        <f>IFERROR(__xludf.DUMMYFUNCTION("""COMPUTED_VALUE"""),"https://drive.google.com/file/d/1njR1v7uD-9OdwkjARV_BDFPe9y6XzZrq/view?usp=drivesdk")</f>
        <v>https://drive.google.com/file/d/1njR1v7uD-9OdwkjARV_BDFPe9y6XzZrq/view?usp=drivesdk</v>
      </c>
      <c r="C841" s="156" t="str">
        <f>IFERROR(__xludf.DUMMYFUNCTION("""COMPUTED_VALUE"""),"10.3389--fpsyg.2015.00786.pdf")</f>
        <v>10.3389--fpsyg.2015.00786.pdf</v>
      </c>
      <c r="D841" s="156" t="str">
        <f>IFERROR(__xludf.DUMMYFUNCTION("""COMPUTED_VALUE"""),"application/pdf")</f>
        <v>application/pdf</v>
      </c>
    </row>
    <row r="842">
      <c r="A842" s="156" t="str">
        <f>IFERROR(__xludf.DUMMYFUNCTION("""COMPUTED_VALUE"""),"10.1073/pnas.1103880109")</f>
        <v>10.1073/pnas.1103880109</v>
      </c>
      <c r="B842" s="677" t="str">
        <f>IFERROR(__xludf.DUMMYFUNCTION("""COMPUTED_VALUE"""),"https://drive.google.com/file/d/1PNJ6Sq6xUR5S96FFpdedDGYdBuw5Vlgi/view?usp=drivesdk")</f>
        <v>https://drive.google.com/file/d/1PNJ6Sq6xUR5S96FFpdedDGYdBuw5Vlgi/view?usp=drivesdk</v>
      </c>
      <c r="C842" s="156" t="str">
        <f>IFERROR(__xludf.DUMMYFUNCTION("""COMPUTED_VALUE"""),"10.1073--pnas.1103880109.pdf")</f>
        <v>10.1073--pnas.1103880109.pdf</v>
      </c>
      <c r="D842" s="156" t="str">
        <f>IFERROR(__xludf.DUMMYFUNCTION("""COMPUTED_VALUE"""),"application/pdf")</f>
        <v>application/pdf</v>
      </c>
    </row>
    <row r="843">
      <c r="A843" s="156" t="str">
        <f>IFERROR(__xludf.DUMMYFUNCTION("""COMPUTED_VALUE"""),"10.1207/s15327752jpa5001_2")</f>
        <v>10.1207/s15327752jpa5001_2</v>
      </c>
      <c r="B843" s="677" t="str">
        <f>IFERROR(__xludf.DUMMYFUNCTION("""COMPUTED_VALUE"""),"https://drive.google.com/file/d/1eDsfpS9ncg_hzBoWlvGMZS-Hf0PsqpOE/view?usp=drivesdk")</f>
        <v>https://drive.google.com/file/d/1eDsfpS9ncg_hzBoWlvGMZS-Hf0PsqpOE/view?usp=drivesdk</v>
      </c>
      <c r="C843" s="156" t="str">
        <f>IFERROR(__xludf.DUMMYFUNCTION("""COMPUTED_VALUE"""),"10.1207--s15327752jpa5001_2.pdf")</f>
        <v>10.1207--s15327752jpa5001_2.pdf</v>
      </c>
      <c r="D843" s="156" t="str">
        <f>IFERROR(__xludf.DUMMYFUNCTION("""COMPUTED_VALUE"""),"application/pdf")</f>
        <v>application/pdf</v>
      </c>
    </row>
    <row r="844">
      <c r="A844" s="156" t="str">
        <f>IFERROR(__xludf.DUMMYFUNCTION("""COMPUTED_VALUE"""),"10.1016/j.jesp.2015.08.003")</f>
        <v>10.1016/j.jesp.2015.08.003</v>
      </c>
      <c r="B844" s="677" t="str">
        <f>IFERROR(__xludf.DUMMYFUNCTION("""COMPUTED_VALUE"""),"https://drive.google.com/file/d/1bJIGLwb4bdVh3NCmJ_LifUgUpf-LPNMA/view?usp=drivesdk")</f>
        <v>https://drive.google.com/file/d/1bJIGLwb4bdVh3NCmJ_LifUgUpf-LPNMA/view?usp=drivesdk</v>
      </c>
      <c r="C844" s="156" t="str">
        <f>IFERROR(__xludf.DUMMYFUNCTION("""COMPUTED_VALUE"""),"10.1016--j.jesp.2015.08.003.pdf")</f>
        <v>10.1016--j.jesp.2015.08.003.pdf</v>
      </c>
      <c r="D844" s="156" t="str">
        <f>IFERROR(__xludf.DUMMYFUNCTION("""COMPUTED_VALUE"""),"application/pdf")</f>
        <v>application/pdf</v>
      </c>
    </row>
    <row r="845">
      <c r="A845" s="156" t="str">
        <f>IFERROR(__xludf.DUMMYFUNCTION("""COMPUTED_VALUE"""),"10.1016/j.cogpsych.2006.08.003")</f>
        <v>10.1016/j.cogpsych.2006.08.003</v>
      </c>
      <c r="B845" s="677" t="str">
        <f>IFERROR(__xludf.DUMMYFUNCTION("""COMPUTED_VALUE"""),"https://drive.google.com/file/d/1_D7dDcYpEcjt0TABN_n3mvFBdupCvcz-/view?usp=drivesdk")</f>
        <v>https://drive.google.com/file/d/1_D7dDcYpEcjt0TABN_n3mvFBdupCvcz-/view?usp=drivesdk</v>
      </c>
      <c r="C845" s="156" t="str">
        <f>IFERROR(__xludf.DUMMYFUNCTION("""COMPUTED_VALUE"""),"10.1016--j.cogpsych.2006.08.003.pdf")</f>
        <v>10.1016--j.cogpsych.2006.08.003.pdf</v>
      </c>
      <c r="D845" s="156" t="str">
        <f>IFERROR(__xludf.DUMMYFUNCTION("""COMPUTED_VALUE"""),"application/pdf")</f>
        <v>application/pdf</v>
      </c>
    </row>
    <row r="846">
      <c r="A846" s="156" t="str">
        <f>IFERROR(__xludf.DUMMYFUNCTION("""COMPUTED_VALUE"""),"10.1177/0956797613502983")</f>
        <v>10.1177/0956797613502983</v>
      </c>
      <c r="B846" s="677" t="str">
        <f>IFERROR(__xludf.DUMMYFUNCTION("""COMPUTED_VALUE"""),"https://drive.google.com/file/d/1auGVLZR0n037iFBsRbne3R0KY424YsRI/view?usp=drivesdk")</f>
        <v>https://drive.google.com/file/d/1auGVLZR0n037iFBsRbne3R0KY424YsRI/view?usp=drivesdk</v>
      </c>
      <c r="C846" s="156" t="str">
        <f>IFERROR(__xludf.DUMMYFUNCTION("""COMPUTED_VALUE"""),"10.1177--0956797613502983.pdf")</f>
        <v>10.1177--0956797613502983.pdf</v>
      </c>
      <c r="D846" s="156" t="str">
        <f>IFERROR(__xludf.DUMMYFUNCTION("""COMPUTED_VALUE"""),"application/pdf")</f>
        <v>application/pdf</v>
      </c>
    </row>
    <row r="847">
      <c r="A847" s="156" t="str">
        <f>IFERROR(__xludf.DUMMYFUNCTION("""COMPUTED_VALUE"""),"10.1111/j.1745-6916.2006.00012.x")</f>
        <v>10.1111/j.1745-6916.2006.00012.x</v>
      </c>
      <c r="B847" s="677" t="str">
        <f>IFERROR(__xludf.DUMMYFUNCTION("""COMPUTED_VALUE"""),"https://drive.google.com/file/d/1PGEaJgHDsHhADyJeYzYrF31UgvXK8IfG/view?usp=drivesdk")</f>
        <v>https://drive.google.com/file/d/1PGEaJgHDsHhADyJeYzYrF31UgvXK8IfG/view?usp=drivesdk</v>
      </c>
      <c r="C847" s="156" t="str">
        <f>IFERROR(__xludf.DUMMYFUNCTION("""COMPUTED_VALUE"""),"10.1111--j.1745-6916.2006.00012.x.pdf")</f>
        <v>10.1111--j.1745-6916.2006.00012.x.pdf</v>
      </c>
      <c r="D847" s="156" t="str">
        <f>IFERROR(__xludf.DUMMYFUNCTION("""COMPUTED_VALUE"""),"application/pdf")</f>
        <v>application/pdf</v>
      </c>
    </row>
    <row r="848">
      <c r="A848" s="156" t="str">
        <f>IFERROR(__xludf.DUMMYFUNCTION("""COMPUTED_VALUE"""),"10.1177/0956797610385359")</f>
        <v>10.1177/0956797610385359</v>
      </c>
      <c r="B848" s="677" t="str">
        <f>IFERROR(__xludf.DUMMYFUNCTION("""COMPUTED_VALUE"""),"https://drive.google.com/file/d/1bcy2yLZUiBLB8eUlwWkUTcGjCG9MFNcL/view?usp=drivesdk")</f>
        <v>https://drive.google.com/file/d/1bcy2yLZUiBLB8eUlwWkUTcGjCG9MFNcL/view?usp=drivesdk</v>
      </c>
      <c r="C848" s="156" t="str">
        <f>IFERROR(__xludf.DUMMYFUNCTION("""COMPUTED_VALUE"""),"10.1177--0956797610385359.pdf")</f>
        <v>10.1177--0956797610385359.pdf</v>
      </c>
      <c r="D848" s="156" t="str">
        <f>IFERROR(__xludf.DUMMYFUNCTION("""COMPUTED_VALUE"""),"application/pdf")</f>
        <v>application/pdf</v>
      </c>
    </row>
    <row r="849">
      <c r="A849" s="156" t="str">
        <f>IFERROR(__xludf.DUMMYFUNCTION("""COMPUTED_VALUE"""),"10.1016/j.brat.2008.02.002")</f>
        <v>10.1016/j.brat.2008.02.002</v>
      </c>
      <c r="B849" s="677" t="str">
        <f>IFERROR(__xludf.DUMMYFUNCTION("""COMPUTED_VALUE"""),"https://drive.google.com/file/d/1qw37pozIjd4mLcy-zn6fU2Q9jLVW_qRq/view?usp=drivesdk")</f>
        <v>https://drive.google.com/file/d/1qw37pozIjd4mLcy-zn6fU2Q9jLVW_qRq/view?usp=drivesdk</v>
      </c>
      <c r="C849" s="156" t="str">
        <f>IFERROR(__xludf.DUMMYFUNCTION("""COMPUTED_VALUE"""),"10.1016--j.brat.2008.02.002.pdf")</f>
        <v>10.1016--j.brat.2008.02.002.pdf</v>
      </c>
      <c r="D849" s="156" t="str">
        <f>IFERROR(__xludf.DUMMYFUNCTION("""COMPUTED_VALUE"""),"application/pdf")</f>
        <v>application/pdf</v>
      </c>
    </row>
    <row r="850">
      <c r="A850" s="156" t="str">
        <f>IFERROR(__xludf.DUMMYFUNCTION("""COMPUTED_VALUE"""),"10.1016/j.cogbrainres.2005.02.020")</f>
        <v>10.1016/j.cogbrainres.2005.02.020</v>
      </c>
      <c r="B850" s="677" t="str">
        <f>IFERROR(__xludf.DUMMYFUNCTION("""COMPUTED_VALUE"""),"https://drive.google.com/file/d/1WmGYm8bmezybTYwOXDheDPWCgdUPI7lg/view?usp=drivesdk")</f>
        <v>https://drive.google.com/file/d/1WmGYm8bmezybTYwOXDheDPWCgdUPI7lg/view?usp=drivesdk</v>
      </c>
      <c r="C850" s="156" t="str">
        <f>IFERROR(__xludf.DUMMYFUNCTION("""COMPUTED_VALUE"""),"10.1016--j.cogbrainres.2005.02.020.pdf")</f>
        <v>10.1016--j.cogbrainres.2005.02.020.pdf</v>
      </c>
      <c r="D850" s="156" t="str">
        <f>IFERROR(__xludf.DUMMYFUNCTION("""COMPUTED_VALUE"""),"application/pdf")</f>
        <v>application/pdf</v>
      </c>
    </row>
    <row r="851">
      <c r="A851" s="156" t="str">
        <f>IFERROR(__xludf.DUMMYFUNCTION("""COMPUTED_VALUE"""),"10.1016/j.neuroimage.2012.05.063")</f>
        <v>10.1016/j.neuroimage.2012.05.063</v>
      </c>
      <c r="B851" s="677" t="str">
        <f>IFERROR(__xludf.DUMMYFUNCTION("""COMPUTED_VALUE"""),"https://drive.google.com/file/d/1ag8IXyFczoKJ7ihPxLKU-kUP8cnoRylc/view?usp=drivesdk")</f>
        <v>https://drive.google.com/file/d/1ag8IXyFczoKJ7ihPxLKU-kUP8cnoRylc/view?usp=drivesdk</v>
      </c>
      <c r="C851" s="156" t="str">
        <f>IFERROR(__xludf.DUMMYFUNCTION("""COMPUTED_VALUE"""),"10.1016--j.neuroimage.2012.05.063.pdf")</f>
        <v>10.1016--j.neuroimage.2012.05.063.pdf</v>
      </c>
      <c r="D851" s="156" t="str">
        <f>IFERROR(__xludf.DUMMYFUNCTION("""COMPUTED_VALUE"""),"application/pdf")</f>
        <v>application/pdf</v>
      </c>
    </row>
    <row r="852">
      <c r="A852" s="156" t="str">
        <f>IFERROR(__xludf.DUMMYFUNCTION("""COMPUTED_VALUE"""),"10.3758/bf03211385")</f>
        <v>10.3758/bf03211385</v>
      </c>
      <c r="B852" s="677" t="str">
        <f>IFERROR(__xludf.DUMMYFUNCTION("""COMPUTED_VALUE"""),"https://drive.google.com/file/d/1lA4UI28Jqzqe_ZSGG4TgwJ328VP7e947/view?usp=drivesdk")</f>
        <v>https://drive.google.com/file/d/1lA4UI28Jqzqe_ZSGG4TgwJ328VP7e947/view?usp=drivesdk</v>
      </c>
      <c r="C852" s="156" t="str">
        <f>IFERROR(__xludf.DUMMYFUNCTION("""COMPUTED_VALUE"""),"10.3758--BF03211385.pdf")</f>
        <v>10.3758--BF03211385.pdf</v>
      </c>
      <c r="D852" s="156" t="str">
        <f>IFERROR(__xludf.DUMMYFUNCTION("""COMPUTED_VALUE"""),"application/pdf")</f>
        <v>application/pdf</v>
      </c>
    </row>
    <row r="853">
      <c r="A853" s="156" t="str">
        <f>IFERROR(__xludf.DUMMYFUNCTION("""COMPUTED_VALUE"""),"10.1177/0022022105282295")</f>
        <v>10.1177/0022022105282295</v>
      </c>
      <c r="B853" s="677" t="str">
        <f>IFERROR(__xludf.DUMMYFUNCTION("""COMPUTED_VALUE"""),"https://drive.google.com/file/d/1FRbv1v1I0OUeGQkPuarDhIH9taHMOH3h/view?usp=drivesdk")</f>
        <v>https://drive.google.com/file/d/1FRbv1v1I0OUeGQkPuarDhIH9taHMOH3h/view?usp=drivesdk</v>
      </c>
      <c r="C853" s="156" t="str">
        <f>IFERROR(__xludf.DUMMYFUNCTION("""COMPUTED_VALUE"""),"10.1177--0022022105282295.pdf")</f>
        <v>10.1177--0022022105282295.pdf</v>
      </c>
      <c r="D853" s="156" t="str">
        <f>IFERROR(__xludf.DUMMYFUNCTION("""COMPUTED_VALUE"""),"application/pdf")</f>
        <v>application/pdf</v>
      </c>
    </row>
    <row r="854">
      <c r="A854" s="156" t="str">
        <f>IFERROR(__xludf.DUMMYFUNCTION("""COMPUTED_VALUE"""),"10.1016/j.obhdp.2014.11.001")</f>
        <v>10.1016/j.obhdp.2014.11.001</v>
      </c>
      <c r="B854" s="677" t="str">
        <f>IFERROR(__xludf.DUMMYFUNCTION("""COMPUTED_VALUE"""),"https://drive.google.com/file/d/1R4-3MnXpBFLnaFfopGZaKgR1uruR-dxQ/view?usp=drivesdk")</f>
        <v>https://drive.google.com/file/d/1R4-3MnXpBFLnaFfopGZaKgR1uruR-dxQ/view?usp=drivesdk</v>
      </c>
      <c r="C854" s="156" t="str">
        <f>IFERROR(__xludf.DUMMYFUNCTION("""COMPUTED_VALUE"""),"10.1016--j.obhdp.2014.11.001.pdf")</f>
        <v>10.1016--j.obhdp.2014.11.001.pdf</v>
      </c>
      <c r="D854" s="156" t="str">
        <f>IFERROR(__xludf.DUMMYFUNCTION("""COMPUTED_VALUE"""),"application/pdf")</f>
        <v>application/pdf</v>
      </c>
    </row>
    <row r="855">
      <c r="A855" s="156" t="str">
        <f>IFERROR(__xludf.DUMMYFUNCTION("""COMPUTED_VALUE"""),"10.1177/0956797612450891")</f>
        <v>10.1177/0956797612450891</v>
      </c>
      <c r="B855" s="677" t="str">
        <f>IFERROR(__xludf.DUMMYFUNCTION("""COMPUTED_VALUE"""),"https://drive.google.com/file/d/1Sy1ihAE89SYtgBZr56ysR28e1nhYxpdQ/view?usp=drivesdk")</f>
        <v>https://drive.google.com/file/d/1Sy1ihAE89SYtgBZr56ysR28e1nhYxpdQ/view?usp=drivesdk</v>
      </c>
      <c r="C855" s="156" t="str">
        <f>IFERROR(__xludf.DUMMYFUNCTION("""COMPUTED_VALUE"""),"10.1177--0956797612450891.pdf")</f>
        <v>10.1177--0956797612450891.pdf</v>
      </c>
      <c r="D855" s="156" t="str">
        <f>IFERROR(__xludf.DUMMYFUNCTION("""COMPUTED_VALUE"""),"application/pdf")</f>
        <v>application/pdf</v>
      </c>
    </row>
    <row r="856">
      <c r="A856" s="156" t="str">
        <f>IFERROR(__xludf.DUMMYFUNCTION("""COMPUTED_VALUE"""),"10.1177/0956797616678930")</f>
        <v>10.1177/0956797616678930</v>
      </c>
      <c r="B856" s="677" t="str">
        <f>IFERROR(__xludf.DUMMYFUNCTION("""COMPUTED_VALUE"""),"https://drive.google.com/file/d/1mfFx-ra7fJxqzzmU05XGz2J0H-6If5Hq/view?usp=drivesdk")</f>
        <v>https://drive.google.com/file/d/1mfFx-ra7fJxqzzmU05XGz2J0H-6If5Hq/view?usp=drivesdk</v>
      </c>
      <c r="C856" s="156" t="str">
        <f>IFERROR(__xludf.DUMMYFUNCTION("""COMPUTED_VALUE"""),"10.1177--0956797616678930.pdf")</f>
        <v>10.1177--0956797616678930.pdf</v>
      </c>
      <c r="D856" s="156" t="str">
        <f>IFERROR(__xludf.DUMMYFUNCTION("""COMPUTED_VALUE"""),"application/pdf")</f>
        <v>application/pdf</v>
      </c>
    </row>
    <row r="857">
      <c r="A857" s="156" t="str">
        <f>IFERROR(__xludf.DUMMYFUNCTION("""COMPUTED_VALUE"""),"10.1080/13546800601051847")</f>
        <v>10.1080/13546800601051847</v>
      </c>
      <c r="B857" s="677" t="str">
        <f>IFERROR(__xludf.DUMMYFUNCTION("""COMPUTED_VALUE"""),"https://drive.google.com/file/d/1rppP1YUM-HanqbmmsqsQ-GJCI5kHEX4N/view?usp=drivesdk")</f>
        <v>https://drive.google.com/file/d/1rppP1YUM-HanqbmmsqsQ-GJCI5kHEX4N/view?usp=drivesdk</v>
      </c>
      <c r="C857" s="156" t="str">
        <f>IFERROR(__xludf.DUMMYFUNCTION("""COMPUTED_VALUE"""),"10.1080--13546800601051847.pdf")</f>
        <v>10.1080--13546800601051847.pdf</v>
      </c>
      <c r="D857" s="156" t="str">
        <f>IFERROR(__xludf.DUMMYFUNCTION("""COMPUTED_VALUE"""),"application/pdf")</f>
        <v>application/pdf</v>
      </c>
    </row>
    <row r="858">
      <c r="A858" s="156" t="str">
        <f>IFERROR(__xludf.DUMMYFUNCTION("""COMPUTED_VALUE"""),"10.1186/1747-597x-1-22")</f>
        <v>10.1186/1747-597x-1-22</v>
      </c>
      <c r="B858" s="677" t="str">
        <f>IFERROR(__xludf.DUMMYFUNCTION("""COMPUTED_VALUE"""),"https://drive.google.com/file/d/1tjQTVO3JUK2yQQiLpX4DGhu7m8VZy5c2/view?usp=drivesdk")</f>
        <v>https://drive.google.com/file/d/1tjQTVO3JUK2yQQiLpX4DGhu7m8VZy5c2/view?usp=drivesdk</v>
      </c>
      <c r="C858" s="156" t="str">
        <f>IFERROR(__xludf.DUMMYFUNCTION("""COMPUTED_VALUE"""),"10.1186--1747-597X-1-22.pdf")</f>
        <v>10.1186--1747-597X-1-22.pdf</v>
      </c>
      <c r="D858" s="156" t="str">
        <f>IFERROR(__xludf.DUMMYFUNCTION("""COMPUTED_VALUE"""),"application/pdf")</f>
        <v>application/pdf</v>
      </c>
    </row>
    <row r="859">
      <c r="A859" s="156" t="str">
        <f>IFERROR(__xludf.DUMMYFUNCTION("""COMPUTED_VALUE"""),"10.1037/0022-3514.83.6.1409")</f>
        <v>10.1037/0022-3514.83.6.1409</v>
      </c>
      <c r="B859" s="677" t="str">
        <f>IFERROR(__xludf.DUMMYFUNCTION("""COMPUTED_VALUE"""),"https://drive.google.com/file/d/1fVXjEJ1Pit3On7l531q_ubSf6_c1HT_w/view?usp=drivesdk")</f>
        <v>https://drive.google.com/file/d/1fVXjEJ1Pit3On7l531q_ubSf6_c1HT_w/view?usp=drivesdk</v>
      </c>
      <c r="C859" s="156" t="str">
        <f>IFERROR(__xludf.DUMMYFUNCTION("""COMPUTED_VALUE"""),"10.1037--0022-3514.83.6.1409.pdf")</f>
        <v>10.1037--0022-3514.83.6.1409.pdf</v>
      </c>
      <c r="D859" s="156" t="str">
        <f>IFERROR(__xludf.DUMMYFUNCTION("""COMPUTED_VALUE"""),"application/pdf")</f>
        <v>application/pdf</v>
      </c>
    </row>
    <row r="860">
      <c r="A860" s="156" t="str">
        <f>IFERROR(__xludf.DUMMYFUNCTION("""COMPUTED_VALUE"""),"10.1111/j.0963-7214.2004.01502002.x")</f>
        <v>10.1111/j.0963-7214.2004.01502002.x</v>
      </c>
      <c r="B860" s="677" t="str">
        <f>IFERROR(__xludf.DUMMYFUNCTION("""COMPUTED_VALUE"""),"https://drive.google.com/file/d/1IHcTncSGzrFn9EPWQvoacI731tq-FbM-/view?usp=drivesdk")</f>
        <v>https://drive.google.com/file/d/1IHcTncSGzrFn9EPWQvoacI731tq-FbM-/view?usp=drivesdk</v>
      </c>
      <c r="C860" s="156" t="str">
        <f>IFERROR(__xludf.DUMMYFUNCTION("""COMPUTED_VALUE"""),"10.1111--j.0963-7214.2004.01502002.x.pdf")</f>
        <v>10.1111--j.0963-7214.2004.01502002.x.pdf</v>
      </c>
      <c r="D860" s="156" t="str">
        <f>IFERROR(__xludf.DUMMYFUNCTION("""COMPUTED_VALUE"""),"application/pdf")</f>
        <v>application/pdf</v>
      </c>
    </row>
    <row r="861">
      <c r="A861" s="156" t="str">
        <f>IFERROR(__xludf.DUMMYFUNCTION("""COMPUTED_VALUE"""),"10.1080/00223890902936264")</f>
        <v>10.1080/00223890902936264</v>
      </c>
      <c r="B861" s="677" t="str">
        <f>IFERROR(__xludf.DUMMYFUNCTION("""COMPUTED_VALUE"""),"https://drive.google.com/file/d/1e7jNnjKp7t9RRU85sdreGlwdO9-zUoov/view?usp=drivesdk")</f>
        <v>https://drive.google.com/file/d/1e7jNnjKp7t9RRU85sdreGlwdO9-zUoov/view?usp=drivesdk</v>
      </c>
      <c r="C861" s="156" t="str">
        <f>IFERROR(__xludf.DUMMYFUNCTION("""COMPUTED_VALUE"""),"10.1080--00223890902936264.pdf")</f>
        <v>10.1080--00223890902936264.pdf</v>
      </c>
      <c r="D861" s="156" t="str">
        <f>IFERROR(__xludf.DUMMYFUNCTION("""COMPUTED_VALUE"""),"application/pdf")</f>
        <v>application/pdf</v>
      </c>
    </row>
    <row r="862">
      <c r="A862" s="156" t="str">
        <f>IFERROR(__xludf.DUMMYFUNCTION("""COMPUTED_VALUE"""),"10.1521/jscp.2005.24.4.580")</f>
        <v>10.1521/jscp.2005.24.4.580</v>
      </c>
      <c r="B862" s="677" t="str">
        <f>IFERROR(__xludf.DUMMYFUNCTION("""COMPUTED_VALUE"""),"https://drive.google.com/file/d/1vK9eteQJx_WNipJLXtsRzQgB6bupyk0J/view?usp=drivesdk")</f>
        <v>https://drive.google.com/file/d/1vK9eteQJx_WNipJLXtsRzQgB6bupyk0J/view?usp=drivesdk</v>
      </c>
      <c r="C862" s="156" t="str">
        <f>IFERROR(__xludf.DUMMYFUNCTION("""COMPUTED_VALUE"""),"10.1521--jscp.2005.24.4.580.pdf")</f>
        <v>10.1521--jscp.2005.24.4.580.pdf</v>
      </c>
      <c r="D862" s="156" t="str">
        <f>IFERROR(__xludf.DUMMYFUNCTION("""COMPUTED_VALUE"""),"application/pdf")</f>
        <v>application/pdf</v>
      </c>
    </row>
    <row r="863">
      <c r="A863" s="156" t="str">
        <f>IFERROR(__xludf.DUMMYFUNCTION("""COMPUTED_VALUE"""),"10.1177/1088357615618941")</f>
        <v>10.1177/1088357615618941</v>
      </c>
      <c r="B863" s="677" t="str">
        <f>IFERROR(__xludf.DUMMYFUNCTION("""COMPUTED_VALUE"""),"https://drive.google.com/file/d/1vUT8wamDg9jdRv_NNs2V8z425TC6e-LD/view?usp=drivesdk")</f>
        <v>https://drive.google.com/file/d/1vUT8wamDg9jdRv_NNs2V8z425TC6e-LD/view?usp=drivesdk</v>
      </c>
      <c r="C863" s="156" t="str">
        <f>IFERROR(__xludf.DUMMYFUNCTION("""COMPUTED_VALUE"""),"10.1177--1088357615618941.pdf")</f>
        <v>10.1177--1088357615618941.pdf</v>
      </c>
      <c r="D863" s="156" t="str">
        <f>IFERROR(__xludf.DUMMYFUNCTION("""COMPUTED_VALUE"""),"application/pdf")</f>
        <v>application/pdf</v>
      </c>
    </row>
    <row r="864">
      <c r="A864" s="156" t="str">
        <f>IFERROR(__xludf.DUMMYFUNCTION("""COMPUTED_VALUE"""),"10.1016/j.jrp.2011.05.002")</f>
        <v>10.1016/j.jrp.2011.05.002</v>
      </c>
      <c r="B864" s="677" t="str">
        <f>IFERROR(__xludf.DUMMYFUNCTION("""COMPUTED_VALUE"""),"https://drive.google.com/file/d/1z15pAQPZrPjJXCgao8gc5kzh4LXy8why/view?usp=drivesdk")</f>
        <v>https://drive.google.com/file/d/1z15pAQPZrPjJXCgao8gc5kzh4LXy8why/view?usp=drivesdk</v>
      </c>
      <c r="C864" s="156" t="str">
        <f>IFERROR(__xludf.DUMMYFUNCTION("""COMPUTED_VALUE"""),"10.1016--j.jrp.2011.05.002.pdf")</f>
        <v>10.1016--j.jrp.2011.05.002.pdf</v>
      </c>
      <c r="D864" s="156" t="str">
        <f>IFERROR(__xludf.DUMMYFUNCTION("""COMPUTED_VALUE"""),"application/pdf")</f>
        <v>application/pdf</v>
      </c>
    </row>
    <row r="865">
      <c r="A865" s="156" t="str">
        <f>IFERROR(__xludf.DUMMYFUNCTION("""COMPUTED_VALUE"""),"10.1016/j.visres.2005.11.018")</f>
        <v>10.1016/j.visres.2005.11.018</v>
      </c>
      <c r="B865" s="677" t="str">
        <f>IFERROR(__xludf.DUMMYFUNCTION("""COMPUTED_VALUE"""),"https://drive.google.com/file/d/1bFKx0A_XY92I_DOhIBXS1E-EV1cvW5VJ/view?usp=drivesdk")</f>
        <v>https://drive.google.com/file/d/1bFKx0A_XY92I_DOhIBXS1E-EV1cvW5VJ/view?usp=drivesdk</v>
      </c>
      <c r="C865" s="156" t="str">
        <f>IFERROR(__xludf.DUMMYFUNCTION("""COMPUTED_VALUE"""),"10.1016--j.visres.2005.11.018.pdf")</f>
        <v>10.1016--j.visres.2005.11.018.pdf</v>
      </c>
      <c r="D865" s="156" t="str">
        <f>IFERROR(__xludf.DUMMYFUNCTION("""COMPUTED_VALUE"""),"application/pdf")</f>
        <v>application/pdf</v>
      </c>
    </row>
    <row r="866">
      <c r="A866" s="156" t="str">
        <f>IFERROR(__xludf.DUMMYFUNCTION("""COMPUTED_VALUE"""),"10.1037/0022-006x.76.3.397")</f>
        <v>10.1037/0022-006x.76.3.397</v>
      </c>
      <c r="B866" s="677" t="str">
        <f>IFERROR(__xludf.DUMMYFUNCTION("""COMPUTED_VALUE"""),"https://drive.google.com/file/d/18U713TF3KVj5t2d2p2OvTOWGGbdjF50i/view?usp=drivesdk")</f>
        <v>https://drive.google.com/file/d/18U713TF3KVj5t2d2p2OvTOWGGbdjF50i/view?usp=drivesdk</v>
      </c>
      <c r="C866" s="156" t="str">
        <f>IFERROR(__xludf.DUMMYFUNCTION("""COMPUTED_VALUE"""),"10.1037--0022-006X.76.3.397.pdf")</f>
        <v>10.1037--0022-006X.76.3.397.pdf</v>
      </c>
      <c r="D866" s="156" t="str">
        <f>IFERROR(__xludf.DUMMYFUNCTION("""COMPUTED_VALUE"""),"application/pdf")</f>
        <v>application/pdf</v>
      </c>
    </row>
    <row r="867">
      <c r="A867" s="156" t="str">
        <f>IFERROR(__xludf.DUMMYFUNCTION("""COMPUTED_VALUE"""),"10.1007/s10862-010-9195-4")</f>
        <v>10.1007/s10862-010-9195-4</v>
      </c>
      <c r="B867" s="677" t="str">
        <f>IFERROR(__xludf.DUMMYFUNCTION("""COMPUTED_VALUE"""),"https://drive.google.com/file/d/1sNUaYKnm_4_Uy2ItWaxo-M-4_PKtcb3f/view?usp=drivesdk")</f>
        <v>https://drive.google.com/file/d/1sNUaYKnm_4_Uy2ItWaxo-M-4_PKtcb3f/view?usp=drivesdk</v>
      </c>
      <c r="C867" s="156" t="str">
        <f>IFERROR(__xludf.DUMMYFUNCTION("""COMPUTED_VALUE"""),"10.1007--s10862-010-9195-4.pdf")</f>
        <v>10.1007--s10862-010-9195-4.pdf</v>
      </c>
      <c r="D867" s="156" t="str">
        <f>IFERROR(__xludf.DUMMYFUNCTION("""COMPUTED_VALUE"""),"application/pdf")</f>
        <v>application/pdf</v>
      </c>
    </row>
    <row r="868">
      <c r="A868" s="156" t="str">
        <f>IFERROR(__xludf.DUMMYFUNCTION("""COMPUTED_VALUE"""),"10.1007/s10803-008-0664-5")</f>
        <v>10.1007/s10803-008-0664-5</v>
      </c>
      <c r="B868" s="677" t="str">
        <f>IFERROR(__xludf.DUMMYFUNCTION("""COMPUTED_VALUE"""),"https://drive.google.com/file/d/1LCbNLaBznR2swTcM5D8nA5onvypAos0Z/view?usp=drivesdk")</f>
        <v>https://drive.google.com/file/d/1LCbNLaBznR2swTcM5D8nA5onvypAos0Z/view?usp=drivesdk</v>
      </c>
      <c r="C868" s="156" t="str">
        <f>IFERROR(__xludf.DUMMYFUNCTION("""COMPUTED_VALUE"""),"10.1007--s10803-008-0664-5.pdf")</f>
        <v>10.1007--s10803-008-0664-5.pdf</v>
      </c>
      <c r="D868" s="156" t="str">
        <f>IFERROR(__xludf.DUMMYFUNCTION("""COMPUTED_VALUE"""),"application/pdf")</f>
        <v>application/pdf</v>
      </c>
    </row>
    <row r="869">
      <c r="A869" s="156" t="str">
        <f>IFERROR(__xludf.DUMMYFUNCTION("""COMPUTED_VALUE"""),"10.1007/s10803-013-1829-4")</f>
        <v>10.1007/s10803-013-1829-4</v>
      </c>
      <c r="B869" s="677" t="str">
        <f>IFERROR(__xludf.DUMMYFUNCTION("""COMPUTED_VALUE"""),"https://drive.google.com/file/d/1NndaOqVABMnFoYLlx_pdrEkIl1hF8ZDe/view?usp=drivesdk")</f>
        <v>https://drive.google.com/file/d/1NndaOqVABMnFoYLlx_pdrEkIl1hF8ZDe/view?usp=drivesdk</v>
      </c>
      <c r="C869" s="156" t="str">
        <f>IFERROR(__xludf.DUMMYFUNCTION("""COMPUTED_VALUE"""),"10.1007--s10803-013-1829-4.pdf")</f>
        <v>10.1007--s10803-013-1829-4.pdf</v>
      </c>
      <c r="D869" s="156" t="str">
        <f>IFERROR(__xludf.DUMMYFUNCTION("""COMPUTED_VALUE"""),"application/pdf")</f>
        <v>application/pdf</v>
      </c>
    </row>
    <row r="870">
      <c r="A870" s="156" t="str">
        <f>IFERROR(__xludf.DUMMYFUNCTION("""COMPUTED_VALUE"""),"10.1016/j.actpsy.2009.07.012")</f>
        <v>10.1016/j.actpsy.2009.07.012</v>
      </c>
      <c r="B870" s="677" t="str">
        <f>IFERROR(__xludf.DUMMYFUNCTION("""COMPUTED_VALUE"""),"https://drive.google.com/file/d/1eSg_S7Z1YJQbEy2b5xr8uPr_WGL8tpTK/view?usp=drivesdk")</f>
        <v>https://drive.google.com/file/d/1eSg_S7Z1YJQbEy2b5xr8uPr_WGL8tpTK/view?usp=drivesdk</v>
      </c>
      <c r="C870" s="156" t="str">
        <f>IFERROR(__xludf.DUMMYFUNCTION("""COMPUTED_VALUE"""),"10.1016--j.actpsy.2009.07.012.pdf")</f>
        <v>10.1016--j.actpsy.2009.07.012.pdf</v>
      </c>
      <c r="D870" s="156" t="str">
        <f>IFERROR(__xludf.DUMMYFUNCTION("""COMPUTED_VALUE"""),"application/pdf")</f>
        <v>application/pdf</v>
      </c>
    </row>
    <row r="871">
      <c r="A871" s="156" t="str">
        <f>IFERROR(__xludf.DUMMYFUNCTION("""COMPUTED_VALUE"""),"10.1016/j.ecresq.2013.07.001")</f>
        <v>10.1016/j.ecresq.2013.07.001</v>
      </c>
      <c r="B871" s="677" t="str">
        <f>IFERROR(__xludf.DUMMYFUNCTION("""COMPUTED_VALUE"""),"https://drive.google.com/file/d/1gAQlWfkloh0ve11dgicg_ouScuddDWVx/view?usp=drivesdk")</f>
        <v>https://drive.google.com/file/d/1gAQlWfkloh0ve11dgicg_ouScuddDWVx/view?usp=drivesdk</v>
      </c>
      <c r="C871" s="156" t="str">
        <f>IFERROR(__xludf.DUMMYFUNCTION("""COMPUTED_VALUE"""),"10.1016--j.ecresq.2013.07.001.pdf")</f>
        <v>10.1016--j.ecresq.2013.07.001.pdf</v>
      </c>
      <c r="D871" s="156" t="str">
        <f>IFERROR(__xludf.DUMMYFUNCTION("""COMPUTED_VALUE"""),"application/pdf")</f>
        <v>application/pdf</v>
      </c>
    </row>
    <row r="872">
      <c r="A872" s="156" t="str">
        <f>IFERROR(__xludf.DUMMYFUNCTION("""COMPUTED_VALUE"""),"10.1001/jamapsychiatry.2015.2146")</f>
        <v>10.1001/jamapsychiatry.2015.2146</v>
      </c>
      <c r="B872" s="677" t="str">
        <f>IFERROR(__xludf.DUMMYFUNCTION("""COMPUTED_VALUE"""),"https://drive.google.com/file/d/1GeKflgXvTcXB8oJi0TP1vpLg2kS38zZW/view?usp=drivesdk")</f>
        <v>https://drive.google.com/file/d/1GeKflgXvTcXB8oJi0TP1vpLg2kS38zZW/view?usp=drivesdk</v>
      </c>
      <c r="C872" s="156" t="str">
        <f>IFERROR(__xludf.DUMMYFUNCTION("""COMPUTED_VALUE"""),"10.1001--jamapsychiatry.2015.2146.pdf")</f>
        <v>10.1001--jamapsychiatry.2015.2146.pdf</v>
      </c>
      <c r="D872" s="156" t="str">
        <f>IFERROR(__xludf.DUMMYFUNCTION("""COMPUTED_VALUE"""),"application/pdf")</f>
        <v>application/pdf</v>
      </c>
    </row>
    <row r="873">
      <c r="A873" s="156" t="str">
        <f>IFERROR(__xludf.DUMMYFUNCTION("""COMPUTED_VALUE"""),"10.1002/jaba.270")</f>
        <v>10.1002/jaba.270</v>
      </c>
      <c r="B873" s="677" t="str">
        <f>IFERROR(__xludf.DUMMYFUNCTION("""COMPUTED_VALUE"""),"https://drive.google.com/file/d/1HSSSUVFslr73XKkLRACiudLPlv5TVsma/view?usp=drivesdk")</f>
        <v>https://drive.google.com/file/d/1HSSSUVFslr73XKkLRACiudLPlv5TVsma/view?usp=drivesdk</v>
      </c>
      <c r="C873" s="156" t="str">
        <f>IFERROR(__xludf.DUMMYFUNCTION("""COMPUTED_VALUE"""),"10.1002--jaba.270.pdf")</f>
        <v>10.1002--jaba.270.pdf</v>
      </c>
      <c r="D873" s="156" t="str">
        <f>IFERROR(__xludf.DUMMYFUNCTION("""COMPUTED_VALUE"""),"application/pdf")</f>
        <v>application/pdf</v>
      </c>
    </row>
    <row r="874">
      <c r="A874" s="156" t="str">
        <f>IFERROR(__xludf.DUMMYFUNCTION("""COMPUTED_VALUE"""),"10.1016/j.ridd.2013.02.012")</f>
        <v>10.1016/j.ridd.2013.02.012</v>
      </c>
      <c r="B874" s="677" t="str">
        <f>IFERROR(__xludf.DUMMYFUNCTION("""COMPUTED_VALUE"""),"https://drive.google.com/file/d/1BMP7byNCGSWS7fgxNcx79SHM-IdVZaKn/view?usp=drivesdk")</f>
        <v>https://drive.google.com/file/d/1BMP7byNCGSWS7fgxNcx79SHM-IdVZaKn/view?usp=drivesdk</v>
      </c>
      <c r="C874" s="156" t="str">
        <f>IFERROR(__xludf.DUMMYFUNCTION("""COMPUTED_VALUE"""),"10.1016--j.ridd.2013.02.012.pdf")</f>
        <v>10.1016--j.ridd.2013.02.012.pdf</v>
      </c>
      <c r="D874" s="156" t="str">
        <f>IFERROR(__xludf.DUMMYFUNCTION("""COMPUTED_VALUE"""),"application/pdf")</f>
        <v>application/pdf</v>
      </c>
    </row>
    <row r="875">
      <c r="A875" s="156" t="str">
        <f>IFERROR(__xludf.DUMMYFUNCTION("""COMPUTED_VALUE"""),"10.1002/1098-108x(199412)16:4&lt;363::aid-eat2260160405&gt;3.0.co;2-%23")</f>
        <v>10.1002/1098-108x(199412)16:4&lt;363::aid-eat2260160405&gt;3.0.co;2-%23</v>
      </c>
      <c r="B875" s="677" t="str">
        <f>IFERROR(__xludf.DUMMYFUNCTION("""COMPUTED_VALUE"""),"https://drive.google.com/file/d/1MDnUULp2n6-FnmJqg7yO4qcONfENz0ZN/view?usp=drivesdk")</f>
        <v>https://drive.google.com/file/d/1MDnUULp2n6-FnmJqg7yO4qcONfENz0ZN/view?usp=drivesdk</v>
      </c>
      <c r="C875" s="156" t="str">
        <f>IFERROR(__xludf.DUMMYFUNCTION("""COMPUTED_VALUE"""),"10.1002--1098-108X(199412)16:4&lt;363::AID-EAT2260160405&gt;3.0.CO;2-%23.pdf")</f>
        <v>10.1002--1098-108X(199412)16:4&lt;363::AID-EAT2260160405&gt;3.0.CO;2-%23.pdf</v>
      </c>
      <c r="D875" s="156" t="str">
        <f>IFERROR(__xludf.DUMMYFUNCTION("""COMPUTED_VALUE"""),"application/pdf")</f>
        <v>application/pdf</v>
      </c>
    </row>
    <row r="876">
      <c r="A876" s="156" t="str">
        <f>IFERROR(__xludf.DUMMYFUNCTION("""COMPUTED_VALUE"""),"10.1901/jaba.2012.45-473")</f>
        <v>10.1901/jaba.2012.45-473</v>
      </c>
      <c r="B876" s="677" t="str">
        <f>IFERROR(__xludf.DUMMYFUNCTION("""COMPUTED_VALUE"""),"https://drive.google.com/file/d/1QRZutMF67vAfgCZi_E5eATJgn-QCO4IK/view?usp=drivesdk")</f>
        <v>https://drive.google.com/file/d/1QRZutMF67vAfgCZi_E5eATJgn-QCO4IK/view?usp=drivesdk</v>
      </c>
      <c r="C876" s="156" t="str">
        <f>IFERROR(__xludf.DUMMYFUNCTION("""COMPUTED_VALUE"""),"10.1901--jaba.2012.45-473.pdf")</f>
        <v>10.1901--jaba.2012.45-473.pdf</v>
      </c>
      <c r="D876" s="156" t="str">
        <f>IFERROR(__xludf.DUMMYFUNCTION("""COMPUTED_VALUE"""),"application/pdf")</f>
        <v>application/pdf</v>
      </c>
    </row>
    <row r="877">
      <c r="A877" s="156" t="str">
        <f>IFERROR(__xludf.DUMMYFUNCTION("""COMPUTED_VALUE"""),"10.1177/1474704917702459")</f>
        <v>10.1177/1474704917702459</v>
      </c>
      <c r="B877" s="677" t="str">
        <f>IFERROR(__xludf.DUMMYFUNCTION("""COMPUTED_VALUE"""),"https://drive.google.com/file/d/13HXL6bBHEeobJ0atlXPiiTYTAvwneQ8X/view?usp=drivesdk")</f>
        <v>https://drive.google.com/file/d/13HXL6bBHEeobJ0atlXPiiTYTAvwneQ8X/view?usp=drivesdk</v>
      </c>
      <c r="C877" s="156" t="str">
        <f>IFERROR(__xludf.DUMMYFUNCTION("""COMPUTED_VALUE"""),"10.1177--1474704917702459.pdf")</f>
        <v>10.1177--1474704917702459.pdf</v>
      </c>
      <c r="D877" s="156" t="str">
        <f>IFERROR(__xludf.DUMMYFUNCTION("""COMPUTED_VALUE"""),"application/pdf")</f>
        <v>application/pdf</v>
      </c>
    </row>
    <row r="878">
      <c r="A878" s="156" t="str">
        <f>IFERROR(__xludf.DUMMYFUNCTION("""COMPUTED_VALUE"""),"10.1097/00004703-200604002-00013")</f>
        <v>10.1097/00004703-200604002-00013</v>
      </c>
      <c r="B878" s="677" t="str">
        <f>IFERROR(__xludf.DUMMYFUNCTION("""COMPUTED_VALUE"""),"https://drive.google.com/file/d/1DpRthxOkoc5ttT6b0_Ddsnml6y-xfOZB/view?usp=drivesdk")</f>
        <v>https://drive.google.com/file/d/1DpRthxOkoc5ttT6b0_Ddsnml6y-xfOZB/view?usp=drivesdk</v>
      </c>
      <c r="C878" s="156" t="str">
        <f>IFERROR(__xludf.DUMMYFUNCTION("""COMPUTED_VALUE"""),"10.1097--00004703-200604002-00013.pdf")</f>
        <v>10.1097--00004703-200604002-00013.pdf</v>
      </c>
      <c r="D878" s="156" t="str">
        <f>IFERROR(__xludf.DUMMYFUNCTION("""COMPUTED_VALUE"""),"application/pdf")</f>
        <v>application/pdf</v>
      </c>
    </row>
    <row r="879">
      <c r="A879" s="156" t="str">
        <f>IFERROR(__xludf.DUMMYFUNCTION("""COMPUTED_VALUE"""),"10.1037/0022-3514.84.4.822")</f>
        <v>10.1037/0022-3514.84.4.822</v>
      </c>
      <c r="B879" s="677" t="str">
        <f>IFERROR(__xludf.DUMMYFUNCTION("""COMPUTED_VALUE"""),"https://drive.google.com/file/d/1fcQEFr_21wbt3K30-PTO-trKe-ZhF58q/view?usp=drivesdk")</f>
        <v>https://drive.google.com/file/d/1fcQEFr_21wbt3K30-PTO-trKe-ZhF58q/view?usp=drivesdk</v>
      </c>
      <c r="C879" s="156" t="str">
        <f>IFERROR(__xludf.DUMMYFUNCTION("""COMPUTED_VALUE"""),"10.1037--0022-3514.84.4.822.pdf")</f>
        <v>10.1037--0022-3514.84.4.822.pdf</v>
      </c>
      <c r="D879" s="156" t="str">
        <f>IFERROR(__xludf.DUMMYFUNCTION("""COMPUTED_VALUE"""),"application/pdf")</f>
        <v>application/pdf</v>
      </c>
    </row>
    <row r="880">
      <c r="A880" s="156" t="str">
        <f>IFERROR(__xludf.DUMMYFUNCTION("""COMPUTED_VALUE"""),"10.1016/j.jrp.2012.05.005")</f>
        <v>10.1016/j.jrp.2012.05.005</v>
      </c>
      <c r="B880" s="677" t="str">
        <f>IFERROR(__xludf.DUMMYFUNCTION("""COMPUTED_VALUE"""),"https://drive.google.com/file/d/1X-YLxJ1nryt6k9oHzCfNCJla4hIrRiYy/view?usp=drivesdk")</f>
        <v>https://drive.google.com/file/d/1X-YLxJ1nryt6k9oHzCfNCJla4hIrRiYy/view?usp=drivesdk</v>
      </c>
      <c r="C880" s="156" t="str">
        <f>IFERROR(__xludf.DUMMYFUNCTION("""COMPUTED_VALUE"""),"10.1016--j.jrp.2012.05.005.pdf")</f>
        <v>10.1016--j.jrp.2012.05.005.pdf</v>
      </c>
      <c r="D880" s="156" t="str">
        <f>IFERROR(__xludf.DUMMYFUNCTION("""COMPUTED_VALUE"""),"application/pdf")</f>
        <v>application/pdf</v>
      </c>
    </row>
    <row r="881">
      <c r="A881" s="156" t="str">
        <f>IFERROR(__xludf.DUMMYFUNCTION("""COMPUTED_VALUE"""),"10.1037/0894-4105.22.3.383")</f>
        <v>10.1037/0894-4105.22.3.383</v>
      </c>
      <c r="B881" s="677" t="str">
        <f>IFERROR(__xludf.DUMMYFUNCTION("""COMPUTED_VALUE"""),"https://drive.google.com/file/d/1XZOrXuHICMrlamIW-ybqQ_ICjkxfdP95/view?usp=drivesdk")</f>
        <v>https://drive.google.com/file/d/1XZOrXuHICMrlamIW-ybqQ_ICjkxfdP95/view?usp=drivesdk</v>
      </c>
      <c r="C881" s="156" t="str">
        <f>IFERROR(__xludf.DUMMYFUNCTION("""COMPUTED_VALUE"""),"10.1037--0894-4105.22.3.383.pdf")</f>
        <v>10.1037--0894-4105.22.3.383.pdf</v>
      </c>
      <c r="D881" s="156" t="str">
        <f>IFERROR(__xludf.DUMMYFUNCTION("""COMPUTED_VALUE"""),"application/pdf")</f>
        <v>application/pdf</v>
      </c>
    </row>
    <row r="882">
      <c r="A882" s="156" t="str">
        <f>IFERROR(__xludf.DUMMYFUNCTION("""COMPUTED_VALUE"""),"10.1007/bf03325066")</f>
        <v>10.1007/bf03325066</v>
      </c>
      <c r="B882" s="677" t="str">
        <f>IFERROR(__xludf.DUMMYFUNCTION("""COMPUTED_VALUE"""),"https://drive.google.com/file/d/1rIcc23FDkVwYNZ5qQqM8pMLBJWDlN_-3/view?usp=drivesdk")</f>
        <v>https://drive.google.com/file/d/1rIcc23FDkVwYNZ5qQqM8pMLBJWDlN_-3/view?usp=drivesdk</v>
      </c>
      <c r="C882" s="156" t="str">
        <f>IFERROR(__xludf.DUMMYFUNCTION("""COMPUTED_VALUE"""),"10.1007--BF03325066.pdf")</f>
        <v>10.1007--BF03325066.pdf</v>
      </c>
      <c r="D882" s="156" t="str">
        <f>IFERROR(__xludf.DUMMYFUNCTION("""COMPUTED_VALUE"""),"application/pdf")</f>
        <v>application/pdf</v>
      </c>
    </row>
    <row r="883">
      <c r="A883" s="156" t="str">
        <f>IFERROR(__xludf.DUMMYFUNCTION("""COMPUTED_VALUE"""),"10.3389/fgene.2013.00246")</f>
        <v>10.3389/fgene.2013.00246</v>
      </c>
      <c r="B883" s="677" t="str">
        <f>IFERROR(__xludf.DUMMYFUNCTION("""COMPUTED_VALUE"""),"https://drive.google.com/file/d/1PK9zW01oolAe1aObtWLuxmXRodjxTP7R/view?usp=drivesdk")</f>
        <v>https://drive.google.com/file/d/1PK9zW01oolAe1aObtWLuxmXRodjxTP7R/view?usp=drivesdk</v>
      </c>
      <c r="C883" s="156" t="str">
        <f>IFERROR(__xludf.DUMMYFUNCTION("""COMPUTED_VALUE"""),"10.3389--fgene.2013.00246.pdf")</f>
        <v>10.3389--fgene.2013.00246.pdf</v>
      </c>
      <c r="D883" s="156" t="str">
        <f>IFERROR(__xludf.DUMMYFUNCTION("""COMPUTED_VALUE"""),"application/pdf")</f>
        <v>application/pdf</v>
      </c>
    </row>
    <row r="884">
      <c r="A884" s="156" t="str">
        <f>IFERROR(__xludf.DUMMYFUNCTION("""COMPUTED_VALUE"""),"10.1080/00207594.2013.778414")</f>
        <v>10.1080/00207594.2013.778414</v>
      </c>
      <c r="B884" s="677" t="str">
        <f>IFERROR(__xludf.DUMMYFUNCTION("""COMPUTED_VALUE"""),"https://drive.google.com/file/d/1Up5KpUA2Nhbb7B9TOjXSX1dkhH3dHx60/view?usp=drivesdk")</f>
        <v>https://drive.google.com/file/d/1Up5KpUA2Nhbb7B9TOjXSX1dkhH3dHx60/view?usp=drivesdk</v>
      </c>
      <c r="C884" s="156" t="str">
        <f>IFERROR(__xludf.DUMMYFUNCTION("""COMPUTED_VALUE"""),"10.1080--00207594.2013.778414.pdf")</f>
        <v>10.1080--00207594.2013.778414.pdf</v>
      </c>
      <c r="D884" s="156" t="str">
        <f>IFERROR(__xludf.DUMMYFUNCTION("""COMPUTED_VALUE"""),"application/pdf")</f>
        <v>application/pdf</v>
      </c>
    </row>
    <row r="885">
      <c r="A885" s="156" t="str">
        <f>IFERROR(__xludf.DUMMYFUNCTION("""COMPUTED_VALUE"""),"10.1007/s12529-016-9607-2")</f>
        <v>10.1007/s12529-016-9607-2</v>
      </c>
      <c r="B885" s="677" t="str">
        <f>IFERROR(__xludf.DUMMYFUNCTION("""COMPUTED_VALUE"""),"https://drive.google.com/file/d/1gGqQ1FNoFCMCQmeYkORa95CE47KJX9DX/view?usp=drivesdk")</f>
        <v>https://drive.google.com/file/d/1gGqQ1FNoFCMCQmeYkORa95CE47KJX9DX/view?usp=drivesdk</v>
      </c>
      <c r="C885" s="156" t="str">
        <f>IFERROR(__xludf.DUMMYFUNCTION("""COMPUTED_VALUE"""),"10.1007--s12529-016-9607-2.pdf")</f>
        <v>10.1007--s12529-016-9607-2.pdf</v>
      </c>
      <c r="D885" s="156" t="str">
        <f>IFERROR(__xludf.DUMMYFUNCTION("""COMPUTED_VALUE"""),"application/pdf")</f>
        <v>application/pdf</v>
      </c>
    </row>
    <row r="886">
      <c r="A886" s="156" t="str">
        <f>IFERROR(__xludf.DUMMYFUNCTION("""COMPUTED_VALUE"""),"10.1080/02699930143000374")</f>
        <v>10.1080/02699930143000374</v>
      </c>
      <c r="B886" s="677" t="str">
        <f>IFERROR(__xludf.DUMMYFUNCTION("""COMPUTED_VALUE"""),"https://drive.google.com/file/d/1Kk8JGlLS_VipK-XcBlqpiX-P55HO2JmV/view?usp=drivesdk")</f>
        <v>https://drive.google.com/file/d/1Kk8JGlLS_VipK-XcBlqpiX-P55HO2JmV/view?usp=drivesdk</v>
      </c>
      <c r="C886" s="156" t="str">
        <f>IFERROR(__xludf.DUMMYFUNCTION("""COMPUTED_VALUE"""),"10.1080--02699930143000374.pdf")</f>
        <v>10.1080--02699930143000374.pdf</v>
      </c>
      <c r="D886" s="156" t="str">
        <f>IFERROR(__xludf.DUMMYFUNCTION("""COMPUTED_VALUE"""),"application/pdf")</f>
        <v>application/pdf</v>
      </c>
    </row>
    <row r="887">
      <c r="A887" s="156" t="str">
        <f>IFERROR(__xludf.DUMMYFUNCTION("""COMPUTED_VALUE"""),"10.1080/23311908.2016.1199294")</f>
        <v>10.1080/23311908.2016.1199294</v>
      </c>
      <c r="B887" s="677" t="str">
        <f>IFERROR(__xludf.DUMMYFUNCTION("""COMPUTED_VALUE"""),"https://drive.google.com/file/d/1kdPR5vcnadM910rDTrcuMSi5ztRwehDP/view?usp=drivesdk")</f>
        <v>https://drive.google.com/file/d/1kdPR5vcnadM910rDTrcuMSi5ztRwehDP/view?usp=drivesdk</v>
      </c>
      <c r="C887" s="156" t="str">
        <f>IFERROR(__xludf.DUMMYFUNCTION("""COMPUTED_VALUE"""),"10.1080--23311908.2016.1199294.pdf")</f>
        <v>10.1080--23311908.2016.1199294.pdf</v>
      </c>
      <c r="D887" s="156" t="str">
        <f>IFERROR(__xludf.DUMMYFUNCTION("""COMPUTED_VALUE"""),"application/pdf")</f>
        <v>application/pdf</v>
      </c>
    </row>
    <row r="888">
      <c r="A888" s="156" t="str">
        <f>IFERROR(__xludf.DUMMYFUNCTION("""COMPUTED_VALUE"""),"10.1016/j.paid.2014.11.040")</f>
        <v>10.1016/j.paid.2014.11.040</v>
      </c>
      <c r="B888" s="677" t="str">
        <f>IFERROR(__xludf.DUMMYFUNCTION("""COMPUTED_VALUE"""),"https://drive.google.com/file/d/1alfL4rXzwhSOjwVbljRPqMEDJD1p_bH_/view?usp=drivesdk")</f>
        <v>https://drive.google.com/file/d/1alfL4rXzwhSOjwVbljRPqMEDJD1p_bH_/view?usp=drivesdk</v>
      </c>
      <c r="C888" s="156" t="str">
        <f>IFERROR(__xludf.DUMMYFUNCTION("""COMPUTED_VALUE"""),"10.1016--j.paid.2014.11.040.pdf")</f>
        <v>10.1016--j.paid.2014.11.040.pdf</v>
      </c>
      <c r="D888" s="156" t="str">
        <f>IFERROR(__xludf.DUMMYFUNCTION("""COMPUTED_VALUE"""),"application/pdf")</f>
        <v>application/pdf</v>
      </c>
    </row>
    <row r="889">
      <c r="A889" s="156" t="str">
        <f>IFERROR(__xludf.DUMMYFUNCTION("""COMPUTED_VALUE"""),"10.1016/j.paid.2009.11.002")</f>
        <v>10.1016/j.paid.2009.11.002</v>
      </c>
      <c r="B889" s="677" t="str">
        <f>IFERROR(__xludf.DUMMYFUNCTION("""COMPUTED_VALUE"""),"https://drive.google.com/file/d/1tDcOxq4h_QB7r--zun0YfiYhBgzXidMZ/view?usp=drivesdk")</f>
        <v>https://drive.google.com/file/d/1tDcOxq4h_QB7r--zun0YfiYhBgzXidMZ/view?usp=drivesdk</v>
      </c>
      <c r="C889" s="156" t="str">
        <f>IFERROR(__xludf.DUMMYFUNCTION("""COMPUTED_VALUE"""),"10.1016--j.paid.2009.11.002.pdf")</f>
        <v>10.1016--j.paid.2009.11.002.pdf</v>
      </c>
      <c r="D889" s="156" t="str">
        <f>IFERROR(__xludf.DUMMYFUNCTION("""COMPUTED_VALUE"""),"application/pdf")</f>
        <v>application/pdf</v>
      </c>
    </row>
    <row r="890">
      <c r="A890" s="156" t="str">
        <f>IFERROR(__xludf.DUMMYFUNCTION("""COMPUTED_VALUE"""),"10.1016/j.psychres.2013.11.009")</f>
        <v>10.1016/j.psychres.2013.11.009</v>
      </c>
      <c r="B890" s="677" t="str">
        <f>IFERROR(__xludf.DUMMYFUNCTION("""COMPUTED_VALUE"""),"https://drive.google.com/file/d/1aas7piVJyfMlXDfZVcy2BNATmn7OrUT5/view?usp=drivesdk")</f>
        <v>https://drive.google.com/file/d/1aas7piVJyfMlXDfZVcy2BNATmn7OrUT5/view?usp=drivesdk</v>
      </c>
      <c r="C890" s="156" t="str">
        <f>IFERROR(__xludf.DUMMYFUNCTION("""COMPUTED_VALUE"""),"10.1016--j.psychres.2013.11.009.pdf")</f>
        <v>10.1016--j.psychres.2013.11.009.pdf</v>
      </c>
      <c r="D890" s="156" t="str">
        <f>IFERROR(__xludf.DUMMYFUNCTION("""COMPUTED_VALUE"""),"application/pdf")</f>
        <v>application/pdf</v>
      </c>
    </row>
    <row r="891">
      <c r="A891" s="156" t="str">
        <f>IFERROR(__xludf.DUMMYFUNCTION("""COMPUTED_VALUE"""),"10.1002/ejsp.446")</f>
        <v>10.1002/ejsp.446</v>
      </c>
      <c r="B891" s="677" t="str">
        <f>IFERROR(__xludf.DUMMYFUNCTION("""COMPUTED_VALUE"""),"https://drive.google.com/file/d/1gG02tv3PWyQz_Ib3EeWspGFEQD7yZJ4S/view?usp=drivesdk")</f>
        <v>https://drive.google.com/file/d/1gG02tv3PWyQz_Ib3EeWspGFEQD7yZJ4S/view?usp=drivesdk</v>
      </c>
      <c r="C891" s="156" t="str">
        <f>IFERROR(__xludf.DUMMYFUNCTION("""COMPUTED_VALUE"""),"10.1002--ejsp.446.pdf")</f>
        <v>10.1002--ejsp.446.pdf</v>
      </c>
      <c r="D891" s="156" t="str">
        <f>IFERROR(__xludf.DUMMYFUNCTION("""COMPUTED_VALUE"""),"application/pdf")</f>
        <v>application/pdf</v>
      </c>
    </row>
    <row r="892">
      <c r="A892" s="156" t="str">
        <f>IFERROR(__xludf.DUMMYFUNCTION("""COMPUTED_VALUE"""),"10.1177/0886260512436386")</f>
        <v>10.1177/0886260512436386</v>
      </c>
      <c r="B892" s="677" t="str">
        <f>IFERROR(__xludf.DUMMYFUNCTION("""COMPUTED_VALUE"""),"https://drive.google.com/file/d/1tZqiX4yaCWNZp0VBksEuDisPC0QorBFC/view?usp=drivesdk")</f>
        <v>https://drive.google.com/file/d/1tZqiX4yaCWNZp0VBksEuDisPC0QorBFC/view?usp=drivesdk</v>
      </c>
      <c r="C892" s="156" t="str">
        <f>IFERROR(__xludf.DUMMYFUNCTION("""COMPUTED_VALUE"""),"10.1177--0886260512436386.pdf")</f>
        <v>10.1177--0886260512436386.pdf</v>
      </c>
      <c r="D892" s="156" t="str">
        <f>IFERROR(__xludf.DUMMYFUNCTION("""COMPUTED_VALUE"""),"application/pdf")</f>
        <v>application/pdf</v>
      </c>
    </row>
    <row r="893">
      <c r="A893" s="156" t="str">
        <f>IFERROR(__xludf.DUMMYFUNCTION("""COMPUTED_VALUE"""),"10.1111/jcom.12135")</f>
        <v>10.1111/jcom.12135</v>
      </c>
      <c r="B893" s="677" t="str">
        <f>IFERROR(__xludf.DUMMYFUNCTION("""COMPUTED_VALUE"""),"https://drive.google.com/file/d/1A0ji2boMvIVfZW9YqaNx_sESaCqIAN8o/view?usp=drivesdk")</f>
        <v>https://drive.google.com/file/d/1A0ji2boMvIVfZW9YqaNx_sESaCqIAN8o/view?usp=drivesdk</v>
      </c>
      <c r="C893" s="156" t="str">
        <f>IFERROR(__xludf.DUMMYFUNCTION("""COMPUTED_VALUE"""),"10.1111--jcom.12135.pdf")</f>
        <v>10.1111--jcom.12135.pdf</v>
      </c>
      <c r="D893" s="156" t="str">
        <f>IFERROR(__xludf.DUMMYFUNCTION("""COMPUTED_VALUE"""),"application/pdf")</f>
        <v>application/pdf</v>
      </c>
    </row>
    <row r="894">
      <c r="A894" s="156" t="str">
        <f>IFERROR(__xludf.DUMMYFUNCTION("""COMPUTED_VALUE"""),"10.1016/j.jml.2010.11.002")</f>
        <v>10.1016/j.jml.2010.11.002</v>
      </c>
      <c r="B894" s="677" t="str">
        <f>IFERROR(__xludf.DUMMYFUNCTION("""COMPUTED_VALUE"""),"https://drive.google.com/file/d/1Iq2exajG-TDJLBR_-7xMUUfWxSTwJWDV/view?usp=drivesdk")</f>
        <v>https://drive.google.com/file/d/1Iq2exajG-TDJLBR_-7xMUUfWxSTwJWDV/view?usp=drivesdk</v>
      </c>
      <c r="C894" s="156" t="str">
        <f>IFERROR(__xludf.DUMMYFUNCTION("""COMPUTED_VALUE"""),"10.1016--j.jml.2010.11.002.pdf")</f>
        <v>10.1016--j.jml.2010.11.002.pdf</v>
      </c>
      <c r="D894" s="156" t="str">
        <f>IFERROR(__xludf.DUMMYFUNCTION("""COMPUTED_VALUE"""),"application/pdf")</f>
        <v>application/pdf</v>
      </c>
    </row>
    <row r="895">
      <c r="A895" s="156" t="str">
        <f>IFERROR(__xludf.DUMMYFUNCTION("""COMPUTED_VALUE"""),"10.3758/s13420-018-0336-z")</f>
        <v>10.3758/s13420-018-0336-z</v>
      </c>
      <c r="B895" s="677" t="str">
        <f>IFERROR(__xludf.DUMMYFUNCTION("""COMPUTED_VALUE"""),"https://drive.google.com/file/d/1QohAMMPIG9bNDxF5TO_ctDY-bzJUlb_y/view?usp=drivesdk")</f>
        <v>https://drive.google.com/file/d/1QohAMMPIG9bNDxF5TO_ctDY-bzJUlb_y/view?usp=drivesdk</v>
      </c>
      <c r="C895" s="156" t="str">
        <f>IFERROR(__xludf.DUMMYFUNCTION("""COMPUTED_VALUE"""),"10.3758--s13420-018-0336-z.pdf")</f>
        <v>10.3758--s13420-018-0336-z.pdf</v>
      </c>
      <c r="D895" s="156" t="str">
        <f>IFERROR(__xludf.DUMMYFUNCTION("""COMPUTED_VALUE"""),"application/pdf")</f>
        <v>application/pdf</v>
      </c>
    </row>
    <row r="896">
      <c r="A896" s="156" t="str">
        <f>IFERROR(__xludf.DUMMYFUNCTION("""COMPUTED_VALUE"""),"10.1016/j.beproc.2005.09.002")</f>
        <v>10.1016/j.beproc.2005.09.002</v>
      </c>
      <c r="B896" s="677" t="str">
        <f>IFERROR(__xludf.DUMMYFUNCTION("""COMPUTED_VALUE"""),"https://drive.google.com/file/d/1UM8vlzbWtWJPbRgufyRQ5udR9qVzuZSK/view?usp=drivesdk")</f>
        <v>https://drive.google.com/file/d/1UM8vlzbWtWJPbRgufyRQ5udR9qVzuZSK/view?usp=drivesdk</v>
      </c>
      <c r="C896" s="156" t="str">
        <f>IFERROR(__xludf.DUMMYFUNCTION("""COMPUTED_VALUE"""),"10.1016--j.beproc.2005.09.002.pdf")</f>
        <v>10.1016--j.beproc.2005.09.002.pdf</v>
      </c>
      <c r="D896" s="156" t="str">
        <f>IFERROR(__xludf.DUMMYFUNCTION("""COMPUTED_VALUE"""),"application/pdf")</f>
        <v>application/pdf</v>
      </c>
    </row>
    <row r="897">
      <c r="A897" s="156" t="str">
        <f>IFERROR(__xludf.DUMMYFUNCTION("""COMPUTED_VALUE"""),"10.1177/1754073908100432")</f>
        <v>10.1177/1754073908100432</v>
      </c>
      <c r="B897" s="677" t="str">
        <f>IFERROR(__xludf.DUMMYFUNCTION("""COMPUTED_VALUE"""),"https://drive.google.com/file/d/14dpPfnnGxxoMpSv9KbJv_DGRBbGGNcej/view?usp=drivesdk")</f>
        <v>https://drive.google.com/file/d/14dpPfnnGxxoMpSv9KbJv_DGRBbGGNcej/view?usp=drivesdk</v>
      </c>
      <c r="C897" s="156" t="str">
        <f>IFERROR(__xludf.DUMMYFUNCTION("""COMPUTED_VALUE"""),"10.1177--1754073908100432.pdf")</f>
        <v>10.1177--1754073908100432.pdf</v>
      </c>
      <c r="D897" s="156" t="str">
        <f>IFERROR(__xludf.DUMMYFUNCTION("""COMPUTED_VALUE"""),"application/pdf")</f>
        <v>application/pdf</v>
      </c>
    </row>
    <row r="898">
      <c r="A898" s="156" t="str">
        <f>IFERROR(__xludf.DUMMYFUNCTION("""COMPUTED_VALUE"""),"10.1038/nn1979")</f>
        <v>10.1038/nn1979</v>
      </c>
      <c r="B898" s="677" t="str">
        <f>IFERROR(__xludf.DUMMYFUNCTION("""COMPUTED_VALUE"""),"https://drive.google.com/file/d/1YPPJtv3xDHwJ3jEdQAjDOFSRUnuq15hb/view?usp=drivesdk")</f>
        <v>https://drive.google.com/file/d/1YPPJtv3xDHwJ3jEdQAjDOFSRUnuq15hb/view?usp=drivesdk</v>
      </c>
      <c r="C898" s="156" t="str">
        <f>IFERROR(__xludf.DUMMYFUNCTION("""COMPUTED_VALUE"""),"10.1038--nn1979.pdf")</f>
        <v>10.1038--nn1979.pdf</v>
      </c>
      <c r="D898" s="156" t="str">
        <f>IFERROR(__xludf.DUMMYFUNCTION("""COMPUTED_VALUE"""),"application/pdf")</f>
        <v>application/pdf</v>
      </c>
    </row>
    <row r="899">
      <c r="A899" s="156" t="str">
        <f>IFERROR(__xludf.DUMMYFUNCTION("""COMPUTED_VALUE"""),"10.1016/j.cognition.2007.09.006")</f>
        <v>10.1016/j.cognition.2007.09.006</v>
      </c>
      <c r="B899" s="677" t="str">
        <f>IFERROR(__xludf.DUMMYFUNCTION("""COMPUTED_VALUE"""),"https://drive.google.com/file/d/1bLrBDqjkPMmEx6FX59L8orwnDLu8WIXb/view?usp=drivesdk")</f>
        <v>https://drive.google.com/file/d/1bLrBDqjkPMmEx6FX59L8orwnDLu8WIXb/view?usp=drivesdk</v>
      </c>
      <c r="C899" s="156" t="str">
        <f>IFERROR(__xludf.DUMMYFUNCTION("""COMPUTED_VALUE"""),"10.1016--j.cognition.2007.09.006.pdf")</f>
        <v>10.1016--j.cognition.2007.09.006.pdf</v>
      </c>
      <c r="D899" s="156" t="str">
        <f>IFERROR(__xludf.DUMMYFUNCTION("""COMPUTED_VALUE"""),"application/pdf")</f>
        <v>application/pdf</v>
      </c>
    </row>
    <row r="900">
      <c r="A900" s="156" t="str">
        <f>IFERROR(__xludf.DUMMYFUNCTION("""COMPUTED_VALUE"""),"10.1068/p5098")</f>
        <v>10.1068/p5098</v>
      </c>
      <c r="B900" s="677" t="str">
        <f>IFERROR(__xludf.DUMMYFUNCTION("""COMPUTED_VALUE"""),"https://drive.google.com/file/d/1EKIaHTuti7XKw2mQk08MnnJylEMMAcKd/view?usp=drivesdk")</f>
        <v>https://drive.google.com/file/d/1EKIaHTuti7XKw2mQk08MnnJylEMMAcKd/view?usp=drivesdk</v>
      </c>
      <c r="C900" s="156" t="str">
        <f>IFERROR(__xludf.DUMMYFUNCTION("""COMPUTED_VALUE"""),"10.1068--p5098.pdf")</f>
        <v>10.1068--p5098.pdf</v>
      </c>
      <c r="D900" s="156" t="str">
        <f>IFERROR(__xludf.DUMMYFUNCTION("""COMPUTED_VALUE"""),"application/pdf")</f>
        <v>application/pdf</v>
      </c>
    </row>
    <row r="901">
      <c r="A901" s="156" t="str">
        <f>IFERROR(__xludf.DUMMYFUNCTION("""COMPUTED_VALUE"""),"10.1901/jeab.2002.78-433")</f>
        <v>10.1901/jeab.2002.78-433</v>
      </c>
      <c r="B901" s="677" t="str">
        <f>IFERROR(__xludf.DUMMYFUNCTION("""COMPUTED_VALUE"""),"https://drive.google.com/file/d/1UfgwGKxa_5AvpC76256uuBjZknlA8ib3/view?usp=drivesdk")</f>
        <v>https://drive.google.com/file/d/1UfgwGKxa_5AvpC76256uuBjZknlA8ib3/view?usp=drivesdk</v>
      </c>
      <c r="C901" s="156" t="str">
        <f>IFERROR(__xludf.DUMMYFUNCTION("""COMPUTED_VALUE"""),"10.1901--jeab.2002.78-433.pdf")</f>
        <v>10.1901--jeab.2002.78-433.pdf</v>
      </c>
      <c r="D901" s="156" t="str">
        <f>IFERROR(__xludf.DUMMYFUNCTION("""COMPUTED_VALUE"""),"application/pdf")</f>
        <v>application/pdf</v>
      </c>
    </row>
    <row r="902">
      <c r="A902" s="156" t="str">
        <f>IFERROR(__xludf.DUMMYFUNCTION("""COMPUTED_VALUE"""),"10.1037/0022-3514.89.3.277")</f>
        <v>10.1037/0022-3514.89.3.277</v>
      </c>
      <c r="B902" s="677" t="str">
        <f>IFERROR(__xludf.DUMMYFUNCTION("""COMPUTED_VALUE"""),"https://drive.google.com/file/d/1AB61jwhOBItiyDw3TIyUHNiUPtTkAH3o/view?usp=drivesdk")</f>
        <v>https://drive.google.com/file/d/1AB61jwhOBItiyDw3TIyUHNiUPtTkAH3o/view?usp=drivesdk</v>
      </c>
      <c r="C902" s="156" t="str">
        <f>IFERROR(__xludf.DUMMYFUNCTION("""COMPUTED_VALUE"""),"10.1037--0022-3514.89.3.277.pdf")</f>
        <v>10.1037--0022-3514.89.3.277.pdf</v>
      </c>
      <c r="D902" s="156" t="str">
        <f>IFERROR(__xludf.DUMMYFUNCTION("""COMPUTED_VALUE"""),"application/pdf")</f>
        <v>application/pdf</v>
      </c>
    </row>
    <row r="903">
      <c r="A903" s="156" t="str">
        <f>IFERROR(__xludf.DUMMYFUNCTION("""COMPUTED_VALUE"""),"10.2307/1129656")</f>
        <v>10.2307/1129656</v>
      </c>
      <c r="B903" s="677" t="str">
        <f>IFERROR(__xludf.DUMMYFUNCTION("""COMPUTED_VALUE"""),"https://drive.google.com/file/d/1aCMImaLjby_90bueWUVFldrnuxIgw5Vu/view?usp=drivesdk")</f>
        <v>https://drive.google.com/file/d/1aCMImaLjby_90bueWUVFldrnuxIgw5Vu/view?usp=drivesdk</v>
      </c>
      <c r="C903" s="156" t="str">
        <f>IFERROR(__xludf.DUMMYFUNCTION("""COMPUTED_VALUE"""),"10.2307--1129656.pdf")</f>
        <v>10.2307--1129656.pdf</v>
      </c>
      <c r="D903" s="156" t="str">
        <f>IFERROR(__xludf.DUMMYFUNCTION("""COMPUTED_VALUE"""),"application/pdf")</f>
        <v>application/pdf</v>
      </c>
    </row>
    <row r="904">
      <c r="A904" s="156" t="str">
        <f>IFERROR(__xludf.DUMMYFUNCTION("""COMPUTED_VALUE"""),"10.1016/j.neuron.2006.03.036")</f>
        <v>10.1016/j.neuron.2006.03.036</v>
      </c>
      <c r="B904" s="677" t="str">
        <f>IFERROR(__xludf.DUMMYFUNCTION("""COMPUTED_VALUE"""),"https://drive.google.com/file/d/1biGY06VhgNDEMTqCeocAd-YrLIfNNqce/view?usp=drivesdk")</f>
        <v>https://drive.google.com/file/d/1biGY06VhgNDEMTqCeocAd-YrLIfNNqce/view?usp=drivesdk</v>
      </c>
      <c r="C904" s="156" t="str">
        <f>IFERROR(__xludf.DUMMYFUNCTION("""COMPUTED_VALUE"""),"10.1016--j.neuron.2006.03.036.pdf")</f>
        <v>10.1016--j.neuron.2006.03.036.pdf</v>
      </c>
      <c r="D904" s="156" t="str">
        <f>IFERROR(__xludf.DUMMYFUNCTION("""COMPUTED_VALUE"""),"application/pdf")</f>
        <v>application/pdf</v>
      </c>
    </row>
    <row r="905">
      <c r="A905" s="156" t="str">
        <f>IFERROR(__xludf.DUMMYFUNCTION("""COMPUTED_VALUE"""),"10.1123/jmld.2015-0016")</f>
        <v>10.1123/jmld.2015-0016</v>
      </c>
      <c r="B905" s="677" t="str">
        <f>IFERROR(__xludf.DUMMYFUNCTION("""COMPUTED_VALUE"""),"https://drive.google.com/file/d/1qQUY8YHaLjS8I9L_7uxGtCjZZSiaFSNM/view?usp=drivesdk")</f>
        <v>https://drive.google.com/file/d/1qQUY8YHaLjS8I9L_7uxGtCjZZSiaFSNM/view?usp=drivesdk</v>
      </c>
      <c r="C905" s="156" t="str">
        <f>IFERROR(__xludf.DUMMYFUNCTION("""COMPUTED_VALUE"""),"10.1123--jmld.2015-0016.pdf")</f>
        <v>10.1123--jmld.2015-0016.pdf</v>
      </c>
      <c r="D905" s="156" t="str">
        <f>IFERROR(__xludf.DUMMYFUNCTION("""COMPUTED_VALUE"""),"application/pdf")</f>
        <v>application/pdf</v>
      </c>
    </row>
    <row r="906">
      <c r="A906" s="156" t="str">
        <f>IFERROR(__xludf.DUMMYFUNCTION("""COMPUTED_VALUE"""),"10.1016/j.cognition.2009.10.008")</f>
        <v>10.1016/j.cognition.2009.10.008</v>
      </c>
      <c r="B906" s="677" t="str">
        <f>IFERROR(__xludf.DUMMYFUNCTION("""COMPUTED_VALUE"""),"https://drive.google.com/file/d/1g_kGujRhG4yuqeSHWQzK9DVDR5v8g2iz/view?usp=drivesdk")</f>
        <v>https://drive.google.com/file/d/1g_kGujRhG4yuqeSHWQzK9DVDR5v8g2iz/view?usp=drivesdk</v>
      </c>
      <c r="C906" s="156" t="str">
        <f>IFERROR(__xludf.DUMMYFUNCTION("""COMPUTED_VALUE"""),"10.1016--j.cognition.2009.10.008.pdf")</f>
        <v>10.1016--j.cognition.2009.10.008.pdf</v>
      </c>
      <c r="D906" s="156" t="str">
        <f>IFERROR(__xludf.DUMMYFUNCTION("""COMPUTED_VALUE"""),"application/pdf")</f>
        <v>application/pdf</v>
      </c>
    </row>
    <row r="907">
      <c r="A907" s="156" t="str">
        <f>IFERROR(__xludf.DUMMYFUNCTION("""COMPUTED_VALUE"""),"10.1037/h0058574")</f>
        <v>10.1037/h0058574</v>
      </c>
      <c r="B907" s="677" t="str">
        <f>IFERROR(__xludf.DUMMYFUNCTION("""COMPUTED_VALUE"""),"https://drive.google.com/file/d/1WpZdktvJ6RxBIomnQHJ1hEl8lM_CnZ7M/view?usp=drivesdk")</f>
        <v>https://drive.google.com/file/d/1WpZdktvJ6RxBIomnQHJ1hEl8lM_CnZ7M/view?usp=drivesdk</v>
      </c>
      <c r="C907" s="156" t="str">
        <f>IFERROR(__xludf.DUMMYFUNCTION("""COMPUTED_VALUE"""),"10.1037--h0058574.pdf")</f>
        <v>10.1037--h0058574.pdf</v>
      </c>
      <c r="D907" s="156" t="str">
        <f>IFERROR(__xludf.DUMMYFUNCTION("""COMPUTED_VALUE"""),"application/pdf")</f>
        <v>application/pdf</v>
      </c>
    </row>
    <row r="908">
      <c r="A908" s="156" t="str">
        <f>IFERROR(__xludf.DUMMYFUNCTION("""COMPUTED_VALUE"""),"10.1080/09658210601109144")</f>
        <v>10.1080/09658210601109144</v>
      </c>
      <c r="B908" s="677" t="str">
        <f>IFERROR(__xludf.DUMMYFUNCTION("""COMPUTED_VALUE"""),"https://drive.google.com/file/d/1CxG-Cb4wELF92f_ys9jzDE8EZiCJEIZ8/view?usp=drivesdk")</f>
        <v>https://drive.google.com/file/d/1CxG-Cb4wELF92f_ys9jzDE8EZiCJEIZ8/view?usp=drivesdk</v>
      </c>
      <c r="C908" s="156" t="str">
        <f>IFERROR(__xludf.DUMMYFUNCTION("""COMPUTED_VALUE"""),"10.1080--09658210601109144.pdf")</f>
        <v>10.1080--09658210601109144.pdf</v>
      </c>
      <c r="D908" s="156" t="str">
        <f>IFERROR(__xludf.DUMMYFUNCTION("""COMPUTED_VALUE"""),"application/pdf")</f>
        <v>application/pdf</v>
      </c>
    </row>
    <row r="909">
      <c r="A909" s="156" t="str">
        <f>IFERROR(__xludf.DUMMYFUNCTION("""COMPUTED_VALUE"""),"10.1111/j.1478-3231.2010.02246.x")</f>
        <v>10.1111/j.1478-3231.2010.02246.x</v>
      </c>
      <c r="B909" s="677" t="str">
        <f>IFERROR(__xludf.DUMMYFUNCTION("""COMPUTED_VALUE"""),"https://drive.google.com/file/d/1KRlikjkVG75-FF5ffUuGXNlDAUsJr6wo/view?usp=drivesdk")</f>
        <v>https://drive.google.com/file/d/1KRlikjkVG75-FF5ffUuGXNlDAUsJr6wo/view?usp=drivesdk</v>
      </c>
      <c r="C909" s="156" t="str">
        <f>IFERROR(__xludf.DUMMYFUNCTION("""COMPUTED_VALUE"""),"10.1111--j.1478-3231.2010.02246.x.pdf")</f>
        <v>10.1111--j.1478-3231.2010.02246.x.pdf</v>
      </c>
      <c r="D909" s="156" t="str">
        <f>IFERROR(__xludf.DUMMYFUNCTION("""COMPUTED_VALUE"""),"application/pdf")</f>
        <v>application/pdf</v>
      </c>
    </row>
    <row r="910">
      <c r="A910" s="156" t="str">
        <f>IFERROR(__xludf.DUMMYFUNCTION("""COMPUTED_VALUE"""),"10.3390/jintelligence5030029")</f>
        <v>10.3390/jintelligence5030029</v>
      </c>
      <c r="B910" s="677" t="str">
        <f>IFERROR(__xludf.DUMMYFUNCTION("""COMPUTED_VALUE"""),"https://drive.google.com/file/d/1Be_qME2koKxgagVI5BC_oPnTbMgtgsZN/view?usp=drivesdk")</f>
        <v>https://drive.google.com/file/d/1Be_qME2koKxgagVI5BC_oPnTbMgtgsZN/view?usp=drivesdk</v>
      </c>
      <c r="C910" s="156" t="str">
        <f>IFERROR(__xludf.DUMMYFUNCTION("""COMPUTED_VALUE"""),"10.3390--jintelligence5030029.pdf")</f>
        <v>10.3390--jintelligence5030029.pdf</v>
      </c>
      <c r="D910" s="156" t="str">
        <f>IFERROR(__xludf.DUMMYFUNCTION("""COMPUTED_VALUE"""),"application/pdf")</f>
        <v>application/pdf</v>
      </c>
    </row>
    <row r="911">
      <c r="A911" s="156" t="str">
        <f>IFERROR(__xludf.DUMMYFUNCTION("""COMPUTED_VALUE"""),"10.1037/h0087446")</f>
        <v>10.1037/h0087446</v>
      </c>
      <c r="B911" s="677" t="str">
        <f>IFERROR(__xludf.DUMMYFUNCTION("""COMPUTED_VALUE"""),"https://drive.google.com/file/d/1xDn5W5pV2itl-dOXJa19g7AL0c3gYynB/view?usp=drivesdk")</f>
        <v>https://drive.google.com/file/d/1xDn5W5pV2itl-dOXJa19g7AL0c3gYynB/view?usp=drivesdk</v>
      </c>
      <c r="C911" s="156" t="str">
        <f>IFERROR(__xludf.DUMMYFUNCTION("""COMPUTED_VALUE"""),"10.1037--h0087446.pdf")</f>
        <v>10.1037--h0087446.pdf</v>
      </c>
      <c r="D911" s="156" t="str">
        <f>IFERROR(__xludf.DUMMYFUNCTION("""COMPUTED_VALUE"""),"application/pdf")</f>
        <v>application/pdf</v>
      </c>
    </row>
    <row r="912">
      <c r="A912" s="156" t="str">
        <f>IFERROR(__xludf.DUMMYFUNCTION("""COMPUTED_VALUE"""),"10.1037/a0019902")</f>
        <v>10.1037/a0019902</v>
      </c>
      <c r="B912" s="677" t="str">
        <f>IFERROR(__xludf.DUMMYFUNCTION("""COMPUTED_VALUE"""),"https://drive.google.com/file/d/1GJ-rXBCF8E0-A44JYRsWY-O-OBQ3Ccc_/view?usp=drivesdk")</f>
        <v>https://drive.google.com/file/d/1GJ-rXBCF8E0-A44JYRsWY-O-OBQ3Ccc_/view?usp=drivesdk</v>
      </c>
      <c r="C912" s="156" t="str">
        <f>IFERROR(__xludf.DUMMYFUNCTION("""COMPUTED_VALUE"""),"10.1037--a0019902.pdf")</f>
        <v>10.1037--a0019902.pdf</v>
      </c>
      <c r="D912" s="156" t="str">
        <f>IFERROR(__xludf.DUMMYFUNCTION("""COMPUTED_VALUE"""),"application/pdf")</f>
        <v>application/pdf</v>
      </c>
    </row>
    <row r="913">
      <c r="A913" s="156" t="str">
        <f>IFERROR(__xludf.DUMMYFUNCTION("""COMPUTED_VALUE"""),"10.1515/cog-2012-0021")</f>
        <v>10.1515/cog-2012-0021</v>
      </c>
      <c r="B913" s="677" t="str">
        <f>IFERROR(__xludf.DUMMYFUNCTION("""COMPUTED_VALUE"""),"https://drive.google.com/file/d/1yetzCKztWccCP2nPhPWW57xnsq5SQ9ks/view?usp=drivesdk")</f>
        <v>https://drive.google.com/file/d/1yetzCKztWccCP2nPhPWW57xnsq5SQ9ks/view?usp=drivesdk</v>
      </c>
      <c r="C913" s="156" t="str">
        <f>IFERROR(__xludf.DUMMYFUNCTION("""COMPUTED_VALUE"""),"10.1515--cog-2012-0021.pdf")</f>
        <v>10.1515--cog-2012-0021.pdf</v>
      </c>
      <c r="D913" s="156" t="str">
        <f>IFERROR(__xludf.DUMMYFUNCTION("""COMPUTED_VALUE"""),"application/pdf")</f>
        <v>application/pdf</v>
      </c>
    </row>
    <row r="914">
      <c r="A914" s="156" t="str">
        <f>IFERROR(__xludf.DUMMYFUNCTION("""COMPUTED_VALUE"""),"10.1037/0882-7974.2.1.64")</f>
        <v>10.1037/0882-7974.2.1.64</v>
      </c>
      <c r="B914" s="677" t="str">
        <f>IFERROR(__xludf.DUMMYFUNCTION("""COMPUTED_VALUE"""),"https://drive.google.com/file/d/1FNKK4q4VtFH1B7xBgyBkKpv3rI_nfsxd/view?usp=drivesdk")</f>
        <v>https://drive.google.com/file/d/1FNKK4q4VtFH1B7xBgyBkKpv3rI_nfsxd/view?usp=drivesdk</v>
      </c>
      <c r="C914" s="156" t="str">
        <f>IFERROR(__xludf.DUMMYFUNCTION("""COMPUTED_VALUE"""),"10.1037--0882-7974.2.1.64.pdf")</f>
        <v>10.1037--0882-7974.2.1.64.pdf</v>
      </c>
      <c r="D914" s="156" t="str">
        <f>IFERROR(__xludf.DUMMYFUNCTION("""COMPUTED_VALUE"""),"application/pdf")</f>
        <v>application/pdf</v>
      </c>
    </row>
    <row r="915">
      <c r="A915" s="156" t="str">
        <f>IFERROR(__xludf.DUMMYFUNCTION("""COMPUTED_VALUE"""),"10.1037/0278-7393.19.3.561")</f>
        <v>10.1037/0278-7393.19.3.561</v>
      </c>
      <c r="B915" s="677" t="str">
        <f>IFERROR(__xludf.DUMMYFUNCTION("""COMPUTED_VALUE"""),"https://drive.google.com/file/d/1SbyHKBwQDmPXmv9TAEH0QrAg5CJR3YqL/view?usp=drivesdk")</f>
        <v>https://drive.google.com/file/d/1SbyHKBwQDmPXmv9TAEH0QrAg5CJR3YqL/view?usp=drivesdk</v>
      </c>
      <c r="C915" s="156" t="str">
        <f>IFERROR(__xludf.DUMMYFUNCTION("""COMPUTED_VALUE"""),"10.1037--0278-7393.19.3.561.pdf")</f>
        <v>10.1037--0278-7393.19.3.561.pdf</v>
      </c>
      <c r="D915" s="156" t="str">
        <f>IFERROR(__xludf.DUMMYFUNCTION("""COMPUTED_VALUE"""),"application/pdf")</f>
        <v>application/pdf</v>
      </c>
    </row>
    <row r="916">
      <c r="A916" s="156" t="str">
        <f>IFERROR(__xludf.DUMMYFUNCTION("""COMPUTED_VALUE"""),"10.1093/cercor/bhi060")</f>
        <v>10.1093/cercor/bhi060</v>
      </c>
      <c r="B916" s="677" t="str">
        <f>IFERROR(__xludf.DUMMYFUNCTION("""COMPUTED_VALUE"""),"https://drive.google.com/file/d/19sCJoMNpomOzWNKZEVij6_AZEcmdnoQm/view?usp=drivesdk")</f>
        <v>https://drive.google.com/file/d/19sCJoMNpomOzWNKZEVij6_AZEcmdnoQm/view?usp=drivesdk</v>
      </c>
      <c r="C916" s="156" t="str">
        <f>IFERROR(__xludf.DUMMYFUNCTION("""COMPUTED_VALUE"""),"10.1093--cercor--bhi060.pdf")</f>
        <v>10.1093--cercor--bhi060.pdf</v>
      </c>
      <c r="D916" s="156" t="str">
        <f>IFERROR(__xludf.DUMMYFUNCTION("""COMPUTED_VALUE"""),"application/pdf")</f>
        <v>application/pdf</v>
      </c>
    </row>
    <row r="917">
      <c r="A917" s="156" t="str">
        <f>IFERROR(__xludf.DUMMYFUNCTION("""COMPUTED_VALUE"""),"10.1080/13506285.2010.503946")</f>
        <v>10.1080/13506285.2010.503946</v>
      </c>
      <c r="B917" s="677" t="str">
        <f>IFERROR(__xludf.DUMMYFUNCTION("""COMPUTED_VALUE"""),"https://drive.google.com/file/d/1tZwdX18X7iGLQ9AGbLtmDExPZqA-qkSh/view?usp=drivesdk")</f>
        <v>https://drive.google.com/file/d/1tZwdX18X7iGLQ9AGbLtmDExPZqA-qkSh/view?usp=drivesdk</v>
      </c>
      <c r="C917" s="156" t="str">
        <f>IFERROR(__xludf.DUMMYFUNCTION("""COMPUTED_VALUE"""),"10.1080--13506285.2010.503946.pdf")</f>
        <v>10.1080--13506285.2010.503946.pdf</v>
      </c>
      <c r="D917" s="156" t="str">
        <f>IFERROR(__xludf.DUMMYFUNCTION("""COMPUTED_VALUE"""),"application/pdf")</f>
        <v>application/pdf</v>
      </c>
    </row>
    <row r="918">
      <c r="A918" s="156" t="str">
        <f>IFERROR(__xludf.DUMMYFUNCTION("""COMPUTED_VALUE"""),"10.15288/jsad.2014.75.870")</f>
        <v>10.15288/jsad.2014.75.870</v>
      </c>
      <c r="B918" s="677" t="str">
        <f>IFERROR(__xludf.DUMMYFUNCTION("""COMPUTED_VALUE"""),"https://drive.google.com/file/d/1CgP_knty2ctHaRtfuvVOqytvHjIpQv1H/view?usp=drivesdk")</f>
        <v>https://drive.google.com/file/d/1CgP_knty2ctHaRtfuvVOqytvHjIpQv1H/view?usp=drivesdk</v>
      </c>
      <c r="C918" s="156" t="str">
        <f>IFERROR(__xludf.DUMMYFUNCTION("""COMPUTED_VALUE"""),"10.15288--jsad.2014.75.870.pdf")</f>
        <v>10.15288--jsad.2014.75.870.pdf</v>
      </c>
      <c r="D918" s="156" t="str">
        <f>IFERROR(__xludf.DUMMYFUNCTION("""COMPUTED_VALUE"""),"application/pdf")</f>
        <v>application/pdf</v>
      </c>
    </row>
    <row r="919">
      <c r="A919" s="156" t="str">
        <f>IFERROR(__xludf.DUMMYFUNCTION("""COMPUTED_VALUE"""),"10.1016/j.addbeh.2010.12.013")</f>
        <v>10.1016/j.addbeh.2010.12.013</v>
      </c>
      <c r="B919" s="677" t="str">
        <f>IFERROR(__xludf.DUMMYFUNCTION("""COMPUTED_VALUE"""),"https://drive.google.com/file/d/1xYH64jm6q1s8GQfgVLcJXhZd0QMbRWZK/view?usp=drivesdk")</f>
        <v>https://drive.google.com/file/d/1xYH64jm6q1s8GQfgVLcJXhZd0QMbRWZK/view?usp=drivesdk</v>
      </c>
      <c r="C919" s="156" t="str">
        <f>IFERROR(__xludf.DUMMYFUNCTION("""COMPUTED_VALUE"""),"10.1016--j.addbeh.2010.12.013.pdf")</f>
        <v>10.1016--j.addbeh.2010.12.013.pdf</v>
      </c>
      <c r="D919" s="156" t="str">
        <f>IFERROR(__xludf.DUMMYFUNCTION("""COMPUTED_VALUE"""),"application/pdf")</f>
        <v>application/pdf</v>
      </c>
    </row>
    <row r="920">
      <c r="A920" s="156" t="str">
        <f>IFERROR(__xludf.DUMMYFUNCTION("""COMPUTED_VALUE"""),"10.1177/1059601118807784")</f>
        <v>10.1177/1059601118807784</v>
      </c>
      <c r="B920" s="677" t="str">
        <f>IFERROR(__xludf.DUMMYFUNCTION("""COMPUTED_VALUE"""),"https://drive.google.com/file/d/1G_91tbuPrGF6wAXnKCh07PH4ssjgu5OS/view?usp=drivesdk")</f>
        <v>https://drive.google.com/file/d/1G_91tbuPrGF6wAXnKCh07PH4ssjgu5OS/view?usp=drivesdk</v>
      </c>
      <c r="C920" s="156" t="str">
        <f>IFERROR(__xludf.DUMMYFUNCTION("""COMPUTED_VALUE"""),"10.1177--1059601118807784.pdf")</f>
        <v>10.1177--1059601118807784.pdf</v>
      </c>
      <c r="D920" s="156" t="str">
        <f>IFERROR(__xludf.DUMMYFUNCTION("""COMPUTED_VALUE"""),"application/pdf")</f>
        <v>application/pdf</v>
      </c>
    </row>
    <row r="921">
      <c r="A921" s="156" t="str">
        <f>IFERROR(__xludf.DUMMYFUNCTION("""COMPUTED_VALUE"""),"10.1016/j.actpsy.2015.12.005")</f>
        <v>10.1016/j.actpsy.2015.12.005</v>
      </c>
      <c r="B921" s="677" t="str">
        <f>IFERROR(__xludf.DUMMYFUNCTION("""COMPUTED_VALUE"""),"https://drive.google.com/file/d/1k_KYfMXhB7VMJVA3nBm3aPdzDsf07QY7/view?usp=drivesdk")</f>
        <v>https://drive.google.com/file/d/1k_KYfMXhB7VMJVA3nBm3aPdzDsf07QY7/view?usp=drivesdk</v>
      </c>
      <c r="C921" s="156" t="str">
        <f>IFERROR(__xludf.DUMMYFUNCTION("""COMPUTED_VALUE"""),"10.1016--j.actpsy.2015.12.005.pdf")</f>
        <v>10.1016--j.actpsy.2015.12.005.pdf</v>
      </c>
      <c r="D921" s="156" t="str">
        <f>IFERROR(__xludf.DUMMYFUNCTION("""COMPUTED_VALUE"""),"application/pdf")</f>
        <v>application/pdf</v>
      </c>
    </row>
    <row r="922">
      <c r="A922" s="156" t="str">
        <f>IFERROR(__xludf.DUMMYFUNCTION("""COMPUTED_VALUE"""),"10.1167/10.2.16")</f>
        <v>10.1167/10.2.16</v>
      </c>
      <c r="B922" s="677" t="str">
        <f>IFERROR(__xludf.DUMMYFUNCTION("""COMPUTED_VALUE"""),"https://drive.google.com/file/d/1dVFvxccujpVUcOAcGaYwPVguwxu90UA0/view?usp=drivesdk")</f>
        <v>https://drive.google.com/file/d/1dVFvxccujpVUcOAcGaYwPVguwxu90UA0/view?usp=drivesdk</v>
      </c>
      <c r="C922" s="156" t="str">
        <f>IFERROR(__xludf.DUMMYFUNCTION("""COMPUTED_VALUE"""),"10.1167--10.2.16.pdf")</f>
        <v>10.1167--10.2.16.pdf</v>
      </c>
      <c r="D922" s="156" t="str">
        <f>IFERROR(__xludf.DUMMYFUNCTION("""COMPUTED_VALUE"""),"application/pdf")</f>
        <v>application/pdf</v>
      </c>
    </row>
    <row r="923">
      <c r="A923" s="156" t="str">
        <f>IFERROR(__xludf.DUMMYFUNCTION("""COMPUTED_VALUE"""),"10.1006/jmla.1996.0032")</f>
        <v>10.1006/jmla.1996.0032</v>
      </c>
      <c r="B923" s="677" t="str">
        <f>IFERROR(__xludf.DUMMYFUNCTION("""COMPUTED_VALUE"""),"https://drive.google.com/file/d/1tl6HDgdz9ZeSjaCrgT1tClKQYDgLfJX2/view?usp=drivesdk")</f>
        <v>https://drive.google.com/file/d/1tl6HDgdz9ZeSjaCrgT1tClKQYDgLfJX2/view?usp=drivesdk</v>
      </c>
      <c r="C923" s="156" t="str">
        <f>IFERROR(__xludf.DUMMYFUNCTION("""COMPUTED_VALUE"""),"10.1006--jmla.1996.0032.pdf")</f>
        <v>10.1006--jmla.1996.0032.pdf</v>
      </c>
      <c r="D923" s="156" t="str">
        <f>IFERROR(__xludf.DUMMYFUNCTION("""COMPUTED_VALUE"""),"application/pdf")</f>
        <v>application/pdf</v>
      </c>
    </row>
    <row r="924">
      <c r="A924" s="156" t="str">
        <f>IFERROR(__xludf.DUMMYFUNCTION("""COMPUTED_VALUE"""),"10.1177/1359105314567207")</f>
        <v>10.1177/1359105314567207</v>
      </c>
      <c r="B924" s="677" t="str">
        <f>IFERROR(__xludf.DUMMYFUNCTION("""COMPUTED_VALUE"""),"https://drive.google.com/file/d/1AtO9UFTooj8jsZ-bMrbVdlKA178_-UWZ/view?usp=drivesdk")</f>
        <v>https://drive.google.com/file/d/1AtO9UFTooj8jsZ-bMrbVdlKA178_-UWZ/view?usp=drivesdk</v>
      </c>
      <c r="C924" s="156" t="str">
        <f>IFERROR(__xludf.DUMMYFUNCTION("""COMPUTED_VALUE"""),"10.1177--1359105314567207.pdf")</f>
        <v>10.1177--1359105314567207.pdf</v>
      </c>
      <c r="D924" s="156" t="str">
        <f>IFERROR(__xludf.DUMMYFUNCTION("""COMPUTED_VALUE"""),"application/pdf")</f>
        <v>application/pdf</v>
      </c>
    </row>
    <row r="925">
      <c r="A925" s="156" t="str">
        <f>IFERROR(__xludf.DUMMYFUNCTION("""COMPUTED_VALUE"""),"10.1037/1196-1961.49.2.211")</f>
        <v>10.1037/1196-1961.49.2.211</v>
      </c>
      <c r="B925" s="677" t="str">
        <f>IFERROR(__xludf.DUMMYFUNCTION("""COMPUTED_VALUE"""),"https://drive.google.com/file/d/1TWmS4cxX6FXLDRZDqttHr1wWONTb1Wwn/view?usp=drivesdk")</f>
        <v>https://drive.google.com/file/d/1TWmS4cxX6FXLDRZDqttHr1wWONTb1Wwn/view?usp=drivesdk</v>
      </c>
      <c r="C925" s="156" t="str">
        <f>IFERROR(__xludf.DUMMYFUNCTION("""COMPUTED_VALUE"""),"10.1037--1196-1961.49.2.211.pdf")</f>
        <v>10.1037--1196-1961.49.2.211.pdf</v>
      </c>
      <c r="D925" s="156" t="str">
        <f>IFERROR(__xludf.DUMMYFUNCTION("""COMPUTED_VALUE"""),"application/pdf")</f>
        <v>application/pdf</v>
      </c>
    </row>
    <row r="926">
      <c r="A926" s="156" t="str">
        <f>IFERROR(__xludf.DUMMYFUNCTION("""COMPUTED_VALUE"""),"10.1007/978-1-4899-0915-2_3")</f>
        <v>10.1007/978-1-4899-0915-2_3</v>
      </c>
      <c r="B926" s="677" t="str">
        <f>IFERROR(__xludf.DUMMYFUNCTION("""COMPUTED_VALUE"""),"https://drive.google.com/file/d/1b7oFtJnFWCU-6PsinPO-TRX8uEQLgYae/view?usp=drivesdk")</f>
        <v>https://drive.google.com/file/d/1b7oFtJnFWCU-6PsinPO-TRX8uEQLgYae/view?usp=drivesdk</v>
      </c>
      <c r="C926" s="156" t="str">
        <f>IFERROR(__xludf.DUMMYFUNCTION("""COMPUTED_VALUE"""),"10.1007--978-1-4899-0915-2_3.pdf")</f>
        <v>10.1007--978-1-4899-0915-2_3.pdf</v>
      </c>
      <c r="D926" s="156" t="str">
        <f>IFERROR(__xludf.DUMMYFUNCTION("""COMPUTED_VALUE"""),"application/pdf")</f>
        <v>application/pdf</v>
      </c>
    </row>
    <row r="927">
      <c r="A927" s="156" t="str">
        <f>IFERROR(__xludf.DUMMYFUNCTION("""COMPUTED_VALUE"""),"10.1016/j.chb.2012.07.031")</f>
        <v>10.1016/j.chb.2012.07.031</v>
      </c>
      <c r="B927" s="677" t="str">
        <f>IFERROR(__xludf.DUMMYFUNCTION("""COMPUTED_VALUE"""),"https://drive.google.com/file/d/18Wf2cvLd4DRCjLzwtJ_krjgE7W5bfG-W/view?usp=drivesdk")</f>
        <v>https://drive.google.com/file/d/18Wf2cvLd4DRCjLzwtJ_krjgE7W5bfG-W/view?usp=drivesdk</v>
      </c>
      <c r="C927" s="156" t="str">
        <f>IFERROR(__xludf.DUMMYFUNCTION("""COMPUTED_VALUE"""),"10.1016--j.chb.2012.07.031.pdf")</f>
        <v>10.1016--j.chb.2012.07.031.pdf</v>
      </c>
      <c r="D927" s="156" t="str">
        <f>IFERROR(__xludf.DUMMYFUNCTION("""COMPUTED_VALUE"""),"application/pdf")</f>
        <v>application/pdf</v>
      </c>
    </row>
    <row r="928">
      <c r="A928" s="156" t="str">
        <f>IFERROR(__xludf.DUMMYFUNCTION("""COMPUTED_VALUE"""),"10.1177/154193129003400110")</f>
        <v>10.1177/154193129003400110</v>
      </c>
      <c r="B928" s="677" t="str">
        <f>IFERROR(__xludf.DUMMYFUNCTION("""COMPUTED_VALUE"""),"https://drive.google.com/file/d/1hCaE5JTe5zb3Azp1p-BLkxmyCaGmRUTw/view?usp=drivesdk")</f>
        <v>https://drive.google.com/file/d/1hCaE5JTe5zb3Azp1p-BLkxmyCaGmRUTw/view?usp=drivesdk</v>
      </c>
      <c r="C928" s="156" t="str">
        <f>IFERROR(__xludf.DUMMYFUNCTION("""COMPUTED_VALUE"""),"10.1177--154193129003400110.pdf")</f>
        <v>10.1177--154193129003400110.pdf</v>
      </c>
      <c r="D928" s="156" t="str">
        <f>IFERROR(__xludf.DUMMYFUNCTION("""COMPUTED_VALUE"""),"application/pdf")</f>
        <v>application/pdf</v>
      </c>
    </row>
    <row r="929">
      <c r="A929" s="156" t="str">
        <f>IFERROR(__xludf.DUMMYFUNCTION("""COMPUTED_VALUE"""),"10.1016/j.lindif.2008.10.009")</f>
        <v>10.1016/j.lindif.2008.10.009</v>
      </c>
      <c r="B929" s="677" t="str">
        <f>IFERROR(__xludf.DUMMYFUNCTION("""COMPUTED_VALUE"""),"https://drive.google.com/file/d/1E4GYmrZP9ttvAZgUfCjWrv4HnB_ubBtZ/view?usp=drivesdk")</f>
        <v>https://drive.google.com/file/d/1E4GYmrZP9ttvAZgUfCjWrv4HnB_ubBtZ/view?usp=drivesdk</v>
      </c>
      <c r="C929" s="156" t="str">
        <f>IFERROR(__xludf.DUMMYFUNCTION("""COMPUTED_VALUE"""),"10.1016--j.lindif.2008.10.009.pdf")</f>
        <v>10.1016--j.lindif.2008.10.009.pdf</v>
      </c>
      <c r="D929" s="156" t="str">
        <f>IFERROR(__xludf.DUMMYFUNCTION("""COMPUTED_VALUE"""),"application/pdf")</f>
        <v>application/pdf</v>
      </c>
    </row>
    <row r="930">
      <c r="A930" s="156" t="str">
        <f>IFERROR(__xludf.DUMMYFUNCTION("""COMPUTED_VALUE"""),"10.1016/j.bandl.2016.04.007")</f>
        <v>10.1016/j.bandl.2016.04.007</v>
      </c>
      <c r="B930" s="677" t="str">
        <f>IFERROR(__xludf.DUMMYFUNCTION("""COMPUTED_VALUE"""),"https://drive.google.com/file/d/1EZLGfH9-TfGs0npz4zo9Q8hBGxNmL9_8/view?usp=drivesdk")</f>
        <v>https://drive.google.com/file/d/1EZLGfH9-TfGs0npz4zo9Q8hBGxNmL9_8/view?usp=drivesdk</v>
      </c>
      <c r="C930" s="156" t="str">
        <f>IFERROR(__xludf.DUMMYFUNCTION("""COMPUTED_VALUE"""),"10.1016--j.bandl.2016.04.007.pdf")</f>
        <v>10.1016--j.bandl.2016.04.007.pdf</v>
      </c>
      <c r="D930" s="156" t="str">
        <f>IFERROR(__xludf.DUMMYFUNCTION("""COMPUTED_VALUE"""),"application/pdf")</f>
        <v>application/pdf</v>
      </c>
    </row>
    <row r="931">
      <c r="A931" s="156" t="str">
        <f>IFERROR(__xludf.DUMMYFUNCTION("""COMPUTED_VALUE"""),"10.1177/0956797615620784")</f>
        <v>10.1177/0956797615620784</v>
      </c>
      <c r="B931" s="677" t="str">
        <f>IFERROR(__xludf.DUMMYFUNCTION("""COMPUTED_VALUE"""),"https://drive.google.com/file/d/1nSKHlLdgFXIRA0ZzkBVYTEpX7vbXXpwZ/view?usp=drivesdk")</f>
        <v>https://drive.google.com/file/d/1nSKHlLdgFXIRA0ZzkBVYTEpX7vbXXpwZ/view?usp=drivesdk</v>
      </c>
      <c r="C931" s="156" t="str">
        <f>IFERROR(__xludf.DUMMYFUNCTION("""COMPUTED_VALUE"""),"10.1177--0956797615620784.pdf")</f>
        <v>10.1177--0956797615620784.pdf</v>
      </c>
      <c r="D931" s="156" t="str">
        <f>IFERROR(__xludf.DUMMYFUNCTION("""COMPUTED_VALUE"""),"application/pdf")</f>
        <v>application/pdf</v>
      </c>
    </row>
    <row r="932">
      <c r="A932" s="156" t="str">
        <f>IFERROR(__xludf.DUMMYFUNCTION("""COMPUTED_VALUE"""),"10.1016/j.beproc.2016.06.015")</f>
        <v>10.1016/j.beproc.2016.06.015</v>
      </c>
      <c r="B932" s="677" t="str">
        <f>IFERROR(__xludf.DUMMYFUNCTION("""COMPUTED_VALUE"""),"https://drive.google.com/file/d/1JzBltD15-8CXBJMqzgsU1K6RxPQwnZ6D/view?usp=drivesdk")</f>
        <v>https://drive.google.com/file/d/1JzBltD15-8CXBJMqzgsU1K6RxPQwnZ6D/view?usp=drivesdk</v>
      </c>
      <c r="C932" s="156" t="str">
        <f>IFERROR(__xludf.DUMMYFUNCTION("""COMPUTED_VALUE"""),"10.1016--j.beproc.2016.06.015.pdf")</f>
        <v>10.1016--j.beproc.2016.06.015.pdf</v>
      </c>
      <c r="D932" s="156" t="str">
        <f>IFERROR(__xludf.DUMMYFUNCTION("""COMPUTED_VALUE"""),"application/pdf")</f>
        <v>application/pdf</v>
      </c>
    </row>
    <row r="933">
      <c r="A933" s="156" t="str">
        <f>IFERROR(__xludf.DUMMYFUNCTION("""COMPUTED_VALUE"""),"10.1038/nature08637")</f>
        <v>10.1038/nature08637</v>
      </c>
      <c r="B933" s="677" t="str">
        <f>IFERROR(__xludf.DUMMYFUNCTION("""COMPUTED_VALUE"""),"https://drive.google.com/file/d/1RYL3tt6tRTFoJjHQdtA0A71DrNxC3K6m/view?usp=drivesdk")</f>
        <v>https://drive.google.com/file/d/1RYL3tt6tRTFoJjHQdtA0A71DrNxC3K6m/view?usp=drivesdk</v>
      </c>
      <c r="C933" s="156" t="str">
        <f>IFERROR(__xludf.DUMMYFUNCTION("""COMPUTED_VALUE"""),"10.1038--nature08637.pdf")</f>
        <v>10.1038--nature08637.pdf</v>
      </c>
      <c r="D933" s="156" t="str">
        <f>IFERROR(__xludf.DUMMYFUNCTION("""COMPUTED_VALUE"""),"application/pdf")</f>
        <v>application/pdf</v>
      </c>
    </row>
    <row r="934">
      <c r="A934" s="156" t="str">
        <f>IFERROR(__xludf.DUMMYFUNCTION("""COMPUTED_VALUE"""),"10.1007/s12160-017-9888-y")</f>
        <v>10.1007/s12160-017-9888-y</v>
      </c>
      <c r="B934" s="677" t="str">
        <f>IFERROR(__xludf.DUMMYFUNCTION("""COMPUTED_VALUE"""),"https://drive.google.com/file/d/1sZNK9FJ-_p2fges4mG2KcuNFkHZlE95D/view?usp=drivesdk")</f>
        <v>https://drive.google.com/file/d/1sZNK9FJ-_p2fges4mG2KcuNFkHZlE95D/view?usp=drivesdk</v>
      </c>
      <c r="C934" s="156" t="str">
        <f>IFERROR(__xludf.DUMMYFUNCTION("""COMPUTED_VALUE"""),"10.1007--s12160-017-9888-y.pdf")</f>
        <v>10.1007--s12160-017-9888-y.pdf</v>
      </c>
      <c r="D934" s="156" t="str">
        <f>IFERROR(__xludf.DUMMYFUNCTION("""COMPUTED_VALUE"""),"application/pdf")</f>
        <v>application/pdf</v>
      </c>
    </row>
    <row r="935">
      <c r="A935" s="156" t="str">
        <f>IFERROR(__xludf.DUMMYFUNCTION("""COMPUTED_VALUE"""),"10.1007/s11145-010-9282-7")</f>
        <v>10.1007/s11145-010-9282-7</v>
      </c>
      <c r="B935" s="677" t="str">
        <f>IFERROR(__xludf.DUMMYFUNCTION("""COMPUTED_VALUE"""),"https://drive.google.com/file/d/1bDss24jXOe7FhkSOopEj0WqUmGKKXsLR/view?usp=drivesdk")</f>
        <v>https://drive.google.com/file/d/1bDss24jXOe7FhkSOopEj0WqUmGKKXsLR/view?usp=drivesdk</v>
      </c>
      <c r="C935" s="156" t="str">
        <f>IFERROR(__xludf.DUMMYFUNCTION("""COMPUTED_VALUE"""),"10.1007--s11145-010-9282-7.pdf")</f>
        <v>10.1007--s11145-010-9282-7.pdf</v>
      </c>
      <c r="D935" s="156" t="str">
        <f>IFERROR(__xludf.DUMMYFUNCTION("""COMPUTED_VALUE"""),"application/pdf")</f>
        <v>application/pdf</v>
      </c>
    </row>
    <row r="936">
      <c r="A936" s="156" t="str">
        <f>IFERROR(__xludf.DUMMYFUNCTION("""COMPUTED_VALUE"""),"10.1080/13218719.2012.729018")</f>
        <v>10.1080/13218719.2012.729018</v>
      </c>
      <c r="B936" s="677" t="str">
        <f>IFERROR(__xludf.DUMMYFUNCTION("""COMPUTED_VALUE"""),"https://drive.google.com/file/d/13zB4VPjcUf-Y5ulxFk_nrnahv0Fgi9UN/view?usp=drivesdk")</f>
        <v>https://drive.google.com/file/d/13zB4VPjcUf-Y5ulxFk_nrnahv0Fgi9UN/view?usp=drivesdk</v>
      </c>
      <c r="C936" s="156" t="str">
        <f>IFERROR(__xludf.DUMMYFUNCTION("""COMPUTED_VALUE"""),"10.1080--13218719.2012.729018.pdf")</f>
        <v>10.1080--13218719.2012.729018.pdf</v>
      </c>
      <c r="D936" s="156" t="str">
        <f>IFERROR(__xludf.DUMMYFUNCTION("""COMPUTED_VALUE"""),"application/pdf")</f>
        <v>application/pdf</v>
      </c>
    </row>
    <row r="937">
      <c r="A937" s="156" t="str">
        <f>IFERROR(__xludf.DUMMYFUNCTION("""COMPUTED_VALUE"""),"10.1097/chi.0b013e31816407f1")</f>
        <v>10.1097/chi.0b013e31816407f1</v>
      </c>
      <c r="B937" s="677" t="str">
        <f>IFERROR(__xludf.DUMMYFUNCTION("""COMPUTED_VALUE"""),"https://drive.google.com/file/d/1AZm79o6Tomre8O9xToATZHdk1A7nxAC9/view?usp=drivesdk")</f>
        <v>https://drive.google.com/file/d/1AZm79o6Tomre8O9xToATZHdk1A7nxAC9/view?usp=drivesdk</v>
      </c>
      <c r="C937" s="156" t="str">
        <f>IFERROR(__xludf.DUMMYFUNCTION("""COMPUTED_VALUE"""),"10.1097--CHI.0b013e31816407f1.pdf")</f>
        <v>10.1097--CHI.0b013e31816407f1.pdf</v>
      </c>
      <c r="D937" s="156" t="str">
        <f>IFERROR(__xludf.DUMMYFUNCTION("""COMPUTED_VALUE"""),"application/pdf")</f>
        <v>application/pdf</v>
      </c>
    </row>
    <row r="938">
      <c r="A938" s="156" t="str">
        <f>IFERROR(__xludf.DUMMYFUNCTION("""COMPUTED_VALUE"""),"10.1016/j.socscimed.2010.04.026")</f>
        <v>10.1016/j.socscimed.2010.04.026</v>
      </c>
      <c r="B938" s="677" t="str">
        <f>IFERROR(__xludf.DUMMYFUNCTION("""COMPUTED_VALUE"""),"https://drive.google.com/file/d/1CKtIRM2vM0l1uwrMgW1JIiKEZTioliGI/view?usp=drivesdk")</f>
        <v>https://drive.google.com/file/d/1CKtIRM2vM0l1uwrMgW1JIiKEZTioliGI/view?usp=drivesdk</v>
      </c>
      <c r="C938" s="156" t="str">
        <f>IFERROR(__xludf.DUMMYFUNCTION("""COMPUTED_VALUE"""),"10.1016--j.socscimed.2010.04.026.pdf")</f>
        <v>10.1016--j.socscimed.2010.04.026.pdf</v>
      </c>
      <c r="D938" s="156" t="str">
        <f>IFERROR(__xludf.DUMMYFUNCTION("""COMPUTED_VALUE"""),"application/pdf")</f>
        <v>application/pdf</v>
      </c>
    </row>
    <row r="939">
      <c r="A939" s="156" t="str">
        <f>IFERROR(__xludf.DUMMYFUNCTION("""COMPUTED_VALUE"""),"10.1037/0021-843x.108.3.511")</f>
        <v>10.1037/0021-843x.108.3.511</v>
      </c>
      <c r="B939" s="677" t="str">
        <f>IFERROR(__xludf.DUMMYFUNCTION("""COMPUTED_VALUE"""),"https://drive.google.com/file/d/1mbtq5jswQXIL9vt6RisTXxGtG4hKwT7c/view?usp=drivesdk")</f>
        <v>https://drive.google.com/file/d/1mbtq5jswQXIL9vt6RisTXxGtG4hKwT7c/view?usp=drivesdk</v>
      </c>
      <c r="C939" s="156" t="str">
        <f>IFERROR(__xludf.DUMMYFUNCTION("""COMPUTED_VALUE"""),"10.1037--0021-843X.108.3.511.pdf")</f>
        <v>10.1037--0021-843X.108.3.511.pdf</v>
      </c>
      <c r="D939" s="156" t="str">
        <f>IFERROR(__xludf.DUMMYFUNCTION("""COMPUTED_VALUE"""),"application/pdf")</f>
        <v>application/pdf</v>
      </c>
    </row>
    <row r="940">
      <c r="A940" s="156" t="str">
        <f>IFERROR(__xludf.DUMMYFUNCTION("""COMPUTED_VALUE"""),"10.1207/s15324834basp1704_2")</f>
        <v>10.1207/s15324834basp1704_2</v>
      </c>
      <c r="B940" s="677" t="str">
        <f>IFERROR(__xludf.DUMMYFUNCTION("""COMPUTED_VALUE"""),"https://drive.google.com/file/d/1Iv6a3AM_rRVR-LhQjuquoIiq60oy5s_L/view?usp=drivesdk")</f>
        <v>https://drive.google.com/file/d/1Iv6a3AM_rRVR-LhQjuquoIiq60oy5s_L/view?usp=drivesdk</v>
      </c>
      <c r="C940" s="156" t="str">
        <f>IFERROR(__xludf.DUMMYFUNCTION("""COMPUTED_VALUE"""),"10.1207--s15324834basp1704_2.pdf")</f>
        <v>10.1207--s15324834basp1704_2.pdf</v>
      </c>
      <c r="D940" s="156" t="str">
        <f>IFERROR(__xludf.DUMMYFUNCTION("""COMPUTED_VALUE"""),"application/pdf")</f>
        <v>application/pdf</v>
      </c>
    </row>
    <row r="941">
      <c r="A941" s="156" t="str">
        <f>IFERROR(__xludf.DUMMYFUNCTION("""COMPUTED_VALUE"""),"10.1080/02699931.2015.1059317")</f>
        <v>10.1080/02699931.2015.1059317</v>
      </c>
      <c r="B941" s="677" t="str">
        <f>IFERROR(__xludf.DUMMYFUNCTION("""COMPUTED_VALUE"""),"https://drive.google.com/file/d/1PVMFqgHdvbnVpvU4ToBmZGB1bJ783Vq7/view?usp=drivesdk")</f>
        <v>https://drive.google.com/file/d/1PVMFqgHdvbnVpvU4ToBmZGB1bJ783Vq7/view?usp=drivesdk</v>
      </c>
      <c r="C941" s="156" t="str">
        <f>IFERROR(__xludf.DUMMYFUNCTION("""COMPUTED_VALUE"""),"10.1080--02699931.2015.1059317.pdf")</f>
        <v>10.1080--02699931.2015.1059317.pdf</v>
      </c>
      <c r="D941" s="156" t="str">
        <f>IFERROR(__xludf.DUMMYFUNCTION("""COMPUTED_VALUE"""),"application/pdf")</f>
        <v>application/pdf</v>
      </c>
    </row>
    <row r="942">
      <c r="A942" s="156" t="str">
        <f>IFERROR(__xludf.DUMMYFUNCTION("""COMPUTED_VALUE"""),"10.1177/0022427898035003001")</f>
        <v>10.1177/0022427898035003001</v>
      </c>
      <c r="B942" s="677" t="str">
        <f>IFERROR(__xludf.DUMMYFUNCTION("""COMPUTED_VALUE"""),"https://drive.google.com/file/d/1adcFTPRAtl3gR0yo5WZxxabcpq1tSugV/view?usp=drivesdk")</f>
        <v>https://drive.google.com/file/d/1adcFTPRAtl3gR0yo5WZxxabcpq1tSugV/view?usp=drivesdk</v>
      </c>
      <c r="C942" s="156" t="str">
        <f>IFERROR(__xludf.DUMMYFUNCTION("""COMPUTED_VALUE"""),"10.1177--0022427898035003001.pdf")</f>
        <v>10.1177--0022427898035003001.pdf</v>
      </c>
      <c r="D942" s="156" t="str">
        <f>IFERROR(__xludf.DUMMYFUNCTION("""COMPUTED_VALUE"""),"application/pdf")</f>
        <v>application/pdf</v>
      </c>
    </row>
    <row r="943">
      <c r="A943" s="156" t="str">
        <f>IFERROR(__xludf.DUMMYFUNCTION("""COMPUTED_VALUE"""),"10.1080/01608061.2019.1666772")</f>
        <v>10.1080/01608061.2019.1666772</v>
      </c>
      <c r="B943" s="677" t="str">
        <f>IFERROR(__xludf.DUMMYFUNCTION("""COMPUTED_VALUE"""),"https://drive.google.com/file/d/1l5rAN3nynply4uG3__V0nrbpU47BulsE/view?usp=drivesdk")</f>
        <v>https://drive.google.com/file/d/1l5rAN3nynply4uG3__V0nrbpU47BulsE/view?usp=drivesdk</v>
      </c>
      <c r="C943" s="156" t="str">
        <f>IFERROR(__xludf.DUMMYFUNCTION("""COMPUTED_VALUE"""),"10.1080--01608061.2019.1666772.pdf")</f>
        <v>10.1080--01608061.2019.1666772.pdf</v>
      </c>
      <c r="D943" s="156" t="str">
        <f>IFERROR(__xludf.DUMMYFUNCTION("""COMPUTED_VALUE"""),"application/pdf")</f>
        <v>application/pdf</v>
      </c>
    </row>
    <row r="944">
      <c r="A944" s="156" t="str">
        <f>IFERROR(__xludf.DUMMYFUNCTION("""COMPUTED_VALUE"""),"10.1016/0049-089x(76)90003-x")</f>
        <v>10.1016/0049-089x(76)90003-x</v>
      </c>
      <c r="B944" s="677" t="str">
        <f>IFERROR(__xludf.DUMMYFUNCTION("""COMPUTED_VALUE"""),"https://drive.google.com/file/d/1ScCst8dIY0rvEyMcggQS1g5luMuFO5EM/view?usp=drivesdk")</f>
        <v>https://drive.google.com/file/d/1ScCst8dIY0rvEyMcggQS1g5luMuFO5EM/view?usp=drivesdk</v>
      </c>
      <c r="C944" s="156" t="str">
        <f>IFERROR(__xludf.DUMMYFUNCTION("""COMPUTED_VALUE"""),"10.1016--0049-089X(76)90003-X.pdf")</f>
        <v>10.1016--0049-089X(76)90003-X.pdf</v>
      </c>
      <c r="D944" s="156" t="str">
        <f>IFERROR(__xludf.DUMMYFUNCTION("""COMPUTED_VALUE"""),"application/pdf")</f>
        <v>application/pdf</v>
      </c>
    </row>
    <row r="945">
      <c r="A945" s="156" t="str">
        <f>IFERROR(__xludf.DUMMYFUNCTION("""COMPUTED_VALUE"""),"10.1177/0956797611402514")</f>
        <v>10.1177/0956797611402514</v>
      </c>
      <c r="B945" s="677" t="str">
        <f>IFERROR(__xludf.DUMMYFUNCTION("""COMPUTED_VALUE"""),"https://drive.google.com/file/d/1zu3s4vzu5KvXwkxCk3_Jbtg6fuw8-MNg/view?usp=drivesdk")</f>
        <v>https://drive.google.com/file/d/1zu3s4vzu5KvXwkxCk3_Jbtg6fuw8-MNg/view?usp=drivesdk</v>
      </c>
      <c r="C945" s="156" t="str">
        <f>IFERROR(__xludf.DUMMYFUNCTION("""COMPUTED_VALUE"""),"10.1177--0956797611402514.pdf")</f>
        <v>10.1177--0956797611402514.pdf</v>
      </c>
      <c r="D945" s="156" t="str">
        <f>IFERROR(__xludf.DUMMYFUNCTION("""COMPUTED_VALUE"""),"application/pdf")</f>
        <v>application/pdf</v>
      </c>
    </row>
    <row r="946">
      <c r="A946" s="156" t="str">
        <f>IFERROR(__xludf.DUMMYFUNCTION("""COMPUTED_VALUE"""),"10.1521/pedi.2010.24.4.516")</f>
        <v>10.1521/pedi.2010.24.4.516</v>
      </c>
      <c r="B946" s="677" t="str">
        <f>IFERROR(__xludf.DUMMYFUNCTION("""COMPUTED_VALUE"""),"https://drive.google.com/file/d/1byufMCO_vLIF-bt7e5aZN3xGXC1vRs_C/view?usp=drivesdk")</f>
        <v>https://drive.google.com/file/d/1byufMCO_vLIF-bt7e5aZN3xGXC1vRs_C/view?usp=drivesdk</v>
      </c>
      <c r="C946" s="156" t="str">
        <f>IFERROR(__xludf.DUMMYFUNCTION("""COMPUTED_VALUE"""),"10.1521--pedi.2010.24.4.516.pdf")</f>
        <v>10.1521--pedi.2010.24.4.516.pdf</v>
      </c>
      <c r="D946" s="156" t="str">
        <f>IFERROR(__xludf.DUMMYFUNCTION("""COMPUTED_VALUE"""),"application/pdf")</f>
        <v>application/pdf</v>
      </c>
    </row>
    <row r="947">
      <c r="A947" s="156" t="str">
        <f>IFERROR(__xludf.DUMMYFUNCTION("""COMPUTED_VALUE"""),"10.1111/j.1467-7687.2009.00859.x")</f>
        <v>10.1111/j.1467-7687.2009.00859.x</v>
      </c>
      <c r="B947" s="677" t="str">
        <f>IFERROR(__xludf.DUMMYFUNCTION("""COMPUTED_VALUE"""),"https://drive.google.com/file/d/1NI0OwWuG3iBxN7UXcgaBi6OYUsoeeB6I/view?usp=drivesdk")</f>
        <v>https://drive.google.com/file/d/1NI0OwWuG3iBxN7UXcgaBi6OYUsoeeB6I/view?usp=drivesdk</v>
      </c>
      <c r="C947" s="156" t="str">
        <f>IFERROR(__xludf.DUMMYFUNCTION("""COMPUTED_VALUE"""),"10.1111--j.1467-7687.2009.00859.x.pdf")</f>
        <v>10.1111--j.1467-7687.2009.00859.x.pdf</v>
      </c>
      <c r="D947" s="156" t="str">
        <f>IFERROR(__xludf.DUMMYFUNCTION("""COMPUTED_VALUE"""),"application/pdf")</f>
        <v>application/pdf</v>
      </c>
    </row>
    <row r="948">
      <c r="A948" s="156" t="str">
        <f>IFERROR(__xludf.DUMMYFUNCTION("""COMPUTED_VALUE"""),"10.1111/1468-0475.t01-1-00007")</f>
        <v>10.1111/1468-0475.t01-1-00007</v>
      </c>
      <c r="B948" s="677" t="str">
        <f>IFERROR(__xludf.DUMMYFUNCTION("""COMPUTED_VALUE"""),"https://drive.google.com/file/d/1uOLIg5UkHYJcCaWaznedB-kkD-6Ojsoj/view?usp=drivesdk")</f>
        <v>https://drive.google.com/file/d/1uOLIg5UkHYJcCaWaznedB-kkD-6Ojsoj/view?usp=drivesdk</v>
      </c>
      <c r="C948" s="156" t="str">
        <f>IFERROR(__xludf.DUMMYFUNCTION("""COMPUTED_VALUE"""),"10.1111--1468-0475.t01-1-00007.pdf")</f>
        <v>10.1111--1468-0475.t01-1-00007.pdf</v>
      </c>
      <c r="D948" s="156" t="str">
        <f>IFERROR(__xludf.DUMMYFUNCTION("""COMPUTED_VALUE"""),"application/pdf")</f>
        <v>application/pdf</v>
      </c>
    </row>
    <row r="949">
      <c r="A949" s="156" t="str">
        <f>IFERROR(__xludf.DUMMYFUNCTION("""COMPUTED_VALUE"""),"10.1016/j.aap.2010.05.014")</f>
        <v>10.1016/j.aap.2010.05.014</v>
      </c>
      <c r="B949" s="677" t="str">
        <f>IFERROR(__xludf.DUMMYFUNCTION("""COMPUTED_VALUE"""),"https://drive.google.com/file/d/1P-Sqvp0mCqZvJz4lzBzfJpU7sLsIcHpG/view?usp=drivesdk")</f>
        <v>https://drive.google.com/file/d/1P-Sqvp0mCqZvJz4lzBzfJpU7sLsIcHpG/view?usp=drivesdk</v>
      </c>
      <c r="C949" s="156" t="str">
        <f>IFERROR(__xludf.DUMMYFUNCTION("""COMPUTED_VALUE"""),"10.1016--j.aap.2010.05.014.pdf")</f>
        <v>10.1016--j.aap.2010.05.014.pdf</v>
      </c>
      <c r="D949" s="156" t="str">
        <f>IFERROR(__xludf.DUMMYFUNCTION("""COMPUTED_VALUE"""),"application/pdf")</f>
        <v>application/pdf</v>
      </c>
    </row>
    <row r="950">
      <c r="A950" s="156" t="str">
        <f>IFERROR(__xludf.DUMMYFUNCTION("""COMPUTED_VALUE"""),"10.1016/j.intell.2013.11.004")</f>
        <v>10.1016/j.intell.2013.11.004</v>
      </c>
      <c r="B950" s="677" t="str">
        <f>IFERROR(__xludf.DUMMYFUNCTION("""COMPUTED_VALUE"""),"https://drive.google.com/file/d/1EHwdKOPywXiHT8ufx2T99v8YRbHGnFwU/view?usp=drivesdk")</f>
        <v>https://drive.google.com/file/d/1EHwdKOPywXiHT8ufx2T99v8YRbHGnFwU/view?usp=drivesdk</v>
      </c>
      <c r="C950" s="156" t="str">
        <f>IFERROR(__xludf.DUMMYFUNCTION("""COMPUTED_VALUE"""),"10.1016--j.intell.2013.11.004.pdf")</f>
        <v>10.1016--j.intell.2013.11.004.pdf</v>
      </c>
      <c r="D950" s="156" t="str">
        <f>IFERROR(__xludf.DUMMYFUNCTION("""COMPUTED_VALUE"""),"application/pdf")</f>
        <v>application/pdf</v>
      </c>
    </row>
    <row r="951">
      <c r="A951" s="156" t="str">
        <f>IFERROR(__xludf.DUMMYFUNCTION("""COMPUTED_VALUE"""),"10.1016/j.devbrainres.2005.06.014")</f>
        <v>10.1016/j.devbrainres.2005.06.014</v>
      </c>
      <c r="B951" s="677" t="str">
        <f>IFERROR(__xludf.DUMMYFUNCTION("""COMPUTED_VALUE"""),"https://drive.google.com/file/d/1Ogf-uOfDl9Mk4NYZqw4y5cD5TJuVREfw/view?usp=drivesdk")</f>
        <v>https://drive.google.com/file/d/1Ogf-uOfDl9Mk4NYZqw4y5cD5TJuVREfw/view?usp=drivesdk</v>
      </c>
      <c r="C951" s="156" t="str">
        <f>IFERROR(__xludf.DUMMYFUNCTION("""COMPUTED_VALUE"""),"10.1016--j.devbrainres.2005.06.014.pdf")</f>
        <v>10.1016--j.devbrainres.2005.06.014.pdf</v>
      </c>
      <c r="D951" s="156" t="str">
        <f>IFERROR(__xludf.DUMMYFUNCTION("""COMPUTED_VALUE"""),"application/pdf")</f>
        <v>application/pdf</v>
      </c>
    </row>
    <row r="952">
      <c r="A952" s="156" t="str">
        <f>IFERROR(__xludf.DUMMYFUNCTION("""COMPUTED_VALUE"""),"10.1016/j.paid.2012.04.040")</f>
        <v>10.1016/j.paid.2012.04.040</v>
      </c>
      <c r="B952" s="677" t="str">
        <f>IFERROR(__xludf.DUMMYFUNCTION("""COMPUTED_VALUE"""),"https://drive.google.com/file/d/1v3GntFT3_pm4ajRzH6JPM18Chi14Z430/view?usp=drivesdk")</f>
        <v>https://drive.google.com/file/d/1v3GntFT3_pm4ajRzH6JPM18Chi14Z430/view?usp=drivesdk</v>
      </c>
      <c r="C952" s="156" t="str">
        <f>IFERROR(__xludf.DUMMYFUNCTION("""COMPUTED_VALUE"""),"10.1016--J.PAID.2012.04.040.pdf")</f>
        <v>10.1016--J.PAID.2012.04.040.pdf</v>
      </c>
      <c r="D952" s="156" t="str">
        <f>IFERROR(__xludf.DUMMYFUNCTION("""COMPUTED_VALUE"""),"application/pdf")</f>
        <v>application/pdf</v>
      </c>
    </row>
    <row r="953">
      <c r="A953" s="156" t="str">
        <f>IFERROR(__xludf.DUMMYFUNCTION("""COMPUTED_VALUE"""),"10.1016/j.tourman.2016.01.013")</f>
        <v>10.1016/j.tourman.2016.01.013</v>
      </c>
      <c r="B953" s="677" t="str">
        <f>IFERROR(__xludf.DUMMYFUNCTION("""COMPUTED_VALUE"""),"https://drive.google.com/file/d/17bs3vl2FzsWhzVlfBOdauYWC7F9KyJMy/view?usp=drivesdk")</f>
        <v>https://drive.google.com/file/d/17bs3vl2FzsWhzVlfBOdauYWC7F9KyJMy/view?usp=drivesdk</v>
      </c>
      <c r="C953" s="156" t="str">
        <f>IFERROR(__xludf.DUMMYFUNCTION("""COMPUTED_VALUE"""),"10.1016--j.tourman.2016.01.013.pdf")</f>
        <v>10.1016--j.tourman.2016.01.013.pdf</v>
      </c>
      <c r="D953" s="156" t="str">
        <f>IFERROR(__xludf.DUMMYFUNCTION("""COMPUTED_VALUE"""),"application/pdf")</f>
        <v>application/pdf</v>
      </c>
    </row>
    <row r="954">
      <c r="A954" s="156" t="str">
        <f>IFERROR(__xludf.DUMMYFUNCTION("""COMPUTED_VALUE"""),"10.1016/j.neuropsychologia.2012.04.015")</f>
        <v>10.1016/j.neuropsychologia.2012.04.015</v>
      </c>
      <c r="B954" s="677" t="str">
        <f>IFERROR(__xludf.DUMMYFUNCTION("""COMPUTED_VALUE"""),"https://drive.google.com/file/d/1Ngt6UrsD91-8z3o5nPQYSC1uXd0ekwYw/view?usp=drivesdk")</f>
        <v>https://drive.google.com/file/d/1Ngt6UrsD91-8z3o5nPQYSC1uXd0ekwYw/view?usp=drivesdk</v>
      </c>
      <c r="C954" s="156" t="str">
        <f>IFERROR(__xludf.DUMMYFUNCTION("""COMPUTED_VALUE"""),"10.1016--j.neuropsychologia.2012.04.015.pdf")</f>
        <v>10.1016--j.neuropsychologia.2012.04.015.pdf</v>
      </c>
      <c r="D954" s="156" t="str">
        <f>IFERROR(__xludf.DUMMYFUNCTION("""COMPUTED_VALUE"""),"application/pdf")</f>
        <v>application/pdf</v>
      </c>
    </row>
    <row r="955">
      <c r="A955" s="156" t="str">
        <f>IFERROR(__xludf.DUMMYFUNCTION("""COMPUTED_VALUE"""),"10.1037/0022-0663.67.6.882")</f>
        <v>10.1037/0022-0663.67.6.882</v>
      </c>
      <c r="B955" s="677" t="str">
        <f>IFERROR(__xludf.DUMMYFUNCTION("""COMPUTED_VALUE"""),"https://drive.google.com/file/d/1gKjvQmfx19e3auGXpZdGBxQqVuGU6AX7/view?usp=drivesdk")</f>
        <v>https://drive.google.com/file/d/1gKjvQmfx19e3auGXpZdGBxQqVuGU6AX7/view?usp=drivesdk</v>
      </c>
      <c r="C955" s="156" t="str">
        <f>IFERROR(__xludf.DUMMYFUNCTION("""COMPUTED_VALUE"""),"10.1037--0022-0663.67.6.882.pdf")</f>
        <v>10.1037--0022-0663.67.6.882.pdf</v>
      </c>
      <c r="D955" s="156" t="str">
        <f>IFERROR(__xludf.DUMMYFUNCTION("""COMPUTED_VALUE"""),"application/pdf")</f>
        <v>application/pdf</v>
      </c>
    </row>
    <row r="956">
      <c r="A956" s="156" t="str">
        <f>IFERROR(__xludf.DUMMYFUNCTION("""COMPUTED_VALUE"""),"10.1017/bec.2013.16.")</f>
        <v>10.1017/bec.2013.16.</v>
      </c>
      <c r="B956" s="677" t="str">
        <f>IFERROR(__xludf.DUMMYFUNCTION("""COMPUTED_VALUE"""),"https://drive.google.com/file/d/1U5Ogm827ucDFdocOpwNAGccaapijRR4J/view?usp=drivesdk")</f>
        <v>https://drive.google.com/file/d/1U5Ogm827ucDFdocOpwNAGccaapijRR4J/view?usp=drivesdk</v>
      </c>
      <c r="C956" s="156" t="str">
        <f>IFERROR(__xludf.DUMMYFUNCTION("""COMPUTED_VALUE"""),"10.1017--bec.2013.16..pdf")</f>
        <v>10.1017--bec.2013.16..pdf</v>
      </c>
      <c r="D956" s="156" t="str">
        <f>IFERROR(__xludf.DUMMYFUNCTION("""COMPUTED_VALUE"""),"application/pdf")</f>
        <v>application/pdf</v>
      </c>
    </row>
    <row r="957">
      <c r="A957" s="156" t="str">
        <f>IFERROR(__xludf.DUMMYFUNCTION("""COMPUTED_VALUE"""),"10.1101/lm.032409.113")</f>
        <v>10.1101/lm.032409.113</v>
      </c>
      <c r="B957" s="677" t="str">
        <f>IFERROR(__xludf.DUMMYFUNCTION("""COMPUTED_VALUE"""),"https://drive.google.com/file/d/1QBVpAdQi9cHTv94j8sfKY45av11XBK9u/view?usp=drivesdk")</f>
        <v>https://drive.google.com/file/d/1QBVpAdQi9cHTv94j8sfKY45av11XBK9u/view?usp=drivesdk</v>
      </c>
      <c r="C957" s="156" t="str">
        <f>IFERROR(__xludf.DUMMYFUNCTION("""COMPUTED_VALUE"""),"10.1101--lm.032409.113.pdf")</f>
        <v>10.1101--lm.032409.113.pdf</v>
      </c>
      <c r="D957" s="156" t="str">
        <f>IFERROR(__xludf.DUMMYFUNCTION("""COMPUTED_VALUE"""),"application/pdf")</f>
        <v>application/pdf</v>
      </c>
    </row>
    <row r="958">
      <c r="A958" s="156" t="str">
        <f>IFERROR(__xludf.DUMMYFUNCTION("""COMPUTED_VALUE"""),"10.1016/0165-1781(93)90104-o")</f>
        <v>10.1016/0165-1781(93)90104-o</v>
      </c>
      <c r="B958" s="677" t="str">
        <f>IFERROR(__xludf.DUMMYFUNCTION("""COMPUTED_VALUE"""),"https://drive.google.com/file/d/1c51xoclCygYjc2PSAWNPbFAZMhbv3-6j/view?usp=drivesdk")</f>
        <v>https://drive.google.com/file/d/1c51xoclCygYjc2PSAWNPbFAZMhbv3-6j/view?usp=drivesdk</v>
      </c>
      <c r="C958" s="156" t="str">
        <f>IFERROR(__xludf.DUMMYFUNCTION("""COMPUTED_VALUE"""),"10.1016--0165-1781(93)90104-O.pdf")</f>
        <v>10.1016--0165-1781(93)90104-O.pdf</v>
      </c>
      <c r="D958" s="156" t="str">
        <f>IFERROR(__xludf.DUMMYFUNCTION("""COMPUTED_VALUE"""),"application/pdf")</f>
        <v>application/pdf</v>
      </c>
    </row>
    <row r="959">
      <c r="A959" s="156" t="str">
        <f>IFERROR(__xludf.DUMMYFUNCTION("""COMPUTED_VALUE"""),"10.1097/00006842-200103000-00012")</f>
        <v>10.1097/00006842-200103000-00012</v>
      </c>
      <c r="B959" s="677" t="str">
        <f>IFERROR(__xludf.DUMMYFUNCTION("""COMPUTED_VALUE"""),"https://drive.google.com/file/d/1kNAE-ye78RDsNealbMDlJ6VM6UzOgd-b/view?usp=drivesdk")</f>
        <v>https://drive.google.com/file/d/1kNAE-ye78RDsNealbMDlJ6VM6UzOgd-b/view?usp=drivesdk</v>
      </c>
      <c r="C959" s="156" t="str">
        <f>IFERROR(__xludf.DUMMYFUNCTION("""COMPUTED_VALUE"""),"10.1097--00006842-200103000-00012.pdf")</f>
        <v>10.1097--00006842-200103000-00012.pdf</v>
      </c>
      <c r="D959" s="156" t="str">
        <f>IFERROR(__xludf.DUMMYFUNCTION("""COMPUTED_VALUE"""),"application/pdf")</f>
        <v>application/pdf</v>
      </c>
    </row>
    <row r="960">
      <c r="A960" s="156" t="str">
        <f>IFERROR(__xludf.DUMMYFUNCTION("""COMPUTED_VALUE"""),"10.1016/j.foodqual.2016.06.012")</f>
        <v>10.1016/j.foodqual.2016.06.012</v>
      </c>
      <c r="B960" s="677" t="str">
        <f>IFERROR(__xludf.DUMMYFUNCTION("""COMPUTED_VALUE"""),"https://drive.google.com/file/d/1QceQIPpudwHNts6ozVsewpPDcHxsEEG6/view?usp=drivesdk")</f>
        <v>https://drive.google.com/file/d/1QceQIPpudwHNts6ozVsewpPDcHxsEEG6/view?usp=drivesdk</v>
      </c>
      <c r="C960" s="156" t="str">
        <f>IFERROR(__xludf.DUMMYFUNCTION("""COMPUTED_VALUE"""),"10.1016--j.foodqual.2016.06.012.pdf")</f>
        <v>10.1016--j.foodqual.2016.06.012.pdf</v>
      </c>
      <c r="D960" s="156" t="str">
        <f>IFERROR(__xludf.DUMMYFUNCTION("""COMPUTED_VALUE"""),"application/pdf")</f>
        <v>application/pdf</v>
      </c>
    </row>
    <row r="961">
      <c r="A961" s="156" t="str">
        <f>IFERROR(__xludf.DUMMYFUNCTION("""COMPUTED_VALUE"""),"10.1111/j.1467-8624.2009.01312.x")</f>
        <v>10.1111/j.1467-8624.2009.01312.x</v>
      </c>
      <c r="B961" s="677" t="str">
        <f>IFERROR(__xludf.DUMMYFUNCTION("""COMPUTED_VALUE"""),"https://drive.google.com/file/d/1CxCoM86qacNNUYpFhAyF1rtXgYBs-9mH/view?usp=drivesdk")</f>
        <v>https://drive.google.com/file/d/1CxCoM86qacNNUYpFhAyF1rtXgYBs-9mH/view?usp=drivesdk</v>
      </c>
      <c r="C961" s="156" t="str">
        <f>IFERROR(__xludf.DUMMYFUNCTION("""COMPUTED_VALUE"""),"10.1111--j.1467-8624.2009.01312.x.pdf")</f>
        <v>10.1111--j.1467-8624.2009.01312.x.pdf</v>
      </c>
      <c r="D961" s="156" t="str">
        <f>IFERROR(__xludf.DUMMYFUNCTION("""COMPUTED_VALUE"""),"application/pdf")</f>
        <v>application/pdf</v>
      </c>
    </row>
    <row r="962">
      <c r="A962" s="156" t="str">
        <f>IFERROR(__xludf.DUMMYFUNCTION("""COMPUTED_VALUE"""),"10.1038/nn.3973")</f>
        <v>10.1038/nn.3973</v>
      </c>
      <c r="B962" s="677" t="str">
        <f>IFERROR(__xludf.DUMMYFUNCTION("""COMPUTED_VALUE"""),"https://drive.google.com/file/d/18asQxQidaLeAiNYj7n-uzRk_sjGDMuCH/view?usp=drivesdk")</f>
        <v>https://drive.google.com/file/d/18asQxQidaLeAiNYj7n-uzRk_sjGDMuCH/view?usp=drivesdk</v>
      </c>
      <c r="C962" s="156" t="str">
        <f>IFERROR(__xludf.DUMMYFUNCTION("""COMPUTED_VALUE"""),"10.1038--nn.3973.pdf")</f>
        <v>10.1038--nn.3973.pdf</v>
      </c>
      <c r="D962" s="156" t="str">
        <f>IFERROR(__xludf.DUMMYFUNCTION("""COMPUTED_VALUE"""),"application/pdf")</f>
        <v>application/pdf</v>
      </c>
    </row>
    <row r="963">
      <c r="A963" s="156" t="str">
        <f>IFERROR(__xludf.DUMMYFUNCTION("""COMPUTED_VALUE"""),"10.1080/02724990244000106")</f>
        <v>10.1080/02724990244000106</v>
      </c>
      <c r="B963" s="677" t="str">
        <f>IFERROR(__xludf.DUMMYFUNCTION("""COMPUTED_VALUE"""),"https://drive.google.com/file/d/12WWB5hrjAYMH03HeqtvEyVUcJGk2Newf/view?usp=drivesdk")</f>
        <v>https://drive.google.com/file/d/12WWB5hrjAYMH03HeqtvEyVUcJGk2Newf/view?usp=drivesdk</v>
      </c>
      <c r="C963" s="156" t="str">
        <f>IFERROR(__xludf.DUMMYFUNCTION("""COMPUTED_VALUE"""),"10.1080--02724990244000106.pdf")</f>
        <v>10.1080--02724990244000106.pdf</v>
      </c>
      <c r="D963" s="156" t="str">
        <f>IFERROR(__xludf.DUMMYFUNCTION("""COMPUTED_VALUE"""),"application/pdf")</f>
        <v>application/pdf</v>
      </c>
    </row>
    <row r="964">
      <c r="A964" s="156" t="str">
        <f>IFERROR(__xludf.DUMMYFUNCTION("""COMPUTED_VALUE"""),"10.1016/j.drugalcdep.2016.10.014")</f>
        <v>10.1016/j.drugalcdep.2016.10.014</v>
      </c>
      <c r="B964" s="677" t="str">
        <f>IFERROR(__xludf.DUMMYFUNCTION("""COMPUTED_VALUE"""),"https://drive.google.com/file/d/12ib7HG9oP33Ws90XAlqI-QpneflUF2fh/view?usp=drivesdk")</f>
        <v>https://drive.google.com/file/d/12ib7HG9oP33Ws90XAlqI-QpneflUF2fh/view?usp=drivesdk</v>
      </c>
      <c r="C964" s="156" t="str">
        <f>IFERROR(__xludf.DUMMYFUNCTION("""COMPUTED_VALUE"""),"10.1016--j.drugalcdep.2016.10.014.pdf")</f>
        <v>10.1016--j.drugalcdep.2016.10.014.pdf</v>
      </c>
      <c r="D964" s="156" t="str">
        <f>IFERROR(__xludf.DUMMYFUNCTION("""COMPUTED_VALUE"""),"application/pdf")</f>
        <v>application/pdf</v>
      </c>
    </row>
    <row r="965">
      <c r="A965" s="156" t="str">
        <f>IFERROR(__xludf.DUMMYFUNCTION("""COMPUTED_VALUE"""),"10.1177/0956797611434748")</f>
        <v>10.1177/0956797611434748</v>
      </c>
      <c r="B965" s="677" t="str">
        <f>IFERROR(__xludf.DUMMYFUNCTION("""COMPUTED_VALUE"""),"https://drive.google.com/file/d/1j-kE2YVtXl2exB2ak9yvvebl17hGXDPf/view?usp=drivesdk")</f>
        <v>https://drive.google.com/file/d/1j-kE2YVtXl2exB2ak9yvvebl17hGXDPf/view?usp=drivesdk</v>
      </c>
      <c r="C965" s="156" t="str">
        <f>IFERROR(__xludf.DUMMYFUNCTION("""COMPUTED_VALUE"""),"10.1177--0956797611434748.pdf")</f>
        <v>10.1177--0956797611434748.pdf</v>
      </c>
      <c r="D965" s="156" t="str">
        <f>IFERROR(__xludf.DUMMYFUNCTION("""COMPUTED_VALUE"""),"application/pdf")</f>
        <v>application/pdf</v>
      </c>
    </row>
    <row r="966">
      <c r="A966" s="156" t="str">
        <f>IFERROR(__xludf.DUMMYFUNCTION("""COMPUTED_VALUE"""),"10.1016/j.cognition.2010.12.009")</f>
        <v>10.1016/j.cognition.2010.12.009</v>
      </c>
      <c r="B966" s="677" t="str">
        <f>IFERROR(__xludf.DUMMYFUNCTION("""COMPUTED_VALUE"""),"https://drive.google.com/file/d/1ogcd8fxbNQ1z_SWg8tZ0FtFNsrzg8BnZ/view?usp=drivesdk")</f>
        <v>https://drive.google.com/file/d/1ogcd8fxbNQ1z_SWg8tZ0FtFNsrzg8BnZ/view?usp=drivesdk</v>
      </c>
      <c r="C966" s="156" t="str">
        <f>IFERROR(__xludf.DUMMYFUNCTION("""COMPUTED_VALUE"""),"10.1016--j.cognition.2010.12.009.pdf")</f>
        <v>10.1016--j.cognition.2010.12.009.pdf</v>
      </c>
      <c r="D966" s="156" t="str">
        <f>IFERROR(__xludf.DUMMYFUNCTION("""COMPUTED_VALUE"""),"application/pdf")</f>
        <v>application/pdf</v>
      </c>
    </row>
    <row r="967">
      <c r="A967" s="156" t="str">
        <f>IFERROR(__xludf.DUMMYFUNCTION("""COMPUTED_VALUE"""),"10.3758/pbr.15.3.543")</f>
        <v>10.3758/pbr.15.3.543</v>
      </c>
      <c r="B967" s="677" t="str">
        <f>IFERROR(__xludf.DUMMYFUNCTION("""COMPUTED_VALUE"""),"https://drive.google.com/file/d/1VIyaKTrHkcnvx6X2Vzbcsabqr1_r_F9C/view?usp=drivesdk")</f>
        <v>https://drive.google.com/file/d/1VIyaKTrHkcnvx6X2Vzbcsabqr1_r_F9C/view?usp=drivesdk</v>
      </c>
      <c r="C967" s="156" t="str">
        <f>IFERROR(__xludf.DUMMYFUNCTION("""COMPUTED_VALUE"""),"10.3758--PBR.15.3.543.pdf")</f>
        <v>10.3758--PBR.15.3.543.pdf</v>
      </c>
      <c r="D967" s="156" t="str">
        <f>IFERROR(__xludf.DUMMYFUNCTION("""COMPUTED_VALUE"""),"application/pdf")</f>
        <v>application/pdf</v>
      </c>
    </row>
    <row r="968">
      <c r="A968" s="156" t="str">
        <f>IFERROR(__xludf.DUMMYFUNCTION("""COMPUTED_VALUE"""),"10.1002/1097-4679(199511)51:6&lt;768::aid-jclp2270510607&gt;3.0.co;2-1")</f>
        <v>10.1002/1097-4679(199511)51:6&lt;768::aid-jclp2270510607&gt;3.0.co;2-1</v>
      </c>
      <c r="B968" s="677" t="str">
        <f>IFERROR(__xludf.DUMMYFUNCTION("""COMPUTED_VALUE"""),"https://drive.google.com/file/d/1tchwxQTTre_0NysY7Uqn1J1fTAm0FTaN/view?usp=drivesdk")</f>
        <v>https://drive.google.com/file/d/1tchwxQTTre_0NysY7Uqn1J1fTAm0FTaN/view?usp=drivesdk</v>
      </c>
      <c r="C968" s="156" t="str">
        <f>IFERROR(__xludf.DUMMYFUNCTION("""COMPUTED_VALUE"""),"10.1002--1097-4679(199511)51:6&lt;768::AID-JCLP2270510607&gt;3.0.CO;2-1.pdf")</f>
        <v>10.1002--1097-4679(199511)51:6&lt;768::AID-JCLP2270510607&gt;3.0.CO;2-1.pdf</v>
      </c>
      <c r="D968" s="156" t="str">
        <f>IFERROR(__xludf.DUMMYFUNCTION("""COMPUTED_VALUE"""),"application/pdf")</f>
        <v>application/pdf</v>
      </c>
    </row>
    <row r="969">
      <c r="A969" s="156" t="str">
        <f>IFERROR(__xludf.DUMMYFUNCTION("""COMPUTED_VALUE"""),"10.1111/acer.12601")</f>
        <v>10.1111/acer.12601</v>
      </c>
      <c r="B969" s="677" t="str">
        <f>IFERROR(__xludf.DUMMYFUNCTION("""COMPUTED_VALUE"""),"https://drive.google.com/file/d/1yIa2ATsvmJ39BhPndLcWZzUGLYLgDDgY/view?usp=drivesdk")</f>
        <v>https://drive.google.com/file/d/1yIa2ATsvmJ39BhPndLcWZzUGLYLgDDgY/view?usp=drivesdk</v>
      </c>
      <c r="C969" s="156" t="str">
        <f>IFERROR(__xludf.DUMMYFUNCTION("""COMPUTED_VALUE"""),"10.1111--acer.12601.pdf")</f>
        <v>10.1111--acer.12601.pdf</v>
      </c>
      <c r="D969" s="156" t="str">
        <f>IFERROR(__xludf.DUMMYFUNCTION("""COMPUTED_VALUE"""),"application/pdf")</f>
        <v>application/pdf</v>
      </c>
    </row>
    <row r="970">
      <c r="A970" s="156" t="str">
        <f>IFERROR(__xludf.DUMMYFUNCTION("""COMPUTED_VALUE"""),"10.1037/0022-3514.69.5.990")</f>
        <v>10.1037/0022-3514.69.5.990</v>
      </c>
      <c r="B970" s="677" t="str">
        <f>IFERROR(__xludf.DUMMYFUNCTION("""COMPUTED_VALUE"""),"https://drive.google.com/file/d/1CMXFeghrtXa1dbj5j7fAh8HA1u4J3t99/view?usp=drivesdk")</f>
        <v>https://drive.google.com/file/d/1CMXFeghrtXa1dbj5j7fAh8HA1u4J3t99/view?usp=drivesdk</v>
      </c>
      <c r="C970" s="156" t="str">
        <f>IFERROR(__xludf.DUMMYFUNCTION("""COMPUTED_VALUE"""),"10.1037--0022-3514.69.5.990.pdf")</f>
        <v>10.1037--0022-3514.69.5.990.pdf</v>
      </c>
      <c r="D970" s="156" t="str">
        <f>IFERROR(__xludf.DUMMYFUNCTION("""COMPUTED_VALUE"""),"application/pdf")</f>
        <v>application/pdf</v>
      </c>
    </row>
    <row r="971">
      <c r="A971" s="156" t="str">
        <f>IFERROR(__xludf.DUMMYFUNCTION("""COMPUTED_VALUE"""),"10.1177/0956797615593705")</f>
        <v>10.1177/0956797615593705</v>
      </c>
      <c r="B971" s="677" t="str">
        <f>IFERROR(__xludf.DUMMYFUNCTION("""COMPUTED_VALUE"""),"https://drive.google.com/file/d/1Kwvnn-NajKuwsJ_Pj-OVT9cMWkVJPQtN/view?usp=drivesdk")</f>
        <v>https://drive.google.com/file/d/1Kwvnn-NajKuwsJ_Pj-OVT9cMWkVJPQtN/view?usp=drivesdk</v>
      </c>
      <c r="C971" s="156" t="str">
        <f>IFERROR(__xludf.DUMMYFUNCTION("""COMPUTED_VALUE"""),"10.1177--0956797615593705.pdf")</f>
        <v>10.1177--0956797615593705.pdf</v>
      </c>
      <c r="D971" s="156" t="str">
        <f>IFERROR(__xludf.DUMMYFUNCTION("""COMPUTED_VALUE"""),"application/pdf")</f>
        <v>application/pdf</v>
      </c>
    </row>
    <row r="972">
      <c r="A972" s="156" t="str">
        <f>IFERROR(__xludf.DUMMYFUNCTION("""COMPUTED_VALUE"""),"10.1016/j.ridd.2011.07.018")</f>
        <v>10.1016/j.ridd.2011.07.018</v>
      </c>
      <c r="B972" s="677" t="str">
        <f>IFERROR(__xludf.DUMMYFUNCTION("""COMPUTED_VALUE"""),"https://drive.google.com/file/d/1VIUw3gsv5o9NRh-GJTzV3NZWNknBAmD8/view?usp=drivesdk")</f>
        <v>https://drive.google.com/file/d/1VIUw3gsv5o9NRh-GJTzV3NZWNknBAmD8/view?usp=drivesdk</v>
      </c>
      <c r="C972" s="156" t="str">
        <f>IFERROR(__xludf.DUMMYFUNCTION("""COMPUTED_VALUE"""),"10.1016--j.ridd.2011.07.018.pdf")</f>
        <v>10.1016--j.ridd.2011.07.018.pdf</v>
      </c>
      <c r="D972" s="156" t="str">
        <f>IFERROR(__xludf.DUMMYFUNCTION("""COMPUTED_VALUE"""),"application/pdf")</f>
        <v>application/pdf</v>
      </c>
    </row>
    <row r="973">
      <c r="A973" s="156" t="str">
        <f>IFERROR(__xludf.DUMMYFUNCTION("""COMPUTED_VALUE"""),"10.1023/a:1022684520514.")</f>
        <v>10.1023/a:1022684520514.</v>
      </c>
      <c r="B973" s="677" t="str">
        <f>IFERROR(__xludf.DUMMYFUNCTION("""COMPUTED_VALUE"""),"https://drive.google.com/file/d/1ZqZyWmZbvn_DnisBW2mKp-yT2_-M8xNu/view?usp=drivesdk")</f>
        <v>https://drive.google.com/file/d/1ZqZyWmZbvn_DnisBW2mKp-yT2_-M8xNu/view?usp=drivesdk</v>
      </c>
      <c r="C973" s="156" t="str">
        <f>IFERROR(__xludf.DUMMYFUNCTION("""COMPUTED_VALUE"""),"10.1023--a:1022684520514..pdf")</f>
        <v>10.1023--a:1022684520514..pdf</v>
      </c>
      <c r="D973" s="156" t="str">
        <f>IFERROR(__xludf.DUMMYFUNCTION("""COMPUTED_VALUE"""),"application/pdf")</f>
        <v>application/pdf</v>
      </c>
    </row>
    <row r="974">
      <c r="A974" s="156" t="str">
        <f>IFERROR(__xludf.DUMMYFUNCTION("""COMPUTED_VALUE"""),"10.1007/s10508-015-0658-2")</f>
        <v>10.1007/s10508-015-0658-2</v>
      </c>
      <c r="B974" s="677" t="str">
        <f>IFERROR(__xludf.DUMMYFUNCTION("""COMPUTED_VALUE"""),"https://drive.google.com/file/d/1_u8aYwvuyDtBconPL_MaiUxPk1Lq8pVF/view?usp=drivesdk")</f>
        <v>https://drive.google.com/file/d/1_u8aYwvuyDtBconPL_MaiUxPk1Lq8pVF/view?usp=drivesdk</v>
      </c>
      <c r="C974" s="156" t="str">
        <f>IFERROR(__xludf.DUMMYFUNCTION("""COMPUTED_VALUE"""),"10.1007--s10508-015-0658-2.pdf")</f>
        <v>10.1007--s10508-015-0658-2.pdf</v>
      </c>
      <c r="D974" s="156" t="str">
        <f>IFERROR(__xludf.DUMMYFUNCTION("""COMPUTED_VALUE"""),"application/pdf")</f>
        <v>application/pdf</v>
      </c>
    </row>
    <row r="975">
      <c r="A975" s="156" t="str">
        <f>IFERROR(__xludf.DUMMYFUNCTION("""COMPUTED_VALUE"""),"10.1023/a:1023465601718")</f>
        <v>10.1023/a:1023465601718</v>
      </c>
      <c r="B975" s="677" t="str">
        <f>IFERROR(__xludf.DUMMYFUNCTION("""COMPUTED_VALUE"""),"https://drive.google.com/file/d/14nctpJxv51A70mGgKF8E78PDRnn05iry/view?usp=drivesdk")</f>
        <v>https://drive.google.com/file/d/14nctpJxv51A70mGgKF8E78PDRnn05iry/view?usp=drivesdk</v>
      </c>
      <c r="C975" s="156" t="str">
        <f>IFERROR(__xludf.DUMMYFUNCTION("""COMPUTED_VALUE"""),"10.1023--A:1023465601718.pdf")</f>
        <v>10.1023--A:1023465601718.pdf</v>
      </c>
      <c r="D975" s="156" t="str">
        <f>IFERROR(__xludf.DUMMYFUNCTION("""COMPUTED_VALUE"""),"application/pdf")</f>
        <v>application/pdf</v>
      </c>
    </row>
    <row r="976">
      <c r="A976" s="156" t="str">
        <f>IFERROR(__xludf.DUMMYFUNCTION("""COMPUTED_VALUE"""),"10.1002/bdm.501")</f>
        <v>10.1002/bdm.501</v>
      </c>
      <c r="B976" s="677" t="str">
        <f>IFERROR(__xludf.DUMMYFUNCTION("""COMPUTED_VALUE"""),"https://drive.google.com/file/d/1WIrQsClyf_Gdbj9O7cEdMR-dTqqRFJak/view?usp=drivesdk")</f>
        <v>https://drive.google.com/file/d/1WIrQsClyf_Gdbj9O7cEdMR-dTqqRFJak/view?usp=drivesdk</v>
      </c>
      <c r="C976" s="156" t="str">
        <f>IFERROR(__xludf.DUMMYFUNCTION("""COMPUTED_VALUE"""),"10.1002--bdm.501.pdf")</f>
        <v>10.1002--bdm.501.pdf</v>
      </c>
      <c r="D976" s="156" t="str">
        <f>IFERROR(__xludf.DUMMYFUNCTION("""COMPUTED_VALUE"""),"application/pdf")</f>
        <v>application/pdf</v>
      </c>
    </row>
    <row r="977">
      <c r="A977" s="156" t="str">
        <f>IFERROR(__xludf.DUMMYFUNCTION("""COMPUTED_VALUE"""),"10.1901/jaba.2012.45-657")</f>
        <v>10.1901/jaba.2012.45-657</v>
      </c>
      <c r="B977" s="677" t="str">
        <f>IFERROR(__xludf.DUMMYFUNCTION("""COMPUTED_VALUE"""),"https://drive.google.com/file/d/1_1pDXdnb6Bds0sMaiO2wxybulx5xbtV-/view?usp=drivesdk")</f>
        <v>https://drive.google.com/file/d/1_1pDXdnb6Bds0sMaiO2wxybulx5xbtV-/view?usp=drivesdk</v>
      </c>
      <c r="C977" s="156" t="str">
        <f>IFERROR(__xludf.DUMMYFUNCTION("""COMPUTED_VALUE"""),"10.1901--jaba.2012.45-657.pdf")</f>
        <v>10.1901--jaba.2012.45-657.pdf</v>
      </c>
      <c r="D977" s="156" t="str">
        <f>IFERROR(__xludf.DUMMYFUNCTION("""COMPUTED_VALUE"""),"application/pdf")</f>
        <v>application/pdf</v>
      </c>
    </row>
    <row r="978">
      <c r="A978" s="156" t="str">
        <f>IFERROR(__xludf.DUMMYFUNCTION("""COMPUTED_VALUE"""),"10.1002/eat.20897")</f>
        <v>10.1002/eat.20897</v>
      </c>
      <c r="B978" s="677" t="str">
        <f>IFERROR(__xludf.DUMMYFUNCTION("""COMPUTED_VALUE"""),"https://drive.google.com/file/d/1oK0OIZ6pDqbMWCKw0QCU7amZiJYcSkjE/view?usp=drivesdk")</f>
        <v>https://drive.google.com/file/d/1oK0OIZ6pDqbMWCKw0QCU7amZiJYcSkjE/view?usp=drivesdk</v>
      </c>
      <c r="C978" s="156" t="str">
        <f>IFERROR(__xludf.DUMMYFUNCTION("""COMPUTED_VALUE"""),"10.1002--eat.20897.pdf")</f>
        <v>10.1002--eat.20897.pdf</v>
      </c>
      <c r="D978" s="156" t="str">
        <f>IFERROR(__xludf.DUMMYFUNCTION("""COMPUTED_VALUE"""),"application/pdf")</f>
        <v>application/pdf</v>
      </c>
    </row>
    <row r="979">
      <c r="A979" s="156" t="str">
        <f>IFERROR(__xludf.DUMMYFUNCTION("""COMPUTED_VALUE"""),"10.1037/0022-3514.79.5.701")</f>
        <v>10.1037/0022-3514.79.5.701</v>
      </c>
      <c r="B979" s="677" t="str">
        <f>IFERROR(__xludf.DUMMYFUNCTION("""COMPUTED_VALUE"""),"https://drive.google.com/file/d/1qgk9QP8u0zEOwOidroqBExUrLqjknIW0/view?usp=drivesdk")</f>
        <v>https://drive.google.com/file/d/1qgk9QP8u0zEOwOidroqBExUrLqjknIW0/view?usp=drivesdk</v>
      </c>
      <c r="C979" s="156" t="str">
        <f>IFERROR(__xludf.DUMMYFUNCTION("""COMPUTED_VALUE"""),"10.1037--0022-3514.79.5.701.pdf")</f>
        <v>10.1037--0022-3514.79.5.701.pdf</v>
      </c>
      <c r="D979" s="156" t="str">
        <f>IFERROR(__xludf.DUMMYFUNCTION("""COMPUTED_VALUE"""),"application/pdf")</f>
        <v>application/pdf</v>
      </c>
    </row>
    <row r="980">
      <c r="A980" s="156" t="str">
        <f>IFERROR(__xludf.DUMMYFUNCTION("""COMPUTED_VALUE"""),"10.1016/0191-8869(85)90026-1")</f>
        <v>10.1016/0191-8869(85)90026-1</v>
      </c>
      <c r="B980" s="677" t="str">
        <f>IFERROR(__xludf.DUMMYFUNCTION("""COMPUTED_VALUE"""),"https://drive.google.com/file/d/1T_JmUnBnQ1o3wORwxwD5PFiQeWIMcIDV/view?usp=drivesdk")</f>
        <v>https://drive.google.com/file/d/1T_JmUnBnQ1o3wORwxwD5PFiQeWIMcIDV/view?usp=drivesdk</v>
      </c>
      <c r="C980" s="156" t="str">
        <f>IFERROR(__xludf.DUMMYFUNCTION("""COMPUTED_VALUE"""),"10.1016--0191-8869(85)90026-1.pdf")</f>
        <v>10.1016--0191-8869(85)90026-1.pdf</v>
      </c>
      <c r="D980" s="156" t="str">
        <f>IFERROR(__xludf.DUMMYFUNCTION("""COMPUTED_VALUE"""),"application/pdf")</f>
        <v>application/pdf</v>
      </c>
    </row>
    <row r="981">
      <c r="A981" s="156" t="str">
        <f>IFERROR(__xludf.DUMMYFUNCTION("""COMPUTED_VALUE"""),"10.1007/s10903-012-9623-5")</f>
        <v>10.1007/s10903-012-9623-5</v>
      </c>
      <c r="B981" s="677" t="str">
        <f>IFERROR(__xludf.DUMMYFUNCTION("""COMPUTED_VALUE"""),"https://drive.google.com/file/d/1yGGU6rCymS599BooTVh3w1yf7oyictn2/view?usp=drivesdk")</f>
        <v>https://drive.google.com/file/d/1yGGU6rCymS599BooTVh3w1yf7oyictn2/view?usp=drivesdk</v>
      </c>
      <c r="C981" s="156" t="str">
        <f>IFERROR(__xludf.DUMMYFUNCTION("""COMPUTED_VALUE"""),"10.1007--s10903-012-9623-5.pdf")</f>
        <v>10.1007--s10903-012-9623-5.pdf</v>
      </c>
      <c r="D981" s="156" t="str">
        <f>IFERROR(__xludf.DUMMYFUNCTION("""COMPUTED_VALUE"""),"application/pdf")</f>
        <v>application/pdf</v>
      </c>
    </row>
    <row r="982">
      <c r="A982" s="156" t="str">
        <f>IFERROR(__xludf.DUMMYFUNCTION("""COMPUTED_VALUE"""),"10.1037/a0034352")</f>
        <v>10.1037/a0034352</v>
      </c>
      <c r="B982" s="677" t="str">
        <f>IFERROR(__xludf.DUMMYFUNCTION("""COMPUTED_VALUE"""),"https://drive.google.com/file/d/1czFxhkGZqxRX0MtMQtZJvfgMQ_qNtop2/view?usp=drivesdk")</f>
        <v>https://drive.google.com/file/d/1czFxhkGZqxRX0MtMQtZJvfgMQ_qNtop2/view?usp=drivesdk</v>
      </c>
      <c r="C982" s="156" t="str">
        <f>IFERROR(__xludf.DUMMYFUNCTION("""COMPUTED_VALUE"""),"10.1037--a0034352.pdf")</f>
        <v>10.1037--a0034352.pdf</v>
      </c>
      <c r="D982" s="156" t="str">
        <f>IFERROR(__xludf.DUMMYFUNCTION("""COMPUTED_VALUE"""),"application/pdf")</f>
        <v>application/pdf</v>
      </c>
    </row>
    <row r="983">
      <c r="A983" s="156" t="str">
        <f>IFERROR(__xludf.DUMMYFUNCTION("""COMPUTED_VALUE"""),"10.1002/jaba.514")</f>
        <v>10.1002/jaba.514</v>
      </c>
      <c r="B983" s="677" t="str">
        <f>IFERROR(__xludf.DUMMYFUNCTION("""COMPUTED_VALUE"""),"https://drive.google.com/file/d/1GiZd3FwasIasQYuvAsopka0SfQWJSsXL/view?usp=drivesdk")</f>
        <v>https://drive.google.com/file/d/1GiZd3FwasIasQYuvAsopka0SfQWJSsXL/view?usp=drivesdk</v>
      </c>
      <c r="C983" s="156" t="str">
        <f>IFERROR(__xludf.DUMMYFUNCTION("""COMPUTED_VALUE"""),"10.1002--jaba.514.pdf")</f>
        <v>10.1002--jaba.514.pdf</v>
      </c>
      <c r="D983" s="156" t="str">
        <f>IFERROR(__xludf.DUMMYFUNCTION("""COMPUTED_VALUE"""),"application/pdf")</f>
        <v>application/pdf</v>
      </c>
    </row>
    <row r="984">
      <c r="A984" s="156" t="str">
        <f>IFERROR(__xludf.DUMMYFUNCTION("""COMPUTED_VALUE"""),"10.1016/j.brat.2011.06.005")</f>
        <v>10.1016/j.brat.2011.06.005</v>
      </c>
      <c r="B984" s="677" t="str">
        <f>IFERROR(__xludf.DUMMYFUNCTION("""COMPUTED_VALUE"""),"https://drive.google.com/file/d/1z5U43MH5KGR-z62VJDWjyZpP3MFy5qgA/view?usp=drivesdk")</f>
        <v>https://drive.google.com/file/d/1z5U43MH5KGR-z62VJDWjyZpP3MFy5qgA/view?usp=drivesdk</v>
      </c>
      <c r="C984" s="156" t="str">
        <f>IFERROR(__xludf.DUMMYFUNCTION("""COMPUTED_VALUE"""),"10.1016--j.brat.2011.06.005.pdf")</f>
        <v>10.1016--j.brat.2011.06.005.pdf</v>
      </c>
      <c r="D984" s="156" t="str">
        <f>IFERROR(__xludf.DUMMYFUNCTION("""COMPUTED_VALUE"""),"application/pdf")</f>
        <v>application/pdf</v>
      </c>
    </row>
    <row r="985">
      <c r="A985" s="156" t="str">
        <f>IFERROR(__xludf.DUMMYFUNCTION("""COMPUTED_VALUE"""),"10.1016/j.cpr.2006.10.004")</f>
        <v>10.1016/j.cpr.2006.10.004</v>
      </c>
      <c r="B985" s="677" t="str">
        <f>IFERROR(__xludf.DUMMYFUNCTION("""COMPUTED_VALUE"""),"https://drive.google.com/file/d/1o4o_52CV60Q4sbc7ekwEZ4dhaV3DkMS1/view?usp=drivesdk")</f>
        <v>https://drive.google.com/file/d/1o4o_52CV60Q4sbc7ekwEZ4dhaV3DkMS1/view?usp=drivesdk</v>
      </c>
      <c r="C985" s="156" t="str">
        <f>IFERROR(__xludf.DUMMYFUNCTION("""COMPUTED_VALUE"""),"10.1016--j.cpr.2006.10.004.pdf")</f>
        <v>10.1016--j.cpr.2006.10.004.pdf</v>
      </c>
      <c r="D985" s="156" t="str">
        <f>IFERROR(__xludf.DUMMYFUNCTION("""COMPUTED_VALUE"""),"application/pdf")</f>
        <v>application/pdf</v>
      </c>
    </row>
    <row r="986">
      <c r="A986" s="156" t="str">
        <f>IFERROR(__xludf.DUMMYFUNCTION("""COMPUTED_VALUE"""),"10.1016/j.drugalcdep.2008.03.031")</f>
        <v>10.1016/j.drugalcdep.2008.03.031</v>
      </c>
      <c r="B986" s="677" t="str">
        <f>IFERROR(__xludf.DUMMYFUNCTION("""COMPUTED_VALUE"""),"https://drive.google.com/file/d/1HdgXTuDD1zfYfbijauGrXF0G29cOLyIQ/view?usp=drivesdk")</f>
        <v>https://drive.google.com/file/d/1HdgXTuDD1zfYfbijauGrXF0G29cOLyIQ/view?usp=drivesdk</v>
      </c>
      <c r="C986" s="156" t="str">
        <f>IFERROR(__xludf.DUMMYFUNCTION("""COMPUTED_VALUE"""),"10.1016--j.drugalcdep.2008.03.031.pdf")</f>
        <v>10.1016--j.drugalcdep.2008.03.031.pdf</v>
      </c>
      <c r="D986" s="156" t="str">
        <f>IFERROR(__xludf.DUMMYFUNCTION("""COMPUTED_VALUE"""),"application/pdf")</f>
        <v>application/pdf</v>
      </c>
    </row>
    <row r="987">
      <c r="A987" s="156" t="str">
        <f>IFERROR(__xludf.DUMMYFUNCTION("""COMPUTED_VALUE"""),"10.1037/0021-843x.115.4.798")</f>
        <v>10.1037/0021-843x.115.4.798</v>
      </c>
      <c r="B987" s="677" t="str">
        <f>IFERROR(__xludf.DUMMYFUNCTION("""COMPUTED_VALUE"""),"https://drive.google.com/file/d/1GD5XljdxR2ykwWKm1MPAKrJoabHxm8Lt/view?usp=drivesdk")</f>
        <v>https://drive.google.com/file/d/1GD5XljdxR2ykwWKm1MPAKrJoabHxm8Lt/view?usp=drivesdk</v>
      </c>
      <c r="C987" s="156" t="str">
        <f>IFERROR(__xludf.DUMMYFUNCTION("""COMPUTED_VALUE"""),"10.1037--0021-843X.115.4.798.pdf")</f>
        <v>10.1037--0021-843X.115.4.798.pdf</v>
      </c>
      <c r="D987" s="156" t="str">
        <f>IFERROR(__xludf.DUMMYFUNCTION("""COMPUTED_VALUE"""),"application/pdf")</f>
        <v>application/pdf</v>
      </c>
    </row>
    <row r="988">
      <c r="A988" s="156" t="str">
        <f>IFERROR(__xludf.DUMMYFUNCTION("""COMPUTED_VALUE"""),"10.1521/pedi.2012.26.5.704")</f>
        <v>10.1521/pedi.2012.26.5.704</v>
      </c>
      <c r="B988" s="677" t="str">
        <f>IFERROR(__xludf.DUMMYFUNCTION("""COMPUTED_VALUE"""),"https://drive.google.com/file/d/1_5YNK50PekihPYdiUNy1aTprQx2d1h3l/view?usp=drivesdk")</f>
        <v>https://drive.google.com/file/d/1_5YNK50PekihPYdiUNy1aTprQx2d1h3l/view?usp=drivesdk</v>
      </c>
      <c r="C988" s="156" t="str">
        <f>IFERROR(__xludf.DUMMYFUNCTION("""COMPUTED_VALUE"""),"10.1521--pedi.2012.26.5.704.pdf")</f>
        <v>10.1521--pedi.2012.26.5.704.pdf</v>
      </c>
      <c r="D988" s="156" t="str">
        <f>IFERROR(__xludf.DUMMYFUNCTION("""COMPUTED_VALUE"""),"application/pdf")</f>
        <v>application/pdf</v>
      </c>
    </row>
    <row r="989">
      <c r="A989" s="156" t="str">
        <f>IFERROR(__xludf.DUMMYFUNCTION("""COMPUTED_VALUE"""),"10.1016/j.janxdis.2010.03.008")</f>
        <v>10.1016/j.janxdis.2010.03.008</v>
      </c>
      <c r="B989" s="677" t="str">
        <f>IFERROR(__xludf.DUMMYFUNCTION("""COMPUTED_VALUE"""),"https://drive.google.com/file/d/10lKB5hdGwD2rdpXoeGEzTshwHM2ol5Fp/view?usp=drivesdk")</f>
        <v>https://drive.google.com/file/d/10lKB5hdGwD2rdpXoeGEzTshwHM2ol5Fp/view?usp=drivesdk</v>
      </c>
      <c r="C989" s="156" t="str">
        <f>IFERROR(__xludf.DUMMYFUNCTION("""COMPUTED_VALUE"""),"10.1016--j.janxdis.2010.03.008.pdf")</f>
        <v>10.1016--j.janxdis.2010.03.008.pdf</v>
      </c>
      <c r="D989" s="156" t="str">
        <f>IFERROR(__xludf.DUMMYFUNCTION("""COMPUTED_VALUE"""),"application/pdf")</f>
        <v>application/pdf</v>
      </c>
    </row>
    <row r="990">
      <c r="A990" s="156" t="str">
        <f>IFERROR(__xludf.DUMMYFUNCTION("""COMPUTED_VALUE"""),"10.1123/jsp.1.4.320")</f>
        <v>10.1123/jsp.1.4.320</v>
      </c>
      <c r="B990" s="677" t="str">
        <f>IFERROR(__xludf.DUMMYFUNCTION("""COMPUTED_VALUE"""),"https://drive.google.com/file/d/1otZ4upwg6OdS4INAxYmEHVP1Lz52NmvV/view?usp=drivesdk")</f>
        <v>https://drive.google.com/file/d/1otZ4upwg6OdS4INAxYmEHVP1Lz52NmvV/view?usp=drivesdk</v>
      </c>
      <c r="C990" s="156" t="str">
        <f>IFERROR(__xludf.DUMMYFUNCTION("""COMPUTED_VALUE"""),"10.1123--jsp.1.4.320.pdf")</f>
        <v>10.1123--jsp.1.4.320.pdf</v>
      </c>
      <c r="D990" s="156" t="str">
        <f>IFERROR(__xludf.DUMMYFUNCTION("""COMPUTED_VALUE"""),"application/pdf")</f>
        <v>application/pdf</v>
      </c>
    </row>
    <row r="991">
      <c r="A991" s="156" t="str">
        <f>IFERROR(__xludf.DUMMYFUNCTION("""COMPUTED_VALUE"""),"10.1016/j.cognition.2010.11.004")</f>
        <v>10.1016/j.cognition.2010.11.004</v>
      </c>
      <c r="B991" s="677" t="str">
        <f>IFERROR(__xludf.DUMMYFUNCTION("""COMPUTED_VALUE"""),"https://drive.google.com/file/d/1-e44GPxL5eJw3oSDX6Z78jijaovnBQeQ/view?usp=drivesdk")</f>
        <v>https://drive.google.com/file/d/1-e44GPxL5eJw3oSDX6Z78jijaovnBQeQ/view?usp=drivesdk</v>
      </c>
      <c r="C991" s="156" t="str">
        <f>IFERROR(__xludf.DUMMYFUNCTION("""COMPUTED_VALUE"""),"10.1016--j.cognition.2010.11.004.pdf")</f>
        <v>10.1016--j.cognition.2010.11.004.pdf</v>
      </c>
      <c r="D991" s="156" t="str">
        <f>IFERROR(__xludf.DUMMYFUNCTION("""COMPUTED_VALUE"""),"application/pdf")</f>
        <v>application/pdf</v>
      </c>
    </row>
    <row r="992">
      <c r="A992" s="156" t="str">
        <f>IFERROR(__xludf.DUMMYFUNCTION("""COMPUTED_VALUE"""),"10.1007/s10519-009-9318-4")</f>
        <v>10.1007/s10519-009-9318-4</v>
      </c>
      <c r="B992" s="677" t="str">
        <f>IFERROR(__xludf.DUMMYFUNCTION("""COMPUTED_VALUE"""),"https://drive.google.com/file/d/1GuHxJScwgTchcLiTjR0FvznWHBZZzfTw/view?usp=drivesdk")</f>
        <v>https://drive.google.com/file/d/1GuHxJScwgTchcLiTjR0FvznWHBZZzfTw/view?usp=drivesdk</v>
      </c>
      <c r="C992" s="156" t="str">
        <f>IFERROR(__xludf.DUMMYFUNCTION("""COMPUTED_VALUE"""),"10.1007--s10519-009-9318-4.pdf")</f>
        <v>10.1007--s10519-009-9318-4.pdf</v>
      </c>
      <c r="D992" s="156" t="str">
        <f>IFERROR(__xludf.DUMMYFUNCTION("""COMPUTED_VALUE"""),"application/pdf")</f>
        <v>application/pdf</v>
      </c>
    </row>
    <row r="993">
      <c r="A993" s="156" t="str">
        <f>IFERROR(__xludf.DUMMYFUNCTION("""COMPUTED_VALUE"""),"10.1007/s10608-008-9214-x")</f>
        <v>10.1007/s10608-008-9214-x</v>
      </c>
      <c r="B993" s="677" t="str">
        <f>IFERROR(__xludf.DUMMYFUNCTION("""COMPUTED_VALUE"""),"https://drive.google.com/file/d/1jOA-TNreTdA7I34dlR5bhFsbZkyPsAgE/view?usp=drivesdk")</f>
        <v>https://drive.google.com/file/d/1jOA-TNreTdA7I34dlR5bhFsbZkyPsAgE/view?usp=drivesdk</v>
      </c>
      <c r="C993" s="156" t="str">
        <f>IFERROR(__xludf.DUMMYFUNCTION("""COMPUTED_VALUE"""),"10.1007--s10608-008-9214-x.pdf")</f>
        <v>10.1007--s10608-008-9214-x.pdf</v>
      </c>
      <c r="D993" s="156" t="str">
        <f>IFERROR(__xludf.DUMMYFUNCTION("""COMPUTED_VALUE"""),"application/pdf")</f>
        <v>application/pdf</v>
      </c>
    </row>
    <row r="994">
      <c r="A994" s="156" t="str">
        <f>IFERROR(__xludf.DUMMYFUNCTION("""COMPUTED_VALUE"""),"10.1037/a0029608")</f>
        <v>10.1037/a0029608</v>
      </c>
      <c r="B994" s="677" t="str">
        <f>IFERROR(__xludf.DUMMYFUNCTION("""COMPUTED_VALUE"""),"https://drive.google.com/file/d/1NuXVN8mp-l_4aoe9k29tUEXCtbKB5nvC/view?usp=drivesdk")</f>
        <v>https://drive.google.com/file/d/1NuXVN8mp-l_4aoe9k29tUEXCtbKB5nvC/view?usp=drivesdk</v>
      </c>
      <c r="C994" s="156" t="str">
        <f>IFERROR(__xludf.DUMMYFUNCTION("""COMPUTED_VALUE"""),"10.1037--a0029608.pdf")</f>
        <v>10.1037--a0029608.pdf</v>
      </c>
      <c r="D994" s="156" t="str">
        <f>IFERROR(__xludf.DUMMYFUNCTION("""COMPUTED_VALUE"""),"application/pdf")</f>
        <v>application/pdf</v>
      </c>
    </row>
    <row r="995">
      <c r="A995" s="156" t="str">
        <f>IFERROR(__xludf.DUMMYFUNCTION("""COMPUTED_VALUE"""),"10.1016/0028-3932(73)90049-3")</f>
        <v>10.1016/0028-3932(73)90049-3</v>
      </c>
      <c r="B995" s="677" t="str">
        <f>IFERROR(__xludf.DUMMYFUNCTION("""COMPUTED_VALUE"""),"https://drive.google.com/file/d/18eCD4c0IMT6bc_VAnZ8weNQfQtYz5Cjw/view?usp=drivesdk")</f>
        <v>https://drive.google.com/file/d/18eCD4c0IMT6bc_VAnZ8weNQfQtYz5Cjw/view?usp=drivesdk</v>
      </c>
      <c r="C995" s="156" t="str">
        <f>IFERROR(__xludf.DUMMYFUNCTION("""COMPUTED_VALUE"""),"10.1016--0028-3932(73)90049-3.pdf")</f>
        <v>10.1016--0028-3932(73)90049-3.pdf</v>
      </c>
      <c r="D995" s="156" t="str">
        <f>IFERROR(__xludf.DUMMYFUNCTION("""COMPUTED_VALUE"""),"application/pdf")</f>
        <v>application/pdf</v>
      </c>
    </row>
    <row r="996">
      <c r="A996" s="156" t="str">
        <f>IFERROR(__xludf.DUMMYFUNCTION("""COMPUTED_VALUE"""),"10.1007/s10608-015-9716-2")</f>
        <v>10.1007/s10608-015-9716-2</v>
      </c>
      <c r="B996" s="677" t="str">
        <f>IFERROR(__xludf.DUMMYFUNCTION("""COMPUTED_VALUE"""),"https://drive.google.com/file/d/1WhiWzn4A8rwXlB59hzCghMQ610mT93CT/view?usp=drivesdk")</f>
        <v>https://drive.google.com/file/d/1WhiWzn4A8rwXlB59hzCghMQ610mT93CT/view?usp=drivesdk</v>
      </c>
      <c r="C996" s="156" t="str">
        <f>IFERROR(__xludf.DUMMYFUNCTION("""COMPUTED_VALUE"""),"10.1007--s10608-015-9716-2.pdf")</f>
        <v>10.1007--s10608-015-9716-2.pdf</v>
      </c>
      <c r="D996" s="156" t="str">
        <f>IFERROR(__xludf.DUMMYFUNCTION("""COMPUTED_VALUE"""),"application/pdf")</f>
        <v>application/pdf</v>
      </c>
    </row>
    <row r="997">
      <c r="A997" s="156" t="str">
        <f>IFERROR(__xludf.DUMMYFUNCTION("""COMPUTED_VALUE"""),"10.1093/oxfordhb/9780195394399.013.0010")</f>
        <v>10.1093/oxfordhb/9780195394399.013.0010</v>
      </c>
      <c r="B997" s="677" t="str">
        <f>IFERROR(__xludf.DUMMYFUNCTION("""COMPUTED_VALUE"""),"https://drive.google.com/file/d/1GH0-GTw97RlHFA5olTAMgkF2LDuBWtkB/view?usp=drivesdk")</f>
        <v>https://drive.google.com/file/d/1GH0-GTw97RlHFA5olTAMgkF2LDuBWtkB/view?usp=drivesdk</v>
      </c>
      <c r="C997" s="156" t="str">
        <f>IFERROR(__xludf.DUMMYFUNCTION("""COMPUTED_VALUE"""),"10.1093--oxfordhb--9780195394399.013.0010.pdf")</f>
        <v>10.1093--oxfordhb--9780195394399.013.0010.pdf</v>
      </c>
      <c r="D997" s="156" t="str">
        <f>IFERROR(__xludf.DUMMYFUNCTION("""COMPUTED_VALUE"""),"application/pdf")</f>
        <v>application/pdf</v>
      </c>
    </row>
    <row r="998">
      <c r="A998" s="156" t="str">
        <f>IFERROR(__xludf.DUMMYFUNCTION("""COMPUTED_VALUE"""),"10.1016/j.janxdis.2015.12.001")</f>
        <v>10.1016/j.janxdis.2015.12.001</v>
      </c>
      <c r="B998" s="677" t="str">
        <f>IFERROR(__xludf.DUMMYFUNCTION("""COMPUTED_VALUE"""),"https://drive.google.com/file/d/12WUpqRA8vllClBxv1BdZOa5-ANNs2qW7/view?usp=drivesdk")</f>
        <v>https://drive.google.com/file/d/12WUpqRA8vllClBxv1BdZOa5-ANNs2qW7/view?usp=drivesdk</v>
      </c>
      <c r="C998" s="156" t="str">
        <f>IFERROR(__xludf.DUMMYFUNCTION("""COMPUTED_VALUE"""),"10.1016--j.janxdis.2015.12.001.pdf")</f>
        <v>10.1016--j.janxdis.2015.12.001.pdf</v>
      </c>
      <c r="D998" s="156" t="str">
        <f>IFERROR(__xludf.DUMMYFUNCTION("""COMPUTED_VALUE"""),"application/pdf")</f>
        <v>application/pdf</v>
      </c>
    </row>
    <row r="999">
      <c r="A999" s="156" t="str">
        <f>IFERROR(__xludf.DUMMYFUNCTION("""COMPUTED_VALUE"""),"10.1080/10888430701746849")</f>
        <v>10.1080/10888430701746849</v>
      </c>
      <c r="B999" s="677" t="str">
        <f>IFERROR(__xludf.DUMMYFUNCTION("""COMPUTED_VALUE"""),"https://drive.google.com/file/d/1K3uDJAZAlGYyqTk5JqOt7qojCJpOj7Xg/view?usp=drivesdk")</f>
        <v>https://drive.google.com/file/d/1K3uDJAZAlGYyqTk5JqOt7qojCJpOj7Xg/view?usp=drivesdk</v>
      </c>
      <c r="C999" s="156" t="str">
        <f>IFERROR(__xludf.DUMMYFUNCTION("""COMPUTED_VALUE"""),"10.1080--10888430701746849.pdf")</f>
        <v>10.1080--10888430701746849.pdf</v>
      </c>
      <c r="D999" s="156" t="str">
        <f>IFERROR(__xludf.DUMMYFUNCTION("""COMPUTED_VALUE"""),"application/pdf")</f>
        <v>application/pdf</v>
      </c>
    </row>
    <row r="1000">
      <c r="A1000" s="156" t="str">
        <f>IFERROR(__xludf.DUMMYFUNCTION("""COMPUTED_VALUE"""),"10.1037/a0039737")</f>
        <v>10.1037/a0039737</v>
      </c>
      <c r="B1000" s="677" t="str">
        <f>IFERROR(__xludf.DUMMYFUNCTION("""COMPUTED_VALUE"""),"https://drive.google.com/file/d/1fwgPBv2sUceSWub7L1rc7wljbmLYbdBI/view?usp=drivesdk")</f>
        <v>https://drive.google.com/file/d/1fwgPBv2sUceSWub7L1rc7wljbmLYbdBI/view?usp=drivesdk</v>
      </c>
      <c r="C1000" s="156" t="str">
        <f>IFERROR(__xludf.DUMMYFUNCTION("""COMPUTED_VALUE"""),"10.1037--a0039737.pdf")</f>
        <v>10.1037--a0039737.pdf</v>
      </c>
      <c r="D1000" s="156" t="str">
        <f>IFERROR(__xludf.DUMMYFUNCTION("""COMPUTED_VALUE"""),"application/pdf")</f>
        <v>application/pdf</v>
      </c>
    </row>
    <row r="1001">
      <c r="A1001" s="156" t="str">
        <f>IFERROR(__xludf.DUMMYFUNCTION("""COMPUTED_VALUE"""),"10.1177/1073191108314788")</f>
        <v>10.1177/1073191108314788</v>
      </c>
      <c r="B1001" s="677" t="str">
        <f>IFERROR(__xludf.DUMMYFUNCTION("""COMPUTED_VALUE"""),"https://drive.google.com/file/d/1SVjF8ubObSqPDALimt0IDBXcn12XB-8i/view?usp=drivesdk")</f>
        <v>https://drive.google.com/file/d/1SVjF8ubObSqPDALimt0IDBXcn12XB-8i/view?usp=drivesdk</v>
      </c>
      <c r="C1001" s="156" t="str">
        <f>IFERROR(__xludf.DUMMYFUNCTION("""COMPUTED_VALUE"""),"10.1177--1073191108314788.pdf")</f>
        <v>10.1177--1073191108314788.pdf</v>
      </c>
      <c r="D1001" s="156" t="str">
        <f>IFERROR(__xludf.DUMMYFUNCTION("""COMPUTED_VALUE"""),"application/pdf")</f>
        <v>application/pdf</v>
      </c>
    </row>
    <row r="1002">
      <c r="A1002" s="156" t="str">
        <f>IFERROR(__xludf.DUMMYFUNCTION("""COMPUTED_VALUE"""),"10.1177/1362361314526004")</f>
        <v>10.1177/1362361314526004</v>
      </c>
      <c r="B1002" s="677" t="str">
        <f>IFERROR(__xludf.DUMMYFUNCTION("""COMPUTED_VALUE"""),"https://drive.google.com/file/d/1GVBqgyuDLoRWYiX__KiiE9-6b7stT8IT/view?usp=drivesdk")</f>
        <v>https://drive.google.com/file/d/1GVBqgyuDLoRWYiX__KiiE9-6b7stT8IT/view?usp=drivesdk</v>
      </c>
      <c r="C1002" s="156" t="str">
        <f>IFERROR(__xludf.DUMMYFUNCTION("""COMPUTED_VALUE"""),"10.1177--1362361314526004.pdf")</f>
        <v>10.1177--1362361314526004.pdf</v>
      </c>
      <c r="D1002" s="156" t="str">
        <f>IFERROR(__xludf.DUMMYFUNCTION("""COMPUTED_VALUE"""),"application/pdf")</f>
        <v>application/pdf</v>
      </c>
    </row>
    <row r="1003">
      <c r="A1003" s="156" t="str">
        <f>IFERROR(__xludf.DUMMYFUNCTION("""COMPUTED_VALUE"""),"10.1016/j.jml.2003.10.003")</f>
        <v>10.1016/j.jml.2003.10.003</v>
      </c>
      <c r="B1003" s="677" t="str">
        <f>IFERROR(__xludf.DUMMYFUNCTION("""COMPUTED_VALUE"""),"https://drive.google.com/file/d/1IM4CBGtk-uBexLOjWnTivV4WzNvwBH8E/view?usp=drivesdk")</f>
        <v>https://drive.google.com/file/d/1IM4CBGtk-uBexLOjWnTivV4WzNvwBH8E/view?usp=drivesdk</v>
      </c>
      <c r="C1003" s="156" t="str">
        <f>IFERROR(__xludf.DUMMYFUNCTION("""COMPUTED_VALUE"""),"10.1016--j.jml.2003.10.003.pdf")</f>
        <v>10.1016--j.jml.2003.10.003.pdf</v>
      </c>
      <c r="D1003" s="156" t="str">
        <f>IFERROR(__xludf.DUMMYFUNCTION("""COMPUTED_VALUE"""),"application/pdf")</f>
        <v>application/pdf</v>
      </c>
    </row>
    <row r="1004">
      <c r="A1004" s="156" t="str">
        <f>IFERROR(__xludf.DUMMYFUNCTION("""COMPUTED_VALUE"""),"10.1037/0894-4105.20.6.633")</f>
        <v>10.1037/0894-4105.20.6.633</v>
      </c>
      <c r="B1004" s="677" t="str">
        <f>IFERROR(__xludf.DUMMYFUNCTION("""COMPUTED_VALUE"""),"https://drive.google.com/file/d/1lJVrOaRZiyfxA803nV3ux-TzNSeeMurV/view?usp=drivesdk")</f>
        <v>https://drive.google.com/file/d/1lJVrOaRZiyfxA803nV3ux-TzNSeeMurV/view?usp=drivesdk</v>
      </c>
      <c r="C1004" s="156" t="str">
        <f>IFERROR(__xludf.DUMMYFUNCTION("""COMPUTED_VALUE"""),"10.1037--0894-4105.20.6.633.pdf")</f>
        <v>10.1037--0894-4105.20.6.633.pdf</v>
      </c>
      <c r="D1004" s="156" t="str">
        <f>IFERROR(__xludf.DUMMYFUNCTION("""COMPUTED_VALUE"""),"application/pdf")</f>
        <v>application/pdf</v>
      </c>
    </row>
    <row r="1005">
      <c r="A1005" s="156" t="str">
        <f>IFERROR(__xludf.DUMMYFUNCTION("""COMPUTED_VALUE"""),"10.1111/psyp.12583")</f>
        <v>10.1111/psyp.12583</v>
      </c>
      <c r="B1005" s="677" t="str">
        <f>IFERROR(__xludf.DUMMYFUNCTION("""COMPUTED_VALUE"""),"https://drive.google.com/file/d/1VPB0ZWiVsJ01n-Tfay2g-vWX9tReIPew/view?usp=drivesdk")</f>
        <v>https://drive.google.com/file/d/1VPB0ZWiVsJ01n-Tfay2g-vWX9tReIPew/view?usp=drivesdk</v>
      </c>
      <c r="C1005" s="156" t="str">
        <f>IFERROR(__xludf.DUMMYFUNCTION("""COMPUTED_VALUE"""),"10.1111--psyp.12583.pdf")</f>
        <v>10.1111--psyp.12583.pdf</v>
      </c>
      <c r="D1005" s="156" t="str">
        <f>IFERROR(__xludf.DUMMYFUNCTION("""COMPUTED_VALUE"""),"application/pdf")</f>
        <v>application/pdf</v>
      </c>
    </row>
    <row r="1006">
      <c r="A1006" s="156" t="str">
        <f>IFERROR(__xludf.DUMMYFUNCTION("""COMPUTED_VALUE"""),"10.1016/s0896-6273(01)00225-2")</f>
        <v>10.1016/s0896-6273(01)00225-2</v>
      </c>
      <c r="B1006" s="677" t="str">
        <f>IFERROR(__xludf.DUMMYFUNCTION("""COMPUTED_VALUE"""),"https://drive.google.com/file/d/1ATHUtBOTxTCxt8N_eQSAezVDleH5UyRj/view?usp=drivesdk")</f>
        <v>https://drive.google.com/file/d/1ATHUtBOTxTCxt8N_eQSAezVDleH5UyRj/view?usp=drivesdk</v>
      </c>
      <c r="C1006" s="156" t="str">
        <f>IFERROR(__xludf.DUMMYFUNCTION("""COMPUTED_VALUE"""),"10.1016--S0896-6273(01)00225-2.pdf")</f>
        <v>10.1016--S0896-6273(01)00225-2.pdf</v>
      </c>
      <c r="D1006" s="156" t="str">
        <f>IFERROR(__xludf.DUMMYFUNCTION("""COMPUTED_VALUE"""),"application/pdf")</f>
        <v>application/pdf</v>
      </c>
    </row>
    <row r="1007">
      <c r="A1007" s="156" t="str">
        <f>IFERROR(__xludf.DUMMYFUNCTION("""COMPUTED_VALUE"""),"10.1093/scan/nsw175")</f>
        <v>10.1093/scan/nsw175</v>
      </c>
      <c r="B1007" s="677" t="str">
        <f>IFERROR(__xludf.DUMMYFUNCTION("""COMPUTED_VALUE"""),"https://drive.google.com/file/d/1Pit1tJn2cHakV8BX43PIdKZnSVoZQcmn/view?usp=drivesdk")</f>
        <v>https://drive.google.com/file/d/1Pit1tJn2cHakV8BX43PIdKZnSVoZQcmn/view?usp=drivesdk</v>
      </c>
      <c r="C1007" s="156" t="str">
        <f>IFERROR(__xludf.DUMMYFUNCTION("""COMPUTED_VALUE"""),"10.1093--scan--nsw175.pdf")</f>
        <v>10.1093--scan--nsw175.pdf</v>
      </c>
      <c r="D1007" s="156" t="str">
        <f>IFERROR(__xludf.DUMMYFUNCTION("""COMPUTED_VALUE"""),"application/pdf")</f>
        <v>application/pdf</v>
      </c>
    </row>
    <row r="1008">
      <c r="A1008" s="156" t="str">
        <f>IFERROR(__xludf.DUMMYFUNCTION("""COMPUTED_VALUE"""),"10.1016/j.jrp.2009.10.005")</f>
        <v>10.1016/j.jrp.2009.10.005</v>
      </c>
      <c r="B1008" s="677" t="str">
        <f>IFERROR(__xludf.DUMMYFUNCTION("""COMPUTED_VALUE"""),"https://drive.google.com/file/d/1Jf6EV88Oh74edX72FBD60dqKXlMdn6Mc/view?usp=drivesdk")</f>
        <v>https://drive.google.com/file/d/1Jf6EV88Oh74edX72FBD60dqKXlMdn6Mc/view?usp=drivesdk</v>
      </c>
      <c r="C1008" s="156" t="str">
        <f>IFERROR(__xludf.DUMMYFUNCTION("""COMPUTED_VALUE"""),"10.1016--j.jrp.2009.10.005.pdf")</f>
        <v>10.1016--j.jrp.2009.10.005.pdf</v>
      </c>
      <c r="D1008" s="156" t="str">
        <f>IFERROR(__xludf.DUMMYFUNCTION("""COMPUTED_VALUE"""),"application/pdf")</f>
        <v>application/pdf</v>
      </c>
    </row>
    <row r="1009">
      <c r="A1009" s="156" t="str">
        <f>IFERROR(__xludf.DUMMYFUNCTION("""COMPUTED_VALUE"""),"10.3758/s13423-014-0663-9")</f>
        <v>10.3758/s13423-014-0663-9</v>
      </c>
      <c r="B1009" s="677" t="str">
        <f>IFERROR(__xludf.DUMMYFUNCTION("""COMPUTED_VALUE"""),"https://drive.google.com/file/d/1K9Z2QoAfUp3wZZ9r-TdCgcxRW8O4g__4/view?usp=drivesdk")</f>
        <v>https://drive.google.com/file/d/1K9Z2QoAfUp3wZZ9r-TdCgcxRW8O4g__4/view?usp=drivesdk</v>
      </c>
      <c r="C1009" s="156" t="str">
        <f>IFERROR(__xludf.DUMMYFUNCTION("""COMPUTED_VALUE"""),"10.3758--s13423-014-0663-9.pdf")</f>
        <v>10.3758--s13423-014-0663-9.pdf</v>
      </c>
      <c r="D1009" s="156" t="str">
        <f>IFERROR(__xludf.DUMMYFUNCTION("""COMPUTED_VALUE"""),"application/pdf")</f>
        <v>application/pdf</v>
      </c>
    </row>
    <row r="1010">
      <c r="A1010" s="156" t="str">
        <f>IFERROR(__xludf.DUMMYFUNCTION("""COMPUTED_VALUE"""),"10.1080/135467996387534")</f>
        <v>10.1080/135467996387534</v>
      </c>
      <c r="B1010" s="677" t="str">
        <f>IFERROR(__xludf.DUMMYFUNCTION("""COMPUTED_VALUE"""),"https://drive.google.com/file/d/1Lg9AAKPrBnclSilQCr3AJ9Utx61yJZ10/view?usp=drivesdk")</f>
        <v>https://drive.google.com/file/d/1Lg9AAKPrBnclSilQCr3AJ9Utx61yJZ10/view?usp=drivesdk</v>
      </c>
      <c r="C1010" s="156" t="str">
        <f>IFERROR(__xludf.DUMMYFUNCTION("""COMPUTED_VALUE"""),"10.1080--135467996387534.pdf")</f>
        <v>10.1080--135467996387534.pdf</v>
      </c>
      <c r="D1010" s="156" t="str">
        <f>IFERROR(__xludf.DUMMYFUNCTION("""COMPUTED_VALUE"""),"application/pdf")</f>
        <v>application/pdf</v>
      </c>
    </row>
    <row r="1011">
      <c r="A1011" s="156" t="str">
        <f>IFERROR(__xludf.DUMMYFUNCTION("""COMPUTED_VALUE"""),"10.1177/0956797611413935")</f>
        <v>10.1177/0956797611413935</v>
      </c>
      <c r="B1011" s="677" t="str">
        <f>IFERROR(__xludf.DUMMYFUNCTION("""COMPUTED_VALUE"""),"https://drive.google.com/file/d/14v_JHQxzI9HtJDJs6iZ8fRNus_f5UAGe/view?usp=drivesdk")</f>
        <v>https://drive.google.com/file/d/14v_JHQxzI9HtJDJs6iZ8fRNus_f5UAGe/view?usp=drivesdk</v>
      </c>
      <c r="C1011" s="156" t="str">
        <f>IFERROR(__xludf.DUMMYFUNCTION("""COMPUTED_VALUE"""),"10.1177--0956797611413935.pdf")</f>
        <v>10.1177--0956797611413935.pdf</v>
      </c>
      <c r="D1011" s="156" t="str">
        <f>IFERROR(__xludf.DUMMYFUNCTION("""COMPUTED_VALUE"""),"application/pdf")</f>
        <v>application/pdf</v>
      </c>
    </row>
    <row r="1012">
      <c r="A1012" s="156" t="str">
        <f>IFERROR(__xludf.DUMMYFUNCTION("""COMPUTED_VALUE"""),"10.1073/pnas.0306408101")</f>
        <v>10.1073/pnas.0306408101</v>
      </c>
      <c r="B1012" s="677" t="str">
        <f>IFERROR(__xludf.DUMMYFUNCTION("""COMPUTED_VALUE"""),"https://drive.google.com/file/d/19RQ-PRp6aFWHVejOVQdpZjrTQXf65Kmd/view?usp=drivesdk")</f>
        <v>https://drive.google.com/file/d/19RQ-PRp6aFWHVejOVQdpZjrTQXf65Kmd/view?usp=drivesdk</v>
      </c>
      <c r="C1012" s="156" t="str">
        <f>IFERROR(__xludf.DUMMYFUNCTION("""COMPUTED_VALUE"""),"10.1073--pnas.0306408101.pdf")</f>
        <v>10.1073--pnas.0306408101.pdf</v>
      </c>
      <c r="D1012" s="156" t="str">
        <f>IFERROR(__xludf.DUMMYFUNCTION("""COMPUTED_VALUE"""),"application/pdf")</f>
        <v>application/pdf</v>
      </c>
    </row>
    <row r="1013">
      <c r="A1013" s="156" t="str">
        <f>IFERROR(__xludf.DUMMYFUNCTION("""COMPUTED_VALUE"""),"10.1037/a0016530")</f>
        <v>10.1037/a0016530</v>
      </c>
      <c r="B1013" s="677" t="str">
        <f>IFERROR(__xludf.DUMMYFUNCTION("""COMPUTED_VALUE"""),"https://drive.google.com/file/d/1aIlL0O9aFXrMnRdJ-XsZw8Bw0-HaZzOp/view?usp=drivesdk")</f>
        <v>https://drive.google.com/file/d/1aIlL0O9aFXrMnRdJ-XsZw8Bw0-HaZzOp/view?usp=drivesdk</v>
      </c>
      <c r="C1013" s="156" t="str">
        <f>IFERROR(__xludf.DUMMYFUNCTION("""COMPUTED_VALUE"""),"10.1037--a0016530.pdf")</f>
        <v>10.1037--a0016530.pdf</v>
      </c>
      <c r="D1013" s="156" t="str">
        <f>IFERROR(__xludf.DUMMYFUNCTION("""COMPUTED_VALUE"""),"application/pdf")</f>
        <v>application/pdf</v>
      </c>
    </row>
    <row r="1014">
      <c r="A1014" s="156" t="str">
        <f>IFERROR(__xludf.DUMMYFUNCTION("""COMPUTED_VALUE"""),"10.1037/a0018937")</f>
        <v>10.1037/a0018937</v>
      </c>
      <c r="B1014" s="677" t="str">
        <f>IFERROR(__xludf.DUMMYFUNCTION("""COMPUTED_VALUE"""),"https://drive.google.com/file/d/154Qx30hu0D7Aoa9Ey8wHl-TtywNQTU8I/view?usp=drivesdk")</f>
        <v>https://drive.google.com/file/d/154Qx30hu0D7Aoa9Ey8wHl-TtywNQTU8I/view?usp=drivesdk</v>
      </c>
      <c r="C1014" s="156" t="str">
        <f>IFERROR(__xludf.DUMMYFUNCTION("""COMPUTED_VALUE"""),"10.1037--a0018937.pdf")</f>
        <v>10.1037--a0018937.pdf</v>
      </c>
      <c r="D1014" s="156" t="str">
        <f>IFERROR(__xludf.DUMMYFUNCTION("""COMPUTED_VALUE"""),"application/pdf")</f>
        <v>application/pdf</v>
      </c>
    </row>
    <row r="1015">
      <c r="A1015" s="156" t="str">
        <f>IFERROR(__xludf.DUMMYFUNCTION("""COMPUTED_VALUE"""),"10.3758/app.71.1.9")</f>
        <v>10.3758/app.71.1.9</v>
      </c>
      <c r="B1015" s="677" t="str">
        <f>IFERROR(__xludf.DUMMYFUNCTION("""COMPUTED_VALUE"""),"https://drive.google.com/file/d/1jYrtjqdTXxiTSvmuqNs5CLYjl3bDx57e/view?usp=drivesdk")</f>
        <v>https://drive.google.com/file/d/1jYrtjqdTXxiTSvmuqNs5CLYjl3bDx57e/view?usp=drivesdk</v>
      </c>
      <c r="C1015" s="156" t="str">
        <f>IFERROR(__xludf.DUMMYFUNCTION("""COMPUTED_VALUE"""),"10.3758--APP.71.1.9.pdf")</f>
        <v>10.3758--APP.71.1.9.pdf</v>
      </c>
      <c r="D1015" s="156" t="str">
        <f>IFERROR(__xludf.DUMMYFUNCTION("""COMPUTED_VALUE"""),"application/pdf")</f>
        <v>application/pdf</v>
      </c>
    </row>
    <row r="1016">
      <c r="A1016" s="156" t="str">
        <f>IFERROR(__xludf.DUMMYFUNCTION("""COMPUTED_VALUE"""),"10.1080/135062899395000")</f>
        <v>10.1080/135062899395000</v>
      </c>
      <c r="B1016" s="677" t="str">
        <f>IFERROR(__xludf.DUMMYFUNCTION("""COMPUTED_VALUE"""),"https://drive.google.com/file/d/10wvPjUj2j-bwDFwvB9-zbS4M8yI4QzKU/view?usp=drivesdk")</f>
        <v>https://drive.google.com/file/d/10wvPjUj2j-bwDFwvB9-zbS4M8yI4QzKU/view?usp=drivesdk</v>
      </c>
      <c r="C1016" s="156" t="str">
        <f>IFERROR(__xludf.DUMMYFUNCTION("""COMPUTED_VALUE"""),"10.1080--135062899395000.pdf")</f>
        <v>10.1080--135062899395000.pdf</v>
      </c>
      <c r="D1016" s="156" t="str">
        <f>IFERROR(__xludf.DUMMYFUNCTION("""COMPUTED_VALUE"""),"application/pdf")</f>
        <v>application/pdf</v>
      </c>
    </row>
    <row r="1017">
      <c r="A1017" s="156" t="str">
        <f>IFERROR(__xludf.DUMMYFUNCTION("""COMPUTED_VALUE"""),"10.3758/bf03193824")</f>
        <v>10.3758/bf03193824</v>
      </c>
      <c r="B1017" s="677" t="str">
        <f>IFERROR(__xludf.DUMMYFUNCTION("""COMPUTED_VALUE"""),"https://drive.google.com/file/d/1VF2iIIdXF6qLbjeKewCq5bYS5NAFXwix/view?usp=drivesdk")</f>
        <v>https://drive.google.com/file/d/1VF2iIIdXF6qLbjeKewCq5bYS5NAFXwix/view?usp=drivesdk</v>
      </c>
      <c r="C1017" s="156" t="str">
        <f>IFERROR(__xludf.DUMMYFUNCTION("""COMPUTED_VALUE"""),"10.3758--BF03193824.pdf")</f>
        <v>10.3758--BF03193824.pdf</v>
      </c>
      <c r="D1017" s="156" t="str">
        <f>IFERROR(__xludf.DUMMYFUNCTION("""COMPUTED_VALUE"""),"application/pdf")</f>
        <v>application/pdf</v>
      </c>
    </row>
    <row r="1018">
      <c r="A1018" s="156" t="str">
        <f>IFERROR(__xludf.DUMMYFUNCTION("""COMPUTED_VALUE"""),"10.1016/j.infbeh.2008.04.004")</f>
        <v>10.1016/j.infbeh.2008.04.004</v>
      </c>
      <c r="B1018" s="677" t="str">
        <f>IFERROR(__xludf.DUMMYFUNCTION("""COMPUTED_VALUE"""),"https://drive.google.com/file/d/1Amq0DbPEbXg_ROiaz5QdIHPuE1kVAXKd/view?usp=drivesdk")</f>
        <v>https://drive.google.com/file/d/1Amq0DbPEbXg_ROiaz5QdIHPuE1kVAXKd/view?usp=drivesdk</v>
      </c>
      <c r="C1018" s="156" t="str">
        <f>IFERROR(__xludf.DUMMYFUNCTION("""COMPUTED_VALUE"""),"10.1016--j.infbeh.2008.04.004.pdf")</f>
        <v>10.1016--j.infbeh.2008.04.004.pdf</v>
      </c>
      <c r="D1018" s="156" t="str">
        <f>IFERROR(__xludf.DUMMYFUNCTION("""COMPUTED_VALUE"""),"application/pdf")</f>
        <v>application/pdf</v>
      </c>
    </row>
    <row r="1019">
      <c r="A1019" s="156" t="str">
        <f>IFERROR(__xludf.DUMMYFUNCTION("""COMPUTED_VALUE"""),"10.1080/02699930701541542")</f>
        <v>10.1080/02699930701541542</v>
      </c>
      <c r="B1019" s="677" t="str">
        <f>IFERROR(__xludf.DUMMYFUNCTION("""COMPUTED_VALUE"""),"https://drive.google.com/file/d/1KgiYpauF6pahonPzLyqq8JP29NqyrdWK/view?usp=drivesdk")</f>
        <v>https://drive.google.com/file/d/1KgiYpauF6pahonPzLyqq8JP29NqyrdWK/view?usp=drivesdk</v>
      </c>
      <c r="C1019" s="156" t="str">
        <f>IFERROR(__xludf.DUMMYFUNCTION("""COMPUTED_VALUE"""),"10.1080--02699930701541542.pdf")</f>
        <v>10.1080--02699930701541542.pdf</v>
      </c>
      <c r="D1019" s="156" t="str">
        <f>IFERROR(__xludf.DUMMYFUNCTION("""COMPUTED_VALUE"""),"application/pdf")</f>
        <v>application/pdf</v>
      </c>
    </row>
    <row r="1020">
      <c r="A1020" s="156" t="str">
        <f>IFERROR(__xludf.DUMMYFUNCTION("""COMPUTED_VALUE"""),"10.1037/a0026099")</f>
        <v>10.1037/a0026099</v>
      </c>
      <c r="B1020" s="677" t="str">
        <f>IFERROR(__xludf.DUMMYFUNCTION("""COMPUTED_VALUE"""),"https://drive.google.com/file/d/1RT5r2kB5DzfZk3U5OHnmlhZai4CIg7Pz/view?usp=drivesdk")</f>
        <v>https://drive.google.com/file/d/1RT5r2kB5DzfZk3U5OHnmlhZai4CIg7Pz/view?usp=drivesdk</v>
      </c>
      <c r="C1020" s="156" t="str">
        <f>IFERROR(__xludf.DUMMYFUNCTION("""COMPUTED_VALUE"""),"10.1037--a0026099.pdf")</f>
        <v>10.1037--a0026099.pdf</v>
      </c>
      <c r="D1020" s="156" t="str">
        <f>IFERROR(__xludf.DUMMYFUNCTION("""COMPUTED_VALUE"""),"application/pdf")</f>
        <v>application/pdf</v>
      </c>
    </row>
    <row r="1021">
      <c r="A1021" s="156" t="str">
        <f>IFERROR(__xludf.DUMMYFUNCTION("""COMPUTED_VALUE"""),"10.1080/00223891.2010.528483")</f>
        <v>10.1080/00223891.2010.528483</v>
      </c>
      <c r="B1021" s="677" t="str">
        <f>IFERROR(__xludf.DUMMYFUNCTION("""COMPUTED_VALUE"""),"https://drive.google.com/file/d/1rYNCRo-ZwvSOd5UEu0Krnh8FkNJXcQuF/view?usp=drivesdk")</f>
        <v>https://drive.google.com/file/d/1rYNCRo-ZwvSOd5UEu0Krnh8FkNJXcQuF/view?usp=drivesdk</v>
      </c>
      <c r="C1021" s="156" t="str">
        <f>IFERROR(__xludf.DUMMYFUNCTION("""COMPUTED_VALUE"""),"10.1080--00223891.2010.528483.pdf")</f>
        <v>10.1080--00223891.2010.528483.pdf</v>
      </c>
      <c r="D1021" s="156" t="str">
        <f>IFERROR(__xludf.DUMMYFUNCTION("""COMPUTED_VALUE"""),"application/pdf")</f>
        <v>application/pdf</v>
      </c>
    </row>
    <row r="1022">
      <c r="A1022" s="156" t="str">
        <f>IFERROR(__xludf.DUMMYFUNCTION("""COMPUTED_VALUE"""),"10.1371/journal.pone.0001295")</f>
        <v>10.1371/journal.pone.0001295</v>
      </c>
      <c r="B1022" s="677" t="str">
        <f>IFERROR(__xludf.DUMMYFUNCTION("""COMPUTED_VALUE"""),"https://drive.google.com/file/d/1M8UVsxR3jq5AzuD_vn-lzNb4Kp0RdPVc/view?usp=drivesdk")</f>
        <v>https://drive.google.com/file/d/1M8UVsxR3jq5AzuD_vn-lzNb4Kp0RdPVc/view?usp=drivesdk</v>
      </c>
      <c r="C1022" s="156" t="str">
        <f>IFERROR(__xludf.DUMMYFUNCTION("""COMPUTED_VALUE"""),"10.1371--journal.pone.0001295.pdf")</f>
        <v>10.1371--journal.pone.0001295.pdf</v>
      </c>
      <c r="D1022" s="156" t="str">
        <f>IFERROR(__xludf.DUMMYFUNCTION("""COMPUTED_VALUE"""),"application/pdf")</f>
        <v>application/pdf</v>
      </c>
    </row>
    <row r="1023">
      <c r="A1023" s="156" t="str">
        <f>IFERROR(__xludf.DUMMYFUNCTION("""COMPUTED_VALUE"""),"10.1016/j.actpsy.2019.04.006")</f>
        <v>10.1016/j.actpsy.2019.04.006</v>
      </c>
      <c r="B1023" s="677" t="str">
        <f>IFERROR(__xludf.DUMMYFUNCTION("""COMPUTED_VALUE"""),"https://drive.google.com/file/d/1RwkWgjf-DoSD-HZoZyd12J4vV3hARTsD/view?usp=drivesdk")</f>
        <v>https://drive.google.com/file/d/1RwkWgjf-DoSD-HZoZyd12J4vV3hARTsD/view?usp=drivesdk</v>
      </c>
      <c r="C1023" s="156" t="str">
        <f>IFERROR(__xludf.DUMMYFUNCTION("""COMPUTED_VALUE"""),"10.1016--j.actpsy.2019.04.006.pdf")</f>
        <v>10.1016--j.actpsy.2019.04.006.pdf</v>
      </c>
      <c r="D1023" s="156" t="str">
        <f>IFERROR(__xludf.DUMMYFUNCTION("""COMPUTED_VALUE"""),"application/pdf")</f>
        <v>application/pdf</v>
      </c>
    </row>
    <row r="1024">
      <c r="A1024" s="156" t="str">
        <f>IFERROR(__xludf.DUMMYFUNCTION("""COMPUTED_VALUE"""),"10.1353/mpq.2008.0005")</f>
        <v>10.1353/mpq.2008.0005</v>
      </c>
      <c r="B1024" s="677" t="str">
        <f>IFERROR(__xludf.DUMMYFUNCTION("""COMPUTED_VALUE"""),"https://drive.google.com/file/d/1Xd_wBIaQgTe2oxUzCPl6o84zZP50xJKX/view?usp=drivesdk")</f>
        <v>https://drive.google.com/file/d/1Xd_wBIaQgTe2oxUzCPl6o84zZP50xJKX/view?usp=drivesdk</v>
      </c>
      <c r="C1024" s="156" t="str">
        <f>IFERROR(__xludf.DUMMYFUNCTION("""COMPUTED_VALUE"""),"10.1353--mpq.2008.0005.pdf")</f>
        <v>10.1353--mpq.2008.0005.pdf</v>
      </c>
      <c r="D1024" s="156" t="str">
        <f>IFERROR(__xludf.DUMMYFUNCTION("""COMPUTED_VALUE"""),"application/pdf")</f>
        <v>application/pdf</v>
      </c>
    </row>
    <row r="1025">
      <c r="A1025" s="156" t="str">
        <f>IFERROR(__xludf.DUMMYFUNCTION("""COMPUTED_VALUE"""),"10.3758/s13415-016-0492-6")</f>
        <v>10.3758/s13415-016-0492-6</v>
      </c>
      <c r="B1025" s="677" t="str">
        <f>IFERROR(__xludf.DUMMYFUNCTION("""COMPUTED_VALUE"""),"https://drive.google.com/file/d/14kya-Z4L7YEIKEeaP4BLyVpWecgfa2AH/view?usp=drivesdk")</f>
        <v>https://drive.google.com/file/d/14kya-Z4L7YEIKEeaP4BLyVpWecgfa2AH/view?usp=drivesdk</v>
      </c>
      <c r="C1025" s="156" t="str">
        <f>IFERROR(__xludf.DUMMYFUNCTION("""COMPUTED_VALUE"""),"10.3758--s13415-016-0492-6.pdf")</f>
        <v>10.3758--s13415-016-0492-6.pdf</v>
      </c>
      <c r="D1025" s="156" t="str">
        <f>IFERROR(__xludf.DUMMYFUNCTION("""COMPUTED_VALUE"""),"application/pdf")</f>
        <v>application/pdf</v>
      </c>
    </row>
    <row r="1026">
      <c r="A1026" s="156" t="str">
        <f>IFERROR(__xludf.DUMMYFUNCTION("""COMPUTED_VALUE"""),"10.1891/0886-6708.26.6.703")</f>
        <v>10.1891/0886-6708.26.6.703</v>
      </c>
      <c r="B1026" s="677" t="str">
        <f>IFERROR(__xludf.DUMMYFUNCTION("""COMPUTED_VALUE"""),"https://drive.google.com/file/d/1C8zZ6TuGxCbTpecEm81GhxukgWVAQhWN/view?usp=drivesdk")</f>
        <v>https://drive.google.com/file/d/1C8zZ6TuGxCbTpecEm81GhxukgWVAQhWN/view?usp=drivesdk</v>
      </c>
      <c r="C1026" s="156" t="str">
        <f>IFERROR(__xludf.DUMMYFUNCTION("""COMPUTED_VALUE"""),"10.1891--0886-6708.26.6.703.pdf")</f>
        <v>10.1891--0886-6708.26.6.703.pdf</v>
      </c>
      <c r="D1026" s="156" t="str">
        <f>IFERROR(__xludf.DUMMYFUNCTION("""COMPUTED_VALUE"""),"application/pdf")</f>
        <v>application/pdf</v>
      </c>
    </row>
    <row r="1027">
      <c r="A1027" s="156" t="str">
        <f>IFERROR(__xludf.DUMMYFUNCTION("""COMPUTED_VALUE"""),"10.1016/j.jesp.2017.02.005")</f>
        <v>10.1016/j.jesp.2017.02.005</v>
      </c>
      <c r="B1027" s="677" t="str">
        <f>IFERROR(__xludf.DUMMYFUNCTION("""COMPUTED_VALUE"""),"https://drive.google.com/file/d/1LHcEpq_EhwnoPUoqWbj3eqbIn5Z7TG1E/view?usp=drivesdk")</f>
        <v>https://drive.google.com/file/d/1LHcEpq_EhwnoPUoqWbj3eqbIn5Z7TG1E/view?usp=drivesdk</v>
      </c>
      <c r="C1027" s="156" t="str">
        <f>IFERROR(__xludf.DUMMYFUNCTION("""COMPUTED_VALUE"""),"10.1016--j.jesp.2017.02.005.pdf")</f>
        <v>10.1016--j.jesp.2017.02.005.pdf</v>
      </c>
      <c r="D1027" s="156" t="str">
        <f>IFERROR(__xludf.DUMMYFUNCTION("""COMPUTED_VALUE"""),"application/pdf")</f>
        <v>application/pdf</v>
      </c>
    </row>
    <row r="1028">
      <c r="A1028" s="156" t="str">
        <f>IFERROR(__xludf.DUMMYFUNCTION("""COMPUTED_VALUE"""),"10.1002/acp.2874")</f>
        <v>10.1002/acp.2874</v>
      </c>
      <c r="B1028" s="677" t="str">
        <f>IFERROR(__xludf.DUMMYFUNCTION("""COMPUTED_VALUE"""),"https://drive.google.com/file/d/13cernki-w4HxOqbSrQnezFigASKGjmjf/view?usp=drivesdk")</f>
        <v>https://drive.google.com/file/d/13cernki-w4HxOqbSrQnezFigASKGjmjf/view?usp=drivesdk</v>
      </c>
      <c r="C1028" s="156" t="str">
        <f>IFERROR(__xludf.DUMMYFUNCTION("""COMPUTED_VALUE"""),"10.1002--acp.2874.pdf")</f>
        <v>10.1002--acp.2874.pdf</v>
      </c>
      <c r="D1028" s="156" t="str">
        <f>IFERROR(__xludf.DUMMYFUNCTION("""COMPUTED_VALUE"""),"application/pdf")</f>
        <v>application/pdf</v>
      </c>
    </row>
    <row r="1029">
      <c r="A1029" s="156" t="str">
        <f>IFERROR(__xludf.DUMMYFUNCTION("""COMPUTED_VALUE"""),"10.1177/1948550611410890")</f>
        <v>10.1177/1948550611410890</v>
      </c>
      <c r="B1029" s="677" t="str">
        <f>IFERROR(__xludf.DUMMYFUNCTION("""COMPUTED_VALUE"""),"https://drive.google.com/file/d/1OUQAxojwX1c54i8Xf-JG5e-R-UwagkwQ/view?usp=drivesdk")</f>
        <v>https://drive.google.com/file/d/1OUQAxojwX1c54i8Xf-JG5e-R-UwagkwQ/view?usp=drivesdk</v>
      </c>
      <c r="C1029" s="156" t="str">
        <f>IFERROR(__xludf.DUMMYFUNCTION("""COMPUTED_VALUE"""),"10.1177--1948550611410890.pdf")</f>
        <v>10.1177--1948550611410890.pdf</v>
      </c>
      <c r="D1029" s="156" t="str">
        <f>IFERROR(__xludf.DUMMYFUNCTION("""COMPUTED_VALUE"""),"application/pdf")</f>
        <v>application/pdf</v>
      </c>
    </row>
    <row r="1030">
      <c r="A1030" s="156" t="str">
        <f>IFERROR(__xludf.DUMMYFUNCTION("""COMPUTED_VALUE"""),"10.1037/0021-9010.86.6.1280")</f>
        <v>10.1037/0021-9010.86.6.1280</v>
      </c>
      <c r="B1030" s="677" t="str">
        <f>IFERROR(__xludf.DUMMYFUNCTION("""COMPUTED_VALUE"""),"https://drive.google.com/file/d/1uryryHboJTj07Vv5ZtkqCjbX7CKzuq8s/view?usp=drivesdk")</f>
        <v>https://drive.google.com/file/d/1uryryHboJTj07Vv5ZtkqCjbX7CKzuq8s/view?usp=drivesdk</v>
      </c>
      <c r="C1030" s="156" t="str">
        <f>IFERROR(__xludf.DUMMYFUNCTION("""COMPUTED_VALUE"""),"10.1037--0021-9010.86.6.1280.pdf")</f>
        <v>10.1037--0021-9010.86.6.1280.pdf</v>
      </c>
      <c r="D1030" s="156" t="str">
        <f>IFERROR(__xludf.DUMMYFUNCTION("""COMPUTED_VALUE"""),"application/pdf")</f>
        <v>application/pdf</v>
      </c>
    </row>
    <row r="1031">
      <c r="A1031" s="156" t="str">
        <f>IFERROR(__xludf.DUMMYFUNCTION("""COMPUTED_VALUE"""),"10.1093/her/cyl160")</f>
        <v>10.1093/her/cyl160</v>
      </c>
      <c r="B1031" s="677" t="str">
        <f>IFERROR(__xludf.DUMMYFUNCTION("""COMPUTED_VALUE"""),"https://drive.google.com/file/d/1yNtIFE6LZsvr0HS6BJvescbVrw2Cqi6l/view?usp=drivesdk")</f>
        <v>https://drive.google.com/file/d/1yNtIFE6LZsvr0HS6BJvescbVrw2Cqi6l/view?usp=drivesdk</v>
      </c>
      <c r="C1031" s="156" t="str">
        <f>IFERROR(__xludf.DUMMYFUNCTION("""COMPUTED_VALUE"""),"10.1093--her--cyl160.pdf")</f>
        <v>10.1093--her--cyl160.pdf</v>
      </c>
      <c r="D1031" s="156" t="str">
        <f>IFERROR(__xludf.DUMMYFUNCTION("""COMPUTED_VALUE"""),"application/pdf")</f>
        <v>application/pdf</v>
      </c>
    </row>
    <row r="1032">
      <c r="A1032" s="156" t="str">
        <f>IFERROR(__xludf.DUMMYFUNCTION("""COMPUTED_VALUE"""),"10.1016/j.jesp.2008.03.012")</f>
        <v>10.1016/j.jesp.2008.03.012</v>
      </c>
      <c r="B1032" s="677" t="str">
        <f>IFERROR(__xludf.DUMMYFUNCTION("""COMPUTED_VALUE"""),"https://drive.google.com/file/d/1CMk60qvEA6Ld_Nc7whNmqy7G48xeDJsh/view?usp=drivesdk")</f>
        <v>https://drive.google.com/file/d/1CMk60qvEA6Ld_Nc7whNmqy7G48xeDJsh/view?usp=drivesdk</v>
      </c>
      <c r="C1032" s="156" t="str">
        <f>IFERROR(__xludf.DUMMYFUNCTION("""COMPUTED_VALUE"""),"10.1016--j.jesp.2008.03.012.pdf")</f>
        <v>10.1016--j.jesp.2008.03.012.pdf</v>
      </c>
      <c r="D1032" s="156" t="str">
        <f>IFERROR(__xludf.DUMMYFUNCTION("""COMPUTED_VALUE"""),"application/pdf")</f>
        <v>application/pdf</v>
      </c>
    </row>
    <row r="1033">
      <c r="A1033" s="156" t="str">
        <f>IFERROR(__xludf.DUMMYFUNCTION("""COMPUTED_VALUE"""),"10.1016/j.paid.2012.04.036")</f>
        <v>10.1016/j.paid.2012.04.036</v>
      </c>
      <c r="B1033" s="677" t="str">
        <f>IFERROR(__xludf.DUMMYFUNCTION("""COMPUTED_VALUE"""),"https://drive.google.com/file/d/1F3qjPt2BJqhonx8CV54hT5CGCc6OKwjP/view?usp=drivesdk")</f>
        <v>https://drive.google.com/file/d/1F3qjPt2BJqhonx8CV54hT5CGCc6OKwjP/view?usp=drivesdk</v>
      </c>
      <c r="C1033" s="156" t="str">
        <f>IFERROR(__xludf.DUMMYFUNCTION("""COMPUTED_VALUE"""),"10.1016--j.paid.2012.04.036.pdf")</f>
        <v>10.1016--j.paid.2012.04.036.pdf</v>
      </c>
      <c r="D1033" s="156" t="str">
        <f>IFERROR(__xludf.DUMMYFUNCTION("""COMPUTED_VALUE"""),"application/pdf")</f>
        <v>application/pdf</v>
      </c>
    </row>
    <row r="1034">
      <c r="A1034" s="156" t="str">
        <f>IFERROR(__xludf.DUMMYFUNCTION("""COMPUTED_VALUE"""),"10.1037/a0019337")</f>
        <v>10.1037/a0019337</v>
      </c>
      <c r="B1034" s="677" t="str">
        <f>IFERROR(__xludf.DUMMYFUNCTION("""COMPUTED_VALUE"""),"https://drive.google.com/file/d/1T7RX4ua13jzIUjcNdvPnw9g1mk0x1-0w/view?usp=drivesdk")</f>
        <v>https://drive.google.com/file/d/1T7RX4ua13jzIUjcNdvPnw9g1mk0x1-0w/view?usp=drivesdk</v>
      </c>
      <c r="C1034" s="156" t="str">
        <f>IFERROR(__xludf.DUMMYFUNCTION("""COMPUTED_VALUE"""),"10.1037--a0019337.pdf")</f>
        <v>10.1037--a0019337.pdf</v>
      </c>
      <c r="D1034" s="156" t="str">
        <f>IFERROR(__xludf.DUMMYFUNCTION("""COMPUTED_VALUE"""),"application/pdf")</f>
        <v>application/pdf</v>
      </c>
    </row>
    <row r="1035">
      <c r="A1035" s="156" t="str">
        <f>IFERROR(__xludf.DUMMYFUNCTION("""COMPUTED_VALUE"""),"10.1037/a0034252")</f>
        <v>10.1037/a0034252</v>
      </c>
      <c r="B1035" s="677" t="str">
        <f>IFERROR(__xludf.DUMMYFUNCTION("""COMPUTED_VALUE"""),"https://drive.google.com/file/d/16dqLrRlTUnMDOhUpWnK1bJtZoMd-smSS/view?usp=drivesdk")</f>
        <v>https://drive.google.com/file/d/16dqLrRlTUnMDOhUpWnK1bJtZoMd-smSS/view?usp=drivesdk</v>
      </c>
      <c r="C1035" s="156" t="str">
        <f>IFERROR(__xludf.DUMMYFUNCTION("""COMPUTED_VALUE"""),"10.1037--a0034252.pdf")</f>
        <v>10.1037--a0034252.pdf</v>
      </c>
      <c r="D1035" s="156" t="str">
        <f>IFERROR(__xludf.DUMMYFUNCTION("""COMPUTED_VALUE"""),"application/pdf")</f>
        <v>application/pdf</v>
      </c>
    </row>
    <row r="1036">
      <c r="A1036" s="156" t="str">
        <f>IFERROR(__xludf.DUMMYFUNCTION("""COMPUTED_VALUE"""),"10.1111/1467-9280.00411")</f>
        <v>10.1111/1467-9280.00411</v>
      </c>
      <c r="B1036" s="677" t="str">
        <f>IFERROR(__xludf.DUMMYFUNCTION("""COMPUTED_VALUE"""),"https://drive.google.com/file/d/1NYMFiONwB8KS4xkqHLur5HoiQ_OK2Nnx/view?usp=drivesdk")</f>
        <v>https://drive.google.com/file/d/1NYMFiONwB8KS4xkqHLur5HoiQ_OK2Nnx/view?usp=drivesdk</v>
      </c>
      <c r="C1036" s="156" t="str">
        <f>IFERROR(__xludf.DUMMYFUNCTION("""COMPUTED_VALUE"""),"10.1111--1467-9280.00411.pdf")</f>
        <v>10.1111--1467-9280.00411.pdf</v>
      </c>
      <c r="D1036" s="156" t="str">
        <f>IFERROR(__xludf.DUMMYFUNCTION("""COMPUTED_VALUE"""),"application/pdf")</f>
        <v>application/pdf</v>
      </c>
    </row>
    <row r="1037">
      <c r="A1037" s="156" t="str">
        <f>IFERROR(__xludf.DUMMYFUNCTION("""COMPUTED_VALUE"""),"10.2466/pms.109.2.577-580")</f>
        <v>10.2466/pms.109.2.577-580</v>
      </c>
      <c r="B1037" s="677" t="str">
        <f>IFERROR(__xludf.DUMMYFUNCTION("""COMPUTED_VALUE"""),"https://drive.google.com/file/d/1ukcMhpTVncdvnh_xTzyAm8kLCEeBcdPq/view?usp=drivesdk")</f>
        <v>https://drive.google.com/file/d/1ukcMhpTVncdvnh_xTzyAm8kLCEeBcdPq/view?usp=drivesdk</v>
      </c>
      <c r="C1037" s="156" t="str">
        <f>IFERROR(__xludf.DUMMYFUNCTION("""COMPUTED_VALUE"""),"10.2466--pms.109.2.577-580.pdf")</f>
        <v>10.2466--pms.109.2.577-580.pdf</v>
      </c>
      <c r="D1037" s="156" t="str">
        <f>IFERROR(__xludf.DUMMYFUNCTION("""COMPUTED_VALUE"""),"application/pdf")</f>
        <v>application/pdf</v>
      </c>
    </row>
    <row r="1038">
      <c r="A1038" s="156" t="str">
        <f>IFERROR(__xludf.DUMMYFUNCTION("""COMPUTED_VALUE"""),"10.1177/1948550617751583")</f>
        <v>10.1177/1948550617751583</v>
      </c>
      <c r="B1038" s="677" t="str">
        <f>IFERROR(__xludf.DUMMYFUNCTION("""COMPUTED_VALUE"""),"https://drive.google.com/file/d/1QqsZUjbe7ojmX7FiAvHh1tFZVzadHEr4/view?usp=drivesdk")</f>
        <v>https://drive.google.com/file/d/1QqsZUjbe7ojmX7FiAvHh1tFZVzadHEr4/view?usp=drivesdk</v>
      </c>
      <c r="C1038" s="156" t="str">
        <f>IFERROR(__xludf.DUMMYFUNCTION("""COMPUTED_VALUE"""),"10.1177--1948550617751583.pdf")</f>
        <v>10.1177--1948550617751583.pdf</v>
      </c>
      <c r="D1038" s="156" t="str">
        <f>IFERROR(__xludf.DUMMYFUNCTION("""COMPUTED_VALUE"""),"application/pdf")</f>
        <v>application/pdf</v>
      </c>
    </row>
    <row r="1039">
      <c r="A1039" s="156" t="str">
        <f>IFERROR(__xludf.DUMMYFUNCTION("""COMPUTED_VALUE"""),"10.1111/j.1475-6811.2005.00126.x")</f>
        <v>10.1111/j.1475-6811.2005.00126.x</v>
      </c>
      <c r="B1039" s="677" t="str">
        <f>IFERROR(__xludf.DUMMYFUNCTION("""COMPUTED_VALUE"""),"https://drive.google.com/file/d/1c-gDl6O5ZW0j0e9UJ-3VaFyQslJA20R2/view?usp=drivesdk")</f>
        <v>https://drive.google.com/file/d/1c-gDl6O5ZW0j0e9UJ-3VaFyQslJA20R2/view?usp=drivesdk</v>
      </c>
      <c r="C1039" s="156" t="str">
        <f>IFERROR(__xludf.DUMMYFUNCTION("""COMPUTED_VALUE"""),"10.1111--j.1475-6811.2005.00126.x.pdf")</f>
        <v>10.1111--j.1475-6811.2005.00126.x.pdf</v>
      </c>
      <c r="D1039" s="156" t="str">
        <f>IFERROR(__xludf.DUMMYFUNCTION("""COMPUTED_VALUE"""),"application/pdf")</f>
        <v>application/pdf</v>
      </c>
    </row>
    <row r="1040">
      <c r="A1040" s="156" t="str">
        <f>IFERROR(__xludf.DUMMYFUNCTION("""COMPUTED_VALUE"""),"10.1300/j077v12n03_03")</f>
        <v>10.1300/j077v12n03_03</v>
      </c>
      <c r="B1040" s="677" t="str">
        <f>IFERROR(__xludf.DUMMYFUNCTION("""COMPUTED_VALUE"""),"https://drive.google.com/file/d/1xdTxmJEwjz5ttfDJoCwjvWfHsl5g3jP6/view?usp=drivesdk")</f>
        <v>https://drive.google.com/file/d/1xdTxmJEwjz5ttfDJoCwjvWfHsl5g3jP6/view?usp=drivesdk</v>
      </c>
      <c r="C1040" s="156" t="str">
        <f>IFERROR(__xludf.DUMMYFUNCTION("""COMPUTED_VALUE"""),"10.1300--J077V12N03_03.pdf")</f>
        <v>10.1300--J077V12N03_03.pdf</v>
      </c>
      <c r="D1040" s="156" t="str">
        <f>IFERROR(__xludf.DUMMYFUNCTION("""COMPUTED_VALUE"""),"application/pdf")</f>
        <v>application/pdf</v>
      </c>
    </row>
    <row r="1041">
      <c r="A1041" s="156" t="str">
        <f>IFERROR(__xludf.DUMMYFUNCTION("""COMPUTED_VALUE"""),"10.1111/j.1467-9280.2009.02447.x")</f>
        <v>10.1111/j.1467-9280.2009.02447.x</v>
      </c>
      <c r="B1041" s="677" t="str">
        <f>IFERROR(__xludf.DUMMYFUNCTION("""COMPUTED_VALUE"""),"https://drive.google.com/file/d/1JZdybc90Q7eGpP_Mc7E1LX2-th3aGKSW/view?usp=drivesdk")</f>
        <v>https://drive.google.com/file/d/1JZdybc90Q7eGpP_Mc7E1LX2-th3aGKSW/view?usp=drivesdk</v>
      </c>
      <c r="C1041" s="156" t="str">
        <f>IFERROR(__xludf.DUMMYFUNCTION("""COMPUTED_VALUE"""),"10.1111--j.1467-9280.2009.02447.x.pdf")</f>
        <v>10.1111--j.1467-9280.2009.02447.x.pdf</v>
      </c>
      <c r="D1041" s="156" t="str">
        <f>IFERROR(__xludf.DUMMYFUNCTION("""COMPUTED_VALUE"""),"application/pdf")</f>
        <v>application/pdf</v>
      </c>
    </row>
    <row r="1042">
      <c r="A1042" s="156" t="str">
        <f>IFERROR(__xludf.DUMMYFUNCTION("""COMPUTED_VALUE"""),"10.1111/j.1467-7687.2009.00807.x")</f>
        <v>10.1111/j.1467-7687.2009.00807.x</v>
      </c>
      <c r="B1042" s="677" t="str">
        <f>IFERROR(__xludf.DUMMYFUNCTION("""COMPUTED_VALUE"""),"https://drive.google.com/file/d/1jtVZv1IA3xs7rfJ1gJSADkOpH1Na53Sg/view?usp=drivesdk")</f>
        <v>https://drive.google.com/file/d/1jtVZv1IA3xs7rfJ1gJSADkOpH1Na53Sg/view?usp=drivesdk</v>
      </c>
      <c r="C1042" s="156" t="str">
        <f>IFERROR(__xludf.DUMMYFUNCTION("""COMPUTED_VALUE"""),"10.1111--j.1467-7687.2009.00807.x.pdf")</f>
        <v>10.1111--j.1467-7687.2009.00807.x.pdf</v>
      </c>
      <c r="D1042" s="156" t="str">
        <f>IFERROR(__xludf.DUMMYFUNCTION("""COMPUTED_VALUE"""),"application/pdf")</f>
        <v>application/pdf</v>
      </c>
    </row>
    <row r="1043">
      <c r="A1043" s="156" t="str">
        <f>IFERROR(__xludf.DUMMYFUNCTION("""COMPUTED_VALUE"""),"10.1037/a0019219")</f>
        <v>10.1037/a0019219</v>
      </c>
      <c r="B1043" s="677" t="str">
        <f>IFERROR(__xludf.DUMMYFUNCTION("""COMPUTED_VALUE"""),"https://drive.google.com/file/d/19g6pZT9kaxiPgPiLGlrOivbLQ9y5uZY9/view?usp=drivesdk")</f>
        <v>https://drive.google.com/file/d/19g6pZT9kaxiPgPiLGlrOivbLQ9y5uZY9/view?usp=drivesdk</v>
      </c>
      <c r="C1043" s="156" t="str">
        <f>IFERROR(__xludf.DUMMYFUNCTION("""COMPUTED_VALUE"""),"10.1037--a0019219.pdf")</f>
        <v>10.1037--a0019219.pdf</v>
      </c>
      <c r="D1043" s="156" t="str">
        <f>IFERROR(__xludf.DUMMYFUNCTION("""COMPUTED_VALUE"""),"application/pdf")</f>
        <v>application/pdf</v>
      </c>
    </row>
    <row r="1044">
      <c r="A1044" s="156" t="str">
        <f>IFERROR(__xludf.DUMMYFUNCTION("""COMPUTED_VALUE"""),"10.1111/j.1467-6494.2011.00742.x")</f>
        <v>10.1111/j.1467-6494.2011.00742.x</v>
      </c>
      <c r="B1044" s="677" t="str">
        <f>IFERROR(__xludf.DUMMYFUNCTION("""COMPUTED_VALUE"""),"https://drive.google.com/file/d/1xMbKbQfdPqU0iS2wFaLptwiJCUUVT4xB/view?usp=drivesdk")</f>
        <v>https://drive.google.com/file/d/1xMbKbQfdPqU0iS2wFaLptwiJCUUVT4xB/view?usp=drivesdk</v>
      </c>
      <c r="C1044" s="156" t="str">
        <f>IFERROR(__xludf.DUMMYFUNCTION("""COMPUTED_VALUE"""),"10.1111--j.1467-6494.2011.00742.x.pdf")</f>
        <v>10.1111--j.1467-6494.2011.00742.x.pdf</v>
      </c>
      <c r="D1044" s="156" t="str">
        <f>IFERROR(__xludf.DUMMYFUNCTION("""COMPUTED_VALUE"""),"application/pdf")</f>
        <v>application/pdf</v>
      </c>
    </row>
    <row r="1045">
      <c r="A1045" s="156" t="str">
        <f>IFERROR(__xludf.DUMMYFUNCTION("""COMPUTED_VALUE"""),"10.1037/0022-0663.72.1.21")</f>
        <v>10.1037/0022-0663.72.1.21</v>
      </c>
      <c r="B1045" s="677" t="str">
        <f>IFERROR(__xludf.DUMMYFUNCTION("""COMPUTED_VALUE"""),"https://drive.google.com/file/d/12weF0EhaOitLk2jX9Wqhq2KT8gkO8Ino/view?usp=drivesdk")</f>
        <v>https://drive.google.com/file/d/12weF0EhaOitLk2jX9Wqhq2KT8gkO8Ino/view?usp=drivesdk</v>
      </c>
      <c r="C1045" s="156" t="str">
        <f>IFERROR(__xludf.DUMMYFUNCTION("""COMPUTED_VALUE"""),"10.1037--0022-0663.72.1.21.pdf")</f>
        <v>10.1037--0022-0663.72.1.21.pdf</v>
      </c>
      <c r="D1045" s="156" t="str">
        <f>IFERROR(__xludf.DUMMYFUNCTION("""COMPUTED_VALUE"""),"application/pdf")</f>
        <v>application/pdf</v>
      </c>
    </row>
    <row r="1046">
      <c r="A1046" s="156" t="str">
        <f>IFERROR(__xludf.DUMMYFUNCTION("""COMPUTED_VALUE"""),"10.1007/bf03395528")</f>
        <v>10.1007/bf03395528</v>
      </c>
      <c r="B1046" s="677" t="str">
        <f>IFERROR(__xludf.DUMMYFUNCTION("""COMPUTED_VALUE"""),"https://drive.google.com/file/d/1AzlV-ZL-HIiPhvSDQhHgQ1szgl83AKcE/view?usp=drivesdk")</f>
        <v>https://drive.google.com/file/d/1AzlV-ZL-HIiPhvSDQhHgQ1szgl83AKcE/view?usp=drivesdk</v>
      </c>
      <c r="C1046" s="156" t="str">
        <f>IFERROR(__xludf.DUMMYFUNCTION("""COMPUTED_VALUE"""),"10.1007--BF03395528.pdf")</f>
        <v>10.1007--BF03395528.pdf</v>
      </c>
      <c r="D1046" s="156" t="str">
        <f>IFERROR(__xludf.DUMMYFUNCTION("""COMPUTED_VALUE"""),"application/pdf")</f>
        <v>application/pdf</v>
      </c>
    </row>
    <row r="1047">
      <c r="A1047" s="156" t="str">
        <f>IFERROR(__xludf.DUMMYFUNCTION("""COMPUTED_VALUE"""),"10.1016/j.janxdis.2014.03.005")</f>
        <v>10.1016/j.janxdis.2014.03.005</v>
      </c>
      <c r="B1047" s="677" t="str">
        <f>IFERROR(__xludf.DUMMYFUNCTION("""COMPUTED_VALUE"""),"https://drive.google.com/file/d/1Fgr9JqHP_7TUbdWUGqER3XZBhzoV3lME/view?usp=drivesdk")</f>
        <v>https://drive.google.com/file/d/1Fgr9JqHP_7TUbdWUGqER3XZBhzoV3lME/view?usp=drivesdk</v>
      </c>
      <c r="C1047" s="156" t="str">
        <f>IFERROR(__xludf.DUMMYFUNCTION("""COMPUTED_VALUE"""),"10.1016--j.janxdis.2014.03.005.pdf")</f>
        <v>10.1016--j.janxdis.2014.03.005.pdf</v>
      </c>
      <c r="D1047" s="156" t="str">
        <f>IFERROR(__xludf.DUMMYFUNCTION("""COMPUTED_VALUE"""),"application/pdf")</f>
        <v>application/pdf</v>
      </c>
    </row>
    <row r="1048">
      <c r="A1048" s="156" t="str">
        <f>IFERROR(__xludf.DUMMYFUNCTION("""COMPUTED_VALUE"""),"10.1007/s40617-018-0210-7")</f>
        <v>10.1007/s40617-018-0210-7</v>
      </c>
      <c r="B1048" s="677" t="str">
        <f>IFERROR(__xludf.DUMMYFUNCTION("""COMPUTED_VALUE"""),"https://drive.google.com/file/d/1y8T5zhW_IOSBMzN9nvYSYbgcIcn96YYZ/view?usp=drivesdk")</f>
        <v>https://drive.google.com/file/d/1y8T5zhW_IOSBMzN9nvYSYbgcIcn96YYZ/view?usp=drivesdk</v>
      </c>
      <c r="C1048" s="156" t="str">
        <f>IFERROR(__xludf.DUMMYFUNCTION("""COMPUTED_VALUE"""),"10.1007--s40617-018-0210-7.pdf")</f>
        <v>10.1007--s40617-018-0210-7.pdf</v>
      </c>
      <c r="D1048" s="156" t="str">
        <f>IFERROR(__xludf.DUMMYFUNCTION("""COMPUTED_VALUE"""),"application/pdf")</f>
        <v>application/pdf</v>
      </c>
    </row>
    <row r="1049">
      <c r="A1049" s="156" t="str">
        <f>IFERROR(__xludf.DUMMYFUNCTION("""COMPUTED_VALUE"""),"10.1037/a0036477")</f>
        <v>10.1037/a0036477</v>
      </c>
      <c r="B1049" s="677" t="str">
        <f>IFERROR(__xludf.DUMMYFUNCTION("""COMPUTED_VALUE"""),"https://drive.google.com/file/d/1Qaij8kztnVCohlJltt2zu7U-21ZW-Ec8/view?usp=drivesdk")</f>
        <v>https://drive.google.com/file/d/1Qaij8kztnVCohlJltt2zu7U-21ZW-Ec8/view?usp=drivesdk</v>
      </c>
      <c r="C1049" s="156" t="str">
        <f>IFERROR(__xludf.DUMMYFUNCTION("""COMPUTED_VALUE"""),"10.1037--a0036477.pdf")</f>
        <v>10.1037--a0036477.pdf</v>
      </c>
      <c r="D1049" s="156" t="str">
        <f>IFERROR(__xludf.DUMMYFUNCTION("""COMPUTED_VALUE"""),"application/pdf")</f>
        <v>application/pdf</v>
      </c>
    </row>
    <row r="1050">
      <c r="A1050" s="156" t="str">
        <f>IFERROR(__xludf.DUMMYFUNCTION("""COMPUTED_VALUE"""),"10.1177/1073191115609996")</f>
        <v>10.1177/1073191115609996</v>
      </c>
      <c r="B1050" s="677" t="str">
        <f>IFERROR(__xludf.DUMMYFUNCTION("""COMPUTED_VALUE"""),"https://drive.google.com/file/d/1MwQ4HjBKMAsmoWQyYi-2t5QAgR1vcgEw/view?usp=drivesdk")</f>
        <v>https://drive.google.com/file/d/1MwQ4HjBKMAsmoWQyYi-2t5QAgR1vcgEw/view?usp=drivesdk</v>
      </c>
      <c r="C1050" s="156" t="str">
        <f>IFERROR(__xludf.DUMMYFUNCTION("""COMPUTED_VALUE"""),"10.1177--1073191115609996.pdf")</f>
        <v>10.1177--1073191115609996.pdf</v>
      </c>
      <c r="D1050" s="156" t="str">
        <f>IFERROR(__xludf.DUMMYFUNCTION("""COMPUTED_VALUE"""),"application/pdf")</f>
        <v>application/pdf</v>
      </c>
    </row>
    <row r="1051">
      <c r="A1051" s="156" t="str">
        <f>IFERROR(__xludf.DUMMYFUNCTION("""COMPUTED_VALUE"""),"10.1093/scan/nsu007")</f>
        <v>10.1093/scan/nsu007</v>
      </c>
      <c r="B1051" s="677" t="str">
        <f>IFERROR(__xludf.DUMMYFUNCTION("""COMPUTED_VALUE"""),"https://drive.google.com/file/d/1SmGCndifwHBNTg0xWJD6VgLZPsUl5-GC/view?usp=drivesdk")</f>
        <v>https://drive.google.com/file/d/1SmGCndifwHBNTg0xWJD6VgLZPsUl5-GC/view?usp=drivesdk</v>
      </c>
      <c r="C1051" s="156" t="str">
        <f>IFERROR(__xludf.DUMMYFUNCTION("""COMPUTED_VALUE"""),"10.1093--scan--nsu007.pdf")</f>
        <v>10.1093--scan--nsu007.pdf</v>
      </c>
      <c r="D1051" s="156" t="str">
        <f>IFERROR(__xludf.DUMMYFUNCTION("""COMPUTED_VALUE"""),"application/pdf")</f>
        <v>application/pdf</v>
      </c>
    </row>
    <row r="1052">
      <c r="A1052" s="156" t="str">
        <f>IFERROR(__xludf.DUMMYFUNCTION("""COMPUTED_VALUE"""),"10.1016/j.jesp.2005.10.003")</f>
        <v>10.1016/j.jesp.2005.10.003</v>
      </c>
      <c r="B1052" s="677" t="str">
        <f>IFERROR(__xludf.DUMMYFUNCTION("""COMPUTED_VALUE"""),"https://drive.google.com/file/d/1ZKZyLn5uW6CoYELDHd11gKh5Sn3YZYr4/view?usp=drivesdk")</f>
        <v>https://drive.google.com/file/d/1ZKZyLn5uW6CoYELDHd11gKh5Sn3YZYr4/view?usp=drivesdk</v>
      </c>
      <c r="C1052" s="156" t="str">
        <f>IFERROR(__xludf.DUMMYFUNCTION("""COMPUTED_VALUE"""),"10.1016--j.jesp.2005.10.003.pdf")</f>
        <v>10.1016--j.jesp.2005.10.003.pdf</v>
      </c>
      <c r="D1052" s="156" t="str">
        <f>IFERROR(__xludf.DUMMYFUNCTION("""COMPUTED_VALUE"""),"application/pdf")</f>
        <v>application/pdf</v>
      </c>
    </row>
    <row r="1053">
      <c r="A1053" s="156" t="str">
        <f>IFERROR(__xludf.DUMMYFUNCTION("""COMPUTED_VALUE"""),"10.1371/journal.pone.0172792")</f>
        <v>10.1371/journal.pone.0172792</v>
      </c>
      <c r="B1053" s="677" t="str">
        <f>IFERROR(__xludf.DUMMYFUNCTION("""COMPUTED_VALUE"""),"https://drive.google.com/file/d/1ar2F98iBLtf-JFVJPBm4fuWn29s_pcVP/view?usp=drivesdk")</f>
        <v>https://drive.google.com/file/d/1ar2F98iBLtf-JFVJPBm4fuWn29s_pcVP/view?usp=drivesdk</v>
      </c>
      <c r="C1053" s="156" t="str">
        <f>IFERROR(__xludf.DUMMYFUNCTION("""COMPUTED_VALUE"""),"10.1371--journal.pone.0172792.pdf")</f>
        <v>10.1371--journal.pone.0172792.pdf</v>
      </c>
      <c r="D1053" s="156" t="str">
        <f>IFERROR(__xludf.DUMMYFUNCTION("""COMPUTED_VALUE"""),"application/pdf")</f>
        <v>application/pdf</v>
      </c>
    </row>
    <row r="1054">
      <c r="A1054" s="156" t="str">
        <f>IFERROR(__xludf.DUMMYFUNCTION("""COMPUTED_VALUE"""),"10.1111/j.1467-7687.2011.01098.x")</f>
        <v>10.1111/j.1467-7687.2011.01098.x</v>
      </c>
      <c r="B1054" s="677" t="str">
        <f>IFERROR(__xludf.DUMMYFUNCTION("""COMPUTED_VALUE"""),"https://drive.google.com/file/d/1RzS1OyKSTfThCBgJp5wJu8rDLSNxvAtP/view?usp=drivesdk")</f>
        <v>https://drive.google.com/file/d/1RzS1OyKSTfThCBgJp5wJu8rDLSNxvAtP/view?usp=drivesdk</v>
      </c>
      <c r="C1054" s="156" t="str">
        <f>IFERROR(__xludf.DUMMYFUNCTION("""COMPUTED_VALUE"""),"10.1111--j.1467-7687.2011.01098.x.pdf")</f>
        <v>10.1111--j.1467-7687.2011.01098.x.pdf</v>
      </c>
      <c r="D1054" s="156" t="str">
        <f>IFERROR(__xludf.DUMMYFUNCTION("""COMPUTED_VALUE"""),"application/pdf")</f>
        <v>application/pdf</v>
      </c>
    </row>
    <row r="1055">
      <c r="A1055" s="156" t="str">
        <f>IFERROR(__xludf.DUMMYFUNCTION("""COMPUTED_VALUE"""),"10.1002/ajmg.b.31028")</f>
        <v>10.1002/ajmg.b.31028</v>
      </c>
      <c r="B1055" s="677" t="str">
        <f>IFERROR(__xludf.DUMMYFUNCTION("""COMPUTED_VALUE"""),"https://drive.google.com/file/d/1qardjgWNIfATo9TExx6z8Cl-6w1MJ0zV/view?usp=drivesdk")</f>
        <v>https://drive.google.com/file/d/1qardjgWNIfATo9TExx6z8Cl-6w1MJ0zV/view?usp=drivesdk</v>
      </c>
      <c r="C1055" s="156" t="str">
        <f>IFERROR(__xludf.DUMMYFUNCTION("""COMPUTED_VALUE"""),"10.1002--ajmg.b.31028.pdf")</f>
        <v>10.1002--ajmg.b.31028.pdf</v>
      </c>
      <c r="D1055" s="156" t="str">
        <f>IFERROR(__xludf.DUMMYFUNCTION("""COMPUTED_VALUE"""),"application/pdf")</f>
        <v>application/pdf</v>
      </c>
    </row>
    <row r="1056">
      <c r="A1056" s="156" t="str">
        <f>IFERROR(__xludf.DUMMYFUNCTION("""COMPUTED_VALUE"""),"10.1073/pnas.0706273104")</f>
        <v>10.1073/pnas.0706273104</v>
      </c>
      <c r="B1056" s="677" t="str">
        <f>IFERROR(__xludf.DUMMYFUNCTION("""COMPUTED_VALUE"""),"https://drive.google.com/file/d/1eX88tgHDS5GmezfJFVpJbNeHaK94JCdm/view?usp=drivesdk")</f>
        <v>https://drive.google.com/file/d/1eX88tgHDS5GmezfJFVpJbNeHaK94JCdm/view?usp=drivesdk</v>
      </c>
      <c r="C1056" s="156" t="str">
        <f>IFERROR(__xludf.DUMMYFUNCTION("""COMPUTED_VALUE"""),"10.1073--pnas.0706273104.pdf")</f>
        <v>10.1073--pnas.0706273104.pdf</v>
      </c>
      <c r="D1056" s="156" t="str">
        <f>IFERROR(__xludf.DUMMYFUNCTION("""COMPUTED_VALUE"""),"application/pdf")</f>
        <v>application/pdf</v>
      </c>
    </row>
    <row r="1057">
      <c r="A1057" s="156" t="str">
        <f>IFERROR(__xludf.DUMMYFUNCTION("""COMPUTED_VALUE"""),"10.1016/j.nlm.2017.12.007")</f>
        <v>10.1016/j.nlm.2017.12.007</v>
      </c>
      <c r="B1057" s="677" t="str">
        <f>IFERROR(__xludf.DUMMYFUNCTION("""COMPUTED_VALUE"""),"https://drive.google.com/file/d/1pD7SRPlQIEKp35ByImnjxuZ0eZpx_nWr/view?usp=drivesdk")</f>
        <v>https://drive.google.com/file/d/1pD7SRPlQIEKp35ByImnjxuZ0eZpx_nWr/view?usp=drivesdk</v>
      </c>
      <c r="C1057" s="156" t="str">
        <f>IFERROR(__xludf.DUMMYFUNCTION("""COMPUTED_VALUE"""),"10.1016--j.nlm.2017.12.007.pdf")</f>
        <v>10.1016--j.nlm.2017.12.007.pdf</v>
      </c>
      <c r="D1057" s="156" t="str">
        <f>IFERROR(__xludf.DUMMYFUNCTION("""COMPUTED_VALUE"""),"application/pdf")</f>
        <v>application/pdf</v>
      </c>
    </row>
    <row r="1058">
      <c r="A1058" s="156" t="str">
        <f>IFERROR(__xludf.DUMMYFUNCTION("""COMPUTED_VALUE"""),"10.1016/j.brat.2015.01.001")</f>
        <v>10.1016/j.brat.2015.01.001</v>
      </c>
      <c r="B1058" s="677" t="str">
        <f>IFERROR(__xludf.DUMMYFUNCTION("""COMPUTED_VALUE"""),"https://drive.google.com/file/d/1z6ELpIML_iAO-oWGJcwZv48NcaICpQG4/view?usp=drivesdk")</f>
        <v>https://drive.google.com/file/d/1z6ELpIML_iAO-oWGJcwZv48NcaICpQG4/view?usp=drivesdk</v>
      </c>
      <c r="C1058" s="156" t="str">
        <f>IFERROR(__xludf.DUMMYFUNCTION("""COMPUTED_VALUE"""),"10.1016--j.brat.2015.01.001.pdf")</f>
        <v>10.1016--j.brat.2015.01.001.pdf</v>
      </c>
      <c r="D1058" s="156" t="str">
        <f>IFERROR(__xludf.DUMMYFUNCTION("""COMPUTED_VALUE"""),"application/pdf")</f>
        <v>application/pdf</v>
      </c>
    </row>
    <row r="1059">
      <c r="A1059" s="156" t="str">
        <f>IFERROR(__xludf.DUMMYFUNCTION("""COMPUTED_VALUE"""),"10.1177/1073191116686685")</f>
        <v>10.1177/1073191116686685</v>
      </c>
      <c r="B1059" s="677" t="str">
        <f>IFERROR(__xludf.DUMMYFUNCTION("""COMPUTED_VALUE"""),"https://drive.google.com/file/d/15F-RfkvkqMn0E0c709IKN80dAN2fRqHx/view?usp=drivesdk")</f>
        <v>https://drive.google.com/file/d/15F-RfkvkqMn0E0c709IKN80dAN2fRqHx/view?usp=drivesdk</v>
      </c>
      <c r="C1059" s="156" t="str">
        <f>IFERROR(__xludf.DUMMYFUNCTION("""COMPUTED_VALUE"""),"10.1177--1073191116686685.pdf")</f>
        <v>10.1177--1073191116686685.pdf</v>
      </c>
      <c r="D1059" s="156" t="str">
        <f>IFERROR(__xludf.DUMMYFUNCTION("""COMPUTED_VALUE"""),"application/pdf")</f>
        <v>application/pdf</v>
      </c>
    </row>
    <row r="1060">
      <c r="A1060" s="156" t="str">
        <f>IFERROR(__xludf.DUMMYFUNCTION("""COMPUTED_VALUE"""),"10.2224/sbp.1987.15.1.81")</f>
        <v>10.2224/sbp.1987.15.1.81</v>
      </c>
      <c r="B1060" s="677" t="str">
        <f>IFERROR(__xludf.DUMMYFUNCTION("""COMPUTED_VALUE"""),"https://drive.google.com/file/d/1jgj9lJ14X0DKbqnH68IADwQDBHmsItVZ/view?usp=drivesdk")</f>
        <v>https://drive.google.com/file/d/1jgj9lJ14X0DKbqnH68IADwQDBHmsItVZ/view?usp=drivesdk</v>
      </c>
      <c r="C1060" s="156" t="str">
        <f>IFERROR(__xludf.DUMMYFUNCTION("""COMPUTED_VALUE"""),"10.2224--sbp.1987.15.1.81.pdf")</f>
        <v>10.2224--sbp.1987.15.1.81.pdf</v>
      </c>
      <c r="D1060" s="156" t="str">
        <f>IFERROR(__xludf.DUMMYFUNCTION("""COMPUTED_VALUE"""),"application/pdf")</f>
        <v>application/pdf</v>
      </c>
    </row>
    <row r="1061">
      <c r="A1061" s="156" t="str">
        <f>IFERROR(__xludf.DUMMYFUNCTION("""COMPUTED_VALUE"""),"10.1016/j.neuroimage.2010.11.036")</f>
        <v>10.1016/j.neuroimage.2010.11.036</v>
      </c>
      <c r="B1061" s="677" t="str">
        <f>IFERROR(__xludf.DUMMYFUNCTION("""COMPUTED_VALUE"""),"https://drive.google.com/file/d/1zsR3h_cf78A7_eV_EOfnTXPskd55yEGk/view?usp=drivesdk")</f>
        <v>https://drive.google.com/file/d/1zsR3h_cf78A7_eV_EOfnTXPskd55yEGk/view?usp=drivesdk</v>
      </c>
      <c r="C1061" s="156" t="str">
        <f>IFERROR(__xludf.DUMMYFUNCTION("""COMPUTED_VALUE"""),"10.1016--j.neuroimage.2010.11.036.pdf")</f>
        <v>10.1016--j.neuroimage.2010.11.036.pdf</v>
      </c>
      <c r="D1061" s="156" t="str">
        <f>IFERROR(__xludf.DUMMYFUNCTION("""COMPUTED_VALUE"""),"application/pdf")</f>
        <v>application/pdf</v>
      </c>
    </row>
    <row r="1062">
      <c r="A1062" s="156" t="str">
        <f>IFERROR(__xludf.DUMMYFUNCTION("""COMPUTED_VALUE"""),"10.1016/0167-8760(95)00028-q")</f>
        <v>10.1016/0167-8760(95)00028-q</v>
      </c>
      <c r="B1062" s="677" t="str">
        <f>IFERROR(__xludf.DUMMYFUNCTION("""COMPUTED_VALUE"""),"https://drive.google.com/file/d/1zk8XV0oqsBL-XM_2SsNIQXgO5SAexD5u/view?usp=drivesdk")</f>
        <v>https://drive.google.com/file/d/1zk8XV0oqsBL-XM_2SsNIQXgO5SAexD5u/view?usp=drivesdk</v>
      </c>
      <c r="C1062" s="156" t="str">
        <f>IFERROR(__xludf.DUMMYFUNCTION("""COMPUTED_VALUE"""),"10.1016--0167-8760(95)00028-q.pdf")</f>
        <v>10.1016--0167-8760(95)00028-q.pdf</v>
      </c>
      <c r="D1062" s="156" t="str">
        <f>IFERROR(__xludf.DUMMYFUNCTION("""COMPUTED_VALUE"""),"application/pdf")</f>
        <v>application/pdf</v>
      </c>
    </row>
    <row r="1063">
      <c r="A1063" s="156" t="str">
        <f>IFERROR(__xludf.DUMMYFUNCTION("""COMPUTED_VALUE"""),"10.1016/j.bodyim.2015.04.007")</f>
        <v>10.1016/j.bodyim.2015.04.007</v>
      </c>
      <c r="B1063" s="677" t="str">
        <f>IFERROR(__xludf.DUMMYFUNCTION("""COMPUTED_VALUE"""),"https://drive.google.com/file/d/1RhsHrHnzN8KzykhbZDPEKUxMAHgo0iQl/view?usp=drivesdk")</f>
        <v>https://drive.google.com/file/d/1RhsHrHnzN8KzykhbZDPEKUxMAHgo0iQl/view?usp=drivesdk</v>
      </c>
      <c r="C1063" s="156" t="str">
        <f>IFERROR(__xludf.DUMMYFUNCTION("""COMPUTED_VALUE"""),"10.1016--j.bodyim.2015.04.007.pdf")</f>
        <v>10.1016--j.bodyim.2015.04.007.pdf</v>
      </c>
      <c r="D1063" s="156" t="str">
        <f>IFERROR(__xludf.DUMMYFUNCTION("""COMPUTED_VALUE"""),"application/pdf")</f>
        <v>application/pdf</v>
      </c>
    </row>
    <row r="1064">
      <c r="A1064" s="156" t="str">
        <f>IFERROR(__xludf.DUMMYFUNCTION("""COMPUTED_VALUE"""),"10.1037/a0035994")</f>
        <v>10.1037/a0035994</v>
      </c>
      <c r="B1064" s="677" t="str">
        <f>IFERROR(__xludf.DUMMYFUNCTION("""COMPUTED_VALUE"""),"https://drive.google.com/file/d/1s-o92xrjY8qNFs578jYHlwgg3sJ-NP6W/view?usp=drivesdk")</f>
        <v>https://drive.google.com/file/d/1s-o92xrjY8qNFs578jYHlwgg3sJ-NP6W/view?usp=drivesdk</v>
      </c>
      <c r="C1064" s="156" t="str">
        <f>IFERROR(__xludf.DUMMYFUNCTION("""COMPUTED_VALUE"""),"10.1037--a0035994.pdf")</f>
        <v>10.1037--a0035994.pdf</v>
      </c>
      <c r="D1064" s="156" t="str">
        <f>IFERROR(__xludf.DUMMYFUNCTION("""COMPUTED_VALUE"""),"application/pdf")</f>
        <v>application/pdf</v>
      </c>
    </row>
    <row r="1065">
      <c r="A1065" s="156" t="str">
        <f>IFERROR(__xludf.DUMMYFUNCTION("""COMPUTED_VALUE"""),"10.1016/j.bandc.2010.08.001")</f>
        <v>10.1016/j.bandc.2010.08.001</v>
      </c>
      <c r="B1065" s="677" t="str">
        <f>IFERROR(__xludf.DUMMYFUNCTION("""COMPUTED_VALUE"""),"https://drive.google.com/file/d/1cYILhdMj6twb1okZTG4CcNmFRUz8TsRN/view?usp=drivesdk")</f>
        <v>https://drive.google.com/file/d/1cYILhdMj6twb1okZTG4CcNmFRUz8TsRN/view?usp=drivesdk</v>
      </c>
      <c r="C1065" s="156" t="str">
        <f>IFERROR(__xludf.DUMMYFUNCTION("""COMPUTED_VALUE"""),"10.1016--j.bandc.2010.08.001.pdf")</f>
        <v>10.1016--j.bandc.2010.08.001.pdf</v>
      </c>
      <c r="D1065" s="156" t="str">
        <f>IFERROR(__xludf.DUMMYFUNCTION("""COMPUTED_VALUE"""),"application/pdf")</f>
        <v>application/pdf</v>
      </c>
    </row>
    <row r="1066">
      <c r="A1066" s="156" t="str">
        <f>IFERROR(__xludf.DUMMYFUNCTION("""COMPUTED_VALUE"""),"10.1037/a0018106")</f>
        <v>10.1037/a0018106</v>
      </c>
      <c r="B1066" s="677" t="str">
        <f>IFERROR(__xludf.DUMMYFUNCTION("""COMPUTED_VALUE"""),"https://drive.google.com/file/d/1SlXcrYTi_ohTzOExmYweSBSZDmujKUAK/view?usp=drivesdk")</f>
        <v>https://drive.google.com/file/d/1SlXcrYTi_ohTzOExmYweSBSZDmujKUAK/view?usp=drivesdk</v>
      </c>
      <c r="C1066" s="156" t="str">
        <f>IFERROR(__xludf.DUMMYFUNCTION("""COMPUTED_VALUE"""),"10.1037--a0018106.pdf")</f>
        <v>10.1037--a0018106.pdf</v>
      </c>
      <c r="D1066" s="156" t="str">
        <f>IFERROR(__xludf.DUMMYFUNCTION("""COMPUTED_VALUE"""),"application/pdf")</f>
        <v>application/pdf</v>
      </c>
    </row>
    <row r="1067">
      <c r="A1067" s="156" t="str">
        <f>IFERROR(__xludf.DUMMYFUNCTION("""COMPUTED_VALUE"""),"10.1007/s10899-016-9662-2")</f>
        <v>10.1007/s10899-016-9662-2</v>
      </c>
      <c r="B1067" s="677" t="str">
        <f>IFERROR(__xludf.DUMMYFUNCTION("""COMPUTED_VALUE"""),"https://drive.google.com/file/d/1r8LaHO1oagj-xznnyFGoL1fDY_X8-HJK/view?usp=drivesdk")</f>
        <v>https://drive.google.com/file/d/1r8LaHO1oagj-xznnyFGoL1fDY_X8-HJK/view?usp=drivesdk</v>
      </c>
      <c r="C1067" s="156" t="str">
        <f>IFERROR(__xludf.DUMMYFUNCTION("""COMPUTED_VALUE"""),"10.1007--s10899-016-9662-2.pdf")</f>
        <v>10.1007--s10899-016-9662-2.pdf</v>
      </c>
      <c r="D1067" s="156" t="str">
        <f>IFERROR(__xludf.DUMMYFUNCTION("""COMPUTED_VALUE"""),"application/pdf")</f>
        <v>application/pdf</v>
      </c>
    </row>
    <row r="1068">
      <c r="A1068" s="156" t="str">
        <f>IFERROR(__xludf.DUMMYFUNCTION("""COMPUTED_VALUE"""),"10.3389/fpsyg.2015.01186")</f>
        <v>10.3389/fpsyg.2015.01186</v>
      </c>
      <c r="B1068" s="677" t="str">
        <f>IFERROR(__xludf.DUMMYFUNCTION("""COMPUTED_VALUE"""),"https://drive.google.com/file/d/1VZGylbI98WjytpbwdjhMo7z2hjuGU4hN/view?usp=drivesdk")</f>
        <v>https://drive.google.com/file/d/1VZGylbI98WjytpbwdjhMo7z2hjuGU4hN/view?usp=drivesdk</v>
      </c>
      <c r="C1068" s="156" t="str">
        <f>IFERROR(__xludf.DUMMYFUNCTION("""COMPUTED_VALUE"""),"10.3389--fpsyg.2015.01186.pdf")</f>
        <v>10.3389--fpsyg.2015.01186.pdf</v>
      </c>
      <c r="D1068" s="156" t="str">
        <f>IFERROR(__xludf.DUMMYFUNCTION("""COMPUTED_VALUE"""),"application/pdf")</f>
        <v>application/pdf</v>
      </c>
    </row>
    <row r="1069">
      <c r="A1069" s="156" t="str">
        <f>IFERROR(__xludf.DUMMYFUNCTION("""COMPUTED_VALUE"""),"10.1017/s1930297500007774")</f>
        <v>10.1017/s1930297500007774</v>
      </c>
      <c r="B1069" s="677" t="str">
        <f>IFERROR(__xludf.DUMMYFUNCTION("""COMPUTED_VALUE"""),"https://drive.google.com/file/d/1GjhhZbbb8mAaVRt9zKR7GVU3Igrbxt67/view?usp=drivesdk")</f>
        <v>https://drive.google.com/file/d/1GjhhZbbb8mAaVRt9zKR7GVU3Igrbxt67/view?usp=drivesdk</v>
      </c>
      <c r="C1069" s="156" t="str">
        <f>IFERROR(__xludf.DUMMYFUNCTION("""COMPUTED_VALUE"""),"10.1017--s1930297500007774.pdf")</f>
        <v>10.1017--s1930297500007774.pdf</v>
      </c>
      <c r="D1069" s="156" t="str">
        <f>IFERROR(__xludf.DUMMYFUNCTION("""COMPUTED_VALUE"""),"application/pdf")</f>
        <v>application/pdf</v>
      </c>
    </row>
    <row r="1070">
      <c r="A1070" s="156" t="str">
        <f>IFERROR(__xludf.DUMMYFUNCTION("""COMPUTED_VALUE"""),"10.1037/pspa0000032")</f>
        <v>10.1037/pspa0000032</v>
      </c>
      <c r="B1070" s="677" t="str">
        <f>IFERROR(__xludf.DUMMYFUNCTION("""COMPUTED_VALUE"""),"https://drive.google.com/file/d/1Fz4gwoFVZ61QsVuQAy1Miyk_5TnN811X/view?usp=drivesdk")</f>
        <v>https://drive.google.com/file/d/1Fz4gwoFVZ61QsVuQAy1Miyk_5TnN811X/view?usp=drivesdk</v>
      </c>
      <c r="C1070" s="156" t="str">
        <f>IFERROR(__xludf.DUMMYFUNCTION("""COMPUTED_VALUE"""),"10.1037--pspa0000032.pdf")</f>
        <v>10.1037--pspa0000032.pdf</v>
      </c>
      <c r="D1070" s="156" t="str">
        <f>IFERROR(__xludf.DUMMYFUNCTION("""COMPUTED_VALUE"""),"application/pdf")</f>
        <v>application/pdf</v>
      </c>
    </row>
    <row r="1071">
      <c r="A1071" s="156" t="str">
        <f>IFERROR(__xludf.DUMMYFUNCTION("""COMPUTED_VALUE"""),"10.5018/economics-ejournal.ja.2018-3")</f>
        <v>10.5018/economics-ejournal.ja.2018-3</v>
      </c>
      <c r="B1071" s="677" t="str">
        <f>IFERROR(__xludf.DUMMYFUNCTION("""COMPUTED_VALUE"""),"https://drive.google.com/file/d/18k1ykE5KGu6_zuNz9VCrn4DkEVOO1LJH/view?usp=drivesdk")</f>
        <v>https://drive.google.com/file/d/18k1ykE5KGu6_zuNz9VCrn4DkEVOO1LJH/view?usp=drivesdk</v>
      </c>
      <c r="C1071" s="156" t="str">
        <f>IFERROR(__xludf.DUMMYFUNCTION("""COMPUTED_VALUE"""),"10.5018--economics-ejournal.ja.2018-3.pdf")</f>
        <v>10.5018--economics-ejournal.ja.2018-3.pdf</v>
      </c>
      <c r="D1071" s="156" t="str">
        <f>IFERROR(__xludf.DUMMYFUNCTION("""COMPUTED_VALUE"""),"application/pdf")</f>
        <v>application/pdf</v>
      </c>
    </row>
    <row r="1072">
      <c r="A1072" s="156" t="str">
        <f>IFERROR(__xludf.DUMMYFUNCTION("""COMPUTED_VALUE"""),"10.1002/pros.21320")</f>
        <v>10.1002/pros.21320</v>
      </c>
      <c r="B1072" s="677" t="str">
        <f>IFERROR(__xludf.DUMMYFUNCTION("""COMPUTED_VALUE"""),"https://drive.google.com/file/d/1km2L9DNVunqU05rc4Kd_J4czp3x6Xkk1/view?usp=drivesdk")</f>
        <v>https://drive.google.com/file/d/1km2L9DNVunqU05rc4Kd_J4czp3x6Xkk1/view?usp=drivesdk</v>
      </c>
      <c r="C1072" s="156" t="str">
        <f>IFERROR(__xludf.DUMMYFUNCTION("""COMPUTED_VALUE"""),"10.1002--pros.21320.pdf")</f>
        <v>10.1002--pros.21320.pdf</v>
      </c>
      <c r="D1072" s="156" t="str">
        <f>IFERROR(__xludf.DUMMYFUNCTION("""COMPUTED_VALUE"""),"application/pdf")</f>
        <v>application/pdf</v>
      </c>
    </row>
    <row r="1073">
      <c r="A1073" s="156" t="str">
        <f>IFERROR(__xludf.DUMMYFUNCTION("""COMPUTED_VALUE"""),"10.1257/mac.3.3.92")</f>
        <v>10.1257/mac.3.3.92</v>
      </c>
      <c r="B1073" s="677" t="str">
        <f>IFERROR(__xludf.DUMMYFUNCTION("""COMPUTED_VALUE"""),"https://drive.google.com/file/d/1pIS8rz3Zhsg-K0XmlUgVtJjkBAX-gomL/view?usp=drivesdk")</f>
        <v>https://drive.google.com/file/d/1pIS8rz3Zhsg-K0XmlUgVtJjkBAX-gomL/view?usp=drivesdk</v>
      </c>
      <c r="C1073" s="156" t="str">
        <f>IFERROR(__xludf.DUMMYFUNCTION("""COMPUTED_VALUE"""),"10.1257--mac.3.3.92.pdf")</f>
        <v>10.1257--mac.3.3.92.pdf</v>
      </c>
      <c r="D1073" s="156" t="str">
        <f>IFERROR(__xludf.DUMMYFUNCTION("""COMPUTED_VALUE"""),"application/pdf")</f>
        <v>application/pdf</v>
      </c>
    </row>
    <row r="1074">
      <c r="A1074" s="156" t="str">
        <f>IFERROR(__xludf.DUMMYFUNCTION("""COMPUTED_VALUE"""),"10.1038/ng1808")</f>
        <v>10.1038/ng1808</v>
      </c>
      <c r="B1074" s="677" t="str">
        <f>IFERROR(__xludf.DUMMYFUNCTION("""COMPUTED_VALUE"""),"https://drive.google.com/file/d/1j7kIz9DbHMuhgAFVzylwX6Yt8UYxbKVm/view?usp=drivesdk")</f>
        <v>https://drive.google.com/file/d/1j7kIz9DbHMuhgAFVzylwX6Yt8UYxbKVm/view?usp=drivesdk</v>
      </c>
      <c r="C1074" s="156" t="str">
        <f>IFERROR(__xludf.DUMMYFUNCTION("""COMPUTED_VALUE"""),"10.1038--ng1808.pdf")</f>
        <v>10.1038--ng1808.pdf</v>
      </c>
      <c r="D1074" s="156" t="str">
        <f>IFERROR(__xludf.DUMMYFUNCTION("""COMPUTED_VALUE"""),"application/pdf")</f>
        <v>application/pdf</v>
      </c>
    </row>
    <row r="1075">
      <c r="A1075" s="156" t="str">
        <f>IFERROR(__xludf.DUMMYFUNCTION("""COMPUTED_VALUE"""),"10.1017/xps.2017.8")</f>
        <v>10.1017/xps.2017.8</v>
      </c>
      <c r="B1075" s="677" t="str">
        <f>IFERROR(__xludf.DUMMYFUNCTION("""COMPUTED_VALUE"""),"https://drive.google.com/file/d/1aV3ccn2w0Qw9IRbsqbByGUHxTunteFgK/view?usp=drivesdk")</f>
        <v>https://drive.google.com/file/d/1aV3ccn2w0Qw9IRbsqbByGUHxTunteFgK/view?usp=drivesdk</v>
      </c>
      <c r="C1075" s="156" t="str">
        <f>IFERROR(__xludf.DUMMYFUNCTION("""COMPUTED_VALUE"""),"10.1017--xps.2017.8.pdf")</f>
        <v>10.1017--xps.2017.8.pdf</v>
      </c>
      <c r="D1075" s="156" t="str">
        <f>IFERROR(__xludf.DUMMYFUNCTION("""COMPUTED_VALUE"""),"application/pdf")</f>
        <v>application/pdf</v>
      </c>
    </row>
    <row r="1076">
      <c r="A1076" s="156" t="str">
        <f>IFERROR(__xludf.DUMMYFUNCTION("""COMPUTED_VALUE"""),"10.17645/mac.7807")</f>
        <v>10.17645/mac.7807</v>
      </c>
      <c r="B1076" s="677" t="str">
        <f>IFERROR(__xludf.DUMMYFUNCTION("""COMPUTED_VALUE"""),"https://drive.google.com/file/d/1iPBwaXn12azH6_c4xao-GstJS4IDhzaA/view?usp=drivesdk")</f>
        <v>https://drive.google.com/file/d/1iPBwaXn12azH6_c4xao-GstJS4IDhzaA/view?usp=drivesdk</v>
      </c>
      <c r="C1076" s="156" t="str">
        <f>IFERROR(__xludf.DUMMYFUNCTION("""COMPUTED_VALUE"""),"10.17645--mac.7807.pdf")</f>
        <v>10.17645--mac.7807.pdf</v>
      </c>
      <c r="D1076" s="156" t="str">
        <f>IFERROR(__xludf.DUMMYFUNCTION("""COMPUTED_VALUE"""),"application/pdf")</f>
        <v>application/pdf</v>
      </c>
    </row>
    <row r="1077">
      <c r="A1077" s="156" t="str">
        <f>IFERROR(__xludf.DUMMYFUNCTION("""COMPUTED_VALUE"""),"10.3758/s13423-024-02602-4")</f>
        <v>10.3758/s13423-024-02602-4</v>
      </c>
      <c r="B1077" s="677" t="str">
        <f>IFERROR(__xludf.DUMMYFUNCTION("""COMPUTED_VALUE"""),"https://drive.google.com/file/d/1vN437k1uq3kRGPmKBi6jr-KfvJ0C_JhT/view?usp=drivesdk")</f>
        <v>https://drive.google.com/file/d/1vN437k1uq3kRGPmKBi6jr-KfvJ0C_JhT/view?usp=drivesdk</v>
      </c>
      <c r="C1077" s="156" t="str">
        <f>IFERROR(__xludf.DUMMYFUNCTION("""COMPUTED_VALUE"""),"10.3758--s13423-024-02602-4.pdf")</f>
        <v>10.3758--s13423-024-02602-4.pdf</v>
      </c>
      <c r="D1077" s="156" t="str">
        <f>IFERROR(__xludf.DUMMYFUNCTION("""COMPUTED_VALUE"""),"application/pdf")</f>
        <v>application/pdf</v>
      </c>
    </row>
    <row r="1078">
      <c r="A1078" s="156" t="str">
        <f>IFERROR(__xludf.DUMMYFUNCTION("""COMPUTED_VALUE"""),"10.1371/journal.pone.0313619")</f>
        <v>10.1371/journal.pone.0313619</v>
      </c>
      <c r="B1078" s="677" t="str">
        <f>IFERROR(__xludf.DUMMYFUNCTION("""COMPUTED_VALUE"""),"https://drive.google.com/file/d/1BP4_zT4-cr6_-LVpCLyDKXo4tlduP3B2/view?usp=drivesdk")</f>
        <v>https://drive.google.com/file/d/1BP4_zT4-cr6_-LVpCLyDKXo4tlduP3B2/view?usp=drivesdk</v>
      </c>
      <c r="C1078" s="156" t="str">
        <f>IFERROR(__xludf.DUMMYFUNCTION("""COMPUTED_VALUE"""),"10.1371--journal.pone.0313619.pdf")</f>
        <v>10.1371--journal.pone.0313619.pdf</v>
      </c>
      <c r="D1078" s="156" t="str">
        <f>IFERROR(__xludf.DUMMYFUNCTION("""COMPUTED_VALUE"""),"application/pdf")</f>
        <v>application/pdf</v>
      </c>
    </row>
    <row r="1079">
      <c r="A1079" s="156" t="str">
        <f>IFERROR(__xludf.DUMMYFUNCTION("""COMPUTED_VALUE"""),"10.1007/s10899-024-10363-x")</f>
        <v>10.1007/s10899-024-10363-x</v>
      </c>
      <c r="B1079" s="677" t="str">
        <f>IFERROR(__xludf.DUMMYFUNCTION("""COMPUTED_VALUE"""),"https://drive.google.com/file/d/1lCXOxpLZfHui3z9Y08bqmYzBZmcr5eG0/view?usp=drivesdk")</f>
        <v>https://drive.google.com/file/d/1lCXOxpLZfHui3z9Y08bqmYzBZmcr5eG0/view?usp=drivesdk</v>
      </c>
      <c r="C1079" s="156" t="str">
        <f>IFERROR(__xludf.DUMMYFUNCTION("""COMPUTED_VALUE"""),"10.1007--s10899-024-10363-x.pdf")</f>
        <v>10.1007--s10899-024-10363-x.pdf</v>
      </c>
      <c r="D1079" s="156" t="str">
        <f>IFERROR(__xludf.DUMMYFUNCTION("""COMPUTED_VALUE"""),"application/pdf")</f>
        <v>application/pdf</v>
      </c>
    </row>
    <row r="1080">
      <c r="A1080" s="156" t="str">
        <f>IFERROR(__xludf.DUMMYFUNCTION("""COMPUTED_VALUE"""),"10.1177/19485506241298340")</f>
        <v>10.1177/19485506241298340</v>
      </c>
      <c r="B1080" s="677" t="str">
        <f>IFERROR(__xludf.DUMMYFUNCTION("""COMPUTED_VALUE"""),"https://drive.google.com/file/d/1rRD-Bh8mPPRN_LewNcfZj4uMszp6KoK9/view?usp=drivesdk")</f>
        <v>https://drive.google.com/file/d/1rRD-Bh8mPPRN_LewNcfZj4uMszp6KoK9/view?usp=drivesdk</v>
      </c>
      <c r="C1080" s="156" t="str">
        <f>IFERROR(__xludf.DUMMYFUNCTION("""COMPUTED_VALUE"""),"10.1177--19485506241298340.pdf")</f>
        <v>10.1177--19485506241298340.pdf</v>
      </c>
      <c r="D1080" s="156" t="str">
        <f>IFERROR(__xludf.DUMMYFUNCTION("""COMPUTED_VALUE"""),"application/pdf")</f>
        <v>application/pdf</v>
      </c>
    </row>
    <row r="1081">
      <c r="A1081" s="156" t="str">
        <f>IFERROR(__xludf.DUMMYFUNCTION("""COMPUTED_VALUE"""),"10.1111/pops.12446")</f>
        <v>10.1111/pops.12446</v>
      </c>
      <c r="B1081" s="677" t="str">
        <f>IFERROR(__xludf.DUMMYFUNCTION("""COMPUTED_VALUE"""),"https://drive.google.com/file/d/1v_yatdIaf9ah85hvTiT_i87-ZZKgyw8z/view?usp=drivesdk")</f>
        <v>https://drive.google.com/file/d/1v_yatdIaf9ah85hvTiT_i87-ZZKgyw8z/view?usp=drivesdk</v>
      </c>
      <c r="C1081" s="156" t="str">
        <f>IFERROR(__xludf.DUMMYFUNCTION("""COMPUTED_VALUE"""),"10.1111--pops.12446.pdf")</f>
        <v>10.1111--pops.12446.pdf</v>
      </c>
      <c r="D1081" s="156" t="str">
        <f>IFERROR(__xludf.DUMMYFUNCTION("""COMPUTED_VALUE"""),"application/pdf")</f>
        <v>application/pdf</v>
      </c>
    </row>
    <row r="1082">
      <c r="A1082" s="156" t="str">
        <f>IFERROR(__xludf.DUMMYFUNCTION("""COMPUTED_VALUE"""),"10.1016/j.psychsport.2024.102761")</f>
        <v>10.1016/j.psychsport.2024.102761</v>
      </c>
      <c r="B1082" s="677" t="str">
        <f>IFERROR(__xludf.DUMMYFUNCTION("""COMPUTED_VALUE"""),"https://drive.google.com/file/d/1T3kdw0-wjlu0E53OdEHLTRxSL1WV4GD2/view?usp=drivesdk")</f>
        <v>https://drive.google.com/file/d/1T3kdw0-wjlu0E53OdEHLTRxSL1WV4GD2/view?usp=drivesdk</v>
      </c>
      <c r="C1082" s="156" t="str">
        <f>IFERROR(__xludf.DUMMYFUNCTION("""COMPUTED_VALUE"""),"10.1016--j.psychsport.2024.102761.pdf")</f>
        <v>10.1016--j.psychsport.2024.102761.pdf</v>
      </c>
      <c r="D1082" s="156" t="str">
        <f>IFERROR(__xludf.DUMMYFUNCTION("""COMPUTED_VALUE"""),"application/pdf")</f>
        <v>application/pdf</v>
      </c>
    </row>
    <row r="1083">
      <c r="A1083" s="156" t="str">
        <f>IFERROR(__xludf.DUMMYFUNCTION("""COMPUTED_VALUE"""),"10.1037/0022-3514.46.4.778")</f>
        <v>10.1037/0022-3514.46.4.778</v>
      </c>
      <c r="B1083" s="677" t="str">
        <f>IFERROR(__xludf.DUMMYFUNCTION("""COMPUTED_VALUE"""),"https://drive.google.com/file/d/1g6q8nISpnYmmIa0tHGFco-Q0-mH9P8P_/view?usp=drivesdk")</f>
        <v>https://drive.google.com/file/d/1g6q8nISpnYmmIa0tHGFco-Q0-mH9P8P_/view?usp=drivesdk</v>
      </c>
      <c r="C1083" s="156" t="str">
        <f>IFERROR(__xludf.DUMMYFUNCTION("""COMPUTED_VALUE"""),"10.1037--0022-3514.46.4.778.pdf")</f>
        <v>10.1037--0022-3514.46.4.778.pdf</v>
      </c>
      <c r="D1083" s="156" t="str">
        <f>IFERROR(__xludf.DUMMYFUNCTION("""COMPUTED_VALUE"""),"application/pdf")</f>
        <v>application/pdf</v>
      </c>
    </row>
    <row r="1084">
      <c r="A1084" s="156" t="str">
        <f>IFERROR(__xludf.DUMMYFUNCTION("""COMPUTED_VALUE"""),"10.1073/pnas.1908369116")</f>
        <v>10.1073/pnas.1908369116</v>
      </c>
      <c r="B1084" s="677" t="str">
        <f>IFERROR(__xludf.DUMMYFUNCTION("""COMPUTED_VALUE"""),"https://drive.google.com/file/d/1ttGyqEjjV-98eagMAZ7fs7ApCqu23b27/view?usp=drivesdk")</f>
        <v>https://drive.google.com/file/d/1ttGyqEjjV-98eagMAZ7fs7ApCqu23b27/view?usp=drivesdk</v>
      </c>
      <c r="C1084" s="156" t="str">
        <f>IFERROR(__xludf.DUMMYFUNCTION("""COMPUTED_VALUE"""),"10.1073--pnas.1908369116.pdf")</f>
        <v>10.1073--pnas.1908369116.pdf</v>
      </c>
      <c r="D1084" s="156" t="str">
        <f>IFERROR(__xludf.DUMMYFUNCTION("""COMPUTED_VALUE"""),"application/pdf")</f>
        <v>application/pdf</v>
      </c>
    </row>
    <row r="1085">
      <c r="A1085" s="156" t="str">
        <f>IFERROR(__xludf.DUMMYFUNCTION("""COMPUTED_VALUE"""),"10.3758/bf03194043")</f>
        <v>10.3758/bf03194043</v>
      </c>
      <c r="B1085" s="677" t="str">
        <f>IFERROR(__xludf.DUMMYFUNCTION("""COMPUTED_VALUE"""),"https://drive.google.com/file/d/1YQ-aufbsCC9hO3yxbHG5yT1hC8gC2Zwm/view?usp=drivesdk")</f>
        <v>https://drive.google.com/file/d/1YQ-aufbsCC9hO3yxbHG5yT1hC8gC2Zwm/view?usp=drivesdk</v>
      </c>
      <c r="C1085" s="156" t="str">
        <f>IFERROR(__xludf.DUMMYFUNCTION("""COMPUTED_VALUE"""),"10.3758--bf03194043.pdf")</f>
        <v>10.3758--bf03194043.pdf</v>
      </c>
      <c r="D1085" s="156" t="str">
        <f>IFERROR(__xludf.DUMMYFUNCTION("""COMPUTED_VALUE"""),"application/pdf")</f>
        <v>application/pdf</v>
      </c>
    </row>
    <row r="1086">
      <c r="A1086" s="156" t="str">
        <f>IFERROR(__xludf.DUMMYFUNCTION("""COMPUTED_VALUE"""),"10.3389/fpsyg.2024.1495812")</f>
        <v>10.3389/fpsyg.2024.1495812</v>
      </c>
      <c r="B1086" s="677" t="str">
        <f>IFERROR(__xludf.DUMMYFUNCTION("""COMPUTED_VALUE"""),"https://drive.google.com/file/d/1zSkXvd_SQ8Y3SFR5dbVcX3nOQXjwNUgz/view?usp=drivesdk")</f>
        <v>https://drive.google.com/file/d/1zSkXvd_SQ8Y3SFR5dbVcX3nOQXjwNUgz/view?usp=drivesdk</v>
      </c>
      <c r="C1086" s="156" t="str">
        <f>IFERROR(__xludf.DUMMYFUNCTION("""COMPUTED_VALUE"""),"10.3389--fpsyg.2024.1495812.pdf")</f>
        <v>10.3389--fpsyg.2024.1495812.pdf</v>
      </c>
      <c r="D1086" s="156" t="str">
        <f>IFERROR(__xludf.DUMMYFUNCTION("""COMPUTED_VALUE"""),"application/pdf")</f>
        <v>application/pdf</v>
      </c>
    </row>
    <row r="1087">
      <c r="A1087" s="156" t="str">
        <f>IFERROR(__xludf.DUMMYFUNCTION("""COMPUTED_VALUE"""),"10.1111/bjhp.12185")</f>
        <v>10.1111/bjhp.12185</v>
      </c>
      <c r="B1087" s="677" t="str">
        <f>IFERROR(__xludf.DUMMYFUNCTION("""COMPUTED_VALUE"""),"https://drive.google.com/file/d/1cYa6N0WKe6Bh2MCHkEqipe4p1Bb3ENLu/view?usp=drivesdk")</f>
        <v>https://drive.google.com/file/d/1cYa6N0WKe6Bh2MCHkEqipe4p1Bb3ENLu/view?usp=drivesdk</v>
      </c>
      <c r="C1087" s="156" t="str">
        <f>IFERROR(__xludf.DUMMYFUNCTION("""COMPUTED_VALUE"""),"10.1111--bjhp.12185.pdf")</f>
        <v>10.1111--bjhp.12185.pdf</v>
      </c>
      <c r="D1087" s="156" t="str">
        <f>IFERROR(__xludf.DUMMYFUNCTION("""COMPUTED_VALUE"""),"application/pdf")</f>
        <v>application/pdf</v>
      </c>
    </row>
    <row r="1088">
      <c r="A1088" s="156" t="str">
        <f>IFERROR(__xludf.DUMMYFUNCTION("""COMPUTED_VALUE"""),"10.1177/09567976221082941")</f>
        <v>10.1177/09567976221082941</v>
      </c>
      <c r="B1088" s="677" t="str">
        <f>IFERROR(__xludf.DUMMYFUNCTION("""COMPUTED_VALUE"""),"https://drive.google.com/file/d/1U_OpKcnH3vqA_sZl7r6oivPzFbw81e8Y/view?usp=drivesdk")</f>
        <v>https://drive.google.com/file/d/1U_OpKcnH3vqA_sZl7r6oivPzFbw81e8Y/view?usp=drivesdk</v>
      </c>
      <c r="C1088" s="156" t="str">
        <f>IFERROR(__xludf.DUMMYFUNCTION("""COMPUTED_VALUE"""),"10.1177--09567976221082941.pdf")</f>
        <v>10.1177--09567976221082941.pdf</v>
      </c>
      <c r="D1088" s="156" t="str">
        <f>IFERROR(__xludf.DUMMYFUNCTION("""COMPUTED_VALUE"""),"application/pdf")</f>
        <v>application/pdf</v>
      </c>
    </row>
    <row r="1089">
      <c r="A1089" s="156" t="str">
        <f>IFERROR(__xludf.DUMMYFUNCTION("""COMPUTED_VALUE"""),"10.1007/s11469-023-01060-8")</f>
        <v>10.1007/s11469-023-01060-8</v>
      </c>
      <c r="B1089" s="677" t="str">
        <f>IFERROR(__xludf.DUMMYFUNCTION("""COMPUTED_VALUE"""),"https://drive.google.com/file/d/1KFt0oWL0PlCdDAF8vfAu0PFIKhDUEvZv/view?usp=drivesdk")</f>
        <v>https://drive.google.com/file/d/1KFt0oWL0PlCdDAF8vfAu0PFIKhDUEvZv/view?usp=drivesdk</v>
      </c>
      <c r="C1089" s="156" t="str">
        <f>IFERROR(__xludf.DUMMYFUNCTION("""COMPUTED_VALUE"""),"10.1007--s11469-023-01060-8.pdf")</f>
        <v>10.1007--s11469-023-01060-8.pdf</v>
      </c>
      <c r="D1089" s="156" t="str">
        <f>IFERROR(__xludf.DUMMYFUNCTION("""COMPUTED_VALUE"""),"application/pdf")</f>
        <v>application/pdf</v>
      </c>
    </row>
    <row r="1090">
      <c r="A1090" s="156" t="str">
        <f>IFERROR(__xludf.DUMMYFUNCTION("""COMPUTED_VALUE"""),"10.1177/1948550609360261")</f>
        <v>10.1177/1948550609360261</v>
      </c>
      <c r="B1090" s="677" t="str">
        <f>IFERROR(__xludf.DUMMYFUNCTION("""COMPUTED_VALUE"""),"https://drive.google.com/file/d/1Jb35JMuBKlW_Crt2jnY84fYUKJOvW-Xt/view?usp=drivesdk")</f>
        <v>https://drive.google.com/file/d/1Jb35JMuBKlW_Crt2jnY84fYUKJOvW-Xt/view?usp=drivesdk</v>
      </c>
      <c r="C1090" s="156" t="str">
        <f>IFERROR(__xludf.DUMMYFUNCTION("""COMPUTED_VALUE"""),"10.1177--1948550609360261.pdf")</f>
        <v>10.1177--1948550609360261.pdf</v>
      </c>
      <c r="D1090" s="156" t="str">
        <f>IFERROR(__xludf.DUMMYFUNCTION("""COMPUTED_VALUE"""),"application/pdf")</f>
        <v>application/pdf</v>
      </c>
    </row>
    <row r="1091">
      <c r="A1091" s="156" t="str">
        <f>IFERROR(__xludf.DUMMYFUNCTION("""COMPUTED_VALUE"""),"10.1073/pnas.1103343108")</f>
        <v>10.1073/pnas.1103343108</v>
      </c>
      <c r="B1091" s="677" t="str">
        <f>IFERROR(__xludf.DUMMYFUNCTION("""COMPUTED_VALUE"""),"https://drive.google.com/file/d/1OaJmWFXauHybaSnK3xBih8ufOu_tMwAw/view?usp=drivesdk")</f>
        <v>https://drive.google.com/file/d/1OaJmWFXauHybaSnK3xBih8ufOu_tMwAw/view?usp=drivesdk</v>
      </c>
      <c r="C1091" s="156" t="str">
        <f>IFERROR(__xludf.DUMMYFUNCTION("""COMPUTED_VALUE"""),"10.1073--pnas.1103343108.pdf")</f>
        <v>10.1073--pnas.1103343108.pdf</v>
      </c>
      <c r="D1091" s="156" t="str">
        <f>IFERROR(__xludf.DUMMYFUNCTION("""COMPUTED_VALUE"""),"application/pdf")</f>
        <v>application/pdf</v>
      </c>
    </row>
    <row r="1092">
      <c r="A1092" s="156" t="str">
        <f>IFERROR(__xludf.DUMMYFUNCTION("""COMPUTED_VALUE"""),"10.1016/j.psychsport.2021.102099")</f>
        <v>10.1016/j.psychsport.2021.102099</v>
      </c>
      <c r="B1092" s="677" t="str">
        <f>IFERROR(__xludf.DUMMYFUNCTION("""COMPUTED_VALUE"""),"https://drive.google.com/file/d/1Z7Mw90AXLBMdNZVe8RaBy_TczXxKhAUs/view?usp=drivesdk")</f>
        <v>https://drive.google.com/file/d/1Z7Mw90AXLBMdNZVe8RaBy_TczXxKhAUs/view?usp=drivesdk</v>
      </c>
      <c r="C1092" s="156" t="str">
        <f>IFERROR(__xludf.DUMMYFUNCTION("""COMPUTED_VALUE"""),"10.1016--j.psychsport.2021.102099.pdf")</f>
        <v>10.1016--j.psychsport.2021.102099.pdf</v>
      </c>
      <c r="D1092" s="156" t="str">
        <f>IFERROR(__xludf.DUMMYFUNCTION("""COMPUTED_VALUE"""),"application/pdf")</f>
        <v>application/pdf</v>
      </c>
    </row>
    <row r="1093">
      <c r="A1093" s="156" t="str">
        <f>IFERROR(__xludf.DUMMYFUNCTION("""COMPUTED_VALUE"""),"10.1098/rspb.2022.0128")</f>
        <v>10.1098/rspb.2022.0128</v>
      </c>
      <c r="B1093" s="677" t="str">
        <f>IFERROR(__xludf.DUMMYFUNCTION("""COMPUTED_VALUE"""),"https://drive.google.com/file/d/1sy0BYf3Kt-bi9Lq7noXFBWEXaByZqdU-/view?usp=drivesdk")</f>
        <v>https://drive.google.com/file/d/1sy0BYf3Kt-bi9Lq7noXFBWEXaByZqdU-/view?usp=drivesdk</v>
      </c>
      <c r="C1093" s="156" t="str">
        <f>IFERROR(__xludf.DUMMYFUNCTION("""COMPUTED_VALUE"""),"10.1098--rspb.2022.0128.pdf")</f>
        <v>10.1098--rspb.2022.0128.pdf</v>
      </c>
      <c r="D1093" s="156" t="str">
        <f>IFERROR(__xludf.DUMMYFUNCTION("""COMPUTED_VALUE"""),"application/pdf")</f>
        <v>application/pdf</v>
      </c>
    </row>
    <row r="1094">
      <c r="A1094" s="156" t="str">
        <f>IFERROR(__xludf.DUMMYFUNCTION("""COMPUTED_VALUE"""),"10.1177/0040517514566112")</f>
        <v>10.1177/0040517514566112</v>
      </c>
      <c r="B1094" s="677" t="str">
        <f>IFERROR(__xludf.DUMMYFUNCTION("""COMPUTED_VALUE"""),"https://drive.google.com/file/d/10DvzKx5_AtQgdNCp-OqcVn-oYv8mv5n4/view?usp=drivesdk")</f>
        <v>https://drive.google.com/file/d/10DvzKx5_AtQgdNCp-OqcVn-oYv8mv5n4/view?usp=drivesdk</v>
      </c>
      <c r="C1094" s="156" t="str">
        <f>IFERROR(__xludf.DUMMYFUNCTION("""COMPUTED_VALUE"""),"10.1177--0040517514566112.pdf")</f>
        <v>10.1177--0040517514566112.pdf</v>
      </c>
      <c r="D1094" s="156" t="str">
        <f>IFERROR(__xludf.DUMMYFUNCTION("""COMPUTED_VALUE"""),"application/pdf")</f>
        <v>application/pdf</v>
      </c>
    </row>
    <row r="1095">
      <c r="A1095" s="156" t="str">
        <f>IFERROR(__xludf.DUMMYFUNCTION("""COMPUTED_VALUE"""),"10.1007/s12110-002-1002-9")</f>
        <v>10.1007/s12110-002-1002-9</v>
      </c>
      <c r="B1095" s="677" t="str">
        <f>IFERROR(__xludf.DUMMYFUNCTION("""COMPUTED_VALUE"""),"https://drive.google.com/file/d/1NywfARb9tLnl3LTq3K32BFOrLVIlJrvM/view?usp=drivesdk")</f>
        <v>https://drive.google.com/file/d/1NywfARb9tLnl3LTq3K32BFOrLVIlJrvM/view?usp=drivesdk</v>
      </c>
      <c r="C1095" s="156" t="str">
        <f>IFERROR(__xludf.DUMMYFUNCTION("""COMPUTED_VALUE"""),"10.1007--s12110-002-1002-9.pdf")</f>
        <v>10.1007--s12110-002-1002-9.pdf</v>
      </c>
      <c r="D1095" s="156" t="str">
        <f>IFERROR(__xludf.DUMMYFUNCTION("""COMPUTED_VALUE"""),"application/pdf")</f>
        <v>application/pdf</v>
      </c>
    </row>
    <row r="1096">
      <c r="A1096" s="156" t="str">
        <f>IFERROR(__xludf.DUMMYFUNCTION("""COMPUTED_VALUE"""),"10.1177/147470490700500101")</f>
        <v>10.1177/147470490700500101</v>
      </c>
      <c r="B1096" s="677" t="str">
        <f>IFERROR(__xludf.DUMMYFUNCTION("""COMPUTED_VALUE"""),"https://drive.google.com/file/d/1gGEwJhSZgMAeSg61dFEDgR4qLjpQpTyL/view?usp=drivesdk")</f>
        <v>https://drive.google.com/file/d/1gGEwJhSZgMAeSg61dFEDgR4qLjpQpTyL/view?usp=drivesdk</v>
      </c>
      <c r="C1096" s="156" t="str">
        <f>IFERROR(__xludf.DUMMYFUNCTION("""COMPUTED_VALUE"""),"10.1177--147470490700500101.pdf")</f>
        <v>10.1177--147470490700500101.pdf</v>
      </c>
      <c r="D1096" s="156" t="str">
        <f>IFERROR(__xludf.DUMMYFUNCTION("""COMPUTED_VALUE"""),"application/pdf")</f>
        <v>application/pdf</v>
      </c>
    </row>
    <row r="1097">
      <c r="A1097" s="156" t="str">
        <f>IFERROR(__xludf.DUMMYFUNCTION("""COMPUTED_VALUE"""),"10.1136/annrheumdis-2014-206530")</f>
        <v>10.1136/annrheumdis-2014-206530</v>
      </c>
      <c r="B1097" s="677" t="str">
        <f>IFERROR(__xludf.DUMMYFUNCTION("""COMPUTED_VALUE"""),"https://drive.google.com/file/d/1sa-B2GFNTR89a5vrIAS6MvsPmdEGmbM1/view?usp=drivesdk")</f>
        <v>https://drive.google.com/file/d/1sa-B2GFNTR89a5vrIAS6MvsPmdEGmbM1/view?usp=drivesdk</v>
      </c>
      <c r="C1097" s="156" t="str">
        <f>IFERROR(__xludf.DUMMYFUNCTION("""COMPUTED_VALUE"""),"10.1136--annrheumdis-2014-206530.pdf")</f>
        <v>10.1136--annrheumdis-2014-206530.pdf</v>
      </c>
      <c r="D1097" s="156" t="str">
        <f>IFERROR(__xludf.DUMMYFUNCTION("""COMPUTED_VALUE"""),"application/pdf")</f>
        <v>application/pdf</v>
      </c>
    </row>
    <row r="1098">
      <c r="A1098" s="156" t="str">
        <f>IFERROR(__xludf.DUMMYFUNCTION("""COMPUTED_VALUE"""),"10.1016/s1471-0153(03)00026-6")</f>
        <v>10.1016/s1471-0153(03)00026-6</v>
      </c>
      <c r="B1098" s="677" t="str">
        <f>IFERROR(__xludf.DUMMYFUNCTION("""COMPUTED_VALUE"""),"https://drive.google.com/file/d/1IErZ2j0jhcuIPlatjs9z8pCjgSl2S3h6/view?usp=drivesdk")</f>
        <v>https://drive.google.com/file/d/1IErZ2j0jhcuIPlatjs9z8pCjgSl2S3h6/view?usp=drivesdk</v>
      </c>
      <c r="C1098" s="156" t="str">
        <f>IFERROR(__xludf.DUMMYFUNCTION("""COMPUTED_VALUE"""),"10.1016--s1471-0153(03)00026-6.pdf")</f>
        <v>10.1016--s1471-0153(03)00026-6.pdf</v>
      </c>
      <c r="D1098" s="156" t="str">
        <f>IFERROR(__xludf.DUMMYFUNCTION("""COMPUTED_VALUE"""),"application/pdf")</f>
        <v>application/pdf</v>
      </c>
    </row>
    <row r="1099">
      <c r="A1099" s="156" t="str">
        <f>IFERROR(__xludf.DUMMYFUNCTION("""COMPUTED_VALUE"""),"10.1002/eat.20103")</f>
        <v>10.1002/eat.20103</v>
      </c>
      <c r="B1099" s="677" t="str">
        <f>IFERROR(__xludf.DUMMYFUNCTION("""COMPUTED_VALUE"""),"https://drive.google.com/file/d/1G6JZEmMMLRIrURxc_dyXrBDTAScOMjVZ/view?usp=drivesdk")</f>
        <v>https://drive.google.com/file/d/1G6JZEmMMLRIrURxc_dyXrBDTAScOMjVZ/view?usp=drivesdk</v>
      </c>
      <c r="C1099" s="156" t="str">
        <f>IFERROR(__xludf.DUMMYFUNCTION("""COMPUTED_VALUE"""),"10.1002--eat.20103.pdf")</f>
        <v>10.1002--eat.20103.pdf</v>
      </c>
      <c r="D1099" s="156" t="str">
        <f>IFERROR(__xludf.DUMMYFUNCTION("""COMPUTED_VALUE"""),"application/pdf")</f>
        <v>application/pdf</v>
      </c>
    </row>
    <row r="1100">
      <c r="A1100" s="156" t="str">
        <f>IFERROR(__xludf.DUMMYFUNCTION("""COMPUTED_VALUE"""),"10.1177/0956797617698226")</f>
        <v>10.1177/0956797617698226</v>
      </c>
      <c r="B1100" s="677" t="str">
        <f>IFERROR(__xludf.DUMMYFUNCTION("""COMPUTED_VALUE"""),"https://drive.google.com/file/d/1jsNmpUGc3SFKNCTcPasDCerwyIwsLECm/view?usp=drivesdk")</f>
        <v>https://drive.google.com/file/d/1jsNmpUGc3SFKNCTcPasDCerwyIwsLECm/view?usp=drivesdk</v>
      </c>
      <c r="C1100" s="156" t="str">
        <f>IFERROR(__xludf.DUMMYFUNCTION("""COMPUTED_VALUE"""),"10.1177--0956797617698226.pdf")</f>
        <v>10.1177--0956797617698226.pdf</v>
      </c>
      <c r="D1100" s="156" t="str">
        <f>IFERROR(__xludf.DUMMYFUNCTION("""COMPUTED_VALUE"""),"application/pdf")</f>
        <v>application/pdf</v>
      </c>
    </row>
    <row r="1101">
      <c r="A1101" s="156" t="str">
        <f>IFERROR(__xludf.DUMMYFUNCTION("""COMPUTED_VALUE"""),"10.7554/elife.95761.1.sa1")</f>
        <v>10.7554/elife.95761.1.sa1</v>
      </c>
      <c r="B1101" s="677" t="str">
        <f>IFERROR(__xludf.DUMMYFUNCTION("""COMPUTED_VALUE"""),"https://drive.google.com/file/d/1f01MLy6zbw6-VJPmNKRVLrtvILHtu0My/view?usp=drivesdk")</f>
        <v>https://drive.google.com/file/d/1f01MLy6zbw6-VJPmNKRVLrtvILHtu0My/view?usp=drivesdk</v>
      </c>
      <c r="C1101" s="156" t="str">
        <f>IFERROR(__xludf.DUMMYFUNCTION("""COMPUTED_VALUE"""),"10.7554--elife.95761.1.sa1.pdf")</f>
        <v>10.7554--elife.95761.1.sa1.pdf</v>
      </c>
      <c r="D1101" s="156" t="str">
        <f>IFERROR(__xludf.DUMMYFUNCTION("""COMPUTED_VALUE"""),"application/pdf")</f>
        <v>application/pdf</v>
      </c>
    </row>
    <row r="1102">
      <c r="A1102" s="156" t="str">
        <f>IFERROR(__xludf.DUMMYFUNCTION("""COMPUTED_VALUE"""),"10.1080/00207594.2012.693182")</f>
        <v>10.1080/00207594.2012.693182</v>
      </c>
      <c r="B1102" s="677" t="str">
        <f>IFERROR(__xludf.DUMMYFUNCTION("""COMPUTED_VALUE"""),"https://drive.google.com/file/d/1COGouC-xqEw_GUeUnwirdjR0F1KHHUjx/view?usp=drivesdk")</f>
        <v>https://drive.google.com/file/d/1COGouC-xqEw_GUeUnwirdjR0F1KHHUjx/view?usp=drivesdk</v>
      </c>
      <c r="C1102" s="156" t="str">
        <f>IFERROR(__xludf.DUMMYFUNCTION("""COMPUTED_VALUE"""),"10.1080--00207594.2012.693182.pdf")</f>
        <v>10.1080--00207594.2012.693182.pdf</v>
      </c>
      <c r="D1102" s="156" t="str">
        <f>IFERROR(__xludf.DUMMYFUNCTION("""COMPUTED_VALUE"""),"application/pdf")</f>
        <v>application/pdf</v>
      </c>
    </row>
    <row r="1103">
      <c r="A1103" s="156" t="str">
        <f>IFERROR(__xludf.DUMMYFUNCTION("""COMPUTED_VALUE"""),"10.2139/ssrn.3962227")</f>
        <v>10.2139/ssrn.3962227</v>
      </c>
      <c r="B1103" s="677" t="str">
        <f>IFERROR(__xludf.DUMMYFUNCTION("""COMPUTED_VALUE"""),"https://drive.google.com/file/d/1jjOa79SSxJXVxFQ6Ptpl2jGWWNFrmVW1/view?usp=drivesdk")</f>
        <v>https://drive.google.com/file/d/1jjOa79SSxJXVxFQ6Ptpl2jGWWNFrmVW1/view?usp=drivesdk</v>
      </c>
      <c r="C1103" s="156" t="str">
        <f>IFERROR(__xludf.DUMMYFUNCTION("""COMPUTED_VALUE"""),"10.2139--ssrn.3962227.pdf")</f>
        <v>10.2139--ssrn.3962227.pdf</v>
      </c>
      <c r="D1103" s="156" t="str">
        <f>IFERROR(__xludf.DUMMYFUNCTION("""COMPUTED_VALUE"""),"application/pdf")</f>
        <v>application/pdf</v>
      </c>
    </row>
    <row r="1104">
      <c r="A1104" s="156" t="str">
        <f>IFERROR(__xludf.DUMMYFUNCTION("""COMPUTED_VALUE"""),"10.1371/journal.pone.0205903")</f>
        <v>10.1371/journal.pone.0205903</v>
      </c>
      <c r="B1104" s="677" t="str">
        <f>IFERROR(__xludf.DUMMYFUNCTION("""COMPUTED_VALUE"""),"https://drive.google.com/file/d/1wWVXJt8OgHsvJo5EXNr8Zg0-7n0JZLrI/view?usp=drivesdk")</f>
        <v>https://drive.google.com/file/d/1wWVXJt8OgHsvJo5EXNr8Zg0-7n0JZLrI/view?usp=drivesdk</v>
      </c>
      <c r="C1104" s="156" t="str">
        <f>IFERROR(__xludf.DUMMYFUNCTION("""COMPUTED_VALUE"""),"10.1371--journal.pone.0205903.pdf")</f>
        <v>10.1371--journal.pone.0205903.pdf</v>
      </c>
      <c r="D1104" s="156" t="str">
        <f>IFERROR(__xludf.DUMMYFUNCTION("""COMPUTED_VALUE"""),"application/pdf")</f>
        <v>application/pdf</v>
      </c>
    </row>
    <row r="1105">
      <c r="A1105" s="156" t="str">
        <f>IFERROR(__xludf.DUMMYFUNCTION("""COMPUTED_VALUE"""),"10.31234/osf.io/84sf7")</f>
        <v>10.31234/osf.io/84sf7</v>
      </c>
      <c r="B1105" s="677" t="str">
        <f>IFERROR(__xludf.DUMMYFUNCTION("""COMPUTED_VALUE"""),"https://drive.google.com/file/d/1Cvp7ioBETJteuOeY7B9lMkDoA8rj9suJ/view?usp=drivesdk")</f>
        <v>https://drive.google.com/file/d/1Cvp7ioBETJteuOeY7B9lMkDoA8rj9suJ/view?usp=drivesdk</v>
      </c>
      <c r="C1105" s="156" t="str">
        <f>IFERROR(__xludf.DUMMYFUNCTION("""COMPUTED_VALUE"""),"10.31234--osf.io--84sf7.pdf")</f>
        <v>10.31234--osf.io--84sf7.pdf</v>
      </c>
      <c r="D1105" s="156" t="str">
        <f>IFERROR(__xludf.DUMMYFUNCTION("""COMPUTED_VALUE"""),"application/pdf")</f>
        <v>application/pdf</v>
      </c>
    </row>
    <row r="1106">
      <c r="A1106" s="156" t="str">
        <f>IFERROR(__xludf.DUMMYFUNCTION("""COMPUTED_VALUE"""),"10.1080/02650487.1997.11104674")</f>
        <v>10.1080/02650487.1997.11104674</v>
      </c>
      <c r="B1106" s="677" t="str">
        <f>IFERROR(__xludf.DUMMYFUNCTION("""COMPUTED_VALUE"""),"https://drive.google.com/file/d/1rNf-Y1TmjvC1M6QAQKYo0RIiESN71ZT1/view?usp=drivesdk")</f>
        <v>https://drive.google.com/file/d/1rNf-Y1TmjvC1M6QAQKYo0RIiESN71ZT1/view?usp=drivesdk</v>
      </c>
      <c r="C1106" s="156" t="str">
        <f>IFERROR(__xludf.DUMMYFUNCTION("""COMPUTED_VALUE"""),"10.1080--02650487.1997.11104674.pdf")</f>
        <v>10.1080--02650487.1997.11104674.pdf</v>
      </c>
      <c r="D1106" s="156" t="str">
        <f>IFERROR(__xludf.DUMMYFUNCTION("""COMPUTED_VALUE"""),"application/pdf")</f>
        <v>application/pdf</v>
      </c>
    </row>
    <row r="1107">
      <c r="A1107" s="156" t="str">
        <f>IFERROR(__xludf.DUMMYFUNCTION("""COMPUTED_VALUE"""),"10.1186/1471-2350-8-s1-s18")</f>
        <v>10.1186/1471-2350-8-s1-s18</v>
      </c>
      <c r="B1107" s="677" t="str">
        <f>IFERROR(__xludf.DUMMYFUNCTION("""COMPUTED_VALUE"""),"https://drive.google.com/file/d/1bTh3Gg3u9nZZv3JaUOuI6n6wpv6cdUn4/view?usp=drivesdk")</f>
        <v>https://drive.google.com/file/d/1bTh3Gg3u9nZZv3JaUOuI6n6wpv6cdUn4/view?usp=drivesdk</v>
      </c>
      <c r="C1107" s="156" t="str">
        <f>IFERROR(__xludf.DUMMYFUNCTION("""COMPUTED_VALUE"""),"10.1186--1471-2350-8-s1-s18.pdf")</f>
        <v>10.1186--1471-2350-8-s1-s18.pdf</v>
      </c>
      <c r="D1107" s="156" t="str">
        <f>IFERROR(__xludf.DUMMYFUNCTION("""COMPUTED_VALUE"""),"application/pdf")</f>
        <v>application/pdf</v>
      </c>
    </row>
    <row r="1108">
      <c r="A1108" s="156" t="str">
        <f>IFERROR(__xludf.DUMMYFUNCTION("""COMPUTED_VALUE"""),"10.1159/000319453")</f>
        <v>10.1159/000319453</v>
      </c>
      <c r="B1108" s="677" t="str">
        <f>IFERROR(__xludf.DUMMYFUNCTION("""COMPUTED_VALUE"""),"https://drive.google.com/file/d/1mcR3bDSjhT8S9pNuhAv3nsNzNUHQHcrK/view?usp=drivesdk")</f>
        <v>https://drive.google.com/file/d/1mcR3bDSjhT8S9pNuhAv3nsNzNUHQHcrK/view?usp=drivesdk</v>
      </c>
      <c r="C1108" s="156" t="str">
        <f>IFERROR(__xludf.DUMMYFUNCTION("""COMPUTED_VALUE"""),"10.1159--000319453.pdf")</f>
        <v>10.1159--000319453.pdf</v>
      </c>
      <c r="D1108" s="156" t="str">
        <f>IFERROR(__xludf.DUMMYFUNCTION("""COMPUTED_VALUE"""),"application/pdf")</f>
        <v>application/pdf</v>
      </c>
    </row>
    <row r="1109">
      <c r="A1109" s="156" t="str">
        <f>IFERROR(__xludf.DUMMYFUNCTION("""COMPUTED_VALUE"""),"10.2307/2977633")</f>
        <v>10.2307/2977633</v>
      </c>
      <c r="B1109" s="677" t="str">
        <f>IFERROR(__xludf.DUMMYFUNCTION("""COMPUTED_VALUE"""),"https://drive.google.com/file/d/1QP9zRqd-iZRXOX1VCHtMb7McvyxRnSgl/view?usp=drivesdk")</f>
        <v>https://drive.google.com/file/d/1QP9zRqd-iZRXOX1VCHtMb7McvyxRnSgl/view?usp=drivesdk</v>
      </c>
      <c r="C1109" s="156" t="str">
        <f>IFERROR(__xludf.DUMMYFUNCTION("""COMPUTED_VALUE"""),"10.2307--2977633.pdf")</f>
        <v>10.2307--2977633.pdf</v>
      </c>
      <c r="D1109" s="156" t="str">
        <f>IFERROR(__xludf.DUMMYFUNCTION("""COMPUTED_VALUE"""),"application/pdf")</f>
        <v>application/pdf</v>
      </c>
    </row>
    <row r="1110">
      <c r="A1110" s="156" t="str">
        <f>IFERROR(__xludf.DUMMYFUNCTION("""COMPUTED_VALUE"""),"10.1177/1091142106292776")</f>
        <v>10.1177/1091142106292776</v>
      </c>
      <c r="B1110" s="677" t="str">
        <f>IFERROR(__xludf.DUMMYFUNCTION("""COMPUTED_VALUE"""),"https://drive.google.com/file/d/17BaGkIzz2E5EF12yCt13C1W4UgPygVCx/view?usp=drivesdk")</f>
        <v>https://drive.google.com/file/d/17BaGkIzz2E5EF12yCt13C1W4UgPygVCx/view?usp=drivesdk</v>
      </c>
      <c r="C1110" s="156" t="str">
        <f>IFERROR(__xludf.DUMMYFUNCTION("""COMPUTED_VALUE"""),"10.1177--1091142106292776.pdf")</f>
        <v>10.1177--1091142106292776.pdf</v>
      </c>
      <c r="D1110" s="156" t="str">
        <f>IFERROR(__xludf.DUMMYFUNCTION("""COMPUTED_VALUE"""),"application/pdf")</f>
        <v>application/pdf</v>
      </c>
    </row>
    <row r="1111">
      <c r="A1111" s="156" t="str">
        <f>IFERROR(__xludf.DUMMYFUNCTION("""COMPUTED_VALUE"""),"10.1177/1474704916678217.")</f>
        <v>10.1177/1474704916678217.</v>
      </c>
      <c r="B1111" s="677" t="str">
        <f>IFERROR(__xludf.DUMMYFUNCTION("""COMPUTED_VALUE"""),"https://drive.google.com/file/d/17KBWbm37kzMHZZItLrkVI0TTy58Aihyg/view?usp=drivesdk")</f>
        <v>https://drive.google.com/file/d/17KBWbm37kzMHZZItLrkVI0TTy58Aihyg/view?usp=drivesdk</v>
      </c>
      <c r="C1111" s="156" t="str">
        <f>IFERROR(__xludf.DUMMYFUNCTION("""COMPUTED_VALUE"""),"10.1177--1474704916678217..pdf")</f>
        <v>10.1177--1474704916678217..pdf</v>
      </c>
      <c r="D1111" s="156" t="str">
        <f>IFERROR(__xludf.DUMMYFUNCTION("""COMPUTED_VALUE"""),"application/pdf")</f>
        <v>application/pdf</v>
      </c>
    </row>
    <row r="1112">
      <c r="A1112" s="156" t="str">
        <f>IFERROR(__xludf.DUMMYFUNCTION("""COMPUTED_VALUE"""),"10.21203/rs.3.rs-3136501/v1")</f>
        <v>10.21203/rs.3.rs-3136501/v1</v>
      </c>
      <c r="B1112" s="677" t="str">
        <f>IFERROR(__xludf.DUMMYFUNCTION("""COMPUTED_VALUE"""),"https://drive.google.com/file/d/1sAjkDhpCHb3BXcACv1kU8MHq-ItQvoJ3/view?usp=drivesdk")</f>
        <v>https://drive.google.com/file/d/1sAjkDhpCHb3BXcACv1kU8MHq-ItQvoJ3/view?usp=drivesdk</v>
      </c>
      <c r="C1112" s="156" t="str">
        <f>IFERROR(__xludf.DUMMYFUNCTION("""COMPUTED_VALUE"""),"10.21203--rs.3.rs-3136501--v1.pdf")</f>
        <v>10.21203--rs.3.rs-3136501--v1.pdf</v>
      </c>
      <c r="D1112" s="156" t="str">
        <f>IFERROR(__xludf.DUMMYFUNCTION("""COMPUTED_VALUE"""),"application/pdf")</f>
        <v>application/pdf</v>
      </c>
    </row>
    <row r="1113">
      <c r="A1113" s="156" t="str">
        <f>IFERROR(__xludf.DUMMYFUNCTION("""COMPUTED_VALUE"""),"10.1016/j.neuroimage.2012.04.024")</f>
        <v>10.1016/j.neuroimage.2012.04.024</v>
      </c>
      <c r="B1113" s="677" t="str">
        <f>IFERROR(__xludf.DUMMYFUNCTION("""COMPUTED_VALUE"""),"https://drive.google.com/file/d/1yhIngauefSEKl73_p7xAergh0ApQKu_P/view?usp=drivesdk")</f>
        <v>https://drive.google.com/file/d/1yhIngauefSEKl73_p7xAergh0ApQKu_P/view?usp=drivesdk</v>
      </c>
      <c r="C1113" s="156" t="str">
        <f>IFERROR(__xludf.DUMMYFUNCTION("""COMPUTED_VALUE"""),"10.1016--j.neuroimage.2012.04.024.pdf")</f>
        <v>10.1016--j.neuroimage.2012.04.024.pdf</v>
      </c>
      <c r="D1113" s="156" t="str">
        <f>IFERROR(__xludf.DUMMYFUNCTION("""COMPUTED_VALUE"""),"application/pdf")</f>
        <v>application/pdf</v>
      </c>
    </row>
    <row r="1114">
      <c r="A1114" s="156" t="str">
        <f>IFERROR(__xludf.DUMMYFUNCTION("""COMPUTED_VALUE"""),"10.1098/rsos.230447")</f>
        <v>10.1098/rsos.230447</v>
      </c>
      <c r="B1114" s="677" t="str">
        <f>IFERROR(__xludf.DUMMYFUNCTION("""COMPUTED_VALUE"""),"https://drive.google.com/file/d/1Zs7RaoW7B0k_7gqWV_THzhYMxPihBvFg/view?usp=drivesdk")</f>
        <v>https://drive.google.com/file/d/1Zs7RaoW7B0k_7gqWV_THzhYMxPihBvFg/view?usp=drivesdk</v>
      </c>
      <c r="C1114" s="156" t="str">
        <f>IFERROR(__xludf.DUMMYFUNCTION("""COMPUTED_VALUE"""),"10.1098--rsos.230447.pdf")</f>
        <v>10.1098--rsos.230447.pdf</v>
      </c>
      <c r="D1114" s="156" t="str">
        <f>IFERROR(__xludf.DUMMYFUNCTION("""COMPUTED_VALUE"""),"application/pdf")</f>
        <v>application/pdf</v>
      </c>
    </row>
    <row r="1115">
      <c r="A1115" s="156" t="str">
        <f>IFERROR(__xludf.DUMMYFUNCTION("""COMPUTED_VALUE"""),"10.1093/scan/nsae054")</f>
        <v>10.1093/scan/nsae054</v>
      </c>
      <c r="B1115" s="677" t="str">
        <f>IFERROR(__xludf.DUMMYFUNCTION("""COMPUTED_VALUE"""),"https://drive.google.com/file/d/1iKkC-jZ2W_bEnOs7KtsQibqPEML7w-Cy/view?usp=drivesdk")</f>
        <v>https://drive.google.com/file/d/1iKkC-jZ2W_bEnOs7KtsQibqPEML7w-Cy/view?usp=drivesdk</v>
      </c>
      <c r="C1115" s="156" t="str">
        <f>IFERROR(__xludf.DUMMYFUNCTION("""COMPUTED_VALUE"""),"10.1093--scan--nsae054.pdf")</f>
        <v>10.1093--scan--nsae054.pdf</v>
      </c>
      <c r="D1115" s="156" t="str">
        <f>IFERROR(__xludf.DUMMYFUNCTION("""COMPUTED_VALUE"""),"application/pdf")</f>
        <v>application/pdf</v>
      </c>
    </row>
    <row r="1116">
      <c r="A1116" s="156" t="str">
        <f>IFERROR(__xludf.DUMMYFUNCTION("""COMPUTED_VALUE"""),"10.2196/cardio.8301")</f>
        <v>10.2196/cardio.8301</v>
      </c>
      <c r="B1116" s="677" t="str">
        <f>IFERROR(__xludf.DUMMYFUNCTION("""COMPUTED_VALUE"""),"https://drive.google.com/file/d/16ccVSTaeQPPqQrA-zYek-rcbKck3H0BF/view?usp=drivesdk")</f>
        <v>https://drive.google.com/file/d/16ccVSTaeQPPqQrA-zYek-rcbKck3H0BF/view?usp=drivesdk</v>
      </c>
      <c r="C1116" s="156" t="str">
        <f>IFERROR(__xludf.DUMMYFUNCTION("""COMPUTED_VALUE"""),"10.2196--cardio.8301.pdf")</f>
        <v>10.2196--cardio.8301.pdf</v>
      </c>
      <c r="D1116" s="156" t="str">
        <f>IFERROR(__xludf.DUMMYFUNCTION("""COMPUTED_VALUE"""),"application/pdf")</f>
        <v>application/pdf</v>
      </c>
    </row>
    <row r="1117">
      <c r="A1117" s="156" t="str">
        <f>IFERROR(__xludf.DUMMYFUNCTION("""COMPUTED_VALUE"""),"10.2196/12122")</f>
        <v>10.2196/12122</v>
      </c>
      <c r="B1117" s="677" t="str">
        <f>IFERROR(__xludf.DUMMYFUNCTION("""COMPUTED_VALUE"""),"https://drive.google.com/file/d/1CT7UMmOhKw6gVwYN6XhwmdPQcPAWSYp3/view?usp=drivesdk")</f>
        <v>https://drive.google.com/file/d/1CT7UMmOhKw6gVwYN6XhwmdPQcPAWSYp3/view?usp=drivesdk</v>
      </c>
      <c r="C1117" s="156" t="str">
        <f>IFERROR(__xludf.DUMMYFUNCTION("""COMPUTED_VALUE"""),"10.2196--12122.pdf")</f>
        <v>10.2196--12122.pdf</v>
      </c>
      <c r="D1117" s="156" t="str">
        <f>IFERROR(__xludf.DUMMYFUNCTION("""COMPUTED_VALUE"""),"application/pdf")</f>
        <v>application/pdf</v>
      </c>
    </row>
    <row r="1118">
      <c r="A1118" s="156" t="str">
        <f>IFERROR(__xludf.DUMMYFUNCTION("""COMPUTED_VALUE"""),"10.5964/ejop.v12i3.1160")</f>
        <v>10.5964/ejop.v12i3.1160</v>
      </c>
      <c r="B1118" s="677" t="str">
        <f>IFERROR(__xludf.DUMMYFUNCTION("""COMPUTED_VALUE"""),"https://drive.google.com/file/d/1B4cQ6yQJFzSTTEHV87JLjqxhrQfVniB0/view?usp=drivesdk")</f>
        <v>https://drive.google.com/file/d/1B4cQ6yQJFzSTTEHV87JLjqxhrQfVniB0/view?usp=drivesdk</v>
      </c>
      <c r="C1118" s="156" t="str">
        <f>IFERROR(__xludf.DUMMYFUNCTION("""COMPUTED_VALUE"""),"10.5964--ejop.v12i3.1160.pdf")</f>
        <v>10.5964--ejop.v12i3.1160.pdf</v>
      </c>
      <c r="D1118" s="156" t="str">
        <f>IFERROR(__xludf.DUMMYFUNCTION("""COMPUTED_VALUE"""),"application/pdf")</f>
        <v>application/pdf</v>
      </c>
    </row>
    <row r="1119">
      <c r="A1119" s="156" t="str">
        <f>IFERROR(__xludf.DUMMYFUNCTION("""COMPUTED_VALUE"""),"10.1038/358749a0")</f>
        <v>10.1038/358749a0</v>
      </c>
      <c r="B1119" s="677" t="str">
        <f>IFERROR(__xludf.DUMMYFUNCTION("""COMPUTED_VALUE"""),"https://drive.google.com/file/d/1k4Mw7yZRNlIOk3AktnNVBniMD_Ppf_ce/view?usp=drivesdk")</f>
        <v>https://drive.google.com/file/d/1k4Mw7yZRNlIOk3AktnNVBniMD_Ppf_ce/view?usp=drivesdk</v>
      </c>
      <c r="C1119" s="156" t="str">
        <f>IFERROR(__xludf.DUMMYFUNCTION("""COMPUTED_VALUE"""),"10.1038--358749a0.pdf")</f>
        <v>10.1038--358749a0.pdf</v>
      </c>
      <c r="D1119" s="156" t="str">
        <f>IFERROR(__xludf.DUMMYFUNCTION("""COMPUTED_VALUE"""),"application/pdf")</f>
        <v>application/pdf</v>
      </c>
    </row>
    <row r="1120">
      <c r="A1120" s="156" t="str">
        <f>IFERROR(__xludf.DUMMYFUNCTION("""COMPUTED_VALUE"""),"10.1037/0012-1649.42.4.666")</f>
        <v>10.1037/0012-1649.42.4.666</v>
      </c>
      <c r="B1120" s="677" t="str">
        <f>IFERROR(__xludf.DUMMYFUNCTION("""COMPUTED_VALUE"""),"https://drive.google.com/file/d/1NB8SEOcrW-fS2BNAMsaZGN0LtaNhCCFx/view?usp=drivesdk")</f>
        <v>https://drive.google.com/file/d/1NB8SEOcrW-fS2BNAMsaZGN0LtaNhCCFx/view?usp=drivesdk</v>
      </c>
      <c r="C1120" s="156" t="str">
        <f>IFERROR(__xludf.DUMMYFUNCTION("""COMPUTED_VALUE"""),"10.1037--0012-1649.42.4.666.pdf")</f>
        <v>10.1037--0012-1649.42.4.666.pdf</v>
      </c>
      <c r="D1120" s="156" t="str">
        <f>IFERROR(__xludf.DUMMYFUNCTION("""COMPUTED_VALUE"""),"application/pdf")</f>
        <v>application/pdf</v>
      </c>
    </row>
    <row r="1121">
      <c r="A1121" s="156" t="str">
        <f>IFERROR(__xludf.DUMMYFUNCTION("""COMPUTED_VALUE"""),"bollinger_1994")</f>
        <v>bollinger_1994</v>
      </c>
      <c r="B1121" s="677" t="str">
        <f>IFERROR(__xludf.DUMMYFUNCTION("""COMPUTED_VALUE"""),"https://drive.google.com/file/d/1y1clH06IEou9voxiR9wEEPTzz-xfRC_Z/view?usp=drivesdk")</f>
        <v>https://drive.google.com/file/d/1y1clH06IEou9voxiR9wEEPTzz-xfRC_Z/view?usp=drivesdk</v>
      </c>
      <c r="C1121" s="156" t="str">
        <f>IFERROR(__xludf.DUMMYFUNCTION("""COMPUTED_VALUE"""),"bollinger_1994.pdf")</f>
        <v>bollinger_1994.pdf</v>
      </c>
      <c r="D1121" s="156" t="str">
        <f>IFERROR(__xludf.DUMMYFUNCTION("""COMPUTED_VALUE"""),"application/pdf")</f>
        <v>application/pdf</v>
      </c>
    </row>
    <row r="1122">
      <c r="A1122" s="156" t="str">
        <f>IFERROR(__xludf.DUMMYFUNCTION("""COMPUTED_VALUE"""),"10.1007/s00221-023-06644-3")</f>
        <v>10.1007/s00221-023-06644-3</v>
      </c>
      <c r="B1122" s="677" t="str">
        <f>IFERROR(__xludf.DUMMYFUNCTION("""COMPUTED_VALUE"""),"https://drive.google.com/file/d/1FXLFT6SJ9aw3QI_USojxQDvz_YOkzfG9/view?usp=drivesdk")</f>
        <v>https://drive.google.com/file/d/1FXLFT6SJ9aw3QI_USojxQDvz_YOkzfG9/view?usp=drivesdk</v>
      </c>
      <c r="C1122" s="156" t="str">
        <f>IFERROR(__xludf.DUMMYFUNCTION("""COMPUTED_VALUE"""),"10.1007--s00221-023-06644-3.pdf")</f>
        <v>10.1007--s00221-023-06644-3.pdf</v>
      </c>
      <c r="D1122" s="156" t="str">
        <f>IFERROR(__xludf.DUMMYFUNCTION("""COMPUTED_VALUE"""),"application/pdf")</f>
        <v>application/pdf</v>
      </c>
    </row>
    <row r="1123">
      <c r="A1123" s="156" t="str">
        <f>IFERROR(__xludf.DUMMYFUNCTION("""COMPUTED_VALUE"""),"10.31234/osf.io/bvqma")</f>
        <v>10.31234/osf.io/bvqma</v>
      </c>
      <c r="B1123" s="677" t="str">
        <f>IFERROR(__xludf.DUMMYFUNCTION("""COMPUTED_VALUE"""),"https://drive.google.com/file/d/16DVt8Y5GxXdggRvwtpyp_jimvdwf4XxL/view?usp=drivesdk")</f>
        <v>https://drive.google.com/file/d/16DVt8Y5GxXdggRvwtpyp_jimvdwf4XxL/view?usp=drivesdk</v>
      </c>
      <c r="C1123" s="156" t="str">
        <f>IFERROR(__xludf.DUMMYFUNCTION("""COMPUTED_VALUE"""),"10.31234--osf.io--bvqma.pdf")</f>
        <v>10.31234--osf.io--bvqma.pdf</v>
      </c>
      <c r="D1123" s="156" t="str">
        <f>IFERROR(__xludf.DUMMYFUNCTION("""COMPUTED_VALUE"""),"application/pdf")</f>
        <v>application/pdf</v>
      </c>
    </row>
    <row r="1124">
      <c r="A1124" s="156" t="str">
        <f>IFERROR(__xludf.DUMMYFUNCTION("""COMPUTED_VALUE"""),"10.1093/schbul/sbz019.346")</f>
        <v>10.1093/schbul/sbz019.346</v>
      </c>
      <c r="B1124" s="677" t="str">
        <f>IFERROR(__xludf.DUMMYFUNCTION("""COMPUTED_VALUE"""),"https://drive.google.com/file/d/1tvai3n1EOGKH_K0iyRzl5y4TKqtAjF9e/view?usp=drivesdk")</f>
        <v>https://drive.google.com/file/d/1tvai3n1EOGKH_K0iyRzl5y4TKqtAjF9e/view?usp=drivesdk</v>
      </c>
      <c r="C1124" s="156" t="str">
        <f>IFERROR(__xludf.DUMMYFUNCTION("""COMPUTED_VALUE"""),"10.1093--schbul--sbz019.346.pdf")</f>
        <v>10.1093--schbul--sbz019.346.pdf</v>
      </c>
      <c r="D1124" s="156" t="str">
        <f>IFERROR(__xludf.DUMMYFUNCTION("""COMPUTED_VALUE"""),"application/pdf")</f>
        <v>application/pdf</v>
      </c>
    </row>
    <row r="1125">
      <c r="A1125" s="156" t="str">
        <f>IFERROR(__xludf.DUMMYFUNCTION("""COMPUTED_VALUE"""),"10.1068/p5484")</f>
        <v>10.1068/p5484</v>
      </c>
      <c r="B1125" s="677" t="str">
        <f>IFERROR(__xludf.DUMMYFUNCTION("""COMPUTED_VALUE"""),"https://drive.google.com/file/d/1yW0ZszGrPKRFuLx0-9iwjn42FP-08DtF/view?usp=drivesdk")</f>
        <v>https://drive.google.com/file/d/1yW0ZszGrPKRFuLx0-9iwjn42FP-08DtF/view?usp=drivesdk</v>
      </c>
      <c r="C1125" s="156" t="str">
        <f>IFERROR(__xludf.DUMMYFUNCTION("""COMPUTED_VALUE"""),"10.1068--p5484.pdf")</f>
        <v>10.1068--p5484.pdf</v>
      </c>
      <c r="D1125" s="156" t="str">
        <f>IFERROR(__xludf.DUMMYFUNCTION("""COMPUTED_VALUE"""),"application/pdf")</f>
        <v>application/pdf</v>
      </c>
    </row>
    <row r="1126">
      <c r="A1126" s="156" t="str">
        <f>IFERROR(__xludf.DUMMYFUNCTION("""COMPUTED_VALUE"""),"10.1172/jci200317491")</f>
        <v>10.1172/jci200317491</v>
      </c>
      <c r="B1126" s="677" t="str">
        <f>IFERROR(__xludf.DUMMYFUNCTION("""COMPUTED_VALUE"""),"https://drive.google.com/file/d/1jPGVtz84rIUK_7ToCPnFIOYXNK7RCyc4/view?usp=drivesdk")</f>
        <v>https://drive.google.com/file/d/1jPGVtz84rIUK_7ToCPnFIOYXNK7RCyc4/view?usp=drivesdk</v>
      </c>
      <c r="C1126" s="156" t="str">
        <f>IFERROR(__xludf.DUMMYFUNCTION("""COMPUTED_VALUE"""),"10.1172--jci200317491.pdf")</f>
        <v>10.1172--jci200317491.pdf</v>
      </c>
      <c r="D1126" s="156" t="str">
        <f>IFERROR(__xludf.DUMMYFUNCTION("""COMPUTED_VALUE"""),"application/pdf")</f>
        <v>application/pdf</v>
      </c>
    </row>
    <row r="1127">
      <c r="A1127" s="156" t="str">
        <f>IFERROR(__xludf.DUMMYFUNCTION("""COMPUTED_VALUE"""),"10.1177/003151259407800321")</f>
        <v>10.1177/003151259407800321</v>
      </c>
      <c r="B1127" s="677" t="str">
        <f>IFERROR(__xludf.DUMMYFUNCTION("""COMPUTED_VALUE"""),"https://drive.google.com/file/d/1Y3HKCtakqT83piJTpjdATW96pYoS4_Hc/view?usp=drivesdk")</f>
        <v>https://drive.google.com/file/d/1Y3HKCtakqT83piJTpjdATW96pYoS4_Hc/view?usp=drivesdk</v>
      </c>
      <c r="C1127" s="156" t="str">
        <f>IFERROR(__xludf.DUMMYFUNCTION("""COMPUTED_VALUE"""),"10.1177--003151259407800321.pdf")</f>
        <v>10.1177--003151259407800321.pdf</v>
      </c>
      <c r="D1127" s="156" t="str">
        <f>IFERROR(__xludf.DUMMYFUNCTION("""COMPUTED_VALUE"""),"application/pdf")</f>
        <v>application/pdf</v>
      </c>
    </row>
    <row r="1128">
      <c r="A1128" s="156" t="str">
        <f>IFERROR(__xludf.DUMMYFUNCTION("""COMPUTED_VALUE"""),"10.1007/s10389-023-01905-5")</f>
        <v>10.1007/s10389-023-01905-5</v>
      </c>
      <c r="B1128" s="677" t="str">
        <f>IFERROR(__xludf.DUMMYFUNCTION("""COMPUTED_VALUE"""),"https://drive.google.com/file/d/14Q3iNW3UaaSIH4rDe6uxO8qOw5GqbCuG/view?usp=drivesdk")</f>
        <v>https://drive.google.com/file/d/14Q3iNW3UaaSIH4rDe6uxO8qOw5GqbCuG/view?usp=drivesdk</v>
      </c>
      <c r="C1128" s="156" t="str">
        <f>IFERROR(__xludf.DUMMYFUNCTION("""COMPUTED_VALUE"""),"10.1007--s10389-023-01905-5.pdf")</f>
        <v>10.1007--s10389-023-01905-5.pdf</v>
      </c>
      <c r="D1128" s="156" t="str">
        <f>IFERROR(__xludf.DUMMYFUNCTION("""COMPUTED_VALUE"""),"application/pdf")</f>
        <v>application/pdf</v>
      </c>
    </row>
    <row r="1129">
      <c r="A1129" s="156" t="str">
        <f>IFERROR(__xludf.DUMMYFUNCTION("""COMPUTED_VALUE"""),"10.1037/0096-3445.126.3.278")</f>
        <v>10.1037/0096-3445.126.3.278</v>
      </c>
      <c r="B1129" s="677" t="str">
        <f>IFERROR(__xludf.DUMMYFUNCTION("""COMPUTED_VALUE"""),"https://drive.google.com/file/d/1d7arudtV6IA6iBGNc5b_f_0k8-S4iohv/view?usp=drivesdk")</f>
        <v>https://drive.google.com/file/d/1d7arudtV6IA6iBGNc5b_f_0k8-S4iohv/view?usp=drivesdk</v>
      </c>
      <c r="C1129" s="156" t="str">
        <f>IFERROR(__xludf.DUMMYFUNCTION("""COMPUTED_VALUE"""),"10.1037--0096-3445.126.3.278.pdf")</f>
        <v>10.1037--0096-3445.126.3.278.pdf</v>
      </c>
      <c r="D1129" s="156" t="str">
        <f>IFERROR(__xludf.DUMMYFUNCTION("""COMPUTED_VALUE"""),"application/pdf")</f>
        <v>application/pdf</v>
      </c>
    </row>
    <row r="1130">
      <c r="A1130" s="156" t="str">
        <f>IFERROR(__xludf.DUMMYFUNCTION("""COMPUTED_VALUE"""),"10.17918/00008271")</f>
        <v>10.17918/00008271</v>
      </c>
      <c r="B1130" s="677" t="str">
        <f>IFERROR(__xludf.DUMMYFUNCTION("""COMPUTED_VALUE"""),"https://drive.google.com/file/d/1zEEzJorm4NMOaAzqz9h9s5GOlIb1YVQo/view?usp=drivesdk")</f>
        <v>https://drive.google.com/file/d/1zEEzJorm4NMOaAzqz9h9s5GOlIb1YVQo/view?usp=drivesdk</v>
      </c>
      <c r="C1130" s="156" t="str">
        <f>IFERROR(__xludf.DUMMYFUNCTION("""COMPUTED_VALUE"""),"10.17918--00008271.pdf")</f>
        <v>10.17918--00008271.pdf</v>
      </c>
      <c r="D1130" s="156" t="str">
        <f>IFERROR(__xludf.DUMMYFUNCTION("""COMPUTED_VALUE"""),"application/pdf")</f>
        <v>application/pdf</v>
      </c>
    </row>
    <row r="1131">
      <c r="A1131" s="156" t="str">
        <f>IFERROR(__xludf.DUMMYFUNCTION("""COMPUTED_VALUE"""),"gaissmaier_2005")</f>
        <v>gaissmaier_2005</v>
      </c>
      <c r="B1131" s="677" t="str">
        <f>IFERROR(__xludf.DUMMYFUNCTION("""COMPUTED_VALUE"""),"https://drive.google.com/file/d/1imAx6dmQtWiS5VnDT7LM1Pv-7Fmv4q0t/view?usp=drivesdk")</f>
        <v>https://drive.google.com/file/d/1imAx6dmQtWiS5VnDT7LM1Pv-7Fmv4q0t/view?usp=drivesdk</v>
      </c>
      <c r="C1131" s="156" t="str">
        <f>IFERROR(__xludf.DUMMYFUNCTION("""COMPUTED_VALUE"""),"gaissmaier_2005.pdf")</f>
        <v>gaissmaier_2005.pdf</v>
      </c>
      <c r="D1131" s="156" t="str">
        <f>IFERROR(__xludf.DUMMYFUNCTION("""COMPUTED_VALUE"""),"application/pdf")</f>
        <v>application/pdf</v>
      </c>
    </row>
    <row r="1132">
      <c r="A1132" s="156" t="str">
        <f>IFERROR(__xludf.DUMMYFUNCTION("""COMPUTED_VALUE"""),"10.1016/j.paid.2017.04.024")</f>
        <v>10.1016/j.paid.2017.04.024</v>
      </c>
      <c r="B1132" s="677" t="str">
        <f>IFERROR(__xludf.DUMMYFUNCTION("""COMPUTED_VALUE"""),"https://drive.google.com/file/d/1byz7AyfteF1u_a68HEvom3Mwh6rXoXi0/view?usp=drivesdk")</f>
        <v>https://drive.google.com/file/d/1byz7AyfteF1u_a68HEvom3Mwh6rXoXi0/view?usp=drivesdk</v>
      </c>
      <c r="C1132" s="156" t="str">
        <f>IFERROR(__xludf.DUMMYFUNCTION("""COMPUTED_VALUE"""),"10.1016--j.paid.2017.04.024.pdf")</f>
        <v>10.1016--j.paid.2017.04.024.pdf</v>
      </c>
      <c r="D1132" s="156" t="str">
        <f>IFERROR(__xludf.DUMMYFUNCTION("""COMPUTED_VALUE"""),"application/pdf")</f>
        <v>application/pdf</v>
      </c>
    </row>
    <row r="1133">
      <c r="A1133" s="156" t="str">
        <f>IFERROR(__xludf.DUMMYFUNCTION("""COMPUTED_VALUE"""),"10.31234/osf.io/zwbpu")</f>
        <v>10.31234/osf.io/zwbpu</v>
      </c>
      <c r="B1133" s="677" t="str">
        <f>IFERROR(__xludf.DUMMYFUNCTION("""COMPUTED_VALUE"""),"https://drive.google.com/file/d/1cB5xfmf3D3sljVZf__EYR64QA5_6sxKl/view?usp=drivesdk")</f>
        <v>https://drive.google.com/file/d/1cB5xfmf3D3sljVZf__EYR64QA5_6sxKl/view?usp=drivesdk</v>
      </c>
      <c r="C1133" s="156" t="str">
        <f>IFERROR(__xludf.DUMMYFUNCTION("""COMPUTED_VALUE"""),"10.31234--osf.io--zwbpu.pdf")</f>
        <v>10.31234--osf.io--zwbpu.pdf</v>
      </c>
      <c r="D1133" s="156" t="str">
        <f>IFERROR(__xludf.DUMMYFUNCTION("""COMPUTED_VALUE"""),"application/pdf")</f>
        <v>application/pdf</v>
      </c>
    </row>
    <row r="1134">
      <c r="A1134" s="156" t="str">
        <f>IFERROR(__xludf.DUMMYFUNCTION("""COMPUTED_VALUE"""),"coletta_2007")</f>
        <v>coletta_2007</v>
      </c>
      <c r="B1134" s="677" t="str">
        <f>IFERROR(__xludf.DUMMYFUNCTION("""COMPUTED_VALUE"""),"https://drive.google.com/file/d/1IPiiPzd-m44_afOzCS7QvMES8_oBEhvq/view?usp=drivesdk")</f>
        <v>https://drive.google.com/file/d/1IPiiPzd-m44_afOzCS7QvMES8_oBEhvq/view?usp=drivesdk</v>
      </c>
      <c r="C1134" s="156" t="str">
        <f>IFERROR(__xludf.DUMMYFUNCTION("""COMPUTED_VALUE"""),"coletta_2007.pdf")</f>
        <v>coletta_2007.pdf</v>
      </c>
      <c r="D1134" s="156" t="str">
        <f>IFERROR(__xludf.DUMMYFUNCTION("""COMPUTED_VALUE"""),"application/pdf")</f>
        <v>application/pdf</v>
      </c>
    </row>
    <row r="1135">
      <c r="A1135" s="156" t="str">
        <f>IFERROR(__xludf.DUMMYFUNCTION("""COMPUTED_VALUE"""),"10.1002/acp.70012")</f>
        <v>10.1002/acp.70012</v>
      </c>
      <c r="B1135" s="677" t="str">
        <f>IFERROR(__xludf.DUMMYFUNCTION("""COMPUTED_VALUE"""),"https://drive.google.com/file/d/1-mh2DYKKpcAoRtp_P-ryesrulkz7jlbu/view?usp=drivesdk")</f>
        <v>https://drive.google.com/file/d/1-mh2DYKKpcAoRtp_P-ryesrulkz7jlbu/view?usp=drivesdk</v>
      </c>
      <c r="C1135" s="156" t="str">
        <f>IFERROR(__xludf.DUMMYFUNCTION("""COMPUTED_VALUE"""),"10.1002--acp.70012.pdf")</f>
        <v>10.1002--acp.70012.pdf</v>
      </c>
      <c r="D1135" s="156" t="str">
        <f>IFERROR(__xludf.DUMMYFUNCTION("""COMPUTED_VALUE"""),"application/pdf")</f>
        <v>application/pdf</v>
      </c>
    </row>
    <row r="1136">
      <c r="A1136" s="156" t="str">
        <f>IFERROR(__xludf.DUMMYFUNCTION("""COMPUTED_VALUE"""),"10.1108/07363761111181509")</f>
        <v>10.1108/07363761111181509</v>
      </c>
      <c r="B1136" s="677" t="str">
        <f>IFERROR(__xludf.DUMMYFUNCTION("""COMPUTED_VALUE"""),"https://drive.google.com/file/d/1ymOhc8W3MaYfXbeHuX_6UGKrtqUQmHlD/view?usp=drivesdk")</f>
        <v>https://drive.google.com/file/d/1ymOhc8W3MaYfXbeHuX_6UGKrtqUQmHlD/view?usp=drivesdk</v>
      </c>
      <c r="C1136" s="156" t="str">
        <f>IFERROR(__xludf.DUMMYFUNCTION("""COMPUTED_VALUE"""),"10.1108--07363761111181509.pdf")</f>
        <v>10.1108--07363761111181509.pdf</v>
      </c>
      <c r="D1136" s="156" t="str">
        <f>IFERROR(__xludf.DUMMYFUNCTION("""COMPUTED_VALUE"""),"application/pdf")</f>
        <v>application/pdf</v>
      </c>
    </row>
    <row r="1137">
      <c r="A1137" s="156" t="str">
        <f>IFERROR(__xludf.DUMMYFUNCTION("""COMPUTED_VALUE"""),"osf.ions26x")</f>
        <v>osf.ions26x</v>
      </c>
      <c r="B1137" s="677" t="str">
        <f>IFERROR(__xludf.DUMMYFUNCTION("""COMPUTED_VALUE"""),"https://drive.google.com/file/d/1-9Fcmt4OS-LDChgj2l27HGaNzy4UZ_SN/view?usp=drivesdk")</f>
        <v>https://drive.google.com/file/d/1-9Fcmt4OS-LDChgj2l27HGaNzy4UZ_SN/view?usp=drivesdk</v>
      </c>
      <c r="C1137" s="156" t="str">
        <f>IFERROR(__xludf.DUMMYFUNCTION("""COMPUTED_VALUE"""),"osf.ions26x.pdf")</f>
        <v>osf.ions26x.pdf</v>
      </c>
      <c r="D1137" s="156" t="str">
        <f>IFERROR(__xludf.DUMMYFUNCTION("""COMPUTED_VALUE"""),"application/pdf")</f>
        <v>application/pdf</v>
      </c>
    </row>
    <row r="1138">
      <c r="A1138" s="156" t="str">
        <f>IFERROR(__xludf.DUMMYFUNCTION("""COMPUTED_VALUE"""),"10.1207/s15327795jra0303_2")</f>
        <v>10.1207/s15327795jra0303_2</v>
      </c>
      <c r="B1138" s="677" t="str">
        <f>IFERROR(__xludf.DUMMYFUNCTION("""COMPUTED_VALUE"""),"https://drive.google.com/file/d/1Jok6c7VCZtMN99P6fMSmmpu_xIq7tlFM/view?usp=drivesdk")</f>
        <v>https://drive.google.com/file/d/1Jok6c7VCZtMN99P6fMSmmpu_xIq7tlFM/view?usp=drivesdk</v>
      </c>
      <c r="C1138" s="156" t="str">
        <f>IFERROR(__xludf.DUMMYFUNCTION("""COMPUTED_VALUE"""),"10.1207--s15327795jra0303_2.pdf")</f>
        <v>10.1207--s15327795jra0303_2.pdf</v>
      </c>
      <c r="D1138" s="156" t="str">
        <f>IFERROR(__xludf.DUMMYFUNCTION("""COMPUTED_VALUE"""),"application/pdf")</f>
        <v>application/pdf</v>
      </c>
    </row>
    <row r="1139">
      <c r="A1139" s="156" t="str">
        <f>IFERROR(__xludf.DUMMYFUNCTION("""COMPUTED_VALUE"""),"10.1093/oxfordjournals.jpart.a037145")</f>
        <v>10.1093/oxfordjournals.jpart.a037145</v>
      </c>
      <c r="B1139" s="677" t="str">
        <f>IFERROR(__xludf.DUMMYFUNCTION("""COMPUTED_VALUE"""),"https://drive.google.com/file/d/1fKBpFNzmzvS091UTRO9kCoAM5okQyhs0/view?usp=drivesdk")</f>
        <v>https://drive.google.com/file/d/1fKBpFNzmzvS091UTRO9kCoAM5okQyhs0/view?usp=drivesdk</v>
      </c>
      <c r="C1139" s="156" t="str">
        <f>IFERROR(__xludf.DUMMYFUNCTION("""COMPUTED_VALUE"""),"10.1093--oxfordjournals.jpart.a037145.pdf")</f>
        <v>10.1093--oxfordjournals.jpart.a037145.pdf</v>
      </c>
      <c r="D1139" s="156" t="str">
        <f>IFERROR(__xludf.DUMMYFUNCTION("""COMPUTED_VALUE"""),"application/pdf")</f>
        <v>application/pdf</v>
      </c>
    </row>
    <row r="1140">
      <c r="A1140" s="156" t="str">
        <f>IFERROR(__xludf.DUMMYFUNCTION("""COMPUTED_VALUE"""),"10.1037/h0033973")</f>
        <v>10.1037/h0033973</v>
      </c>
      <c r="B1140" s="677" t="str">
        <f>IFERROR(__xludf.DUMMYFUNCTION("""COMPUTED_VALUE"""),"https://drive.google.com/file/d/1hcj-x2XoWUnUV1obCIB65yNgQ3kylZiW/view?usp=drivesdk")</f>
        <v>https://drive.google.com/file/d/1hcj-x2XoWUnUV1obCIB65yNgQ3kylZiW/view?usp=drivesdk</v>
      </c>
      <c r="C1140" s="156" t="str">
        <f>IFERROR(__xludf.DUMMYFUNCTION("""COMPUTED_VALUE"""),"10.1037--h0033973.pdf")</f>
        <v>10.1037--h0033973.pdf</v>
      </c>
      <c r="D1140" s="156" t="str">
        <f>IFERROR(__xludf.DUMMYFUNCTION("""COMPUTED_VALUE"""),"application/pdf")</f>
        <v>application/pdf</v>
      </c>
    </row>
    <row r="1141">
      <c r="A1141" s="156" t="str">
        <f>IFERROR(__xludf.DUMMYFUNCTION("""COMPUTED_VALUE"""),"10.2466/pr0.1973.32.3c.1338")</f>
        <v>10.2466/pr0.1973.32.3c.1338</v>
      </c>
      <c r="B1141" s="677" t="str">
        <f>IFERROR(__xludf.DUMMYFUNCTION("""COMPUTED_VALUE"""),"https://drive.google.com/file/d/1O2CZV1333YM3N87LfUtFqqnihWJQmnIF/view?usp=drivesdk")</f>
        <v>https://drive.google.com/file/d/1O2CZV1333YM3N87LfUtFqqnihWJQmnIF/view?usp=drivesdk</v>
      </c>
      <c r="C1141" s="156" t="str">
        <f>IFERROR(__xludf.DUMMYFUNCTION("""COMPUTED_VALUE"""),"10.2466--pr0.1973.32.3c.1338.pdf")</f>
        <v>10.2466--pr0.1973.32.3c.1338.pdf</v>
      </c>
      <c r="D1141" s="156" t="str">
        <f>IFERROR(__xludf.DUMMYFUNCTION("""COMPUTED_VALUE"""),"application/pdf")</f>
        <v>application/pdf</v>
      </c>
    </row>
    <row r="1142">
      <c r="A1142" s="156" t="str">
        <f>IFERROR(__xludf.DUMMYFUNCTION("""COMPUTED_VALUE"""),"10.1038/nature05616")</f>
        <v>10.1038/nature05616</v>
      </c>
      <c r="B1142" s="677" t="str">
        <f>IFERROR(__xludf.DUMMYFUNCTION("""COMPUTED_VALUE"""),"https://drive.google.com/file/d/1vyd20DgcGhqoD6cc-h0G2LzFi4lvuJMz/view?usp=drivesdk")</f>
        <v>https://drive.google.com/file/d/1vyd20DgcGhqoD6cc-h0G2LzFi4lvuJMz/view?usp=drivesdk</v>
      </c>
      <c r="C1142" s="156" t="str">
        <f>IFERROR(__xludf.DUMMYFUNCTION("""COMPUTED_VALUE"""),"10.1038--nature05616.pdf")</f>
        <v>10.1038--nature05616.pdf</v>
      </c>
      <c r="D1142" s="156" t="str">
        <f>IFERROR(__xludf.DUMMYFUNCTION("""COMPUTED_VALUE"""),"application/pdf")</f>
        <v>application/pdf</v>
      </c>
    </row>
    <row r="1143">
      <c r="A1143" s="156" t="str">
        <f>IFERROR(__xludf.DUMMYFUNCTION("""COMPUTED_VALUE"""),"10.2337/db10-0067")</f>
        <v>10.2337/db10-0067</v>
      </c>
      <c r="B1143" s="677" t="str">
        <f>IFERROR(__xludf.DUMMYFUNCTION("""COMPUTED_VALUE"""),"https://drive.google.com/file/d/13GwyX_AqHkr5pGpIGCX8AgfUHB7-jG-M/view?usp=drivesdk")</f>
        <v>https://drive.google.com/file/d/13GwyX_AqHkr5pGpIGCX8AgfUHB7-jG-M/view?usp=drivesdk</v>
      </c>
      <c r="C1143" s="156" t="str">
        <f>IFERROR(__xludf.DUMMYFUNCTION("""COMPUTED_VALUE"""),"10.2337--db10-0067.pdf")</f>
        <v>10.2337--db10-0067.pdf</v>
      </c>
      <c r="D1143" s="156" t="str">
        <f>IFERROR(__xludf.DUMMYFUNCTION("""COMPUTED_VALUE"""),"application/pdf")</f>
        <v>application/pdf</v>
      </c>
    </row>
    <row r="1144">
      <c r="A1144" s="156" t="str">
        <f>IFERROR(__xludf.DUMMYFUNCTION("""COMPUTED_VALUE"""),"10.1177/0956797611418350")</f>
        <v>10.1177/0956797611418350</v>
      </c>
      <c r="B1144" s="677" t="str">
        <f>IFERROR(__xludf.DUMMYFUNCTION("""COMPUTED_VALUE"""),"https://drive.google.com/file/d/1R_WL0AExjMKiypoB7mKpQqeDlLTVOzbM/view?usp=drivesdk")</f>
        <v>https://drive.google.com/file/d/1R_WL0AExjMKiypoB7mKpQqeDlLTVOzbM/view?usp=drivesdk</v>
      </c>
      <c r="C1144" s="156" t="str">
        <f>IFERROR(__xludf.DUMMYFUNCTION("""COMPUTED_VALUE"""),"10.1177--0956797611418350.pdf")</f>
        <v>10.1177--0956797611418350.pdf</v>
      </c>
      <c r="D1144" s="156" t="str">
        <f>IFERROR(__xludf.DUMMYFUNCTION("""COMPUTED_VALUE"""),"application/pdf")</f>
        <v>application/pdf</v>
      </c>
    </row>
    <row r="1145">
      <c r="A1145" s="156" t="str">
        <f>IFERROR(__xludf.DUMMYFUNCTION("""COMPUTED_VALUE"""),"10.31234/osf.io/abvr9")</f>
        <v>10.31234/osf.io/abvr9</v>
      </c>
      <c r="B1145" s="677" t="str">
        <f>IFERROR(__xludf.DUMMYFUNCTION("""COMPUTED_VALUE"""),"https://drive.google.com/file/d/1a0KZN3faHzg9F-zfanMvaOOqzIUfYSps/view?usp=drivesdk")</f>
        <v>https://drive.google.com/file/d/1a0KZN3faHzg9F-zfanMvaOOqzIUfYSps/view?usp=drivesdk</v>
      </c>
      <c r="C1145" s="156" t="str">
        <f>IFERROR(__xludf.DUMMYFUNCTION("""COMPUTED_VALUE"""),"10.31234--osf.io--abvr9.pdf")</f>
        <v>10.31234--osf.io--abvr9.pdf</v>
      </c>
      <c r="D1145" s="156" t="str">
        <f>IFERROR(__xludf.DUMMYFUNCTION("""COMPUTED_VALUE"""),"application/pdf")</f>
        <v>application/pdf</v>
      </c>
    </row>
    <row r="1146">
      <c r="A1146" s="156" t="str">
        <f>IFERROR(__xludf.DUMMYFUNCTION("""COMPUTED_VALUE"""),"10.1016/s0010-0277(99)00081-5")</f>
        <v>10.1016/s0010-0277(99)00081-5</v>
      </c>
      <c r="B1146" s="677" t="str">
        <f>IFERROR(__xludf.DUMMYFUNCTION("""COMPUTED_VALUE"""),"https://drive.google.com/file/d/1s0Gca9Qvx7ijKzxmbQcSgzYCW4yidQrc/view?usp=drivesdk")</f>
        <v>https://drive.google.com/file/d/1s0Gca9Qvx7ijKzxmbQcSgzYCW4yidQrc/view?usp=drivesdk</v>
      </c>
      <c r="C1146" s="156" t="str">
        <f>IFERROR(__xludf.DUMMYFUNCTION("""COMPUTED_VALUE"""),"10.1016--s0010-0277(99)00081-5.pdf")</f>
        <v>10.1016--s0010-0277(99)00081-5.pdf</v>
      </c>
      <c r="D1146" s="156" t="str">
        <f>IFERROR(__xludf.DUMMYFUNCTION("""COMPUTED_VALUE"""),"application/pdf")</f>
        <v>application/pdf</v>
      </c>
    </row>
    <row r="1147">
      <c r="A1147" s="156" t="str">
        <f>IFERROR(__xludf.DUMMYFUNCTION("""COMPUTED_VALUE"""),"nilsenova_2010")</f>
        <v>nilsenova_2010</v>
      </c>
      <c r="B1147" s="677" t="str">
        <f>IFERROR(__xludf.DUMMYFUNCTION("""COMPUTED_VALUE"""),"https://drive.google.com/file/d/1WQwMc7WBq3XYp2r6wGttPcunx25B42e4/view?usp=drivesdk")</f>
        <v>https://drive.google.com/file/d/1WQwMc7WBq3XYp2r6wGttPcunx25B42e4/view?usp=drivesdk</v>
      </c>
      <c r="C1147" s="156" t="str">
        <f>IFERROR(__xludf.DUMMYFUNCTION("""COMPUTED_VALUE"""),"nilsenova_2010.pdf")</f>
        <v>nilsenova_2010.pdf</v>
      </c>
      <c r="D1147" s="156" t="str">
        <f>IFERROR(__xludf.DUMMYFUNCTION("""COMPUTED_VALUE"""),"application/pdf")</f>
        <v>application/pdf</v>
      </c>
    </row>
    <row r="1148">
      <c r="A1148" s="156" t="str">
        <f>IFERROR(__xludf.DUMMYFUNCTION("""COMPUTED_VALUE"""),"10.1177/001872677703000503")</f>
        <v>10.1177/001872677703000503</v>
      </c>
      <c r="B1148" s="677" t="str">
        <f>IFERROR(__xludf.DUMMYFUNCTION("""COMPUTED_VALUE"""),"https://drive.google.com/file/d/1vGibcuDl4SNlCVY66zeSA19ohCEYy9kK/view?usp=drivesdk")</f>
        <v>https://drive.google.com/file/d/1vGibcuDl4SNlCVY66zeSA19ohCEYy9kK/view?usp=drivesdk</v>
      </c>
      <c r="C1148" s="156" t="str">
        <f>IFERROR(__xludf.DUMMYFUNCTION("""COMPUTED_VALUE"""),"10.1177--001872677703000503.pdf")</f>
        <v>10.1177--001872677703000503.pdf</v>
      </c>
      <c r="D1148" s="156" t="str">
        <f>IFERROR(__xludf.DUMMYFUNCTION("""COMPUTED_VALUE"""),"application/pdf")</f>
        <v>application/pdf</v>
      </c>
    </row>
    <row r="1149">
      <c r="A1149" s="156" t="str">
        <f>IFERROR(__xludf.DUMMYFUNCTION("""COMPUTED_VALUE"""),"armstrong_2005")</f>
        <v>armstrong_2005</v>
      </c>
      <c r="B1149" s="677" t="str">
        <f>IFERROR(__xludf.DUMMYFUNCTION("""COMPUTED_VALUE"""),"https://drive.google.com/file/d/1BC-A-X_Dj4qTKMb-Rv02mFYzq5i21bEC/view?usp=drivesdk")</f>
        <v>https://drive.google.com/file/d/1BC-A-X_Dj4qTKMb-Rv02mFYzq5i21bEC/view?usp=drivesdk</v>
      </c>
      <c r="C1149" s="156" t="str">
        <f>IFERROR(__xludf.DUMMYFUNCTION("""COMPUTED_VALUE"""),"armstrong_2005.pdf")</f>
        <v>armstrong_2005.pdf</v>
      </c>
      <c r="D1149" s="156" t="str">
        <f>IFERROR(__xludf.DUMMYFUNCTION("""COMPUTED_VALUE"""),"application/pdf")</f>
        <v>application/pdf</v>
      </c>
    </row>
    <row r="1150">
      <c r="A1150" s="156" t="str">
        <f>IFERROR(__xludf.DUMMYFUNCTION("""COMPUTED_VALUE"""),"10.1037/0096-1523.15.4.673")</f>
        <v>10.1037/0096-1523.15.4.673</v>
      </c>
      <c r="B1150" s="677" t="str">
        <f>IFERROR(__xludf.DUMMYFUNCTION("""COMPUTED_VALUE"""),"https://drive.google.com/file/d/1ch_-inlYyV8qkExj_s9xuSTF3o4bZ-_k/view?usp=drivesdk")</f>
        <v>https://drive.google.com/file/d/1ch_-inlYyV8qkExj_s9xuSTF3o4bZ-_k/view?usp=drivesdk</v>
      </c>
      <c r="C1150" s="156" t="str">
        <f>IFERROR(__xludf.DUMMYFUNCTION("""COMPUTED_VALUE"""),"10.1037--0096-1523.15.4.673.pdf")</f>
        <v>10.1037--0096-1523.15.4.673.pdf</v>
      </c>
      <c r="D1150" s="156" t="str">
        <f>IFERROR(__xludf.DUMMYFUNCTION("""COMPUTED_VALUE"""),"application/pdf")</f>
        <v>application/pdf</v>
      </c>
    </row>
    <row r="1151">
      <c r="A1151" s="156" t="str">
        <f>IFERROR(__xludf.DUMMYFUNCTION("""COMPUTED_VALUE"""),"10.1037/a0019951")</f>
        <v>10.1037/a0019951</v>
      </c>
      <c r="B1151" s="677" t="str">
        <f>IFERROR(__xludf.DUMMYFUNCTION("""COMPUTED_VALUE"""),"https://drive.google.com/file/d/1pn3UbyMIcAB5k7byyloKQcf2-culw8iu/view?usp=drivesdk")</f>
        <v>https://drive.google.com/file/d/1pn3UbyMIcAB5k7byyloKQcf2-culw8iu/view?usp=drivesdk</v>
      </c>
      <c r="C1151" s="156" t="str">
        <f>IFERROR(__xludf.DUMMYFUNCTION("""COMPUTED_VALUE"""),"10.1037--a0019951.pdf")</f>
        <v>10.1037--a0019951.pdf</v>
      </c>
      <c r="D1151" s="156" t="str">
        <f>IFERROR(__xludf.DUMMYFUNCTION("""COMPUTED_VALUE"""),"application/pdf")</f>
        <v>application/pdf</v>
      </c>
    </row>
    <row r="1152">
      <c r="A1152" s="156" t="str">
        <f>IFERROR(__xludf.DUMMYFUNCTION("""COMPUTED_VALUE"""),"10.1002/bem.2250070402")</f>
        <v>10.1002/bem.2250070402</v>
      </c>
      <c r="B1152" s="677" t="str">
        <f>IFERROR(__xludf.DUMMYFUNCTION("""COMPUTED_VALUE"""),"https://drive.google.com/file/d/1T_aCuxqIsWfrq6BUxxMV69tTtmduc0u1/view?usp=drivesdk")</f>
        <v>https://drive.google.com/file/d/1T_aCuxqIsWfrq6BUxxMV69tTtmduc0u1/view?usp=drivesdk</v>
      </c>
      <c r="C1152" s="156" t="str">
        <f>IFERROR(__xludf.DUMMYFUNCTION("""COMPUTED_VALUE"""),"10.1002--bem.2250070402.pdf")</f>
        <v>10.1002--bem.2250070402.pdf</v>
      </c>
      <c r="D1152" s="156" t="str">
        <f>IFERROR(__xludf.DUMMYFUNCTION("""COMPUTED_VALUE"""),"application/pdf")</f>
        <v>application/pdf</v>
      </c>
    </row>
    <row r="1153">
      <c r="A1153" s="156" t="str">
        <f>IFERROR(__xludf.DUMMYFUNCTION("""COMPUTED_VALUE"""),"stern_1996")</f>
        <v>stern_1996</v>
      </c>
      <c r="B1153" s="677" t="str">
        <f>IFERROR(__xludf.DUMMYFUNCTION("""COMPUTED_VALUE"""),"https://drive.google.com/file/d/12uQ6_WgmEPiyYX3TMGDt7C9BzPvwbJ5C/view?usp=drivesdk")</f>
        <v>https://drive.google.com/file/d/12uQ6_WgmEPiyYX3TMGDt7C9BzPvwbJ5C/view?usp=drivesdk</v>
      </c>
      <c r="C1153" s="156" t="str">
        <f>IFERROR(__xludf.DUMMYFUNCTION("""COMPUTED_VALUE"""),"Stern_1996.pdf")</f>
        <v>Stern_1996.pdf</v>
      </c>
      <c r="D1153" s="156" t="str">
        <f>IFERROR(__xludf.DUMMYFUNCTION("""COMPUTED_VALUE"""),"application/pdf")</f>
        <v>application/pdf</v>
      </c>
    </row>
    <row r="1154">
      <c r="A1154" s="156" t="str">
        <f>IFERROR(__xludf.DUMMYFUNCTION("""COMPUTED_VALUE"""),"10.1037//0022-006x.55.1.3")</f>
        <v>10.1037//0022-006x.55.1.3</v>
      </c>
      <c r="B1154" s="677" t="str">
        <f>IFERROR(__xludf.DUMMYFUNCTION("""COMPUTED_VALUE"""),"https://drive.google.com/file/d/1lwLXNWTUAH-QYdJcqD66ciRQ-w3_fMd4/view?usp=drivesdk")</f>
        <v>https://drive.google.com/file/d/1lwLXNWTUAH-QYdJcqD66ciRQ-w3_fMd4/view?usp=drivesdk</v>
      </c>
      <c r="C1154" s="156" t="str">
        <f>IFERROR(__xludf.DUMMYFUNCTION("""COMPUTED_VALUE"""),"10.1037----0022-006x.55.1.3.pdf")</f>
        <v>10.1037----0022-006x.55.1.3.pdf</v>
      </c>
      <c r="D1154" s="156" t="str">
        <f>IFERROR(__xludf.DUMMYFUNCTION("""COMPUTED_VALUE"""),"application/pdf")</f>
        <v>application/pdf</v>
      </c>
    </row>
    <row r="1155">
      <c r="A1155" s="156" t="str">
        <f>IFERROR(__xludf.DUMMYFUNCTION("""COMPUTED_VALUE"""),"10.1097/00004703-200604002-00013")</f>
        <v>10.1097/00004703-200604002-00013</v>
      </c>
      <c r="B1155" s="677" t="str">
        <f>IFERROR(__xludf.DUMMYFUNCTION("""COMPUTED_VALUE"""),"https://drive.google.com/file/d/1lnXuJn8swk68UJVUN3KV08Xy3-G0mGc8/view?usp=drivesdk")</f>
        <v>https://drive.google.com/file/d/1lnXuJn8swk68UJVUN3KV08Xy3-G0mGc8/view?usp=drivesdk</v>
      </c>
      <c r="C1155" s="156" t="str">
        <f>IFERROR(__xludf.DUMMYFUNCTION("""COMPUTED_VALUE"""),"10.1097--00004703-200604002-00013.pdf")</f>
        <v>10.1097--00004703-200604002-00013.pdf</v>
      </c>
      <c r="D1155" s="156" t="str">
        <f>IFERROR(__xludf.DUMMYFUNCTION("""COMPUTED_VALUE"""),"application/pdf")</f>
        <v>application/pdf</v>
      </c>
    </row>
    <row r="1156">
      <c r="A1156" s="156" t="str">
        <f>IFERROR(__xludf.DUMMYFUNCTION("""COMPUTED_VALUE"""),"10.1177/1525740113518342")</f>
        <v>10.1177/1525740113518342</v>
      </c>
      <c r="B1156" s="677" t="str">
        <f>IFERROR(__xludf.DUMMYFUNCTION("""COMPUTED_VALUE"""),"https://drive.google.com/file/d/1BY4RzaOsItn5ZWxN-vc7Zjy--T2GR2Nf/view?usp=drivesdk")</f>
        <v>https://drive.google.com/file/d/1BY4RzaOsItn5ZWxN-vc7Zjy--T2GR2Nf/view?usp=drivesdk</v>
      </c>
      <c r="C1156" s="156" t="str">
        <f>IFERROR(__xludf.DUMMYFUNCTION("""COMPUTED_VALUE"""),"10.1177--1525740113518342.pdf")</f>
        <v>10.1177--1525740113518342.pdf</v>
      </c>
      <c r="D1156" s="156" t="str">
        <f>IFERROR(__xludf.DUMMYFUNCTION("""COMPUTED_VALUE"""),"application/pdf")</f>
        <v>application/pdf</v>
      </c>
    </row>
    <row r="1157">
      <c r="A1157" s="156" t="str">
        <f>IFERROR(__xludf.DUMMYFUNCTION("""COMPUTED_VALUE"""),"10.7202/002884ar")</f>
        <v>10.7202/002884ar</v>
      </c>
      <c r="B1157" s="677" t="str">
        <f>IFERROR(__xludf.DUMMYFUNCTION("""COMPUTED_VALUE"""),"https://drive.google.com/file/d/1HOI_egpn44HA2sgfmv698tGFQhjwJS_7/view?usp=drivesdk")</f>
        <v>https://drive.google.com/file/d/1HOI_egpn44HA2sgfmv698tGFQhjwJS_7/view?usp=drivesdk</v>
      </c>
      <c r="C1157" s="156" t="str">
        <f>IFERROR(__xludf.DUMMYFUNCTION("""COMPUTED_VALUE"""),"10.7202--002884ar.pdf")</f>
        <v>10.7202--002884ar.pdf</v>
      </c>
      <c r="D1157" s="156" t="str">
        <f>IFERROR(__xludf.DUMMYFUNCTION("""COMPUTED_VALUE"""),"application/pdf")</f>
        <v>application/pdf</v>
      </c>
    </row>
    <row r="1158">
      <c r="A1158" s="156" t="str">
        <f>IFERROR(__xludf.DUMMYFUNCTION("""COMPUTED_VALUE"""),"salaets_2009")</f>
        <v>salaets_2009</v>
      </c>
      <c r="B1158" s="677" t="str">
        <f>IFERROR(__xludf.DUMMYFUNCTION("""COMPUTED_VALUE"""),"https://drive.google.com/file/d/1HpZ6JyWpnnIhnQjSRBMxyxGlBPe_mb_f/view?usp=drivesdk")</f>
        <v>https://drive.google.com/file/d/1HpZ6JyWpnnIhnQjSRBMxyxGlBPe_mb_f/view?usp=drivesdk</v>
      </c>
      <c r="C1158" s="156" t="str">
        <f>IFERROR(__xludf.DUMMYFUNCTION("""COMPUTED_VALUE"""),"salaets_2009.pdf")</f>
        <v>salaets_2009.pdf</v>
      </c>
      <c r="D1158" s="156" t="str">
        <f>IFERROR(__xludf.DUMMYFUNCTION("""COMPUTED_VALUE"""),"application/pdf")</f>
        <v>application/pdf</v>
      </c>
    </row>
    <row r="1159">
      <c r="A1159" s="156" t="str">
        <f>IFERROR(__xludf.DUMMYFUNCTION("""COMPUTED_VALUE"""),"10.1177/074873048700200101")</f>
        <v>10.1177/074873048700200101</v>
      </c>
      <c r="B1159" s="677" t="str">
        <f>IFERROR(__xludf.DUMMYFUNCTION("""COMPUTED_VALUE"""),"https://drive.google.com/file/d/1aYkSUCZu-Fv9FMbWWLVvWlRm1TkYjpep/view?usp=drivesdk")</f>
        <v>https://drive.google.com/file/d/1aYkSUCZu-Fv9FMbWWLVvWlRm1TkYjpep/view?usp=drivesdk</v>
      </c>
      <c r="C1159" s="156" t="str">
        <f>IFERROR(__xludf.DUMMYFUNCTION("""COMPUTED_VALUE"""),"10.1177--074873048700200101.pdf")</f>
        <v>10.1177--074873048700200101.pdf</v>
      </c>
      <c r="D1159" s="156" t="str">
        <f>IFERROR(__xludf.DUMMYFUNCTION("""COMPUTED_VALUE"""),"application/pdf")</f>
        <v>application/pdf</v>
      </c>
    </row>
    <row r="1160">
      <c r="A1160" s="156" t="str">
        <f>IFERROR(__xludf.DUMMYFUNCTION("""COMPUTED_VALUE"""),"10.1001/archophthalmol.2012.827")</f>
        <v>10.1001/archophthalmol.2012.827</v>
      </c>
      <c r="B1160" s="677" t="str">
        <f>IFERROR(__xludf.DUMMYFUNCTION("""COMPUTED_VALUE"""),"https://drive.google.com/file/d/1v5JUQLEDmWy4BdiCGTg1cMx4-nEilCjE/view?usp=drivesdk")</f>
        <v>https://drive.google.com/file/d/1v5JUQLEDmWy4BdiCGTg1cMx4-nEilCjE/view?usp=drivesdk</v>
      </c>
      <c r="C1160" s="156" t="str">
        <f>IFERROR(__xludf.DUMMYFUNCTION("""COMPUTED_VALUE"""),"10.1001--archophthalmol.2012.827.pdf")</f>
        <v>10.1001--archophthalmol.2012.827.pdf</v>
      </c>
      <c r="D1160" s="156" t="str">
        <f>IFERROR(__xludf.DUMMYFUNCTION("""COMPUTED_VALUE"""),"application/pdf")</f>
        <v>application/pdf</v>
      </c>
    </row>
    <row r="1161">
      <c r="A1161" s="156" t="str">
        <f>IFERROR(__xludf.DUMMYFUNCTION("""COMPUTED_VALUE"""),"brin_2018")</f>
        <v>brin_2018</v>
      </c>
      <c r="B1161" s="677" t="str">
        <f>IFERROR(__xludf.DUMMYFUNCTION("""COMPUTED_VALUE"""),"https://drive.google.com/file/d/1Ftq3K9ryKeeo3poWka8yOXvqE2XTCKB_/view?usp=drivesdk")</f>
        <v>https://drive.google.com/file/d/1Ftq3K9ryKeeo3poWka8yOXvqE2XTCKB_/view?usp=drivesdk</v>
      </c>
      <c r="C1161" s="156" t="str">
        <f>IFERROR(__xludf.DUMMYFUNCTION("""COMPUTED_VALUE"""),"brin_2018.pdf")</f>
        <v>brin_2018.pdf</v>
      </c>
      <c r="D1161" s="156" t="str">
        <f>IFERROR(__xludf.DUMMYFUNCTION("""COMPUTED_VALUE"""),"application/pdf")</f>
        <v>application/pdf</v>
      </c>
    </row>
    <row r="1162">
      <c r="A1162" s="156" t="str">
        <f>IFERROR(__xludf.DUMMYFUNCTION("""COMPUTED_VALUE"""),"10.1523/jneurosci.1770-13.2013")</f>
        <v>10.1523/jneurosci.1770-13.2013</v>
      </c>
      <c r="B1162" s="677" t="str">
        <f>IFERROR(__xludf.DUMMYFUNCTION("""COMPUTED_VALUE"""),"https://drive.google.com/file/d/1DzpPz0VTbBR6ciyjMeI7eqZ0yS3hk5bu/view?usp=drivesdk")</f>
        <v>https://drive.google.com/file/d/1DzpPz0VTbBR6ciyjMeI7eqZ0yS3hk5bu/view?usp=drivesdk</v>
      </c>
      <c r="C1162" s="156" t="str">
        <f>IFERROR(__xludf.DUMMYFUNCTION("""COMPUTED_VALUE"""),"10.1523--jneurosci.1770-13.2013.pdf")</f>
        <v>10.1523--jneurosci.1770-13.2013.pdf</v>
      </c>
      <c r="D1162" s="156" t="str">
        <f>IFERROR(__xludf.DUMMYFUNCTION("""COMPUTED_VALUE"""),"application/pdf")</f>
        <v>application/pdf</v>
      </c>
    </row>
    <row r="1163">
      <c r="A1163" s="156" t="str">
        <f>IFERROR(__xludf.DUMMYFUNCTION("""COMPUTED_VALUE"""),"10.3389/fnins.2017.00594")</f>
        <v>10.3389/fnins.2017.00594</v>
      </c>
      <c r="B1163" s="677" t="str">
        <f>IFERROR(__xludf.DUMMYFUNCTION("""COMPUTED_VALUE"""),"https://drive.google.com/file/d/1_WInKYRHCFua0SJw_otCPeSD2KEBum9p/view?usp=drivesdk")</f>
        <v>https://drive.google.com/file/d/1_WInKYRHCFua0SJw_otCPeSD2KEBum9p/view?usp=drivesdk</v>
      </c>
      <c r="C1163" s="156" t="str">
        <f>IFERROR(__xludf.DUMMYFUNCTION("""COMPUTED_VALUE"""),"10.3389--fnins.2017.00594.pdf")</f>
        <v>10.3389--fnins.2017.00594.pdf</v>
      </c>
      <c r="D1163" s="156" t="str">
        <f>IFERROR(__xludf.DUMMYFUNCTION("""COMPUTED_VALUE"""),"application/pdf")</f>
        <v>application/pdf</v>
      </c>
    </row>
    <row r="1164">
      <c r="A1164" s="156" t="str">
        <f>IFERROR(__xludf.DUMMYFUNCTION("""COMPUTED_VALUE"""),"10.1002/ajp.1350080306")</f>
        <v>10.1002/ajp.1350080306</v>
      </c>
      <c r="B1164" s="677" t="str">
        <f>IFERROR(__xludf.DUMMYFUNCTION("""COMPUTED_VALUE"""),"https://drive.google.com/file/d/1hcOdaZqhnPhIbm6y2zTf_4JpMlceNmBd/view?usp=drivesdk")</f>
        <v>https://drive.google.com/file/d/1hcOdaZqhnPhIbm6y2zTf_4JpMlceNmBd/view?usp=drivesdk</v>
      </c>
      <c r="C1164" s="156" t="str">
        <f>IFERROR(__xludf.DUMMYFUNCTION("""COMPUTED_VALUE"""),"10.1002--ajp.1350080306.pdf")</f>
        <v>10.1002--ajp.1350080306.pdf</v>
      </c>
      <c r="D1164" s="156" t="str">
        <f>IFERROR(__xludf.DUMMYFUNCTION("""COMPUTED_VALUE"""),"application/pdf")</f>
        <v>application/pdf</v>
      </c>
    </row>
    <row r="1165">
      <c r="A1165" s="156" t="str">
        <f>IFERROR(__xludf.DUMMYFUNCTION("""COMPUTED_VALUE"""),"10.1163/18759866-07001003")</f>
        <v>10.1163/18759866-07001003</v>
      </c>
      <c r="B1165" s="677" t="str">
        <f>IFERROR(__xludf.DUMMYFUNCTION("""COMPUTED_VALUE"""),"https://drive.google.com/file/d/1zB-JAzOaSbXc8xv_rWJjiogI9Aqa60CC/view?usp=drivesdk")</f>
        <v>https://drive.google.com/file/d/1zB-JAzOaSbXc8xv_rWJjiogI9Aqa60CC/view?usp=drivesdk</v>
      </c>
      <c r="C1165" s="156" t="str">
        <f>IFERROR(__xludf.DUMMYFUNCTION("""COMPUTED_VALUE"""),"10.1163--18759866-07001003.pdf")</f>
        <v>10.1163--18759866-07001003.pdf</v>
      </c>
      <c r="D1165" s="156" t="str">
        <f>IFERROR(__xludf.DUMMYFUNCTION("""COMPUTED_VALUE"""),"application/pdf")</f>
        <v>application/pdf</v>
      </c>
    </row>
    <row r="1166">
      <c r="A1166" s="156" t="str">
        <f>IFERROR(__xludf.DUMMYFUNCTION("""COMPUTED_VALUE"""),"10.1371/journal.pone.0109035")</f>
        <v>10.1371/journal.pone.0109035</v>
      </c>
      <c r="B1166" s="677" t="str">
        <f>IFERROR(__xludf.DUMMYFUNCTION("""COMPUTED_VALUE"""),"https://drive.google.com/file/d/1u1Lunf38THaLvC3OTlx1zJcTXblCNVYp/view?usp=drivesdk")</f>
        <v>https://drive.google.com/file/d/1u1Lunf38THaLvC3OTlx1zJcTXblCNVYp/view?usp=drivesdk</v>
      </c>
      <c r="C1166" s="156" t="str">
        <f>IFERROR(__xludf.DUMMYFUNCTION("""COMPUTED_VALUE"""),"10.1371--journal.pone.0109035.pdf")</f>
        <v>10.1371--journal.pone.0109035.pdf</v>
      </c>
      <c r="D1166" s="156" t="str">
        <f>IFERROR(__xludf.DUMMYFUNCTION("""COMPUTED_VALUE"""),"application/pdf")</f>
        <v>application/pdf</v>
      </c>
    </row>
    <row r="1167">
      <c r="A1167" s="156" t="str">
        <f>IFERROR(__xludf.DUMMYFUNCTION("""COMPUTED_VALUE"""),"10.1212/wnl.0000000000004382")</f>
        <v>10.1212/wnl.0000000000004382</v>
      </c>
      <c r="B1167" s="677" t="str">
        <f>IFERROR(__xludf.DUMMYFUNCTION("""COMPUTED_VALUE"""),"https://drive.google.com/file/d/1vJcSl8FvTRpCyphX747o_pJ8vHdzIDvP/view?usp=drivesdk")</f>
        <v>https://drive.google.com/file/d/1vJcSl8FvTRpCyphX747o_pJ8vHdzIDvP/view?usp=drivesdk</v>
      </c>
      <c r="C1167" s="156" t="str">
        <f>IFERROR(__xludf.DUMMYFUNCTION("""COMPUTED_VALUE"""),"10.1212--wnl.0000000000004382.pdf")</f>
        <v>10.1212--wnl.0000000000004382.pdf</v>
      </c>
      <c r="D1167" s="156" t="str">
        <f>IFERROR(__xludf.DUMMYFUNCTION("""COMPUTED_VALUE"""),"application/pdf")</f>
        <v>application/pdf</v>
      </c>
    </row>
    <row r="1168">
      <c r="A1168" s="156" t="str">
        <f>IFERROR(__xludf.DUMMYFUNCTION("""COMPUTED_VALUE"""),"10.1212/wnl.0000000000005533")</f>
        <v>10.1212/wnl.0000000000005533</v>
      </c>
      <c r="B1168" s="677" t="str">
        <f>IFERROR(__xludf.DUMMYFUNCTION("""COMPUTED_VALUE"""),"https://drive.google.com/file/d/10gGt0-aSqjq4jYX1nu6vmRkvCpUmbXwz/view?usp=drivesdk")</f>
        <v>https://drive.google.com/file/d/10gGt0-aSqjq4jYX1nu6vmRkvCpUmbXwz/view?usp=drivesdk</v>
      </c>
      <c r="C1168" s="156" t="str">
        <f>IFERROR(__xludf.DUMMYFUNCTION("""COMPUTED_VALUE"""),"10.1212--wnl.0000000000005533.pdf")</f>
        <v>10.1212--wnl.0000000000005533.pdf</v>
      </c>
      <c r="D1168" s="156" t="str">
        <f>IFERROR(__xludf.DUMMYFUNCTION("""COMPUTED_VALUE"""),"application/pdf")</f>
        <v>application/pdf</v>
      </c>
    </row>
    <row r="1169">
      <c r="A1169" s="156" t="str">
        <f>IFERROR(__xludf.DUMMYFUNCTION("""COMPUTED_VALUE"""),"10.1093/geronj/42.1.86")</f>
        <v>10.1093/geronj/42.1.86</v>
      </c>
      <c r="B1169" s="677" t="str">
        <f>IFERROR(__xludf.DUMMYFUNCTION("""COMPUTED_VALUE"""),"https://drive.google.com/file/d/1iXYQpBRSEHRY-r3zNDfO5tYBmsg2f4E2/view?usp=drivesdk")</f>
        <v>https://drive.google.com/file/d/1iXYQpBRSEHRY-r3zNDfO5tYBmsg2f4E2/view?usp=drivesdk</v>
      </c>
      <c r="C1169" s="156" t="str">
        <f>IFERROR(__xludf.DUMMYFUNCTION("""COMPUTED_VALUE"""),"10.1093--geronj--42.1.86.pdf")</f>
        <v>10.1093--geronj--42.1.86.pdf</v>
      </c>
      <c r="D1169" s="156" t="str">
        <f>IFERROR(__xludf.DUMMYFUNCTION("""COMPUTED_VALUE"""),"application/pdf")</f>
        <v>application/pdf</v>
      </c>
    </row>
    <row r="1170">
      <c r="A1170" s="156" t="str">
        <f>IFERROR(__xludf.DUMMYFUNCTION("""COMPUTED_VALUE"""),"10.1080/10410236.2017.1283563")</f>
        <v>10.1080/10410236.2017.1283563</v>
      </c>
      <c r="B1170" s="677" t="str">
        <f>IFERROR(__xludf.DUMMYFUNCTION("""COMPUTED_VALUE"""),"https://drive.google.com/file/d/1oBLT6yfoROZ3xtUrP9tAg8S02Aam9WQa/view?usp=drivesdk")</f>
        <v>https://drive.google.com/file/d/1oBLT6yfoROZ3xtUrP9tAg8S02Aam9WQa/view?usp=drivesdk</v>
      </c>
      <c r="C1170" s="156" t="str">
        <f>IFERROR(__xludf.DUMMYFUNCTION("""COMPUTED_VALUE"""),"10.1080--10410236.2017.1283563.pdf")</f>
        <v>10.1080--10410236.2017.1283563.pdf</v>
      </c>
      <c r="D1170" s="156" t="str">
        <f>IFERROR(__xludf.DUMMYFUNCTION("""COMPUTED_VALUE"""),"application/pdf")</f>
        <v>application/pdf</v>
      </c>
    </row>
    <row r="1171">
      <c r="A1171" s="156" t="str">
        <f>IFERROR(__xludf.DUMMYFUNCTION("""COMPUTED_VALUE"""),"10.1038/s41386-021-00998-4")</f>
        <v>10.1038/s41386-021-00998-4</v>
      </c>
      <c r="B1171" s="677" t="str">
        <f>IFERROR(__xludf.DUMMYFUNCTION("""COMPUTED_VALUE"""),"https://drive.google.com/file/d/1bIwtlq8mBoQuM6xpr7xegbYJrV9gU1Xp/view?usp=drivesdk")</f>
        <v>https://drive.google.com/file/d/1bIwtlq8mBoQuM6xpr7xegbYJrV9gU1Xp/view?usp=drivesdk</v>
      </c>
      <c r="C1171" s="156" t="str">
        <f>IFERROR(__xludf.DUMMYFUNCTION("""COMPUTED_VALUE"""),"10.1038--s41386-021-00998-4.pdf")</f>
        <v>10.1038--s41386-021-00998-4.pdf</v>
      </c>
      <c r="D1171" s="156" t="str">
        <f>IFERROR(__xludf.DUMMYFUNCTION("""COMPUTED_VALUE"""),"application/pdf")</f>
        <v>application/pdf</v>
      </c>
    </row>
    <row r="1172">
      <c r="A1172" s="156" t="str">
        <f>IFERROR(__xludf.DUMMYFUNCTION("""COMPUTED_VALUE"""),"10.1093/ijnp/pyae050")</f>
        <v>10.1093/ijnp/pyae050</v>
      </c>
      <c r="B1172" s="677" t="str">
        <f>IFERROR(__xludf.DUMMYFUNCTION("""COMPUTED_VALUE"""),"https://drive.google.com/file/d/1Y4hFjfpXFMzsnkTcryqZ2EUSudhD7zLZ/view?usp=drivesdk")</f>
        <v>https://drive.google.com/file/d/1Y4hFjfpXFMzsnkTcryqZ2EUSudhD7zLZ/view?usp=drivesdk</v>
      </c>
      <c r="C1172" s="156" t="str">
        <f>IFERROR(__xludf.DUMMYFUNCTION("""COMPUTED_VALUE"""),"10.1093--ijnp--pyae050.pdf")</f>
        <v>10.1093--ijnp--pyae050.pdf</v>
      </c>
      <c r="D1172" s="156" t="str">
        <f>IFERROR(__xludf.DUMMYFUNCTION("""COMPUTED_VALUE"""),"application/pdf")</f>
        <v>application/pdf</v>
      </c>
    </row>
    <row r="1173">
      <c r="A1173" s="156" t="str">
        <f>IFERROR(__xludf.DUMMYFUNCTION("""COMPUTED_VALUE"""),"10.1111/j.1460-9568.2006.05130.x")</f>
        <v>10.1111/j.1460-9568.2006.05130.x</v>
      </c>
      <c r="B1173" s="677" t="str">
        <f>IFERROR(__xludf.DUMMYFUNCTION("""COMPUTED_VALUE"""),"https://drive.google.com/file/d/1rlhoetdj8sPMSkHl3ZjKyPKCBUb-_ZwS/view?usp=drivesdk")</f>
        <v>https://drive.google.com/file/d/1rlhoetdj8sPMSkHl3ZjKyPKCBUb-_ZwS/view?usp=drivesdk</v>
      </c>
      <c r="C1173" s="156" t="str">
        <f>IFERROR(__xludf.DUMMYFUNCTION("""COMPUTED_VALUE"""),"10.1111--j.1460-9568.2006.05130.x.pdf")</f>
        <v>10.1111--j.1460-9568.2006.05130.x.pdf</v>
      </c>
      <c r="D1173" s="156" t="str">
        <f>IFERROR(__xludf.DUMMYFUNCTION("""COMPUTED_VALUE"""),"application/pdf")</f>
        <v>application/pdf</v>
      </c>
    </row>
    <row r="1174">
      <c r="A1174" s="156" t="str">
        <f>IFERROR(__xludf.DUMMYFUNCTION("""COMPUTED_VALUE"""),"10.1046/j.1360-0443.1998.93710439.x")</f>
        <v>10.1046/j.1360-0443.1998.93710439.x</v>
      </c>
      <c r="B1174" s="677" t="str">
        <f>IFERROR(__xludf.DUMMYFUNCTION("""COMPUTED_VALUE"""),"https://drive.google.com/file/d/1LLJqJSc4g9NLRQRocuZFA38o3pb6mK4w/view?usp=drivesdk")</f>
        <v>https://drive.google.com/file/d/1LLJqJSc4g9NLRQRocuZFA38o3pb6mK4w/view?usp=drivesdk</v>
      </c>
      <c r="C1174" s="156" t="str">
        <f>IFERROR(__xludf.DUMMYFUNCTION("""COMPUTED_VALUE"""),"10.1046--j.1360-0443.1998.93710439.x.pdf")</f>
        <v>10.1046--j.1360-0443.1998.93710439.x.pdf</v>
      </c>
      <c r="D1174" s="156" t="str">
        <f>IFERROR(__xludf.DUMMYFUNCTION("""COMPUTED_VALUE"""),"application/pdf")</f>
        <v>application/pdf</v>
      </c>
    </row>
    <row r="1175">
      <c r="A1175" s="156" t="str">
        <f>IFERROR(__xludf.DUMMYFUNCTION("""COMPUTED_VALUE"""),"10.1080/13501760701314417")</f>
        <v>10.1080/13501760701314417</v>
      </c>
      <c r="B1175" s="677" t="str">
        <f>IFERROR(__xludf.DUMMYFUNCTION("""COMPUTED_VALUE"""),"https://drive.google.com/file/d/1t3WxAixub032pJVF7rHWs_Z44vQ546Mx/view?usp=drivesdk")</f>
        <v>https://drive.google.com/file/d/1t3WxAixub032pJVF7rHWs_Z44vQ546Mx/view?usp=drivesdk</v>
      </c>
      <c r="C1175" s="156" t="str">
        <f>IFERROR(__xludf.DUMMYFUNCTION("""COMPUTED_VALUE"""),"10.1080--13501760701314417.pdf")</f>
        <v>10.1080--13501760701314417.pdf</v>
      </c>
      <c r="D1175" s="156" t="str">
        <f>IFERROR(__xludf.DUMMYFUNCTION("""COMPUTED_VALUE"""),"application/pdf")</f>
        <v>application/pdf</v>
      </c>
    </row>
    <row r="1176">
      <c r="A1176" s="156" t="str">
        <f>IFERROR(__xludf.DUMMYFUNCTION("""COMPUTED_VALUE"""),"10.1016/s0022-5371(84)90442-0")</f>
        <v>10.1016/s0022-5371(84)90442-0</v>
      </c>
      <c r="B1176" s="677" t="str">
        <f>IFERROR(__xludf.DUMMYFUNCTION("""COMPUTED_VALUE"""),"https://drive.google.com/file/d/11YG8AmJIcAGerqioI6ykXoclMzdx8P4U/view?usp=drivesdk")</f>
        <v>https://drive.google.com/file/d/11YG8AmJIcAGerqioI6ykXoclMzdx8P4U/view?usp=drivesdk</v>
      </c>
      <c r="C1176" s="156" t="str">
        <f>IFERROR(__xludf.DUMMYFUNCTION("""COMPUTED_VALUE"""),"10.1016--s0022-5371(84)90442-0.pdf")</f>
        <v>10.1016--s0022-5371(84)90442-0.pdf</v>
      </c>
      <c r="D1176" s="156" t="str">
        <f>IFERROR(__xludf.DUMMYFUNCTION("""COMPUTED_VALUE"""),"application/pdf")</f>
        <v>application/pdf</v>
      </c>
    </row>
    <row r="1177">
      <c r="A1177" s="156" t="str">
        <f>IFERROR(__xludf.DUMMYFUNCTION("""COMPUTED_VALUE"""),"10.1037/a0016748")</f>
        <v>10.1037/a0016748</v>
      </c>
      <c r="B1177" s="677" t="str">
        <f>IFERROR(__xludf.DUMMYFUNCTION("""COMPUTED_VALUE"""),"https://drive.google.com/file/d/1w0Ukt6Jz-vwjr4Mtzh-G9ShRuIn3gBML/view?usp=drivesdk")</f>
        <v>https://drive.google.com/file/d/1w0Ukt6Jz-vwjr4Mtzh-G9ShRuIn3gBML/view?usp=drivesdk</v>
      </c>
      <c r="C1177" s="156" t="str">
        <f>IFERROR(__xludf.DUMMYFUNCTION("""COMPUTED_VALUE"""),"10.1037--a0016748.pdf")</f>
        <v>10.1037--a0016748.pdf</v>
      </c>
      <c r="D1177" s="156" t="str">
        <f>IFERROR(__xludf.DUMMYFUNCTION("""COMPUTED_VALUE"""),"application/pdf")</f>
        <v>application/pdf</v>
      </c>
    </row>
    <row r="1178">
      <c r="A1178" s="156" t="str">
        <f>IFERROR(__xludf.DUMMYFUNCTION("""COMPUTED_VALUE"""),"10.21203/rs.3.rs-341457/v1")</f>
        <v>10.21203/rs.3.rs-341457/v1</v>
      </c>
      <c r="B1178" s="677" t="str">
        <f>IFERROR(__xludf.DUMMYFUNCTION("""COMPUTED_VALUE"""),"https://drive.google.com/file/d/1JNPw9ZAp9-DaK2z09F0Dsco7If3AAr0U/view?usp=drivesdk")</f>
        <v>https://drive.google.com/file/d/1JNPw9ZAp9-DaK2z09F0Dsco7If3AAr0U/view?usp=drivesdk</v>
      </c>
      <c r="C1178" s="156" t="str">
        <f>IFERROR(__xludf.DUMMYFUNCTION("""COMPUTED_VALUE"""),"10.21203--rs.3.rs-341457--v1.pdf")</f>
        <v>10.21203--rs.3.rs-341457--v1.pdf</v>
      </c>
      <c r="D1178" s="156" t="str">
        <f>IFERROR(__xludf.DUMMYFUNCTION("""COMPUTED_VALUE"""),"application/pdf")</f>
        <v>application/pdf</v>
      </c>
    </row>
    <row r="1179">
      <c r="A1179" s="156" t="str">
        <f>IFERROR(__xludf.DUMMYFUNCTION("""COMPUTED_VALUE"""),"harnish_1988")</f>
        <v>harnish_1988</v>
      </c>
      <c r="B1179" s="677" t="str">
        <f>IFERROR(__xludf.DUMMYFUNCTION("""COMPUTED_VALUE"""),"https://drive.google.com/file/d/1NeEyeAJ5u7ccp3SYCz4IfycEw7Ir67DB/view?usp=drivesdk")</f>
        <v>https://drive.google.com/file/d/1NeEyeAJ5u7ccp3SYCz4IfycEw7Ir67DB/view?usp=drivesdk</v>
      </c>
      <c r="C1179" s="156" t="str">
        <f>IFERROR(__xludf.DUMMYFUNCTION("""COMPUTED_VALUE"""),"harnish_1988.pdf")</f>
        <v>harnish_1988.pdf</v>
      </c>
      <c r="D1179" s="156" t="str">
        <f>IFERROR(__xludf.DUMMYFUNCTION("""COMPUTED_VALUE"""),"application/pdf")</f>
        <v>application/pdf</v>
      </c>
    </row>
    <row r="1180">
      <c r="A1180" s="156" t="str">
        <f>IFERROR(__xludf.DUMMYFUNCTION("""COMPUTED_VALUE"""),"10.31274/ans_air-180814-1055")</f>
        <v>10.31274/ans_air-180814-1055</v>
      </c>
      <c r="B1180" s="677" t="str">
        <f>IFERROR(__xludf.DUMMYFUNCTION("""COMPUTED_VALUE"""),"https://drive.google.com/file/d/1xADYefUAkI7XpKlC5V0i1nuEkVY4aW87/view?usp=drivesdk")</f>
        <v>https://drive.google.com/file/d/1xADYefUAkI7XpKlC5V0i1nuEkVY4aW87/view?usp=drivesdk</v>
      </c>
      <c r="C1180" s="156" t="str">
        <f>IFERROR(__xludf.DUMMYFUNCTION("""COMPUTED_VALUE"""),"10.31274--ans_air-180814-1055.pdf")</f>
        <v>10.31274--ans_air-180814-1055.pdf</v>
      </c>
      <c r="D1180" s="156" t="str">
        <f>IFERROR(__xludf.DUMMYFUNCTION("""COMPUTED_VALUE"""),"application/pdf")</f>
        <v>application/pdf</v>
      </c>
    </row>
    <row r="1181">
      <c r="A1181" s="156" t="str">
        <f>IFERROR(__xludf.DUMMYFUNCTION("""COMPUTED_VALUE"""),"10.31274/ans_air-180814-1217")</f>
        <v>10.31274/ans_air-180814-1217</v>
      </c>
      <c r="B1181" s="677" t="str">
        <f>IFERROR(__xludf.DUMMYFUNCTION("""COMPUTED_VALUE"""),"https://drive.google.com/file/d/1TdsTQ9pKfGi_mZLZzpTZMOXBOf7ok9Ej/view?usp=drivesdk")</f>
        <v>https://drive.google.com/file/d/1TdsTQ9pKfGi_mZLZzpTZMOXBOf7ok9Ej/view?usp=drivesdk</v>
      </c>
      <c r="C1181" s="156" t="str">
        <f>IFERROR(__xludf.DUMMYFUNCTION("""COMPUTED_VALUE"""),"10.31274--ans_air-180814-1217.pdf")</f>
        <v>10.31274--ans_air-180814-1217.pdf</v>
      </c>
      <c r="D1181" s="156" t="str">
        <f>IFERROR(__xludf.DUMMYFUNCTION("""COMPUTED_VALUE"""),"application/pdf")</f>
        <v>application/pdf</v>
      </c>
    </row>
    <row r="1182">
      <c r="A1182" s="156" t="str">
        <f>IFERROR(__xludf.DUMMYFUNCTION("""COMPUTED_VALUE"""),"10.1177/1073191103010002007")</f>
        <v>10.1177/1073191103010002007</v>
      </c>
      <c r="B1182" s="677" t="str">
        <f>IFERROR(__xludf.DUMMYFUNCTION("""COMPUTED_VALUE"""),"https://drive.google.com/file/d/1ZSTAWCIDWO7co9SVs7lJJVsY-pOksJXk/view?usp=drivesdk")</f>
        <v>https://drive.google.com/file/d/1ZSTAWCIDWO7co9SVs7lJJVsY-pOksJXk/view?usp=drivesdk</v>
      </c>
      <c r="C1182" s="156" t="str">
        <f>IFERROR(__xludf.DUMMYFUNCTION("""COMPUTED_VALUE"""),"10.1177--1073191103010002007.pdf")</f>
        <v>10.1177--1073191103010002007.pdf</v>
      </c>
      <c r="D1182" s="156" t="str">
        <f>IFERROR(__xludf.DUMMYFUNCTION("""COMPUTED_VALUE"""),"application/pdf")</f>
        <v>application/pdf</v>
      </c>
    </row>
    <row r="1183">
      <c r="A1183" s="156" t="str">
        <f>IFERROR(__xludf.DUMMYFUNCTION("""COMPUTED_VALUE"""),"10.1207/s15327752jpa8702_03")</f>
        <v>10.1207/s15327752jpa8702_03</v>
      </c>
      <c r="B1183" s="677" t="str">
        <f>IFERROR(__xludf.DUMMYFUNCTION("""COMPUTED_VALUE"""),"https://drive.google.com/file/d/1Rf8IlGencUyLrG0EADQrh4qiOhgDPDm0/view?usp=drivesdk")</f>
        <v>https://drive.google.com/file/d/1Rf8IlGencUyLrG0EADQrh4qiOhgDPDm0/view?usp=drivesdk</v>
      </c>
      <c r="C1183" s="156" t="str">
        <f>IFERROR(__xludf.DUMMYFUNCTION("""COMPUTED_VALUE"""),"10.1207--s15327752jpa8702_03.pdf")</f>
        <v>10.1207--s15327752jpa8702_03.pdf</v>
      </c>
      <c r="D1183" s="156" t="str">
        <f>IFERROR(__xludf.DUMMYFUNCTION("""COMPUTED_VALUE"""),"application/pdf")</f>
        <v>application/pdf</v>
      </c>
    </row>
    <row r="1184">
      <c r="A1184" s="156" t="str">
        <f>IFERROR(__xludf.DUMMYFUNCTION("""COMPUTED_VALUE"""),"10.1177/0146167204271713")</f>
        <v>10.1177/0146167204271713</v>
      </c>
      <c r="B1184" s="677" t="str">
        <f>IFERROR(__xludf.DUMMYFUNCTION("""COMPUTED_VALUE"""),"https://drive.google.com/file/d/1f7wM6Wv-5IZdMlvVixTX9XQGKehRmSbd/view?usp=drivesdk")</f>
        <v>https://drive.google.com/file/d/1f7wM6Wv-5IZdMlvVixTX9XQGKehRmSbd/view?usp=drivesdk</v>
      </c>
      <c r="C1184" s="156" t="str">
        <f>IFERROR(__xludf.DUMMYFUNCTION("""COMPUTED_VALUE"""),"10.1177--0146167204271713.pdf")</f>
        <v>10.1177--0146167204271713.pdf</v>
      </c>
      <c r="D1184" s="156" t="str">
        <f>IFERROR(__xludf.DUMMYFUNCTION("""COMPUTED_VALUE"""),"application/pdf")</f>
        <v>application/pdf</v>
      </c>
    </row>
    <row r="1185">
      <c r="A1185" s="156" t="str">
        <f>IFERROR(__xludf.DUMMYFUNCTION("""COMPUTED_VALUE"""),"10.1111/jasp.12482")</f>
        <v>10.1111/jasp.12482</v>
      </c>
      <c r="B1185" s="677" t="str">
        <f>IFERROR(__xludf.DUMMYFUNCTION("""COMPUTED_VALUE"""),"https://drive.google.com/file/d/13LS9QB_9LznWzEPtxRzswFa02VspDfHm/view?usp=drivesdk")</f>
        <v>https://drive.google.com/file/d/13LS9QB_9LznWzEPtxRzswFa02VspDfHm/view?usp=drivesdk</v>
      </c>
      <c r="C1185" s="156" t="str">
        <f>IFERROR(__xludf.DUMMYFUNCTION("""COMPUTED_VALUE"""),"10.1111--jasp.12482.pdf")</f>
        <v>10.1111--jasp.12482.pdf</v>
      </c>
      <c r="D1185" s="156" t="str">
        <f>IFERROR(__xludf.DUMMYFUNCTION("""COMPUTED_VALUE"""),"application/pdf")</f>
        <v>application/pdf</v>
      </c>
    </row>
    <row r="1186">
      <c r="A1186" s="156" t="str">
        <f>IFERROR(__xludf.DUMMYFUNCTION("""COMPUTED_VALUE"""),"10.1111/j.1471-6402.1988.tb00949.x")</f>
        <v>10.1111/j.1471-6402.1988.tb00949.x</v>
      </c>
      <c r="B1186" s="677" t="str">
        <f>IFERROR(__xludf.DUMMYFUNCTION("""COMPUTED_VALUE"""),"https://drive.google.com/file/d/1xmVQIT1E4bEl3FVGwzITeNrPYKzhpkUX/view?usp=drivesdk")</f>
        <v>https://drive.google.com/file/d/1xmVQIT1E4bEl3FVGwzITeNrPYKzhpkUX/view?usp=drivesdk</v>
      </c>
      <c r="C1186" s="156" t="str">
        <f>IFERROR(__xludf.DUMMYFUNCTION("""COMPUTED_VALUE"""),"10.1111--j.1471-6402.1988.tb00949.x.pdf")</f>
        <v>10.1111--j.1471-6402.1988.tb00949.x.pdf</v>
      </c>
      <c r="D1186" s="156" t="str">
        <f>IFERROR(__xludf.DUMMYFUNCTION("""COMPUTED_VALUE"""),"application/pdf")</f>
        <v>application/pdf</v>
      </c>
    </row>
    <row r="1187">
      <c r="A1187" s="156" t="str">
        <f>IFERROR(__xludf.DUMMYFUNCTION("""COMPUTED_VALUE"""),"10.1007/s00181-019-01708-2")</f>
        <v>10.1007/s00181-019-01708-2</v>
      </c>
      <c r="B1187" s="677" t="str">
        <f>IFERROR(__xludf.DUMMYFUNCTION("""COMPUTED_VALUE"""),"https://drive.google.com/file/d/127InPI2FO18-CVjeYWAw45OeGlbJsLgS/view?usp=drivesdk")</f>
        <v>https://drive.google.com/file/d/127InPI2FO18-CVjeYWAw45OeGlbJsLgS/view?usp=drivesdk</v>
      </c>
      <c r="C1187" s="156" t="str">
        <f>IFERROR(__xludf.DUMMYFUNCTION("""COMPUTED_VALUE"""),"10.1007--s00181-019-01708-2.pdf")</f>
        <v>10.1007--s00181-019-01708-2.pdf</v>
      </c>
      <c r="D1187" s="156" t="str">
        <f>IFERROR(__xludf.DUMMYFUNCTION("""COMPUTED_VALUE"""),"application/pdf")</f>
        <v>application/pdf</v>
      </c>
    </row>
    <row r="1188">
      <c r="A1188" s="156" t="str">
        <f>IFERROR(__xludf.DUMMYFUNCTION("""COMPUTED_VALUE"""),"10.1001/jamapediatrics.2013.4914")</f>
        <v>10.1001/jamapediatrics.2013.4914</v>
      </c>
      <c r="B1188" s="677" t="str">
        <f>IFERROR(__xludf.DUMMYFUNCTION("""COMPUTED_VALUE"""),"https://drive.google.com/file/d/1n7eSOCdAOIxngYQmTmTBMScbN48i49el/view?usp=drivesdk")</f>
        <v>https://drive.google.com/file/d/1n7eSOCdAOIxngYQmTmTBMScbN48i49el/view?usp=drivesdk</v>
      </c>
      <c r="C1188" s="156" t="str">
        <f>IFERROR(__xludf.DUMMYFUNCTION("""COMPUTED_VALUE"""),"10.1001--jamapediatrics.2013.4914.pdf")</f>
        <v>10.1001--jamapediatrics.2013.4914.pdf</v>
      </c>
      <c r="D1188" s="156" t="str">
        <f>IFERROR(__xludf.DUMMYFUNCTION("""COMPUTED_VALUE"""),"application/pdf")</f>
        <v>application/pdf</v>
      </c>
    </row>
    <row r="1189">
      <c r="A1189" s="156" t="str">
        <f>IFERROR(__xludf.DUMMYFUNCTION("""COMPUTED_VALUE"""),"10.1371/journal.pone.0108210")</f>
        <v>10.1371/journal.pone.0108210</v>
      </c>
      <c r="B1189" s="677" t="str">
        <f>IFERROR(__xludf.DUMMYFUNCTION("""COMPUTED_VALUE"""),"https://drive.google.com/file/d/1lVtzVUT1NgdL2Q4oDjvyy4DdPuRWzM6h/view?usp=drivesdk")</f>
        <v>https://drive.google.com/file/d/1lVtzVUT1NgdL2Q4oDjvyy4DdPuRWzM6h/view?usp=drivesdk</v>
      </c>
      <c r="C1189" s="156" t="str">
        <f>IFERROR(__xludf.DUMMYFUNCTION("""COMPUTED_VALUE"""),"10.1371--journal.pone.0108210.pdf")</f>
        <v>10.1371--journal.pone.0108210.pdf</v>
      </c>
      <c r="D1189" s="156" t="str">
        <f>IFERROR(__xludf.DUMMYFUNCTION("""COMPUTED_VALUE"""),"application/pdf")</f>
        <v>application/pdf</v>
      </c>
    </row>
    <row r="1190">
      <c r="A1190" s="156" t="str">
        <f>IFERROR(__xludf.DUMMYFUNCTION("""COMPUTED_VALUE"""),"10.1016/j.neuroimage.2010.06.074")</f>
        <v>10.1016/j.neuroimage.2010.06.074</v>
      </c>
      <c r="B1190" s="677" t="str">
        <f>IFERROR(__xludf.DUMMYFUNCTION("""COMPUTED_VALUE"""),"https://drive.google.com/file/d/1lzTDbGlZufj5mi3D2aXxSbSojMv0kS-e/view?usp=drivesdk")</f>
        <v>https://drive.google.com/file/d/1lzTDbGlZufj5mi3D2aXxSbSojMv0kS-e/view?usp=drivesdk</v>
      </c>
      <c r="C1190" s="156" t="str">
        <f>IFERROR(__xludf.DUMMYFUNCTION("""COMPUTED_VALUE"""),"10.1016--j.neuroimage.2010.06.074.pdf")</f>
        <v>10.1016--j.neuroimage.2010.06.074.pdf</v>
      </c>
      <c r="D1190" s="156" t="str">
        <f>IFERROR(__xludf.DUMMYFUNCTION("""COMPUTED_VALUE"""),"application/pdf")</f>
        <v>application/pdf</v>
      </c>
    </row>
    <row r="1191">
      <c r="A1191" s="156" t="str">
        <f>IFERROR(__xludf.DUMMYFUNCTION("""COMPUTED_VALUE"""),"10.26686/wgtn.17142398.v1")</f>
        <v>10.26686/wgtn.17142398.v1</v>
      </c>
      <c r="B1191" s="677" t="str">
        <f>IFERROR(__xludf.DUMMYFUNCTION("""COMPUTED_VALUE"""),"https://drive.google.com/file/d/1Xp-Wx90hQiFZ-ft_BG9vLWpCriMyIKdO/view?usp=drivesdk")</f>
        <v>https://drive.google.com/file/d/1Xp-Wx90hQiFZ-ft_BG9vLWpCriMyIKdO/view?usp=drivesdk</v>
      </c>
      <c r="C1191" s="156" t="str">
        <f>IFERROR(__xludf.DUMMYFUNCTION("""COMPUTED_VALUE"""),"10.26686--wgtn.17142398.v1.pdf")</f>
        <v>10.26686--wgtn.17142398.v1.pdf</v>
      </c>
      <c r="D1191" s="156" t="str">
        <f>IFERROR(__xludf.DUMMYFUNCTION("""COMPUTED_VALUE"""),"application/pdf")</f>
        <v>application/pdf</v>
      </c>
    </row>
    <row r="1192">
      <c r="A1192" s="156" t="str">
        <f>IFERROR(__xludf.DUMMYFUNCTION("""COMPUTED_VALUE"""),"10.1518/107118109x12524443345032")</f>
        <v>10.1518/107118109x12524443345032</v>
      </c>
      <c r="B1192" s="677" t="str">
        <f>IFERROR(__xludf.DUMMYFUNCTION("""COMPUTED_VALUE"""),"https://drive.google.com/file/d/1qxU3cdSdxUfw23Y0g2e9OIRMToTmzwEA/view?usp=drivesdk")</f>
        <v>https://drive.google.com/file/d/1qxU3cdSdxUfw23Y0g2e9OIRMToTmzwEA/view?usp=drivesdk</v>
      </c>
      <c r="C1192" s="156" t="str">
        <f>IFERROR(__xludf.DUMMYFUNCTION("""COMPUTED_VALUE"""),"10.1518--107118109x12524443345032.pdf")</f>
        <v>10.1518--107118109x12524443345032.pdf</v>
      </c>
      <c r="D1192" s="156" t="str">
        <f>IFERROR(__xludf.DUMMYFUNCTION("""COMPUTED_VALUE"""),"application/pdf")</f>
        <v>application/pdf</v>
      </c>
    </row>
    <row r="1193">
      <c r="A1193" s="156" t="str">
        <f>IFERROR(__xludf.DUMMYFUNCTION("""COMPUTED_VALUE"""),"tomek_1979")</f>
        <v>tomek_1979</v>
      </c>
      <c r="B1193" s="677" t="str">
        <f>IFERROR(__xludf.DUMMYFUNCTION("""COMPUTED_VALUE"""),"https://drive.google.com/file/d/1KgQgttNPdkMmm7CB8nzJBBWwUWhh9abf/view?usp=drivesdk")</f>
        <v>https://drive.google.com/file/d/1KgQgttNPdkMmm7CB8nzJBBWwUWhh9abf/view?usp=drivesdk</v>
      </c>
      <c r="C1193" s="156" t="str">
        <f>IFERROR(__xludf.DUMMYFUNCTION("""COMPUTED_VALUE"""),"tomek_1979.pdf")</f>
        <v>tomek_1979.pdf</v>
      </c>
      <c r="D1193" s="156" t="str">
        <f>IFERROR(__xludf.DUMMYFUNCTION("""COMPUTED_VALUE"""),"application/pdf")</f>
        <v>application/pdf</v>
      </c>
    </row>
    <row r="1194">
      <c r="A1194" s="156" t="str">
        <f>IFERROR(__xludf.DUMMYFUNCTION("""COMPUTED_VALUE"""),"10.1121/1.1448339")</f>
        <v>10.1121/1.1448339</v>
      </c>
      <c r="B1194" s="677" t="str">
        <f>IFERROR(__xludf.DUMMYFUNCTION("""COMPUTED_VALUE"""),"https://drive.google.com/file/d/1_B0etuOtVovqkPUYLfjA74_Cx0mBNpF1/view?usp=drivesdk")</f>
        <v>https://drive.google.com/file/d/1_B0etuOtVovqkPUYLfjA74_Cx0mBNpF1/view?usp=drivesdk</v>
      </c>
      <c r="C1194" s="156" t="str">
        <f>IFERROR(__xludf.DUMMYFUNCTION("""COMPUTED_VALUE"""),"10.1121--1.1448339.pdf")</f>
        <v>10.1121--1.1448339.pdf</v>
      </c>
      <c r="D1194" s="156" t="str">
        <f>IFERROR(__xludf.DUMMYFUNCTION("""COMPUTED_VALUE"""),"application/pdf")</f>
        <v>application/pdf</v>
      </c>
    </row>
    <row r="1195">
      <c r="A1195" s="156" t="str">
        <f>IFERROR(__xludf.DUMMYFUNCTION("""COMPUTED_VALUE"""),"10.3109/00016486409137078")</f>
        <v>10.3109/00016486409137078</v>
      </c>
      <c r="B1195" s="677" t="str">
        <f>IFERROR(__xludf.DUMMYFUNCTION("""COMPUTED_VALUE"""),"https://drive.google.com/file/d/1gKRv7R4O1mKjubsU8VA40ifjwbzvLBdc/view?usp=drivesdk")</f>
        <v>https://drive.google.com/file/d/1gKRv7R4O1mKjubsU8VA40ifjwbzvLBdc/view?usp=drivesdk</v>
      </c>
      <c r="C1195" s="156" t="str">
        <f>IFERROR(__xludf.DUMMYFUNCTION("""COMPUTED_VALUE"""),"10.3109--00016486409137078.pdf")</f>
        <v>10.3109--00016486409137078.pdf</v>
      </c>
      <c r="D1195" s="156" t="str">
        <f>IFERROR(__xludf.DUMMYFUNCTION("""COMPUTED_VALUE"""),"application/pdf")</f>
        <v>application/pdf</v>
      </c>
    </row>
    <row r="1196">
      <c r="A1196" s="156" t="str">
        <f>IFERROR(__xludf.DUMMYFUNCTION("""COMPUTED_VALUE"""),"10.1121/1.409273")</f>
        <v>10.1121/1.409273</v>
      </c>
      <c r="B1196" s="677" t="str">
        <f>IFERROR(__xludf.DUMMYFUNCTION("""COMPUTED_VALUE"""),"https://drive.google.com/file/d/1PP03RMQJJgJl0Az3_taHYEhfZuSAqQdA/view?usp=drivesdk")</f>
        <v>https://drive.google.com/file/d/1PP03RMQJJgJl0Az3_taHYEhfZuSAqQdA/view?usp=drivesdk</v>
      </c>
      <c r="C1196" s="156" t="str">
        <f>IFERROR(__xludf.DUMMYFUNCTION("""COMPUTED_VALUE"""),"10.1121--1.409273.pdf")</f>
        <v>10.1121--1.409273.pdf</v>
      </c>
      <c r="D1196" s="156" t="str">
        <f>IFERROR(__xludf.DUMMYFUNCTION("""COMPUTED_VALUE"""),"application/pdf")</f>
        <v>application/pdf</v>
      </c>
    </row>
    <row r="1197">
      <c r="A1197" s="156" t="str">
        <f>IFERROR(__xludf.DUMMYFUNCTION("""COMPUTED_VALUE"""),"10.1017/s1041610222000898")</f>
        <v>10.1017/s1041610222000898</v>
      </c>
      <c r="B1197" s="677" t="str">
        <f>IFERROR(__xludf.DUMMYFUNCTION("""COMPUTED_VALUE"""),"https://drive.google.com/file/d/12EZIhWdIWfim4jNO5E-Nh5Y5cyCThZdj/view?usp=drivesdk")</f>
        <v>https://drive.google.com/file/d/12EZIhWdIWfim4jNO5E-Nh5Y5cyCThZdj/view?usp=drivesdk</v>
      </c>
      <c r="C1197" s="156" t="str">
        <f>IFERROR(__xludf.DUMMYFUNCTION("""COMPUTED_VALUE"""),"10.1017--s1041610222000898.pdf")</f>
        <v>10.1017--s1041610222000898.pdf</v>
      </c>
      <c r="D1197" s="156" t="str">
        <f>IFERROR(__xludf.DUMMYFUNCTION("""COMPUTED_VALUE"""),"application/pdf")</f>
        <v>application/pdf</v>
      </c>
    </row>
    <row r="1198">
      <c r="A1198" s="156" t="str">
        <f>IFERROR(__xludf.DUMMYFUNCTION("""COMPUTED_VALUE"""),"10.2466/pr0.1987.61.1.166")</f>
        <v>10.2466/pr0.1987.61.1.166</v>
      </c>
      <c r="B1198" s="677" t="str">
        <f>IFERROR(__xludf.DUMMYFUNCTION("""COMPUTED_VALUE"""),"https://drive.google.com/file/d/1Me69vYYHR9myCXb7EG0PfACQs-mbZZsT/view?usp=drivesdk")</f>
        <v>https://drive.google.com/file/d/1Me69vYYHR9myCXb7EG0PfACQs-mbZZsT/view?usp=drivesdk</v>
      </c>
      <c r="C1198" s="156" t="str">
        <f>IFERROR(__xludf.DUMMYFUNCTION("""COMPUTED_VALUE"""),"10.2466--pr0.1987.61.1.166.pdf")</f>
        <v>10.2466--pr0.1987.61.1.166.pdf</v>
      </c>
      <c r="D1198" s="156" t="str">
        <f>IFERROR(__xludf.DUMMYFUNCTION("""COMPUTED_VALUE"""),"application/pdf")</f>
        <v>application/pdf</v>
      </c>
    </row>
    <row r="1199">
      <c r="A1199" s="156" t="str">
        <f>IFERROR(__xludf.DUMMYFUNCTION("""COMPUTED_VALUE"""),"10.1300/j001v13n02_10")</f>
        <v>10.1300/j001v13n02_10</v>
      </c>
      <c r="B1199" s="677" t="str">
        <f>IFERROR(__xludf.DUMMYFUNCTION("""COMPUTED_VALUE"""),"https://drive.google.com/file/d/1E_Y-eSL7cOIC2Pl2Q5-JmDYPBxV3Yuqm/view?usp=drivesdk")</f>
        <v>https://drive.google.com/file/d/1E_Y-eSL7cOIC2Pl2Q5-JmDYPBxV3Yuqm/view?usp=drivesdk</v>
      </c>
      <c r="C1199" s="156" t="str">
        <f>IFERROR(__xludf.DUMMYFUNCTION("""COMPUTED_VALUE"""),"10.1300--j001v13n02_10.pdf")</f>
        <v>10.1300--j001v13n02_10.pdf</v>
      </c>
      <c r="D1199" s="156" t="str">
        <f>IFERROR(__xludf.DUMMYFUNCTION("""COMPUTED_VALUE"""),"application/pdf")</f>
        <v>application/pdf</v>
      </c>
    </row>
    <row r="1200">
      <c r="A1200" s="156" t="str">
        <f>IFERROR(__xludf.DUMMYFUNCTION("""COMPUTED_VALUE"""),"10.1348/026151005x70094")</f>
        <v>10.1348/026151005x70094</v>
      </c>
      <c r="B1200" s="677" t="str">
        <f>IFERROR(__xludf.DUMMYFUNCTION("""COMPUTED_VALUE"""),"https://drive.google.com/file/d/1ISBwKbDzt_JupXKVHE0LvgeL2jQzxAJl/view?usp=drivesdk")</f>
        <v>https://drive.google.com/file/d/1ISBwKbDzt_JupXKVHE0LvgeL2jQzxAJl/view?usp=drivesdk</v>
      </c>
      <c r="C1200" s="156" t="str">
        <f>IFERROR(__xludf.DUMMYFUNCTION("""COMPUTED_VALUE"""),"10.1348--026151005x70094.pdf")</f>
        <v>10.1348--026151005x70094.pdf</v>
      </c>
      <c r="D1200" s="156" t="str">
        <f>IFERROR(__xludf.DUMMYFUNCTION("""COMPUTED_VALUE"""),"application/pdf")</f>
        <v>application/pdf</v>
      </c>
    </row>
    <row r="1201">
      <c r="A1201" s="156" t="str">
        <f>IFERROR(__xludf.DUMMYFUNCTION("""COMPUTED_VALUE"""),"downie_2012")</f>
        <v>downie_2012</v>
      </c>
      <c r="B1201" s="677" t="str">
        <f>IFERROR(__xludf.DUMMYFUNCTION("""COMPUTED_VALUE"""),"https://drive.google.com/file/d/1ZW6D4hcOBZ21zKN0viyVwEOCQXfooh0m/view?usp=drivesdk")</f>
        <v>https://drive.google.com/file/d/1ZW6D4hcOBZ21zKN0viyVwEOCQXfooh0m/view?usp=drivesdk</v>
      </c>
      <c r="C1201" s="156" t="str">
        <f>IFERROR(__xludf.DUMMYFUNCTION("""COMPUTED_VALUE"""),"downie_2012.pdf")</f>
        <v>downie_2012.pdf</v>
      </c>
      <c r="D1201" s="156" t="str">
        <f>IFERROR(__xludf.DUMMYFUNCTION("""COMPUTED_VALUE"""),"application/pdf")</f>
        <v>application/pdf</v>
      </c>
    </row>
    <row r="1202">
      <c r="A1202" s="156" t="str">
        <f>IFERROR(__xludf.DUMMYFUNCTION("""COMPUTED_VALUE"""),"10.1016/s0022-4405(01)00085-1")</f>
        <v>10.1016/s0022-4405(01)00085-1</v>
      </c>
      <c r="B1202" s="677" t="str">
        <f>IFERROR(__xludf.DUMMYFUNCTION("""COMPUTED_VALUE"""),"https://drive.google.com/file/d/1y6P3-l4hPuf5Hc-Q9WIYE0ei6sMbc_k6/view?usp=drivesdk")</f>
        <v>https://drive.google.com/file/d/1y6P3-l4hPuf5Hc-Q9WIYE0ei6sMbc_k6/view?usp=drivesdk</v>
      </c>
      <c r="C1202" s="156" t="str">
        <f>IFERROR(__xludf.DUMMYFUNCTION("""COMPUTED_VALUE"""),"10.1016--s0022-4405(01)00085-1.pdf")</f>
        <v>10.1016--s0022-4405(01)00085-1.pdf</v>
      </c>
      <c r="D1202" s="156" t="str">
        <f>IFERROR(__xludf.DUMMYFUNCTION("""COMPUTED_VALUE"""),"application/pdf")</f>
        <v>application/pdf</v>
      </c>
    </row>
    <row r="1203">
      <c r="A1203" s="156" t="str">
        <f>IFERROR(__xludf.DUMMYFUNCTION("""COMPUTED_VALUE"""),"10.1080/10474412.2016.1275649")</f>
        <v>10.1080/10474412.2016.1275649</v>
      </c>
      <c r="B1203" s="677" t="str">
        <f>IFERROR(__xludf.DUMMYFUNCTION("""COMPUTED_VALUE"""),"https://drive.google.com/file/d/1hqjsgFT2CMKMncMNyt68bWb6G_tv_dSC/view?usp=drivesdk")</f>
        <v>https://drive.google.com/file/d/1hqjsgFT2CMKMncMNyt68bWb6G_tv_dSC/view?usp=drivesdk</v>
      </c>
      <c r="C1203" s="156" t="str">
        <f>IFERROR(__xludf.DUMMYFUNCTION("""COMPUTED_VALUE"""),"10.1080--10474412.2016.1275649.pdf")</f>
        <v>10.1080--10474412.2016.1275649.pdf</v>
      </c>
      <c r="D1203" s="156" t="str">
        <f>IFERROR(__xludf.DUMMYFUNCTION("""COMPUTED_VALUE"""),"application/pdf")</f>
        <v>application/pdf</v>
      </c>
    </row>
    <row r="1204">
      <c r="A1204" s="156" t="str">
        <f>IFERROR(__xludf.DUMMYFUNCTION("""COMPUTED_VALUE"""),"10.1177/074193259001100206")</f>
        <v>10.1177/074193259001100206</v>
      </c>
      <c r="B1204" s="677" t="str">
        <f>IFERROR(__xludf.DUMMYFUNCTION("""COMPUTED_VALUE"""),"https://drive.google.com/file/d/17QZRE3en3oQzW03F7fCg49SKarFoDr3Z/view?usp=drivesdk")</f>
        <v>https://drive.google.com/file/d/17QZRE3en3oQzW03F7fCg49SKarFoDr3Z/view?usp=drivesdk</v>
      </c>
      <c r="C1204" s="156" t="str">
        <f>IFERROR(__xludf.DUMMYFUNCTION("""COMPUTED_VALUE"""),"10.1177--074193259001100206.pdf")</f>
        <v>10.1177--074193259001100206.pdf</v>
      </c>
      <c r="D1204" s="156" t="str">
        <f>IFERROR(__xludf.DUMMYFUNCTION("""COMPUTED_VALUE"""),"application/pdf")</f>
        <v>application/pdf</v>
      </c>
    </row>
    <row r="1205">
      <c r="A1205" s="156" t="str">
        <f>IFERROR(__xludf.DUMMYFUNCTION("""COMPUTED_VALUE"""),"10.1177/106342669400200201")</f>
        <v>10.1177/106342669400200201</v>
      </c>
      <c r="B1205" s="677" t="str">
        <f>IFERROR(__xludf.DUMMYFUNCTION("""COMPUTED_VALUE"""),"https://drive.google.com/file/d/1REXZFn51VG-EsropX7lsEKyqCXA3Plag/view?usp=drivesdk")</f>
        <v>https://drive.google.com/file/d/1REXZFn51VG-EsropX7lsEKyqCXA3Plag/view?usp=drivesdk</v>
      </c>
      <c r="C1205" s="156" t="str">
        <f>IFERROR(__xludf.DUMMYFUNCTION("""COMPUTED_VALUE"""),"10.1177--106342669400200201.pdf")</f>
        <v>10.1177--106342669400200201.pdf</v>
      </c>
      <c r="D1205" s="156" t="str">
        <f>IFERROR(__xludf.DUMMYFUNCTION("""COMPUTED_VALUE"""),"application/pdf")</f>
        <v>application/pdf</v>
      </c>
    </row>
    <row r="1206">
      <c r="A1206" s="156" t="str">
        <f>IFERROR(__xludf.DUMMYFUNCTION("""COMPUTED_VALUE"""),"10.1002/cpp.333")</f>
        <v>10.1002/cpp.333</v>
      </c>
      <c r="B1206" s="677" t="str">
        <f>IFERROR(__xludf.DUMMYFUNCTION("""COMPUTED_VALUE"""),"https://drive.google.com/file/d/1T8o2VZGWgfsl2q6cDK0pbAregJ89zOX1/view?usp=drivesdk")</f>
        <v>https://drive.google.com/file/d/1T8o2VZGWgfsl2q6cDK0pbAregJ89zOX1/view?usp=drivesdk</v>
      </c>
      <c r="C1206" s="156" t="str">
        <f>IFERROR(__xludf.DUMMYFUNCTION("""COMPUTED_VALUE"""),"10.1002--cpp.333.pdf")</f>
        <v>10.1002--cpp.333.pdf</v>
      </c>
      <c r="D1206" s="156" t="str">
        <f>IFERROR(__xludf.DUMMYFUNCTION("""COMPUTED_VALUE"""),"application/pdf")</f>
        <v>application/pdf</v>
      </c>
    </row>
    <row r="1207">
      <c r="A1207" s="156" t="str">
        <f>IFERROR(__xludf.DUMMYFUNCTION("""COMPUTED_VALUE"""),"10.1002/cpp.491")</f>
        <v>10.1002/cpp.491</v>
      </c>
      <c r="B1207" s="677" t="str">
        <f>IFERROR(__xludf.DUMMYFUNCTION("""COMPUTED_VALUE"""),"https://drive.google.com/file/d/1lkR9fjBAKPGcxcX9cfbb_YQLNac74Jrz/view?usp=drivesdk")</f>
        <v>https://drive.google.com/file/d/1lkR9fjBAKPGcxcX9cfbb_YQLNac74Jrz/view?usp=drivesdk</v>
      </c>
      <c r="C1207" s="156" t="str">
        <f>IFERROR(__xludf.DUMMYFUNCTION("""COMPUTED_VALUE"""),"10.1002--cpp.491.pdf")</f>
        <v>10.1002--cpp.491.pdf</v>
      </c>
      <c r="D1207" s="156" t="str">
        <f>IFERROR(__xludf.DUMMYFUNCTION("""COMPUTED_VALUE"""),"application/pdf")</f>
        <v>application/pdf</v>
      </c>
    </row>
    <row r="1208">
      <c r="A1208" s="156" t="str">
        <f>IFERROR(__xludf.DUMMYFUNCTION("""COMPUTED_VALUE"""),"10.1001/archgenpsychiatry.2012.124")</f>
        <v>10.1001/archgenpsychiatry.2012.124</v>
      </c>
      <c r="B1208" s="677" t="str">
        <f>IFERROR(__xludf.DUMMYFUNCTION("""COMPUTED_VALUE"""),"https://drive.google.com/file/d/1JAQlffWyxBpm9pp-c3OwivUz-5jJ5QTR/view?usp=drivesdk")</f>
        <v>https://drive.google.com/file/d/1JAQlffWyxBpm9pp-c3OwivUz-5jJ5QTR/view?usp=drivesdk</v>
      </c>
      <c r="C1208" s="156" t="str">
        <f>IFERROR(__xludf.DUMMYFUNCTION("""COMPUTED_VALUE"""),"10.1001--archgenpsychiatry.2012.124.pdf")</f>
        <v>10.1001--archgenpsychiatry.2012.124.pdf</v>
      </c>
      <c r="D1208" s="156" t="str">
        <f>IFERROR(__xludf.DUMMYFUNCTION("""COMPUTED_VALUE"""),"application/pdf")</f>
        <v>application/pdf</v>
      </c>
    </row>
    <row r="1209">
      <c r="A1209" s="156" t="str">
        <f>IFERROR(__xludf.DUMMYFUNCTION("""COMPUTED_VALUE"""),"10.1093/ntr/ntaa229")</f>
        <v>10.1093/ntr/ntaa229</v>
      </c>
      <c r="B1209" s="677" t="str">
        <f>IFERROR(__xludf.DUMMYFUNCTION("""COMPUTED_VALUE"""),"https://drive.google.com/file/d/1u1RiBM_bgytH8CRFrls8sW7aPirtAKhG/view?usp=drivesdk")</f>
        <v>https://drive.google.com/file/d/1u1RiBM_bgytH8CRFrls8sW7aPirtAKhG/view?usp=drivesdk</v>
      </c>
      <c r="C1209" s="156" t="str">
        <f>IFERROR(__xludf.DUMMYFUNCTION("""COMPUTED_VALUE"""),"10.1093--ntr--ntaa229.pdf")</f>
        <v>10.1093--ntr--ntaa229.pdf</v>
      </c>
      <c r="D1209" s="156" t="str">
        <f>IFERROR(__xludf.DUMMYFUNCTION("""COMPUTED_VALUE"""),"application/pdf")</f>
        <v>application/pdf</v>
      </c>
    </row>
    <row r="1210">
      <c r="A1210" s="156" t="str">
        <f>IFERROR(__xludf.DUMMYFUNCTION("""COMPUTED_VALUE"""),"10.1177/0023830911404958")</f>
        <v>10.1177/0023830911404958</v>
      </c>
      <c r="B1210" s="677" t="str">
        <f>IFERROR(__xludf.DUMMYFUNCTION("""COMPUTED_VALUE"""),"https://drive.google.com/file/d/1tGE1AQT1ou7SNYSwWTfHtvNY1XvQNIq2/view?usp=drivesdk")</f>
        <v>https://drive.google.com/file/d/1tGE1AQT1ou7SNYSwWTfHtvNY1XvQNIq2/view?usp=drivesdk</v>
      </c>
      <c r="C1210" s="156" t="str">
        <f>IFERROR(__xludf.DUMMYFUNCTION("""COMPUTED_VALUE"""),"10.1177--0023830911404958.pdf")</f>
        <v>10.1177--0023830911404958.pdf</v>
      </c>
      <c r="D1210" s="156" t="str">
        <f>IFERROR(__xludf.DUMMYFUNCTION("""COMPUTED_VALUE"""),"application/pdf")</f>
        <v>application/pdf</v>
      </c>
    </row>
    <row r="1211">
      <c r="A1211" s="156" t="str">
        <f>IFERROR(__xludf.DUMMYFUNCTION("""COMPUTED_VALUE"""),"10.1044/2021_jslhr-21-00106")</f>
        <v>10.1044/2021_jslhr-21-00106</v>
      </c>
      <c r="B1211" s="677" t="str">
        <f>IFERROR(__xludf.DUMMYFUNCTION("""COMPUTED_VALUE"""),"https://drive.google.com/file/d/1BSYDsRVsOlhve2jx0_E7IbMF1CuUMPa_/view?usp=drivesdk")</f>
        <v>https://drive.google.com/file/d/1BSYDsRVsOlhve2jx0_E7IbMF1CuUMPa_/view?usp=drivesdk</v>
      </c>
      <c r="C1211" s="156" t="str">
        <f>IFERROR(__xludf.DUMMYFUNCTION("""COMPUTED_VALUE"""),"10.1044--2021_jslhr-21-00106.pdf")</f>
        <v>10.1044--2021_jslhr-21-00106.pdf</v>
      </c>
      <c r="D1211" s="156" t="str">
        <f>IFERROR(__xludf.DUMMYFUNCTION("""COMPUTED_VALUE"""),"application/pdf")</f>
        <v>application/pdf</v>
      </c>
    </row>
    <row r="1212">
      <c r="A1212" s="156" t="str">
        <f>IFERROR(__xludf.DUMMYFUNCTION("""COMPUTED_VALUE"""),"10.1371/journal.pone.0090747")</f>
        <v>10.1371/journal.pone.0090747</v>
      </c>
      <c r="B1212" s="677" t="str">
        <f>IFERROR(__xludf.DUMMYFUNCTION("""COMPUTED_VALUE"""),"https://drive.google.com/file/d/19v9FT5hEYrEw3mMDMtE-ea3-0Gvk3PE8/view?usp=drivesdk")</f>
        <v>https://drive.google.com/file/d/19v9FT5hEYrEw3mMDMtE-ea3-0Gvk3PE8/view?usp=drivesdk</v>
      </c>
      <c r="C1212" s="156" t="str">
        <f>IFERROR(__xludf.DUMMYFUNCTION("""COMPUTED_VALUE"""),"10.1371--journal.pone.0090747.pdf")</f>
        <v>10.1371--journal.pone.0090747.pdf</v>
      </c>
      <c r="D1212" s="156" t="str">
        <f>IFERROR(__xludf.DUMMYFUNCTION("""COMPUTED_VALUE"""),"application/pdf")</f>
        <v>application/pdf</v>
      </c>
    </row>
    <row r="1213">
      <c r="A1213" s="156" t="str">
        <f>IFERROR(__xludf.DUMMYFUNCTION("""COMPUTED_VALUE"""),"10.1371/journal.pone.0140665")</f>
        <v>10.1371/journal.pone.0140665</v>
      </c>
      <c r="B1213" s="677" t="str">
        <f>IFERROR(__xludf.DUMMYFUNCTION("""COMPUTED_VALUE"""),"https://drive.google.com/file/d/1jEP71nTne5bOCeZqCjtYTROX9jL1HJcs/view?usp=drivesdk")</f>
        <v>https://drive.google.com/file/d/1jEP71nTne5bOCeZqCjtYTROX9jL1HJcs/view?usp=drivesdk</v>
      </c>
      <c r="C1213" s="156" t="str">
        <f>IFERROR(__xludf.DUMMYFUNCTION("""COMPUTED_VALUE"""),"10.1371--journal.pone.0140665.pdf")</f>
        <v>10.1371--journal.pone.0140665.pdf</v>
      </c>
      <c r="D1213" s="156" t="str">
        <f>IFERROR(__xludf.DUMMYFUNCTION("""COMPUTED_VALUE"""),"application/pdf")</f>
        <v>application/pdf</v>
      </c>
    </row>
    <row r="1214">
      <c r="A1214" s="156" t="str">
        <f>IFERROR(__xludf.DUMMYFUNCTION("""COMPUTED_VALUE"""),"10.3822/ijtmb.v6i4.227")</f>
        <v>10.3822/ijtmb.v6i4.227</v>
      </c>
      <c r="B1214" s="677" t="str">
        <f>IFERROR(__xludf.DUMMYFUNCTION("""COMPUTED_VALUE"""),"https://drive.google.com/file/d/1wWqFpWow0CoOu7fTSdUXCGJ9UigZpMEn/view?usp=drivesdk")</f>
        <v>https://drive.google.com/file/d/1wWqFpWow0CoOu7fTSdUXCGJ9UigZpMEn/view?usp=drivesdk</v>
      </c>
      <c r="C1214" s="156" t="str">
        <f>IFERROR(__xludf.DUMMYFUNCTION("""COMPUTED_VALUE"""),"10.3822--ijtmb.v6i4.227.pdf")</f>
        <v>10.3822--ijtmb.v6i4.227.pdf</v>
      </c>
      <c r="D1214" s="156" t="str">
        <f>IFERROR(__xludf.DUMMYFUNCTION("""COMPUTED_VALUE"""),"application/pdf")</f>
        <v>application/pdf</v>
      </c>
    </row>
    <row r="1215">
      <c r="A1215" s="156" t="str">
        <f>IFERROR(__xludf.DUMMYFUNCTION("""COMPUTED_VALUE"""),"10.1155/2015/904585")</f>
        <v>10.1155/2015/904585</v>
      </c>
      <c r="B1215" s="677" t="str">
        <f>IFERROR(__xludf.DUMMYFUNCTION("""COMPUTED_VALUE"""),"https://drive.google.com/file/d/1lVnHCyiXYvGRYGX-V0ZvvK_VLIwJw3nd/view?usp=drivesdk")</f>
        <v>https://drive.google.com/file/d/1lVnHCyiXYvGRYGX-V0ZvvK_VLIwJw3nd/view?usp=drivesdk</v>
      </c>
      <c r="C1215" s="156" t="str">
        <f>IFERROR(__xludf.DUMMYFUNCTION("""COMPUTED_VALUE"""),"10.1155--2015--904585.pdf")</f>
        <v>10.1155--2015--904585.pdf</v>
      </c>
      <c r="D1215" s="156" t="str">
        <f>IFERROR(__xludf.DUMMYFUNCTION("""COMPUTED_VALUE"""),"application/pdf")</f>
        <v>application/pdf</v>
      </c>
    </row>
    <row r="1216">
      <c r="A1216" s="156" t="str">
        <f>IFERROR(__xludf.DUMMYFUNCTION("""COMPUTED_VALUE"""),"10.1016/j.jfineco.2004.06.007")</f>
        <v>10.1016/j.jfineco.2004.06.007</v>
      </c>
      <c r="B1216" s="677" t="str">
        <f>IFERROR(__xludf.DUMMYFUNCTION("""COMPUTED_VALUE"""),"https://drive.google.com/file/d/1sVLQXjpjnzfZ-SS6nD2F4MG703YHZCWx/view?usp=drivesdk")</f>
        <v>https://drive.google.com/file/d/1sVLQXjpjnzfZ-SS6nD2F4MG703YHZCWx/view?usp=drivesdk</v>
      </c>
      <c r="C1216" s="156" t="str">
        <f>IFERROR(__xludf.DUMMYFUNCTION("""COMPUTED_VALUE"""),"10.1016--j.jfineco.2004.06.007.pdf")</f>
        <v>10.1016--j.jfineco.2004.06.007.pdf</v>
      </c>
      <c r="D1216" s="156" t="str">
        <f>IFERROR(__xludf.DUMMYFUNCTION("""COMPUTED_VALUE"""),"application/pdf")</f>
        <v>application/pdf</v>
      </c>
    </row>
    <row r="1217">
      <c r="A1217" s="156" t="str">
        <f>IFERROR(__xludf.DUMMYFUNCTION("""COMPUTED_VALUE"""),"holden_2016")</f>
        <v>holden_2016</v>
      </c>
      <c r="B1217" s="677" t="str">
        <f>IFERROR(__xludf.DUMMYFUNCTION("""COMPUTED_VALUE"""),"https://drive.google.com/file/d/11F4P0w9ysNZf8bkwYNu5LRdP2868Y4Mz/view?usp=drivesdk")</f>
        <v>https://drive.google.com/file/d/11F4P0w9ysNZf8bkwYNu5LRdP2868Y4Mz/view?usp=drivesdk</v>
      </c>
      <c r="C1217" s="156" t="str">
        <f>IFERROR(__xludf.DUMMYFUNCTION("""COMPUTED_VALUE"""),"holden_2016.pdf")</f>
        <v>holden_2016.pdf</v>
      </c>
      <c r="D1217" s="156" t="str">
        <f>IFERROR(__xludf.DUMMYFUNCTION("""COMPUTED_VALUE"""),"application/pdf")</f>
        <v>application/pdf</v>
      </c>
    </row>
    <row r="1218">
      <c r="A1218" s="156" t="str">
        <f>IFERROR(__xludf.DUMMYFUNCTION("""COMPUTED_VALUE"""),"10.1177/2167702612472487")</f>
        <v>10.1177/2167702612472487</v>
      </c>
      <c r="B1218" s="677" t="str">
        <f>IFERROR(__xludf.DUMMYFUNCTION("""COMPUTED_VALUE"""),"https://drive.google.com/file/d/10-QBr8uK18i-lu6Jhs2ZJePBrvjOnQ4R/view?usp=drivesdk")</f>
        <v>https://drive.google.com/file/d/10-QBr8uK18i-lu6Jhs2ZJePBrvjOnQ4R/view?usp=drivesdk</v>
      </c>
      <c r="C1218" s="156" t="str">
        <f>IFERROR(__xludf.DUMMYFUNCTION("""COMPUTED_VALUE"""),"10.1177--2167702612472487.pdf")</f>
        <v>10.1177--2167702612472487.pdf</v>
      </c>
      <c r="D1218" s="156" t="str">
        <f>IFERROR(__xludf.DUMMYFUNCTION("""COMPUTED_VALUE"""),"application/pdf")</f>
        <v>application/pdf</v>
      </c>
    </row>
    <row r="1219">
      <c r="A1219" s="156" t="str">
        <f>IFERROR(__xludf.DUMMYFUNCTION("""COMPUTED_VALUE"""),"10.1177/21677026241258380")</f>
        <v>10.1177/21677026241258380</v>
      </c>
      <c r="B1219" s="677" t="str">
        <f>IFERROR(__xludf.DUMMYFUNCTION("""COMPUTED_VALUE"""),"https://drive.google.com/file/d/1zExMmFv5R6hJUYAtHUdMag1uYCROM6Q3/view?usp=drivesdk")</f>
        <v>https://drive.google.com/file/d/1zExMmFv5R6hJUYAtHUdMag1uYCROM6Q3/view?usp=drivesdk</v>
      </c>
      <c r="C1219" s="156" t="str">
        <f>IFERROR(__xludf.DUMMYFUNCTION("""COMPUTED_VALUE"""),"10.1177--21677026241258380.pdf")</f>
        <v>10.1177--21677026241258380.pdf</v>
      </c>
      <c r="D1219" s="156" t="str">
        <f>IFERROR(__xludf.DUMMYFUNCTION("""COMPUTED_VALUE"""),"application/pdf")</f>
        <v>application/pdf</v>
      </c>
    </row>
    <row r="1220">
      <c r="A1220" s="156" t="str">
        <f>IFERROR(__xludf.DUMMYFUNCTION("""COMPUTED_VALUE"""),"10.1111/cogs.13202")</f>
        <v>10.1111/cogs.13202</v>
      </c>
      <c r="B1220" s="677" t="str">
        <f>IFERROR(__xludf.DUMMYFUNCTION("""COMPUTED_VALUE"""),"https://drive.google.com/file/d/1PABk6dOEUIskaUeYUtB5qxBLd9hsWSnQ/view?usp=drivesdk")</f>
        <v>https://drive.google.com/file/d/1PABk6dOEUIskaUeYUtB5qxBLd9hsWSnQ/view?usp=drivesdk</v>
      </c>
      <c r="C1220" s="156" t="str">
        <f>IFERROR(__xludf.DUMMYFUNCTION("""COMPUTED_VALUE"""),"10.1111--cogs.13202.pdf")</f>
        <v>10.1111--cogs.13202.pdf</v>
      </c>
      <c r="D1220" s="156" t="str">
        <f>IFERROR(__xludf.DUMMYFUNCTION("""COMPUTED_VALUE"""),"application/pdf")</f>
        <v>application/pdf</v>
      </c>
    </row>
    <row r="1221">
      <c r="A1221" s="156" t="str">
        <f>IFERROR(__xludf.DUMMYFUNCTION("""COMPUTED_VALUE"""),"10.2466/pr0.1985.57.3f.1091")</f>
        <v>10.2466/pr0.1985.57.3f.1091</v>
      </c>
      <c r="B1221" s="677" t="str">
        <f>IFERROR(__xludf.DUMMYFUNCTION("""COMPUTED_VALUE"""),"https://drive.google.com/file/d/1VT0yrBLuaT1_Tc0_YQd_-3K6v5mi_TBf/view?usp=drivesdk")</f>
        <v>https://drive.google.com/file/d/1VT0yrBLuaT1_Tc0_YQd_-3K6v5mi_TBf/view?usp=drivesdk</v>
      </c>
      <c r="C1221" s="156" t="str">
        <f>IFERROR(__xludf.DUMMYFUNCTION("""COMPUTED_VALUE"""),"10.2466--pr0.1985.57.3f.1091.pdf")</f>
        <v>10.2466--pr0.1985.57.3f.1091.pdf</v>
      </c>
      <c r="D1221" s="156" t="str">
        <f>IFERROR(__xludf.DUMMYFUNCTION("""COMPUTED_VALUE"""),"application/pdf")</f>
        <v>application/pdf</v>
      </c>
    </row>
    <row r="1222">
      <c r="A1222" s="156" t="str">
        <f>IFERROR(__xludf.DUMMYFUNCTION("""COMPUTED_VALUE"""),"10.2466/pr0.1989.64.3.833")</f>
        <v>10.2466/pr0.1989.64.3.833</v>
      </c>
      <c r="B1222" s="677" t="str">
        <f>IFERROR(__xludf.DUMMYFUNCTION("""COMPUTED_VALUE"""),"https://drive.google.com/file/d/1mjL3xHfsn80mQGGB8usjdzsZqlLh5eOl/view?usp=drivesdk")</f>
        <v>https://drive.google.com/file/d/1mjL3xHfsn80mQGGB8usjdzsZqlLh5eOl/view?usp=drivesdk</v>
      </c>
      <c r="C1222" s="156" t="str">
        <f>IFERROR(__xludf.DUMMYFUNCTION("""COMPUTED_VALUE"""),"10.2466--pr0.1989.64.3.833.pdf")</f>
        <v>10.2466--pr0.1989.64.3.833.pdf</v>
      </c>
      <c r="D1222" s="156" t="str">
        <f>IFERROR(__xludf.DUMMYFUNCTION("""COMPUTED_VALUE"""),"application/pdf")</f>
        <v>application/pdf</v>
      </c>
    </row>
    <row r="1223">
      <c r="A1223" s="156" t="str">
        <f>IFERROR(__xludf.DUMMYFUNCTION("""COMPUTED_VALUE"""),"10.31234/osf.io/jktnv")</f>
        <v>10.31234/osf.io/jktnv</v>
      </c>
      <c r="B1223" s="677" t="str">
        <f>IFERROR(__xludf.DUMMYFUNCTION("""COMPUTED_VALUE"""),"https://drive.google.com/file/d/11ZOehRycTTYUoqzxcsdNL9YzFiz9bT7C/view?usp=drivesdk")</f>
        <v>https://drive.google.com/file/d/11ZOehRycTTYUoqzxcsdNL9YzFiz9bT7C/view?usp=drivesdk</v>
      </c>
      <c r="C1223" s="156" t="str">
        <f>IFERROR(__xludf.DUMMYFUNCTION("""COMPUTED_VALUE"""),"10.31234--osf.io--jktnv.pdf")</f>
        <v>10.31234--osf.io--jktnv.pdf</v>
      </c>
      <c r="D1223" s="156" t="str">
        <f>IFERROR(__xludf.DUMMYFUNCTION("""COMPUTED_VALUE"""),"application/pdf")</f>
        <v>application/pdf</v>
      </c>
    </row>
    <row r="1224">
      <c r="A1224" s="156" t="str">
        <f>IFERROR(__xludf.DUMMYFUNCTION("""COMPUTED_VALUE"""),"10.1016/j.jalz.2017.06.305")</f>
        <v>10.1016/j.jalz.2017.06.305</v>
      </c>
      <c r="B1224" s="677" t="str">
        <f>IFERROR(__xludf.DUMMYFUNCTION("""COMPUTED_VALUE"""),"https://drive.google.com/file/d/1QYv-gK2Dttqrba8EgqIPZqUog3R00vXd/view?usp=drivesdk")</f>
        <v>https://drive.google.com/file/d/1QYv-gK2Dttqrba8EgqIPZqUog3R00vXd/view?usp=drivesdk</v>
      </c>
      <c r="C1224" s="156" t="str">
        <f>IFERROR(__xludf.DUMMYFUNCTION("""COMPUTED_VALUE"""),"10.1016--j.jalz.2017.06.305.pdf")</f>
        <v>10.1016--j.jalz.2017.06.305.pdf</v>
      </c>
      <c r="D1224" s="156" t="str">
        <f>IFERROR(__xludf.DUMMYFUNCTION("""COMPUTED_VALUE"""),"application/pdf")</f>
        <v>application/pdf</v>
      </c>
    </row>
    <row r="1225">
      <c r="A1225" s="156" t="str">
        <f>IFERROR(__xludf.DUMMYFUNCTION("""COMPUTED_VALUE"""),"10.1371/journal.pbio.0050138")</f>
        <v>10.1371/journal.pbio.0050138</v>
      </c>
      <c r="B1225" s="677" t="str">
        <f>IFERROR(__xludf.DUMMYFUNCTION("""COMPUTED_VALUE"""),"https://drive.google.com/file/d/1twEJKFkmqDVg7ydyvzzUrZCrJ2Kg2igY/view?usp=drivesdk")</f>
        <v>https://drive.google.com/file/d/1twEJKFkmqDVg7ydyvzzUrZCrJ2Kg2igY/view?usp=drivesdk</v>
      </c>
      <c r="C1225" s="156" t="str">
        <f>IFERROR(__xludf.DUMMYFUNCTION("""COMPUTED_VALUE"""),"10.1371--journal.pbio.0050138.pdf")</f>
        <v>10.1371--journal.pbio.0050138.pdf</v>
      </c>
      <c r="D1225" s="156" t="str">
        <f>IFERROR(__xludf.DUMMYFUNCTION("""COMPUTED_VALUE"""),"application/pdf")</f>
        <v>application/pdf</v>
      </c>
    </row>
    <row r="1226">
      <c r="A1226" s="156" t="str">
        <f>IFERROR(__xludf.DUMMYFUNCTION("""COMPUTED_VALUE"""),"10.1101/2023.02.10.527999")</f>
        <v>10.1101/2023.02.10.527999</v>
      </c>
      <c r="B1226" s="677" t="str">
        <f>IFERROR(__xludf.DUMMYFUNCTION("""COMPUTED_VALUE"""),"https://drive.google.com/file/d/1RBdZw8NUJuyFGKbvpLvb0CcLQ27eBZ41/view?usp=drivesdk")</f>
        <v>https://drive.google.com/file/d/1RBdZw8NUJuyFGKbvpLvb0CcLQ27eBZ41/view?usp=drivesdk</v>
      </c>
      <c r="C1226" s="156" t="str">
        <f>IFERROR(__xludf.DUMMYFUNCTION("""COMPUTED_VALUE"""),"10.1101--2023.02.10.527999.pdf")</f>
        <v>10.1101--2023.02.10.527999.pdf</v>
      </c>
      <c r="D1226" s="156" t="str">
        <f>IFERROR(__xludf.DUMMYFUNCTION("""COMPUTED_VALUE"""),"application/pdf")</f>
        <v>application/pdf</v>
      </c>
    </row>
    <row r="1227">
      <c r="A1227" s="156" t="str">
        <f>IFERROR(__xludf.DUMMYFUNCTION("""COMPUTED_VALUE"""),"10.1016/j.jdeveco.2013.11.009")</f>
        <v>10.1016/j.jdeveco.2013.11.009</v>
      </c>
      <c r="B1227" s="677" t="str">
        <f>IFERROR(__xludf.DUMMYFUNCTION("""COMPUTED_VALUE"""),"https://drive.google.com/file/d/1xCKi2jIhgFLNFXIh1tqbsVNy4b1X0ORl/view?usp=drivesdk")</f>
        <v>https://drive.google.com/file/d/1xCKi2jIhgFLNFXIh1tqbsVNy4b1X0ORl/view?usp=drivesdk</v>
      </c>
      <c r="C1227" s="156" t="str">
        <f>IFERROR(__xludf.DUMMYFUNCTION("""COMPUTED_VALUE"""),"10.1016--j.jdeveco.2013.11.009.pdf")</f>
        <v>10.1016--j.jdeveco.2013.11.009.pdf</v>
      </c>
      <c r="D1227" s="156" t="str">
        <f>IFERROR(__xludf.DUMMYFUNCTION("""COMPUTED_VALUE"""),"application/pdf")</f>
        <v>application/pdf</v>
      </c>
    </row>
    <row r="1228">
      <c r="A1228" s="156" t="str">
        <f>IFERROR(__xludf.DUMMYFUNCTION("""COMPUTED_VALUE"""),"10.1080/19439342.2019.1666901")</f>
        <v>10.1080/19439342.2019.1666901</v>
      </c>
      <c r="B1228" s="677" t="str">
        <f>IFERROR(__xludf.DUMMYFUNCTION("""COMPUTED_VALUE"""),"https://drive.google.com/file/d/1zweuCuQGTBFymJYP-C9po7Nx2FC79uLU/view?usp=drivesdk")</f>
        <v>https://drive.google.com/file/d/1zweuCuQGTBFymJYP-C9po7Nx2FC79uLU/view?usp=drivesdk</v>
      </c>
      <c r="C1228" s="156" t="str">
        <f>IFERROR(__xludf.DUMMYFUNCTION("""COMPUTED_VALUE"""),"10.1080--19439342.2019.1666901.pdf")</f>
        <v>10.1080--19439342.2019.1666901.pdf</v>
      </c>
      <c r="D1228" s="156" t="str">
        <f>IFERROR(__xludf.DUMMYFUNCTION("""COMPUTED_VALUE"""),"application/pdf")</f>
        <v>application/pdf</v>
      </c>
    </row>
    <row r="1229">
      <c r="A1229" s="156" t="str">
        <f>IFERROR(__xludf.DUMMYFUNCTION("""COMPUTED_VALUE"""),"sutskever_2011")</f>
        <v>sutskever_2011</v>
      </c>
      <c r="B1229" s="677" t="str">
        <f>IFERROR(__xludf.DUMMYFUNCTION("""COMPUTED_VALUE"""),"https://drive.google.com/file/d/14pB7xxjJA7lmLI2wB8pu1YBdMJzEzfVa/view?usp=drivesdk")</f>
        <v>https://drive.google.com/file/d/14pB7xxjJA7lmLI2wB8pu1YBdMJzEzfVa/view?usp=drivesdk</v>
      </c>
      <c r="C1229" s="156" t="str">
        <f>IFERROR(__xludf.DUMMYFUNCTION("""COMPUTED_VALUE"""),"sutskever_2011.pdf")</f>
        <v>sutskever_2011.pdf</v>
      </c>
      <c r="D1229" s="156" t="str">
        <f>IFERROR(__xludf.DUMMYFUNCTION("""COMPUTED_VALUE"""),"application/pdf")</f>
        <v>application/pdf</v>
      </c>
    </row>
    <row r="1230">
      <c r="A1230" s="156" t="str">
        <f>IFERROR(__xludf.DUMMYFUNCTION("""COMPUTED_VALUE"""),"10.48550/arxiv.1508.02091")</f>
        <v>10.48550/arxiv.1508.02091</v>
      </c>
      <c r="B1230" s="677" t="str">
        <f>IFERROR(__xludf.DUMMYFUNCTION("""COMPUTED_VALUE"""),"https://drive.google.com/file/d/1UBmpFvlacrp-ogNwAoQBLnhl3X2ya4tY/view?usp=drivesdk")</f>
        <v>https://drive.google.com/file/d/1UBmpFvlacrp-ogNwAoQBLnhl3X2ya4tY/view?usp=drivesdk</v>
      </c>
      <c r="C1230" s="156" t="str">
        <f>IFERROR(__xludf.DUMMYFUNCTION("""COMPUTED_VALUE"""),"10.48550--arxiv.1508.02091.pdf")</f>
        <v>10.48550--arxiv.1508.02091.pdf</v>
      </c>
      <c r="D1230" s="156" t="str">
        <f>IFERROR(__xludf.DUMMYFUNCTION("""COMPUTED_VALUE"""),"application/pdf")</f>
        <v>application/pdf</v>
      </c>
    </row>
    <row r="1231">
      <c r="A1231" s="156" t="str">
        <f>IFERROR(__xludf.DUMMYFUNCTION("""COMPUTED_VALUE"""),"10.1044/2018_jslhr-l-17-0186")</f>
        <v>10.1044/2018_jslhr-l-17-0186</v>
      </c>
      <c r="B1231" s="677" t="str">
        <f>IFERROR(__xludf.DUMMYFUNCTION("""COMPUTED_VALUE"""),"https://drive.google.com/file/d/1ztaNCTNMcic9832FkFVbWcikX6ViaRc1/view?usp=drivesdk")</f>
        <v>https://drive.google.com/file/d/1ztaNCTNMcic9832FkFVbWcikX6ViaRc1/view?usp=drivesdk</v>
      </c>
      <c r="C1231" s="156" t="str">
        <f>IFERROR(__xludf.DUMMYFUNCTION("""COMPUTED_VALUE"""),"10.1044--2018_jslhr-l-17-0186.pdf")</f>
        <v>10.1044--2018_jslhr-l-17-0186.pdf</v>
      </c>
      <c r="D1231" s="156" t="str">
        <f>IFERROR(__xludf.DUMMYFUNCTION("""COMPUTED_VALUE"""),"application/pdf")</f>
        <v>application/pdf</v>
      </c>
    </row>
    <row r="1232">
      <c r="A1232" s="156" t="str">
        <f>IFERROR(__xludf.DUMMYFUNCTION("""COMPUTED_VALUE"""),"olrich_2012")</f>
        <v>olrich_2012</v>
      </c>
      <c r="B1232" s="677" t="str">
        <f>IFERROR(__xludf.DUMMYFUNCTION("""COMPUTED_VALUE"""),"https://drive.google.com/file/d/1lVsU-JQQjMJpRQ_W-tX5W1KVGylC124L/view?usp=drivesdk")</f>
        <v>https://drive.google.com/file/d/1lVsU-JQQjMJpRQ_W-tX5W1KVGylC124L/view?usp=drivesdk</v>
      </c>
      <c r="C1232" s="156" t="str">
        <f>IFERROR(__xludf.DUMMYFUNCTION("""COMPUTED_VALUE"""),"olrich_2012.pdf")</f>
        <v>olrich_2012.pdf</v>
      </c>
      <c r="D1232" s="156" t="str">
        <f>IFERROR(__xludf.DUMMYFUNCTION("""COMPUTED_VALUE"""),"application/pdf")</f>
        <v>application/pdf</v>
      </c>
    </row>
    <row r="1233">
      <c r="A1233" s="156" t="str">
        <f>IFERROR(__xludf.DUMMYFUNCTION("""COMPUTED_VALUE"""),"10.1080/08824090309388831")</f>
        <v>10.1080/08824090309388831</v>
      </c>
      <c r="B1233" s="677" t="str">
        <f>IFERROR(__xludf.DUMMYFUNCTION("""COMPUTED_VALUE"""),"https://drive.google.com/file/d/1fxEvxEPUqtzx_KQxVKAZ8Vc1YLWKHPNw/view?usp=drivesdk")</f>
        <v>https://drive.google.com/file/d/1fxEvxEPUqtzx_KQxVKAZ8Vc1YLWKHPNw/view?usp=drivesdk</v>
      </c>
      <c r="C1233" s="156" t="str">
        <f>IFERROR(__xludf.DUMMYFUNCTION("""COMPUTED_VALUE"""),"10.1080--08824090309388831.pdf")</f>
        <v>10.1080--08824090309388831.pdf</v>
      </c>
      <c r="D1233" s="156" t="str">
        <f>IFERROR(__xludf.DUMMYFUNCTION("""COMPUTED_VALUE"""),"application/pdf")</f>
        <v>application/pdf</v>
      </c>
    </row>
    <row r="1234">
      <c r="A1234" s="156" t="str">
        <f>IFERROR(__xludf.DUMMYFUNCTION("""COMPUTED_VALUE"""),"10.1037/0096-3445.123.2.161")</f>
        <v>10.1037/0096-3445.123.2.161</v>
      </c>
      <c r="B1234" s="677" t="str">
        <f>IFERROR(__xludf.DUMMYFUNCTION("""COMPUTED_VALUE"""),"https://drive.google.com/file/d/1YeRAiUUoJn7JCWOFxz_uEtiLNujMVQoD/view?usp=drivesdk")</f>
        <v>https://drive.google.com/file/d/1YeRAiUUoJn7JCWOFxz_uEtiLNujMVQoD/view?usp=drivesdk</v>
      </c>
      <c r="C1234" s="156" t="str">
        <f>IFERROR(__xludf.DUMMYFUNCTION("""COMPUTED_VALUE"""),"10.1037--0096-3445.123.2.161.pdf")</f>
        <v>10.1037--0096-3445.123.2.161.pdf</v>
      </c>
      <c r="D1234" s="156" t="str">
        <f>IFERROR(__xludf.DUMMYFUNCTION("""COMPUTED_VALUE"""),"application/pdf")</f>
        <v>application/pdf</v>
      </c>
    </row>
    <row r="1235">
      <c r="A1235" s="156" t="str">
        <f>IFERROR(__xludf.DUMMYFUNCTION("""COMPUTED_VALUE"""),"10.1167/8.13.8")</f>
        <v>10.1167/8.13.8</v>
      </c>
      <c r="B1235" s="677" t="str">
        <f>IFERROR(__xludf.DUMMYFUNCTION("""COMPUTED_VALUE"""),"https://drive.google.com/file/d/1x4O6JIJfcmXJ5BRF71cUgtg-OkebBvlf/view?usp=drivesdk")</f>
        <v>https://drive.google.com/file/d/1x4O6JIJfcmXJ5BRF71cUgtg-OkebBvlf/view?usp=drivesdk</v>
      </c>
      <c r="C1235" s="156" t="str">
        <f>IFERROR(__xludf.DUMMYFUNCTION("""COMPUTED_VALUE"""),"10.1167--8.13.8.pdf")</f>
        <v>10.1167--8.13.8.pdf</v>
      </c>
      <c r="D1235" s="156" t="str">
        <f>IFERROR(__xludf.DUMMYFUNCTION("""COMPUTED_VALUE"""),"application/pdf")</f>
        <v>application/pdf</v>
      </c>
    </row>
    <row r="1236">
      <c r="A1236" s="156" t="str">
        <f>IFERROR(__xludf.DUMMYFUNCTION("""COMPUTED_VALUE"""),"10.1212/01.wnl.0000336923.29538.5b")</f>
        <v>10.1212/01.wnl.0000336923.29538.5b</v>
      </c>
      <c r="B1236" s="677" t="str">
        <f>IFERROR(__xludf.DUMMYFUNCTION("""COMPUTED_VALUE"""),"https://drive.google.com/file/d/1KmQPl69kUJYhxJK5n4XPahjqicia4PJt/view?usp=drivesdk")</f>
        <v>https://drive.google.com/file/d/1KmQPl69kUJYhxJK5n4XPahjqicia4PJt/view?usp=drivesdk</v>
      </c>
      <c r="C1236" s="156" t="str">
        <f>IFERROR(__xludf.DUMMYFUNCTION("""COMPUTED_VALUE"""),"10.1212--01.wnl.0000336923.29538.5b.pdf")</f>
        <v>10.1212--01.wnl.0000336923.29538.5b.pdf</v>
      </c>
      <c r="D1236" s="156" t="str">
        <f>IFERROR(__xludf.DUMMYFUNCTION("""COMPUTED_VALUE"""),"application/pdf")</f>
        <v>application/pdf</v>
      </c>
    </row>
    <row r="1237">
      <c r="A1237" s="156" t="str">
        <f>IFERROR(__xludf.DUMMYFUNCTION("""COMPUTED_VALUE"""),"10.1037/0735-7028.12.5.621")</f>
        <v>10.1037/0735-7028.12.5.621</v>
      </c>
      <c r="B1237" s="677" t="str">
        <f>IFERROR(__xludf.DUMMYFUNCTION("""COMPUTED_VALUE"""),"https://drive.google.com/file/d/1fgshuTAp5EYASvbjyVwjxvaYJqATcoxX/view?usp=drivesdk")</f>
        <v>https://drive.google.com/file/d/1fgshuTAp5EYASvbjyVwjxvaYJqATcoxX/view?usp=drivesdk</v>
      </c>
      <c r="C1237" s="156" t="str">
        <f>IFERROR(__xludf.DUMMYFUNCTION("""COMPUTED_VALUE"""),"10.1037--0735-7028.12.5.621.pdf")</f>
        <v>10.1037--0735-7028.12.5.621.pdf</v>
      </c>
      <c r="D1237" s="156" t="str">
        <f>IFERROR(__xludf.DUMMYFUNCTION("""COMPUTED_VALUE"""),"application/pdf")</f>
        <v>application/pdf</v>
      </c>
    </row>
    <row r="1238">
      <c r="A1238" s="156" t="str">
        <f>IFERROR(__xludf.DUMMYFUNCTION("""COMPUTED_VALUE"""),"hellman_1986")</f>
        <v>hellman_1986</v>
      </c>
      <c r="B1238" s="677" t="str">
        <f>IFERROR(__xludf.DUMMYFUNCTION("""COMPUTED_VALUE"""),"https://drive.google.com/file/d/1VKVh8oYZVMF7ogxMCYAq5TkZD-YIXRTo/view?usp=drivesdk")</f>
        <v>https://drive.google.com/file/d/1VKVh8oYZVMF7ogxMCYAq5TkZD-YIXRTo/view?usp=drivesdk</v>
      </c>
      <c r="C1238" s="156" t="str">
        <f>IFERROR(__xludf.DUMMYFUNCTION("""COMPUTED_VALUE"""),"Hellman_1986.pdf")</f>
        <v>Hellman_1986.pdf</v>
      </c>
      <c r="D1238" s="156" t="str">
        <f>IFERROR(__xludf.DUMMYFUNCTION("""COMPUTED_VALUE"""),"application/pdf")</f>
        <v>application/pdf</v>
      </c>
    </row>
    <row r="1239">
      <c r="A1239" s="156" t="str">
        <f>IFERROR(__xludf.DUMMYFUNCTION("""COMPUTED_VALUE"""),"moafian_2009")</f>
        <v>moafian_2009</v>
      </c>
      <c r="B1239" s="677" t="str">
        <f>IFERROR(__xludf.DUMMYFUNCTION("""COMPUTED_VALUE"""),"https://drive.google.com/file/d/1Fqtra9klmDMHU-cOQUvjhrkdy3xHwuuz/view?usp=drivesdk")</f>
        <v>https://drive.google.com/file/d/1Fqtra9klmDMHU-cOQUvjhrkdy3xHwuuz/view?usp=drivesdk</v>
      </c>
      <c r="C1239" s="156" t="str">
        <f>IFERROR(__xludf.DUMMYFUNCTION("""COMPUTED_VALUE"""),"moafian_2009.pdf")</f>
        <v>moafian_2009.pdf</v>
      </c>
      <c r="D1239" s="156" t="str">
        <f>IFERROR(__xludf.DUMMYFUNCTION("""COMPUTED_VALUE"""),"application/pdf")</f>
        <v>application/pdf</v>
      </c>
    </row>
    <row r="1240">
      <c r="A1240" s="156" t="str">
        <f>IFERROR(__xludf.DUMMYFUNCTION("""COMPUTED_VALUE"""),"khodadady_2010")</f>
        <v>khodadady_2010</v>
      </c>
      <c r="B1240" s="677" t="str">
        <f>IFERROR(__xludf.DUMMYFUNCTION("""COMPUTED_VALUE"""),"https://drive.google.com/file/d/1etb_ZFpybANJqZz2MCBhjrlqErHm_Xss/view?usp=drivesdk")</f>
        <v>https://drive.google.com/file/d/1etb_ZFpybANJqZz2MCBhjrlqErHm_Xss/view?usp=drivesdk</v>
      </c>
      <c r="C1240" s="156" t="str">
        <f>IFERROR(__xludf.DUMMYFUNCTION("""COMPUTED_VALUE"""),"khodadady_2010.pdf")</f>
        <v>khodadady_2010.pdf</v>
      </c>
      <c r="D1240" s="156" t="str">
        <f>IFERROR(__xludf.DUMMYFUNCTION("""COMPUTED_VALUE"""),"application/pdf")</f>
        <v>application/pdf</v>
      </c>
    </row>
    <row r="1241">
      <c r="A1241" s="156" t="str">
        <f>IFERROR(__xludf.DUMMYFUNCTION("""COMPUTED_VALUE"""),"10.1002/pchj.165")</f>
        <v>10.1002/pchj.165</v>
      </c>
      <c r="B1241" s="677" t="str">
        <f>IFERROR(__xludf.DUMMYFUNCTION("""COMPUTED_VALUE"""),"https://drive.google.com/file/d/1fcT-_41UBP0nPM79dXTm3kIIFXZ-CwU_/view?usp=drivesdk")</f>
        <v>https://drive.google.com/file/d/1fcT-_41UBP0nPM79dXTm3kIIFXZ-CwU_/view?usp=drivesdk</v>
      </c>
      <c r="C1241" s="156" t="str">
        <f>IFERROR(__xludf.DUMMYFUNCTION("""COMPUTED_VALUE"""),"10.1002--pchj.165.pdf")</f>
        <v>10.1002--pchj.165.pdf</v>
      </c>
      <c r="D1241" s="156" t="str">
        <f>IFERROR(__xludf.DUMMYFUNCTION("""COMPUTED_VALUE"""),"application/pdf")</f>
        <v>application/pdf</v>
      </c>
    </row>
    <row r="1242">
      <c r="A1242" s="156" t="str">
        <f>IFERROR(__xludf.DUMMYFUNCTION("""COMPUTED_VALUE"""),"10.1002/pchj.330")</f>
        <v>10.1002/pchj.330</v>
      </c>
      <c r="B1242" s="677" t="str">
        <f>IFERROR(__xludf.DUMMYFUNCTION("""COMPUTED_VALUE"""),"https://drive.google.com/file/d/1ux9Vk8iRdCh3nUw1THQcPgKIWYpD9xmZ/view?usp=drivesdk")</f>
        <v>https://drive.google.com/file/d/1ux9Vk8iRdCh3nUw1THQcPgKIWYpD9xmZ/view?usp=drivesdk</v>
      </c>
      <c r="C1242" s="156" t="str">
        <f>IFERROR(__xludf.DUMMYFUNCTION("""COMPUTED_VALUE"""),"10.1002--pchj.330.pdf")</f>
        <v>10.1002--pchj.330.pdf</v>
      </c>
      <c r="D1242" s="156" t="str">
        <f>IFERROR(__xludf.DUMMYFUNCTION("""COMPUTED_VALUE"""),"application/pdf")</f>
        <v>application/pdf</v>
      </c>
    </row>
    <row r="1243">
      <c r="A1243" s="156" t="str">
        <f>IFERROR(__xludf.DUMMYFUNCTION("""COMPUTED_VALUE"""),"10.3324/haematol.2019.216895")</f>
        <v>10.3324/haematol.2019.216895</v>
      </c>
      <c r="B1243" s="677" t="str">
        <f>IFERROR(__xludf.DUMMYFUNCTION("""COMPUTED_VALUE"""),"https://drive.google.com/file/d/1OcQULkxzM7RO5zkJ2Cvo5E25LQm4ZJnc/view?usp=drivesdk")</f>
        <v>https://drive.google.com/file/d/1OcQULkxzM7RO5zkJ2Cvo5E25LQm4ZJnc/view?usp=drivesdk</v>
      </c>
      <c r="C1243" s="156" t="str">
        <f>IFERROR(__xludf.DUMMYFUNCTION("""COMPUTED_VALUE"""),"10.3324--haematol.2019.216895.pdf")</f>
        <v>10.3324--haematol.2019.216895.pdf</v>
      </c>
      <c r="D1243" s="156" t="str">
        <f>IFERROR(__xludf.DUMMYFUNCTION("""COMPUTED_VALUE"""),"application/pdf")</f>
        <v>application/pdf</v>
      </c>
    </row>
    <row r="1244">
      <c r="A1244" s="156" t="str">
        <f>IFERROR(__xludf.DUMMYFUNCTION("""COMPUTED_VALUE"""),"10.1177/2329488415613338")</f>
        <v>10.1177/2329488415613338</v>
      </c>
      <c r="B1244" s="677" t="str">
        <f>IFERROR(__xludf.DUMMYFUNCTION("""COMPUTED_VALUE"""),"https://drive.google.com/file/d/1I4I0m_pHjR5-S87Awq5L-P8ViNsdN0P2/view?usp=drivesdk")</f>
        <v>https://drive.google.com/file/d/1I4I0m_pHjR5-S87Awq5L-P8ViNsdN0P2/view?usp=drivesdk</v>
      </c>
      <c r="C1244" s="156" t="str">
        <f>IFERROR(__xludf.DUMMYFUNCTION("""COMPUTED_VALUE"""),"10.1177--2329488415613338.pdf")</f>
        <v>10.1177--2329488415613338.pdf</v>
      </c>
      <c r="D1244" s="156" t="str">
        <f>IFERROR(__xludf.DUMMYFUNCTION("""COMPUTED_VALUE"""),"application/pdf")</f>
        <v>application/pdf</v>
      </c>
    </row>
    <row r="1245">
      <c r="A1245" s="156" t="str">
        <f>IFERROR(__xludf.DUMMYFUNCTION("""COMPUTED_VALUE"""),"10.1016/s0749-596x(03)00096-2")</f>
        <v>10.1016/s0749-596x(03)00096-2</v>
      </c>
      <c r="B1245" s="677" t="str">
        <f>IFERROR(__xludf.DUMMYFUNCTION("""COMPUTED_VALUE"""),"https://drive.google.com/file/d/113T5iFthusQwAPJ1Sc6kGoz9Q2tKz_Fz/view?usp=drivesdk")</f>
        <v>https://drive.google.com/file/d/113T5iFthusQwAPJ1Sc6kGoz9Q2tKz_Fz/view?usp=drivesdk</v>
      </c>
      <c r="C1245" s="156" t="str">
        <f>IFERROR(__xludf.DUMMYFUNCTION("""COMPUTED_VALUE"""),"10.1016--s0749-596x(03)00096-2.pdf")</f>
        <v>10.1016--s0749-596x(03)00096-2.pdf</v>
      </c>
      <c r="D1245" s="156" t="str">
        <f>IFERROR(__xludf.DUMMYFUNCTION("""COMPUTED_VALUE"""),"application/pdf")</f>
        <v>application/pdf</v>
      </c>
    </row>
    <row r="1246">
      <c r="A1246" s="156" t="str">
        <f>IFERROR(__xludf.DUMMYFUNCTION("""COMPUTED_VALUE"""),"10.18178/ijssh.2023.v13.1164")</f>
        <v>10.18178/ijssh.2023.v13.1164</v>
      </c>
      <c r="B1246" s="677" t="str">
        <f>IFERROR(__xludf.DUMMYFUNCTION("""COMPUTED_VALUE"""),"https://drive.google.com/file/d/1x7tu9K23ldFYkVgD6uS9kCTbWp7l185U/view?usp=drivesdk")</f>
        <v>https://drive.google.com/file/d/1x7tu9K23ldFYkVgD6uS9kCTbWp7l185U/view?usp=drivesdk</v>
      </c>
      <c r="C1246" s="156" t="str">
        <f>IFERROR(__xludf.DUMMYFUNCTION("""COMPUTED_VALUE"""),"10.18178--ijssh.2023.v13.1164.pdf")</f>
        <v>10.18178--ijssh.2023.v13.1164.pdf</v>
      </c>
      <c r="D1246" s="156" t="str">
        <f>IFERROR(__xludf.DUMMYFUNCTION("""COMPUTED_VALUE"""),"application/pdf")</f>
        <v>application/pdf</v>
      </c>
    </row>
    <row r="1247">
      <c r="A1247" s="156" t="str">
        <f>IFERROR(__xludf.DUMMYFUNCTION("""COMPUTED_VALUE"""),"10.1257/aer.100.5.2548")</f>
        <v>10.1257/aer.100.5.2548</v>
      </c>
      <c r="B1247" s="677" t="str">
        <f>IFERROR(__xludf.DUMMYFUNCTION("""COMPUTED_VALUE"""),"https://drive.google.com/file/d/1VQnkProdvpIkmlBgJxAJkdrXgfio2KWT/view?usp=drivesdk")</f>
        <v>https://drive.google.com/file/d/1VQnkProdvpIkmlBgJxAJkdrXgfio2KWT/view?usp=drivesdk</v>
      </c>
      <c r="C1247" s="156" t="str">
        <f>IFERROR(__xludf.DUMMYFUNCTION("""COMPUTED_VALUE"""),"10.1257--aer.100.5.2548.pdf")</f>
        <v>10.1257--aer.100.5.2548.pdf</v>
      </c>
      <c r="D1247" s="156" t="str">
        <f>IFERROR(__xludf.DUMMYFUNCTION("""COMPUTED_VALUE"""),"application/pdf")</f>
        <v>application/pdf</v>
      </c>
    </row>
    <row r="1248">
      <c r="A1248" s="156" t="str">
        <f>IFERROR(__xludf.DUMMYFUNCTION("""COMPUTED_VALUE"""),"kocher_2010")</f>
        <v>kocher_2010</v>
      </c>
      <c r="B1248" s="677" t="str">
        <f>IFERROR(__xludf.DUMMYFUNCTION("""COMPUTED_VALUE"""),"https://drive.google.com/file/d/1B3NfSMdVcBJCqudkJmRWgjNxwcpwkhUF/view?usp=drivesdk")</f>
        <v>https://drive.google.com/file/d/1B3NfSMdVcBJCqudkJmRWgjNxwcpwkhUF/view?usp=drivesdk</v>
      </c>
      <c r="C1248" s="156" t="str">
        <f>IFERROR(__xludf.DUMMYFUNCTION("""COMPUTED_VALUE"""),"kocher_2010.pdf")</f>
        <v>kocher_2010.pdf</v>
      </c>
      <c r="D1248" s="156" t="str">
        <f>IFERROR(__xludf.DUMMYFUNCTION("""COMPUTED_VALUE"""),"application/pdf")</f>
        <v>application/pdf</v>
      </c>
    </row>
    <row r="1249">
      <c r="A1249" s="156" t="str">
        <f>IFERROR(__xludf.DUMMYFUNCTION("""COMPUTED_VALUE"""),"10.1037/lhb0000468")</f>
        <v>10.1037/lhb0000468</v>
      </c>
      <c r="B1249" s="677" t="str">
        <f>IFERROR(__xludf.DUMMYFUNCTION("""COMPUTED_VALUE"""),"https://drive.google.com/file/d/1HAJ1ns2XbdVKQaQ3XuUzmgPWg7aVeMSd/view?usp=drivesdk")</f>
        <v>https://drive.google.com/file/d/1HAJ1ns2XbdVKQaQ3XuUzmgPWg7aVeMSd/view?usp=drivesdk</v>
      </c>
      <c r="C1249" s="156" t="str">
        <f>IFERROR(__xludf.DUMMYFUNCTION("""COMPUTED_VALUE"""),"10.1037--lhb0000468.pdf")</f>
        <v>10.1037--lhb0000468.pdf</v>
      </c>
      <c r="D1249" s="156" t="str">
        <f>IFERROR(__xludf.DUMMYFUNCTION("""COMPUTED_VALUE"""),"application/pdf")</f>
        <v>application/pdf</v>
      </c>
    </row>
    <row r="1250">
      <c r="A1250" s="156" t="str">
        <f>IFERROR(__xludf.DUMMYFUNCTION("""COMPUTED_VALUE"""),"10.1177/0091552108322631")</f>
        <v>10.1177/0091552108322631</v>
      </c>
      <c r="B1250" s="677" t="str">
        <f>IFERROR(__xludf.DUMMYFUNCTION("""COMPUTED_VALUE"""),"https://drive.google.com/file/d/14jH9052Y-B39txmZqE_UcOwE4vP5gfEU/view?usp=drivesdk")</f>
        <v>https://drive.google.com/file/d/14jH9052Y-B39txmZqE_UcOwE4vP5gfEU/view?usp=drivesdk</v>
      </c>
      <c r="C1250" s="156" t="str">
        <f>IFERROR(__xludf.DUMMYFUNCTION("""COMPUTED_VALUE"""),"10.1177--0091552108322631.pdf")</f>
        <v>10.1177--0091552108322631.pdf</v>
      </c>
      <c r="D1250" s="156" t="str">
        <f>IFERROR(__xludf.DUMMYFUNCTION("""COMPUTED_VALUE"""),"application/pdf")</f>
        <v>application/pdf</v>
      </c>
    </row>
    <row r="1251">
      <c r="A1251" s="156" t="str">
        <f>IFERROR(__xludf.DUMMYFUNCTION("""COMPUTED_VALUE"""),"10.1080/10668926.2016.1179606")</f>
        <v>10.1080/10668926.2016.1179606</v>
      </c>
      <c r="B1251" s="677" t="str">
        <f>IFERROR(__xludf.DUMMYFUNCTION("""COMPUTED_VALUE"""),"https://drive.google.com/file/d/1KOj1T7OWEN93jSsxymEmGAuwZA2RLwG9/view?usp=drivesdk")</f>
        <v>https://drive.google.com/file/d/1KOj1T7OWEN93jSsxymEmGAuwZA2RLwG9/view?usp=drivesdk</v>
      </c>
      <c r="C1251" s="156" t="str">
        <f>IFERROR(__xludf.DUMMYFUNCTION("""COMPUTED_VALUE"""),"10.1080--10668926.2016.1179606.pdf")</f>
        <v>10.1080--10668926.2016.1179606.pdf</v>
      </c>
      <c r="D1251" s="156" t="str">
        <f>IFERROR(__xludf.DUMMYFUNCTION("""COMPUTED_VALUE"""),"application/pdf")</f>
        <v>application/pdf</v>
      </c>
    </row>
    <row r="1252">
      <c r="A1252" s="156" t="str">
        <f>IFERROR(__xludf.DUMMYFUNCTION("""COMPUTED_VALUE"""),"10.3758/bf03193744")</f>
        <v>10.3758/bf03193744</v>
      </c>
      <c r="B1252" s="677" t="str">
        <f>IFERROR(__xludf.DUMMYFUNCTION("""COMPUTED_VALUE"""),"https://drive.google.com/file/d/1IUaUpHapf3YDvm4IAsn2GR3rwIWKk8-u/view?usp=drivesdk")</f>
        <v>https://drive.google.com/file/d/1IUaUpHapf3YDvm4IAsn2GR3rwIWKk8-u/view?usp=drivesdk</v>
      </c>
      <c r="C1252" s="156" t="str">
        <f>IFERROR(__xludf.DUMMYFUNCTION("""COMPUTED_VALUE"""),"10.3758--bf03193744.pdf")</f>
        <v>10.3758--bf03193744.pdf</v>
      </c>
      <c r="D1252" s="156" t="str">
        <f>IFERROR(__xludf.DUMMYFUNCTION("""COMPUTED_VALUE"""),"application/pdf")</f>
        <v>application/pdf</v>
      </c>
    </row>
    <row r="1253">
      <c r="A1253" s="156" t="str">
        <f>IFERROR(__xludf.DUMMYFUNCTION("""COMPUTED_VALUE"""),"ronquest_2007")</f>
        <v>ronquest_2007</v>
      </c>
      <c r="B1253" s="677" t="str">
        <f>IFERROR(__xludf.DUMMYFUNCTION("""COMPUTED_VALUE"""),"https://drive.google.com/file/d/1aq_GhJDsarVdykJeXwEQt85WtSoOjtt-/view?usp=drivesdk")</f>
        <v>https://drive.google.com/file/d/1aq_GhJDsarVdykJeXwEQt85WtSoOjtt-/view?usp=drivesdk</v>
      </c>
      <c r="C1253" s="156" t="str">
        <f>IFERROR(__xludf.DUMMYFUNCTION("""COMPUTED_VALUE"""),"ronquest_2007.pdf")</f>
        <v>ronquest_2007.pdf</v>
      </c>
      <c r="D1253" s="156" t="str">
        <f>IFERROR(__xludf.DUMMYFUNCTION("""COMPUTED_VALUE"""),"application/pdf")</f>
        <v>application/pdf</v>
      </c>
    </row>
    <row r="1254">
      <c r="A1254" s="156" t="str">
        <f>IFERROR(__xludf.DUMMYFUNCTION("""COMPUTED_VALUE"""),"10.1038/ng.2520")</f>
        <v>10.1038/ng.2520</v>
      </c>
      <c r="B1254" s="677" t="str">
        <f>IFERROR(__xludf.DUMMYFUNCTION("""COMPUTED_VALUE"""),"https://drive.google.com/file/d/1nwwSpxsRv8h1nEfNq5dP5jW5w7hGyB76/view?usp=drivesdk")</f>
        <v>https://drive.google.com/file/d/1nwwSpxsRv8h1nEfNq5dP5jW5w7hGyB76/view?usp=drivesdk</v>
      </c>
      <c r="C1254" s="156" t="str">
        <f>IFERROR(__xludf.DUMMYFUNCTION("""COMPUTED_VALUE"""),"10.1038--ng.2520.pdf")</f>
        <v>10.1038--ng.2520.pdf</v>
      </c>
      <c r="D1254" s="156" t="str">
        <f>IFERROR(__xludf.DUMMYFUNCTION("""COMPUTED_VALUE"""),"application/pdf")</f>
        <v>application/pdf</v>
      </c>
    </row>
    <row r="1255">
      <c r="A1255" s="156" t="str">
        <f>IFERROR(__xludf.DUMMYFUNCTION("""COMPUTED_VALUE"""),"10.1371/journal.pone.0102100")</f>
        <v>10.1371/journal.pone.0102100</v>
      </c>
      <c r="B1255" s="677" t="str">
        <f>IFERROR(__xludf.DUMMYFUNCTION("""COMPUTED_VALUE"""),"https://drive.google.com/file/d/1hgBL2V_rjvQryQv61QIxzGsOEn1dgFih/view?usp=drivesdk")</f>
        <v>https://drive.google.com/file/d/1hgBL2V_rjvQryQv61QIxzGsOEn1dgFih/view?usp=drivesdk</v>
      </c>
      <c r="C1255" s="156" t="str">
        <f>IFERROR(__xludf.DUMMYFUNCTION("""COMPUTED_VALUE"""),"10.1371--journal.pone.0102100.pdf")</f>
        <v>10.1371--journal.pone.0102100.pdf</v>
      </c>
      <c r="D1255" s="156" t="str">
        <f>IFERROR(__xludf.DUMMYFUNCTION("""COMPUTED_VALUE"""),"application/pdf")</f>
        <v>application/pdf</v>
      </c>
    </row>
    <row r="1256">
      <c r="A1256" s="156" t="str">
        <f>IFERROR(__xludf.DUMMYFUNCTION("""COMPUTED_VALUE"""),"riveron_2011")</f>
        <v>riveron_2011</v>
      </c>
      <c r="B1256" s="677" t="str">
        <f>IFERROR(__xludf.DUMMYFUNCTION("""COMPUTED_VALUE"""),"https://drive.google.com/file/d/1O-sKBfMGvOeBhLDMh6guDnAcUYeLkWMN/view?usp=drivesdk")</f>
        <v>https://drive.google.com/file/d/1O-sKBfMGvOeBhLDMh6guDnAcUYeLkWMN/view?usp=drivesdk</v>
      </c>
      <c r="C1256" s="156" t="str">
        <f>IFERROR(__xludf.DUMMYFUNCTION("""COMPUTED_VALUE"""),"riveron_2011.pdf")</f>
        <v>riveron_2011.pdf</v>
      </c>
      <c r="D1256" s="156" t="str">
        <f>IFERROR(__xludf.DUMMYFUNCTION("""COMPUTED_VALUE"""),"application/pdf")</f>
        <v>application/pdf</v>
      </c>
    </row>
    <row r="1257">
      <c r="A1257" s="156" t="str">
        <f>IFERROR(__xludf.DUMMYFUNCTION("""COMPUTED_VALUE"""),"10.1080/13218719.2024.2346719")</f>
        <v>10.1080/13218719.2024.2346719</v>
      </c>
      <c r="B1257" s="677" t="str">
        <f>IFERROR(__xludf.DUMMYFUNCTION("""COMPUTED_VALUE"""),"https://drive.google.com/file/d/1SW6QIWVb63IrcrZA_J0ZrV_2sVVIW3fd/view?usp=drivesdk")</f>
        <v>https://drive.google.com/file/d/1SW6QIWVb63IrcrZA_J0ZrV_2sVVIW3fd/view?usp=drivesdk</v>
      </c>
      <c r="C1257" s="156" t="str">
        <f>IFERROR(__xludf.DUMMYFUNCTION("""COMPUTED_VALUE"""),"10.1080--13218719.2024.2346719.pdf")</f>
        <v>10.1080--13218719.2024.2346719.pdf</v>
      </c>
      <c r="D1257" s="156" t="str">
        <f>IFERROR(__xludf.DUMMYFUNCTION("""COMPUTED_VALUE"""),"application/pdf")</f>
        <v>application/pdf</v>
      </c>
    </row>
    <row r="1258">
      <c r="A1258" s="156" t="str">
        <f>IFERROR(__xludf.DUMMYFUNCTION("""COMPUTED_VALUE"""),"10.3233/jvr-140722")</f>
        <v>10.3233/jvr-140722</v>
      </c>
      <c r="B1258" s="677" t="str">
        <f>IFERROR(__xludf.DUMMYFUNCTION("""COMPUTED_VALUE"""),"https://drive.google.com/file/d/15s7XZ2w8McXrD_Mrsb3xv87PaPPdWjHp/view?usp=drivesdk")</f>
        <v>https://drive.google.com/file/d/15s7XZ2w8McXrD_Mrsb3xv87PaPPdWjHp/view?usp=drivesdk</v>
      </c>
      <c r="C1258" s="156" t="str">
        <f>IFERROR(__xludf.DUMMYFUNCTION("""COMPUTED_VALUE"""),"10.3233--jvr-140722.pdf")</f>
        <v>10.3233--jvr-140722.pdf</v>
      </c>
      <c r="D1258" s="156" t="str">
        <f>IFERROR(__xludf.DUMMYFUNCTION("""COMPUTED_VALUE"""),"application/pdf")</f>
        <v>application/pdf</v>
      </c>
    </row>
    <row r="1259">
      <c r="A1259" s="156" t="str">
        <f>IFERROR(__xludf.DUMMYFUNCTION("""COMPUTED_VALUE"""),"10.3233/jvr-180933")</f>
        <v>10.3233/jvr-180933</v>
      </c>
      <c r="B1259" s="677" t="str">
        <f>IFERROR(__xludf.DUMMYFUNCTION("""COMPUTED_VALUE"""),"https://drive.google.com/file/d/1L1CY2uNEtVAZ2M1wtnkW5opNKE3od0dD/view?usp=drivesdk")</f>
        <v>https://drive.google.com/file/d/1L1CY2uNEtVAZ2M1wtnkW5opNKE3od0dD/view?usp=drivesdk</v>
      </c>
      <c r="C1259" s="156" t="str">
        <f>IFERROR(__xludf.DUMMYFUNCTION("""COMPUTED_VALUE"""),"10.3233--jvr-180933.pdf")</f>
        <v>10.3233--jvr-180933.pdf</v>
      </c>
      <c r="D1259" s="156" t="str">
        <f>IFERROR(__xludf.DUMMYFUNCTION("""COMPUTED_VALUE"""),"application/pdf")</f>
        <v>application/pdf</v>
      </c>
    </row>
    <row r="1260">
      <c r="A1260" s="156" t="str">
        <f>IFERROR(__xludf.DUMMYFUNCTION("""COMPUTED_VALUE"""),"10.1080/15332960802125973")</f>
        <v>10.1080/15332960802125973</v>
      </c>
      <c r="B1260" s="677" t="str">
        <f>IFERROR(__xludf.DUMMYFUNCTION("""COMPUTED_VALUE"""),"https://drive.google.com/file/d/1kUkgnAiPA_CTZPxGTEMJYgoAThjAiJUc/view?usp=drivesdk")</f>
        <v>https://drive.google.com/file/d/1kUkgnAiPA_CTZPxGTEMJYgoAThjAiJUc/view?usp=drivesdk</v>
      </c>
      <c r="C1260" s="156" t="str">
        <f>IFERROR(__xludf.DUMMYFUNCTION("""COMPUTED_VALUE"""),"10.1080--15332960802125973.pdf")</f>
        <v>10.1080--15332960802125973.pdf</v>
      </c>
      <c r="D1260" s="156" t="str">
        <f>IFERROR(__xludf.DUMMYFUNCTION("""COMPUTED_VALUE"""),"application/pdf")</f>
        <v>application/pdf</v>
      </c>
    </row>
    <row r="1261">
      <c r="A1261" s="156" t="str">
        <f>IFERROR(__xludf.DUMMYFUNCTION("""COMPUTED_VALUE"""),"10.2466/pr0.1972.31.2.577")</f>
        <v>10.2466/pr0.1972.31.2.577</v>
      </c>
      <c r="B1261" s="677" t="str">
        <f>IFERROR(__xludf.DUMMYFUNCTION("""COMPUTED_VALUE"""),"https://drive.google.com/file/d/14KPB8AgtcbBvaWLCb-_Yq8xJg0lt0AUZ/view?usp=drivesdk")</f>
        <v>https://drive.google.com/file/d/14KPB8AgtcbBvaWLCb-_Yq8xJg0lt0AUZ/view?usp=drivesdk</v>
      </c>
      <c r="C1261" s="156" t="str">
        <f>IFERROR(__xludf.DUMMYFUNCTION("""COMPUTED_VALUE"""),"10.2466--pr0.1972.31.2.577.pdf")</f>
        <v>10.2466--pr0.1972.31.2.577.pdf</v>
      </c>
      <c r="D1261" s="156" t="str">
        <f>IFERROR(__xludf.DUMMYFUNCTION("""COMPUTED_VALUE"""),"application/pdf")</f>
        <v>application/pdf</v>
      </c>
    </row>
    <row r="1262">
      <c r="A1262" s="156" t="str">
        <f>IFERROR(__xludf.DUMMYFUNCTION("""COMPUTED_VALUE"""),"10.2466/pms.1996.83.2.489")</f>
        <v>10.2466/pms.1996.83.2.489</v>
      </c>
      <c r="B1262" s="677" t="str">
        <f>IFERROR(__xludf.DUMMYFUNCTION("""COMPUTED_VALUE"""),"https://drive.google.com/file/d/1MY_dSeo7VLaXc9MOczDS807AopQO4R3o/view?usp=drivesdk")</f>
        <v>https://drive.google.com/file/d/1MY_dSeo7VLaXc9MOczDS807AopQO4R3o/view?usp=drivesdk</v>
      </c>
      <c r="C1262" s="156" t="str">
        <f>IFERROR(__xludf.DUMMYFUNCTION("""COMPUTED_VALUE"""),"10.2466--pms.1996.83.2.489.pdf")</f>
        <v>10.2466--pms.1996.83.2.489.pdf</v>
      </c>
      <c r="D1262" s="156" t="str">
        <f>IFERROR(__xludf.DUMMYFUNCTION("""COMPUTED_VALUE"""),"application/pdf")</f>
        <v>application/pdf</v>
      </c>
    </row>
    <row r="1263">
      <c r="A1263" s="156" t="str">
        <f>IFERROR(__xludf.DUMMYFUNCTION("""COMPUTED_VALUE"""),"10.1194/jlr.m600184-jlr200")</f>
        <v>10.1194/jlr.m600184-jlr200</v>
      </c>
      <c r="B1263" s="677" t="str">
        <f>IFERROR(__xludf.DUMMYFUNCTION("""COMPUTED_VALUE"""),"https://drive.google.com/file/d/1t1HQxtIATv0J1laVCwZjp1toOO9JWLzJ/view?usp=drivesdk")</f>
        <v>https://drive.google.com/file/d/1t1HQxtIATv0J1laVCwZjp1toOO9JWLzJ/view?usp=drivesdk</v>
      </c>
      <c r="C1263" s="156" t="str">
        <f>IFERROR(__xludf.DUMMYFUNCTION("""COMPUTED_VALUE"""),"10.1194--jlr.m600184-jlr200.pdf")</f>
        <v>10.1194--jlr.m600184-jlr200.pdf</v>
      </c>
      <c r="D1263" s="156" t="str">
        <f>IFERROR(__xludf.DUMMYFUNCTION("""COMPUTED_VALUE"""),"application/pdf")</f>
        <v>application/pdf</v>
      </c>
    </row>
    <row r="1264">
      <c r="A1264" s="156" t="str">
        <f>IFERROR(__xludf.DUMMYFUNCTION("""COMPUTED_VALUE"""),"10.1080/17470218.2016.1206130")</f>
        <v>10.1080/17470218.2016.1206130</v>
      </c>
      <c r="B1264" s="677" t="str">
        <f>IFERROR(__xludf.DUMMYFUNCTION("""COMPUTED_VALUE"""),"https://drive.google.com/file/d/19cpcq3ezvypZIsaAin8XO8Aa1VSsx2HR/view?usp=drivesdk")</f>
        <v>https://drive.google.com/file/d/19cpcq3ezvypZIsaAin8XO8Aa1VSsx2HR/view?usp=drivesdk</v>
      </c>
      <c r="C1264" s="156" t="str">
        <f>IFERROR(__xludf.DUMMYFUNCTION("""COMPUTED_VALUE"""),"10.1080--17470218.2016.1206130.pdf")</f>
        <v>10.1080--17470218.2016.1206130.pdf</v>
      </c>
      <c r="D1264" s="156" t="str">
        <f>IFERROR(__xludf.DUMMYFUNCTION("""COMPUTED_VALUE"""),"application/pdf")</f>
        <v>application/pdf</v>
      </c>
    </row>
    <row r="1265">
      <c r="A1265" s="156" t="str">
        <f>IFERROR(__xludf.DUMMYFUNCTION("""COMPUTED_VALUE"""),"10.1525/eth.1984.12.2.02a00040")</f>
        <v>10.1525/eth.1984.12.2.02a00040</v>
      </c>
      <c r="B1265" s="677" t="str">
        <f>IFERROR(__xludf.DUMMYFUNCTION("""COMPUTED_VALUE"""),"https://drive.google.com/file/d/1KSmDzoCH8UOb5PPH4HVVWk0R_iEqvXiq/view?usp=drivesdk")</f>
        <v>https://drive.google.com/file/d/1KSmDzoCH8UOb5PPH4HVVWk0R_iEqvXiq/view?usp=drivesdk</v>
      </c>
      <c r="C1265" s="156" t="str">
        <f>IFERROR(__xludf.DUMMYFUNCTION("""COMPUTED_VALUE"""),"10.1525--eth.1984.12.2.02a00040.pdf")</f>
        <v>10.1525--eth.1984.12.2.02a00040.pdf</v>
      </c>
      <c r="D1265" s="156" t="str">
        <f>IFERROR(__xludf.DUMMYFUNCTION("""COMPUTED_VALUE"""),"application/pdf")</f>
        <v>application/pdf</v>
      </c>
    </row>
    <row r="1266">
      <c r="A1266" s="156" t="str">
        <f>IFERROR(__xludf.DUMMYFUNCTION("""COMPUTED_VALUE"""),"10.1177/106939719502900203")</f>
        <v>10.1177/106939719502900203</v>
      </c>
      <c r="B1266" s="677" t="str">
        <f>IFERROR(__xludf.DUMMYFUNCTION("""COMPUTED_VALUE"""),"https://drive.google.com/file/d/1EiZgMw2qP3p2Nl8KNZdPlnqAh-NzSUGq/view?usp=drivesdk")</f>
        <v>https://drive.google.com/file/d/1EiZgMw2qP3p2Nl8KNZdPlnqAh-NzSUGq/view?usp=drivesdk</v>
      </c>
      <c r="C1266" s="156" t="str">
        <f>IFERROR(__xludf.DUMMYFUNCTION("""COMPUTED_VALUE"""),"10.1177--106939719502900203.pdf")</f>
        <v>10.1177--106939719502900203.pdf</v>
      </c>
      <c r="D1266" s="156" t="str">
        <f>IFERROR(__xludf.DUMMYFUNCTION("""COMPUTED_VALUE"""),"application/pdf")</f>
        <v>application/pdf</v>
      </c>
    </row>
    <row r="1267">
      <c r="A1267" s="156" t="str">
        <f>IFERROR(__xludf.DUMMYFUNCTION("""COMPUTED_VALUE"""),"10.1901/jaba.1996.29-201")</f>
        <v>10.1901/jaba.1996.29-201</v>
      </c>
      <c r="B1267" s="677" t="str">
        <f>IFERROR(__xludf.DUMMYFUNCTION("""COMPUTED_VALUE"""),"https://drive.google.com/file/d/1pF30Q42RIER3XJUtsQhHQ9S4ZW72pLMZ/view?usp=drivesdk")</f>
        <v>https://drive.google.com/file/d/1pF30Q42RIER3XJUtsQhHQ9S4ZW72pLMZ/view?usp=drivesdk</v>
      </c>
      <c r="C1267" s="156" t="str">
        <f>IFERROR(__xludf.DUMMYFUNCTION("""COMPUTED_VALUE"""),"10.1901--jaba.1996.29-201.pdf")</f>
        <v>10.1901--jaba.1996.29-201.pdf</v>
      </c>
      <c r="D1267" s="156" t="str">
        <f>IFERROR(__xludf.DUMMYFUNCTION("""COMPUTED_VALUE"""),"application/pdf")</f>
        <v>application/pdf</v>
      </c>
    </row>
    <row r="1268">
      <c r="A1268" s="156" t="str">
        <f>IFERROR(__xludf.DUMMYFUNCTION("""COMPUTED_VALUE"""),"10.1901/jaba.2000.33-335")</f>
        <v>10.1901/jaba.2000.33-335</v>
      </c>
      <c r="B1268" s="677" t="str">
        <f>IFERROR(__xludf.DUMMYFUNCTION("""COMPUTED_VALUE"""),"https://drive.google.com/file/d/1NgKwMpaMntmxKioBNsVEEMKCvR7DC-5T/view?usp=drivesdk")</f>
        <v>https://drive.google.com/file/d/1NgKwMpaMntmxKioBNsVEEMKCvR7DC-5T/view?usp=drivesdk</v>
      </c>
      <c r="C1268" s="156" t="str">
        <f>IFERROR(__xludf.DUMMYFUNCTION("""COMPUTED_VALUE"""),"10.1901--jaba.2000.33-335.pdf")</f>
        <v>10.1901--jaba.2000.33-335.pdf</v>
      </c>
      <c r="D1268" s="156" t="str">
        <f>IFERROR(__xludf.DUMMYFUNCTION("""COMPUTED_VALUE"""),"application/pdf")</f>
        <v>application/pdf</v>
      </c>
    </row>
    <row r="1269">
      <c r="A1269" s="156" t="str">
        <f>IFERROR(__xludf.DUMMYFUNCTION("""COMPUTED_VALUE"""),"10.1207/s15374424jccp2501_10")</f>
        <v>10.1207/s15374424jccp2501_10</v>
      </c>
      <c r="B1269" s="677" t="str">
        <f>IFERROR(__xludf.DUMMYFUNCTION("""COMPUTED_VALUE"""),"https://drive.google.com/file/d/1wX8xyOPCKq3gKvrftl23eb3vJeRwT0Q4/view?usp=drivesdk")</f>
        <v>https://drive.google.com/file/d/1wX8xyOPCKq3gKvrftl23eb3vJeRwT0Q4/view?usp=drivesdk</v>
      </c>
      <c r="C1269" s="156" t="str">
        <f>IFERROR(__xludf.DUMMYFUNCTION("""COMPUTED_VALUE"""),"10.1207--s15374424jccp2501_10.pdf")</f>
        <v>10.1207--s15374424jccp2501_10.pdf</v>
      </c>
      <c r="D1269" s="156" t="str">
        <f>IFERROR(__xludf.DUMMYFUNCTION("""COMPUTED_VALUE"""),"application/pdf")</f>
        <v>application/pdf</v>
      </c>
    </row>
    <row r="1270">
      <c r="A1270" s="156" t="str">
        <f>IFERROR(__xludf.DUMMYFUNCTION("""COMPUTED_VALUE"""),"10.1044/1092-4388(2002/032)")</f>
        <v>10.1044/1092-4388(2002/032)</v>
      </c>
      <c r="B1270" s="677" t="str">
        <f>IFERROR(__xludf.DUMMYFUNCTION("""COMPUTED_VALUE"""),"https://drive.google.com/file/d/18Bq0KEHC9Y1vBB5CDqiFz9LxFIcSMxoo/view?usp=drivesdk")</f>
        <v>https://drive.google.com/file/d/18Bq0KEHC9Y1vBB5CDqiFz9LxFIcSMxoo/view?usp=drivesdk</v>
      </c>
      <c r="C1270" s="156" t="str">
        <f>IFERROR(__xludf.DUMMYFUNCTION("""COMPUTED_VALUE"""),"10.1044--1092-4388(2002--032).pdf")</f>
        <v>10.1044--1092-4388(2002--032).pdf</v>
      </c>
      <c r="D1270" s="156" t="str">
        <f>IFERROR(__xludf.DUMMYFUNCTION("""COMPUTED_VALUE"""),"application/pdf")</f>
        <v>application/pdf</v>
      </c>
    </row>
    <row r="1271">
      <c r="A1271" s="156" t="str">
        <f>IFERROR(__xludf.DUMMYFUNCTION("""COMPUTED_VALUE"""),"10.3758/bf03212422")</f>
        <v>10.3758/bf03212422</v>
      </c>
      <c r="B1271" s="677" t="str">
        <f>IFERROR(__xludf.DUMMYFUNCTION("""COMPUTED_VALUE"""),"https://drive.google.com/file/d/1nKP77qNWzLLcSfMWCbgvBvetnXaYWfOt/view?usp=drivesdk")</f>
        <v>https://drive.google.com/file/d/1nKP77qNWzLLcSfMWCbgvBvetnXaYWfOt/view?usp=drivesdk</v>
      </c>
      <c r="C1271" s="156" t="str">
        <f>IFERROR(__xludf.DUMMYFUNCTION("""COMPUTED_VALUE"""),"10.3758--bf03212422.pdf")</f>
        <v>10.3758--bf03212422.pdf</v>
      </c>
      <c r="D1271" s="156" t="str">
        <f>IFERROR(__xludf.DUMMYFUNCTION("""COMPUTED_VALUE"""),"application/pdf")</f>
        <v>application/pdf</v>
      </c>
    </row>
    <row r="1272">
      <c r="A1272" s="156" t="str">
        <f>IFERROR(__xludf.DUMMYFUNCTION("""COMPUTED_VALUE"""),"10.1037/xlm0001118")</f>
        <v>10.1037/xlm0001118</v>
      </c>
      <c r="B1272" s="677" t="str">
        <f>IFERROR(__xludf.DUMMYFUNCTION("""COMPUTED_VALUE"""),"https://drive.google.com/file/d/1c56waWyqn3utU8jZ3Vc-2lXssN3Xmndc/view?usp=drivesdk")</f>
        <v>https://drive.google.com/file/d/1c56waWyqn3utU8jZ3Vc-2lXssN3Xmndc/view?usp=drivesdk</v>
      </c>
      <c r="C1272" s="156" t="str">
        <f>IFERROR(__xludf.DUMMYFUNCTION("""COMPUTED_VALUE"""),"10.1037--xlm0001118.pdf")</f>
        <v>10.1037--xlm0001118.pdf</v>
      </c>
      <c r="D1272" s="156" t="str">
        <f>IFERROR(__xludf.DUMMYFUNCTION("""COMPUTED_VALUE"""),"application/pdf")</f>
        <v>application/pdf</v>
      </c>
    </row>
    <row r="1273">
      <c r="A1273" s="156" t="str">
        <f>IFERROR(__xludf.DUMMYFUNCTION("""COMPUTED_VALUE"""),"10.1287/orsc.2016.1065")</f>
        <v>10.1287/orsc.2016.1065</v>
      </c>
      <c r="B1273" s="677" t="str">
        <f>IFERROR(__xludf.DUMMYFUNCTION("""COMPUTED_VALUE"""),"https://drive.google.com/file/d/1hWFZB-IBEX7EnBpEtUZPw_HkLkFh5UM1/view?usp=drivesdk")</f>
        <v>https://drive.google.com/file/d/1hWFZB-IBEX7EnBpEtUZPw_HkLkFh5UM1/view?usp=drivesdk</v>
      </c>
      <c r="C1273" s="156" t="str">
        <f>IFERROR(__xludf.DUMMYFUNCTION("""COMPUTED_VALUE"""),"10.1287--orsc.2016.1065.pdf")</f>
        <v>10.1287--orsc.2016.1065.pdf</v>
      </c>
      <c r="D1273" s="156" t="str">
        <f>IFERROR(__xludf.DUMMYFUNCTION("""COMPUTED_VALUE"""),"application/pdf")</f>
        <v>application/pdf</v>
      </c>
    </row>
    <row r="1274">
      <c r="A1274" s="156" t="str">
        <f>IFERROR(__xludf.DUMMYFUNCTION("""COMPUTED_VALUE"""),"10.1001/archneur.1990.00530080033007")</f>
        <v>10.1001/archneur.1990.00530080033007</v>
      </c>
      <c r="B1274" s="677" t="str">
        <f>IFERROR(__xludf.DUMMYFUNCTION("""COMPUTED_VALUE"""),"https://drive.google.com/file/d/1sq3AXQm0IUoBTPjf2sPdUikF4Q9P0v9W/view?usp=drivesdk")</f>
        <v>https://drive.google.com/file/d/1sq3AXQm0IUoBTPjf2sPdUikF4Q9P0v9W/view?usp=drivesdk</v>
      </c>
      <c r="C1274" s="156" t="str">
        <f>IFERROR(__xludf.DUMMYFUNCTION("""COMPUTED_VALUE"""),"10.1001--archneur.1990.00530080033007.pdf")</f>
        <v>10.1001--archneur.1990.00530080033007.pdf</v>
      </c>
      <c r="D1274" s="156" t="str">
        <f>IFERROR(__xludf.DUMMYFUNCTION("""COMPUTED_VALUE"""),"application/pdf")</f>
        <v>application/pdf</v>
      </c>
    </row>
    <row r="1275">
      <c r="A1275" s="156" t="str">
        <f>IFERROR(__xludf.DUMMYFUNCTION("""COMPUTED_VALUE"""),"10.1001/archneur.1994.00540150069019")</f>
        <v>10.1001/archneur.1994.00540150069019</v>
      </c>
      <c r="B1275" s="677" t="str">
        <f>IFERROR(__xludf.DUMMYFUNCTION("""COMPUTED_VALUE"""),"https://drive.google.com/file/d/1TQqvGi0Elauw4pgiZ2IBN_WbEzMQJvXs/view?usp=drivesdk")</f>
        <v>https://drive.google.com/file/d/1TQqvGi0Elauw4pgiZ2IBN_WbEzMQJvXs/view?usp=drivesdk</v>
      </c>
      <c r="C1275" s="156" t="str">
        <f>IFERROR(__xludf.DUMMYFUNCTION("""COMPUTED_VALUE"""),"10.1001--archneur.1994.00540150069019.pdf")</f>
        <v>10.1001--archneur.1994.00540150069019.pdf</v>
      </c>
      <c r="D1275" s="156" t="str">
        <f>IFERROR(__xludf.DUMMYFUNCTION("""COMPUTED_VALUE"""),"application/pdf")</f>
        <v>application/pdf</v>
      </c>
    </row>
    <row r="1276">
      <c r="A1276" s="156" t="str">
        <f>IFERROR(__xludf.DUMMYFUNCTION("""COMPUTED_VALUE"""),"10.1111/exd.13114")</f>
        <v>10.1111/exd.13114</v>
      </c>
      <c r="B1276" s="677" t="str">
        <f>IFERROR(__xludf.DUMMYFUNCTION("""COMPUTED_VALUE"""),"https://drive.google.com/file/d/1b1y9mVBQpd37FvUqW3preqGjlvo-D3gp/view?usp=drivesdk")</f>
        <v>https://drive.google.com/file/d/1b1y9mVBQpd37FvUqW3preqGjlvo-D3gp/view?usp=drivesdk</v>
      </c>
      <c r="C1276" s="156" t="str">
        <f>IFERROR(__xludf.DUMMYFUNCTION("""COMPUTED_VALUE"""),"10.1111--exd.13114.pdf")</f>
        <v>10.1111--exd.13114.pdf</v>
      </c>
      <c r="D1276" s="156" t="str">
        <f>IFERROR(__xludf.DUMMYFUNCTION("""COMPUTED_VALUE"""),"application/pdf")</f>
        <v>application/pdf</v>
      </c>
    </row>
    <row r="1277">
      <c r="A1277" s="156" t="str">
        <f>IFERROR(__xludf.DUMMYFUNCTION("""COMPUTED_VALUE"""),"10.1176/appi.ps.003622012")</f>
        <v>10.1176/appi.ps.003622012</v>
      </c>
      <c r="B1277" s="677" t="str">
        <f>IFERROR(__xludf.DUMMYFUNCTION("""COMPUTED_VALUE"""),"https://drive.google.com/file/d/1y-k5khutAUOv7A8Kt3hM3pM50MmiJ3Se/view?usp=drivesdk")</f>
        <v>https://drive.google.com/file/d/1y-k5khutAUOv7A8Kt3hM3pM50MmiJ3Se/view?usp=drivesdk</v>
      </c>
      <c r="C1277" s="156" t="str">
        <f>IFERROR(__xludf.DUMMYFUNCTION("""COMPUTED_VALUE"""),"10.1176--appi.ps.003622012.pdf")</f>
        <v>10.1176--appi.ps.003622012.pdf</v>
      </c>
      <c r="D1277" s="156" t="str">
        <f>IFERROR(__xludf.DUMMYFUNCTION("""COMPUTED_VALUE"""),"application/pdf")</f>
        <v>application/pdf</v>
      </c>
    </row>
    <row r="1278">
      <c r="A1278" s="156" t="str">
        <f>IFERROR(__xludf.DUMMYFUNCTION("""COMPUTED_VALUE"""),"10.1136/eb-2015-102141")</f>
        <v>10.1136/eb-2015-102141</v>
      </c>
      <c r="B1278" s="677" t="str">
        <f>IFERROR(__xludf.DUMMYFUNCTION("""COMPUTED_VALUE"""),"https://drive.google.com/file/d/1Rm2TUPOokBMS57pKkqeRCvykqAT6FxIC/view?usp=drivesdk")</f>
        <v>https://drive.google.com/file/d/1Rm2TUPOokBMS57pKkqeRCvykqAT6FxIC/view?usp=drivesdk</v>
      </c>
      <c r="C1278" s="156" t="str">
        <f>IFERROR(__xludf.DUMMYFUNCTION("""COMPUTED_VALUE"""),"10.1136--eb-2015-102141.pdf")</f>
        <v>10.1136--eb-2015-102141.pdf</v>
      </c>
      <c r="D1278" s="156" t="str">
        <f>IFERROR(__xludf.DUMMYFUNCTION("""COMPUTED_VALUE"""),"application/pdf")</f>
        <v>application/pdf</v>
      </c>
    </row>
    <row r="1279">
      <c r="A1279" s="156" t="str">
        <f>IFERROR(__xludf.DUMMYFUNCTION("""COMPUTED_VALUE"""),"10.48550/arxiv.2012.03849")</f>
        <v>10.48550/arxiv.2012.03849</v>
      </c>
      <c r="B1279" s="677" t="str">
        <f>IFERROR(__xludf.DUMMYFUNCTION("""COMPUTED_VALUE"""),"https://drive.google.com/file/d/1g7sa4vkIN9PD4Rv9C-NvKrjWXKE2Sszt/view?usp=drivesdk")</f>
        <v>https://drive.google.com/file/d/1g7sa4vkIN9PD4Rv9C-NvKrjWXKE2Sszt/view?usp=drivesdk</v>
      </c>
      <c r="C1279" s="156" t="str">
        <f>IFERROR(__xludf.DUMMYFUNCTION("""COMPUTED_VALUE"""),"10.48550--arxiv.2012.03849.pdf")</f>
        <v>10.48550--arxiv.2012.03849.pdf</v>
      </c>
      <c r="D1279" s="156" t="str">
        <f>IFERROR(__xludf.DUMMYFUNCTION("""COMPUTED_VALUE"""),"application/pdf")</f>
        <v>application/pdf</v>
      </c>
    </row>
    <row r="1280">
      <c r="A1280" s="156" t="str">
        <f>IFERROR(__xludf.DUMMYFUNCTION("""COMPUTED_VALUE"""),"10.1177/0013164415593777")</f>
        <v>10.1177/0013164415593777</v>
      </c>
      <c r="B1280" s="677" t="str">
        <f>IFERROR(__xludf.DUMMYFUNCTION("""COMPUTED_VALUE"""),"https://drive.google.com/file/d/1kZO7TU5APcSmUh1Ll3JPWfymN4IssyWZ/view?usp=drivesdk")</f>
        <v>https://drive.google.com/file/d/1kZO7TU5APcSmUh1Ll3JPWfymN4IssyWZ/view?usp=drivesdk</v>
      </c>
      <c r="C1280" s="156" t="str">
        <f>IFERROR(__xludf.DUMMYFUNCTION("""COMPUTED_VALUE"""),"10.1177--0013164415593777.pdf")</f>
        <v>10.1177--0013164415593777.pdf</v>
      </c>
      <c r="D1280" s="156" t="str">
        <f>IFERROR(__xludf.DUMMYFUNCTION("""COMPUTED_VALUE"""),"application/pdf")</f>
        <v>application/pdf</v>
      </c>
    </row>
    <row r="1281">
      <c r="A1281" s="156" t="str">
        <f>IFERROR(__xludf.DUMMYFUNCTION("""COMPUTED_VALUE"""),"10.1177/0013164415618992")</f>
        <v>10.1177/0013164415618992</v>
      </c>
      <c r="B1281" s="677" t="str">
        <f>IFERROR(__xludf.DUMMYFUNCTION("""COMPUTED_VALUE"""),"https://drive.google.com/file/d/1oyKo7fk7IQxnatWBvNKZUfexHFe3WDWY/view?usp=drivesdk")</f>
        <v>https://drive.google.com/file/d/1oyKo7fk7IQxnatWBvNKZUfexHFe3WDWY/view?usp=drivesdk</v>
      </c>
      <c r="C1281" s="156" t="str">
        <f>IFERROR(__xludf.DUMMYFUNCTION("""COMPUTED_VALUE"""),"10.1177--0013164415618992.pdf")</f>
        <v>10.1177--0013164415618992.pdf</v>
      </c>
      <c r="D1281" s="156" t="str">
        <f>IFERROR(__xludf.DUMMYFUNCTION("""COMPUTED_VALUE"""),"application/pdf")</f>
        <v>application/pdf</v>
      </c>
    </row>
    <row r="1282">
      <c r="A1282" s="156" t="str">
        <f>IFERROR(__xludf.DUMMYFUNCTION("""COMPUTED_VALUE"""),"10.2307/3053285")</f>
        <v>10.2307/3053285</v>
      </c>
      <c r="B1282" s="677" t="str">
        <f>IFERROR(__xludf.DUMMYFUNCTION("""COMPUTED_VALUE"""),"https://drive.google.com/file/d/1v-1mbmpmXerAQ72WA9aOa0J6MKURP5N4/view?usp=drivesdk")</f>
        <v>https://drive.google.com/file/d/1v-1mbmpmXerAQ72WA9aOa0J6MKURP5N4/view?usp=drivesdk</v>
      </c>
      <c r="C1282" s="156" t="str">
        <f>IFERROR(__xludf.DUMMYFUNCTION("""COMPUTED_VALUE"""),"10.2307--3053285.pdf")</f>
        <v>10.2307--3053285.pdf</v>
      </c>
      <c r="D1282" s="156" t="str">
        <f>IFERROR(__xludf.DUMMYFUNCTION("""COMPUTED_VALUE"""),"application/pdf")</f>
        <v>application/pdf</v>
      </c>
    </row>
    <row r="1283">
      <c r="A1283" s="156" t="str">
        <f>IFERROR(__xludf.DUMMYFUNCTION("""COMPUTED_VALUE"""),"10.2307/3053565")</f>
        <v>10.2307/3053565</v>
      </c>
      <c r="B1283" s="677" t="str">
        <f>IFERROR(__xludf.DUMMYFUNCTION("""COMPUTED_VALUE"""),"https://drive.google.com/file/d/1RC7tGdIwh2BFShkeaxfPHee8yPx3SLjQ/view?usp=drivesdk")</f>
        <v>https://drive.google.com/file/d/1RC7tGdIwh2BFShkeaxfPHee8yPx3SLjQ/view?usp=drivesdk</v>
      </c>
      <c r="C1283" s="156" t="str">
        <f>IFERROR(__xludf.DUMMYFUNCTION("""COMPUTED_VALUE"""),"10.2307--3053565.pdf")</f>
        <v>10.2307--3053565.pdf</v>
      </c>
      <c r="D1283" s="156" t="str">
        <f>IFERROR(__xludf.DUMMYFUNCTION("""COMPUTED_VALUE"""),"application/pdf")</f>
        <v>application/pdf</v>
      </c>
    </row>
    <row r="1284">
      <c r="A1284" s="156" t="str">
        <f>IFERROR(__xludf.DUMMYFUNCTION("""COMPUTED_VALUE"""),"10.1037/pas0000120")</f>
        <v>10.1037/pas0000120</v>
      </c>
      <c r="B1284" s="677" t="str">
        <f>IFERROR(__xludf.DUMMYFUNCTION("""COMPUTED_VALUE"""),"https://drive.google.com/file/d/14CVfItoN94gmZTMwThSWgBWR6Gr6zqpB/view?usp=drivesdk")</f>
        <v>https://drive.google.com/file/d/14CVfItoN94gmZTMwThSWgBWR6Gr6zqpB/view?usp=drivesdk</v>
      </c>
      <c r="C1284" s="156" t="str">
        <f>IFERROR(__xludf.DUMMYFUNCTION("""COMPUTED_VALUE"""),"10.1037--pas0000120.pdf")</f>
        <v>10.1037--pas0000120.pdf</v>
      </c>
      <c r="D1284" s="156" t="str">
        <f>IFERROR(__xludf.DUMMYFUNCTION("""COMPUTED_VALUE"""),"application/pdf")</f>
        <v>application/pdf</v>
      </c>
    </row>
    <row r="1285">
      <c r="A1285" s="156" t="str">
        <f>IFERROR(__xludf.DUMMYFUNCTION("""COMPUTED_VALUE"""),"10.1027/1015-5759/a000552")</f>
        <v>10.1027/1015-5759/a000552</v>
      </c>
      <c r="B1285" s="677" t="str">
        <f>IFERROR(__xludf.DUMMYFUNCTION("""COMPUTED_VALUE"""),"https://drive.google.com/file/d/1rss63Au_wnRAvMu2v1IeFB6Z9miyPwmY/view?usp=drivesdk")</f>
        <v>https://drive.google.com/file/d/1rss63Au_wnRAvMu2v1IeFB6Z9miyPwmY/view?usp=drivesdk</v>
      </c>
      <c r="C1285" s="156" t="str">
        <f>IFERROR(__xludf.DUMMYFUNCTION("""COMPUTED_VALUE"""),"10.1027--1015-5759--a000552.pdf")</f>
        <v>10.1027--1015-5759--a000552.pdf</v>
      </c>
      <c r="D1285" s="156" t="str">
        <f>IFERROR(__xludf.DUMMYFUNCTION("""COMPUTED_VALUE"""),"application/pdf")</f>
        <v>application/pdf</v>
      </c>
    </row>
    <row r="1286">
      <c r="A1286" s="156" t="str">
        <f>IFERROR(__xludf.DUMMYFUNCTION("""COMPUTED_VALUE"""),"10.1089/107555304322849057")</f>
        <v>10.1089/107555304322849057</v>
      </c>
      <c r="B1286" s="677" t="str">
        <f>IFERROR(__xludf.DUMMYFUNCTION("""COMPUTED_VALUE"""),"https://drive.google.com/file/d/15g-43jhmRb2fMGoTNN1fePPXwt6aobWO/view?usp=drivesdk")</f>
        <v>https://drive.google.com/file/d/15g-43jhmRb2fMGoTNN1fePPXwt6aobWO/view?usp=drivesdk</v>
      </c>
      <c r="C1286" s="156" t="str">
        <f>IFERROR(__xludf.DUMMYFUNCTION("""COMPUTED_VALUE"""),"10.1089--107555304322849057.pdf")</f>
        <v>10.1089--107555304322849057.pdf</v>
      </c>
      <c r="D1286" s="156" t="str">
        <f>IFERROR(__xludf.DUMMYFUNCTION("""COMPUTED_VALUE"""),"application/pdf")</f>
        <v>application/pdf</v>
      </c>
    </row>
    <row r="1287">
      <c r="A1287" s="156" t="str">
        <f>IFERROR(__xludf.DUMMYFUNCTION("""COMPUTED_VALUE"""),"10.1037/e445022005-001")</f>
        <v>10.1037/e445022005-001</v>
      </c>
      <c r="B1287" s="677" t="str">
        <f>IFERROR(__xludf.DUMMYFUNCTION("""COMPUTED_VALUE"""),"https://drive.google.com/file/d/1iC0QvQsH5ABb1VH0D8FRGRv5X_RvXW6B/view?usp=drivesdk")</f>
        <v>https://drive.google.com/file/d/1iC0QvQsH5ABb1VH0D8FRGRv5X_RvXW6B/view?usp=drivesdk</v>
      </c>
      <c r="C1287" s="156" t="str">
        <f>IFERROR(__xludf.DUMMYFUNCTION("""COMPUTED_VALUE"""),"10.1037--e445022005-001.pdf")</f>
        <v>10.1037--e445022005-001.pdf</v>
      </c>
      <c r="D1287" s="156" t="str">
        <f>IFERROR(__xludf.DUMMYFUNCTION("""COMPUTED_VALUE"""),"application/pdf")</f>
        <v>application/pdf</v>
      </c>
    </row>
    <row r="1288">
      <c r="A1288" s="156" t="str">
        <f>IFERROR(__xludf.DUMMYFUNCTION("""COMPUTED_VALUE"""),"10.1001/archpsyc.1993.01820190043005")</f>
        <v>10.1001/archpsyc.1993.01820190043005</v>
      </c>
      <c r="B1288" s="677" t="str">
        <f>IFERROR(__xludf.DUMMYFUNCTION("""COMPUTED_VALUE"""),"https://drive.google.com/file/d/1xmgRxYDzYjkZ9p1HDxC88dxSzWbazkwh/view?usp=drivesdk")</f>
        <v>https://drive.google.com/file/d/1xmgRxYDzYjkZ9p1HDxC88dxSzWbazkwh/view?usp=drivesdk</v>
      </c>
      <c r="C1288" s="156" t="str">
        <f>IFERROR(__xludf.DUMMYFUNCTION("""COMPUTED_VALUE"""),"10.1001--archpsyc.1993.01820190043005.pdf")</f>
        <v>10.1001--archpsyc.1993.01820190043005.pdf</v>
      </c>
      <c r="D1288" s="156" t="str">
        <f>IFERROR(__xludf.DUMMYFUNCTION("""COMPUTED_VALUE"""),"application/pdf")</f>
        <v>application/pdf</v>
      </c>
    </row>
    <row r="1289">
      <c r="A1289" s="156" t="str">
        <f>IFERROR(__xludf.DUMMYFUNCTION("""COMPUTED_VALUE"""),"10.1017/s0033291703001715")</f>
        <v>10.1017/s0033291703001715</v>
      </c>
      <c r="B1289" s="677" t="str">
        <f>IFERROR(__xludf.DUMMYFUNCTION("""COMPUTED_VALUE"""),"https://drive.google.com/file/d/1WysEW9NFRsU0pIPUIftUwQOxnpalzzvY/view?usp=drivesdk")</f>
        <v>https://drive.google.com/file/d/1WysEW9NFRsU0pIPUIftUwQOxnpalzzvY/view?usp=drivesdk</v>
      </c>
      <c r="C1289" s="156" t="str">
        <f>IFERROR(__xludf.DUMMYFUNCTION("""COMPUTED_VALUE"""),"10.1017--s0033291703001715.pdf")</f>
        <v>10.1017--s0033291703001715.pdf</v>
      </c>
      <c r="D1289" s="156" t="str">
        <f>IFERROR(__xludf.DUMMYFUNCTION("""COMPUTED_VALUE"""),"application/pdf")</f>
        <v>application/pdf</v>
      </c>
    </row>
    <row r="1290">
      <c r="A1290" s="156" t="str">
        <f>IFERROR(__xludf.DUMMYFUNCTION("""COMPUTED_VALUE"""),"10.1037/1040-3590.8.4.398")</f>
        <v>10.1037/1040-3590.8.4.398</v>
      </c>
      <c r="B1290" s="677" t="str">
        <f>IFERROR(__xludf.DUMMYFUNCTION("""COMPUTED_VALUE"""),"https://drive.google.com/file/d/1RMH1QHCfwceThZBhNxJzWriOscH_9Moa/view?usp=drivesdk")</f>
        <v>https://drive.google.com/file/d/1RMH1QHCfwceThZBhNxJzWriOscH_9Moa/view?usp=drivesdk</v>
      </c>
      <c r="C1290" s="156" t="str">
        <f>IFERROR(__xludf.DUMMYFUNCTION("""COMPUTED_VALUE"""),"10.1037--1040-3590.8.4.398.pdf")</f>
        <v>10.1037--1040-3590.8.4.398.pdf</v>
      </c>
      <c r="D1290" s="156" t="str">
        <f>IFERROR(__xludf.DUMMYFUNCTION("""COMPUTED_VALUE"""),"application/pdf")</f>
        <v>application/pdf</v>
      </c>
    </row>
    <row r="1291">
      <c r="A1291" s="156" t="str">
        <f>IFERROR(__xludf.DUMMYFUNCTION("""COMPUTED_VALUE"""),"10.1371/journal.pone.0251448")</f>
        <v>10.1371/journal.pone.0251448</v>
      </c>
      <c r="B1291" s="677" t="str">
        <f>IFERROR(__xludf.DUMMYFUNCTION("""COMPUTED_VALUE"""),"https://drive.google.com/file/d/11A-iuIS4Kk_EIgYI14egGNJG6Dn7Rmzc/view?usp=drivesdk")</f>
        <v>https://drive.google.com/file/d/11A-iuIS4Kk_EIgYI14egGNJG6Dn7Rmzc/view?usp=drivesdk</v>
      </c>
      <c r="C1291" s="156" t="str">
        <f>IFERROR(__xludf.DUMMYFUNCTION("""COMPUTED_VALUE"""),"10.1371--journal.pone.0251448.pdf")</f>
        <v>10.1371--journal.pone.0251448.pdf</v>
      </c>
      <c r="D1291" s="156" t="str">
        <f>IFERROR(__xludf.DUMMYFUNCTION("""COMPUTED_VALUE"""),"application/pdf")</f>
        <v>application/pdf</v>
      </c>
    </row>
    <row r="1292">
      <c r="A1292" s="156" t="str">
        <f>IFERROR(__xludf.DUMMYFUNCTION("""COMPUTED_VALUE"""),"10.1017/jwe.2022.55")</f>
        <v>10.1017/jwe.2022.55</v>
      </c>
      <c r="B1292" s="677" t="str">
        <f>IFERROR(__xludf.DUMMYFUNCTION("""COMPUTED_VALUE"""),"https://drive.google.com/file/d/1tidiEHmGyDuh1g8MpeILLnnbxbHz8_7f/view?usp=drivesdk")</f>
        <v>https://drive.google.com/file/d/1tidiEHmGyDuh1g8MpeILLnnbxbHz8_7f/view?usp=drivesdk</v>
      </c>
      <c r="C1292" s="156" t="str">
        <f>IFERROR(__xludf.DUMMYFUNCTION("""COMPUTED_VALUE"""),"10.1017--jwe.2022.55.pdf")</f>
        <v>10.1017--jwe.2022.55.pdf</v>
      </c>
      <c r="D1292" s="156" t="str">
        <f>IFERROR(__xludf.DUMMYFUNCTION("""COMPUTED_VALUE"""),"application/pdf")</f>
        <v>application/pdf</v>
      </c>
    </row>
    <row r="1293">
      <c r="A1293" s="156" t="str">
        <f>IFERROR(__xludf.DUMMYFUNCTION("""COMPUTED_VALUE"""),"10.1080/09571264.2024.2310323")</f>
        <v>10.1080/09571264.2024.2310323</v>
      </c>
      <c r="B1293" s="677" t="str">
        <f>IFERROR(__xludf.DUMMYFUNCTION("""COMPUTED_VALUE"""),"https://drive.google.com/file/d/1zDpJdnNNWQy5ej-KqssO307FI0_rG3xJ/view?usp=drivesdk")</f>
        <v>https://drive.google.com/file/d/1zDpJdnNNWQy5ej-KqssO307FI0_rG3xJ/view?usp=drivesdk</v>
      </c>
      <c r="C1293" s="156" t="str">
        <f>IFERROR(__xludf.DUMMYFUNCTION("""COMPUTED_VALUE"""),"10.1080--09571264.2024.2310323.pdf")</f>
        <v>10.1080--09571264.2024.2310323.pdf</v>
      </c>
      <c r="D1293" s="156" t="str">
        <f>IFERROR(__xludf.DUMMYFUNCTION("""COMPUTED_VALUE"""),"application/pdf")</f>
        <v>application/pdf</v>
      </c>
    </row>
    <row r="1294">
      <c r="A1294" s="156" t="str">
        <f>IFERROR(__xludf.DUMMYFUNCTION("""COMPUTED_VALUE"""),"10.1016/j.radonc.2015.10.019")</f>
        <v>10.1016/j.radonc.2015.10.019</v>
      </c>
      <c r="B1294" s="677" t="str">
        <f>IFERROR(__xludf.DUMMYFUNCTION("""COMPUTED_VALUE"""),"https://drive.google.com/file/d/1x1HIxasPYVDWiMoijsVEmEFkL-ma4-ZN/view?usp=drivesdk")</f>
        <v>https://drive.google.com/file/d/1x1HIxasPYVDWiMoijsVEmEFkL-ma4-ZN/view?usp=drivesdk</v>
      </c>
      <c r="C1294" s="156" t="str">
        <f>IFERROR(__xludf.DUMMYFUNCTION("""COMPUTED_VALUE"""),"10.1016--j.radonc.2015.10.019.pdf")</f>
        <v>10.1016--j.radonc.2015.10.019.pdf</v>
      </c>
      <c r="D1294" s="156" t="str">
        <f>IFERROR(__xludf.DUMMYFUNCTION("""COMPUTED_VALUE"""),"application/pdf")</f>
        <v>application/pdf</v>
      </c>
    </row>
    <row r="1295">
      <c r="A1295" s="156" t="str">
        <f>IFERROR(__xludf.DUMMYFUNCTION("""COMPUTED_VALUE"""),"10.1002/alz.042402")</f>
        <v>10.1002/alz.042402</v>
      </c>
      <c r="B1295" s="677" t="str">
        <f>IFERROR(__xludf.DUMMYFUNCTION("""COMPUTED_VALUE"""),"https://drive.google.com/file/d/1W0LT1j0LwNvex6d3_G8PdYjfd_nBMGCI/view?usp=drivesdk")</f>
        <v>https://drive.google.com/file/d/1W0LT1j0LwNvex6d3_G8PdYjfd_nBMGCI/view?usp=drivesdk</v>
      </c>
      <c r="C1295" s="156" t="str">
        <f>IFERROR(__xludf.DUMMYFUNCTION("""COMPUTED_VALUE"""),"10.1002--alz.042402.pdf")</f>
        <v>10.1002--alz.042402.pdf</v>
      </c>
      <c r="D1295" s="156" t="str">
        <f>IFERROR(__xludf.DUMMYFUNCTION("""COMPUTED_VALUE"""),"application/pdf")</f>
        <v>application/pdf</v>
      </c>
    </row>
    <row r="1296">
      <c r="A1296" s="156" t="str">
        <f>IFERROR(__xludf.DUMMYFUNCTION("""COMPUTED_VALUE"""),"10.1101/2022.04.14.488400")</f>
        <v>10.1101/2022.04.14.488400</v>
      </c>
      <c r="B1296" s="677" t="str">
        <f>IFERROR(__xludf.DUMMYFUNCTION("""COMPUTED_VALUE"""),"https://drive.google.com/file/d/1KadZVSRQiGIfK4lhfu1eJLxSHlP8YPtH/view?usp=drivesdk")</f>
        <v>https://drive.google.com/file/d/1KadZVSRQiGIfK4lhfu1eJLxSHlP8YPtH/view?usp=drivesdk</v>
      </c>
      <c r="C1296" s="156" t="str">
        <f>IFERROR(__xludf.DUMMYFUNCTION("""COMPUTED_VALUE"""),"10.1101--2022.04.14.488400.pdf")</f>
        <v>10.1101--2022.04.14.488400.pdf</v>
      </c>
      <c r="D1296" s="156" t="str">
        <f>IFERROR(__xludf.DUMMYFUNCTION("""COMPUTED_VALUE"""),"application/pdf")</f>
        <v>application/pdf</v>
      </c>
    </row>
    <row r="1297">
      <c r="A1297" s="156" t="str">
        <f>IFERROR(__xludf.DUMMYFUNCTION("""COMPUTED_VALUE"""),"10.16875/stem.2011.12.2.263")</f>
        <v>10.16875/stem.2011.12.2.263</v>
      </c>
      <c r="B1297" s="677" t="str">
        <f>IFERROR(__xludf.DUMMYFUNCTION("""COMPUTED_VALUE"""),"https://drive.google.com/file/d/1gPGZG8c7TkvCBQ6b9AKYA-7EGKuWyNbk/view?usp=drivesdk")</f>
        <v>https://drive.google.com/file/d/1gPGZG8c7TkvCBQ6b9AKYA-7EGKuWyNbk/view?usp=drivesdk</v>
      </c>
      <c r="C1297" s="156" t="str">
        <f>IFERROR(__xludf.DUMMYFUNCTION("""COMPUTED_VALUE"""),"10.16875--stem.2011.12.2.263.pdf")</f>
        <v>10.16875--stem.2011.12.2.263.pdf</v>
      </c>
      <c r="D1297" s="156" t="str">
        <f>IFERROR(__xludf.DUMMYFUNCTION("""COMPUTED_VALUE"""),"application/pdf")</f>
        <v>application/pdf</v>
      </c>
    </row>
    <row r="1298">
      <c r="A1298" s="156" t="str">
        <f>IFERROR(__xludf.DUMMYFUNCTION("""COMPUTED_VALUE"""),"10.1037/0022-006x.72.3.500")</f>
        <v>10.1037/0022-006x.72.3.500</v>
      </c>
      <c r="B1298" s="677" t="str">
        <f>IFERROR(__xludf.DUMMYFUNCTION("""COMPUTED_VALUE"""),"https://drive.google.com/file/d/1eWeGnbOVxeeWnGYntSt6RQpPsGVPNsM_/view?usp=drivesdk")</f>
        <v>https://drive.google.com/file/d/1eWeGnbOVxeeWnGYntSt6RQpPsGVPNsM_/view?usp=drivesdk</v>
      </c>
      <c r="C1298" s="156" t="str">
        <f>IFERROR(__xludf.DUMMYFUNCTION("""COMPUTED_VALUE"""),"10.1037--0022-006x.72.3.500.pdf")</f>
        <v>10.1037--0022-006x.72.3.500.pdf</v>
      </c>
      <c r="D1298" s="156" t="str">
        <f>IFERROR(__xludf.DUMMYFUNCTION("""COMPUTED_VALUE"""),"application/pdf")</f>
        <v>application/pdf</v>
      </c>
    </row>
    <row r="1299">
      <c r="A1299" s="156" t="str">
        <f>IFERROR(__xludf.DUMMYFUNCTION("""COMPUTED_VALUE"""),"10.1037/a0021227")</f>
        <v>10.1037/a0021227</v>
      </c>
      <c r="B1299" s="677" t="str">
        <f>IFERROR(__xludf.DUMMYFUNCTION("""COMPUTED_VALUE"""),"https://drive.google.com/file/d/1g4htArQlRMN73gPPvVW4eUSVBYivRP3l/view?usp=drivesdk")</f>
        <v>https://drive.google.com/file/d/1g4htArQlRMN73gPPvVW4eUSVBYivRP3l/view?usp=drivesdk</v>
      </c>
      <c r="C1299" s="156" t="str">
        <f>IFERROR(__xludf.DUMMYFUNCTION("""COMPUTED_VALUE"""),"10.1037--a0021227.pdf")</f>
        <v>10.1037--a0021227.pdf</v>
      </c>
      <c r="D1299" s="156" t="str">
        <f>IFERROR(__xludf.DUMMYFUNCTION("""COMPUTED_VALUE"""),"application/pdf")</f>
        <v>application/pdf</v>
      </c>
    </row>
    <row r="1300">
      <c r="A1300" s="156" t="str">
        <f>IFERROR(__xludf.DUMMYFUNCTION("""COMPUTED_VALUE"""),"10.16875/stem.2012.13.3.105")</f>
        <v>10.16875/stem.2012.13.3.105</v>
      </c>
      <c r="B1300" s="677" t="str">
        <f>IFERROR(__xludf.DUMMYFUNCTION("""COMPUTED_VALUE"""),"https://drive.google.com/file/d/1H7SW_j1HalYgx4MPG5ZDEcVEO0Zr4meZ/view?usp=drivesdk")</f>
        <v>https://drive.google.com/file/d/1H7SW_j1HalYgx4MPG5ZDEcVEO0Zr4meZ/view?usp=drivesdk</v>
      </c>
      <c r="C1300" s="156" t="str">
        <f>IFERROR(__xludf.DUMMYFUNCTION("""COMPUTED_VALUE"""),"10.16875--stem.2012.13.3.105.pdf")</f>
        <v>10.16875--stem.2012.13.3.105.pdf</v>
      </c>
      <c r="D1300" s="156" t="str">
        <f>IFERROR(__xludf.DUMMYFUNCTION("""COMPUTED_VALUE"""),"application/pdf")</f>
        <v>application/pdf</v>
      </c>
    </row>
    <row r="1301">
      <c r="A1301" s="156" t="str">
        <f>IFERROR(__xludf.DUMMYFUNCTION("""COMPUTED_VALUE"""),"salamon_1992")</f>
        <v>salamon_1992</v>
      </c>
      <c r="B1301" s="677" t="str">
        <f>IFERROR(__xludf.DUMMYFUNCTION("""COMPUTED_VALUE"""),"https://drive.google.com/file/d/1zjgdQzaE1FGs582TKYCM8QK1jHSasa0D/view?usp=drivesdk")</f>
        <v>https://drive.google.com/file/d/1zjgdQzaE1FGs582TKYCM8QK1jHSasa0D/view?usp=drivesdk</v>
      </c>
      <c r="C1301" s="156" t="str">
        <f>IFERROR(__xludf.DUMMYFUNCTION("""COMPUTED_VALUE"""),"salamon_1992.pdf")</f>
        <v>salamon_1992.pdf</v>
      </c>
      <c r="D1301" s="156" t="str">
        <f>IFERROR(__xludf.DUMMYFUNCTION("""COMPUTED_VALUE"""),"application/pdf")</f>
        <v>application/pdf</v>
      </c>
    </row>
    <row r="1302">
      <c r="A1302" s="156" t="str">
        <f>IFERROR(__xludf.DUMMYFUNCTION("""COMPUTED_VALUE"""),"maroney_2004")</f>
        <v>maroney_2004</v>
      </c>
      <c r="B1302" s="677" t="str">
        <f>IFERROR(__xludf.DUMMYFUNCTION("""COMPUTED_VALUE"""),"https://drive.google.com/file/d/1pPUIG-tV6QPEOgVX-N5xoUwijszpxV-q/view?usp=drivesdk")</f>
        <v>https://drive.google.com/file/d/1pPUIG-tV6QPEOgVX-N5xoUwijszpxV-q/view?usp=drivesdk</v>
      </c>
      <c r="C1302" s="156" t="str">
        <f>IFERROR(__xludf.DUMMYFUNCTION("""COMPUTED_VALUE"""),"maroney_2004.pdf")</f>
        <v>maroney_2004.pdf</v>
      </c>
      <c r="D1302" s="156" t="str">
        <f>IFERROR(__xludf.DUMMYFUNCTION("""COMPUTED_VALUE"""),"application/pdf")</f>
        <v>application/pdf</v>
      </c>
    </row>
    <row r="1303">
      <c r="A1303" s="156" t="str">
        <f>IFERROR(__xludf.DUMMYFUNCTION("""COMPUTED_VALUE"""),"10.1111/bjd.20093")</f>
        <v>10.1111/bjd.20093</v>
      </c>
      <c r="B1303" s="677" t="str">
        <f>IFERROR(__xludf.DUMMYFUNCTION("""COMPUTED_VALUE"""),"https://drive.google.com/file/d/1nGEFRfqInF5qm86vl7__3-8qIzREYfZk/view?usp=drivesdk")</f>
        <v>https://drive.google.com/file/d/1nGEFRfqInF5qm86vl7__3-8qIzREYfZk/view?usp=drivesdk</v>
      </c>
      <c r="C1303" s="156" t="str">
        <f>IFERROR(__xludf.DUMMYFUNCTION("""COMPUTED_VALUE"""),"10.1111--bjd.20093.pdf")</f>
        <v>10.1111--bjd.20093.pdf</v>
      </c>
      <c r="D1303" s="156" t="str">
        <f>IFERROR(__xludf.DUMMYFUNCTION("""COMPUTED_VALUE"""),"application/pdf")</f>
        <v>application/pdf</v>
      </c>
    </row>
    <row r="1304">
      <c r="A1304" s="156" t="str">
        <f>IFERROR(__xludf.DUMMYFUNCTION("""COMPUTED_VALUE"""),"10.1002/j.2330-8516.1989.tb00154.x")</f>
        <v>10.1002/j.2330-8516.1989.tb00154.x</v>
      </c>
      <c r="B1304" s="677" t="str">
        <f>IFERROR(__xludf.DUMMYFUNCTION("""COMPUTED_VALUE"""),"https://drive.google.com/file/d/1Amt9PFHVd7cb69huGnFbxyKWsIQSjV3D/view?usp=drivesdk")</f>
        <v>https://drive.google.com/file/d/1Amt9PFHVd7cb69huGnFbxyKWsIQSjV3D/view?usp=drivesdk</v>
      </c>
      <c r="C1304" s="156" t="str">
        <f>IFERROR(__xludf.DUMMYFUNCTION("""COMPUTED_VALUE"""),"10.1002--j.2330-8516.1989.tb00154.x.pdf")</f>
        <v>10.1002--j.2330-8516.1989.tb00154.x.pdf</v>
      </c>
      <c r="D1304" s="156" t="str">
        <f>IFERROR(__xludf.DUMMYFUNCTION("""COMPUTED_VALUE"""),"application/pdf")</f>
        <v>application/pdf</v>
      </c>
    </row>
    <row r="1305">
      <c r="A1305" s="156" t="str">
        <f>IFERROR(__xludf.DUMMYFUNCTION("""COMPUTED_VALUE"""),"10.1002/jclp.22191")</f>
        <v>10.1002/jclp.22191</v>
      </c>
      <c r="B1305" s="677" t="str">
        <f>IFERROR(__xludf.DUMMYFUNCTION("""COMPUTED_VALUE"""),"https://drive.google.com/file/d/18NuOr2zv-DPSWE76ik20X1RWQCrIu5_W/view?usp=drivesdk")</f>
        <v>https://drive.google.com/file/d/18NuOr2zv-DPSWE76ik20X1RWQCrIu5_W/view?usp=drivesdk</v>
      </c>
      <c r="C1305" s="156" t="str">
        <f>IFERROR(__xludf.DUMMYFUNCTION("""COMPUTED_VALUE"""),"10.1002--jclp.22191.pdf")</f>
        <v>10.1002--jclp.22191.pdf</v>
      </c>
      <c r="D1305" s="156" t="str">
        <f>IFERROR(__xludf.DUMMYFUNCTION("""COMPUTED_VALUE"""),"application/pdf")</f>
        <v>application/pdf</v>
      </c>
    </row>
    <row r="1306">
      <c r="A1306" s="156" t="str">
        <f>IFERROR(__xludf.DUMMYFUNCTION("""COMPUTED_VALUE"""),"10.1080/10503307.2020.1757175")</f>
        <v>10.1080/10503307.2020.1757175</v>
      </c>
      <c r="B1306" s="677" t="str">
        <f>IFERROR(__xludf.DUMMYFUNCTION("""COMPUTED_VALUE"""),"https://drive.google.com/file/d/1WBDqA_BZehc7Sz5HnIH2Bt-pPoD-QiMO/view?usp=drivesdk")</f>
        <v>https://drive.google.com/file/d/1WBDqA_BZehc7Sz5HnIH2Bt-pPoD-QiMO/view?usp=drivesdk</v>
      </c>
      <c r="C1306" s="156" t="str">
        <f>IFERROR(__xludf.DUMMYFUNCTION("""COMPUTED_VALUE"""),"10.1080--10503307.2020.1757175.pdf")</f>
        <v>10.1080--10503307.2020.1757175.pdf</v>
      </c>
      <c r="D1306" s="156" t="str">
        <f>IFERROR(__xludf.DUMMYFUNCTION("""COMPUTED_VALUE"""),"application/pdf")</f>
        <v>application/pdf</v>
      </c>
    </row>
    <row r="1307">
      <c r="A1307" s="156" t="str">
        <f>IFERROR(__xludf.DUMMYFUNCTION("""COMPUTED_VALUE"""),"h10.3386/w0781")</f>
        <v>h10.3386/w0781</v>
      </c>
      <c r="B1307" s="677" t="str">
        <f>IFERROR(__xludf.DUMMYFUNCTION("""COMPUTED_VALUE"""),"https://drive.google.com/file/d/1BFIvapTqlHpbHQvqjZnWZ-7ae5fZLhkO/view?usp=drivesdk")</f>
        <v>https://drive.google.com/file/d/1BFIvapTqlHpbHQvqjZnWZ-7ae5fZLhkO/view?usp=drivesdk</v>
      </c>
      <c r="C1307" s="156" t="str">
        <f>IFERROR(__xludf.DUMMYFUNCTION("""COMPUTED_VALUE"""),"h10.3386--w0781.pdf")</f>
        <v>h10.3386--w0781.pdf</v>
      </c>
      <c r="D1307" s="156" t="str">
        <f>IFERROR(__xludf.DUMMYFUNCTION("""COMPUTED_VALUE"""),"application/pdf")</f>
        <v>application/pdf</v>
      </c>
    </row>
    <row r="1308">
      <c r="A1308" s="156" t="str">
        <f>IFERROR(__xludf.DUMMYFUNCTION("""COMPUTED_VALUE"""),"10.2139/ssrn.473592")</f>
        <v>10.2139/ssrn.473592</v>
      </c>
      <c r="B1308" s="677" t="str">
        <f>IFERROR(__xludf.DUMMYFUNCTION("""COMPUTED_VALUE"""),"https://drive.google.com/file/d/1MDQ6M58EZ8oNCvRr11RaJsivppSQNH47/view?usp=drivesdk")</f>
        <v>https://drive.google.com/file/d/1MDQ6M58EZ8oNCvRr11RaJsivppSQNH47/view?usp=drivesdk</v>
      </c>
      <c r="C1308" s="156" t="str">
        <f>IFERROR(__xludf.DUMMYFUNCTION("""COMPUTED_VALUE"""),"10.2139--ssrn.473592.pdf")</f>
        <v>10.2139--ssrn.473592.pdf</v>
      </c>
      <c r="D1308" s="156" t="str">
        <f>IFERROR(__xludf.DUMMYFUNCTION("""COMPUTED_VALUE"""),"application/pdf")</f>
        <v>application/pdf</v>
      </c>
    </row>
    <row r="1309">
      <c r="A1309" s="156" t="str">
        <f>IFERROR(__xludf.DUMMYFUNCTION("""COMPUTED_VALUE"""),"10.1097/fpc.0b013e32831367f0")</f>
        <v>10.1097/fpc.0b013e32831367f0</v>
      </c>
      <c r="B1309" s="677" t="str">
        <f>IFERROR(__xludf.DUMMYFUNCTION("""COMPUTED_VALUE"""),"https://drive.google.com/file/d/19w9ic82B3o6eQIl3FyT2OT-5QM9FXLnu/view?usp=drivesdk")</f>
        <v>https://drive.google.com/file/d/19w9ic82B3o6eQIl3FyT2OT-5QM9FXLnu/view?usp=drivesdk</v>
      </c>
      <c r="C1309" s="156" t="str">
        <f>IFERROR(__xludf.DUMMYFUNCTION("""COMPUTED_VALUE"""),"10.1097--fpc.0b013e32831367f0.pdf")</f>
        <v>10.1097--fpc.0b013e32831367f0.pdf</v>
      </c>
      <c r="D1309" s="156" t="str">
        <f>IFERROR(__xludf.DUMMYFUNCTION("""COMPUTED_VALUE"""),"application/pdf")</f>
        <v>application/pdf</v>
      </c>
    </row>
    <row r="1310">
      <c r="A1310" s="156" t="str">
        <f>IFERROR(__xludf.DUMMYFUNCTION("""COMPUTED_VALUE"""),"10.1016/j.anbehav.2007.03.011")</f>
        <v>10.1016/j.anbehav.2007.03.011</v>
      </c>
      <c r="B1310" s="677" t="str">
        <f>IFERROR(__xludf.DUMMYFUNCTION("""COMPUTED_VALUE"""),"https://drive.google.com/file/d/1KUQcqsK-r5AfbdzIkCakBZzGlFUtRtAB/view?usp=drivesdk")</f>
        <v>https://drive.google.com/file/d/1KUQcqsK-r5AfbdzIkCakBZzGlFUtRtAB/view?usp=drivesdk</v>
      </c>
      <c r="C1310" s="156" t="str">
        <f>IFERROR(__xludf.DUMMYFUNCTION("""COMPUTED_VALUE"""),"10.1016--j.anbehav.2007.03.011.pdf")</f>
        <v>10.1016--j.anbehav.2007.03.011.pdf</v>
      </c>
      <c r="D1310" s="156" t="str">
        <f>IFERROR(__xludf.DUMMYFUNCTION("""COMPUTED_VALUE"""),"application/pdf")</f>
        <v>application/pdf</v>
      </c>
    </row>
    <row r="1311">
      <c r="A1311" s="156" t="str">
        <f>IFERROR(__xludf.DUMMYFUNCTION("""COMPUTED_VALUE"""),"10.1111/j.1439-0310.2008.01513.x")</f>
        <v>10.1111/j.1439-0310.2008.01513.x</v>
      </c>
      <c r="B1311" s="677" t="str">
        <f>IFERROR(__xludf.DUMMYFUNCTION("""COMPUTED_VALUE"""),"https://drive.google.com/file/d/10U_h3GRWlK3nNIqq6UMnE9fs0R1sihM3/view?usp=drivesdk")</f>
        <v>https://drive.google.com/file/d/10U_h3GRWlK3nNIqq6UMnE9fs0R1sihM3/view?usp=drivesdk</v>
      </c>
      <c r="C1311" s="156" t="str">
        <f>IFERROR(__xludf.DUMMYFUNCTION("""COMPUTED_VALUE"""),"10.1111--j.1439-0310.2008.01513.x.pdf")</f>
        <v>10.1111--j.1439-0310.2008.01513.x.pdf</v>
      </c>
      <c r="D1311" s="156" t="str">
        <f>IFERROR(__xludf.DUMMYFUNCTION("""COMPUTED_VALUE"""),"application/pdf")</f>
        <v>application/pdf</v>
      </c>
    </row>
    <row r="1312">
      <c r="A1312" s="156" t="str">
        <f>IFERROR(__xludf.DUMMYFUNCTION("""COMPUTED_VALUE"""),"10.1111/j.1467-9280.2007.01876.x")</f>
        <v>10.1111/j.1467-9280.2007.01876.x</v>
      </c>
      <c r="B1312" s="677" t="str">
        <f>IFERROR(__xludf.DUMMYFUNCTION("""COMPUTED_VALUE"""),"https://drive.google.com/file/d/1UxdcBZ-3RJc_ZWRiOUG2OgzApwZoezAz/view?usp=drivesdk")</f>
        <v>https://drive.google.com/file/d/1UxdcBZ-3RJc_ZWRiOUG2OgzApwZoezAz/view?usp=drivesdk</v>
      </c>
      <c r="C1312" s="156" t="str">
        <f>IFERROR(__xludf.DUMMYFUNCTION("""COMPUTED_VALUE"""),"10.1111--j.1467-9280.2007.01876.x.pdf")</f>
        <v>10.1111--j.1467-9280.2007.01876.x.pdf</v>
      </c>
      <c r="D1312" s="156" t="str">
        <f>IFERROR(__xludf.DUMMYFUNCTION("""COMPUTED_VALUE"""),"application/pdf")</f>
        <v>application/pdf</v>
      </c>
    </row>
    <row r="1313">
      <c r="A1313" s="156" t="str">
        <f>IFERROR(__xludf.DUMMYFUNCTION("""COMPUTED_VALUE"""),"10.2307/2096363")</f>
        <v>10.2307/2096363</v>
      </c>
      <c r="B1313" s="677" t="str">
        <f>IFERROR(__xludf.DUMMYFUNCTION("""COMPUTED_VALUE"""),"https://drive.google.com/file/d/1ZBRIboiJcvNJkaHQes2SUyzxdc-3M7a3/view?usp=drivesdk")</f>
        <v>https://drive.google.com/file/d/1ZBRIboiJcvNJkaHQes2SUyzxdc-3M7a3/view?usp=drivesdk</v>
      </c>
      <c r="C1313" s="156" t="str">
        <f>IFERROR(__xludf.DUMMYFUNCTION("""COMPUTED_VALUE"""),"10.2307--2096363.pdf")</f>
        <v>10.2307--2096363.pdf</v>
      </c>
      <c r="D1313" s="156" t="str">
        <f>IFERROR(__xludf.DUMMYFUNCTION("""COMPUTED_VALUE"""),"application/pdf")</f>
        <v>application/pdf</v>
      </c>
    </row>
    <row r="1314">
      <c r="A1314" s="156" t="str">
        <f>IFERROR(__xludf.DUMMYFUNCTION("""COMPUTED_VALUE"""),"10.1093/ptj/65.7.1034")</f>
        <v>10.1093/ptj/65.7.1034</v>
      </c>
      <c r="B1314" s="677" t="str">
        <f>IFERROR(__xludf.DUMMYFUNCTION("""COMPUTED_VALUE"""),"https://drive.google.com/file/d/1-mfV1-1-7LtD_ymHa4L9A8meO_iq-9CV/view?usp=drivesdk")</f>
        <v>https://drive.google.com/file/d/1-mfV1-1-7LtD_ymHa4L9A8meO_iq-9CV/view?usp=drivesdk</v>
      </c>
      <c r="C1314" s="156" t="str">
        <f>IFERROR(__xludf.DUMMYFUNCTION("""COMPUTED_VALUE"""),"10.1093--ptj--65.7.1034.pdf")</f>
        <v>10.1093--ptj--65.7.1034.pdf</v>
      </c>
      <c r="D1314" s="156" t="str">
        <f>IFERROR(__xludf.DUMMYFUNCTION("""COMPUTED_VALUE"""),"application/pdf")</f>
        <v>application/pdf</v>
      </c>
    </row>
    <row r="1315">
      <c r="A1315" s="156" t="str">
        <f>IFERROR(__xludf.DUMMYFUNCTION("""COMPUTED_VALUE"""),"10.1037//0021-843x.111.4.620")</f>
        <v>10.1037//0021-843x.111.4.620</v>
      </c>
      <c r="B1315" s="677" t="str">
        <f>IFERROR(__xludf.DUMMYFUNCTION("""COMPUTED_VALUE"""),"https://drive.google.com/file/d/1qD19JwWxOgtJrbj888hdQtvkc50WxKik/view?usp=drivesdk")</f>
        <v>https://drive.google.com/file/d/1qD19JwWxOgtJrbj888hdQtvkc50WxKik/view?usp=drivesdk</v>
      </c>
      <c r="C1315" s="156" t="str">
        <f>IFERROR(__xludf.DUMMYFUNCTION("""COMPUTED_VALUE"""),"10.1037----0021-843x.111.4.620.pdf")</f>
        <v>10.1037----0021-843x.111.4.620.pdf</v>
      </c>
      <c r="D1315" s="156" t="str">
        <f>IFERROR(__xludf.DUMMYFUNCTION("""COMPUTED_VALUE"""),"application/pdf")</f>
        <v>application/pdf</v>
      </c>
    </row>
    <row r="1316">
      <c r="A1316" s="156" t="str">
        <f>IFERROR(__xludf.DUMMYFUNCTION("""COMPUTED_VALUE"""),"10.1037/0021-843x.115.3.636")</f>
        <v>10.1037/0021-843x.115.3.636</v>
      </c>
      <c r="B1316" s="677" t="str">
        <f>IFERROR(__xludf.DUMMYFUNCTION("""COMPUTED_VALUE"""),"https://drive.google.com/file/d/1VstYRkLs_vHWMyJ0_FYFPw0TXdeyt03z/view?usp=drivesdk")</f>
        <v>https://drive.google.com/file/d/1VstYRkLs_vHWMyJ0_FYFPw0TXdeyt03z/view?usp=drivesdk</v>
      </c>
      <c r="C1316" s="156" t="str">
        <f>IFERROR(__xludf.DUMMYFUNCTION("""COMPUTED_VALUE"""),"10.1037--0021-843x.115.3.636.pdf")</f>
        <v>10.1037--0021-843x.115.3.636.pdf</v>
      </c>
      <c r="D1316" s="156" t="str">
        <f>IFERROR(__xludf.DUMMYFUNCTION("""COMPUTED_VALUE"""),"application/pdf")</f>
        <v>application/pdf</v>
      </c>
    </row>
    <row r="1317">
      <c r="A1317" s="156" t="str">
        <f>IFERROR(__xludf.DUMMYFUNCTION("""COMPUTED_VALUE"""),"10.1016/j.inteco.2024.100525")</f>
        <v>10.1016/j.inteco.2024.100525</v>
      </c>
      <c r="B1317" s="677" t="str">
        <f>IFERROR(__xludf.DUMMYFUNCTION("""COMPUTED_VALUE"""),"https://drive.google.com/file/d/1wEmOt7x5Pv9MsatTAfDanNliY0qJ3UXp/view?usp=drivesdk")</f>
        <v>https://drive.google.com/file/d/1wEmOt7x5Pv9MsatTAfDanNliY0qJ3UXp/view?usp=drivesdk</v>
      </c>
      <c r="C1317" s="156" t="str">
        <f>IFERROR(__xludf.DUMMYFUNCTION("""COMPUTED_VALUE"""),"10.1016--j.inteco.2024.100525.pdf")</f>
        <v>10.1016--j.inteco.2024.100525.pdf</v>
      </c>
      <c r="D1317" s="156" t="str">
        <f>IFERROR(__xludf.DUMMYFUNCTION("""COMPUTED_VALUE"""),"application/pdf")</f>
        <v>application/pdf</v>
      </c>
    </row>
    <row r="1318">
      <c r="A1318" s="156" t="str">
        <f>IFERROR(__xludf.DUMMYFUNCTION("""COMPUTED_VALUE"""),"10.1016/j.cognition.2014.12.001")</f>
        <v>10.1016/j.cognition.2014.12.001</v>
      </c>
      <c r="B1318" s="677" t="str">
        <f>IFERROR(__xludf.DUMMYFUNCTION("""COMPUTED_VALUE"""),"https://drive.google.com/file/d/1lfCch3QzOUDKCMr20GGdq4Az5l52IHw_/view?usp=drivesdk")</f>
        <v>https://drive.google.com/file/d/1lfCch3QzOUDKCMr20GGdq4Az5l52IHw_/view?usp=drivesdk</v>
      </c>
      <c r="C1318" s="156" t="str">
        <f>IFERROR(__xludf.DUMMYFUNCTION("""COMPUTED_VALUE"""),"10.1016--j.cognition.2014.12.001.pdf")</f>
        <v>10.1016--j.cognition.2014.12.001.pdf</v>
      </c>
      <c r="D1318" s="156" t="str">
        <f>IFERROR(__xludf.DUMMYFUNCTION("""COMPUTED_VALUE"""),"application/pdf")</f>
        <v>application/pdf</v>
      </c>
    </row>
    <row r="1319">
      <c r="A1319" s="156" t="str">
        <f>IFERROR(__xludf.DUMMYFUNCTION("""COMPUTED_VALUE"""),"kessler_2021")</f>
        <v>kessler_2021</v>
      </c>
      <c r="B1319" s="677" t="str">
        <f>IFERROR(__xludf.DUMMYFUNCTION("""COMPUTED_VALUE"""),"https://drive.google.com/file/d/1HWm_w6YekPul5ovas5Qo4pPAlIx_0O9Y/view?usp=drivesdk")</f>
        <v>https://drive.google.com/file/d/1HWm_w6YekPul5ovas5Qo4pPAlIx_0O9Y/view?usp=drivesdk</v>
      </c>
      <c r="C1319" s="156" t="str">
        <f>IFERROR(__xludf.DUMMYFUNCTION("""COMPUTED_VALUE"""),"kessler_2021.pdf")</f>
        <v>kessler_2021.pdf</v>
      </c>
      <c r="D1319" s="156" t="str">
        <f>IFERROR(__xludf.DUMMYFUNCTION("""COMPUTED_VALUE"""),"application/pdf")</f>
        <v>application/pdf</v>
      </c>
    </row>
    <row r="1320">
      <c r="A1320" s="156" t="str">
        <f>IFERROR(__xludf.DUMMYFUNCTION("""COMPUTED_VALUE"""),"10.1177/0022343398035003003")</f>
        <v>10.1177/0022343398035003003</v>
      </c>
      <c r="B1320" s="677" t="str">
        <f>IFERROR(__xludf.DUMMYFUNCTION("""COMPUTED_VALUE"""),"https://drive.google.com/file/d/1qUbMPC11wkQ35T92TpesLnKKmlSMPwLj/view?usp=drivesdk")</f>
        <v>https://drive.google.com/file/d/1qUbMPC11wkQ35T92TpesLnKKmlSMPwLj/view?usp=drivesdk</v>
      </c>
      <c r="C1320" s="156" t="str">
        <f>IFERROR(__xludf.DUMMYFUNCTION("""COMPUTED_VALUE"""),"10.1177--0022343398035003003.pdf")</f>
        <v>10.1177--0022343398035003003.pdf</v>
      </c>
      <c r="D1320" s="156" t="str">
        <f>IFERROR(__xludf.DUMMYFUNCTION("""COMPUTED_VALUE"""),"application/pdf")</f>
        <v>application/pdf</v>
      </c>
    </row>
    <row r="1321">
      <c r="A1321" s="156" t="str">
        <f>IFERROR(__xludf.DUMMYFUNCTION("""COMPUTED_VALUE"""),"10.1177/0022343308096157")</f>
        <v>10.1177/0022343308096157</v>
      </c>
      <c r="B1321" s="677" t="str">
        <f>IFERROR(__xludf.DUMMYFUNCTION("""COMPUTED_VALUE"""),"https://drive.google.com/file/d/1h6u2VQ0LR0hPmmdn04oQT-pK3GBBNrdW/view?usp=drivesdk")</f>
        <v>https://drive.google.com/file/d/1h6u2VQ0LR0hPmmdn04oQT-pK3GBBNrdW/view?usp=drivesdk</v>
      </c>
      <c r="C1321" s="156" t="str">
        <f>IFERROR(__xludf.DUMMYFUNCTION("""COMPUTED_VALUE"""),"10.1177--0022343308096157.pdf")</f>
        <v>10.1177--0022343308096157.pdf</v>
      </c>
      <c r="D1321" s="156" t="str">
        <f>IFERROR(__xludf.DUMMYFUNCTION("""COMPUTED_VALUE"""),"application/pdf")</f>
        <v>application/pdf</v>
      </c>
    </row>
    <row r="1322">
      <c r="A1322" s="156" t="str">
        <f>IFERROR(__xludf.DUMMYFUNCTION("""COMPUTED_VALUE"""),"10.1186/gb-2010-11-s1-p37")</f>
        <v>10.1186/gb-2010-11-s1-p37</v>
      </c>
      <c r="B1322" s="677" t="str">
        <f>IFERROR(__xludf.DUMMYFUNCTION("""COMPUTED_VALUE"""),"https://drive.google.com/file/d/1dBJyDWqgZiLyD6LwmisNe4nXwuBfOhpL/view?usp=drivesdk")</f>
        <v>https://drive.google.com/file/d/1dBJyDWqgZiLyD6LwmisNe4nXwuBfOhpL/view?usp=drivesdk</v>
      </c>
      <c r="C1322" s="156" t="str">
        <f>IFERROR(__xludf.DUMMYFUNCTION("""COMPUTED_VALUE"""),"10.1186--gb-2010-11-s1-p37.pdf")</f>
        <v>10.1186--gb-2010-11-s1-p37.pdf</v>
      </c>
      <c r="D1322" s="156" t="str">
        <f>IFERROR(__xludf.DUMMYFUNCTION("""COMPUTED_VALUE"""),"application/pdf")</f>
        <v>application/pdf</v>
      </c>
    </row>
    <row r="1323">
      <c r="A1323" s="156" t="str">
        <f>IFERROR(__xludf.DUMMYFUNCTION("""COMPUTED_VALUE"""),"10.7554/elife.11566.002")</f>
        <v>10.7554/elife.11566.002</v>
      </c>
      <c r="B1323" s="677" t="str">
        <f>IFERROR(__xludf.DUMMYFUNCTION("""COMPUTED_VALUE"""),"https://drive.google.com/file/d/1lmPuhIbcH-1rcIDjqkw34HcSU2O6c2ue/view?usp=drivesdk")</f>
        <v>https://drive.google.com/file/d/1lmPuhIbcH-1rcIDjqkw34HcSU2O6c2ue/view?usp=drivesdk</v>
      </c>
      <c r="C1323" s="156" t="str">
        <f>IFERROR(__xludf.DUMMYFUNCTION("""COMPUTED_VALUE"""),"10.7554--elife.11566.002.pdf")</f>
        <v>10.7554--elife.11566.002.pdf</v>
      </c>
      <c r="D1323" s="156" t="str">
        <f>IFERROR(__xludf.DUMMYFUNCTION("""COMPUTED_VALUE"""),"application/pdf")</f>
        <v>application/pdf</v>
      </c>
    </row>
    <row r="1324">
      <c r="A1324" s="156" t="str">
        <f>IFERROR(__xludf.DUMMYFUNCTION("""COMPUTED_VALUE"""),"10.1177/0093854807300758")</f>
        <v>10.1177/0093854807300758</v>
      </c>
      <c r="B1324" s="677" t="str">
        <f>IFERROR(__xludf.DUMMYFUNCTION("""COMPUTED_VALUE"""),"https://drive.google.com/file/d/1uqjSAQTztfrE6WhTBJq5beR6Eq5T80AH/view?usp=drivesdk")</f>
        <v>https://drive.google.com/file/d/1uqjSAQTztfrE6WhTBJq5beR6Eq5T80AH/view?usp=drivesdk</v>
      </c>
      <c r="C1324" s="156" t="str">
        <f>IFERROR(__xludf.DUMMYFUNCTION("""COMPUTED_VALUE"""),"10.1177--0093854807300758.pdf")</f>
        <v>10.1177--0093854807300758.pdf</v>
      </c>
      <c r="D1324" s="156" t="str">
        <f>IFERROR(__xludf.DUMMYFUNCTION("""COMPUTED_VALUE"""),"application/pdf")</f>
        <v>application/pdf</v>
      </c>
    </row>
    <row r="1325">
      <c r="A1325" s="156" t="str">
        <f>IFERROR(__xludf.DUMMYFUNCTION("""COMPUTED_VALUE"""),"10.1016/0305-4179(94)90016-7")</f>
        <v>10.1016/0305-4179(94)90016-7</v>
      </c>
      <c r="B1325" s="677" t="str">
        <f>IFERROR(__xludf.DUMMYFUNCTION("""COMPUTED_VALUE"""),"https://drive.google.com/file/d/14xPFZ4HHJvQfdaqlQgpTJvulMISesY6F/view?usp=drivesdk")</f>
        <v>https://drive.google.com/file/d/14xPFZ4HHJvQfdaqlQgpTJvulMISesY6F/view?usp=drivesdk</v>
      </c>
      <c r="C1325" s="156" t="str">
        <f>IFERROR(__xludf.DUMMYFUNCTION("""COMPUTED_VALUE"""),"10.1016--0305-4179(94)90016-7.pdf")</f>
        <v>10.1016--0305-4179(94)90016-7.pdf</v>
      </c>
      <c r="D1325" s="156" t="str">
        <f>IFERROR(__xludf.DUMMYFUNCTION("""COMPUTED_VALUE"""),"application/pdf")</f>
        <v>application/pdf</v>
      </c>
    </row>
    <row r="1326">
      <c r="A1326" s="156" t="str">
        <f>IFERROR(__xludf.DUMMYFUNCTION("""COMPUTED_VALUE"""),"10.3390/ebj6010008")</f>
        <v>10.3390/ebj6010008</v>
      </c>
      <c r="B1326" s="677" t="str">
        <f>IFERROR(__xludf.DUMMYFUNCTION("""COMPUTED_VALUE"""),"https://drive.google.com/file/d/1j4hujUpxDdiZOOz_iIcSNsQxGnF8LS3U/view?usp=drivesdk")</f>
        <v>https://drive.google.com/file/d/1j4hujUpxDdiZOOz_iIcSNsQxGnF8LS3U/view?usp=drivesdk</v>
      </c>
      <c r="C1326" s="156" t="str">
        <f>IFERROR(__xludf.DUMMYFUNCTION("""COMPUTED_VALUE"""),"10.3390--ebj6010008.pdf")</f>
        <v>10.3390--ebj6010008.pdf</v>
      </c>
      <c r="D1326" s="156" t="str">
        <f>IFERROR(__xludf.DUMMYFUNCTION("""COMPUTED_VALUE"""),"application/pdf")</f>
        <v>application/pdf</v>
      </c>
    </row>
    <row r="1327">
      <c r="A1327" s="156" t="str">
        <f>IFERROR(__xludf.DUMMYFUNCTION("""COMPUTED_VALUE"""),"10.1002/jclp.10207")</f>
        <v>10.1002/jclp.10207</v>
      </c>
      <c r="B1327" s="677" t="str">
        <f>IFERROR(__xludf.DUMMYFUNCTION("""COMPUTED_VALUE"""),"https://drive.google.com/file/d/1HQul4SsDY7kfhjNRo0e8g6nXnnrbKsyY/view?usp=drivesdk")</f>
        <v>https://drive.google.com/file/d/1HQul4SsDY7kfhjNRo0e8g6nXnnrbKsyY/view?usp=drivesdk</v>
      </c>
      <c r="C1327" s="156" t="str">
        <f>IFERROR(__xludf.DUMMYFUNCTION("""COMPUTED_VALUE"""),"10.1002--jclp.10207.pdf")</f>
        <v>10.1002--jclp.10207.pdf</v>
      </c>
      <c r="D1327" s="156" t="str">
        <f>IFERROR(__xludf.DUMMYFUNCTION("""COMPUTED_VALUE"""),"application/pdf")</f>
        <v>application/pdf</v>
      </c>
    </row>
    <row r="1328">
      <c r="A1328" s="156" t="str">
        <f>IFERROR(__xludf.DUMMYFUNCTION("""COMPUTED_VALUE"""),"10.1097/01.nmd.0000254675.52952.e5")</f>
        <v>10.1097/01.nmd.0000254675.52952.e5</v>
      </c>
      <c r="B1328" s="677" t="str">
        <f>IFERROR(__xludf.DUMMYFUNCTION("""COMPUTED_VALUE"""),"https://drive.google.com/file/d/1oVe6PPMxKaflBLEv7M_Old2XSyuAAwUe/view?usp=drivesdk")</f>
        <v>https://drive.google.com/file/d/1oVe6PPMxKaflBLEv7M_Old2XSyuAAwUe/view?usp=drivesdk</v>
      </c>
      <c r="C1328" s="156" t="str">
        <f>IFERROR(__xludf.DUMMYFUNCTION("""COMPUTED_VALUE"""),"10.1097--01.nmd.0000254675.52952.e5.pdf")</f>
        <v>10.1097--01.nmd.0000254675.52952.e5.pdf</v>
      </c>
      <c r="D1328" s="156" t="str">
        <f>IFERROR(__xludf.DUMMYFUNCTION("""COMPUTED_VALUE"""),"application/pdf")</f>
        <v>application/pdf</v>
      </c>
    </row>
    <row r="1329">
      <c r="A1329" s="156" t="str">
        <f>IFERROR(__xludf.DUMMYFUNCTION("""COMPUTED_VALUE"""),"10.1016/j.neuroimage.2021.118247")</f>
        <v>10.1016/j.neuroimage.2021.118247</v>
      </c>
      <c r="B1329" s="677" t="str">
        <f>IFERROR(__xludf.DUMMYFUNCTION("""COMPUTED_VALUE"""),"https://drive.google.com/file/d/1XxblkueQgl6YsWD8BaUFT6_Y-LKwY6AV/view?usp=drivesdk")</f>
        <v>https://drive.google.com/file/d/1XxblkueQgl6YsWD8BaUFT6_Y-LKwY6AV/view?usp=drivesdk</v>
      </c>
      <c r="C1329" s="156" t="str">
        <f>IFERROR(__xludf.DUMMYFUNCTION("""COMPUTED_VALUE"""),"10.1016--j.neuroimage.2021.118247.pdf")</f>
        <v>10.1016--j.neuroimage.2021.118247.pdf</v>
      </c>
      <c r="D1329" s="156" t="str">
        <f>IFERROR(__xludf.DUMMYFUNCTION("""COMPUTED_VALUE"""),"application/pdf")</f>
        <v>application/pdf</v>
      </c>
    </row>
    <row r="1330">
      <c r="A1330" s="156" t="str">
        <f>IFERROR(__xludf.DUMMYFUNCTION("""COMPUTED_VALUE"""),"10.2139/ssrn.3680648")</f>
        <v>10.2139/ssrn.3680648</v>
      </c>
      <c r="B1330" s="677" t="str">
        <f>IFERROR(__xludf.DUMMYFUNCTION("""COMPUTED_VALUE"""),"https://drive.google.com/file/d/1izPHhUHB0NYR95DM9dudqdToqve9cScm/view?usp=drivesdk")</f>
        <v>https://drive.google.com/file/d/1izPHhUHB0NYR95DM9dudqdToqve9cScm/view?usp=drivesdk</v>
      </c>
      <c r="C1330" s="156" t="str">
        <f>IFERROR(__xludf.DUMMYFUNCTION("""COMPUTED_VALUE"""),"10.2139--ssrn.3680648.pdf")</f>
        <v>10.2139--ssrn.3680648.pdf</v>
      </c>
      <c r="D1330" s="156" t="str">
        <f>IFERROR(__xludf.DUMMYFUNCTION("""COMPUTED_VALUE"""),"application/pdf")</f>
        <v>application/pdf</v>
      </c>
    </row>
    <row r="1331">
      <c r="A1331" s="156" t="str">
        <f>IFERROR(__xludf.DUMMYFUNCTION("""COMPUTED_VALUE"""),"mays_2013")</f>
        <v>mays_2013</v>
      </c>
      <c r="B1331" s="677" t="str">
        <f>IFERROR(__xludf.DUMMYFUNCTION("""COMPUTED_VALUE"""),"https://drive.google.com/file/d/1cV_YaRdgiWnpFXbjHG5VY2xsHhOD81BN/view?usp=drivesdk")</f>
        <v>https://drive.google.com/file/d/1cV_YaRdgiWnpFXbjHG5VY2xsHhOD81BN/view?usp=drivesdk</v>
      </c>
      <c r="C1331" s="156" t="str">
        <f>IFERROR(__xludf.DUMMYFUNCTION("""COMPUTED_VALUE"""),"mays_2013.pdf")</f>
        <v>mays_2013.pdf</v>
      </c>
      <c r="D1331" s="156" t="str">
        <f>IFERROR(__xludf.DUMMYFUNCTION("""COMPUTED_VALUE"""),"application/pdf")</f>
        <v>application/pdf</v>
      </c>
    </row>
    <row r="1332">
      <c r="A1332" s="156" t="str">
        <f>IFERROR(__xludf.DUMMYFUNCTION("""COMPUTED_VALUE"""),"10.1037/pspa0000032")</f>
        <v>10.1037/pspa0000032</v>
      </c>
      <c r="B1332" s="677" t="str">
        <f>IFERROR(__xludf.DUMMYFUNCTION("""COMPUTED_VALUE"""),"https://drive.google.com/file/d/1odsdUkdbYWGK_Y3-6GwgXk3fruzb8K5B/view?usp=drivesdk")</f>
        <v>https://drive.google.com/file/d/1odsdUkdbYWGK_Y3-6GwgXk3fruzb8K5B/view?usp=drivesdk</v>
      </c>
      <c r="C1332" s="156" t="str">
        <f>IFERROR(__xludf.DUMMYFUNCTION("""COMPUTED_VALUE"""),"10.1037--pspa0000032.pdf")</f>
        <v>10.1037--pspa0000032.pdf</v>
      </c>
      <c r="D1332" s="156" t="str">
        <f>IFERROR(__xludf.DUMMYFUNCTION("""COMPUTED_VALUE"""),"application/pdf")</f>
        <v>application/pdf</v>
      </c>
    </row>
    <row r="1333">
      <c r="A1333" s="156" t="str">
        <f>IFERROR(__xludf.DUMMYFUNCTION("""COMPUTED_VALUE"""),"10.1017/s1930297500007774")</f>
        <v>10.1017/s1930297500007774</v>
      </c>
      <c r="B1333" s="677" t="str">
        <f>IFERROR(__xludf.DUMMYFUNCTION("""COMPUTED_VALUE"""),"https://drive.google.com/file/d/1-LOs6iJWqH6J7LkZbxx9IKK68sIQYm15/view?usp=drivesdk")</f>
        <v>https://drive.google.com/file/d/1-LOs6iJWqH6J7LkZbxx9IKK68sIQYm15/view?usp=drivesdk</v>
      </c>
      <c r="C1333" s="156" t="str">
        <f>IFERROR(__xludf.DUMMYFUNCTION("""COMPUTED_VALUE"""),"10.1017--s1930297500007774.pdf")</f>
        <v>10.1017--s1930297500007774.pdf</v>
      </c>
      <c r="D1333" s="156" t="str">
        <f>IFERROR(__xludf.DUMMYFUNCTION("""COMPUTED_VALUE"""),"application/pdf")</f>
        <v>application/pdf</v>
      </c>
    </row>
    <row r="1334">
      <c r="A1334" s="156" t="str">
        <f>IFERROR(__xludf.DUMMYFUNCTION("""COMPUTED_VALUE"""),"10.1038/ng1808")</f>
        <v>10.1038/ng1808</v>
      </c>
      <c r="B1334" s="677" t="str">
        <f>IFERROR(__xludf.DUMMYFUNCTION("""COMPUTED_VALUE"""),"https://drive.google.com/file/d/1HQQqaXQ2aDOZT_SNuEKfrgklxfV96f2p/view?usp=drivesdk")</f>
        <v>https://drive.google.com/file/d/1HQQqaXQ2aDOZT_SNuEKfrgklxfV96f2p/view?usp=drivesdk</v>
      </c>
      <c r="C1334" s="156" t="str">
        <f>IFERROR(__xludf.DUMMYFUNCTION("""COMPUTED_VALUE"""),"10.1038--ng1808.pdf")</f>
        <v>10.1038--ng1808.pdf</v>
      </c>
      <c r="D1334" s="156" t="str">
        <f>IFERROR(__xludf.DUMMYFUNCTION("""COMPUTED_VALUE"""),"application/pdf")</f>
        <v>application/pdf</v>
      </c>
    </row>
    <row r="1335">
      <c r="A1335" s="156" t="str">
        <f>IFERROR(__xludf.DUMMYFUNCTION("""COMPUTED_VALUE"""),"10.1002/pros.21320")</f>
        <v>10.1002/pros.21320</v>
      </c>
      <c r="B1335" s="677" t="str">
        <f>IFERROR(__xludf.DUMMYFUNCTION("""COMPUTED_VALUE"""),"https://drive.google.com/file/d/1prOSvEeiUcrPtWVtWvPaBacGuq5Uw8Qi/view?usp=drivesdk")</f>
        <v>https://drive.google.com/file/d/1prOSvEeiUcrPtWVtWvPaBacGuq5Uw8Qi/view?usp=drivesdk</v>
      </c>
      <c r="C1335" s="156" t="str">
        <f>IFERROR(__xludf.DUMMYFUNCTION("""COMPUTED_VALUE"""),"10.1002--pros.21320.pdf")</f>
        <v>10.1002--pros.21320.pdf</v>
      </c>
      <c r="D1335" s="156" t="str">
        <f>IFERROR(__xludf.DUMMYFUNCTION("""COMPUTED_VALUE"""),"application/pdf")</f>
        <v>application/pdf</v>
      </c>
    </row>
    <row r="1336">
      <c r="A1336" s="156" t="str">
        <f>IFERROR(__xludf.DUMMYFUNCTION("""COMPUTED_VALUE"""),"10.1016/s0005-7894(03)80035-7")</f>
        <v>10.1016/s0005-7894(03)80035-7</v>
      </c>
      <c r="B1336" s="677" t="str">
        <f>IFERROR(__xludf.DUMMYFUNCTION("""COMPUTED_VALUE"""),"https://drive.google.com/file/d/1A5tjQy7ttMX3sBzRYaD1uCZ6TKDCsqUH/view?usp=drivesdk")</f>
        <v>https://drive.google.com/file/d/1A5tjQy7ttMX3sBzRYaD1uCZ6TKDCsqUH/view?usp=drivesdk</v>
      </c>
      <c r="C1336" s="156" t="str">
        <f>IFERROR(__xludf.DUMMYFUNCTION("""COMPUTED_VALUE"""),"10.1016--s0005-7894(03)80035-7.pdf")</f>
        <v>10.1016--s0005-7894(03)80035-7.pdf</v>
      </c>
      <c r="D1336" s="156" t="str">
        <f>IFERROR(__xludf.DUMMYFUNCTION("""COMPUTED_VALUE"""),"application/pdf")</f>
        <v>application/pdf</v>
      </c>
    </row>
    <row r="1337">
      <c r="A1337" s="156" t="str">
        <f>IFERROR(__xludf.DUMMYFUNCTION("""COMPUTED_VALUE"""),"10.1037/fam0000147")</f>
        <v>10.1037/fam0000147</v>
      </c>
      <c r="B1337" s="677" t="str">
        <f>IFERROR(__xludf.DUMMYFUNCTION("""COMPUTED_VALUE"""),"https://drive.google.com/file/d/1fmq7pBZR5fn4yvsXd6FhDdYn8kchkDm4/view?usp=drivesdk")</f>
        <v>https://drive.google.com/file/d/1fmq7pBZR5fn4yvsXd6FhDdYn8kchkDm4/view?usp=drivesdk</v>
      </c>
      <c r="C1337" s="156" t="str">
        <f>IFERROR(__xludf.DUMMYFUNCTION("""COMPUTED_VALUE"""),"10.1037--fam0000147.pdf")</f>
        <v>10.1037--fam0000147.pdf</v>
      </c>
      <c r="D1337" s="156" t="str">
        <f>IFERROR(__xludf.DUMMYFUNCTION("""COMPUTED_VALUE"""),"application/pdf")</f>
        <v>application/pdf</v>
      </c>
    </row>
    <row r="1338">
      <c r="A1338" s="156" t="str">
        <f>IFERROR(__xludf.DUMMYFUNCTION("""COMPUTED_VALUE"""),"10.1057/palgrave.bm.2540112")</f>
        <v>10.1057/palgrave.bm.2540112</v>
      </c>
      <c r="B1338" s="677" t="str">
        <f>IFERROR(__xludf.DUMMYFUNCTION("""COMPUTED_VALUE"""),"https://drive.google.com/file/d/1x8ChbGRnQosFWpLO6ivg0Gru6QydF7SG/view?usp=drivesdk")</f>
        <v>https://drive.google.com/file/d/1x8ChbGRnQosFWpLO6ivg0Gru6QydF7SG/view?usp=drivesdk</v>
      </c>
      <c r="C1338" s="156" t="str">
        <f>IFERROR(__xludf.DUMMYFUNCTION("""COMPUTED_VALUE"""),"10.1057--palgrave.bm.2540112.pdf")</f>
        <v>10.1057--palgrave.bm.2540112.pdf</v>
      </c>
      <c r="D1338" s="156" t="str">
        <f>IFERROR(__xludf.DUMMYFUNCTION("""COMPUTED_VALUE"""),"application/pdf")</f>
        <v>application/pdf</v>
      </c>
    </row>
    <row r="1339">
      <c r="A1339" s="156" t="str">
        <f>IFERROR(__xludf.DUMMYFUNCTION("""COMPUTED_VALUE"""),"10.1504/ijesb.2007.014983")</f>
        <v>10.1504/ijesb.2007.014983</v>
      </c>
      <c r="B1339" s="677" t="str">
        <f>IFERROR(__xludf.DUMMYFUNCTION("""COMPUTED_VALUE"""),"https://drive.google.com/file/d/17sVwjrDS913Gts1JisHt0r2QxjDzr5lB/view?usp=drivesdk")</f>
        <v>https://drive.google.com/file/d/17sVwjrDS913Gts1JisHt0r2QxjDzr5lB/view?usp=drivesdk</v>
      </c>
      <c r="C1339" s="156" t="str">
        <f>IFERROR(__xludf.DUMMYFUNCTION("""COMPUTED_VALUE"""),"10.1504--ijesb.2007.014983.pdf")</f>
        <v>10.1504--ijesb.2007.014983.pdf</v>
      </c>
      <c r="D1339" s="156" t="str">
        <f>IFERROR(__xludf.DUMMYFUNCTION("""COMPUTED_VALUE"""),"application/pdf")</f>
        <v>application/pdf</v>
      </c>
    </row>
    <row r="1340">
      <c r="A1340" s="156" t="str">
        <f>IFERROR(__xludf.DUMMYFUNCTION("""COMPUTED_VALUE"""),"10.3389/fpsyg.2021.618343")</f>
        <v>10.3389/fpsyg.2021.618343</v>
      </c>
      <c r="B1340" s="677" t="str">
        <f>IFERROR(__xludf.DUMMYFUNCTION("""COMPUTED_VALUE"""),"https://drive.google.com/file/d/1OHrkMTqW-CDqr555bgbohaOi5pda3ONA/view?usp=drivesdk")</f>
        <v>https://drive.google.com/file/d/1OHrkMTqW-CDqr555bgbohaOi5pda3ONA/view?usp=drivesdk</v>
      </c>
      <c r="C1340" s="156" t="str">
        <f>IFERROR(__xludf.DUMMYFUNCTION("""COMPUTED_VALUE"""),"10.3389--fpsyg.2021.618343.pdf")</f>
        <v>10.3389--fpsyg.2021.618343.pdf</v>
      </c>
      <c r="D1340" s="156" t="str">
        <f>IFERROR(__xludf.DUMMYFUNCTION("""COMPUTED_VALUE"""),"application/pdf")</f>
        <v>application/pdf</v>
      </c>
    </row>
    <row r="1341">
      <c r="A1341" s="156" t="str">
        <f>IFERROR(__xludf.DUMMYFUNCTION("""COMPUTED_VALUE"""),"10.1300/j075v10n01_07")</f>
        <v>10.1300/j075v10n01_07</v>
      </c>
      <c r="B1341" s="677" t="str">
        <f>IFERROR(__xludf.DUMMYFUNCTION("""COMPUTED_VALUE"""),"https://drive.google.com/file/d/1Sa8c1fB3Y2JY9ckKOsg1YCH2Mp5uSOKG/view?usp=drivesdk")</f>
        <v>https://drive.google.com/file/d/1Sa8c1fB3Y2JY9ckKOsg1YCH2Mp5uSOKG/view?usp=drivesdk</v>
      </c>
      <c r="C1341" s="156" t="str">
        <f>IFERROR(__xludf.DUMMYFUNCTION("""COMPUTED_VALUE"""),"10.1300--j075v10n01_07.pdf")</f>
        <v>10.1300--j075v10n01_07.pdf</v>
      </c>
      <c r="D1341" s="156" t="str">
        <f>IFERROR(__xludf.DUMMYFUNCTION("""COMPUTED_VALUE"""),"application/pdf")</f>
        <v>application/pdf</v>
      </c>
    </row>
    <row r="1342">
      <c r="A1342" s="156" t="str">
        <f>IFERROR(__xludf.DUMMYFUNCTION("""COMPUTED_VALUE"""),"10.1300/j075v12n01_04")</f>
        <v>10.1300/j075v12n01_04</v>
      </c>
      <c r="B1342" s="677" t="str">
        <f>IFERROR(__xludf.DUMMYFUNCTION("""COMPUTED_VALUE"""),"https://drive.google.com/file/d/1-DrIsl5xE-ma7IF983DqJ9ziYsMByA9u/view?usp=drivesdk")</f>
        <v>https://drive.google.com/file/d/1-DrIsl5xE-ma7IF983DqJ9ziYsMByA9u/view?usp=drivesdk</v>
      </c>
      <c r="C1342" s="156" t="str">
        <f>IFERROR(__xludf.DUMMYFUNCTION("""COMPUTED_VALUE"""),"10.1300--j075v12n01_04.pdf")</f>
        <v>10.1300--j075v12n01_04.pdf</v>
      </c>
      <c r="D1342" s="156" t="str">
        <f>IFERROR(__xludf.DUMMYFUNCTION("""COMPUTED_VALUE"""),"application/pdf")</f>
        <v>application/pdf</v>
      </c>
    </row>
    <row r="1343">
      <c r="A1343" s="156" t="str">
        <f>IFERROR(__xludf.DUMMYFUNCTION("""COMPUTED_VALUE"""),"10.1016/j.visres.2005.11.013")</f>
        <v>10.1016/j.visres.2005.11.013</v>
      </c>
      <c r="B1343" s="677" t="str">
        <f>IFERROR(__xludf.DUMMYFUNCTION("""COMPUTED_VALUE"""),"https://drive.google.com/file/d/1jrq_rB-Oin-Vjz0-Heyq3RdGFIwfdpVX/view?usp=drivesdk")</f>
        <v>https://drive.google.com/file/d/1jrq_rB-Oin-Vjz0-Heyq3RdGFIwfdpVX/view?usp=drivesdk</v>
      </c>
      <c r="C1343" s="156" t="str">
        <f>IFERROR(__xludf.DUMMYFUNCTION("""COMPUTED_VALUE"""),"10.1016--j.visres.2005.11.013.pdf")</f>
        <v>10.1016--j.visres.2005.11.013.pdf</v>
      </c>
      <c r="D1343" s="156" t="str">
        <f>IFERROR(__xludf.DUMMYFUNCTION("""COMPUTED_VALUE"""),"application/pdf")</f>
        <v>application/pdf</v>
      </c>
    </row>
    <row r="1344">
      <c r="A1344" s="156" t="str">
        <f>IFERROR(__xludf.DUMMYFUNCTION("""COMPUTED_VALUE"""),"10.3389/fnhum.2014.00019")</f>
        <v>10.3389/fnhum.2014.00019</v>
      </c>
      <c r="B1344" s="677" t="str">
        <f>IFERROR(__xludf.DUMMYFUNCTION("""COMPUTED_VALUE"""),"https://drive.google.com/file/d/1YPe33ofHhAUwjKqWyKcx7n5n-dL3gHG4/view?usp=drivesdk")</f>
        <v>https://drive.google.com/file/d/1YPe33ofHhAUwjKqWyKcx7n5n-dL3gHG4/view?usp=drivesdk</v>
      </c>
      <c r="C1344" s="156" t="str">
        <f>IFERROR(__xludf.DUMMYFUNCTION("""COMPUTED_VALUE"""),"10.3389--fnhum.2014.00019.pdf")</f>
        <v>10.3389--fnhum.2014.00019.pdf</v>
      </c>
      <c r="D1344" s="156" t="str">
        <f>IFERROR(__xludf.DUMMYFUNCTION("""COMPUTED_VALUE"""),"application/pdf")</f>
        <v>application/pdf</v>
      </c>
    </row>
    <row r="1345">
      <c r="A1345" s="156" t="str">
        <f>IFERROR(__xludf.DUMMYFUNCTION("""COMPUTED_VALUE"""),"10.1016/j.cortex.2020.12.017")</f>
        <v>10.1016/j.cortex.2020.12.017</v>
      </c>
      <c r="B1345" s="677" t="str">
        <f>IFERROR(__xludf.DUMMYFUNCTION("""COMPUTED_VALUE"""),"https://drive.google.com/file/d/10bfFtsRpVGs1UGeHloAJRS0Qkl9gb2u5/view?usp=drivesdk")</f>
        <v>https://drive.google.com/file/d/10bfFtsRpVGs1UGeHloAJRS0Qkl9gb2u5/view?usp=drivesdk</v>
      </c>
      <c r="C1345" s="156" t="str">
        <f>IFERROR(__xludf.DUMMYFUNCTION("""COMPUTED_VALUE"""),"10.1016--j.cortex.2020.12.017.pdf")</f>
        <v>10.1016--j.cortex.2020.12.017.pdf</v>
      </c>
      <c r="D1345" s="156" t="str">
        <f>IFERROR(__xludf.DUMMYFUNCTION("""COMPUTED_VALUE"""),"application/pdf")</f>
        <v>application/pdf</v>
      </c>
    </row>
    <row r="1346">
      <c r="A1346" s="156" t="str">
        <f>IFERROR(__xludf.DUMMYFUNCTION("""COMPUTED_VALUE"""),"10.1038/s41598-022-04997-3")</f>
        <v>10.1038/s41598-022-04997-3</v>
      </c>
      <c r="B1346" s="677" t="str">
        <f>IFERROR(__xludf.DUMMYFUNCTION("""COMPUTED_VALUE"""),"https://drive.google.com/file/d/1jwFLKdF0byi7hon5GCbVvBleRSu-vK6j/view?usp=drivesdk")</f>
        <v>https://drive.google.com/file/d/1jwFLKdF0byi7hon5GCbVvBleRSu-vK6j/view?usp=drivesdk</v>
      </c>
      <c r="C1346" s="156" t="str">
        <f>IFERROR(__xludf.DUMMYFUNCTION("""COMPUTED_VALUE"""),"10.1038--s41598-022-04997-3.pdf")</f>
        <v>10.1038--s41598-022-04997-3.pdf</v>
      </c>
      <c r="D1346" s="156" t="str">
        <f>IFERROR(__xludf.DUMMYFUNCTION("""COMPUTED_VALUE"""),"application/pdf")</f>
        <v>application/pdf</v>
      </c>
    </row>
    <row r="1347">
      <c r="A1347" s="156" t="str">
        <f>IFERROR(__xludf.DUMMYFUNCTION("""COMPUTED_VALUE"""),"10.1093/schbul/sby017.650")</f>
        <v>10.1093/schbul/sby017.650</v>
      </c>
      <c r="B1347" s="677" t="str">
        <f>IFERROR(__xludf.DUMMYFUNCTION("""COMPUTED_VALUE"""),"https://drive.google.com/file/d/11ogde26aroINSig4eTT9lBULIn1KJP76/view?usp=drivesdk")</f>
        <v>https://drive.google.com/file/d/11ogde26aroINSig4eTT9lBULIn1KJP76/view?usp=drivesdk</v>
      </c>
      <c r="C1347" s="156" t="str">
        <f>IFERROR(__xludf.DUMMYFUNCTION("""COMPUTED_VALUE"""),"10.1093--schbul--sby017.650.pdf")</f>
        <v>10.1093--schbul--sby017.650.pdf</v>
      </c>
      <c r="D1347" s="156" t="str">
        <f>IFERROR(__xludf.DUMMYFUNCTION("""COMPUTED_VALUE"""),"application/pdf")</f>
        <v>application/pdf</v>
      </c>
    </row>
    <row r="1348">
      <c r="A1348" s="156" t="str">
        <f>IFERROR(__xludf.DUMMYFUNCTION("""COMPUTED_VALUE"""),"10.1177/074171367102100201")</f>
        <v>10.1177/074171367102100201</v>
      </c>
      <c r="B1348" s="677" t="str">
        <f>IFERROR(__xludf.DUMMYFUNCTION("""COMPUTED_VALUE"""),"https://drive.google.com/file/d/1w2s1nlT6t57-GqT3Tqhw810u0jmjYutX/view?usp=drivesdk")</f>
        <v>https://drive.google.com/file/d/1w2s1nlT6t57-GqT3Tqhw810u0jmjYutX/view?usp=drivesdk</v>
      </c>
      <c r="C1348" s="156" t="str">
        <f>IFERROR(__xludf.DUMMYFUNCTION("""COMPUTED_VALUE"""),"10.1177--074171367102100201.pdf")</f>
        <v>10.1177--074171367102100201.pdf</v>
      </c>
      <c r="D1348" s="156" t="str">
        <f>IFERROR(__xludf.DUMMYFUNCTION("""COMPUTED_VALUE"""),"application/pdf")</f>
        <v>application/pdf</v>
      </c>
    </row>
    <row r="1349">
      <c r="A1349" s="156" t="str">
        <f>IFERROR(__xludf.DUMMYFUNCTION("""COMPUTED_VALUE"""),"10.1177/074171367402400201")</f>
        <v>10.1177/074171367402400201</v>
      </c>
      <c r="B1349" s="677" t="str">
        <f>IFERROR(__xludf.DUMMYFUNCTION("""COMPUTED_VALUE"""),"https://drive.google.com/file/d/1NUBAl6Yl2Ll3r0YlezoDr1DQkJrRA7AB/view?usp=drivesdk")</f>
        <v>https://drive.google.com/file/d/1NUBAl6Yl2Ll3r0YlezoDr1DQkJrRA7AB/view?usp=drivesdk</v>
      </c>
      <c r="C1349" s="156" t="str">
        <f>IFERROR(__xludf.DUMMYFUNCTION("""COMPUTED_VALUE"""),"10.1177--074171367402400201.pdf")</f>
        <v>10.1177--074171367402400201.pdf</v>
      </c>
      <c r="D1349" s="156" t="str">
        <f>IFERROR(__xludf.DUMMYFUNCTION("""COMPUTED_VALUE"""),"application/pdf")</f>
        <v>application/pdf</v>
      </c>
    </row>
    <row r="1350">
      <c r="A1350" s="156" t="str">
        <f>IFERROR(__xludf.DUMMYFUNCTION("""COMPUTED_VALUE"""),"10.1057/s41599- 019-0279-9")</f>
        <v>10.1057/s41599- 019-0279-9</v>
      </c>
      <c r="B1350" s="677" t="str">
        <f>IFERROR(__xludf.DUMMYFUNCTION("""COMPUTED_VALUE"""),"https://drive.google.com/file/d/1ReLnNKT3otxTw6D_oW90adnGpa23jIV9/view?usp=drivesdk")</f>
        <v>https://drive.google.com/file/d/1ReLnNKT3otxTw6D_oW90adnGpa23jIV9/view?usp=drivesdk</v>
      </c>
      <c r="C1350" s="156" t="str">
        <f>IFERROR(__xludf.DUMMYFUNCTION("""COMPUTED_VALUE"""),"10.1057--s41599- 019-0279-9.pdf")</f>
        <v>10.1057--s41599- 019-0279-9.pdf</v>
      </c>
      <c r="D1350" s="156" t="str">
        <f>IFERROR(__xludf.DUMMYFUNCTION("""COMPUTED_VALUE"""),"application/pdf")</f>
        <v>application/pdf</v>
      </c>
    </row>
    <row r="1351">
      <c r="A1351" s="156" t="str">
        <f>IFERROR(__xludf.DUMMYFUNCTION("""COMPUTED_VALUE"""),"10.5334/joc.91")</f>
        <v>10.5334/joc.91</v>
      </c>
      <c r="B1351" s="677" t="str">
        <f>IFERROR(__xludf.DUMMYFUNCTION("""COMPUTED_VALUE"""),"https://drive.google.com/file/d/1Bv6xeD7qLRzi3rNU4XCCAm1NSWSbY4N0/view?usp=drivesdk")</f>
        <v>https://drive.google.com/file/d/1Bv6xeD7qLRzi3rNU4XCCAm1NSWSbY4N0/view?usp=drivesdk</v>
      </c>
      <c r="C1351" s="156" t="str">
        <f>IFERROR(__xludf.DUMMYFUNCTION("""COMPUTED_VALUE"""),"10.5334--joc.91.pdf")</f>
        <v>10.5334--joc.91.pdf</v>
      </c>
      <c r="D1351" s="156" t="str">
        <f>IFERROR(__xludf.DUMMYFUNCTION("""COMPUTED_VALUE"""),"application/pdf")</f>
        <v>application/pdf</v>
      </c>
    </row>
    <row r="1352">
      <c r="A1352" s="156" t="str">
        <f>IFERROR(__xludf.DUMMYFUNCTION("""COMPUTED_VALUE"""),"10.1037//0097-7403.22.3.265")</f>
        <v>10.1037//0097-7403.22.3.265</v>
      </c>
      <c r="B1352" s="677" t="str">
        <f>IFERROR(__xludf.DUMMYFUNCTION("""COMPUTED_VALUE"""),"https://drive.google.com/file/d/1yzF06dubSFNksXYnjJCAAAsJgcxyj8hy/view?usp=drivesdk")</f>
        <v>https://drive.google.com/file/d/1yzF06dubSFNksXYnjJCAAAsJgcxyj8hy/view?usp=drivesdk</v>
      </c>
      <c r="C1352" s="156" t="str">
        <f>IFERROR(__xludf.DUMMYFUNCTION("""COMPUTED_VALUE"""),"10.1037----0097-7403.22.3.265.pdf")</f>
        <v>10.1037----0097-7403.22.3.265.pdf</v>
      </c>
      <c r="D1352" s="156" t="str">
        <f>IFERROR(__xludf.DUMMYFUNCTION("""COMPUTED_VALUE"""),"application/pdf")</f>
        <v>application/pdf</v>
      </c>
    </row>
    <row r="1353">
      <c r="A1353" s="156" t="str">
        <f>IFERROR(__xludf.DUMMYFUNCTION("""COMPUTED_VALUE"""),"10.1016/0920-9964(93)90019-f")</f>
        <v>10.1016/0920-9964(93)90019-f</v>
      </c>
      <c r="B1353" s="677" t="str">
        <f>IFERROR(__xludf.DUMMYFUNCTION("""COMPUTED_VALUE"""),"https://drive.google.com/file/d/1-_IAeJQGEiQsYhiQm3h1Ynd7akOOHNRt/view?usp=drivesdk")</f>
        <v>https://drive.google.com/file/d/1-_IAeJQGEiQsYhiQm3h1Ynd7akOOHNRt/view?usp=drivesdk</v>
      </c>
      <c r="C1353" s="156" t="str">
        <f>IFERROR(__xludf.DUMMYFUNCTION("""COMPUTED_VALUE"""),"10.1016--0920-9964(93)90019-f.pdf")</f>
        <v>10.1016--0920-9964(93)90019-f.pdf</v>
      </c>
      <c r="D1353" s="156" t="str">
        <f>IFERROR(__xludf.DUMMYFUNCTION("""COMPUTED_VALUE"""),"application/pdf")</f>
        <v>application/pdf</v>
      </c>
    </row>
    <row r="1354">
      <c r="A1354" s="156" t="str">
        <f>IFERROR(__xludf.DUMMYFUNCTION("""COMPUTED_VALUE"""),"10.1097/00041444-199322000-00006")</f>
        <v>10.1097/00041444-199322000-00006</v>
      </c>
      <c r="B1354" s="677" t="str">
        <f>IFERROR(__xludf.DUMMYFUNCTION("""COMPUTED_VALUE"""),"https://drive.google.com/file/d/1erhmlFnLisnNRgExZrpha1VooGxYyHWc/view?usp=drivesdk")</f>
        <v>https://drive.google.com/file/d/1erhmlFnLisnNRgExZrpha1VooGxYyHWc/view?usp=drivesdk</v>
      </c>
      <c r="C1354" s="156" t="str">
        <f>IFERROR(__xludf.DUMMYFUNCTION("""COMPUTED_VALUE"""),"10.1097--00041444-199322000-00006.pdf")</f>
        <v>10.1097--00041444-199322000-00006.pdf</v>
      </c>
      <c r="D1354" s="156" t="str">
        <f>IFERROR(__xludf.DUMMYFUNCTION("""COMPUTED_VALUE"""),"application/pdf")</f>
        <v>application/pdf</v>
      </c>
    </row>
    <row r="1355">
      <c r="A1355" s="156" t="str">
        <f>IFERROR(__xludf.DUMMYFUNCTION("""COMPUTED_VALUE"""),"10.1177/153331759200700405")</f>
        <v>10.1177/153331759200700405</v>
      </c>
      <c r="B1355" s="677" t="str">
        <f>IFERROR(__xludf.DUMMYFUNCTION("""COMPUTED_VALUE"""),"https://drive.google.com/file/d/1IkSssIeTLHWxSvtmGBCCJ6S6SCxaue_O/view?usp=drivesdk")</f>
        <v>https://drive.google.com/file/d/1IkSssIeTLHWxSvtmGBCCJ6S6SCxaue_O/view?usp=drivesdk</v>
      </c>
      <c r="C1355" s="156" t="str">
        <f>IFERROR(__xludf.DUMMYFUNCTION("""COMPUTED_VALUE"""),"10.1177--153331759200700405.pdf")</f>
        <v>10.1177--153331759200700405.pdf</v>
      </c>
      <c r="D1355" s="156" t="str">
        <f>IFERROR(__xludf.DUMMYFUNCTION("""COMPUTED_VALUE"""),"application/pdf")</f>
        <v>application/pdf</v>
      </c>
    </row>
    <row r="1356">
      <c r="A1356" s="156" t="str">
        <f>IFERROR(__xludf.DUMMYFUNCTION("""COMPUTED_VALUE"""),"10.1002/smj.2477")</f>
        <v>10.1002/smj.2477</v>
      </c>
      <c r="B1356" s="677" t="str">
        <f>IFERROR(__xludf.DUMMYFUNCTION("""COMPUTED_VALUE"""),"https://drive.google.com/file/d/1n0nfZdzHQc5t0L5s6hRVF-VIJODBR9NQ/view?usp=drivesdk")</f>
        <v>https://drive.google.com/file/d/1n0nfZdzHQc5t0L5s6hRVF-VIJODBR9NQ/view?usp=drivesdk</v>
      </c>
      <c r="C1356" s="156" t="str">
        <f>IFERROR(__xludf.DUMMYFUNCTION("""COMPUTED_VALUE"""),"10.1002--smj.2477.pdf")</f>
        <v>10.1002--smj.2477.pdf</v>
      </c>
      <c r="D1356" s="156" t="str">
        <f>IFERROR(__xludf.DUMMYFUNCTION("""COMPUTED_VALUE"""),"application/pdf")</f>
        <v>application/pdf</v>
      </c>
    </row>
    <row r="1357">
      <c r="A1357" s="156" t="str">
        <f>IFERROR(__xludf.DUMMYFUNCTION("""COMPUTED_VALUE"""),"10.1002/smj.2571")</f>
        <v>10.1002/smj.2571</v>
      </c>
      <c r="B1357" s="677" t="str">
        <f>IFERROR(__xludf.DUMMYFUNCTION("""COMPUTED_VALUE"""),"https://drive.google.com/file/d/10N2GphtISECImbmZiH9vnFKAukkBYpHi/view?usp=drivesdk")</f>
        <v>https://drive.google.com/file/d/10N2GphtISECImbmZiH9vnFKAukkBYpHi/view?usp=drivesdk</v>
      </c>
      <c r="C1357" s="156" t="str">
        <f>IFERROR(__xludf.DUMMYFUNCTION("""COMPUTED_VALUE"""),"10.1002--smj.2571.pdf")</f>
        <v>10.1002--smj.2571.pdf</v>
      </c>
      <c r="D1357" s="156" t="str">
        <f>IFERROR(__xludf.DUMMYFUNCTION("""COMPUTED_VALUE"""),"application/pdf")</f>
        <v>application/pdf</v>
      </c>
    </row>
    <row r="1358">
      <c r="A1358" s="156" t="str">
        <f>IFERROR(__xludf.DUMMYFUNCTION("""COMPUTED_VALUE"""),"10.1037/0022-3514.86.5.680")</f>
        <v>10.1037/0022-3514.86.5.680</v>
      </c>
      <c r="B1358" s="677" t="str">
        <f>IFERROR(__xludf.DUMMYFUNCTION("""COMPUTED_VALUE"""),"https://drive.google.com/file/d/1qkgRpPqM04QWFjfsZxtrxnh_hJEoAetY/view?usp=drivesdk")</f>
        <v>https://drive.google.com/file/d/1qkgRpPqM04QWFjfsZxtrxnh_hJEoAetY/view?usp=drivesdk</v>
      </c>
      <c r="C1358" s="156" t="str">
        <f>IFERROR(__xludf.DUMMYFUNCTION("""COMPUTED_VALUE"""),"10.1037--0022-3514.86.5.680.pdf")</f>
        <v>10.1037--0022-3514.86.5.680.pdf</v>
      </c>
      <c r="D1358" s="156" t="str">
        <f>IFERROR(__xludf.DUMMYFUNCTION("""COMPUTED_VALUE"""),"application/pdf")</f>
        <v>application/pdf</v>
      </c>
    </row>
    <row r="1359">
      <c r="A1359" s="156" t="str">
        <f>IFERROR(__xludf.DUMMYFUNCTION("""COMPUTED_VALUE"""),"10.1016/j.jesp.2020.104052")</f>
        <v>10.1016/j.jesp.2020.104052</v>
      </c>
      <c r="B1359" s="677" t="str">
        <f>IFERROR(__xludf.DUMMYFUNCTION("""COMPUTED_VALUE"""),"https://drive.google.com/file/d/1niuyVn35u_z6REkObYjKmy6938AMNnYV/view?usp=drivesdk")</f>
        <v>https://drive.google.com/file/d/1niuyVn35u_z6REkObYjKmy6938AMNnYV/view?usp=drivesdk</v>
      </c>
      <c r="C1359" s="156" t="str">
        <f>IFERROR(__xludf.DUMMYFUNCTION("""COMPUTED_VALUE"""),"10.1016--j.jesp.2020.104052.pdf")</f>
        <v>10.1016--j.jesp.2020.104052.pdf</v>
      </c>
      <c r="D1359" s="156" t="str">
        <f>IFERROR(__xludf.DUMMYFUNCTION("""COMPUTED_VALUE"""),"application/pdf")</f>
        <v>application/pdf</v>
      </c>
    </row>
    <row r="1360">
      <c r="A1360" s="156" t="str">
        <f>IFERROR(__xludf.DUMMYFUNCTION("""COMPUTED_VALUE"""),"10.1037/0278-7393.20.4.824")</f>
        <v>10.1037/0278-7393.20.4.824</v>
      </c>
      <c r="B1360" s="677" t="str">
        <f>IFERROR(__xludf.DUMMYFUNCTION("""COMPUTED_VALUE"""),"https://drive.google.com/file/d/1wrEmYZaqStPGpYgSENfI25UV-wyT1sPl/view?usp=drivesdk")</f>
        <v>https://drive.google.com/file/d/1wrEmYZaqStPGpYgSENfI25UV-wyT1sPl/view?usp=drivesdk</v>
      </c>
      <c r="C1360" s="156" t="str">
        <f>IFERROR(__xludf.DUMMYFUNCTION("""COMPUTED_VALUE"""),"10.1037--0278-7393.20.4.824.pdf")</f>
        <v>10.1037--0278-7393.20.4.824.pdf</v>
      </c>
      <c r="D1360" s="156" t="str">
        <f>IFERROR(__xludf.DUMMYFUNCTION("""COMPUTED_VALUE"""),"application/pdf")</f>
        <v>application/pdf</v>
      </c>
    </row>
    <row r="1361">
      <c r="A1361" s="156" t="str">
        <f>IFERROR(__xludf.DUMMYFUNCTION("""COMPUTED_VALUE"""),"10.1016/j.actpsy.2023.104073")</f>
        <v>10.1016/j.actpsy.2023.104073</v>
      </c>
      <c r="B1361" s="677" t="str">
        <f>IFERROR(__xludf.DUMMYFUNCTION("""COMPUTED_VALUE"""),"https://drive.google.com/file/d/1M4kBsm7y5eUYTZpUDZukkrP6yNa3FWcp/view?usp=drivesdk")</f>
        <v>https://drive.google.com/file/d/1M4kBsm7y5eUYTZpUDZukkrP6yNa3FWcp/view?usp=drivesdk</v>
      </c>
      <c r="C1361" s="156" t="str">
        <f>IFERROR(__xludf.DUMMYFUNCTION("""COMPUTED_VALUE"""),"10.1016--j.actpsy.2023.104073.pdf")</f>
        <v>10.1016--j.actpsy.2023.104073.pdf</v>
      </c>
      <c r="D1361" s="156" t="str">
        <f>IFERROR(__xludf.DUMMYFUNCTION("""COMPUTED_VALUE"""),"application/pdf")</f>
        <v>application/pdf</v>
      </c>
    </row>
    <row r="1362">
      <c r="A1362" s="156" t="str">
        <f>IFERROR(__xludf.DUMMYFUNCTION("""COMPUTED_VALUE"""),"10.1080/00036848800000113")</f>
        <v>10.1080/00036848800000113</v>
      </c>
      <c r="B1362" s="677" t="str">
        <f>IFERROR(__xludf.DUMMYFUNCTION("""COMPUTED_VALUE"""),"https://drive.google.com/file/d/10t17ZEAtd-zDNdQX5y51ZVTWQVio_2jm/view?usp=drivesdk")</f>
        <v>https://drive.google.com/file/d/10t17ZEAtd-zDNdQX5y51ZVTWQVio_2jm/view?usp=drivesdk</v>
      </c>
      <c r="C1362" s="156" t="str">
        <f>IFERROR(__xludf.DUMMYFUNCTION("""COMPUTED_VALUE"""),"10.1080--00036848800000113.pdf")</f>
        <v>10.1080--00036848800000113.pdf</v>
      </c>
      <c r="D1362" s="156" t="str">
        <f>IFERROR(__xludf.DUMMYFUNCTION("""COMPUTED_VALUE"""),"application/pdf")</f>
        <v>application/pdf</v>
      </c>
    </row>
    <row r="1363">
      <c r="A1363" s="156" t="str">
        <f>IFERROR(__xludf.DUMMYFUNCTION("""COMPUTED_VALUE"""),"10.2139/ssrn.722264")</f>
        <v>10.2139/ssrn.722264</v>
      </c>
      <c r="B1363" s="677" t="str">
        <f>IFERROR(__xludf.DUMMYFUNCTION("""COMPUTED_VALUE"""),"https://drive.google.com/file/d/1e1y2Zdu1rYp8QdgqQjIYZ3tiUSS2QgHC/view?usp=drivesdk")</f>
        <v>https://drive.google.com/file/d/1e1y2Zdu1rYp8QdgqQjIYZ3tiUSS2QgHC/view?usp=drivesdk</v>
      </c>
      <c r="C1363" s="156" t="str">
        <f>IFERROR(__xludf.DUMMYFUNCTION("""COMPUTED_VALUE"""),"10.2139--ssrn.722264.pdf")</f>
        <v>10.2139--ssrn.722264.pdf</v>
      </c>
      <c r="D1363" s="156" t="str">
        <f>IFERROR(__xludf.DUMMYFUNCTION("""COMPUTED_VALUE"""),"application/pdf")</f>
        <v>application/pdf</v>
      </c>
    </row>
    <row r="1364">
      <c r="A1364" s="156" t="str">
        <f>IFERROR(__xludf.DUMMYFUNCTION("""COMPUTED_VALUE"""),"10.1002/bin.1786")</f>
        <v>10.1002/bin.1786</v>
      </c>
      <c r="B1364" s="677" t="str">
        <f>IFERROR(__xludf.DUMMYFUNCTION("""COMPUTED_VALUE"""),"https://drive.google.com/file/d/1dl6-fcdsrwDM2d8QvGFrwa2hm4krVEGw/view?usp=drivesdk")</f>
        <v>https://drive.google.com/file/d/1dl6-fcdsrwDM2d8QvGFrwa2hm4krVEGw/view?usp=drivesdk</v>
      </c>
      <c r="C1364" s="156" t="str">
        <f>IFERROR(__xludf.DUMMYFUNCTION("""COMPUTED_VALUE"""),"10.1002--bin.1786.pdf")</f>
        <v>10.1002--bin.1786.pdf</v>
      </c>
      <c r="D1364" s="156" t="str">
        <f>IFERROR(__xludf.DUMMYFUNCTION("""COMPUTED_VALUE"""),"application/pdf")</f>
        <v>application/pdf</v>
      </c>
    </row>
    <row r="1365">
      <c r="A1365" s="156" t="str">
        <f>IFERROR(__xludf.DUMMYFUNCTION("""COMPUTED_VALUE"""),"10.1177/0193723504273121")</f>
        <v>10.1177/0193723504273121</v>
      </c>
      <c r="B1365" s="677" t="str">
        <f>IFERROR(__xludf.DUMMYFUNCTION("""COMPUTED_VALUE"""),"https://drive.google.com/file/d/1oDi7iTkefS7MUDs-XYNELGeEjEdDTZ2D/view?usp=drivesdk")</f>
        <v>https://drive.google.com/file/d/1oDi7iTkefS7MUDs-XYNELGeEjEdDTZ2D/view?usp=drivesdk</v>
      </c>
      <c r="C1365" s="156" t="str">
        <f>IFERROR(__xludf.DUMMYFUNCTION("""COMPUTED_VALUE"""),"10.1177--0193723504273121.pdf")</f>
        <v>10.1177--0193723504273121.pdf</v>
      </c>
      <c r="D1365" s="156" t="str">
        <f>IFERROR(__xludf.DUMMYFUNCTION("""COMPUTED_VALUE"""),"application/pdf")</f>
        <v>application/pdf</v>
      </c>
    </row>
    <row r="1366">
      <c r="A1366" s="156" t="str">
        <f>IFERROR(__xludf.DUMMYFUNCTION("""COMPUTED_VALUE"""),"findlay_2012")</f>
        <v>findlay_2012</v>
      </c>
      <c r="B1366" s="677" t="str">
        <f>IFERROR(__xludf.DUMMYFUNCTION("""COMPUTED_VALUE"""),"https://drive.google.com/file/d/1zzJqjPseaj8tYnvrCjrC4mDOV4pF9weU/view?usp=drivesdk")</f>
        <v>https://drive.google.com/file/d/1zzJqjPseaj8tYnvrCjrC4mDOV4pF9weU/view?usp=drivesdk</v>
      </c>
      <c r="C1366" s="156" t="str">
        <f>IFERROR(__xludf.DUMMYFUNCTION("""COMPUTED_VALUE"""),"findlay_2012.pdf")</f>
        <v>findlay_2012.pdf</v>
      </c>
      <c r="D1366" s="156" t="str">
        <f>IFERROR(__xludf.DUMMYFUNCTION("""COMPUTED_VALUE"""),"application/pdf")</f>
        <v>application/pdf</v>
      </c>
    </row>
    <row r="1367">
      <c r="A1367" s="156" t="str">
        <f>IFERROR(__xludf.DUMMYFUNCTION("""COMPUTED_VALUE"""),"10.1016/j.pnpbp.2009.02.004")</f>
        <v>10.1016/j.pnpbp.2009.02.004</v>
      </c>
      <c r="B1367" s="677" t="str">
        <f>IFERROR(__xludf.DUMMYFUNCTION("""COMPUTED_VALUE"""),"https://drive.google.com/file/d/18gCsN5cIPX_p4rJjf07ttFNg3GFzg3si/view?usp=drivesdk")</f>
        <v>https://drive.google.com/file/d/18gCsN5cIPX_p4rJjf07ttFNg3GFzg3si/view?usp=drivesdk</v>
      </c>
      <c r="C1367" s="156" t="str">
        <f>IFERROR(__xludf.DUMMYFUNCTION("""COMPUTED_VALUE"""),"10.1016--j.pnpbp.2009.02.004.pdf")</f>
        <v>10.1016--j.pnpbp.2009.02.004.pdf</v>
      </c>
      <c r="D1367" s="156" t="str">
        <f>IFERROR(__xludf.DUMMYFUNCTION("""COMPUTED_VALUE"""),"application/pdf")</f>
        <v>application/pdf</v>
      </c>
    </row>
    <row r="1368">
      <c r="A1368" s="156" t="str">
        <f>IFERROR(__xludf.DUMMYFUNCTION("""COMPUTED_VALUE"""),"10.1016/j.schres.2010.01.028")</f>
        <v>10.1016/j.schres.2010.01.028</v>
      </c>
      <c r="B1368" s="677" t="str">
        <f>IFERROR(__xludf.DUMMYFUNCTION("""COMPUTED_VALUE"""),"https://drive.google.com/file/d/148eU9rgHx5hpUFzLyqGIu0aBpg_7SlmF/view?usp=drivesdk")</f>
        <v>https://drive.google.com/file/d/148eU9rgHx5hpUFzLyqGIu0aBpg_7SlmF/view?usp=drivesdk</v>
      </c>
      <c r="C1368" s="156" t="str">
        <f>IFERROR(__xludf.DUMMYFUNCTION("""COMPUTED_VALUE"""),"10.1016--j.schres.2010.01.028.pdf")</f>
        <v>10.1016--j.schres.2010.01.028.pdf</v>
      </c>
      <c r="D1368" s="156" t="str">
        <f>IFERROR(__xludf.DUMMYFUNCTION("""COMPUTED_VALUE"""),"application/pdf")</f>
        <v>application/pdf</v>
      </c>
    </row>
    <row r="1369">
      <c r="A1369" s="156" t="str">
        <f>IFERROR(__xludf.DUMMYFUNCTION("""COMPUTED_VALUE"""),"10.1080/14992020701883224")</f>
        <v>10.1080/14992020701883224</v>
      </c>
      <c r="B1369" s="677" t="str">
        <f>IFERROR(__xludf.DUMMYFUNCTION("""COMPUTED_VALUE"""),"https://drive.google.com/file/d/1xJCzKuNB61D_lYyvo5qgmiVu8_S4jB2t/view?usp=drivesdk")</f>
        <v>https://drive.google.com/file/d/1xJCzKuNB61D_lYyvo5qgmiVu8_S4jB2t/view?usp=drivesdk</v>
      </c>
      <c r="C1369" s="156" t="str">
        <f>IFERROR(__xludf.DUMMYFUNCTION("""COMPUTED_VALUE"""),"10.1080--14992020701883224.pdf")</f>
        <v>10.1080--14992020701883224.pdf</v>
      </c>
      <c r="D1369" s="156" t="str">
        <f>IFERROR(__xludf.DUMMYFUNCTION("""COMPUTED_VALUE"""),"application/pdf")</f>
        <v>application/pdf</v>
      </c>
    </row>
    <row r="1370">
      <c r="A1370" s="156" t="str">
        <f>IFERROR(__xludf.DUMMYFUNCTION("""COMPUTED_VALUE"""),"10.1016/j.ajhg.2016.03.008")</f>
        <v>10.1016/j.ajhg.2016.03.008</v>
      </c>
      <c r="B1370" s="677" t="str">
        <f>IFERROR(__xludf.DUMMYFUNCTION("""COMPUTED_VALUE"""),"https://drive.google.com/file/d/1Zjhue6jnv9AcXUeh5Bc9kyN2vkQgKrJc/view?usp=drivesdk")</f>
        <v>https://drive.google.com/file/d/1Zjhue6jnv9AcXUeh5Bc9kyN2vkQgKrJc/view?usp=drivesdk</v>
      </c>
      <c r="C1370" s="156" t="str">
        <f>IFERROR(__xludf.DUMMYFUNCTION("""COMPUTED_VALUE"""),"10.1016--j.ajhg.2016.03.008.pdf")</f>
        <v>10.1016--j.ajhg.2016.03.008.pdf</v>
      </c>
      <c r="D1370" s="156" t="str">
        <f>IFERROR(__xludf.DUMMYFUNCTION("""COMPUTED_VALUE"""),"application/pdf")</f>
        <v>application/pdf</v>
      </c>
    </row>
    <row r="1371">
      <c r="A1371" s="156" t="str">
        <f>IFERROR(__xludf.DUMMYFUNCTION("""COMPUTED_VALUE"""),"10.1017/thg.2023.45")</f>
        <v>10.1017/thg.2023.45</v>
      </c>
      <c r="B1371" s="677" t="str">
        <f>IFERROR(__xludf.DUMMYFUNCTION("""COMPUTED_VALUE"""),"https://drive.google.com/file/d/1pFOJCDoWrTB-5q797AzVWEzqi74zu3D3/view?usp=drivesdk")</f>
        <v>https://drive.google.com/file/d/1pFOJCDoWrTB-5q797AzVWEzqi74zu3D3/view?usp=drivesdk</v>
      </c>
      <c r="C1371" s="156" t="str">
        <f>IFERROR(__xludf.DUMMYFUNCTION("""COMPUTED_VALUE"""),"10.1017--thg.2023.45.pdf")</f>
        <v>10.1017--thg.2023.45.pdf</v>
      </c>
      <c r="D1371" s="156" t="str">
        <f>IFERROR(__xludf.DUMMYFUNCTION("""COMPUTED_VALUE"""),"application/pdf")</f>
        <v>application/pdf</v>
      </c>
    </row>
    <row r="1372">
      <c r="A1372" s="156" t="str">
        <f>IFERROR(__xludf.DUMMYFUNCTION("""COMPUTED_VALUE"""),"10.1016/s0272-6963(97)00033-8")</f>
        <v>10.1016/s0272-6963(97)00033-8</v>
      </c>
      <c r="B1372" s="677" t="str">
        <f>IFERROR(__xludf.DUMMYFUNCTION("""COMPUTED_VALUE"""),"https://drive.google.com/file/d/1D5xW9DsPph5s0bUKFKsmaGST3y2HupAr/view?usp=drivesdk")</f>
        <v>https://drive.google.com/file/d/1D5xW9DsPph5s0bUKFKsmaGST3y2HupAr/view?usp=drivesdk</v>
      </c>
      <c r="C1372" s="156" t="str">
        <f>IFERROR(__xludf.DUMMYFUNCTION("""COMPUTED_VALUE"""),"10.1016--s0272-6963(97)00033-8.pdf")</f>
        <v>10.1016--s0272-6963(97)00033-8.pdf</v>
      </c>
      <c r="D1372" s="156" t="str">
        <f>IFERROR(__xludf.DUMMYFUNCTION("""COMPUTED_VALUE"""),"application/pdf")</f>
        <v>application/pdf</v>
      </c>
    </row>
    <row r="1373">
      <c r="A1373" s="156" t="str">
        <f>IFERROR(__xludf.DUMMYFUNCTION("""COMPUTED_VALUE"""),"10.1016/j.jom.2005.11.004")</f>
        <v>10.1016/j.jom.2005.11.004</v>
      </c>
      <c r="B1373" s="677" t="str">
        <f>IFERROR(__xludf.DUMMYFUNCTION("""COMPUTED_VALUE"""),"https://drive.google.com/file/d/16V6fX6zed8MKZ53zcmG18UMG8cS5fmS4/view?usp=drivesdk")</f>
        <v>https://drive.google.com/file/d/16V6fX6zed8MKZ53zcmG18UMG8cS5fmS4/view?usp=drivesdk</v>
      </c>
      <c r="C1373" s="156" t="str">
        <f>IFERROR(__xludf.DUMMYFUNCTION("""COMPUTED_VALUE"""),"10.1016--j.jom.2005.11.004.pdf")</f>
        <v>10.1016--j.jom.2005.11.004.pdf</v>
      </c>
      <c r="D1373" s="156" t="str">
        <f>IFERROR(__xludf.DUMMYFUNCTION("""COMPUTED_VALUE"""),"application/pdf")</f>
        <v>application/pdf</v>
      </c>
    </row>
    <row r="1374">
      <c r="A1374" s="156" t="str">
        <f>IFERROR(__xludf.DUMMYFUNCTION("""COMPUTED_VALUE"""),"10.1080/09658211.2016.1219750")</f>
        <v>10.1080/09658211.2016.1219750</v>
      </c>
      <c r="B1374" s="677" t="str">
        <f>IFERROR(__xludf.DUMMYFUNCTION("""COMPUTED_VALUE"""),"https://drive.google.com/file/d/1-bzS3A3Wvshqbm27njuWbUnWVqIcT4vo/view?usp=drivesdk")</f>
        <v>https://drive.google.com/file/d/1-bzS3A3Wvshqbm27njuWbUnWVqIcT4vo/view?usp=drivesdk</v>
      </c>
      <c r="C1374" s="156" t="str">
        <f>IFERROR(__xludf.DUMMYFUNCTION("""COMPUTED_VALUE"""),"10.1080--09658211.2016.1219750.pdf")</f>
        <v>10.1080--09658211.2016.1219750.pdf</v>
      </c>
      <c r="D1374" s="156" t="str">
        <f>IFERROR(__xludf.DUMMYFUNCTION("""COMPUTED_VALUE"""),"application/pdf")</f>
        <v>application/pdf</v>
      </c>
    </row>
    <row r="1375">
      <c r="A1375" s="156" t="str">
        <f>IFERROR(__xludf.DUMMYFUNCTION("""COMPUTED_VALUE"""),"10.1007/s11166-007-9005-x")</f>
        <v>10.1007/s11166-007-9005-x</v>
      </c>
      <c r="B1375" s="677" t="str">
        <f>IFERROR(__xludf.DUMMYFUNCTION("""COMPUTED_VALUE"""),"https://drive.google.com/file/d/1JzqYi6MxeM0TgQlkA79oih2m5mtsG3-G/view?usp=drivesdk")</f>
        <v>https://drive.google.com/file/d/1JzqYi6MxeM0TgQlkA79oih2m5mtsG3-G/view?usp=drivesdk</v>
      </c>
      <c r="C1375" s="156" t="str">
        <f>IFERROR(__xludf.DUMMYFUNCTION("""COMPUTED_VALUE"""),"10.1007--s11166-007-9005-x.pdf")</f>
        <v>10.1007--s11166-007-9005-x.pdf</v>
      </c>
      <c r="D1375" s="156" t="str">
        <f>IFERROR(__xludf.DUMMYFUNCTION("""COMPUTED_VALUE"""),"application/pdf")</f>
        <v>application/pdf</v>
      </c>
    </row>
    <row r="1376">
      <c r="A1376" s="156" t="str">
        <f>IFERROR(__xludf.DUMMYFUNCTION("""COMPUTED_VALUE"""),"10.31234/osf.io/grwye")</f>
        <v>10.31234/osf.io/grwye</v>
      </c>
      <c r="B1376" s="677" t="str">
        <f>IFERROR(__xludf.DUMMYFUNCTION("""COMPUTED_VALUE"""),"https://drive.google.com/file/d/1AM6rF8DA6dQf729yJdMNKRcFrXOf_ZKe/view?usp=drivesdk")</f>
        <v>https://drive.google.com/file/d/1AM6rF8DA6dQf729yJdMNKRcFrXOf_ZKe/view?usp=drivesdk</v>
      </c>
      <c r="C1376" s="156" t="str">
        <f>IFERROR(__xludf.DUMMYFUNCTION("""COMPUTED_VALUE"""),"10.31234--osf.io--grwye.pdf")</f>
        <v>10.31234--osf.io--grwye.pdf</v>
      </c>
      <c r="D1376" s="156" t="str">
        <f>IFERROR(__xludf.DUMMYFUNCTION("""COMPUTED_VALUE"""),"application/pdf")</f>
        <v>application/pdf</v>
      </c>
    </row>
    <row r="1377">
      <c r="A1377" s="156" t="str">
        <f>IFERROR(__xludf.DUMMYFUNCTION("""COMPUTED_VALUE"""),"10.1037/0003-066x.54.6.408")</f>
        <v>10.1037/0003-066x.54.6.408</v>
      </c>
      <c r="B1377" s="677" t="str">
        <f>IFERROR(__xludf.DUMMYFUNCTION("""COMPUTED_VALUE"""),"https://drive.google.com/file/d/1niJ4qqlQ3w06lrmI_sfZvqDMPlcLvX7Z/view?usp=drivesdk")</f>
        <v>https://drive.google.com/file/d/1niJ4qqlQ3w06lrmI_sfZvqDMPlcLvX7Z/view?usp=drivesdk</v>
      </c>
      <c r="C1377" s="156" t="str">
        <f>IFERROR(__xludf.DUMMYFUNCTION("""COMPUTED_VALUE"""),"10.1037--0003-066x.54.6.408.pdf")</f>
        <v>10.1037--0003-066x.54.6.408.pdf</v>
      </c>
      <c r="D1377" s="156" t="str">
        <f>IFERROR(__xludf.DUMMYFUNCTION("""COMPUTED_VALUE"""),"application/pdf")</f>
        <v>application/pdf</v>
      </c>
    </row>
    <row r="1378">
      <c r="A1378" s="156" t="str">
        <f>IFERROR(__xludf.DUMMYFUNCTION("""COMPUTED_VALUE"""),"10.31234/osf.io/mtsx8")</f>
        <v>10.31234/osf.io/mtsx8</v>
      </c>
      <c r="B1378" s="677" t="str">
        <f>IFERROR(__xludf.DUMMYFUNCTION("""COMPUTED_VALUE"""),"https://drive.google.com/file/d/1PchnSZs-XbYmB-ZYLgQBFosMAZs-ybjf/view?usp=drivesdk")</f>
        <v>https://drive.google.com/file/d/1PchnSZs-XbYmB-ZYLgQBFosMAZs-ybjf/view?usp=drivesdk</v>
      </c>
      <c r="C1378" s="156" t="str">
        <f>IFERROR(__xludf.DUMMYFUNCTION("""COMPUTED_VALUE"""),"10.31234--osf.io--mtsx8.pdf.pdf")</f>
        <v>10.31234--osf.io--mtsx8.pdf.pdf</v>
      </c>
      <c r="D1378" s="156" t="str">
        <f>IFERROR(__xludf.DUMMYFUNCTION("""COMPUTED_VALUE"""),"application/pdf")</f>
        <v>application/pdf</v>
      </c>
    </row>
    <row r="1379">
      <c r="A1379" s="156" t="str">
        <f>IFERROR(__xludf.DUMMYFUNCTION("""COMPUTED_VALUE"""),"10.1007/s11002-025-09771-9")</f>
        <v>10.1007/s11002-025-09771-9</v>
      </c>
      <c r="B1379" s="677" t="str">
        <f>IFERROR(__xludf.DUMMYFUNCTION("""COMPUTED_VALUE"""),"https://drive.google.com/file/d/1OR84YuEVQQKBxF8zP9UhRWoOxsPHzhts/view?usp=drivesdk")</f>
        <v>https://drive.google.com/file/d/1OR84YuEVQQKBxF8zP9UhRWoOxsPHzhts/view?usp=drivesdk</v>
      </c>
      <c r="C1379" s="156" t="str">
        <f>IFERROR(__xludf.DUMMYFUNCTION("""COMPUTED_VALUE"""),"10.1007--s11002-025-09771-9.pdf")</f>
        <v>10.1007--s11002-025-09771-9.pdf</v>
      </c>
      <c r="D1379" s="156" t="str">
        <f>IFERROR(__xludf.DUMMYFUNCTION("""COMPUTED_VALUE"""),"application/pdf")</f>
        <v>application/pdf</v>
      </c>
    </row>
    <row r="1380">
      <c r="A1380" s="156" t="str">
        <f>IFERROR(__xludf.DUMMYFUNCTION("""COMPUTED_VALUE"""),"10.1037/lhb0000596")</f>
        <v>10.1037/lhb0000596</v>
      </c>
      <c r="B1380" s="677" t="str">
        <f>IFERROR(__xludf.DUMMYFUNCTION("""COMPUTED_VALUE"""),"https://drive.google.com/file/d/1hrjq49iHuQoSRGioesy0jSqroL6cW18U/view?usp=drivesdk")</f>
        <v>https://drive.google.com/file/d/1hrjq49iHuQoSRGioesy0jSqroL6cW18U/view?usp=drivesdk</v>
      </c>
      <c r="C1380" s="156" t="str">
        <f>IFERROR(__xludf.DUMMYFUNCTION("""COMPUTED_VALUE"""),"10.1037--lhb0000596.pdf")</f>
        <v>10.1037--lhb0000596.pdf</v>
      </c>
      <c r="D1380" s="156" t="str">
        <f>IFERROR(__xludf.DUMMYFUNCTION("""COMPUTED_VALUE"""),"application/pdf")</f>
        <v>application/pdf</v>
      </c>
    </row>
    <row r="1381">
      <c r="A1381" s="156" t="str">
        <f>IFERROR(__xludf.DUMMYFUNCTION("""COMPUTED_VALUE"""),"10.1177/27550311251323281")</f>
        <v>10.1177/27550311251323281</v>
      </c>
      <c r="B1381" s="677" t="str">
        <f>IFERROR(__xludf.DUMMYFUNCTION("""COMPUTED_VALUE"""),"https://drive.google.com/file/d/1y3sRTJwFZvZWkaak_jBiIRn-heMkKgGW/view?usp=drivesdk")</f>
        <v>https://drive.google.com/file/d/1y3sRTJwFZvZWkaak_jBiIRn-heMkKgGW/view?usp=drivesdk</v>
      </c>
      <c r="C1381" s="156" t="str">
        <f>IFERROR(__xludf.DUMMYFUNCTION("""COMPUTED_VALUE"""),"10.1177--27550311251323281.pdf")</f>
        <v>10.1177--27550311251323281.pdf</v>
      </c>
      <c r="D1381" s="156" t="str">
        <f>IFERROR(__xludf.DUMMYFUNCTION("""COMPUTED_VALUE"""),"application/pdf")</f>
        <v>application/pdf</v>
      </c>
    </row>
    <row r="1382">
      <c r="A1382" s="156" t="str">
        <f>IFERROR(__xludf.DUMMYFUNCTION("""COMPUTED_VALUE"""),"10.1037/pspa0000444")</f>
        <v>10.1037/pspa0000444</v>
      </c>
      <c r="B1382" s="677" t="str">
        <f>IFERROR(__xludf.DUMMYFUNCTION("""COMPUTED_VALUE"""),"https://drive.google.com/file/d/1zi55xKNg0XlQ-gw-ZWTYe-f5qZhyuGbp/view?usp=drivesdk")</f>
        <v>https://drive.google.com/file/d/1zi55xKNg0XlQ-gw-ZWTYe-f5qZhyuGbp/view?usp=drivesdk</v>
      </c>
      <c r="C1382" s="156" t="str">
        <f>IFERROR(__xludf.DUMMYFUNCTION("""COMPUTED_VALUE"""),"10.1037--pspa0000444.pdf")</f>
        <v>10.1037--pspa0000444.pdf</v>
      </c>
      <c r="D1382" s="156" t="str">
        <f>IFERROR(__xludf.DUMMYFUNCTION("""COMPUTED_VALUE"""),"application/pdf")</f>
        <v>application/pdf</v>
      </c>
    </row>
    <row r="1383">
      <c r="A1383" s="156" t="str">
        <f>IFERROR(__xludf.DUMMYFUNCTION("""COMPUTED_VALUE"""),"10.1002/cpp.70057")</f>
        <v>10.1002/cpp.70057</v>
      </c>
      <c r="B1383" s="677" t="str">
        <f>IFERROR(__xludf.DUMMYFUNCTION("""COMPUTED_VALUE"""),"https://drive.google.com/file/d/1wPwOH5E4CwdZoDiN5YiWFKr2SNldtQuX/view?usp=drivesdk")</f>
        <v>https://drive.google.com/file/d/1wPwOH5E4CwdZoDiN5YiWFKr2SNldtQuX/view?usp=drivesdk</v>
      </c>
      <c r="C1383" s="156" t="str">
        <f>IFERROR(__xludf.DUMMYFUNCTION("""COMPUTED_VALUE"""),"10.1002--cpp.70057.pdf")</f>
        <v>10.1002--cpp.70057.pdf</v>
      </c>
      <c r="D1383" s="156" t="str">
        <f>IFERROR(__xludf.DUMMYFUNCTION("""COMPUTED_VALUE"""),"application/pdf")</f>
        <v>application/pdf</v>
      </c>
    </row>
    <row r="1384">
      <c r="A1384" s="156" t="str">
        <f>IFERROR(__xludf.DUMMYFUNCTION("""COMPUTED_VALUE"""),"10.1016/s0005-7967(98)00158-2")</f>
        <v>10.1016/s0005-7967(98)00158-2</v>
      </c>
      <c r="B1384" s="677" t="str">
        <f>IFERROR(__xludf.DUMMYFUNCTION("""COMPUTED_VALUE"""),"https://drive.google.com/file/d/173wjPB-w4227Qt_2AeTSJnpxH3XOJnPD/view?usp=drivesdk")</f>
        <v>https://drive.google.com/file/d/173wjPB-w4227Qt_2AeTSJnpxH3XOJnPD/view?usp=drivesdk</v>
      </c>
      <c r="C1384" s="156" t="str">
        <f>IFERROR(__xludf.DUMMYFUNCTION("""COMPUTED_VALUE"""),"10.1016--s0005-7967(98)00158-2.pdf")</f>
        <v>10.1016--s0005-7967(98)00158-2.pdf</v>
      </c>
      <c r="D1384" s="156" t="str">
        <f>IFERROR(__xludf.DUMMYFUNCTION("""COMPUTED_VALUE"""),"application/pdf")</f>
        <v>application/pdf</v>
      </c>
    </row>
    <row r="1385">
      <c r="A1385" s="156" t="str">
        <f>IFERROR(__xludf.DUMMYFUNCTION("""COMPUTED_VALUE"""),"10.1016/j.jesp.2024.104712")</f>
        <v>10.1016/j.jesp.2024.104712</v>
      </c>
      <c r="B1385" s="677" t="str">
        <f>IFERROR(__xludf.DUMMYFUNCTION("""COMPUTED_VALUE"""),"https://drive.google.com/file/d/1iv9JTpntlFhMXwLYV4LTNwMx0MZlg-K-/view?usp=drivesdk")</f>
        <v>https://drive.google.com/file/d/1iv9JTpntlFhMXwLYV4LTNwMx0MZlg-K-/view?usp=drivesdk</v>
      </c>
      <c r="C1385" s="156" t="str">
        <f>IFERROR(__xludf.DUMMYFUNCTION("""COMPUTED_VALUE"""),"10.1016--j.jesp.2024.104712.pdf")</f>
        <v>10.1016--j.jesp.2024.104712.pdf</v>
      </c>
      <c r="D1385" s="156" t="str">
        <f>IFERROR(__xludf.DUMMYFUNCTION("""COMPUTED_VALUE"""),"application/pdf")</f>
        <v>application/pdf</v>
      </c>
    </row>
    <row r="1386">
      <c r="A1386" s="156" t="str">
        <f>IFERROR(__xludf.DUMMYFUNCTION("""COMPUTED_VALUE"""),"10.70252/nkky8370")</f>
        <v>10.70252/nkky8370</v>
      </c>
      <c r="B1386" s="677" t="str">
        <f>IFERROR(__xludf.DUMMYFUNCTION("""COMPUTED_VALUE"""),"https://drive.google.com/file/d/19o32dUXbxyEodcifYHl2eff55yANpVbY/view?usp=drivesdk")</f>
        <v>https://drive.google.com/file/d/19o32dUXbxyEodcifYHl2eff55yANpVbY/view?usp=drivesdk</v>
      </c>
      <c r="C1386" s="156" t="str">
        <f>IFERROR(__xludf.DUMMYFUNCTION("""COMPUTED_VALUE"""),"10.70252--nkky8370.pdf")</f>
        <v>10.70252--nkky8370.pdf</v>
      </c>
      <c r="D1386" s="156" t="str">
        <f>IFERROR(__xludf.DUMMYFUNCTION("""COMPUTED_VALUE"""),"application/pdf")</f>
        <v>application/pdf</v>
      </c>
    </row>
    <row r="1387">
      <c r="A1387" s="156" t="str">
        <f>IFERROR(__xludf.DUMMYFUNCTION("""COMPUTED_VALUE"""),"10.1177/25152459231213375")</f>
        <v>10.1177/25152459231213375</v>
      </c>
      <c r="B1387" s="677" t="str">
        <f>IFERROR(__xludf.DUMMYFUNCTION("""COMPUTED_VALUE"""),"https://drive.google.com/file/d/1xI2-EVnvclddhMWBb87TC_aCajttiAtt/view?usp=drivesdk")</f>
        <v>https://drive.google.com/file/d/1xI2-EVnvclddhMWBb87TC_aCajttiAtt/view?usp=drivesdk</v>
      </c>
      <c r="C1387" s="156" t="str">
        <f>IFERROR(__xludf.DUMMYFUNCTION("""COMPUTED_VALUE"""),"10.1177--25152459231213375.pdf")</f>
        <v>10.1177--25152459231213375.pdf</v>
      </c>
      <c r="D1387" s="156" t="str">
        <f>IFERROR(__xludf.DUMMYFUNCTION("""COMPUTED_VALUE"""),"application/pdf")</f>
        <v>application/pdf</v>
      </c>
    </row>
    <row r="1388">
      <c r="A1388" s="156" t="str">
        <f>IFERROR(__xludf.DUMMYFUNCTION("""COMPUTED_VALUE"""),"10.1038/s41598-020-66915-9")</f>
        <v>10.1038/s41598-020-66915-9</v>
      </c>
      <c r="B1388" s="677" t="str">
        <f>IFERROR(__xludf.DUMMYFUNCTION("""COMPUTED_VALUE"""),"https://drive.google.com/file/d/12GrUmwafEd6wwtYBQ9gYZoQAsg3wZO61/view?usp=drivesdk")</f>
        <v>https://drive.google.com/file/d/12GrUmwafEd6wwtYBQ9gYZoQAsg3wZO61/view?usp=drivesdk</v>
      </c>
      <c r="C1388" s="156" t="str">
        <f>IFERROR(__xludf.DUMMYFUNCTION("""COMPUTED_VALUE"""),"10.1038--s41598-020-66915-9.pdf")</f>
        <v>10.1038--s41598-020-66915-9.pdf</v>
      </c>
      <c r="D1388" s="156" t="str">
        <f>IFERROR(__xludf.DUMMYFUNCTION("""COMPUTED_VALUE"""),"application/pdf")</f>
        <v>application/pdf</v>
      </c>
    </row>
    <row r="1389">
      <c r="A1389" s="156" t="str">
        <f>IFERROR(__xludf.DUMMYFUNCTION("""COMPUTED_VALUE"""),"10.1037/pspa0000214")</f>
        <v>10.1037/pspa0000214</v>
      </c>
      <c r="B1389" s="677" t="str">
        <f>IFERROR(__xludf.DUMMYFUNCTION("""COMPUTED_VALUE"""),"https://drive.google.com/file/d/1LpMZFwLmgIKPjzXBB9rbhzfaZHzARaIZ/view?usp=drivesdk")</f>
        <v>https://drive.google.com/file/d/1LpMZFwLmgIKPjzXBB9rbhzfaZHzARaIZ/view?usp=drivesdk</v>
      </c>
      <c r="C1389" s="156" t="str">
        <f>IFERROR(__xludf.DUMMYFUNCTION("""COMPUTED_VALUE"""),"10.1037--pspa0000214.pdf")</f>
        <v>10.1037--pspa0000214.pdf</v>
      </c>
      <c r="D1389" s="156" t="str">
        <f>IFERROR(__xludf.DUMMYFUNCTION("""COMPUTED_VALUE"""),"application/pdf")</f>
        <v>application/pdf</v>
      </c>
    </row>
    <row r="1390">
      <c r="A1390" s="156" t="str">
        <f>IFERROR(__xludf.DUMMYFUNCTION("""COMPUTED_VALUE"""),"10.31234/osf.io/dca65")</f>
        <v>10.31234/osf.io/dca65</v>
      </c>
      <c r="B1390" s="677" t="str">
        <f>IFERROR(__xludf.DUMMYFUNCTION("""COMPUTED_VALUE"""),"https://drive.google.com/file/d/13k-6W5oZ6U3WQkZoEKezu_MnW0QMPGsr/view?usp=drivesdk")</f>
        <v>https://drive.google.com/file/d/13k-6W5oZ6U3WQkZoEKezu_MnW0QMPGsr/view?usp=drivesdk</v>
      </c>
      <c r="C1390" s="156" t="str">
        <f>IFERROR(__xludf.DUMMYFUNCTION("""COMPUTED_VALUE"""),"10.31234--osf.io--dca65.pdf")</f>
        <v>10.31234--osf.io--dca65.pdf</v>
      </c>
      <c r="D1390" s="156" t="str">
        <f>IFERROR(__xludf.DUMMYFUNCTION("""COMPUTED_VALUE"""),"application/pdf")</f>
        <v>application/pdf</v>
      </c>
    </row>
    <row r="1391">
      <c r="A1391" s="156" t="str">
        <f>IFERROR(__xludf.DUMMYFUNCTION("""COMPUTED_VALUE"""),"10.1080/10503307.2012.731088")</f>
        <v>10.1080/10503307.2012.731088</v>
      </c>
      <c r="B1391" s="677" t="str">
        <f>IFERROR(__xludf.DUMMYFUNCTION("""COMPUTED_VALUE"""),"https://drive.google.com/file/d/1Lphf3yMdKIgV1G03njMPNoyG5IJB3ZQh/view?usp=drivesdk")</f>
        <v>https://drive.google.com/file/d/1Lphf3yMdKIgV1G03njMPNoyG5IJB3ZQh/view?usp=drivesdk</v>
      </c>
      <c r="C1391" s="156" t="str">
        <f>IFERROR(__xludf.DUMMYFUNCTION("""COMPUTED_VALUE"""),"10.1080--10503307.2012.731088.pdf")</f>
        <v>10.1080--10503307.2012.731088.pdf</v>
      </c>
      <c r="D1391" s="156" t="str">
        <f>IFERROR(__xludf.DUMMYFUNCTION("""COMPUTED_VALUE"""),"application/pdf")</f>
        <v>application/pdf</v>
      </c>
    </row>
    <row r="1392">
      <c r="A1392" s="156" t="str">
        <f>IFERROR(__xludf.DUMMYFUNCTION("""COMPUTED_VALUE"""),"110.1007/s11002-005-0457-y")</f>
        <v>110.1007/s11002-005-0457-y</v>
      </c>
      <c r="B1392" s="677" t="str">
        <f>IFERROR(__xludf.DUMMYFUNCTION("""COMPUTED_VALUE"""),"https://drive.google.com/file/d/1kTdMAIDouy5eX5cjgmnRrB_DLoFqX8oi/view?usp=drivesdk")</f>
        <v>https://drive.google.com/file/d/1kTdMAIDouy5eX5cjgmnRrB_DLoFqX8oi/view?usp=drivesdk</v>
      </c>
      <c r="C1392" s="156" t="str">
        <f>IFERROR(__xludf.DUMMYFUNCTION("""COMPUTED_VALUE"""),"110.1007--s11002-005-0457-y.pdf")</f>
        <v>110.1007--s11002-005-0457-y.pdf</v>
      </c>
      <c r="D1392" s="156" t="str">
        <f>IFERROR(__xludf.DUMMYFUNCTION("""COMPUTED_VALUE"""),"application/pdf")</f>
        <v>application/pdf</v>
      </c>
    </row>
    <row r="1393">
      <c r="A1393" s="156" t="str">
        <f>IFERROR(__xludf.DUMMYFUNCTION("""COMPUTED_VALUE"""),"110.1002/smj.2585")</f>
        <v>110.1002/smj.2585</v>
      </c>
      <c r="B1393" s="677" t="str">
        <f>IFERROR(__xludf.DUMMYFUNCTION("""COMPUTED_VALUE"""),"https://drive.google.com/file/d/1u6ITjVATW7S3W5qai6dW9q7YsocMoslx/view?usp=drivesdk")</f>
        <v>https://drive.google.com/file/d/1u6ITjVATW7S3W5qai6dW9q7YsocMoslx/view?usp=drivesdk</v>
      </c>
      <c r="C1393" s="156" t="str">
        <f>IFERROR(__xludf.DUMMYFUNCTION("""COMPUTED_VALUE"""),"110.1002--smj.2585.pdf")</f>
        <v>110.1002--smj.2585.pdf</v>
      </c>
      <c r="D1393" s="156" t="str">
        <f>IFERROR(__xludf.DUMMYFUNCTION("""COMPUTED_VALUE"""),"application/pdf")</f>
        <v>application/pdf</v>
      </c>
    </row>
    <row r="1394">
      <c r="A1394" s="156" t="str">
        <f>IFERROR(__xludf.DUMMYFUNCTION("""COMPUTED_VALUE"""),"110.1037/h0093929")</f>
        <v>110.1037/h0093929</v>
      </c>
      <c r="B1394" s="677" t="str">
        <f>IFERROR(__xludf.DUMMYFUNCTION("""COMPUTED_VALUE"""),"https://drive.google.com/file/d/1W31uQMsYv39t68R2qlHA_FBX2eKbxkOT/view?usp=drivesdk")</f>
        <v>https://drive.google.com/file/d/1W31uQMsYv39t68R2qlHA_FBX2eKbxkOT/view?usp=drivesdk</v>
      </c>
      <c r="C1394" s="156" t="str">
        <f>IFERROR(__xludf.DUMMYFUNCTION("""COMPUTED_VALUE"""),"110.1037--h0093929.pdf")</f>
        <v>110.1037--h0093929.pdf</v>
      </c>
      <c r="D1394" s="156" t="str">
        <f>IFERROR(__xludf.DUMMYFUNCTION("""COMPUTED_VALUE"""),"application/pdf")</f>
        <v>application/pdf</v>
      </c>
    </row>
    <row r="1395">
      <c r="A1395" s="156" t="str">
        <f>IFERROR(__xludf.DUMMYFUNCTION("""COMPUTED_VALUE"""),"110.1037/a0029395")</f>
        <v>110.1037/a0029395</v>
      </c>
      <c r="B1395" s="677" t="str">
        <f>IFERROR(__xludf.DUMMYFUNCTION("""COMPUTED_VALUE"""),"https://drive.google.com/file/d/1eOml-H55hYUmJk_WTJLwIVaqRIQkFf_6/view?usp=drivesdk")</f>
        <v>https://drive.google.com/file/d/1eOml-H55hYUmJk_WTJLwIVaqRIQkFf_6/view?usp=drivesdk</v>
      </c>
      <c r="C1395" s="156" t="str">
        <f>IFERROR(__xludf.DUMMYFUNCTION("""COMPUTED_VALUE"""),"110.1037--a0029395.pdf")</f>
        <v>110.1037--a0029395.pdf</v>
      </c>
      <c r="D1395" s="156" t="str">
        <f>IFERROR(__xludf.DUMMYFUNCTION("""COMPUTED_VALUE"""),"application/pdf")</f>
        <v>application/pdf</v>
      </c>
    </row>
    <row r="1396">
      <c r="A1396" s="156" t="str">
        <f>IFERROR(__xludf.DUMMYFUNCTION("""COMPUTED_VALUE"""),"10.1080/026999398379411")</f>
        <v>10.1080/026999398379411</v>
      </c>
      <c r="B1396" s="677" t="str">
        <f>IFERROR(__xludf.DUMMYFUNCTION("""COMPUTED_VALUE"""),"https://drive.google.com/file/d/15eRaF6X8vIsGsZANrGMmTDs12Kx317Dc/view?usp=drivesdk")</f>
        <v>https://drive.google.com/file/d/15eRaF6X8vIsGsZANrGMmTDs12Kx317Dc/view?usp=drivesdk</v>
      </c>
      <c r="C1396" s="156" t="str">
        <f>IFERROR(__xludf.DUMMYFUNCTION("""COMPUTED_VALUE"""),"10.1080--026999398379411.pdf")</f>
        <v>10.1080--026999398379411.pdf</v>
      </c>
      <c r="D1396" s="156" t="str">
        <f>IFERROR(__xludf.DUMMYFUNCTION("""COMPUTED_VALUE"""),"application/pdf")</f>
        <v>application/pdf</v>
      </c>
    </row>
    <row r="1397">
      <c r="A1397" s="156" t="str">
        <f>IFERROR(__xludf.DUMMYFUNCTION("""COMPUTED_VALUE"""),"10.1249/mss.0000000000000818")</f>
        <v>10.1249/mss.0000000000000818</v>
      </c>
      <c r="B1397" s="677" t="str">
        <f>IFERROR(__xludf.DUMMYFUNCTION("""COMPUTED_VALUE"""),"https://drive.google.com/file/d/103Ebj97IuzP1L3cFe7YF23EbpkhBwg6u/view?usp=drivesdk")</f>
        <v>https://drive.google.com/file/d/103Ebj97IuzP1L3cFe7YF23EbpkhBwg6u/view?usp=drivesdk</v>
      </c>
      <c r="C1397" s="156" t="str">
        <f>IFERROR(__xludf.DUMMYFUNCTION("""COMPUTED_VALUE"""),"10.1249--mss.0000000000000818.pdf")</f>
        <v>10.1249--mss.0000000000000818.pdf</v>
      </c>
      <c r="D1397" s="156" t="str">
        <f>IFERROR(__xludf.DUMMYFUNCTION("""COMPUTED_VALUE"""),"application/pdf")</f>
        <v>application/pdf</v>
      </c>
    </row>
    <row r="1398">
      <c r="A1398" s="156" t="str">
        <f>IFERROR(__xludf.DUMMYFUNCTION("""COMPUTED_VALUE"""),"10.1016/j.jesp.2012.11.012")</f>
        <v>10.1016/j.jesp.2012.11.012</v>
      </c>
      <c r="B1398" s="677" t="str">
        <f>IFERROR(__xludf.DUMMYFUNCTION("""COMPUTED_VALUE"""),"https://drive.google.com/file/d/19fS2Dkdga2C_6zZIZ_MIxbIljMEp9Wpb/view?usp=drivesdk")</f>
        <v>https://drive.google.com/file/d/19fS2Dkdga2C_6zZIZ_MIxbIljMEp9Wpb/view?usp=drivesdk</v>
      </c>
      <c r="C1398" s="156" t="str">
        <f>IFERROR(__xludf.DUMMYFUNCTION("""COMPUTED_VALUE"""),"10.1016--j.jesp.2012.11.012.pdf")</f>
        <v>10.1016--j.jesp.2012.11.012.pdf</v>
      </c>
      <c r="D1398" s="156" t="str">
        <f>IFERROR(__xludf.DUMMYFUNCTION("""COMPUTED_VALUE"""),"application/pdf")</f>
        <v>application/pdf</v>
      </c>
    </row>
    <row r="1399">
      <c r="A1399" s="156" t="str">
        <f>IFERROR(__xludf.DUMMYFUNCTION("""COMPUTED_VALUE"""),"10.1093/humrep/13.11.3000")</f>
        <v>10.1093/humrep/13.11.3000</v>
      </c>
      <c r="B1399" s="677" t="str">
        <f>IFERROR(__xludf.DUMMYFUNCTION("""COMPUTED_VALUE"""),"https://drive.google.com/file/d/1hxKVhFtGlkiCZFx-llt9toTLKUbVbC68/view?usp=drivesdk")</f>
        <v>https://drive.google.com/file/d/1hxKVhFtGlkiCZFx-llt9toTLKUbVbC68/view?usp=drivesdk</v>
      </c>
      <c r="C1399" s="156" t="str">
        <f>IFERROR(__xludf.DUMMYFUNCTION("""COMPUTED_VALUE"""),"10.1093--humrep--13.11.3000.pdf")</f>
        <v>10.1093--humrep--13.11.3000.pdf</v>
      </c>
      <c r="D1399" s="156" t="str">
        <f>IFERROR(__xludf.DUMMYFUNCTION("""COMPUTED_VALUE"""),"application/pdf")</f>
        <v>application/pdf</v>
      </c>
    </row>
    <row r="1400">
      <c r="A1400" s="677" t="str">
        <f>IFERROR(__xludf.DUMMYFUNCTION("""COMPUTED_VALUE"""),"osf.io/y2emk")</f>
        <v>osf.io/y2emk</v>
      </c>
      <c r="B1400" s="677" t="str">
        <f>IFERROR(__xludf.DUMMYFUNCTION("""COMPUTED_VALUE"""),"https://drive.google.com/file/d/1ggKrnyXVCp5QeHOFppoj-cawSQrJMuJs/view?usp=drivesdk")</f>
        <v>https://drive.google.com/file/d/1ggKrnyXVCp5QeHOFppoj-cawSQrJMuJs/view?usp=drivesdk</v>
      </c>
      <c r="C1400" s="156" t="str">
        <f>IFERROR(__xludf.DUMMYFUNCTION("""COMPUTED_VALUE"""),"osf.io--y2emk.pdf")</f>
        <v>osf.io--y2emk.pdf</v>
      </c>
      <c r="D1400" s="156" t="str">
        <f>IFERROR(__xludf.DUMMYFUNCTION("""COMPUTED_VALUE"""),"application/pdf")</f>
        <v>application/pdf</v>
      </c>
    </row>
    <row r="1401">
      <c r="A1401" s="156" t="str">
        <f>IFERROR(__xludf.DUMMYFUNCTION("""COMPUTED_VALUE"""),"10.17605/osf.io/xszk6")</f>
        <v>10.17605/osf.io/xszk6</v>
      </c>
      <c r="B1401" s="677" t="str">
        <f>IFERROR(__xludf.DUMMYFUNCTION("""COMPUTED_VALUE"""),"https://drive.google.com/file/d/1guI1nGSynzf6fvHwOnJ5YyyE5CaX1-QJ/view?usp=drivesdk")</f>
        <v>https://drive.google.com/file/d/1guI1nGSynzf6fvHwOnJ5YyyE5CaX1-QJ/view?usp=drivesdk</v>
      </c>
      <c r="C1401" s="156" t="str">
        <f>IFERROR(__xludf.DUMMYFUNCTION("""COMPUTED_VALUE"""),"10.17605--osf.io--xszk6.pdf")</f>
        <v>10.17605--osf.io--xszk6.pdf</v>
      </c>
      <c r="D1401" s="156" t="str">
        <f>IFERROR(__xludf.DUMMYFUNCTION("""COMPUTED_VALUE"""),"application/pdf")</f>
        <v>application/pdf</v>
      </c>
    </row>
    <row r="1402">
      <c r="A1402" s="156" t="str">
        <f>IFERROR(__xludf.DUMMYFUNCTION("""COMPUTED_VALUE"""),"10.1525/collabra.90195")</f>
        <v>10.1525/collabra.90195</v>
      </c>
      <c r="B1402" s="677" t="str">
        <f>IFERROR(__xludf.DUMMYFUNCTION("""COMPUTED_VALUE"""),"https://drive.google.com/file/d/1zJ3IIX26CyEcHOzgjGdLzzyONBKjM3Eo/view?usp=drivesdk")</f>
        <v>https://drive.google.com/file/d/1zJ3IIX26CyEcHOzgjGdLzzyONBKjM3Eo/view?usp=drivesdk</v>
      </c>
      <c r="C1402" s="156" t="str">
        <f>IFERROR(__xludf.DUMMYFUNCTION("""COMPUTED_VALUE"""),"10.1525--collabra.90195.pdf")</f>
        <v>10.1525--collabra.90195.pdf</v>
      </c>
      <c r="D1402" s="156" t="str">
        <f>IFERROR(__xludf.DUMMYFUNCTION("""COMPUTED_VALUE"""),"application/pdf")</f>
        <v>application/pdf</v>
      </c>
    </row>
    <row r="1403">
      <c r="A1403" s="156" t="str">
        <f>IFERROR(__xludf.DUMMYFUNCTION("""COMPUTED_VALUE"""),"10.17605/osf.io/rge23")</f>
        <v>10.17605/osf.io/rge23</v>
      </c>
      <c r="B1403" s="677" t="str">
        <f>IFERROR(__xludf.DUMMYFUNCTION("""COMPUTED_VALUE"""),"https://drive.google.com/file/d/1MU_8Il0xQzGs1_f54NK-Zrd4eZW93ir0/view?usp=drivesdk")</f>
        <v>https://drive.google.com/file/d/1MU_8Il0xQzGs1_f54NK-Zrd4eZW93ir0/view?usp=drivesdk</v>
      </c>
      <c r="C1403" s="156" t="str">
        <f>IFERROR(__xludf.DUMMYFUNCTION("""COMPUTED_VALUE"""),"10.17605--OSF.IO--RGE23.pdf")</f>
        <v>10.17605--OSF.IO--RGE23.pdf</v>
      </c>
      <c r="D1403" s="156" t="str">
        <f>IFERROR(__xludf.DUMMYFUNCTION("""COMPUTED_VALUE"""),"application/pdf")</f>
        <v>application/pdf</v>
      </c>
    </row>
    <row r="1404">
      <c r="A1404" s="156" t="str">
        <f>IFERROR(__xludf.DUMMYFUNCTION("""COMPUTED_VALUE"""),"10.31219/osf.io/q56rk")</f>
        <v>10.31219/osf.io/q56rk</v>
      </c>
      <c r="B1404" s="677" t="str">
        <f>IFERROR(__xludf.DUMMYFUNCTION("""COMPUTED_VALUE"""),"https://drive.google.com/file/d/1yocFVBuv9XJU51vARnUZQsxKqupCbK_0/view?usp=drivesdk")</f>
        <v>https://drive.google.com/file/d/1yocFVBuv9XJU51vARnUZQsxKqupCbK_0/view?usp=drivesdk</v>
      </c>
      <c r="C1404" s="156" t="str">
        <f>IFERROR(__xludf.DUMMYFUNCTION("""COMPUTED_VALUE"""),"10.31219--osf.io--q56rk.pdf")</f>
        <v>10.31219--osf.io--q56rk.pdf</v>
      </c>
      <c r="D1404" s="156" t="str">
        <f>IFERROR(__xludf.DUMMYFUNCTION("""COMPUTED_VALUE"""),"application/pdf")</f>
        <v>application/pdf</v>
      </c>
    </row>
    <row r="1405">
      <c r="A1405" s="156" t="str">
        <f>IFERROR(__xludf.DUMMYFUNCTION("""COMPUTED_VALUE"""),"10.31234/osf.io/fmdqe")</f>
        <v>10.31234/osf.io/fmdqe</v>
      </c>
      <c r="B1405" s="677" t="str">
        <f>IFERROR(__xludf.DUMMYFUNCTION("""COMPUTED_VALUE"""),"https://drive.google.com/file/d/1E8ftV9CM3P94L7a22AIu7lnoeVPVf27T/view?usp=drivesdk")</f>
        <v>https://drive.google.com/file/d/1E8ftV9CM3P94L7a22AIu7lnoeVPVf27T/view?usp=drivesdk</v>
      </c>
      <c r="C1405" s="156" t="str">
        <f>IFERROR(__xludf.DUMMYFUNCTION("""COMPUTED_VALUE"""),"10.31234--osf.io--fmdqe.pdf")</f>
        <v>10.31234--osf.io--fmdqe.pdf</v>
      </c>
      <c r="D1405" s="156" t="str">
        <f>IFERROR(__xludf.DUMMYFUNCTION("""COMPUTED_VALUE"""),"application/pdf")</f>
        <v>application/pdf</v>
      </c>
    </row>
    <row r="1406">
      <c r="A1406" s="156" t="str">
        <f>IFERROR(__xludf.DUMMYFUNCTION("""COMPUTED_VALUE"""),"10.17605/osf.io/w34fb")</f>
        <v>10.17605/osf.io/w34fb</v>
      </c>
      <c r="B1406" s="677" t="str">
        <f>IFERROR(__xludf.DUMMYFUNCTION("""COMPUTED_VALUE"""),"https://drive.google.com/file/d/1kuZMXucDUjsuAZIHhRprBpqylwerd6Dn/view?usp=drivesdk")</f>
        <v>https://drive.google.com/file/d/1kuZMXucDUjsuAZIHhRprBpqylwerd6Dn/view?usp=drivesdk</v>
      </c>
      <c r="C1406" s="156" t="str">
        <f>IFERROR(__xludf.DUMMYFUNCTION("""COMPUTED_VALUE"""),"10.17605--OSF.IO--W34FB.pdf")</f>
        <v>10.17605--OSF.IO--W34FB.pdf</v>
      </c>
      <c r="D1406" s="156" t="str">
        <f>IFERROR(__xludf.DUMMYFUNCTION("""COMPUTED_VALUE"""),"application/pdf")</f>
        <v>application/pdf</v>
      </c>
    </row>
    <row r="1407">
      <c r="A1407" s="156" t="str">
        <f>IFERROR(__xludf.DUMMYFUNCTION("""COMPUTED_VALUE"""),"10.17605/osf.io/ahcpw")</f>
        <v>10.17605/osf.io/ahcpw</v>
      </c>
      <c r="B1407" s="677" t="str">
        <f>IFERROR(__xludf.DUMMYFUNCTION("""COMPUTED_VALUE"""),"https://drive.google.com/file/d/1W0CUphORn0RFZC7vPbiY_o1c0-1VZraH/view?usp=drivesdk")</f>
        <v>https://drive.google.com/file/d/1W0CUphORn0RFZC7vPbiY_o1c0-1VZraH/view?usp=drivesdk</v>
      </c>
      <c r="C1407" s="156" t="str">
        <f>IFERROR(__xludf.DUMMYFUNCTION("""COMPUTED_VALUE"""),"10.17605--OSF.IO--AHCPW.pdf")</f>
        <v>10.17605--OSF.IO--AHCPW.pdf</v>
      </c>
      <c r="D1407" s="156" t="str">
        <f>IFERROR(__xludf.DUMMYFUNCTION("""COMPUTED_VALUE"""),"application/pdf")</f>
        <v>application/pdf</v>
      </c>
    </row>
    <row r="1408">
      <c r="A1408" s="156" t="str">
        <f>IFERROR(__xludf.DUMMYFUNCTION("""COMPUTED_VALUE"""),"10.17605/osf.io/wmqtb")</f>
        <v>10.17605/osf.io/wmqtb</v>
      </c>
      <c r="B1408" s="677" t="str">
        <f>IFERROR(__xludf.DUMMYFUNCTION("""COMPUTED_VALUE"""),"https://drive.google.com/file/d/1PDKoHtQZCcgd680LTG8t4vrEuAzIz9ad/view?usp=drivesdk")</f>
        <v>https://drive.google.com/file/d/1PDKoHtQZCcgd680LTG8t4vrEuAzIz9ad/view?usp=drivesdk</v>
      </c>
      <c r="C1408" s="156" t="str">
        <f>IFERROR(__xludf.DUMMYFUNCTION("""COMPUTED_VALUE"""),"10.17605--OSF.IO--WMQTB.pdf")</f>
        <v>10.17605--OSF.IO--WMQTB.pdf</v>
      </c>
      <c r="D1408" s="156" t="str">
        <f>IFERROR(__xludf.DUMMYFUNCTION("""COMPUTED_VALUE"""),"application/pdf")</f>
        <v>application/pdf</v>
      </c>
    </row>
    <row r="1409">
      <c r="A1409" s="156" t="str">
        <f>IFERROR(__xludf.DUMMYFUNCTION("""COMPUTED_VALUE"""),"10.17605/osf.io/qswe3")</f>
        <v>10.17605/osf.io/qswe3</v>
      </c>
      <c r="B1409" s="677" t="str">
        <f>IFERROR(__xludf.DUMMYFUNCTION("""COMPUTED_VALUE"""),"https://drive.google.com/file/d/11RiWnq8pFq46fCmi2IyjWnAfJQKfNnhw/view?usp=drivesdk")</f>
        <v>https://drive.google.com/file/d/11RiWnq8pFq46fCmi2IyjWnAfJQKfNnhw/view?usp=drivesdk</v>
      </c>
      <c r="C1409" s="156" t="str">
        <f>IFERROR(__xludf.DUMMYFUNCTION("""COMPUTED_VALUE"""),"10.17605--osf.io--qswe3.pdf")</f>
        <v>10.17605--osf.io--qswe3.pdf</v>
      </c>
      <c r="D1409" s="156" t="str">
        <f>IFERROR(__xludf.DUMMYFUNCTION("""COMPUTED_VALUE"""),"application/pdf")</f>
        <v>application/pdf</v>
      </c>
    </row>
    <row r="1410">
      <c r="A1410" s="156" t="str">
        <f>IFERROR(__xludf.DUMMYFUNCTION("""COMPUTED_VALUE"""),"10.17605/osf.io/j9mfn")</f>
        <v>10.17605/osf.io/j9mfn</v>
      </c>
      <c r="B1410" s="677" t="str">
        <f>IFERROR(__xludf.DUMMYFUNCTION("""COMPUTED_VALUE"""),"https://drive.google.com/file/d/1bDJ3pwRi1ppkk2s4X1b8y4ek_Sslv5NN/view?usp=drivesdk")</f>
        <v>https://drive.google.com/file/d/1bDJ3pwRi1ppkk2s4X1b8y4ek_Sslv5NN/view?usp=drivesdk</v>
      </c>
      <c r="C1410" s="156" t="str">
        <f>IFERROR(__xludf.DUMMYFUNCTION("""COMPUTED_VALUE"""),"10.17605--osf.io--j9mfn.pdf")</f>
        <v>10.17605--osf.io--j9mfn.pdf</v>
      </c>
      <c r="D1410" s="156" t="str">
        <f>IFERROR(__xludf.DUMMYFUNCTION("""COMPUTED_VALUE"""),"application/pdf")</f>
        <v>application/pdf</v>
      </c>
    </row>
    <row r="1411">
      <c r="A1411" s="156" t="str">
        <f>IFERROR(__xludf.DUMMYFUNCTION("""COMPUTED_VALUE"""),"10.1006/cogp.1998.0708 ")</f>
        <v>10.1006/cogp.1998.0708 </v>
      </c>
      <c r="B1411" s="677" t="str">
        <f>IFERROR(__xludf.DUMMYFUNCTION("""COMPUTED_VALUE"""),"https://drive.google.com/file/d/1NPlZP4bn4bZ8vzkLAPzQSx9k0p8LfsrH/view?usp=drivesdk")</f>
        <v>https://drive.google.com/file/d/1NPlZP4bn4bZ8vzkLAPzQSx9k0p8LfsrH/view?usp=drivesdk</v>
      </c>
      <c r="C1411" s="156" t="str">
        <f>IFERROR(__xludf.DUMMYFUNCTION("""COMPUTED_VALUE"""),"10.1006--cogp.1998.0708 .pdf")</f>
        <v>10.1006--cogp.1998.0708 .pdf</v>
      </c>
      <c r="D1411" s="156" t="str">
        <f>IFERROR(__xludf.DUMMYFUNCTION("""COMPUTED_VALUE"""),"application/pdf")</f>
        <v>application/pdf</v>
      </c>
    </row>
    <row r="1412">
      <c r="A1412" s="156" t="str">
        <f>IFERROR(__xludf.DUMMYFUNCTION("""COMPUTED_VALUE"""),"10.17605/osf.io/g2zv6")</f>
        <v>10.17605/osf.io/g2zv6</v>
      </c>
      <c r="B1412" s="677" t="str">
        <f>IFERROR(__xludf.DUMMYFUNCTION("""COMPUTED_VALUE"""),"https://drive.google.com/file/d/1QCtMPgPaK1vRobFSTRf0XLLASYR6qVht/view?usp=drivesdk")</f>
        <v>https://drive.google.com/file/d/1QCtMPgPaK1vRobFSTRf0XLLASYR6qVht/view?usp=drivesdk</v>
      </c>
      <c r="C1412" s="156" t="str">
        <f>IFERROR(__xludf.DUMMYFUNCTION("""COMPUTED_VALUE"""),"10.17605--osf.io--g2zv6.pdf")</f>
        <v>10.17605--osf.io--g2zv6.pdf</v>
      </c>
      <c r="D1412" s="156" t="str">
        <f>IFERROR(__xludf.DUMMYFUNCTION("""COMPUTED_VALUE"""),"application/pdf")</f>
        <v>application/pdf</v>
      </c>
    </row>
    <row r="1413">
      <c r="A1413" s="156" t="str">
        <f>IFERROR(__xludf.DUMMYFUNCTION("""COMPUTED_VALUE"""),"10.1525/collabra.90203")</f>
        <v>10.1525/collabra.90203</v>
      </c>
      <c r="B1413" s="677" t="str">
        <f>IFERROR(__xludf.DUMMYFUNCTION("""COMPUTED_VALUE"""),"https://drive.google.com/file/d/1JoIbJ4bMgr0MnpZG6ldfkjP1GD2XKao-/view?usp=drivesdk")</f>
        <v>https://drive.google.com/file/d/1JoIbJ4bMgr0MnpZG6ldfkjP1GD2XKao-/view?usp=drivesdk</v>
      </c>
      <c r="C1413" s="156" t="str">
        <f>IFERROR(__xludf.DUMMYFUNCTION("""COMPUTED_VALUE"""),"10.1525--collabra.90203.pdf")</f>
        <v>10.1525--collabra.90203.pdf</v>
      </c>
      <c r="D1413" s="156" t="str">
        <f>IFERROR(__xludf.DUMMYFUNCTION("""COMPUTED_VALUE"""),"application/pdf")</f>
        <v>application/pdf</v>
      </c>
    </row>
    <row r="1414">
      <c r="A1414" s="156" t="str">
        <f>IFERROR(__xludf.DUMMYFUNCTION("""COMPUTED_VALUE"""),"10.1525/collabra.77859")</f>
        <v>10.1525/collabra.77859</v>
      </c>
      <c r="B1414" s="677" t="str">
        <f>IFERROR(__xludf.DUMMYFUNCTION("""COMPUTED_VALUE"""),"https://drive.google.com/file/d/1WXWZjoJuCokLmlH9bIcycOTiPT_Yg1j7/view?usp=drivesdk")</f>
        <v>https://drive.google.com/file/d/1WXWZjoJuCokLmlH9bIcycOTiPT_Yg1j7/view?usp=drivesdk</v>
      </c>
      <c r="C1414" s="156" t="str">
        <f>IFERROR(__xludf.DUMMYFUNCTION("""COMPUTED_VALUE"""),"10.1525--collabra.77859.pdf")</f>
        <v>10.1525--collabra.77859.pdf</v>
      </c>
      <c r="D1414" s="156" t="str">
        <f>IFERROR(__xludf.DUMMYFUNCTION("""COMPUTED_VALUE"""),"application/pdf")</f>
        <v>application/pdf</v>
      </c>
    </row>
    <row r="1415">
      <c r="A1415" s="156" t="str">
        <f>IFERROR(__xludf.DUMMYFUNCTION("""COMPUTED_VALUE"""),"10.1017/jdm.2024.31")</f>
        <v>10.1017/jdm.2024.31</v>
      </c>
      <c r="B1415" s="677" t="str">
        <f>IFERROR(__xludf.DUMMYFUNCTION("""COMPUTED_VALUE"""),"https://drive.google.com/file/d/1wu43s4B3jFXzDqV2LFAy4XLqlQEsmSc4/view?usp=drivesdk")</f>
        <v>https://drive.google.com/file/d/1wu43s4B3jFXzDqV2LFAy4XLqlQEsmSc4/view?usp=drivesdk</v>
      </c>
      <c r="C1415" s="156" t="str">
        <f>IFERROR(__xludf.DUMMYFUNCTION("""COMPUTED_VALUE"""),"10.1017--jdm.2024.31.pdf")</f>
        <v>10.1017--jdm.2024.31.pdf</v>
      </c>
      <c r="D1415" s="156" t="str">
        <f>IFERROR(__xludf.DUMMYFUNCTION("""COMPUTED_VALUE"""),"application/pdf")</f>
        <v>application/pdf</v>
      </c>
    </row>
    <row r="1416">
      <c r="A1416" s="156" t="str">
        <f>IFERROR(__xludf.DUMMYFUNCTION("""COMPUTED_VALUE"""),"10.31234/osf.io/bgp3m")</f>
        <v>10.31234/osf.io/bgp3m</v>
      </c>
      <c r="B1416" s="677" t="str">
        <f>IFERROR(__xludf.DUMMYFUNCTION("""COMPUTED_VALUE"""),"https://drive.google.com/file/d/1hVwbIyW3epWRQsMMft62XMBr_6n68gLn/view?usp=drivesdk")</f>
        <v>https://drive.google.com/file/d/1hVwbIyW3epWRQsMMft62XMBr_6n68gLn/view?usp=drivesdk</v>
      </c>
      <c r="C1416" s="156" t="str">
        <f>IFERROR(__xludf.DUMMYFUNCTION("""COMPUTED_VALUE"""),"10.31234--osf.io--bgp3m.pdf")</f>
        <v>10.31234--osf.io--bgp3m.pdf</v>
      </c>
      <c r="D1416" s="156" t="str">
        <f>IFERROR(__xludf.DUMMYFUNCTION("""COMPUTED_VALUE"""),"application/pdf")</f>
        <v>application/pdf</v>
      </c>
    </row>
    <row r="1417">
      <c r="A1417" s="156" t="str">
        <f>IFERROR(__xludf.DUMMYFUNCTION("""COMPUTED_VALUE"""),"10.1525/collabra.87489")</f>
        <v>10.1525/collabra.87489</v>
      </c>
      <c r="B1417" s="677" t="str">
        <f>IFERROR(__xludf.DUMMYFUNCTION("""COMPUTED_VALUE"""),"https://drive.google.com/file/d/1LiwZlG2IZrVOJUW6jAvbA4ha8g_h2NIZ/view?usp=drivesdk")</f>
        <v>https://drive.google.com/file/d/1LiwZlG2IZrVOJUW6jAvbA4ha8g_h2NIZ/view?usp=drivesdk</v>
      </c>
      <c r="C1417" s="156" t="str">
        <f>IFERROR(__xludf.DUMMYFUNCTION("""COMPUTED_VALUE"""),"10.1525--collabra.87489.pdf")</f>
        <v>10.1525--collabra.87489.pdf</v>
      </c>
      <c r="D1417" s="156" t="str">
        <f>IFERROR(__xludf.DUMMYFUNCTION("""COMPUTED_VALUE"""),"application/pdf")</f>
        <v>application/pdf</v>
      </c>
    </row>
    <row r="1418">
      <c r="A1418" s="156" t="str">
        <f>IFERROR(__xludf.DUMMYFUNCTION("""COMPUTED_VALUE"""),"10.17605/osf.io/knjhu")</f>
        <v>10.17605/osf.io/knjhu</v>
      </c>
      <c r="B1418" s="677" t="str">
        <f>IFERROR(__xludf.DUMMYFUNCTION("""COMPUTED_VALUE"""),"https://drive.google.com/file/d/1rJA29LnGvbhxw8zfcr7Wgg8rIAjK2KiH/view?usp=drivesdk")</f>
        <v>https://drive.google.com/file/d/1rJA29LnGvbhxw8zfcr7Wgg8rIAjK2KiH/view?usp=drivesdk</v>
      </c>
      <c r="C1418" s="156" t="str">
        <f>IFERROR(__xludf.DUMMYFUNCTION("""COMPUTED_VALUE"""),"10.17605--osf.io--knjhu.pdf")</f>
        <v>10.17605--osf.io--knjhu.pdf</v>
      </c>
      <c r="D1418" s="156" t="str">
        <f>IFERROR(__xludf.DUMMYFUNCTION("""COMPUTED_VALUE"""),"application/pdf")</f>
        <v>application/pdf</v>
      </c>
    </row>
    <row r="1419">
      <c r="A1419" s="156" t="str">
        <f>IFERROR(__xludf.DUMMYFUNCTION("""COMPUTED_VALUE"""),"10.17605/osf.io/j3ue4")</f>
        <v>10.17605/osf.io/j3ue4</v>
      </c>
      <c r="B1419" s="677" t="str">
        <f>IFERROR(__xludf.DUMMYFUNCTION("""COMPUTED_VALUE"""),"https://drive.google.com/file/d/1M3Kcp-hJiTCZoge7BWs2lQExUWb9tCTn/view?usp=drivesdk")</f>
        <v>https://drive.google.com/file/d/1M3Kcp-hJiTCZoge7BWs2lQExUWb9tCTn/view?usp=drivesdk</v>
      </c>
      <c r="C1419" s="156" t="str">
        <f>IFERROR(__xludf.DUMMYFUNCTION("""COMPUTED_VALUE"""),"10.17605--OSF.IO--J3UE4.pdf")</f>
        <v>10.17605--OSF.IO--J3UE4.pdf</v>
      </c>
      <c r="D1419" s="156" t="str">
        <f>IFERROR(__xludf.DUMMYFUNCTION("""COMPUTED_VALUE"""),"application/pdf")</f>
        <v>application/pdf</v>
      </c>
    </row>
    <row r="1420">
      <c r="A1420" s="156" t="str">
        <f>IFERROR(__xludf.DUMMYFUNCTION("""COMPUTED_VALUE"""),"10.1 037/0022-3514.83.1.138 ")</f>
        <v>10.1 037/0022-3514.83.1.138 </v>
      </c>
      <c r="B1420" s="677" t="str">
        <f>IFERROR(__xludf.DUMMYFUNCTION("""COMPUTED_VALUE"""),"https://drive.google.com/file/d/1XPocD-WcJY0ehPEGHc6H2GH8HD_rE_5b/view?usp=drivesdk")</f>
        <v>https://drive.google.com/file/d/1XPocD-WcJY0ehPEGHc6H2GH8HD_rE_5b/view?usp=drivesdk</v>
      </c>
      <c r="C1420" s="156" t="str">
        <f>IFERROR(__xludf.DUMMYFUNCTION("""COMPUTED_VALUE"""),"10.1 037--0022-3514.83.1.138 .pdf")</f>
        <v>10.1 037--0022-3514.83.1.138 .pdf</v>
      </c>
      <c r="D1420" s="156" t="str">
        <f>IFERROR(__xludf.DUMMYFUNCTION("""COMPUTED_VALUE"""),"application/pdf")</f>
        <v>application/pdf</v>
      </c>
    </row>
    <row r="1421">
      <c r="A1421" s="156" t="str">
        <f>IFERROR(__xludf.DUMMYFUNCTION("""COMPUTED_VALUE"""),"10.1017/s1930297500008299")</f>
        <v>10.1017/s1930297500008299</v>
      </c>
      <c r="B1421" s="677" t="str">
        <f>IFERROR(__xludf.DUMMYFUNCTION("""COMPUTED_VALUE"""),"https://drive.google.com/file/d/1r29pQfWkFgN2tABwJBE-wIp01T7N_7Qd/view?usp=drivesdk")</f>
        <v>https://drive.google.com/file/d/1r29pQfWkFgN2tABwJBE-wIp01T7N_7Qd/view?usp=drivesdk</v>
      </c>
      <c r="C1421" s="156" t="str">
        <f>IFERROR(__xludf.DUMMYFUNCTION("""COMPUTED_VALUE"""),"10.1017--S1930297500008299.pdf")</f>
        <v>10.1017--S1930297500008299.pdf</v>
      </c>
      <c r="D1421" s="156" t="str">
        <f>IFERROR(__xludf.DUMMYFUNCTION("""COMPUTED_VALUE"""),"application/pdf")</f>
        <v>application/pdf</v>
      </c>
    </row>
    <row r="1422">
      <c r="A1422" s="156" t="str">
        <f>IFERROR(__xludf.DUMMYFUNCTION("""COMPUTED_VALUE"""),"10.1016/j.joep.2022.102509")</f>
        <v>10.1016/j.joep.2022.102509</v>
      </c>
      <c r="B1422" s="677" t="str">
        <f>IFERROR(__xludf.DUMMYFUNCTION("""COMPUTED_VALUE"""),"https://drive.google.com/file/d/1IbnFcdqYKa94CoZ4waDe9EtSGfDeu_ZI/view?usp=drivesdk")</f>
        <v>https://drive.google.com/file/d/1IbnFcdqYKa94CoZ4waDe9EtSGfDeu_ZI/view?usp=drivesdk</v>
      </c>
      <c r="C1422" s="156" t="str">
        <f>IFERROR(__xludf.DUMMYFUNCTION("""COMPUTED_VALUE"""),"10.1016--j.joep.2022.102509.pdf")</f>
        <v>10.1016--j.joep.2022.102509.pdf</v>
      </c>
      <c r="D1422" s="156" t="str">
        <f>IFERROR(__xludf.DUMMYFUNCTION("""COMPUTED_VALUE"""),"application/pdf")</f>
        <v>application/pdf</v>
      </c>
    </row>
    <row r="1423">
      <c r="A1423" s="156" t="str">
        <f>IFERROR(__xludf.DUMMYFUNCTION("""COMPUTED_VALUE"""),"10.5334/irsp.571")</f>
        <v>10.5334/irsp.571</v>
      </c>
      <c r="B1423" s="677" t="str">
        <f>IFERROR(__xludf.DUMMYFUNCTION("""COMPUTED_VALUE"""),"https://drive.google.com/file/d/1fUwh6tES6nWfjFhphXedkoplbyeu2PNp/view?usp=drivesdk")</f>
        <v>https://drive.google.com/file/d/1fUwh6tES6nWfjFhphXedkoplbyeu2PNp/view?usp=drivesdk</v>
      </c>
      <c r="C1423" s="156" t="str">
        <f>IFERROR(__xludf.DUMMYFUNCTION("""COMPUTED_VALUE"""),"10.5334--irsp.571.pdf")</f>
        <v>10.5334--irsp.571.pdf</v>
      </c>
      <c r="D1423" s="156" t="str">
        <f>IFERROR(__xludf.DUMMYFUNCTION("""COMPUTED_VALUE"""),"application/pdf")</f>
        <v>application/pdf</v>
      </c>
    </row>
    <row r="1424">
      <c r="A1424" s="156" t="str">
        <f>IFERROR(__xludf.DUMMYFUNCTION("""COMPUTED_VALUE"""),"10.1177/1948550619900570")</f>
        <v>10.1177/1948550619900570</v>
      </c>
      <c r="B1424" s="677" t="str">
        <f>IFERROR(__xludf.DUMMYFUNCTION("""COMPUTED_VALUE"""),"https://drive.google.com/file/d/1Xx6QgIva8p6mSGTBtG0DO_L1XUGiEdOy/view?usp=drivesdk")</f>
        <v>https://drive.google.com/file/d/1Xx6QgIva8p6mSGTBtG0DO_L1XUGiEdOy/view?usp=drivesdk</v>
      </c>
      <c r="C1424" s="156" t="str">
        <f>IFERROR(__xludf.DUMMYFUNCTION("""COMPUTED_VALUE"""),"10.1177--1948550619900570.pdf")</f>
        <v>10.1177--1948550619900570.pdf</v>
      </c>
      <c r="D1424" s="156" t="str">
        <f>IFERROR(__xludf.DUMMYFUNCTION("""COMPUTED_VALUE"""),"application/pdf")</f>
        <v>application/pdf</v>
      </c>
    </row>
    <row r="1425">
      <c r="A1425" s="156" t="str">
        <f>IFERROR(__xludf.DUMMYFUNCTION("""COMPUTED_VALUE"""),"10.1016/j.joep.2020.102350")</f>
        <v>10.1016/j.joep.2020.102350</v>
      </c>
      <c r="B1425" s="677" t="str">
        <f>IFERROR(__xludf.DUMMYFUNCTION("""COMPUTED_VALUE"""),"https://drive.google.com/file/d/1vaRFC32s5FmX83iCFD1S-NraPnbz5YKp/view?usp=drivesdk")</f>
        <v>https://drive.google.com/file/d/1vaRFC32s5FmX83iCFD1S-NraPnbz5YKp/view?usp=drivesdk</v>
      </c>
      <c r="C1425" s="156" t="str">
        <f>IFERROR(__xludf.DUMMYFUNCTION("""COMPUTED_VALUE"""),"10.1016--j.joep.2020.102350.pdf")</f>
        <v>10.1016--j.joep.2020.102350.pdf</v>
      </c>
      <c r="D1425" s="156" t="str">
        <f>IFERROR(__xludf.DUMMYFUNCTION("""COMPUTED_VALUE"""),"application/pdf")</f>
        <v>application/pdf</v>
      </c>
    </row>
    <row r="1426">
      <c r="A1426" s="156" t="str">
        <f>IFERROR(__xludf.DUMMYFUNCTION("""COMPUTED_VALUE"""),"10.15626/mp.2020.2474")</f>
        <v>10.15626/mp.2020.2474</v>
      </c>
      <c r="B1426" s="677" t="str">
        <f>IFERROR(__xludf.DUMMYFUNCTION("""COMPUTED_VALUE"""),"https://drive.google.com/file/d/1sWZqmEkkeXGatLwg-tGBCoL6noJqcIMJ/view?usp=drivesdk")</f>
        <v>https://drive.google.com/file/d/1sWZqmEkkeXGatLwg-tGBCoL6noJqcIMJ/view?usp=drivesdk</v>
      </c>
      <c r="C1426" s="156" t="str">
        <f>IFERROR(__xludf.DUMMYFUNCTION("""COMPUTED_VALUE"""),"10.15626--mp.2020.2474.pdf")</f>
        <v>10.15626--mp.2020.2474.pdf</v>
      </c>
      <c r="D1426" s="156" t="str">
        <f>IFERROR(__xludf.DUMMYFUNCTION("""COMPUTED_VALUE"""),"application/pdf")</f>
        <v>application/pdf</v>
      </c>
    </row>
    <row r="1427">
      <c r="A1427" s="156" t="str">
        <f>IFERROR(__xludf.DUMMYFUNCTION("""COMPUTED_VALUE"""),"10.31234/osf.io/nymh2")</f>
        <v>10.31234/osf.io/nymh2</v>
      </c>
      <c r="B1427" s="677" t="str">
        <f>IFERROR(__xludf.DUMMYFUNCTION("""COMPUTED_VALUE"""),"https://drive.google.com/file/d/1zWO3Te4TYOczF9AdKeKNNPy_EgmrEhFQ/view?usp=drivesdk")</f>
        <v>https://drive.google.com/file/d/1zWO3Te4TYOczF9AdKeKNNPy_EgmrEhFQ/view?usp=drivesdk</v>
      </c>
      <c r="C1427" s="156" t="str">
        <f>IFERROR(__xludf.DUMMYFUNCTION("""COMPUTED_VALUE"""),"10.31234--osf.io--nymh2.pdf")</f>
        <v>10.31234--osf.io--nymh2.pdf</v>
      </c>
      <c r="D1427" s="156" t="str">
        <f>IFERROR(__xludf.DUMMYFUNCTION("""COMPUTED_VALUE"""),"application/pdf")</f>
        <v>application/pdf</v>
      </c>
    </row>
    <row r="1428">
      <c r="A1428" s="156" t="str">
        <f>IFERROR(__xludf.DUMMYFUNCTION("""COMPUTED_VALUE"""),"10.1111/j.1467-9280.2006.01704")</f>
        <v>10.1111/j.1467-9280.2006.01704</v>
      </c>
      <c r="B1428" s="677" t="str">
        <f>IFERROR(__xludf.DUMMYFUNCTION("""COMPUTED_VALUE"""),"https://drive.google.com/file/d/17YCUYLdK2bmKj2dFytg-3Hcav7hORmjF/view?usp=drivesdk")</f>
        <v>https://drive.google.com/file/d/17YCUYLdK2bmKj2dFytg-3Hcav7hORmjF/view?usp=drivesdk</v>
      </c>
      <c r="C1428" s="156" t="str">
        <f>IFERROR(__xludf.DUMMYFUNCTION("""COMPUTED_VALUE"""),"10.1111--j.1467-9280.2006.01704.pdf")</f>
        <v>10.1111--j.1467-9280.2006.01704.pdf</v>
      </c>
      <c r="D1428" s="156" t="str">
        <f>IFERROR(__xludf.DUMMYFUNCTION("""COMPUTED_VALUE"""),"application/pdf")</f>
        <v>application/pdf</v>
      </c>
    </row>
    <row r="1429">
      <c r="A1429" s="156" t="str">
        <f>IFERROR(__xludf.DUMMYFUNCTION("""COMPUTED_VALUE"""),"10.1037/0022-3514.80.4.572")</f>
        <v>10.1037/0022-3514.80.4.572</v>
      </c>
      <c r="B1429" s="677" t="str">
        <f>IFERROR(__xludf.DUMMYFUNCTION("""COMPUTED_VALUE"""),"https://drive.google.com/file/d/1QvUfdkDMI3SPlbbwVXLbTp8M6pfamBMY/view?usp=drivesdk")</f>
        <v>https://drive.google.com/file/d/1QvUfdkDMI3SPlbbwVXLbTp8M6pfamBMY/view?usp=drivesdk</v>
      </c>
      <c r="C1429" s="156" t="str">
        <f>IFERROR(__xludf.DUMMYFUNCTION("""COMPUTED_VALUE"""),"10.1037--0022-3514.80.4.572.pdf")</f>
        <v>10.1037--0022-3514.80.4.572.pdf</v>
      </c>
      <c r="D1429" s="156" t="str">
        <f>IFERROR(__xludf.DUMMYFUNCTION("""COMPUTED_VALUE"""),"application/pdf")</f>
        <v>application/pdf</v>
      </c>
    </row>
    <row r="1430">
      <c r="A1430" s="156" t="str">
        <f>IFERROR(__xludf.DUMMYFUNCTION("""COMPUTED_VALUE"""),"10.1037/0022-3514.80.4.557 ")</f>
        <v>10.1037/0022-3514.80.4.557 </v>
      </c>
      <c r="B1430" s="677" t="str">
        <f>IFERROR(__xludf.DUMMYFUNCTION("""COMPUTED_VALUE"""),"https://drive.google.com/file/d/1m-p97HFQo5qMQ15DhKUlIxthzr2Db59Q/view?usp=drivesdk")</f>
        <v>https://drive.google.com/file/d/1m-p97HFQo5qMQ15DhKUlIxthzr2Db59Q/view?usp=drivesdk</v>
      </c>
      <c r="C1430" s="156" t="str">
        <f>IFERROR(__xludf.DUMMYFUNCTION("""COMPUTED_VALUE"""),"10.1037--0022-3514.80.4.557 .pdf")</f>
        <v>10.1037--0022-3514.80.4.557 .pdf</v>
      </c>
      <c r="D1430" s="156" t="str">
        <f>IFERROR(__xludf.DUMMYFUNCTION("""COMPUTED_VALUE"""),"application/pdf")</f>
        <v>application/pdf</v>
      </c>
    </row>
    <row r="1431">
      <c r="A1431" s="156" t="str">
        <f>IFERROR(__xludf.DUMMYFUNCTION("""COMPUTED_VALUE"""),"10.1037/0096-3445.136.2.28")</f>
        <v>10.1037/0096-3445.136.2.28</v>
      </c>
      <c r="B1431" s="677" t="str">
        <f>IFERROR(__xludf.DUMMYFUNCTION("""COMPUTED_VALUE"""),"https://drive.google.com/file/d/1dUxvMZjgQ7MdwLSzjaV-9rtrhizY73Qq/view?usp=drivesdk")</f>
        <v>https://drive.google.com/file/d/1dUxvMZjgQ7MdwLSzjaV-9rtrhizY73Qq/view?usp=drivesdk</v>
      </c>
      <c r="C1431" s="156" t="str">
        <f>IFERROR(__xludf.DUMMYFUNCTION("""COMPUTED_VALUE"""),"10.1037--0096-3445.136.2.28.pdf")</f>
        <v>10.1037--0096-3445.136.2.28.pdf</v>
      </c>
      <c r="D1431" s="156" t="str">
        <f>IFERROR(__xludf.DUMMYFUNCTION("""COMPUTED_VALUE"""),"application/pdf")</f>
        <v>application/pdf</v>
      </c>
    </row>
    <row r="1432">
      <c r="A1432" s="156" t="str">
        <f>IFERROR(__xludf.DUMMYFUNCTION("""COMPUTED_VALUE"""),"ssrn-1079969")</f>
        <v>ssrn-1079969</v>
      </c>
      <c r="B1432" s="677" t="str">
        <f>IFERROR(__xludf.DUMMYFUNCTION("""COMPUTED_VALUE"""),"https://drive.google.com/file/d/1JLlKlCuSQlmgo2DzVVO1nOLTtvV40xkm/view?usp=drivesdk")</f>
        <v>https://drive.google.com/file/d/1JLlKlCuSQlmgo2DzVVO1nOLTtvV40xkm/view?usp=drivesdk</v>
      </c>
      <c r="C1432" s="156" t="str">
        <f>IFERROR(__xludf.DUMMYFUNCTION("""COMPUTED_VALUE"""),"ssrn-1079969.pdf")</f>
        <v>ssrn-1079969.pdf</v>
      </c>
      <c r="D1432" s="156" t="str">
        <f>IFERROR(__xludf.DUMMYFUNCTION("""COMPUTED_VALUE"""),"application/pdf")</f>
        <v>application/pdf</v>
      </c>
    </row>
    <row r="1433">
      <c r="A1433" s="156" t="str">
        <f>IFERROR(__xludf.DUMMYFUNCTION("""COMPUTED_VALUE"""),"10.15626/mp.2020.2470")</f>
        <v>10.15626/mp.2020.2470</v>
      </c>
      <c r="B1433" s="677" t="str">
        <f>IFERROR(__xludf.DUMMYFUNCTION("""COMPUTED_VALUE"""),"https://drive.google.com/file/d/1_pOqDTU5epsX-idKhrkkAxlKE653TmOR/view?usp=drivesdk")</f>
        <v>https://drive.google.com/file/d/1_pOqDTU5epsX-idKhrkkAxlKE653TmOR/view?usp=drivesdk</v>
      </c>
      <c r="C1433" s="156" t="str">
        <f>IFERROR(__xludf.DUMMYFUNCTION("""COMPUTED_VALUE"""),"10.15626--mp.2020.2470.pdf")</f>
        <v>10.15626--mp.2020.2470.pdf</v>
      </c>
      <c r="D1433" s="156" t="str">
        <f>IFERROR(__xludf.DUMMYFUNCTION("""COMPUTED_VALUE"""),"application/pdf")</f>
        <v>application/pdf</v>
      </c>
    </row>
    <row r="1434">
      <c r="A1434" s="156" t="str">
        <f>IFERROR(__xludf.DUMMYFUNCTION("""COMPUTED_VALUE"""),"10.15626/mp.2019.2134")</f>
        <v>10.15626/mp.2019.2134</v>
      </c>
      <c r="B1434" s="677" t="str">
        <f>IFERROR(__xludf.DUMMYFUNCTION("""COMPUTED_VALUE"""),"https://drive.google.com/file/d/1d2fLvnplh_NO2a1uAGhqpM65R0uTLv82/view?usp=drivesdk")</f>
        <v>https://drive.google.com/file/d/1d2fLvnplh_NO2a1uAGhqpM65R0uTLv82/view?usp=drivesdk</v>
      </c>
      <c r="C1434" s="156" t="str">
        <f>IFERROR(__xludf.DUMMYFUNCTION("""COMPUTED_VALUE"""),"10.15626--mp.2019.2134.pdf")</f>
        <v>10.15626--mp.2019.2134.pdf</v>
      </c>
      <c r="D1434" s="156" t="str">
        <f>IFERROR(__xludf.DUMMYFUNCTION("""COMPUTED_VALUE"""),"application/pdf")</f>
        <v>application/pdf</v>
      </c>
    </row>
    <row r="1435">
      <c r="A1435" s="156" t="str">
        <f>IFERROR(__xludf.DUMMYFUNCTION("""COMPUTED_VALUE"""),"10.17605/osf.io/4hjck")</f>
        <v>10.17605/osf.io/4hjck</v>
      </c>
      <c r="B1435" s="677" t="str">
        <f>IFERROR(__xludf.DUMMYFUNCTION("""COMPUTED_VALUE"""),"https://drive.google.com/file/d/1MxLG3K_pacLhCrOW7msCJcgwusz4dOsU/view?usp=drivesdk")</f>
        <v>https://drive.google.com/file/d/1MxLG3K_pacLhCrOW7msCJcgwusz4dOsU/view?usp=drivesdk</v>
      </c>
      <c r="C1435" s="156" t="str">
        <f>IFERROR(__xludf.DUMMYFUNCTION("""COMPUTED_VALUE"""),"10.17605--OSF.IO--4HJCK.pdf")</f>
        <v>10.17605--OSF.IO--4HJCK.pdf</v>
      </c>
      <c r="D1435" s="156" t="str">
        <f>IFERROR(__xludf.DUMMYFUNCTION("""COMPUTED_VALUE"""),"application/pdf")</f>
        <v>application/pdf</v>
      </c>
    </row>
    <row r="1436">
      <c r="A1436" s="156" t="str">
        <f>IFERROR(__xludf.DUMMYFUNCTION("""COMPUTED_VALUE"""),"10.1017/s1930297500008470")</f>
        <v>10.1017/s1930297500008470</v>
      </c>
      <c r="B1436" s="677" t="str">
        <f>IFERROR(__xludf.DUMMYFUNCTION("""COMPUTED_VALUE"""),"https://drive.google.com/file/d/1to80T71Y9i6WJ0JPLv5eu4jV5Hm38qQ7/view?usp=drivesdk")</f>
        <v>https://drive.google.com/file/d/1to80T71Y9i6WJ0JPLv5eu4jV5Hm38qQ7/view?usp=drivesdk</v>
      </c>
      <c r="C1436" s="156" t="str">
        <f>IFERROR(__xludf.DUMMYFUNCTION("""COMPUTED_VALUE"""),"10.1017--S1930297500008470.pdf")</f>
        <v>10.1017--S1930297500008470.pdf</v>
      </c>
      <c r="D1436" s="156" t="str">
        <f>IFERROR(__xludf.DUMMYFUNCTION("""COMPUTED_VALUE"""),"application/pdf")</f>
        <v>application/pdf</v>
      </c>
    </row>
    <row r="1437">
      <c r="A1437" s="156" t="str">
        <f>IFERROR(__xludf.DUMMYFUNCTION("""COMPUTED_VALUE"""),"latham_2012")</f>
        <v>latham_2012</v>
      </c>
      <c r="B1437" s="677" t="str">
        <f>IFERROR(__xludf.DUMMYFUNCTION("""COMPUTED_VALUE"""),"https://drive.google.com/file/d/1HRPyXT_yPMMj7S90no28KiC05Fv8dG4x/view?usp=drivesdk")</f>
        <v>https://drive.google.com/file/d/1HRPyXT_yPMMj7S90no28KiC05Fv8dG4x/view?usp=drivesdk</v>
      </c>
      <c r="C1437" s="156" t="str">
        <f>IFERROR(__xludf.DUMMYFUNCTION("""COMPUTED_VALUE"""),"latham_2012.pdf")</f>
        <v>latham_2012.pdf</v>
      </c>
      <c r="D1437" s="156" t="str">
        <f>IFERROR(__xludf.DUMMYFUNCTION("""COMPUTED_VALUE"""),"application/pdf")</f>
        <v>application/pdf</v>
      </c>
    </row>
    <row r="1438">
      <c r="A1438" s="156" t="str">
        <f>IFERROR(__xludf.DUMMYFUNCTION("""COMPUTED_VALUE"""),"ramsay_2013")</f>
        <v>ramsay_2013</v>
      </c>
      <c r="B1438" s="677" t="str">
        <f>IFERROR(__xludf.DUMMYFUNCTION("""COMPUTED_VALUE"""),"https://drive.google.com/file/d/13utbybgNxGWl4f76AOUTFpqbbUPXSuno/view?usp=drivesdk")</f>
        <v>https://drive.google.com/file/d/13utbybgNxGWl4f76AOUTFpqbbUPXSuno/view?usp=drivesdk</v>
      </c>
      <c r="C1438" s="156" t="str">
        <f>IFERROR(__xludf.DUMMYFUNCTION("""COMPUTED_VALUE"""),"ramsay_2013.pdf")</f>
        <v>ramsay_2013.pdf</v>
      </c>
      <c r="D1438" s="156" t="str">
        <f>IFERROR(__xludf.DUMMYFUNCTION("""COMPUTED_VALUE"""),"application/pdf")</f>
        <v>application/pdf</v>
      </c>
    </row>
    <row r="1439">
      <c r="A1439" s="156" t="str">
        <f>IFERROR(__xludf.DUMMYFUNCTION("""COMPUTED_VALUE"""),"10.1111/spc3.12557")</f>
        <v>10.1111/spc3.12557</v>
      </c>
      <c r="B1439" s="677" t="str">
        <f>IFERROR(__xludf.DUMMYFUNCTION("""COMPUTED_VALUE"""),"https://drive.google.com/file/d/1EpEjTLrdBVZGDIrD2HvyE-VeuCqCQJDX/view?usp=drivesdk")</f>
        <v>https://drive.google.com/file/d/1EpEjTLrdBVZGDIrD2HvyE-VeuCqCQJDX/view?usp=drivesdk</v>
      </c>
      <c r="C1439" s="156" t="str">
        <f>IFERROR(__xludf.DUMMYFUNCTION("""COMPUTED_VALUE"""),"10.1111--spc3.12557.pdf")</f>
        <v>10.1111--spc3.12557.pdf</v>
      </c>
      <c r="D1439" s="156" t="str">
        <f>IFERROR(__xludf.DUMMYFUNCTION("""COMPUTED_VALUE"""),"application/pdf")</f>
        <v>application/pdf</v>
      </c>
    </row>
    <row r="1440">
      <c r="A1440" s="156" t="str">
        <f>IFERROR(__xludf.DUMMYFUNCTION("""COMPUTED_VALUE"""),"10.1016/j.joep.2020.102349")</f>
        <v>10.1016/j.joep.2020.102349</v>
      </c>
      <c r="B1440" s="677" t="str">
        <f>IFERROR(__xludf.DUMMYFUNCTION("""COMPUTED_VALUE"""),"https://drive.google.com/file/d/1MTa7xK-r7d1ef7k6raOd4y1vTp0LnH4q/view?usp=drivesdk")</f>
        <v>https://drive.google.com/file/d/1MTa7xK-r7d1ef7k6raOd4y1vTp0LnH4q/view?usp=drivesdk</v>
      </c>
      <c r="C1440" s="156" t="str">
        <f>IFERROR(__xludf.DUMMYFUNCTION("""COMPUTED_VALUE"""),"10.1016--j.joep.2020.102349.pdf")</f>
        <v>10.1016--j.joep.2020.102349.pdf</v>
      </c>
      <c r="D1440" s="156" t="str">
        <f>IFERROR(__xludf.DUMMYFUNCTION("""COMPUTED_VALUE"""),"application/pdf")</f>
        <v>application/pdf</v>
      </c>
    </row>
    <row r="1441">
      <c r="A1441" s="156" t="str">
        <f>IFERROR(__xludf.DUMMYFUNCTION("""COMPUTED_VALUE"""),"10.1016/j.jesp.2020.103977")</f>
        <v>10.1016/j.jesp.2020.103977</v>
      </c>
      <c r="B1441" s="677" t="str">
        <f>IFERROR(__xludf.DUMMYFUNCTION("""COMPUTED_VALUE"""),"https://drive.google.com/file/d/1be9ymxv-Fkrrvnq4Mm-DqTXhMqG48Ril/view?usp=drivesdk")</f>
        <v>https://drive.google.com/file/d/1be9ymxv-Fkrrvnq4Mm-DqTXhMqG48Ril/view?usp=drivesdk</v>
      </c>
      <c r="C1441" s="156" t="str">
        <f>IFERROR(__xludf.DUMMYFUNCTION("""COMPUTED_VALUE"""),"10.1016--j.jesp.2020.103977.pdf")</f>
        <v>10.1016--j.jesp.2020.103977.pdf</v>
      </c>
      <c r="D1441" s="156" t="str">
        <f>IFERROR(__xludf.DUMMYFUNCTION("""COMPUTED_VALUE"""),"application/pdf")</f>
        <v>application/pdf</v>
      </c>
    </row>
    <row r="1442">
      <c r="A1442" s="156" t="str">
        <f>IFERROR(__xludf.DUMMYFUNCTION("""COMPUTED_VALUE"""),"10.1093/toxsci/kfx105")</f>
        <v>10.1093/toxsci/kfx105</v>
      </c>
      <c r="B1442" s="677" t="str">
        <f>IFERROR(__xludf.DUMMYFUNCTION("""COMPUTED_VALUE"""),"https://drive.google.com/file/d/1atCBbn-6dORvI420ON2DmFYVVq7sNgy0/view?usp=drivesdk")</f>
        <v>https://drive.google.com/file/d/1atCBbn-6dORvI420ON2DmFYVVq7sNgy0/view?usp=drivesdk</v>
      </c>
      <c r="C1442" s="156" t="str">
        <f>IFERROR(__xludf.DUMMYFUNCTION("""COMPUTED_VALUE"""),"10.1093--toxsci--kfx105.pdf")</f>
        <v>10.1093--toxsci--kfx105.pdf</v>
      </c>
      <c r="D1442" s="156" t="str">
        <f>IFERROR(__xludf.DUMMYFUNCTION("""COMPUTED_VALUE"""),"application/pdf")</f>
        <v>application/pdf</v>
      </c>
    </row>
    <row r="1443">
      <c r="A1443" s="156" t="str">
        <f>IFERROR(__xludf.DUMMYFUNCTION("""COMPUTED_VALUE"""),"10.1001/archpsyc.1992.01820110040006")</f>
        <v>10.1001/archpsyc.1992.01820110040006</v>
      </c>
      <c r="B1443" s="677" t="str">
        <f>IFERROR(__xludf.DUMMYFUNCTION("""COMPUTED_VALUE"""),"https://drive.google.com/file/d/1zrk21d0vxwQo53XJ4YWlG4yVtiIB_MOn/view?usp=drivesdk")</f>
        <v>https://drive.google.com/file/d/1zrk21d0vxwQo53XJ4YWlG4yVtiIB_MOn/view?usp=drivesdk</v>
      </c>
      <c r="C1443" s="156" t="str">
        <f>IFERROR(__xludf.DUMMYFUNCTION("""COMPUTED_VALUE"""),"10.1001--archpsyc.1992.01820110040006.pdf")</f>
        <v>10.1001--archpsyc.1992.01820110040006.pdf</v>
      </c>
      <c r="D1443" s="156" t="str">
        <f>IFERROR(__xludf.DUMMYFUNCTION("""COMPUTED_VALUE"""),"application/pdf")</f>
        <v>application/pdf</v>
      </c>
    </row>
    <row r="1444">
      <c r="A1444" s="156" t="str">
        <f>IFERROR(__xludf.DUMMYFUNCTION("""COMPUTED_VALUE"""),"10.15626/mp.2021.2932")</f>
        <v>10.15626/mp.2021.2932</v>
      </c>
      <c r="B1444" s="677" t="str">
        <f>IFERROR(__xludf.DUMMYFUNCTION("""COMPUTED_VALUE"""),"https://drive.google.com/file/d/1eStHrGzruiZ8ryNoUKYA8v_Tc8cC-DTi/view?usp=drivesdk")</f>
        <v>https://drive.google.com/file/d/1eStHrGzruiZ8ryNoUKYA8v_Tc8cC-DTi/view?usp=drivesdk</v>
      </c>
      <c r="C1444" s="156" t="str">
        <f>IFERROR(__xludf.DUMMYFUNCTION("""COMPUTED_VALUE"""),"10.15626--mp.2021.2932.pdf")</f>
        <v>10.15626--mp.2021.2932.pdf</v>
      </c>
      <c r="D1444" s="156" t="str">
        <f>IFERROR(__xludf.DUMMYFUNCTION("""COMPUTED_VALUE"""),"application/pdf")</f>
        <v>application/pdf</v>
      </c>
    </row>
    <row r="1445">
      <c r="A1445" s="156" t="str">
        <f>IFERROR(__xludf.DUMMYFUNCTION("""COMPUTED_VALUE"""),"10.1016/j.jesp.2020.104052")</f>
        <v>10.1016/j.jesp.2020.104052</v>
      </c>
      <c r="B1445" s="677" t="str">
        <f>IFERROR(__xludf.DUMMYFUNCTION("""COMPUTED_VALUE"""),"https://drive.google.com/file/d/1tMb1Ea-HC-XRIGcZuk29Ws50CLwlqwRX/view?usp=drivesdk")</f>
        <v>https://drive.google.com/file/d/1tMb1Ea-HC-XRIGcZuk29Ws50CLwlqwRX/view?usp=drivesdk</v>
      </c>
      <c r="C1445" s="156" t="str">
        <f>IFERROR(__xludf.DUMMYFUNCTION("""COMPUTED_VALUE"""),"10.1016--j.jesp.2020.104052.pdf")</f>
        <v>10.1016--j.jesp.2020.104052.pdf</v>
      </c>
      <c r="D1445" s="156" t="str">
        <f>IFERROR(__xludf.DUMMYFUNCTION("""COMPUTED_VALUE"""),"application/pdf")</f>
        <v>application/pdf</v>
      </c>
    </row>
    <row r="1446">
      <c r="A1446" s="156" t="str">
        <f>IFERROR(__xludf.DUMMYFUNCTION("""COMPUTED_VALUE"""),"10.1016/j.jesp.2022.104372")</f>
        <v>10.1016/j.jesp.2022.104372</v>
      </c>
      <c r="B1446" s="677" t="str">
        <f>IFERROR(__xludf.DUMMYFUNCTION("""COMPUTED_VALUE"""),"https://drive.google.com/file/d/1rlRS2BG3uBAxtBduyMTZfa_qtnK6Z2-J/view?usp=drivesdk")</f>
        <v>https://drive.google.com/file/d/1rlRS2BG3uBAxtBduyMTZfa_qtnK6Z2-J/view?usp=drivesdk</v>
      </c>
      <c r="C1446" s="156" t="str">
        <f>IFERROR(__xludf.DUMMYFUNCTION("""COMPUTED_VALUE"""),"10.1016--j.jesp.2022.104372.pdf")</f>
        <v>10.1016--j.jesp.2022.104372.pdf</v>
      </c>
      <c r="D1446" s="156" t="str">
        <f>IFERROR(__xludf.DUMMYFUNCTION("""COMPUTED_VALUE"""),"application/pdf")</f>
        <v>application/pdf</v>
      </c>
    </row>
    <row r="1447">
      <c r="A1447" s="156" t="str">
        <f>IFERROR(__xludf.DUMMYFUNCTION("""COMPUTED_VALUE"""),"10.1080/23743603.2021.1878340")</f>
        <v>10.1080/23743603.2021.1878340</v>
      </c>
      <c r="B1447" s="677" t="str">
        <f>IFERROR(__xludf.DUMMYFUNCTION("""COMPUTED_VALUE"""),"https://drive.google.com/file/d/1oIvSNrGQWhA_jLE1RRPe9hevRCdjKoPZ/view?usp=drivesdk")</f>
        <v>https://drive.google.com/file/d/1oIvSNrGQWhA_jLE1RRPe9hevRCdjKoPZ/view?usp=drivesdk</v>
      </c>
      <c r="C1447" s="156" t="str">
        <f>IFERROR(__xludf.DUMMYFUNCTION("""COMPUTED_VALUE"""),"10.1080--23743603.2021.1878340.pdf")</f>
        <v>10.1080--23743603.2021.1878340.pdf</v>
      </c>
      <c r="D1447" s="156" t="str">
        <f>IFERROR(__xludf.DUMMYFUNCTION("""COMPUTED_VALUE"""),"application/pdf")</f>
        <v>application/pdf</v>
      </c>
    </row>
    <row r="1448">
      <c r="A1448" s="156" t="str">
        <f>IFERROR(__xludf.DUMMYFUNCTION("""COMPUTED_VALUE"""),"10.1097/jcp.0b013e3181ac5213")</f>
        <v>10.1097/jcp.0b013e3181ac5213</v>
      </c>
      <c r="B1448" s="677" t="str">
        <f>IFERROR(__xludf.DUMMYFUNCTION("""COMPUTED_VALUE"""),"https://drive.google.com/file/d/1plD-vyel8Zy5rqv3uNVNICZNG4gkKTwk/view?usp=drivesdk")</f>
        <v>https://drive.google.com/file/d/1plD-vyel8Zy5rqv3uNVNICZNG4gkKTwk/view?usp=drivesdk</v>
      </c>
      <c r="C1448" s="156" t="str">
        <f>IFERROR(__xludf.DUMMYFUNCTION("""COMPUTED_VALUE"""),"10.1097--jcp.0b013e3181ac5213.pdf")</f>
        <v>10.1097--jcp.0b013e3181ac5213.pdf</v>
      </c>
      <c r="D1448" s="156" t="str">
        <f>IFERROR(__xludf.DUMMYFUNCTION("""COMPUTED_VALUE"""),"application/pdf")</f>
        <v>application/pdf</v>
      </c>
    </row>
    <row r="1449">
      <c r="A1449" s="156" t="str">
        <f>IFERROR(__xludf.DUMMYFUNCTION("""COMPUTED_VALUE"""),"10.1016/j.jesp.2020.103972")</f>
        <v>10.1016/j.jesp.2020.103972</v>
      </c>
      <c r="B1449" s="677" t="str">
        <f>IFERROR(__xludf.DUMMYFUNCTION("""COMPUTED_VALUE"""),"https://drive.google.com/file/d/1uNRS_PKR04NJqpfF8RT8TGjnZf5pWTW7/view?usp=drivesdk")</f>
        <v>https://drive.google.com/file/d/1uNRS_PKR04NJqpfF8RT8TGjnZf5pWTW7/view?usp=drivesdk</v>
      </c>
      <c r="C1449" s="156" t="str">
        <f>IFERROR(__xludf.DUMMYFUNCTION("""COMPUTED_VALUE"""),"10.1016--j.jesp.2020.103972.pdf")</f>
        <v>10.1016--j.jesp.2020.103972.pdf</v>
      </c>
      <c r="D1449" s="156" t="str">
        <f>IFERROR(__xludf.DUMMYFUNCTION("""COMPUTED_VALUE"""),"application/pdf")</f>
        <v>application/pdf</v>
      </c>
    </row>
    <row r="1450">
      <c r="A1450" s="156" t="str">
        <f>IFERROR(__xludf.DUMMYFUNCTION("""COMPUTED_VALUE"""),"10.1525/collabra.23443")</f>
        <v>10.1525/collabra.23443</v>
      </c>
      <c r="B1450" s="677" t="str">
        <f>IFERROR(__xludf.DUMMYFUNCTION("""COMPUTED_VALUE"""),"https://drive.google.com/file/d/16qXucG-y6NLesFNLtXKxNxVb-p-zDAcP/view?usp=drivesdk")</f>
        <v>https://drive.google.com/file/d/16qXucG-y6NLesFNLtXKxNxVb-p-zDAcP/view?usp=drivesdk</v>
      </c>
      <c r="C1450" s="156" t="str">
        <f>IFERROR(__xludf.DUMMYFUNCTION("""COMPUTED_VALUE"""),"10.1525--collabra.23443.pdf")</f>
        <v>10.1525--collabra.23443.pdf</v>
      </c>
      <c r="D1450" s="156" t="str">
        <f>IFERROR(__xludf.DUMMYFUNCTION("""COMPUTED_VALUE"""),"application/pdf")</f>
        <v>application/pdf</v>
      </c>
    </row>
    <row r="1451">
      <c r="A1451" s="156" t="str">
        <f>IFERROR(__xludf.DUMMYFUNCTION("""COMPUTED_VALUE"""),"10.1016/j.jesp.2016.07.009")</f>
        <v>10.1016/j.jesp.2016.07.009</v>
      </c>
      <c r="B1451" s="677" t="str">
        <f>IFERROR(__xludf.DUMMYFUNCTION("""COMPUTED_VALUE"""),"https://drive.google.com/file/d/1jwPO5hG912h_deQ_mA5qrEO6Un7ly-w5/view?usp=drivesdk")</f>
        <v>https://drive.google.com/file/d/1jwPO5hG912h_deQ_mA5qrEO6Un7ly-w5/view?usp=drivesdk</v>
      </c>
      <c r="C1451" s="156" t="str">
        <f>IFERROR(__xludf.DUMMYFUNCTION("""COMPUTED_VALUE"""),"10.1016--j.jesp.2016.07.009.pdf")</f>
        <v>10.1016--j.jesp.2016.07.009.pdf</v>
      </c>
      <c r="D1451" s="156" t="str">
        <f>IFERROR(__xludf.DUMMYFUNCTION("""COMPUTED_VALUE"""),"application/pdf")</f>
        <v>application/pdf</v>
      </c>
    </row>
    <row r="1452">
      <c r="A1452" s="156" t="str">
        <f>IFERROR(__xludf.DUMMYFUNCTION("""COMPUTED_VALUE"""),"10.1080/02699931.2018.1504747")</f>
        <v>10.1080/02699931.2018.1504747</v>
      </c>
      <c r="B1452" s="677" t="str">
        <f>IFERROR(__xludf.DUMMYFUNCTION("""COMPUTED_VALUE"""),"https://drive.google.com/file/d/17_e2y6T62ZS1d75D_vEqe2Fq-GHz40dH/view?usp=drivesdk")</f>
        <v>https://drive.google.com/file/d/17_e2y6T62ZS1d75D_vEqe2Fq-GHz40dH/view?usp=drivesdk</v>
      </c>
      <c r="C1452" s="156" t="str">
        <f>IFERROR(__xludf.DUMMYFUNCTION("""COMPUTED_VALUE"""),"10.1080--02699931.2018.1504747.pdf")</f>
        <v>10.1080--02699931.2018.1504747.pdf</v>
      </c>
      <c r="D1452" s="156" t="str">
        <f>IFERROR(__xludf.DUMMYFUNCTION("""COMPUTED_VALUE"""),"application/pdf")</f>
        <v>application/pdf</v>
      </c>
    </row>
    <row r="1453">
      <c r="A1453" s="156" t="str">
        <f>IFERROR(__xludf.DUMMYFUNCTION("""COMPUTED_VALUE"""),"10.1111/j.2044-835x.1985.tb00980.x")</f>
        <v>10.1111/j.2044-835x.1985.tb00980.x</v>
      </c>
      <c r="B1453" s="677" t="str">
        <f>IFERROR(__xludf.DUMMYFUNCTION("""COMPUTED_VALUE"""),"https://drive.google.com/file/d/1QJfPmltqzudUVKXbh3e1i3gjjwbZ261D/view?usp=drivesdk")</f>
        <v>https://drive.google.com/file/d/1QJfPmltqzudUVKXbh3e1i3gjjwbZ261D/view?usp=drivesdk</v>
      </c>
      <c r="C1453" s="156" t="str">
        <f>IFERROR(__xludf.DUMMYFUNCTION("""COMPUTED_VALUE"""),"10.1111--j.2044-835x.1985.tb00980.x.pdf")</f>
        <v>10.1111--j.2044-835x.1985.tb00980.x.pdf</v>
      </c>
      <c r="D1453" s="156" t="str">
        <f>IFERROR(__xludf.DUMMYFUNCTION("""COMPUTED_VALUE"""),"application/pdf")</f>
        <v>application/pdf</v>
      </c>
    </row>
    <row r="1454">
      <c r="A1454" s="156" t="str">
        <f>IFERROR(__xludf.DUMMYFUNCTION("""COMPUTED_VALUE"""),"10.1192/bjp.138.4.321")</f>
        <v>10.1192/bjp.138.4.321</v>
      </c>
      <c r="B1454" s="677" t="str">
        <f>IFERROR(__xludf.DUMMYFUNCTION("""COMPUTED_VALUE"""),"https://drive.google.com/file/d/142q6igd0Z6bO3OY9f37fbyB7dbT7gFpM/view?usp=drivesdk")</f>
        <v>https://drive.google.com/file/d/142q6igd0Z6bO3OY9f37fbyB7dbT7gFpM/view?usp=drivesdk</v>
      </c>
      <c r="C1454" s="156" t="str">
        <f>IFERROR(__xludf.DUMMYFUNCTION("""COMPUTED_VALUE"""),"10.1192--bjp.138.4.321.pdf")</f>
        <v>10.1192--bjp.138.4.321.pdf</v>
      </c>
      <c r="D1454" s="156" t="str">
        <f>IFERROR(__xludf.DUMMYFUNCTION("""COMPUTED_VALUE"""),"application/pdf")</f>
        <v>application/pdf</v>
      </c>
    </row>
    <row r="1455">
      <c r="A1455" s="156" t="str">
        <f>IFERROR(__xludf.DUMMYFUNCTION("""COMPUTED_VALUE"""),"10.1192/bjp.153.1.115")</f>
        <v>10.1192/bjp.153.1.115</v>
      </c>
      <c r="B1455" s="677" t="str">
        <f>IFERROR(__xludf.DUMMYFUNCTION("""COMPUTED_VALUE"""),"https://drive.google.com/file/d/19mE8tBv4yX9W0ZxzhRHab0Uc2JHfphPO/view?usp=drivesdk")</f>
        <v>https://drive.google.com/file/d/19mE8tBv4yX9W0ZxzhRHab0Uc2JHfphPO/view?usp=drivesdk</v>
      </c>
      <c r="C1455" s="156" t="str">
        <f>IFERROR(__xludf.DUMMYFUNCTION("""COMPUTED_VALUE"""),"10.1192--bjp.153.1.115.pdf")</f>
        <v>10.1192--bjp.153.1.115.pdf</v>
      </c>
      <c r="D1455" s="156" t="str">
        <f>IFERROR(__xludf.DUMMYFUNCTION("""COMPUTED_VALUE"""),"application/pdf")</f>
        <v>application/pdf</v>
      </c>
    </row>
    <row r="1456">
      <c r="A1456" s="156" t="str">
        <f>IFERROR(__xludf.DUMMYFUNCTION("""COMPUTED_VALUE"""),"10.1080/10584609.1994.9963030")</f>
        <v>10.1080/10584609.1994.9963030</v>
      </c>
      <c r="B1456" s="677" t="str">
        <f>IFERROR(__xludf.DUMMYFUNCTION("""COMPUTED_VALUE"""),"https://drive.google.com/file/d/1ltrjhhYhuy7c2jXEz5hZpsmM93ZHoyBQ/view?usp=drivesdk")</f>
        <v>https://drive.google.com/file/d/1ltrjhhYhuy7c2jXEz5hZpsmM93ZHoyBQ/view?usp=drivesdk</v>
      </c>
      <c r="C1456" s="156" t="str">
        <f>IFERROR(__xludf.DUMMYFUNCTION("""COMPUTED_VALUE"""),"10.1080--10584609.1994.9963030.pdf")</f>
        <v>10.1080--10584609.1994.9963030.pdf</v>
      </c>
      <c r="D1456" s="156" t="str">
        <f>IFERROR(__xludf.DUMMYFUNCTION("""COMPUTED_VALUE"""),"application/pdf")</f>
        <v>application/pdf</v>
      </c>
    </row>
    <row r="1457">
      <c r="A1457" s="156" t="str">
        <f>IFERROR(__xludf.DUMMYFUNCTION("""COMPUTED_VALUE"""),"korbmacher_2022")</f>
        <v>korbmacher_2022</v>
      </c>
      <c r="B1457" s="677" t="str">
        <f>IFERROR(__xludf.DUMMYFUNCTION("""COMPUTED_VALUE"""),"https://drive.google.com/file/d/1Pa04ha1QPdwzQRxkAmjcqeTTakxa_4-A/view?usp=drivesdk")</f>
        <v>https://drive.google.com/file/d/1Pa04ha1QPdwzQRxkAmjcqeTTakxa_4-A/view?usp=drivesdk</v>
      </c>
      <c r="C1457" s="156" t="str">
        <f>IFERROR(__xludf.DUMMYFUNCTION("""COMPUTED_VALUE"""),"korbmacher_2022.pdf")</f>
        <v>korbmacher_2022.pdf</v>
      </c>
      <c r="D1457" s="156" t="str">
        <f>IFERROR(__xludf.DUMMYFUNCTION("""COMPUTED_VALUE"""),"application/pdf")</f>
        <v>application/pdf</v>
      </c>
    </row>
    <row r="1458">
      <c r="A1458" s="156" t="str">
        <f>IFERROR(__xludf.DUMMYFUNCTION("""COMPUTED_VALUE"""),"10.15/626/mp.2022.3108")</f>
        <v>10.15/626/mp.2022.3108</v>
      </c>
      <c r="B1458" s="677" t="str">
        <f>IFERROR(__xludf.DUMMYFUNCTION("""COMPUTED_VALUE"""),"https://drive.google.com/file/d/1f4b7CUsFcwOX-Klgh9LjeLzeZWCh9wRO/view?usp=drivesdk")</f>
        <v>https://drive.google.com/file/d/1f4b7CUsFcwOX-Klgh9LjeLzeZWCh9wRO/view?usp=drivesdk</v>
      </c>
      <c r="C1458" s="156" t="str">
        <f>IFERROR(__xludf.DUMMYFUNCTION("""COMPUTED_VALUE"""),"10.15--626--mp.2022.3108.pdf")</f>
        <v>10.15--626--mp.2022.3108.pdf</v>
      </c>
      <c r="D1458" s="156" t="str">
        <f>IFERROR(__xludf.DUMMYFUNCTION("""COMPUTED_VALUE"""),"application/pdf")</f>
        <v>application/pdf</v>
      </c>
    </row>
    <row r="1459">
      <c r="A1459" s="156" t="str">
        <f>IFERROR(__xludf.DUMMYFUNCTION("""COMPUTED_VALUE"""),"10.1525/collabra.37122")</f>
        <v>10.1525/collabra.37122</v>
      </c>
      <c r="B1459" s="677" t="str">
        <f>IFERROR(__xludf.DUMMYFUNCTION("""COMPUTED_VALUE"""),"https://drive.google.com/file/d/1eoWS9jdc53wyHszo4c8Ge2gzlwq30DvI/view?usp=drivesdk")</f>
        <v>https://drive.google.com/file/d/1eoWS9jdc53wyHszo4c8Ge2gzlwq30DvI/view?usp=drivesdk</v>
      </c>
      <c r="C1459" s="156" t="str">
        <f>IFERROR(__xludf.DUMMYFUNCTION("""COMPUTED_VALUE"""),"10.1525--collabra.37122.pdf")</f>
        <v>10.1525--collabra.37122.pdf</v>
      </c>
      <c r="D1459" s="156" t="str">
        <f>IFERROR(__xludf.DUMMYFUNCTION("""COMPUTED_VALUE"""),"application/pdf")</f>
        <v>application/pdf</v>
      </c>
    </row>
    <row r="1460">
      <c r="A1460" s="156" t="str">
        <f>IFERROR(__xludf.DUMMYFUNCTION("""COMPUTED_VALUE"""),"10.1177/19485506211056761")</f>
        <v>10.1177/19485506211056761</v>
      </c>
      <c r="B1460" s="677" t="str">
        <f>IFERROR(__xludf.DUMMYFUNCTION("""COMPUTED_VALUE"""),"https://drive.google.com/file/d/1e5JPVizcHOsgKK4xXV265ST-ZX_9ks9e/view?usp=drivesdk")</f>
        <v>https://drive.google.com/file/d/1e5JPVizcHOsgKK4xXV265ST-ZX_9ks9e/view?usp=drivesdk</v>
      </c>
      <c r="C1460" s="156" t="str">
        <f>IFERROR(__xludf.DUMMYFUNCTION("""COMPUTED_VALUE"""),"10.1177--19485506211056761.pdf")</f>
        <v>10.1177--19485506211056761.pdf</v>
      </c>
      <c r="D1460" s="156" t="str">
        <f>IFERROR(__xludf.DUMMYFUNCTION("""COMPUTED_VALUE"""),"application/pdf")</f>
        <v>application/pdf</v>
      </c>
    </row>
    <row r="1461">
      <c r="A1461" s="156" t="str">
        <f>IFERROR(__xludf.DUMMYFUNCTION("""COMPUTED_VALUE"""),"10.1525/collabra.57789")</f>
        <v>10.1525/collabra.57789</v>
      </c>
      <c r="B1461" s="677" t="str">
        <f>IFERROR(__xludf.DUMMYFUNCTION("""COMPUTED_VALUE"""),"https://drive.google.com/file/d/1fRrMg1hubhuUHffJB3cZMOiGJueeEHu7/view?usp=drivesdk")</f>
        <v>https://drive.google.com/file/d/1fRrMg1hubhuUHffJB3cZMOiGJueeEHu7/view?usp=drivesdk</v>
      </c>
      <c r="C1461" s="156" t="str">
        <f>IFERROR(__xludf.DUMMYFUNCTION("""COMPUTED_VALUE"""),"10.1525--collabra.57789.pdf")</f>
        <v>10.1525--collabra.57789.pdf</v>
      </c>
      <c r="D1461" s="156" t="str">
        <f>IFERROR(__xludf.DUMMYFUNCTION("""COMPUTED_VALUE"""),"application/pdf")</f>
        <v>application/pdf</v>
      </c>
    </row>
    <row r="1462">
      <c r="A1462" s="156" t="str">
        <f>IFERROR(__xludf.DUMMYFUNCTION("""COMPUTED_VALUE"""),"10.1177/1948550620948973")</f>
        <v>10.1177/1948550620948973</v>
      </c>
      <c r="B1462" s="677" t="str">
        <f>IFERROR(__xludf.DUMMYFUNCTION("""COMPUTED_VALUE"""),"https://drive.google.com/file/d/1Pvsc-C-C29zmoFMIKpIOITEdpRvM4BqL/view?usp=drivesdk")</f>
        <v>https://drive.google.com/file/d/1Pvsc-C-C29zmoFMIKpIOITEdpRvM4BqL/view?usp=drivesdk</v>
      </c>
      <c r="C1462" s="156" t="str">
        <f>IFERROR(__xludf.DUMMYFUNCTION("""COMPUTED_VALUE"""),"10.1177--1948550620948973.pdf")</f>
        <v>10.1177--1948550620948973.pdf</v>
      </c>
      <c r="D1462" s="156" t="str">
        <f>IFERROR(__xludf.DUMMYFUNCTION("""COMPUTED_VALUE"""),"application/pdf")</f>
        <v>application/pdf</v>
      </c>
    </row>
    <row r="1463">
      <c r="A1463" s="156" t="str">
        <f>IFERROR(__xludf.DUMMYFUNCTION("""COMPUTED_VALUE"""),"10.1080/10584609809342367")</f>
        <v>10.1080/10584609809342367</v>
      </c>
      <c r="B1463" s="677" t="str">
        <f>IFERROR(__xludf.DUMMYFUNCTION("""COMPUTED_VALUE"""),"https://drive.google.com/file/d/1P0pW0DggWoKIyN9DhYHRvTg9fHcRwN7v/view?usp=drivesdk")</f>
        <v>https://drive.google.com/file/d/1P0pW0DggWoKIyN9DhYHRvTg9fHcRwN7v/view?usp=drivesdk</v>
      </c>
      <c r="C1463" s="156" t="str">
        <f>IFERROR(__xludf.DUMMYFUNCTION("""COMPUTED_VALUE"""),"10.1080--10584609809342367.pdf")</f>
        <v>10.1080--10584609809342367.pdf</v>
      </c>
      <c r="D1463" s="156" t="str">
        <f>IFERROR(__xludf.DUMMYFUNCTION("""COMPUTED_VALUE"""),"application/pdf")</f>
        <v>application/pdf</v>
      </c>
    </row>
    <row r="1464">
      <c r="A1464" s="156" t="str">
        <f>IFERROR(__xludf.DUMMYFUNCTION("""COMPUTED_VALUE"""),"10.1007/s11199-011-0036-z")</f>
        <v>10.1007/s11199-011-0036-z</v>
      </c>
      <c r="B1464" s="677" t="str">
        <f>IFERROR(__xludf.DUMMYFUNCTION("""COMPUTED_VALUE"""),"https://drive.google.com/file/d/1ma6-dAi4-ueCPgAnsDzm7mGt7sF_HJXB/view?usp=drivesdk")</f>
        <v>https://drive.google.com/file/d/1ma6-dAi4-ueCPgAnsDzm7mGt7sF_HJXB/view?usp=drivesdk</v>
      </c>
      <c r="C1464" s="156" t="str">
        <f>IFERROR(__xludf.DUMMYFUNCTION("""COMPUTED_VALUE"""),"10.1007--s11199-011-0036-z.pdf")</f>
        <v>10.1007--s11199-011-0036-z.pdf</v>
      </c>
      <c r="D1464" s="156" t="str">
        <f>IFERROR(__xludf.DUMMYFUNCTION("""COMPUTED_VALUE"""),"application/pdf")</f>
        <v>application/pdf</v>
      </c>
    </row>
    <row r="1465">
      <c r="A1465" s="156" t="str">
        <f>IFERROR(__xludf.DUMMYFUNCTION("""COMPUTED_VALUE"""),"10.1525/collabra.32572")</f>
        <v>10.1525/collabra.32572</v>
      </c>
      <c r="B1465" s="677" t="str">
        <f>IFERROR(__xludf.DUMMYFUNCTION("""COMPUTED_VALUE"""),"https://drive.google.com/file/d/1i0bCNvCfo6OSjU80G4ILg4LMaQt55loT/view?usp=drivesdk")</f>
        <v>https://drive.google.com/file/d/1i0bCNvCfo6OSjU80G4ILg4LMaQt55loT/view?usp=drivesdk</v>
      </c>
      <c r="C1465" s="156" t="str">
        <f>IFERROR(__xludf.DUMMYFUNCTION("""COMPUTED_VALUE"""),"10.1525--collabra.32572.pdf")</f>
        <v>10.1525--collabra.32572.pdf</v>
      </c>
      <c r="D1465" s="156" t="str">
        <f>IFERROR(__xludf.DUMMYFUNCTION("""COMPUTED_VALUE"""),"application/pdf")</f>
        <v>application/pdf</v>
      </c>
    </row>
    <row r="1466">
      <c r="A1466" s="156" t="str">
        <f>IFERROR(__xludf.DUMMYFUNCTION("""COMPUTED_VALUE"""),"10.1177/1948550616683017")</f>
        <v>10.1177/1948550616683017</v>
      </c>
      <c r="B1466" s="677" t="str">
        <f>IFERROR(__xludf.DUMMYFUNCTION("""COMPUTED_VALUE"""),"https://drive.google.com/file/d/1fpZJLgIaE1sc6D3Ao9WYY-2RnjQ24Ey8/view?usp=drivesdk")</f>
        <v>https://drive.google.com/file/d/1fpZJLgIaE1sc6D3Ao9WYY-2RnjQ24Ey8/view?usp=drivesdk</v>
      </c>
      <c r="C1466" s="156" t="str">
        <f>IFERROR(__xludf.DUMMYFUNCTION("""COMPUTED_VALUE"""),"10.1177--1948550616683017.pdf")</f>
        <v>10.1177--1948550616683017.pdf</v>
      </c>
      <c r="D1466" s="156" t="str">
        <f>IFERROR(__xludf.DUMMYFUNCTION("""COMPUTED_VALUE"""),"application/pdf")</f>
        <v>application/pdf</v>
      </c>
    </row>
    <row r="1467">
      <c r="A1467" s="156" t="str">
        <f>IFERROR(__xludf.DUMMYFUNCTION("""COMPUTED_VALUE"""),"10.1038/s41467-018-08250-2")</f>
        <v>10.1038/s41467-018-08250-2</v>
      </c>
      <c r="B1467" s="677" t="str">
        <f>IFERROR(__xludf.DUMMYFUNCTION("""COMPUTED_VALUE"""),"https://drive.google.com/file/d/1AMpF3dCTaGRtKAW4uDl20NZ94oGS-IrJ/view?usp=drivesdk")</f>
        <v>https://drive.google.com/file/d/1AMpF3dCTaGRtKAW4uDl20NZ94oGS-IrJ/view?usp=drivesdk</v>
      </c>
      <c r="C1467" s="156" t="str">
        <f>IFERROR(__xludf.DUMMYFUNCTION("""COMPUTED_VALUE"""),"10.1038--s41467-018-08250-2.pdf")</f>
        <v>10.1038--s41467-018-08250-2.pdf</v>
      </c>
      <c r="D1467" s="156" t="str">
        <f>IFERROR(__xludf.DUMMYFUNCTION("""COMPUTED_VALUE"""),"application/pdf")</f>
        <v>application/pdf</v>
      </c>
    </row>
    <row r="1468">
      <c r="A1468" s="156" t="str">
        <f>IFERROR(__xludf.DUMMYFUNCTION("""COMPUTED_VALUE"""),"10.15626/mp.2019.2289")</f>
        <v>10.15626/mp.2019.2289</v>
      </c>
      <c r="B1468" s="677" t="str">
        <f>IFERROR(__xludf.DUMMYFUNCTION("""COMPUTED_VALUE"""),"https://drive.google.com/file/d/1vaP6T4GI5EG6QfiY7faW4sxmJhrkKcVJ/view?usp=drivesdk")</f>
        <v>https://drive.google.com/file/d/1vaP6T4GI5EG6QfiY7faW4sxmJhrkKcVJ/view?usp=drivesdk</v>
      </c>
      <c r="C1468" s="156" t="str">
        <f>IFERROR(__xludf.DUMMYFUNCTION("""COMPUTED_VALUE"""),"10.15626--mp.2019.2289.pdf")</f>
        <v>10.15626--mp.2019.2289.pdf</v>
      </c>
      <c r="D1468" s="156" t="str">
        <f>IFERROR(__xludf.DUMMYFUNCTION("""COMPUTED_VALUE"""),"application/pdf")</f>
        <v>application/pdf</v>
      </c>
    </row>
    <row r="1469">
      <c r="A1469" s="156" t="str">
        <f>IFERROR(__xludf.DUMMYFUNCTION("""COMPUTED_VALUE"""),"10.1075/arcl.7.07gri")</f>
        <v>10.1075/arcl.7.07gri</v>
      </c>
      <c r="B1469" s="677" t="str">
        <f>IFERROR(__xludf.DUMMYFUNCTION("""COMPUTED_VALUE"""),"https://drive.google.com/file/d/1xzLvdgc-M6xgRxS1XPmZCMV1KJ6e91RS/view?usp=drivesdk")</f>
        <v>https://drive.google.com/file/d/1xzLvdgc-M6xgRxS1XPmZCMV1KJ6e91RS/view?usp=drivesdk</v>
      </c>
      <c r="C1469" s="156" t="str">
        <f>IFERROR(__xludf.DUMMYFUNCTION("""COMPUTED_VALUE"""),"10.1075--arcl.7.07gri.pdf")</f>
        <v>10.1075--arcl.7.07gri.pdf</v>
      </c>
      <c r="D1469" s="156" t="str">
        <f>IFERROR(__xludf.DUMMYFUNCTION("""COMPUTED_VALUE"""),"application/pdf")</f>
        <v>application/pdf</v>
      </c>
    </row>
    <row r="1470">
      <c r="A1470" s="156" t="str">
        <f>IFERROR(__xludf.DUMMYFUNCTION("""COMPUTED_VALUE"""),"10.32714/ricl.10.01.08")</f>
        <v>10.32714/ricl.10.01.08</v>
      </c>
      <c r="B1470" s="677" t="str">
        <f>IFERROR(__xludf.DUMMYFUNCTION("""COMPUTED_VALUE"""),"https://drive.google.com/file/d/1P2HkNQwXMDHx-bxDaQ0QetAgbUaJlYq7/view?usp=drivesdk")</f>
        <v>https://drive.google.com/file/d/1P2HkNQwXMDHx-bxDaQ0QetAgbUaJlYq7/view?usp=drivesdk</v>
      </c>
      <c r="C1470" s="156" t="str">
        <f>IFERROR(__xludf.DUMMYFUNCTION("""COMPUTED_VALUE"""),"10.32714--ricl.10.01.08.pdf")</f>
        <v>10.32714--ricl.10.01.08.pdf</v>
      </c>
      <c r="D1470" s="156" t="str">
        <f>IFERROR(__xludf.DUMMYFUNCTION("""COMPUTED_VALUE"""),"application/pdf")</f>
        <v>application/pdf</v>
      </c>
    </row>
    <row r="1471">
      <c r="A1471" s="156" t="str">
        <f>IFERROR(__xludf.DUMMYFUNCTION("""COMPUTED_VALUE"""),"10.1109/tse.2020.2976920")</f>
        <v>10.1109/tse.2020.2976920</v>
      </c>
      <c r="B1471" s="677" t="str">
        <f>IFERROR(__xludf.DUMMYFUNCTION("""COMPUTED_VALUE"""),"https://drive.google.com/file/d/1D5KouvqlIJwsDCgn3ccM349xsg2h_lLc/view?usp=drivesdk")</f>
        <v>https://drive.google.com/file/d/1D5KouvqlIJwsDCgn3ccM349xsg2h_lLc/view?usp=drivesdk</v>
      </c>
      <c r="C1471" s="156" t="str">
        <f>IFERROR(__xludf.DUMMYFUNCTION("""COMPUTED_VALUE"""),"10.1109--tse.2020.2976920.pdf")</f>
        <v>10.1109--tse.2020.2976920.pdf</v>
      </c>
      <c r="D1471" s="156" t="str">
        <f>IFERROR(__xludf.DUMMYFUNCTION("""COMPUTED_VALUE"""),"application/pdf")</f>
        <v>application/pdf</v>
      </c>
    </row>
    <row r="1472">
      <c r="A1472" s="156" t="str">
        <f>IFERROR(__xludf.DUMMYFUNCTION("""COMPUTED_VALUE"""),"10.48550/arxiv.2103.08701")</f>
        <v>10.48550/arxiv.2103.08701</v>
      </c>
      <c r="B1472" s="677" t="str">
        <f>IFERROR(__xludf.DUMMYFUNCTION("""COMPUTED_VALUE"""),"https://drive.google.com/file/d/1Ocpr95kOyFZwuINmIl1HrSazLpP5IR0A/view?usp=drivesdk")</f>
        <v>https://drive.google.com/file/d/1Ocpr95kOyFZwuINmIl1HrSazLpP5IR0A/view?usp=drivesdk</v>
      </c>
      <c r="C1472" s="156" t="str">
        <f>IFERROR(__xludf.DUMMYFUNCTION("""COMPUTED_VALUE"""),"10.48550--arxiv.2103.08701.pdf")</f>
        <v>10.48550--arxiv.2103.08701.pdf</v>
      </c>
      <c r="D1472" s="156" t="str">
        <f>IFERROR(__xludf.DUMMYFUNCTION("""COMPUTED_VALUE"""),"application/pdf")</f>
        <v>application/pdf</v>
      </c>
    </row>
    <row r="1473">
      <c r="A1473" s="156" t="str">
        <f>IFERROR(__xludf.DUMMYFUNCTION("""COMPUTED_VALUE"""),"10.1016/j.euroneuro.2012.01.006")</f>
        <v>10.1016/j.euroneuro.2012.01.006</v>
      </c>
      <c r="B1473" s="677" t="str">
        <f>IFERROR(__xludf.DUMMYFUNCTION("""COMPUTED_VALUE"""),"https://drive.google.com/file/d/1SNZ1mkDnR8DG5EiPz1pP9wPEbPOfROdO/view?usp=drivesdk")</f>
        <v>https://drive.google.com/file/d/1SNZ1mkDnR8DG5EiPz1pP9wPEbPOfROdO/view?usp=drivesdk</v>
      </c>
      <c r="C1473" s="156" t="str">
        <f>IFERROR(__xludf.DUMMYFUNCTION("""COMPUTED_VALUE"""),"10.1016--j.euroneuro.2012.01.006.pdf")</f>
        <v>10.1016--j.euroneuro.2012.01.006.pdf</v>
      </c>
      <c r="D1473" s="156" t="str">
        <f>IFERROR(__xludf.DUMMYFUNCTION("""COMPUTED_VALUE"""),"application/pdf")</f>
        <v>application/pdf</v>
      </c>
      <c r="H1473" s="2435"/>
    </row>
    <row r="1474">
      <c r="A1474" s="156" t="str">
        <f>IFERROR(__xludf.DUMMYFUNCTION("""COMPUTED_VALUE"""),"o'connor, c.e_2013")</f>
        <v>o'connor, c.e_2013</v>
      </c>
      <c r="B1474" s="677" t="str">
        <f>IFERROR(__xludf.DUMMYFUNCTION("""COMPUTED_VALUE"""),"https://drive.google.com/file/d/1eqYtN1LhEz2cMkVEZbYZlrYaNb2z-MuF/view?usp=drivesdk")</f>
        <v>https://drive.google.com/file/d/1eqYtN1LhEz2cMkVEZbYZlrYaNb2z-MuF/view?usp=drivesdk</v>
      </c>
      <c r="C1474" s="156" t="str">
        <f>IFERROR(__xludf.DUMMYFUNCTION("""COMPUTED_VALUE"""),"O'Connor, C.E_2013.pdf")</f>
        <v>O'Connor, C.E_2013.pdf</v>
      </c>
      <c r="D1474" s="156" t="str">
        <f>IFERROR(__xludf.DUMMYFUNCTION("""COMPUTED_VALUE"""),"application/pdf")</f>
        <v>application/pdf</v>
      </c>
    </row>
    <row r="1475">
      <c r="A1475" s="156" t="str">
        <f>IFERROR(__xludf.DUMMYFUNCTION("""COMPUTED_VALUE"""),"10.1061/(asce)co.1943-7862.0000732")</f>
        <v>10.1061/(asce)co.1943-7862.0000732</v>
      </c>
      <c r="B1475" s="677" t="str">
        <f>IFERROR(__xludf.DUMMYFUNCTION("""COMPUTED_VALUE"""),"https://drive.google.com/file/d/1Jg63xHFND2S5MVMDJVIMN8NaVkKscrMO/view?usp=drivesdk")</f>
        <v>https://drive.google.com/file/d/1Jg63xHFND2S5MVMDJVIMN8NaVkKscrMO/view?usp=drivesdk</v>
      </c>
      <c r="C1475" s="156" t="str">
        <f>IFERROR(__xludf.DUMMYFUNCTION("""COMPUTED_VALUE"""),"10.1061--(asce)co.1943-7862.0000732.pdf")</f>
        <v>10.1061--(asce)co.1943-7862.0000732.pdf</v>
      </c>
      <c r="D1475" s="156" t="str">
        <f>IFERROR(__xludf.DUMMYFUNCTION("""COMPUTED_VALUE"""),"application/pdf")</f>
        <v>application/pdf</v>
      </c>
    </row>
    <row r="1476">
      <c r="A1476" s="156" t="str">
        <f>IFERROR(__xludf.DUMMYFUNCTION("""COMPUTED_VALUE"""),"10.1061/(asce)co.1943-7862.0001285")</f>
        <v>10.1061/(asce)co.1943-7862.0001285</v>
      </c>
      <c r="B1476" s="677" t="str">
        <f>IFERROR(__xludf.DUMMYFUNCTION("""COMPUTED_VALUE"""),"https://drive.google.com/file/d/1xvzkyQny0zJdjHfNvm5NYahO_NxplmbJ/view?usp=drivesdk")</f>
        <v>https://drive.google.com/file/d/1xvzkyQny0zJdjHfNvm5NYahO_NxplmbJ/view?usp=drivesdk</v>
      </c>
      <c r="C1476" s="156" t="str">
        <f>IFERROR(__xludf.DUMMYFUNCTION("""COMPUTED_VALUE"""),"10.1061--(asce)co.1943-7862.0001285.pdf")</f>
        <v>10.1061--(asce)co.1943-7862.0001285.pdf</v>
      </c>
      <c r="D1476" s="156" t="str">
        <f>IFERROR(__xludf.DUMMYFUNCTION("""COMPUTED_VALUE"""),"application/pdf")</f>
        <v>application/pdf</v>
      </c>
    </row>
    <row r="1477">
      <c r="A1477" s="156" t="str">
        <f>IFERROR(__xludf.DUMMYFUNCTION("""COMPUTED_VALUE"""),"10.1037/aca0000031")</f>
        <v>10.1037/aca0000031</v>
      </c>
      <c r="B1477" s="677" t="str">
        <f>IFERROR(__xludf.DUMMYFUNCTION("""COMPUTED_VALUE"""),"https://drive.google.com/file/d/1LJBcuUB-1LSu2INXB7EcSdI9cC8lr-qR/view?usp=drivesdk")</f>
        <v>https://drive.google.com/file/d/1LJBcuUB-1LSu2INXB7EcSdI9cC8lr-qR/view?usp=drivesdk</v>
      </c>
      <c r="C1477" s="156" t="str">
        <f>IFERROR(__xludf.DUMMYFUNCTION("""COMPUTED_VALUE"""),"10.1037--aca0000031.pdf")</f>
        <v>10.1037--aca0000031.pdf</v>
      </c>
      <c r="D1477" s="156" t="str">
        <f>IFERROR(__xludf.DUMMYFUNCTION("""COMPUTED_VALUE"""),"application/pdf")</f>
        <v>application/pdf</v>
      </c>
    </row>
    <row r="1478">
      <c r="A1478" s="156" t="str">
        <f>IFERROR(__xludf.DUMMYFUNCTION("""COMPUTED_VALUE"""),"10.24839/2325-7342.jn26.4.422")</f>
        <v>10.24839/2325-7342.jn26.4.422</v>
      </c>
      <c r="B1478" s="677" t="str">
        <f>IFERROR(__xludf.DUMMYFUNCTION("""COMPUTED_VALUE"""),"https://drive.google.com/file/d/1eOwIQbIkrHsQvdXq-eYfL5pNKC_uHX0V/view?usp=drivesdk")</f>
        <v>https://drive.google.com/file/d/1eOwIQbIkrHsQvdXq-eYfL5pNKC_uHX0V/view?usp=drivesdk</v>
      </c>
      <c r="C1478" s="156" t="str">
        <f>IFERROR(__xludf.DUMMYFUNCTION("""COMPUTED_VALUE"""),"10.24839--2325-7342.jn26.4.422.pdf")</f>
        <v>10.24839--2325-7342.jn26.4.422.pdf</v>
      </c>
      <c r="D1478" s="156" t="str">
        <f>IFERROR(__xludf.DUMMYFUNCTION("""COMPUTED_VALUE"""),"application/pdf")</f>
        <v>application/pdf</v>
      </c>
    </row>
    <row r="1479">
      <c r="A1479" s="156" t="str">
        <f>IFERROR(__xludf.DUMMYFUNCTION("""COMPUTED_VALUE"""),"10.1111/j.1474-9726.2009.00533.x")</f>
        <v>10.1111/j.1474-9726.2009.00533.x</v>
      </c>
      <c r="B1479" s="677" t="str">
        <f>IFERROR(__xludf.DUMMYFUNCTION("""COMPUTED_VALUE"""),"https://drive.google.com/file/d/1VfmM9m7HvpDn73F1hw9uJNQ084gQeprY/view?usp=drivesdk")</f>
        <v>https://drive.google.com/file/d/1VfmM9m7HvpDn73F1hw9uJNQ084gQeprY/view?usp=drivesdk</v>
      </c>
      <c r="C1479" s="156" t="str">
        <f>IFERROR(__xludf.DUMMYFUNCTION("""COMPUTED_VALUE"""),"10.1111--j.1474-9726.2009.00533.x.pdf")</f>
        <v>10.1111--j.1474-9726.2009.00533.x.pdf</v>
      </c>
      <c r="D1479" s="156" t="str">
        <f>IFERROR(__xludf.DUMMYFUNCTION("""COMPUTED_VALUE"""),"application/pdf")</f>
        <v>application/pdf</v>
      </c>
    </row>
    <row r="1480">
      <c r="A1480" s="156" t="str">
        <f>IFERROR(__xludf.DUMMYFUNCTION("""COMPUTED_VALUE"""),"10.1101/2021.06.25.449984")</f>
        <v>10.1101/2021.06.25.449984</v>
      </c>
      <c r="B1480" s="677" t="str">
        <f>IFERROR(__xludf.DUMMYFUNCTION("""COMPUTED_VALUE"""),"https://drive.google.com/file/d/1OOgKX982Ng8tydvQqqxiG0UsYnabnRTG/view?usp=drivesdk")</f>
        <v>https://drive.google.com/file/d/1OOgKX982Ng8tydvQqqxiG0UsYnabnRTG/view?usp=drivesdk</v>
      </c>
      <c r="C1480" s="156" t="str">
        <f>IFERROR(__xludf.DUMMYFUNCTION("""COMPUTED_VALUE"""),"10.1101--2021.06.25.449984.pdf")</f>
        <v>10.1101--2021.06.25.449984.pdf</v>
      </c>
      <c r="D1480" s="156" t="str">
        <f>IFERROR(__xludf.DUMMYFUNCTION("""COMPUTED_VALUE"""),"application/pdf")</f>
        <v>application/pdf</v>
      </c>
    </row>
    <row r="1481">
      <c r="A1481" s="156" t="str">
        <f>IFERROR(__xludf.DUMMYFUNCTION("""COMPUTED_VALUE"""),"10.2307/2094300")</f>
        <v>10.2307/2094300</v>
      </c>
      <c r="B1481" s="677" t="str">
        <f>IFERROR(__xludf.DUMMYFUNCTION("""COMPUTED_VALUE"""),"https://drive.google.com/file/d/1v1ps4ZXyeuA6oh-dBBHP40l4Xpza5N7a/view?usp=drivesdk")</f>
        <v>https://drive.google.com/file/d/1v1ps4ZXyeuA6oh-dBBHP40l4Xpza5N7a/view?usp=drivesdk</v>
      </c>
      <c r="C1481" s="156" t="str">
        <f>IFERROR(__xludf.DUMMYFUNCTION("""COMPUTED_VALUE"""),"10.2307--2094300.pdf")</f>
        <v>10.2307--2094300.pdf</v>
      </c>
      <c r="D1481" s="156" t="str">
        <f>IFERROR(__xludf.DUMMYFUNCTION("""COMPUTED_VALUE"""),"application/pdf")</f>
        <v>application/pdf</v>
      </c>
    </row>
    <row r="1482">
      <c r="A1482" s="156" t="str">
        <f>IFERROR(__xludf.DUMMYFUNCTION("""COMPUTED_VALUE"""),"10.1177/2156869320949598")</f>
        <v>10.1177/2156869320949598</v>
      </c>
      <c r="B1482" s="677" t="str">
        <f>IFERROR(__xludf.DUMMYFUNCTION("""COMPUTED_VALUE"""),"https://drive.google.com/file/d/1nYfwtg7LOkwbDyblaFjUtaNGyJeVa2t6/view?usp=drivesdk")</f>
        <v>https://drive.google.com/file/d/1nYfwtg7LOkwbDyblaFjUtaNGyJeVa2t6/view?usp=drivesdk</v>
      </c>
      <c r="C1482" s="156" t="str">
        <f>IFERROR(__xludf.DUMMYFUNCTION("""COMPUTED_VALUE"""),"10.1177--2156869320949598.pdf")</f>
        <v>10.1177--2156869320949598.pdf</v>
      </c>
      <c r="D1482" s="156" t="str">
        <f>IFERROR(__xludf.DUMMYFUNCTION("""COMPUTED_VALUE"""),"application/pdf")</f>
        <v>application/pdf</v>
      </c>
    </row>
    <row r="1483">
      <c r="A1483" s="156" t="str">
        <f>IFERROR(__xludf.DUMMYFUNCTION("""COMPUTED_VALUE"""),"10.3758/s13414-017-1309-6")</f>
        <v>10.3758/s13414-017-1309-6</v>
      </c>
      <c r="B1483" s="677" t="str">
        <f>IFERROR(__xludf.DUMMYFUNCTION("""COMPUTED_VALUE"""),"https://drive.google.com/file/d/14DoZhXh5CpIYiGXFur--kAAsi_gMfaSY/view?usp=drivesdk")</f>
        <v>https://drive.google.com/file/d/14DoZhXh5CpIYiGXFur--kAAsi_gMfaSY/view?usp=drivesdk</v>
      </c>
      <c r="C1483" s="156" t="str">
        <f>IFERROR(__xludf.DUMMYFUNCTION("""COMPUTED_VALUE"""),"10.3758--s13414-017-1309-6.pdf")</f>
        <v>10.3758--s13414-017-1309-6.pdf</v>
      </c>
      <c r="D1483" s="156" t="str">
        <f>IFERROR(__xludf.DUMMYFUNCTION("""COMPUTED_VALUE"""),"application/pdf")</f>
        <v>application/pdf</v>
      </c>
    </row>
    <row r="1484">
      <c r="A1484" s="156" t="str">
        <f>IFERROR(__xludf.DUMMYFUNCTION("""COMPUTED_VALUE"""),"10.3758/s13414-023-02696-3")</f>
        <v>10.3758/s13414-023-02696-3</v>
      </c>
      <c r="B1484" s="677" t="str">
        <f>IFERROR(__xludf.DUMMYFUNCTION("""COMPUTED_VALUE"""),"https://drive.google.com/file/d/1jK0NLsKWV8FX2gaf2LEa7FXjL-RPXOAT/view?usp=drivesdk")</f>
        <v>https://drive.google.com/file/d/1jK0NLsKWV8FX2gaf2LEa7FXjL-RPXOAT/view?usp=drivesdk</v>
      </c>
      <c r="C1484" s="156" t="str">
        <f>IFERROR(__xludf.DUMMYFUNCTION("""COMPUTED_VALUE"""),"10.3758--s13414-023-02696-3.pdf")</f>
        <v>10.3758--s13414-023-02696-3.pdf</v>
      </c>
      <c r="D1484" s="156" t="str">
        <f>IFERROR(__xludf.DUMMYFUNCTION("""COMPUTED_VALUE"""),"application/pdf")</f>
        <v>application/pdf</v>
      </c>
    </row>
    <row r="1485">
      <c r="A1485" s="156" t="str">
        <f>IFERROR(__xludf.DUMMYFUNCTION("""COMPUTED_VALUE"""),"10.1002/dev.420050403")</f>
        <v>10.1002/dev.420050403</v>
      </c>
      <c r="B1485" s="677" t="str">
        <f>IFERROR(__xludf.DUMMYFUNCTION("""COMPUTED_VALUE"""),"https://drive.google.com/file/d/1Dqew43Y8v38P1r4gR5u_w-Qmg53Bl1k5/view?usp=drivesdk")</f>
        <v>https://drive.google.com/file/d/1Dqew43Y8v38P1r4gR5u_w-Qmg53Bl1k5/view?usp=drivesdk</v>
      </c>
      <c r="C1485" s="156" t="str">
        <f>IFERROR(__xludf.DUMMYFUNCTION("""COMPUTED_VALUE"""),"10.1002--dev.420050403.pdf")</f>
        <v>10.1002--dev.420050403.pdf</v>
      </c>
      <c r="D1485" s="156" t="str">
        <f>IFERROR(__xludf.DUMMYFUNCTION("""COMPUTED_VALUE"""),"application/pdf")</f>
        <v>application/pdf</v>
      </c>
    </row>
    <row r="1486">
      <c r="A1486" s="156" t="str">
        <f>IFERROR(__xludf.DUMMYFUNCTION("""COMPUTED_VALUE"""),"10.1177/0022022110381114")</f>
        <v>10.1177/0022022110381114</v>
      </c>
      <c r="B1486" s="677" t="str">
        <f>IFERROR(__xludf.DUMMYFUNCTION("""COMPUTED_VALUE"""),"https://drive.google.com/file/d/1E7eIQbprHd2AUw9X5A-g5L9xxHpTZ0P1/view?usp=drivesdk")</f>
        <v>https://drive.google.com/file/d/1E7eIQbprHd2AUw9X5A-g5L9xxHpTZ0P1/view?usp=drivesdk</v>
      </c>
      <c r="C1486" s="156" t="str">
        <f>IFERROR(__xludf.DUMMYFUNCTION("""COMPUTED_VALUE"""),"10.1177--0022022110381114.pdf")</f>
        <v>10.1177--0022022110381114.pdf</v>
      </c>
      <c r="D1486" s="156" t="str">
        <f>IFERROR(__xludf.DUMMYFUNCTION("""COMPUTED_VALUE"""),"application/pdf")</f>
        <v>application/pdf</v>
      </c>
    </row>
    <row r="1487">
      <c r="A1487" s="156" t="str">
        <f>IFERROR(__xludf.DUMMYFUNCTION("""COMPUTED_VALUE"""),"10.1111/j.2044-8295.1963.tb00861.x")</f>
        <v>10.1111/j.2044-8295.1963.tb00861.x</v>
      </c>
      <c r="B1487" s="677" t="str">
        <f>IFERROR(__xludf.DUMMYFUNCTION("""COMPUTED_VALUE"""),"https://drive.google.com/file/d/1UAZP-7EFUjtBAC0eRgBKAvSYCJnbPMpz/view?usp=drivesdk")</f>
        <v>https://drive.google.com/file/d/1UAZP-7EFUjtBAC0eRgBKAvSYCJnbPMpz/view?usp=drivesdk</v>
      </c>
      <c r="C1487" s="156" t="str">
        <f>IFERROR(__xludf.DUMMYFUNCTION("""COMPUTED_VALUE"""),"10.1111--j.2044-8295.1963.tb00861.x.pdf")</f>
        <v>10.1111--j.2044-8295.1963.tb00861.x.pdf</v>
      </c>
      <c r="D1487" s="156" t="str">
        <f>IFERROR(__xludf.DUMMYFUNCTION("""COMPUTED_VALUE"""),"application/pdf")</f>
        <v>application/pdf</v>
      </c>
    </row>
    <row r="1488">
      <c r="A1488" s="156" t="str">
        <f>IFERROR(__xludf.DUMMYFUNCTION("""COMPUTED_VALUE"""),"10.2466/pr0.1968.22.3.706")</f>
        <v>10.2466/pr0.1968.22.3.706</v>
      </c>
      <c r="B1488" s="677" t="str">
        <f>IFERROR(__xludf.DUMMYFUNCTION("""COMPUTED_VALUE"""),"https://drive.google.com/file/d/16uoJ6bzNUexR0mdpdovXBeytBzvN_136/view?usp=drivesdk")</f>
        <v>https://drive.google.com/file/d/16uoJ6bzNUexR0mdpdovXBeytBzvN_136/view?usp=drivesdk</v>
      </c>
      <c r="C1488" s="156" t="str">
        <f>IFERROR(__xludf.DUMMYFUNCTION("""COMPUTED_VALUE"""),"10.2466--pr0.1968.22.3.706.pdf")</f>
        <v>10.2466--pr0.1968.22.3.706.pdf</v>
      </c>
      <c r="D1488" s="156" t="str">
        <f>IFERROR(__xludf.DUMMYFUNCTION("""COMPUTED_VALUE"""),"application/pdf")</f>
        <v>application/pdf</v>
      </c>
    </row>
    <row r="1489">
      <c r="A1489" s="156" t="str">
        <f>IFERROR(__xludf.DUMMYFUNCTION("""COMPUTED_VALUE"""),"10.1038/ng0595-41")</f>
        <v>10.1038/ng0595-41</v>
      </c>
      <c r="B1489" s="677" t="str">
        <f>IFERROR(__xludf.DUMMYFUNCTION("""COMPUTED_VALUE"""),"https://drive.google.com/file/d/1eC9LWTi7YGd4cLPQx-GgSHAWh6LWXcw0/view?usp=drivesdk")</f>
        <v>https://drive.google.com/file/d/1eC9LWTi7YGd4cLPQx-GgSHAWh6LWXcw0/view?usp=drivesdk</v>
      </c>
      <c r="C1489" s="156" t="str">
        <f>IFERROR(__xludf.DUMMYFUNCTION("""COMPUTED_VALUE"""),"10.1038--ng0595-41.pdf")</f>
        <v>10.1038--ng0595-41.pdf</v>
      </c>
      <c r="D1489" s="156" t="str">
        <f>IFERROR(__xludf.DUMMYFUNCTION("""COMPUTED_VALUE"""),"application/pdf")</f>
        <v>application/pdf</v>
      </c>
    </row>
    <row r="1490">
      <c r="A1490" s="156" t="str">
        <f>IFERROR(__xludf.DUMMYFUNCTION("""COMPUTED_VALUE"""),"hwu et al_2000")</f>
        <v>hwu et al_2000</v>
      </c>
      <c r="B1490" s="677" t="str">
        <f>IFERROR(__xludf.DUMMYFUNCTION("""COMPUTED_VALUE"""),"https://drive.google.com/file/d/1MXWB81Rob2UjJLFBo2t7YyrxJqF6xc7k/view?usp=drivesdk")</f>
        <v>https://drive.google.com/file/d/1MXWB81Rob2UjJLFBo2t7YyrxJqF6xc7k/view?usp=drivesdk</v>
      </c>
      <c r="C1490" s="156" t="str">
        <f>IFERROR(__xludf.DUMMYFUNCTION("""COMPUTED_VALUE"""),"hwu et al_2000.pdf")</f>
        <v>hwu et al_2000.pdf</v>
      </c>
      <c r="D1490" s="156" t="str">
        <f>IFERROR(__xludf.DUMMYFUNCTION("""COMPUTED_VALUE"""),"application/pdf")</f>
        <v>application/pdf</v>
      </c>
    </row>
    <row r="1491">
      <c r="A1491" s="156" t="str">
        <f>IFERROR(__xludf.DUMMYFUNCTION("""COMPUTED_VALUE"""),"10.1111/j.2044-8333.1998.tb00352.x")</f>
        <v>10.1111/j.2044-8333.1998.tb00352.x</v>
      </c>
      <c r="B1491" s="677" t="str">
        <f>IFERROR(__xludf.DUMMYFUNCTION("""COMPUTED_VALUE"""),"https://drive.google.com/file/d/1k662Z55nvL6fVuQppJtmXmZEAg6B8OlN/view?usp=drivesdk")</f>
        <v>https://drive.google.com/file/d/1k662Z55nvL6fVuQppJtmXmZEAg6B8OlN/view?usp=drivesdk</v>
      </c>
      <c r="C1491" s="156" t="str">
        <f>IFERROR(__xludf.DUMMYFUNCTION("""COMPUTED_VALUE"""),"10.1111--j.2044-8333.1998.tb00352.x.pdf")</f>
        <v>10.1111--j.2044-8333.1998.tb00352.x.pdf</v>
      </c>
      <c r="D1491" s="156" t="str">
        <f>IFERROR(__xludf.DUMMYFUNCTION("""COMPUTED_VALUE"""),"application/pdf")</f>
        <v>application/pdf</v>
      </c>
    </row>
    <row r="1492">
      <c r="A1492" s="156" t="str">
        <f>IFERROR(__xludf.DUMMYFUNCTION("""COMPUTED_VALUE"""),"10.1080/1068316031009634287")</f>
        <v>10.1080/1068316031009634287</v>
      </c>
      <c r="B1492" s="677" t="str">
        <f>IFERROR(__xludf.DUMMYFUNCTION("""COMPUTED_VALUE"""),"https://drive.google.com/file/d/1JY6wiPwPcUGEqQWiVBUp46lcizQn8Xp6/view?usp=drivesdk")</f>
        <v>https://drive.google.com/file/d/1JY6wiPwPcUGEqQWiVBUp46lcizQn8Xp6/view?usp=drivesdk</v>
      </c>
      <c r="C1492" s="156" t="str">
        <f>IFERROR(__xludf.DUMMYFUNCTION("""COMPUTED_VALUE"""),"10.1080--1068316031009634287.pdf")</f>
        <v>10.1080--1068316031009634287.pdf</v>
      </c>
      <c r="D1492" s="156" t="str">
        <f>IFERROR(__xludf.DUMMYFUNCTION("""COMPUTED_VALUE"""),"application/pdf")</f>
        <v>application/pdf</v>
      </c>
    </row>
    <row r="1493">
      <c r="A1493" s="156" t="str">
        <f>IFERROR(__xludf.DUMMYFUNCTION("""COMPUTED_VALUE"""),"10.1073/pnas.78.1.382")</f>
        <v>10.1073/pnas.78.1.382</v>
      </c>
      <c r="B1493" s="677" t="str">
        <f>IFERROR(__xludf.DUMMYFUNCTION("""COMPUTED_VALUE"""),"https://drive.google.com/file/d/1l4Fyzl8ODP-J6QNdf6BMZKEzjr7T1jrc/view?usp=drivesdk")</f>
        <v>https://drive.google.com/file/d/1l4Fyzl8ODP-J6QNdf6BMZKEzjr7T1jrc/view?usp=drivesdk</v>
      </c>
      <c r="C1493" s="156" t="str">
        <f>IFERROR(__xludf.DUMMYFUNCTION("""COMPUTED_VALUE"""),"10.1073--pnas.78.1.382.pdf")</f>
        <v>10.1073--pnas.78.1.382.pdf</v>
      </c>
      <c r="D1493" s="156" t="str">
        <f>IFERROR(__xludf.DUMMYFUNCTION("""COMPUTED_VALUE"""),"application/pdf")</f>
        <v>application/pdf</v>
      </c>
    </row>
    <row r="1494">
      <c r="A1494" s="156" t="str">
        <f>IFERROR(__xludf.DUMMYFUNCTION("""COMPUTED_VALUE"""),"10.1007/bf02298289")</f>
        <v>10.1007/bf02298289</v>
      </c>
      <c r="B1494" s="677" t="str">
        <f>IFERROR(__xludf.DUMMYFUNCTION("""COMPUTED_VALUE"""),"https://drive.google.com/file/d/1sRIqgi7llJfc0bXcAYeY1xU6h8cjQM7L/view?usp=drivesdk")</f>
        <v>https://drive.google.com/file/d/1sRIqgi7llJfc0bXcAYeY1xU6h8cjQM7L/view?usp=drivesdk</v>
      </c>
      <c r="C1494" s="156" t="str">
        <f>IFERROR(__xludf.DUMMYFUNCTION("""COMPUTED_VALUE"""),"10.1007--bf02298289.pdf")</f>
        <v>10.1007--bf02298289.pdf</v>
      </c>
      <c r="D1494" s="156" t="str">
        <f>IFERROR(__xludf.DUMMYFUNCTION("""COMPUTED_VALUE"""),"application/pdf")</f>
        <v>application/pdf</v>
      </c>
    </row>
    <row r="1495">
      <c r="A1495" s="156" t="str">
        <f>IFERROR(__xludf.DUMMYFUNCTION("""COMPUTED_VALUE"""),"10.1111/pai.14044")</f>
        <v>10.1111/pai.14044</v>
      </c>
      <c r="B1495" s="677" t="str">
        <f>IFERROR(__xludf.DUMMYFUNCTION("""COMPUTED_VALUE"""),"https://drive.google.com/file/d/10-gsNwK6KvqX9tOCflNeUW-zWnKtl0JV/view?usp=drivesdk")</f>
        <v>https://drive.google.com/file/d/10-gsNwK6KvqX9tOCflNeUW-zWnKtl0JV/view?usp=drivesdk</v>
      </c>
      <c r="C1495" s="156" t="str">
        <f>IFERROR(__xludf.DUMMYFUNCTION("""COMPUTED_VALUE"""),"10.1111--pai.14044.pdf")</f>
        <v>10.1111--pai.14044.pdf</v>
      </c>
      <c r="D1495" s="156" t="str">
        <f>IFERROR(__xludf.DUMMYFUNCTION("""COMPUTED_VALUE"""),"application/pdf")</f>
        <v>application/pdf</v>
      </c>
    </row>
    <row r="1496">
      <c r="A1496" s="156" t="str">
        <f>IFERROR(__xludf.DUMMYFUNCTION("""COMPUTED_VALUE"""),"10.1016/j.appet.2011.12.023")</f>
        <v>10.1016/j.appet.2011.12.023</v>
      </c>
      <c r="B1496" s="677" t="str">
        <f>IFERROR(__xludf.DUMMYFUNCTION("""COMPUTED_VALUE"""),"https://drive.google.com/file/d/1zwo0Z9c95_nMMyR8_YF91_12LgVySkVG/view?usp=drivesdk")</f>
        <v>https://drive.google.com/file/d/1zwo0Z9c95_nMMyR8_YF91_12LgVySkVG/view?usp=drivesdk</v>
      </c>
      <c r="C1496" s="156" t="str">
        <f>IFERROR(__xludf.DUMMYFUNCTION("""COMPUTED_VALUE"""),"10.1016--j.appet.2011.12.023.pdf")</f>
        <v>10.1016--j.appet.2011.12.023.pdf</v>
      </c>
      <c r="D1496" s="156" t="str">
        <f>IFERROR(__xludf.DUMMYFUNCTION("""COMPUTED_VALUE"""),"application/pdf")</f>
        <v>application/pdf</v>
      </c>
    </row>
    <row r="1497">
      <c r="A1497" s="156" t="str">
        <f>IFERROR(__xludf.DUMMYFUNCTION("""COMPUTED_VALUE"""),"10.1016/j.appet.2021.105619")</f>
        <v>10.1016/j.appet.2021.105619</v>
      </c>
      <c r="B1497" s="677" t="str">
        <f>IFERROR(__xludf.DUMMYFUNCTION("""COMPUTED_VALUE"""),"https://drive.google.com/file/d/1QuBW1YTzJmF7ZZ5KLsu8m14qTEgfOrf4/view?usp=drivesdk")</f>
        <v>https://drive.google.com/file/d/1QuBW1YTzJmF7ZZ5KLsu8m14qTEgfOrf4/view?usp=drivesdk</v>
      </c>
      <c r="C1497" s="156" t="str">
        <f>IFERROR(__xludf.DUMMYFUNCTION("""COMPUTED_VALUE"""),"10.1016--j.appet.2021.105619.pdf")</f>
        <v>10.1016--j.appet.2021.105619.pdf</v>
      </c>
      <c r="D1497" s="156" t="str">
        <f>IFERROR(__xludf.DUMMYFUNCTION("""COMPUTED_VALUE"""),"application/pdf")</f>
        <v>application/pdf</v>
      </c>
    </row>
    <row r="1498">
      <c r="A1498" s="156" t="str">
        <f>IFERROR(__xludf.DUMMYFUNCTION("""COMPUTED_VALUE"""),"10.1037/h0074049")</f>
        <v>10.1037/h0074049</v>
      </c>
      <c r="B1498" s="677" t="str">
        <f>IFERROR(__xludf.DUMMYFUNCTION("""COMPUTED_VALUE"""),"https://drive.google.com/file/d/1jLPe3BMjMoGusQT0KkiegKkiGsIIVazO/view?usp=drivesdk")</f>
        <v>https://drive.google.com/file/d/1jLPe3BMjMoGusQT0KkiegKkiGsIIVazO/view?usp=drivesdk</v>
      </c>
      <c r="C1498" s="156" t="str">
        <f>IFERROR(__xludf.DUMMYFUNCTION("""COMPUTED_VALUE"""),"10.1037--h0074049.pdf")</f>
        <v>10.1037--h0074049.pdf</v>
      </c>
      <c r="D1498" s="156" t="str">
        <f>IFERROR(__xludf.DUMMYFUNCTION("""COMPUTED_VALUE"""),"application/pdf")</f>
        <v>application/pdf</v>
      </c>
    </row>
    <row r="1499">
      <c r="A1499" s="156" t="str">
        <f>IFERROR(__xludf.DUMMYFUNCTION("""COMPUTED_VALUE"""),"10.1080/02732173.1991.9981978")</f>
        <v>10.1080/02732173.1991.9981978</v>
      </c>
      <c r="B1499" s="677" t="str">
        <f>IFERROR(__xludf.DUMMYFUNCTION("""COMPUTED_VALUE"""),"https://drive.google.com/file/d/13-aZvvhwSjgBjdZB9gIwxJT4-D-JgM4Y/view?usp=drivesdk")</f>
        <v>https://drive.google.com/file/d/13-aZvvhwSjgBjdZB9gIwxJT4-D-JgM4Y/view?usp=drivesdk</v>
      </c>
      <c r="C1499" s="156" t="str">
        <f>IFERROR(__xludf.DUMMYFUNCTION("""COMPUTED_VALUE"""),"10.1080--02732173.1991.9981978.pdf.pdf")</f>
        <v>10.1080--02732173.1991.9981978.pdf.pdf</v>
      </c>
      <c r="D1499" s="156" t="str">
        <f>IFERROR(__xludf.DUMMYFUNCTION("""COMPUTED_VALUE"""),"application/pdf")</f>
        <v>application/pdf</v>
      </c>
    </row>
    <row r="1500">
      <c r="A1500" s="156" t="str">
        <f>IFERROR(__xludf.DUMMYFUNCTION("""COMPUTED_VALUE"""),"10.1068/ic321")</f>
        <v>10.1068/ic321</v>
      </c>
      <c r="B1500" s="677" t="str">
        <f>IFERROR(__xludf.DUMMYFUNCTION("""COMPUTED_VALUE"""),"https://drive.google.com/file/d/1qDn01UYSY7IzWnRuxG_gHrcvE620ctpS/view?usp=drivesdk")</f>
        <v>https://drive.google.com/file/d/1qDn01UYSY7IzWnRuxG_gHrcvE620ctpS/view?usp=drivesdk</v>
      </c>
      <c r="C1500" s="156" t="str">
        <f>IFERROR(__xludf.DUMMYFUNCTION("""COMPUTED_VALUE"""),"10.1068--ic321.pdf")</f>
        <v>10.1068--ic321.pdf</v>
      </c>
      <c r="D1500" s="156" t="str">
        <f>IFERROR(__xludf.DUMMYFUNCTION("""COMPUTED_VALUE"""),"application/pdf")</f>
        <v>application/pdf</v>
      </c>
    </row>
    <row r="1501">
      <c r="A1501" s="156" t="str">
        <f>IFERROR(__xludf.DUMMYFUNCTION("""COMPUTED_VALUE"""),"10.1007/s11577-001-0040-3")</f>
        <v>10.1007/s11577-001-0040-3</v>
      </c>
      <c r="B1501" s="677" t="str">
        <f>IFERROR(__xludf.DUMMYFUNCTION("""COMPUTED_VALUE"""),"https://drive.google.com/file/d/11weNHLGnxj4KDY_B4C5ruXp3HlO5mWfo/view?usp=drivesdk")</f>
        <v>https://drive.google.com/file/d/11weNHLGnxj4KDY_B4C5ruXp3HlO5mWfo/view?usp=drivesdk</v>
      </c>
      <c r="C1501" s="156" t="str">
        <f>IFERROR(__xludf.DUMMYFUNCTION("""COMPUTED_VALUE"""),"10.1007--s11577-001-0040-3.pdf")</f>
        <v>10.1007--s11577-001-0040-3.pdf</v>
      </c>
      <c r="D1501" s="156" t="str">
        <f>IFERROR(__xludf.DUMMYFUNCTION("""COMPUTED_VALUE"""),"application/pdf")</f>
        <v>application/pdf</v>
      </c>
    </row>
    <row r="1502">
      <c r="A1502" s="156" t="str">
        <f>IFERROR(__xludf.DUMMYFUNCTION("""COMPUTED_VALUE"""),"10.7892/boris.69488")</f>
        <v>10.7892/boris.69488</v>
      </c>
      <c r="B1502" s="677" t="str">
        <f>IFERROR(__xludf.DUMMYFUNCTION("""COMPUTED_VALUE"""),"https://drive.google.com/file/d/1_iZrTUyZXaycbPsVfM-74FyaJ3MB4oLV/view?usp=drivesdk")</f>
        <v>https://drive.google.com/file/d/1_iZrTUyZXaycbPsVfM-74FyaJ3MB4oLV/view?usp=drivesdk</v>
      </c>
      <c r="C1502" s="156" t="str">
        <f>IFERROR(__xludf.DUMMYFUNCTION("""COMPUTED_VALUE"""),"10.7892--boris.69488.pdf")</f>
        <v>10.7892--boris.69488.pdf</v>
      </c>
      <c r="D1502" s="156" t="str">
        <f>IFERROR(__xludf.DUMMYFUNCTION("""COMPUTED_VALUE"""),"application/pdf")</f>
        <v>application/pdf</v>
      </c>
    </row>
    <row r="1503">
      <c r="A1503" s="156" t="str">
        <f>IFERROR(__xludf.DUMMYFUNCTION("""COMPUTED_VALUE"""),"10.1109/vlhcc.2011.6070387")</f>
        <v>10.1109/vlhcc.2011.6070387</v>
      </c>
      <c r="B1503" s="677" t="str">
        <f>IFERROR(__xludf.DUMMYFUNCTION("""COMPUTED_VALUE"""),"https://drive.google.com/file/d/148xaPdnZbWevywVmo1SOyFW7IsxxfEnq/view?usp=drivesdk")</f>
        <v>https://drive.google.com/file/d/148xaPdnZbWevywVmo1SOyFW7IsxxfEnq/view?usp=drivesdk</v>
      </c>
      <c r="C1503" s="156" t="str">
        <f>IFERROR(__xludf.DUMMYFUNCTION("""COMPUTED_VALUE"""),"10.1109--vlhcc.2011.6070387.pdf")</f>
        <v>10.1109--vlhcc.2011.6070387.pdf</v>
      </c>
      <c r="D1503" s="156" t="str">
        <f>IFERROR(__xludf.DUMMYFUNCTION("""COMPUTED_VALUE"""),"application/pdf")</f>
        <v>application/pdf</v>
      </c>
    </row>
    <row r="1504">
      <c r="A1504" s="156" t="str">
        <f>IFERROR(__xludf.DUMMYFUNCTION("""COMPUTED_VALUE"""),"10.1109/icsme.2016.84")</f>
        <v>10.1109/icsme.2016.84</v>
      </c>
      <c r="B1504" s="677" t="str">
        <f>IFERROR(__xludf.DUMMYFUNCTION("""COMPUTED_VALUE"""),"https://drive.google.com/file/d/1N4P_NBhEekeEeel35srG3dNXuEVg7MVW/view?usp=drivesdk")</f>
        <v>https://drive.google.com/file/d/1N4P_NBhEekeEeel35srG3dNXuEVg7MVW/view?usp=drivesdk</v>
      </c>
      <c r="C1504" s="156" t="str">
        <f>IFERROR(__xludf.DUMMYFUNCTION("""COMPUTED_VALUE"""),"10.1109--icsme.2016.84.pdf")</f>
        <v>10.1109--icsme.2016.84.pdf</v>
      </c>
      <c r="D1504" s="156" t="str">
        <f>IFERROR(__xludf.DUMMYFUNCTION("""COMPUTED_VALUE"""),"application/pdf")</f>
        <v>application/pdf</v>
      </c>
    </row>
    <row r="1505">
      <c r="A1505" s="156" t="str">
        <f>IFERROR(__xludf.DUMMYFUNCTION("""COMPUTED_VALUE"""),"10.1002/mds.29077")</f>
        <v>10.1002/mds.29077</v>
      </c>
      <c r="B1505" s="677" t="str">
        <f>IFERROR(__xludf.DUMMYFUNCTION("""COMPUTED_VALUE"""),"https://drive.google.com/file/d/1r7_BjSj4NLXFSWuoZF1QDn_Pt_2F0sIX/view?usp=drivesdk")</f>
        <v>https://drive.google.com/file/d/1r7_BjSj4NLXFSWuoZF1QDn_Pt_2F0sIX/view?usp=drivesdk</v>
      </c>
      <c r="C1505" s="156" t="str">
        <f>IFERROR(__xludf.DUMMYFUNCTION("""COMPUTED_VALUE"""),"10.1002--mds.29077.pdf")</f>
        <v>10.1002--mds.29077.pdf</v>
      </c>
      <c r="D1505" s="156" t="str">
        <f>IFERROR(__xludf.DUMMYFUNCTION("""COMPUTED_VALUE"""),"application/pdf")</f>
        <v>application/pdf</v>
      </c>
    </row>
    <row r="1506">
      <c r="A1506" s="156" t="str">
        <f>IFERROR(__xludf.DUMMYFUNCTION("""COMPUTED_VALUE"""),"10.1002/mds.29534")</f>
        <v>10.1002/mds.29534</v>
      </c>
      <c r="B1506" s="677" t="str">
        <f>IFERROR(__xludf.DUMMYFUNCTION("""COMPUTED_VALUE"""),"https://drive.google.com/file/d/1yvH2WRaGuCEiDaRRoX5rvYKm_W_kFR7a/view?usp=drivesdk")</f>
        <v>https://drive.google.com/file/d/1yvH2WRaGuCEiDaRRoX5rvYKm_W_kFR7a/view?usp=drivesdk</v>
      </c>
      <c r="C1506" s="156" t="str">
        <f>IFERROR(__xludf.DUMMYFUNCTION("""COMPUTED_VALUE"""),"10.1002--mds.29534.pdf")</f>
        <v>10.1002--mds.29534.pdf</v>
      </c>
      <c r="D1506" s="156" t="str">
        <f>IFERROR(__xludf.DUMMYFUNCTION("""COMPUTED_VALUE"""),"application/pdf")</f>
        <v>application/pdf</v>
      </c>
    </row>
    <row r="1507">
      <c r="A1507" s="156" t="str">
        <f>IFERROR(__xludf.DUMMYFUNCTION("""COMPUTED_VALUE"""),"10.1080/07418820200095361")</f>
        <v>10.1080/07418820200095361</v>
      </c>
      <c r="B1507" s="677" t="str">
        <f>IFERROR(__xludf.DUMMYFUNCTION("""COMPUTED_VALUE"""),"https://drive.google.com/file/d/1MOJGhbdJjCgBlRPFc3R0unH7ZXYqk_S2/view?usp=drivesdk")</f>
        <v>https://drive.google.com/file/d/1MOJGhbdJjCgBlRPFc3R0unH7ZXYqk_S2/view?usp=drivesdk</v>
      </c>
      <c r="C1507" s="156" t="str">
        <f>IFERROR(__xludf.DUMMYFUNCTION("""COMPUTED_VALUE"""),"10.1080--07418820200095361.pdf.pdf")</f>
        <v>10.1080--07418820200095361.pdf.pdf</v>
      </c>
      <c r="D1507" s="156" t="str">
        <f>IFERROR(__xludf.DUMMYFUNCTION("""COMPUTED_VALUE"""),"application/pdf")</f>
        <v>application/pdf</v>
      </c>
    </row>
    <row r="1508">
      <c r="A1508" s="156" t="str">
        <f>IFERROR(__xludf.DUMMYFUNCTION("""COMPUTED_VALUE"""),"10.1080/10511253.2017.1373135")</f>
        <v>10.1080/10511253.2017.1373135</v>
      </c>
      <c r="B1508" s="677" t="str">
        <f>IFERROR(__xludf.DUMMYFUNCTION("""COMPUTED_VALUE"""),"https://drive.google.com/file/d/1h5w_3Nl7GIiq_vm_TbDZdgHnl_-wIl_M/view?usp=drivesdk")</f>
        <v>https://drive.google.com/file/d/1h5w_3Nl7GIiq_vm_TbDZdgHnl_-wIl_M/view?usp=drivesdk</v>
      </c>
      <c r="C1508" s="156" t="str">
        <f>IFERROR(__xludf.DUMMYFUNCTION("""COMPUTED_VALUE"""),"10.1080--10511253.2017.1373135.pdf")</f>
        <v>10.1080--10511253.2017.1373135.pdf</v>
      </c>
      <c r="D1508" s="156" t="str">
        <f>IFERROR(__xludf.DUMMYFUNCTION("""COMPUTED_VALUE"""),"application/pdf")</f>
        <v>application/pdf</v>
      </c>
    </row>
    <row r="1509">
      <c r="A1509" s="156" t="str">
        <f>IFERROR(__xludf.DUMMYFUNCTION("""COMPUTED_VALUE"""),"10.1111/exd.12809")</f>
        <v>10.1111/exd.12809</v>
      </c>
      <c r="B1509" s="677" t="str">
        <f>IFERROR(__xludf.DUMMYFUNCTION("""COMPUTED_VALUE"""),"https://drive.google.com/file/d/1fg9zcwScO67WBgZXvC6XlR_kL7yzXpXy/view?usp=drivesdk")</f>
        <v>https://drive.google.com/file/d/1fg9zcwScO67WBgZXvC6XlR_kL7yzXpXy/view?usp=drivesdk</v>
      </c>
      <c r="C1509" s="156" t="str">
        <f>IFERROR(__xludf.DUMMYFUNCTION("""COMPUTED_VALUE"""),"10.1111--exd.12809.pdf")</f>
        <v>10.1111--exd.12809.pdf</v>
      </c>
      <c r="D1509" s="156" t="str">
        <f>IFERROR(__xludf.DUMMYFUNCTION("""COMPUTED_VALUE"""),"application/pdf")</f>
        <v>application/pdf</v>
      </c>
    </row>
    <row r="1510">
      <c r="A1510" s="336" t="str">
        <f>IFERROR(__xludf.DUMMYFUNCTION("""COMPUTED_VALUE"""),"10.1037/a0012840")</f>
        <v>10.1037/a0012840</v>
      </c>
      <c r="B1510" s="442" t="str">
        <f>IFERROR(__xludf.DUMMYFUNCTION("""COMPUTED_VALUE"""),"https://drive.google.com/file/d/1q2gVwa1rOQ8WWfdq3nW3rbh2NM0UA3nR/view?usp=drivesdk")</f>
        <v>https://drive.google.com/file/d/1q2gVwa1rOQ8WWfdq3nW3rbh2NM0UA3nR/view?usp=drivesdk</v>
      </c>
      <c r="C1510" s="336" t="str">
        <f>IFERROR(__xludf.DUMMYFUNCTION("""COMPUTED_VALUE"""),"10.1037--a0012840.pdf")</f>
        <v>10.1037--a0012840.pdf</v>
      </c>
      <c r="D1510" s="156" t="str">
        <f>IFERROR(__xludf.DUMMYFUNCTION("""COMPUTED_VALUE"""),"application/pdf")</f>
        <v>application/pdf</v>
      </c>
    </row>
    <row r="1511">
      <c r="A1511" s="336" t="str">
        <f>IFERROR(__xludf.DUMMYFUNCTION("""COMPUTED_VALUE"""),"10.1002/pits.22027")</f>
        <v>10.1002/pits.22027</v>
      </c>
      <c r="B1511" s="442" t="str">
        <f>IFERROR(__xludf.DUMMYFUNCTION("""COMPUTED_VALUE"""),"https://drive.google.com/file/d/1DsODP8YLjFDZ-RPgM2IJvC2B0oBq4PLX/view?usp=drivesdk")</f>
        <v>https://drive.google.com/file/d/1DsODP8YLjFDZ-RPgM2IJvC2B0oBq4PLX/view?usp=drivesdk</v>
      </c>
      <c r="C1511" s="336" t="str">
        <f>IFERROR(__xludf.DUMMYFUNCTION("""COMPUTED_VALUE"""),"10.1002--pits.22027.pdf")</f>
        <v>10.1002--pits.22027.pdf</v>
      </c>
      <c r="D1511" s="156" t="str">
        <f>IFERROR(__xludf.DUMMYFUNCTION("""COMPUTED_VALUE"""),"application/pdf")</f>
        <v>application/pdf</v>
      </c>
    </row>
    <row r="1512">
      <c r="A1512" s="336" t="str">
        <f>IFERROR(__xludf.DUMMYFUNCTION("""COMPUTED_VALUE"""),"10.1038/s41398-019-0439-0")</f>
        <v>10.1038/s41398-019-0439-0</v>
      </c>
      <c r="B1512" s="442" t="str">
        <f>IFERROR(__xludf.DUMMYFUNCTION("""COMPUTED_VALUE"""),"https://drive.google.com/file/d/17ZEzUuXHixyudMb6cJV15e7wnM4cCqCh/view?usp=drivesdk")</f>
        <v>https://drive.google.com/file/d/17ZEzUuXHixyudMb6cJV15e7wnM4cCqCh/view?usp=drivesdk</v>
      </c>
      <c r="C1512" s="336" t="str">
        <f>IFERROR(__xludf.DUMMYFUNCTION("""COMPUTED_VALUE"""),"10.1038--s41398-019-0439-0.pdf")</f>
        <v>10.1038--s41398-019-0439-0.pdf</v>
      </c>
      <c r="D1512" s="156" t="str">
        <f>IFERROR(__xludf.DUMMYFUNCTION("""COMPUTED_VALUE"""),"application/pdf")</f>
        <v>application/pdf</v>
      </c>
    </row>
    <row r="1513">
      <c r="A1513" s="336" t="str">
        <f>IFERROR(__xludf.DUMMYFUNCTION("""COMPUTED_VALUE"""),"10.1101/2021.06.17.21258764")</f>
        <v>10.1101/2021.06.17.21258764</v>
      </c>
      <c r="B1513" s="442" t="str">
        <f>IFERROR(__xludf.DUMMYFUNCTION("""COMPUTED_VALUE"""),"https://drive.google.com/file/d/1lsnR2vyytLKoStGhel4Zy_F4FB1RdvbN/view?usp=drivesdk")</f>
        <v>https://drive.google.com/file/d/1lsnR2vyytLKoStGhel4Zy_F4FB1RdvbN/view?usp=drivesdk</v>
      </c>
      <c r="C1513" s="336" t="str">
        <f>IFERROR(__xludf.DUMMYFUNCTION("""COMPUTED_VALUE"""),"10.1101--2021.06.17.21258764.pdf")</f>
        <v>10.1101--2021.06.17.21258764.pdf</v>
      </c>
      <c r="D1513" s="156" t="str">
        <f>IFERROR(__xludf.DUMMYFUNCTION("""COMPUTED_VALUE"""),"application/pdf")</f>
        <v>application/pdf</v>
      </c>
    </row>
    <row r="1514">
      <c r="A1514" s="336" t="str">
        <f>IFERROR(__xludf.DUMMYFUNCTION("""COMPUTED_VALUE"""),"10.1002/da.20389")</f>
        <v>10.1002/da.20389</v>
      </c>
      <c r="B1514" s="442" t="str">
        <f>IFERROR(__xludf.DUMMYFUNCTION("""COMPUTED_VALUE"""),"https://drive.google.com/file/d/1nVu17ycBo3lJ5PEXQ4Yf8Y0H6__hEqHF/view?usp=drivesdk")</f>
        <v>https://drive.google.com/file/d/1nVu17ycBo3lJ5PEXQ4Yf8Y0H6__hEqHF/view?usp=drivesdk</v>
      </c>
      <c r="C1514" s="336" t="str">
        <f>IFERROR(__xludf.DUMMYFUNCTION("""COMPUTED_VALUE"""),"10.1002--da.20389.pdf")</f>
        <v>10.1002--da.20389.pdf</v>
      </c>
      <c r="D1514" s="156" t="str">
        <f>IFERROR(__xludf.DUMMYFUNCTION("""COMPUTED_VALUE"""),"application/pdf")</f>
        <v>application/pdf</v>
      </c>
    </row>
    <row r="1515">
      <c r="A1515" s="336" t="str">
        <f>IFERROR(__xludf.DUMMYFUNCTION("""COMPUTED_VALUE"""),"10.1177/1077559513483002")</f>
        <v>10.1177/1077559513483002</v>
      </c>
      <c r="B1515" s="442" t="str">
        <f>IFERROR(__xludf.DUMMYFUNCTION("""COMPUTED_VALUE"""),"https://drive.google.com/file/d/1GhKZHeRd47v5xBxhTavq5L9gXUNYt8aA/view?usp=drivesdk")</f>
        <v>https://drive.google.com/file/d/1GhKZHeRd47v5xBxhTavq5L9gXUNYt8aA/view?usp=drivesdk</v>
      </c>
      <c r="C1515" s="336" t="str">
        <f>IFERROR(__xludf.DUMMYFUNCTION("""COMPUTED_VALUE"""),"10.1177--1077559513483002.pdf")</f>
        <v>10.1177--1077559513483002.pdf</v>
      </c>
      <c r="D1515" s="156" t="str">
        <f>IFERROR(__xludf.DUMMYFUNCTION("""COMPUTED_VALUE"""),"application/pdf")</f>
        <v>application/pdf</v>
      </c>
    </row>
    <row r="1516">
      <c r="A1516" s="336" t="str">
        <f>IFERROR(__xludf.DUMMYFUNCTION("""COMPUTED_VALUE"""),"10.1080/10926771.2022.2038753")</f>
        <v>10.1080/10926771.2022.2038753</v>
      </c>
      <c r="B1516" s="442" t="str">
        <f>IFERROR(__xludf.DUMMYFUNCTION("""COMPUTED_VALUE"""),"https://drive.google.com/file/d/1qD4WA9U-UCZHa3o07wjyZ9l8fP7hm9lA/view?usp=drivesdk")</f>
        <v>https://drive.google.com/file/d/1qD4WA9U-UCZHa3o07wjyZ9l8fP7hm9lA/view?usp=drivesdk</v>
      </c>
      <c r="C1516" s="336" t="str">
        <f>IFERROR(__xludf.DUMMYFUNCTION("""COMPUTED_VALUE"""),"10.1080--10926771.2022.2038753.pdf")</f>
        <v>10.1080--10926771.2022.2038753.pdf</v>
      </c>
      <c r="D1516" s="156" t="str">
        <f>IFERROR(__xludf.DUMMYFUNCTION("""COMPUTED_VALUE"""),"application/pdf")</f>
        <v>application/pdf</v>
      </c>
    </row>
    <row r="1517">
      <c r="A1517" s="336" t="str">
        <f>IFERROR(__xludf.DUMMYFUNCTION("""COMPUTED_VALUE"""),"10.3389/fpsyt.2012.00045")</f>
        <v>10.3389/fpsyt.2012.00045</v>
      </c>
      <c r="B1517" s="442" t="str">
        <f>IFERROR(__xludf.DUMMYFUNCTION("""COMPUTED_VALUE"""),"https://drive.google.com/file/d/1aRrIEYkTBN8n1Sgn3O-yporbXSHz9WO9/view?usp=drivesdk")</f>
        <v>https://drive.google.com/file/d/1aRrIEYkTBN8n1Sgn3O-yporbXSHz9WO9/view?usp=drivesdk</v>
      </c>
      <c r="C1517" s="336" t="str">
        <f>IFERROR(__xludf.DUMMYFUNCTION("""COMPUTED_VALUE"""),"10.3389--fpsyt.2012.00045.pdf")</f>
        <v>10.3389--fpsyt.2012.00045.pdf</v>
      </c>
      <c r="D1517" s="156" t="str">
        <f>IFERROR(__xludf.DUMMYFUNCTION("""COMPUTED_VALUE"""),"application/pdf")</f>
        <v>application/pdf</v>
      </c>
    </row>
    <row r="1518">
      <c r="A1518" s="336" t="str">
        <f>IFERROR(__xludf.DUMMYFUNCTION("""COMPUTED_VALUE"""),"10.1016/s0749- 596x(02)00515-6")</f>
        <v>10.1016/s0749- 596x(02)00515-6</v>
      </c>
      <c r="B1518" s="442" t="str">
        <f>IFERROR(__xludf.DUMMYFUNCTION("""COMPUTED_VALUE"""),"https://drive.google.com/file/d/1KP8GrgUwNPDp8IB_LkFZY49Vt1IvtVdu/view?usp=drivesdk")</f>
        <v>https://drive.google.com/file/d/1KP8GrgUwNPDp8IB_LkFZY49Vt1IvtVdu/view?usp=drivesdk</v>
      </c>
      <c r="C1518" s="336" t="str">
        <f>IFERROR(__xludf.DUMMYFUNCTION("""COMPUTED_VALUE"""),"10.1016--s0749- 596x(02)00515-6.pdf")</f>
        <v>10.1016--s0749- 596x(02)00515-6.pdf</v>
      </c>
      <c r="D1518" s="156" t="str">
        <f>IFERROR(__xludf.DUMMYFUNCTION("""COMPUTED_VALUE"""),"application/pdf")</f>
        <v>application/pdf</v>
      </c>
    </row>
    <row r="1519">
      <c r="A1519" s="336" t="str">
        <f>IFERROR(__xludf.DUMMYFUNCTION("""COMPUTED_VALUE"""),"10.3389/fpsyg.2015.01552")</f>
        <v>10.3389/fpsyg.2015.01552</v>
      </c>
      <c r="B1519" s="442" t="str">
        <f>IFERROR(__xludf.DUMMYFUNCTION("""COMPUTED_VALUE"""),"https://drive.google.com/file/d/1qMJM9_CEzjXsRTVa3qE0XoThl6ByL8_R/view?usp=drivesdk")</f>
        <v>https://drive.google.com/file/d/1qMJM9_CEzjXsRTVa3qE0XoThl6ByL8_R/view?usp=drivesdk</v>
      </c>
      <c r="C1519" s="336" t="str">
        <f>IFERROR(__xludf.DUMMYFUNCTION("""COMPUTED_VALUE"""),"10.3389--fpsyg.2015.01552.pdf")</f>
        <v>10.3389--fpsyg.2015.01552.pdf</v>
      </c>
      <c r="D1519" s="156" t="str">
        <f>IFERROR(__xludf.DUMMYFUNCTION("""COMPUTED_VALUE"""),"application/pdf")</f>
        <v>application/pdf</v>
      </c>
    </row>
    <row r="1520">
      <c r="A1520" s="336" t="str">
        <f>IFERROR(__xludf.DUMMYFUNCTION("""COMPUTED_VALUE"""),"10.1086/339272")</f>
        <v>10.1086/339272</v>
      </c>
      <c r="B1520" s="442" t="str">
        <f>IFERROR(__xludf.DUMMYFUNCTION("""COMPUTED_VALUE"""),"https://drive.google.com/file/d/1vvezkz5zWeT6u6dIfF269SD9kYogBCP9/view?usp=drivesdk")</f>
        <v>https://drive.google.com/file/d/1vvezkz5zWeT6u6dIfF269SD9kYogBCP9/view?usp=drivesdk</v>
      </c>
      <c r="C1520" s="336" t="str">
        <f>IFERROR(__xludf.DUMMYFUNCTION("""COMPUTED_VALUE"""),"10.1086--339272.pdf")</f>
        <v>10.1086--339272.pdf</v>
      </c>
      <c r="D1520" s="156" t="str">
        <f>IFERROR(__xludf.DUMMYFUNCTION("""COMPUTED_VALUE"""),"application/pdf")</f>
        <v>application/pdf</v>
      </c>
    </row>
    <row r="1521">
      <c r="A1521" s="336" t="str">
        <f>IFERROR(__xludf.DUMMYFUNCTION("""COMPUTED_VALUE"""),"10.2500/aap.2007.28.3056")</f>
        <v>10.2500/aap.2007.28.3056</v>
      </c>
      <c r="B1521" s="442" t="str">
        <f>IFERROR(__xludf.DUMMYFUNCTION("""COMPUTED_VALUE"""),"https://drive.google.com/file/d/1jQjSRx3kSj2ilW3KmwxAru8D96j3i8Y7/view?usp=drivesdk")</f>
        <v>https://drive.google.com/file/d/1jQjSRx3kSj2ilW3KmwxAru8D96j3i8Y7/view?usp=drivesdk</v>
      </c>
      <c r="C1521" s="336" t="str">
        <f>IFERROR(__xludf.DUMMYFUNCTION("""COMPUTED_VALUE"""),"10.2500--aap.2007.28.3056.pdf")</f>
        <v>10.2500--aap.2007.28.3056.pdf</v>
      </c>
      <c r="D1521" s="156" t="str">
        <f>IFERROR(__xludf.DUMMYFUNCTION("""COMPUTED_VALUE"""),"application/pdf")</f>
        <v>application/pdf</v>
      </c>
    </row>
    <row r="1522">
      <c r="A1522" s="336" t="str">
        <f>IFERROR(__xludf.DUMMYFUNCTION("""COMPUTED_VALUE"""),"10.2514/6.1998-4333")</f>
        <v>10.2514/6.1998-4333</v>
      </c>
      <c r="B1522" s="442" t="str">
        <f>IFERROR(__xludf.DUMMYFUNCTION("""COMPUTED_VALUE"""),"https://drive.google.com/file/d/1Lep74aOGY2HTUfjOH1sRJGskkNnhcT9R/view?usp=drivesdk")</f>
        <v>https://drive.google.com/file/d/1Lep74aOGY2HTUfjOH1sRJGskkNnhcT9R/view?usp=drivesdk</v>
      </c>
      <c r="C1522" s="336" t="str">
        <f>IFERROR(__xludf.DUMMYFUNCTION("""COMPUTED_VALUE"""),"10.2514--6.1998-4333.pdf")</f>
        <v>10.2514--6.1998-4333.pdf</v>
      </c>
      <c r="D1522" s="156" t="str">
        <f>IFERROR(__xludf.DUMMYFUNCTION("""COMPUTED_VALUE"""),"application/pdf")</f>
        <v>application/pdf</v>
      </c>
    </row>
    <row r="1523">
      <c r="A1523" s="336" t="str">
        <f>IFERROR(__xludf.DUMMYFUNCTION("""COMPUTED_VALUE"""),"10.2307/1128199")</f>
        <v>10.2307/1128199</v>
      </c>
      <c r="B1523" s="442" t="str">
        <f>IFERROR(__xludf.DUMMYFUNCTION("""COMPUTED_VALUE"""),"https://drive.google.com/file/d/1mopdcftXz_M_O--Fgwij9iA3MHwAEogr/view?usp=drivesdk")</f>
        <v>https://drive.google.com/file/d/1mopdcftXz_M_O--Fgwij9iA3MHwAEogr/view?usp=drivesdk</v>
      </c>
      <c r="C1523" s="336" t="str">
        <f>IFERROR(__xludf.DUMMYFUNCTION("""COMPUTED_VALUE"""),"10.2307--1128199.pdf")</f>
        <v>10.2307--1128199.pdf</v>
      </c>
      <c r="D1523" s="156" t="str">
        <f>IFERROR(__xludf.DUMMYFUNCTION("""COMPUTED_VALUE"""),"application/pdf")</f>
        <v>application/pdf</v>
      </c>
    </row>
    <row r="1524">
      <c r="A1524" s="336" t="str">
        <f>IFERROR(__xludf.DUMMYFUNCTION("""COMPUTED_VALUE"""),"10.31979/etd.eh36-m2wx")</f>
        <v>10.31979/etd.eh36-m2wx</v>
      </c>
      <c r="B1524" s="442" t="str">
        <f>IFERROR(__xludf.DUMMYFUNCTION("""COMPUTED_VALUE"""),"https://drive.google.com/file/d/1RdD1ka1AcuuAkIp42PaRdSSjjGkIdVnj/view?usp=drivesdk")</f>
        <v>https://drive.google.com/file/d/1RdD1ka1AcuuAkIp42PaRdSSjjGkIdVnj/view?usp=drivesdk</v>
      </c>
      <c r="C1524" s="336" t="str">
        <f>IFERROR(__xludf.DUMMYFUNCTION("""COMPUTED_VALUE"""),"10.31979--etd.eh36-m2wx.pdf")</f>
        <v>10.31979--etd.eh36-m2wx.pdf</v>
      </c>
      <c r="D1524" s="156" t="str">
        <f>IFERROR(__xludf.DUMMYFUNCTION("""COMPUTED_VALUE"""),"application/pdf")</f>
        <v>application/pdf</v>
      </c>
    </row>
    <row r="1525">
      <c r="A1525" s="336" t="str">
        <f>IFERROR(__xludf.DUMMYFUNCTION("""COMPUTED_VALUE"""),"10.2501/jar-40-1-2-29-34")</f>
        <v>10.2501/jar-40-1-2-29-34</v>
      </c>
      <c r="B1525" s="442" t="str">
        <f>IFERROR(__xludf.DUMMYFUNCTION("""COMPUTED_VALUE"""),"https://drive.google.com/file/d/1elqGGq82WZNQe0OBkz3QxE7uAO28LFy7/view?usp=drivesdk")</f>
        <v>https://drive.google.com/file/d/1elqGGq82WZNQe0OBkz3QxE7uAO28LFy7/view?usp=drivesdk</v>
      </c>
      <c r="C1525" s="336" t="str">
        <f>IFERROR(__xludf.DUMMYFUNCTION("""COMPUTED_VALUE"""),"10.2501--jar-40-1-2-29-34.pdf")</f>
        <v>10.2501--jar-40-1-2-29-34.pdf</v>
      </c>
      <c r="D1525" s="156" t="str">
        <f>IFERROR(__xludf.DUMMYFUNCTION("""COMPUTED_VALUE"""),"application/pdf")</f>
        <v>application/pdf</v>
      </c>
    </row>
    <row r="1526">
      <c r="A1526" s="336" t="str">
        <f>IFERROR(__xludf.DUMMYFUNCTION("""COMPUTED_VALUE"""),"10.2501/jar-40-1-2-35-42")</f>
        <v>10.2501/jar-40-1-2-35-42</v>
      </c>
      <c r="B1526" s="442" t="str">
        <f>IFERROR(__xludf.DUMMYFUNCTION("""COMPUTED_VALUE"""),"https://drive.google.com/file/d/1gfXx0u2lXDnbw7niG14VKCEGM1cPJ8ga/view?usp=drivesdk")</f>
        <v>https://drive.google.com/file/d/1gfXx0u2lXDnbw7niG14VKCEGM1cPJ8ga/view?usp=drivesdk</v>
      </c>
      <c r="C1526" s="336" t="str">
        <f>IFERROR(__xludf.DUMMYFUNCTION("""COMPUTED_VALUE"""),"10.2501--jar-40-1-2-35-42.pdf")</f>
        <v>10.2501--jar-40-1-2-35-42.pdf</v>
      </c>
      <c r="D1526" s="156" t="str">
        <f>IFERROR(__xludf.DUMMYFUNCTION("""COMPUTED_VALUE"""),"application/pdf")</f>
        <v>application/pdf</v>
      </c>
    </row>
    <row r="1527">
      <c r="A1527" s="336" t="str">
        <f>IFERROR(__xludf.DUMMYFUNCTION("""COMPUTED_VALUE"""),"10.1016/j.rasd.2010.10.001")</f>
        <v>10.1016/j.rasd.2010.10.001</v>
      </c>
      <c r="B1527" s="442" t="str">
        <f>IFERROR(__xludf.DUMMYFUNCTION("""COMPUTED_VALUE"""),"https://drive.google.com/file/d/1CG--V-pTBF9sRiuxA8a5ueI8v8h5jmPV/view?usp=drivesdk")</f>
        <v>https://drive.google.com/file/d/1CG--V-pTBF9sRiuxA8a5ueI8v8h5jmPV/view?usp=drivesdk</v>
      </c>
      <c r="C1527" s="336" t="str">
        <f>IFERROR(__xludf.DUMMYFUNCTION("""COMPUTED_VALUE"""),"10.1016--j.rasd.2010.10.001.pdf")</f>
        <v>10.1016--j.rasd.2010.10.001.pdf</v>
      </c>
      <c r="D1527" s="156" t="str">
        <f>IFERROR(__xludf.DUMMYFUNCTION("""COMPUTED_VALUE"""),"application/pdf")</f>
        <v>application/pdf</v>
      </c>
    </row>
    <row r="1528">
      <c r="A1528" s="336" t="str">
        <f>IFERROR(__xludf.DUMMYFUNCTION("""COMPUTED_VALUE"""),"johnson, k.j_2011")</f>
        <v>johnson, k.j_2011</v>
      </c>
      <c r="B1528" s="442" t="str">
        <f>IFERROR(__xludf.DUMMYFUNCTION("""COMPUTED_VALUE"""),"https://drive.google.com/file/d/1_jB99hESUavCRb8jKze8JwQ0Zoh-pbj4/view?usp=drivesdk")</f>
        <v>https://drive.google.com/file/d/1_jB99hESUavCRb8jKze8JwQ0Zoh-pbj4/view?usp=drivesdk</v>
      </c>
      <c r="C1528" s="336" t="str">
        <f>IFERROR(__xludf.DUMMYFUNCTION("""COMPUTED_VALUE"""),"johnson, k.j_2011.pdf")</f>
        <v>johnson, k.j_2011.pdf</v>
      </c>
      <c r="D1528" s="156" t="str">
        <f>IFERROR(__xludf.DUMMYFUNCTION("""COMPUTED_VALUE"""),"application/pdf")</f>
        <v>application/pdf</v>
      </c>
    </row>
    <row r="1529">
      <c r="A1529" s="336" t="str">
        <f>IFERROR(__xludf.DUMMYFUNCTION("""COMPUTED_VALUE"""),"10.1002/acp.1376")</f>
        <v>10.1002/acp.1376</v>
      </c>
      <c r="B1529" s="442" t="str">
        <f>IFERROR(__xludf.DUMMYFUNCTION("""COMPUTED_VALUE"""),"https://drive.google.com/file/d/1T6hsnIKF27lKap8NPnTMuBaw-W9pLzdm/view?usp=drivesdk")</f>
        <v>https://drive.google.com/file/d/1T6hsnIKF27lKap8NPnTMuBaw-W9pLzdm/view?usp=drivesdk</v>
      </c>
      <c r="C1529" s="336" t="str">
        <f>IFERROR(__xludf.DUMMYFUNCTION("""COMPUTED_VALUE"""),"10.1002--acp.1376.pdf")</f>
        <v>10.1002--acp.1376.pdf</v>
      </c>
      <c r="D1529" s="156" t="str">
        <f>IFERROR(__xludf.DUMMYFUNCTION("""COMPUTED_VALUE"""),"application/pdf")</f>
        <v>application/pdf</v>
      </c>
    </row>
    <row r="1530">
      <c r="A1530" s="336" t="str">
        <f>IFERROR(__xludf.DUMMYFUNCTION("""COMPUTED_VALUE"""),"10.31234/osf.io/w87yr")</f>
        <v>10.31234/osf.io/w87yr</v>
      </c>
      <c r="B1530" s="442" t="str">
        <f>IFERROR(__xludf.DUMMYFUNCTION("""COMPUTED_VALUE"""),"https://drive.google.com/file/d/1ew0OSVU876rPzVsDvpN47BF_OOdkLKHm/view?usp=drivesdk")</f>
        <v>https://drive.google.com/file/d/1ew0OSVU876rPzVsDvpN47BF_OOdkLKHm/view?usp=drivesdk</v>
      </c>
      <c r="C1530" s="336" t="str">
        <f>IFERROR(__xludf.DUMMYFUNCTION("""COMPUTED_VALUE"""),"10.31234--osf.io--w87yr.pdf")</f>
        <v>10.31234--osf.io--w87yr.pdf</v>
      </c>
      <c r="D1530" s="156" t="str">
        <f>IFERROR(__xludf.DUMMYFUNCTION("""COMPUTED_VALUE"""),"application/pdf")</f>
        <v>application/pdf</v>
      </c>
    </row>
    <row r="1531">
      <c r="A1531" s="336" t="str">
        <f>IFERROR(__xludf.DUMMYFUNCTION("""COMPUTED_VALUE"""),"10.1037/h0101833")</f>
        <v>10.1037/h0101833</v>
      </c>
      <c r="B1531" s="442" t="str">
        <f>IFERROR(__xludf.DUMMYFUNCTION("""COMPUTED_VALUE"""),"https://drive.google.com/file/d/1vWIai5r3XTGViLrUpJz9c7jALgaW6Fv0/view?usp=drivesdk")</f>
        <v>https://drive.google.com/file/d/1vWIai5r3XTGViLrUpJz9c7jALgaW6Fv0/view?usp=drivesdk</v>
      </c>
      <c r="C1531" s="336" t="str">
        <f>IFERROR(__xludf.DUMMYFUNCTION("""COMPUTED_VALUE"""),"10.1037--h0101833.pdf.pdf")</f>
        <v>10.1037--h0101833.pdf.pdf</v>
      </c>
      <c r="D1531" s="156" t="str">
        <f>IFERROR(__xludf.DUMMYFUNCTION("""COMPUTED_VALUE"""),"application/pdf")</f>
        <v>application/pdf</v>
      </c>
    </row>
    <row r="1532">
      <c r="A1532" s="336" t="str">
        <f>IFERROR(__xludf.DUMMYFUNCTION("""COMPUTED_VALUE"""),"10.1037/h0076284")</f>
        <v>10.1037/h0076284</v>
      </c>
      <c r="B1532" s="442" t="str">
        <f>IFERROR(__xludf.DUMMYFUNCTION("""COMPUTED_VALUE"""),"https://drive.google.com/file/d/1LFgNyzLqTELlP9tfS2pwZ6Egg431WCHQ/view?usp=drivesdk")</f>
        <v>https://drive.google.com/file/d/1LFgNyzLqTELlP9tfS2pwZ6Egg431WCHQ/view?usp=drivesdk</v>
      </c>
      <c r="C1532" s="336" t="str">
        <f>IFERROR(__xludf.DUMMYFUNCTION("""COMPUTED_VALUE"""),"10.1037--h0076284.pdf")</f>
        <v>10.1037--h0076284.pdf</v>
      </c>
      <c r="D1532" s="156" t="str">
        <f>IFERROR(__xludf.DUMMYFUNCTION("""COMPUTED_VALUE"""),"application/pdf")</f>
        <v>application/pdf</v>
      </c>
    </row>
    <row r="1533">
      <c r="A1533" s="336" t="str">
        <f>IFERROR(__xludf.DUMMYFUNCTION("""COMPUTED_VALUE"""),"10.1037/a0038647")</f>
        <v>10.1037/a0038647</v>
      </c>
      <c r="B1533" s="442" t="str">
        <f>IFERROR(__xludf.DUMMYFUNCTION("""COMPUTED_VALUE"""),"https://drive.google.com/file/d/1BC-oHAJXZR8gA58TQ6CMLhGk49j_kbel/view?usp=drivesdk")</f>
        <v>https://drive.google.com/file/d/1BC-oHAJXZR8gA58TQ6CMLhGk49j_kbel/view?usp=drivesdk</v>
      </c>
      <c r="C1533" s="336" t="str">
        <f>IFERROR(__xludf.DUMMYFUNCTION("""COMPUTED_VALUE"""),"10.1037--a0038647.pdf")</f>
        <v>10.1037--a0038647.pdf</v>
      </c>
      <c r="D1533" s="156" t="str">
        <f>IFERROR(__xludf.DUMMYFUNCTION("""COMPUTED_VALUE"""),"application/pdf")</f>
        <v>application/pdf</v>
      </c>
    </row>
    <row r="1534">
      <c r="A1534" s="336" t="str">
        <f>IFERROR(__xludf.DUMMYFUNCTION("""COMPUTED_VALUE"""),"10.31234/osf.io/3bhja")</f>
        <v>10.31234/osf.io/3bhja</v>
      </c>
      <c r="B1534" s="442" t="str">
        <f>IFERROR(__xludf.DUMMYFUNCTION("""COMPUTED_VALUE"""),"https://drive.google.com/file/d/1dmnYF_LdumtlLrWnSIsUGU1iL2iYWytg/view?usp=drivesdk")</f>
        <v>https://drive.google.com/file/d/1dmnYF_LdumtlLrWnSIsUGU1iL2iYWytg/view?usp=drivesdk</v>
      </c>
      <c r="C1534" s="336" t="str">
        <f>IFERROR(__xludf.DUMMYFUNCTION("""COMPUTED_VALUE"""),"10.31234--osf.io--3bhja.pdf.pdf")</f>
        <v>10.31234--osf.io--3bhja.pdf.pdf</v>
      </c>
      <c r="D1534" s="156" t="str">
        <f>IFERROR(__xludf.DUMMYFUNCTION("""COMPUTED_VALUE"""),"application/pdf")</f>
        <v>application/pdf</v>
      </c>
    </row>
    <row r="1535">
      <c r="A1535" s="336" t="str">
        <f>IFERROR(__xludf.DUMMYFUNCTION("""COMPUTED_VALUE"""),"10.1016/j.jneuroling.2010.05.001")</f>
        <v>10.1016/j.jneuroling.2010.05.001</v>
      </c>
      <c r="B1535" s="442" t="str">
        <f>IFERROR(__xludf.DUMMYFUNCTION("""COMPUTED_VALUE"""),"https://drive.google.com/file/d/1RXr4niDiphL73XxS0Bwi1s8J9FebE3vQ/view?usp=drivesdk")</f>
        <v>https://drive.google.com/file/d/1RXr4niDiphL73XxS0Bwi1s8J9FebE3vQ/view?usp=drivesdk</v>
      </c>
      <c r="C1535" s="336" t="str">
        <f>IFERROR(__xludf.DUMMYFUNCTION("""COMPUTED_VALUE"""),"10.1016--j.jneuroling.2010.05.001.pdf")</f>
        <v>10.1016--j.jneuroling.2010.05.001.pdf</v>
      </c>
      <c r="D1535" s="156" t="str">
        <f>IFERROR(__xludf.DUMMYFUNCTION("""COMPUTED_VALUE"""),"application/pdf")</f>
        <v>application/pdf</v>
      </c>
    </row>
    <row r="1536">
      <c r="A1536" s="336" t="str">
        <f>IFERROR(__xludf.DUMMYFUNCTION("""COMPUTED_VALUE"""),"10.1093/jos/ffr009")</f>
        <v>10.1093/jos/ffr009</v>
      </c>
      <c r="B1536" s="442" t="str">
        <f>IFERROR(__xludf.DUMMYFUNCTION("""COMPUTED_VALUE"""),"https://drive.google.com/file/d/1vjTPB2e8eFUfMpUaaQIq0i5OQfJ_VGgE/view?usp=drivesdk")</f>
        <v>https://drive.google.com/file/d/1vjTPB2e8eFUfMpUaaQIq0i5OQfJ_VGgE/view?usp=drivesdk</v>
      </c>
      <c r="C1536" s="336" t="str">
        <f>IFERROR(__xludf.DUMMYFUNCTION("""COMPUTED_VALUE"""),"10.1093--jos--ffr009.pdf.pdf")</f>
        <v>10.1093--jos--ffr009.pdf.pdf</v>
      </c>
      <c r="D1536" s="156" t="str">
        <f>IFERROR(__xludf.DUMMYFUNCTION("""COMPUTED_VALUE"""),"application/pdf")</f>
        <v>application/pdf</v>
      </c>
    </row>
    <row r="1537">
      <c r="A1537" s="336" t="str">
        <f>IFERROR(__xludf.DUMMYFUNCTION("""COMPUTED_VALUE"""),"10.48550/arxiv.1605.00178")</f>
        <v>10.48550/arxiv.1605.00178</v>
      </c>
      <c r="B1537" s="442" t="str">
        <f>IFERROR(__xludf.DUMMYFUNCTION("""COMPUTED_VALUE"""),"https://drive.google.com/file/d/1P2zn4PcN0aqLYF2XBELOAc2yrRgjp1ds/view?usp=drivesdk")</f>
        <v>https://drive.google.com/file/d/1P2zn4PcN0aqLYF2XBELOAc2yrRgjp1ds/view?usp=drivesdk</v>
      </c>
      <c r="C1537" s="336" t="str">
        <f>IFERROR(__xludf.DUMMYFUNCTION("""COMPUTED_VALUE"""),"10.48550--arxiv.1605.00178.pdf.pdf")</f>
        <v>10.48550--arxiv.1605.00178.pdf.pdf</v>
      </c>
      <c r="D1537" s="156" t="str">
        <f>IFERROR(__xludf.DUMMYFUNCTION("""COMPUTED_VALUE"""),"application/pdf")</f>
        <v>application/pdf</v>
      </c>
    </row>
    <row r="1538">
      <c r="A1538" s="336" t="str">
        <f>IFERROR(__xludf.DUMMYFUNCTION("""COMPUTED_VALUE"""),"10.1257mac.3.3.92")</f>
        <v>10.1257mac.3.3.92</v>
      </c>
      <c r="B1538" s="442" t="str">
        <f>IFERROR(__xludf.DUMMYFUNCTION("""COMPUTED_VALUE"""),"https://drive.google.com/file/d/14awjn7KavtlsGCWS_CDu13NW9TkedTNM/view?usp=drivesdk")</f>
        <v>https://drive.google.com/file/d/14awjn7KavtlsGCWS_CDu13NW9TkedTNM/view?usp=drivesdk</v>
      </c>
      <c r="C1538" s="336" t="str">
        <f>IFERROR(__xludf.DUMMYFUNCTION("""COMPUTED_VALUE"""),"10.1257mac.3.3.92.pdf.pdf")</f>
        <v>10.1257mac.3.3.92.pdf.pdf</v>
      </c>
      <c r="D1538" s="156" t="str">
        <f>IFERROR(__xludf.DUMMYFUNCTION("""COMPUTED_VALUE"""),"application/pdf")</f>
        <v>application/pdf</v>
      </c>
    </row>
    <row r="1539">
      <c r="A1539" s="336" t="str">
        <f>IFERROR(__xludf.DUMMYFUNCTION("""COMPUTED_VALUE"""),"10.5018_economics-ejournal.ja.2018-3")</f>
        <v>10.5018_economics-ejournal.ja.2018-3</v>
      </c>
      <c r="B1539" s="442" t="str">
        <f>IFERROR(__xludf.DUMMYFUNCTION("""COMPUTED_VALUE"""),"https://drive.google.com/file/d/1gp-1MicqKg7Iri7W_3LdqykLKrrOTgI4/view?usp=drivesdk")</f>
        <v>https://drive.google.com/file/d/1gp-1MicqKg7Iri7W_3LdqykLKrrOTgI4/view?usp=drivesdk</v>
      </c>
      <c r="C1539" s="336" t="str">
        <f>IFERROR(__xludf.DUMMYFUNCTION("""COMPUTED_VALUE"""),"10.5018_economics-ejournal.ja.2018-3.pdf.pdf")</f>
        <v>10.5018_economics-ejournal.ja.2018-3.pdf.pdf</v>
      </c>
      <c r="D1539" s="156" t="str">
        <f>IFERROR(__xludf.DUMMYFUNCTION("""COMPUTED_VALUE"""),"application/pdf")</f>
        <v>application/pdf</v>
      </c>
    </row>
    <row r="1540">
      <c r="A1540" s="336" t="str">
        <f>IFERROR(__xludf.DUMMYFUNCTION("""COMPUTED_VALUE"""),"10.31234/osf.io/drfht")</f>
        <v>10.31234/osf.io/drfht</v>
      </c>
      <c r="B1540" s="442" t="str">
        <f>IFERROR(__xludf.DUMMYFUNCTION("""COMPUTED_VALUE"""),"https://drive.google.com/file/d/17kiDPObhzV5Il1PydikjPEZC1kqKaML2/view?usp=drivesdk")</f>
        <v>https://drive.google.com/file/d/17kiDPObhzV5Il1PydikjPEZC1kqKaML2/view?usp=drivesdk</v>
      </c>
      <c r="C1540" s="336" t="str">
        <f>IFERROR(__xludf.DUMMYFUNCTION("""COMPUTED_VALUE"""),"10.31234--osf.io--drfht.pdf")</f>
        <v>10.31234--osf.io--drfht.pdf</v>
      </c>
      <c r="D1540" s="156" t="str">
        <f>IFERROR(__xludf.DUMMYFUNCTION("""COMPUTED_VALUE"""),"application/pdf")</f>
        <v>application/pdf</v>
      </c>
    </row>
    <row r="1541">
      <c r="A1541" s="336" t="str">
        <f>IFERROR(__xludf.DUMMYFUNCTION("""COMPUTED_VALUE"""),"10.1016/j.cogdev.2017.09.001")</f>
        <v>10.1016/j.cogdev.2017.09.001</v>
      </c>
      <c r="B1541" s="442" t="str">
        <f>IFERROR(__xludf.DUMMYFUNCTION("""COMPUTED_VALUE"""),"https://drive.google.com/file/d/131RKu4fsqV-7PMeG8SQAM6g-0HeDYvmM/view?usp=drivesdk")</f>
        <v>https://drive.google.com/file/d/131RKu4fsqV-7PMeG8SQAM6g-0HeDYvmM/view?usp=drivesdk</v>
      </c>
      <c r="C1541" s="336" t="str">
        <f>IFERROR(__xludf.DUMMYFUNCTION("""COMPUTED_VALUE"""),"10.1016--j.cogdev.2017.09.001.pdf")</f>
        <v>10.1016--j.cogdev.2017.09.001.pdf</v>
      </c>
      <c r="D1541" s="156" t="str">
        <f>IFERROR(__xludf.DUMMYFUNCTION("""COMPUTED_VALUE"""),"application/pdf")</f>
        <v>application/pdf</v>
      </c>
    </row>
    <row r="1542">
      <c r="A1542" s="336" t="str">
        <f>IFERROR(__xludf.DUMMYFUNCTION("""COMPUTED_VALUE"""),"10.1002/jae.2886")</f>
        <v>10.1002/jae.2886</v>
      </c>
      <c r="B1542" s="442" t="str">
        <f>IFERROR(__xludf.DUMMYFUNCTION("""COMPUTED_VALUE"""),"https://drive.google.com/file/d/1bP7XuC-i8pHafhrjZL7LqwnyOo_nYb1Z/view?usp=drivesdk")</f>
        <v>https://drive.google.com/file/d/1bP7XuC-i8pHafhrjZL7LqwnyOo_nYb1Z/view?usp=drivesdk</v>
      </c>
      <c r="C1542" s="336" t="str">
        <f>IFERROR(__xludf.DUMMYFUNCTION("""COMPUTED_VALUE"""),"10.1002--jae.2886.pdf")</f>
        <v>10.1002--jae.2886.pdf</v>
      </c>
      <c r="D1542" s="156" t="str">
        <f>IFERROR(__xludf.DUMMYFUNCTION("""COMPUTED_VALUE"""),"application/pdf")</f>
        <v>application/pdf</v>
      </c>
    </row>
    <row r="1543">
      <c r="A1543" s="336" t="str">
        <f>IFERROR(__xludf.DUMMYFUNCTION("""COMPUTED_VALUE"""),"10.1016/j.nlm.2017.09.009")</f>
        <v>10.1016/j.nlm.2017.09.009</v>
      </c>
      <c r="B1543" s="442" t="str">
        <f>IFERROR(__xludf.DUMMYFUNCTION("""COMPUTED_VALUE"""),"https://drive.google.com/file/d/1Ls7enSwQEn27qHRCH_5Coj2XrGQZjobj/view?usp=drivesdk")</f>
        <v>https://drive.google.com/file/d/1Ls7enSwQEn27qHRCH_5Coj2XrGQZjobj/view?usp=drivesdk</v>
      </c>
      <c r="C1543" s="336" t="str">
        <f>IFERROR(__xludf.DUMMYFUNCTION("""COMPUTED_VALUE"""),"10.1016--j.nlm.2017.09.009.pdf")</f>
        <v>10.1016--j.nlm.2017.09.009.pdf</v>
      </c>
      <c r="D1543" s="156" t="str">
        <f>IFERROR(__xludf.DUMMYFUNCTION("""COMPUTED_VALUE"""),"application/pdf")</f>
        <v>application/pdf</v>
      </c>
    </row>
    <row r="1544">
      <c r="A1544" s="336" t="str">
        <f>IFERROR(__xludf.DUMMYFUNCTION("""COMPUTED_VALUE"""),"10.1080/15248372.2018.1544140")</f>
        <v>10.1080/15248372.2018.1544140</v>
      </c>
      <c r="B1544" s="442" t="str">
        <f>IFERROR(__xludf.DUMMYFUNCTION("""COMPUTED_VALUE"""),"https://drive.google.com/file/d/10Ld1Nivm3OIC43nW0JIiWZhrLO6OXhBr/view?usp=drivesdk")</f>
        <v>https://drive.google.com/file/d/10Ld1Nivm3OIC43nW0JIiWZhrLO6OXhBr/view?usp=drivesdk</v>
      </c>
      <c r="C1544" s="336" t="str">
        <f>IFERROR(__xludf.DUMMYFUNCTION("""COMPUTED_VALUE"""),"10.1080--15248372.2018.1544140.pdf")</f>
        <v>10.1080--15248372.2018.1544140.pdf</v>
      </c>
      <c r="D1544" s="156" t="str">
        <f>IFERROR(__xludf.DUMMYFUNCTION("""COMPUTED_VALUE"""),"application/pdf")</f>
        <v>application/pdf</v>
      </c>
    </row>
    <row r="1545">
      <c r="A1545" s="336" t="str">
        <f>IFERROR(__xludf.DUMMYFUNCTION("""COMPUTED_VALUE"""),"10.1037/xge0001503")</f>
        <v>10.1037/xge0001503</v>
      </c>
      <c r="B1545" s="442" t="str">
        <f>IFERROR(__xludf.DUMMYFUNCTION("""COMPUTED_VALUE"""),"https://drive.google.com/file/d/1enJo63drmDH3LiCKXFS8g3-psbOxwDuR/view?usp=drivesdk")</f>
        <v>https://drive.google.com/file/d/1enJo63drmDH3LiCKXFS8g3-psbOxwDuR/view?usp=drivesdk</v>
      </c>
      <c r="C1545" s="336" t="str">
        <f>IFERROR(__xludf.DUMMYFUNCTION("""COMPUTED_VALUE"""),"10.1037--xge0001503.pdf")</f>
        <v>10.1037--xge0001503.pdf</v>
      </c>
      <c r="D1545" s="156" t="str">
        <f>IFERROR(__xludf.DUMMYFUNCTION("""COMPUTED_VALUE"""),"application/pdf")</f>
        <v>application/pdf</v>
      </c>
    </row>
    <row r="1546">
      <c r="A1546" s="336" t="str">
        <f>IFERROR(__xludf.DUMMYFUNCTION("""COMPUTED_VALUE"""),"10.1017/xps.2022.35")</f>
        <v>10.1017/xps.2022.35</v>
      </c>
      <c r="B1546" s="442" t="str">
        <f>IFERROR(__xludf.DUMMYFUNCTION("""COMPUTED_VALUE"""),"https://drive.google.com/file/d/14s_w3a6gZTtw0E26e1AJ654qkObMia4e/view?usp=drivesdk")</f>
        <v>https://drive.google.com/file/d/14s_w3a6gZTtw0E26e1AJ654qkObMia4e/view?usp=drivesdk</v>
      </c>
      <c r="C1546" s="336" t="str">
        <f>IFERROR(__xludf.DUMMYFUNCTION("""COMPUTED_VALUE"""),"10.1017--xps.2022.35.pdf")</f>
        <v>10.1017--xps.2022.35.pdf</v>
      </c>
      <c r="D1546" s="156" t="str">
        <f>IFERROR(__xludf.DUMMYFUNCTION("""COMPUTED_VALUE"""),"application/pdf")</f>
        <v>application/pdf</v>
      </c>
    </row>
    <row r="1547">
      <c r="A1547" s="336" t="str">
        <f>IFERROR(__xludf.DUMMYFUNCTION("""COMPUTED_VALUE"""),"10.1002/jae.3007")</f>
        <v>10.1002/jae.3007</v>
      </c>
      <c r="B1547" s="442" t="str">
        <f>IFERROR(__xludf.DUMMYFUNCTION("""COMPUTED_VALUE"""),"https://drive.google.com/file/d/1kVH_VKOGojuQbivdjZ7Is2SblWIFs0M7/view?usp=drivesdk")</f>
        <v>https://drive.google.com/file/d/1kVH_VKOGojuQbivdjZ7Is2SblWIFs0M7/view?usp=drivesdk</v>
      </c>
      <c r="C1547" s="336" t="str">
        <f>IFERROR(__xludf.DUMMYFUNCTION("""COMPUTED_VALUE"""),"10.1002--jae.3007.pdf")</f>
        <v>10.1002--jae.3007.pdf</v>
      </c>
      <c r="D1547" s="156" t="str">
        <f>IFERROR(__xludf.DUMMYFUNCTION("""COMPUTED_VALUE"""),"application/pdf")</f>
        <v>application/pdf</v>
      </c>
    </row>
    <row r="1548">
      <c r="A1548" s="336" t="str">
        <f>IFERROR(__xludf.DUMMYFUNCTION("""COMPUTED_VALUE"""),"10.1111/desc.13244")</f>
        <v>10.1111/desc.13244</v>
      </c>
      <c r="B1548" s="442" t="str">
        <f>IFERROR(__xludf.DUMMYFUNCTION("""COMPUTED_VALUE"""),"https://drive.google.com/file/d/1p6gI2cN5UJ165JXGw5A-NDRQ1yEvL2O-/view?usp=drivesdk")</f>
        <v>https://drive.google.com/file/d/1p6gI2cN5UJ165JXGw5A-NDRQ1yEvL2O-/view?usp=drivesdk</v>
      </c>
      <c r="C1548" s="336" t="str">
        <f>IFERROR(__xludf.DUMMYFUNCTION("""COMPUTED_VALUE"""),"10.1111--desc.13244.pdf")</f>
        <v>10.1111--desc.13244.pdf</v>
      </c>
      <c r="D1548" s="156" t="str">
        <f>IFERROR(__xludf.DUMMYFUNCTION("""COMPUTED_VALUE"""),"application/pdf")</f>
        <v>application/pdf</v>
      </c>
    </row>
    <row r="1549">
      <c r="A1549" s="336" t="str">
        <f>IFERROR(__xludf.DUMMYFUNCTION("""COMPUTED_VALUE"""),"10.1037/ebs0000279")</f>
        <v>10.1037/ebs0000279</v>
      </c>
      <c r="B1549" s="442" t="str">
        <f>IFERROR(__xludf.DUMMYFUNCTION("""COMPUTED_VALUE"""),"https://drive.google.com/file/d/1wcNLyGRa4gXByWTxj5jatSzrFvsBvEOa/view?usp=drivesdk")</f>
        <v>https://drive.google.com/file/d/1wcNLyGRa4gXByWTxj5jatSzrFvsBvEOa/view?usp=drivesdk</v>
      </c>
      <c r="C1549" s="336" t="str">
        <f>IFERROR(__xludf.DUMMYFUNCTION("""COMPUTED_VALUE"""),"10.1037--ebs0000279.pdf")</f>
        <v>10.1037--ebs0000279.pdf</v>
      </c>
      <c r="D1549" s="156" t="str">
        <f>IFERROR(__xludf.DUMMYFUNCTION("""COMPUTED_VALUE"""),"application/pdf")</f>
        <v>application/pdf</v>
      </c>
    </row>
    <row r="1550">
      <c r="A1550" s="336" t="str">
        <f>IFERROR(__xludf.DUMMYFUNCTION("""COMPUTED_VALUE"""),"10.1016/j.actpsy.2022.103497")</f>
        <v>10.1016/j.actpsy.2022.103497</v>
      </c>
      <c r="B1550" s="442" t="str">
        <f>IFERROR(__xludf.DUMMYFUNCTION("""COMPUTED_VALUE"""),"https://drive.google.com/file/d/16jKwdpMjv9iC7Mu_8eP1ZQM-NCwIIMLR/view?usp=drivesdk")</f>
        <v>https://drive.google.com/file/d/16jKwdpMjv9iC7Mu_8eP1ZQM-NCwIIMLR/view?usp=drivesdk</v>
      </c>
      <c r="C1550" s="336" t="str">
        <f>IFERROR(__xludf.DUMMYFUNCTION("""COMPUTED_VALUE"""),"10.1016--j.actpsy.2022.103497.pdf")</f>
        <v>10.1016--j.actpsy.2022.103497.pdf</v>
      </c>
      <c r="D1550" s="156" t="str">
        <f>IFERROR(__xludf.DUMMYFUNCTION("""COMPUTED_VALUE"""),"application/pdf")</f>
        <v>application/pdf</v>
      </c>
    </row>
    <row r="1551">
      <c r="A1551" s="336" t="str">
        <f>IFERROR(__xludf.DUMMYFUNCTION("""COMPUTED_VALUE"""),"10.1027/1618-3169/a000567")</f>
        <v>10.1027/1618-3169/a000567</v>
      </c>
      <c r="B1551" s="442" t="str">
        <f>IFERROR(__xludf.DUMMYFUNCTION("""COMPUTED_VALUE"""),"https://drive.google.com/file/d/1M_QRPQwfBMR3RZaCJW-QHGxqNlm5L1OL/view?usp=drivesdk")</f>
        <v>https://drive.google.com/file/d/1M_QRPQwfBMR3RZaCJW-QHGxqNlm5L1OL/view?usp=drivesdk</v>
      </c>
      <c r="C1551" s="336" t="str">
        <f>IFERROR(__xludf.DUMMYFUNCTION("""COMPUTED_VALUE"""),"10.1027--1618-3169--a000567.pdf")</f>
        <v>10.1027--1618-3169--a000567.pdf</v>
      </c>
      <c r="D1551" s="156" t="str">
        <f>IFERROR(__xludf.DUMMYFUNCTION("""COMPUTED_VALUE"""),"application/pdf")</f>
        <v>application/pdf</v>
      </c>
    </row>
    <row r="1552">
      <c r="A1552" s="336" t="str">
        <f>IFERROR(__xludf.DUMMYFUNCTION("""COMPUTED_VALUE"""),"10.3389/fped.2021.590040")</f>
        <v>10.3389/fped.2021.590040</v>
      </c>
      <c r="B1552" s="442" t="str">
        <f>IFERROR(__xludf.DUMMYFUNCTION("""COMPUTED_VALUE"""),"https://drive.google.com/file/d/1xaH1AdTN7K_tpV_fPvFUmkfl3Wi38a_0/view?usp=drivesdk")</f>
        <v>https://drive.google.com/file/d/1xaH1AdTN7K_tpV_fPvFUmkfl3Wi38a_0/view?usp=drivesdk</v>
      </c>
      <c r="C1552" s="336" t="str">
        <f>IFERROR(__xludf.DUMMYFUNCTION("""COMPUTED_VALUE"""),"10.3389--fped.2021.590040.pdf")</f>
        <v>10.3389--fped.2021.590040.pdf</v>
      </c>
      <c r="D1552" s="156" t="str">
        <f>IFERROR(__xludf.DUMMYFUNCTION("""COMPUTED_VALUE"""),"application/pdf")</f>
        <v>application/pdf</v>
      </c>
    </row>
    <row r="1553">
      <c r="A1553" s="336" t="str">
        <f>IFERROR(__xludf.DUMMYFUNCTION("""COMPUTED_VALUE"""),"10.18718/81781.3")</f>
        <v>10.18718/81781.3</v>
      </c>
      <c r="B1553" s="442" t="str">
        <f>IFERROR(__xludf.DUMMYFUNCTION("""COMPUTED_VALUE"""),"https://drive.google.com/file/d/1eTjP2xjPMHt_psL0IRiVE0uqN0eKYr25/view?usp=drivesdk")</f>
        <v>https://drive.google.com/file/d/1eTjP2xjPMHt_psL0IRiVE0uqN0eKYr25/view?usp=drivesdk</v>
      </c>
      <c r="C1553" s="336" t="str">
        <f>IFERROR(__xludf.DUMMYFUNCTION("""COMPUTED_VALUE"""),"10.18718--81781.3.pdf")</f>
        <v>10.18718--81781.3.pdf</v>
      </c>
      <c r="D1553" s="156" t="str">
        <f>IFERROR(__xludf.DUMMYFUNCTION("""COMPUTED_VALUE"""),"application/pdf")</f>
        <v>application/pdf</v>
      </c>
    </row>
    <row r="1554">
      <c r="A1554" s="336" t="str">
        <f>IFERROR(__xludf.DUMMYFUNCTION("""COMPUTED_VALUE"""),"10.1073/pnas.2103313118")</f>
        <v>10.1073/pnas.2103313118</v>
      </c>
      <c r="B1554" s="442" t="str">
        <f>IFERROR(__xludf.DUMMYFUNCTION("""COMPUTED_VALUE"""),"https://drive.google.com/file/d/1Irbmig3rfLDvz-G09jDAVwJvv1drYEqO/view?usp=drivesdk")</f>
        <v>https://drive.google.com/file/d/1Irbmig3rfLDvz-G09jDAVwJvv1drYEqO/view?usp=drivesdk</v>
      </c>
      <c r="C1554" s="336" t="str">
        <f>IFERROR(__xludf.DUMMYFUNCTION("""COMPUTED_VALUE"""),"10.1073--pnas.2103313118.pdf")</f>
        <v>10.1073--pnas.2103313118.pdf</v>
      </c>
      <c r="D1554" s="156" t="str">
        <f>IFERROR(__xludf.DUMMYFUNCTION("""COMPUTED_VALUE"""),"application/pdf")</f>
        <v>application/pdf</v>
      </c>
    </row>
    <row r="1555">
      <c r="A1555" s="336" t="str">
        <f>IFERROR(__xludf.DUMMYFUNCTION("""COMPUTED_VALUE"""),"appendix01-updated")</f>
        <v>appendix01-updated</v>
      </c>
      <c r="B1555" s="442" t="str">
        <f>IFERROR(__xludf.DUMMYFUNCTION("""COMPUTED_VALUE"""),"https://drive.google.com/file/d/1Oyf6phoxDUGiryzACmCI2gdTcVIQO0rE/view?usp=drivesdk")</f>
        <v>https://drive.google.com/file/d/1Oyf6phoxDUGiryzACmCI2gdTcVIQO0rE/view?usp=drivesdk</v>
      </c>
      <c r="C1555" s="336" t="str">
        <f>IFERROR(__xludf.DUMMYFUNCTION("""COMPUTED_VALUE"""),"appendix01-updated.pdf")</f>
        <v>appendix01-updated.pdf</v>
      </c>
      <c r="D1555" s="156" t="str">
        <f>IFERROR(__xludf.DUMMYFUNCTION("""COMPUTED_VALUE"""),"application/pdf")</f>
        <v>application/pdf</v>
      </c>
    </row>
    <row r="1556">
      <c r="A1556" s="336" t="str">
        <f>IFERROR(__xludf.DUMMYFUNCTION("""COMPUTED_VALUE"""),"10.1037/10423-008")</f>
        <v>10.1037/10423-008</v>
      </c>
      <c r="B1556" s="442" t="str">
        <f>IFERROR(__xludf.DUMMYFUNCTION("""COMPUTED_VALUE"""),"https://drive.google.com/file/d/1JU5kJv0kHYoKBDth2j7wQsjJ1BK_HiIh/view?usp=drivesdk")</f>
        <v>https://drive.google.com/file/d/1JU5kJv0kHYoKBDth2j7wQsjJ1BK_HiIh/view?usp=drivesdk</v>
      </c>
      <c r="C1556" s="336" t="str">
        <f>IFERROR(__xludf.DUMMYFUNCTION("""COMPUTED_VALUE"""),"10.1037--10423-008.pdf")</f>
        <v>10.1037--10423-008.pdf</v>
      </c>
      <c r="D1556" s="156" t="str">
        <f>IFERROR(__xludf.DUMMYFUNCTION("""COMPUTED_VALUE"""),"application/pdf")</f>
        <v>application/pdf</v>
      </c>
    </row>
    <row r="1557">
      <c r="A1557" s="336" t="str">
        <f>IFERROR(__xludf.DUMMYFUNCTION("""COMPUTED_VALUE"""),"wiebe_2004")</f>
        <v>wiebe_2004</v>
      </c>
      <c r="B1557" s="442" t="str">
        <f>IFERROR(__xludf.DUMMYFUNCTION("""COMPUTED_VALUE"""),"https://drive.google.com/file/d/1dhF34wzocQXuQuO5C6a-2Ah86pPkgSjw/view?usp=drivesdk")</f>
        <v>https://drive.google.com/file/d/1dhF34wzocQXuQuO5C6a-2Ah86pPkgSjw/view?usp=drivesdk</v>
      </c>
      <c r="C1557" s="336" t="str">
        <f>IFERROR(__xludf.DUMMYFUNCTION("""COMPUTED_VALUE"""),"wiebe_2004.pdf")</f>
        <v>wiebe_2004.pdf</v>
      </c>
      <c r="D1557" s="156" t="str">
        <f>IFERROR(__xludf.DUMMYFUNCTION("""COMPUTED_VALUE"""),"application/pdf")</f>
        <v>application/pdf</v>
      </c>
    </row>
    <row r="1558">
      <c r="A1558" s="336" t="str">
        <f>IFERROR(__xludf.DUMMYFUNCTION("""COMPUTED_VALUE"""),"10.1016/j.actpsy.2022.103717")</f>
        <v>10.1016/j.actpsy.2022.103717</v>
      </c>
      <c r="B1558" s="442" t="str">
        <f>IFERROR(__xludf.DUMMYFUNCTION("""COMPUTED_VALUE"""),"https://drive.google.com/file/d/1JqR213ecE6dYmcQzX1WidGxm2UimuKxl/view?usp=drivesdk")</f>
        <v>https://drive.google.com/file/d/1JqR213ecE6dYmcQzX1WidGxm2UimuKxl/view?usp=drivesdk</v>
      </c>
      <c r="C1558" s="336" t="str">
        <f>IFERROR(__xludf.DUMMYFUNCTION("""COMPUTED_VALUE"""),"10.1016--j.actpsy.2022.103717.pdf")</f>
        <v>10.1016--j.actpsy.2022.103717.pdf</v>
      </c>
      <c r="D1558" s="156" t="str">
        <f>IFERROR(__xludf.DUMMYFUNCTION("""COMPUTED_VALUE"""),"application/pdf")</f>
        <v>application/pdf</v>
      </c>
    </row>
    <row r="1559">
      <c r="A1559" s="336" t="str">
        <f>IFERROR(__xludf.DUMMYFUNCTION("""COMPUTED_VALUE"""),"10.3389/fcomm-07-1048896")</f>
        <v>10.3389/fcomm-07-1048896</v>
      </c>
      <c r="B1559" s="442" t="str">
        <f>IFERROR(__xludf.DUMMYFUNCTION("""COMPUTED_VALUE"""),"https://drive.google.com/file/d/1UmxI7FadSp2BSEkh5BER_Spt-84l_EZ4/view?usp=drivesdk")</f>
        <v>https://drive.google.com/file/d/1UmxI7FadSp2BSEkh5BER_Spt-84l_EZ4/view?usp=drivesdk</v>
      </c>
      <c r="C1559" s="336" t="str">
        <f>IFERROR(__xludf.DUMMYFUNCTION("""COMPUTED_VALUE"""),"10.3389--fcomm-07-1048896.pdf")</f>
        <v>10.3389--fcomm-07-1048896.pdf</v>
      </c>
      <c r="D1559" s="156" t="str">
        <f>IFERROR(__xludf.DUMMYFUNCTION("""COMPUTED_VALUE"""),"application/pdf")</f>
        <v>application/pdf</v>
      </c>
    </row>
    <row r="1560">
      <c r="A1560" s="336" t="str">
        <f>IFERROR(__xludf.DUMMYFUNCTION("""COMPUTED_VALUE"""),"10.1080/02699931.2016.1273201")</f>
        <v>10.1080/02699931.2016.1273201</v>
      </c>
      <c r="B1560" s="442" t="str">
        <f>IFERROR(__xludf.DUMMYFUNCTION("""COMPUTED_VALUE"""),"https://drive.google.com/file/d/1RNny0IG7SjWvCfMF8M1draCA9I3tK7lj/view?usp=drivesdk")</f>
        <v>https://drive.google.com/file/d/1RNny0IG7SjWvCfMF8M1draCA9I3tK7lj/view?usp=drivesdk</v>
      </c>
      <c r="C1560" s="336" t="str">
        <f>IFERROR(__xludf.DUMMYFUNCTION("""COMPUTED_VALUE"""),"10.1080--02699931.2016.1273201.pdf")</f>
        <v>10.1080--02699931.2016.1273201.pdf</v>
      </c>
      <c r="D1560" s="156" t="str">
        <f>IFERROR(__xludf.DUMMYFUNCTION("""COMPUTED_VALUE"""),"application/pdf")</f>
        <v>application/pdf</v>
      </c>
    </row>
    <row r="1561">
      <c r="A1561" s="336" t="str">
        <f>IFERROR(__xludf.DUMMYFUNCTION("""COMPUTED_VALUE"""),"10.31234/osf.io/ntukz")</f>
        <v>10.31234/osf.io/ntukz</v>
      </c>
      <c r="B1561" s="442" t="str">
        <f>IFERROR(__xludf.DUMMYFUNCTION("""COMPUTED_VALUE"""),"https://drive.google.com/file/d/1AetBiDxEiDABROgFar_KCyTHXjrAYAyC/view?usp=drivesdk")</f>
        <v>https://drive.google.com/file/d/1AetBiDxEiDABROgFar_KCyTHXjrAYAyC/view?usp=drivesdk</v>
      </c>
      <c r="C1561" s="336" t="str">
        <f>IFERROR(__xludf.DUMMYFUNCTION("""COMPUTED_VALUE"""),"10.31234--osf.io--ntukz.pdf")</f>
        <v>10.31234--osf.io--ntukz.pdf</v>
      </c>
      <c r="D1561" s="156" t="str">
        <f>IFERROR(__xludf.DUMMYFUNCTION("""COMPUTED_VALUE"""),"application/pdf")</f>
        <v>application/pdf</v>
      </c>
    </row>
    <row r="1562">
      <c r="A1562" s="336" t="str">
        <f>IFERROR(__xludf.DUMMYFUNCTION("""COMPUTED_VALUE"""),"10.1027/1864-1105/a000334")</f>
        <v>10.1027/1864-1105/a000334</v>
      </c>
      <c r="B1562" s="442" t="str">
        <f>IFERROR(__xludf.DUMMYFUNCTION("""COMPUTED_VALUE"""),"https://drive.google.com/file/d/15PNrZmOOUmljg2u3ulDQT64Zk426YNiM/view?usp=drivesdk")</f>
        <v>https://drive.google.com/file/d/15PNrZmOOUmljg2u3ulDQT64Zk426YNiM/view?usp=drivesdk</v>
      </c>
      <c r="C1562" s="336" t="str">
        <f>IFERROR(__xludf.DUMMYFUNCTION("""COMPUTED_VALUE"""),"10.1027--1864-1105--a000334.pdf")</f>
        <v>10.1027--1864-1105--a000334.pdf</v>
      </c>
      <c r="D1562" s="156" t="str">
        <f>IFERROR(__xludf.DUMMYFUNCTION("""COMPUTED_VALUE"""),"application/pdf")</f>
        <v>application/pdf</v>
      </c>
    </row>
    <row r="1563">
      <c r="A1563" s="336" t="str">
        <f>IFERROR(__xludf.DUMMYFUNCTION("""COMPUTED_VALUE"""),"10.1177/08902070221094216")</f>
        <v>10.1177/08902070221094216</v>
      </c>
      <c r="B1563" s="442" t="str">
        <f>IFERROR(__xludf.DUMMYFUNCTION("""COMPUTED_VALUE"""),"https://drive.google.com/file/d/1hYNUJrx3yjyMoTgcG7Qz4pix-8ruWFMC/view?usp=drivesdk")</f>
        <v>https://drive.google.com/file/d/1hYNUJrx3yjyMoTgcG7Qz4pix-8ruWFMC/view?usp=drivesdk</v>
      </c>
      <c r="C1563" s="336" t="str">
        <f>IFERROR(__xludf.DUMMYFUNCTION("""COMPUTED_VALUE"""),"10.1177--08902070221094216.pdf")</f>
        <v>10.1177--08902070221094216.pdf</v>
      </c>
      <c r="D1563" s="156" t="str">
        <f>IFERROR(__xludf.DUMMYFUNCTION("""COMPUTED_VALUE"""),"application/pdf")</f>
        <v>application/pdf</v>
      </c>
    </row>
    <row r="1564">
      <c r="A1564" s="336" t="str">
        <f>IFERROR(__xludf.DUMMYFUNCTION("""COMPUTED_VALUE"""),"10.1027/1864-9335/a000178")</f>
        <v>10.1027/1864-9335/a000178</v>
      </c>
      <c r="B1564" s="442" t="str">
        <f>IFERROR(__xludf.DUMMYFUNCTION("""COMPUTED_VALUE"""),"https://docs.google.com/document/d/1w93qsRx1KanCQtLtIAvcmPUp0OswXZJrVd4ghqfN_Xo/edit?usp=drivesdk")</f>
        <v>https://docs.google.com/document/d/1w93qsRx1KanCQtLtIAvcmPUp0OswXZJrVd4ghqfN_Xo/edit?usp=drivesdk</v>
      </c>
      <c r="C1564" s="336" t="str">
        <f>IFERROR(__xludf.DUMMYFUNCTION("""COMPUTED_VALUE"""),"10.1027--1864-9335--a000178")</f>
        <v>10.1027--1864-9335--a000178</v>
      </c>
      <c r="D1564" s="156" t="str">
        <f>IFERROR(__xludf.DUMMYFUNCTION("""COMPUTED_VALUE"""),"application/vnd.google-apps.document")</f>
        <v>application/vnd.google-apps.document</v>
      </c>
    </row>
    <row r="1565">
      <c r="A1565" s="336" t="str">
        <f>IFERROR(__xludf.DUMMYFUNCTION("""COMPUTED_VALUE"""),"lee_2013")</f>
        <v>lee_2013</v>
      </c>
      <c r="B1565" s="442" t="str">
        <f>IFERROR(__xludf.DUMMYFUNCTION("""COMPUTED_VALUE"""),"https://drive.google.com/file/d/1DDCuEgQah24QordxkRGO0EIt6Q681jyL/view?usp=drivesdk")</f>
        <v>https://drive.google.com/file/d/1DDCuEgQah24QordxkRGO0EIt6Q681jyL/view?usp=drivesdk</v>
      </c>
      <c r="C1565" s="336" t="str">
        <f>IFERROR(__xludf.DUMMYFUNCTION("""COMPUTED_VALUE"""),"lee_2013.pdf")</f>
        <v>lee_2013.pdf</v>
      </c>
      <c r="D1565" s="156" t="str">
        <f>IFERROR(__xludf.DUMMYFUNCTION("""COMPUTED_VALUE"""),"application/pdf")</f>
        <v>application/pdf</v>
      </c>
    </row>
    <row r="1566">
      <c r="A1566" s="336" t="str">
        <f>IFERROR(__xludf.DUMMYFUNCTION("""COMPUTED_VALUE"""),"10.1016/j.jesp.2004.07.001")</f>
        <v>10.1016/j.jesp.2004.07.001</v>
      </c>
      <c r="B1566" s="442" t="str">
        <f>IFERROR(__xludf.DUMMYFUNCTION("""COMPUTED_VALUE"""),"https://drive.google.com/file/d/13IdVrs_fFWj8hYxe5OVSE67tGuCcKPct/view?usp=drivesdk")</f>
        <v>https://drive.google.com/file/d/13IdVrs_fFWj8hYxe5OVSE67tGuCcKPct/view?usp=drivesdk</v>
      </c>
      <c r="C1566" s="336" t="str">
        <f>IFERROR(__xludf.DUMMYFUNCTION("""COMPUTED_VALUE"""),"10.1016--j.jesp.2004.07.001.pdf")</f>
        <v>10.1016--j.jesp.2004.07.001.pdf</v>
      </c>
      <c r="D1566" s="156" t="str">
        <f>IFERROR(__xludf.DUMMYFUNCTION("""COMPUTED_VALUE"""),"application/pdf")</f>
        <v>application/pdf</v>
      </c>
    </row>
    <row r="1567">
      <c r="A1567" s="336" t="str">
        <f>IFERROR(__xludf.DUMMYFUNCTION("""COMPUTED_VALUE"""),"10.3758/s13428-022-01879-4")</f>
        <v>10.3758/s13428-022-01879-4</v>
      </c>
      <c r="B1567" s="442" t="str">
        <f>IFERROR(__xludf.DUMMYFUNCTION("""COMPUTED_VALUE"""),"https://drive.google.com/file/d/1yMYVS-DUlP_U3zcoWL7wKPwZrYzyiImV/view?usp=drivesdk")</f>
        <v>https://drive.google.com/file/d/1yMYVS-DUlP_U3zcoWL7wKPwZrYzyiImV/view?usp=drivesdk</v>
      </c>
      <c r="C1567" s="336" t="str">
        <f>IFERROR(__xludf.DUMMYFUNCTION("""COMPUTED_VALUE"""),"10.3758--s13428-022-01879-4.pdf")</f>
        <v>10.3758--s13428-022-01879-4.pdf</v>
      </c>
      <c r="D1567" s="156" t="str">
        <f>IFERROR(__xludf.DUMMYFUNCTION("""COMPUTED_VALUE"""),"application/pdf")</f>
        <v>application/pdf</v>
      </c>
    </row>
    <row r="1568">
      <c r="A1568" s="336" t="str">
        <f>IFERROR(__xludf.DUMMYFUNCTION("""COMPUTED_VALUE"""),"10.1177/2167702613485565")</f>
        <v>10.1177/2167702613485565</v>
      </c>
      <c r="B1568" s="442" t="str">
        <f>IFERROR(__xludf.DUMMYFUNCTION("""COMPUTED_VALUE"""),"https://drive.google.com/file/d/1_Adjy9YHg45Gx42zRW_GMddJujIpRnLp/view?usp=drivesdk")</f>
        <v>https://drive.google.com/file/d/1_Adjy9YHg45Gx42zRW_GMddJujIpRnLp/view?usp=drivesdk</v>
      </c>
      <c r="C1568" s="336" t="str">
        <f>IFERROR(__xludf.DUMMYFUNCTION("""COMPUTED_VALUE"""),"10.1177--2167702613485565.pdf")</f>
        <v>10.1177--2167702613485565.pdf</v>
      </c>
      <c r="D1568" s="156" t="str">
        <f>IFERROR(__xludf.DUMMYFUNCTION("""COMPUTED_VALUE"""),"application/pdf")</f>
        <v>application/pdf</v>
      </c>
    </row>
    <row r="1569">
      <c r="A1569" s="336" t="str">
        <f>IFERROR(__xludf.DUMMYFUNCTION("""COMPUTED_VALUE"""),"10.1080/01973533.2013.856792")</f>
        <v>10.1080/01973533.2013.856792</v>
      </c>
      <c r="B1569" s="442" t="str">
        <f>IFERROR(__xludf.DUMMYFUNCTION("""COMPUTED_VALUE"""),"https://drive.google.com/file/d/1grC_-CjFVn77v-PGNS3-UDB1Sv0gUwum/view?usp=drivesdk")</f>
        <v>https://drive.google.com/file/d/1grC_-CjFVn77v-PGNS3-UDB1Sv0gUwum/view?usp=drivesdk</v>
      </c>
      <c r="C1569" s="336" t="str">
        <f>IFERROR(__xludf.DUMMYFUNCTION("""COMPUTED_VALUE"""),"10.1080--01973533.2013.856792.pdf")</f>
        <v>10.1080--01973533.2013.856792.pdf</v>
      </c>
      <c r="D1569" s="156" t="str">
        <f>IFERROR(__xludf.DUMMYFUNCTION("""COMPUTED_VALUE"""),"application/pdf")</f>
        <v>application/pdf</v>
      </c>
    </row>
    <row r="1570">
      <c r="A1570" s="336" t="str">
        <f>IFERROR(__xludf.DUMMYFUNCTION("""COMPUTED_VALUE"""),"10.5209/rev_sjop.2011.v14.n1.13")</f>
        <v>10.5209/rev_sjop.2011.v14.n1.13</v>
      </c>
      <c r="B1570" s="442" t="str">
        <f>IFERROR(__xludf.DUMMYFUNCTION("""COMPUTED_VALUE"""),"https://drive.google.com/file/d/1G4tP3z0FT61HHKi1B51ImyPr28TywEAv/view?usp=drivesdk")</f>
        <v>https://drive.google.com/file/d/1G4tP3z0FT61HHKi1B51ImyPr28TywEAv/view?usp=drivesdk</v>
      </c>
      <c r="C1570" s="336" t="str">
        <f>IFERROR(__xludf.DUMMYFUNCTION("""COMPUTED_VALUE"""),"10.5209--rev_SJOP.2011.v14.n1.13.pdf")</f>
        <v>10.5209--rev_SJOP.2011.v14.n1.13.pdf</v>
      </c>
      <c r="D1570" s="156" t="str">
        <f>IFERROR(__xludf.DUMMYFUNCTION("""COMPUTED_VALUE"""),"application/pdf")</f>
        <v>application/pdf</v>
      </c>
    </row>
    <row r="1571">
      <c r="A1571" s="336" t="str">
        <f>IFERROR(__xludf.DUMMYFUNCTION("""COMPUTED_VALUE"""),"fayard_2009")</f>
        <v>fayard_2009</v>
      </c>
      <c r="B1571" s="442" t="str">
        <f>IFERROR(__xludf.DUMMYFUNCTION("""COMPUTED_VALUE"""),"https://drive.google.com/file/d/1TZ4v__dPOmI3xNzFpnJFIk9lq8TKq6BL/view?usp=drivesdk")</f>
        <v>https://drive.google.com/file/d/1TZ4v__dPOmI3xNzFpnJFIk9lq8TKq6BL/view?usp=drivesdk</v>
      </c>
      <c r="C1571" s="336" t="str">
        <f>IFERROR(__xludf.DUMMYFUNCTION("""COMPUTED_VALUE"""),"fayard_2009.pdf")</f>
        <v>fayard_2009.pdf</v>
      </c>
      <c r="D1571" s="156" t="str">
        <f>IFERROR(__xludf.DUMMYFUNCTION("""COMPUTED_VALUE"""),"application/pdf")</f>
        <v>application/pdf</v>
      </c>
    </row>
    <row r="1572">
      <c r="A1572" s="336" t="str">
        <f>IFERROR(__xludf.DUMMYFUNCTION("""COMPUTED_VALUE"""),"10.31236/osf.io/tzn6d")</f>
        <v>10.31236/osf.io/tzn6d</v>
      </c>
      <c r="B1572" s="442" t="str">
        <f>IFERROR(__xludf.DUMMYFUNCTION("""COMPUTED_VALUE"""),"https://drive.google.com/file/d/1M6Ltzqhoq6i38u_uKwWyzNhrrtQbazWq/view?usp=drivesdk")</f>
        <v>https://drive.google.com/file/d/1M6Ltzqhoq6i38u_uKwWyzNhrrtQbazWq/view?usp=drivesdk</v>
      </c>
      <c r="C1572" s="336" t="str">
        <f>IFERROR(__xludf.DUMMYFUNCTION("""COMPUTED_VALUE"""),"10.31236--osf.io--tzn6d.pdf")</f>
        <v>10.31236--osf.io--tzn6d.pdf</v>
      </c>
      <c r="D1572" s="156" t="str">
        <f>IFERROR(__xludf.DUMMYFUNCTION("""COMPUTED_VALUE"""),"application/pdf")</f>
        <v>application/pdf</v>
      </c>
    </row>
    <row r="1573">
      <c r="A1573" s="336" t="str">
        <f>IFERROR(__xludf.DUMMYFUNCTION("""COMPUTED_VALUE"""),"10.1177/0956797617747090")</f>
        <v>10.1177/0956797617747090</v>
      </c>
      <c r="B1573" s="442" t="str">
        <f>IFERROR(__xludf.DUMMYFUNCTION("""COMPUTED_VALUE"""),"https://drive.google.com/file/d/1CVrT0V-MeqSfZShwoRY6MMjJJXISWk02/view?usp=drivesdk")</f>
        <v>https://drive.google.com/file/d/1CVrT0V-MeqSfZShwoRY6MMjJJXISWk02/view?usp=drivesdk</v>
      </c>
      <c r="C1573" s="336" t="str">
        <f>IFERROR(__xludf.DUMMYFUNCTION("""COMPUTED_VALUE"""),"10.1177--0956797617747090.pdf")</f>
        <v>10.1177--0956797617747090.pdf</v>
      </c>
      <c r="D1573" s="156" t="str">
        <f>IFERROR(__xludf.DUMMYFUNCTION("""COMPUTED_VALUE"""),"application/pdf")</f>
        <v>application/pdf</v>
      </c>
    </row>
    <row r="1574">
      <c r="A1574" s="336" t="str">
        <f>IFERROR(__xludf.DUMMYFUNCTION("""COMPUTED_VALUE"""),"10.1016/j.intell.2020.101471")</f>
        <v>10.1016/j.intell.2020.101471</v>
      </c>
      <c r="B1574" s="442" t="str">
        <f>IFERROR(__xludf.DUMMYFUNCTION("""COMPUTED_VALUE"""),"https://drive.google.com/file/d/12vr4IdpuKGHum4clozdFiyxIbQP3jx5f/view?usp=drivesdk")</f>
        <v>https://drive.google.com/file/d/12vr4IdpuKGHum4clozdFiyxIbQP3jx5f/view?usp=drivesdk</v>
      </c>
      <c r="C1574" s="336" t="str">
        <f>IFERROR(__xludf.DUMMYFUNCTION("""COMPUTED_VALUE"""),"10.1016--j.intell.2020.101471.pdf")</f>
        <v>10.1016--j.intell.2020.101471.pdf</v>
      </c>
      <c r="D1574" s="156" t="str">
        <f>IFERROR(__xludf.DUMMYFUNCTION("""COMPUTED_VALUE"""),"application/pdf")</f>
        <v>application/pdf</v>
      </c>
    </row>
    <row r="1575">
      <c r="A1575" s="336" t="str">
        <f>IFERROR(__xludf.DUMMYFUNCTION("""COMPUTED_VALUE"""),"10.31234/osf.io/kavx4")</f>
        <v>10.31234/osf.io/kavx4</v>
      </c>
      <c r="B1575" s="442" t="str">
        <f>IFERROR(__xludf.DUMMYFUNCTION("""COMPUTED_VALUE"""),"https://drive.google.com/file/d/1tBea1xcrmrgSGVymZfDDDZH7SLB5aF-6/view?usp=drivesdk")</f>
        <v>https://drive.google.com/file/d/1tBea1xcrmrgSGVymZfDDDZH7SLB5aF-6/view?usp=drivesdk</v>
      </c>
      <c r="C1575" s="336" t="str">
        <f>IFERROR(__xludf.DUMMYFUNCTION("""COMPUTED_VALUE"""),"10.31234--osf.io--kavx4.pdf")</f>
        <v>10.31234--osf.io--kavx4.pdf</v>
      </c>
      <c r="D1575" s="156" t="str">
        <f>IFERROR(__xludf.DUMMYFUNCTION("""COMPUTED_VALUE"""),"application/pdf")</f>
        <v>application/pdf</v>
      </c>
    </row>
    <row r="1576">
      <c r="A1576" s="336" t="str">
        <f>IFERROR(__xludf.DUMMYFUNCTION("""COMPUTED_VALUE"""),"10.1525/collabra.68054")</f>
        <v>10.1525/collabra.68054</v>
      </c>
      <c r="B1576" s="442" t="str">
        <f>IFERROR(__xludf.DUMMYFUNCTION("""COMPUTED_VALUE"""),"https://drive.google.com/file/d/1rBJAGWTtBimqdJkF-7AeLyVrGIG8EBnW/view?usp=drivesdk")</f>
        <v>https://drive.google.com/file/d/1rBJAGWTtBimqdJkF-7AeLyVrGIG8EBnW/view?usp=drivesdk</v>
      </c>
      <c r="C1576" s="336" t="str">
        <f>IFERROR(__xludf.DUMMYFUNCTION("""COMPUTED_VALUE"""),"10.1525--collabra.68054.pdf")</f>
        <v>10.1525--collabra.68054.pdf</v>
      </c>
      <c r="D1576" s="156" t="str">
        <f>IFERROR(__xludf.DUMMYFUNCTION("""COMPUTED_VALUE"""),"application/pdf")</f>
        <v>application/pdf</v>
      </c>
    </row>
    <row r="1577">
      <c r="A1577" s="336" t="str">
        <f>IFERROR(__xludf.DUMMYFUNCTION("""COMPUTED_VALUE"""),"10.31234/osf.io/v643q")</f>
        <v>10.31234/osf.io/v643q</v>
      </c>
      <c r="B1577" s="442" t="str">
        <f>IFERROR(__xludf.DUMMYFUNCTION("""COMPUTED_VALUE"""),"https://drive.google.com/file/d/1FM8L4aEO4RUDs49kJAJIdOCQaOMgYN0P/view?usp=drivesdk")</f>
        <v>https://drive.google.com/file/d/1FM8L4aEO4RUDs49kJAJIdOCQaOMgYN0P/view?usp=drivesdk</v>
      </c>
      <c r="C1577" s="336" t="str">
        <f>IFERROR(__xludf.DUMMYFUNCTION("""COMPUTED_VALUE"""),"10.31234--osf.io--v643q.pdf")</f>
        <v>10.31234--osf.io--v643q.pdf</v>
      </c>
      <c r="D1577" s="156" t="str">
        <f>IFERROR(__xludf.DUMMYFUNCTION("""COMPUTED_VALUE"""),"application/pdf")</f>
        <v>application/pdf</v>
      </c>
    </row>
    <row r="1578">
      <c r="A1578" s="336" t="str">
        <f>IFERROR(__xludf.DUMMYFUNCTION("""COMPUTED_VALUE"""),"10.1037/0022-3514.76.6.893")</f>
        <v>10.1037/0022-3514.76.6.893</v>
      </c>
      <c r="B1578" s="442" t="str">
        <f>IFERROR(__xludf.DUMMYFUNCTION("""COMPUTED_VALUE"""),"https://drive.google.com/file/d/1OyJsePQ8uL-fdEQollfx14Y7XOGBJ7YL/view?usp=drivesdk")</f>
        <v>https://drive.google.com/file/d/1OyJsePQ8uL-fdEQollfx14Y7XOGBJ7YL/view?usp=drivesdk</v>
      </c>
      <c r="C1578" s="336" t="str">
        <f>IFERROR(__xludf.DUMMYFUNCTION("""COMPUTED_VALUE"""),"10.1037--0022-3514.76.6.893.pdf")</f>
        <v>10.1037--0022-3514.76.6.893.pdf</v>
      </c>
      <c r="D1578" s="156" t="str">
        <f>IFERROR(__xludf.DUMMYFUNCTION("""COMPUTED_VALUE"""),"application/pdf")</f>
        <v>application/pdf</v>
      </c>
    </row>
    <row r="1579">
      <c r="A1579" s="336" t="str">
        <f>IFERROR(__xludf.DUMMYFUNCTION("""COMPUTED_VALUE"""),"10.1016/j.evolhumbehav.2015.04.002")</f>
        <v>10.1016/j.evolhumbehav.2015.04.002</v>
      </c>
      <c r="B1579" s="442" t="str">
        <f>IFERROR(__xludf.DUMMYFUNCTION("""COMPUTED_VALUE"""),"https://drive.google.com/file/d/1hmrY9lsX4LBR0hPx0EBCXocgeL7ArKp6/view?usp=drivesdk")</f>
        <v>https://drive.google.com/file/d/1hmrY9lsX4LBR0hPx0EBCXocgeL7ArKp6/view?usp=drivesdk</v>
      </c>
      <c r="C1579" s="336" t="str">
        <f>IFERROR(__xludf.DUMMYFUNCTION("""COMPUTED_VALUE"""),"10.1016--j.evolhumbehav.2015.04.002.pdf")</f>
        <v>10.1016--j.evolhumbehav.2015.04.002.pdf</v>
      </c>
      <c r="D1579" s="156" t="str">
        <f>IFERROR(__xludf.DUMMYFUNCTION("""COMPUTED_VALUE"""),"application/pdf")</f>
        <v>application/pdf</v>
      </c>
    </row>
    <row r="1580">
      <c r="A1580" s="336" t="str">
        <f>IFERROR(__xludf.DUMMYFUNCTION("""COMPUTED_VALUE"""),"10.1037/a0023527")</f>
        <v>10.1037/a0023527</v>
      </c>
      <c r="B1580" s="442" t="str">
        <f>IFERROR(__xludf.DUMMYFUNCTION("""COMPUTED_VALUE"""),"https://drive.google.com/file/d/1QDNRrzD1VCOwR4bsx3QJgYLm2e6VV-no/view?usp=drivesdk")</f>
        <v>https://drive.google.com/file/d/1QDNRrzD1VCOwR4bsx3QJgYLm2e6VV-no/view?usp=drivesdk</v>
      </c>
      <c r="C1580" s="336" t="str">
        <f>IFERROR(__xludf.DUMMYFUNCTION("""COMPUTED_VALUE"""),"10.1037--a0023527.pdf")</f>
        <v>10.1037--a0023527.pdf</v>
      </c>
      <c r="D1580" s="156" t="str">
        <f>IFERROR(__xludf.DUMMYFUNCTION("""COMPUTED_VALUE"""),"application/pdf")</f>
        <v>application/pdf</v>
      </c>
    </row>
    <row r="1581">
      <c r="A1581" s="336" t="str">
        <f>IFERROR(__xludf.DUMMYFUNCTION("""COMPUTED_VALUE"""),"10.1037/a0027598")</f>
        <v>10.1037/a0027598</v>
      </c>
      <c r="B1581" s="442" t="str">
        <f>IFERROR(__xludf.DUMMYFUNCTION("""COMPUTED_VALUE"""),"https://drive.google.com/file/d/1-8hoTcDzN7GjN92fqlhu7SLhxRSQTUrd/view?usp=drivesdk")</f>
        <v>https://drive.google.com/file/d/1-8hoTcDzN7GjN92fqlhu7SLhxRSQTUrd/view?usp=drivesdk</v>
      </c>
      <c r="C1581" s="336" t="str">
        <f>IFERROR(__xludf.DUMMYFUNCTION("""COMPUTED_VALUE"""),"10.1037--a0027598.pdf")</f>
        <v>10.1037--a0027598.pdf</v>
      </c>
      <c r="D1581" s="156" t="str">
        <f>IFERROR(__xludf.DUMMYFUNCTION("""COMPUTED_VALUE"""),"application/pdf")</f>
        <v>application/pdf</v>
      </c>
    </row>
    <row r="1582">
      <c r="A1582" s="336" t="str">
        <f>IFERROR(__xludf.DUMMYFUNCTION("""COMPUTED_VALUE"""),"ferrell_2013")</f>
        <v>ferrell_2013</v>
      </c>
      <c r="B1582" s="442" t="str">
        <f>IFERROR(__xludf.DUMMYFUNCTION("""COMPUTED_VALUE"""),"https://drive.google.com/file/d/1XsfKzqBh-rbhyVubt-56zgPU_Ak2yFU6/view?usp=drivesdk")</f>
        <v>https://drive.google.com/file/d/1XsfKzqBh-rbhyVubt-56zgPU_Ak2yFU6/view?usp=drivesdk</v>
      </c>
      <c r="C1582" s="336" t="str">
        <f>IFERROR(__xludf.DUMMYFUNCTION("""COMPUTED_VALUE"""),"ferrell_2013.pdf")</f>
        <v>ferrell_2013.pdf</v>
      </c>
      <c r="D1582" s="156" t="str">
        <f>IFERROR(__xludf.DUMMYFUNCTION("""COMPUTED_VALUE"""),"application/pdf")</f>
        <v>application/pdf</v>
      </c>
    </row>
    <row r="1583">
      <c r="A1583" s="336" t="str">
        <f>IFERROR(__xludf.DUMMYFUNCTION("""COMPUTED_VALUE"""),"10.1037/a0036079")</f>
        <v>10.1037/a0036079</v>
      </c>
      <c r="B1583" s="442" t="str">
        <f>IFERROR(__xludf.DUMMYFUNCTION("""COMPUTED_VALUE"""),"https://drive.google.com/file/d/1qciw5bAxDFe8UHI_osvmJAtB2c2Hc5Mv/view?usp=drivesdk")</f>
        <v>https://drive.google.com/file/d/1qciw5bAxDFe8UHI_osvmJAtB2c2Hc5Mv/view?usp=drivesdk</v>
      </c>
      <c r="C1583" s="336" t="str">
        <f>IFERROR(__xludf.DUMMYFUNCTION("""COMPUTED_VALUE"""),"10.1037--a0036079.pdf")</f>
        <v>10.1037--a0036079.pdf</v>
      </c>
      <c r="D1583" s="156" t="str">
        <f>IFERROR(__xludf.DUMMYFUNCTION("""COMPUTED_VALUE"""),"application/pdf")</f>
        <v>application/pdf</v>
      </c>
    </row>
    <row r="1584">
      <c r="A1584" s="336" t="str">
        <f>IFERROR(__xludf.DUMMYFUNCTION("""COMPUTED_VALUE"""),"10.1016/j.jesp.2009.06.003")</f>
        <v>10.1016/j.jesp.2009.06.003</v>
      </c>
      <c r="B1584" s="442" t="str">
        <f>IFERROR(__xludf.DUMMYFUNCTION("""COMPUTED_VALUE"""),"https://drive.google.com/file/d/1qBoMlGJSxfD9Le6GQLq29-E2xuX5NtUI/view?usp=drivesdk")</f>
        <v>https://drive.google.com/file/d/1qBoMlGJSxfD9Le6GQLq29-E2xuX5NtUI/view?usp=drivesdk</v>
      </c>
      <c r="C1584" s="336" t="str">
        <f>IFERROR(__xludf.DUMMYFUNCTION("""COMPUTED_VALUE"""),"10.1016--j.jesp.2009.06.003.pdf")</f>
        <v>10.1016--j.jesp.2009.06.003.pdf</v>
      </c>
      <c r="D1584" s="156" t="str">
        <f>IFERROR(__xludf.DUMMYFUNCTION("""COMPUTED_VALUE"""),"application/pdf")</f>
        <v>application/pdf</v>
      </c>
    </row>
    <row r="1585">
      <c r="A1585" s="336" t="str">
        <f>IFERROR(__xludf.DUMMYFUNCTION("""COMPUTED_VALUE"""),"10.1016/j.cognition.2014.09.006")</f>
        <v>10.1016/j.cognition.2014.09.006</v>
      </c>
      <c r="B1585" s="442" t="str">
        <f>IFERROR(__xludf.DUMMYFUNCTION("""COMPUTED_VALUE"""),"https://drive.google.com/file/d/1kMj9bYJrk8644y4gPjpgYXSikwfmuYTS/view?usp=drivesdk")</f>
        <v>https://drive.google.com/file/d/1kMj9bYJrk8644y4gPjpgYXSikwfmuYTS/view?usp=drivesdk</v>
      </c>
      <c r="C1585" s="336" t="str">
        <f>IFERROR(__xludf.DUMMYFUNCTION("""COMPUTED_VALUE"""),"10.1016--j.cognition.2014.09.006.pdf")</f>
        <v>10.1016--j.cognition.2014.09.006.pdf</v>
      </c>
      <c r="D1585" s="156" t="str">
        <f>IFERROR(__xludf.DUMMYFUNCTION("""COMPUTED_VALUE"""),"application/pdf")</f>
        <v>application/pdf</v>
      </c>
    </row>
    <row r="1586">
      <c r="A1586" s="336" t="str">
        <f>IFERROR(__xludf.DUMMYFUNCTION("""COMPUTED_VALUE"""),"10.1525/collabra.185")</f>
        <v>10.1525/collabra.185</v>
      </c>
      <c r="B1586" s="442" t="str">
        <f>IFERROR(__xludf.DUMMYFUNCTION("""COMPUTED_VALUE"""),"https://drive.google.com/file/d/1Xoam7f13E5M2EddKf56QMnzGorZg_Rlu/view?usp=drivesdk")</f>
        <v>https://drive.google.com/file/d/1Xoam7f13E5M2EddKf56QMnzGorZg_Rlu/view?usp=drivesdk</v>
      </c>
      <c r="C1586" s="336" t="str">
        <f>IFERROR(__xludf.DUMMYFUNCTION("""COMPUTED_VALUE"""),"10.1525--collabra.185.pdf")</f>
        <v>10.1525--collabra.185.pdf</v>
      </c>
      <c r="D1586" s="156" t="str">
        <f>IFERROR(__xludf.DUMMYFUNCTION("""COMPUTED_VALUE"""),"application/pdf")</f>
        <v>application/pdf</v>
      </c>
    </row>
    <row r="1587">
      <c r="A1587" s="336" t="str">
        <f>IFERROR(__xludf.DUMMYFUNCTION("""COMPUTED_VALUE"""),"10.1098/rsos.210641")</f>
        <v>10.1098/rsos.210641</v>
      </c>
      <c r="B1587" s="442" t="str">
        <f>IFERROR(__xludf.DUMMYFUNCTION("""COMPUTED_VALUE"""),"https://drive.google.com/file/d/1YzEqH7QTG95vm-E-CJt-CI-rq6sFA3bV/view?usp=drivesdk")</f>
        <v>https://drive.google.com/file/d/1YzEqH7QTG95vm-E-CJt-CI-rq6sFA3bV/view?usp=drivesdk</v>
      </c>
      <c r="C1587" s="336" t="str">
        <f>IFERROR(__xludf.DUMMYFUNCTION("""COMPUTED_VALUE"""),"10.1098--rsos.210641.pdf")</f>
        <v>10.1098--rsos.210641.pdf</v>
      </c>
      <c r="D1587" s="156" t="str">
        <f>IFERROR(__xludf.DUMMYFUNCTION("""COMPUTED_VALUE"""),"application/pdf")</f>
        <v>application/pdf</v>
      </c>
    </row>
    <row r="1588">
      <c r="A1588" s="336" t="str">
        <f>IFERROR(__xludf.DUMMYFUNCTION("""COMPUTED_VALUE"""),"10.1037/pspa0000261")</f>
        <v>10.1037/pspa0000261</v>
      </c>
      <c r="B1588" s="442" t="str">
        <f>IFERROR(__xludf.DUMMYFUNCTION("""COMPUTED_VALUE"""),"https://drive.google.com/file/d/1yu5hD1Fq1gaQ5iAk9Sy1oujO3qnlBxsm/view?usp=drivesdk")</f>
        <v>https://drive.google.com/file/d/1yu5hD1Fq1gaQ5iAk9Sy1oujO3qnlBxsm/view?usp=drivesdk</v>
      </c>
      <c r="C1588" s="336" t="str">
        <f>IFERROR(__xludf.DUMMYFUNCTION("""COMPUTED_VALUE"""),"10.1037--pspa0000261.pdf")</f>
        <v>10.1037--pspa0000261.pdf</v>
      </c>
      <c r="D1588" s="156" t="str">
        <f>IFERROR(__xludf.DUMMYFUNCTION("""COMPUTED_VALUE"""),"application/pdf")</f>
        <v>application/pdf</v>
      </c>
    </row>
    <row r="1589">
      <c r="A1589" s="336" t="str">
        <f>IFERROR(__xludf.DUMMYFUNCTION("""COMPUTED_VALUE"""),"10.1525/collabra.277")</f>
        <v>10.1525/collabra.277</v>
      </c>
      <c r="B1589" s="442" t="str">
        <f>IFERROR(__xludf.DUMMYFUNCTION("""COMPUTED_VALUE"""),"https://drive.google.com/file/d/1gqkCLQ8YLn27JACJIv51ycR1U6cUfNAJ/view?usp=drivesdk")</f>
        <v>https://drive.google.com/file/d/1gqkCLQ8YLn27JACJIv51ycR1U6cUfNAJ/view?usp=drivesdk</v>
      </c>
      <c r="C1589" s="336" t="str">
        <f>IFERROR(__xludf.DUMMYFUNCTION("""COMPUTED_VALUE"""),"10.1525--collabra.277.pdf")</f>
        <v>10.1525--collabra.277.pdf</v>
      </c>
      <c r="D1589" s="156" t="str">
        <f>IFERROR(__xludf.DUMMYFUNCTION("""COMPUTED_VALUE"""),"application/pdf")</f>
        <v>application/pdf</v>
      </c>
    </row>
    <row r="1590">
      <c r="A1590" s="336" t="str">
        <f>IFERROR(__xludf.DUMMYFUNCTION("""COMPUTED_VALUE"""),"10.1177/01461672211052120")</f>
        <v>10.1177/01461672211052120</v>
      </c>
      <c r="B1590" s="442" t="str">
        <f>IFERROR(__xludf.DUMMYFUNCTION("""COMPUTED_VALUE"""),"https://drive.google.com/file/d/1qykbPSroz40PGKkag9WEI54L9tC55d5r/view?usp=drivesdk")</f>
        <v>https://drive.google.com/file/d/1qykbPSroz40PGKkag9WEI54L9tC55d5r/view?usp=drivesdk</v>
      </c>
      <c r="C1590" s="336" t="str">
        <f>IFERROR(__xludf.DUMMYFUNCTION("""COMPUTED_VALUE"""),"10.1177--01461672211052120.pdf")</f>
        <v>10.1177--01461672211052120.pdf</v>
      </c>
      <c r="D1590" s="156" t="str">
        <f>IFERROR(__xludf.DUMMYFUNCTION("""COMPUTED_VALUE"""),"application/pdf")</f>
        <v>application/pdf</v>
      </c>
    </row>
    <row r="1591">
      <c r="A1591" s="336" t="str">
        <f>IFERROR(__xludf.DUMMYFUNCTION("""COMPUTED_VALUE"""),"10.1002/(sici)1099-0771(199806)11_2_3c107_aid-bdm292_3e3.0.co_2-y")</f>
        <v>10.1002/(sici)1099-0771(199806)11_2_3c107_aid-bdm292_3e3.0.co_2-y</v>
      </c>
      <c r="B1591" s="442" t="str">
        <f>IFERROR(__xludf.DUMMYFUNCTION("""COMPUTED_VALUE"""),"https://drive.google.com/file/d/1ZIjUGgM0ZNJMwX1YUqhWIb-i5jgS1Cmy/view?usp=drivesdk")</f>
        <v>https://drive.google.com/file/d/1ZIjUGgM0ZNJMwX1YUqhWIb-i5jgS1Cmy/view?usp=drivesdk</v>
      </c>
      <c r="C1591" s="336" t="str">
        <f>IFERROR(__xludf.DUMMYFUNCTION("""COMPUTED_VALUE"""),"10.1002--(SICI)1099-0771(199806)11_2_3C107_AID-BDM292_3E3.0.CO_2-Y.pdf.pdf")</f>
        <v>10.1002--(SICI)1099-0771(199806)11_2_3C107_AID-BDM292_3E3.0.CO_2-Y.pdf.pdf</v>
      </c>
      <c r="D1591" s="156" t="str">
        <f>IFERROR(__xludf.DUMMYFUNCTION("""COMPUTED_VALUE"""),"application/pdf")</f>
        <v>application/pdf</v>
      </c>
    </row>
    <row r="1592">
      <c r="A1592" s="336" t="str">
        <f>IFERROR(__xludf.DUMMYFUNCTION("""COMPUTED_VALUE"""),"osf_68m2c")</f>
        <v>osf_68m2c</v>
      </c>
      <c r="B1592" s="442" t="str">
        <f>IFERROR(__xludf.DUMMYFUNCTION("""COMPUTED_VALUE"""),"https://drive.google.com/file/d/1fXdEI1kl0lQt_4qWiP91lWgenOEsMrKg/view?usp=drivesdk")</f>
        <v>https://drive.google.com/file/d/1fXdEI1kl0lQt_4qWiP91lWgenOEsMrKg/view?usp=drivesdk</v>
      </c>
      <c r="C1592" s="336" t="str">
        <f>IFERROR(__xludf.DUMMYFUNCTION("""COMPUTED_VALUE"""),"osf_68m2c.pdf")</f>
        <v>osf_68m2c.pdf</v>
      </c>
      <c r="D1592" s="156" t="str">
        <f>IFERROR(__xludf.DUMMYFUNCTION("""COMPUTED_VALUE"""),"application/pdf")</f>
        <v>application/pdf</v>
      </c>
    </row>
    <row r="1593">
      <c r="A1593" s="336" t="str">
        <f>IFERROR(__xludf.DUMMYFUNCTION("""COMPUTED_VALUE"""),"fred_papers-20250213t101115z-001.zip")</f>
        <v>fred_papers-20250213t101115z-001.zip</v>
      </c>
      <c r="B1593" s="442" t="str">
        <f>IFERROR(__xludf.DUMMYFUNCTION("""COMPUTED_VALUE"""),"https://drive.google.com/file/d/10DQLGJZonXtZosc0iBs5LKbP4uoONS18/view?usp=drivesdk")</f>
        <v>https://drive.google.com/file/d/10DQLGJZonXtZosc0iBs5LKbP4uoONS18/view?usp=drivesdk</v>
      </c>
      <c r="C1593" s="336" t="str">
        <f>IFERROR(__xludf.DUMMYFUNCTION("""COMPUTED_VALUE"""),"fred_papers-20250213T101115Z-001.zip")</f>
        <v>fred_papers-20250213T101115Z-001.zip</v>
      </c>
      <c r="D1593" s="156" t="str">
        <f>IFERROR(__xludf.DUMMYFUNCTION("""COMPUTED_VALUE"""),"application/zip")</f>
        <v>application/zip</v>
      </c>
    </row>
    <row r="1594">
      <c r="A1594" s="336" t="str">
        <f>IFERROR(__xludf.DUMMYFUNCTION("""COMPUTED_VALUE"""),"10.1177/1745691613513470")</f>
        <v>10.1177/1745691613513470</v>
      </c>
      <c r="B1594" s="442" t="str">
        <f>IFERROR(__xludf.DUMMYFUNCTION("""COMPUTED_VALUE"""),"https://drive.google.com/file/d/1I8FOJusplVycfM59FMbxsbyzq7e1ojke/view?usp=drivesdk")</f>
        <v>https://drive.google.com/file/d/1I8FOJusplVycfM59FMbxsbyzq7e1ojke/view?usp=drivesdk</v>
      </c>
      <c r="C1594" s="336" t="str">
        <f>IFERROR(__xludf.DUMMYFUNCTION("""COMPUTED_VALUE"""),"10.1177--1745691613513470.pdf")</f>
        <v>10.1177--1745691613513470.pdf</v>
      </c>
      <c r="D1594" s="156" t="str">
        <f>IFERROR(__xludf.DUMMYFUNCTION("""COMPUTED_VALUE"""),"application/pdf")</f>
        <v>application/pdf</v>
      </c>
    </row>
    <row r="1595">
      <c r="A1595" s="336" t="str">
        <f>IFERROR(__xludf.DUMMYFUNCTION("""COMPUTED_VALUE"""),"10.17605/osf.io/nxp9w")</f>
        <v>10.17605/osf.io/nxp9w</v>
      </c>
      <c r="B1595" s="442" t="str">
        <f>IFERROR(__xludf.DUMMYFUNCTION("""COMPUTED_VALUE"""),"https://drive.google.com/file/d/1yS8koYLoBzTIOnY0Iveg0atwD_kYj-_v/view?usp=drivesdk")</f>
        <v>https://drive.google.com/file/d/1yS8koYLoBzTIOnY0Iveg0atwD_kYj-_v/view?usp=drivesdk</v>
      </c>
      <c r="C1595" s="336" t="str">
        <f>IFERROR(__xludf.DUMMYFUNCTION("""COMPUTED_VALUE"""),"10.17605--osf.io--nxp9w.pdf")</f>
        <v>10.17605--osf.io--nxp9w.pdf</v>
      </c>
      <c r="D1595" s="156" t="str">
        <f>IFERROR(__xludf.DUMMYFUNCTION("""COMPUTED_VALUE"""),"application/pdf")</f>
        <v>application/pdf</v>
      </c>
    </row>
    <row r="1596">
      <c r="A1596" s="336" t="str">
        <f>IFERROR(__xludf.DUMMYFUNCTION("""COMPUTED_VALUE"""),"10.17605/osf.io/82bwv")</f>
        <v>10.17605/osf.io/82bwv</v>
      </c>
      <c r="B1596" s="442" t="str">
        <f>IFERROR(__xludf.DUMMYFUNCTION("""COMPUTED_VALUE"""),"https://drive.google.com/file/d/1NW_w2zDU8T7DWf98R3BXNjHeH_EWmdiE/view?usp=drivesdk")</f>
        <v>https://drive.google.com/file/d/1NW_w2zDU8T7DWf98R3BXNjHeH_EWmdiE/view?usp=drivesdk</v>
      </c>
      <c r="C1596" s="336" t="str">
        <f>IFERROR(__xludf.DUMMYFUNCTION("""COMPUTED_VALUE"""),"10.17605--osf.io--82bwv.pdf")</f>
        <v>10.17605--osf.io--82bwv.pdf</v>
      </c>
      <c r="D1596" s="156" t="str">
        <f>IFERROR(__xludf.DUMMYFUNCTION("""COMPUTED_VALUE"""),"application/pdf")</f>
        <v>application/pdf</v>
      </c>
    </row>
    <row r="1597">
      <c r="A1597" s="336" t="str">
        <f>IFERROR(__xludf.DUMMYFUNCTION("""COMPUTED_VALUE"""),"10.3389/fpsyg.2014.00786")</f>
        <v>10.3389/fpsyg.2014.00786</v>
      </c>
      <c r="B1597" s="442" t="str">
        <f>IFERROR(__xludf.DUMMYFUNCTION("""COMPUTED_VALUE"""),"https://drive.google.com/file/d/1X8xl-ktO34rqHxXEr72Dhva7VBCdkSZl/view?usp=drivesdk")</f>
        <v>https://drive.google.com/file/d/1X8xl-ktO34rqHxXEr72Dhva7VBCdkSZl/view?usp=drivesdk</v>
      </c>
      <c r="C1597" s="336" t="str">
        <f>IFERROR(__xludf.DUMMYFUNCTION("""COMPUTED_VALUE"""),"10.3389--fpsyg.2014.00786.pdf")</f>
        <v>10.3389--fpsyg.2014.00786.pdf</v>
      </c>
      <c r="D1597" s="156" t="str">
        <f>IFERROR(__xludf.DUMMYFUNCTION("""COMPUTED_VALUE"""),"application/pdf")</f>
        <v>application/pdf</v>
      </c>
    </row>
    <row r="1598">
      <c r="A1598" s="336" t="str">
        <f>IFERROR(__xludf.DUMMYFUNCTION("""COMPUTED_VALUE"""),"10.17605/osf.io/ictp5")</f>
        <v>10.17605/osf.io/ictp5</v>
      </c>
      <c r="B1598" s="442" t="str">
        <f>IFERROR(__xludf.DUMMYFUNCTION("""COMPUTED_VALUE"""),"https://drive.google.com/file/d/1aZbByDdOVHRhBNFrVHpONghJoQFgQzen/view?usp=drivesdk")</f>
        <v>https://drive.google.com/file/d/1aZbByDdOVHRhBNFrVHpONghJoQFgQzen/view?usp=drivesdk</v>
      </c>
      <c r="C1598" s="336" t="str">
        <f>IFERROR(__xludf.DUMMYFUNCTION("""COMPUTED_VALUE"""),"10.17605--osf.io--ictp5.pdf")</f>
        <v>10.17605--osf.io--ictp5.pdf</v>
      </c>
      <c r="D1598" s="156" t="str">
        <f>IFERROR(__xludf.DUMMYFUNCTION("""COMPUTED_VALUE"""),"application/pdf")</f>
        <v>application/pdf</v>
      </c>
    </row>
    <row r="1599">
      <c r="A1599" s="336" t="str">
        <f>IFERROR(__xludf.DUMMYFUNCTION("""COMPUTED_VALUE"""),"10.1027/1864-9335/a000186")</f>
        <v>10.1027/1864-9335/a000186</v>
      </c>
      <c r="B1599" s="442" t="str">
        <f>IFERROR(__xludf.DUMMYFUNCTION("""COMPUTED_VALUE"""),"https://drive.google.com/file/d/1tKM1PILFcJ_p1wV0Jul0zI6ZVlWSKpjf/view?usp=drivesdk")</f>
        <v>https://drive.google.com/file/d/1tKM1PILFcJ_p1wV0Jul0zI6ZVlWSKpjf/view?usp=drivesdk</v>
      </c>
      <c r="C1599" s="336" t="str">
        <f>IFERROR(__xludf.DUMMYFUNCTION("""COMPUTED_VALUE"""),"10.1027--1864-9335--a000186.pdf")</f>
        <v>10.1027--1864-9335--a000186.pdf</v>
      </c>
      <c r="D1599" s="156" t="str">
        <f>IFERROR(__xludf.DUMMYFUNCTION("""COMPUTED_VALUE"""),"application/pdf")</f>
        <v>application/pdf</v>
      </c>
    </row>
    <row r="1600">
      <c r="A1600" s="336" t="str">
        <f>IFERROR(__xludf.DUMMYFUNCTION("""COMPUTED_VALUE"""),"10.17605/osf.io/ehjdm")</f>
        <v>10.17605/osf.io/ehjdm</v>
      </c>
      <c r="B1600" s="442" t="str">
        <f>IFERROR(__xludf.DUMMYFUNCTION("""COMPUTED_VALUE"""),"https://drive.google.com/file/d/1GV4zWU9q5kR-RIu3cmHk_E669d6rWRsW/view?usp=drivesdk")</f>
        <v>https://drive.google.com/file/d/1GV4zWU9q5kR-RIu3cmHk_E669d6rWRsW/view?usp=drivesdk</v>
      </c>
      <c r="C1600" s="336" t="str">
        <f>IFERROR(__xludf.DUMMYFUNCTION("""COMPUTED_VALUE"""),"10.17605--osf.io--ehjdm.pdf")</f>
        <v>10.17605--osf.io--ehjdm.pdf</v>
      </c>
      <c r="D1600" s="156" t="str">
        <f>IFERROR(__xludf.DUMMYFUNCTION("""COMPUTED_VALUE"""),"application/pdf")</f>
        <v>application/pdf</v>
      </c>
    </row>
    <row r="1601">
      <c r="A1601" s="336" t="str">
        <f>IFERROR(__xludf.DUMMYFUNCTION("""COMPUTED_VALUE"""),"10.1037/pspa0000064")</f>
        <v>10.1037/pspa0000064</v>
      </c>
      <c r="B1601" s="442" t="str">
        <f>IFERROR(__xludf.DUMMYFUNCTION("""COMPUTED_VALUE"""),"https://drive.google.com/file/d/1RF-nEXDyW9UWyQIuqmtLdTtTuTs-52JT/view?usp=drivesdk")</f>
        <v>https://drive.google.com/file/d/1RF-nEXDyW9UWyQIuqmtLdTtTuTs-52JT/view?usp=drivesdk</v>
      </c>
      <c r="C1601" s="336" t="str">
        <f>IFERROR(__xludf.DUMMYFUNCTION("""COMPUTED_VALUE"""),"10.1037--pspa0000064.pdf")</f>
        <v>10.1037--pspa0000064.pdf</v>
      </c>
      <c r="D1601" s="156" t="str">
        <f>IFERROR(__xludf.DUMMYFUNCTION("""COMPUTED_VALUE"""),"application/pdf")</f>
        <v>application/pdf</v>
      </c>
    </row>
    <row r="1602">
      <c r="A1602" s="336" t="str">
        <f>IFERROR(__xludf.DUMMYFUNCTION("""COMPUTED_VALUE"""),"10.17605/osf.io/etg7c")</f>
        <v>10.17605/osf.io/etg7c</v>
      </c>
      <c r="B1602" s="442" t="str">
        <f>IFERROR(__xludf.DUMMYFUNCTION("""COMPUTED_VALUE"""),"https://drive.google.com/file/d/1LNTqrRGiajQW8AmTfTYGS-EuhKSBbzXe/view?usp=drivesdk")</f>
        <v>https://drive.google.com/file/d/1LNTqrRGiajQW8AmTfTYGS-EuhKSBbzXe/view?usp=drivesdk</v>
      </c>
      <c r="C1602" s="336" t="str">
        <f>IFERROR(__xludf.DUMMYFUNCTION("""COMPUTED_VALUE"""),"10.17605--osf.io--etg7c.pdf")</f>
        <v>10.17605--osf.io--etg7c.pdf</v>
      </c>
      <c r="D1602" s="156" t="str">
        <f>IFERROR(__xludf.DUMMYFUNCTION("""COMPUTED_VALUE"""),"application/pdf")</f>
        <v>application/pdf</v>
      </c>
    </row>
    <row r="1603">
      <c r="A1603" s="336" t="str">
        <f>IFERROR(__xludf.DUMMYFUNCTION("""COMPUTED_VALUE"""),"10.1037/0022-3514.94.3.429")</f>
        <v>10.1037/0022-3514.94.3.429</v>
      </c>
      <c r="B1603" s="442" t="str">
        <f>IFERROR(__xludf.DUMMYFUNCTION("""COMPUTED_VALUE"""),"https://drive.google.com/file/d/1oih40CT0uXiqw7e6vWDoDVi8-0MewGVn/view?usp=drivesdk")</f>
        <v>https://drive.google.com/file/d/1oih40CT0uXiqw7e6vWDoDVi8-0MewGVn/view?usp=drivesdk</v>
      </c>
      <c r="C1603" s="336" t="str">
        <f>IFERROR(__xludf.DUMMYFUNCTION("""COMPUTED_VALUE"""),"10.1037--0022-3514.94.3.429.pdf")</f>
        <v>10.1037--0022-3514.94.3.429.pdf</v>
      </c>
      <c r="D1603" s="156" t="str">
        <f>IFERROR(__xludf.DUMMYFUNCTION("""COMPUTED_VALUE"""),"application/pdf")</f>
        <v>application/pdf</v>
      </c>
    </row>
    <row r="1604">
      <c r="A1604" s="336" t="str">
        <f>IFERROR(__xludf.DUMMYFUNCTION("""COMPUTED_VALUE"""),"10.1098/rsos.231240")</f>
        <v>10.1098/rsos.231240</v>
      </c>
      <c r="B1604" s="442" t="str">
        <f>IFERROR(__xludf.DUMMYFUNCTION("""COMPUTED_VALUE"""),"https://drive.google.com/file/d/17gaf2Zy_ljFfcAEDk5L8GBnTl5i7RGJE/view?usp=drivesdk")</f>
        <v>https://drive.google.com/file/d/17gaf2Zy_ljFfcAEDk5L8GBnTl5i7RGJE/view?usp=drivesdk</v>
      </c>
      <c r="C1604" s="336" t="str">
        <f>IFERROR(__xludf.DUMMYFUNCTION("""COMPUTED_VALUE"""),"10.1098--rsos.231240.pdf")</f>
        <v>10.1098--rsos.231240.pdf</v>
      </c>
      <c r="D1604" s="156" t="str">
        <f>IFERROR(__xludf.DUMMYFUNCTION("""COMPUTED_VALUE"""),"application/pdf")</f>
        <v>application/pdf</v>
      </c>
    </row>
    <row r="1605">
      <c r="A1605" s="336" t="str">
        <f>IFERROR(__xludf.DUMMYFUNCTION("""COMPUTED_VALUE"""),"10.31234/osf.io/bgp3m")</f>
        <v>10.31234/osf.io/bgp3m</v>
      </c>
      <c r="B1605" s="442" t="str">
        <f>IFERROR(__xludf.DUMMYFUNCTION("""COMPUTED_VALUE"""),"https://drive.google.com/file/d/1ZPxYmeo-qbLmZwPazFQAlwgbjV6F3CIv/view?usp=drivesdk")</f>
        <v>https://drive.google.com/file/d/1ZPxYmeo-qbLmZwPazFQAlwgbjV6F3CIv/view?usp=drivesdk</v>
      </c>
      <c r="C1605" s="336" t="str">
        <f>IFERROR(__xludf.DUMMYFUNCTION("""COMPUTED_VALUE"""),"10.31234--osf.io--bgp3m.pdf")</f>
        <v>10.31234--osf.io--bgp3m.pdf</v>
      </c>
      <c r="D1605" s="156" t="str">
        <f>IFERROR(__xludf.DUMMYFUNCTION("""COMPUTED_VALUE"""),"application/pdf")</f>
        <v>application/pdf</v>
      </c>
    </row>
    <row r="1606">
      <c r="A1606" s="336" t="str">
        <f>IFERROR(__xludf.DUMMYFUNCTION("""COMPUTED_VALUE"""),"10.18718/81781.29")</f>
        <v>10.18718/81781.29</v>
      </c>
      <c r="B1606" s="442" t="str">
        <f>IFERROR(__xludf.DUMMYFUNCTION("""COMPUTED_VALUE"""),"https://drive.google.com/file/d/1al8eDyU6ngpVrQ3pelC_b0wECY353CCu/view?usp=drivesdk")</f>
        <v>https://drive.google.com/file/d/1al8eDyU6ngpVrQ3pelC_b0wECY353CCu/view?usp=drivesdk</v>
      </c>
      <c r="C1606" s="336" t="str">
        <f>IFERROR(__xludf.DUMMYFUNCTION("""COMPUTED_VALUE"""),"10.18718--81781.29.pdf")</f>
        <v>10.18718--81781.29.pdf</v>
      </c>
      <c r="D1606" s="156" t="str">
        <f>IFERROR(__xludf.DUMMYFUNCTION("""COMPUTED_VALUE"""),"application/pdf")</f>
        <v>application/pdf</v>
      </c>
    </row>
    <row r="1607">
      <c r="A1607" s="336" t="str">
        <f>IFERROR(__xludf.DUMMYFUNCTION("""COMPUTED_VALUE"""),"10.18718/81781.28")</f>
        <v>10.18718/81781.28</v>
      </c>
      <c r="B1607" s="442" t="str">
        <f>IFERROR(__xludf.DUMMYFUNCTION("""COMPUTED_VALUE"""),"https://drive.google.com/file/d/10OfxM8Xr_vLp1xZdWVqasjH0oVNLXD6c/view?usp=drivesdk")</f>
        <v>https://drive.google.com/file/d/10OfxM8Xr_vLp1xZdWVqasjH0oVNLXD6c/view?usp=drivesdk</v>
      </c>
      <c r="C1607" s="336" t="str">
        <f>IFERROR(__xludf.DUMMYFUNCTION("""COMPUTED_VALUE"""),"10.18718--81781.28.pdf")</f>
        <v>10.18718--81781.28.pdf</v>
      </c>
      <c r="D1607" s="156" t="str">
        <f>IFERROR(__xludf.DUMMYFUNCTION("""COMPUTED_VALUE"""),"application/pdf")</f>
        <v>application/pdf</v>
      </c>
    </row>
    <row r="1608">
      <c r="A1608" s="336" t="str">
        <f>IFERROR(__xludf.DUMMYFUNCTION("""COMPUTED_VALUE"""),"10.18718/81781.27")</f>
        <v>10.18718/81781.27</v>
      </c>
      <c r="B1608" s="442" t="str">
        <f>IFERROR(__xludf.DUMMYFUNCTION("""COMPUTED_VALUE"""),"https://drive.google.com/file/d/1B0bpIVPknZVh5AfVAO6FnFkgh37GF9dx/view?usp=drivesdk")</f>
        <v>https://drive.google.com/file/d/1B0bpIVPknZVh5AfVAO6FnFkgh37GF9dx/view?usp=drivesdk</v>
      </c>
      <c r="C1608" s="336" t="str">
        <f>IFERROR(__xludf.DUMMYFUNCTION("""COMPUTED_VALUE"""),"10.18718--81781.27.pdf")</f>
        <v>10.18718--81781.27.pdf</v>
      </c>
      <c r="D1608" s="156" t="str">
        <f>IFERROR(__xludf.DUMMYFUNCTION("""COMPUTED_VALUE"""),"application/pdf")</f>
        <v>application/pdf</v>
      </c>
    </row>
    <row r="1609">
      <c r="A1609" s="336" t="str">
        <f>IFERROR(__xludf.DUMMYFUNCTION("""COMPUTED_VALUE"""),"10.18718/81781.24")</f>
        <v>10.18718/81781.24</v>
      </c>
      <c r="B1609" s="442" t="str">
        <f>IFERROR(__xludf.DUMMYFUNCTION("""COMPUTED_VALUE"""),"https://drive.google.com/file/d/12vw9kcWfNgIH1QJC1wzCOEbjp_P3Df3W/view?usp=drivesdk")</f>
        <v>https://drive.google.com/file/d/12vw9kcWfNgIH1QJC1wzCOEbjp_P3Df3W/view?usp=drivesdk</v>
      </c>
      <c r="C1609" s="336" t="str">
        <f>IFERROR(__xludf.DUMMYFUNCTION("""COMPUTED_VALUE"""),"10.18718--81781.24.pdf")</f>
        <v>10.18718--81781.24.pdf</v>
      </c>
      <c r="D1609" s="156" t="str">
        <f>IFERROR(__xludf.DUMMYFUNCTION("""COMPUTED_VALUE"""),"application/pdf")</f>
        <v>application/pdf</v>
      </c>
    </row>
    <row r="1610">
      <c r="A1610" s="336" t="str">
        <f>IFERROR(__xludf.DUMMYFUNCTION("""COMPUTED_VALUE"""),"10.1038/s41562-024-02062-9")</f>
        <v>10.1038/s41562-024-02062-9</v>
      </c>
      <c r="B1610" s="442" t="str">
        <f>IFERROR(__xludf.DUMMYFUNCTION("""COMPUTED_VALUE"""),"https://drive.google.com/file/d/1w8pcOEpgkXG4574TMp8vmQlQVMYXLL8c/view?usp=drivesdk")</f>
        <v>https://drive.google.com/file/d/1w8pcOEpgkXG4574TMp8vmQlQVMYXLL8c/view?usp=drivesdk</v>
      </c>
      <c r="C1610" s="336" t="str">
        <f>IFERROR(__xludf.DUMMYFUNCTION("""COMPUTED_VALUE"""),"10.1038--s41562-024-02062-9.pdf")</f>
        <v>10.1038--s41562-024-02062-9.pdf</v>
      </c>
      <c r="D1610" s="156" t="str">
        <f>IFERROR(__xludf.DUMMYFUNCTION("""COMPUTED_VALUE"""),"application/pdf")</f>
        <v>application/pdf</v>
      </c>
    </row>
    <row r="1611">
      <c r="A1611" s="336" t="str">
        <f>IFERROR(__xludf.DUMMYFUNCTION("""COMPUTED_VALUE"""),"10.1525/collabra.177")</f>
        <v>10.1525/collabra.177</v>
      </c>
      <c r="B1611" s="442" t="str">
        <f>IFERROR(__xludf.DUMMYFUNCTION("""COMPUTED_VALUE"""),"https://drive.google.com/file/d/1SNviYFYkLPApLDE4sxFOX_wRepMI0nnI/view?usp=drivesdk")</f>
        <v>https://drive.google.com/file/d/1SNviYFYkLPApLDE4sxFOX_wRepMI0nnI/view?usp=drivesdk</v>
      </c>
      <c r="C1611" s="336" t="str">
        <f>IFERROR(__xludf.DUMMYFUNCTION("""COMPUTED_VALUE"""),"10.1525--collabra.177.pdf")</f>
        <v>10.1525--collabra.177.pdf</v>
      </c>
      <c r="D1611" s="156" t="str">
        <f>IFERROR(__xludf.DUMMYFUNCTION("""COMPUTED_VALUE"""),"application/pdf")</f>
        <v>application/pdf</v>
      </c>
    </row>
    <row r="1612">
      <c r="A1612" s="336" t="str">
        <f>IFERROR(__xludf.DUMMYFUNCTION("""COMPUTED_VALUE"""),"10.1080/15614263.2023.2185241")</f>
        <v>10.1080/15614263.2023.2185241</v>
      </c>
      <c r="B1612" s="442" t="str">
        <f>IFERROR(__xludf.DUMMYFUNCTION("""COMPUTED_VALUE"""),"https://drive.google.com/file/d/15ZlJQ8dYoTyaoh7HgVjWxbumKbhPC9XU/view?usp=drivesdk")</f>
        <v>https://drive.google.com/file/d/15ZlJQ8dYoTyaoh7HgVjWxbumKbhPC9XU/view?usp=drivesdk</v>
      </c>
      <c r="C1612" s="336" t="str">
        <f>IFERROR(__xludf.DUMMYFUNCTION("""COMPUTED_VALUE"""),"10.1080--15614263.2023.2185241.pdf")</f>
        <v>10.1080--15614263.2023.2185241.pdf</v>
      </c>
      <c r="D1612" s="156" t="str">
        <f>IFERROR(__xludf.DUMMYFUNCTION("""COMPUTED_VALUE"""),"application/pdf")</f>
        <v>application/pdf</v>
      </c>
    </row>
    <row r="1613">
      <c r="A1613" s="336" t="str">
        <f>IFERROR(__xludf.DUMMYFUNCTION("""COMPUTED_VALUE"""),"pashler_2011")</f>
        <v>pashler_2011</v>
      </c>
      <c r="B1613" s="442" t="str">
        <f>IFERROR(__xludf.DUMMYFUNCTION("""COMPUTED_VALUE"""),"https://drive.google.com/file/d/1i2aa1erQ9i9knP8Z5bgGiSt6DXX7U7Fa/view?usp=drivesdk")</f>
        <v>https://drive.google.com/file/d/1i2aa1erQ9i9knP8Z5bgGiSt6DXX7U7Fa/view?usp=drivesdk</v>
      </c>
      <c r="C1613" s="336" t="str">
        <f>IFERROR(__xludf.DUMMYFUNCTION("""COMPUTED_VALUE"""),"pashler_2011.pdf")</f>
        <v>pashler_2011.pdf</v>
      </c>
      <c r="D1613" s="156" t="str">
        <f>IFERROR(__xludf.DUMMYFUNCTION("""COMPUTED_VALUE"""),"application/pdf")</f>
        <v>application/pdf</v>
      </c>
    </row>
    <row r="1614">
      <c r="A1614" s="336" t="str">
        <f>IFERROR(__xludf.DUMMYFUNCTION("""COMPUTED_VALUE"""),"10.1037/0022-3514.90.6.893")</f>
        <v>10.1037/0022-3514.90.6.893</v>
      </c>
      <c r="B1614" s="442" t="str">
        <f>IFERROR(__xludf.DUMMYFUNCTION("""COMPUTED_VALUE"""),"https://drive.google.com/file/d/1TGcGbqDcsz1Kyb3oCU4EoWJQ9dp-E7q6/view?usp=drivesdk")</f>
        <v>https://drive.google.com/file/d/1TGcGbqDcsz1Kyb3oCU4EoWJQ9dp-E7q6/view?usp=drivesdk</v>
      </c>
      <c r="C1614" s="336" t="str">
        <f>IFERROR(__xludf.DUMMYFUNCTION("""COMPUTED_VALUE"""),"10.1037--0022-3514.90.6.893.pdf")</f>
        <v>10.1037--0022-3514.90.6.893.pdf</v>
      </c>
      <c r="D1614" s="156" t="str">
        <f>IFERROR(__xludf.DUMMYFUNCTION("""COMPUTED_VALUE"""),"application/pdf")</f>
        <v>application/pdf</v>
      </c>
    </row>
    <row r="1615">
      <c r="A1615" s="336" t="str">
        <f>IFERROR(__xludf.DUMMYFUNCTION("""COMPUTED_VALUE"""),"murtagh_2004")</f>
        <v>murtagh_2004</v>
      </c>
      <c r="B1615" s="442" t="str">
        <f>IFERROR(__xludf.DUMMYFUNCTION("""COMPUTED_VALUE"""),"https://drive.google.com/file/d/1y0uavGuuD3FfKExlt9hI-j32m6j_RxXx/view?usp=drivesdk")</f>
        <v>https://drive.google.com/file/d/1y0uavGuuD3FfKExlt9hI-j32m6j_RxXx/view?usp=drivesdk</v>
      </c>
      <c r="C1615" s="336" t="str">
        <f>IFERROR(__xludf.DUMMYFUNCTION("""COMPUTED_VALUE"""),"murtagh_2004.pdf")</f>
        <v>murtagh_2004.pdf</v>
      </c>
      <c r="D1615" s="156" t="str">
        <f>IFERROR(__xludf.DUMMYFUNCTION("""COMPUTED_VALUE"""),"application/pdf")</f>
        <v>application/pdf</v>
      </c>
    </row>
    <row r="1616">
      <c r="A1616" s="336" t="str">
        <f>IFERROR(__xludf.DUMMYFUNCTION("""COMPUTED_VALUE"""),"10.1177/0956797617719730")</f>
        <v>10.1177/0956797617719730</v>
      </c>
      <c r="B1616" s="442" t="str">
        <f>IFERROR(__xludf.DUMMYFUNCTION("""COMPUTED_VALUE"""),"https://drive.google.com/file/d/1_tN97pqKnfamGcztRzQHZ9UG0A8Hag_0/view?usp=drivesdk")</f>
        <v>https://drive.google.com/file/d/1_tN97pqKnfamGcztRzQHZ9UG0A8Hag_0/view?usp=drivesdk</v>
      </c>
      <c r="C1616" s="336" t="str">
        <f>IFERROR(__xludf.DUMMYFUNCTION("""COMPUTED_VALUE"""),"10.1177--0956797617719730.pdf")</f>
        <v>10.1177--0956797617719730.pdf</v>
      </c>
      <c r="D1616" s="156" t="str">
        <f>IFERROR(__xludf.DUMMYFUNCTION("""COMPUTED_VALUE"""),"application/pdf")</f>
        <v>application/pdf</v>
      </c>
    </row>
    <row r="1617">
      <c r="A1617" s="336" t="str">
        <f>IFERROR(__xludf.DUMMYFUNCTION("""COMPUTED_VALUE"""),"vonpruski_2024")</f>
        <v>vonpruski_2024</v>
      </c>
      <c r="B1617" s="442" t="str">
        <f>IFERROR(__xludf.DUMMYFUNCTION("""COMPUTED_VALUE"""),"https://drive.google.com/file/d/1QDSkRCnuunpKbwNck3pYI8NlktZFtjZd/view?usp=drivesdk")</f>
        <v>https://drive.google.com/file/d/1QDSkRCnuunpKbwNck3pYI8NlktZFtjZd/view?usp=drivesdk</v>
      </c>
      <c r="C1617" s="336" t="str">
        <f>IFERROR(__xludf.DUMMYFUNCTION("""COMPUTED_VALUE"""),"vonpruski_2024.pdf")</f>
        <v>vonpruski_2024.pdf</v>
      </c>
      <c r="D1617" s="156" t="str">
        <f>IFERROR(__xludf.DUMMYFUNCTION("""COMPUTED_VALUE"""),"application/pdf")</f>
        <v>application/pdf</v>
      </c>
    </row>
    <row r="1618">
      <c r="A1618" s="336" t="str">
        <f>IFERROR(__xludf.DUMMYFUNCTION("""COMPUTED_VALUE"""),"10.1080/15614263.2022.2102494")</f>
        <v>10.1080/15614263.2022.2102494</v>
      </c>
      <c r="B1618" s="442" t="str">
        <f>IFERROR(__xludf.DUMMYFUNCTION("""COMPUTED_VALUE"""),"https://drive.google.com/file/d/1fq5OO2numDQgQa5kWKk3UimuJGG6cyLq/view?usp=drivesdk")</f>
        <v>https://drive.google.com/file/d/1fq5OO2numDQgQa5kWKk3UimuJGG6cyLq/view?usp=drivesdk</v>
      </c>
      <c r="C1618" s="336" t="str">
        <f>IFERROR(__xludf.DUMMYFUNCTION("""COMPUTED_VALUE"""),"10.1080--15614263.2022.2102494.pdf")</f>
        <v>10.1080--15614263.2022.2102494.pdf</v>
      </c>
      <c r="D1618" s="156" t="str">
        <f>IFERROR(__xludf.DUMMYFUNCTION("""COMPUTED_VALUE"""),"application/pdf")</f>
        <v>application/pdf</v>
      </c>
    </row>
    <row r="1619">
      <c r="A1619" s="336" t="str">
        <f>IFERROR(__xludf.DUMMYFUNCTION("""COMPUTED_VALUE"""),"10.1371/journal.pone.0292576")</f>
        <v>10.1371/journal.pone.0292576</v>
      </c>
      <c r="B1619" s="442" t="str">
        <f>IFERROR(__xludf.DUMMYFUNCTION("""COMPUTED_VALUE"""),"https://drive.google.com/file/d/1ldrzAt88fRJBOsSbplqW2NG4M3-xxKlP/view?usp=drivesdk")</f>
        <v>https://drive.google.com/file/d/1ldrzAt88fRJBOsSbplqW2NG4M3-xxKlP/view?usp=drivesdk</v>
      </c>
      <c r="C1619" s="336" t="str">
        <f>IFERROR(__xludf.DUMMYFUNCTION("""COMPUTED_VALUE"""),"10.1371--journal.pone.0292576.pdf")</f>
        <v>10.1371--journal.pone.0292576.pdf</v>
      </c>
      <c r="D1619" s="156" t="str">
        <f>IFERROR(__xludf.DUMMYFUNCTION("""COMPUTED_VALUE"""),"application/pdf")</f>
        <v>application/pdf</v>
      </c>
    </row>
    <row r="1620">
      <c r="A1620" s="336" t="str">
        <f>IFERROR(__xludf.DUMMYFUNCTION("""COMPUTED_VALUE"""),"10.1038/s41598-024-63724-2")</f>
        <v>10.1038/s41598-024-63724-2</v>
      </c>
      <c r="B1620" s="442" t="str">
        <f>IFERROR(__xludf.DUMMYFUNCTION("""COMPUTED_VALUE"""),"https://drive.google.com/file/d/10CU4FiXsOc216jLudNBinSLadjKnYzKg/view?usp=drivesdk")</f>
        <v>https://drive.google.com/file/d/10CU4FiXsOc216jLudNBinSLadjKnYzKg/view?usp=drivesdk</v>
      </c>
      <c r="C1620" s="336" t="str">
        <f>IFERROR(__xludf.DUMMYFUNCTION("""COMPUTED_VALUE"""),"10.1038--s41598-024-63724-2.pdf")</f>
        <v>10.1038--s41598-024-63724-2.pdf</v>
      </c>
      <c r="D1620" s="156" t="str">
        <f>IFERROR(__xludf.DUMMYFUNCTION("""COMPUTED_VALUE"""),"application/pdf")</f>
        <v>application/pdf</v>
      </c>
    </row>
    <row r="1621">
      <c r="A1621" s="336" t="str">
        <f>IFERROR(__xludf.DUMMYFUNCTION("""COMPUTED_VALUE"""),"patt_2024")</f>
        <v>patt_2024</v>
      </c>
      <c r="B1621" s="442" t="str">
        <f>IFERROR(__xludf.DUMMYFUNCTION("""COMPUTED_VALUE"""),"https://drive.google.com/file/d/1ThlzA-VvGBDO4Se-yoayt4Mn-HEfjYUo/view?usp=drivesdk")</f>
        <v>https://drive.google.com/file/d/1ThlzA-VvGBDO4Se-yoayt4Mn-HEfjYUo/view?usp=drivesdk</v>
      </c>
      <c r="C1621" s="336" t="str">
        <f>IFERROR(__xludf.DUMMYFUNCTION("""COMPUTED_VALUE"""),"patt_2024.pdf")</f>
        <v>patt_2024.pdf</v>
      </c>
      <c r="D1621" s="156" t="str">
        <f>IFERROR(__xludf.DUMMYFUNCTION("""COMPUTED_VALUE"""),"application/pdf")</f>
        <v>application/pdf</v>
      </c>
    </row>
    <row r="1622">
      <c r="A1622" s="336" t="str">
        <f>IFERROR(__xludf.DUMMYFUNCTION("""COMPUTED_VALUE"""),"10.1177/19485506241257971")</f>
        <v>10.1177/19485506241257971</v>
      </c>
      <c r="B1622" s="442" t="str">
        <f>IFERROR(__xludf.DUMMYFUNCTION("""COMPUTED_VALUE"""),"https://drive.google.com/file/d/1xNvXepqsFVWYkeFXaOCdP5f6pkQO7e5j/view?usp=drivesdk")</f>
        <v>https://drive.google.com/file/d/1xNvXepqsFVWYkeFXaOCdP5f6pkQO7e5j/view?usp=drivesdk</v>
      </c>
      <c r="C1622" s="336" t="str">
        <f>IFERROR(__xludf.DUMMYFUNCTION("""COMPUTED_VALUE"""),"10.1177--19485506241257971.pdf")</f>
        <v>10.1177--19485506241257971.pdf</v>
      </c>
      <c r="D1622" s="156" t="str">
        <f>IFERROR(__xludf.DUMMYFUNCTION("""COMPUTED_VALUE"""),"application/pdf")</f>
        <v>application/pdf</v>
      </c>
    </row>
    <row r="1623">
      <c r="A1623" s="336" t="str">
        <f>IFERROR(__xludf.DUMMYFUNCTION("""COMPUTED_VALUE"""),"10.1016/j.eatbeh.2024.101899")</f>
        <v>10.1016/j.eatbeh.2024.101899</v>
      </c>
      <c r="B1623" s="442" t="str">
        <f>IFERROR(__xludf.DUMMYFUNCTION("""COMPUTED_VALUE"""),"https://drive.google.com/file/d/1WGY3X69XpAQRsdLRgO8nrxWGp5CpwgZF/view?usp=drivesdk")</f>
        <v>https://drive.google.com/file/d/1WGY3X69XpAQRsdLRgO8nrxWGp5CpwgZF/view?usp=drivesdk</v>
      </c>
      <c r="C1623" s="336" t="str">
        <f>IFERROR(__xludf.DUMMYFUNCTION("""COMPUTED_VALUE"""),"10.1016--j.eatbeh.2024.101899.pdf")</f>
        <v>10.1016--j.eatbeh.2024.101899.pdf</v>
      </c>
      <c r="D1623" s="156" t="str">
        <f>IFERROR(__xludf.DUMMYFUNCTION("""COMPUTED_VALUE"""),"application/pdf")</f>
        <v>application/pdf</v>
      </c>
    </row>
    <row r="1624">
      <c r="A1624" s="336" t="str">
        <f>IFERROR(__xludf.DUMMYFUNCTION("""COMPUTED_VALUE"""),"10.1016/j.jrp.2024.104511")</f>
        <v>10.1016/j.jrp.2024.104511</v>
      </c>
      <c r="B1624" s="442" t="str">
        <f>IFERROR(__xludf.DUMMYFUNCTION("""COMPUTED_VALUE"""),"https://drive.google.com/file/d/1_wLROYuywRItyX2cFnsLf0N4QfaR5Z8L/view?usp=drivesdk")</f>
        <v>https://drive.google.com/file/d/1_wLROYuywRItyX2cFnsLf0N4QfaR5Z8L/view?usp=drivesdk</v>
      </c>
      <c r="C1624" s="336" t="str">
        <f>IFERROR(__xludf.DUMMYFUNCTION("""COMPUTED_VALUE"""),"10.1016--j.jrp.2024.104511.pdf")</f>
        <v>10.1016--j.jrp.2024.104511.pdf</v>
      </c>
      <c r="D1624" s="156" t="str">
        <f>IFERROR(__xludf.DUMMYFUNCTION("""COMPUTED_VALUE"""),"application/pdf")</f>
        <v>application/pdf</v>
      </c>
    </row>
    <row r="1625">
      <c r="A1625" s="336" t="str">
        <f>IFERROR(__xludf.DUMMYFUNCTION("""COMPUTED_VALUE"""),"10.1016/j.appet.2023.106554")</f>
        <v>10.1016/j.appet.2023.106554</v>
      </c>
      <c r="B1625" s="442" t="str">
        <f>IFERROR(__xludf.DUMMYFUNCTION("""COMPUTED_VALUE"""),"https://drive.google.com/file/d/16j_GiBODVfACftG20Niq4aIRC_kU8qsZ/view?usp=drivesdk")</f>
        <v>https://drive.google.com/file/d/16j_GiBODVfACftG20Niq4aIRC_kU8qsZ/view?usp=drivesdk</v>
      </c>
      <c r="C1625" s="336" t="str">
        <f>IFERROR(__xludf.DUMMYFUNCTION("""COMPUTED_VALUE"""),"10.1016--j.appet.2023.106554.pdf")</f>
        <v>10.1016--j.appet.2023.106554.pdf</v>
      </c>
      <c r="D1625" s="156" t="str">
        <f>IFERROR(__xludf.DUMMYFUNCTION("""COMPUTED_VALUE"""),"application/pdf")</f>
        <v>application/pdf</v>
      </c>
    </row>
    <row r="1626">
      <c r="A1626" s="336" t="str">
        <f>IFERROR(__xludf.DUMMYFUNCTION("""COMPUTED_VALUE"""),"10.1007/s40732-024-00601-4.pdf")</f>
        <v>10.1007/s40732-024-00601-4.pdf</v>
      </c>
      <c r="B1626" s="442" t="str">
        <f>IFERROR(__xludf.DUMMYFUNCTION("""COMPUTED_VALUE"""),"https://drive.google.com/file/d/1AxhabG9V7_RjgC05iqRfwY_LBYsC-1Lv/view?usp=drivesdk")</f>
        <v>https://drive.google.com/file/d/1AxhabG9V7_RjgC05iqRfwY_LBYsC-1Lv/view?usp=drivesdk</v>
      </c>
      <c r="C1626" s="336" t="str">
        <f>IFERROR(__xludf.DUMMYFUNCTION("""COMPUTED_VALUE"""),"10.1007--s40732-024-00601-4.PDF")</f>
        <v>10.1007--s40732-024-00601-4.PDF</v>
      </c>
      <c r="D1626" s="156" t="str">
        <f>IFERROR(__xludf.DUMMYFUNCTION("""COMPUTED_VALUE"""),"application/pdf")</f>
        <v>application/pdf</v>
      </c>
    </row>
    <row r="1627">
      <c r="A1627" s="336" t="str">
        <f>IFERROR(__xludf.DUMMYFUNCTION("""COMPUTED_VALUE"""),"10.1007/s40732-024-00597-x")</f>
        <v>10.1007/s40732-024-00597-x</v>
      </c>
      <c r="B1627" s="442" t="str">
        <f>IFERROR(__xludf.DUMMYFUNCTION("""COMPUTED_VALUE"""),"https://drive.google.com/file/d/1BuhIf3isP0KQXBW8CveCqOhEBWMkWgvl/view?usp=drivesdk")</f>
        <v>https://drive.google.com/file/d/1BuhIf3isP0KQXBW8CveCqOhEBWMkWgvl/view?usp=drivesdk</v>
      </c>
      <c r="C1627" s="336" t="str">
        <f>IFERROR(__xludf.DUMMYFUNCTION("""COMPUTED_VALUE"""),"10.1007--s40732-024-00597-x.pdf")</f>
        <v>10.1007--s40732-024-00597-x.pdf</v>
      </c>
      <c r="D1627" s="156" t="str">
        <f>IFERROR(__xludf.DUMMYFUNCTION("""COMPUTED_VALUE"""),"application/pdf")</f>
        <v>application/pdf</v>
      </c>
    </row>
    <row r="1628">
      <c r="A1628" s="336" t="str">
        <f>IFERROR(__xludf.DUMMYFUNCTION("""COMPUTED_VALUE"""),"10.1016/j.jesp.2024.104619")</f>
        <v>10.1016/j.jesp.2024.104619</v>
      </c>
      <c r="B1628" s="442" t="str">
        <f>IFERROR(__xludf.DUMMYFUNCTION("""COMPUTED_VALUE"""),"https://drive.google.com/file/d/1CclKKmhEg4wBmEAHmGyg_rBfw2qqAy8s/view?usp=drivesdk")</f>
        <v>https://drive.google.com/file/d/1CclKKmhEg4wBmEAHmGyg_rBfw2qqAy8s/view?usp=drivesdk</v>
      </c>
      <c r="C1628" s="336" t="str">
        <f>IFERROR(__xludf.DUMMYFUNCTION("""COMPUTED_VALUE"""),"10.1016--j.jesp.2024.104619.pdf")</f>
        <v>10.1016--j.jesp.2024.104619.pdf</v>
      </c>
      <c r="D1628" s="156" t="str">
        <f>IFERROR(__xludf.DUMMYFUNCTION("""COMPUTED_VALUE"""),"application/pdf")</f>
        <v>application/pdf</v>
      </c>
    </row>
    <row r="1629">
      <c r="A1629" s="336" t="str">
        <f>IFERROR(__xludf.DUMMYFUNCTION("""COMPUTED_VALUE"""),"10.1016/j.xjmad.2024.100075")</f>
        <v>10.1016/j.xjmad.2024.100075</v>
      </c>
      <c r="B1629" s="442" t="str">
        <f>IFERROR(__xludf.DUMMYFUNCTION("""COMPUTED_VALUE"""),"https://drive.google.com/file/d/1VUyjspRteJ5gkjs-fbYxT0CLPJf7x2H-/view?usp=drivesdk")</f>
        <v>https://drive.google.com/file/d/1VUyjspRteJ5gkjs-fbYxT0CLPJf7x2H-/view?usp=drivesdk</v>
      </c>
      <c r="C1629" s="336" t="str">
        <f>IFERROR(__xludf.DUMMYFUNCTION("""COMPUTED_VALUE"""),"10.1016--j.xjmad.2024.100075.pdf")</f>
        <v>10.1016--j.xjmad.2024.100075.pdf</v>
      </c>
      <c r="D1629" s="156" t="str">
        <f>IFERROR(__xludf.DUMMYFUNCTION("""COMPUTED_VALUE"""),"application/pdf")</f>
        <v>application/pdf</v>
      </c>
    </row>
    <row r="1630">
      <c r="A1630" s="336" t="str">
        <f>IFERROR(__xludf.DUMMYFUNCTION("""COMPUTED_VALUE"""),"bischoff_ma_bms")</f>
        <v>bischoff_ma_bms</v>
      </c>
      <c r="B1630" s="442" t="str">
        <f>IFERROR(__xludf.DUMMYFUNCTION("""COMPUTED_VALUE"""),"https://drive.google.com/file/d/11I9BYw-LgWPOfVM-roaK7IeDdor9cI5n/view?usp=drivesdk")</f>
        <v>https://drive.google.com/file/d/11I9BYw-LgWPOfVM-roaK7IeDdor9cI5n/view?usp=drivesdk</v>
      </c>
      <c r="C1630" s="336" t="str">
        <f>IFERROR(__xludf.DUMMYFUNCTION("""COMPUTED_VALUE"""),"Bischoff_MA_BMS.pdf")</f>
        <v>Bischoff_MA_BMS.pdf</v>
      </c>
      <c r="D1630" s="156" t="str">
        <f>IFERROR(__xludf.DUMMYFUNCTION("""COMPUTED_VALUE"""),"application/pdf")</f>
        <v>application/pdf</v>
      </c>
    </row>
    <row r="1631">
      <c r="A1631" s="336" t="str">
        <f>IFERROR(__xludf.DUMMYFUNCTION("""COMPUTED_VALUE"""),"10.31234/osf.io/esu9z")</f>
        <v>10.31234/osf.io/esu9z</v>
      </c>
      <c r="B1631" s="442" t="str">
        <f>IFERROR(__xludf.DUMMYFUNCTION("""COMPUTED_VALUE"""),"https://drive.google.com/file/d/1dsS2Zz_SrKiR1Wr9BLFEXM-_iHqMxxPd/view?usp=drivesdk")</f>
        <v>https://drive.google.com/file/d/1dsS2Zz_SrKiR1Wr9BLFEXM-_iHqMxxPd/view?usp=drivesdk</v>
      </c>
      <c r="C1631" s="336" t="str">
        <f>IFERROR(__xludf.DUMMYFUNCTION("""COMPUTED_VALUE"""),"10.31234--osf.io--esu9z.pdf")</f>
        <v>10.31234--osf.io--esu9z.pdf</v>
      </c>
      <c r="D1631" s="156" t="str">
        <f>IFERROR(__xludf.DUMMYFUNCTION("""COMPUTED_VALUE"""),"application/pdf")</f>
        <v>application/pdf</v>
      </c>
    </row>
    <row r="1632">
      <c r="A1632" s="336" t="str">
        <f>IFERROR(__xludf.DUMMYFUNCTION("""COMPUTED_VALUE"""),"10.1016/j.jmathb.2024.101174")</f>
        <v>10.1016/j.jmathb.2024.101174</v>
      </c>
      <c r="B1632" s="442" t="str">
        <f>IFERROR(__xludf.DUMMYFUNCTION("""COMPUTED_VALUE"""),"https://drive.google.com/file/d/1BxRopi0OntYhPQcXKMEC5xqZoDEptVYd/view?usp=drivesdk")</f>
        <v>https://drive.google.com/file/d/1BxRopi0OntYhPQcXKMEC5xqZoDEptVYd/view?usp=drivesdk</v>
      </c>
      <c r="C1632" s="336" t="str">
        <f>IFERROR(__xludf.DUMMYFUNCTION("""COMPUTED_VALUE"""),"10.1016--j.jmathb.2024.101174.pdf")</f>
        <v>10.1016--j.jmathb.2024.101174.pdf</v>
      </c>
      <c r="D1632" s="156" t="str">
        <f>IFERROR(__xludf.DUMMYFUNCTION("""COMPUTED_VALUE"""),"application/pdf")</f>
        <v>application/pdf</v>
      </c>
    </row>
    <row r="1633">
      <c r="A1633" s="336" t="str">
        <f>IFERROR(__xludf.DUMMYFUNCTION("""COMPUTED_VALUE"""),"10.17605/osf.io/b25tr")</f>
        <v>10.17605/osf.io/b25tr</v>
      </c>
      <c r="B1633" s="442" t="str">
        <f>IFERROR(__xludf.DUMMYFUNCTION("""COMPUTED_VALUE"""),"https://drive.google.com/file/d/1Z88YOxFUdjB_N8RWvlHzVruajODQTnic/view?usp=drivesdk")</f>
        <v>https://drive.google.com/file/d/1Z88YOxFUdjB_N8RWvlHzVruajODQTnic/view?usp=drivesdk</v>
      </c>
      <c r="C1633" s="336" t="str">
        <f>IFERROR(__xludf.DUMMYFUNCTION("""COMPUTED_VALUE"""),"10.17605--osf.io--b25tr.pdf")</f>
        <v>10.17605--osf.io--b25tr.pdf</v>
      </c>
      <c r="D1633" s="156" t="str">
        <f>IFERROR(__xludf.DUMMYFUNCTION("""COMPUTED_VALUE"""),"application/pdf")</f>
        <v>application/pdf</v>
      </c>
    </row>
    <row r="1634">
      <c r="A1634" s="336" t="str">
        <f>IFERROR(__xludf.DUMMYFUNCTION("""COMPUTED_VALUE"""),"10.1037/xap0000366")</f>
        <v>10.1037/xap0000366</v>
      </c>
      <c r="B1634" s="442" t="str">
        <f>IFERROR(__xludf.DUMMYFUNCTION("""COMPUTED_VALUE"""),"https://drive.google.com/file/d/1SZWqK44IKYVvgeBO_YR6iREgVqKc9hl7/view?usp=drivesdk")</f>
        <v>https://drive.google.com/file/d/1SZWqK44IKYVvgeBO_YR6iREgVqKc9hl7/view?usp=drivesdk</v>
      </c>
      <c r="C1634" s="336" t="str">
        <f>IFERROR(__xludf.DUMMYFUNCTION("""COMPUTED_VALUE"""),"10.1037--xap0000366.pdf")</f>
        <v>10.1037--xap0000366.pdf</v>
      </c>
      <c r="D1634" s="156" t="str">
        <f>IFERROR(__xludf.DUMMYFUNCTION("""COMPUTED_VALUE"""),"application/pdf")</f>
        <v>application/pdf</v>
      </c>
    </row>
    <row r="1635">
      <c r="A1635" s="336" t="str">
        <f>IFERROR(__xludf.DUMMYFUNCTION("""COMPUTED_VALUE"""),"10.1037/xap0000321")</f>
        <v>10.1037/xap0000321</v>
      </c>
      <c r="B1635" s="442" t="str">
        <f>IFERROR(__xludf.DUMMYFUNCTION("""COMPUTED_VALUE"""),"https://drive.google.com/file/d/13DjN87PTnd1gRVtF4FDN_PrjD6syLFtl/view?usp=drivesdk")</f>
        <v>https://drive.google.com/file/d/13DjN87PTnd1gRVtF4FDN_PrjD6syLFtl/view?usp=drivesdk</v>
      </c>
      <c r="C1635" s="336" t="str">
        <f>IFERROR(__xludf.DUMMYFUNCTION("""COMPUTED_VALUE"""),"10.1037--xap0000321.pdf")</f>
        <v>10.1037--xap0000321.pdf</v>
      </c>
      <c r="D1635" s="156" t="str">
        <f>IFERROR(__xludf.DUMMYFUNCTION("""COMPUTED_VALUE"""),"application/pdf")</f>
        <v>application/pdf</v>
      </c>
    </row>
    <row r="1636">
      <c r="A1636" s="336" t="str">
        <f>IFERROR(__xludf.DUMMYFUNCTION("""COMPUTED_VALUE"""),"10.1016/j.bbr.2024.115096")</f>
        <v>10.1016/j.bbr.2024.115096</v>
      </c>
      <c r="B1636" s="442" t="str">
        <f>IFERROR(__xludf.DUMMYFUNCTION("""COMPUTED_VALUE"""),"https://drive.google.com/file/d/1mK6ddl6CbjItWRFtU_KkouJP0UM3gV-6/view?usp=drivesdk")</f>
        <v>https://drive.google.com/file/d/1mK6ddl6CbjItWRFtU_KkouJP0UM3gV-6/view?usp=drivesdk</v>
      </c>
      <c r="C1636" s="336" t="str">
        <f>IFERROR(__xludf.DUMMYFUNCTION("""COMPUTED_VALUE"""),"10.1016--j.bbr.2024.115096.pdf")</f>
        <v>10.1016--j.bbr.2024.115096.pdf</v>
      </c>
      <c r="D1636" s="156" t="str">
        <f>IFERROR(__xludf.DUMMYFUNCTION("""COMPUTED_VALUE"""),"application/pdf")</f>
        <v>application/pdf</v>
      </c>
    </row>
    <row r="1637">
      <c r="A1637" s="336" t="str">
        <f>IFERROR(__xludf.DUMMYFUNCTION("""COMPUTED_VALUE"""),"10.5281/zenodo.6426882")</f>
        <v>10.5281/zenodo.6426882</v>
      </c>
      <c r="B1637" s="442" t="str">
        <f>IFERROR(__xludf.DUMMYFUNCTION("""COMPUTED_VALUE"""),"https://drive.google.com/file/d/1jvhXrkXP500Hc10PhmlgwF_pIcWK0diq/view?usp=drivesdk")</f>
        <v>https://drive.google.com/file/d/1jvhXrkXP500Hc10PhmlgwF_pIcWK0diq/view?usp=drivesdk</v>
      </c>
      <c r="C1637" s="336" t="str">
        <f>IFERROR(__xludf.DUMMYFUNCTION("""COMPUTED_VALUE"""),"10.5281--zenodo.6426882.pdf")</f>
        <v>10.5281--zenodo.6426882.pdf</v>
      </c>
      <c r="D1637" s="156" t="str">
        <f>IFERROR(__xludf.DUMMYFUNCTION("""COMPUTED_VALUE"""),"application/pdf")</f>
        <v>application/pdf</v>
      </c>
    </row>
    <row r="1638">
      <c r="A1638" s="336" t="str">
        <f>IFERROR(__xludf.DUMMYFUNCTION("""COMPUTED_VALUE"""),"qt8p5673qn")</f>
        <v>qt8p5673qn</v>
      </c>
      <c r="B1638" s="442" t="str">
        <f>IFERROR(__xludf.DUMMYFUNCTION("""COMPUTED_VALUE"""),"https://drive.google.com/file/d/1cCkHaNWOPS3ds7SCRQ2FwENlloP5Ay-l/view?usp=drivesdk")</f>
        <v>https://drive.google.com/file/d/1cCkHaNWOPS3ds7SCRQ2FwENlloP5Ay-l/view?usp=drivesdk</v>
      </c>
      <c r="C1638" s="336" t="str">
        <f>IFERROR(__xludf.DUMMYFUNCTION("""COMPUTED_VALUE"""),"qt8p5673qn.pdf")</f>
        <v>qt8p5673qn.pdf</v>
      </c>
      <c r="D1638" s="156" t="str">
        <f>IFERROR(__xludf.DUMMYFUNCTION("""COMPUTED_VALUE"""),"application/pdf")</f>
        <v>application/pdf</v>
      </c>
    </row>
    <row r="1639">
      <c r="A1639" s="336" t="str">
        <f>IFERROR(__xludf.DUMMYFUNCTION("""COMPUTED_VALUE"""),"kontkanen_jaakko_thesis_2024")</f>
        <v>kontkanen_jaakko_thesis_2024</v>
      </c>
      <c r="B1639" s="442" t="str">
        <f>IFERROR(__xludf.DUMMYFUNCTION("""COMPUTED_VALUE"""),"https://drive.google.com/file/d/1AUxxuZsTugos0bfw5gX9jMDqt7bWDrfc/view?usp=drivesdk")</f>
        <v>https://drive.google.com/file/d/1AUxxuZsTugos0bfw5gX9jMDqt7bWDrfc/view?usp=drivesdk</v>
      </c>
      <c r="C1639" s="336" t="str">
        <f>IFERROR(__xludf.DUMMYFUNCTION("""COMPUTED_VALUE"""),"Kontkanen_Jaakko_thesis_2024.pdf")</f>
        <v>Kontkanen_Jaakko_thesis_2024.pdf</v>
      </c>
      <c r="D1639" s="156" t="str">
        <f>IFERROR(__xludf.DUMMYFUNCTION("""COMPUTED_VALUE"""),"application/pdf")</f>
        <v>application/pdf</v>
      </c>
    </row>
    <row r="1640">
      <c r="A1640" s="336" t="str">
        <f>IFERROR(__xludf.DUMMYFUNCTION("""COMPUTED_VALUE"""),"10.1017/s0272263124000378")</f>
        <v>10.1017/s0272263124000378</v>
      </c>
      <c r="B1640" s="442" t="str">
        <f>IFERROR(__xludf.DUMMYFUNCTION("""COMPUTED_VALUE"""),"https://drive.google.com/file/d/19bZUP_N4YxLTtw7Y4tZumU1mxVv8t29B/view?usp=drivesdk")</f>
        <v>https://drive.google.com/file/d/19bZUP_N4YxLTtw7Y4tZumU1mxVv8t29B/view?usp=drivesdk</v>
      </c>
      <c r="C1640" s="336" t="str">
        <f>IFERROR(__xludf.DUMMYFUNCTION("""COMPUTED_VALUE"""),"10.1017--s0272263124000378.pdf")</f>
        <v>10.1017--s0272263124000378.pdf</v>
      </c>
      <c r="D1640" s="156" t="str">
        <f>IFERROR(__xludf.DUMMYFUNCTION("""COMPUTED_VALUE"""),"application/pdf")</f>
        <v>application/pdf</v>
      </c>
    </row>
    <row r="1641">
      <c r="A1641" s="336" t="str">
        <f>IFERROR(__xludf.DUMMYFUNCTION("""COMPUTED_VALUE"""),"10.18718/81781.34")</f>
        <v>10.18718/81781.34</v>
      </c>
      <c r="B1641" s="442" t="str">
        <f>IFERROR(__xludf.DUMMYFUNCTION("""COMPUTED_VALUE"""),"https://drive.google.com/file/d/1Y24HtovNy5BwKos6_FsV4A_pE93bEfUv/view?usp=drivesdk")</f>
        <v>https://drive.google.com/file/d/1Y24HtovNy5BwKos6_FsV4A_pE93bEfUv/view?usp=drivesdk</v>
      </c>
      <c r="C1641" s="336" t="str">
        <f>IFERROR(__xludf.DUMMYFUNCTION("""COMPUTED_VALUE"""),"10.18718--81781.34.pdf")</f>
        <v>10.18718--81781.34.pdf</v>
      </c>
      <c r="D1641" s="156" t="str">
        <f>IFERROR(__xludf.DUMMYFUNCTION("""COMPUTED_VALUE"""),"application/pdf")</f>
        <v>application/pdf</v>
      </c>
    </row>
    <row r="1642">
      <c r="A1642" s="336" t="str">
        <f>IFERROR(__xludf.DUMMYFUNCTION("""COMPUTED_VALUE"""),"10.31234/osf.io/cf4xz")</f>
        <v>10.31234/osf.io/cf4xz</v>
      </c>
      <c r="B1642" s="442" t="str">
        <f>IFERROR(__xludf.DUMMYFUNCTION("""COMPUTED_VALUE"""),"https://drive.google.com/file/d/1Tsg1BvUDYPZ40L5izJMMYH7m3hZ-Z2QJ/view?usp=drivesdk")</f>
        <v>https://drive.google.com/file/d/1Tsg1BvUDYPZ40L5izJMMYH7m3hZ-Z2QJ/view?usp=drivesdk</v>
      </c>
      <c r="C1642" s="336" t="str">
        <f>IFERROR(__xludf.DUMMYFUNCTION("""COMPUTED_VALUE"""),"10.31234--osf.io--cf4xz.pdf")</f>
        <v>10.31234--osf.io--cf4xz.pdf</v>
      </c>
      <c r="D1642" s="156" t="str">
        <f>IFERROR(__xludf.DUMMYFUNCTION("""COMPUTED_VALUE"""),"application/pdf")</f>
        <v>application/pdf</v>
      </c>
    </row>
    <row r="1643">
      <c r="A1643" s="336" t="str">
        <f>IFERROR(__xludf.DUMMYFUNCTION("""COMPUTED_VALUE"""),"2024.lrec-main.91")</f>
        <v>2024.lrec-main.91</v>
      </c>
      <c r="B1643" s="442" t="str">
        <f>IFERROR(__xludf.DUMMYFUNCTION("""COMPUTED_VALUE"""),"https://drive.google.com/file/d/1NIjwBw1HSQxLQI9DGPXfoBeD-8Wnntz5/view?usp=drivesdk")</f>
        <v>https://drive.google.com/file/d/1NIjwBw1HSQxLQI9DGPXfoBeD-8Wnntz5/view?usp=drivesdk</v>
      </c>
      <c r="C1643" s="336" t="str">
        <f>IFERROR(__xludf.DUMMYFUNCTION("""COMPUTED_VALUE"""),"2024.lrec-main.91.pdf")</f>
        <v>2024.lrec-main.91.pdf</v>
      </c>
      <c r="D1643" s="156" t="str">
        <f>IFERROR(__xludf.DUMMYFUNCTION("""COMPUTED_VALUE"""),"application/pdf")</f>
        <v>application/pdf</v>
      </c>
    </row>
    <row r="1644">
      <c r="A1644" s="336" t="str">
        <f>IFERROR(__xludf.DUMMYFUNCTION("""COMPUTED_VALUE"""),"10.31234/osf.io/68jft")</f>
        <v>10.31234/osf.io/68jft</v>
      </c>
      <c r="B1644" s="442" t="str">
        <f>IFERROR(__xludf.DUMMYFUNCTION("""COMPUTED_VALUE"""),"https://drive.google.com/file/d/1TqbYPD6TfJF6VjNMngYfnoD5Y8nHUi0O/view?usp=drivesdk")</f>
        <v>https://drive.google.com/file/d/1TqbYPD6TfJF6VjNMngYfnoD5Y8nHUi0O/view?usp=drivesdk</v>
      </c>
      <c r="C1644" s="336" t="str">
        <f>IFERROR(__xludf.DUMMYFUNCTION("""COMPUTED_VALUE"""),"10.31234--osf.io--68jft.pdf")</f>
        <v>10.31234--osf.io--68jft.pdf</v>
      </c>
      <c r="D1644" s="156" t="str">
        <f>IFERROR(__xludf.DUMMYFUNCTION("""COMPUTED_VALUE"""),"application/pdf")</f>
        <v>application/pdf</v>
      </c>
    </row>
    <row r="1645">
      <c r="A1645" s="336" t="str">
        <f>IFERROR(__xludf.DUMMYFUNCTION("""COMPUTED_VALUE"""),"10.1002/erv.3103")</f>
        <v>10.1002/erv.3103</v>
      </c>
      <c r="B1645" s="442" t="str">
        <f>IFERROR(__xludf.DUMMYFUNCTION("""COMPUTED_VALUE"""),"https://drive.google.com/file/d/1bJ0BC-Xy_bNt41DXHAjv1ms0mnz9Vq86/view?usp=drivesdk")</f>
        <v>https://drive.google.com/file/d/1bJ0BC-Xy_bNt41DXHAjv1ms0mnz9Vq86/view?usp=drivesdk</v>
      </c>
      <c r="C1645" s="336" t="str">
        <f>IFERROR(__xludf.DUMMYFUNCTION("""COMPUTED_VALUE"""),"10.1002--erv.3103.pdf")</f>
        <v>10.1002--erv.3103.pdf</v>
      </c>
      <c r="D1645" s="156" t="str">
        <f>IFERROR(__xludf.DUMMYFUNCTION("""COMPUTED_VALUE"""),"application/pdf")</f>
        <v>application/pdf</v>
      </c>
    </row>
    <row r="1646">
      <c r="A1646" s="336" t="str">
        <f>IFERROR(__xludf.DUMMYFUNCTION("""COMPUTED_VALUE"""),"10.1017/s0261444824000120")</f>
        <v>10.1017/s0261444824000120</v>
      </c>
      <c r="B1646" s="442" t="str">
        <f>IFERROR(__xludf.DUMMYFUNCTION("""COMPUTED_VALUE"""),"https://drive.google.com/file/d/1sSSGJnEV4E18FQJXK-1-tt9r58Mi889H/view?usp=drivesdk")</f>
        <v>https://drive.google.com/file/d/1sSSGJnEV4E18FQJXK-1-tt9r58Mi889H/view?usp=drivesdk</v>
      </c>
      <c r="C1646" s="336" t="str">
        <f>IFERROR(__xludf.DUMMYFUNCTION("""COMPUTED_VALUE"""),"10.1017--S0261444824000120.pdf")</f>
        <v>10.1017--S0261444824000120.pdf</v>
      </c>
      <c r="D1646" s="156" t="str">
        <f>IFERROR(__xludf.DUMMYFUNCTION("""COMPUTED_VALUE"""),"application/pdf")</f>
        <v>application/pdf</v>
      </c>
    </row>
    <row r="1647">
      <c r="A1647" s="336" t="str">
        <f>IFERROR(__xludf.DUMMYFUNCTION("""COMPUTED_VALUE"""),"10.1080/0163853x.2024.2339738")</f>
        <v>10.1080/0163853x.2024.2339738</v>
      </c>
      <c r="B1647" s="442" t="str">
        <f>IFERROR(__xludf.DUMMYFUNCTION("""COMPUTED_VALUE"""),"https://drive.google.com/file/d/1qKtm6cJaGp1OYT52DZ-rdF0umAGshXgk/view?usp=drivesdk")</f>
        <v>https://drive.google.com/file/d/1qKtm6cJaGp1OYT52DZ-rdF0umAGshXgk/view?usp=drivesdk</v>
      </c>
      <c r="C1647" s="336" t="str">
        <f>IFERROR(__xludf.DUMMYFUNCTION("""COMPUTED_VALUE"""),"10.1080--0163853X.2024.2339738.pdf")</f>
        <v>10.1080--0163853X.2024.2339738.pdf</v>
      </c>
      <c r="D1647" s="156" t="str">
        <f>IFERROR(__xludf.DUMMYFUNCTION("""COMPUTED_VALUE"""),"application/pdf")</f>
        <v>application/pdf</v>
      </c>
    </row>
    <row r="1648">
      <c r="A1648" s="336" t="str">
        <f>IFERROR(__xludf.DUMMYFUNCTION("""COMPUTED_VALUE"""),"10.1016/j.drugalcdep.2024.111323")</f>
        <v>10.1016/j.drugalcdep.2024.111323</v>
      </c>
      <c r="B1648" s="442" t="str">
        <f>IFERROR(__xludf.DUMMYFUNCTION("""COMPUTED_VALUE"""),"https://drive.google.com/file/d/1hw6VxSN8dF8WIp6LhbqOOmsEo0dTvdbu/view?usp=drivesdk")</f>
        <v>https://drive.google.com/file/d/1hw6VxSN8dF8WIp6LhbqOOmsEo0dTvdbu/view?usp=drivesdk</v>
      </c>
      <c r="C1648" s="336" t="str">
        <f>IFERROR(__xludf.DUMMYFUNCTION("""COMPUTED_VALUE"""),"10.1016--j.drugalcdep.2024.111323.pdf")</f>
        <v>10.1016--j.drugalcdep.2024.111323.pdf</v>
      </c>
      <c r="D1648" s="156" t="str">
        <f>IFERROR(__xludf.DUMMYFUNCTION("""COMPUTED_VALUE"""),"application/pdf")</f>
        <v>application/pdf</v>
      </c>
    </row>
    <row r="1649">
      <c r="A1649" s="336" t="str">
        <f>IFERROR(__xludf.DUMMYFUNCTION("""COMPUTED_VALUE"""),"mendoza_2024")</f>
        <v>mendoza_2024</v>
      </c>
      <c r="B1649" s="442" t="str">
        <f>IFERROR(__xludf.DUMMYFUNCTION("""COMPUTED_VALUE"""),"https://drive.google.com/file/d/1uqPYsQnG8eSYcKJ1Tcphemj3KvGd0mXp/view?usp=drivesdk")</f>
        <v>https://drive.google.com/file/d/1uqPYsQnG8eSYcKJ1Tcphemj3KvGd0mXp/view?usp=drivesdk</v>
      </c>
      <c r="C1649" s="336" t="str">
        <f>IFERROR(__xludf.DUMMYFUNCTION("""COMPUTED_VALUE"""),"mendoza_2024.pdf")</f>
        <v>mendoza_2024.pdf</v>
      </c>
      <c r="D1649" s="156" t="str">
        <f>IFERROR(__xludf.DUMMYFUNCTION("""COMPUTED_VALUE"""),"application/pdf")</f>
        <v>application/pdf</v>
      </c>
    </row>
    <row r="1650">
      <c r="A1650" s="336" t="str">
        <f>IFERROR(__xludf.DUMMYFUNCTION("""COMPUTED_VALUE"""),"10.1093/schbul/sbae058")</f>
        <v>10.1093/schbul/sbae058</v>
      </c>
      <c r="B1650" s="442" t="str">
        <f>IFERROR(__xludf.DUMMYFUNCTION("""COMPUTED_VALUE"""),"https://drive.google.com/file/d/1WNCE1BHqI-1JTQSuMkdiS2Xt4dckCPmq/view?usp=drivesdk")</f>
        <v>https://drive.google.com/file/d/1WNCE1BHqI-1JTQSuMkdiS2Xt4dckCPmq/view?usp=drivesdk</v>
      </c>
      <c r="C1650" s="336" t="str">
        <f>IFERROR(__xludf.DUMMYFUNCTION("""COMPUTED_VALUE"""),"10.1093--schbul--sbae058.pdf")</f>
        <v>10.1093--schbul--sbae058.pdf</v>
      </c>
      <c r="D1650" s="156" t="str">
        <f>IFERROR(__xludf.DUMMYFUNCTION("""COMPUTED_VALUE"""),"application/pdf")</f>
        <v>application/pdf</v>
      </c>
    </row>
    <row r="1651">
      <c r="A1651" s="336" t="str">
        <f>IFERROR(__xludf.DUMMYFUNCTION("""COMPUTED_VALUE"""),"10.1017/s027226312400010x")</f>
        <v>10.1017/s027226312400010x</v>
      </c>
      <c r="B1651" s="442" t="str">
        <f>IFERROR(__xludf.DUMMYFUNCTION("""COMPUTED_VALUE"""),"https://drive.google.com/file/d/1gKS9Z0txNmobZApdh403VlFeWnSEs1mA/view?usp=drivesdk")</f>
        <v>https://drive.google.com/file/d/1gKS9Z0txNmobZApdh403VlFeWnSEs1mA/view?usp=drivesdk</v>
      </c>
      <c r="C1651" s="336" t="str">
        <f>IFERROR(__xludf.DUMMYFUNCTION("""COMPUTED_VALUE"""),"10.1017--S027226312400010X.pdf")</f>
        <v>10.1017--S027226312400010X.pdf</v>
      </c>
      <c r="D1651" s="156" t="str">
        <f>IFERROR(__xludf.DUMMYFUNCTION("""COMPUTED_VALUE"""),"application/pdf")</f>
        <v>application/pdf</v>
      </c>
    </row>
    <row r="1652">
      <c r="A1652" s="336" t="str">
        <f>IFERROR(__xludf.DUMMYFUNCTION("""COMPUTED_VALUE"""),"10.1177/07419325241240067")</f>
        <v>10.1177/07419325241240067</v>
      </c>
      <c r="B1652" s="442" t="str">
        <f>IFERROR(__xludf.DUMMYFUNCTION("""COMPUTED_VALUE"""),"https://drive.google.com/file/d/1gy34Rj2zubnsdFDxbY0YzwrhmT7eVu5B/view?usp=drivesdk")</f>
        <v>https://drive.google.com/file/d/1gy34Rj2zubnsdFDxbY0YzwrhmT7eVu5B/view?usp=drivesdk</v>
      </c>
      <c r="C1652" s="336" t="str">
        <f>IFERROR(__xludf.DUMMYFUNCTION("""COMPUTED_VALUE"""),"10.1177--07419325241240067.pdf")</f>
        <v>10.1177--07419325241240067.pdf</v>
      </c>
      <c r="D1652" s="156" t="str">
        <f>IFERROR(__xludf.DUMMYFUNCTION("""COMPUTED_VALUE"""),"application/pdf")</f>
        <v>application/pdf</v>
      </c>
    </row>
    <row r="1653">
      <c r="A1653" s="336" t="str">
        <f>IFERROR(__xludf.DUMMYFUNCTION("""COMPUTED_VALUE"""),"10.1080/19345747.2024.2333734")</f>
        <v>10.1080/19345747.2024.2333734</v>
      </c>
      <c r="B1653" s="442" t="str">
        <f>IFERROR(__xludf.DUMMYFUNCTION("""COMPUTED_VALUE"""),"https://drive.google.com/file/d/1Rle6yo3utupMLtWPIY-izoAHwsC7-l3z/view?usp=drivesdk")</f>
        <v>https://drive.google.com/file/d/1Rle6yo3utupMLtWPIY-izoAHwsC7-l3z/view?usp=drivesdk</v>
      </c>
      <c r="C1653" s="336" t="str">
        <f>IFERROR(__xludf.DUMMYFUNCTION("""COMPUTED_VALUE"""),"10.1080--19345747.2024.2333734.pdf")</f>
        <v>10.1080--19345747.2024.2333734.pdf</v>
      </c>
      <c r="D1653" s="156" t="str">
        <f>IFERROR(__xludf.DUMMYFUNCTION("""COMPUTED_VALUE"""),"application/pdf")</f>
        <v>application/pdf</v>
      </c>
    </row>
    <row r="1654">
      <c r="A1654" s="336" t="str">
        <f>IFERROR(__xludf.DUMMYFUNCTION("""COMPUTED_VALUE"""),"10.2139/ssrn.3816626")</f>
        <v>10.2139/ssrn.3816626</v>
      </c>
      <c r="B1654" s="442" t="str">
        <f>IFERROR(__xludf.DUMMYFUNCTION("""COMPUTED_VALUE"""),"https://drive.google.com/file/d/15dFaGlw5PiU4FQdHXfm-MBl-bSuobzO2/view?usp=drivesdk")</f>
        <v>https://drive.google.com/file/d/15dFaGlw5PiU4FQdHXfm-MBl-bSuobzO2/view?usp=drivesdk</v>
      </c>
      <c r="C1654" s="336" t="str">
        <f>IFERROR(__xludf.DUMMYFUNCTION("""COMPUTED_VALUE"""),"10.2139--ssrn.3816626.pdf")</f>
        <v>10.2139--ssrn.3816626.pdf</v>
      </c>
      <c r="D1654" s="156" t="str">
        <f>IFERROR(__xludf.DUMMYFUNCTION("""COMPUTED_VALUE"""),"application/pdf")</f>
        <v>application/pdf</v>
      </c>
    </row>
    <row r="1655">
      <c r="A1655" s="336" t="str">
        <f>IFERROR(__xludf.DUMMYFUNCTION("""COMPUTED_VALUE"""),"10.1017/s0272263124000238")</f>
        <v>10.1017/s0272263124000238</v>
      </c>
      <c r="B1655" s="442" t="str">
        <f>IFERROR(__xludf.DUMMYFUNCTION("""COMPUTED_VALUE"""),"https://drive.google.com/file/d/1KQ2h_KjNuvgQPQ443vS97noydUJbOuPG/view?usp=drivesdk")</f>
        <v>https://drive.google.com/file/d/1KQ2h_KjNuvgQPQ443vS97noydUJbOuPG/view?usp=drivesdk</v>
      </c>
      <c r="C1655" s="336" t="str">
        <f>IFERROR(__xludf.DUMMYFUNCTION("""COMPUTED_VALUE"""),"10.1017--s0272263124000238.pdf")</f>
        <v>10.1017--s0272263124000238.pdf</v>
      </c>
      <c r="D1655" s="156" t="str">
        <f>IFERROR(__xludf.DUMMYFUNCTION("""COMPUTED_VALUE"""),"application/pdf")</f>
        <v>application/pdf</v>
      </c>
    </row>
    <row r="1656">
      <c r="A1656" s="336" t="str">
        <f>IFERROR(__xludf.DUMMYFUNCTION("""COMPUTED_VALUE"""),"10.1163/26670127-bja10017")</f>
        <v>10.1163/26670127-bja10017</v>
      </c>
      <c r="B1656" s="442" t="str">
        <f>IFERROR(__xludf.DUMMYFUNCTION("""COMPUTED_VALUE"""),"https://drive.google.com/file/d/1u_oSZ0fEx8q87XxieN1axHREEr_kiGBE/view?usp=drivesdk")</f>
        <v>https://drive.google.com/file/d/1u_oSZ0fEx8q87XxieN1axHREEr_kiGBE/view?usp=drivesdk</v>
      </c>
      <c r="C1656" s="336" t="str">
        <f>IFERROR(__xludf.DUMMYFUNCTION("""COMPUTED_VALUE"""),"10.1163--26670127-bja10017.pdf")</f>
        <v>10.1163--26670127-bja10017.pdf</v>
      </c>
      <c r="D1656" s="156" t="str">
        <f>IFERROR(__xludf.DUMMYFUNCTION("""COMPUTED_VALUE"""),"application/pdf")</f>
        <v>application/pdf</v>
      </c>
    </row>
    <row r="1657">
      <c r="A1657" s="336" t="str">
        <f>IFERROR(__xludf.DUMMYFUNCTION("""COMPUTED_VALUE"""),"10.1016/j.jesp.2020104066")</f>
        <v>10.1016/j.jesp.2020104066</v>
      </c>
      <c r="B1657" s="442" t="str">
        <f>IFERROR(__xludf.DUMMYFUNCTION("""COMPUTED_VALUE"""),"https://drive.google.com/file/d/1SlGQ-MMWoaYjG2PzJ2FZTEPcMTkqTVn9/view?usp=drivesdk")</f>
        <v>https://drive.google.com/file/d/1SlGQ-MMWoaYjG2PzJ2FZTEPcMTkqTVn9/view?usp=drivesdk</v>
      </c>
      <c r="C1657" s="336" t="str">
        <f>IFERROR(__xludf.DUMMYFUNCTION("""COMPUTED_VALUE"""),"10.1016--j.jesp.2020104066.pdf")</f>
        <v>10.1016--j.jesp.2020104066.pdf</v>
      </c>
      <c r="D1657" s="156" t="str">
        <f>IFERROR(__xludf.DUMMYFUNCTION("""COMPUTED_VALUE"""),"application/pdf")</f>
        <v>application/pdf</v>
      </c>
    </row>
    <row r="1658">
      <c r="A1658" s="442" t="str">
        <f>IFERROR(__xludf.DUMMYFUNCTION("""COMPUTED_VALUE"""),"osf.io/x4v53")</f>
        <v>osf.io/x4v53</v>
      </c>
      <c r="B1658" s="442" t="str">
        <f>IFERROR(__xludf.DUMMYFUNCTION("""COMPUTED_VALUE"""),"https://drive.google.com/file/d/101OwdNXwjKk-CSJMDDNBxSMU_jnE0JGh/view?usp=drivesdk")</f>
        <v>https://drive.google.com/file/d/101OwdNXwjKk-CSJMDDNBxSMU_jnE0JGh/view?usp=drivesdk</v>
      </c>
      <c r="C1658" s="336" t="str">
        <f>IFERROR(__xludf.DUMMYFUNCTION("""COMPUTED_VALUE"""),"osf.io--x4v53.pdf")</f>
        <v>osf.io--x4v53.pdf</v>
      </c>
      <c r="D1658" s="156" t="str">
        <f>IFERROR(__xludf.DUMMYFUNCTION("""COMPUTED_VALUE"""),"application/pdf")</f>
        <v>application/pdf</v>
      </c>
    </row>
    <row r="1659">
      <c r="A1659" s="442" t="str">
        <f>IFERROR(__xludf.DUMMYFUNCTION("""COMPUTED_VALUE"""),"osf.io/wru8c")</f>
        <v>osf.io/wru8c</v>
      </c>
      <c r="B1659" s="442" t="str">
        <f>IFERROR(__xludf.DUMMYFUNCTION("""COMPUTED_VALUE"""),"https://drive.google.com/file/d/1Oux4UBwSd26986fxRHjyI5XNtU-07DOs/view?usp=drivesdk")</f>
        <v>https://drive.google.com/file/d/1Oux4UBwSd26986fxRHjyI5XNtU-07DOs/view?usp=drivesdk</v>
      </c>
      <c r="C1659" s="336" t="str">
        <f>IFERROR(__xludf.DUMMYFUNCTION("""COMPUTED_VALUE"""),"osf.io--wru8c.pdf")</f>
        <v>osf.io--wru8c.pdf</v>
      </c>
      <c r="D1659" s="156" t="str">
        <f>IFERROR(__xludf.DUMMYFUNCTION("""COMPUTED_VALUE"""),"application/pdf")</f>
        <v>application/pdf</v>
      </c>
    </row>
    <row r="1660">
      <c r="A1660" s="336" t="str">
        <f>IFERROR(__xludf.DUMMYFUNCTION("""COMPUTED_VALUE"""),"10.1027/1864-9335/a000178")</f>
        <v>10.1027/1864-9335/a000178</v>
      </c>
      <c r="B1660" s="442" t="str">
        <f>IFERROR(__xludf.DUMMYFUNCTION("""COMPUTED_VALUE"""),"https://drive.google.com/file/d/1fIqa3RxgdnsQkWwGnLkF4XAbM2g_WN4q/view?usp=drivesdk")</f>
        <v>https://drive.google.com/file/d/1fIqa3RxgdnsQkWwGnLkF4XAbM2g_WN4q/view?usp=drivesdk</v>
      </c>
      <c r="C1660" s="336" t="str">
        <f>IFERROR(__xludf.DUMMYFUNCTION("""COMPUTED_VALUE"""),"10.1027--1864-9335--a000178.pdf")</f>
        <v>10.1027--1864-9335--a000178.pdf</v>
      </c>
      <c r="D1660" s="156" t="str">
        <f>IFERROR(__xludf.DUMMYFUNCTION("""COMPUTED_VALUE"""),"application/pdf")</f>
        <v>application/pdf</v>
      </c>
    </row>
    <row r="1661">
      <c r="A1661" s="336" t="str">
        <f>IFERROR(__xludf.DUMMYFUNCTION("""COMPUTED_VALUE"""),"10.1257/mac.1.1.146")</f>
        <v>10.1257/mac.1.1.146</v>
      </c>
      <c r="B1661" s="442" t="str">
        <f>IFERROR(__xludf.DUMMYFUNCTION("""COMPUTED_VALUE"""),"https://drive.google.com/file/d/18u8UZGmq2oMFWhXRxe2eL3wAp7RT1WdE/view?usp=drivesdk")</f>
        <v>https://drive.google.com/file/d/18u8UZGmq2oMFWhXRxe2eL3wAp7RT1WdE/view?usp=drivesdk</v>
      </c>
      <c r="C1661" s="336" t="str">
        <f>IFERROR(__xludf.DUMMYFUNCTION("""COMPUTED_VALUE"""),"10.1257--mac.1.1.146.pdf")</f>
        <v>10.1257--mac.1.1.146.pdf</v>
      </c>
      <c r="D1661" s="156" t="str">
        <f>IFERROR(__xludf.DUMMYFUNCTION("""COMPUTED_VALUE"""),"application/pdf")</f>
        <v>application/pdf</v>
      </c>
    </row>
    <row r="1662">
      <c r="A1662" s="336" t="str">
        <f>IFERROR(__xludf.DUMMYFUNCTION("""COMPUTED_VALUE"""),"9781032633275")</f>
        <v>9781032633275</v>
      </c>
      <c r="B1662" s="442" t="str">
        <f>IFERROR(__xludf.DUMMYFUNCTION("""COMPUTED_VALUE"""),"https://drive.google.com/file/d/1BpLhL82hbuMif1ihzgQr3rblWCHhGl8w/view?usp=drivesdk")</f>
        <v>https://drive.google.com/file/d/1BpLhL82hbuMif1ihzgQr3rblWCHhGl8w/view?usp=drivesdk</v>
      </c>
      <c r="C1662" s="336" t="str">
        <f>IFERROR(__xludf.DUMMYFUNCTION("""COMPUTED_VALUE"""),"9781032633275.pdf")</f>
        <v>9781032633275.pdf</v>
      </c>
      <c r="D1662" s="156" t="str">
        <f>IFERROR(__xludf.DUMMYFUNCTION("""COMPUTED_VALUE"""),"application/pdf")</f>
        <v>application/pdf</v>
      </c>
    </row>
    <row r="1663">
      <c r="A1663" s="336" t="str">
        <f>IFERROR(__xludf.DUMMYFUNCTION("""COMPUTED_VALUE"""),"10.1037a0028216")</f>
        <v>10.1037a0028216</v>
      </c>
      <c r="B1663" s="442" t="str">
        <f>IFERROR(__xludf.DUMMYFUNCTION("""COMPUTED_VALUE"""),"https://drive.google.com/file/d/1zL5lM_V9MRmmO1m3jB_xWJI2GGBttwNy/view?usp=drivesdk")</f>
        <v>https://drive.google.com/file/d/1zL5lM_V9MRmmO1m3jB_xWJI2GGBttwNy/view?usp=drivesdk</v>
      </c>
      <c r="C1663" s="336" t="str">
        <f>IFERROR(__xludf.DUMMYFUNCTION("""COMPUTED_VALUE"""),"10.1037a0028216.pdf")</f>
        <v>10.1037a0028216.pdf</v>
      </c>
      <c r="D1663" s="156" t="str">
        <f>IFERROR(__xludf.DUMMYFUNCTION("""COMPUTED_VALUE"""),"application/pdf")</f>
        <v>application/pdf</v>
      </c>
    </row>
    <row r="1664">
      <c r="A1664" s="336" t="str">
        <f>IFERROR(__xludf.DUMMYFUNCTION("""COMPUTED_VALUE"""),"10.1037xge0000064")</f>
        <v>10.1037xge0000064</v>
      </c>
      <c r="B1664" s="442" t="str">
        <f>IFERROR(__xludf.DUMMYFUNCTION("""COMPUTED_VALUE"""),"https://drive.google.com/file/d/17l2cYRmcEAZZdreqrkMvPBM2wIaTNLJ5/view?usp=drivesdk")</f>
        <v>https://drive.google.com/file/d/17l2cYRmcEAZZdreqrkMvPBM2wIaTNLJ5/view?usp=drivesdk</v>
      </c>
      <c r="C1664" s="336" t="str">
        <f>IFERROR(__xludf.DUMMYFUNCTION("""COMPUTED_VALUE"""),"10.1037xge0000064.pdf")</f>
        <v>10.1037xge0000064.pdf</v>
      </c>
      <c r="D1664" s="156" t="str">
        <f>IFERROR(__xludf.DUMMYFUNCTION("""COMPUTED_VALUE"""),"application/pdf")</f>
        <v>application/pdf</v>
      </c>
    </row>
    <row r="1665">
      <c r="A1665" s="336" t="str">
        <f>IFERROR(__xludf.DUMMYFUNCTION("""COMPUTED_VALUE"""),"10.1016j.ecresq.2019.10.004")</f>
        <v>10.1016j.ecresq.2019.10.004</v>
      </c>
      <c r="B1665" s="442" t="str">
        <f>IFERROR(__xludf.DUMMYFUNCTION("""COMPUTED_VALUE"""),"https://drive.google.com/file/d/1C-qoEDIS5dt9gmEbHdXyUHBQ2cKsSFFl/view?usp=drivesdk")</f>
        <v>https://drive.google.com/file/d/1C-qoEDIS5dt9gmEbHdXyUHBQ2cKsSFFl/view?usp=drivesdk</v>
      </c>
      <c r="C1665" s="336" t="str">
        <f>IFERROR(__xludf.DUMMYFUNCTION("""COMPUTED_VALUE"""),"10.1016j.ecresq.2019.10.004.pdf")</f>
        <v>10.1016j.ecresq.2019.10.004.pdf</v>
      </c>
      <c r="D1665" s="156" t="str">
        <f>IFERROR(__xludf.DUMMYFUNCTION("""COMPUTED_VALUE"""),"application/pdf")</f>
        <v>application/pdf</v>
      </c>
    </row>
    <row r="1666">
      <c r="A1666" s="336" t="str">
        <f>IFERROR(__xludf.DUMMYFUNCTION("""COMPUTED_VALUE"""),"escholarship.orgucitem39d347bk")</f>
        <v>escholarship.orgucitem39d347bk</v>
      </c>
      <c r="B1666" s="442" t="str">
        <f>IFERROR(__xludf.DUMMYFUNCTION("""COMPUTED_VALUE"""),"https://drive.google.com/file/d/1S2bnWMra5cT3jybiRMXQyyKgjUU5M3mP/view?usp=drivesdk")</f>
        <v>https://drive.google.com/file/d/1S2bnWMra5cT3jybiRMXQyyKgjUU5M3mP/view?usp=drivesdk</v>
      </c>
      <c r="C1666" s="336" t="str">
        <f>IFERROR(__xludf.DUMMYFUNCTION("""COMPUTED_VALUE"""),"escholarship.orgucitem39d347bk.pdf")</f>
        <v>escholarship.orgucitem39d347bk.pdf</v>
      </c>
      <c r="D1666" s="156" t="str">
        <f>IFERROR(__xludf.DUMMYFUNCTION("""COMPUTED_VALUE"""),"application/pdf")</f>
        <v>application/pdf</v>
      </c>
    </row>
    <row r="1667">
      <c r="A1667" s="336" t="str">
        <f>IFERROR(__xludf.DUMMYFUNCTION("""COMPUTED_VALUE"""),"10.1037xge0000263")</f>
        <v>10.1037xge0000263</v>
      </c>
      <c r="B1667" s="442" t="str">
        <f>IFERROR(__xludf.DUMMYFUNCTION("""COMPUTED_VALUE"""),"https://drive.google.com/file/d/1Y86fP_KKYPZSw0MLyhclNzE54yAOJHFx/view?usp=drivesdk")</f>
        <v>https://drive.google.com/file/d/1Y86fP_KKYPZSw0MLyhclNzE54yAOJHFx/view?usp=drivesdk</v>
      </c>
      <c r="C1667" s="336" t="str">
        <f>IFERROR(__xludf.DUMMYFUNCTION("""COMPUTED_VALUE"""),"10.1037xge0000263.pdf")</f>
        <v>10.1037xge0000263.pdf</v>
      </c>
      <c r="D1667" s="156" t="str">
        <f>IFERROR(__xludf.DUMMYFUNCTION("""COMPUTED_VALUE"""),"application/pdf")</f>
        <v>application/pdf</v>
      </c>
    </row>
    <row r="1668">
      <c r="A1668" s="336" t="str">
        <f>IFERROR(__xludf.DUMMYFUNCTION("""COMPUTED_VALUE"""),"10.1038s41467-021-27323-3")</f>
        <v>10.1038s41467-021-27323-3</v>
      </c>
      <c r="B1668" s="442" t="str">
        <f>IFERROR(__xludf.DUMMYFUNCTION("""COMPUTED_VALUE"""),"https://drive.google.com/file/d/1jkeeRtUcRwjVBTQ0tt7a6BWEC7M63p3O/view?usp=drivesdk")</f>
        <v>https://drive.google.com/file/d/1jkeeRtUcRwjVBTQ0tt7a6BWEC7M63p3O/view?usp=drivesdk</v>
      </c>
      <c r="C1668" s="336" t="str">
        <f>IFERROR(__xludf.DUMMYFUNCTION("""COMPUTED_VALUE"""),"10.1038s41467-021-27323-3.pdf")</f>
        <v>10.1038s41467-021-27323-3.pdf</v>
      </c>
      <c r="D1668" s="156" t="str">
        <f>IFERROR(__xludf.DUMMYFUNCTION("""COMPUTED_VALUE"""),"application/pdf")</f>
        <v>application/pdf</v>
      </c>
    </row>
    <row r="1669">
      <c r="A1669" s="336" t="str">
        <f>IFERROR(__xludf.DUMMYFUNCTION("""COMPUTED_VALUE"""),"10.1037xge0000738")</f>
        <v>10.1037xge0000738</v>
      </c>
      <c r="B1669" s="442" t="str">
        <f>IFERROR(__xludf.DUMMYFUNCTION("""COMPUTED_VALUE"""),"https://drive.google.com/file/d/1vqDYyUya1hGxUO3xOXp-fS4z5QiC8jwH/view?usp=drivesdk")</f>
        <v>https://drive.google.com/file/d/1vqDYyUya1hGxUO3xOXp-fS4z5QiC8jwH/view?usp=drivesdk</v>
      </c>
      <c r="C1669" s="336" t="str">
        <f>IFERROR(__xludf.DUMMYFUNCTION("""COMPUTED_VALUE"""),"10.1037xge0000738.pdf")</f>
        <v>10.1037xge0000738.pdf</v>
      </c>
      <c r="D1669" s="156" t="str">
        <f>IFERROR(__xludf.DUMMYFUNCTION("""COMPUTED_VALUE"""),"application/pdf")</f>
        <v>application/pdf</v>
      </c>
    </row>
    <row r="1670">
      <c r="A1670" s="336" t="str">
        <f>IFERROR(__xludf.DUMMYFUNCTION("""COMPUTED_VALUE"""),"10.1515ling.2011.016")</f>
        <v>10.1515ling.2011.016</v>
      </c>
      <c r="B1670" s="442" t="str">
        <f>IFERROR(__xludf.DUMMYFUNCTION("""COMPUTED_VALUE"""),"https://drive.google.com/file/d/1wLLLetzLeWlO9t4gOOpQ_OFAsZ2KduSR/view?usp=drivesdk")</f>
        <v>https://drive.google.com/file/d/1wLLLetzLeWlO9t4gOOpQ_OFAsZ2KduSR/view?usp=drivesdk</v>
      </c>
      <c r="C1670" s="336" t="str">
        <f>IFERROR(__xludf.DUMMYFUNCTION("""COMPUTED_VALUE"""),"10.1515ling.2011.016.pdf")</f>
        <v>10.1515ling.2011.016.pdf</v>
      </c>
      <c r="D1670" s="156" t="str">
        <f>IFERROR(__xludf.DUMMYFUNCTION("""COMPUTED_VALUE"""),"application/pdf")</f>
        <v>application/pdf</v>
      </c>
    </row>
    <row r="1671">
      <c r="A1671" s="336" t="str">
        <f>IFERROR(__xludf.DUMMYFUNCTION("""COMPUTED_VALUE"""),"10.1037pspi0000081")</f>
        <v>10.1037pspi0000081</v>
      </c>
      <c r="B1671" s="442" t="str">
        <f>IFERROR(__xludf.DUMMYFUNCTION("""COMPUTED_VALUE"""),"https://drive.google.com/file/d/11QqLgmbtbwaBdxksMvgSN9fgjgPLwWKg/view?usp=drivesdk")</f>
        <v>https://drive.google.com/file/d/11QqLgmbtbwaBdxksMvgSN9fgjgPLwWKg/view?usp=drivesdk</v>
      </c>
      <c r="C1671" s="336" t="str">
        <f>IFERROR(__xludf.DUMMYFUNCTION("""COMPUTED_VALUE"""),"10.1037pspi0000081.pdf")</f>
        <v>10.1037pspi0000081.pdf</v>
      </c>
      <c r="D1671" s="156" t="str">
        <f>IFERROR(__xludf.DUMMYFUNCTION("""COMPUTED_VALUE"""),"application/pdf")</f>
        <v>application/pdf</v>
      </c>
    </row>
    <row r="1672">
      <c r="A1672" s="336" t="str">
        <f>IFERROR(__xludf.DUMMYFUNCTION("""COMPUTED_VALUE"""),"10.10370022-3514.95.2.293")</f>
        <v>10.10370022-3514.95.2.293</v>
      </c>
      <c r="B1672" s="442" t="str">
        <f>IFERROR(__xludf.DUMMYFUNCTION("""COMPUTED_VALUE"""),"https://drive.google.com/file/d/17twQHZSbQZuzxu21pY3l2ZnhkEsj_cpp/view?usp=drivesdk")</f>
        <v>https://drive.google.com/file/d/17twQHZSbQZuzxu21pY3l2ZnhkEsj_cpp/view?usp=drivesdk</v>
      </c>
      <c r="C1672" s="336" t="str">
        <f>IFERROR(__xludf.DUMMYFUNCTION("""COMPUTED_VALUE"""),"10.10370022-3514.95.2.293.pdf")</f>
        <v>10.10370022-3514.95.2.293.pdf</v>
      </c>
      <c r="D1672" s="156" t="str">
        <f>IFERROR(__xludf.DUMMYFUNCTION("""COMPUTED_VALUE"""),"application/pdf")</f>
        <v>application/pdf</v>
      </c>
    </row>
    <row r="1673">
      <c r="A1673" s="336" t="str">
        <f>IFERROR(__xludf.DUMMYFUNCTION("""COMPUTED_VALUE"""),"10.1093workarwaac024")</f>
        <v>10.1093workarwaac024</v>
      </c>
      <c r="B1673" s="442" t="str">
        <f>IFERROR(__xludf.DUMMYFUNCTION("""COMPUTED_VALUE"""),"https://drive.google.com/file/d/1BG48fszSoz7SPJL3VTBFDjPh5xPhn4Tw/view?usp=drivesdk")</f>
        <v>https://drive.google.com/file/d/1BG48fszSoz7SPJL3VTBFDjPh5xPhn4Tw/view?usp=drivesdk</v>
      </c>
      <c r="C1673" s="336" t="str">
        <f>IFERROR(__xludf.DUMMYFUNCTION("""COMPUTED_VALUE"""),"10.1093workarwaac024.pdf")</f>
        <v>10.1093workarwaac024.pdf</v>
      </c>
      <c r="D1673" s="156" t="str">
        <f>IFERROR(__xludf.DUMMYFUNCTION("""COMPUTED_VALUE"""),"application/pdf")</f>
        <v>application/pdf</v>
      </c>
    </row>
    <row r="1674">
      <c r="A1674" s="336" t="str">
        <f>IFERROR(__xludf.DUMMYFUNCTION("""COMPUTED_VALUE"""),"10.3758s13428-021-01694-3")</f>
        <v>10.3758s13428-021-01694-3</v>
      </c>
      <c r="B1674" s="442" t="str">
        <f>IFERROR(__xludf.DUMMYFUNCTION("""COMPUTED_VALUE"""),"https://drive.google.com/file/d/1I59CACDclrDvPqzUHhjKPAd6ARoVU1ob/view?usp=drivesdk")</f>
        <v>https://drive.google.com/file/d/1I59CACDclrDvPqzUHhjKPAd6ARoVU1ob/view?usp=drivesdk</v>
      </c>
      <c r="C1674" s="336" t="str">
        <f>IFERROR(__xludf.DUMMYFUNCTION("""COMPUTED_VALUE"""),"10.3758s13428-021-01694-3.pdf")</f>
        <v>10.3758s13428-021-01694-3.pdf</v>
      </c>
      <c r="D1674" s="156" t="str">
        <f>IFERROR(__xludf.DUMMYFUNCTION("""COMPUTED_VALUE"""),"application/pdf")</f>
        <v>application/pdf</v>
      </c>
    </row>
    <row r="1675">
      <c r="A1675" s="336" t="str">
        <f>IFERROR(__xludf.DUMMYFUNCTION("""COMPUTED_VALUE"""),"10.1016j.neuropsychologia.2009.05.011")</f>
        <v>10.1016j.neuropsychologia.2009.05.011</v>
      </c>
      <c r="B1675" s="442" t="str">
        <f>IFERROR(__xludf.DUMMYFUNCTION("""COMPUTED_VALUE"""),"https://drive.google.com/file/d/1QfiTBSa2fyJng0crQ9A2ZypwYEiEyu5j/view?usp=drivesdk")</f>
        <v>https://drive.google.com/file/d/1QfiTBSa2fyJng0crQ9A2ZypwYEiEyu5j/view?usp=drivesdk</v>
      </c>
      <c r="C1675" s="336" t="str">
        <f>IFERROR(__xludf.DUMMYFUNCTION("""COMPUTED_VALUE"""),"10.1016j.neuropsychologia.2009.05.011.pdf")</f>
        <v>10.1016j.neuropsychologia.2009.05.011.pdf</v>
      </c>
      <c r="D1675" s="156" t="str">
        <f>IFERROR(__xludf.DUMMYFUNCTION("""COMPUTED_VALUE"""),"application/pdf")</f>
        <v>application/pdf</v>
      </c>
    </row>
    <row r="1676">
      <c r="A1676" s="336" t="str">
        <f>IFERROR(__xludf.DUMMYFUNCTION("""COMPUTED_VALUE"""),"10.1162jocn_a_00709")</f>
        <v>10.1162jocn_a_00709</v>
      </c>
      <c r="B1676" s="442" t="str">
        <f>IFERROR(__xludf.DUMMYFUNCTION("""COMPUTED_VALUE"""),"https://drive.google.com/file/d/1TyCdC_5-8LwmulldzelJwvSIe6zRLTv3/view?usp=drivesdk")</f>
        <v>https://drive.google.com/file/d/1TyCdC_5-8LwmulldzelJwvSIe6zRLTv3/view?usp=drivesdk</v>
      </c>
      <c r="C1676" s="336" t="str">
        <f>IFERROR(__xludf.DUMMYFUNCTION("""COMPUTED_VALUE"""),"10.1162jocn_a_00709.pdf")</f>
        <v>10.1162jocn_a_00709.pdf</v>
      </c>
      <c r="D1676" s="156" t="str">
        <f>IFERROR(__xludf.DUMMYFUNCTION("""COMPUTED_VALUE"""),"application/pdf")</f>
        <v>application/pdf</v>
      </c>
    </row>
    <row r="1677">
      <c r="A1677" s="336" t="str">
        <f>IFERROR(__xludf.DUMMYFUNCTION("""COMPUTED_VALUE"""),"10.1016j.obhdp.2010.10.001")</f>
        <v>10.1016j.obhdp.2010.10.001</v>
      </c>
      <c r="B1677" s="442" t="str">
        <f>IFERROR(__xludf.DUMMYFUNCTION("""COMPUTED_VALUE"""),"https://drive.google.com/file/d/1bgDqkxennRmohAykLaeVfBKHnwj2hy4X/view?usp=drivesdk")</f>
        <v>https://drive.google.com/file/d/1bgDqkxennRmohAykLaeVfBKHnwj2hy4X/view?usp=drivesdk</v>
      </c>
      <c r="C1677" s="336" t="str">
        <f>IFERROR(__xludf.DUMMYFUNCTION("""COMPUTED_VALUE"""),"10.1016j.obhdp.2010.10.001.pdf")</f>
        <v>10.1016j.obhdp.2010.10.001.pdf</v>
      </c>
      <c r="D1677" s="156" t="str">
        <f>IFERROR(__xludf.DUMMYFUNCTION("""COMPUTED_VALUE"""),"application/pdf")</f>
        <v>application/pdf</v>
      </c>
    </row>
    <row r="1678">
      <c r="A1678" s="336" t="str">
        <f>IFERROR(__xludf.DUMMYFUNCTION("""COMPUTED_VALUE"""),"10.1038nature03390")</f>
        <v>10.1038nature03390</v>
      </c>
      <c r="B1678" s="442" t="str">
        <f>IFERROR(__xludf.DUMMYFUNCTION("""COMPUTED_VALUE"""),"https://drive.google.com/file/d/1jPiuYDESv0ZoX3sIwP44HDgH0VG3hswL/view?usp=drivesdk")</f>
        <v>https://drive.google.com/file/d/1jPiuYDESv0ZoX3sIwP44HDgH0VG3hswL/view?usp=drivesdk</v>
      </c>
      <c r="C1678" s="336" t="str">
        <f>IFERROR(__xludf.DUMMYFUNCTION("""COMPUTED_VALUE"""),"10.1038nature03390.pdf")</f>
        <v>10.1038nature03390.pdf</v>
      </c>
      <c r="D1678" s="156" t="str">
        <f>IFERROR(__xludf.DUMMYFUNCTION("""COMPUTED_VALUE"""),"application/pdf")</f>
        <v>application/pdf</v>
      </c>
    </row>
    <row r="1679">
      <c r="A1679" s="336" t="str">
        <f>IFERROR(__xludf.DUMMYFUNCTION("""COMPUTED_VALUE"""),"art00005")</f>
        <v>art00005</v>
      </c>
      <c r="B1679" s="442" t="str">
        <f>IFERROR(__xludf.DUMMYFUNCTION("""COMPUTED_VALUE"""),"https://drive.google.com/file/d/1_mm78I7fP7y2ESrJlwaIrN7h22W30B5K/view?usp=drivesdk")</f>
        <v>https://drive.google.com/file/d/1_mm78I7fP7y2ESrJlwaIrN7h22W30B5K/view?usp=drivesdk</v>
      </c>
      <c r="C1679" s="336" t="str">
        <f>IFERROR(__xludf.DUMMYFUNCTION("""COMPUTED_VALUE"""),"art00005.pdf")</f>
        <v>art00005.pdf</v>
      </c>
      <c r="D1679" s="156" t="str">
        <f>IFERROR(__xludf.DUMMYFUNCTION("""COMPUTED_VALUE"""),"application/pdf")</f>
        <v>application/pdf</v>
      </c>
    </row>
    <row r="1680">
      <c r="A1680" s="336" t="str">
        <f>IFERROR(__xludf.DUMMYFUNCTION("""COMPUTED_VALUE"""),"10.1126/science.aaf0918")</f>
        <v>10.1126/science.aaf0918</v>
      </c>
      <c r="B1680" s="442" t="str">
        <f>IFERROR(__xludf.DUMMYFUNCTION("""COMPUTED_VALUE"""),"https://drive.google.com/file/d/1g2LUlGntoVWUQi433rats2xlfqkwajdf/view?usp=drivesdk")</f>
        <v>https://drive.google.com/file/d/1g2LUlGntoVWUQi433rats2xlfqkwajdf/view?usp=drivesdk</v>
      </c>
      <c r="C1680" s="336" t="str">
        <f>IFERROR(__xludf.DUMMYFUNCTION("""COMPUTED_VALUE"""),"10.1126--science.aaf0918.pdf")</f>
        <v>10.1126--science.aaf0918.pdf</v>
      </c>
      <c r="D1680" s="156" t="str">
        <f>IFERROR(__xludf.DUMMYFUNCTION("""COMPUTED_VALUE"""),"application/pdf")</f>
        <v>application/pdf</v>
      </c>
    </row>
    <row r="1681">
      <c r="A1681" s="336" t="str">
        <f>IFERROR(__xludf.DUMMYFUNCTION("""COMPUTED_VALUE"""),"10.1016/0022-1031(77)90049-x")</f>
        <v>10.1016/0022-1031(77)90049-x</v>
      </c>
      <c r="B1681" s="442" t="str">
        <f>IFERROR(__xludf.DUMMYFUNCTION("""COMPUTED_VALUE"""),"https://drive.google.com/file/d/16b2RhNig_5iqWitXUKqz28-xsE4N6txd/view?usp=drivesdk")</f>
        <v>https://drive.google.com/file/d/16b2RhNig_5iqWitXUKqz28-xsE4N6txd/view?usp=drivesdk</v>
      </c>
      <c r="C1681" s="336" t="str">
        <f>IFERROR(__xludf.DUMMYFUNCTION("""COMPUTED_VALUE"""),"10.1016--0022-1031(77)90049-x.pdf")</f>
        <v>10.1016--0022-1031(77)90049-x.pdf</v>
      </c>
      <c r="D1681" s="156" t="str">
        <f>IFERROR(__xludf.DUMMYFUNCTION("""COMPUTED_VALUE"""),"application/pdf")</f>
        <v>application/pdf</v>
      </c>
    </row>
    <row r="1682">
      <c r="A1682" s="336" t="str">
        <f>IFERROR(__xludf.DUMMYFUNCTION("""COMPUTED_VALUE"""),"3329308")</f>
        <v>3329308</v>
      </c>
      <c r="B1682" s="442" t="str">
        <f>IFERROR(__xludf.DUMMYFUNCTION("""COMPUTED_VALUE"""),"https://drive.google.com/file/d/1tin9nciEOGqNUz2Yx-ZnwQtqTwJGFR6v/view?usp=drivesdk")</f>
        <v>https://drive.google.com/file/d/1tin9nciEOGqNUz2Yx-ZnwQtqTwJGFR6v/view?usp=drivesdk</v>
      </c>
      <c r="C1682" s="336" t="str">
        <f>IFERROR(__xludf.DUMMYFUNCTION("""COMPUTED_VALUE"""),"3329308.pdf")</f>
        <v>3329308.pdf</v>
      </c>
      <c r="D1682" s="156" t="str">
        <f>IFERROR(__xludf.DUMMYFUNCTION("""COMPUTED_VALUE"""),"application/pdf")</f>
        <v>application/pdf</v>
      </c>
    </row>
    <row r="1683">
      <c r="A1683" s="336" t="str">
        <f>IFERROR(__xludf.DUMMYFUNCTION("""COMPUTED_VALUE"""),"10.1038/nature13530")</f>
        <v>10.1038/nature13530</v>
      </c>
      <c r="B1683" s="442" t="str">
        <f>IFERROR(__xludf.DUMMYFUNCTION("""COMPUTED_VALUE"""),"https://docs.google.com/document/d/15ukjAVIprceHouxCDvFr3DO3hAQxWGyoAXtWMm3JZas/edit?usp=drivesdk")</f>
        <v>https://docs.google.com/document/d/15ukjAVIprceHouxCDvFr3DO3hAQxWGyoAXtWMm3JZas/edit?usp=drivesdk</v>
      </c>
      <c r="C1683" s="336" t="str">
        <f>IFERROR(__xludf.DUMMYFUNCTION("""COMPUTED_VALUE"""),"10.1038--nature13530")</f>
        <v>10.1038--nature13530</v>
      </c>
      <c r="D1683" s="156" t="str">
        <f>IFERROR(__xludf.DUMMYFUNCTION("""COMPUTED_VALUE"""),"application/vnd.google-apps.document")</f>
        <v>application/vnd.google-apps.document</v>
      </c>
    </row>
    <row r="1684">
      <c r="A1684" s="336" t="str">
        <f>IFERROR(__xludf.DUMMYFUNCTION("""COMPUTED_VALUE"""),"10.1109/iccq60895.2024.10576941")</f>
        <v>10.1109/iccq60895.2024.10576941</v>
      </c>
      <c r="B1684" s="442" t="str">
        <f>IFERROR(__xludf.DUMMYFUNCTION("""COMPUTED_VALUE"""),"https://drive.google.com/file/d/1ljVoDtYBz0iPIIVFLmoGyAGWDfVCncq9/view?usp=drivesdk")</f>
        <v>https://drive.google.com/file/d/1ljVoDtYBz0iPIIVFLmoGyAGWDfVCncq9/view?usp=drivesdk</v>
      </c>
      <c r="C1684" s="336" t="str">
        <f>IFERROR(__xludf.DUMMYFUNCTION("""COMPUTED_VALUE"""),"10.1109--iccq60895.2024.10576941.pdf")</f>
        <v>10.1109--iccq60895.2024.10576941.pdf</v>
      </c>
      <c r="D1684" s="156" t="str">
        <f>IFERROR(__xludf.DUMMYFUNCTION("""COMPUTED_VALUE"""),"application/pdf")</f>
        <v>application/pdf</v>
      </c>
    </row>
    <row r="1685">
      <c r="A1685" s="336" t="str">
        <f>IFERROR(__xludf.DUMMYFUNCTION("""COMPUTED_VALUE"""),"10.1037/emo0001389")</f>
        <v>10.1037/emo0001389</v>
      </c>
      <c r="B1685" s="442" t="str">
        <f>IFERROR(__xludf.DUMMYFUNCTION("""COMPUTED_VALUE"""),"https://drive.google.com/file/d/1EK0iig6kRzrCroz49dDEP_mf3A-HoVQR/view?usp=drivesdk")</f>
        <v>https://drive.google.com/file/d/1EK0iig6kRzrCroz49dDEP_mf3A-HoVQR/view?usp=drivesdk</v>
      </c>
      <c r="C1685" s="336" t="str">
        <f>IFERROR(__xludf.DUMMYFUNCTION("""COMPUTED_VALUE"""),"10.1037--emo0001389.pdf")</f>
        <v>10.1037--emo0001389.pdf</v>
      </c>
      <c r="D1685" s="156" t="str">
        <f>IFERROR(__xludf.DUMMYFUNCTION("""COMPUTED_VALUE"""),"application/pdf")</f>
        <v>application/pdf</v>
      </c>
    </row>
    <row r="1686">
      <c r="A1686" s="336" t="str">
        <f>IFERROR(__xludf.DUMMYFUNCTION("""COMPUTED_VALUE"""),"10.1037/0096-3445.135.4.641 (1)")</f>
        <v>10.1037/0096-3445.135.4.641 (1)</v>
      </c>
      <c r="B1686" s="442" t="str">
        <f>IFERROR(__xludf.DUMMYFUNCTION("""COMPUTED_VALUE"""),"https://drive.google.com/file/d/1zwRoxz5Sn0X6IsPbbi0ZGnyNqMlsqV_i/view?usp=drivesdk")</f>
        <v>https://drive.google.com/file/d/1zwRoxz5Sn0X6IsPbbi0ZGnyNqMlsqV_i/view?usp=drivesdk</v>
      </c>
      <c r="C1686" s="336" t="str">
        <f>IFERROR(__xludf.DUMMYFUNCTION("""COMPUTED_VALUE"""),"10.1037--0096-3445.135.4.641 (1).pdf")</f>
        <v>10.1037--0096-3445.135.4.641 (1).pdf</v>
      </c>
      <c r="D1686" s="156" t="str">
        <f>IFERROR(__xludf.DUMMYFUNCTION("""COMPUTED_VALUE"""),"application/pdf")</f>
        <v>application/pdf</v>
      </c>
    </row>
    <row r="1687">
      <c r="A1687" s="336" t="str">
        <f>IFERROR(__xludf.DUMMYFUNCTION("""COMPUTED_VALUE"""),"10.1016/j.cognition.2009.02.001")</f>
        <v>10.1016/j.cognition.2009.02.001</v>
      </c>
      <c r="B1687" s="442" t="str">
        <f>IFERROR(__xludf.DUMMYFUNCTION("""COMPUTED_VALUE"""),"https://drive.google.com/file/d/14dOJ5ND4VtF3gZcZWTmHDAh5mU0QkdYy/view?usp=drivesdk")</f>
        <v>https://drive.google.com/file/d/14dOJ5ND4VtF3gZcZWTmHDAh5mU0QkdYy/view?usp=drivesdk</v>
      </c>
      <c r="C1687" s="336" t="str">
        <f>IFERROR(__xludf.DUMMYFUNCTION("""COMPUTED_VALUE"""),"10.1016--j.cognition.2009.02.001.pdf")</f>
        <v>10.1016--j.cognition.2009.02.001.pdf</v>
      </c>
      <c r="D1687" s="156" t="str">
        <f>IFERROR(__xludf.DUMMYFUNCTION("""COMPUTED_VALUE"""),"application/pdf")</f>
        <v>application/pdf</v>
      </c>
    </row>
    <row r="1688">
      <c r="A1688" s="336" t="str">
        <f>IFERROR(__xludf.DUMMYFUNCTION("""COMPUTED_VALUE"""),"10.1038/nn1504 (1)")</f>
        <v>10.1038/nn1504 (1)</v>
      </c>
      <c r="B1688" s="442" t="str">
        <f>IFERROR(__xludf.DUMMYFUNCTION("""COMPUTED_VALUE"""),"https://drive.google.com/file/d/1VZDnfEGeyJj49a66gDRh43UDo7SaB9Cn/view?usp=drivesdk")</f>
        <v>https://drive.google.com/file/d/1VZDnfEGeyJj49a66gDRh43UDo7SaB9Cn/view?usp=drivesdk</v>
      </c>
      <c r="C1688" s="336" t="str">
        <f>IFERROR(__xludf.DUMMYFUNCTION("""COMPUTED_VALUE"""),"10.1038--nn1504 (1).pdf")</f>
        <v>10.1038--nn1504 (1).pdf</v>
      </c>
      <c r="D1688" s="156" t="str">
        <f>IFERROR(__xludf.DUMMYFUNCTION("""COMPUTED_VALUE"""),"application/pdf")</f>
        <v>application/pdf</v>
      </c>
    </row>
    <row r="1689">
      <c r="A1689" s="336" t="str">
        <f>IFERROR(__xludf.DUMMYFUNCTION("""COMPUTED_VALUE"""),"10.1037/0278-7393.34.2.302 (1)")</f>
        <v>10.1037/0278-7393.34.2.302 (1)</v>
      </c>
      <c r="B1689" s="442" t="str">
        <f>IFERROR(__xludf.DUMMYFUNCTION("""COMPUTED_VALUE"""),"https://drive.google.com/file/d/1pN298dROLwX3oulVt9Wn2-PIOt25aqoR/view?usp=drivesdk")</f>
        <v>https://drive.google.com/file/d/1pN298dROLwX3oulVt9Wn2-PIOt25aqoR/view?usp=drivesdk</v>
      </c>
      <c r="C1689" s="336" t="str">
        <f>IFERROR(__xludf.DUMMYFUNCTION("""COMPUTED_VALUE"""),"10.1037--0278-7393.34.2.302 (1).pdf")</f>
        <v>10.1037--0278-7393.34.2.302 (1).pdf</v>
      </c>
      <c r="D1689" s="156" t="str">
        <f>IFERROR(__xludf.DUMMYFUNCTION("""COMPUTED_VALUE"""),"application/pdf")</f>
        <v>application/pdf</v>
      </c>
    </row>
    <row r="1690">
      <c r="A1690" s="336" t="str">
        <f>IFERROR(__xludf.DUMMYFUNCTION("""COMPUTED_VALUE"""),"10.1006/jmla.1998.2602 (1)")</f>
        <v>10.1006/jmla.1998.2602 (1)</v>
      </c>
      <c r="B1690" s="442" t="str">
        <f>IFERROR(__xludf.DUMMYFUNCTION("""COMPUTED_VALUE"""),"https://drive.google.com/file/d/19a3lbO9orvIn9kSVhTa4wHPIOE8aXVyn/view?usp=drivesdk")</f>
        <v>https://drive.google.com/file/d/19a3lbO9orvIn9kSVhTa4wHPIOE8aXVyn/view?usp=drivesdk</v>
      </c>
      <c r="C1690" s="336" t="str">
        <f>IFERROR(__xludf.DUMMYFUNCTION("""COMPUTED_VALUE"""),"10.1006--jmla.1998.2602 (1).pdf")</f>
        <v>10.1006--jmla.1998.2602 (1).pdf</v>
      </c>
      <c r="D1690" s="156" t="str">
        <f>IFERROR(__xludf.DUMMYFUNCTION("""COMPUTED_VALUE"""),"application/pdf")</f>
        <v>application/pdf</v>
      </c>
    </row>
    <row r="1691">
      <c r="A1691" s="336" t="str">
        <f>IFERROR(__xludf.DUMMYFUNCTION("""COMPUTED_VALUE"""),"10.1007/s13752-015-0219-x")</f>
        <v>10.1007/s13752-015-0219-x</v>
      </c>
      <c r="B1691" s="442" t="str">
        <f>IFERROR(__xludf.DUMMYFUNCTION("""COMPUTED_VALUE"""),"https://drive.google.com/file/d/1Vzq0za2tbbXf0MOd29FuWvFP-2e12RCg/view?usp=drivesdk")</f>
        <v>https://drive.google.com/file/d/1Vzq0za2tbbXf0MOd29FuWvFP-2e12RCg/view?usp=drivesdk</v>
      </c>
      <c r="C1691" s="336" t="str">
        <f>IFERROR(__xludf.DUMMYFUNCTION("""COMPUTED_VALUE"""),"10.1007--s13752-015-0219-x.pdf")</f>
        <v>10.1007--s13752-015-0219-x.pdf</v>
      </c>
      <c r="D1691" s="156" t="str">
        <f>IFERROR(__xludf.DUMMYFUNCTION("""COMPUTED_VALUE"""),"application/pdf")</f>
        <v>application/pdf</v>
      </c>
    </row>
    <row r="1692">
      <c r="A1692" s="336" t="str">
        <f>IFERROR(__xludf.DUMMYFUNCTION("""COMPUTED_VALUE"""),"10.1037/h0032317 (1)")</f>
        <v>10.1037/h0032317 (1)</v>
      </c>
      <c r="B1692" s="442" t="str">
        <f>IFERROR(__xludf.DUMMYFUNCTION("""COMPUTED_VALUE"""),"https://drive.google.com/file/d/1gH5vScUQpI_fyA6bvJhOrh1BXm6M7wuu/view?usp=drivesdk")</f>
        <v>https://drive.google.com/file/d/1gH5vScUQpI_fyA6bvJhOrh1BXm6M7wuu/view?usp=drivesdk</v>
      </c>
      <c r="C1692" s="336" t="str">
        <f>IFERROR(__xludf.DUMMYFUNCTION("""COMPUTED_VALUE"""),"10.1037--h0032317 (1).pdf")</f>
        <v>10.1037--h0032317 (1).pdf</v>
      </c>
      <c r="D1692" s="156" t="str">
        <f>IFERROR(__xludf.DUMMYFUNCTION("""COMPUTED_VALUE"""),"application/pdf")</f>
        <v>application/pdf</v>
      </c>
    </row>
    <row r="1693">
      <c r="A1693" s="336" t="str">
        <f>IFERROR(__xludf.DUMMYFUNCTION("""COMPUTED_VALUE"""),"10.1037/0096-3445.108.4.441 (1)")</f>
        <v>10.1037/0096-3445.108.4.441 (1)</v>
      </c>
      <c r="B1693" s="442" t="str">
        <f>IFERROR(__xludf.DUMMYFUNCTION("""COMPUTED_VALUE"""),"https://drive.google.com/file/d/1tZIfJB058zdF5aUmxzNo3WGNtaIxEYBi/view?usp=drivesdk")</f>
        <v>https://drive.google.com/file/d/1tZIfJB058zdF5aUmxzNo3WGNtaIxEYBi/view?usp=drivesdk</v>
      </c>
      <c r="C1693" s="336" t="str">
        <f>IFERROR(__xludf.DUMMYFUNCTION("""COMPUTED_VALUE"""),"10.1037--0096-3445.108.4.441 (1).pdf")</f>
        <v>10.1037--0096-3445.108.4.441 (1).pdf</v>
      </c>
      <c r="D1693" s="156" t="str">
        <f>IFERROR(__xludf.DUMMYFUNCTION("""COMPUTED_VALUE"""),"application/pdf")</f>
        <v>application/pdf</v>
      </c>
    </row>
    <row r="1694">
      <c r="A1694" s="336" t="str">
        <f>IFERROR(__xludf.DUMMYFUNCTION("""COMPUTED_VALUE"""),"10.1038/365611a0 (1)")</f>
        <v>10.1038/365611a0 (1)</v>
      </c>
      <c r="B1694" s="442" t="str">
        <f>IFERROR(__xludf.DUMMYFUNCTION("""COMPUTED_VALUE"""),"https://drive.google.com/file/d/1zwhQmNxjp14soK3-40ryikikjujtIUBo/view?usp=drivesdk")</f>
        <v>https://drive.google.com/file/d/1zwhQmNxjp14soK3-40ryikikjujtIUBo/view?usp=drivesdk</v>
      </c>
      <c r="C1694" s="336" t="str">
        <f>IFERROR(__xludf.DUMMYFUNCTION("""COMPUTED_VALUE"""),"10.1038--365611a0 (1).pdf")</f>
        <v>10.1038--365611a0 (1).pdf</v>
      </c>
      <c r="D1694" s="156" t="str">
        <f>IFERROR(__xludf.DUMMYFUNCTION("""COMPUTED_VALUE"""),"application/pdf")</f>
        <v>application/pdf</v>
      </c>
    </row>
    <row r="1695">
      <c r="A1695" s="336" t="str">
        <f>IFERROR(__xludf.DUMMYFUNCTION("""COMPUTED_VALUE"""),"10.1037/0012-1649.27.5.703 (1)")</f>
        <v>10.1037/0012-1649.27.5.703 (1)</v>
      </c>
      <c r="B1695" s="442" t="str">
        <f>IFERROR(__xludf.DUMMYFUNCTION("""COMPUTED_VALUE"""),"https://drive.google.com/file/d/1OFquFaz47F3N7YxYEZs3N0lm43AFUxqH/view?usp=drivesdk")</f>
        <v>https://drive.google.com/file/d/1OFquFaz47F3N7YxYEZs3N0lm43AFUxqH/view?usp=drivesdk</v>
      </c>
      <c r="C1695" s="336" t="str">
        <f>IFERROR(__xludf.DUMMYFUNCTION("""COMPUTED_VALUE"""),"10.1037--0012-1649.27.5.703 (1).pdf")</f>
        <v>10.1037--0012-1649.27.5.703 (1).pdf</v>
      </c>
      <c r="D1695" s="156" t="str">
        <f>IFERROR(__xludf.DUMMYFUNCTION("""COMPUTED_VALUE"""),"application/pdf")</f>
        <v>application/pdf</v>
      </c>
    </row>
    <row r="1696">
      <c r="A1696" s="336" t="str">
        <f>IFERROR(__xludf.DUMMYFUNCTION("""COMPUTED_VALUE"""),"10.3758/pbr.15.1.70")</f>
        <v>10.3758/pbr.15.1.70</v>
      </c>
      <c r="B1696" s="442" t="str">
        <f>IFERROR(__xludf.DUMMYFUNCTION("""COMPUTED_VALUE"""),"https://drive.google.com/file/d/1kHUPZx3h_B6XPvWiwIKYjyxxXAvuCZky/view?usp=drivesdk")</f>
        <v>https://drive.google.com/file/d/1kHUPZx3h_B6XPvWiwIKYjyxxXAvuCZky/view?usp=drivesdk</v>
      </c>
      <c r="C1696" s="336" t="str">
        <f>IFERROR(__xludf.DUMMYFUNCTION("""COMPUTED_VALUE"""),"10.3758--pbr.15.1.70.pdf")</f>
        <v>10.3758--pbr.15.1.70.pdf</v>
      </c>
      <c r="D1696" s="156" t="str">
        <f>IFERROR(__xludf.DUMMYFUNCTION("""COMPUTED_VALUE"""),"application/pdf")</f>
        <v>application/pdf</v>
      </c>
    </row>
    <row r="1697">
      <c r="A1697" s="336" t="str">
        <f>IFERROR(__xludf.DUMMYFUNCTION("""COMPUTED_VALUE"""),"10.1016/j.cognition.2014.08.007")</f>
        <v>10.1016/j.cognition.2014.08.007</v>
      </c>
      <c r="B1697" s="442" t="str">
        <f>IFERROR(__xludf.DUMMYFUNCTION("""COMPUTED_VALUE"""),"https://drive.google.com/file/d/1wLaBoP1xnyM5YvhTbp0wBKftvxK6iXtN/view?usp=drivesdk")</f>
        <v>https://drive.google.com/file/d/1wLaBoP1xnyM5YvhTbp0wBKftvxK6iXtN/view?usp=drivesdk</v>
      </c>
      <c r="C1697" s="336" t="str">
        <f>IFERROR(__xludf.DUMMYFUNCTION("""COMPUTED_VALUE"""),"10.1016--j.cognition.2014.08.007.pdf")</f>
        <v>10.1016--j.cognition.2014.08.007.pdf</v>
      </c>
      <c r="D1697" s="156" t="str">
        <f>IFERROR(__xludf.DUMMYFUNCTION("""COMPUTED_VALUE"""),"application/pdf")</f>
        <v>application/pdf</v>
      </c>
    </row>
    <row r="1698">
      <c r="A1698" s="336" t="str">
        <f>IFERROR(__xludf.DUMMYFUNCTION("""COMPUTED_VALUE"""),"10.1080/17470210903380830 (1)")</f>
        <v>10.1080/17470210903380830 (1)</v>
      </c>
      <c r="B1698" s="442" t="str">
        <f>IFERROR(__xludf.DUMMYFUNCTION("""COMPUTED_VALUE"""),"https://drive.google.com/file/d/1k4G770E5hE0owoWvblXVTUu0uvORD8Qa/view?usp=drivesdk")</f>
        <v>https://drive.google.com/file/d/1k4G770E5hE0owoWvblXVTUu0uvORD8Qa/view?usp=drivesdk</v>
      </c>
      <c r="C1698" s="336" t="str">
        <f>IFERROR(__xludf.DUMMYFUNCTION("""COMPUTED_VALUE"""),"10.1080--17470210903380830 (1).pdf")</f>
        <v>10.1080--17470210903380830 (1).pdf</v>
      </c>
      <c r="D1698" s="156" t="str">
        <f>IFERROR(__xludf.DUMMYFUNCTION("""COMPUTED_VALUE"""),"application/pdf")</f>
        <v>application/pdf</v>
      </c>
    </row>
    <row r="1699">
      <c r="A1699" s="336" t="str">
        <f>IFERROR(__xludf.DUMMYFUNCTION("""COMPUTED_VALUE"""),"10.1080/713755779 (1)")</f>
        <v>10.1080/713755779 (1)</v>
      </c>
      <c r="B1699" s="442" t="str">
        <f>IFERROR(__xludf.DUMMYFUNCTION("""COMPUTED_VALUE"""),"https://drive.google.com/file/d/1tJdhVk4Vn-qFJw4c7_lMMTliT5FjiQyV/view?usp=drivesdk")</f>
        <v>https://drive.google.com/file/d/1tJdhVk4Vn-qFJw4c7_lMMTliT5FjiQyV/view?usp=drivesdk</v>
      </c>
      <c r="C1699" s="336" t="str">
        <f>IFERROR(__xludf.DUMMYFUNCTION("""COMPUTED_VALUE"""),"10.1080--713755779 (1).pdf")</f>
        <v>10.1080--713755779 (1).pdf</v>
      </c>
      <c r="D1699" s="156" t="str">
        <f>IFERROR(__xludf.DUMMYFUNCTION("""COMPUTED_VALUE"""),"application/pdf")</f>
        <v>application/pdf</v>
      </c>
    </row>
    <row r="1700">
      <c r="A1700" s="336" t="str">
        <f>IFERROR(__xludf.DUMMYFUNCTION("""COMPUTED_VALUE"""),"10.1080/17470218.2016.1253756 (1)")</f>
        <v>10.1080/17470218.2016.1253756 (1)</v>
      </c>
      <c r="B1700" s="442" t="str">
        <f>IFERROR(__xludf.DUMMYFUNCTION("""COMPUTED_VALUE"""),"https://drive.google.com/file/d/1RsHwxVTBzUNFBPZhCDdGTcSVgCrwTTK7/view?usp=drivesdk")</f>
        <v>https://drive.google.com/file/d/1RsHwxVTBzUNFBPZhCDdGTcSVgCrwTTK7/view?usp=drivesdk</v>
      </c>
      <c r="C1700" s="336" t="str">
        <f>IFERROR(__xludf.DUMMYFUNCTION("""COMPUTED_VALUE"""),"10.1080--17470218.2016.1253756 (1).pdf")</f>
        <v>10.1080--17470218.2016.1253756 (1).pdf</v>
      </c>
      <c r="D1700" s="156" t="str">
        <f>IFERROR(__xludf.DUMMYFUNCTION("""COMPUTED_VALUE"""),"application/pdf")</f>
        <v>application/pdf</v>
      </c>
    </row>
    <row r="1701">
      <c r="A1701" s="336" t="str">
        <f>IFERROR(__xludf.DUMMYFUNCTION("""COMPUTED_VALUE"""),"10.1037/0278-7393.29.6.1312 (1)")</f>
        <v>10.1037/0278-7393.29.6.1312 (1)</v>
      </c>
      <c r="B1701" s="442" t="str">
        <f>IFERROR(__xludf.DUMMYFUNCTION("""COMPUTED_VALUE"""),"https://drive.google.com/file/d/1OGQs1lmQWehhi8Ls7qZW8us---Htsb3Q/view?usp=drivesdk")</f>
        <v>https://drive.google.com/file/d/1OGQs1lmQWehhi8Ls7qZW8us---Htsb3Q/view?usp=drivesdk</v>
      </c>
      <c r="C1701" s="336" t="str">
        <f>IFERROR(__xludf.DUMMYFUNCTION("""COMPUTED_VALUE"""),"10.1037--0278-7393.29.6.1312 (1).pdf")</f>
        <v>10.1037--0278-7393.29.6.1312 (1).pdf</v>
      </c>
      <c r="D1701" s="156" t="str">
        <f>IFERROR(__xludf.DUMMYFUNCTION("""COMPUTED_VALUE"""),"application/pdf")</f>
        <v>application/pdf</v>
      </c>
    </row>
    <row r="1702">
      <c r="A1702" s="336" t="str">
        <f>IFERROR(__xludf.DUMMYFUNCTION("""COMPUTED_VALUE"""),"10.1080/13506280544000093 (1)")</f>
        <v>10.1080/13506280544000093 (1)</v>
      </c>
      <c r="B1702" s="442" t="str">
        <f>IFERROR(__xludf.DUMMYFUNCTION("""COMPUTED_VALUE"""),"https://drive.google.com/file/d/1RfTng7c7i7RaxBtl4QtmPb5tv1Ufc5Bc/view?usp=drivesdk")</f>
        <v>https://drive.google.com/file/d/1RfTng7c7i7RaxBtl4QtmPb5tv1Ufc5Bc/view?usp=drivesdk</v>
      </c>
      <c r="C1702" s="336" t="str">
        <f>IFERROR(__xludf.DUMMYFUNCTION("""COMPUTED_VALUE"""),"10.1080--13506280544000093 (1).pdf")</f>
        <v>10.1080--13506280544000093 (1).pdf</v>
      </c>
      <c r="D1702" s="156" t="str">
        <f>IFERROR(__xludf.DUMMYFUNCTION("""COMPUTED_VALUE"""),"application/pdf")</f>
        <v>application/pdf</v>
      </c>
    </row>
    <row r="1703">
      <c r="A1703" s="336" t="str">
        <f>IFERROR(__xludf.DUMMYFUNCTION("""COMPUTED_VALUE"""),"10.1080/095414400382208 (1)")</f>
        <v>10.1080/095414400382208 (1)</v>
      </c>
      <c r="B1703" s="442" t="str">
        <f>IFERROR(__xludf.DUMMYFUNCTION("""COMPUTED_VALUE"""),"https://drive.google.com/file/d/1v0sDX0MqlrUpKGVTRWm4hWA1ClaDB-o4/view?usp=drivesdk")</f>
        <v>https://drive.google.com/file/d/1v0sDX0MqlrUpKGVTRWm4hWA1ClaDB-o4/view?usp=drivesdk</v>
      </c>
      <c r="C1703" s="336" t="str">
        <f>IFERROR(__xludf.DUMMYFUNCTION("""COMPUTED_VALUE"""),"10.1080--095414400382208 (1).pdf")</f>
        <v>10.1080--095414400382208 (1).pdf</v>
      </c>
      <c r="D1703" s="156" t="str">
        <f>IFERROR(__xludf.DUMMYFUNCTION("""COMPUTED_VALUE"""),"application/pdf")</f>
        <v>application/pdf</v>
      </c>
    </row>
    <row r="1704">
      <c r="A1704" s="336" t="str">
        <f>IFERROR(__xludf.DUMMYFUNCTION("""COMPUTED_VALUE"""),"10.1016/s0022-5371(78)90110-x")</f>
        <v>10.1016/s0022-5371(78)90110-x</v>
      </c>
      <c r="B1704" s="442" t="str">
        <f>IFERROR(__xludf.DUMMYFUNCTION("""COMPUTED_VALUE"""),"https://drive.google.com/file/d/1ZD3-K7xghBRrVzzov8pEkGyv61Pn34My/view?usp=drivesdk")</f>
        <v>https://drive.google.com/file/d/1ZD3-K7xghBRrVzzov8pEkGyv61Pn34My/view?usp=drivesdk</v>
      </c>
      <c r="C1704" s="336" t="str">
        <f>IFERROR(__xludf.DUMMYFUNCTION("""COMPUTED_VALUE"""),"10.1016--s0022-5371(78)90110-x.pdf")</f>
        <v>10.1016--s0022-5371(78)90110-x.pdf</v>
      </c>
      <c r="D1704" s="156" t="str">
        <f>IFERROR(__xludf.DUMMYFUNCTION("""COMPUTED_VALUE"""),"application/pdf")</f>
        <v>application/pdf</v>
      </c>
    </row>
    <row r="1705">
      <c r="A1705" s="336" t="str">
        <f>IFERROR(__xludf.DUMMYFUNCTION("""COMPUTED_VALUE"""),"10.1016/0022-0965(84)90064-x")</f>
        <v>10.1016/0022-0965(84)90064-x</v>
      </c>
      <c r="B1705" s="442" t="str">
        <f>IFERROR(__xludf.DUMMYFUNCTION("""COMPUTED_VALUE"""),"https://drive.google.com/file/d/1R4A7I9qCrUqFgaOi5jWAadFyXRp-Hhlv/view?usp=drivesdk")</f>
        <v>https://drive.google.com/file/d/1R4A7I9qCrUqFgaOi5jWAadFyXRp-Hhlv/view?usp=drivesdk</v>
      </c>
      <c r="C1705" s="336" t="str">
        <f>IFERROR(__xludf.DUMMYFUNCTION("""COMPUTED_VALUE"""),"10.1016--0022-0965(84)90064-x.pdf")</f>
        <v>10.1016--0022-0965(84)90064-x.pdf</v>
      </c>
      <c r="D1705" s="156" t="str">
        <f>IFERROR(__xludf.DUMMYFUNCTION("""COMPUTED_VALUE"""),"application/pdf")</f>
        <v>application/pdf</v>
      </c>
    </row>
    <row r="1706">
      <c r="A1706" s="336" t="str">
        <f>IFERROR(__xludf.DUMMYFUNCTION("""COMPUTED_VALUE"""),"10.1016/s0010-0277(99)00052-9 (1)")</f>
        <v>10.1016/s0010-0277(99)00052-9 (1)</v>
      </c>
      <c r="B1706" s="442" t="str">
        <f>IFERROR(__xludf.DUMMYFUNCTION("""COMPUTED_VALUE"""),"https://drive.google.com/file/d/1Gz4uZ-S5sDQDTjnZX5WWbthnPV2eYmNm/view?usp=drivesdk")</f>
        <v>https://drive.google.com/file/d/1Gz4uZ-S5sDQDTjnZX5WWbthnPV2eYmNm/view?usp=drivesdk</v>
      </c>
      <c r="C1706" s="336" t="str">
        <f>IFERROR(__xludf.DUMMYFUNCTION("""COMPUTED_VALUE"""),"10.1016--s0010-0277(99)00052-9 (1).pdf")</f>
        <v>10.1016--s0010-0277(99)00052-9 (1).pdf</v>
      </c>
      <c r="D1706" s="156" t="str">
        <f>IFERROR(__xludf.DUMMYFUNCTION("""COMPUTED_VALUE"""),"application/pdf")</f>
        <v>application/pdf</v>
      </c>
    </row>
    <row r="1707">
      <c r="A1707" s="336" t="str">
        <f>IFERROR(__xludf.DUMMYFUNCTION("""COMPUTED_VALUE"""),"10.1111/j.2044-8295.1997.tb02648.x (1)")</f>
        <v>10.1111/j.2044-8295.1997.tb02648.x (1)</v>
      </c>
      <c r="B1707" s="442" t="str">
        <f>IFERROR(__xludf.DUMMYFUNCTION("""COMPUTED_VALUE"""),"https://drive.google.com/file/d/1cC7F5Emgvx8u0Dfs1MQ2f29zE6TMWOU8/view?usp=drivesdk")</f>
        <v>https://drive.google.com/file/d/1cC7F5Emgvx8u0Dfs1MQ2f29zE6TMWOU8/view?usp=drivesdk</v>
      </c>
      <c r="C1707" s="336" t="str">
        <f>IFERROR(__xludf.DUMMYFUNCTION("""COMPUTED_VALUE"""),"10.1111--j.2044-8295.1997.tb02648.x (1).pdf")</f>
        <v>10.1111--j.2044-8295.1997.tb02648.x (1).pdf</v>
      </c>
      <c r="D1707" s="156" t="str">
        <f>IFERROR(__xludf.DUMMYFUNCTION("""COMPUTED_VALUE"""),"application/pdf")</f>
        <v>application/pdf</v>
      </c>
    </row>
    <row r="1708">
      <c r="A1708" s="336" t="str">
        <f>IFERROR(__xludf.DUMMYFUNCTION("""COMPUTED_VALUE"""),"10.1111/j.1467-9280.2006.01824.x (1)")</f>
        <v>10.1111/j.1467-9280.2006.01824.x (1)</v>
      </c>
      <c r="B1708" s="442" t="str">
        <f>IFERROR(__xludf.DUMMYFUNCTION("""COMPUTED_VALUE"""),"https://drive.google.com/file/d/1Yi0-osiDCwvqr4jJfxit-NVW7RQ1SF29/view?usp=drivesdk")</f>
        <v>https://drive.google.com/file/d/1Yi0-osiDCwvqr4jJfxit-NVW7RQ1SF29/view?usp=drivesdk</v>
      </c>
      <c r="C1708" s="336" t="str">
        <f>IFERROR(__xludf.DUMMYFUNCTION("""COMPUTED_VALUE"""),"10.1111--j.1467-9280.2006.01824.x (1).pdf")</f>
        <v>10.1111--j.1467-9280.2006.01824.x (1).pdf</v>
      </c>
      <c r="D1708" s="156" t="str">
        <f>IFERROR(__xludf.DUMMYFUNCTION("""COMPUTED_VALUE"""),"application/pdf")</f>
        <v>application/pdf</v>
      </c>
    </row>
    <row r="1709">
      <c r="A1709" s="336" t="str">
        <f>IFERROR(__xludf.DUMMYFUNCTION("""COMPUTED_VALUE"""),"10.1016/j.paid.2009.12.007 (1)")</f>
        <v>10.1016/j.paid.2009.12.007 (1)</v>
      </c>
      <c r="B1709" s="442" t="str">
        <f>IFERROR(__xludf.DUMMYFUNCTION("""COMPUTED_VALUE"""),"https://drive.google.com/file/d/1GqJOi3_wzA-P33ijSTbAmoPX6C_MOsTC/view?usp=drivesdk")</f>
        <v>https://drive.google.com/file/d/1GqJOi3_wzA-P33ijSTbAmoPX6C_MOsTC/view?usp=drivesdk</v>
      </c>
      <c r="C1709" s="336" t="str">
        <f>IFERROR(__xludf.DUMMYFUNCTION("""COMPUTED_VALUE"""),"10.1016--j.paid.2009.12.007 (1).pdf")</f>
        <v>10.1016--j.paid.2009.12.007 (1).pdf</v>
      </c>
      <c r="D1709" s="156" t="str">
        <f>IFERROR(__xludf.DUMMYFUNCTION("""COMPUTED_VALUE"""),"application/pdf")</f>
        <v>application/pdf</v>
      </c>
    </row>
    <row r="1710">
      <c r="A1710" s="336" t="str">
        <f>IFERROR(__xludf.DUMMYFUNCTION("""COMPUTED_VALUE"""),"10.1257/app.20160278")</f>
        <v>10.1257/app.20160278</v>
      </c>
      <c r="B1710" s="442" t="str">
        <f>IFERROR(__xludf.DUMMYFUNCTION("""COMPUTED_VALUE"""),"https://drive.google.com/file/d/1B5OEhsR85ozE9snbNlRjA9--q4dxVbDt/view?usp=drivesdk")</f>
        <v>https://drive.google.com/file/d/1B5OEhsR85ozE9snbNlRjA9--q4dxVbDt/view?usp=drivesdk</v>
      </c>
      <c r="C1710" s="336" t="str">
        <f>IFERROR(__xludf.DUMMYFUNCTION("""COMPUTED_VALUE"""),"10.1257--app.20160278.pdf")</f>
        <v>10.1257--app.20160278.pdf</v>
      </c>
      <c r="D1710" s="156" t="str">
        <f>IFERROR(__xludf.DUMMYFUNCTION("""COMPUTED_VALUE"""),"application/pdf")</f>
        <v>application/pdf</v>
      </c>
    </row>
    <row r="1711">
      <c r="A1711" s="336" t="str">
        <f>IFERROR(__xludf.DUMMYFUNCTION("""COMPUTED_VALUE"""),"10.1126/science.1121629 (1)")</f>
        <v>10.1126/science.1121629 (1)</v>
      </c>
      <c r="B1711" s="442" t="str">
        <f>IFERROR(__xludf.DUMMYFUNCTION("""COMPUTED_VALUE"""),"https://drive.google.com/file/d/1lJHfVkGHOcLEsOsMmffxCq25FloygVUf/view?usp=drivesdk")</f>
        <v>https://drive.google.com/file/d/1lJHfVkGHOcLEsOsMmffxCq25FloygVUf/view?usp=drivesdk</v>
      </c>
      <c r="C1711" s="336" t="str">
        <f>IFERROR(__xludf.DUMMYFUNCTION("""COMPUTED_VALUE"""),"10.1126--science.1121629 (1).pdf")</f>
        <v>10.1126--science.1121629 (1).pdf</v>
      </c>
      <c r="D1711" s="156" t="str">
        <f>IFERROR(__xludf.DUMMYFUNCTION("""COMPUTED_VALUE"""),"application/pdf")</f>
        <v>application/pdf</v>
      </c>
    </row>
    <row r="1712">
      <c r="A1712" s="336" t="str">
        <f>IFERROR(__xludf.DUMMYFUNCTION("""COMPUTED_VALUE"""),"10.1007/s00424-016-1852-3")</f>
        <v>10.1007/s00424-016-1852-3</v>
      </c>
      <c r="B1712" s="442" t="str">
        <f>IFERROR(__xludf.DUMMYFUNCTION("""COMPUTED_VALUE"""),"https://drive.google.com/file/d/1ig1riLJkwYA9QD_LRKQNT-2fw-KmcoZV/view?usp=drivesdk")</f>
        <v>https://drive.google.com/file/d/1ig1riLJkwYA9QD_LRKQNT-2fw-KmcoZV/view?usp=drivesdk</v>
      </c>
      <c r="C1712" s="336" t="str">
        <f>IFERROR(__xludf.DUMMYFUNCTION("""COMPUTED_VALUE"""),"10.1007--s00424-016-1852-3.pdf")</f>
        <v>10.1007--s00424-016-1852-3.pdf</v>
      </c>
      <c r="D1712" s="156" t="str">
        <f>IFERROR(__xludf.DUMMYFUNCTION("""COMPUTED_VALUE"""),"application/pdf")</f>
        <v>application/pdf</v>
      </c>
    </row>
    <row r="1713">
      <c r="A1713" s="336" t="str">
        <f>IFERROR(__xludf.DUMMYFUNCTION("""COMPUTED_VALUE"""),"10.1093/brain/106.3.623")</f>
        <v>10.1093/brain/106.3.623</v>
      </c>
      <c r="B1713" s="442" t="str">
        <f>IFERROR(__xludf.DUMMYFUNCTION("""COMPUTED_VALUE"""),"https://drive.google.com/file/d/1TyonuU8faoL3qvV0nV5rWJKfa6ikeq22/view?usp=drivesdk")</f>
        <v>https://drive.google.com/file/d/1TyonuU8faoL3qvV0nV5rWJKfa6ikeq22/view?usp=drivesdk</v>
      </c>
      <c r="C1713" s="336" t="str">
        <f>IFERROR(__xludf.DUMMYFUNCTION("""COMPUTED_VALUE"""),"10.1093--brain--106.3.623.pdf")</f>
        <v>10.1093--brain--106.3.623.pdf</v>
      </c>
      <c r="D1713" s="156" t="str">
        <f>IFERROR(__xludf.DUMMYFUNCTION("""COMPUTED_VALUE"""),"application/pdf")</f>
        <v>application/pdf</v>
      </c>
    </row>
    <row r="1714">
      <c r="A1714" s="336" t="str">
        <f>IFERROR(__xludf.DUMMYFUNCTION("""COMPUTED_VALUE"""),"10.1098/rsbl.2006.0509")</f>
        <v>10.1098/rsbl.2006.0509</v>
      </c>
      <c r="B1714" s="442" t="str">
        <f>IFERROR(__xludf.DUMMYFUNCTION("""COMPUTED_VALUE"""),"https://drive.google.com/file/d/1lCXRjhgmnokQwUX121NSqljMp58vt7m8/view?usp=drivesdk")</f>
        <v>https://drive.google.com/file/d/1lCXRjhgmnokQwUX121NSqljMp58vt7m8/view?usp=drivesdk</v>
      </c>
      <c r="C1714" s="336" t="str">
        <f>IFERROR(__xludf.DUMMYFUNCTION("""COMPUTED_VALUE"""),"10.1098--rsbl.2006.0509.pdf")</f>
        <v>10.1098--rsbl.2006.0509.pdf</v>
      </c>
      <c r="D1714" s="156" t="str">
        <f>IFERROR(__xludf.DUMMYFUNCTION("""COMPUTED_VALUE"""),"application/pdf")</f>
        <v>application/pdf</v>
      </c>
    </row>
    <row r="1715">
      <c r="A1715" s="336" t="str">
        <f>IFERROR(__xludf.DUMMYFUNCTION("""COMPUTED_VALUE"""),"10.1073/pnas.1004932107 (1)")</f>
        <v>10.1073/pnas.1004932107 (1)</v>
      </c>
      <c r="B1715" s="442" t="str">
        <f>IFERROR(__xludf.DUMMYFUNCTION("""COMPUTED_VALUE"""),"https://drive.google.com/file/d/1veAXPhnoaw_fYNAIAN16U6nUGzUSP79f/view?usp=drivesdk")</f>
        <v>https://drive.google.com/file/d/1veAXPhnoaw_fYNAIAN16U6nUGzUSP79f/view?usp=drivesdk</v>
      </c>
      <c r="C1715" s="336" t="str">
        <f>IFERROR(__xludf.DUMMYFUNCTION("""COMPUTED_VALUE"""),"10.1073--pnas.1004932107 (1).pdf")</f>
        <v>10.1073--pnas.1004932107 (1).pdf</v>
      </c>
      <c r="D1715" s="156" t="str">
        <f>IFERROR(__xludf.DUMMYFUNCTION("""COMPUTED_VALUE"""),"application/pdf")</f>
        <v>application/pdf</v>
      </c>
    </row>
    <row r="1716">
      <c r="A1716" s="336" t="str">
        <f>IFERROR(__xludf.DUMMYFUNCTION("""COMPUTED_VALUE"""),"10.1086/661890 (1)")</f>
        <v>10.1086/661890 (1)</v>
      </c>
      <c r="B1716" s="442" t="str">
        <f>IFERROR(__xludf.DUMMYFUNCTION("""COMPUTED_VALUE"""),"https://drive.google.com/file/d/1i0NZPeE_Sgjxpph9OhoD2_wsnFtzErII/view?usp=drivesdk")</f>
        <v>https://drive.google.com/file/d/1i0NZPeE_Sgjxpph9OhoD2_wsnFtzErII/view?usp=drivesdk</v>
      </c>
      <c r="C1716" s="336" t="str">
        <f>IFERROR(__xludf.DUMMYFUNCTION("""COMPUTED_VALUE"""),"10.1086--661890 (1).pdf")</f>
        <v>10.1086--661890 (1).pdf</v>
      </c>
      <c r="D1716" s="156" t="str">
        <f>IFERROR(__xludf.DUMMYFUNCTION("""COMPUTED_VALUE"""),"application/pdf")</f>
        <v>application/pdf</v>
      </c>
    </row>
    <row r="1717">
      <c r="A1717" s="336" t="str">
        <f>IFERROR(__xludf.DUMMYFUNCTION("""COMPUTED_VALUE"""),"10.1098/rsbl.2003.0134")</f>
        <v>10.1098/rsbl.2003.0134</v>
      </c>
      <c r="B1717" s="442" t="str">
        <f>IFERROR(__xludf.DUMMYFUNCTION("""COMPUTED_VALUE"""),"https://drive.google.com/file/d/1CGZJrQ0m_0WpdGbyy3zDWnj-cRg8cw5-/view?usp=drivesdk")</f>
        <v>https://drive.google.com/file/d/1CGZJrQ0m_0WpdGbyy3zDWnj-cRg8cw5-/view?usp=drivesdk</v>
      </c>
      <c r="C1717" s="336" t="str">
        <f>IFERROR(__xludf.DUMMYFUNCTION("""COMPUTED_VALUE"""),"10.1098--rsbl.2003.0134.pdf")</f>
        <v>10.1098--rsbl.2003.0134.pdf</v>
      </c>
      <c r="D1717" s="156" t="str">
        <f>IFERROR(__xludf.DUMMYFUNCTION("""COMPUTED_VALUE"""),"application/pdf")</f>
        <v>application/pdf</v>
      </c>
    </row>
    <row r="1718">
      <c r="A1718" s="336" t="str">
        <f>IFERROR(__xludf.DUMMYFUNCTION("""COMPUTED_VALUE"""),"10.1016/0047-2484(92)90081-j")</f>
        <v>10.1016/0047-2484(92)90081-j</v>
      </c>
      <c r="B1718" s="442" t="str">
        <f>IFERROR(__xludf.DUMMYFUNCTION("""COMPUTED_VALUE"""),"https://drive.google.com/file/d/1crVTyBjSvkn5rjPdGKBZFEg4w7JSp2cs/view?usp=drivesdk")</f>
        <v>https://drive.google.com/file/d/1crVTyBjSvkn5rjPdGKBZFEg4w7JSp2cs/view?usp=drivesdk</v>
      </c>
      <c r="C1718" s="336" t="str">
        <f>IFERROR(__xludf.DUMMYFUNCTION("""COMPUTED_VALUE"""),"10.1016--0047-2484(92)90081-j.pdf")</f>
        <v>10.1016--0047-2484(92)90081-j.pdf</v>
      </c>
      <c r="D1718" s="156" t="str">
        <f>IFERROR(__xludf.DUMMYFUNCTION("""COMPUTED_VALUE"""),"application/pdf")</f>
        <v>application/pdf</v>
      </c>
    </row>
    <row r="1719">
      <c r="A1719" s="336" t="str">
        <f>IFERROR(__xludf.DUMMYFUNCTION("""COMPUTED_VALUE"""),"10.1038/21557 (1)")</f>
        <v>10.1038/21557 (1)</v>
      </c>
      <c r="B1719" s="442" t="str">
        <f>IFERROR(__xludf.DUMMYFUNCTION("""COMPUTED_VALUE"""),"https://drive.google.com/file/d/1WIh1UwE7jPJA8hU3NXbY-M3lcnegUXKu/view?usp=drivesdk")</f>
        <v>https://drive.google.com/file/d/1WIh1UwE7jPJA8hU3NXbY-M3lcnegUXKu/view?usp=drivesdk</v>
      </c>
      <c r="C1719" s="336" t="str">
        <f>IFERROR(__xludf.DUMMYFUNCTION("""COMPUTED_VALUE"""),"10.1038--21557 (1).pdf")</f>
        <v>10.1038--21557 (1).pdf</v>
      </c>
      <c r="D1719" s="156" t="str">
        <f>IFERROR(__xludf.DUMMYFUNCTION("""COMPUTED_VALUE"""),"application/pdf")</f>
        <v>application/pdf</v>
      </c>
    </row>
    <row r="1720">
      <c r="A1720" s="336" t="str">
        <f>IFERROR(__xludf.DUMMYFUNCTION("""COMPUTED_VALUE"""),"rorschach1921")</f>
        <v>rorschach1921</v>
      </c>
      <c r="B1720" s="442" t="str">
        <f>IFERROR(__xludf.DUMMYFUNCTION("""COMPUTED_VALUE"""),"https://drive.google.com/file/d/1FayKMGLmSMT_bov4BfYaWoMBrnwpsyI1/view?usp=drivesdk")</f>
        <v>https://drive.google.com/file/d/1FayKMGLmSMT_bov4BfYaWoMBrnwpsyI1/view?usp=drivesdk</v>
      </c>
      <c r="C1720" s="336" t="str">
        <f>IFERROR(__xludf.DUMMYFUNCTION("""COMPUTED_VALUE"""),"rorschach1921.pdf")</f>
        <v>rorschach1921.pdf</v>
      </c>
      <c r="D1720" s="156" t="str">
        <f>IFERROR(__xludf.DUMMYFUNCTION("""COMPUTED_VALUE"""),"application/pdf")</f>
        <v>application/pdf</v>
      </c>
    </row>
    <row r="1721">
      <c r="A1721" s="336" t="str">
        <f>IFERROR(__xludf.DUMMYFUNCTION("""COMPUTED_VALUE"""),"10.5214/ans.0972.7531.200408")</f>
        <v>10.5214/ans.0972.7531.200408</v>
      </c>
      <c r="B1721" s="442" t="str">
        <f>IFERROR(__xludf.DUMMYFUNCTION("""COMPUTED_VALUE"""),"https://drive.google.com/file/d/1Wv1dUN1Cp7tFFGj4YbQreO65Epbbn6Xh/view?usp=drivesdk")</f>
        <v>https://drive.google.com/file/d/1Wv1dUN1Cp7tFFGj4YbQreO65Epbbn6Xh/view?usp=drivesdk</v>
      </c>
      <c r="C1721" s="336" t="str">
        <f>IFERROR(__xludf.DUMMYFUNCTION("""COMPUTED_VALUE"""),"10.5214--ans.0972.7531.200408.pdf")</f>
        <v>10.5214--ans.0972.7531.200408.pdf</v>
      </c>
      <c r="D1721" s="156" t="str">
        <f>IFERROR(__xludf.DUMMYFUNCTION("""COMPUTED_VALUE"""),"application/pdf")</f>
        <v>application/pdf</v>
      </c>
    </row>
    <row r="1722">
      <c r="A1722" s="336" t="str">
        <f>IFERROR(__xludf.DUMMYFUNCTION("""COMPUTED_VALUE"""),"10.2466/pms.1995.80.1.131")</f>
        <v>10.2466/pms.1995.80.1.131</v>
      </c>
      <c r="B1722" s="442" t="str">
        <f>IFERROR(__xludf.DUMMYFUNCTION("""COMPUTED_VALUE"""),"https://drive.google.com/file/d/19LbincT2TjTg9YTUoJUivukthVOOv92o/view?usp=drivesdk")</f>
        <v>https://drive.google.com/file/d/19LbincT2TjTg9YTUoJUivukthVOOv92o/view?usp=drivesdk</v>
      </c>
      <c r="C1722" s="336" t="str">
        <f>IFERROR(__xludf.DUMMYFUNCTION("""COMPUTED_VALUE"""),"10.2466--pms.1995.80.1.131.pdf")</f>
        <v>10.2466--pms.1995.80.1.131.pdf</v>
      </c>
      <c r="D1722" s="156" t="str">
        <f>IFERROR(__xludf.DUMMYFUNCTION("""COMPUTED_VALUE"""),"application/pdf")</f>
        <v>application/pdf</v>
      </c>
    </row>
    <row r="1723">
      <c r="A1723" s="336" t="str">
        <f>IFERROR(__xludf.DUMMYFUNCTION("""COMPUTED_VALUE"""),"10.1177/0956797610384746 (1)")</f>
        <v>10.1177/0956797610384746 (1)</v>
      </c>
      <c r="B1723" s="442" t="str">
        <f>IFERROR(__xludf.DUMMYFUNCTION("""COMPUTED_VALUE"""),"https://drive.google.com/file/d/1MYeoX2rRI6k_FOWsa46_QtPoTkdN8RPf/view?usp=drivesdk")</f>
        <v>https://drive.google.com/file/d/1MYeoX2rRI6k_FOWsa46_QtPoTkdN8RPf/view?usp=drivesdk</v>
      </c>
      <c r="C1723" s="336" t="str">
        <f>IFERROR(__xludf.DUMMYFUNCTION("""COMPUTED_VALUE"""),"10.1177--0956797610384746 (1).pdf")</f>
        <v>10.1177--0956797610384746 (1).pdf</v>
      </c>
      <c r="D1723" s="156" t="str">
        <f>IFERROR(__xludf.DUMMYFUNCTION("""COMPUTED_VALUE"""),"application/pdf")</f>
        <v>application/pdf</v>
      </c>
    </row>
    <row r="1724">
      <c r="A1724" s="336" t="str">
        <f>IFERROR(__xludf.DUMMYFUNCTION("""COMPUTED_VALUE"""),"10.1002/(sici)1099-0771(200001/03)")</f>
        <v>10.1002/(sici)1099-0771(200001/03)</v>
      </c>
      <c r="B1724" s="442" t="str">
        <f>IFERROR(__xludf.DUMMYFUNCTION("""COMPUTED_VALUE"""),"https://drive.google.com/file/d/1FHRJe-nZTJOpXWgxMLs63Q6F4QlKXCpU/view?usp=drivesdk")</f>
        <v>https://drive.google.com/file/d/1FHRJe-nZTJOpXWgxMLs63Q6F4QlKXCpU/view?usp=drivesdk</v>
      </c>
      <c r="C1724" s="336" t="str">
        <f>IFERROR(__xludf.DUMMYFUNCTION("""COMPUTED_VALUE"""),"10.1002--(sici)1099-0771(200001--03).pdf")</f>
        <v>10.1002--(sici)1099-0771(200001--03).pdf</v>
      </c>
      <c r="D1724" s="156" t="str">
        <f>IFERROR(__xludf.DUMMYFUNCTION("""COMPUTED_VALUE"""),"application/pdf")</f>
        <v>application/pdf</v>
      </c>
    </row>
    <row r="1725">
      <c r="A1725" s="336" t="str">
        <f>IFERROR(__xludf.DUMMYFUNCTION("""COMPUTED_VALUE"""),"10.1037/a0021524 (1)")</f>
        <v>10.1037/a0021524 (1)</v>
      </c>
      <c r="B1725" s="442" t="str">
        <f>IFERROR(__xludf.DUMMYFUNCTION("""COMPUTED_VALUE"""),"https://drive.google.com/file/d/1W_xP7aHQH5brzpdDHQgXX_slF9aWIndn/view?usp=drivesdk")</f>
        <v>https://drive.google.com/file/d/1W_xP7aHQH5brzpdDHQgXX_slF9aWIndn/view?usp=drivesdk</v>
      </c>
      <c r="C1725" s="336" t="str">
        <f>IFERROR(__xludf.DUMMYFUNCTION("""COMPUTED_VALUE"""),"10.1037--a0021524 (1).pdf")</f>
        <v>10.1037--a0021524 (1).pdf</v>
      </c>
      <c r="D1725" s="156" t="str">
        <f>IFERROR(__xludf.DUMMYFUNCTION("""COMPUTED_VALUE"""),"application/pdf")</f>
        <v>application/pdf</v>
      </c>
    </row>
    <row r="1726">
      <c r="A1726" s="336" t="str">
        <f>IFERROR(__xludf.DUMMYFUNCTION("""COMPUTED_VALUE"""),"10.1037/0022-3514.90.2.197 (1)")</f>
        <v>10.1037/0022-3514.90.2.197 (1)</v>
      </c>
      <c r="B1726" s="442" t="str">
        <f>IFERROR(__xludf.DUMMYFUNCTION("""COMPUTED_VALUE"""),"https://drive.google.com/file/d/13xJm6Rz0F0wAVzBVJcJbK0OtdZmHiXHE/view?usp=drivesdk")</f>
        <v>https://drive.google.com/file/d/13xJm6Rz0F0wAVzBVJcJbK0OtdZmHiXHE/view?usp=drivesdk</v>
      </c>
      <c r="C1726" s="336" t="str">
        <f>IFERROR(__xludf.DUMMYFUNCTION("""COMPUTED_VALUE"""),"10.1037--0022-3514.90.2.197 (1).pdf")</f>
        <v>10.1037--0022-3514.90.2.197 (1).pdf</v>
      </c>
      <c r="D1726" s="156" t="str">
        <f>IFERROR(__xludf.DUMMYFUNCTION("""COMPUTED_VALUE"""),"application/pdf")</f>
        <v>application/pdf</v>
      </c>
    </row>
    <row r="1727">
      <c r="A1727" s="336" t="str">
        <f>IFERROR(__xludf.DUMMYFUNCTION("""COMPUTED_VALUE"""),"10.1111/j.1467-9280.1996.tb00346.x")</f>
        <v>10.1111/j.1467-9280.1996.tb00346.x</v>
      </c>
      <c r="B1727" s="442" t="str">
        <f>IFERROR(__xludf.DUMMYFUNCTION("""COMPUTED_VALUE"""),"https://drive.google.com/file/d/1_x8Pea-6YZcNah0kzL9Jhi4q0yFlhG9m/view?usp=drivesdk")</f>
        <v>https://drive.google.com/file/d/1_x8Pea-6YZcNah0kzL9Jhi4q0yFlhG9m/view?usp=drivesdk</v>
      </c>
      <c r="C1727" s="336" t="str">
        <f>IFERROR(__xludf.DUMMYFUNCTION("""COMPUTED_VALUE"""),"10.1111--j.1467-9280.1996.tb00346.x.pdf")</f>
        <v>10.1111--j.1467-9280.1996.tb00346.x.pdf</v>
      </c>
      <c r="D1727" s="156" t="str">
        <f>IFERROR(__xludf.DUMMYFUNCTION("""COMPUTED_VALUE"""),"application/pdf")</f>
        <v>application/pdf</v>
      </c>
    </row>
    <row r="1728">
      <c r="A1728" s="336" t="str">
        <f>IFERROR(__xludf.DUMMYFUNCTION("""COMPUTED_VALUE"""),"10.1111/j.1467-9280.2008.02159.x (1)")</f>
        <v>10.1111/j.1467-9280.2008.02159.x (1)</v>
      </c>
      <c r="B1728" s="442" t="str">
        <f>IFERROR(__xludf.DUMMYFUNCTION("""COMPUTED_VALUE"""),"https://drive.google.com/file/d/1NM8fVRUFqllAFs2jkXsuJUHn5OZ7-07h/view?usp=drivesdk")</f>
        <v>https://drive.google.com/file/d/1NM8fVRUFqllAFs2jkXsuJUHn5OZ7-07h/view?usp=drivesdk</v>
      </c>
      <c r="C1728" s="336" t="str">
        <f>IFERROR(__xludf.DUMMYFUNCTION("""COMPUTED_VALUE"""),"10.1111--j.1467-9280.2008.02159.x (1).pdf")</f>
        <v>10.1111--j.1467-9280.2008.02159.x (1).pdf</v>
      </c>
      <c r="D1728" s="156" t="str">
        <f>IFERROR(__xludf.DUMMYFUNCTION("""COMPUTED_VALUE"""),"application/pdf")</f>
        <v>application/pdf</v>
      </c>
    </row>
    <row r="1729">
      <c r="A1729" s="336" t="str">
        <f>IFERROR(__xludf.DUMMYFUNCTION("""COMPUTED_VALUE"""),"10.1080/02699931.2016.1273201 (1)")</f>
        <v>10.1080/02699931.2016.1273201 (1)</v>
      </c>
      <c r="B1729" s="442" t="str">
        <f>IFERROR(__xludf.DUMMYFUNCTION("""COMPUTED_VALUE"""),"https://drive.google.com/file/d/1eL46ZgTlbkM-V6C5GLb6fSBGmd5mFG-O/view?usp=drivesdk")</f>
        <v>https://drive.google.com/file/d/1eL46ZgTlbkM-V6C5GLb6fSBGmd5mFG-O/view?usp=drivesdk</v>
      </c>
      <c r="C1729" s="336" t="str">
        <f>IFERROR(__xludf.DUMMYFUNCTION("""COMPUTED_VALUE"""),"10.1080--02699931.2016.1273201 (1).pdf")</f>
        <v>10.1080--02699931.2016.1273201 (1).pdf</v>
      </c>
      <c r="D1729" s="156" t="str">
        <f>IFERROR(__xludf.DUMMYFUNCTION("""COMPUTED_VALUE"""),"application/pdf")</f>
        <v>application/pdf</v>
      </c>
    </row>
    <row r="1730">
      <c r="A1730" s="336" t="str">
        <f>IFERROR(__xludf.DUMMYFUNCTION("""COMPUTED_VALUE"""),"10.1177/0956797614553945 (1)")</f>
        <v>10.1177/0956797614553945 (1)</v>
      </c>
      <c r="B1730" s="442" t="str">
        <f>IFERROR(__xludf.DUMMYFUNCTION("""COMPUTED_VALUE"""),"https://drive.google.com/file/d/16XGsRRaOY6a1Mk3y6g9J6FzJY2pGnhBs/view?usp=drivesdk")</f>
        <v>https://drive.google.com/file/d/16XGsRRaOY6a1Mk3y6g9J6FzJY2pGnhBs/view?usp=drivesdk</v>
      </c>
      <c r="C1730" s="336" t="str">
        <f>IFERROR(__xludf.DUMMYFUNCTION("""COMPUTED_VALUE"""),"10.1177--0956797614553945 (1).pdf")</f>
        <v>10.1177--0956797614553945 (1).pdf</v>
      </c>
      <c r="D1730" s="156" t="str">
        <f>IFERROR(__xludf.DUMMYFUNCTION("""COMPUTED_VALUE"""),"application/pdf")</f>
        <v>application/pdf</v>
      </c>
    </row>
    <row r="1731">
      <c r="A1731" s="336" t="str">
        <f>IFERROR(__xludf.DUMMYFUNCTION("""COMPUTED_VALUE"""),"10.1016/j.jesp.2011.11.012 (1)")</f>
        <v>10.1016/j.jesp.2011.11.012 (1)</v>
      </c>
      <c r="B1731" s="442" t="str">
        <f>IFERROR(__xludf.DUMMYFUNCTION("""COMPUTED_VALUE"""),"https://drive.google.com/file/d/1xDwq6e1W40cryvVksnOj9YOdtDiYfNUl/view?usp=drivesdk")</f>
        <v>https://drive.google.com/file/d/1xDwq6e1W40cryvVksnOj9YOdtDiYfNUl/view?usp=drivesdk</v>
      </c>
      <c r="C1731" s="336" t="str">
        <f>IFERROR(__xludf.DUMMYFUNCTION("""COMPUTED_VALUE"""),"10.1016--j.jesp.2011.11.012 (1).pdf")</f>
        <v>10.1016--j.jesp.2011.11.012 (1).pdf</v>
      </c>
      <c r="D1731" s="156" t="str">
        <f>IFERROR(__xludf.DUMMYFUNCTION("""COMPUTED_VALUE"""),"application/pdf")</f>
        <v>application/pdf</v>
      </c>
    </row>
    <row r="1732">
      <c r="A1732" s="336" t="str">
        <f>IFERROR(__xludf.DUMMYFUNCTION("""COMPUTED_VALUE"""),"10.1177/095679761246641")</f>
        <v>10.1177/095679761246641</v>
      </c>
      <c r="B1732" s="442" t="str">
        <f>IFERROR(__xludf.DUMMYFUNCTION("""COMPUTED_VALUE"""),"https://drive.google.com/file/d/1nIC6Z_3z3x4YS6vI01Z64i76WUI6VCPu/view?usp=drivesdk")</f>
        <v>https://drive.google.com/file/d/1nIC6Z_3z3x4YS6vI01Z64i76WUI6VCPu/view?usp=drivesdk</v>
      </c>
      <c r="C1732" s="336" t="str">
        <f>IFERROR(__xludf.DUMMYFUNCTION("""COMPUTED_VALUE"""),"10.1177--095679761246641.pdf")</f>
        <v>10.1177--095679761246641.pdf</v>
      </c>
      <c r="D1732" s="156" t="str">
        <f>IFERROR(__xludf.DUMMYFUNCTION("""COMPUTED_VALUE"""),"application/pdf")</f>
        <v>application/pdf</v>
      </c>
    </row>
    <row r="1733">
      <c r="A1733" s="336" t="str">
        <f>IFERROR(__xludf.DUMMYFUNCTION("""COMPUTED_VALUE"""),"10.1093/cercor/bhq101 (1)")</f>
        <v>10.1093/cercor/bhq101 (1)</v>
      </c>
      <c r="B1733" s="442" t="str">
        <f>IFERROR(__xludf.DUMMYFUNCTION("""COMPUTED_VALUE"""),"https://drive.google.com/file/d/19uM8KLUHuN3ImTzkMD9s5mEkWQAAr8Qo/view?usp=drivesdk")</f>
        <v>https://drive.google.com/file/d/19uM8KLUHuN3ImTzkMD9s5mEkWQAAr8Qo/view?usp=drivesdk</v>
      </c>
      <c r="C1733" s="336" t="str">
        <f>IFERROR(__xludf.DUMMYFUNCTION("""COMPUTED_VALUE"""),"10.1093--cercor--bhq101 (1).pdf")</f>
        <v>10.1093--cercor--bhq101 (1).pdf</v>
      </c>
      <c r="D1733" s="156" t="str">
        <f>IFERROR(__xludf.DUMMYFUNCTION("""COMPUTED_VALUE"""),"application/pdf")</f>
        <v>application/pdf</v>
      </c>
    </row>
    <row r="1734">
      <c r="A1734" s="336" t="str">
        <f>IFERROR(__xludf.DUMMYFUNCTION("""COMPUTED_VALUE"""),"10.1523/jneurosci.5864-10.2011")</f>
        <v>10.1523/jneurosci.5864-10.2011</v>
      </c>
      <c r="B1734" s="442" t="str">
        <f>IFERROR(__xludf.DUMMYFUNCTION("""COMPUTED_VALUE"""),"https://drive.google.com/file/d/1l3u37j1hQl3zZ6JXRcm733rn2k3J2Olq/view?usp=drivesdk")</f>
        <v>https://drive.google.com/file/d/1l3u37j1hQl3zZ6JXRcm733rn2k3J2Olq/view?usp=drivesdk</v>
      </c>
      <c r="C1734" s="336" t="str">
        <f>IFERROR(__xludf.DUMMYFUNCTION("""COMPUTED_VALUE"""),"10.1523--jneurosci.5864-10.2011.pdf")</f>
        <v>10.1523--jneurosci.5864-10.2011.pdf</v>
      </c>
      <c r="D1734" s="156" t="str">
        <f>IFERROR(__xludf.DUMMYFUNCTION("""COMPUTED_VALUE"""),"application/pdf")</f>
        <v>application/pdf</v>
      </c>
    </row>
    <row r="1735">
      <c r="A1735" s="336" t="str">
        <f>IFERROR(__xludf.DUMMYFUNCTION("""COMPUTED_VALUE"""),"10.1016/j.neuroimage.2011.07.040")</f>
        <v>10.1016/j.neuroimage.2011.07.040</v>
      </c>
      <c r="B1735" s="442" t="str">
        <f>IFERROR(__xludf.DUMMYFUNCTION("""COMPUTED_VALUE"""),"https://drive.google.com/file/d/1uo0zBVDSXeBCSp_RypwEPAySzhuWt5D8/view?usp=drivesdk")</f>
        <v>https://drive.google.com/file/d/1uo0zBVDSXeBCSp_RypwEPAySzhuWt5D8/view?usp=drivesdk</v>
      </c>
      <c r="C1735" s="336" t="str">
        <f>IFERROR(__xludf.DUMMYFUNCTION("""COMPUTED_VALUE"""),"10.1016--j.neuroimage.2011.07.040.pdf")</f>
        <v>10.1016--j.neuroimage.2011.07.040.pdf</v>
      </c>
      <c r="D1735" s="156" t="str">
        <f>IFERROR(__xludf.DUMMYFUNCTION("""COMPUTED_VALUE"""),"application/pdf")</f>
        <v>application/pdf</v>
      </c>
    </row>
    <row r="1736">
      <c r="A1736" s="336" t="str">
        <f>IFERROR(__xludf.DUMMYFUNCTION("""COMPUTED_VALUE"""),"10.1007/bf00055564")</f>
        <v>10.1007/bf00055564</v>
      </c>
      <c r="B1736" s="442" t="str">
        <f>IFERROR(__xludf.DUMMYFUNCTION("""COMPUTED_VALUE"""),"https://drive.google.com/file/d/1MbebBCnt66GSnxcnYXI8_aT9v4VscltA/view?usp=drivesdk")</f>
        <v>https://drive.google.com/file/d/1MbebBCnt66GSnxcnYXI8_aT9v4VscltA/view?usp=drivesdk</v>
      </c>
      <c r="C1736" s="336" t="str">
        <f>IFERROR(__xludf.DUMMYFUNCTION("""COMPUTED_VALUE"""),"10.1007--bf00055564.pdf")</f>
        <v>10.1007--bf00055564.pdf</v>
      </c>
      <c r="D1736" s="156" t="str">
        <f>IFERROR(__xludf.DUMMYFUNCTION("""COMPUTED_VALUE"""),"application/pdf")</f>
        <v>application/pdf</v>
      </c>
    </row>
    <row r="1737">
      <c r="A1737" s="336" t="str">
        <f>IFERROR(__xludf.DUMMYFUNCTION("""COMPUTED_VALUE"""),"10.1177/0146167299259003 (1)")</f>
        <v>10.1177/0146167299259003 (1)</v>
      </c>
      <c r="B1737" s="442" t="str">
        <f>IFERROR(__xludf.DUMMYFUNCTION("""COMPUTED_VALUE"""),"https://drive.google.com/file/d/1OnBHam5HlT_FnxkfI5nOiF6JDIO6aQXF/view?usp=drivesdk")</f>
        <v>https://drive.google.com/file/d/1OnBHam5HlT_FnxkfI5nOiF6JDIO6aQXF/view?usp=drivesdk</v>
      </c>
      <c r="C1737" s="336" t="str">
        <f>IFERROR(__xludf.DUMMYFUNCTION("""COMPUTED_VALUE"""),"10.1177--0146167299259003 (1).pdf")</f>
        <v>10.1177--0146167299259003 (1).pdf</v>
      </c>
      <c r="D1737" s="156" t="str">
        <f>IFERROR(__xludf.DUMMYFUNCTION("""COMPUTED_VALUE"""),"application/pdf")</f>
        <v>application/pdf</v>
      </c>
    </row>
    <row r="1738">
      <c r="A1738" s="336" t="str">
        <f>IFERROR(__xludf.DUMMYFUNCTION("""COMPUTED_VALUE"""),"10.1126/science.745568")</f>
        <v>10.1126/science.745568</v>
      </c>
      <c r="B1738" s="442" t="str">
        <f>IFERROR(__xludf.DUMMYFUNCTION("""COMPUTED_VALUE"""),"https://drive.google.com/file/d/1az1SIxKd6EbPuSgzjStXVmZywnrfnuZb/view?usp=drivesdk")</f>
        <v>https://drive.google.com/file/d/1az1SIxKd6EbPuSgzjStXVmZywnrfnuZb/view?usp=drivesdk</v>
      </c>
      <c r="C1738" s="336" t="str">
        <f>IFERROR(__xludf.DUMMYFUNCTION("""COMPUTED_VALUE"""),"10.1126--science.745568.pdf")</f>
        <v>10.1126--science.745568.pdf</v>
      </c>
      <c r="D1738" s="156" t="str">
        <f>IFERROR(__xludf.DUMMYFUNCTION("""COMPUTED_VALUE"""),"application/pdf")</f>
        <v>application/pdf</v>
      </c>
    </row>
    <row r="1739">
      <c r="A1739" s="336" t="str">
        <f>IFERROR(__xludf.DUMMYFUNCTION("""COMPUTED_VALUE"""),"cutler1987")</f>
        <v>cutler1987</v>
      </c>
      <c r="B1739" s="442" t="str">
        <f>IFERROR(__xludf.DUMMYFUNCTION("""COMPUTED_VALUE"""),"https://drive.google.com/file/d/1YrBv468_VhWbgyfniJQXLhxQR5XPZdgI/view?usp=drivesdk")</f>
        <v>https://drive.google.com/file/d/1YrBv468_VhWbgyfniJQXLhxQR5XPZdgI/view?usp=drivesdk</v>
      </c>
      <c r="C1739" s="336" t="str">
        <f>IFERROR(__xludf.DUMMYFUNCTION("""COMPUTED_VALUE"""),"cutler1987.pdf")</f>
        <v>cutler1987.pdf</v>
      </c>
      <c r="D1739" s="156" t="str">
        <f>IFERROR(__xludf.DUMMYFUNCTION("""COMPUTED_VALUE"""),"application/pdf")</f>
        <v>application/pdf</v>
      </c>
    </row>
    <row r="1740">
      <c r="A1740" s="336" t="str">
        <f>IFERROR(__xludf.DUMMYFUNCTION("""COMPUTED_VALUE"""),"10.1098/rspb.1998.0380")</f>
        <v>10.1098/rspb.1998.0380</v>
      </c>
      <c r="B1740" s="442" t="str">
        <f>IFERROR(__xludf.DUMMYFUNCTION("""COMPUTED_VALUE"""),"https://drive.google.com/file/d/1zUHTcsJfnfyEPxnBbRwIfFnohsp_DvEU/view?usp=drivesdk")</f>
        <v>https://drive.google.com/file/d/1zUHTcsJfnfyEPxnBbRwIfFnohsp_DvEU/view?usp=drivesdk</v>
      </c>
      <c r="C1740" s="336" t="str">
        <f>IFERROR(__xludf.DUMMYFUNCTION("""COMPUTED_VALUE"""),"10.1098--rspb.1998.0380.pdf")</f>
        <v>10.1098--rspb.1998.0380.pdf</v>
      </c>
      <c r="D1740" s="156" t="str">
        <f>IFERROR(__xludf.DUMMYFUNCTION("""COMPUTED_VALUE"""),"application/pdf")</f>
        <v>application/pdf</v>
      </c>
    </row>
    <row r="1741">
      <c r="A1741" s="336" t="str">
        <f>IFERROR(__xludf.DUMMYFUNCTION("""COMPUTED_VALUE"""),"10.1126/science.7455683 (1)")</f>
        <v>10.1126/science.7455683 (1)</v>
      </c>
      <c r="B1741" s="442" t="str">
        <f>IFERROR(__xludf.DUMMYFUNCTION("""COMPUTED_VALUE"""),"https://drive.google.com/file/d/1Ewwg-aAU3bSbKUqgbQkHYQDVkyW7wEnt/view?usp=drivesdk")</f>
        <v>https://drive.google.com/file/d/1Ewwg-aAU3bSbKUqgbQkHYQDVkyW7wEnt/view?usp=drivesdk</v>
      </c>
      <c r="C1741" s="336" t="str">
        <f>IFERROR(__xludf.DUMMYFUNCTION("""COMPUTED_VALUE"""),"10.1126--science.7455683 (1).pdf")</f>
        <v>10.1126--science.7455683 (1).pdf</v>
      </c>
      <c r="D1741" s="156" t="str">
        <f>IFERROR(__xludf.DUMMYFUNCTION("""COMPUTED_VALUE"""),"application/pdf")</f>
        <v>application/pdf</v>
      </c>
    </row>
    <row r="1742">
      <c r="A1742" s="336" t="str">
        <f>IFERROR(__xludf.DUMMYFUNCTION("""COMPUTED_VALUE"""),"10.1371/journal.pone.0059837")</f>
        <v>10.1371/journal.pone.0059837</v>
      </c>
      <c r="B1742" s="442" t="str">
        <f>IFERROR(__xludf.DUMMYFUNCTION("""COMPUTED_VALUE"""),"https://drive.google.com/file/d/1Izigs9eTp-It0b_EXppmcwByOjpaCAHX/view?usp=drivesdk")</f>
        <v>https://drive.google.com/file/d/1Izigs9eTp-It0b_EXppmcwByOjpaCAHX/view?usp=drivesdk</v>
      </c>
      <c r="C1742" s="336" t="str">
        <f>IFERROR(__xludf.DUMMYFUNCTION("""COMPUTED_VALUE"""),"10.1371--journal.pone.0059837.pdf")</f>
        <v>10.1371--journal.pone.0059837.pdf</v>
      </c>
      <c r="D1742" s="156" t="str">
        <f>IFERROR(__xludf.DUMMYFUNCTION("""COMPUTED_VALUE"""),"application/pdf")</f>
        <v>application/pdf</v>
      </c>
    </row>
    <row r="1743">
      <c r="A1743" s="336" t="str">
        <f>IFERROR(__xludf.DUMMYFUNCTION("""COMPUTED_VALUE"""),"10.1126/science.1091721 (1)")</f>
        <v>10.1126/science.1091721 (1)</v>
      </c>
      <c r="B1743" s="442" t="str">
        <f>IFERROR(__xludf.DUMMYFUNCTION("""COMPUTED_VALUE"""),"https://drive.google.com/file/d/1urBFg5QSiZNH_xxtiNvzvgi_nlR1Fw29/view?usp=drivesdk")</f>
        <v>https://drive.google.com/file/d/1urBFg5QSiZNH_xxtiNvzvgi_nlR1Fw29/view?usp=drivesdk</v>
      </c>
      <c r="C1743" s="336" t="str">
        <f>IFERROR(__xludf.DUMMYFUNCTION("""COMPUTED_VALUE"""),"10.1126--science.1091721 (1).pdf")</f>
        <v>10.1126--science.1091721 (1).pdf</v>
      </c>
      <c r="D1743" s="156" t="str">
        <f>IFERROR(__xludf.DUMMYFUNCTION("""COMPUTED_VALUE"""),"application/pdf")</f>
        <v>application/pdf</v>
      </c>
    </row>
    <row r="1744">
      <c r="A1744" s="336" t="str">
        <f>IFERROR(__xludf.DUMMYFUNCTION("""COMPUTED_VALUE"""),"10.1111/j.2044-8295.1945.tb01093.x (1)")</f>
        <v>10.1111/j.2044-8295.1945.tb01093.x (1)</v>
      </c>
      <c r="B1744" s="442" t="str">
        <f>IFERROR(__xludf.DUMMYFUNCTION("""COMPUTED_VALUE"""),"https://drive.google.com/file/d/1DV0ExUa1GWwSvnPH_2dsITBde4wJ5TzH/view?usp=drivesdk")</f>
        <v>https://drive.google.com/file/d/1DV0ExUa1GWwSvnPH_2dsITBde4wJ5TzH/view?usp=drivesdk</v>
      </c>
      <c r="C1744" s="336" t="str">
        <f>IFERROR(__xludf.DUMMYFUNCTION("""COMPUTED_VALUE"""),"10.1111--j.2044-8295.1945.tb01093.x (1).pdf")</f>
        <v>10.1111--j.2044-8295.1945.tb01093.x (1).pdf</v>
      </c>
      <c r="D1744" s="156" t="str">
        <f>IFERROR(__xludf.DUMMYFUNCTION("""COMPUTED_VALUE"""),"application/pdf")</f>
        <v>application/pdf</v>
      </c>
    </row>
    <row r="1745">
      <c r="A1745" s="336" t="str">
        <f>IFERROR(__xludf.DUMMYFUNCTION("""COMPUTED_VALUE"""),"10.1016/s0005-7967(09)80002-8")</f>
        <v>10.1016/s0005-7967(09)80002-8</v>
      </c>
      <c r="B1745" s="442" t="str">
        <f>IFERROR(__xludf.DUMMYFUNCTION("""COMPUTED_VALUE"""),"https://drive.google.com/file/d/1qyWk94p5kvk6ipMv3ggRvCu0WIGqrVcB/view?usp=drivesdk")</f>
        <v>https://drive.google.com/file/d/1qyWk94p5kvk6ipMv3ggRvCu0WIGqrVcB/view?usp=drivesdk</v>
      </c>
      <c r="C1745" s="336" t="str">
        <f>IFERROR(__xludf.DUMMYFUNCTION("""COMPUTED_VALUE"""),"10.1016--s0005-7967(09)80002-8.pdf")</f>
        <v>10.1016--s0005-7967(09)80002-8.pdf</v>
      </c>
      <c r="D1745" s="156" t="str">
        <f>IFERROR(__xludf.DUMMYFUNCTION("""COMPUTED_VALUE"""),"application/pdf")</f>
        <v>application/pdf</v>
      </c>
    </row>
    <row r="1746">
      <c r="A1746" s="336" t="str">
        <f>IFERROR(__xludf.DUMMYFUNCTION("""COMPUTED_VALUE"""),"10.1146/annurev.psych.57.102904.190127 (1)")</f>
        <v>10.1146/annurev.psych.57.102904.190127 (1)</v>
      </c>
      <c r="B1746" s="442" t="str">
        <f>IFERROR(__xludf.DUMMYFUNCTION("""COMPUTED_VALUE"""),"https://drive.google.com/file/d/16X4-MpEdpgJoIThaDqEh7piY761SFlEh/view?usp=drivesdk")</f>
        <v>https://drive.google.com/file/d/16X4-MpEdpgJoIThaDqEh7piY761SFlEh/view?usp=drivesdk</v>
      </c>
      <c r="C1746" s="336" t="str">
        <f>IFERROR(__xludf.DUMMYFUNCTION("""COMPUTED_VALUE"""),"10.1146--annurev.psych.57.102904.190127 (1).pdf")</f>
        <v>10.1146--annurev.psych.57.102904.190127 (1).pdf</v>
      </c>
      <c r="D1746" s="156" t="str">
        <f>IFERROR(__xludf.DUMMYFUNCTION("""COMPUTED_VALUE"""),"application/pdf")</f>
        <v>application/pdf</v>
      </c>
    </row>
    <row r="1747">
      <c r="A1747" s="336" t="str">
        <f>IFERROR(__xludf.DUMMYFUNCTION("""COMPUTED_VALUE"""),"10.1016/0191-8869(83)90061-2")</f>
        <v>10.1016/0191-8869(83)90061-2</v>
      </c>
      <c r="B1747" s="442" t="str">
        <f>IFERROR(__xludf.DUMMYFUNCTION("""COMPUTED_VALUE"""),"https://drive.google.com/file/d/1FpY_zkEeY70DFGZ6gvzclFtdyYZdTNqm/view?usp=drivesdk")</f>
        <v>https://drive.google.com/file/d/1FpY_zkEeY70DFGZ6gvzclFtdyYZdTNqm/view?usp=drivesdk</v>
      </c>
      <c r="C1747" s="336" t="str">
        <f>IFERROR(__xludf.DUMMYFUNCTION("""COMPUTED_VALUE"""),"10.1016--0191-8869(83)90061-2.pdf")</f>
        <v>10.1016--0191-8869(83)90061-2.pdf</v>
      </c>
      <c r="D1747" s="156" t="str">
        <f>IFERROR(__xludf.DUMMYFUNCTION("""COMPUTED_VALUE"""),"application/pdf")</f>
        <v>application/pdf</v>
      </c>
    </row>
    <row r="1748">
      <c r="A1748" s="336" t="str">
        <f>IFERROR(__xludf.DUMMYFUNCTION("""COMPUTED_VALUE"""),"10.1037/0033-2909.95.1.29")</f>
        <v>10.1037/0033-2909.95.1.29</v>
      </c>
      <c r="B1748" s="442" t="str">
        <f>IFERROR(__xludf.DUMMYFUNCTION("""COMPUTED_VALUE"""),"https://drive.google.com/file/d/1qzkuSWY-iq2aM_Tk5-ZhM7F-0jDmJrfs/view?usp=drivesdk")</f>
        <v>https://drive.google.com/file/d/1qzkuSWY-iq2aM_Tk5-ZhM7F-0jDmJrfs/view?usp=drivesdk</v>
      </c>
      <c r="C1748" s="336" t="str">
        <f>IFERROR(__xludf.DUMMYFUNCTION("""COMPUTED_VALUE"""),"10.1037--0033-2909.95.1.29.pdf")</f>
        <v>10.1037--0033-2909.95.1.29.pdf</v>
      </c>
      <c r="D1748" s="156" t="str">
        <f>IFERROR(__xludf.DUMMYFUNCTION("""COMPUTED_VALUE"""),"application/pdf")</f>
        <v>application/pdf</v>
      </c>
    </row>
    <row r="1749">
      <c r="A1749" s="336" t="str">
        <f>IFERROR(__xludf.DUMMYFUNCTION("""COMPUTED_VALUE"""),"10.1016/0010-0277(83)90004-5")</f>
        <v>10.1016/0010-0277(83)90004-5</v>
      </c>
      <c r="B1749" s="442" t="str">
        <f>IFERROR(__xludf.DUMMYFUNCTION("""COMPUTED_VALUE"""),"https://drive.google.com/file/d/1HAVr8uMvyL-jz1DQzOe-lZb9bWR1Typt/view?usp=drivesdk")</f>
        <v>https://drive.google.com/file/d/1HAVr8uMvyL-jz1DQzOe-lZb9bWR1Typt/view?usp=drivesdk</v>
      </c>
      <c r="C1749" s="336" t="str">
        <f>IFERROR(__xludf.DUMMYFUNCTION("""COMPUTED_VALUE"""),"10.1016--0010-0277(83)90004-5.pdf")</f>
        <v>10.1016--0010-0277(83)90004-5.pdf</v>
      </c>
      <c r="D1749" s="156" t="str">
        <f>IFERROR(__xludf.DUMMYFUNCTION("""COMPUTED_VALUE"""),"application/pdf")</f>
        <v>application/pdf</v>
      </c>
    </row>
    <row r="1750">
      <c r="A1750" s="336" t="str">
        <f>IFERROR(__xludf.DUMMYFUNCTION("""COMPUTED_VALUE"""),"10.1017/s0305000996002917")</f>
        <v>10.1017/s0305000996002917</v>
      </c>
      <c r="B1750" s="442" t="str">
        <f>IFERROR(__xludf.DUMMYFUNCTION("""COMPUTED_VALUE"""),"https://drive.google.com/file/d/1Gc2N_8-eaSyLrgIloaew1BBe3hqlDnAB/view?usp=drivesdk")</f>
        <v>https://drive.google.com/file/d/1Gc2N_8-eaSyLrgIloaew1BBe3hqlDnAB/view?usp=drivesdk</v>
      </c>
      <c r="C1750" s="336" t="str">
        <f>IFERROR(__xludf.DUMMYFUNCTION("""COMPUTED_VALUE"""),"10.1017--s0305000996002917.pdf")</f>
        <v>10.1017--s0305000996002917.pdf</v>
      </c>
      <c r="D1750" s="156" t="str">
        <f>IFERROR(__xludf.DUMMYFUNCTION("""COMPUTED_VALUE"""),"application/pdf")</f>
        <v>application/pdf</v>
      </c>
    </row>
    <row r="1751">
      <c r="A1751" s="336" t="str">
        <f>IFERROR(__xludf.DUMMYFUNCTION("""COMPUTED_VALUE"""),"10.1111/j.1467-9280.2009.02479.x (1)")</f>
        <v>10.1111/j.1467-9280.2009.02479.x (1)</v>
      </c>
      <c r="B1751" s="442" t="str">
        <f>IFERROR(__xludf.DUMMYFUNCTION("""COMPUTED_VALUE"""),"https://drive.google.com/file/d/1--cZkaqXLn13yFOImzvT04iJ4vAYVdge/view?usp=drivesdk")</f>
        <v>https://drive.google.com/file/d/1--cZkaqXLn13yFOImzvT04iJ4vAYVdge/view?usp=drivesdk</v>
      </c>
      <c r="C1751" s="336" t="str">
        <f>IFERROR(__xludf.DUMMYFUNCTION("""COMPUTED_VALUE"""),"10.1111--j.1467-9280.2009.02479.x (1).pdf")</f>
        <v>10.1111--j.1467-9280.2009.02479.x (1).pdf</v>
      </c>
      <c r="D1751" s="156" t="str">
        <f>IFERROR(__xludf.DUMMYFUNCTION("""COMPUTED_VALUE"""),"application/pdf")</f>
        <v>application/pdf</v>
      </c>
    </row>
    <row r="1752">
      <c r="A1752" s="336" t="str">
        <f>IFERROR(__xludf.DUMMYFUNCTION("""COMPUTED_VALUE"""),"10.1111/j.1467-9477.2007.00176.x (1)")</f>
        <v>10.1111/j.1467-9477.2007.00176.x (1)</v>
      </c>
      <c r="B1752" s="442" t="str">
        <f>IFERROR(__xludf.DUMMYFUNCTION("""COMPUTED_VALUE"""),"https://drive.google.com/file/d/1kp1JsZoY0-OqsipfSkcn2zbeOmWUvza5/view?usp=drivesdk")</f>
        <v>https://drive.google.com/file/d/1kp1JsZoY0-OqsipfSkcn2zbeOmWUvza5/view?usp=drivesdk</v>
      </c>
      <c r="C1752" s="336" t="str">
        <f>IFERROR(__xludf.DUMMYFUNCTION("""COMPUTED_VALUE"""),"10.1111--j.1467-9477.2007.00176.x (1).pdf")</f>
        <v>10.1111--j.1467-9477.2007.00176.x (1).pdf</v>
      </c>
      <c r="D1752" s="156" t="str">
        <f>IFERROR(__xludf.DUMMYFUNCTION("""COMPUTED_VALUE"""),"application/pdf")</f>
        <v>application/pdf</v>
      </c>
    </row>
    <row r="1753">
      <c r="A1753" s="336" t="str">
        <f>IFERROR(__xludf.DUMMYFUNCTION("""COMPUTED_VALUE"""),"gardner1983")</f>
        <v>gardner1983</v>
      </c>
      <c r="B1753" s="442" t="str">
        <f>IFERROR(__xludf.DUMMYFUNCTION("""COMPUTED_VALUE"""),"https://drive.google.com/file/d/1C6cZH5weFLs0TeiT5kQs0URJpVSG6taY/view?usp=drivesdk")</f>
        <v>https://drive.google.com/file/d/1C6cZH5weFLs0TeiT5kQs0URJpVSG6taY/view?usp=drivesdk</v>
      </c>
      <c r="C1753" s="336" t="str">
        <f>IFERROR(__xludf.DUMMYFUNCTION("""COMPUTED_VALUE"""),"gardner1983.pdf")</f>
        <v>gardner1983.pdf</v>
      </c>
      <c r="D1753" s="156" t="str">
        <f>IFERROR(__xludf.DUMMYFUNCTION("""COMPUTED_VALUE"""),"application/pdf")</f>
        <v>application/pdf</v>
      </c>
    </row>
    <row r="1754">
      <c r="A1754" s="336" t="str">
        <f>IFERROR(__xludf.DUMMYFUNCTION("""COMPUTED_VALUE"""),"10.1037/0022-3514.86.5.680 (1)")</f>
        <v>10.1037/0022-3514.86.5.680 (1)</v>
      </c>
      <c r="B1754" s="442" t="str">
        <f>IFERROR(__xludf.DUMMYFUNCTION("""COMPUTED_VALUE"""),"https://drive.google.com/file/d/15dvVe0HWHCf6vjojm8XY8fI_lvS82uKp/view?usp=drivesdk")</f>
        <v>https://drive.google.com/file/d/15dvVe0HWHCf6vjojm8XY8fI_lvS82uKp/view?usp=drivesdk</v>
      </c>
      <c r="C1754" s="336" t="str">
        <f>IFERROR(__xludf.DUMMYFUNCTION("""COMPUTED_VALUE"""),"10.1037--0022-3514.86.5.680 (1).pdf")</f>
        <v>10.1037--0022-3514.86.5.680 (1).pdf</v>
      </c>
      <c r="D1754" s="156" t="str">
        <f>IFERROR(__xludf.DUMMYFUNCTION("""COMPUTED_VALUE"""),"application/pdf")</f>
        <v>application/pdf</v>
      </c>
    </row>
    <row r="1755">
      <c r="A1755" s="336" t="str">
        <f>IFERROR(__xludf.DUMMYFUNCTION("""COMPUTED_VALUE"""),"10.1016/0010-0285(88)90017-5")</f>
        <v>10.1016/0010-0285(88)90017-5</v>
      </c>
      <c r="B1755" s="442" t="str">
        <f>IFERROR(__xludf.DUMMYFUNCTION("""COMPUTED_VALUE"""),"https://drive.google.com/file/d/1YgULcRj7eanxq1Att5Q6IxosLXgHcqOq/view?usp=drivesdk")</f>
        <v>https://drive.google.com/file/d/1YgULcRj7eanxq1Att5Q6IxosLXgHcqOq/view?usp=drivesdk</v>
      </c>
      <c r="C1755" s="336" t="str">
        <f>IFERROR(__xludf.DUMMYFUNCTION("""COMPUTED_VALUE"""),"10.1016--0010-0285(88)90017-5.pdf")</f>
        <v>10.1016--0010-0285(88)90017-5.pdf</v>
      </c>
      <c r="D1755" s="156" t="str">
        <f>IFERROR(__xludf.DUMMYFUNCTION("""COMPUTED_VALUE"""),"application/pdf")</f>
        <v>application/pdf</v>
      </c>
    </row>
    <row r="1756">
      <c r="A1756" s="336" t="str">
        <f>IFERROR(__xludf.DUMMYFUNCTION("""COMPUTED_VALUE"""),"10.1037/h0045925 (1)")</f>
        <v>10.1037/h0045925 (1)</v>
      </c>
      <c r="B1756" s="442" t="str">
        <f>IFERROR(__xludf.DUMMYFUNCTION("""COMPUTED_VALUE"""),"https://drive.google.com/file/d/1d2D3WgKVnXnVLqWKgSPp1NiOfXcVqjPr/view?usp=drivesdk")</f>
        <v>https://drive.google.com/file/d/1d2D3WgKVnXnVLqWKgSPp1NiOfXcVqjPr/view?usp=drivesdk</v>
      </c>
      <c r="C1756" s="336" t="str">
        <f>IFERROR(__xludf.DUMMYFUNCTION("""COMPUTED_VALUE"""),"10.1037--h0045925 (1).pdf")</f>
        <v>10.1037--h0045925 (1).pdf</v>
      </c>
      <c r="D1756" s="156" t="str">
        <f>IFERROR(__xludf.DUMMYFUNCTION("""COMPUTED_VALUE"""),"application/pdf")</f>
        <v>application/pdf</v>
      </c>
    </row>
    <row r="1757">
      <c r="A1757" s="336" t="str">
        <f>IFERROR(__xludf.DUMMYFUNCTION("""COMPUTED_VALUE"""),"10.1126/science.198.4312.75 (1)")</f>
        <v>10.1126/science.198.4312.75 (1)</v>
      </c>
      <c r="B1757" s="442" t="str">
        <f>IFERROR(__xludf.DUMMYFUNCTION("""COMPUTED_VALUE"""),"https://drive.google.com/file/d/1orWmBXwTbbyUtTNT_8t7VtQBQEaYJnz5/view?usp=drivesdk")</f>
        <v>https://drive.google.com/file/d/1orWmBXwTbbyUtTNT_8t7VtQBQEaYJnz5/view?usp=drivesdk</v>
      </c>
      <c r="C1757" s="336" t="str">
        <f>IFERROR(__xludf.DUMMYFUNCTION("""COMPUTED_VALUE"""),"10.1126--science.198.4312.75 (1).pdf")</f>
        <v>10.1126--science.198.4312.75 (1).pdf</v>
      </c>
      <c r="D1757" s="156" t="str">
        <f>IFERROR(__xludf.DUMMYFUNCTION("""COMPUTED_VALUE"""),"application/pdf")</f>
        <v>application/pdf</v>
      </c>
    </row>
    <row r="1758">
      <c r="A1758" s="336" t="str">
        <f>IFERROR(__xludf.DUMMYFUNCTION("""COMPUTED_VALUE"""),"10.1037/0033-295x.100.3.363")</f>
        <v>10.1037/0033-295x.100.3.363</v>
      </c>
      <c r="B1758" s="442" t="str">
        <f>IFERROR(__xludf.DUMMYFUNCTION("""COMPUTED_VALUE"""),"https://drive.google.com/file/d/1C6X_tBRsEk1ZuBm0JfJIShyFbqttZbk_/view?usp=drivesdk")</f>
        <v>https://drive.google.com/file/d/1C6X_tBRsEk1ZuBm0JfJIShyFbqttZbk_/view?usp=drivesdk</v>
      </c>
      <c r="C1758" s="336" t="str">
        <f>IFERROR(__xludf.DUMMYFUNCTION("""COMPUTED_VALUE"""),"10.1037--0033-295x.100.3.363.pdf")</f>
        <v>10.1037--0033-295x.100.3.363.pdf</v>
      </c>
      <c r="D1758" s="156" t="str">
        <f>IFERROR(__xludf.DUMMYFUNCTION("""COMPUTED_VALUE"""),"application/pdf")</f>
        <v>application/pdf</v>
      </c>
    </row>
    <row r="1759">
      <c r="A1759" s="336" t="str">
        <f>IFERROR(__xludf.DUMMYFUNCTION("""COMPUTED_VALUE"""),"10.1207/s15327965pli0604_1 (1)")</f>
        <v>10.1207/s15327965pli0604_1 (1)</v>
      </c>
      <c r="B1759" s="442" t="str">
        <f>IFERROR(__xludf.DUMMYFUNCTION("""COMPUTED_VALUE"""),"https://drive.google.com/file/d/1JU2kq3G9WPJASDjMlbU9lJcCvzEOIVXp/view?usp=drivesdk")</f>
        <v>https://drive.google.com/file/d/1JU2kq3G9WPJASDjMlbU9lJcCvzEOIVXp/view?usp=drivesdk</v>
      </c>
      <c r="C1759" s="336" t="str">
        <f>IFERROR(__xludf.DUMMYFUNCTION("""COMPUTED_VALUE"""),"10.1207--s15327965pli0604_1 (1).pdf")</f>
        <v>10.1207--s15327965pli0604_1 (1).pdf</v>
      </c>
      <c r="D1759" s="156" t="str">
        <f>IFERROR(__xludf.DUMMYFUNCTION("""COMPUTED_VALUE"""),"application/pdf")</f>
        <v>application/pdf</v>
      </c>
    </row>
    <row r="1760">
      <c r="A1760" s="336" t="str">
        <f>IFERROR(__xludf.DUMMYFUNCTION("""COMPUTED_VALUE"""),"10.1037/h0093718 (1)")</f>
        <v>10.1037/h0093718 (1)</v>
      </c>
      <c r="B1760" s="442" t="str">
        <f>IFERROR(__xludf.DUMMYFUNCTION("""COMPUTED_VALUE"""),"https://drive.google.com/file/d/1BFVFruV0jjAE8l2HmvLtol5pOiTpQWTn/view?usp=drivesdk")</f>
        <v>https://drive.google.com/file/d/1BFVFruV0jjAE8l2HmvLtol5pOiTpQWTn/view?usp=drivesdk</v>
      </c>
      <c r="C1760" s="336" t="str">
        <f>IFERROR(__xludf.DUMMYFUNCTION("""COMPUTED_VALUE"""),"10.1037--h0093718 (1).pdf")</f>
        <v>10.1037--h0093718 (1).pdf</v>
      </c>
      <c r="D1760" s="156" t="str">
        <f>IFERROR(__xludf.DUMMYFUNCTION("""COMPUTED_VALUE"""),"application/pdf")</f>
        <v>application/pdf</v>
      </c>
    </row>
    <row r="1761">
      <c r="A1761" s="336" t="str">
        <f>IFERROR(__xludf.DUMMYFUNCTION("""COMPUTED_VALUE"""),"10.1177/2167696812466548 (1)")</f>
        <v>10.1177/2167696812466548 (1)</v>
      </c>
      <c r="B1761" s="442" t="str">
        <f>IFERROR(__xludf.DUMMYFUNCTION("""COMPUTED_VALUE"""),"https://drive.google.com/file/d/1CsaWJpOD5obyDy6WvpA1BXNqU8U7Mu0U/view?usp=drivesdk")</f>
        <v>https://drive.google.com/file/d/1CsaWJpOD5obyDy6WvpA1BXNqU8U7Mu0U/view?usp=drivesdk</v>
      </c>
      <c r="C1761" s="336" t="str">
        <f>IFERROR(__xludf.DUMMYFUNCTION("""COMPUTED_VALUE"""),"10.1177--2167696812466548 (1).pdf")</f>
        <v>10.1177--2167696812466548 (1).pdf</v>
      </c>
      <c r="D1761" s="156" t="str">
        <f>IFERROR(__xludf.DUMMYFUNCTION("""COMPUTED_VALUE"""),"application/pdf")</f>
        <v>application/pdf</v>
      </c>
    </row>
    <row r="1762">
      <c r="A1762" s="336" t="str">
        <f>IFERROR(__xludf.DUMMYFUNCTION("""COMPUTED_VALUE"""),"10.1080/15298860500338534 (1)")</f>
        <v>10.1080/15298860500338534 (1)</v>
      </c>
      <c r="B1762" s="442" t="str">
        <f>IFERROR(__xludf.DUMMYFUNCTION("""COMPUTED_VALUE"""),"https://drive.google.com/file/d/1dNsIIm2ZOx3nM-UaBdacNLX3itmoein_/view?usp=drivesdk")</f>
        <v>https://drive.google.com/file/d/1dNsIIm2ZOx3nM-UaBdacNLX3itmoein_/view?usp=drivesdk</v>
      </c>
      <c r="C1762" s="336" t="str">
        <f>IFERROR(__xludf.DUMMYFUNCTION("""COMPUTED_VALUE"""),"10.1080--15298860500338534 (1).pdf")</f>
        <v>10.1080--15298860500338534 (1).pdf</v>
      </c>
      <c r="D1762" s="156" t="str">
        <f>IFERROR(__xludf.DUMMYFUNCTION("""COMPUTED_VALUE"""),"application/pdf")</f>
        <v>application/pdf</v>
      </c>
    </row>
    <row r="1763">
      <c r="A1763" s="336" t="str">
        <f>IFERROR(__xludf.DUMMYFUNCTION("""COMPUTED_VALUE"""),"10.1037/0022-3514.39.5.806")</f>
        <v>10.1037/0022-3514.39.5.806</v>
      </c>
      <c r="B1763" s="442" t="str">
        <f>IFERROR(__xludf.DUMMYFUNCTION("""COMPUTED_VALUE"""),"https://drive.google.com/file/d/1FE3TeIulxqbrqdkc2jTdYSSANKvf2sUn/view?usp=drivesdk")</f>
        <v>https://drive.google.com/file/d/1FE3TeIulxqbrqdkc2jTdYSSANKvf2sUn/view?usp=drivesdk</v>
      </c>
      <c r="C1763" s="336" t="str">
        <f>IFERROR(__xludf.DUMMYFUNCTION("""COMPUTED_VALUE"""),"10.1037--0022-3514.39.5.806.pdf")</f>
        <v>10.1037--0022-3514.39.5.806.pdf</v>
      </c>
      <c r="D1763" s="156" t="str">
        <f>IFERROR(__xludf.DUMMYFUNCTION("""COMPUTED_VALUE"""),"application/pdf")</f>
        <v>application/pdf</v>
      </c>
    </row>
    <row r="1764">
      <c r="A1764" s="336" t="str">
        <f>IFERROR(__xludf.DUMMYFUNCTION("""COMPUTED_VALUE"""),"10.2466/pr0.1966.19.1.115 (1)")</f>
        <v>10.2466/pr0.1966.19.1.115 (1)</v>
      </c>
      <c r="B1764" s="442" t="str">
        <f>IFERROR(__xludf.DUMMYFUNCTION("""COMPUTED_VALUE"""),"https://drive.google.com/file/d/1z0rZD7X_coycSsuDGdLfw2SbmW-sJmVO/view?usp=drivesdk")</f>
        <v>https://drive.google.com/file/d/1z0rZD7X_coycSsuDGdLfw2SbmW-sJmVO/view?usp=drivesdk</v>
      </c>
      <c r="C1764" s="336" t="str">
        <f>IFERROR(__xludf.DUMMYFUNCTION("""COMPUTED_VALUE"""),"10.2466--pr0.1966.19.1.115 (1).pdf")</f>
        <v>10.2466--pr0.1966.19.1.115 (1).pdf</v>
      </c>
      <c r="D1764" s="156" t="str">
        <f>IFERROR(__xludf.DUMMYFUNCTION("""COMPUTED_VALUE"""),"application/pdf")</f>
        <v>application/pdf</v>
      </c>
    </row>
    <row r="1765">
      <c r="A1765" s="336" t="str">
        <f>IFERROR(__xludf.DUMMYFUNCTION("""COMPUTED_VALUE"""),"10.1007/bf02322211")</f>
        <v>10.1007/bf02322211</v>
      </c>
      <c r="B1765" s="442" t="str">
        <f>IFERROR(__xludf.DUMMYFUNCTION("""COMPUTED_VALUE"""),"https://drive.google.com/file/d/1jOoAQSfMt9sdMl9gpBJM84bvaX5uZuuu/view?usp=drivesdk")</f>
        <v>https://drive.google.com/file/d/1jOoAQSfMt9sdMl9gpBJM84bvaX5uZuuu/view?usp=drivesdk</v>
      </c>
      <c r="C1765" s="336" t="str">
        <f>IFERROR(__xludf.DUMMYFUNCTION("""COMPUTED_VALUE"""),"10.1007--bf02322211.pdf")</f>
        <v>10.1007--bf02322211.pdf</v>
      </c>
      <c r="D1765" s="156" t="str">
        <f>IFERROR(__xludf.DUMMYFUNCTION("""COMPUTED_VALUE"""),"application/pdf")</f>
        <v>application/pdf</v>
      </c>
    </row>
    <row r="1766">
      <c r="A1766" s="336" t="str">
        <f>IFERROR(__xludf.DUMMYFUNCTION("""COMPUTED_VALUE"""),"10.2307/1914185")</f>
        <v>10.2307/1914185</v>
      </c>
      <c r="B1766" s="442" t="str">
        <f>IFERROR(__xludf.DUMMYFUNCTION("""COMPUTED_VALUE"""),"https://drive.google.com/file/d/1HdhPJu0881YgnR4xynBt04t3L4d2n_Lj/view?usp=drivesdk")</f>
        <v>https://drive.google.com/file/d/1HdhPJu0881YgnR4xynBt04t3L4d2n_Lj/view?usp=drivesdk</v>
      </c>
      <c r="C1766" s="336" t="str">
        <f>IFERROR(__xludf.DUMMYFUNCTION("""COMPUTED_VALUE"""),"10.2307--1914185.pdf")</f>
        <v>10.2307--1914185.pdf</v>
      </c>
      <c r="D1766" s="156" t="str">
        <f>IFERROR(__xludf.DUMMYFUNCTION("""COMPUTED_VALUE"""),"application/pdf")</f>
        <v>application/pdf</v>
      </c>
    </row>
    <row r="1767">
      <c r="A1767" s="336" t="str">
        <f>IFERROR(__xludf.DUMMYFUNCTION("""COMPUTED_VALUE"""),"10.1037/0022-3514.74.6.1464")</f>
        <v>10.1037/0022-3514.74.6.1464</v>
      </c>
      <c r="B1767" s="442" t="str">
        <f>IFERROR(__xludf.DUMMYFUNCTION("""COMPUTED_VALUE"""),"https://drive.google.com/file/d/1yHOlpM1uJaiU7kTahuRP2566vNJozaQa/view?usp=drivesdk")</f>
        <v>https://drive.google.com/file/d/1yHOlpM1uJaiU7kTahuRP2566vNJozaQa/view?usp=drivesdk</v>
      </c>
      <c r="C1767" s="336" t="str">
        <f>IFERROR(__xludf.DUMMYFUNCTION("""COMPUTED_VALUE"""),"10.1037--0022-3514.74.6.1464.pdf")</f>
        <v>10.1037--0022-3514.74.6.1464.pdf</v>
      </c>
      <c r="D1767" s="156" t="str">
        <f>IFERROR(__xludf.DUMMYFUNCTION("""COMPUTED_VALUE"""),"application/pdf")</f>
        <v>application/pdf</v>
      </c>
    </row>
    <row r="1768">
      <c r="A1768" s="336" t="str">
        <f>IFERROR(__xludf.DUMMYFUNCTION("""COMPUTED_VALUE"""),"10.1073/pnas.1402786111 (1)")</f>
        <v>10.1073/pnas.1402786111 (1)</v>
      </c>
      <c r="B1768" s="442" t="str">
        <f>IFERROR(__xludf.DUMMYFUNCTION("""COMPUTED_VALUE"""),"https://drive.google.com/file/d/1eAoT78SA2YIGRpfWvrSQimqyc0AkJJKp/view?usp=drivesdk")</f>
        <v>https://drive.google.com/file/d/1eAoT78SA2YIGRpfWvrSQimqyc0AkJJKp/view?usp=drivesdk</v>
      </c>
      <c r="C1768" s="336" t="str">
        <f>IFERROR(__xludf.DUMMYFUNCTION("""COMPUTED_VALUE"""),"10.1073--pnas.1402786111 (1).pdf")</f>
        <v>10.1073--pnas.1402786111 (1).pdf</v>
      </c>
      <c r="D1768" s="156" t="str">
        <f>IFERROR(__xludf.DUMMYFUNCTION("""COMPUTED_VALUE"""),"application/pdf")</f>
        <v>application/pdf</v>
      </c>
    </row>
    <row r="1769">
      <c r="A1769" s="336" t="str">
        <f>IFERROR(__xludf.DUMMYFUNCTION("""COMPUTED_VALUE"""),"10.1177/2167702617723376 (1)")</f>
        <v>10.1177/2167702617723376 (1)</v>
      </c>
      <c r="B1769" s="442" t="str">
        <f>IFERROR(__xludf.DUMMYFUNCTION("""COMPUTED_VALUE"""),"https://drive.google.com/file/d/14LdltvCLjeiJ1loRuAN1I1tFJo0oA8zn/view?usp=drivesdk")</f>
        <v>https://drive.google.com/file/d/14LdltvCLjeiJ1loRuAN1I1tFJo0oA8zn/view?usp=drivesdk</v>
      </c>
      <c r="C1769" s="336" t="str">
        <f>IFERROR(__xludf.DUMMYFUNCTION("""COMPUTED_VALUE"""),"10.1177--2167702617723376 (1).pdf")</f>
        <v>10.1177--2167702617723376 (1).pdf</v>
      </c>
      <c r="D1769" s="156" t="str">
        <f>IFERROR(__xludf.DUMMYFUNCTION("""COMPUTED_VALUE"""),"application/pdf")</f>
        <v>application/pdf</v>
      </c>
    </row>
    <row r="1770">
      <c r="A1770" s="336" t="str">
        <f>IFERROR(__xludf.DUMMYFUNCTION("""COMPUTED_VALUE"""),"10.1086/222258 (1)")</f>
        <v>10.1086/222258 (1)</v>
      </c>
      <c r="B1770" s="442" t="str">
        <f>IFERROR(__xludf.DUMMYFUNCTION("""COMPUTED_VALUE"""),"https://drive.google.com/file/d/110SCbBI08nzymwEael0DhIoVulYZE2rG/view?usp=drivesdk")</f>
        <v>https://drive.google.com/file/d/110SCbBI08nzymwEael0DhIoVulYZE2rG/view?usp=drivesdk</v>
      </c>
      <c r="C1770" s="336" t="str">
        <f>IFERROR(__xludf.DUMMYFUNCTION("""COMPUTED_VALUE"""),"10.1086--222258 (1).pdf")</f>
        <v>10.1086--222258 (1).pdf</v>
      </c>
      <c r="D1770" s="156" t="str">
        <f>IFERROR(__xludf.DUMMYFUNCTION("""COMPUTED_VALUE"""),"application/pdf")</f>
        <v>application/pdf</v>
      </c>
    </row>
    <row r="1771">
      <c r="A1771" s="336" t="str">
        <f>IFERROR(__xludf.DUMMYFUNCTION("""COMPUTED_VALUE"""),"10.1037/h0040525 (1)")</f>
        <v>10.1037/h0040525 (1)</v>
      </c>
      <c r="B1771" s="442" t="str">
        <f>IFERROR(__xludf.DUMMYFUNCTION("""COMPUTED_VALUE"""),"https://drive.google.com/file/d/1_0TBT6K4UcfvPRMN8STy1FYQ5o0TnVlq/view?usp=drivesdk")</f>
        <v>https://drive.google.com/file/d/1_0TBT6K4UcfvPRMN8STy1FYQ5o0TnVlq/view?usp=drivesdk</v>
      </c>
      <c r="C1771" s="336" t="str">
        <f>IFERROR(__xludf.DUMMYFUNCTION("""COMPUTED_VALUE"""),"10.1037--h0040525 (1).pdf")</f>
        <v>10.1037--h0040525 (1).pdf</v>
      </c>
      <c r="D1771" s="156" t="str">
        <f>IFERROR(__xludf.DUMMYFUNCTION("""COMPUTED_VALUE"""),"application/pdf")</f>
        <v>application/pdf</v>
      </c>
    </row>
    <row r="1772">
      <c r="A1772" s="336" t="str">
        <f>IFERROR(__xludf.DUMMYFUNCTION("""COMPUTED_VALUE"""),"10.1521/soco.2018.36.1.4")</f>
        <v>10.1521/soco.2018.36.1.4</v>
      </c>
      <c r="B1772" s="442" t="str">
        <f>IFERROR(__xludf.DUMMYFUNCTION("""COMPUTED_VALUE"""),"https://drive.google.com/file/d/1s3pLJ7I8k4bMPKKfE33wyCz0Q2r7Cum9/view?usp=drivesdk")</f>
        <v>https://drive.google.com/file/d/1s3pLJ7I8k4bMPKKfE33wyCz0Q2r7Cum9/view?usp=drivesdk</v>
      </c>
      <c r="C1772" s="336" t="str">
        <f>IFERROR(__xludf.DUMMYFUNCTION("""COMPUTED_VALUE"""),"10.1521--soco.2018.36.1.4.pdf")</f>
        <v>10.1521--soco.2018.36.1.4.pdf</v>
      </c>
      <c r="D1772" s="156" t="str">
        <f>IFERROR(__xludf.DUMMYFUNCTION("""COMPUTED_VALUE"""),"application/pdf")</f>
        <v>application/pdf</v>
      </c>
    </row>
    <row r="1773">
      <c r="A1773" s="336" t="str">
        <f>IFERROR(__xludf.DUMMYFUNCTION("""COMPUTED_VALUE"""),"10.1126/science.1238041 (1)")</f>
        <v>10.1126/science.1238041 (1)</v>
      </c>
      <c r="B1773" s="442" t="str">
        <f>IFERROR(__xludf.DUMMYFUNCTION("""COMPUTED_VALUE"""),"https://drive.google.com/file/d/11UhpC-nFM4e4lBiNdaX61xQ7VvtwiSSQ/view?usp=drivesdk")</f>
        <v>https://drive.google.com/file/d/11UhpC-nFM4e4lBiNdaX61xQ7VvtwiSSQ/view?usp=drivesdk</v>
      </c>
      <c r="C1773" s="336" t="str">
        <f>IFERROR(__xludf.DUMMYFUNCTION("""COMPUTED_VALUE"""),"10.1126--science.1238041 (1).pdf")</f>
        <v>10.1126--science.1238041 (1).pdf</v>
      </c>
      <c r="D1773" s="156" t="str">
        <f>IFERROR(__xludf.DUMMYFUNCTION("""COMPUTED_VALUE"""),"application/pdf")</f>
        <v>application/pdf</v>
      </c>
    </row>
    <row r="1774">
      <c r="A1774" s="336" t="str">
        <f>IFERROR(__xludf.DUMMYFUNCTION("""COMPUTED_VALUE"""),"10.1177/095679761562564")</f>
        <v>10.1177/095679761562564</v>
      </c>
      <c r="B1774" s="442" t="str">
        <f>IFERROR(__xludf.DUMMYFUNCTION("""COMPUTED_VALUE"""),"https://drive.google.com/file/d/1gvgQAw0L_boUFIZ7g1OyJ_YXdg0oIjT9/view?usp=drivesdk")</f>
        <v>https://drive.google.com/file/d/1gvgQAw0L_boUFIZ7g1OyJ_YXdg0oIjT9/view?usp=drivesdk</v>
      </c>
      <c r="C1774" s="336" t="str">
        <f>IFERROR(__xludf.DUMMYFUNCTION("""COMPUTED_VALUE"""),"10.1177--095679761562564.pdf")</f>
        <v>10.1177--095679761562564.pdf</v>
      </c>
      <c r="D1774" s="156" t="str">
        <f>IFERROR(__xludf.DUMMYFUNCTION("""COMPUTED_VALUE"""),"application/pdf")</f>
        <v>application/pdf</v>
      </c>
    </row>
    <row r="1775">
      <c r="A1775" s="336" t="str">
        <f>IFERROR(__xludf.DUMMYFUNCTION("""COMPUTED_VALUE"""),"10.1371/journal.pone.0163051")</f>
        <v>10.1371/journal.pone.0163051</v>
      </c>
      <c r="B1775" s="442" t="str">
        <f>IFERROR(__xludf.DUMMYFUNCTION("""COMPUTED_VALUE"""),"https://drive.google.com/file/d/1h5FjSevWZxXJxf5EXpQpJT7U-6TRQAHa/view?usp=drivesdk")</f>
        <v>https://drive.google.com/file/d/1h5FjSevWZxXJxf5EXpQpJT7U-6TRQAHa/view?usp=drivesdk</v>
      </c>
      <c r="C1775" s="336" t="str">
        <f>IFERROR(__xludf.DUMMYFUNCTION("""COMPUTED_VALUE"""),"10.1371--journal.pone.0163051.pdf")</f>
        <v>10.1371--journal.pone.0163051.pdf</v>
      </c>
      <c r="D1775" s="156" t="str">
        <f>IFERROR(__xludf.DUMMYFUNCTION("""COMPUTED_VALUE"""),"application/pdf")</f>
        <v>application/pdf</v>
      </c>
    </row>
    <row r="1776">
      <c r="A1776" s="336" t="str">
        <f>IFERROR(__xludf.DUMMYFUNCTION("""COMPUTED_VALUE"""),"10.1126/science.1222426 (1)")</f>
        <v>10.1126/science.1222426 (1)</v>
      </c>
      <c r="B1776" s="442" t="str">
        <f>IFERROR(__xludf.DUMMYFUNCTION("""COMPUTED_VALUE"""),"https://drive.google.com/file/d/19AZSvRMmh1uo8b-VvXsL7fsoYgsniYAB/view?usp=drivesdk")</f>
        <v>https://drive.google.com/file/d/19AZSvRMmh1uo8b-VvXsL7fsoYgsniYAB/view?usp=drivesdk</v>
      </c>
      <c r="C1776" s="336" t="str">
        <f>IFERROR(__xludf.DUMMYFUNCTION("""COMPUTED_VALUE"""),"10.1126--science.1222426 (1).pdf")</f>
        <v>10.1126--science.1222426 (1).pdf</v>
      </c>
      <c r="D1776" s="156" t="str">
        <f>IFERROR(__xludf.DUMMYFUNCTION("""COMPUTED_VALUE"""),"application/pdf")</f>
        <v>application/pdf</v>
      </c>
    </row>
    <row r="1777">
      <c r="A1777" s="336" t="str">
        <f>IFERROR(__xludf.DUMMYFUNCTION("""COMPUTED_VALUE"""),"10.1177/095679761139849")</f>
        <v>10.1177/095679761139849</v>
      </c>
      <c r="B1777" s="442" t="str">
        <f>IFERROR(__xludf.DUMMYFUNCTION("""COMPUTED_VALUE"""),"https://drive.google.com/file/d/1-VGr_VxXpDFd--FWOEgFXc-w3gJU0M5p/view?usp=drivesdk")</f>
        <v>https://drive.google.com/file/d/1-VGr_VxXpDFd--FWOEgFXc-w3gJU0M5p/view?usp=drivesdk</v>
      </c>
      <c r="C1777" s="336" t="str">
        <f>IFERROR(__xludf.DUMMYFUNCTION("""COMPUTED_VALUE"""),"10.1177--095679761139849.pdf")</f>
        <v>10.1177--095679761139849.pdf</v>
      </c>
      <c r="D1777" s="156" t="str">
        <f>IFERROR(__xludf.DUMMYFUNCTION("""COMPUTED_VALUE"""),"application/pdf")</f>
        <v>application/pdf</v>
      </c>
    </row>
    <row r="1778">
      <c r="A1778" s="336" t="str">
        <f>IFERROR(__xludf.DUMMYFUNCTION("""COMPUTED_VALUE"""),"10.1027/1864-9335/a000147 (1)")</f>
        <v>10.1027/1864-9335/a000147 (1)</v>
      </c>
      <c r="B1778" s="442" t="str">
        <f>IFERROR(__xludf.DUMMYFUNCTION("""COMPUTED_VALUE"""),"https://drive.google.com/file/d/1aljqzNt_a-5H2xNod0DXK2LsjIq9xXuj/view?usp=drivesdk")</f>
        <v>https://drive.google.com/file/d/1aljqzNt_a-5H2xNod0DXK2LsjIq9xXuj/view?usp=drivesdk</v>
      </c>
      <c r="C1778" s="336" t="str">
        <f>IFERROR(__xludf.DUMMYFUNCTION("""COMPUTED_VALUE"""),"10.1027--1864-9335--a000147 (1).pdf")</f>
        <v>10.1027--1864-9335--a000147 (1).pdf</v>
      </c>
      <c r="D1778" s="156" t="str">
        <f>IFERROR(__xludf.DUMMYFUNCTION("""COMPUTED_VALUE"""),"application/pdf")</f>
        <v>application/pdf</v>
      </c>
    </row>
    <row r="1779">
      <c r="A1779" s="336" t="str">
        <f>IFERROR(__xludf.DUMMYFUNCTION("""COMPUTED_VALUE"""),"10.1177/0956797611432497 (1)")</f>
        <v>10.1177/0956797611432497 (1)</v>
      </c>
      <c r="B1779" s="442" t="str">
        <f>IFERROR(__xludf.DUMMYFUNCTION("""COMPUTED_VALUE"""),"https://drive.google.com/file/d/1cNdWPR0lbNPUCDeI0DicvFV8ZWXKF8P4/view?usp=drivesdk")</f>
        <v>https://drive.google.com/file/d/1cNdWPR0lbNPUCDeI0DicvFV8ZWXKF8P4/view?usp=drivesdk</v>
      </c>
      <c r="C1779" s="336" t="str">
        <f>IFERROR(__xludf.DUMMYFUNCTION("""COMPUTED_VALUE"""),"10.1177--0956797611432497 (1).pdf")</f>
        <v>10.1177--0956797611432497 (1).pdf</v>
      </c>
      <c r="D1779" s="156" t="str">
        <f>IFERROR(__xludf.DUMMYFUNCTION("""COMPUTED_VALUE"""),"application/pdf")</f>
        <v>application/pdf</v>
      </c>
    </row>
    <row r="1780">
      <c r="A1780" s="336" t="str">
        <f>IFERROR(__xludf.DUMMYFUNCTION("""COMPUTED_VALUE"""),"10.1037/a0023527 (1)")</f>
        <v>10.1037/a0023527 (1)</v>
      </c>
      <c r="B1780" s="442" t="str">
        <f>IFERROR(__xludf.DUMMYFUNCTION("""COMPUTED_VALUE"""),"https://drive.google.com/file/d/1MZZLO_m55KdbCtMX7Abk1knww_Eu3Byx/view?usp=drivesdk")</f>
        <v>https://drive.google.com/file/d/1MZZLO_m55KdbCtMX7Abk1knww_Eu3Byx/view?usp=drivesdk</v>
      </c>
      <c r="C1780" s="336" t="str">
        <f>IFERROR(__xludf.DUMMYFUNCTION("""COMPUTED_VALUE"""),"10.1037--a0023527 (1).pdf")</f>
        <v>10.1037--a0023527 (1).pdf</v>
      </c>
      <c r="D1780" s="156" t="str">
        <f>IFERROR(__xludf.DUMMYFUNCTION("""COMPUTED_VALUE"""),"application/pdf")</f>
        <v>application/pdf</v>
      </c>
    </row>
    <row r="1781">
      <c r="A1781" s="336" t="str">
        <f>IFERROR(__xludf.DUMMYFUNCTION("""COMPUTED_VALUE"""),"10.1111/j.1467-9280.2009.02326.x (1)")</f>
        <v>10.1111/j.1467-9280.2009.02326.x (1)</v>
      </c>
      <c r="B1781" s="442" t="str">
        <f>IFERROR(__xludf.DUMMYFUNCTION("""COMPUTED_VALUE"""),"https://drive.google.com/file/d/1Rq8taADseprDE7oOK03RUVDBbNKz4-pg/view?usp=drivesdk")</f>
        <v>https://drive.google.com/file/d/1Rq8taADseprDE7oOK03RUVDBbNKz4-pg/view?usp=drivesdk</v>
      </c>
      <c r="C1781" s="336" t="str">
        <f>IFERROR(__xludf.DUMMYFUNCTION("""COMPUTED_VALUE"""),"10.1111--j.1467-9280.2009.02326.x (1).pdf")</f>
        <v>10.1111--j.1467-9280.2009.02326.x (1).pdf</v>
      </c>
      <c r="D1781" s="156" t="str">
        <f>IFERROR(__xludf.DUMMYFUNCTION("""COMPUTED_VALUE"""),"application/pdf")</f>
        <v>application/pdf</v>
      </c>
    </row>
    <row r="1782">
      <c r="A1782" s="336" t="str">
        <f>IFERROR(__xludf.DUMMYFUNCTION("""COMPUTED_VALUE"""),"10.1177/0146167299025002007 (1)")</f>
        <v>10.1177/0146167299025002007 (1)</v>
      </c>
      <c r="B1782" s="442" t="str">
        <f>IFERROR(__xludf.DUMMYFUNCTION("""COMPUTED_VALUE"""),"https://drive.google.com/file/d/1OgSTpGHW34UAkF4DDcl5ghcaAHtU7oMz/view?usp=drivesdk")</f>
        <v>https://drive.google.com/file/d/1OgSTpGHW34UAkF4DDcl5ghcaAHtU7oMz/view?usp=drivesdk</v>
      </c>
      <c r="C1782" s="336" t="str">
        <f>IFERROR(__xludf.DUMMYFUNCTION("""COMPUTED_VALUE"""),"10.1177--0146167299025002007 (1).pdf")</f>
        <v>10.1177--0146167299025002007 (1).pdf</v>
      </c>
      <c r="D1782" s="156" t="str">
        <f>IFERROR(__xludf.DUMMYFUNCTION("""COMPUTED_VALUE"""),"application/pdf")</f>
        <v>application/pdf</v>
      </c>
    </row>
    <row r="1783">
      <c r="A1783" s="336" t="str">
        <f>IFERROR(__xludf.DUMMYFUNCTION("""COMPUTED_VALUE"""),"10.1037/h0031564 (1)")</f>
        <v>10.1037/h0031564 (1)</v>
      </c>
      <c r="B1783" s="442" t="str">
        <f>IFERROR(__xludf.DUMMYFUNCTION("""COMPUTED_VALUE"""),"https://drive.google.com/file/d/1i6qGgi00RMPjfjymzXA5zrhw99E1HI_E/view?usp=drivesdk")</f>
        <v>https://drive.google.com/file/d/1i6qGgi00RMPjfjymzXA5zrhw99E1HI_E/view?usp=drivesdk</v>
      </c>
      <c r="C1783" s="336" t="str">
        <f>IFERROR(__xludf.DUMMYFUNCTION("""COMPUTED_VALUE"""),"10.1037--h0031564 (1).pdf")</f>
        <v>10.1037--h0031564 (1).pdf</v>
      </c>
      <c r="D1783" s="156" t="str">
        <f>IFERROR(__xludf.DUMMYFUNCTION("""COMPUTED_VALUE"""),"application/pdf")</f>
        <v>application/pdf</v>
      </c>
    </row>
    <row r="1784">
      <c r="A1784" s="336" t="str">
        <f>IFERROR(__xludf.DUMMYFUNCTION("""COMPUTED_VALUE"""),"10.1111/j.1467-9280.2006.01811.x (1)")</f>
        <v>10.1111/j.1467-9280.2006.01811.x (1)</v>
      </c>
      <c r="B1784" s="442" t="str">
        <f>IFERROR(__xludf.DUMMYFUNCTION("""COMPUTED_VALUE"""),"https://drive.google.com/file/d/1-zDlqGJHLgnf0EEC6-j_EElNHHgqV-X-/view?usp=drivesdk")</f>
        <v>https://drive.google.com/file/d/1-zDlqGJHLgnf0EEC6-j_EElNHHgqV-X-/view?usp=drivesdk</v>
      </c>
      <c r="C1784" s="336" t="str">
        <f>IFERROR(__xludf.DUMMYFUNCTION("""COMPUTED_VALUE"""),"10.1111--j.1467-9280.2006.01811.x (1).pdf")</f>
        <v>10.1111--j.1467-9280.2006.01811.x (1).pdf</v>
      </c>
      <c r="D1784" s="156" t="str">
        <f>IFERROR(__xludf.DUMMYFUNCTION("""COMPUTED_VALUE"""),"application/pdf")</f>
        <v>application/pdf</v>
      </c>
    </row>
    <row r="1785">
      <c r="A1785" s="336" t="str">
        <f>IFERROR(__xludf.DUMMYFUNCTION("""COMPUTED_VALUE"""),"10.1037/0022-3514.87.1.23")</f>
        <v>10.1037/0022-3514.87.1.23</v>
      </c>
      <c r="B1785" s="442" t="str">
        <f>IFERROR(__xludf.DUMMYFUNCTION("""COMPUTED_VALUE"""),"https://drive.google.com/file/d/1AXlt7RiMQzSBR2Y8NqyVSEMYzhAeNHOQ/view?usp=drivesdk")</f>
        <v>https://drive.google.com/file/d/1AXlt7RiMQzSBR2Y8NqyVSEMYzhAeNHOQ/view?usp=drivesdk</v>
      </c>
      <c r="C1785" s="336" t="str">
        <f>IFERROR(__xludf.DUMMYFUNCTION("""COMPUTED_VALUE"""),"10.1037--0022-3514.87.1.23.pdf")</f>
        <v>10.1037--0022-3514.87.1.23.pdf</v>
      </c>
      <c r="D1785" s="156" t="str">
        <f>IFERROR(__xludf.DUMMYFUNCTION("""COMPUTED_VALUE"""),"application/pdf")</f>
        <v>application/pdf</v>
      </c>
    </row>
    <row r="1786">
      <c r="A1786" s="336" t="str">
        <f>IFERROR(__xludf.DUMMYFUNCTION("""COMPUTED_VALUE"""),"10.1086/268936 (1)")</f>
        <v>10.1086/268936 (1)</v>
      </c>
      <c r="B1786" s="442" t="str">
        <f>IFERROR(__xludf.DUMMYFUNCTION("""COMPUTED_VALUE"""),"https://drive.google.com/file/d/1D2Zu4EZb1gNCoeCtBx-Kc5-d8n_tlf2s/view?usp=drivesdk")</f>
        <v>https://drive.google.com/file/d/1D2Zu4EZb1gNCoeCtBx-Kc5-d8n_tlf2s/view?usp=drivesdk</v>
      </c>
      <c r="C1786" s="336" t="str">
        <f>IFERROR(__xludf.DUMMYFUNCTION("""COMPUTED_VALUE"""),"10.1086--268936 (1).pdf")</f>
        <v>10.1086--268936 (1).pdf</v>
      </c>
      <c r="D1786" s="156" t="str">
        <f>IFERROR(__xludf.DUMMYFUNCTION("""COMPUTED_VALUE"""),"application/pdf")</f>
        <v>application/pdf</v>
      </c>
    </row>
    <row r="1787">
      <c r="A1787" s="336" t="str">
        <f>IFERROR(__xludf.DUMMYFUNCTION("""COMPUTED_VALUE"""),"10.1037/0022-3514.83.1.44 (1)")</f>
        <v>10.1037/0022-3514.83.1.44 (1)</v>
      </c>
      <c r="B1787" s="442" t="str">
        <f>IFERROR(__xludf.DUMMYFUNCTION("""COMPUTED_VALUE"""),"https://drive.google.com/file/d/18_vbF9xsKb2IuV-06Pdvovh4AYJfJmdk/view?usp=drivesdk")</f>
        <v>https://drive.google.com/file/d/18_vbF9xsKb2IuV-06Pdvovh4AYJfJmdk/view?usp=drivesdk</v>
      </c>
      <c r="C1787" s="336" t="str">
        <f>IFERROR(__xludf.DUMMYFUNCTION("""COMPUTED_VALUE"""),"10.1037--0022-3514.83.1.44 (1).pdf")</f>
        <v>10.1037--0022-3514.83.1.44 (1).pdf</v>
      </c>
      <c r="D1787" s="156" t="str">
        <f>IFERROR(__xludf.DUMMYFUNCTION("""COMPUTED_VALUE"""),"application/pdf")</f>
        <v>application/pdf</v>
      </c>
    </row>
    <row r="1788">
      <c r="A1788" s="336" t="str">
        <f>IFERROR(__xludf.DUMMYFUNCTION("""COMPUTED_VALUE"""),"10.1016/j.obhdp.2004.12.002 (1)")</f>
        <v>10.1016/j.obhdp.2004.12.002 (1)</v>
      </c>
      <c r="B1788" s="442" t="str">
        <f>IFERROR(__xludf.DUMMYFUNCTION("""COMPUTED_VALUE"""),"https://drive.google.com/file/d/1JkPrBBF4Aq2YUf-0H80A4LRFwpsSLSt5/view?usp=drivesdk")</f>
        <v>https://drive.google.com/file/d/1JkPrBBF4Aq2YUf-0H80A4LRFwpsSLSt5/view?usp=drivesdk</v>
      </c>
      <c r="C1788" s="336" t="str">
        <f>IFERROR(__xludf.DUMMYFUNCTION("""COMPUTED_VALUE"""),"10.1016--j.obhdp.2004.12.002 (1).pdf")</f>
        <v>10.1016--j.obhdp.2004.12.002 (1).pdf</v>
      </c>
      <c r="D1788" s="156" t="str">
        <f>IFERROR(__xludf.DUMMYFUNCTION("""COMPUTED_VALUE"""),"application/pdf")</f>
        <v>application/pdf</v>
      </c>
    </row>
    <row r="1789">
      <c r="A1789" s="336" t="str">
        <f>IFERROR(__xludf.DUMMYFUNCTION("""COMPUTED_VALUE"""),"10.1177/0956797614524581 (1)")</f>
        <v>10.1177/0956797614524581 (1)</v>
      </c>
      <c r="B1789" s="442" t="str">
        <f>IFERROR(__xludf.DUMMYFUNCTION("""COMPUTED_VALUE"""),"https://drive.google.com/file/d/1rA-SYIYa40jtaCXuwEf-xjfS-ihJSDa5/view?usp=drivesdk")</f>
        <v>https://drive.google.com/file/d/1rA-SYIYa40jtaCXuwEf-xjfS-ihJSDa5/view?usp=drivesdk</v>
      </c>
      <c r="C1789" s="336" t="str">
        <f>IFERROR(__xludf.DUMMYFUNCTION("""COMPUTED_VALUE"""),"10.1177--0956797614524581 (1).pdf")</f>
        <v>10.1177--0956797614524581 (1).pdf</v>
      </c>
      <c r="D1789" s="156" t="str">
        <f>IFERROR(__xludf.DUMMYFUNCTION("""COMPUTED_VALUE"""),"application/pdf")</f>
        <v>application/pdf</v>
      </c>
    </row>
    <row r="1790">
      <c r="A1790" s="336" t="str">
        <f>IFERROR(__xludf.DUMMYFUNCTION("""COMPUTED_VALUE"""),"10.3758/bf03197186")</f>
        <v>10.3758/bf03197186</v>
      </c>
      <c r="B1790" s="442" t="str">
        <f>IFERROR(__xludf.DUMMYFUNCTION("""COMPUTED_VALUE"""),"https://drive.google.com/file/d/1mbPAy1TbNwV2XOfDjz6F7ail2VgA51o4/view?usp=drivesdk")</f>
        <v>https://drive.google.com/file/d/1mbPAy1TbNwV2XOfDjz6F7ail2VgA51o4/view?usp=drivesdk</v>
      </c>
      <c r="C1790" s="336" t="str">
        <f>IFERROR(__xludf.DUMMYFUNCTION("""COMPUTED_VALUE"""),"10.3758--bf03197186.pdf")</f>
        <v>10.3758--bf03197186.pdf</v>
      </c>
      <c r="D1790" s="156" t="str">
        <f>IFERROR(__xludf.DUMMYFUNCTION("""COMPUTED_VALUE"""),"application/pdf")</f>
        <v>application/pdf</v>
      </c>
    </row>
    <row r="1791">
      <c r="A1791" s="336" t="str">
        <f>IFERROR(__xludf.DUMMYFUNCTION("""COMPUTED_VALUE"""),"10.1023/a-1019923923537")</f>
        <v>10.1023/a-1019923923537</v>
      </c>
      <c r="B1791" s="442" t="str">
        <f>IFERROR(__xludf.DUMMYFUNCTION("""COMPUTED_VALUE"""),"https://drive.google.com/file/d/16gyxPUUHdCNaQJ0J7lxySjT9ggprIeYM/view?usp=drivesdk")</f>
        <v>https://drive.google.com/file/d/16gyxPUUHdCNaQJ0J7lxySjT9ggprIeYM/view?usp=drivesdk</v>
      </c>
      <c r="C1791" s="336" t="str">
        <f>IFERROR(__xludf.DUMMYFUNCTION("""COMPUTED_VALUE"""),"10.1023--a-1019923923537.pdf")</f>
        <v>10.1023--a-1019923923537.pdf</v>
      </c>
      <c r="D1791" s="156" t="str">
        <f>IFERROR(__xludf.DUMMYFUNCTION("""COMPUTED_VALUE"""),"application/pdf")</f>
        <v>application/pdf</v>
      </c>
    </row>
    <row r="1792">
      <c r="A1792" s="336" t="str">
        <f>IFERROR(__xludf.DUMMYFUNCTION("""COMPUTED_VALUE"""),"10.1016/j.cognition.2013.09.001 (1)")</f>
        <v>10.1016/j.cognition.2013.09.001 (1)</v>
      </c>
      <c r="B1792" s="442" t="str">
        <f>IFERROR(__xludf.DUMMYFUNCTION("""COMPUTED_VALUE"""),"https://drive.google.com/file/d/1t9qJ81WHWp5VhrEXSET_reGhe9475Bh9/view?usp=drivesdk")</f>
        <v>https://drive.google.com/file/d/1t9qJ81WHWp5VhrEXSET_reGhe9475Bh9/view?usp=drivesdk</v>
      </c>
      <c r="C1792" s="336" t="str">
        <f>IFERROR(__xludf.DUMMYFUNCTION("""COMPUTED_VALUE"""),"10.1016--j.cognition.2013.09.001 (1).pdf")</f>
        <v>10.1016--j.cognition.2013.09.001 (1).pdf</v>
      </c>
      <c r="D1792" s="156" t="str">
        <f>IFERROR(__xludf.DUMMYFUNCTION("""COMPUTED_VALUE"""),"application/pdf")</f>
        <v>application/pdf</v>
      </c>
    </row>
    <row r="1793">
      <c r="A1793" s="336" t="str">
        <f>IFERROR(__xludf.DUMMYFUNCTION("""COMPUTED_VALUE"""),"10.1037/0022-3514.68.5.793 (1)")</f>
        <v>10.1037/0022-3514.68.5.793 (1)</v>
      </c>
      <c r="B1793" s="442" t="str">
        <f>IFERROR(__xludf.DUMMYFUNCTION("""COMPUTED_VALUE"""),"https://drive.google.com/file/d/1KE2_KbSJJfv-f7spdLCghooBjy4qsIJa/view?usp=drivesdk")</f>
        <v>https://drive.google.com/file/d/1KE2_KbSJJfv-f7spdLCghooBjy4qsIJa/view?usp=drivesdk</v>
      </c>
      <c r="C1793" s="336" t="str">
        <f>IFERROR(__xludf.DUMMYFUNCTION("""COMPUTED_VALUE"""),"10.1037--0022-3514.68.5.793 (1).pdf")</f>
        <v>10.1037--0022-3514.68.5.793 (1).pdf</v>
      </c>
      <c r="D1793" s="156" t="str">
        <f>IFERROR(__xludf.DUMMYFUNCTION("""COMPUTED_VALUE"""),"application/pdf")</f>
        <v>application/pdf</v>
      </c>
    </row>
    <row r="1794">
      <c r="A1794" s="336" t="str">
        <f>IFERROR(__xludf.DUMMYFUNCTION("""COMPUTED_VALUE"""),"10.1016/j.obhdp.2006.01.005 (1)")</f>
        <v>10.1016/j.obhdp.2006.01.005 (1)</v>
      </c>
      <c r="B1794" s="442" t="str">
        <f>IFERROR(__xludf.DUMMYFUNCTION("""COMPUTED_VALUE"""),"https://drive.google.com/file/d/1ybAI4YzebcDR7N7P3YuEn7EPZ-qd3U5d/view?usp=drivesdk")</f>
        <v>https://drive.google.com/file/d/1ybAI4YzebcDR7N7P3YuEn7EPZ-qd3U5d/view?usp=drivesdk</v>
      </c>
      <c r="C1794" s="336" t="str">
        <f>IFERROR(__xludf.DUMMYFUNCTION("""COMPUTED_VALUE"""),"10.1016--j.obhdp.2006.01.005 (1).pdf")</f>
        <v>10.1016--j.obhdp.2006.01.005 (1).pdf</v>
      </c>
      <c r="D1794" s="156" t="str">
        <f>IFERROR(__xludf.DUMMYFUNCTION("""COMPUTED_VALUE"""),"application/pdf")</f>
        <v>application/pdf</v>
      </c>
    </row>
    <row r="1795">
      <c r="A1795" s="336" t="str">
        <f>IFERROR(__xludf.DUMMYFUNCTION("""COMPUTED_VALUE"""),"10.1073/pnas.1209746109 (1)")</f>
        <v>10.1073/pnas.1209746109 (1)</v>
      </c>
      <c r="B1795" s="442" t="str">
        <f>IFERROR(__xludf.DUMMYFUNCTION("""COMPUTED_VALUE"""),"https://drive.google.com/file/d/1tYYVnCHsGShtN-tSDmS_qLMmhT1RawfF/view?usp=drivesdk")</f>
        <v>https://drive.google.com/file/d/1tYYVnCHsGShtN-tSDmS_qLMmhT1RawfF/view?usp=drivesdk</v>
      </c>
      <c r="C1795" s="336" t="str">
        <f>IFERROR(__xludf.DUMMYFUNCTION("""COMPUTED_VALUE"""),"10.1073--pnas.1209746109 (1).pdf")</f>
        <v>10.1073--pnas.1209746109 (1).pdf</v>
      </c>
      <c r="D1795" s="156" t="str">
        <f>IFERROR(__xludf.DUMMYFUNCTION("""COMPUTED_VALUE"""),"application/pdf")</f>
        <v>application/pdf</v>
      </c>
    </row>
    <row r="1796">
      <c r="A1796" s="336" t="str">
        <f>IFERROR(__xludf.DUMMYFUNCTION("""COMPUTED_VALUE"""),"10.1037/0012-1649.26.6.978")</f>
        <v>10.1037/0012-1649.26.6.978</v>
      </c>
      <c r="B1796" s="442" t="str">
        <f>IFERROR(__xludf.DUMMYFUNCTION("""COMPUTED_VALUE"""),"https://drive.google.com/file/d/1L1JXb9Oey_9pMplHv8uIW4_RkxCF0Y2i/view?usp=drivesdk")</f>
        <v>https://drive.google.com/file/d/1L1JXb9Oey_9pMplHv8uIW4_RkxCF0Y2i/view?usp=drivesdk</v>
      </c>
      <c r="C1796" s="336" t="str">
        <f>IFERROR(__xludf.DUMMYFUNCTION("""COMPUTED_VALUE"""),"10.1037--0012-1649.26.6.978.pdf")</f>
        <v>10.1037--0012-1649.26.6.978.pdf</v>
      </c>
      <c r="D1796" s="156" t="str">
        <f>IFERROR(__xludf.DUMMYFUNCTION("""COMPUTED_VALUE"""),"application/pdf")</f>
        <v>application/pdf</v>
      </c>
    </row>
    <row r="1797">
      <c r="A1797" s="336" t="str">
        <f>IFERROR(__xludf.DUMMYFUNCTION("""COMPUTED_VALUE"""),"10.1037/0022-3514.49.6.1621 (1)")</f>
        <v>10.1037/0022-3514.49.6.1621 (1)</v>
      </c>
      <c r="B1797" s="442" t="str">
        <f>IFERROR(__xludf.DUMMYFUNCTION("""COMPUTED_VALUE"""),"https://drive.google.com/file/d/1LWKAeEW0fgjygV6WCnKyQeX8316YUgWo/view?usp=drivesdk")</f>
        <v>https://drive.google.com/file/d/1LWKAeEW0fgjygV6WCnKyQeX8316YUgWo/view?usp=drivesdk</v>
      </c>
      <c r="C1797" s="336" t="str">
        <f>IFERROR(__xludf.DUMMYFUNCTION("""COMPUTED_VALUE"""),"10.1037--0022-3514.49.6.1621 (1).pdf")</f>
        <v>10.1037--0022-3514.49.6.1621 (1).pdf</v>
      </c>
      <c r="D1797" s="156" t="str">
        <f>IFERROR(__xludf.DUMMYFUNCTION("""COMPUTED_VALUE"""),"application/pdf")</f>
        <v>application/pdf</v>
      </c>
    </row>
    <row r="1798">
      <c r="A1798" s="336" t="str">
        <f>IFERROR(__xludf.DUMMYFUNCTION("""COMPUTED_VALUE"""),"10.1111/j.1467-9280.2008.02045.x (1)")</f>
        <v>10.1111/j.1467-9280.2008.02045.x (1)</v>
      </c>
      <c r="B1798" s="442" t="str">
        <f>IFERROR(__xludf.DUMMYFUNCTION("""COMPUTED_VALUE"""),"https://drive.google.com/file/d/1APtHsdPZdNiDfNyY-PyeC3zINU-OvBJP/view?usp=drivesdk")</f>
        <v>https://drive.google.com/file/d/1APtHsdPZdNiDfNyY-PyeC3zINU-OvBJP/view?usp=drivesdk</v>
      </c>
      <c r="C1798" s="336" t="str">
        <f>IFERROR(__xludf.DUMMYFUNCTION("""COMPUTED_VALUE"""),"10.1111--j.1467-9280.2008.02045.x (1).pdf")</f>
        <v>10.1111--j.1467-9280.2008.02045.x (1).pdf</v>
      </c>
      <c r="D1798" s="156" t="str">
        <f>IFERROR(__xludf.DUMMYFUNCTION("""COMPUTED_VALUE"""),"application/pdf")</f>
        <v>application/pdf</v>
      </c>
    </row>
    <row r="1799">
      <c r="A1799" s="336" t="str">
        <f>IFERROR(__xludf.DUMMYFUNCTION("""COMPUTED_VALUE"""),"10.1016/j.jcps.2011.08.002")</f>
        <v>10.1016/j.jcps.2011.08.002</v>
      </c>
      <c r="B1799" s="442" t="str">
        <f>IFERROR(__xludf.DUMMYFUNCTION("""COMPUTED_VALUE"""),"https://drive.google.com/file/d/1PWDkOGXs97kFv6WHFZUdhjP_VsHDNaMe/view?usp=drivesdk")</f>
        <v>https://drive.google.com/file/d/1PWDkOGXs97kFv6WHFZUdhjP_VsHDNaMe/view?usp=drivesdk</v>
      </c>
      <c r="C1799" s="336" t="str">
        <f>IFERROR(__xludf.DUMMYFUNCTION("""COMPUTED_VALUE"""),"10.1016--j.jcps.2011.08.002.pdf")</f>
        <v>10.1016--j.jcps.2011.08.002.pdf</v>
      </c>
      <c r="D1799" s="156" t="str">
        <f>IFERROR(__xludf.DUMMYFUNCTION("""COMPUTED_VALUE"""),"application/pdf")</f>
        <v>application/pdf</v>
      </c>
    </row>
    <row r="1800">
      <c r="A1800" s="336" t="str">
        <f>IFERROR(__xludf.DUMMYFUNCTION("""COMPUTED_VALUE"""),"10.1177/0956797614563958 (1)")</f>
        <v>10.1177/0956797614563958 (1)</v>
      </c>
      <c r="B1800" s="442" t="str">
        <f>IFERROR(__xludf.DUMMYFUNCTION("""COMPUTED_VALUE"""),"https://drive.google.com/file/d/1c3ckeqDBFYPileJxyZAUCNV7gyxN2mcw/view?usp=drivesdk")</f>
        <v>https://drive.google.com/file/d/1c3ckeqDBFYPileJxyZAUCNV7gyxN2mcw/view?usp=drivesdk</v>
      </c>
      <c r="C1800" s="336" t="str">
        <f>IFERROR(__xludf.DUMMYFUNCTION("""COMPUTED_VALUE"""),"10.1177--0956797614563958 (1).pdf")</f>
        <v>10.1177--0956797614563958 (1).pdf</v>
      </c>
      <c r="D1800" s="156" t="str">
        <f>IFERROR(__xludf.DUMMYFUNCTION("""COMPUTED_VALUE"""),"application/pdf")</f>
        <v>application/pdf</v>
      </c>
    </row>
    <row r="1801">
      <c r="A1801" s="336" t="str">
        <f>IFERROR(__xludf.DUMMYFUNCTION("""COMPUTED_VALUE"""),"10.1080/17439760.2017.1279210 (1)")</f>
        <v>10.1080/17439760.2017.1279210 (1)</v>
      </c>
      <c r="B1801" s="442" t="str">
        <f>IFERROR(__xludf.DUMMYFUNCTION("""COMPUTED_VALUE"""),"https://drive.google.com/file/d/1bEbFN6Any8y8ceRfD397YRjMmRoEv-T6/view?usp=drivesdk")</f>
        <v>https://drive.google.com/file/d/1bEbFN6Any8y8ceRfD397YRjMmRoEv-T6/view?usp=drivesdk</v>
      </c>
      <c r="C1801" s="336" t="str">
        <f>IFERROR(__xludf.DUMMYFUNCTION("""COMPUTED_VALUE"""),"10.1080--17439760.2017.1279210 (1).pdf")</f>
        <v>10.1080--17439760.2017.1279210 (1).pdf</v>
      </c>
      <c r="D1801" s="156" t="str">
        <f>IFERROR(__xludf.DUMMYFUNCTION("""COMPUTED_VALUE"""),"application/pdf")</f>
        <v>application/pdf</v>
      </c>
    </row>
    <row r="1802">
      <c r="A1802" s="336" t="str">
        <f>IFERROR(__xludf.DUMMYFUNCTION("""COMPUTED_VALUE"""),"10.1073/pnas.080126810")</f>
        <v>10.1073/pnas.080126810</v>
      </c>
      <c r="B1802" s="442" t="str">
        <f>IFERROR(__xludf.DUMMYFUNCTION("""COMPUTED_VALUE"""),"https://drive.google.com/file/d/1OrJJtuTywsaJhsnTKJn5W5V9ZGnr8tWA/view?usp=drivesdk")</f>
        <v>https://drive.google.com/file/d/1OrJJtuTywsaJhsnTKJn5W5V9ZGnr8tWA/view?usp=drivesdk</v>
      </c>
      <c r="C1802" s="336" t="str">
        <f>IFERROR(__xludf.DUMMYFUNCTION("""COMPUTED_VALUE"""),"10.1073--pnas.080126810.pdf")</f>
        <v>10.1073--pnas.080126810.pdf</v>
      </c>
      <c r="D1802" s="156" t="str">
        <f>IFERROR(__xludf.DUMMYFUNCTION("""COMPUTED_VALUE"""),"application/pdf")</f>
        <v>application/pdf</v>
      </c>
    </row>
    <row r="1803">
      <c r="A1803" s="336" t="str">
        <f>IFERROR(__xludf.DUMMYFUNCTION("""COMPUTED_VALUE"""),"10.1177/095679761246641616")</f>
        <v>10.1177/095679761246641616</v>
      </c>
      <c r="B1803" s="442" t="str">
        <f>IFERROR(__xludf.DUMMYFUNCTION("""COMPUTED_VALUE"""),"https://drive.google.com/file/d/1zXW2G0B46fBJ7RbZBr7zK2RRM3wBpWBc/view?usp=drivesdk")</f>
        <v>https://drive.google.com/file/d/1zXW2G0B46fBJ7RbZBr7zK2RRM3wBpWBc/view?usp=drivesdk</v>
      </c>
      <c r="C1803" s="336" t="str">
        <f>IFERROR(__xludf.DUMMYFUNCTION("""COMPUTED_VALUE"""),"10.1177--095679761246641616.pdf")</f>
        <v>10.1177--095679761246641616.pdf</v>
      </c>
      <c r="D1803" s="156" t="str">
        <f>IFERROR(__xludf.DUMMYFUNCTION("""COMPUTED_VALUE"""),"application/pdf")</f>
        <v>application/pdf</v>
      </c>
    </row>
    <row r="1804">
      <c r="A1804" s="336" t="str">
        <f>IFERROR(__xludf.DUMMYFUNCTION("""COMPUTED_VALUE"""),"10.1111/1467-9280.00111")</f>
        <v>10.1111/1467-9280.00111</v>
      </c>
      <c r="B1804" s="442" t="str">
        <f>IFERROR(__xludf.DUMMYFUNCTION("""COMPUTED_VALUE"""),"https://drive.google.com/file/d/1hSDof4lTHAM0fMfsscfY0mGvViCdavwX/view?usp=drivesdk")</f>
        <v>https://drive.google.com/file/d/1hSDof4lTHAM0fMfsscfY0mGvViCdavwX/view?usp=drivesdk</v>
      </c>
      <c r="C1804" s="336" t="str">
        <f>IFERROR(__xludf.DUMMYFUNCTION("""COMPUTED_VALUE"""),"10.1111--1467-9280.00111.pdf")</f>
        <v>10.1111--1467-9280.00111.pdf</v>
      </c>
      <c r="D1804" s="156" t="str">
        <f>IFERROR(__xludf.DUMMYFUNCTION("""COMPUTED_VALUE"""),"application/pdf")</f>
        <v>application/pdf</v>
      </c>
    </row>
    <row r="1805">
      <c r="A1805" s="336" t="str">
        <f>IFERROR(__xludf.DUMMYFUNCTION("""COMPUTED_VALUE"""),"10.1016/j.jesp.2010.05.014 (1)")</f>
        <v>10.1016/j.jesp.2010.05.014 (1)</v>
      </c>
      <c r="B1805" s="442" t="str">
        <f>IFERROR(__xludf.DUMMYFUNCTION("""COMPUTED_VALUE"""),"https://drive.google.com/file/d/1JYfQJMF32-bnzLtcqzalxSEnyc75jLy1/view?usp=drivesdk")</f>
        <v>https://drive.google.com/file/d/1JYfQJMF32-bnzLtcqzalxSEnyc75jLy1/view?usp=drivesdk</v>
      </c>
      <c r="C1805" s="336" t="str">
        <f>IFERROR(__xludf.DUMMYFUNCTION("""COMPUTED_VALUE"""),"10.1016--j.jesp.2010.05.014 (1).pdf")</f>
        <v>10.1016--j.jesp.2010.05.014 (1).pdf</v>
      </c>
      <c r="D1805" s="156" t="str">
        <f>IFERROR(__xludf.DUMMYFUNCTION("""COMPUTED_VALUE"""),"application/pdf")</f>
        <v>application/pdf</v>
      </c>
    </row>
    <row r="1806">
      <c r="A1806" s="336" t="str">
        <f>IFERROR(__xludf.DUMMYFUNCTION("""COMPUTED_VALUE"""),"10.1177/1368430207081533 (1)")</f>
        <v>10.1177/1368430207081533 (1)</v>
      </c>
      <c r="B1806" s="442" t="str">
        <f>IFERROR(__xludf.DUMMYFUNCTION("""COMPUTED_VALUE"""),"https://drive.google.com/file/d/1x0hiMkAMMAu7RifdS0rxlSq4TXBkiNRA/view?usp=drivesdk")</f>
        <v>https://drive.google.com/file/d/1x0hiMkAMMAu7RifdS0rxlSq4TXBkiNRA/view?usp=drivesdk</v>
      </c>
      <c r="C1806" s="336" t="str">
        <f>IFERROR(__xludf.DUMMYFUNCTION("""COMPUTED_VALUE"""),"10.1177--1368430207081533 (1).pdf")</f>
        <v>10.1177--1368430207081533 (1).pdf</v>
      </c>
      <c r="D1806" s="156" t="str">
        <f>IFERROR(__xludf.DUMMYFUNCTION("""COMPUTED_VALUE"""),"application/pdf")</f>
        <v>application/pdf</v>
      </c>
    </row>
    <row r="1807">
      <c r="A1807" s="336" t="str">
        <f>IFERROR(__xludf.DUMMYFUNCTION("""COMPUTED_VALUE"""),"10.1037/0022-3514.95.5.1150 (1)")</f>
        <v>10.1037/0022-3514.95.5.1150 (1)</v>
      </c>
      <c r="B1807" s="442" t="str">
        <f>IFERROR(__xludf.DUMMYFUNCTION("""COMPUTED_VALUE"""),"https://drive.google.com/file/d/1YRmjZgTo_v1L76nWsNrw9opAPNpUFd1K/view?usp=drivesdk")</f>
        <v>https://drive.google.com/file/d/1YRmjZgTo_v1L76nWsNrw9opAPNpUFd1K/view?usp=drivesdk</v>
      </c>
      <c r="C1807" s="336" t="str">
        <f>IFERROR(__xludf.DUMMYFUNCTION("""COMPUTED_VALUE"""),"10.1037--0022-3514.95.5.1150 (1).pdf")</f>
        <v>10.1037--0022-3514.95.5.1150 (1).pdf</v>
      </c>
      <c r="D1807" s="156" t="str">
        <f>IFERROR(__xludf.DUMMYFUNCTION("""COMPUTED_VALUE"""),"application/pdf")</f>
        <v>application/pdf</v>
      </c>
    </row>
    <row r="1808">
      <c r="A1808" s="336" t="str">
        <f>IFERROR(__xludf.DUMMYFUNCTION("""COMPUTED_VALUE"""),"10.1098/rspb.2011.1959 (1)")</f>
        <v>10.1098/rspb.2011.1959 (1)</v>
      </c>
      <c r="B1808" s="442" t="str">
        <f>IFERROR(__xludf.DUMMYFUNCTION("""COMPUTED_VALUE"""),"https://drive.google.com/file/d/1jGrR9pobMos836wHFPkA3w5cxog8Wlf8/view?usp=drivesdk")</f>
        <v>https://drive.google.com/file/d/1jGrR9pobMos836wHFPkA3w5cxog8Wlf8/view?usp=drivesdk</v>
      </c>
      <c r="C1808" s="336" t="str">
        <f>IFERROR(__xludf.DUMMYFUNCTION("""COMPUTED_VALUE"""),"10.1098--rspb.2011.1959 (1).pdf")</f>
        <v>10.1098--rspb.2011.1959 (1).pdf</v>
      </c>
      <c r="D1808" s="156" t="str">
        <f>IFERROR(__xludf.DUMMYFUNCTION("""COMPUTED_VALUE"""),"application/pdf")</f>
        <v>application/pdf</v>
      </c>
    </row>
    <row r="1809">
      <c r="A1809" s="336" t="str">
        <f>IFERROR(__xludf.DUMMYFUNCTION("""COMPUTED_VALUE"""),"10.1038/nature03701 (1)")</f>
        <v>10.1038/nature03701 (1)</v>
      </c>
      <c r="B1809" s="442" t="str">
        <f>IFERROR(__xludf.DUMMYFUNCTION("""COMPUTED_VALUE"""),"https://drive.google.com/file/d/1-KoA4w0UmKX-zBQBzGFrHdbnVeCwLedE/view?usp=drivesdk")</f>
        <v>https://drive.google.com/file/d/1-KoA4w0UmKX-zBQBzGFrHdbnVeCwLedE/view?usp=drivesdk</v>
      </c>
      <c r="C1809" s="336" t="str">
        <f>IFERROR(__xludf.DUMMYFUNCTION("""COMPUTED_VALUE"""),"10.1038--nature03701 (1).pdf")</f>
        <v>10.1038--nature03701 (1).pdf</v>
      </c>
      <c r="D1809" s="156" t="str">
        <f>IFERROR(__xludf.DUMMYFUNCTION("""COMPUTED_VALUE"""),"application/pdf")</f>
        <v>application/pdf</v>
      </c>
    </row>
    <row r="1810">
      <c r="A1810" s="336" t="str">
        <f>IFERROR(__xludf.DUMMYFUNCTION("""COMPUTED_VALUE"""),"10.1093/jcr/ucv007 (1)")</f>
        <v>10.1093/jcr/ucv007 (1)</v>
      </c>
      <c r="B1810" s="442" t="str">
        <f>IFERROR(__xludf.DUMMYFUNCTION("""COMPUTED_VALUE"""),"https://drive.google.com/file/d/1aPthYdh8kaoZELmxgMpN1wR6XnqiBcz-/view?usp=drivesdk")</f>
        <v>https://drive.google.com/file/d/1aPthYdh8kaoZELmxgMpN1wR6XnqiBcz-/view?usp=drivesdk</v>
      </c>
      <c r="C1810" s="336" t="str">
        <f>IFERROR(__xludf.DUMMYFUNCTION("""COMPUTED_VALUE"""),"10.1093--jcr--ucv007 (1).pdf")</f>
        <v>10.1093--jcr--ucv007 (1).pdf</v>
      </c>
      <c r="D1810" s="156" t="str">
        <f>IFERROR(__xludf.DUMMYFUNCTION("""COMPUTED_VALUE"""),"application/pdf")</f>
        <v>application/pdf</v>
      </c>
    </row>
    <row r="1811">
      <c r="A1811" s="336" t="str">
        <f>IFERROR(__xludf.DUMMYFUNCTION("""COMPUTED_VALUE"""),"10.1093/jcr/ucv048 (1)")</f>
        <v>10.1093/jcr/ucv048 (1)</v>
      </c>
      <c r="B1811" s="442" t="str">
        <f>IFERROR(__xludf.DUMMYFUNCTION("""COMPUTED_VALUE"""),"https://drive.google.com/file/d/12THeIMZ2Ep8Asu-0MmFgX3d6VIB7qcC2/view?usp=drivesdk")</f>
        <v>https://drive.google.com/file/d/12THeIMZ2Ep8Asu-0MmFgX3d6VIB7qcC2/view?usp=drivesdk</v>
      </c>
      <c r="C1811" s="336" t="str">
        <f>IFERROR(__xludf.DUMMYFUNCTION("""COMPUTED_VALUE"""),"10.1093--jcr--ucv048 (1).pdf")</f>
        <v>10.1093--jcr--ucv048 (1).pdf</v>
      </c>
      <c r="D1811" s="156" t="str">
        <f>IFERROR(__xludf.DUMMYFUNCTION("""COMPUTED_VALUE"""),"application/pdf")</f>
        <v>application/pdf</v>
      </c>
    </row>
    <row r="1812">
      <c r="A1812" s="336" t="str">
        <f>IFERROR(__xludf.DUMMYFUNCTION("""COMPUTED_VALUE"""),"10.1093/jcr/ucx066 (1)")</f>
        <v>10.1093/jcr/ucx066 (1)</v>
      </c>
      <c r="B1812" s="442" t="str">
        <f>IFERROR(__xludf.DUMMYFUNCTION("""COMPUTED_VALUE"""),"https://drive.google.com/file/d/1hJA8QyeDp4Vm559mbO8DCZflU8Edzdja/view?usp=drivesdk")</f>
        <v>https://drive.google.com/file/d/1hJA8QyeDp4Vm559mbO8DCZflU8Edzdja/view?usp=drivesdk</v>
      </c>
      <c r="C1812" s="336" t="str">
        <f>IFERROR(__xludf.DUMMYFUNCTION("""COMPUTED_VALUE"""),"10.1093--jcr--ucx066 (1).pdf")</f>
        <v>10.1093--jcr--ucx066 (1).pdf</v>
      </c>
      <c r="D1812" s="156" t="str">
        <f>IFERROR(__xludf.DUMMYFUNCTION("""COMPUTED_VALUE"""),"application/pdf")</f>
        <v>application/pdf</v>
      </c>
    </row>
    <row r="1813">
      <c r="A1813" s="336" t="str">
        <f>IFERROR(__xludf.DUMMYFUNCTION("""COMPUTED_VALUE"""),"10.1093/jcr/ucv051 (1)")</f>
        <v>10.1093/jcr/ucv051 (1)</v>
      </c>
      <c r="B1813" s="442" t="str">
        <f>IFERROR(__xludf.DUMMYFUNCTION("""COMPUTED_VALUE"""),"https://drive.google.com/file/d/1aXjsynaYAzsiAP_XnLW15jUFOcnTDxW2/view?usp=drivesdk")</f>
        <v>https://drive.google.com/file/d/1aXjsynaYAzsiAP_XnLW15jUFOcnTDxW2/view?usp=drivesdk</v>
      </c>
      <c r="C1813" s="336" t="str">
        <f>IFERROR(__xludf.DUMMYFUNCTION("""COMPUTED_VALUE"""),"10.1093--jcr--ucv051 (1).pdf")</f>
        <v>10.1093--jcr--ucv051 (1).pdf</v>
      </c>
      <c r="D1813" s="156" t="str">
        <f>IFERROR(__xludf.DUMMYFUNCTION("""COMPUTED_VALUE"""),"application/pdf")</f>
        <v>application/pdf</v>
      </c>
    </row>
    <row r="1814">
      <c r="A1814" s="336" t="str">
        <f>IFERROR(__xludf.DUMMYFUNCTION("""COMPUTED_VALUE"""),"10.1002/jcpy.1028 (1)")</f>
        <v>10.1002/jcpy.1028 (1)</v>
      </c>
      <c r="B1814" s="442" t="str">
        <f>IFERROR(__xludf.DUMMYFUNCTION("""COMPUTED_VALUE"""),"https://drive.google.com/file/d/1Nk5bFJSo0Kpn1lRyfOXRyXUcB5o-fwog/view?usp=drivesdk")</f>
        <v>https://drive.google.com/file/d/1Nk5bFJSo0Kpn1lRyfOXRyXUcB5o-fwog/view?usp=drivesdk</v>
      </c>
      <c r="C1814" s="336" t="str">
        <f>IFERROR(__xludf.DUMMYFUNCTION("""COMPUTED_VALUE"""),"10.1002--jcpy.1028 (1).pdf")</f>
        <v>10.1002--jcpy.1028 (1).pdf</v>
      </c>
      <c r="D1814" s="156" t="str">
        <f>IFERROR(__xludf.DUMMYFUNCTION("""COMPUTED_VALUE"""),"application/pdf")</f>
        <v>application/pdf</v>
      </c>
    </row>
    <row r="1815">
      <c r="A1815" s="336" t="str">
        <f>IFERROR(__xludf.DUMMYFUNCTION("""COMPUTED_VALUE"""),"10.1093/jcr/ucw056 (1)")</f>
        <v>10.1093/jcr/ucw056 (1)</v>
      </c>
      <c r="B1815" s="442" t="str">
        <f>IFERROR(__xludf.DUMMYFUNCTION("""COMPUTED_VALUE"""),"https://drive.google.com/file/d/1FYnAE6ZVSAXu-_Vp5HcUF0KcHJCVyVxV/view?usp=drivesdk")</f>
        <v>https://drive.google.com/file/d/1FYnAE6ZVSAXu-_Vp5HcUF0KcHJCVyVxV/view?usp=drivesdk</v>
      </c>
      <c r="C1815" s="336" t="str">
        <f>IFERROR(__xludf.DUMMYFUNCTION("""COMPUTED_VALUE"""),"10.1093--jcr--ucw056 (1).pdf")</f>
        <v>10.1093--jcr--ucw056 (1).pdf</v>
      </c>
      <c r="D1815" s="156" t="str">
        <f>IFERROR(__xludf.DUMMYFUNCTION("""COMPUTED_VALUE"""),"application/pdf")</f>
        <v>application/pdf</v>
      </c>
    </row>
    <row r="1816">
      <c r="A1816" s="336" t="str">
        <f>IFERROR(__xludf.DUMMYFUNCTION("""COMPUTED_VALUE"""),"10.1086/679118 (1)")</f>
        <v>10.1086/679118 (1)</v>
      </c>
      <c r="B1816" s="442" t="str">
        <f>IFERROR(__xludf.DUMMYFUNCTION("""COMPUTED_VALUE"""),"https://drive.google.com/file/d/1ib5kLo84evfYuXer8uGAcr-d89wsQzfg/view?usp=drivesdk")</f>
        <v>https://drive.google.com/file/d/1ib5kLo84evfYuXer8uGAcr-d89wsQzfg/view?usp=drivesdk</v>
      </c>
      <c r="C1816" s="336" t="str">
        <f>IFERROR(__xludf.DUMMYFUNCTION("""COMPUTED_VALUE"""),"10.1086--679118 (1).pdf")</f>
        <v>10.1086--679118 (1).pdf</v>
      </c>
      <c r="D1816" s="156" t="str">
        <f>IFERROR(__xludf.DUMMYFUNCTION("""COMPUTED_VALUE"""),"application/pdf")</f>
        <v>application/pdf</v>
      </c>
    </row>
    <row r="1817">
      <c r="A1817" s="336" t="str">
        <f>IFERROR(__xludf.DUMMYFUNCTION("""COMPUTED_VALUE"""),"10.1093/jcr/ucv023 (1)")</f>
        <v>10.1093/jcr/ucv023 (1)</v>
      </c>
      <c r="B1817" s="442" t="str">
        <f>IFERROR(__xludf.DUMMYFUNCTION("""COMPUTED_VALUE"""),"https://drive.google.com/file/d/1qGLg9x70NBJmtWHEo9VL0BQ3bhmLEW4u/view?usp=drivesdk")</f>
        <v>https://drive.google.com/file/d/1qGLg9x70NBJmtWHEo9VL0BQ3bhmLEW4u/view?usp=drivesdk</v>
      </c>
      <c r="C1817" s="336" t="str">
        <f>IFERROR(__xludf.DUMMYFUNCTION("""COMPUTED_VALUE"""),"10.1093--jcr--ucv023 (1).pdf")</f>
        <v>10.1093--jcr--ucv023 (1).pdf</v>
      </c>
      <c r="D1817" s="156" t="str">
        <f>IFERROR(__xludf.DUMMYFUNCTION("""COMPUTED_VALUE"""),"application/pdf")</f>
        <v>application/pdf</v>
      </c>
    </row>
    <row r="1818">
      <c r="A1818" s="336" t="str">
        <f>IFERROR(__xludf.DUMMYFUNCTION("""COMPUTED_VALUE"""),"10.1086/673256 (1)")</f>
        <v>10.1086/673256 (1)</v>
      </c>
      <c r="B1818" s="442" t="str">
        <f>IFERROR(__xludf.DUMMYFUNCTION("""COMPUTED_VALUE"""),"https://drive.google.com/file/d/1iYrVTffpOwEYVdc_R8x7R48IOknFPGII/view?usp=drivesdk")</f>
        <v>https://drive.google.com/file/d/1iYrVTffpOwEYVdc_R8x7R48IOknFPGII/view?usp=drivesdk</v>
      </c>
      <c r="C1818" s="336" t="str">
        <f>IFERROR(__xludf.DUMMYFUNCTION("""COMPUTED_VALUE"""),"10.1086--673256 (1).pdf")</f>
        <v>10.1086--673256 (1).pdf</v>
      </c>
      <c r="D1818" s="156" t="str">
        <f>IFERROR(__xludf.DUMMYFUNCTION("""COMPUTED_VALUE"""),"application/pdf")</f>
        <v>application/pdf</v>
      </c>
    </row>
    <row r="1819">
      <c r="A1819" s="336" t="str">
        <f>IFERROR(__xludf.DUMMYFUNCTION("""COMPUTED_VALUE"""),"10.1126/science.1215647 (1)")</f>
        <v>10.1126/science.1215647 (1)</v>
      </c>
      <c r="B1819" s="442" t="str">
        <f>IFERROR(__xludf.DUMMYFUNCTION("""COMPUTED_VALUE"""),"https://drive.google.com/file/d/1Tbc-6U14FAowy_tbbn23yQYCuYKOnK__/view?usp=drivesdk")</f>
        <v>https://drive.google.com/file/d/1Tbc-6U14FAowy_tbbn23yQYCuYKOnK__/view?usp=drivesdk</v>
      </c>
      <c r="C1819" s="336" t="str">
        <f>IFERROR(__xludf.DUMMYFUNCTION("""COMPUTED_VALUE"""),"10.1126--science.1215647 (1).pdf")</f>
        <v>10.1126--science.1215647 (1).pdf</v>
      </c>
      <c r="D1819" s="156" t="str">
        <f>IFERROR(__xludf.DUMMYFUNCTION("""COMPUTED_VALUE"""),"application/pdf")</f>
        <v>application/pdf</v>
      </c>
    </row>
    <row r="1820">
      <c r="A1820" s="336" t="str">
        <f>IFERROR(__xludf.DUMMYFUNCTION("""COMPUTED_VALUE"""),"10.1111/j.2044-835x.1986.tb01003.x (1)")</f>
        <v>10.1111/j.2044-835x.1986.tb01003.x (1)</v>
      </c>
      <c r="B1820" s="442" t="str">
        <f>IFERROR(__xludf.DUMMYFUNCTION("""COMPUTED_VALUE"""),"https://drive.google.com/file/d/1XpoHLIFPByKVACocvJ5YoFhf9uIA2q64/view?usp=drivesdk")</f>
        <v>https://drive.google.com/file/d/1XpoHLIFPByKVACocvJ5YoFhf9uIA2q64/view?usp=drivesdk</v>
      </c>
      <c r="C1820" s="336" t="str">
        <f>IFERROR(__xludf.DUMMYFUNCTION("""COMPUTED_VALUE"""),"10.1111--j.2044-835x.1986.tb01003.x (1).pdf")</f>
        <v>10.1111--j.2044-835x.1986.tb01003.x (1).pdf</v>
      </c>
      <c r="D1820" s="156" t="str">
        <f>IFERROR(__xludf.DUMMYFUNCTION("""COMPUTED_VALUE"""),"application/pdf")</f>
        <v>application/pdf</v>
      </c>
    </row>
    <row r="1821">
      <c r="A1821" s="336" t="str">
        <f>IFERROR(__xludf.DUMMYFUNCTION("""COMPUTED_VALUE"""),"10.1037/0033-295x.93.2.136")</f>
        <v>10.1037/0033-295x.93.2.136</v>
      </c>
      <c r="B1821" s="442" t="str">
        <f>IFERROR(__xludf.DUMMYFUNCTION("""COMPUTED_VALUE"""),"https://drive.google.com/file/d/1Aey1pYLXIu5MxmVVkhJFKWZH205p2S8r/view?usp=drivesdk")</f>
        <v>https://drive.google.com/file/d/1Aey1pYLXIu5MxmVVkhJFKWZH205p2S8r/view?usp=drivesdk</v>
      </c>
      <c r="C1821" s="336" t="str">
        <f>IFERROR(__xludf.DUMMYFUNCTION("""COMPUTED_VALUE"""),"10.1037--0033-295x.93.2.136.pdf")</f>
        <v>10.1037--0033-295x.93.2.136.pdf</v>
      </c>
      <c r="D1821" s="156" t="str">
        <f>IFERROR(__xludf.DUMMYFUNCTION("""COMPUTED_VALUE"""),"application/pdf")</f>
        <v>application/pdf</v>
      </c>
    </row>
    <row r="1822">
      <c r="A1822" s="336" t="str">
        <f>IFERROR(__xludf.DUMMYFUNCTION("""COMPUTED_VALUE"""),"10.1037/a0020092 (1)")</f>
        <v>10.1037/a0020092 (1)</v>
      </c>
      <c r="B1822" s="442" t="str">
        <f>IFERROR(__xludf.DUMMYFUNCTION("""COMPUTED_VALUE"""),"https://drive.google.com/file/d/10W0tSH0HQQFcBMuEUN5agngIbIIbyHX9/view?usp=drivesdk")</f>
        <v>https://drive.google.com/file/d/10W0tSH0HQQFcBMuEUN5agngIbIIbyHX9/view?usp=drivesdk</v>
      </c>
      <c r="C1822" s="336" t="str">
        <f>IFERROR(__xludf.DUMMYFUNCTION("""COMPUTED_VALUE"""),"10.1037--a0020092 (1).pdf")</f>
        <v>10.1037--a0020092 (1).pdf</v>
      </c>
      <c r="D1822" s="156" t="str">
        <f>IFERROR(__xludf.DUMMYFUNCTION("""COMPUTED_VALUE"""),"application/pdf")</f>
        <v>application/pdf</v>
      </c>
    </row>
    <row r="1823">
      <c r="A1823" s="336" t="str">
        <f>IFERROR(__xludf.DUMMYFUNCTION("""COMPUTED_VALUE"""),"10.1037/0096-3445.136.1.154 (1)")</f>
        <v>10.1037/0096-3445.136.1.154 (1)</v>
      </c>
      <c r="B1823" s="442" t="str">
        <f>IFERROR(__xludf.DUMMYFUNCTION("""COMPUTED_VALUE"""),"https://drive.google.com/file/d/1MmRpDEBSX5A_XtK98PGGG25Fj8W30RM_/view?usp=drivesdk")</f>
        <v>https://drive.google.com/file/d/1MmRpDEBSX5A_XtK98PGGG25Fj8W30RM_/view?usp=drivesdk</v>
      </c>
      <c r="C1823" s="336" t="str">
        <f>IFERROR(__xludf.DUMMYFUNCTION("""COMPUTED_VALUE"""),"10.1037--0096-3445.136.1.154 (1).pdf")</f>
        <v>10.1037--0096-3445.136.1.154 (1).pdf</v>
      </c>
      <c r="D1823" s="156" t="str">
        <f>IFERROR(__xludf.DUMMYFUNCTION("""COMPUTED_VALUE"""),"application/pdf")</f>
        <v>application/pdf</v>
      </c>
    </row>
    <row r="1824">
      <c r="A1824" s="336" t="str">
        <f>IFERROR(__xludf.DUMMYFUNCTION("""COMPUTED_VALUE"""),"10.1177/0956797617719950 (1)")</f>
        <v>10.1177/0956797617719950 (1)</v>
      </c>
      <c r="B1824" s="442" t="str">
        <f>IFERROR(__xludf.DUMMYFUNCTION("""COMPUTED_VALUE"""),"https://drive.google.com/file/d/1bZo9sK3oQZIn6_x7FGe4vmyadV7Ugf53/view?usp=drivesdk")</f>
        <v>https://drive.google.com/file/d/1bZo9sK3oQZIn6_x7FGe4vmyadV7Ugf53/view?usp=drivesdk</v>
      </c>
      <c r="C1824" s="336" t="str">
        <f>IFERROR(__xludf.DUMMYFUNCTION("""COMPUTED_VALUE"""),"10.1177--0956797617719950 (1).pdf")</f>
        <v>10.1177--0956797617719950 (1).pdf</v>
      </c>
      <c r="D1824" s="156" t="str">
        <f>IFERROR(__xludf.DUMMYFUNCTION("""COMPUTED_VALUE"""),"application/pdf")</f>
        <v>application/pdf</v>
      </c>
    </row>
    <row r="1825">
      <c r="A1825" s="336" t="str">
        <f>IFERROR(__xludf.DUMMYFUNCTION("""COMPUTED_VALUE"""),"10.1111/j.0956-7976.2005.00799.x (1)")</f>
        <v>10.1111/j.0956-7976.2005.00799.x (1)</v>
      </c>
      <c r="B1825" s="442" t="str">
        <f>IFERROR(__xludf.DUMMYFUNCTION("""COMPUTED_VALUE"""),"https://drive.google.com/file/d/1nnmgia3uJKc7mfbdkQNU6C-nw2g3lEAL/view?usp=drivesdk")</f>
        <v>https://drive.google.com/file/d/1nnmgia3uJKc7mfbdkQNU6C-nw2g3lEAL/view?usp=drivesdk</v>
      </c>
      <c r="C1825" s="336" t="str">
        <f>IFERROR(__xludf.DUMMYFUNCTION("""COMPUTED_VALUE"""),"10.1111--j.0956-7976.2005.00799.x (1).pdf")</f>
        <v>10.1111--j.0956-7976.2005.00799.x (1).pdf</v>
      </c>
      <c r="D1825" s="156" t="str">
        <f>IFERROR(__xludf.DUMMYFUNCTION("""COMPUTED_VALUE"""),"application/pdf")</f>
        <v>application/pdf</v>
      </c>
    </row>
    <row r="1826">
      <c r="A1826" s="336" t="str">
        <f>IFERROR(__xludf.DUMMYFUNCTION("""COMPUTED_VALUE"""),"10.1006/jesp.1998.1373 (1)")</f>
        <v>10.1006/jesp.1998.1373 (1)</v>
      </c>
      <c r="B1826" s="442" t="str">
        <f>IFERROR(__xludf.DUMMYFUNCTION("""COMPUTED_VALUE"""),"https://drive.google.com/file/d/1APlORHjSwb-bhoXwhpdGctd6Hy0cBtQl/view?usp=drivesdk")</f>
        <v>https://drive.google.com/file/d/1APlORHjSwb-bhoXwhpdGctd6Hy0cBtQl/view?usp=drivesdk</v>
      </c>
      <c r="C1826" s="336" t="str">
        <f>IFERROR(__xludf.DUMMYFUNCTION("""COMPUTED_VALUE"""),"10.1006--jesp.1998.1373 (1).pdf")</f>
        <v>10.1006--jesp.1998.1373 (1).pdf</v>
      </c>
      <c r="D1826" s="156" t="str">
        <f>IFERROR(__xludf.DUMMYFUNCTION("""COMPUTED_VALUE"""),"application/pdf")</f>
        <v>application/pdf</v>
      </c>
    </row>
    <row r="1827">
      <c r="A1827" s="336" t="str">
        <f>IFERROR(__xludf.DUMMYFUNCTION("""COMPUTED_VALUE"""),"10.1111/j.1467-9280.2008.02056.x (1)")</f>
        <v>10.1111/j.1467-9280.2008.02056.x (1)</v>
      </c>
      <c r="B1827" s="442" t="str">
        <f>IFERROR(__xludf.DUMMYFUNCTION("""COMPUTED_VALUE"""),"https://drive.google.com/file/d/11QvRQEvz5Ns1Xj1UCdimwt1e6wyII5cd/view?usp=drivesdk")</f>
        <v>https://drive.google.com/file/d/11QvRQEvz5Ns1Xj1UCdimwt1e6wyII5cd/view?usp=drivesdk</v>
      </c>
      <c r="C1827" s="336" t="str">
        <f>IFERROR(__xludf.DUMMYFUNCTION("""COMPUTED_VALUE"""),"10.1111--j.1467-9280.2008.02056.x (1).pdf")</f>
        <v>10.1111--j.1467-9280.2008.02056.x (1).pdf</v>
      </c>
      <c r="D1827" s="156" t="str">
        <f>IFERROR(__xludf.DUMMYFUNCTION("""COMPUTED_VALUE"""),"application/pdf")</f>
        <v>application/pdf</v>
      </c>
    </row>
    <row r="1828">
      <c r="A1828" s="336" t="str">
        <f>IFERROR(__xludf.DUMMYFUNCTION("""COMPUTED_VALUE"""),"10.1037/h0025008")</f>
        <v>10.1037/h0025008</v>
      </c>
      <c r="B1828" s="442" t="str">
        <f>IFERROR(__xludf.DUMMYFUNCTION("""COMPUTED_VALUE"""),"https://drive.google.com/file/d/1POfGb-02lpla3OAzJNCAQBlCPox099RI/view?usp=drivesdk")</f>
        <v>https://drive.google.com/file/d/1POfGb-02lpla3OAzJNCAQBlCPox099RI/view?usp=drivesdk</v>
      </c>
      <c r="C1828" s="336" t="str">
        <f>IFERROR(__xludf.DUMMYFUNCTION("""COMPUTED_VALUE"""),"10.1037--h0025008.pdf")</f>
        <v>10.1037--h0025008.pdf</v>
      </c>
      <c r="D1828" s="156" t="str">
        <f>IFERROR(__xludf.DUMMYFUNCTION("""COMPUTED_VALUE"""),"application/pdf")</f>
        <v>application/pdf</v>
      </c>
    </row>
    <row r="1829">
      <c r="A1829" s="336" t="str">
        <f>IFERROR(__xludf.DUMMYFUNCTION("""COMPUTED_VALUE"""),"10.1111/j.1467-9280.2007.01983.x")</f>
        <v>10.1111/j.1467-9280.2007.01983.x</v>
      </c>
      <c r="B1829" s="442" t="str">
        <f>IFERROR(__xludf.DUMMYFUNCTION("""COMPUTED_VALUE"""),"https://drive.google.com/file/d/1GTSpxZmUQNl7xFyuBJKYxy6EvUX5oiQN/view?usp=drivesdk")</f>
        <v>https://drive.google.com/file/d/1GTSpxZmUQNl7xFyuBJKYxy6EvUX5oiQN/view?usp=drivesdk</v>
      </c>
      <c r="C1829" s="336" t="str">
        <f>IFERROR(__xludf.DUMMYFUNCTION("""COMPUTED_VALUE"""),"10.1111--j.1467-9280.2007.01983.x.pdf")</f>
        <v>10.1111--j.1467-9280.2007.01983.x.pdf</v>
      </c>
      <c r="D1829" s="156" t="str">
        <f>IFERROR(__xludf.DUMMYFUNCTION("""COMPUTED_VALUE"""),"application/pdf")</f>
        <v>application/pdf</v>
      </c>
    </row>
    <row r="1830">
      <c r="A1830" s="336" t="str">
        <f>IFERROR(__xludf.DUMMYFUNCTION("""COMPUTED_VALUE"""),"10.1177/0956797614563108 (1)")</f>
        <v>10.1177/0956797614563108 (1)</v>
      </c>
      <c r="B1830" s="442" t="str">
        <f>IFERROR(__xludf.DUMMYFUNCTION("""COMPUTED_VALUE"""),"https://drive.google.com/file/d/12_ssoTgKCRSwPp56VgQV0Eu0DD6umUVP/view?usp=drivesdk")</f>
        <v>https://drive.google.com/file/d/12_ssoTgKCRSwPp56VgQV0Eu0DD6umUVP/view?usp=drivesdk</v>
      </c>
      <c r="C1830" s="336" t="str">
        <f>IFERROR(__xludf.DUMMYFUNCTION("""COMPUTED_VALUE"""),"10.1177--0956797614563108 (1).pdf")</f>
        <v>10.1177--0956797614563108 (1).pdf</v>
      </c>
      <c r="D1830" s="156" t="str">
        <f>IFERROR(__xludf.DUMMYFUNCTION("""COMPUTED_VALUE"""),"application/pdf")</f>
        <v>application/pdf</v>
      </c>
    </row>
    <row r="1831">
      <c r="A1831" s="336" t="str">
        <f>IFERROR(__xludf.DUMMYFUNCTION("""COMPUTED_VALUE"""),"sutlief2019")</f>
        <v>sutlief2019</v>
      </c>
      <c r="B1831" s="442" t="str">
        <f>IFERROR(__xludf.DUMMYFUNCTION("""COMPUTED_VALUE"""),"https://drive.google.com/file/d/1eEVHF0MbgmfXxnHFsigWacLc9zXFPqD-/view?usp=drivesdk")</f>
        <v>https://drive.google.com/file/d/1eEVHF0MbgmfXxnHFsigWacLc9zXFPqD-/view?usp=drivesdk</v>
      </c>
      <c r="C1831" s="336" t="str">
        <f>IFERROR(__xludf.DUMMYFUNCTION("""COMPUTED_VALUE"""),"sutlief2019.pdf")</f>
        <v>sutlief2019.pdf</v>
      </c>
      <c r="D1831" s="156" t="str">
        <f>IFERROR(__xludf.DUMMYFUNCTION("""COMPUTED_VALUE"""),"application/pdf")</f>
        <v>application/pdf</v>
      </c>
    </row>
    <row r="1832">
      <c r="A1832" s="336" t="str">
        <f>IFERROR(__xludf.DUMMYFUNCTION("""COMPUTED_VALUE"""),"10.1080/02673843.2023.2283563")</f>
        <v>10.1080/02673843.2023.2283563</v>
      </c>
      <c r="B1832" s="442" t="str">
        <f>IFERROR(__xludf.DUMMYFUNCTION("""COMPUTED_VALUE"""),"https://drive.google.com/file/d/1jHFMH7kFGC0px3IpBnI1CrqPkVp9LVmb/view?usp=drivesdk")</f>
        <v>https://drive.google.com/file/d/1jHFMH7kFGC0px3IpBnI1CrqPkVp9LVmb/view?usp=drivesdk</v>
      </c>
      <c r="C1832" s="336" t="str">
        <f>IFERROR(__xludf.DUMMYFUNCTION("""COMPUTED_VALUE"""),"10.1080--02673843.2023.2283563.pdf")</f>
        <v>10.1080--02673843.2023.2283563.pdf</v>
      </c>
      <c r="D1832" s="156" t="str">
        <f>IFERROR(__xludf.DUMMYFUNCTION("""COMPUTED_VALUE"""),"application/pdf")</f>
        <v>application/pdf</v>
      </c>
    </row>
    <row r="1833">
      <c r="A1833" s="336" t="str">
        <f>IFERROR(__xludf.DUMMYFUNCTION("""COMPUTED_VALUE"""),"10.4992/jjpsy.94.22334")</f>
        <v>10.4992/jjpsy.94.22334</v>
      </c>
      <c r="B1833" s="442" t="str">
        <f>IFERROR(__xludf.DUMMYFUNCTION("""COMPUTED_VALUE"""),"https://drive.google.com/file/d/1nHZZUyQQ7oIiU3i-UXsaWE_r0fYrfiS3/view?usp=drivesdk")</f>
        <v>https://drive.google.com/file/d/1nHZZUyQQ7oIiU3i-UXsaWE_r0fYrfiS3/view?usp=drivesdk</v>
      </c>
      <c r="C1833" s="336" t="str">
        <f>IFERROR(__xludf.DUMMYFUNCTION("""COMPUTED_VALUE"""),"10.4992--jjpsy.94.22334.pdf")</f>
        <v>10.4992--jjpsy.94.22334.pdf</v>
      </c>
      <c r="D1833" s="156" t="str">
        <f>IFERROR(__xludf.DUMMYFUNCTION("""COMPUTED_VALUE"""),"application/pdf")</f>
        <v>application/pdf</v>
      </c>
    </row>
    <row r="1834">
      <c r="A1834" s="336" t="str">
        <f>IFERROR(__xludf.DUMMYFUNCTION("""COMPUTED_VALUE"""),"10.1111/jcpp.14029")</f>
        <v>10.1111/jcpp.14029</v>
      </c>
      <c r="B1834" s="442" t="str">
        <f>IFERROR(__xludf.DUMMYFUNCTION("""COMPUTED_VALUE"""),"https://drive.google.com/file/d/1H7zPg14rvgbrna3ifhQj_TWemnCGPZly/view?usp=drivesdk")</f>
        <v>https://drive.google.com/file/d/1H7zPg14rvgbrna3ifhQj_TWemnCGPZly/view?usp=drivesdk</v>
      </c>
      <c r="C1834" s="336" t="str">
        <f>IFERROR(__xludf.DUMMYFUNCTION("""COMPUTED_VALUE"""),"10.1111--jcpp.14029.pdf")</f>
        <v>10.1111--jcpp.14029.pdf</v>
      </c>
      <c r="D1834" s="156" t="str">
        <f>IFERROR(__xludf.DUMMYFUNCTION("""COMPUTED_VALUE"""),"application/pdf")</f>
        <v>application/pdf</v>
      </c>
    </row>
    <row r="1835">
      <c r="A1835" s="336" t="str">
        <f>IFERROR(__xludf.DUMMYFUNCTION("""COMPUTED_VALUE"""),"10.3758/s13414-020-01991-7")</f>
        <v>10.3758/s13414-020-01991-7</v>
      </c>
      <c r="B1835" s="442" t="str">
        <f>IFERROR(__xludf.DUMMYFUNCTION("""COMPUTED_VALUE"""),"https://drive.google.com/file/d/1p1B1qdpg970VZ83ou2sGpvyTI03ZIhi9/view?usp=drivesdk")</f>
        <v>https://drive.google.com/file/d/1p1B1qdpg970VZ83ou2sGpvyTI03ZIhi9/view?usp=drivesdk</v>
      </c>
      <c r="C1835" s="336" t="str">
        <f>IFERROR(__xludf.DUMMYFUNCTION("""COMPUTED_VALUE"""),"10.3758--s13414-020-01991-7.pdf")</f>
        <v>10.3758--s13414-020-01991-7.pdf</v>
      </c>
      <c r="D1835" s="156" t="str">
        <f>IFERROR(__xludf.DUMMYFUNCTION("""COMPUTED_VALUE"""),"application/pdf")</f>
        <v>application/pdf</v>
      </c>
    </row>
    <row r="1836">
      <c r="A1836" s="336" t="str">
        <f>IFERROR(__xludf.DUMMYFUNCTION("""COMPUTED_VALUE"""),"10.1016/j.cedpsych.2019.101834 (1)")</f>
        <v>10.1016/j.cedpsych.2019.101834 (1)</v>
      </c>
      <c r="B1836" s="442" t="str">
        <f>IFERROR(__xludf.DUMMYFUNCTION("""COMPUTED_VALUE"""),"https://drive.google.com/file/d/173fkDD-W6UdkuvhpeNByBmtxeTw4Z_wK/view?usp=drivesdk")</f>
        <v>https://drive.google.com/file/d/173fkDD-W6UdkuvhpeNByBmtxeTw4Z_wK/view?usp=drivesdk</v>
      </c>
      <c r="C1836" s="336" t="str">
        <f>IFERROR(__xludf.DUMMYFUNCTION("""COMPUTED_VALUE"""),"10.1016--j.cedpsych.2019.101834 (1).pdf")</f>
        <v>10.1016--j.cedpsych.2019.101834 (1).pdf</v>
      </c>
      <c r="D1836" s="156" t="str">
        <f>IFERROR(__xludf.DUMMYFUNCTION("""COMPUTED_VALUE"""),"application/pdf")</f>
        <v>application/pdf</v>
      </c>
    </row>
    <row r="1837">
      <c r="A1837" s="336" t="str">
        <f>IFERROR(__xludf.DUMMYFUNCTION("""COMPUTED_VALUE"""),"10.1093/cercor/bhae287")</f>
        <v>10.1093/cercor/bhae287</v>
      </c>
      <c r="B1837" s="442" t="str">
        <f>IFERROR(__xludf.DUMMYFUNCTION("""COMPUTED_VALUE"""),"https://drive.google.com/file/d/14nYmC7FjK_8nc1vRJW0Zz61S13ZtNZZD/view?usp=drivesdk")</f>
        <v>https://drive.google.com/file/d/14nYmC7FjK_8nc1vRJW0Zz61S13ZtNZZD/view?usp=drivesdk</v>
      </c>
      <c r="C1837" s="336" t="str">
        <f>IFERROR(__xludf.DUMMYFUNCTION("""COMPUTED_VALUE"""),"10.1093--cercor--bhae287.pdf")</f>
        <v>10.1093--cercor--bhae287.pdf</v>
      </c>
      <c r="D1837" s="156" t="str">
        <f>IFERROR(__xludf.DUMMYFUNCTION("""COMPUTED_VALUE"""),"application/pdf")</f>
        <v>application/pdf</v>
      </c>
    </row>
    <row r="1838">
      <c r="A1838" s="336" t="str">
        <f>IFERROR(__xludf.DUMMYFUNCTION("""COMPUTED_VALUE"""),"10.1038/s41398-024-02799-x")</f>
        <v>10.1038/s41398-024-02799-x</v>
      </c>
      <c r="B1838" s="442" t="str">
        <f>IFERROR(__xludf.DUMMYFUNCTION("""COMPUTED_VALUE"""),"https://drive.google.com/file/d/1SH8bEWkApCXuWDb-OQ37ytGhPIgVUVKv/view?usp=drivesdk")</f>
        <v>https://drive.google.com/file/d/1SH8bEWkApCXuWDb-OQ37ytGhPIgVUVKv/view?usp=drivesdk</v>
      </c>
      <c r="C1838" s="336" t="str">
        <f>IFERROR(__xludf.DUMMYFUNCTION("""COMPUTED_VALUE"""),"10.1038--s41398-024-02799-x.pdf")</f>
        <v>10.1038--s41398-024-02799-x.pdf</v>
      </c>
      <c r="D1838" s="156" t="str">
        <f>IFERROR(__xludf.DUMMYFUNCTION("""COMPUTED_VALUE"""),"application/pdf")</f>
        <v>application/pdf</v>
      </c>
    </row>
    <row r="1839">
      <c r="A1839" s="336" t="str">
        <f>IFERROR(__xludf.DUMMYFUNCTION("""COMPUTED_VALUE"""),"10.1038/s41398-024-03045-0")</f>
        <v>10.1038/s41398-024-03045-0</v>
      </c>
      <c r="B1839" s="442" t="str">
        <f>IFERROR(__xludf.DUMMYFUNCTION("""COMPUTED_VALUE"""),"https://drive.google.com/file/d/1sBNrDZpWPCVxuOMHZk6G4ve2uMzdW0GR/view?usp=drivesdk")</f>
        <v>https://drive.google.com/file/d/1sBNrDZpWPCVxuOMHZk6G4ve2uMzdW0GR/view?usp=drivesdk</v>
      </c>
      <c r="C1839" s="336" t="str">
        <f>IFERROR(__xludf.DUMMYFUNCTION("""COMPUTED_VALUE"""),"10.1038--s41398-024-03045-0.pdf")</f>
        <v>10.1038--s41398-024-03045-0.pdf</v>
      </c>
      <c r="D1839" s="156" t="str">
        <f>IFERROR(__xludf.DUMMYFUNCTION("""COMPUTED_VALUE"""),"application/pdf")</f>
        <v>application/pdf</v>
      </c>
    </row>
    <row r="1840">
      <c r="A1840" s="336" t="str">
        <f>IFERROR(__xludf.DUMMYFUNCTION("""COMPUTED_VALUE"""),"sherman1977")</f>
        <v>sherman1977</v>
      </c>
      <c r="B1840" s="442" t="str">
        <f>IFERROR(__xludf.DUMMYFUNCTION("""COMPUTED_VALUE"""),"https://drive.google.com/file/d/1qjBC8rrE7PwCov9BjhlcqTser32l4tZA/view?usp=drivesdk")</f>
        <v>https://drive.google.com/file/d/1qjBC8rrE7PwCov9BjhlcqTser32l4tZA/view?usp=drivesdk</v>
      </c>
      <c r="C1840" s="336" t="str">
        <f>IFERROR(__xludf.DUMMYFUNCTION("""COMPUTED_VALUE"""),"sherman1977.pdf")</f>
        <v>sherman1977.pdf</v>
      </c>
      <c r="D1840" s="156" t="str">
        <f>IFERROR(__xludf.DUMMYFUNCTION("""COMPUTED_VALUE"""),"application/pdf")</f>
        <v>application/pdf</v>
      </c>
    </row>
    <row r="1841">
      <c r="A1841" s="336" t="str">
        <f>IFERROR(__xludf.DUMMYFUNCTION("""COMPUTED_VALUE"""),"10.1145/3502718.3524799")</f>
        <v>10.1145/3502718.3524799</v>
      </c>
      <c r="B1841" s="442" t="str">
        <f>IFERROR(__xludf.DUMMYFUNCTION("""COMPUTED_VALUE"""),"https://drive.google.com/file/d/1mXZlzeA7ImaWHW-1-dp8XLcO6q1dPoDC/view?usp=drivesdk")</f>
        <v>https://drive.google.com/file/d/1mXZlzeA7ImaWHW-1-dp8XLcO6q1dPoDC/view?usp=drivesdk</v>
      </c>
      <c r="C1841" s="336" t="str">
        <f>IFERROR(__xludf.DUMMYFUNCTION("""COMPUTED_VALUE"""),"10.1145--3502718.3524799.pdf")</f>
        <v>10.1145--3502718.3524799.pdf</v>
      </c>
      <c r="D1841" s="156" t="str">
        <f>IFERROR(__xludf.DUMMYFUNCTION("""COMPUTED_VALUE"""),"application/pdf")</f>
        <v>application/pdf</v>
      </c>
    </row>
    <row r="1842">
      <c r="A1842" s="336" t="str">
        <f>IFERROR(__xludf.DUMMYFUNCTION("""COMPUTED_VALUE"""),"10.1007/s12207-023-09483-3")</f>
        <v>10.1007/s12207-023-09483-3</v>
      </c>
      <c r="B1842" s="442" t="str">
        <f>IFERROR(__xludf.DUMMYFUNCTION("""COMPUTED_VALUE"""),"https://drive.google.com/file/d/1ZaI86uPaa7baLDKCDC8aFHiq1TG_6U8e/view?usp=drivesdk")</f>
        <v>https://drive.google.com/file/d/1ZaI86uPaa7baLDKCDC8aFHiq1TG_6U8e/view?usp=drivesdk</v>
      </c>
      <c r="C1842" s="336" t="str">
        <f>IFERROR(__xludf.DUMMYFUNCTION("""COMPUTED_VALUE"""),"10.1007--s12207-023-09483-3.pdf")</f>
        <v>10.1007--s12207-023-09483-3.pdf</v>
      </c>
      <c r="D1842" s="156" t="str">
        <f>IFERROR(__xludf.DUMMYFUNCTION("""COMPUTED_VALUE"""),"application/pdf")</f>
        <v>application/pdf</v>
      </c>
    </row>
    <row r="1843">
      <c r="A1843" s="336" t="str">
        <f>IFERROR(__xludf.DUMMYFUNCTION("""COMPUTED_VALUE"""),"10.1115/smasis2022-90793")</f>
        <v>10.1115/smasis2022-90793</v>
      </c>
      <c r="B1843" s="442" t="str">
        <f>IFERROR(__xludf.DUMMYFUNCTION("""COMPUTED_VALUE"""),"https://drive.google.com/file/d/1Drm8TiIplc2xWctkqkp7RXI61YfnBmqO/view?usp=drivesdk")</f>
        <v>https://drive.google.com/file/d/1Drm8TiIplc2xWctkqkp7RXI61YfnBmqO/view?usp=drivesdk</v>
      </c>
      <c r="C1843" s="336" t="str">
        <f>IFERROR(__xludf.DUMMYFUNCTION("""COMPUTED_VALUE"""),"10.1115--smasis2022-90793.pdf")</f>
        <v>10.1115--smasis2022-90793.pdf</v>
      </c>
      <c r="D1843" s="156" t="str">
        <f>IFERROR(__xludf.DUMMYFUNCTION("""COMPUTED_VALUE"""),"application/pdf")</f>
        <v>application/pdf</v>
      </c>
    </row>
    <row r="1844">
      <c r="A1844" s="336" t="str">
        <f>IFERROR(__xludf.DUMMYFUNCTION("""COMPUTED_VALUE"""),"10.1177/000312240106600203")</f>
        <v>10.1177/000312240106600203</v>
      </c>
      <c r="B1844" s="442" t="str">
        <f>IFERROR(__xludf.DUMMYFUNCTION("""COMPUTED_VALUE"""),"https://drive.google.com/file/d/17h6af7wzwkF4QRsTz2RzBpcXSmTayY4g/view?usp=drivesdk")</f>
        <v>https://drive.google.com/file/d/17h6af7wzwkF4QRsTz2RzBpcXSmTayY4g/view?usp=drivesdk</v>
      </c>
      <c r="C1844" s="336" t="str">
        <f>IFERROR(__xludf.DUMMYFUNCTION("""COMPUTED_VALUE"""),"10.1177--000312240106600203.pdf")</f>
        <v>10.1177--000312240106600203.pdf</v>
      </c>
      <c r="D1844" s="156" t="str">
        <f>IFERROR(__xludf.DUMMYFUNCTION("""COMPUTED_VALUE"""),"application/pdf")</f>
        <v>application/pdf</v>
      </c>
    </row>
    <row r="1845">
      <c r="A1845" s="336" t="str">
        <f>IFERROR(__xludf.DUMMYFUNCTION("""COMPUTED_VALUE"""),"10.1145/3434073.344464")</f>
        <v>10.1145/3434073.344464</v>
      </c>
      <c r="B1845" s="442" t="str">
        <f>IFERROR(__xludf.DUMMYFUNCTION("""COMPUTED_VALUE"""),"https://drive.google.com/file/d/1jA-l6wf88uMNXff3Yy2B20CKvW2xN9el/view?usp=drivesdk")</f>
        <v>https://drive.google.com/file/d/1jA-l6wf88uMNXff3Yy2B20CKvW2xN9el/view?usp=drivesdk</v>
      </c>
      <c r="C1845" s="336" t="str">
        <f>IFERROR(__xludf.DUMMYFUNCTION("""COMPUTED_VALUE"""),"10.1145--3434073.344464.pdf")</f>
        <v>10.1145--3434073.344464.pdf</v>
      </c>
      <c r="D1845" s="156" t="str">
        <f>IFERROR(__xludf.DUMMYFUNCTION("""COMPUTED_VALUE"""),"application/pdf")</f>
        <v>application/pdf</v>
      </c>
    </row>
    <row r="1846">
      <c r="A1846" s="336" t="str">
        <f>IFERROR(__xludf.DUMMYFUNCTION("""COMPUTED_VALUE"""),"10.1109/icse48619.2023.00155")</f>
        <v>10.1109/icse48619.2023.00155</v>
      </c>
      <c r="B1846" s="442" t="str">
        <f>IFERROR(__xludf.DUMMYFUNCTION("""COMPUTED_VALUE"""),"https://drive.google.com/file/d/11Hg2Sukzbg5o6HDk3g_yQxPDnJtw-nua/view?usp=drivesdk")</f>
        <v>https://drive.google.com/file/d/11Hg2Sukzbg5o6HDk3g_yQxPDnJtw-nua/view?usp=drivesdk</v>
      </c>
      <c r="C1846" s="336" t="str">
        <f>IFERROR(__xludf.DUMMYFUNCTION("""COMPUTED_VALUE"""),"10.1109--icse48619.2023.00155.pdf")</f>
        <v>10.1109--icse48619.2023.00155.pdf</v>
      </c>
      <c r="D1846" s="156" t="str">
        <f>IFERROR(__xludf.DUMMYFUNCTION("""COMPUTED_VALUE"""),"application/pdf")</f>
        <v>application/pdf</v>
      </c>
    </row>
    <row r="1847">
      <c r="A1847" s="336" t="str">
        <f>IFERROR(__xludf.DUMMYFUNCTION("""COMPUTED_VALUE"""),"10.1111/cogs.13064")</f>
        <v>10.1111/cogs.13064</v>
      </c>
      <c r="B1847" s="442" t="str">
        <f>IFERROR(__xludf.DUMMYFUNCTION("""COMPUTED_VALUE"""),"https://drive.google.com/file/d/1uBYDPVKKupHGmpRbPGmpO5zE11kyQ26l/view?usp=drivesdk")</f>
        <v>https://drive.google.com/file/d/1uBYDPVKKupHGmpRbPGmpO5zE11kyQ26l/view?usp=drivesdk</v>
      </c>
      <c r="C1847" s="336" t="str">
        <f>IFERROR(__xludf.DUMMYFUNCTION("""COMPUTED_VALUE"""),"10.1111--cogs.13064.pdf")</f>
        <v>10.1111--cogs.13064.pdf</v>
      </c>
      <c r="D1847" s="156" t="str">
        <f>IFERROR(__xludf.DUMMYFUNCTION("""COMPUTED_VALUE"""),"application/pdf")</f>
        <v>application/pdf</v>
      </c>
    </row>
    <row r="1848">
      <c r="A1848" s="336" t="str">
        <f>IFERROR(__xludf.DUMMYFUNCTION("""COMPUTED_VALUE"""),"10.1145/3478431.3499298")</f>
        <v>10.1145/3478431.3499298</v>
      </c>
      <c r="B1848" s="442" t="str">
        <f>IFERROR(__xludf.DUMMYFUNCTION("""COMPUTED_VALUE"""),"https://drive.google.com/file/d/1X2kQvhIhMfV3I9kfQvqMKBJg7CY7B8IR/view?usp=drivesdk")</f>
        <v>https://drive.google.com/file/d/1X2kQvhIhMfV3I9kfQvqMKBJg7CY7B8IR/view?usp=drivesdk</v>
      </c>
      <c r="C1848" s="336" t="str">
        <f>IFERROR(__xludf.DUMMYFUNCTION("""COMPUTED_VALUE"""),"10.1145--3478431.3499298.pdf")</f>
        <v>10.1145--3478431.3499298.pdf</v>
      </c>
      <c r="D1848" s="156" t="str">
        <f>IFERROR(__xludf.DUMMYFUNCTION("""COMPUTED_VALUE"""),"application/pdf")</f>
        <v>application/pdf</v>
      </c>
    </row>
    <row r="1849">
      <c r="A1849" s="336" t="str">
        <f>IFERROR(__xludf.DUMMYFUNCTION("""COMPUTED_VALUE"""),"10.1177/02676583221104604")</f>
        <v>10.1177/02676583221104604</v>
      </c>
      <c r="B1849" s="442" t="str">
        <f>IFERROR(__xludf.DUMMYFUNCTION("""COMPUTED_VALUE"""),"https://drive.google.com/file/d/1p0fL8mIok72waO4C-1fbLD8yHvBp2mr3/view?usp=drivesdk")</f>
        <v>https://drive.google.com/file/d/1p0fL8mIok72waO4C-1fbLD8yHvBp2mr3/view?usp=drivesdk</v>
      </c>
      <c r="C1849" s="336" t="str">
        <f>IFERROR(__xludf.DUMMYFUNCTION("""COMPUTED_VALUE"""),"10.1177--02676583221104604.pdf")</f>
        <v>10.1177--02676583221104604.pdf</v>
      </c>
      <c r="D1849" s="156" t="str">
        <f>IFERROR(__xludf.DUMMYFUNCTION("""COMPUTED_VALUE"""),"application/pdf")</f>
        <v>application/pdf</v>
      </c>
    </row>
    <row r="1850">
      <c r="A1850" s="336" t="str">
        <f>IFERROR(__xludf.DUMMYFUNCTION("""COMPUTED_VALUE"""),"10.1093/jopart/muu053")</f>
        <v>10.1093/jopart/muu053</v>
      </c>
      <c r="B1850" s="442" t="str">
        <f>IFERROR(__xludf.DUMMYFUNCTION("""COMPUTED_VALUE"""),"https://drive.google.com/file/d/1LfQ73kQWPV7KpOSIJxFvAF1LaP-iQAW_/view?usp=drivesdk")</f>
        <v>https://drive.google.com/file/d/1LfQ73kQWPV7KpOSIJxFvAF1LaP-iQAW_/view?usp=drivesdk</v>
      </c>
      <c r="C1850" s="336" t="str">
        <f>IFERROR(__xludf.DUMMYFUNCTION("""COMPUTED_VALUE"""),"10.1093--jopart--muu053.pdf")</f>
        <v>10.1093--jopart--muu053.pdf</v>
      </c>
      <c r="D1850" s="156" t="str">
        <f>IFERROR(__xludf.DUMMYFUNCTION("""COMPUTED_VALUE"""),"application/pdf")</f>
        <v>application/pdf</v>
      </c>
    </row>
    <row r="1851">
      <c r="A1851" s="336" t="str">
        <f>IFERROR(__xludf.DUMMYFUNCTION("""COMPUTED_VALUE"""),"10.1017/s0272263105050138 (1)")</f>
        <v>10.1017/s0272263105050138 (1)</v>
      </c>
      <c r="B1851" s="442" t="str">
        <f>IFERROR(__xludf.DUMMYFUNCTION("""COMPUTED_VALUE"""),"https://drive.google.com/file/d/1wHAtjOgCu-cvH6R6z6Dncg0MyDPv9DBr/view?usp=drivesdk")</f>
        <v>https://drive.google.com/file/d/1wHAtjOgCu-cvH6R6z6Dncg0MyDPv9DBr/view?usp=drivesdk</v>
      </c>
      <c r="C1851" s="336" t="str">
        <f>IFERROR(__xludf.DUMMYFUNCTION("""COMPUTED_VALUE"""),"10.1017--S0272263105050138 (1).pdf")</f>
        <v>10.1017--S0272263105050138 (1).pdf</v>
      </c>
      <c r="D1851" s="156" t="str">
        <f>IFERROR(__xludf.DUMMYFUNCTION("""COMPUTED_VALUE"""),"application/pdf")</f>
        <v>application/pdf</v>
      </c>
    </row>
    <row r="1852">
      <c r="A1852" s="336" t="str">
        <f>IFERROR(__xludf.DUMMYFUNCTION("""COMPUTED_VALUE"""),"10.1016/j.jad.2024.05.116")</f>
        <v>10.1016/j.jad.2024.05.116</v>
      </c>
      <c r="B1852" s="442" t="str">
        <f>IFERROR(__xludf.DUMMYFUNCTION("""COMPUTED_VALUE"""),"https://drive.google.com/file/d/1-k-r-v5_nRx62ESkr8l1LXmJ__KwJw-E/view?usp=drivesdk")</f>
        <v>https://drive.google.com/file/d/1-k-r-v5_nRx62ESkr8l1LXmJ__KwJw-E/view?usp=drivesdk</v>
      </c>
      <c r="C1852" s="336" t="str">
        <f>IFERROR(__xludf.DUMMYFUNCTION("""COMPUTED_VALUE"""),"10.1016--j.jad.2024.05.116.pdf")</f>
        <v>10.1016--j.jad.2024.05.116.pdf</v>
      </c>
      <c r="D1852" s="156" t="str">
        <f>IFERROR(__xludf.DUMMYFUNCTION("""COMPUTED_VALUE"""),"application/pdf")</f>
        <v>application/pdf</v>
      </c>
    </row>
    <row r="1853">
      <c r="A1853" s="336" t="str">
        <f>IFERROR(__xludf.DUMMYFUNCTION("""COMPUTED_VALUE"""),"10.1177/07419325211054209")</f>
        <v>10.1177/07419325211054209</v>
      </c>
      <c r="B1853" s="442" t="str">
        <f>IFERROR(__xludf.DUMMYFUNCTION("""COMPUTED_VALUE"""),"https://drive.google.com/file/d/18lTtr2PaagFl9Dx2Fj1CQX4Y5tFnS3-G/view?usp=drivesdk")</f>
        <v>https://drive.google.com/file/d/18lTtr2PaagFl9Dx2Fj1CQX4Y5tFnS3-G/view?usp=drivesdk</v>
      </c>
      <c r="C1853" s="336" t="str">
        <f>IFERROR(__xludf.DUMMYFUNCTION("""COMPUTED_VALUE"""),"10.1177--07419325211054209.pdf")</f>
        <v>10.1177--07419325211054209.pdf</v>
      </c>
      <c r="D1853" s="156" t="str">
        <f>IFERROR(__xludf.DUMMYFUNCTION("""COMPUTED_VALUE"""),"application/pdf")</f>
        <v>application/pdf</v>
      </c>
    </row>
    <row r="1854">
      <c r="A1854" s="336" t="str">
        <f>IFERROR(__xludf.DUMMYFUNCTION("""COMPUTED_VALUE"""),"10.1016/j.cogdev.2022.101252")</f>
        <v>10.1016/j.cogdev.2022.101252</v>
      </c>
      <c r="B1854" s="442" t="str">
        <f>IFERROR(__xludf.DUMMYFUNCTION("""COMPUTED_VALUE"""),"https://drive.google.com/file/d/1e7uwhmg4WfBHboBpLfEjOvwaRDuWE6yP/view?usp=drivesdk")</f>
        <v>https://drive.google.com/file/d/1e7uwhmg4WfBHboBpLfEjOvwaRDuWE6yP/view?usp=drivesdk</v>
      </c>
      <c r="C1854" s="336" t="str">
        <f>IFERROR(__xludf.DUMMYFUNCTION("""COMPUTED_VALUE"""),"10.1016--j.cogdev.2022.101252.pdf")</f>
        <v>10.1016--j.cogdev.2022.101252.pdf</v>
      </c>
      <c r="D1854" s="156" t="str">
        <f>IFERROR(__xludf.DUMMYFUNCTION("""COMPUTED_VALUE"""),"application/pdf")</f>
        <v>application/pdf</v>
      </c>
    </row>
    <row r="1855">
      <c r="A1855" s="336" t="str">
        <f>IFERROR(__xludf.DUMMYFUNCTION("""COMPUTED_VALUE"""),"10.1093/jcr/ucac017")</f>
        <v>10.1093/jcr/ucac017</v>
      </c>
      <c r="B1855" s="442" t="str">
        <f>IFERROR(__xludf.DUMMYFUNCTION("""COMPUTED_VALUE"""),"https://drive.google.com/file/d/1Hbaj4soNoRer2LexyrCcG27zgcEO-WRP/view?usp=drivesdk")</f>
        <v>https://drive.google.com/file/d/1Hbaj4soNoRer2LexyrCcG27zgcEO-WRP/view?usp=drivesdk</v>
      </c>
      <c r="C1855" s="336" t="str">
        <f>IFERROR(__xludf.DUMMYFUNCTION("""COMPUTED_VALUE"""),"10.1093--jcr--ucac017.pdf")</f>
        <v>10.1093--jcr--ucac017.pdf</v>
      </c>
      <c r="D1855" s="156" t="str">
        <f>IFERROR(__xludf.DUMMYFUNCTION("""COMPUTED_VALUE"""),"application/pdf")</f>
        <v>application/pdf</v>
      </c>
    </row>
    <row r="1856">
      <c r="A1856" s="336" t="str">
        <f>IFERROR(__xludf.DUMMYFUNCTION("""COMPUTED_VALUE"""),"10.1111/bjop.12522")</f>
        <v>10.1111/bjop.12522</v>
      </c>
      <c r="B1856" s="442" t="str">
        <f>IFERROR(__xludf.DUMMYFUNCTION("""COMPUTED_VALUE"""),"https://drive.google.com/file/d/1QKNLq74KH1Q68hjyhxCeyjSmCHkUJXwb/view?usp=drivesdk")</f>
        <v>https://drive.google.com/file/d/1QKNLq74KH1Q68hjyhxCeyjSmCHkUJXwb/view?usp=drivesdk</v>
      </c>
      <c r="C1856" s="336" t="str">
        <f>IFERROR(__xludf.DUMMYFUNCTION("""COMPUTED_VALUE"""),"10.1111--bjop.12522.pdf")</f>
        <v>10.1111--bjop.12522.pdf</v>
      </c>
      <c r="D1856" s="156" t="str">
        <f>IFERROR(__xludf.DUMMYFUNCTION("""COMPUTED_VALUE"""),"application/pdf")</f>
        <v>application/pdf</v>
      </c>
    </row>
    <row r="1857">
      <c r="A1857" s="336" t="str">
        <f>IFERROR(__xludf.DUMMYFUNCTION("""COMPUTED_VALUE"""),"10.1016/j.cedpsych.2009.06.005 (1)")</f>
        <v>10.1016/j.cedpsych.2009.06.005 (1)</v>
      </c>
      <c r="B1857" s="442" t="str">
        <f>IFERROR(__xludf.DUMMYFUNCTION("""COMPUTED_VALUE"""),"https://drive.google.com/file/d/1SJEY-x4wa_wDRqvN70ZyfGEV1oV8EsNy/view?usp=drivesdk")</f>
        <v>https://drive.google.com/file/d/1SJEY-x4wa_wDRqvN70ZyfGEV1oV8EsNy/view?usp=drivesdk</v>
      </c>
      <c r="C1857" s="336" t="str">
        <f>IFERROR(__xludf.DUMMYFUNCTION("""COMPUTED_VALUE"""),"10.1016--j.cedpsych.2009.06.005 (1).pdf")</f>
        <v>10.1016--j.cedpsych.2009.06.005 (1).pdf</v>
      </c>
      <c r="D1857" s="156" t="str">
        <f>IFERROR(__xludf.DUMMYFUNCTION("""COMPUTED_VALUE"""),"application/pdf")</f>
        <v>application/pdf</v>
      </c>
    </row>
    <row r="1858">
      <c r="A1858" s="336" t="str">
        <f>IFERROR(__xludf.DUMMYFUNCTION("""COMPUTED_VALUE"""),"10.1017/s0003055422000107")</f>
        <v>10.1017/s0003055422000107</v>
      </c>
      <c r="B1858" s="442" t="str">
        <f>IFERROR(__xludf.DUMMYFUNCTION("""COMPUTED_VALUE"""),"https://drive.google.com/file/d/1OYdLeDrhGvfEQhgtmuKBjOHZCr1fXMHM/view?usp=drivesdk")</f>
        <v>https://drive.google.com/file/d/1OYdLeDrhGvfEQhgtmuKBjOHZCr1fXMHM/view?usp=drivesdk</v>
      </c>
      <c r="C1858" s="336" t="str">
        <f>IFERROR(__xludf.DUMMYFUNCTION("""COMPUTED_VALUE"""),"10.1017--s0003055422000107.pdf")</f>
        <v>10.1017--s0003055422000107.pdf</v>
      </c>
      <c r="D1858" s="156" t="str">
        <f>IFERROR(__xludf.DUMMYFUNCTION("""COMPUTED_VALUE"""),"application/pdf")</f>
        <v>application/pdf</v>
      </c>
    </row>
    <row r="1859">
      <c r="A1859" s="336" t="str">
        <f>IFERROR(__xludf.DUMMYFUNCTION("""COMPUTED_VALUE"""),"10.1016/j.appet.2024.107672")</f>
        <v>10.1016/j.appet.2024.107672</v>
      </c>
      <c r="B1859" s="442" t="str">
        <f>IFERROR(__xludf.DUMMYFUNCTION("""COMPUTED_VALUE"""),"https://drive.google.com/file/d/1K0udcraFcCX8OApcH6A6jlQOyYBta1Y0/view?usp=drivesdk")</f>
        <v>https://drive.google.com/file/d/1K0udcraFcCX8OApcH6A6jlQOyYBta1Y0/view?usp=drivesdk</v>
      </c>
      <c r="C1859" s="336" t="str">
        <f>IFERROR(__xludf.DUMMYFUNCTION("""COMPUTED_VALUE"""),"10.1016--j.appet.2024.107672.pdf")</f>
        <v>10.1016--j.appet.2024.107672.pdf</v>
      </c>
      <c r="D1859" s="156" t="str">
        <f>IFERROR(__xludf.DUMMYFUNCTION("""COMPUTED_VALUE"""),"application/pdf")</f>
        <v>application/pdf</v>
      </c>
    </row>
    <row r="1860">
      <c r="A1860" s="336" t="str">
        <f>IFERROR(__xludf.DUMMYFUNCTION("""COMPUTED_VALUE"""),"10.1037/edu0000743")</f>
        <v>10.1037/edu0000743</v>
      </c>
      <c r="B1860" s="442" t="str">
        <f>IFERROR(__xludf.DUMMYFUNCTION("""COMPUTED_VALUE"""),"https://drive.google.com/file/d/1mE8qdVgu7-5CuiGl4hkR4oOcSO_6ViAH/view?usp=drivesdk")</f>
        <v>https://drive.google.com/file/d/1mE8qdVgu7-5CuiGl4hkR4oOcSO_6ViAH/view?usp=drivesdk</v>
      </c>
      <c r="C1860" s="336" t="str">
        <f>IFERROR(__xludf.DUMMYFUNCTION("""COMPUTED_VALUE"""),"10.1037--edu0000743.pdf")</f>
        <v>10.1037--edu0000743.pdf</v>
      </c>
      <c r="D1860" s="156" t="str">
        <f>IFERROR(__xludf.DUMMYFUNCTION("""COMPUTED_VALUE"""),"application/pdf")</f>
        <v>application/pdf</v>
      </c>
    </row>
    <row r="1861">
      <c r="A1861" s="336" t="str">
        <f>IFERROR(__xludf.DUMMYFUNCTION("""COMPUTED_VALUE"""),"10.1037/cou0000495")</f>
        <v>10.1037/cou0000495</v>
      </c>
      <c r="B1861" s="442" t="str">
        <f>IFERROR(__xludf.DUMMYFUNCTION("""COMPUTED_VALUE"""),"https://drive.google.com/file/d/1CScbuvTVZqO_yy9IG-SnLk08RYpIGsAI/view?usp=drivesdk")</f>
        <v>https://drive.google.com/file/d/1CScbuvTVZqO_yy9IG-SnLk08RYpIGsAI/view?usp=drivesdk</v>
      </c>
      <c r="C1861" s="336" t="str">
        <f>IFERROR(__xludf.DUMMYFUNCTION("""COMPUTED_VALUE"""),"10.1037--cou0000495.pdf")</f>
        <v>10.1037--cou0000495.pdf</v>
      </c>
      <c r="D1861" s="156" t="str">
        <f>IFERROR(__xludf.DUMMYFUNCTION("""COMPUTED_VALUE"""),"application/pdf")</f>
        <v>application/pdf</v>
      </c>
    </row>
    <row r="1862">
      <c r="A1862" s="336" t="str">
        <f>IFERROR(__xludf.DUMMYFUNCTION("""COMPUTED_VALUE"""),"10.1002/jaba.891")</f>
        <v>10.1002/jaba.891</v>
      </c>
      <c r="B1862" s="442" t="str">
        <f>IFERROR(__xludf.DUMMYFUNCTION("""COMPUTED_VALUE"""),"https://drive.google.com/file/d/10CsTyC4ydL8U4rO51qz2YrX7o2g2Kqnr/view?usp=drivesdk")</f>
        <v>https://drive.google.com/file/d/10CsTyC4ydL8U4rO51qz2YrX7o2g2Kqnr/view?usp=drivesdk</v>
      </c>
      <c r="C1862" s="336" t="str">
        <f>IFERROR(__xludf.DUMMYFUNCTION("""COMPUTED_VALUE"""),"10.1002--jaba.891.pdf")</f>
        <v>10.1002--jaba.891.pdf</v>
      </c>
      <c r="D1862" s="156" t="str">
        <f>IFERROR(__xludf.DUMMYFUNCTION("""COMPUTED_VALUE"""),"application/pdf")</f>
        <v>application/pdf</v>
      </c>
    </row>
    <row r="1863">
      <c r="A1863" s="336" t="str">
        <f>IFERROR(__xludf.DUMMYFUNCTION("""COMPUTED_VALUE"""),"10.1093/qje/qjac035")</f>
        <v>10.1093/qje/qjac035</v>
      </c>
      <c r="B1863" s="442" t="str">
        <f>IFERROR(__xludf.DUMMYFUNCTION("""COMPUTED_VALUE"""),"https://drive.google.com/file/d/16d2ldquzreLFuakSzFz58RVXbtteI_5K/view?usp=drivesdk")</f>
        <v>https://drive.google.com/file/d/16d2ldquzreLFuakSzFz58RVXbtteI_5K/view?usp=drivesdk</v>
      </c>
      <c r="C1863" s="336" t="str">
        <f>IFERROR(__xludf.DUMMYFUNCTION("""COMPUTED_VALUE"""),"10.1093--qje--qjac035.pdf")</f>
        <v>10.1093--qje--qjac035.pdf</v>
      </c>
      <c r="D1863" s="156" t="str">
        <f>IFERROR(__xludf.DUMMYFUNCTION("""COMPUTED_VALUE"""),"application/pdf")</f>
        <v>application/pdf</v>
      </c>
    </row>
    <row r="1864">
      <c r="A1864" s="336" t="str">
        <f>IFERROR(__xludf.DUMMYFUNCTION("""COMPUTED_VALUE"""),"10.1016/j.chb.2023.107973")</f>
        <v>10.1016/j.chb.2023.107973</v>
      </c>
      <c r="B1864" s="442" t="str">
        <f>IFERROR(__xludf.DUMMYFUNCTION("""COMPUTED_VALUE"""),"https://drive.google.com/file/d/1ro_fyV-wZWsB4ZKhbZrotX3oDn-r2-xT/view?usp=drivesdk")</f>
        <v>https://drive.google.com/file/d/1ro_fyV-wZWsB4ZKhbZrotX3oDn-r2-xT/view?usp=drivesdk</v>
      </c>
      <c r="C1864" s="336" t="str">
        <f>IFERROR(__xludf.DUMMYFUNCTION("""COMPUTED_VALUE"""),"10.1016--j.chb.2023.107973.pdf")</f>
        <v>10.1016--j.chb.2023.107973.pdf</v>
      </c>
      <c r="D1864" s="156" t="str">
        <f>IFERROR(__xludf.DUMMYFUNCTION("""COMPUTED_VALUE"""),"application/pdf")</f>
        <v>application/pdf</v>
      </c>
    </row>
    <row r="1865">
      <c r="A1865" s="336" t="str">
        <f>IFERROR(__xludf.DUMMYFUNCTION("""COMPUTED_VALUE"""),"10.1016/j.trip.2023.100783")</f>
        <v>10.1016/j.trip.2023.100783</v>
      </c>
      <c r="B1865" s="442" t="str">
        <f>IFERROR(__xludf.DUMMYFUNCTION("""COMPUTED_VALUE"""),"https://drive.google.com/file/d/1P7wlov__UmjWQsVtemyTGgOjNFpWrGLT/view?usp=drivesdk")</f>
        <v>https://drive.google.com/file/d/1P7wlov__UmjWQsVtemyTGgOjNFpWrGLT/view?usp=drivesdk</v>
      </c>
      <c r="C1865" s="336" t="str">
        <f>IFERROR(__xludf.DUMMYFUNCTION("""COMPUTED_VALUE"""),"10.1016--j.trip.2023.100783.pdf")</f>
        <v>10.1016--j.trip.2023.100783.pdf</v>
      </c>
      <c r="D1865" s="156" t="str">
        <f>IFERROR(__xludf.DUMMYFUNCTION("""COMPUTED_VALUE"""),"application/pdf")</f>
        <v>application/pdf</v>
      </c>
    </row>
    <row r="1866">
      <c r="A1866" s="336" t="str">
        <f>IFERROR(__xludf.DUMMYFUNCTION("""COMPUTED_VALUE"""),"10.1177/095679762311779")</f>
        <v>10.1177/095679762311779</v>
      </c>
      <c r="B1866" s="442" t="str">
        <f>IFERROR(__xludf.DUMMYFUNCTION("""COMPUTED_VALUE"""),"https://drive.google.com/file/d/1YtaLiYfK1m9H_UEhXEMBosj1mg_EXC73/view?usp=drivesdk")</f>
        <v>https://drive.google.com/file/d/1YtaLiYfK1m9H_UEhXEMBosj1mg_EXC73/view?usp=drivesdk</v>
      </c>
      <c r="C1866" s="336" t="str">
        <f>IFERROR(__xludf.DUMMYFUNCTION("""COMPUTED_VALUE"""),"10.1177--095679762311779.pdf")</f>
        <v>10.1177--095679762311779.pdf</v>
      </c>
      <c r="D1866" s="156" t="str">
        <f>IFERROR(__xludf.DUMMYFUNCTION("""COMPUTED_VALUE"""),"application/pdf")</f>
        <v>application/pdf</v>
      </c>
    </row>
    <row r="1867">
      <c r="A1867" s="336" t="str">
        <f>IFERROR(__xludf.DUMMYFUNCTION("""COMPUTED_VALUE"""),"10.1111/j.1467-9280.2007.01961")</f>
        <v>10.1111/j.1467-9280.2007.01961</v>
      </c>
      <c r="B1867" s="442" t="str">
        <f>IFERROR(__xludf.DUMMYFUNCTION("""COMPUTED_VALUE"""),"https://drive.google.com/file/d/10wZFu_n_OFKyepb7qeNIdy0suTAbVMCP/view?usp=drivesdk")</f>
        <v>https://drive.google.com/file/d/10wZFu_n_OFKyepb7qeNIdy0suTAbVMCP/view?usp=drivesdk</v>
      </c>
      <c r="C1867" s="336" t="str">
        <f>IFERROR(__xludf.DUMMYFUNCTION("""COMPUTED_VALUE"""),"10.1111--j.1467-9280.2007.01961.pdf")</f>
        <v>10.1111--j.1467-9280.2007.01961.pdf</v>
      </c>
      <c r="D1867" s="156" t="str">
        <f>IFERROR(__xludf.DUMMYFUNCTION("""COMPUTED_VALUE"""),"application/pdf")</f>
        <v>application/pdf</v>
      </c>
    </row>
    <row r="1868">
      <c r="A1868" s="336" t="str">
        <f>IFERROR(__xludf.DUMMYFUNCTION("""COMPUTED_VALUE"""),"10.1038/s41562-022-01319-5")</f>
        <v>10.1038/s41562-022-01319-5</v>
      </c>
      <c r="B1868" s="442" t="str">
        <f>IFERROR(__xludf.DUMMYFUNCTION("""COMPUTED_VALUE"""),"https://drive.google.com/file/d/18oqZDGEq6caeP-NGNtFHInOSTwPiA0Ie/view?usp=drivesdk")</f>
        <v>https://drive.google.com/file/d/18oqZDGEq6caeP-NGNtFHInOSTwPiA0Ie/view?usp=drivesdk</v>
      </c>
      <c r="C1868" s="336" t="str">
        <f>IFERROR(__xludf.DUMMYFUNCTION("""COMPUTED_VALUE"""),"10.1038--s41562-022-01319-5.pdf")</f>
        <v>10.1038--s41562-022-01319-5.pdf</v>
      </c>
      <c r="D1868" s="156" t="str">
        <f>IFERROR(__xludf.DUMMYFUNCTION("""COMPUTED_VALUE"""),"application/pdf")</f>
        <v>application/pdf</v>
      </c>
    </row>
    <row r="1869">
      <c r="A1869" s="336" t="str">
        <f>IFERROR(__xludf.DUMMYFUNCTION("""COMPUTED_VALUE"""),"10.1002/bin.1885")</f>
        <v>10.1002/bin.1885</v>
      </c>
      <c r="B1869" s="442" t="str">
        <f>IFERROR(__xludf.DUMMYFUNCTION("""COMPUTED_VALUE"""),"https://drive.google.com/file/d/17z_2upjofelI2OBtJbJp1UqmJ0j-f13C/view?usp=drivesdk")</f>
        <v>https://drive.google.com/file/d/17z_2upjofelI2OBtJbJp1UqmJ0j-f13C/view?usp=drivesdk</v>
      </c>
      <c r="C1869" s="336" t="str">
        <f>IFERROR(__xludf.DUMMYFUNCTION("""COMPUTED_VALUE"""),"10.1002--bin.1885.pdf")</f>
        <v>10.1002--bin.1885.pdf</v>
      </c>
      <c r="D1869" s="156" t="str">
        <f>IFERROR(__xludf.DUMMYFUNCTION("""COMPUTED_VALUE"""),"application/pdf")</f>
        <v>application/pdf</v>
      </c>
    </row>
    <row r="1870">
      <c r="A1870" s="336" t="str">
        <f>IFERROR(__xludf.DUMMYFUNCTION("""COMPUTED_VALUE"""),"10.7556/jaoa.2019.052")</f>
        <v>10.7556/jaoa.2019.052</v>
      </c>
      <c r="B1870" s="442" t="str">
        <f>IFERROR(__xludf.DUMMYFUNCTION("""COMPUTED_VALUE"""),"https://drive.google.com/file/d/1MhWCR6IKjGFJF9T8GMSxBcbSJPBNMYrA/view?usp=drivesdk")</f>
        <v>https://drive.google.com/file/d/1MhWCR6IKjGFJF9T8GMSxBcbSJPBNMYrA/view?usp=drivesdk</v>
      </c>
      <c r="C1870" s="336" t="str">
        <f>IFERROR(__xludf.DUMMYFUNCTION("""COMPUTED_VALUE"""),"10.7556--jaoa.2019.052.pdf")</f>
        <v>10.7556--jaoa.2019.052.pdf</v>
      </c>
      <c r="D1870" s="156" t="str">
        <f>IFERROR(__xludf.DUMMYFUNCTION("""COMPUTED_VALUE"""),"application/pdf")</f>
        <v>application/pdf</v>
      </c>
    </row>
    <row r="1871">
      <c r="A1871" s="336" t="str">
        <f>IFERROR(__xludf.DUMMYFUNCTION("""COMPUTED_VALUE"""),"10.1016/j.jrp.2022.104232")</f>
        <v>10.1016/j.jrp.2022.104232</v>
      </c>
      <c r="B1871" s="442" t="str">
        <f>IFERROR(__xludf.DUMMYFUNCTION("""COMPUTED_VALUE"""),"https://drive.google.com/file/d/1xUH4wxkipPc8Kas_WlJgtBKgVF5A6I4J/view?usp=drivesdk")</f>
        <v>https://drive.google.com/file/d/1xUH4wxkipPc8Kas_WlJgtBKgVF5A6I4J/view?usp=drivesdk</v>
      </c>
      <c r="C1871" s="336" t="str">
        <f>IFERROR(__xludf.DUMMYFUNCTION("""COMPUTED_VALUE"""),"10.1016--j.jrp.2022.104232.pdf")</f>
        <v>10.1016--j.jrp.2022.104232.pdf</v>
      </c>
      <c r="D1871" s="156" t="str">
        <f>IFERROR(__xludf.DUMMYFUNCTION("""COMPUTED_VALUE"""),"application/pdf")</f>
        <v>application/pdf</v>
      </c>
    </row>
    <row r="1872">
      <c r="A1872" s="336" t="str">
        <f>IFERROR(__xludf.DUMMYFUNCTION("""COMPUTED_VALUE"""),"10.1523/jneurosci.2329-20.2021")</f>
        <v>10.1523/jneurosci.2329-20.2021</v>
      </c>
      <c r="B1872" s="442" t="str">
        <f>IFERROR(__xludf.DUMMYFUNCTION("""COMPUTED_VALUE"""),"https://drive.google.com/file/d/1BqL8Nw6PSYuS16ysmE6vXi0eI09OG5ne/view?usp=drivesdk")</f>
        <v>https://drive.google.com/file/d/1BqL8Nw6PSYuS16ysmE6vXi0eI09OG5ne/view?usp=drivesdk</v>
      </c>
      <c r="C1872" s="336" t="str">
        <f>IFERROR(__xludf.DUMMYFUNCTION("""COMPUTED_VALUE"""),"10.1523--jneurosci.2329-20.2021.pdf")</f>
        <v>10.1523--jneurosci.2329-20.2021.pdf</v>
      </c>
      <c r="D1872" s="156" t="str">
        <f>IFERROR(__xludf.DUMMYFUNCTION("""COMPUTED_VALUE"""),"application/pdf")</f>
        <v>application/pdf</v>
      </c>
    </row>
    <row r="1873">
      <c r="A1873" s="336" t="str">
        <f>IFERROR(__xludf.DUMMYFUNCTION("""COMPUTED_VALUE"""),"10.1016/j.chb.2022.107605")</f>
        <v>10.1016/j.chb.2022.107605</v>
      </c>
      <c r="B1873" s="442" t="str">
        <f>IFERROR(__xludf.DUMMYFUNCTION("""COMPUTED_VALUE"""),"https://drive.google.com/file/d/1Wz8QT5hG7UNmKNIGagdQfvGJIGaLqvL7/view?usp=drivesdk")</f>
        <v>https://drive.google.com/file/d/1Wz8QT5hG7UNmKNIGagdQfvGJIGaLqvL7/view?usp=drivesdk</v>
      </c>
      <c r="C1873" s="336" t="str">
        <f>IFERROR(__xludf.DUMMYFUNCTION("""COMPUTED_VALUE"""),"10.1016--j.chb.2022.107605.pdf")</f>
        <v>10.1016--j.chb.2022.107605.pdf</v>
      </c>
      <c r="D1873" s="156" t="str">
        <f>IFERROR(__xludf.DUMMYFUNCTION("""COMPUTED_VALUE"""),"application/pdf")</f>
        <v>application/pdf</v>
      </c>
    </row>
    <row r="1874">
      <c r="A1874" s="336" t="str">
        <f>IFERROR(__xludf.DUMMYFUNCTION("""COMPUTED_VALUE"""),"10.1257/aer.99.3.1053")</f>
        <v>10.1257/aer.99.3.1053</v>
      </c>
      <c r="B1874" s="442" t="str">
        <f>IFERROR(__xludf.DUMMYFUNCTION("""COMPUTED_VALUE"""),"https://drive.google.com/file/d/1K2zHMlHPam78S5DkPpEMV2Ne6_sMuV0c/view?usp=drivesdk")</f>
        <v>https://drive.google.com/file/d/1K2zHMlHPam78S5DkPpEMV2Ne6_sMuV0c/view?usp=drivesdk</v>
      </c>
      <c r="C1874" s="336" t="str">
        <f>IFERROR(__xludf.DUMMYFUNCTION("""COMPUTED_VALUE"""),"10.1257--aer.99.3.1053.pdf")</f>
        <v>10.1257--aer.99.3.1053.pdf</v>
      </c>
      <c r="D1874" s="156" t="str">
        <f>IFERROR(__xludf.DUMMYFUNCTION("""COMPUTED_VALUE"""),"application/pdf")</f>
        <v>application/pdf</v>
      </c>
    </row>
    <row r="1875">
      <c r="A1875" s="336" t="str">
        <f>IFERROR(__xludf.DUMMYFUNCTION("""COMPUTED_VALUE"""),"10.2196/20534")</f>
        <v>10.2196/20534</v>
      </c>
      <c r="B1875" s="442" t="str">
        <f>IFERROR(__xludf.DUMMYFUNCTION("""COMPUTED_VALUE"""),"https://drive.google.com/file/d/1YuPgvt-CwvvxVNuYav3yg8PfIXNdgR1B/view?usp=drivesdk")</f>
        <v>https://drive.google.com/file/d/1YuPgvt-CwvvxVNuYav3yg8PfIXNdgR1B/view?usp=drivesdk</v>
      </c>
      <c r="C1875" s="336" t="str">
        <f>IFERROR(__xludf.DUMMYFUNCTION("""COMPUTED_VALUE"""),"10.2196--20534.pdf")</f>
        <v>10.2196--20534.pdf</v>
      </c>
      <c r="D1875" s="156" t="str">
        <f>IFERROR(__xludf.DUMMYFUNCTION("""COMPUTED_VALUE"""),"application/pdf")</f>
        <v>application/pdf</v>
      </c>
    </row>
    <row r="1876">
      <c r="A1876" s="336" t="str">
        <f>IFERROR(__xludf.DUMMYFUNCTION("""COMPUTED_VALUE"""),"benson2019")</f>
        <v>benson2019</v>
      </c>
      <c r="B1876" s="442" t="str">
        <f>IFERROR(__xludf.DUMMYFUNCTION("""COMPUTED_VALUE"""),"https://drive.google.com/file/d/1_aQd2fiFR2BFUHay2TJmZ6uXOfDFwlyI/view?usp=drivesdk")</f>
        <v>https://drive.google.com/file/d/1_aQd2fiFR2BFUHay2TJmZ6uXOfDFwlyI/view?usp=drivesdk</v>
      </c>
      <c r="C1876" s="336" t="str">
        <f>IFERROR(__xludf.DUMMYFUNCTION("""COMPUTED_VALUE"""),"benson2019.pdf")</f>
        <v>benson2019.pdf</v>
      </c>
      <c r="D1876" s="156" t="str">
        <f>IFERROR(__xludf.DUMMYFUNCTION("""COMPUTED_VALUE"""),"application/pdf")</f>
        <v>application/pdf</v>
      </c>
    </row>
    <row r="1877">
      <c r="A1877" s="336" t="str">
        <f>IFERROR(__xludf.DUMMYFUNCTION("""COMPUTED_VALUE"""),"10.1073/pnas.2 015539118")</f>
        <v>10.1073/pnas.2 015539118</v>
      </c>
      <c r="B1877" s="442" t="str">
        <f>IFERROR(__xludf.DUMMYFUNCTION("""COMPUTED_VALUE"""),"https://drive.google.com/file/d/1d65j0saCEIanzMI-38I3fhweWKRYSiw2/view?usp=drivesdk")</f>
        <v>https://drive.google.com/file/d/1d65j0saCEIanzMI-38I3fhweWKRYSiw2/view?usp=drivesdk</v>
      </c>
      <c r="C1877" s="336" t="str">
        <f>IFERROR(__xludf.DUMMYFUNCTION("""COMPUTED_VALUE"""),"10.1073--pnas.2 015539118.pdf")</f>
        <v>10.1073--pnas.2 015539118.pdf</v>
      </c>
      <c r="D1877" s="156" t="str">
        <f>IFERROR(__xludf.DUMMYFUNCTION("""COMPUTED_VALUE"""),"application/pdf")</f>
        <v>application/pdf</v>
      </c>
    </row>
    <row r="1878">
      <c r="A1878" s="336" t="str">
        <f>IFERROR(__xludf.DUMMYFUNCTION("""COMPUTED_VALUE"""),"10.1073/pnas.212066811")</f>
        <v>10.1073/pnas.212066811</v>
      </c>
      <c r="B1878" s="442" t="str">
        <f>IFERROR(__xludf.DUMMYFUNCTION("""COMPUTED_VALUE"""),"https://drive.google.com/file/d/1EOobtRYPjKeO9_gYW4bu-_TIpK_PjuLA/view?usp=drivesdk")</f>
        <v>https://drive.google.com/file/d/1EOobtRYPjKeO9_gYW4bu-_TIpK_PjuLA/view?usp=drivesdk</v>
      </c>
      <c r="C1878" s="336" t="str">
        <f>IFERROR(__xludf.DUMMYFUNCTION("""COMPUTED_VALUE"""),"10.1073--pnas.212066811.pdf")</f>
        <v>10.1073--pnas.212066811.pdf</v>
      </c>
      <c r="D1878" s="156" t="str">
        <f>IFERROR(__xludf.DUMMYFUNCTION("""COMPUTED_VALUE"""),"application/pdf")</f>
        <v>application/pdf</v>
      </c>
    </row>
    <row r="1879">
      <c r="A1879" s="336" t="str">
        <f>IFERROR(__xludf.DUMMYFUNCTION("""COMPUTED_VALUE"""),"10.1162/rest.90.2.300 (1)")</f>
        <v>10.1162/rest.90.2.300 (1)</v>
      </c>
      <c r="B1879" s="442" t="str">
        <f>IFERROR(__xludf.DUMMYFUNCTION("""COMPUTED_VALUE"""),"https://drive.google.com/file/d/1UjbeLcg8Ef9iNN6OCfcfSjsOW-S8xlbA/view?usp=drivesdk")</f>
        <v>https://drive.google.com/file/d/1UjbeLcg8Ef9iNN6OCfcfSjsOW-S8xlbA/view?usp=drivesdk</v>
      </c>
      <c r="C1879" s="336" t="str">
        <f>IFERROR(__xludf.DUMMYFUNCTION("""COMPUTED_VALUE"""),"10.1162--rest.90.2.300 (1).pdf")</f>
        <v>10.1162--rest.90.2.300 (1).pdf</v>
      </c>
      <c r="D1879" s="156" t="str">
        <f>IFERROR(__xludf.DUMMYFUNCTION("""COMPUTED_VALUE"""),"application/pdf")</f>
        <v>application/pdf</v>
      </c>
    </row>
    <row r="1880">
      <c r="A1880" s="336" t="str">
        <f>IFERROR(__xludf.DUMMYFUNCTION("""COMPUTED_VALUE"""),"10.1257/mac.1.1.146 (1)")</f>
        <v>10.1257/mac.1.1.146 (1)</v>
      </c>
      <c r="B1880" s="442" t="str">
        <f>IFERROR(__xludf.DUMMYFUNCTION("""COMPUTED_VALUE"""),"https://drive.google.com/file/d/1D4Mi_2OBXIENWNgS-WkOzAsIz9d6XBcv/view?usp=drivesdk")</f>
        <v>https://drive.google.com/file/d/1D4Mi_2OBXIENWNgS-WkOzAsIz9d6XBcv/view?usp=drivesdk</v>
      </c>
      <c r="C1880" s="336" t="str">
        <f>IFERROR(__xludf.DUMMYFUNCTION("""COMPUTED_VALUE"""),"10.1257--mac.1.1.146 (1).pdf")</f>
        <v>10.1257--mac.1.1.146 (1).pdf</v>
      </c>
      <c r="D1880" s="156" t="str">
        <f>IFERROR(__xludf.DUMMYFUNCTION("""COMPUTED_VALUE"""),"application/pdf")</f>
        <v>application/pdf</v>
      </c>
    </row>
    <row r="1881">
      <c r="A1881" s="336" t="str">
        <f>IFERROR(__xludf.DUMMYFUNCTION("""COMPUTED_VALUE"""),"10.1257/mac.20130176 (1)")</f>
        <v>10.1257/mac.20130176 (1)</v>
      </c>
      <c r="B1881" s="442" t="str">
        <f>IFERROR(__xludf.DUMMYFUNCTION("""COMPUTED_VALUE"""),"https://drive.google.com/file/d/1E1qWlBKhonhY_3BaxJAyBmY0k-t23HiD/view?usp=drivesdk")</f>
        <v>https://drive.google.com/file/d/1E1qWlBKhonhY_3BaxJAyBmY0k-t23HiD/view?usp=drivesdk</v>
      </c>
      <c r="C1881" s="336" t="str">
        <f>IFERROR(__xludf.DUMMYFUNCTION("""COMPUTED_VALUE"""),"10.1257--mac.20130176 (1).pdf")</f>
        <v>10.1257--mac.20130176 (1).pdf</v>
      </c>
      <c r="D1881" s="156" t="str">
        <f>IFERROR(__xludf.DUMMYFUNCTION("""COMPUTED_VALUE"""),"application/pdf")</f>
        <v>application/pdf</v>
      </c>
    </row>
    <row r="1882">
      <c r="A1882" s="336" t="str">
        <f>IFERROR(__xludf.DUMMYFUNCTION("""COMPUTED_VALUE"""),"10.1017/s0007123421000557")</f>
        <v>10.1017/s0007123421000557</v>
      </c>
      <c r="B1882" s="442" t="str">
        <f>IFERROR(__xludf.DUMMYFUNCTION("""COMPUTED_VALUE"""),"https://drive.google.com/file/d/1YQ1rwTK8fHHydlCOqvw62rr4BQnhJ7v4/view?usp=drivesdk")</f>
        <v>https://drive.google.com/file/d/1YQ1rwTK8fHHydlCOqvw62rr4BQnhJ7v4/view?usp=drivesdk</v>
      </c>
      <c r="C1882" s="336" t="str">
        <f>IFERROR(__xludf.DUMMYFUNCTION("""COMPUTED_VALUE"""),"10.1017--s0007123421000557.pdf")</f>
        <v>10.1017--s0007123421000557.pdf</v>
      </c>
      <c r="D1882" s="156" t="str">
        <f>IFERROR(__xludf.DUMMYFUNCTION("""COMPUTED_VALUE"""),"application/pdf")</f>
        <v>application/pdf</v>
      </c>
    </row>
    <row r="1883">
      <c r="A1883" s="336" t="str">
        <f>IFERROR(__xludf.DUMMYFUNCTION("""COMPUTED_VALUE"""),"10.1177/2f10986111211035002")</f>
        <v>10.1177/2f10986111211035002</v>
      </c>
      <c r="B1883" s="442" t="str">
        <f>IFERROR(__xludf.DUMMYFUNCTION("""COMPUTED_VALUE"""),"https://drive.google.com/file/d/16pg9MWE7EmtXDgvjDW9mExWkGIxt2MYX/view?usp=drivesdk")</f>
        <v>https://drive.google.com/file/d/16pg9MWE7EmtXDgvjDW9mExWkGIxt2MYX/view?usp=drivesdk</v>
      </c>
      <c r="C1883" s="336" t="str">
        <f>IFERROR(__xludf.DUMMYFUNCTION("""COMPUTED_VALUE"""),"10.1177--2f10986111211035002.pdf")</f>
        <v>10.1177--2f10986111211035002.pdf</v>
      </c>
      <c r="D1883" s="156" t="str">
        <f>IFERROR(__xludf.DUMMYFUNCTION("""COMPUTED_VALUE"""),"application/pdf")</f>
        <v>application/pdf</v>
      </c>
    </row>
    <row r="1884">
      <c r="A1884" s="336" t="str">
        <f>IFERROR(__xludf.DUMMYFUNCTION("""COMPUTED_VALUE"""),"10.1037/lhb0000532")</f>
        <v>10.1037/lhb0000532</v>
      </c>
      <c r="B1884" s="442" t="str">
        <f>IFERROR(__xludf.DUMMYFUNCTION("""COMPUTED_VALUE"""),"https://drive.google.com/file/d/1pRBsytrBmWb0piV5bun6Rad2j51JyzSC/view?usp=drivesdk")</f>
        <v>https://drive.google.com/file/d/1pRBsytrBmWb0piV5bun6Rad2j51JyzSC/view?usp=drivesdk</v>
      </c>
      <c r="C1884" s="336" t="str">
        <f>IFERROR(__xludf.DUMMYFUNCTION("""COMPUTED_VALUE"""),"10.1037--lhb0000532.pdf")</f>
        <v>10.1037--lhb0000532.pdf</v>
      </c>
      <c r="D1884" s="156" t="str">
        <f>IFERROR(__xludf.DUMMYFUNCTION("""COMPUTED_VALUE"""),"application/pdf")</f>
        <v>application/pdf</v>
      </c>
    </row>
    <row r="1885">
      <c r="A1885" s="336" t="str">
        <f>IFERROR(__xludf.DUMMYFUNCTION("""COMPUTED_VALUE"""),"10.1038/s41598-022-24919-7")</f>
        <v>10.1038/s41598-022-24919-7</v>
      </c>
      <c r="B1885" s="442" t="str">
        <f>IFERROR(__xludf.DUMMYFUNCTION("""COMPUTED_VALUE"""),"https://drive.google.com/file/d/1U7jcEsjlgt0luv4Qd8Q7JmbBb7qRDTdD/view?usp=drivesdk")</f>
        <v>https://drive.google.com/file/d/1U7jcEsjlgt0luv4Qd8Q7JmbBb7qRDTdD/view?usp=drivesdk</v>
      </c>
      <c r="C1885" s="336" t="str">
        <f>IFERROR(__xludf.DUMMYFUNCTION("""COMPUTED_VALUE"""),"10.1038--s41598-022-24919-7.pdf")</f>
        <v>10.1038--s41598-022-24919-7.pdf</v>
      </c>
      <c r="D1885" s="156" t="str">
        <f>IFERROR(__xludf.DUMMYFUNCTION("""COMPUTED_VALUE"""),"application/pdf")</f>
        <v>application/pdf</v>
      </c>
    </row>
    <row r="1886">
      <c r="A1886" s="336" t="str">
        <f>IFERROR(__xludf.DUMMYFUNCTION("""COMPUTED_VALUE"""),"10.1093/geront/gnac158")</f>
        <v>10.1093/geront/gnac158</v>
      </c>
      <c r="B1886" s="442" t="str">
        <f>IFERROR(__xludf.DUMMYFUNCTION("""COMPUTED_VALUE"""),"https://drive.google.com/file/d/1LJ0WrqBtVRCt68G-AduIa1fUKucFOQw4/view?usp=drivesdk")</f>
        <v>https://drive.google.com/file/d/1LJ0WrqBtVRCt68G-AduIa1fUKucFOQw4/view?usp=drivesdk</v>
      </c>
      <c r="C1886" s="336" t="str">
        <f>IFERROR(__xludf.DUMMYFUNCTION("""COMPUTED_VALUE"""),"10.1093--geront--gnac158.pdf")</f>
        <v>10.1093--geront--gnac158.pdf</v>
      </c>
      <c r="D1886" s="156" t="str">
        <f>IFERROR(__xludf.DUMMYFUNCTION("""COMPUTED_VALUE"""),"application/pdf")</f>
        <v>application/pdf</v>
      </c>
    </row>
    <row r="1887">
      <c r="A1887" s="336" t="str">
        <f>IFERROR(__xludf.DUMMYFUNCTION("""COMPUTED_VALUE"""),"10.1037/pspp0000263")</f>
        <v>10.1037/pspp0000263</v>
      </c>
      <c r="B1887" s="442" t="str">
        <f>IFERROR(__xludf.DUMMYFUNCTION("""COMPUTED_VALUE"""),"https://drive.google.com/file/d/1v5DJu4qjqzVUJEfoj2GHrhMbmyHZ-m6z/view?usp=drivesdk")</f>
        <v>https://drive.google.com/file/d/1v5DJu4qjqzVUJEfoj2GHrhMbmyHZ-m6z/view?usp=drivesdk</v>
      </c>
      <c r="C1887" s="336" t="str">
        <f>IFERROR(__xludf.DUMMYFUNCTION("""COMPUTED_VALUE"""),"10.1037--pspp0000263.pdf")</f>
        <v>10.1037--pspp0000263.pdf</v>
      </c>
      <c r="D1887" s="156" t="str">
        <f>IFERROR(__xludf.DUMMYFUNCTION("""COMPUTED_VALUE"""),"application/pdf")</f>
        <v>application/pdf</v>
      </c>
    </row>
    <row r="1888">
      <c r="A1888" s="336" t="str">
        <f>IFERROR(__xludf.DUMMYFUNCTION("""COMPUTED_VALUE"""),"10.1007/s40732-020-00432-8")</f>
        <v>10.1007/s40732-020-00432-8</v>
      </c>
      <c r="B1888" s="442" t="str">
        <f>IFERROR(__xludf.DUMMYFUNCTION("""COMPUTED_VALUE"""),"https://drive.google.com/file/d/1JkE16HX10SxkzianGctH-9nm-XFaoMsF/view?usp=drivesdk")</f>
        <v>https://drive.google.com/file/d/1JkE16HX10SxkzianGctH-9nm-XFaoMsF/view?usp=drivesdk</v>
      </c>
      <c r="C1888" s="336" t="str">
        <f>IFERROR(__xludf.DUMMYFUNCTION("""COMPUTED_VALUE"""),"10.1007--s40732-020-00432-8.pdf")</f>
        <v>10.1007--s40732-020-00432-8.pdf</v>
      </c>
      <c r="D1888" s="156" t="str">
        <f>IFERROR(__xludf.DUMMYFUNCTION("""COMPUTED_VALUE"""),"application/pdf")</f>
        <v>application/pdf</v>
      </c>
    </row>
    <row r="1889">
      <c r="A1889" s="336" t="str">
        <f>IFERROR(__xludf.DUMMYFUNCTION("""COMPUTED_VALUE"""),"sastre2022")</f>
        <v>sastre2022</v>
      </c>
      <c r="B1889" s="442" t="str">
        <f>IFERROR(__xludf.DUMMYFUNCTION("""COMPUTED_VALUE"""),"https://drive.google.com/file/d/1DeRESzfXOza_ac4bortetS44iBQlEB1l/view?usp=drivesdk")</f>
        <v>https://drive.google.com/file/d/1DeRESzfXOza_ac4bortetS44iBQlEB1l/view?usp=drivesdk</v>
      </c>
      <c r="C1889" s="336" t="str">
        <f>IFERROR(__xludf.DUMMYFUNCTION("""COMPUTED_VALUE"""),"sastre2022.pdf")</f>
        <v>sastre2022.pdf</v>
      </c>
      <c r="D1889" s="156" t="str">
        <f>IFERROR(__xludf.DUMMYFUNCTION("""COMPUTED_VALUE"""),"application/pdf")</f>
        <v>application/pdf</v>
      </c>
    </row>
    <row r="1890">
      <c r="A1890" s="336" t="str">
        <f>IFERROR(__xludf.DUMMYFUNCTION("""COMPUTED_VALUE"""),"wilfong2021")</f>
        <v>wilfong2021</v>
      </c>
      <c r="B1890" s="442" t="str">
        <f>IFERROR(__xludf.DUMMYFUNCTION("""COMPUTED_VALUE"""),"https://drive.google.com/file/d/1tJfvC20ctLZQdLkZolhGX4DXfr-JFdEB/view?usp=drivesdk")</f>
        <v>https://drive.google.com/file/d/1tJfvC20ctLZQdLkZolhGX4DXfr-JFdEB/view?usp=drivesdk</v>
      </c>
      <c r="C1890" s="336" t="str">
        <f>IFERROR(__xludf.DUMMYFUNCTION("""COMPUTED_VALUE"""),"wilfong2021.pdf")</f>
        <v>wilfong2021.pdf</v>
      </c>
      <c r="D1890" s="156" t="str">
        <f>IFERROR(__xludf.DUMMYFUNCTION("""COMPUTED_VALUE"""),"application/pdf")</f>
        <v>application/pdf</v>
      </c>
    </row>
    <row r="1891">
      <c r="A1891" s="336" t="str">
        <f>IFERROR(__xludf.DUMMYFUNCTION("""COMPUTED_VALUE"""),"10.1075/ijcl.19131.lar")</f>
        <v>10.1075/ijcl.19131.lar</v>
      </c>
      <c r="B1891" s="442" t="str">
        <f>IFERROR(__xludf.DUMMYFUNCTION("""COMPUTED_VALUE"""),"https://drive.google.com/file/d/1ntHR-2TST8Pa9kLmC5CL_wNP2lafijMc/view?usp=drivesdk")</f>
        <v>https://drive.google.com/file/d/1ntHR-2TST8Pa9kLmC5CL_wNP2lafijMc/view?usp=drivesdk</v>
      </c>
      <c r="C1891" s="336" t="str">
        <f>IFERROR(__xludf.DUMMYFUNCTION("""COMPUTED_VALUE"""),"10.1075--ijcl.19131.lar.pdf")</f>
        <v>10.1075--ijcl.19131.lar.pdf</v>
      </c>
      <c r="D1891" s="156" t="str">
        <f>IFERROR(__xludf.DUMMYFUNCTION("""COMPUTED_VALUE"""),"application/pdf")</f>
        <v>application/pdf</v>
      </c>
    </row>
    <row r="1892">
      <c r="A1892" s="336" t="str">
        <f>IFERROR(__xludf.DUMMYFUNCTION("""COMPUTED_VALUE"""),"10.1377/hlthaff.2015.1382")</f>
        <v>10.1377/hlthaff.2015.1382</v>
      </c>
      <c r="B1892" s="442" t="str">
        <f>IFERROR(__xludf.DUMMYFUNCTION("""COMPUTED_VALUE"""),"https://drive.google.com/file/d/1jQ2ZVxsJgOGK369mgFlFLMIcvvyGyvkY/view?usp=drivesdk")</f>
        <v>https://drive.google.com/file/d/1jQ2ZVxsJgOGK369mgFlFLMIcvvyGyvkY/view?usp=drivesdk</v>
      </c>
      <c r="C1892" s="336" t="str">
        <f>IFERROR(__xludf.DUMMYFUNCTION("""COMPUTED_VALUE"""),"10.1377--hlthaff.2015.1382.pdf")</f>
        <v>10.1377--hlthaff.2015.1382.pdf</v>
      </c>
      <c r="D1892" s="156" t="str">
        <f>IFERROR(__xludf.DUMMYFUNCTION("""COMPUTED_VALUE"""),"application/pdf")</f>
        <v>application/pdf</v>
      </c>
    </row>
    <row r="1893">
      <c r="A1893" s="336" t="str">
        <f>IFERROR(__xludf.DUMMYFUNCTION("""COMPUTED_VALUE"""),"katla2024")</f>
        <v>katla2024</v>
      </c>
      <c r="B1893" s="442" t="str">
        <f>IFERROR(__xludf.DUMMYFUNCTION("""COMPUTED_VALUE"""),"https://drive.google.com/file/d/1hN0G4Myov8ckz4pAMJyK0-chR-uaImCE/view?usp=drivesdk")</f>
        <v>https://drive.google.com/file/d/1hN0G4Myov8ckz4pAMJyK0-chR-uaImCE/view?usp=drivesdk</v>
      </c>
      <c r="C1893" s="336" t="str">
        <f>IFERROR(__xludf.DUMMYFUNCTION("""COMPUTED_VALUE"""),"katla2024.pdf")</f>
        <v>katla2024.pdf</v>
      </c>
      <c r="D1893" s="156" t="str">
        <f>IFERROR(__xludf.DUMMYFUNCTION("""COMPUTED_VALUE"""),"application/pdf")</f>
        <v>application/pdf</v>
      </c>
    </row>
    <row r="1894">
      <c r="A1894" s="336" t="str">
        <f>IFERROR(__xludf.DUMMYFUNCTION("""COMPUTED_VALUE"""),"10.4148/1944-9771.1299")</f>
        <v>10.4148/1944-9771.1299</v>
      </c>
      <c r="B1894" s="442" t="str">
        <f>IFERROR(__xludf.DUMMYFUNCTION("""COMPUTED_VALUE"""),"https://drive.google.com/file/d/1OByNKNsjZqSFHFFyt-o1mPqDkVmgruBu/view?usp=drivesdk")</f>
        <v>https://drive.google.com/file/d/1OByNKNsjZqSFHFFyt-o1mPqDkVmgruBu/view?usp=drivesdk</v>
      </c>
      <c r="C1894" s="336" t="str">
        <f>IFERROR(__xludf.DUMMYFUNCTION("""COMPUTED_VALUE"""),"10.4148--1944-9771.1299.pdf")</f>
        <v>10.4148--1944-9771.1299.pdf</v>
      </c>
      <c r="D1894" s="156" t="str">
        <f>IFERROR(__xludf.DUMMYFUNCTION("""COMPUTED_VALUE"""),"application/pdf")</f>
        <v>application/pdf</v>
      </c>
    </row>
    <row r="1895">
      <c r="A1895" s="336" t="str">
        <f>IFERROR(__xludf.DUMMYFUNCTION("""COMPUTED_VALUE"""),"10.1016/j.paid.2021.111472")</f>
        <v>10.1016/j.paid.2021.111472</v>
      </c>
      <c r="B1895" s="442" t="str">
        <f>IFERROR(__xludf.DUMMYFUNCTION("""COMPUTED_VALUE"""),"https://drive.google.com/file/d/1GCYFeLrlGpCBF1GyjSAAd1YFst71bifH/view?usp=drivesdk")</f>
        <v>https://drive.google.com/file/d/1GCYFeLrlGpCBF1GyjSAAd1YFst71bifH/view?usp=drivesdk</v>
      </c>
      <c r="C1895" s="336" t="str">
        <f>IFERROR(__xludf.DUMMYFUNCTION("""COMPUTED_VALUE"""),"10.1016--j.paid.2021.111472.pdf")</f>
        <v>10.1016--j.paid.2021.111472.pdf</v>
      </c>
      <c r="D1895" s="156" t="str">
        <f>IFERROR(__xludf.DUMMYFUNCTION("""COMPUTED_VALUE"""),"application/pdf")</f>
        <v>application/pdf</v>
      </c>
    </row>
    <row r="1896">
      <c r="A1896" s="336" t="str">
        <f>IFERROR(__xludf.DUMMYFUNCTION("""COMPUTED_VALUE"""),"10.1086/500990")</f>
        <v>10.1086/500990</v>
      </c>
      <c r="B1896" s="442" t="str">
        <f>IFERROR(__xludf.DUMMYFUNCTION("""COMPUTED_VALUE"""),"https://drive.google.com/file/d/1nEvKlRA8uAXj2efuq1DkKpPMx5D0e87_/view?usp=drivesdk")</f>
        <v>https://drive.google.com/file/d/1nEvKlRA8uAXj2efuq1DkKpPMx5D0e87_/view?usp=drivesdk</v>
      </c>
      <c r="C1896" s="336" t="str">
        <f>IFERROR(__xludf.DUMMYFUNCTION("""COMPUTED_VALUE"""),"10.1086--500990.pdf")</f>
        <v>10.1086--500990.pdf</v>
      </c>
      <c r="D1896" s="156" t="str">
        <f>IFERROR(__xludf.DUMMYFUNCTION("""COMPUTED_VALUE"""),"application/pdf")</f>
        <v>application/pdf</v>
      </c>
    </row>
    <row r="1897">
      <c r="A1897" s="336" t="str">
        <f>IFERROR(__xludf.DUMMYFUNCTION("""COMPUTED_VALUE"""),"10.1111/j.1467-9280.2006.01704.x (1)")</f>
        <v>10.1111/j.1467-9280.2006.01704.x (1)</v>
      </c>
      <c r="B1897" s="442" t="str">
        <f>IFERROR(__xludf.DUMMYFUNCTION("""COMPUTED_VALUE"""),"https://drive.google.com/file/d/1yr8whNCRN-BXlZgIIxkjY0g8z8-0guwq/view?usp=drivesdk")</f>
        <v>https://drive.google.com/file/d/1yr8whNCRN-BXlZgIIxkjY0g8z8-0guwq/view?usp=drivesdk</v>
      </c>
      <c r="C1897" s="336" t="str">
        <f>IFERROR(__xludf.DUMMYFUNCTION("""COMPUTED_VALUE"""),"10.1111--j.1467-9280.2006.01704.x (1).pdf")</f>
        <v>10.1111--j.1467-9280.2006.01704.x (1).pdf</v>
      </c>
      <c r="D1897" s="156" t="str">
        <f>IFERROR(__xludf.DUMMYFUNCTION("""COMPUTED_VALUE"""),"application/pdf")</f>
        <v>application/pdf</v>
      </c>
    </row>
    <row r="1898">
      <c r="A1898" s="336" t="str">
        <f>IFERROR(__xludf.DUMMYFUNCTION("""COMPUTED_VALUE"""),"10.1006/obhd.2000.2900")</f>
        <v>10.1006/obhd.2000.2900</v>
      </c>
      <c r="B1898" s="442" t="str">
        <f>IFERROR(__xludf.DUMMYFUNCTION("""COMPUTED_VALUE"""),"https://drive.google.com/file/d/17WfzyrTctbh-ycFCu5dg5IR87_upn8zm/view?usp=drivesdk")</f>
        <v>https://drive.google.com/file/d/17WfzyrTctbh-ycFCu5dg5IR87_upn8zm/view?usp=drivesdk</v>
      </c>
      <c r="C1898" s="336" t="str">
        <f>IFERROR(__xludf.DUMMYFUNCTION("""COMPUTED_VALUE"""),"10.1006--obhd.2000.2900.pdf")</f>
        <v>10.1006--obhd.2000.2900.pdf</v>
      </c>
      <c r="D1898" s="156" t="str">
        <f>IFERROR(__xludf.DUMMYFUNCTION("""COMPUTED_VALUE"""),"application/pdf")</f>
        <v>application/pdf</v>
      </c>
    </row>
    <row r="1899">
      <c r="A1899" s="336" t="str">
        <f>IFERROR(__xludf.DUMMYFUNCTION("""COMPUTED_VALUE"""),"10.1037//0022-3514.80.4.572")</f>
        <v>10.1037//0022-3514.80.4.572</v>
      </c>
      <c r="B1899" s="442" t="str">
        <f>IFERROR(__xludf.DUMMYFUNCTION("""COMPUTED_VALUE"""),"https://drive.google.com/file/d/1Lj-NalOkiEcybZZT_dNLosMFyuAbdUs8/view?usp=drivesdk")</f>
        <v>https://drive.google.com/file/d/1Lj-NalOkiEcybZZT_dNLosMFyuAbdUs8/view?usp=drivesdk</v>
      </c>
      <c r="C1899" s="336" t="str">
        <f>IFERROR(__xludf.DUMMYFUNCTION("""COMPUTED_VALUE"""),"10.1037----0022-3514.80.4.572.pdf")</f>
        <v>10.1037----0022-3514.80.4.572.pdf</v>
      </c>
      <c r="D1899" s="156" t="str">
        <f>IFERROR(__xludf.DUMMYFUNCTION("""COMPUTED_VALUE"""),"application/pdf")</f>
        <v>application/pdf</v>
      </c>
    </row>
    <row r="1900">
      <c r="A1900" s="336" t="str">
        <f>IFERROR(__xludf.DUMMYFUNCTION("""COMPUTED_VALUE"""),"10.1037/0022-3514.90.4.543")</f>
        <v>10.1037/0022-3514.90.4.543</v>
      </c>
      <c r="B1900" s="442" t="str">
        <f>IFERROR(__xludf.DUMMYFUNCTION("""COMPUTED_VALUE"""),"https://drive.google.com/file/d/1Yf0-4mxcVfhdYlLjMdsf8en6RDWsDJbw/view?usp=drivesdk")</f>
        <v>https://drive.google.com/file/d/1Yf0-4mxcVfhdYlLjMdsf8en6RDWsDJbw/view?usp=drivesdk</v>
      </c>
      <c r="C1900" s="336" t="str">
        <f>IFERROR(__xludf.DUMMYFUNCTION("""COMPUTED_VALUE"""),"10.1037--0022-3514.90.4.543.pdf")</f>
        <v>10.1037--0022-3514.90.4.543.pdf</v>
      </c>
      <c r="D1900" s="156" t="str">
        <f>IFERROR(__xludf.DUMMYFUNCTION("""COMPUTED_VALUE"""),"application/pdf")</f>
        <v>application/pdf</v>
      </c>
    </row>
    <row r="1901">
      <c r="A1901" s="336" t="str">
        <f>IFERROR(__xludf.DUMMYFUNCTION("""COMPUTED_VALUE"""),"10.1037//0022-3514.80.4.557")</f>
        <v>10.1037//0022-3514.80.4.557</v>
      </c>
      <c r="B1901" s="442" t="str">
        <f>IFERROR(__xludf.DUMMYFUNCTION("""COMPUTED_VALUE"""),"https://drive.google.com/file/d/1z2ENYgIkcshVHZYpVX_jkl4FG23ycA6Z/view?usp=drivesdk")</f>
        <v>https://drive.google.com/file/d/1z2ENYgIkcshVHZYpVX_jkl4FG23ycA6Z/view?usp=drivesdk</v>
      </c>
      <c r="C1901" s="336" t="str">
        <f>IFERROR(__xludf.DUMMYFUNCTION("""COMPUTED_VALUE"""),"10.1037----0022-3514.80.4.557.pdf")</f>
        <v>10.1037----0022-3514.80.4.557.pdf</v>
      </c>
      <c r="D1901" s="156" t="str">
        <f>IFERROR(__xludf.DUMMYFUNCTION("""COMPUTED_VALUE"""),"application/pdf")</f>
        <v>application/pdf</v>
      </c>
    </row>
    <row r="1902">
      <c r="A1902" s="336" t="str">
        <f>IFERROR(__xludf.DUMMYFUNCTION("""COMPUTED_VALUE"""),"10.1037/0096-3445.136.2.289")</f>
        <v>10.1037/0096-3445.136.2.289</v>
      </c>
      <c r="B1902" s="442" t="str">
        <f>IFERROR(__xludf.DUMMYFUNCTION("""COMPUTED_VALUE"""),"https://drive.google.com/file/d/1_hV0LxKWPhSNb8BX52EFM1hcOzItqUhi/view?usp=drivesdk")</f>
        <v>https://drive.google.com/file/d/1_hV0LxKWPhSNb8BX52EFM1hcOzItqUhi/view?usp=drivesdk</v>
      </c>
      <c r="C1902" s="336" t="str">
        <f>IFERROR(__xludf.DUMMYFUNCTION("""COMPUTED_VALUE"""),"10.1037--0096-3445.136.2.289.pdf")</f>
        <v>10.1037--0096-3445.136.2.289.pdf</v>
      </c>
      <c r="D1902" s="156" t="str">
        <f>IFERROR(__xludf.DUMMYFUNCTION("""COMPUTED_VALUE"""),"application/pdf")</f>
        <v>application/pdf</v>
      </c>
    </row>
    <row r="1903">
      <c r="A1903" s="336" t="str">
        <f>IFERROR(__xludf.DUMMYFUNCTION("""COMPUTED_VALUE"""),"gino2009")</f>
        <v>gino2009</v>
      </c>
      <c r="B1903" s="442" t="str">
        <f>IFERROR(__xludf.DUMMYFUNCTION("""COMPUTED_VALUE"""),"https://drive.google.com/file/d/1nSvfohPIJk9khnM75MLzzGbK-7utfVvb/view?usp=drivesdk")</f>
        <v>https://drive.google.com/file/d/1nSvfohPIJk9khnM75MLzzGbK-7utfVvb/view?usp=drivesdk</v>
      </c>
      <c r="C1903" s="336" t="str">
        <f>IFERROR(__xludf.DUMMYFUNCTION("""COMPUTED_VALUE"""),"gino2009.pdf")</f>
        <v>gino2009.pdf</v>
      </c>
      <c r="D1903" s="156" t="str">
        <f>IFERROR(__xludf.DUMMYFUNCTION("""COMPUTED_VALUE"""),"application/pdf")</f>
        <v>application/pdf</v>
      </c>
    </row>
    <row r="1904">
      <c r="A1904" s="336" t="str">
        <f>IFERROR(__xludf.DUMMYFUNCTION("""COMPUTED_VALUE"""),"10.1111/j.1467-9280.2006.01834.x")</f>
        <v>10.1111/j.1467-9280.2006.01834.x</v>
      </c>
      <c r="B1904" s="442" t="str">
        <f>IFERROR(__xludf.DUMMYFUNCTION("""COMPUTED_VALUE"""),"https://drive.google.com/file/d/1d_BnfBpp2VSsPvBJAIR3GZDS5fF9o5w9/view?usp=drivesdk")</f>
        <v>https://drive.google.com/file/d/1d_BnfBpp2VSsPvBJAIR3GZDS5fF9o5w9/view?usp=drivesdk</v>
      </c>
      <c r="C1904" s="336" t="str">
        <f>IFERROR(__xludf.DUMMYFUNCTION("""COMPUTED_VALUE"""),"10.1111--j.1467-9280.2006.01834.x.pdf")</f>
        <v>10.1111--j.1467-9280.2006.01834.x.pdf</v>
      </c>
      <c r="D1904" s="156" t="str">
        <f>IFERROR(__xludf.DUMMYFUNCTION("""COMPUTED_VALUE"""),"application/pdf")</f>
        <v>application/pdf</v>
      </c>
    </row>
    <row r="1905">
      <c r="A1905" s="336" t="str">
        <f>IFERROR(__xludf.DUMMYFUNCTION("""COMPUTED_VALUE"""),"10.1111/1467-9280.00350")</f>
        <v>10.1111/1467-9280.00350</v>
      </c>
      <c r="B1905" s="442" t="str">
        <f>IFERROR(__xludf.DUMMYFUNCTION("""COMPUTED_VALUE"""),"https://drive.google.com/file/d/1KYY0LWmtoBuOHihcQ-uor2XUsRtL-7UW/view?usp=drivesdk")</f>
        <v>https://drive.google.com/file/d/1KYY0LWmtoBuOHihcQ-uor2XUsRtL-7UW/view?usp=drivesdk</v>
      </c>
      <c r="C1905" s="336" t="str">
        <f>IFERROR(__xludf.DUMMYFUNCTION("""COMPUTED_VALUE"""),"10.1111--1467-9280.00350.pdf")</f>
        <v>10.1111--1467-9280.00350.pdf</v>
      </c>
      <c r="D1905" s="156" t="str">
        <f>IFERROR(__xludf.DUMMYFUNCTION("""COMPUTED_VALUE"""),"application/pdf")</f>
        <v>application/pdf</v>
      </c>
    </row>
    <row r="1906">
      <c r="A1906" s="336" t="str">
        <f>IFERROR(__xludf.DUMMYFUNCTION("""COMPUTED_VALUE"""),"10.1017/s1930297500005064")</f>
        <v>10.1017/s1930297500005064</v>
      </c>
      <c r="B1906" s="442" t="str">
        <f>IFERROR(__xludf.DUMMYFUNCTION("""COMPUTED_VALUE"""),"https://drive.google.com/file/d/1AFhk7r5ezmKOOZ_K8ckMu-sHI3HVYvci/view?usp=drivesdk")</f>
        <v>https://drive.google.com/file/d/1AFhk7r5ezmKOOZ_K8ckMu-sHI3HVYvci/view?usp=drivesdk</v>
      </c>
      <c r="C1906" s="336" t="str">
        <f>IFERROR(__xludf.DUMMYFUNCTION("""COMPUTED_VALUE"""),"10.1017--s1930297500005064.pdf")</f>
        <v>10.1017--s1930297500005064.pdf</v>
      </c>
      <c r="D1906" s="156" t="str">
        <f>IFERROR(__xludf.DUMMYFUNCTION("""COMPUTED_VALUE"""),"application/pdf")</f>
        <v>application/pdf</v>
      </c>
    </row>
    <row r="1907">
      <c r="A1907" s="336" t="str">
        <f>IFERROR(__xludf.DUMMYFUNCTION("""COMPUTED_VALUE"""),"10.1111/j.1467-9280.2006.01720.x")</f>
        <v>10.1111/j.1467-9280.2006.01720.x</v>
      </c>
      <c r="B1907" s="442" t="str">
        <f>IFERROR(__xludf.DUMMYFUNCTION("""COMPUTED_VALUE"""),"https://drive.google.com/file/d/1J2_ZhxXyuShXk0HW6vzzg72qC_6CkPl-/view?usp=drivesdk")</f>
        <v>https://drive.google.com/file/d/1J2_ZhxXyuShXk0HW6vzzg72qC_6CkPl-/view?usp=drivesdk</v>
      </c>
      <c r="C1907" s="336" t="str">
        <f>IFERROR(__xludf.DUMMYFUNCTION("""COMPUTED_VALUE"""),"10.1111--j.1467-9280.2006.01720.x.pdf")</f>
        <v>10.1111--j.1467-9280.2006.01720.x.pdf</v>
      </c>
      <c r="D1907" s="156" t="str">
        <f>IFERROR(__xludf.DUMMYFUNCTION("""COMPUTED_VALUE"""),"application/pdf")</f>
        <v>application/pdf</v>
      </c>
    </row>
    <row r="1908">
      <c r="A1908" s="336" t="str">
        <f>IFERROR(__xludf.DUMMYFUNCTION("""COMPUTED_VALUE"""),"10.1086/670020")</f>
        <v>10.1086/670020</v>
      </c>
      <c r="B1908" s="442" t="str">
        <f>IFERROR(__xludf.DUMMYFUNCTION("""COMPUTED_VALUE"""),"https://drive.google.com/file/d/1RG0izqQ_rBjPSpVhcEmKfUfrbnfpE1M0/view?usp=drivesdk")</f>
        <v>https://drive.google.com/file/d/1RG0izqQ_rBjPSpVhcEmKfUfrbnfpE1M0/view?usp=drivesdk</v>
      </c>
      <c r="C1908" s="336" t="str">
        <f>IFERROR(__xludf.DUMMYFUNCTION("""COMPUTED_VALUE"""),"10.1086--670020.pdf")</f>
        <v>10.1086--670020.pdf</v>
      </c>
      <c r="D1908" s="156" t="str">
        <f>IFERROR(__xludf.DUMMYFUNCTION("""COMPUTED_VALUE"""),"application/pdf")</f>
        <v>application/pdf</v>
      </c>
    </row>
    <row r="1909">
      <c r="A1909" s="336" t="str">
        <f>IFERROR(__xludf.DUMMYFUNCTION("""COMPUTED_VALUE"""),"10.1111/j.0956-7976.2004.00757.x")</f>
        <v>10.1111/j.0956-7976.2004.00757.x</v>
      </c>
      <c r="B1909" s="442" t="str">
        <f>IFERROR(__xludf.DUMMYFUNCTION("""COMPUTED_VALUE"""),"https://drive.google.com/file/d/1Xy_OOVFiRB0BOhg1wsYFC7rkj3Kf1u1I/view?usp=drivesdk")</f>
        <v>https://drive.google.com/file/d/1Xy_OOVFiRB0BOhg1wsYFC7rkj3Kf1u1I/view?usp=drivesdk</v>
      </c>
      <c r="C1909" s="336" t="str">
        <f>IFERROR(__xludf.DUMMYFUNCTION("""COMPUTED_VALUE"""),"10.1111--j.0956-7976.2004.00757.x.pdf")</f>
        <v>10.1111--j.0956-7976.2004.00757.x.pdf</v>
      </c>
      <c r="D1909" s="156" t="str">
        <f>IFERROR(__xludf.DUMMYFUNCTION("""COMPUTED_VALUE"""),"application/pdf")</f>
        <v>application/pdf</v>
      </c>
    </row>
    <row r="1910">
      <c r="A1910" s="336" t="str">
        <f>IFERROR(__xludf.DUMMYFUNCTION("""COMPUTED_VALUE"""),"10.1126/science.283.5398.77 (1)")</f>
        <v>10.1126/science.283.5398.77 (1)</v>
      </c>
      <c r="B1910" s="442" t="str">
        <f>IFERROR(__xludf.DUMMYFUNCTION("""COMPUTED_VALUE"""),"https://drive.google.com/file/d/1Agrc5GFq5Frv7sOGcovaD1BKY9sfO17p/view?usp=drivesdk")</f>
        <v>https://drive.google.com/file/d/1Agrc5GFq5Frv7sOGcovaD1BKY9sfO17p/view?usp=drivesdk</v>
      </c>
      <c r="C1910" s="336" t="str">
        <f>IFERROR(__xludf.DUMMYFUNCTION("""COMPUTED_VALUE"""),"10.1126--science.283.5398.77 (1).pdf")</f>
        <v>10.1126--science.283.5398.77 (1).pdf</v>
      </c>
      <c r="D1910" s="156" t="str">
        <f>IFERROR(__xludf.DUMMYFUNCTION("""COMPUTED_VALUE"""),"application/pdf")</f>
        <v>application/pdf</v>
      </c>
    </row>
    <row r="1911">
      <c r="A1911" s="336" t="str">
        <f>IFERROR(__xludf.DUMMYFUNCTION("""COMPUTED_VALUE"""),"10.1037/ebs0000028 (1)")</f>
        <v>10.1037/ebs0000028 (1)</v>
      </c>
      <c r="B1911" s="442" t="str">
        <f>IFERROR(__xludf.DUMMYFUNCTION("""COMPUTED_VALUE"""),"https://drive.google.com/file/d/1OpqaLRgNI4syrTw7eBdR8v4hNLVg06U9/view?usp=drivesdk")</f>
        <v>https://drive.google.com/file/d/1OpqaLRgNI4syrTw7eBdR8v4hNLVg06U9/view?usp=drivesdk</v>
      </c>
      <c r="C1911" s="336" t="str">
        <f>IFERROR(__xludf.DUMMYFUNCTION("""COMPUTED_VALUE"""),"10.1037--ebs0000028 (1).pdf")</f>
        <v>10.1037--ebs0000028 (1).pdf</v>
      </c>
      <c r="D1911" s="156" t="str">
        <f>IFERROR(__xludf.DUMMYFUNCTION("""COMPUTED_VALUE"""),"application/pdf")</f>
        <v>application/pdf</v>
      </c>
    </row>
    <row r="1912">
      <c r="A1912" s="336" t="str">
        <f>IFERROR(__xludf.DUMMYFUNCTION("""COMPUTED_VALUE"""),"10.1523/jneurosci.3427-13.2014")</f>
        <v>10.1523/jneurosci.3427-13.2014</v>
      </c>
      <c r="B1912" s="442" t="str">
        <f>IFERROR(__xludf.DUMMYFUNCTION("""COMPUTED_VALUE"""),"https://drive.google.com/file/d/1IPzqwdPEx_NXOVDavQ9NYYflBq4WLkLt/view?usp=drivesdk")</f>
        <v>https://drive.google.com/file/d/1IPzqwdPEx_NXOVDavQ9NYYflBq4WLkLt/view?usp=drivesdk</v>
      </c>
      <c r="C1912" s="336" t="str">
        <f>IFERROR(__xludf.DUMMYFUNCTION("""COMPUTED_VALUE"""),"10.1523--jneurosci.3427-13.2014.pdf")</f>
        <v>10.1523--jneurosci.3427-13.2014.pdf</v>
      </c>
      <c r="D1912" s="156" t="str">
        <f>IFERROR(__xludf.DUMMYFUNCTION("""COMPUTED_VALUE"""),"application/pdf")</f>
        <v>application/pdf</v>
      </c>
    </row>
    <row r="1913">
      <c r="A1913" s="336" t="str">
        <f>IFERROR(__xludf.DUMMYFUNCTION("""COMPUTED_VALUE"""),"10.1111/j.1467-9280.2008.02084.x (1)")</f>
        <v>10.1111/j.1467-9280.2008.02084.x (1)</v>
      </c>
      <c r="B1913" s="442" t="str">
        <f>IFERROR(__xludf.DUMMYFUNCTION("""COMPUTED_VALUE"""),"https://drive.google.com/file/d/1MznUx20djDv833Gh3uafwFKxnaaVrj43/view?usp=drivesdk")</f>
        <v>https://drive.google.com/file/d/1MznUx20djDv833Gh3uafwFKxnaaVrj43/view?usp=drivesdk</v>
      </c>
      <c r="C1913" s="336" t="str">
        <f>IFERROR(__xludf.DUMMYFUNCTION("""COMPUTED_VALUE"""),"10.1111--j.1467-9280.2008.02084.x (1).pdf")</f>
        <v>10.1111--j.1467-9280.2008.02084.x (1).pdf</v>
      </c>
      <c r="D1913" s="156" t="str">
        <f>IFERROR(__xludf.DUMMYFUNCTION("""COMPUTED_VALUE"""),"application/pdf")</f>
        <v>application/pdf</v>
      </c>
    </row>
    <row r="1914">
      <c r="A1914" s="336" t="str">
        <f>IFERROR(__xludf.DUMMYFUNCTION("""COMPUTED_VALUE"""),"wiebe2004")</f>
        <v>wiebe2004</v>
      </c>
      <c r="B1914" s="442" t="str">
        <f>IFERROR(__xludf.DUMMYFUNCTION("""COMPUTED_VALUE"""),"https://drive.google.com/file/d/1Ub9aMSbMLpr7_xY9a6tFgBHIjkS6cEEc/view?usp=drivesdk")</f>
        <v>https://drive.google.com/file/d/1Ub9aMSbMLpr7_xY9a6tFgBHIjkS6cEEc/view?usp=drivesdk</v>
      </c>
      <c r="C1914" s="336" t="str">
        <f>IFERROR(__xludf.DUMMYFUNCTION("""COMPUTED_VALUE"""),"wiebe2004.pdf")</f>
        <v>wiebe2004.pdf</v>
      </c>
      <c r="D1914" s="156" t="str">
        <f>IFERROR(__xludf.DUMMYFUNCTION("""COMPUTED_VALUE"""),"application/pdf")</f>
        <v>application/pdf</v>
      </c>
    </row>
    <row r="1915">
      <c r="A1915" s="336" t="str">
        <f>IFERROR(__xludf.DUMMYFUNCTION("""COMPUTED_VALUE"""),"10.1111/1467-6494.05028")</f>
        <v>10.1111/1467-6494.05028</v>
      </c>
      <c r="B1915" s="442" t="str">
        <f>IFERROR(__xludf.DUMMYFUNCTION("""COMPUTED_VALUE"""),"https://drive.google.com/file/d/1-on_azF3SOQnkcXmO04jj2zt4-H3FlcG/view?usp=drivesdk")</f>
        <v>https://drive.google.com/file/d/1-on_azF3SOQnkcXmO04jj2zt4-H3FlcG/view?usp=drivesdk</v>
      </c>
      <c r="C1915" s="336" t="str">
        <f>IFERROR(__xludf.DUMMYFUNCTION("""COMPUTED_VALUE"""),"10.1111--1467-6494.05028.pdf")</f>
        <v>10.1111--1467-6494.05028.pdf</v>
      </c>
      <c r="D1915" s="156" t="str">
        <f>IFERROR(__xludf.DUMMYFUNCTION("""COMPUTED_VALUE"""),"application/pdf")</f>
        <v>application/pdf</v>
      </c>
    </row>
    <row r="1916">
      <c r="A1916" s="336" t="str">
        <f>IFERROR(__xludf.DUMMYFUNCTION("""COMPUTED_VALUE"""),"10.1111/1467-6494.00102")</f>
        <v>10.1111/1467-6494.00102</v>
      </c>
      <c r="B1916" s="442" t="str">
        <f>IFERROR(__xludf.DUMMYFUNCTION("""COMPUTED_VALUE"""),"https://drive.google.com/file/d/1VTr0wR67oXPqTspZFD2WLtwQCj0zXKrh/view?usp=drivesdk")</f>
        <v>https://drive.google.com/file/d/1VTr0wR67oXPqTspZFD2WLtwQCj0zXKrh/view?usp=drivesdk</v>
      </c>
      <c r="C1916" s="336" t="str">
        <f>IFERROR(__xludf.DUMMYFUNCTION("""COMPUTED_VALUE"""),"10.1111--1467-6494.00102.pdf")</f>
        <v>10.1111--1467-6494.00102.pdf</v>
      </c>
      <c r="D1916" s="156" t="str">
        <f>IFERROR(__xludf.DUMMYFUNCTION("""COMPUTED_VALUE"""),"application/pdf")</f>
        <v>application/pdf</v>
      </c>
    </row>
    <row r="1917">
      <c r="A1917" s="336" t="str">
        <f>IFERROR(__xludf.DUMMYFUNCTION("""COMPUTED_VALUE"""),"10.1037//0022-3514.79.1.49")</f>
        <v>10.1037//0022-3514.79.1.49</v>
      </c>
      <c r="B1917" s="442" t="str">
        <f>IFERROR(__xludf.DUMMYFUNCTION("""COMPUTED_VALUE"""),"https://drive.google.com/file/d/1OQXfdOsmBPcEjb_PF9uWD_g_s1g9BKLK/view?usp=drivesdk")</f>
        <v>https://drive.google.com/file/d/1OQXfdOsmBPcEjb_PF9uWD_g_s1g9BKLK/view?usp=drivesdk</v>
      </c>
      <c r="C1917" s="336" t="str">
        <f>IFERROR(__xludf.DUMMYFUNCTION("""COMPUTED_VALUE"""),"10.1037----0022-3514.79.1.49.pdf")</f>
        <v>10.1037----0022-3514.79.1.49.pdf</v>
      </c>
      <c r="D1917" s="156" t="str">
        <f>IFERROR(__xludf.DUMMYFUNCTION("""COMPUTED_VALUE"""),"application/pdf")</f>
        <v>application/pdf</v>
      </c>
    </row>
    <row r="1918">
      <c r="A1918" s="336" t="str">
        <f>IFERROR(__xludf.DUMMYFUNCTION("""COMPUTED_VALUE"""),"10.1111/1467-9280.00431")</f>
        <v>10.1111/1467-9280.00431</v>
      </c>
      <c r="B1918" s="442" t="str">
        <f>IFERROR(__xludf.DUMMYFUNCTION("""COMPUTED_VALUE"""),"https://drive.google.com/file/d/1LZncKWBlcPAXx3IU4UaMX86KjCorRHG5/view?usp=drivesdk")</f>
        <v>https://drive.google.com/file/d/1LZncKWBlcPAXx3IU4UaMX86KjCorRHG5/view?usp=drivesdk</v>
      </c>
      <c r="C1918" s="336" t="str">
        <f>IFERROR(__xludf.DUMMYFUNCTION("""COMPUTED_VALUE"""),"10.1111--1467-9280.00431.pdf")</f>
        <v>10.1111--1467-9280.00431.pdf</v>
      </c>
      <c r="D1918" s="156" t="str">
        <f>IFERROR(__xludf.DUMMYFUNCTION("""COMPUTED_VALUE"""),"application/pdf")</f>
        <v>application/pdf</v>
      </c>
    </row>
    <row r="1919">
      <c r="A1919" s="336" t="str">
        <f>IFERROR(__xludf.DUMMYFUNCTION("""COMPUTED_VALUE"""),"10.1515/humr.14.2.117")</f>
        <v>10.1515/humr.14.2.117</v>
      </c>
      <c r="B1919" s="442" t="str">
        <f>IFERROR(__xludf.DUMMYFUNCTION("""COMPUTED_VALUE"""),"https://drive.google.com/file/d/18vVvJw5Qn9GaYfqwRHjMPOAAO8-20yq0/view?usp=drivesdk")</f>
        <v>https://drive.google.com/file/d/18vVvJw5Qn9GaYfqwRHjMPOAAO8-20yq0/view?usp=drivesdk</v>
      </c>
      <c r="C1919" s="336" t="str">
        <f>IFERROR(__xludf.DUMMYFUNCTION("""COMPUTED_VALUE"""),"10.1515--humr.14.2.117.pdf")</f>
        <v>10.1515--humr.14.2.117.pdf</v>
      </c>
      <c r="D1919" s="156" t="str">
        <f>IFERROR(__xludf.DUMMYFUNCTION("""COMPUTED_VALUE"""),"application/pdf")</f>
        <v>application/pdf</v>
      </c>
    </row>
    <row r="1920">
      <c r="A1920" s="336" t="str">
        <f>IFERROR(__xludf.DUMMYFUNCTION("""COMPUTED_VALUE"""),"10.1111/1467-6494.t01-1-00094")</f>
        <v>10.1111/1467-6494.t01-1-00094</v>
      </c>
      <c r="B1920" s="442" t="str">
        <f>IFERROR(__xludf.DUMMYFUNCTION("""COMPUTED_VALUE"""),"https://drive.google.com/file/d/1yjVvr6RWduwEsSlj1T5hWk4kZsgSpX7e/view?usp=drivesdk")</f>
        <v>https://drive.google.com/file/d/1yjVvr6RWduwEsSlj1T5hWk4kZsgSpX7e/view?usp=drivesdk</v>
      </c>
      <c r="C1920" s="336" t="str">
        <f>IFERROR(__xludf.DUMMYFUNCTION("""COMPUTED_VALUE"""),"10.1111--1467-6494.t01-1-00094.pdf")</f>
        <v>10.1111--1467-6494.t01-1-00094.pdf</v>
      </c>
      <c r="D1920" s="156" t="str">
        <f>IFERROR(__xludf.DUMMYFUNCTION("""COMPUTED_VALUE"""),"application/pdf")</f>
        <v>application/pdf</v>
      </c>
    </row>
    <row r="1921">
      <c r="A1921" s="336" t="str">
        <f>IFERROR(__xludf.DUMMYFUNCTION("""COMPUTED_VALUE"""),"10.1515/jbnst-2015-0206")</f>
        <v>10.1515/jbnst-2015-0206</v>
      </c>
      <c r="B1921" s="442" t="str">
        <f>IFERROR(__xludf.DUMMYFUNCTION("""COMPUTED_VALUE"""),"https://drive.google.com/file/d/12mfKmwr4qxdkiF-WSAj7I2jNt6iWVgg3/view?usp=drivesdk")</f>
        <v>https://drive.google.com/file/d/12mfKmwr4qxdkiF-WSAj7I2jNt6iWVgg3/view?usp=drivesdk</v>
      </c>
      <c r="C1921" s="336" t="str">
        <f>IFERROR(__xludf.DUMMYFUNCTION("""COMPUTED_VALUE"""),"10.1515--jbnst-2015-0206.pdf")</f>
        <v>10.1515--jbnst-2015-0206.pdf</v>
      </c>
      <c r="D1921" s="156" t="str">
        <f>IFERROR(__xludf.DUMMYFUNCTION("""COMPUTED_VALUE"""),"application/pdf")</f>
        <v>application/pdf</v>
      </c>
    </row>
    <row r="1922">
      <c r="A1922" s="336" t="str">
        <f>IFERROR(__xludf.DUMMYFUNCTION("""COMPUTED_VALUE"""),"10.1086/691462")</f>
        <v>10.1086/691462</v>
      </c>
      <c r="B1922" s="442" t="str">
        <f>IFERROR(__xludf.DUMMYFUNCTION("""COMPUTED_VALUE"""),"https://drive.google.com/file/d/1pONPJh9x5VCZuuA8xFZJ8EwpUqV7ZKOz/view?usp=drivesdk")</f>
        <v>https://drive.google.com/file/d/1pONPJh9x5VCZuuA8xFZJ8EwpUqV7ZKOz/view?usp=drivesdk</v>
      </c>
      <c r="C1922" s="336" t="str">
        <f>IFERROR(__xludf.DUMMYFUNCTION("""COMPUTED_VALUE"""),"10.1086--691462.pdf")</f>
        <v>10.1086--691462.pdf</v>
      </c>
      <c r="D1922" s="156" t="str">
        <f>IFERROR(__xludf.DUMMYFUNCTION("""COMPUTED_VALUE"""),"application/pdf")</f>
        <v>application/pdf</v>
      </c>
    </row>
    <row r="1923">
      <c r="A1923" s="336" t="str">
        <f>IFERROR(__xludf.DUMMYFUNCTION("""COMPUTED_VALUE"""),"10.3758/s13414-020-02150-8")</f>
        <v>10.3758/s13414-020-02150-8</v>
      </c>
      <c r="B1923" s="442" t="str">
        <f>IFERROR(__xludf.DUMMYFUNCTION("""COMPUTED_VALUE"""),"https://drive.google.com/file/d/1APCg4OnSFJ_UXQ0QzbeWPcRZtJsXvuz1/view?usp=drivesdk")</f>
        <v>https://drive.google.com/file/d/1APCg4OnSFJ_UXQ0QzbeWPcRZtJsXvuz1/view?usp=drivesdk</v>
      </c>
      <c r="C1923" s="336" t="str">
        <f>IFERROR(__xludf.DUMMYFUNCTION("""COMPUTED_VALUE"""),"10.3758--s13414-020-02150-8.pdf")</f>
        <v>10.3758--s13414-020-02150-8.pdf</v>
      </c>
      <c r="D1923" s="156" t="str">
        <f>IFERROR(__xludf.DUMMYFUNCTION("""COMPUTED_VALUE"""),"application/pdf")</f>
        <v>application/pdf</v>
      </c>
    </row>
    <row r="1924">
      <c r="A1924" s="336" t="str">
        <f>IFERROR(__xludf.DUMMYFUNCTION("""COMPUTED_VALUE"""),"10.1509/jppm.16.157")</f>
        <v>10.1509/jppm.16.157</v>
      </c>
      <c r="B1924" s="442" t="str">
        <f>IFERROR(__xludf.DUMMYFUNCTION("""COMPUTED_VALUE"""),"https://drive.google.com/file/d/1pNYePg3eNKxHVFnrHDZ4sLAX_CCQrhwE/view?usp=drivesdk")</f>
        <v>https://drive.google.com/file/d/1pNYePg3eNKxHVFnrHDZ4sLAX_CCQrhwE/view?usp=drivesdk</v>
      </c>
      <c r="C1924" s="336" t="str">
        <f>IFERROR(__xludf.DUMMYFUNCTION("""COMPUTED_VALUE"""),"10.1509--jppm.16.157.pdf")</f>
        <v>10.1509--jppm.16.157.pdf</v>
      </c>
      <c r="D1924" s="156" t="str">
        <f>IFERROR(__xludf.DUMMYFUNCTION("""COMPUTED_VALUE"""),"application/pdf")</f>
        <v>application/pdf</v>
      </c>
    </row>
    <row r="1925">
      <c r="A1925" s="336" t="str">
        <f>IFERROR(__xludf.DUMMYFUNCTION("""COMPUTED_VALUE"""),"10.1509/jmr.13.0451")</f>
        <v>10.1509/jmr.13.0451</v>
      </c>
      <c r="B1925" s="442" t="str">
        <f>IFERROR(__xludf.DUMMYFUNCTION("""COMPUTED_VALUE"""),"https://drive.google.com/file/d/1H17uMt3lEFj60TgPCBKsbQYCGkxU4ctv/view?usp=drivesdk")</f>
        <v>https://drive.google.com/file/d/1H17uMt3lEFj60TgPCBKsbQYCGkxU4ctv/view?usp=drivesdk</v>
      </c>
      <c r="C1925" s="336" t="str">
        <f>IFERROR(__xludf.DUMMYFUNCTION("""COMPUTED_VALUE"""),"10.1509--jmr.13.0451.pdf")</f>
        <v>10.1509--jmr.13.0451.pdf</v>
      </c>
      <c r="D1925" s="156" t="str">
        <f>IFERROR(__xludf.DUMMYFUNCTION("""COMPUTED_VALUE"""),"application/pdf")</f>
        <v>application/pdf</v>
      </c>
    </row>
    <row r="1926">
      <c r="A1926" s="336" t="str">
        <f>IFERROR(__xludf.DUMMYFUNCTION("""COMPUTED_VALUE"""),"10.1509/jmr.13.0023")</f>
        <v>10.1509/jmr.13.0023</v>
      </c>
      <c r="B1926" s="442" t="str">
        <f>IFERROR(__xludf.DUMMYFUNCTION("""COMPUTED_VALUE"""),"https://drive.google.com/file/d/1LRXuztEEXdMxXVtMCq3mJl48JAq-UR0n/view?usp=drivesdk")</f>
        <v>https://drive.google.com/file/d/1LRXuztEEXdMxXVtMCq3mJl48JAq-UR0n/view?usp=drivesdk</v>
      </c>
      <c r="C1926" s="336" t="str">
        <f>IFERROR(__xludf.DUMMYFUNCTION("""COMPUTED_VALUE"""),"10.1509--jmr.13.0023.pdf")</f>
        <v>10.1509--jmr.13.0023.pdf</v>
      </c>
      <c r="D1926" s="156" t="str">
        <f>IFERROR(__xludf.DUMMYFUNCTION("""COMPUTED_VALUE"""),"application/pdf")</f>
        <v>application/pdf</v>
      </c>
    </row>
    <row r="1927">
      <c r="A1927" s="336" t="str">
        <f>IFERROR(__xludf.DUMMYFUNCTION("""COMPUTED_VALUE"""),"10.1086/669476")</f>
        <v>10.1086/669476</v>
      </c>
      <c r="B1927" s="442" t="str">
        <f>IFERROR(__xludf.DUMMYFUNCTION("""COMPUTED_VALUE"""),"https://drive.google.com/file/d/1GaGHXmjuMiaNOB0JUnyXvqe5lRWj5tg1/view?usp=drivesdk")</f>
        <v>https://drive.google.com/file/d/1GaGHXmjuMiaNOB0JUnyXvqe5lRWj5tg1/view?usp=drivesdk</v>
      </c>
      <c r="C1927" s="336" t="str">
        <f>IFERROR(__xludf.DUMMYFUNCTION("""COMPUTED_VALUE"""),"10.1086--669476.pdf")</f>
        <v>10.1086--669476.pdf</v>
      </c>
      <c r="D1927" s="156" t="str">
        <f>IFERROR(__xludf.DUMMYFUNCTION("""COMPUTED_VALUE"""),"application/pdf")</f>
        <v>application/pdf</v>
      </c>
    </row>
    <row r="1928">
      <c r="A1928" s="336" t="str">
        <f>IFERROR(__xludf.DUMMYFUNCTION("""COMPUTED_VALUE"""),"10.1086/661531")</f>
        <v>10.1086/661531</v>
      </c>
      <c r="B1928" s="442" t="str">
        <f>IFERROR(__xludf.DUMMYFUNCTION("""COMPUTED_VALUE"""),"https://drive.google.com/file/d/1D9dO_DC6ePh-Csant4DlT-9TnvAmfuAB/view?usp=drivesdk")</f>
        <v>https://drive.google.com/file/d/1D9dO_DC6ePh-Csant4DlT-9TnvAmfuAB/view?usp=drivesdk</v>
      </c>
      <c r="C1928" s="336" t="str">
        <f>IFERROR(__xludf.DUMMYFUNCTION("""COMPUTED_VALUE"""),"10.1086--661531.pdf")</f>
        <v>10.1086--661531.pdf</v>
      </c>
      <c r="D1928" s="156" t="str">
        <f>IFERROR(__xludf.DUMMYFUNCTION("""COMPUTED_VALUE"""),"application/pdf")</f>
        <v>application/pdf</v>
      </c>
    </row>
    <row r="1929">
      <c r="A1929" s="336" t="str">
        <f>IFERROR(__xludf.DUMMYFUNCTION("""COMPUTED_VALUE"""),"10.1086/383422")</f>
        <v>10.1086/383422</v>
      </c>
      <c r="B1929" s="442" t="str">
        <f>IFERROR(__xludf.DUMMYFUNCTION("""COMPUTED_VALUE"""),"https://drive.google.com/file/d/15bGGIIEKFkDlvesZF2WINiYBiRVVRi7R/view?usp=drivesdk")</f>
        <v>https://drive.google.com/file/d/15bGGIIEKFkDlvesZF2WINiYBiRVVRi7R/view?usp=drivesdk</v>
      </c>
      <c r="C1929" s="336" t="str">
        <f>IFERROR(__xludf.DUMMYFUNCTION("""COMPUTED_VALUE"""),"10.1086--383422.pdf")</f>
        <v>10.1086--383422.pdf</v>
      </c>
      <c r="D1929" s="156" t="str">
        <f>IFERROR(__xludf.DUMMYFUNCTION("""COMPUTED_VALUE"""),"application/pdf")</f>
        <v>application/pdf</v>
      </c>
    </row>
    <row r="1930">
      <c r="A1930" s="336" t="str">
        <f>IFERROR(__xludf.DUMMYFUNCTION("""COMPUTED_VALUE"""),"10.1037/mot0000097")</f>
        <v>10.1037/mot0000097</v>
      </c>
      <c r="B1930" s="442" t="str">
        <f>IFERROR(__xludf.DUMMYFUNCTION("""COMPUTED_VALUE"""),"https://drive.google.com/file/d/13_FjItFP6GHekMwAss_IcUYD2Z-Q2DAK/view?usp=drivesdk")</f>
        <v>https://drive.google.com/file/d/13_FjItFP6GHekMwAss_IcUYD2Z-Q2DAK/view?usp=drivesdk</v>
      </c>
      <c r="C1930" s="336" t="str">
        <f>IFERROR(__xludf.DUMMYFUNCTION("""COMPUTED_VALUE"""),"10.1037--mot0000097.pdf")</f>
        <v>10.1037--mot0000097.pdf</v>
      </c>
      <c r="D1930" s="156" t="str">
        <f>IFERROR(__xludf.DUMMYFUNCTION("""COMPUTED_VALUE"""),"application/pdf")</f>
        <v>application/pdf</v>
      </c>
    </row>
    <row r="1931">
      <c r="A1931" s="336" t="str">
        <f>IFERROR(__xludf.DUMMYFUNCTION("""COMPUTED_VALUE"""),"10.1111/1467-9280.00376")</f>
        <v>10.1111/1467-9280.00376</v>
      </c>
      <c r="B1931" s="442" t="str">
        <f>IFERROR(__xludf.DUMMYFUNCTION("""COMPUTED_VALUE"""),"https://drive.google.com/file/d/11jqeGWUpUh79pKFzwZ3T_bBagRuPGFCi/view?usp=drivesdk")</f>
        <v>https://drive.google.com/file/d/11jqeGWUpUh79pKFzwZ3T_bBagRuPGFCi/view?usp=drivesdk</v>
      </c>
      <c r="C1931" s="336" t="str">
        <f>IFERROR(__xludf.DUMMYFUNCTION("""COMPUTED_VALUE"""),"10.1111--1467-9280.00376.pdf")</f>
        <v>10.1111--1467-9280.00376.pdf</v>
      </c>
      <c r="D1931" s="156" t="str">
        <f>IFERROR(__xludf.DUMMYFUNCTION("""COMPUTED_VALUE"""),"application/pdf")</f>
        <v>application/pdf</v>
      </c>
    </row>
    <row r="1932">
      <c r="A1932" s="336" t="str">
        <f>IFERROR(__xludf.DUMMYFUNCTION("""COMPUTED_VALUE"""),"10.1093/poq/nfx042")</f>
        <v>10.1093/poq/nfx042</v>
      </c>
      <c r="B1932" s="442" t="str">
        <f>IFERROR(__xludf.DUMMYFUNCTION("""COMPUTED_VALUE"""),"https://drive.google.com/file/d/1vaJaM70la8WjjudMF5sP3NGFuj_0wy9h/view?usp=drivesdk")</f>
        <v>https://drive.google.com/file/d/1vaJaM70la8WjjudMF5sP3NGFuj_0wy9h/view?usp=drivesdk</v>
      </c>
      <c r="C1932" s="336" t="str">
        <f>IFERROR(__xludf.DUMMYFUNCTION("""COMPUTED_VALUE"""),"10.1093--poq--nfx042.pdf")</f>
        <v>10.1093--poq--nfx042.pdf</v>
      </c>
      <c r="D1932" s="156" t="str">
        <f>IFERROR(__xludf.DUMMYFUNCTION("""COMPUTED_VALUE"""),"application/pdf")</f>
        <v>application/pdf</v>
      </c>
    </row>
    <row r="1933">
      <c r="A1933" s="336" t="str">
        <f>IFERROR(__xludf.DUMMYFUNCTION("""COMPUTED_VALUE"""),"10.1111/j.1467-8624.2007.00995.x")</f>
        <v>10.1111/j.1467-8624.2007.00995.x</v>
      </c>
      <c r="B1933" s="442" t="str">
        <f>IFERROR(__xludf.DUMMYFUNCTION("""COMPUTED_VALUE"""),"https://drive.google.com/file/d/156tAE8v5cFhpA2JE6GA1a7Ktomq0eLYG/view?usp=drivesdk")</f>
        <v>https://drive.google.com/file/d/156tAE8v5cFhpA2JE6GA1a7Ktomq0eLYG/view?usp=drivesdk</v>
      </c>
      <c r="C1933" s="336" t="str">
        <f>IFERROR(__xludf.DUMMYFUNCTION("""COMPUTED_VALUE"""),"10.1111--j.1467-8624.2007.00995.x.pdf")</f>
        <v>10.1111--j.1467-8624.2007.00995.x.pdf</v>
      </c>
      <c r="D1933" s="156" t="str">
        <f>IFERROR(__xludf.DUMMYFUNCTION("""COMPUTED_VALUE"""),"application/pdf")</f>
        <v>application/pdf</v>
      </c>
    </row>
    <row r="1934">
      <c r="A1934" s="336" t="str">
        <f>IFERROR(__xludf.DUMMYFUNCTION("""COMPUTED_VALUE"""),"10.1111/j.1467-9280.2007.01944.x")</f>
        <v>10.1111/j.1467-9280.2007.01944.x</v>
      </c>
      <c r="B1934" s="442" t="str">
        <f>IFERROR(__xludf.DUMMYFUNCTION("""COMPUTED_VALUE"""),"https://drive.google.com/file/d/1F6e63Lvx_picFSFjsYovkHAFanA2uAHa/view?usp=drivesdk")</f>
        <v>https://drive.google.com/file/d/1F6e63Lvx_picFSFjsYovkHAFanA2uAHa/view?usp=drivesdk</v>
      </c>
      <c r="C1934" s="336" t="str">
        <f>IFERROR(__xludf.DUMMYFUNCTION("""COMPUTED_VALUE"""),"10.1111--j.1467-9280.2007.01944.x.pdf")</f>
        <v>10.1111--j.1467-9280.2007.01944.x.pdf</v>
      </c>
      <c r="D1934" s="156" t="str">
        <f>IFERROR(__xludf.DUMMYFUNCTION("""COMPUTED_VALUE"""),"application/pdf")</f>
        <v>application/pdf</v>
      </c>
    </row>
    <row r="1935">
      <c r="A1935" s="336" t="str">
        <f>IFERROR(__xludf.DUMMYFUNCTION("""COMPUTED_VALUE"""),"10.1086/598971")</f>
        <v>10.1086/598971</v>
      </c>
      <c r="B1935" s="442" t="str">
        <f>IFERROR(__xludf.DUMMYFUNCTION("""COMPUTED_VALUE"""),"https://drive.google.com/file/d/1gzyiuMNHruki0iqw9ZPuG1ROg8sPoSnR/view?usp=drivesdk")</f>
        <v>https://drive.google.com/file/d/1gzyiuMNHruki0iqw9ZPuG1ROg8sPoSnR/view?usp=drivesdk</v>
      </c>
      <c r="C1935" s="336" t="str">
        <f>IFERROR(__xludf.DUMMYFUNCTION("""COMPUTED_VALUE"""),"10.1086--598971.pdf")</f>
        <v>10.1086--598971.pdf</v>
      </c>
      <c r="D1935" s="156" t="str">
        <f>IFERROR(__xludf.DUMMYFUNCTION("""COMPUTED_VALUE"""),"application/pdf")</f>
        <v>application/pdf</v>
      </c>
    </row>
    <row r="1936">
      <c r="A1936" s="336" t="str">
        <f>IFERROR(__xludf.DUMMYFUNCTION("""COMPUTED_VALUE"""),"10.1509/jmkr.45.6.633")</f>
        <v>10.1509/jmkr.45.6.633</v>
      </c>
      <c r="B1936" s="442" t="str">
        <f>IFERROR(__xludf.DUMMYFUNCTION("""COMPUTED_VALUE"""),"https://drive.google.com/file/d/1VVNd9Scvve3V-VZXAhoIMrIQk51djdwQ/view?usp=drivesdk")</f>
        <v>https://drive.google.com/file/d/1VVNd9Scvve3V-VZXAhoIMrIQk51djdwQ/view?usp=drivesdk</v>
      </c>
      <c r="C1936" s="336" t="str">
        <f>IFERROR(__xludf.DUMMYFUNCTION("""COMPUTED_VALUE"""),"10.1509--jmkr.45.6.633.pdf")</f>
        <v>10.1509--jmkr.45.6.633.pdf</v>
      </c>
      <c r="D1936" s="156" t="str">
        <f>IFERROR(__xludf.DUMMYFUNCTION("""COMPUTED_VALUE"""),"application/pdf")</f>
        <v>application/pdf</v>
      </c>
    </row>
    <row r="1937">
      <c r="A1937" s="336" t="str">
        <f>IFERROR(__xludf.DUMMYFUNCTION("""COMPUTED_VALUE"""),"10.1111/j.1467-9280.2007.01964.x")</f>
        <v>10.1111/j.1467-9280.2007.01964.x</v>
      </c>
      <c r="B1937" s="442" t="str">
        <f>IFERROR(__xludf.DUMMYFUNCTION("""COMPUTED_VALUE"""),"https://drive.google.com/file/d/1VVLl-AvJbxAOqcDsjssAt5hEyFgPdx8z/view?usp=drivesdk")</f>
        <v>https://drive.google.com/file/d/1VVLl-AvJbxAOqcDsjssAt5hEyFgPdx8z/view?usp=drivesdk</v>
      </c>
      <c r="C1937" s="336" t="str">
        <f>IFERROR(__xludf.DUMMYFUNCTION("""COMPUTED_VALUE"""),"10.1111--j.1467-9280.2007.01964.x.pdf")</f>
        <v>10.1111--j.1467-9280.2007.01964.x.pdf</v>
      </c>
      <c r="D1937" s="156" t="str">
        <f>IFERROR(__xludf.DUMMYFUNCTION("""COMPUTED_VALUE"""),"application/pdf")</f>
        <v>application/pdf</v>
      </c>
    </row>
    <row r="1938">
      <c r="A1938" s="336" t="str">
        <f>IFERROR(__xludf.DUMMYFUNCTION("""COMPUTED_VALUE"""),"10.1073/pnas.1501592112")</f>
        <v>10.1073/pnas.1501592112</v>
      </c>
      <c r="B1938" s="442" t="str">
        <f>IFERROR(__xludf.DUMMYFUNCTION("""COMPUTED_VALUE"""),"https://drive.google.com/file/d/1r8gz_OQgXRQyPABeOEgFy2rbZa10e60I/view?usp=drivesdk")</f>
        <v>https://drive.google.com/file/d/1r8gz_OQgXRQyPABeOEgFy2rbZa10e60I/view?usp=drivesdk</v>
      </c>
      <c r="C1938" s="336" t="str">
        <f>IFERROR(__xludf.DUMMYFUNCTION("""COMPUTED_VALUE"""),"10.1073--pnas.1501592112.pdf")</f>
        <v>10.1073--pnas.1501592112.pdf</v>
      </c>
      <c r="D1938" s="156" t="str">
        <f>IFERROR(__xludf.DUMMYFUNCTION("""COMPUTED_VALUE"""),"application/pdf")</f>
        <v>application/pdf</v>
      </c>
    </row>
    <row r="1939">
      <c r="A1939" s="336" t="str">
        <f>IFERROR(__xludf.DUMMYFUNCTION("""COMPUTED_VALUE"""),"10.1073/pnas.1805284115")</f>
        <v>10.1073/pnas.1805284115</v>
      </c>
      <c r="B1939" s="442" t="str">
        <f>IFERROR(__xludf.DUMMYFUNCTION("""COMPUTED_VALUE"""),"https://drive.google.com/file/d/1Z4TItg9VScF62xlkgC_PoPtT-7Vv0iWy/view?usp=drivesdk")</f>
        <v>https://drive.google.com/file/d/1Z4TItg9VScF62xlkgC_PoPtT-7Vv0iWy/view?usp=drivesdk</v>
      </c>
      <c r="C1939" s="336" t="str">
        <f>IFERROR(__xludf.DUMMYFUNCTION("""COMPUTED_VALUE"""),"10.1073--pnas.1805284115.pdf")</f>
        <v>10.1073--pnas.1805284115.pdf</v>
      </c>
      <c r="D1939" s="156" t="str">
        <f>IFERROR(__xludf.DUMMYFUNCTION("""COMPUTED_VALUE"""),"application/pdf")</f>
        <v>application/pdf</v>
      </c>
    </row>
    <row r="1940">
      <c r="A1940" s="336" t="str">
        <f>IFERROR(__xludf.DUMMYFUNCTION("""COMPUTED_VALUE"""),"10.1073/pnas.1610834113")</f>
        <v>10.1073/pnas.1610834113</v>
      </c>
      <c r="B1940" s="442" t="str">
        <f>IFERROR(__xludf.DUMMYFUNCTION("""COMPUTED_VALUE"""),"https://drive.google.com/file/d/1VFtyqV5el7EJVeHaibxWMy34k9LMhbzJ/view?usp=drivesdk")</f>
        <v>https://drive.google.com/file/d/1VFtyqV5el7EJVeHaibxWMy34k9LMhbzJ/view?usp=drivesdk</v>
      </c>
      <c r="C1940" s="336" t="str">
        <f>IFERROR(__xludf.DUMMYFUNCTION("""COMPUTED_VALUE"""),"10.1073--pnas.1610834113.pdf")</f>
        <v>10.1073--pnas.1610834113.pdf</v>
      </c>
      <c r="D1940" s="156" t="str">
        <f>IFERROR(__xludf.DUMMYFUNCTION("""COMPUTED_VALUE"""),"application/pdf")</f>
        <v>application/pdf</v>
      </c>
    </row>
    <row r="1941">
      <c r="A1941" s="336" t="str">
        <f>IFERROR(__xludf.DUMMYFUNCTION("""COMPUTED_VALUE"""),"10.1073/pnas.1717092115")</f>
        <v>10.1073/pnas.1717092115</v>
      </c>
      <c r="B1941" s="442" t="str">
        <f>IFERROR(__xludf.DUMMYFUNCTION("""COMPUTED_VALUE"""),"https://drive.google.com/file/d/1X_8gLoQL8UM8XESII7U1_3XXVMeR9N2z/view?usp=drivesdk")</f>
        <v>https://drive.google.com/file/d/1X_8gLoQL8UM8XESII7U1_3XXVMeR9N2z/view?usp=drivesdk</v>
      </c>
      <c r="C1941" s="336" t="str">
        <f>IFERROR(__xludf.DUMMYFUNCTION("""COMPUTED_VALUE"""),"10.1073--pnas.1717092115.pdf")</f>
        <v>10.1073--pnas.1717092115.pdf</v>
      </c>
      <c r="D1941" s="156" t="str">
        <f>IFERROR(__xludf.DUMMYFUNCTION("""COMPUTED_VALUE"""),"application/pdf")</f>
        <v>application/pdf</v>
      </c>
    </row>
    <row r="1942">
      <c r="A1942" s="336" t="str">
        <f>IFERROR(__xludf.DUMMYFUNCTION("""COMPUTED_VALUE"""),"10.1073/pnas.1616921114")</f>
        <v>10.1073/pnas.1616921114</v>
      </c>
      <c r="B1942" s="442" t="str">
        <f>IFERROR(__xludf.DUMMYFUNCTION("""COMPUTED_VALUE"""),"https://drive.google.com/file/d/1n0koQ1yLwfPYdmBREVehxKIdhjOoUZSg/view?usp=drivesdk")</f>
        <v>https://drive.google.com/file/d/1n0koQ1yLwfPYdmBREVehxKIdhjOoUZSg/view?usp=drivesdk</v>
      </c>
      <c r="C1942" s="336" t="str">
        <f>IFERROR(__xludf.DUMMYFUNCTION("""COMPUTED_VALUE"""),"10.1073--pnas.1616921114.pdf")</f>
        <v>10.1073--pnas.1616921114.pdf</v>
      </c>
      <c r="D1942" s="156" t="str">
        <f>IFERROR(__xludf.DUMMYFUNCTION("""COMPUTED_VALUE"""),"application/pdf")</f>
        <v>application/pdf</v>
      </c>
    </row>
    <row r="1943">
      <c r="A1943" s="336" t="str">
        <f>IFERROR(__xludf.DUMMYFUNCTION("""COMPUTED_VALUE"""),"10.1073/pnas.1607330114")</f>
        <v>10.1073/pnas.1607330114</v>
      </c>
      <c r="B1943" s="442" t="str">
        <f>IFERROR(__xludf.DUMMYFUNCTION("""COMPUTED_VALUE"""),"https://drive.google.com/file/d/1c91FKEwUnH0eT_Uzixr-mWli2LJ6mmul/view?usp=drivesdk")</f>
        <v>https://drive.google.com/file/d/1c91FKEwUnH0eT_Uzixr-mWli2LJ6mmul/view?usp=drivesdk</v>
      </c>
      <c r="C1943" s="336" t="str">
        <f>IFERROR(__xludf.DUMMYFUNCTION("""COMPUTED_VALUE"""),"10.1073--pnas.1607330114.pdf")</f>
        <v>10.1073--pnas.1607330114.pdf</v>
      </c>
      <c r="D1943" s="156" t="str">
        <f>IFERROR(__xludf.DUMMYFUNCTION("""COMPUTED_VALUE"""),"application/pdf")</f>
        <v>application/pdf</v>
      </c>
    </row>
    <row r="1944">
      <c r="A1944" s="336" t="str">
        <f>IFERROR(__xludf.DUMMYFUNCTION("""COMPUTED_VALUE"""),"10.1073/pnas.1606574113")</f>
        <v>10.1073/pnas.1606574113</v>
      </c>
      <c r="B1944" s="442" t="str">
        <f>IFERROR(__xludf.DUMMYFUNCTION("""COMPUTED_VALUE"""),"https://drive.google.com/file/d/1OmM2z06gBM63n800JtLoY_5328h0Kj-q/view?usp=drivesdk")</f>
        <v>https://drive.google.com/file/d/1OmM2z06gBM63n800JtLoY_5328h0Kj-q/view?usp=drivesdk</v>
      </c>
      <c r="C1944" s="336" t="str">
        <f>IFERROR(__xludf.DUMMYFUNCTION("""COMPUTED_VALUE"""),"10.1073--pnas.1606574113.pdf")</f>
        <v>10.1073--pnas.1606574113.pdf</v>
      </c>
      <c r="D1944" s="156" t="str">
        <f>IFERROR(__xludf.DUMMYFUNCTION("""COMPUTED_VALUE"""),"application/pdf")</f>
        <v>application/pdf</v>
      </c>
    </row>
    <row r="1945">
      <c r="A1945" s="336" t="str">
        <f>IFERROR(__xludf.DUMMYFUNCTION("""COMPUTED_VALUE"""),"10.1073/pnas.1511536112")</f>
        <v>10.1073/pnas.1511536112</v>
      </c>
      <c r="B1945" s="442" t="str">
        <f>IFERROR(__xludf.DUMMYFUNCTION("""COMPUTED_VALUE"""),"https://drive.google.com/file/d/1wOKjiL59sTbYJAZUPb-UPMjoPu-4HWDV/view?usp=drivesdk")</f>
        <v>https://drive.google.com/file/d/1wOKjiL59sTbYJAZUPb-UPMjoPu-4HWDV/view?usp=drivesdk</v>
      </c>
      <c r="C1945" s="336" t="str">
        <f>IFERROR(__xludf.DUMMYFUNCTION("""COMPUTED_VALUE"""),"10.1073--pnas.1511536112.pdf")</f>
        <v>10.1073--pnas.1511536112.pdf</v>
      </c>
      <c r="D1945" s="156" t="str">
        <f>IFERROR(__xludf.DUMMYFUNCTION("""COMPUTED_VALUE"""),"application/pdf")</f>
        <v>application/pdf</v>
      </c>
    </row>
    <row r="1946">
      <c r="A1946" s="336" t="str">
        <f>IFERROR(__xludf.DUMMYFUNCTION("""COMPUTED_VALUE"""),"10.1073/pnas.1701916114")</f>
        <v>10.1073/pnas.1701916114</v>
      </c>
      <c r="B1946" s="442" t="str">
        <f>IFERROR(__xludf.DUMMYFUNCTION("""COMPUTED_VALUE"""),"https://drive.google.com/file/d/1AHAkX3IHAtNC1ywt3EKJgEjl7TvUilkM/view?usp=drivesdk")</f>
        <v>https://drive.google.com/file/d/1AHAkX3IHAtNC1ywt3EKJgEjl7TvUilkM/view?usp=drivesdk</v>
      </c>
      <c r="C1946" s="336" t="str">
        <f>IFERROR(__xludf.DUMMYFUNCTION("""COMPUTED_VALUE"""),"10.1073--pnas.1701916114.pdf")</f>
        <v>10.1073--pnas.1701916114.pdf</v>
      </c>
      <c r="D1946" s="156" t="str">
        <f>IFERROR(__xludf.DUMMYFUNCTION("""COMPUTED_VALUE"""),"application/pdf")</f>
        <v>application/pdf</v>
      </c>
    </row>
    <row r="1947">
      <c r="A1947" s="336" t="str">
        <f>IFERROR(__xludf.DUMMYFUNCTION("""COMPUTED_VALUE"""),"10.1073/pnas.1620542114")</f>
        <v>10.1073/pnas.1620542114</v>
      </c>
      <c r="B1947" s="442" t="str">
        <f>IFERROR(__xludf.DUMMYFUNCTION("""COMPUTED_VALUE"""),"https://drive.google.com/file/d/1n72rgjSW6FtAclFquHlO8O2BBvlTnJas/view?usp=drivesdk")</f>
        <v>https://drive.google.com/file/d/1n72rgjSW6FtAclFquHlO8O2BBvlTnJas/view?usp=drivesdk</v>
      </c>
      <c r="C1947" s="336" t="str">
        <f>IFERROR(__xludf.DUMMYFUNCTION("""COMPUTED_VALUE"""),"10.1073--pnas.1620542114.pdf")</f>
        <v>10.1073--pnas.1620542114.pdf</v>
      </c>
      <c r="D1947" s="156" t="str">
        <f>IFERROR(__xludf.DUMMYFUNCTION("""COMPUTED_VALUE"""),"application/pdf")</f>
        <v>application/pdf</v>
      </c>
    </row>
    <row r="1948">
      <c r="A1948" s="336" t="str">
        <f>IFERROR(__xludf.DUMMYFUNCTION("""COMPUTED_VALUE"""),"10.1073/pnas.1722664115")</f>
        <v>10.1073/pnas.1722664115</v>
      </c>
      <c r="B1948" s="442" t="str">
        <f>IFERROR(__xludf.DUMMYFUNCTION("""COMPUTED_VALUE"""),"https://drive.google.com/file/d/1eLY3wQhNqme2S7a_tXRX4gHwGifvXW1x/view?usp=drivesdk")</f>
        <v>https://drive.google.com/file/d/1eLY3wQhNqme2S7a_tXRX4gHwGifvXW1x/view?usp=drivesdk</v>
      </c>
      <c r="C1948" s="336" t="str">
        <f>IFERROR(__xludf.DUMMYFUNCTION("""COMPUTED_VALUE"""),"10.1073--pnas.1722664115.pdf")</f>
        <v>10.1073--pnas.1722664115.pdf</v>
      </c>
      <c r="D1948" s="156" t="str">
        <f>IFERROR(__xludf.DUMMYFUNCTION("""COMPUTED_VALUE"""),"application/pdf")</f>
        <v>application/pdf</v>
      </c>
    </row>
    <row r="1949">
      <c r="A1949" s="336" t="str">
        <f>IFERROR(__xludf.DUMMYFUNCTION("""COMPUTED_VALUE"""),"10.1073/pnas.1505067112")</f>
        <v>10.1073/pnas.1505067112</v>
      </c>
      <c r="B1949" s="442" t="str">
        <f>IFERROR(__xludf.DUMMYFUNCTION("""COMPUTED_VALUE"""),"https://drive.google.com/file/d/1sCCY3KYGCCE3zAn1qtYymO7af6DAj-0M/view?usp=drivesdk")</f>
        <v>https://drive.google.com/file/d/1sCCY3KYGCCE3zAn1qtYymO7af6DAj-0M/view?usp=drivesdk</v>
      </c>
      <c r="C1949" s="336" t="str">
        <f>IFERROR(__xludf.DUMMYFUNCTION("""COMPUTED_VALUE"""),"10.1073--pnas.1505067112.pdf")</f>
        <v>10.1073--pnas.1505067112.pdf</v>
      </c>
      <c r="D1949" s="156" t="str">
        <f>IFERROR(__xludf.DUMMYFUNCTION("""COMPUTED_VALUE"""),"application/pdf")</f>
        <v>application/pdf</v>
      </c>
    </row>
    <row r="1950">
      <c r="A1950" s="336" t="str">
        <f>IFERROR(__xludf.DUMMYFUNCTION("""COMPUTED_VALUE"""),"10.1073/pnas.1516047113")</f>
        <v>10.1073/pnas.1516047113</v>
      </c>
      <c r="B1950" s="442" t="str">
        <f>IFERROR(__xludf.DUMMYFUNCTION("""COMPUTED_VALUE"""),"https://drive.google.com/file/d/1E11EGVsEk8jXG4anLcX1DKLgm7aqhOmU/view?usp=drivesdk")</f>
        <v>https://drive.google.com/file/d/1E11EGVsEk8jXG4anLcX1DKLgm7aqhOmU/view?usp=drivesdk</v>
      </c>
      <c r="C1950" s="336" t="str">
        <f>IFERROR(__xludf.DUMMYFUNCTION("""COMPUTED_VALUE"""),"10.1073--pnas.1516047113.pdf")</f>
        <v>10.1073--pnas.1516047113.pdf</v>
      </c>
      <c r="D1950" s="156" t="str">
        <f>IFERROR(__xludf.DUMMYFUNCTION("""COMPUTED_VALUE"""),"application/pdf")</f>
        <v>application/pdf</v>
      </c>
    </row>
    <row r="1951">
      <c r="A1951" s="336" t="str">
        <f>IFERROR(__xludf.DUMMYFUNCTION("""COMPUTED_VALUE"""),"10.1073/pnas.1706913114")</f>
        <v>10.1073/pnas.1706913114</v>
      </c>
      <c r="B1951" s="442" t="str">
        <f>IFERROR(__xludf.DUMMYFUNCTION("""COMPUTED_VALUE"""),"https://drive.google.com/file/d/1xfxst9Oa-ge7wewPL4HMH7DqgvOPP20b/view?usp=drivesdk")</f>
        <v>https://drive.google.com/file/d/1xfxst9Oa-ge7wewPL4HMH7DqgvOPP20b/view?usp=drivesdk</v>
      </c>
      <c r="C1951" s="336" t="str">
        <f>IFERROR(__xludf.DUMMYFUNCTION("""COMPUTED_VALUE"""),"10.1073--pnas.1706913114.pdf")</f>
        <v>10.1073--pnas.1706913114.pdf</v>
      </c>
      <c r="D1951" s="156" t="str">
        <f>IFERROR(__xludf.DUMMYFUNCTION("""COMPUTED_VALUE"""),"application/pdf")</f>
        <v>application/pdf</v>
      </c>
    </row>
    <row r="1952">
      <c r="A1952" s="336" t="str">
        <f>IFERROR(__xludf.DUMMYFUNCTION("""COMPUTED_VALUE"""),"10.1073/pnas.1516868113")</f>
        <v>10.1073/pnas.1516868113</v>
      </c>
      <c r="B1952" s="442" t="str">
        <f>IFERROR(__xludf.DUMMYFUNCTION("""COMPUTED_VALUE"""),"https://drive.google.com/file/d/1yHD_X4W7fLNjPrkn11Gu0-mHGcNqrpws/view?usp=drivesdk")</f>
        <v>https://drive.google.com/file/d/1yHD_X4W7fLNjPrkn11Gu0-mHGcNqrpws/view?usp=drivesdk</v>
      </c>
      <c r="C1952" s="336" t="str">
        <f>IFERROR(__xludf.DUMMYFUNCTION("""COMPUTED_VALUE"""),"10.1073--pnas.1516868113.pdf")</f>
        <v>10.1073--pnas.1516868113.pdf</v>
      </c>
      <c r="D1952" s="156" t="str">
        <f>IFERROR(__xludf.DUMMYFUNCTION("""COMPUTED_VALUE"""),"application/pdf")</f>
        <v>application/pdf</v>
      </c>
    </row>
    <row r="1953">
      <c r="A1953" s="336" t="str">
        <f>IFERROR(__xludf.DUMMYFUNCTION("""COMPUTED_VALUE"""),"10.1073/pnas.1601280113")</f>
        <v>10.1073/pnas.1601280113</v>
      </c>
      <c r="B1953" s="442" t="str">
        <f>IFERROR(__xludf.DUMMYFUNCTION("""COMPUTED_VALUE"""),"https://drive.google.com/file/d/1BbeoZ9CdBUXQMwPbOQkLBdsayafNFSX2/view?usp=drivesdk")</f>
        <v>https://drive.google.com/file/d/1BbeoZ9CdBUXQMwPbOQkLBdsayafNFSX2/view?usp=drivesdk</v>
      </c>
      <c r="C1953" s="336" t="str">
        <f>IFERROR(__xludf.DUMMYFUNCTION("""COMPUTED_VALUE"""),"10.1073--pnas.1601280113.pdf")</f>
        <v>10.1073--pnas.1601280113.pdf</v>
      </c>
      <c r="D1953" s="156" t="str">
        <f>IFERROR(__xludf.DUMMYFUNCTION("""COMPUTED_VALUE"""),"application/pdf")</f>
        <v>application/pdf</v>
      </c>
    </row>
    <row r="1954">
      <c r="A1954" s="336" t="str">
        <f>IFERROR(__xludf.DUMMYFUNCTION("""COMPUTED_VALUE"""),"10.1073/pnas.1805327115")</f>
        <v>10.1073/pnas.1805327115</v>
      </c>
      <c r="B1954" s="442" t="str">
        <f>IFERROR(__xludf.DUMMYFUNCTION("""COMPUTED_VALUE"""),"https://drive.google.com/file/d/1DQ-5qEEOtHAV_EO0dtcKuZKTfy6PHQQl/view?usp=drivesdk")</f>
        <v>https://drive.google.com/file/d/1DQ-5qEEOtHAV_EO0dtcKuZKTfy6PHQQl/view?usp=drivesdk</v>
      </c>
      <c r="C1954" s="336" t="str">
        <f>IFERROR(__xludf.DUMMYFUNCTION("""COMPUTED_VALUE"""),"10.1073--pnas.1805327115.pdf")</f>
        <v>10.1073--pnas.1805327115.pdf</v>
      </c>
      <c r="D1954" s="156" t="str">
        <f>IFERROR(__xludf.DUMMYFUNCTION("""COMPUTED_VALUE"""),"application/pdf")</f>
        <v>application/pdf</v>
      </c>
    </row>
    <row r="1955">
      <c r="A1955" s="336" t="str">
        <f>IFERROR(__xludf.DUMMYFUNCTION("""COMPUTED_VALUE"""),"10.1073/pnas.1707719114")</f>
        <v>10.1073/pnas.1707719114</v>
      </c>
      <c r="B1955" s="442" t="str">
        <f>IFERROR(__xludf.DUMMYFUNCTION("""COMPUTED_VALUE"""),"https://drive.google.com/file/d/1VjQnWh7tIM7zl21GEg_LipSiXaJr91Ht/view?usp=drivesdk")</f>
        <v>https://drive.google.com/file/d/1VjQnWh7tIM7zl21GEg_LipSiXaJr91Ht/view?usp=drivesdk</v>
      </c>
      <c r="C1955" s="336" t="str">
        <f>IFERROR(__xludf.DUMMYFUNCTION("""COMPUTED_VALUE"""),"10.1073--pnas.1707719114.pdf")</f>
        <v>10.1073--pnas.1707719114.pdf</v>
      </c>
      <c r="D1955" s="156" t="str">
        <f>IFERROR(__xludf.DUMMYFUNCTION("""COMPUTED_VALUE"""),"application/pdf")</f>
        <v>application/pdf</v>
      </c>
    </row>
    <row r="1956">
      <c r="A1956" s="336" t="str">
        <f>IFERROR(__xludf.DUMMYFUNCTION("""COMPUTED_VALUE"""),"10.1073/pnas.1706253114")</f>
        <v>10.1073/pnas.1706253114</v>
      </c>
      <c r="B1956" s="442" t="str">
        <f>IFERROR(__xludf.DUMMYFUNCTION("""COMPUTED_VALUE"""),"https://drive.google.com/file/d/1KgVy8pDNXw_rUPEflxR0eTSRI8bSGPLS/view?usp=drivesdk")</f>
        <v>https://drive.google.com/file/d/1KgVy8pDNXw_rUPEflxR0eTSRI8bSGPLS/view?usp=drivesdk</v>
      </c>
      <c r="C1956" s="336" t="str">
        <f>IFERROR(__xludf.DUMMYFUNCTION("""COMPUTED_VALUE"""),"10.1073--pnas.1706253114.pdf")</f>
        <v>10.1073--pnas.1706253114.pdf</v>
      </c>
      <c r="D1956" s="156" t="str">
        <f>IFERROR(__xludf.DUMMYFUNCTION("""COMPUTED_VALUE"""),"application/pdf")</f>
        <v>application/pdf</v>
      </c>
    </row>
    <row r="1957">
      <c r="A1957" s="336" t="str">
        <f>IFERROR(__xludf.DUMMYFUNCTION("""COMPUTED_VALUE"""),"10.1073/pnas.1704032114")</f>
        <v>10.1073/pnas.1704032114</v>
      </c>
      <c r="B1957" s="442" t="str">
        <f>IFERROR(__xludf.DUMMYFUNCTION("""COMPUTED_VALUE"""),"https://drive.google.com/file/d/1j22rPSmrajVUMaZJ7ZQ_3oBwSfmIAktN/view?usp=drivesdk")</f>
        <v>https://drive.google.com/file/d/1j22rPSmrajVUMaZJ7ZQ_3oBwSfmIAktN/view?usp=drivesdk</v>
      </c>
      <c r="C1957" s="336" t="str">
        <f>IFERROR(__xludf.DUMMYFUNCTION("""COMPUTED_VALUE"""),"10.1073--pnas.1704032114.pdf")</f>
        <v>10.1073--pnas.1704032114.pdf</v>
      </c>
      <c r="D1957" s="156" t="str">
        <f>IFERROR(__xludf.DUMMYFUNCTION("""COMPUTED_VALUE"""),"application/pdf")</f>
        <v>application/pdf</v>
      </c>
    </row>
    <row r="1958">
      <c r="A1958" s="336" t="str">
        <f>IFERROR(__xludf.DUMMYFUNCTION("""COMPUTED_VALUE"""),"10.1073/pnas.1705238114")</f>
        <v>10.1073/pnas.1705238114</v>
      </c>
      <c r="B1958" s="442" t="str">
        <f>IFERROR(__xludf.DUMMYFUNCTION("""COMPUTED_VALUE"""),"https://drive.google.com/file/d/1n2AFbrWCoSyUJoEu2sdAqSUYEEqLi3-i/view?usp=drivesdk")</f>
        <v>https://drive.google.com/file/d/1n2AFbrWCoSyUJoEu2sdAqSUYEEqLi3-i/view?usp=drivesdk</v>
      </c>
      <c r="C1958" s="336" t="str">
        <f>IFERROR(__xludf.DUMMYFUNCTION("""COMPUTED_VALUE"""),"10.1073--pnas.1705238114.pdf")</f>
        <v>10.1073--pnas.1705238114.pdf</v>
      </c>
      <c r="D1958" s="156" t="str">
        <f>IFERROR(__xludf.DUMMYFUNCTION("""COMPUTED_VALUE"""),"application/pdf")</f>
        <v>application/pdf</v>
      </c>
    </row>
    <row r="1959">
      <c r="A1959" s="336" t="str">
        <f>IFERROR(__xludf.DUMMYFUNCTION("""COMPUTED_VALUE"""),"10.1073/pnas.1707040114")</f>
        <v>10.1073/pnas.1707040114</v>
      </c>
      <c r="B1959" s="442" t="str">
        <f>IFERROR(__xludf.DUMMYFUNCTION("""COMPUTED_VALUE"""),"https://drive.google.com/file/d/1egXsfHxw3enkl4JvCEY0lfs0BTX1O2u3/view?usp=drivesdk")</f>
        <v>https://drive.google.com/file/d/1egXsfHxw3enkl4JvCEY0lfs0BTX1O2u3/view?usp=drivesdk</v>
      </c>
      <c r="C1959" s="336" t="str">
        <f>IFERROR(__xludf.DUMMYFUNCTION("""COMPUTED_VALUE"""),"10.1073--pnas.1707040114.pdf")</f>
        <v>10.1073--pnas.1707040114.pdf</v>
      </c>
      <c r="D1959" s="156" t="str">
        <f>IFERROR(__xludf.DUMMYFUNCTION("""COMPUTED_VALUE"""),"application/pdf")</f>
        <v>application/pdf</v>
      </c>
    </row>
    <row r="1960">
      <c r="A1960" s="336" t="str">
        <f>IFERROR(__xludf.DUMMYFUNCTION("""COMPUTED_VALUE"""),"10.1073/pnas.1517662112")</f>
        <v>10.1073/pnas.1517662112</v>
      </c>
      <c r="B1960" s="442" t="str">
        <f>IFERROR(__xludf.DUMMYFUNCTION("""COMPUTED_VALUE"""),"https://drive.google.com/file/d/1p1O3cA89Rortn-b4c3if2MEMXd31m4nv/view?usp=drivesdk")</f>
        <v>https://drive.google.com/file/d/1p1O3cA89Rortn-b4c3if2MEMXd31m4nv/view?usp=drivesdk</v>
      </c>
      <c r="C1960" s="336" t="str">
        <f>IFERROR(__xludf.DUMMYFUNCTION("""COMPUTED_VALUE"""),"10.1073--pnas.1517662112.pdf")</f>
        <v>10.1073--pnas.1517662112.pdf</v>
      </c>
      <c r="D1960" s="156" t="str">
        <f>IFERROR(__xludf.DUMMYFUNCTION("""COMPUTED_VALUE"""),"application/pdf")</f>
        <v>application/pdf</v>
      </c>
    </row>
    <row r="1961">
      <c r="A1961" s="336" t="str">
        <f>IFERROR(__xludf.DUMMYFUNCTION("""COMPUTED_VALUE"""),"10.1073/pnas.1508932113")</f>
        <v>10.1073/pnas.1508932113</v>
      </c>
      <c r="B1961" s="442" t="str">
        <f>IFERROR(__xludf.DUMMYFUNCTION("""COMPUTED_VALUE"""),"https://drive.google.com/file/d/1GUMHnYj_hycM2gMFNTbvEGwdonZHVaEU/view?usp=drivesdk")</f>
        <v>https://drive.google.com/file/d/1GUMHnYj_hycM2gMFNTbvEGwdonZHVaEU/view?usp=drivesdk</v>
      </c>
      <c r="C1961" s="336" t="str">
        <f>IFERROR(__xludf.DUMMYFUNCTION("""COMPUTED_VALUE"""),"10.1073--pnas.1508932113.pdf")</f>
        <v>10.1073--pnas.1508932113.pdf</v>
      </c>
      <c r="D1961" s="156" t="str">
        <f>IFERROR(__xludf.DUMMYFUNCTION("""COMPUTED_VALUE"""),"application/pdf")</f>
        <v>application/pdf</v>
      </c>
    </row>
    <row r="1962">
      <c r="A1962" s="336" t="str">
        <f>IFERROR(__xludf.DUMMYFUNCTION("""COMPUTED_VALUE"""),"10.1073/pnas.1519401113")</f>
        <v>10.1073/pnas.1519401113</v>
      </c>
      <c r="B1962" s="442" t="str">
        <f>IFERROR(__xludf.DUMMYFUNCTION("""COMPUTED_VALUE"""),"https://drive.google.com/file/d/105cRk7vC72JK1EA9WyGiYPQkLW7C53Ad/view?usp=drivesdk")</f>
        <v>https://drive.google.com/file/d/105cRk7vC72JK1EA9WyGiYPQkLW7C53Ad/view?usp=drivesdk</v>
      </c>
      <c r="C1962" s="336" t="str">
        <f>IFERROR(__xludf.DUMMYFUNCTION("""COMPUTED_VALUE"""),"10.1073--pnas.1519401113.pdf")</f>
        <v>10.1073--pnas.1519401113.pdf</v>
      </c>
      <c r="D1962" s="156" t="str">
        <f>IFERROR(__xludf.DUMMYFUNCTION("""COMPUTED_VALUE"""),"application/pdf")</f>
        <v>application/pdf</v>
      </c>
    </row>
    <row r="1963">
      <c r="A1963" s="336" t="str">
        <f>IFERROR(__xludf.DUMMYFUNCTION("""COMPUTED_VALUE"""),"10.1093/qje/qjt035")</f>
        <v>10.1093/qje/qjt035</v>
      </c>
      <c r="B1963" s="442" t="str">
        <f>IFERROR(__xludf.DUMMYFUNCTION("""COMPUTED_VALUE"""),"https://drive.google.com/file/d/1AEIAMNY49STOE6ElNt-b8Hq1Zx5-39DC/view?usp=drivesdk")</f>
        <v>https://drive.google.com/file/d/1AEIAMNY49STOE6ElNt-b8Hq1Zx5-39DC/view?usp=drivesdk</v>
      </c>
      <c r="C1963" s="336" t="str">
        <f>IFERROR(__xludf.DUMMYFUNCTION("""COMPUTED_VALUE"""),"10.1093--qje--qjt035.pdf")</f>
        <v>10.1093--qje--qjt035.pdf</v>
      </c>
      <c r="D1963" s="156" t="str">
        <f>IFERROR(__xludf.DUMMYFUNCTION("""COMPUTED_VALUE"""),"application/pdf")</f>
        <v>application/pdf</v>
      </c>
    </row>
    <row r="1964">
      <c r="A1964" s="336" t="str">
        <f>IFERROR(__xludf.DUMMYFUNCTION("""COMPUTED_VALUE"""),"10.1257/aer.101.2.927")</f>
        <v>10.1257/aer.101.2.927</v>
      </c>
      <c r="B1964" s="442" t="str">
        <f>IFERROR(__xludf.DUMMYFUNCTION("""COMPUTED_VALUE"""),"https://drive.google.com/file/d/1BktRBxUCABNKOmBS08ZeWLX5NwbuQmVb/view?usp=drivesdk")</f>
        <v>https://drive.google.com/file/d/1BktRBxUCABNKOmBS08ZeWLX5NwbuQmVb/view?usp=drivesdk</v>
      </c>
      <c r="C1964" s="336" t="str">
        <f>IFERROR(__xludf.DUMMYFUNCTION("""COMPUTED_VALUE"""),"10.1257--aer.101.2.927.pdf")</f>
        <v>10.1257--aer.101.2.927.pdf</v>
      </c>
      <c r="D1964" s="156" t="str">
        <f>IFERROR(__xludf.DUMMYFUNCTION("""COMPUTED_VALUE"""),"application/pdf")</f>
        <v>application/pdf</v>
      </c>
    </row>
    <row r="1965">
      <c r="A1965" s="336" t="str">
        <f>IFERROR(__xludf.DUMMYFUNCTION("""COMPUTED_VALUE"""),"10.1257/aer.102.2.865")</f>
        <v>10.1257/aer.102.2.865</v>
      </c>
      <c r="B1965" s="442" t="str">
        <f>IFERROR(__xludf.DUMMYFUNCTION("""COMPUTED_VALUE"""),"https://drive.google.com/file/d/1b2FC_ZxV315l7N6zoTHVU2AgAr7SbyXB/view?usp=drivesdk")</f>
        <v>https://drive.google.com/file/d/1b2FC_ZxV315l7N6zoTHVU2AgAr7SbyXB/view?usp=drivesdk</v>
      </c>
      <c r="C1965" s="336" t="str">
        <f>IFERROR(__xludf.DUMMYFUNCTION("""COMPUTED_VALUE"""),"10.1257--aer.102.2.865.pdf")</f>
        <v>10.1257--aer.102.2.865.pdf</v>
      </c>
      <c r="D1965" s="156" t="str">
        <f>IFERROR(__xludf.DUMMYFUNCTION("""COMPUTED_VALUE"""),"application/pdf")</f>
        <v>application/pdf</v>
      </c>
    </row>
    <row r="1966">
      <c r="A1966" s="336" t="str">
        <f>IFERROR(__xludf.DUMMYFUNCTION("""COMPUTED_VALUE"""),"10.1257/aer.102.5.2018")</f>
        <v>10.1257/aer.102.5.2018</v>
      </c>
      <c r="B1966" s="442" t="str">
        <f>IFERROR(__xludf.DUMMYFUNCTION("""COMPUTED_VALUE"""),"https://drive.google.com/file/d/17yYMWhyDAG179mIfO09X_DXEZMxaYLjP/view?usp=drivesdk")</f>
        <v>https://drive.google.com/file/d/17yYMWhyDAG179mIfO09X_DXEZMxaYLjP/view?usp=drivesdk</v>
      </c>
      <c r="C1966" s="336" t="str">
        <f>IFERROR(__xludf.DUMMYFUNCTION("""COMPUTED_VALUE"""),"10.1257--aer.102.5.2018.pdf")</f>
        <v>10.1257--aer.102.5.2018.pdf</v>
      </c>
      <c r="D1966" s="156" t="str">
        <f>IFERROR(__xludf.DUMMYFUNCTION("""COMPUTED_VALUE"""),"application/pdf")</f>
        <v>application/pdf</v>
      </c>
    </row>
    <row r="1967">
      <c r="A1967" s="336" t="str">
        <f>IFERROR(__xludf.DUMMYFUNCTION("""COMPUTED_VALUE"""),"10.1257/aer.101.7.3109 (1)")</f>
        <v>10.1257/aer.101.7.3109 (1)</v>
      </c>
      <c r="B1967" s="442" t="str">
        <f>IFERROR(__xludf.DUMMYFUNCTION("""COMPUTED_VALUE"""),"https://drive.google.com/file/d/1AnxK02a5BeBo9dA5i4f_u2An2ZuJqRrr/view?usp=drivesdk")</f>
        <v>https://drive.google.com/file/d/1AnxK02a5BeBo9dA5i4f_u2An2ZuJqRrr/view?usp=drivesdk</v>
      </c>
      <c r="C1967" s="336" t="str">
        <f>IFERROR(__xludf.DUMMYFUNCTION("""COMPUTED_VALUE"""),"10.1257--aer.101.7.3109 (1).pdf")</f>
        <v>10.1257--aer.101.7.3109 (1).pdf</v>
      </c>
      <c r="D1967" s="156" t="str">
        <f>IFERROR(__xludf.DUMMYFUNCTION("""COMPUTED_VALUE"""),"application/pdf")</f>
        <v>application/pdf</v>
      </c>
    </row>
    <row r="1968">
      <c r="A1968" s="336" t="str">
        <f>IFERROR(__xludf.DUMMYFUNCTION("""COMPUTED_VALUE"""),"10.1257/aer.101.2.819")</f>
        <v>10.1257/aer.101.2.819</v>
      </c>
      <c r="B1968" s="442" t="str">
        <f>IFERROR(__xludf.DUMMYFUNCTION("""COMPUTED_VALUE"""),"https://drive.google.com/file/d/1gPKErZn0U75GIXRc3TyDKhjO1YYEA8-a/view?usp=drivesdk")</f>
        <v>https://drive.google.com/file/d/1gPKErZn0U75GIXRc3TyDKhjO1YYEA8-a/view?usp=drivesdk</v>
      </c>
      <c r="C1968" s="336" t="str">
        <f>IFERROR(__xludf.DUMMYFUNCTION("""COMPUTED_VALUE"""),"10.1257--aer.101.2.819.pdf")</f>
        <v>10.1257--aer.101.2.819.pdf</v>
      </c>
      <c r="D1968" s="156" t="str">
        <f>IFERROR(__xludf.DUMMYFUNCTION("""COMPUTED_VALUE"""),"application/pdf")</f>
        <v>application/pdf</v>
      </c>
    </row>
    <row r="1969">
      <c r="A1969" s="336" t="str">
        <f>IFERROR(__xludf.DUMMYFUNCTION("""COMPUTED_VALUE"""),"10.1257/aer.102.2.720 (1)")</f>
        <v>10.1257/aer.102.2.720 (1)</v>
      </c>
      <c r="B1969" s="442" t="str">
        <f>IFERROR(__xludf.DUMMYFUNCTION("""COMPUTED_VALUE"""),"https://drive.google.com/file/d/1T3Rn1Ki7p7o8u_ViHHHYvafHFmjnylcx/view?usp=drivesdk")</f>
        <v>https://drive.google.com/file/d/1T3Rn1Ki7p7o8u_ViHHHYvafHFmjnylcx/view?usp=drivesdk</v>
      </c>
      <c r="C1969" s="336" t="str">
        <f>IFERROR(__xludf.DUMMYFUNCTION("""COMPUTED_VALUE"""),"10.1257--aer.102.2.720 (1).pdf")</f>
        <v>10.1257--aer.102.2.720 (1).pdf</v>
      </c>
      <c r="D1969" s="156" t="str">
        <f>IFERROR(__xludf.DUMMYFUNCTION("""COMPUTED_VALUE"""),"application/pdf")</f>
        <v>application/pdf</v>
      </c>
    </row>
    <row r="1970">
      <c r="A1970" s="336" t="str">
        <f>IFERROR(__xludf.DUMMYFUNCTION("""COMPUTED_VALUE"""),"10.1257/aer.102.1.337")</f>
        <v>10.1257/aer.102.1.337</v>
      </c>
      <c r="B1970" s="442" t="str">
        <f>IFERROR(__xludf.DUMMYFUNCTION("""COMPUTED_VALUE"""),"https://drive.google.com/file/d/1hWfokltwBkoqHFEcC6Y6_dIRzbc3xn2Q/view?usp=drivesdk")</f>
        <v>https://drive.google.com/file/d/1hWfokltwBkoqHFEcC6Y6_dIRzbc3xn2Q/view?usp=drivesdk</v>
      </c>
      <c r="C1970" s="336" t="str">
        <f>IFERROR(__xludf.DUMMYFUNCTION("""COMPUTED_VALUE"""),"10.1257--aer.102.1.337.pdf")</f>
        <v>10.1257--aer.102.1.337.pdf</v>
      </c>
      <c r="D1970" s="156" t="str">
        <f>IFERROR(__xludf.DUMMYFUNCTION("""COMPUTED_VALUE"""),"application/pdf")</f>
        <v>application/pdf</v>
      </c>
    </row>
    <row r="1971">
      <c r="A1971" s="336" t="str">
        <f>IFERROR(__xludf.DUMMYFUNCTION("""COMPUTED_VALUE"""),"10.1257/aer.103.4.1325")</f>
        <v>10.1257/aer.103.4.1325</v>
      </c>
      <c r="B1971" s="442" t="str">
        <f>IFERROR(__xludf.DUMMYFUNCTION("""COMPUTED_VALUE"""),"https://drive.google.com/file/d/11sSauXb0HoVRgYDG9CnOlMBheFEjk0NQ/view?usp=drivesdk")</f>
        <v>https://drive.google.com/file/d/11sSauXb0HoVRgYDG9CnOlMBheFEjk0NQ/view?usp=drivesdk</v>
      </c>
      <c r="C1971" s="336" t="str">
        <f>IFERROR(__xludf.DUMMYFUNCTION("""COMPUTED_VALUE"""),"10.1257--aer.103.4.1325.pdf")</f>
        <v>10.1257--aer.103.4.1325.pdf</v>
      </c>
      <c r="D1971" s="156" t="str">
        <f>IFERROR(__xludf.DUMMYFUNCTION("""COMPUTED_VALUE"""),"application/pdf")</f>
        <v>application/pdf</v>
      </c>
    </row>
    <row r="1972">
      <c r="A1972" s="336" t="str">
        <f>IFERROR(__xludf.DUMMYFUNCTION("""COMPUTED_VALUE"""),"10.1093/qje/qjr034")</f>
        <v>10.1093/qje/qjr034</v>
      </c>
      <c r="B1972" s="442" t="str">
        <f>IFERROR(__xludf.DUMMYFUNCTION("""COMPUTED_VALUE"""),"https://drive.google.com/file/d/1aDSm4Lq4K8IFN4JH8XXWURoEKbUjjmL3/view?usp=drivesdk")</f>
        <v>https://drive.google.com/file/d/1aDSm4Lq4K8IFN4JH8XXWURoEKbUjjmL3/view?usp=drivesdk</v>
      </c>
      <c r="C1972" s="336" t="str">
        <f>IFERROR(__xludf.DUMMYFUNCTION("""COMPUTED_VALUE"""),"10.1093--qje--qjr034.pdf")</f>
        <v>10.1093--qje--qjr034.pdf</v>
      </c>
      <c r="D1972" s="156" t="str">
        <f>IFERROR(__xludf.DUMMYFUNCTION("""COMPUTED_VALUE"""),"application/pdf")</f>
        <v>application/pdf</v>
      </c>
    </row>
    <row r="1973">
      <c r="A1973" s="336" t="str">
        <f>IFERROR(__xludf.DUMMYFUNCTION("""COMPUTED_VALUE"""),"10.1257/aer.101.2.526")</f>
        <v>10.1257/aer.101.2.526</v>
      </c>
      <c r="B1973" s="442" t="str">
        <f>IFERROR(__xludf.DUMMYFUNCTION("""COMPUTED_VALUE"""),"https://drive.google.com/file/d/1DOLllL6R7032IvCSzFDDyxUuY_nU2qkX/view?usp=drivesdk")</f>
        <v>https://drive.google.com/file/d/1DOLllL6R7032IvCSzFDDyxUuY_nU2qkX/view?usp=drivesdk</v>
      </c>
      <c r="C1973" s="336" t="str">
        <f>IFERROR(__xludf.DUMMYFUNCTION("""COMPUTED_VALUE"""),"10.1257--aer.101.2.526.pdf")</f>
        <v>10.1257--aer.101.2.526.pdf</v>
      </c>
      <c r="D1973" s="156" t="str">
        <f>IFERROR(__xludf.DUMMYFUNCTION("""COMPUTED_VALUE"""),"application/pdf")</f>
        <v>application/pdf</v>
      </c>
    </row>
    <row r="1974">
      <c r="A1974" s="336" t="str">
        <f>IFERROR(__xludf.DUMMYFUNCTION("""COMPUTED_VALUE"""),"10.1257/aer.104.6.1735")</f>
        <v>10.1257/aer.104.6.1735</v>
      </c>
      <c r="B1974" s="442" t="str">
        <f>IFERROR(__xludf.DUMMYFUNCTION("""COMPUTED_VALUE"""),"https://drive.google.com/file/d/1wDNXb0olz39__EV_LKeVH7NGHiDMCeB6/view?usp=drivesdk")</f>
        <v>https://drive.google.com/file/d/1wDNXb0olz39__EV_LKeVH7NGHiDMCeB6/view?usp=drivesdk</v>
      </c>
      <c r="C1974" s="336" t="str">
        <f>IFERROR(__xludf.DUMMYFUNCTION("""COMPUTED_VALUE"""),"10.1257--aer.104.6.1735.pdf")</f>
        <v>10.1257--aer.104.6.1735.pdf</v>
      </c>
      <c r="D1974" s="156" t="str">
        <f>IFERROR(__xludf.DUMMYFUNCTION("""COMPUTED_VALUE"""),"application/pdf")</f>
        <v>application/pdf</v>
      </c>
    </row>
    <row r="1975">
      <c r="A1975" s="336" t="str">
        <f>IFERROR(__xludf.DUMMYFUNCTION("""COMPUTED_VALUE"""),"10.1257/aer.104.11.3434")</f>
        <v>10.1257/aer.104.11.3434</v>
      </c>
      <c r="B1975" s="442" t="str">
        <f>IFERROR(__xludf.DUMMYFUNCTION("""COMPUTED_VALUE"""),"https://drive.google.com/file/d/1_GSFYpdpPE9KlDDSJISHSbkxPaGiv90y/view?usp=drivesdk")</f>
        <v>https://drive.google.com/file/d/1_GSFYpdpPE9KlDDSJISHSbkxPaGiv90y/view?usp=drivesdk</v>
      </c>
      <c r="C1975" s="336" t="str">
        <f>IFERROR(__xludf.DUMMYFUNCTION("""COMPUTED_VALUE"""),"10.1257--aer.104.11.3434.pdf")</f>
        <v>10.1257--aer.104.11.3434.pdf</v>
      </c>
      <c r="D1975" s="156" t="str">
        <f>IFERROR(__xludf.DUMMYFUNCTION("""COMPUTED_VALUE"""),"application/pdf")</f>
        <v>application/pdf</v>
      </c>
    </row>
    <row r="1976">
      <c r="A1976" s="336" t="str">
        <f>IFERROR(__xludf.DUMMYFUNCTION("""COMPUTED_VALUE"""),"10.1257/aer.101.6.2562")</f>
        <v>10.1257/aer.101.6.2562</v>
      </c>
      <c r="B1976" s="442" t="str">
        <f>IFERROR(__xludf.DUMMYFUNCTION("""COMPUTED_VALUE"""),"https://drive.google.com/file/d/1CufoZHl_KItNfmOr5x_-4R-WsAKrS65V/view?usp=drivesdk")</f>
        <v>https://drive.google.com/file/d/1CufoZHl_KItNfmOr5x_-4R-WsAKrS65V/view?usp=drivesdk</v>
      </c>
      <c r="C1976" s="336" t="str">
        <f>IFERROR(__xludf.DUMMYFUNCTION("""COMPUTED_VALUE"""),"10.1257--aer.101.6.2562.pdf")</f>
        <v>10.1257--aer.101.6.2562.pdf</v>
      </c>
      <c r="D1976" s="156" t="str">
        <f>IFERROR(__xludf.DUMMYFUNCTION("""COMPUTED_VALUE"""),"application/pdf")</f>
        <v>application/pdf</v>
      </c>
    </row>
    <row r="1977">
      <c r="A1977" s="336" t="str">
        <f>IFERROR(__xludf.DUMMYFUNCTION("""COMPUTED_VALUE"""),"10.1257/aer.101.4.1211")</f>
        <v>10.1257/aer.101.4.1211</v>
      </c>
      <c r="B1977" s="442" t="str">
        <f>IFERROR(__xludf.DUMMYFUNCTION("""COMPUTED_VALUE"""),"https://drive.google.com/file/d/1NxbR_bwAiYFpZjIg55CMPxWtvCoOVIAQ/view?usp=drivesdk")</f>
        <v>https://drive.google.com/file/d/1NxbR_bwAiYFpZjIg55CMPxWtvCoOVIAQ/view?usp=drivesdk</v>
      </c>
      <c r="C1977" s="336" t="str">
        <f>IFERROR(__xludf.DUMMYFUNCTION("""COMPUTED_VALUE"""),"10.1257--aer.101.4.1211.pdf")</f>
        <v>10.1257--aer.101.4.1211.pdf</v>
      </c>
      <c r="D1977" s="156" t="str">
        <f>IFERROR(__xludf.DUMMYFUNCTION("""COMPUTED_VALUE"""),"application/pdf")</f>
        <v>application/pdf</v>
      </c>
    </row>
    <row r="1978">
      <c r="A1978" s="336" t="str">
        <f>IFERROR(__xludf.DUMMYFUNCTION("""COMPUTED_VALUE"""),"10.1257/aer.102.2.834")</f>
        <v>10.1257/aer.102.2.834</v>
      </c>
      <c r="B1978" s="442" t="str">
        <f>IFERROR(__xludf.DUMMYFUNCTION("""COMPUTED_VALUE"""),"https://drive.google.com/file/d/15obABizUe2mVP6tTA7xfzSOU9zsFeGRP/view?usp=drivesdk")</f>
        <v>https://drive.google.com/file/d/15obABizUe2mVP6tTA7xfzSOU9zsFeGRP/view?usp=drivesdk</v>
      </c>
      <c r="C1978" s="336" t="str">
        <f>IFERROR(__xludf.DUMMYFUNCTION("""COMPUTED_VALUE"""),"10.1257--aer.102.2.834.pdf")</f>
        <v>10.1257--aer.102.2.834.pdf</v>
      </c>
      <c r="D1978" s="156" t="str">
        <f>IFERROR(__xludf.DUMMYFUNCTION("""COMPUTED_VALUE"""),"application/pdf")</f>
        <v>application/pdf</v>
      </c>
    </row>
    <row r="1979">
      <c r="A1979" s="336" t="str">
        <f>IFERROR(__xludf.DUMMYFUNCTION("""COMPUTED_VALUE"""),"10.1257/aer.102.7.3317")</f>
        <v>10.1257/aer.102.7.3317</v>
      </c>
      <c r="B1979" s="442" t="str">
        <f>IFERROR(__xludf.DUMMYFUNCTION("""COMPUTED_VALUE"""),"https://drive.google.com/file/d/1vGGh8iNvz5riiPFFfaYWDPoBsN1DieSC/view?usp=drivesdk")</f>
        <v>https://drive.google.com/file/d/1vGGh8iNvz5riiPFFfaYWDPoBsN1DieSC/view?usp=drivesdk</v>
      </c>
      <c r="C1979" s="336" t="str">
        <f>IFERROR(__xludf.DUMMYFUNCTION("""COMPUTED_VALUE"""),"10.1257--aer.102.7.3317.pdf")</f>
        <v>10.1257--aer.102.7.3317.pdf</v>
      </c>
      <c r="D1979" s="156" t="str">
        <f>IFERROR(__xludf.DUMMYFUNCTION("""COMPUTED_VALUE"""),"application/pdf")</f>
        <v>application/pdf</v>
      </c>
    </row>
    <row r="1980">
      <c r="A1980" s="336" t="str">
        <f>IFERROR(__xludf.DUMMYFUNCTION("""COMPUTED_VALUE"""),"10.1257/aer.101.2.470")</f>
        <v>10.1257/aer.101.2.470</v>
      </c>
      <c r="B1980" s="442" t="str">
        <f>IFERROR(__xludf.DUMMYFUNCTION("""COMPUTED_VALUE"""),"https://drive.google.com/file/d/1nZRWE8YtR8lD6JVTIYbN9Kn9F6IO3Tol/view?usp=drivesdk")</f>
        <v>https://drive.google.com/file/d/1nZRWE8YtR8lD6JVTIYbN9Kn9F6IO3Tol/view?usp=drivesdk</v>
      </c>
      <c r="C1980" s="336" t="str">
        <f>IFERROR(__xludf.DUMMYFUNCTION("""COMPUTED_VALUE"""),"10.1257--aer.101.2.470.pdf")</f>
        <v>10.1257--aer.101.2.470.pdf</v>
      </c>
      <c r="D1980" s="156" t="str">
        <f>IFERROR(__xludf.DUMMYFUNCTION("""COMPUTED_VALUE"""),"application/pdf")</f>
        <v>application/pdf</v>
      </c>
    </row>
    <row r="1981">
      <c r="A1981" s="336" t="str">
        <f>IFERROR(__xludf.DUMMYFUNCTION("""COMPUTED_VALUE"""),"10.1016/j.ecresq.2019.10.004")</f>
        <v>10.1016/j.ecresq.2019.10.004</v>
      </c>
      <c r="B1981" s="442" t="str">
        <f>IFERROR(__xludf.DUMMYFUNCTION("""COMPUTED_VALUE"""),"https://drive.google.com/file/d/1w5TanXJyS5YVblHirQgJO5zKr4e7CFnK/view?usp=drivesdk")</f>
        <v>https://drive.google.com/file/d/1w5TanXJyS5YVblHirQgJO5zKr4e7CFnK/view?usp=drivesdk</v>
      </c>
      <c r="C1981" s="336" t="str">
        <f>IFERROR(__xludf.DUMMYFUNCTION("""COMPUTED_VALUE"""),"10.1016--j.ecresq.2019.10.004.pdf")</f>
        <v>10.1016--j.ecresq.2019.10.004.pdf</v>
      </c>
      <c r="D1981" s="156" t="str">
        <f>IFERROR(__xludf.DUMMYFUNCTION("""COMPUTED_VALUE"""),"application/pdf")</f>
        <v>application/pdf</v>
      </c>
    </row>
    <row r="1982">
      <c r="A1982" s="336" t="str">
        <f>IFERROR(__xludf.DUMMYFUNCTION("""COMPUTED_VALUE"""),"10.1111/1467-9280.02436")</f>
        <v>10.1111/1467-9280.02436</v>
      </c>
      <c r="B1982" s="442" t="str">
        <f>IFERROR(__xludf.DUMMYFUNCTION("""COMPUTED_VALUE"""),"https://drive.google.com/file/d/1KeSwecAaGUPly_0Khma5VYzCJyRIWBpt/view?usp=drivesdk")</f>
        <v>https://drive.google.com/file/d/1KeSwecAaGUPly_0Khma5VYzCJyRIWBpt/view?usp=drivesdk</v>
      </c>
      <c r="C1982" s="336" t="str">
        <f>IFERROR(__xludf.DUMMYFUNCTION("""COMPUTED_VALUE"""),"10.1111--1467-9280.02436.pdf")</f>
        <v>10.1111--1467-9280.02436.pdf</v>
      </c>
      <c r="D1982" s="156" t="str">
        <f>IFERROR(__xludf.DUMMYFUNCTION("""COMPUTED_VALUE"""),"application/pdf")</f>
        <v>application/pdf</v>
      </c>
    </row>
    <row r="1983">
      <c r="A1983" s="336" t="str">
        <f>IFERROR(__xludf.DUMMYFUNCTION("""COMPUTED_VALUE"""),"10.1016/j.obhdp.2010.10.001")</f>
        <v>10.1016/j.obhdp.2010.10.001</v>
      </c>
      <c r="B1983" s="442" t="str">
        <f>IFERROR(__xludf.DUMMYFUNCTION("""COMPUTED_VALUE"""),"https://drive.google.com/file/d/1zCYZDaOwE-K33Jkam-tMneBjxjoNVHza/view?usp=drivesdk")</f>
        <v>https://drive.google.com/file/d/1zCYZDaOwE-K33Jkam-tMneBjxjoNVHza/view?usp=drivesdk</v>
      </c>
      <c r="C1983" s="336" t="str">
        <f>IFERROR(__xludf.DUMMYFUNCTION("""COMPUTED_VALUE"""),"10.1016--j.obhdp.2010.10.001.pdf")</f>
        <v>10.1016--j.obhdp.2010.10.001.pdf</v>
      </c>
      <c r="D1983" s="156" t="str">
        <f>IFERROR(__xludf.DUMMYFUNCTION("""COMPUTED_VALUE"""),"application/pdf")</f>
        <v>application/pdf</v>
      </c>
    </row>
    <row r="1984">
      <c r="A1984" s="336" t="str">
        <f>IFERROR(__xludf.DUMMYFUNCTION("""COMPUTED_VALUE"""),"10.1038/s41467-021-27323-3")</f>
        <v>10.1038/s41467-021-27323-3</v>
      </c>
      <c r="B1984" s="442" t="str">
        <f>IFERROR(__xludf.DUMMYFUNCTION("""COMPUTED_VALUE"""),"https://drive.google.com/file/d/1E9n7K_S1QjugzYn-rTEbb--ETbvudVse/view?usp=drivesdk")</f>
        <v>https://drive.google.com/file/d/1E9n7K_S1QjugzYn-rTEbb--ETbvudVse/view?usp=drivesdk</v>
      </c>
      <c r="C1984" s="336" t="str">
        <f>IFERROR(__xludf.DUMMYFUNCTION("""COMPUTED_VALUE"""),"10.1038--s41467-021-27323-3.pdf")</f>
        <v>10.1038--s41467-021-27323-3.pdf</v>
      </c>
      <c r="D1984" s="156" t="str">
        <f>IFERROR(__xludf.DUMMYFUNCTION("""COMPUTED_VALUE"""),"application/pdf")</f>
        <v>application/pdf</v>
      </c>
    </row>
    <row r="1985">
      <c r="A1985" s="336" t="str">
        <f>IFERROR(__xludf.DUMMYFUNCTION("""COMPUTED_VALUE"""),"10.1177/09567976221082637")</f>
        <v>10.1177/09567976221082637</v>
      </c>
      <c r="B1985" s="442" t="str">
        <f>IFERROR(__xludf.DUMMYFUNCTION("""COMPUTED_VALUE"""),"https://drive.google.com/file/d/1ETLxNzxxAx38Kbjl_2clUvwzL5DDrTd8/view?usp=drivesdk")</f>
        <v>https://drive.google.com/file/d/1ETLxNzxxAx38Kbjl_2clUvwzL5DDrTd8/view?usp=drivesdk</v>
      </c>
      <c r="C1985" s="336" t="str">
        <f>IFERROR(__xludf.DUMMYFUNCTION("""COMPUTED_VALUE"""),"10.1177--09567976221082637.pdf")</f>
        <v>10.1177--09567976221082637.pdf</v>
      </c>
      <c r="D1985" s="156" t="str">
        <f>IFERROR(__xludf.DUMMYFUNCTION("""COMPUTED_VALUE"""),"application/pdf")</f>
        <v>application/pdf</v>
      </c>
    </row>
    <row r="1986">
      <c r="A1986" s="336" t="str">
        <f>IFERROR(__xludf.DUMMYFUNCTION("""COMPUTED_VALUE"""),"10.1111/cogs.12605")</f>
        <v>10.1111/cogs.12605</v>
      </c>
      <c r="B1986" s="442" t="str">
        <f>IFERROR(__xludf.DUMMYFUNCTION("""COMPUTED_VALUE"""),"https://drive.google.com/file/d/1fqDwT6f6uPiUgL_jMbCxBCBzksaDNMma/view?usp=drivesdk")</f>
        <v>https://drive.google.com/file/d/1fqDwT6f6uPiUgL_jMbCxBCBzksaDNMma/view?usp=drivesdk</v>
      </c>
      <c r="C1986" s="336" t="str">
        <f>IFERROR(__xludf.DUMMYFUNCTION("""COMPUTED_VALUE"""),"10.1111--cogs.12605.pdf")</f>
        <v>10.1111--cogs.12605.pdf</v>
      </c>
      <c r="D1986" s="156" t="str">
        <f>IFERROR(__xludf.DUMMYFUNCTION("""COMPUTED_VALUE"""),"application/pdf")</f>
        <v>application/pdf</v>
      </c>
    </row>
    <row r="1987">
      <c r="A1987" s="336" t="str">
        <f>IFERROR(__xludf.DUMMYFUNCTION("""COMPUTED_VALUE"""),"10.1089/cyber.2016.0530")</f>
        <v>10.1089/cyber.2016.0530</v>
      </c>
      <c r="B1987" s="442" t="str">
        <f>IFERROR(__xludf.DUMMYFUNCTION("""COMPUTED_VALUE"""),"https://drive.google.com/file/d/1Z0u77Ei4pPZsjR5reXLadM9xd0tgKrac/view?usp=drivesdk")</f>
        <v>https://drive.google.com/file/d/1Z0u77Ei4pPZsjR5reXLadM9xd0tgKrac/view?usp=drivesdk</v>
      </c>
      <c r="C1987" s="336" t="str">
        <f>IFERROR(__xludf.DUMMYFUNCTION("""COMPUTED_VALUE"""),"10.1089--cyber.2016.0530.pdf")</f>
        <v>10.1089--cyber.2016.0530.pdf</v>
      </c>
      <c r="D1987" s="156" t="str">
        <f>IFERROR(__xludf.DUMMYFUNCTION("""COMPUTED_VALUE"""),"application/pdf")</f>
        <v>application/pdf</v>
      </c>
    </row>
    <row r="1988">
      <c r="A1988" s="336" t="str">
        <f>IFERROR(__xludf.DUMMYFUNCTION("""COMPUTED_VALUE"""),"10.1515/ling.2011.016")</f>
        <v>10.1515/ling.2011.016</v>
      </c>
      <c r="B1988" s="442" t="str">
        <f>IFERROR(__xludf.DUMMYFUNCTION("""COMPUTED_VALUE"""),"https://drive.google.com/file/d/1OhQWWe3jm8WtNRylZvAGE-c4xHX8dswr/view?usp=drivesdk")</f>
        <v>https://drive.google.com/file/d/1OhQWWe3jm8WtNRylZvAGE-c4xHX8dswr/view?usp=drivesdk</v>
      </c>
      <c r="C1988" s="336" t="str">
        <f>IFERROR(__xludf.DUMMYFUNCTION("""COMPUTED_VALUE"""),"10.1515--ling.2011.016.pdf")</f>
        <v>10.1515--ling.2011.016.pdf</v>
      </c>
      <c r="D1988" s="156" t="str">
        <f>IFERROR(__xludf.DUMMYFUNCTION("""COMPUTED_VALUE"""),"application/pdf")</f>
        <v>application/pdf</v>
      </c>
    </row>
    <row r="1989">
      <c r="A1989" s="336" t="str">
        <f>IFERROR(__xludf.DUMMYFUNCTION("""COMPUTED_VALUE"""),"10.1093/jos/ffw010")</f>
        <v>10.1093/jos/ffw010</v>
      </c>
      <c r="B1989" s="442" t="str">
        <f>IFERROR(__xludf.DUMMYFUNCTION("""COMPUTED_VALUE"""),"https://drive.google.com/file/d/10gwwst21XMDLdZDUQ3-UJKa2tLRTlO7K/view?usp=drivesdk")</f>
        <v>https://drive.google.com/file/d/10gwwst21XMDLdZDUQ3-UJKa2tLRTlO7K/view?usp=drivesdk</v>
      </c>
      <c r="C1989" s="336" t="str">
        <f>IFERROR(__xludf.DUMMYFUNCTION("""COMPUTED_VALUE"""),"10.1093--jos--ffw010.pdf")</f>
        <v>10.1093--jos--ffw010.pdf</v>
      </c>
      <c r="D1989" s="156" t="str">
        <f>IFERROR(__xludf.DUMMYFUNCTION("""COMPUTED_VALUE"""),"application/pdf")</f>
        <v>application/pdf</v>
      </c>
    </row>
    <row r="1990">
      <c r="A1990" s="336" t="str">
        <f>IFERROR(__xludf.DUMMYFUNCTION("""COMPUTED_VALUE"""),"10.1037/xge0000738")</f>
        <v>10.1037/xge0000738</v>
      </c>
      <c r="B1990" s="442" t="str">
        <f>IFERROR(__xludf.DUMMYFUNCTION("""COMPUTED_VALUE"""),"https://drive.google.com/file/d/18gORVnI1F3fjlDcwB6OsrshMJDerCS2r/view?usp=drivesdk")</f>
        <v>https://drive.google.com/file/d/18gORVnI1F3fjlDcwB6OsrshMJDerCS2r/view?usp=drivesdk</v>
      </c>
      <c r="C1990" s="336" t="str">
        <f>IFERROR(__xludf.DUMMYFUNCTION("""COMPUTED_VALUE"""),"10.1037--xge0000738.pdf")</f>
        <v>10.1037--xge0000738.pdf</v>
      </c>
      <c r="D1990" s="156" t="str">
        <f>IFERROR(__xludf.DUMMYFUNCTION("""COMPUTED_VALUE"""),"application/pdf")</f>
        <v>application/pdf</v>
      </c>
    </row>
    <row r="1991">
      <c r="A1991" s="336" t="str">
        <f>IFERROR(__xludf.DUMMYFUNCTION("""COMPUTED_VALUE"""),"10.1093/workar/waac024")</f>
        <v>10.1093/workar/waac024</v>
      </c>
      <c r="B1991" s="442" t="str">
        <f>IFERROR(__xludf.DUMMYFUNCTION("""COMPUTED_VALUE"""),"https://drive.google.com/file/d/17KV68RT0MMeGKz0n7gj1Dsmt7YXSfvOC/view?usp=drivesdk")</f>
        <v>https://drive.google.com/file/d/17KV68RT0MMeGKz0n7gj1Dsmt7YXSfvOC/view?usp=drivesdk</v>
      </c>
      <c r="C1991" s="336" t="str">
        <f>IFERROR(__xludf.DUMMYFUNCTION("""COMPUTED_VALUE"""),"10.1093--workar--waac024.pdf")</f>
        <v>10.1093--workar--waac024.pdf</v>
      </c>
      <c r="D1991" s="156" t="str">
        <f>IFERROR(__xludf.DUMMYFUNCTION("""COMPUTED_VALUE"""),"application/pdf")</f>
        <v>application/pdf</v>
      </c>
    </row>
    <row r="1992">
      <c r="A1992" s="336" t="str">
        <f>IFERROR(__xludf.DUMMYFUNCTION("""COMPUTED_VALUE"""),"10.1523/jneurosci.2377-10.2010")</f>
        <v>10.1523/jneurosci.2377-10.2010</v>
      </c>
      <c r="B1992" s="442" t="str">
        <f>IFERROR(__xludf.DUMMYFUNCTION("""COMPUTED_VALUE"""),"https://drive.google.com/file/d/1tNWBEIyqVAkKjP7KUoSu2t3rEj4DPo_A/view?usp=drivesdk")</f>
        <v>https://drive.google.com/file/d/1tNWBEIyqVAkKjP7KUoSu2t3rEj4DPo_A/view?usp=drivesdk</v>
      </c>
      <c r="C1992" s="336" t="str">
        <f>IFERROR(__xludf.DUMMYFUNCTION("""COMPUTED_VALUE"""),"10.1523--jneurosci.2377-10.2010.pdf")</f>
        <v>10.1523--jneurosci.2377-10.2010.pdf</v>
      </c>
      <c r="D1992" s="156" t="str">
        <f>IFERROR(__xludf.DUMMYFUNCTION("""COMPUTED_VALUE"""),"application/pdf")</f>
        <v>application/pdf</v>
      </c>
    </row>
    <row r="1993">
      <c r="A1993" s="336" t="str">
        <f>IFERROR(__xludf.DUMMYFUNCTION("""COMPUTED_VALUE"""),"10.1523/jneurosci.18-23-10105.1998")</f>
        <v>10.1523/jneurosci.18-23-10105.1998</v>
      </c>
      <c r="B1993" s="442" t="str">
        <f>IFERROR(__xludf.DUMMYFUNCTION("""COMPUTED_VALUE"""),"https://drive.google.com/file/d/1tMrBtPVk07Vt3IgjI_4ese_KDvqQCuKK/view?usp=drivesdk")</f>
        <v>https://drive.google.com/file/d/1tMrBtPVk07Vt3IgjI_4ese_KDvqQCuKK/view?usp=drivesdk</v>
      </c>
      <c r="C1993" s="336" t="str">
        <f>IFERROR(__xludf.DUMMYFUNCTION("""COMPUTED_VALUE"""),"10.1523--jneurosci.18-23-10105.1998.pdf")</f>
        <v>10.1523--jneurosci.18-23-10105.1998.pdf</v>
      </c>
      <c r="D1993" s="156" t="str">
        <f>IFERROR(__xludf.DUMMYFUNCTION("""COMPUTED_VALUE"""),"application/pdf")</f>
        <v>application/pdf</v>
      </c>
    </row>
    <row r="1994">
      <c r="A1994" s="336" t="str">
        <f>IFERROR(__xludf.DUMMYFUNCTION("""COMPUTED_VALUE"""),"10.1037/pspi0000081")</f>
        <v>10.1037/pspi0000081</v>
      </c>
      <c r="B1994" s="442" t="str">
        <f>IFERROR(__xludf.DUMMYFUNCTION("""COMPUTED_VALUE"""),"https://drive.google.com/file/d/1GTnjtSM79S6hEZLXrpWxGtZd34NCBmBN/view?usp=drivesdk")</f>
        <v>https://drive.google.com/file/d/1GTnjtSM79S6hEZLXrpWxGtZd34NCBmBN/view?usp=drivesdk</v>
      </c>
      <c r="C1994" s="336" t="str">
        <f>IFERROR(__xludf.DUMMYFUNCTION("""COMPUTED_VALUE"""),"10.1037--pspi0000081.pdf")</f>
        <v>10.1037--pspi0000081.pdf</v>
      </c>
      <c r="D1994" s="156" t="str">
        <f>IFERROR(__xludf.DUMMYFUNCTION("""COMPUTED_VALUE"""),"application/pdf")</f>
        <v>application/pdf</v>
      </c>
    </row>
    <row r="1995">
      <c r="A1995" s="336" t="str">
        <f>IFERROR(__xludf.DUMMYFUNCTION("""COMPUTED_VALUE"""),"10.1037/0022-3514.95.2.293 (1)")</f>
        <v>10.1037/0022-3514.95.2.293 (1)</v>
      </c>
      <c r="B1995" s="442" t="str">
        <f>IFERROR(__xludf.DUMMYFUNCTION("""COMPUTED_VALUE"""),"https://drive.google.com/file/d/1liYat5J_yw4yTHidCRQkdAQyTzcftC6D/view?usp=drivesdk")</f>
        <v>https://drive.google.com/file/d/1liYat5J_yw4yTHidCRQkdAQyTzcftC6D/view?usp=drivesdk</v>
      </c>
      <c r="C1995" s="336" t="str">
        <f>IFERROR(__xludf.DUMMYFUNCTION("""COMPUTED_VALUE"""),"10.1037--0022-3514.95.2.293 (1).pdf")</f>
        <v>10.1037--0022-3514.95.2.293 (1).pdf</v>
      </c>
      <c r="D1995" s="156" t="str">
        <f>IFERROR(__xludf.DUMMYFUNCTION("""COMPUTED_VALUE"""),"application/pdf")</f>
        <v>application/pdf</v>
      </c>
    </row>
    <row r="1996">
      <c r="A1996" s="336" t="str">
        <f>IFERROR(__xludf.DUMMYFUNCTION("""COMPUTED_VALUE"""),"10.1016/j.jesp.2018.05.006")</f>
        <v>10.1016/j.jesp.2018.05.006</v>
      </c>
      <c r="B1996" s="442" t="str">
        <f>IFERROR(__xludf.DUMMYFUNCTION("""COMPUTED_VALUE"""),"https://drive.google.com/file/d/1bbOr5sJJaSFgt-aKadq5yMvKA8ywD97U/view?usp=drivesdk")</f>
        <v>https://drive.google.com/file/d/1bbOr5sJJaSFgt-aKadq5yMvKA8ywD97U/view?usp=drivesdk</v>
      </c>
      <c r="C1996" s="336" t="str">
        <f>IFERROR(__xludf.DUMMYFUNCTION("""COMPUTED_VALUE"""),"10.1016--j.jesp.2018.05.006.pdf")</f>
        <v>10.1016--j.jesp.2018.05.006.pdf</v>
      </c>
      <c r="D1996" s="156" t="str">
        <f>IFERROR(__xludf.DUMMYFUNCTION("""COMPUTED_VALUE"""),"application/pdf")</f>
        <v>application/pdf</v>
      </c>
    </row>
    <row r="1997">
      <c r="A1997" s="336" t="str">
        <f>IFERROR(__xludf.DUMMYFUNCTION("""COMPUTED_VALUE"""),"10.1037/a0028216")</f>
        <v>10.1037/a0028216</v>
      </c>
      <c r="B1997" s="442" t="str">
        <f>IFERROR(__xludf.DUMMYFUNCTION("""COMPUTED_VALUE"""),"https://drive.google.com/file/d/1IK98kxqzXUKr6oiSy5Yh1iZIS2v8ZtnC/view?usp=drivesdk")</f>
        <v>https://drive.google.com/file/d/1IK98kxqzXUKr6oiSy5Yh1iZIS2v8ZtnC/view?usp=drivesdk</v>
      </c>
      <c r="C1997" s="336" t="str">
        <f>IFERROR(__xludf.DUMMYFUNCTION("""COMPUTED_VALUE"""),"10.1037--a0028216.pdf")</f>
        <v>10.1037--a0028216.pdf</v>
      </c>
      <c r="D1997" s="156" t="str">
        <f>IFERROR(__xludf.DUMMYFUNCTION("""COMPUTED_VALUE"""),"application/pdf")</f>
        <v>application/pdf</v>
      </c>
    </row>
    <row r="1998">
      <c r="A1998" s="336" t="str">
        <f>IFERROR(__xludf.DUMMYFUNCTION("""COMPUTED_VALUE"""),"10.1016/j.neuropsychologia.2009.05.011")</f>
        <v>10.1016/j.neuropsychologia.2009.05.011</v>
      </c>
      <c r="B1998" s="442" t="str">
        <f>IFERROR(__xludf.DUMMYFUNCTION("""COMPUTED_VALUE"""),"https://drive.google.com/file/d/1Wo_ZWAFaujgNZeZ0tdEdLIIUT-PUrDAy/view?usp=drivesdk")</f>
        <v>https://drive.google.com/file/d/1Wo_ZWAFaujgNZeZ0tdEdLIIUT-PUrDAy/view?usp=drivesdk</v>
      </c>
      <c r="C1998" s="336" t="str">
        <f>IFERROR(__xludf.DUMMYFUNCTION("""COMPUTED_VALUE"""),"10.1016--j.neuropsychologia.2009.05.011.pdf")</f>
        <v>10.1016--j.neuropsychologia.2009.05.011.pdf</v>
      </c>
      <c r="D1998" s="156" t="str">
        <f>IFERROR(__xludf.DUMMYFUNCTION("""COMPUTED_VALUE"""),"application/pdf")</f>
        <v>application/pdf</v>
      </c>
    </row>
    <row r="1999">
      <c r="A1999" s="336" t="str">
        <f>IFERROR(__xludf.DUMMYFUNCTION("""COMPUTED_VALUE"""),"10.3758/s13428-021-01694-3")</f>
        <v>10.3758/s13428-021-01694-3</v>
      </c>
      <c r="B1999" s="442" t="str">
        <f>IFERROR(__xludf.DUMMYFUNCTION("""COMPUTED_VALUE"""),"https://drive.google.com/file/d/1pWRSPkrpkB4P8JrAypP4cdltGfovv0wT/view?usp=drivesdk")</f>
        <v>https://drive.google.com/file/d/1pWRSPkrpkB4P8JrAypP4cdltGfovv0wT/view?usp=drivesdk</v>
      </c>
      <c r="C1999" s="336" t="str">
        <f>IFERROR(__xludf.DUMMYFUNCTION("""COMPUTED_VALUE"""),"10.3758--s13428-021-01694-3.pdf")</f>
        <v>10.3758--s13428-021-01694-3.pdf</v>
      </c>
      <c r="D1999" s="156" t="str">
        <f>IFERROR(__xludf.DUMMYFUNCTION("""COMPUTED_VALUE"""),"application/pdf")</f>
        <v>application/pdf</v>
      </c>
    </row>
    <row r="2000">
      <c r="A2000" s="336" t="str">
        <f>IFERROR(__xludf.DUMMYFUNCTION("""COMPUTED_VALUE"""),"10.1162/jocn_a_00709")</f>
        <v>10.1162/jocn_a_00709</v>
      </c>
      <c r="B2000" s="442" t="str">
        <f>IFERROR(__xludf.DUMMYFUNCTION("""COMPUTED_VALUE"""),"https://drive.google.com/file/d/1PBsIeDN2jr1Pq3CNrSLb1Xsyr21P2pXL/view?usp=drivesdk")</f>
        <v>https://drive.google.com/file/d/1PBsIeDN2jr1Pq3CNrSLb1Xsyr21P2pXL/view?usp=drivesdk</v>
      </c>
      <c r="C2000" s="336" t="str">
        <f>IFERROR(__xludf.DUMMYFUNCTION("""COMPUTED_VALUE"""),"10.1162--jocn_a_00709.pdf")</f>
        <v>10.1162--jocn_a_00709.pdf</v>
      </c>
      <c r="D2000" s="156" t="str">
        <f>IFERROR(__xludf.DUMMYFUNCTION("""COMPUTED_VALUE"""),"application/pdf")</f>
        <v>application/pdf</v>
      </c>
    </row>
    <row r="2001">
      <c r="A2001" s="336" t="str">
        <f>IFERROR(__xludf.DUMMYFUNCTION("""COMPUTED_VALUE"""),"10.1037/xge0000064")</f>
        <v>10.1037/xge0000064</v>
      </c>
      <c r="B2001" s="442" t="str">
        <f>IFERROR(__xludf.DUMMYFUNCTION("""COMPUTED_VALUE"""),"https://drive.google.com/file/d/1tRDHk6OnUXVNfn6Ll53VYpaT5vuJ4llq/view?usp=drivesdk")</f>
        <v>https://drive.google.com/file/d/1tRDHk6OnUXVNfn6Ll53VYpaT5vuJ4llq/view?usp=drivesdk</v>
      </c>
      <c r="C2001" s="336" t="str">
        <f>IFERROR(__xludf.DUMMYFUNCTION("""COMPUTED_VALUE"""),"10.1037--xge0000064.pdf")</f>
        <v>10.1037--xge0000064.pdf</v>
      </c>
      <c r="D2001" s="156" t="str">
        <f>IFERROR(__xludf.DUMMYFUNCTION("""COMPUTED_VALUE"""),"application/pdf")</f>
        <v>application/pdf</v>
      </c>
    </row>
    <row r="2002">
      <c r="A2002" s="336" t="str">
        <f>IFERROR(__xludf.DUMMYFUNCTION("""COMPUTED_VALUE"""),"10.1037/xge0000263")</f>
        <v>10.1037/xge0000263</v>
      </c>
      <c r="B2002" s="442" t="str">
        <f>IFERROR(__xludf.DUMMYFUNCTION("""COMPUTED_VALUE"""),"https://drive.google.com/file/d/1dqZfs8CV4bFuIXsJrOSHM-_BKTXKhfGR/view?usp=drivesdk")</f>
        <v>https://drive.google.com/file/d/1dqZfs8CV4bFuIXsJrOSHM-_BKTXKhfGR/view?usp=drivesdk</v>
      </c>
      <c r="C2002" s="336" t="str">
        <f>IFERROR(__xludf.DUMMYFUNCTION("""COMPUTED_VALUE"""),"10.1037--xge0000263.pdf")</f>
        <v>10.1037--xge0000263.pdf</v>
      </c>
      <c r="D2002" s="156" t="str">
        <f>IFERROR(__xludf.DUMMYFUNCTION("""COMPUTED_VALUE"""),"application/pdf")</f>
        <v>application/pdf</v>
      </c>
    </row>
    <row r="2003">
      <c r="A2003" s="336" t="str">
        <f>IFERROR(__xludf.DUMMYFUNCTION("""COMPUTED_VALUE"""),"10.1038/nature03390")</f>
        <v>10.1038/nature03390</v>
      </c>
      <c r="B2003" s="442" t="str">
        <f>IFERROR(__xludf.DUMMYFUNCTION("""COMPUTED_VALUE"""),"https://drive.google.com/file/d/1SrRdwzLZMo2zK6deXcTRyDZ9oh1TesUR/view?usp=drivesdk")</f>
        <v>https://drive.google.com/file/d/1SrRdwzLZMo2zK6deXcTRyDZ9oh1TesUR/view?usp=drivesdk</v>
      </c>
      <c r="C2003" s="336" t="str">
        <f>IFERROR(__xludf.DUMMYFUNCTION("""COMPUTED_VALUE"""),"10.1038--nature03390.pdf")</f>
        <v>10.1038--nature03390.pdf</v>
      </c>
      <c r="D2003" s="156" t="str">
        <f>IFERROR(__xludf.DUMMYFUNCTION("""COMPUTED_VALUE"""),"application/pdf")</f>
        <v>application/pdf</v>
      </c>
    </row>
    <row r="2004">
      <c r="A2004" s="336" t="str">
        <f>IFERROR(__xludf.DUMMYFUNCTION("""COMPUTED_VALUE"""),"10.1037/0278-7393.34.1.146 (1)")</f>
        <v>10.1037/0278-7393.34.1.146 (1)</v>
      </c>
      <c r="B2004" s="442" t="str">
        <f>IFERROR(__xludf.DUMMYFUNCTION("""COMPUTED_VALUE"""),"https://drive.google.com/file/d/1_jNr1q-vJc4TjV8gK7ip_XHRAMrGaQqA/view?usp=drivesdk")</f>
        <v>https://drive.google.com/file/d/1_jNr1q-vJc4TjV8gK7ip_XHRAMrGaQqA/view?usp=drivesdk</v>
      </c>
      <c r="C2004" s="336" t="str">
        <f>IFERROR(__xludf.DUMMYFUNCTION("""COMPUTED_VALUE"""),"10.1037--0278-7393.34.1.146 (1).pdf")</f>
        <v>10.1037--0278-7393.34.1.146 (1).pdf</v>
      </c>
      <c r="D2004" s="156" t="str">
        <f>IFERROR(__xludf.DUMMYFUNCTION("""COMPUTED_VALUE"""),"application/pdf")</f>
        <v>application/pdf</v>
      </c>
    </row>
    <row r="2005">
      <c r="A2005" s="336" t="str">
        <f>IFERROR(__xludf.DUMMYFUNCTION("""COMPUTED_VALUE"""),"10.1037/0022-3514.95.1.76 (1)")</f>
        <v>10.1037/0022-3514.95.1.76 (1)</v>
      </c>
      <c r="B2005" s="442" t="str">
        <f>IFERROR(__xludf.DUMMYFUNCTION("""COMPUTED_VALUE"""),"https://drive.google.com/file/d/1cl2H57dfOOpFzEqSME3liLRb8RrZrEbY/view?usp=drivesdk")</f>
        <v>https://drive.google.com/file/d/1cl2H57dfOOpFzEqSME3liLRb8RrZrEbY/view?usp=drivesdk</v>
      </c>
      <c r="C2005" s="336" t="str">
        <f>IFERROR(__xludf.DUMMYFUNCTION("""COMPUTED_VALUE"""),"10.1037--0022-3514.95.1.76 (1).pdf")</f>
        <v>10.1037--0022-3514.95.1.76 (1).pdf</v>
      </c>
      <c r="D2005" s="156" t="str">
        <f>IFERROR(__xludf.DUMMYFUNCTION("""COMPUTED_VALUE"""),"application/pdf")</f>
        <v>application/pdf</v>
      </c>
    </row>
    <row r="2006">
      <c r="A2006" s="336" t="str">
        <f>IFERROR(__xludf.DUMMYFUNCTION("""COMPUTED_VALUE"""),"10.1037/a003210894")</f>
        <v>10.1037/a003210894</v>
      </c>
      <c r="B2006" s="442" t="str">
        <f>IFERROR(__xludf.DUMMYFUNCTION("""COMPUTED_VALUE"""),"https://drive.google.com/file/d/1S_1bC54b_CF_KpBDtwLxeDYcQEWMTRW_/view?usp=drivesdk")</f>
        <v>https://drive.google.com/file/d/1S_1bC54b_CF_KpBDtwLxeDYcQEWMTRW_/view?usp=drivesdk</v>
      </c>
      <c r="C2006" s="336" t="str">
        <f>IFERROR(__xludf.DUMMYFUNCTION("""COMPUTED_VALUE"""),"10.1037--a003210894.pdf")</f>
        <v>10.1037--a003210894.pdf</v>
      </c>
      <c r="D2006" s="156" t="str">
        <f>IFERROR(__xludf.DUMMYFUNCTION("""COMPUTED_VALUE"""),"application/pdf")</f>
        <v>application/pdf</v>
      </c>
    </row>
    <row r="2007">
      <c r="A2007" s="336" t="str">
        <f>IFERROR(__xludf.DUMMYFUNCTION("""COMPUTED_VALUE"""),"10.1016/j.cognition.2017.06.025")</f>
        <v>10.1016/j.cognition.2017.06.025</v>
      </c>
      <c r="B2007" s="442" t="str">
        <f>IFERROR(__xludf.DUMMYFUNCTION("""COMPUTED_VALUE"""),"https://drive.google.com/file/d/13eFbDRsrT4E_alMlB_gHi3f-ptev6t5p/view?usp=drivesdk")</f>
        <v>https://drive.google.com/file/d/13eFbDRsrT4E_alMlB_gHi3f-ptev6t5p/view?usp=drivesdk</v>
      </c>
      <c r="C2007" s="336" t="str">
        <f>IFERROR(__xludf.DUMMYFUNCTION("""COMPUTED_VALUE"""),"10.1016--j.cognition.2017.06.025.pdf")</f>
        <v>10.1016--j.cognition.2017.06.025.pdf</v>
      </c>
      <c r="D2007" s="156" t="str">
        <f>IFERROR(__xludf.DUMMYFUNCTION("""COMPUTED_VALUE"""),"application/pdf")</f>
        <v>application/pdf</v>
      </c>
    </row>
    <row r="2008">
      <c r="A2008" s="336" t="str">
        <f>IFERROR(__xludf.DUMMYFUNCTION("""COMPUTED_VALUE"""),"10.1037/a0016795")</f>
        <v>10.1037/a0016795</v>
      </c>
      <c r="B2008" s="442" t="str">
        <f>IFERROR(__xludf.DUMMYFUNCTION("""COMPUTED_VALUE"""),"https://drive.google.com/file/d/10tpM-QAfI0H0NH6vAvH9VLJJki0FnCbu/view?usp=drivesdk")</f>
        <v>https://drive.google.com/file/d/10tpM-QAfI0H0NH6vAvH9VLJJki0FnCbu/view?usp=drivesdk</v>
      </c>
      <c r="C2008" s="336" t="str">
        <f>IFERROR(__xludf.DUMMYFUNCTION("""COMPUTED_VALUE"""),"10.1037--a0016795.pdf")</f>
        <v>10.1037--a0016795.pdf</v>
      </c>
      <c r="D2008" s="156" t="str">
        <f>IFERROR(__xludf.DUMMYFUNCTION("""COMPUTED_VALUE"""),"application/pdf")</f>
        <v>application/pdf</v>
      </c>
    </row>
    <row r="2009">
      <c r="A2009" s="336" t="str">
        <f>IFERROR(__xludf.DUMMYFUNCTION("""COMPUTED_VALUE"""),"10.1038/s41598-019-57204-1")</f>
        <v>10.1038/s41598-019-57204-1</v>
      </c>
      <c r="B2009" s="442" t="str">
        <f>IFERROR(__xludf.DUMMYFUNCTION("""COMPUTED_VALUE"""),"https://drive.google.com/file/d/1-ByeeNB55CftwPMrOwFmhKHJtA2Cargu/view?usp=drivesdk")</f>
        <v>https://drive.google.com/file/d/1-ByeeNB55CftwPMrOwFmhKHJtA2Cargu/view?usp=drivesdk</v>
      </c>
      <c r="C2009" s="336" t="str">
        <f>IFERROR(__xludf.DUMMYFUNCTION("""COMPUTED_VALUE"""),"10.1038--s41598-019-57204-1.pdf")</f>
        <v>10.1038--s41598-019-57204-1.pdf</v>
      </c>
      <c r="D2009" s="156" t="str">
        <f>IFERROR(__xludf.DUMMYFUNCTION("""COMPUTED_VALUE"""),"application/pdf")</f>
        <v>application/pdf</v>
      </c>
    </row>
    <row r="2010">
      <c r="A2010" s="336" t="str">
        <f>IFERROR(__xludf.DUMMYFUNCTION("""COMPUTED_VALUE"""),"10.1037/0096-3445.132.1.3")</f>
        <v>10.1037/0096-3445.132.1.3</v>
      </c>
      <c r="B2010" s="442" t="str">
        <f>IFERROR(__xludf.DUMMYFUNCTION("""COMPUTED_VALUE"""),"https://drive.google.com/file/d/1uSaalqURvSDrwFTwn8d56akyZ5pLqmJn/view?usp=drivesdk")</f>
        <v>https://drive.google.com/file/d/1uSaalqURvSDrwFTwn8d56akyZ5pLqmJn/view?usp=drivesdk</v>
      </c>
      <c r="C2010" s="336" t="str">
        <f>IFERROR(__xludf.DUMMYFUNCTION("""COMPUTED_VALUE"""),"10.1037--0096-3445.132.1.3.pdf")</f>
        <v>10.1037--0096-3445.132.1.3.pdf</v>
      </c>
      <c r="D2010" s="156" t="str">
        <f>IFERROR(__xludf.DUMMYFUNCTION("""COMPUTED_VALUE"""),"application/pdf")</f>
        <v>application/pdf</v>
      </c>
    </row>
    <row r="2011">
      <c r="A2011" s="336" t="str">
        <f>IFERROR(__xludf.DUMMYFUNCTION("""COMPUTED_VALUE"""),"10.1016/j.cognition.2019.104157")</f>
        <v>10.1016/j.cognition.2019.104157</v>
      </c>
      <c r="B2011" s="442" t="str">
        <f>IFERROR(__xludf.DUMMYFUNCTION("""COMPUTED_VALUE"""),"https://drive.google.com/file/d/1vD03nf0a0BC3Ui7dZPBwsHBn8uBFVmTS/view?usp=drivesdk")</f>
        <v>https://drive.google.com/file/d/1vD03nf0a0BC3Ui7dZPBwsHBn8uBFVmTS/view?usp=drivesdk</v>
      </c>
      <c r="C2011" s="336" t="str">
        <f>IFERROR(__xludf.DUMMYFUNCTION("""COMPUTED_VALUE"""),"10.1016--j.cognition.2019.104157.pdf")</f>
        <v>10.1016--j.cognition.2019.104157.pdf</v>
      </c>
      <c r="D2011" s="156" t="str">
        <f>IFERROR(__xludf.DUMMYFUNCTION("""COMPUTED_VALUE"""),"application/pdf")</f>
        <v>application/pdf</v>
      </c>
    </row>
    <row r="2012">
      <c r="A2012" s="336" t="str">
        <f>IFERROR(__xludf.DUMMYFUNCTION("""COMPUTED_VALUE"""),"10.1037/a0020413")</f>
        <v>10.1037/a0020413</v>
      </c>
      <c r="B2012" s="442" t="str">
        <f>IFERROR(__xludf.DUMMYFUNCTION("""COMPUTED_VALUE"""),"https://drive.google.com/file/d/1s3htODPJ-fx2SsrGMPuuPnrS-QkOjVmW/view?usp=drivesdk")</f>
        <v>https://drive.google.com/file/d/1s3htODPJ-fx2SsrGMPuuPnrS-QkOjVmW/view?usp=drivesdk</v>
      </c>
      <c r="C2012" s="336" t="str">
        <f>IFERROR(__xludf.DUMMYFUNCTION("""COMPUTED_VALUE"""),"10.1037--a0020413.pdf")</f>
        <v>10.1037--a0020413.pdf</v>
      </c>
      <c r="D2012" s="156" t="str">
        <f>IFERROR(__xludf.DUMMYFUNCTION("""COMPUTED_VALUE"""),"application/pdf")</f>
        <v>application/pdf</v>
      </c>
    </row>
    <row r="2013">
      <c r="A2013" s="336" t="str">
        <f>IFERROR(__xludf.DUMMYFUNCTION("""COMPUTED_VALUE"""),"10.1287/orsc.2021.1456")</f>
        <v>10.1287/orsc.2021.1456</v>
      </c>
      <c r="B2013" s="442" t="str">
        <f>IFERROR(__xludf.DUMMYFUNCTION("""COMPUTED_VALUE"""),"https://drive.google.com/file/d/1AFvmNMhSk-QV-2cVhQI1IIbAhqjPhXWN/view?usp=drivesdk")</f>
        <v>https://drive.google.com/file/d/1AFvmNMhSk-QV-2cVhQI1IIbAhqjPhXWN/view?usp=drivesdk</v>
      </c>
      <c r="C2013" s="336" t="str">
        <f>IFERROR(__xludf.DUMMYFUNCTION("""COMPUTED_VALUE"""),"10.1287--orsc.2021.1456.pdf")</f>
        <v>10.1287--orsc.2021.1456.pdf</v>
      </c>
      <c r="D2013" s="156" t="str">
        <f>IFERROR(__xludf.DUMMYFUNCTION("""COMPUTED_VALUE"""),"application/pdf")</f>
        <v>application/pdf</v>
      </c>
    </row>
    <row r="2014">
      <c r="A2014" s="336" t="str">
        <f>IFERROR(__xludf.DUMMYFUNCTION("""COMPUTED_VALUE"""),"10.1016/j.jml.2006.02.004")</f>
        <v>10.1016/j.jml.2006.02.004</v>
      </c>
      <c r="B2014" s="442" t="str">
        <f>IFERROR(__xludf.DUMMYFUNCTION("""COMPUTED_VALUE"""),"https://drive.google.com/file/d/1e5Wm6ChazDKUJftaKFfLoaBKNbaofYfP/view?usp=drivesdk")</f>
        <v>https://drive.google.com/file/d/1e5Wm6ChazDKUJftaKFfLoaBKNbaofYfP/view?usp=drivesdk</v>
      </c>
      <c r="C2014" s="336" t="str">
        <f>IFERROR(__xludf.DUMMYFUNCTION("""COMPUTED_VALUE"""),"10.1016--j.jml.2006.02.004.pdf")</f>
        <v>10.1016--j.jml.2006.02.004.pdf</v>
      </c>
      <c r="D2014" s="156" t="str">
        <f>IFERROR(__xludf.DUMMYFUNCTION("""COMPUTED_VALUE"""),"application/pdf")</f>
        <v>application/pdf</v>
      </c>
    </row>
    <row r="2015">
      <c r="A2015" s="336" t="str">
        <f>IFERROR(__xludf.DUMMYFUNCTION("""COMPUTED_VALUE"""),"10.1037/xge0001195")</f>
        <v>10.1037/xge0001195</v>
      </c>
      <c r="B2015" s="442" t="str">
        <f>IFERROR(__xludf.DUMMYFUNCTION("""COMPUTED_VALUE"""),"https://drive.google.com/file/d/1v6kgKeSqXz-kIHf5HXexB2cCnGBup8pu/view?usp=drivesdk")</f>
        <v>https://drive.google.com/file/d/1v6kgKeSqXz-kIHf5HXexB2cCnGBup8pu/view?usp=drivesdk</v>
      </c>
      <c r="C2015" s="336" t="str">
        <f>IFERROR(__xludf.DUMMYFUNCTION("""COMPUTED_VALUE"""),"10.1037--xge0001195.pdf")</f>
        <v>10.1037--xge0001195.pdf</v>
      </c>
      <c r="D2015" s="156" t="str">
        <f>IFERROR(__xludf.DUMMYFUNCTION("""COMPUTED_VALUE"""),"application/pdf")</f>
        <v>application/pdf</v>
      </c>
    </row>
    <row r="2016">
      <c r="A2016" s="336" t="str">
        <f>IFERROR(__xludf.DUMMYFUNCTION("""COMPUTED_VALUE"""),"10.1111/ecin.12470")</f>
        <v>10.1111/ecin.12470</v>
      </c>
      <c r="B2016" s="442" t="str">
        <f>IFERROR(__xludf.DUMMYFUNCTION("""COMPUTED_VALUE"""),"https://drive.google.com/file/d/1_3kOREsSMo-zmS04srVes69SaYsErPmR/view?usp=drivesdk")</f>
        <v>https://drive.google.com/file/d/1_3kOREsSMo-zmS04srVes69SaYsErPmR/view?usp=drivesdk</v>
      </c>
      <c r="C2016" s="336" t="str">
        <f>IFERROR(__xludf.DUMMYFUNCTION("""COMPUTED_VALUE"""),"10.1111--ecin.12470.pdf")</f>
        <v>10.1111--ecin.12470.pdf</v>
      </c>
      <c r="D2016" s="156" t="str">
        <f>IFERROR(__xludf.DUMMYFUNCTION("""COMPUTED_VALUE"""),"application/pdf")</f>
        <v>application/pdf</v>
      </c>
    </row>
    <row r="2017">
      <c r="A2017" s="336" t="str">
        <f>IFERROR(__xludf.DUMMYFUNCTION("""COMPUTED_VALUE"""),"10.1016/j.cognition.2016.06.011")</f>
        <v>10.1016/j.cognition.2016.06.011</v>
      </c>
      <c r="B2017" s="442" t="str">
        <f>IFERROR(__xludf.DUMMYFUNCTION("""COMPUTED_VALUE"""),"https://drive.google.com/file/d/117IKlIHBXRWO7KM1helymQPvsGoEIXdX/view?usp=drivesdk")</f>
        <v>https://drive.google.com/file/d/117IKlIHBXRWO7KM1helymQPvsGoEIXdX/view?usp=drivesdk</v>
      </c>
      <c r="C2017" s="336" t="str">
        <f>IFERROR(__xludf.DUMMYFUNCTION("""COMPUTED_VALUE"""),"10.1016--j.cognition.2016.06.011.pdf")</f>
        <v>10.1016--j.cognition.2016.06.011.pdf</v>
      </c>
      <c r="D2017" s="156" t="str">
        <f>IFERROR(__xludf.DUMMYFUNCTION("""COMPUTED_VALUE"""),"application/pdf")</f>
        <v>application/pdf</v>
      </c>
    </row>
    <row r="2018">
      <c r="A2018" s="336" t="str">
        <f>IFERROR(__xludf.DUMMYFUNCTION("""COMPUTED_VALUE"""),"10.1016/j.jesp.2020.104080")</f>
        <v>10.1016/j.jesp.2020.104080</v>
      </c>
      <c r="B2018" s="442" t="str">
        <f>IFERROR(__xludf.DUMMYFUNCTION("""COMPUTED_VALUE"""),"https://drive.google.com/file/d/18nULESXZN8TdVjSkyh5ultgqH2EvBSm0/view?usp=drivesdk")</f>
        <v>https://drive.google.com/file/d/18nULESXZN8TdVjSkyh5ultgqH2EvBSm0/view?usp=drivesdk</v>
      </c>
      <c r="C2018" s="336" t="str">
        <f>IFERROR(__xludf.DUMMYFUNCTION("""COMPUTED_VALUE"""),"10.1016--j.jesp.2020.104080.pdf")</f>
        <v>10.1016--j.jesp.2020.104080.pdf</v>
      </c>
      <c r="D2018" s="156" t="str">
        <f>IFERROR(__xludf.DUMMYFUNCTION("""COMPUTED_VALUE"""),"application/pdf")</f>
        <v>application/pdf</v>
      </c>
    </row>
    <row r="2019">
      <c r="A2019" s="336" t="str">
        <f>IFERROR(__xludf.DUMMYFUNCTION("""COMPUTED_VALUE"""),"10.1037/0022-3514.94.3.396 (1)")</f>
        <v>10.1037/0022-3514.94.3.396 (1)</v>
      </c>
      <c r="B2019" s="442" t="str">
        <f>IFERROR(__xludf.DUMMYFUNCTION("""COMPUTED_VALUE"""),"https://drive.google.com/file/d/1mWjj8mxrG8UD8YXr2nZ-cGzIZBtUwLal/view?usp=drivesdk")</f>
        <v>https://drive.google.com/file/d/1mWjj8mxrG8UD8YXr2nZ-cGzIZBtUwLal/view?usp=drivesdk</v>
      </c>
      <c r="C2019" s="336" t="str">
        <f>IFERROR(__xludf.DUMMYFUNCTION("""COMPUTED_VALUE"""),"10.1037--0022-3514.94.3.396 (1).pdf")</f>
        <v>10.1037--0022-3514.94.3.396 (1).pdf</v>
      </c>
      <c r="D2019" s="156" t="str">
        <f>IFERROR(__xludf.DUMMYFUNCTION("""COMPUTED_VALUE"""),"application/pdf")</f>
        <v>application/pdf</v>
      </c>
    </row>
    <row r="2020">
      <c r="A2020" s="336" t="str">
        <f>IFERROR(__xludf.DUMMYFUNCTION("""COMPUTED_VALUE"""),"10.1038/s41598-018-30314-y")</f>
        <v>10.1038/s41598-018-30314-y</v>
      </c>
      <c r="B2020" s="442" t="str">
        <f>IFERROR(__xludf.DUMMYFUNCTION("""COMPUTED_VALUE"""),"https://drive.google.com/file/d/1RLxYB-xp9gCuylzG8fMEpa5rGt6OdoMh/view?usp=drivesdk")</f>
        <v>https://drive.google.com/file/d/1RLxYB-xp9gCuylzG8fMEpa5rGt6OdoMh/view?usp=drivesdk</v>
      </c>
      <c r="C2020" s="336" t="str">
        <f>IFERROR(__xludf.DUMMYFUNCTION("""COMPUTED_VALUE"""),"10.1038--s41598-018-30314-y.pdf")</f>
        <v>10.1038--s41598-018-30314-y.pdf</v>
      </c>
      <c r="D2020" s="156" t="str">
        <f>IFERROR(__xludf.DUMMYFUNCTION("""COMPUTED_VALUE"""),"application/pdf")</f>
        <v>application/pdf</v>
      </c>
    </row>
    <row r="2021">
      <c r="A2021" s="336" t="str">
        <f>IFERROR(__xludf.DUMMYFUNCTION("""COMPUTED_VALUE"""),"10.1177/0956797616639727")</f>
        <v>10.1177/0956797616639727</v>
      </c>
      <c r="B2021" s="442" t="str">
        <f>IFERROR(__xludf.DUMMYFUNCTION("""COMPUTED_VALUE"""),"https://drive.google.com/file/d/1_UEC3DvYLPby3ewaxAHguC5Mm0ainire/view?usp=drivesdk")</f>
        <v>https://drive.google.com/file/d/1_UEC3DvYLPby3ewaxAHguC5Mm0ainire/view?usp=drivesdk</v>
      </c>
      <c r="C2021" s="336" t="str">
        <f>IFERROR(__xludf.DUMMYFUNCTION("""COMPUTED_VALUE"""),"10.1177--0956797616639727.pdf")</f>
        <v>10.1177--0956797616639727.pdf</v>
      </c>
      <c r="D2021" s="156" t="str">
        <f>IFERROR(__xludf.DUMMYFUNCTION("""COMPUTED_VALUE"""),"application/pdf")</f>
        <v>application/pdf</v>
      </c>
    </row>
    <row r="2022">
      <c r="A2022" s="336" t="str">
        <f>IFERROR(__xludf.DUMMYFUNCTION("""COMPUTED_VALUE"""),"10.1111/j.1467-9280.2006.01780.x")</f>
        <v>10.1111/j.1467-9280.2006.01780.x</v>
      </c>
      <c r="B2022" s="442" t="str">
        <f>IFERROR(__xludf.DUMMYFUNCTION("""COMPUTED_VALUE"""),"https://drive.google.com/file/d/1OF9OzNZ0RezTr91hWpWHMHWrXH9SCFAS/view?usp=drivesdk")</f>
        <v>https://drive.google.com/file/d/1OF9OzNZ0RezTr91hWpWHMHWrXH9SCFAS/view?usp=drivesdk</v>
      </c>
      <c r="C2022" s="336" t="str">
        <f>IFERROR(__xludf.DUMMYFUNCTION("""COMPUTED_VALUE"""),"10.1111--j.1467-9280.2006.01780.x.pdf")</f>
        <v>10.1111--j.1467-9280.2006.01780.x.pdf</v>
      </c>
      <c r="D2022" s="156" t="str">
        <f>IFERROR(__xludf.DUMMYFUNCTION("""COMPUTED_VALUE"""),"application/pdf")</f>
        <v>application/pdf</v>
      </c>
    </row>
    <row r="2023">
      <c r="A2023" s="336" t="str">
        <f>IFERROR(__xludf.DUMMYFUNCTION("""COMPUTED_VALUE"""),"10.1016/j.cognition.2007.11.004 (1)")</f>
        <v>10.1016/j.cognition.2007.11.004 (1)</v>
      </c>
      <c r="B2023" s="442" t="str">
        <f>IFERROR(__xludf.DUMMYFUNCTION("""COMPUTED_VALUE"""),"https://drive.google.com/file/d/1PBwDmwqcYcLTkNyF1ED4xCFTmb4mHrLr/view?usp=drivesdk")</f>
        <v>https://drive.google.com/file/d/1PBwDmwqcYcLTkNyF1ED4xCFTmb4mHrLr/view?usp=drivesdk</v>
      </c>
      <c r="C2023" s="336" t="str">
        <f>IFERROR(__xludf.DUMMYFUNCTION("""COMPUTED_VALUE"""),"10.1016--j.cognition.2007.11.004 (1).pdf")</f>
        <v>10.1016--j.cognition.2007.11.004 (1).pdf</v>
      </c>
      <c r="D2023" s="156" t="str">
        <f>IFERROR(__xludf.DUMMYFUNCTION("""COMPUTED_VALUE"""),"application/pdf")</f>
        <v>application/pdf</v>
      </c>
    </row>
    <row r="2024">
      <c r="A2024" s="336" t="str">
        <f>IFERROR(__xludf.DUMMYFUNCTION("""COMPUTED_VALUE"""),"10.1037/a0031047")</f>
        <v>10.1037/a0031047</v>
      </c>
      <c r="B2024" s="442" t="str">
        <f>IFERROR(__xludf.DUMMYFUNCTION("""COMPUTED_VALUE"""),"https://drive.google.com/file/d/1zdQKRoaKTgqYFpQsFj5QvQQ6FD0ed3fh/view?usp=drivesdk")</f>
        <v>https://drive.google.com/file/d/1zdQKRoaKTgqYFpQsFj5QvQQ6FD0ed3fh/view?usp=drivesdk</v>
      </c>
      <c r="C2024" s="336" t="str">
        <f>IFERROR(__xludf.DUMMYFUNCTION("""COMPUTED_VALUE"""),"10.1037--a0031047.pdf")</f>
        <v>10.1037--a0031047.pdf</v>
      </c>
      <c r="D2024" s="156" t="str">
        <f>IFERROR(__xludf.DUMMYFUNCTION("""COMPUTED_VALUE"""),"application/pdf")</f>
        <v>application/pdf</v>
      </c>
    </row>
    <row r="2025">
      <c r="A2025" s="336" t="str">
        <f>IFERROR(__xludf.DUMMYFUNCTION("""COMPUTED_VALUE"""),"10.1093/geronb/gbx099")</f>
        <v>10.1093/geronb/gbx099</v>
      </c>
      <c r="B2025" s="442" t="str">
        <f>IFERROR(__xludf.DUMMYFUNCTION("""COMPUTED_VALUE"""),"https://drive.google.com/file/d/1Y64s8GHxNrRvDcvruC4sJnxL8xzdZcO-/view?usp=drivesdk")</f>
        <v>https://drive.google.com/file/d/1Y64s8GHxNrRvDcvruC4sJnxL8xzdZcO-/view?usp=drivesdk</v>
      </c>
      <c r="C2025" s="336" t="str">
        <f>IFERROR(__xludf.DUMMYFUNCTION("""COMPUTED_VALUE"""),"10.1093--geronb--gbx099.pdf")</f>
        <v>10.1093--geronb--gbx099.pdf</v>
      </c>
      <c r="D2025" s="156" t="str">
        <f>IFERROR(__xludf.DUMMYFUNCTION("""COMPUTED_VALUE"""),"application/pdf")</f>
        <v>application/pdf</v>
      </c>
    </row>
    <row r="2026">
      <c r="A2026" s="336" t="str">
        <f>IFERROR(__xludf.DUMMYFUNCTION("""COMPUTED_VALUE"""),"10.1037/a0035663")</f>
        <v>10.1037/a0035663</v>
      </c>
      <c r="B2026" s="442" t="str">
        <f>IFERROR(__xludf.DUMMYFUNCTION("""COMPUTED_VALUE"""),"https://drive.google.com/file/d/1CjT1O6wWYuXyGwX2IDXgjfNdv5kWTW3m/view?usp=drivesdk")</f>
        <v>https://drive.google.com/file/d/1CjT1O6wWYuXyGwX2IDXgjfNdv5kWTW3m/view?usp=drivesdk</v>
      </c>
      <c r="C2026" s="336" t="str">
        <f>IFERROR(__xludf.DUMMYFUNCTION("""COMPUTED_VALUE"""),"10.1037--a0035663.pdf")</f>
        <v>10.1037--a0035663.pdf</v>
      </c>
      <c r="D2026" s="156" t="str">
        <f>IFERROR(__xludf.DUMMYFUNCTION("""COMPUTED_VALUE"""),"application/pdf")</f>
        <v>application/pdf</v>
      </c>
    </row>
    <row r="2027">
      <c r="A2027" s="336" t="str">
        <f>IFERROR(__xludf.DUMMYFUNCTION("""COMPUTED_VALUE"""),"10.1016/0010-0285(83)90002-6")</f>
        <v>10.1016/0010-0285(83)90002-6</v>
      </c>
      <c r="B2027" s="442" t="str">
        <f>IFERROR(__xludf.DUMMYFUNCTION("""COMPUTED_VALUE"""),"https://drive.google.com/file/d/1VK50exEXQ_rClong6zFoFteT2CKKkjmO/view?usp=drivesdk")</f>
        <v>https://drive.google.com/file/d/1VK50exEXQ_rClong6zFoFteT2CKKkjmO/view?usp=drivesdk</v>
      </c>
      <c r="C2027" s="336" t="str">
        <f>IFERROR(__xludf.DUMMYFUNCTION("""COMPUTED_VALUE"""),"10.1016--0010-0285(83)90002-6.pdf")</f>
        <v>10.1016--0010-0285(83)90002-6.pdf</v>
      </c>
      <c r="D2027" s="156" t="str">
        <f>IFERROR(__xludf.DUMMYFUNCTION("""COMPUTED_VALUE"""),"application/pdf")</f>
        <v>application/pdf</v>
      </c>
    </row>
    <row r="2028">
      <c r="A2028" s="336" t="str">
        <f>IFERROR(__xludf.DUMMYFUNCTION("""COMPUTED_VALUE"""),"10.1016/j.jesp.2020.104019")</f>
        <v>10.1016/j.jesp.2020.104019</v>
      </c>
      <c r="B2028" s="442" t="str">
        <f>IFERROR(__xludf.DUMMYFUNCTION("""COMPUTED_VALUE"""),"https://drive.google.com/file/d/1HOPgbT8B7cSul5cTHeEI8GnCvj5F-kiw/view?usp=drivesdk")</f>
        <v>https://drive.google.com/file/d/1HOPgbT8B7cSul5cTHeEI8GnCvj5F-kiw/view?usp=drivesdk</v>
      </c>
      <c r="C2028" s="336" t="str">
        <f>IFERROR(__xludf.DUMMYFUNCTION("""COMPUTED_VALUE"""),"10.1016--j.jesp.2020.104019.pdf")</f>
        <v>10.1016--j.jesp.2020.104019.pdf</v>
      </c>
      <c r="D2028" s="156" t="str">
        <f>IFERROR(__xludf.DUMMYFUNCTION("""COMPUTED_VALUE"""),"application/pdf")</f>
        <v>application/pdf</v>
      </c>
    </row>
    <row r="2029">
      <c r="A2029" s="336" t="str">
        <f>IFERROR(__xludf.DUMMYFUNCTION("""COMPUTED_VALUE"""),"10.1038/nn.2889")</f>
        <v>10.1038/nn.2889</v>
      </c>
      <c r="B2029" s="442" t="str">
        <f>IFERROR(__xludf.DUMMYFUNCTION("""COMPUTED_VALUE"""),"https://drive.google.com/file/d/1MkAewK7ChXvXFt_yHeQBeosTp7ozsocw/view?usp=drivesdk")</f>
        <v>https://drive.google.com/file/d/1MkAewK7ChXvXFt_yHeQBeosTp7ozsocw/view?usp=drivesdk</v>
      </c>
      <c r="C2029" s="336" t="str">
        <f>IFERROR(__xludf.DUMMYFUNCTION("""COMPUTED_VALUE"""),"10.1038--nn.2889.pdf")</f>
        <v>10.1038--nn.2889.pdf</v>
      </c>
      <c r="D2029" s="156" t="str">
        <f>IFERROR(__xludf.DUMMYFUNCTION("""COMPUTED_VALUE"""),"application/pdf")</f>
        <v>application/pdf</v>
      </c>
    </row>
    <row r="2030">
      <c r="A2030" s="336" t="str">
        <f>IFERROR(__xludf.DUMMYFUNCTION("""COMPUTED_VALUE"""),"10.1371/journal.pone.0154854")</f>
        <v>10.1371/journal.pone.0154854</v>
      </c>
      <c r="B2030" s="442" t="str">
        <f>IFERROR(__xludf.DUMMYFUNCTION("""COMPUTED_VALUE"""),"https://drive.google.com/file/d/1-nd1hGa7j_Vwr7C63vLyw8Doq1Jw9jdo/view?usp=drivesdk")</f>
        <v>https://drive.google.com/file/d/1-nd1hGa7j_Vwr7C63vLyw8Doq1Jw9jdo/view?usp=drivesdk</v>
      </c>
      <c r="C2030" s="336" t="str">
        <f>IFERROR(__xludf.DUMMYFUNCTION("""COMPUTED_VALUE"""),"10.1371--journal.pone.0154854.pdf")</f>
        <v>10.1371--journal.pone.0154854.pdf</v>
      </c>
      <c r="D2030" s="156" t="str">
        <f>IFERROR(__xludf.DUMMYFUNCTION("""COMPUTED_VALUE"""),"application/pdf")</f>
        <v>application/pdf</v>
      </c>
    </row>
    <row r="2031">
      <c r="A2031" s="336" t="str">
        <f>IFERROR(__xludf.DUMMYFUNCTION("""COMPUTED_VALUE"""),"10.1371/journal.pone.0071475")</f>
        <v>10.1371/journal.pone.0071475</v>
      </c>
      <c r="B2031" s="442" t="str">
        <f>IFERROR(__xludf.DUMMYFUNCTION("""COMPUTED_VALUE"""),"https://drive.google.com/file/d/10y7q496AX6_0sM8VYpwXFE_CfW3qWVER/view?usp=drivesdk")</f>
        <v>https://drive.google.com/file/d/10y7q496AX6_0sM8VYpwXFE_CfW3qWVER/view?usp=drivesdk</v>
      </c>
      <c r="C2031" s="336" t="str">
        <f>IFERROR(__xludf.DUMMYFUNCTION("""COMPUTED_VALUE"""),"10.1371--journal.pone.0071475.pdf")</f>
        <v>10.1371--journal.pone.0071475.pdf</v>
      </c>
      <c r="D2031" s="156" t="str">
        <f>IFERROR(__xludf.DUMMYFUNCTION("""COMPUTED_VALUE"""),"application/pdf")</f>
        <v>application/pdf</v>
      </c>
    </row>
    <row r="2032">
      <c r="A2032" s="336" t="str">
        <f>IFERROR(__xludf.DUMMYFUNCTION("""COMPUTED_VALUE"""),"10.1037/0022-3514.94.2.94.2.231 (1)")</f>
        <v>10.1037/0022-3514.94.2.94.2.231 (1)</v>
      </c>
      <c r="B2032" s="442" t="str">
        <f>IFERROR(__xludf.DUMMYFUNCTION("""COMPUTED_VALUE"""),"https://drive.google.com/file/d/1WGpgshHGpD4awyCYpmOwaF0Lo9g6Tii3/view?usp=drivesdk")</f>
        <v>https://drive.google.com/file/d/1WGpgshHGpD4awyCYpmOwaF0Lo9g6Tii3/view?usp=drivesdk</v>
      </c>
      <c r="C2032" s="336" t="str">
        <f>IFERROR(__xludf.DUMMYFUNCTION("""COMPUTED_VALUE"""),"10.1037--0022-3514.94.2.94.2.231 (1).pdf")</f>
        <v>10.1037--0022-3514.94.2.94.2.231 (1).pdf</v>
      </c>
      <c r="D2032" s="156" t="str">
        <f>IFERROR(__xludf.DUMMYFUNCTION("""COMPUTED_VALUE"""),"application/pdf")</f>
        <v>application/pdf</v>
      </c>
    </row>
    <row r="2033">
      <c r="A2033" s="336" t="str">
        <f>IFERROR(__xludf.DUMMYFUNCTION("""COMPUTED_VALUE"""),"10.1037/0022-3514.94.3.495 (1)")</f>
        <v>10.1037/0022-3514.94.3.495 (1)</v>
      </c>
      <c r="B2033" s="442" t="str">
        <f>IFERROR(__xludf.DUMMYFUNCTION("""COMPUTED_VALUE"""),"https://drive.google.com/file/d/1uk4nyW4cAjESveKk9dlxcAUonbl9IHNU/view?usp=drivesdk")</f>
        <v>https://drive.google.com/file/d/1uk4nyW4cAjESveKk9dlxcAUonbl9IHNU/view?usp=drivesdk</v>
      </c>
      <c r="C2033" s="336" t="str">
        <f>IFERROR(__xludf.DUMMYFUNCTION("""COMPUTED_VALUE"""),"10.1037--0022-3514.94.3.495 (1).pdf")</f>
        <v>10.1037--0022-3514.94.3.495 (1).pdf</v>
      </c>
      <c r="D2033" s="156" t="str">
        <f>IFERROR(__xludf.DUMMYFUNCTION("""COMPUTED_VALUE"""),"application/pdf")</f>
        <v>application/pdf</v>
      </c>
    </row>
    <row r="2034">
      <c r="A2034" s="336" t="str">
        <f>IFERROR(__xludf.DUMMYFUNCTION("""COMPUTED_VALUE"""),"10.1037/rev0000175")</f>
        <v>10.1037/rev0000175</v>
      </c>
      <c r="B2034" s="442" t="str">
        <f>IFERROR(__xludf.DUMMYFUNCTION("""COMPUTED_VALUE"""),"https://drive.google.com/file/d/1nonM8jExC1mVvcGqlH7dSp0-DAzLBLtm/view?usp=drivesdk")</f>
        <v>https://drive.google.com/file/d/1nonM8jExC1mVvcGqlH7dSp0-DAzLBLtm/view?usp=drivesdk</v>
      </c>
      <c r="C2034" s="336" t="str">
        <f>IFERROR(__xludf.DUMMYFUNCTION("""COMPUTED_VALUE"""),"10.1037--rev0000175.pdf")</f>
        <v>10.1037--rev0000175.pdf</v>
      </c>
      <c r="D2034" s="156" t="str">
        <f>IFERROR(__xludf.DUMMYFUNCTION("""COMPUTED_VALUE"""),"application/pdf")</f>
        <v>application/pdf</v>
      </c>
    </row>
    <row r="2035">
      <c r="A2035" s="336" t="str">
        <f>IFERROR(__xludf.DUMMYFUNCTION("""COMPUTED_VALUE"""),"djärv_2018")</f>
        <v>djärv_2018</v>
      </c>
      <c r="B2035" s="442" t="str">
        <f>IFERROR(__xludf.DUMMYFUNCTION("""COMPUTED_VALUE"""),"https://drive.google.com/file/d/1G_aU3PGCjrrMgJwOfzq2w1nbmT82GsuJ/view?usp=drivesdk")</f>
        <v>https://drive.google.com/file/d/1G_aU3PGCjrrMgJwOfzq2w1nbmT82GsuJ/view?usp=drivesdk</v>
      </c>
      <c r="C2035" s="336" t="str">
        <f>IFERROR(__xludf.DUMMYFUNCTION("""COMPUTED_VALUE"""),"Djärv_2018.pdf")</f>
        <v>Djärv_2018.pdf</v>
      </c>
      <c r="D2035" s="156" t="str">
        <f>IFERROR(__xludf.DUMMYFUNCTION("""COMPUTED_VALUE"""),"application/pdf")</f>
        <v>application/pdf</v>
      </c>
    </row>
    <row r="2036">
      <c r="A2036" s="336" t="str">
        <f>IFERROR(__xludf.DUMMYFUNCTION("""COMPUTED_VALUE"""),"10.1016/j.neuroimage.2009.09.024")</f>
        <v>10.1016/j.neuroimage.2009.09.024</v>
      </c>
      <c r="B2036" s="442" t="str">
        <f>IFERROR(__xludf.DUMMYFUNCTION("""COMPUTED_VALUE"""),"https://drive.google.com/file/d/1X_Hzp8yt2P-QO2WO8iH4EPgoVRh7R4xM/view?usp=drivesdk")</f>
        <v>https://drive.google.com/file/d/1X_Hzp8yt2P-QO2WO8iH4EPgoVRh7R4xM/view?usp=drivesdk</v>
      </c>
      <c r="C2036" s="336" t="str">
        <f>IFERROR(__xludf.DUMMYFUNCTION("""COMPUTED_VALUE"""),"10.1016--j.neuroimage.2009.09.024.pdf")</f>
        <v>10.1016--j.neuroimage.2009.09.024.pdf</v>
      </c>
      <c r="D2036" s="156" t="str">
        <f>IFERROR(__xludf.DUMMYFUNCTION("""COMPUTED_VALUE"""),"application/pdf")</f>
        <v>application/pdf</v>
      </c>
    </row>
    <row r="2037">
      <c r="A2037" s="336" t="str">
        <f>IFERROR(__xludf.DUMMYFUNCTION("""COMPUTED_VALUE"""),"10.1016/j.neuron.2011.02.027")</f>
        <v>10.1016/j.neuron.2011.02.027</v>
      </c>
      <c r="B2037" s="442" t="str">
        <f>IFERROR(__xludf.DUMMYFUNCTION("""COMPUTED_VALUE"""),"https://drive.google.com/file/d/1VgMcBc_Zck2mNomOuS1CZVLBzdiV_nWC/view?usp=drivesdk")</f>
        <v>https://drive.google.com/file/d/1VgMcBc_Zck2mNomOuS1CZVLBzdiV_nWC/view?usp=drivesdk</v>
      </c>
      <c r="C2037" s="336" t="str">
        <f>IFERROR(__xludf.DUMMYFUNCTION("""COMPUTED_VALUE"""),"10.1016--j.neuron.2011.02.027.pdf")</f>
        <v>10.1016--j.neuron.2011.02.027.pdf</v>
      </c>
      <c r="D2037" s="156" t="str">
        <f>IFERROR(__xludf.DUMMYFUNCTION("""COMPUTED_VALUE"""),"application/pdf")</f>
        <v>application/pdf</v>
      </c>
    </row>
    <row r="2038">
      <c r="A2038" s="336" t="str">
        <f>IFERROR(__xludf.DUMMYFUNCTION("""COMPUTED_VALUE"""),"10.1086/511799")</f>
        <v>10.1086/511799</v>
      </c>
      <c r="B2038" s="442" t="str">
        <f>IFERROR(__xludf.DUMMYFUNCTION("""COMPUTED_VALUE"""),"https://drive.google.com/file/d/1kVWNkPYWfpPoaNfzdmDoKO9zV0jbI67W/view?usp=drivesdk")</f>
        <v>https://drive.google.com/file/d/1kVWNkPYWfpPoaNfzdmDoKO9zV0jbI67W/view?usp=drivesdk</v>
      </c>
      <c r="C2038" s="336" t="str">
        <f>IFERROR(__xludf.DUMMYFUNCTION("""COMPUTED_VALUE"""),"10.1086--511799.pdf")</f>
        <v>10.1086--511799.pdf</v>
      </c>
      <c r="D2038" s="156" t="str">
        <f>IFERROR(__xludf.DUMMYFUNCTION("""COMPUTED_VALUE"""),"application/pdf")</f>
        <v>application/pdf</v>
      </c>
    </row>
    <row r="2039">
      <c r="A2039" s="336" t="str">
        <f>IFERROR(__xludf.DUMMYFUNCTION("""COMPUTED_VALUE"""),"chopra_2019")</f>
        <v>chopra_2019</v>
      </c>
      <c r="B2039" s="442" t="str">
        <f>IFERROR(__xludf.DUMMYFUNCTION("""COMPUTED_VALUE"""),"https://drive.google.com/file/d/1O7HDXxuStHcKBDqiToq3TS5-_eHNMncg/view?usp=drivesdk")</f>
        <v>https://drive.google.com/file/d/1O7HDXxuStHcKBDqiToq3TS5-_eHNMncg/view?usp=drivesdk</v>
      </c>
      <c r="C2039" s="336" t="str">
        <f>IFERROR(__xludf.DUMMYFUNCTION("""COMPUTED_VALUE"""),"Chopra_2019.pdf")</f>
        <v>Chopra_2019.pdf</v>
      </c>
      <c r="D2039" s="156" t="str">
        <f>IFERROR(__xludf.DUMMYFUNCTION("""COMPUTED_VALUE"""),"application/pdf")</f>
        <v>application/pdf</v>
      </c>
    </row>
    <row r="2040">
      <c r="A2040" s="336" t="str">
        <f>IFERROR(__xludf.DUMMYFUNCTION("""COMPUTED_VALUE"""),"10.1111/cogs.12176")</f>
        <v>10.1111/cogs.12176</v>
      </c>
      <c r="B2040" s="442" t="str">
        <f>IFERROR(__xludf.DUMMYFUNCTION("""COMPUTED_VALUE"""),"https://drive.google.com/file/d/1noF0-gFXnE925nL0unfvsQ-ANlXov76A/view?usp=drivesdk")</f>
        <v>https://drive.google.com/file/d/1noF0-gFXnE925nL0unfvsQ-ANlXov76A/view?usp=drivesdk</v>
      </c>
      <c r="C2040" s="336" t="str">
        <f>IFERROR(__xludf.DUMMYFUNCTION("""COMPUTED_VALUE"""),"10.1111--cogs.12176.pdf")</f>
        <v>10.1111--cogs.12176.pdf</v>
      </c>
      <c r="D2040" s="156" t="str">
        <f>IFERROR(__xludf.DUMMYFUNCTION("""COMPUTED_VALUE"""),"application/pdf")</f>
        <v>application/pdf</v>
      </c>
    </row>
    <row r="2041">
      <c r="A2041" s="336" t="str">
        <f>IFERROR(__xludf.DUMMYFUNCTION("""COMPUTED_VALUE"""),"10.1111/j.1467-9280.2007.01909.x")</f>
        <v>10.1111/j.1467-9280.2007.01909.x</v>
      </c>
      <c r="B2041" s="442" t="str">
        <f>IFERROR(__xludf.DUMMYFUNCTION("""COMPUTED_VALUE"""),"https://drive.google.com/file/d/1vWGgcW4pZ3FoyQKsaRTBIF-qNoze2NOS/view?usp=drivesdk")</f>
        <v>https://drive.google.com/file/d/1vWGgcW4pZ3FoyQKsaRTBIF-qNoze2NOS/view?usp=drivesdk</v>
      </c>
      <c r="C2041" s="336" t="str">
        <f>IFERROR(__xludf.DUMMYFUNCTION("""COMPUTED_VALUE"""),"10.1111--j.1467-9280.2007.01909.x.pdf")</f>
        <v>10.1111--j.1467-9280.2007.01909.x.pdf</v>
      </c>
      <c r="D2041" s="156" t="str">
        <f>IFERROR(__xludf.DUMMYFUNCTION("""COMPUTED_VALUE"""),"application/pdf")</f>
        <v>application/pdf</v>
      </c>
    </row>
    <row r="2042">
      <c r="A2042" s="336" t="str">
        <f>IFERROR(__xludf.DUMMYFUNCTION("""COMPUTED_VALUE"""),"reuter_2011")</f>
        <v>reuter_2011</v>
      </c>
      <c r="B2042" s="442" t="str">
        <f>IFERROR(__xludf.DUMMYFUNCTION("""COMPUTED_VALUE"""),"https://drive.google.com/file/d/1nawDDcezi9BHAhC1PTTKlP-I0li92yxh/view?usp=drivesdk")</f>
        <v>https://drive.google.com/file/d/1nawDDcezi9BHAhC1PTTKlP-I0li92yxh/view?usp=drivesdk</v>
      </c>
      <c r="C2042" s="336" t="str">
        <f>IFERROR(__xludf.DUMMYFUNCTION("""COMPUTED_VALUE"""),"Reuter_2011.pdf")</f>
        <v>Reuter_2011.pdf</v>
      </c>
      <c r="D2042" s="156" t="str">
        <f>IFERROR(__xludf.DUMMYFUNCTION("""COMPUTED_VALUE"""),"application/pdf")</f>
        <v>application/pdf</v>
      </c>
    </row>
    <row r="2043">
      <c r="A2043" s="336" t="str">
        <f>IFERROR(__xludf.DUMMYFUNCTION("""COMPUTED_VALUE"""),"10.5840/jphil20111081238")</f>
        <v>10.5840/jphil20111081238</v>
      </c>
      <c r="B2043" s="442" t="str">
        <f>IFERROR(__xludf.DUMMYFUNCTION("""COMPUTED_VALUE"""),"https://drive.google.com/file/d/1-XMlXEjoIspJ3kqVPF-O6pr1PklAU4DF/view?usp=drivesdk")</f>
        <v>https://drive.google.com/file/d/1-XMlXEjoIspJ3kqVPF-O6pr1PklAU4DF/view?usp=drivesdk</v>
      </c>
      <c r="C2043" s="336" t="str">
        <f>IFERROR(__xludf.DUMMYFUNCTION("""COMPUTED_VALUE"""),"10.5840--jphil20111081238.pdf")</f>
        <v>10.5840--jphil20111081238.pdf</v>
      </c>
      <c r="D2043" s="156" t="str">
        <f>IFERROR(__xludf.DUMMYFUNCTION("""COMPUTED_VALUE"""),"application/pdf")</f>
        <v>application/pdf</v>
      </c>
    </row>
    <row r="2044">
      <c r="A2044" s="336" t="str">
        <f>IFERROR(__xludf.DUMMYFUNCTION("""COMPUTED_VALUE"""),"10.5840/jphil20091061128")</f>
        <v>10.5840/jphil20091061128</v>
      </c>
      <c r="B2044" s="442" t="str">
        <f>IFERROR(__xludf.DUMMYFUNCTION("""COMPUTED_VALUE"""),"https://drive.google.com/file/d/1iPMC-k9xrxfHtNZFhdKSSGpPAPPmY3J4/view?usp=drivesdk")</f>
        <v>https://drive.google.com/file/d/1iPMC-k9xrxfHtNZFhdKSSGpPAPPmY3J4/view?usp=drivesdk</v>
      </c>
      <c r="C2044" s="336" t="str">
        <f>IFERROR(__xludf.DUMMYFUNCTION("""COMPUTED_VALUE"""),"10.5840--jphil20091061128.pdf")</f>
        <v>10.5840--jphil20091061128.pdf</v>
      </c>
      <c r="D2044" s="156" t="str">
        <f>IFERROR(__xludf.DUMMYFUNCTION("""COMPUTED_VALUE"""),"application/pdf")</f>
        <v>application/pdf</v>
      </c>
    </row>
    <row r="2045">
      <c r="A2045" s="336" t="str">
        <f>IFERROR(__xludf.DUMMYFUNCTION("""COMPUTED_VALUE"""),"10.1111/j.1467-8284.2004.00481.x")</f>
        <v>10.1111/j.1467-8284.2004.00481.x</v>
      </c>
      <c r="B2045" s="442" t="str">
        <f>IFERROR(__xludf.DUMMYFUNCTION("""COMPUTED_VALUE"""),"https://drive.google.com/file/d/1KEBKYl19fq4HtJxW3DL6KczxjYJ94hp2/view?usp=drivesdk")</f>
        <v>https://drive.google.com/file/d/1KEBKYl19fq4HtJxW3DL6KczxjYJ94hp2/view?usp=drivesdk</v>
      </c>
      <c r="C2045" s="336" t="str">
        <f>IFERROR(__xludf.DUMMYFUNCTION("""COMPUTED_VALUE"""),"10.1111--j.1467-8284.2004.00481.x.pdf")</f>
        <v>10.1111--j.1467-8284.2004.00481.x.pdf</v>
      </c>
      <c r="D2045" s="156" t="str">
        <f>IFERROR(__xludf.DUMMYFUNCTION("""COMPUTED_VALUE"""),"application/pdf")</f>
        <v>application/pdf</v>
      </c>
    </row>
    <row r="2046">
      <c r="A2046" s="336" t="str">
        <f>IFERROR(__xludf.DUMMYFUNCTION("""COMPUTED_VALUE"""),"10.1111/1467-8284.00419")</f>
        <v>10.1111/1467-8284.00419</v>
      </c>
      <c r="B2046" s="442" t="str">
        <f>IFERROR(__xludf.DUMMYFUNCTION("""COMPUTED_VALUE"""),"https://drive.google.com/file/d/10xyzPhQJ8BoXAmXBEBA_mIn8qqh_KbTE/view?usp=drivesdk")</f>
        <v>https://drive.google.com/file/d/10xyzPhQJ8BoXAmXBEBA_mIn8qqh_KbTE/view?usp=drivesdk</v>
      </c>
      <c r="C2046" s="336" t="str">
        <f>IFERROR(__xludf.DUMMYFUNCTION("""COMPUTED_VALUE"""),"10.1111--1467-8284.00419.pdf")</f>
        <v>10.1111--1467-8284.00419.pdf</v>
      </c>
      <c r="D2046" s="156" t="str">
        <f>IFERROR(__xludf.DUMMYFUNCTION("""COMPUTED_VALUE"""),"application/pdf")</f>
        <v>application/pdf</v>
      </c>
    </row>
    <row r="2047">
      <c r="A2047" s="336" t="str">
        <f>IFERROR(__xludf.DUMMYFUNCTION("""COMPUTED_VALUE"""),"10.1177/0956797609359908 (1)")</f>
        <v>10.1177/0956797609359908 (1)</v>
      </c>
      <c r="B2047" s="442" t="str">
        <f>IFERROR(__xludf.DUMMYFUNCTION("""COMPUTED_VALUE"""),"https://drive.google.com/file/d/1S2villzYudFC9-TeVhxXKsxBqLRSgA1s/view?usp=drivesdk")</f>
        <v>https://drive.google.com/file/d/1S2villzYudFC9-TeVhxXKsxBqLRSgA1s/view?usp=drivesdk</v>
      </c>
      <c r="C2047" s="336" t="str">
        <f>IFERROR(__xludf.DUMMYFUNCTION("""COMPUTED_VALUE"""),"10.1177--0956797609359908 (1).pdf")</f>
        <v>10.1177--0956797609359908 (1).pdf</v>
      </c>
      <c r="D2047" s="156" t="str">
        <f>IFERROR(__xludf.DUMMYFUNCTION("""COMPUTED_VALUE"""),"application/pdf")</f>
        <v>application/pdf</v>
      </c>
    </row>
    <row r="2048">
      <c r="A2048" s="336" t="str">
        <f>IFERROR(__xludf.DUMMYFUNCTION("""COMPUTED_VALUE"""),"10.1111/1467- 9280.00334")</f>
        <v>10.1111/1467- 9280.00334</v>
      </c>
      <c r="B2048" s="442" t="str">
        <f>IFERROR(__xludf.DUMMYFUNCTION("""COMPUTED_VALUE"""),"https://drive.google.com/file/d/124BmUuJPp02lcLBvH8AsEmEsbphUT5fW/view?usp=drivesdk")</f>
        <v>https://drive.google.com/file/d/124BmUuJPp02lcLBvH8AsEmEsbphUT5fW/view?usp=drivesdk</v>
      </c>
      <c r="C2048" s="336" t="str">
        <f>IFERROR(__xludf.DUMMYFUNCTION("""COMPUTED_VALUE"""),"10.1111--1467- 9280.00334.pdf")</f>
        <v>10.1111--1467- 9280.00334.pdf</v>
      </c>
      <c r="D2048" s="156" t="str">
        <f>IFERROR(__xludf.DUMMYFUNCTION("""COMPUTED_VALUE"""),"application/pdf")</f>
        <v>application/pdf</v>
      </c>
    </row>
    <row r="2049">
      <c r="A2049" s="336" t="str">
        <f>IFERROR(__xludf.DUMMYFUNCTION("""COMPUTED_VALUE"""),"10.1037/0096- 3445.136.4.569")</f>
        <v>10.1037/0096- 3445.136.4.569</v>
      </c>
      <c r="B2049" s="442" t="str">
        <f>IFERROR(__xludf.DUMMYFUNCTION("""COMPUTED_VALUE"""),"https://drive.google.com/file/d/1HAhZicYSIRv7N-8s64Lp9_8_UnTnmDSR/view?usp=drivesdk")</f>
        <v>https://drive.google.com/file/d/1HAhZicYSIRv7N-8s64Lp9_8_UnTnmDSR/view?usp=drivesdk</v>
      </c>
      <c r="C2049" s="336" t="str">
        <f>IFERROR(__xludf.DUMMYFUNCTION("""COMPUTED_VALUE"""),"10.1037--0096- 3445.136.4.569.pdf")</f>
        <v>10.1037--0096- 3445.136.4.569.pdf</v>
      </c>
      <c r="D2049" s="156" t="str">
        <f>IFERROR(__xludf.DUMMYFUNCTION("""COMPUTED_VALUE"""),"application/pdf")</f>
        <v>application/pdf</v>
      </c>
    </row>
    <row r="2050">
      <c r="A2050" s="336" t="str">
        <f>IFERROR(__xludf.DUMMYFUNCTION("""COMPUTED_VALUE"""),"tverskygati_1978")</f>
        <v>tverskygati_1978</v>
      </c>
      <c r="B2050" s="442" t="str">
        <f>IFERROR(__xludf.DUMMYFUNCTION("""COMPUTED_VALUE"""),"https://drive.google.com/file/d/1KQ3HceHXpPMAET83TvUhFe9qSsDbMT1k/view?usp=drivesdk")</f>
        <v>https://drive.google.com/file/d/1KQ3HceHXpPMAET83TvUhFe9qSsDbMT1k/view?usp=drivesdk</v>
      </c>
      <c r="C2050" s="336" t="str">
        <f>IFERROR(__xludf.DUMMYFUNCTION("""COMPUTED_VALUE"""),"TverskyGati_1978.pdf")</f>
        <v>TverskyGati_1978.pdf</v>
      </c>
      <c r="D2050" s="156" t="str">
        <f>IFERROR(__xludf.DUMMYFUNCTION("""COMPUTED_VALUE"""),"application/pdf")</f>
        <v>application/pdf</v>
      </c>
    </row>
    <row r="2051">
      <c r="A2051" s="336" t="str">
        <f>IFERROR(__xludf.DUMMYFUNCTION("""COMPUTED_VALUE"""),"10.1016/j .obhdp.2006.10.001")</f>
        <v>10.1016/j .obhdp.2006.10.001</v>
      </c>
      <c r="B2051" s="442" t="str">
        <f>IFERROR(__xludf.DUMMYFUNCTION("""COMPUTED_VALUE"""),"https://drive.google.com/file/d/1APm26rD_UpSxwv_f7ANPXDv5utKWJ7q3/view?usp=drivesdk")</f>
        <v>https://drive.google.com/file/d/1APm26rD_UpSxwv_f7ANPXDv5utKWJ7q3/view?usp=drivesdk</v>
      </c>
      <c r="C2051" s="336" t="str">
        <f>IFERROR(__xludf.DUMMYFUNCTION("""COMPUTED_VALUE"""),"10.1016--j .obhdp.2006.10.001.pdf")</f>
        <v>10.1016--j .obhdp.2006.10.001.pdf</v>
      </c>
      <c r="D2051" s="156" t="str">
        <f>IFERROR(__xludf.DUMMYFUNCTION("""COMPUTED_VALUE"""),"application/pdf")</f>
        <v>application/pdf</v>
      </c>
    </row>
    <row r="2052">
      <c r="A2052" s="336" t="str">
        <f>IFERROR(__xludf.DUMMYFUNCTION("""COMPUTED_VALUE"""),"10.1207/ s15516709cog2605_4")</f>
        <v>10.1207/ s15516709cog2605_4</v>
      </c>
      <c r="B2052" s="442" t="str">
        <f>IFERROR(__xludf.DUMMYFUNCTION("""COMPUTED_VALUE"""),"https://drive.google.com/file/d/1EqB8fMj26KyIHeW4JSKwYFh3F2LTTq5t/view?usp=drivesdk")</f>
        <v>https://drive.google.com/file/d/1EqB8fMj26KyIHeW4JSKwYFh3F2LTTq5t/view?usp=drivesdk</v>
      </c>
      <c r="C2052" s="336" t="str">
        <f>IFERROR(__xludf.DUMMYFUNCTION("""COMPUTED_VALUE"""),"10.1207-- s15516709cog2605_4.pdf")</f>
        <v>10.1207-- s15516709cog2605_4.pdf</v>
      </c>
      <c r="D2052" s="156" t="str">
        <f>IFERROR(__xludf.DUMMYFUNCTION("""COMPUTED_VALUE"""),"application/pdf")</f>
        <v>application/pdf</v>
      </c>
    </row>
    <row r="2053">
      <c r="A2053" s="336" t="str">
        <f>IFERROR(__xludf.DUMMYFUNCTION("""COMPUTED_VALUE"""),"10.1111/ j.1468-0017.2006.00297.x")</f>
        <v>10.1111/ j.1468-0017.2006.00297.x</v>
      </c>
      <c r="B2053" s="442" t="str">
        <f>IFERROR(__xludf.DUMMYFUNCTION("""COMPUTED_VALUE"""),"https://drive.google.com/file/d/1H2OS8Rk6wh8PVpv13iom_WUpLu0fEeBU/view?usp=drivesdk")</f>
        <v>https://drive.google.com/file/d/1H2OS8Rk6wh8PVpv13iom_WUpLu0fEeBU/view?usp=drivesdk</v>
      </c>
      <c r="C2053" s="336" t="str">
        <f>IFERROR(__xludf.DUMMYFUNCTION("""COMPUTED_VALUE"""),"10.1111-- j.1468-0017.2006.00297.x.pdf")</f>
        <v>10.1111-- j.1468-0017.2006.00297.x.pdf</v>
      </c>
      <c r="D2053" s="156" t="str">
        <f>IFERROR(__xludf.DUMMYFUNCTION("""COMPUTED_VALUE"""),"application/pdf")</f>
        <v>application/pdf</v>
      </c>
    </row>
    <row r="2054">
      <c r="A2054" s="336" t="str">
        <f>IFERROR(__xludf.DUMMYFUNCTION("""COMPUTED_VALUE"""),"10.1086/269239")</f>
        <v>10.1086/269239</v>
      </c>
      <c r="B2054" s="442" t="str">
        <f>IFERROR(__xludf.DUMMYFUNCTION("""COMPUTED_VALUE"""),"https://drive.google.com/file/d/1Wa36K9XT0urN9xsiAgUftQdgL9C9HECn/view?usp=drivesdk")</f>
        <v>https://drive.google.com/file/d/1Wa36K9XT0urN9xsiAgUftQdgL9C9HECn/view?usp=drivesdk</v>
      </c>
      <c r="C2054" s="336" t="str">
        <f>IFERROR(__xludf.DUMMYFUNCTION("""COMPUTED_VALUE"""),"10.1086--269239.pdf")</f>
        <v>10.1086--269239.pdf</v>
      </c>
      <c r="D2054" s="156" t="str">
        <f>IFERROR(__xludf.DUMMYFUNCTION("""COMPUTED_VALUE"""),"application/pdf")</f>
        <v>application/pdf</v>
      </c>
    </row>
    <row r="2055">
      <c r="A2055" s="336" t="str">
        <f>IFERROR(__xludf.DUMMYFUNCTION("""COMPUTED_VALUE"""),"10.1111/j.1467-9280.2006.01824.x")</f>
        <v>10.1111/j.1467-9280.2006.01824.x</v>
      </c>
      <c r="B2055" s="442" t="str">
        <f>IFERROR(__xludf.DUMMYFUNCTION("""COMPUTED_VALUE"""),"https://drive.google.com/file/d/14h-UnLvc59XK91wSbRiIAUMtz5chtiz5/view?usp=drivesdk")</f>
        <v>https://drive.google.com/file/d/14h-UnLvc59XK91wSbRiIAUMtz5chtiz5/view?usp=drivesdk</v>
      </c>
      <c r="C2055" s="336" t="str">
        <f>IFERROR(__xludf.DUMMYFUNCTION("""COMPUTED_VALUE"""),"10.1111--j.1467-9280.2006.01824.x.pdf")</f>
        <v>10.1111--j.1467-9280.2006.01824.x.pdf</v>
      </c>
      <c r="D2055" s="156" t="str">
        <f>IFERROR(__xludf.DUMMYFUNCTION("""COMPUTED_VALUE"""),"application/pdf")</f>
        <v>application/pdf</v>
      </c>
    </row>
    <row r="2056">
      <c r="A2056" s="336" t="str">
        <f>IFERROR(__xludf.DUMMYFUNCTION("""COMPUTED_VALUE"""),"10.1027/1864-9335/a000147")</f>
        <v>10.1027/1864-9335/a000147</v>
      </c>
      <c r="B2056" s="442" t="str">
        <f>IFERROR(__xludf.DUMMYFUNCTION("""COMPUTED_VALUE"""),"https://drive.google.com/file/d/1Nb1xwSCq02ajI3h9-mZBwiuifn_7H1iR/view?usp=drivesdk")</f>
        <v>https://drive.google.com/file/d/1Nb1xwSCq02ajI3h9-mZBwiuifn_7H1iR/view?usp=drivesdk</v>
      </c>
      <c r="C2056" s="336" t="str">
        <f>IFERROR(__xludf.DUMMYFUNCTION("""COMPUTED_VALUE"""),"10.1027--1864-9335--a000147.pdf")</f>
        <v>10.1027--1864-9335--a000147.pdf</v>
      </c>
      <c r="D2056" s="156" t="str">
        <f>IFERROR(__xludf.DUMMYFUNCTION("""COMPUTED_VALUE"""),"application/pdf")</f>
        <v>application/pdf</v>
      </c>
    </row>
    <row r="2057">
      <c r="A2057" s="336" t="str">
        <f>IFERROR(__xludf.DUMMYFUNCTION("""COMPUTED_VALUE"""),"10.1017/s1930297500001170")</f>
        <v>10.1017/s1930297500001170</v>
      </c>
      <c r="B2057" s="442" t="str">
        <f>IFERROR(__xludf.DUMMYFUNCTION("""COMPUTED_VALUE"""),"https://drive.google.com/file/d/1htcfPlWHtz8E91jbq14ETkimhcWUSyMj/view?usp=drivesdk")</f>
        <v>https://drive.google.com/file/d/1htcfPlWHtz8E91jbq14ETkimhcWUSyMj/view?usp=drivesdk</v>
      </c>
      <c r="C2057" s="336" t="str">
        <f>IFERROR(__xludf.DUMMYFUNCTION("""COMPUTED_VALUE"""),"10.1017--S1930297500001170.pdf")</f>
        <v>10.1017--S1930297500001170.pdf</v>
      </c>
      <c r="D2057" s="156" t="str">
        <f>IFERROR(__xludf.DUMMYFUNCTION("""COMPUTED_VALUE"""),"application/pdf")</f>
        <v>application/pdf</v>
      </c>
    </row>
    <row r="2058">
      <c r="A2058" s="336" t="str">
        <f>IFERROR(__xludf.DUMMYFUNCTION("""COMPUTED_VALUE"""),"10.1086/268936")</f>
        <v>10.1086/268936</v>
      </c>
      <c r="B2058" s="442" t="str">
        <f>IFERROR(__xludf.DUMMYFUNCTION("""COMPUTED_VALUE"""),"https://drive.google.com/file/d/151z21j0N9goJiyhqVea_1u4UA83qXS6l/view?usp=drivesdk")</f>
        <v>https://drive.google.com/file/d/151z21j0N9goJiyhqVea_1u4UA83qXS6l/view?usp=drivesdk</v>
      </c>
      <c r="C2058" s="336" t="str">
        <f>IFERROR(__xludf.DUMMYFUNCTION("""COMPUTED_VALUE"""),"10.1086--268936.pdf")</f>
        <v>10.1086--268936.pdf</v>
      </c>
      <c r="D2058" s="156" t="str">
        <f>IFERROR(__xludf.DUMMYFUNCTION("""COMPUTED_VALUE"""),"application/pdf")</f>
        <v>application/pdf</v>
      </c>
    </row>
    <row r="2059">
      <c r="A2059" s="336" t="str">
        <f>IFERROR(__xludf.DUMMYFUNCTION("""COMPUTED_VALUE"""),"10.1111/j.1467-9280.2008.02051.x")</f>
        <v>10.1111/j.1467-9280.2008.02051.x</v>
      </c>
      <c r="B2059" s="442" t="str">
        <f>IFERROR(__xludf.DUMMYFUNCTION("""COMPUTED_VALUE"""),"https://drive.google.com/file/d/1XqhWmKG3ZvoLJmLnPSVfonhhVjkaOyOo/view?usp=drivesdk")</f>
        <v>https://drive.google.com/file/d/1XqhWmKG3ZvoLJmLnPSVfonhhVjkaOyOo/view?usp=drivesdk</v>
      </c>
      <c r="C2059" s="336" t="str">
        <f>IFERROR(__xludf.DUMMYFUNCTION("""COMPUTED_VALUE"""),"10.1111--j.1467-9280.2008.02051.x.pdf")</f>
        <v>10.1111--j.1467-9280.2008.02051.x.pdf</v>
      </c>
      <c r="D2059" s="156" t="str">
        <f>IFERROR(__xludf.DUMMYFUNCTION("""COMPUTED_VALUE"""),"application/pdf")</f>
        <v>application/pdf</v>
      </c>
    </row>
    <row r="2060">
      <c r="A2060" s="336" t="str">
        <f>IFERROR(__xludf.DUMMYFUNCTION("""COMPUTED_VALUE"""),"10.1111/j.1467-9280.2008.02067.x")</f>
        <v>10.1111/j.1467-9280.2008.02067.x</v>
      </c>
      <c r="B2060" s="442" t="str">
        <f>IFERROR(__xludf.DUMMYFUNCTION("""COMPUTED_VALUE"""),"https://drive.google.com/file/d/1MGnCE7goqJ_cEkFuDi-kMu34wrO-f2Oo/view?usp=drivesdk")</f>
        <v>https://drive.google.com/file/d/1MGnCE7goqJ_cEkFuDi-kMu34wrO-f2Oo/view?usp=drivesdk</v>
      </c>
      <c r="C2060" s="336" t="str">
        <f>IFERROR(__xludf.DUMMYFUNCTION("""COMPUTED_VALUE"""),"10.1111--j.1467-9280.2008.02067.x.pdf")</f>
        <v>10.1111--j.1467-9280.2008.02067.x.pdf</v>
      </c>
      <c r="D2060" s="156" t="str">
        <f>IFERROR(__xludf.DUMMYFUNCTION("""COMPUTED_VALUE"""),"application/pdf")</f>
        <v>application/pdf</v>
      </c>
    </row>
    <row r="2061">
      <c r="A2061" s="336" t="str">
        <f>IFERROR(__xludf.DUMMYFUNCTION("""COMPUTED_VALUE"""),"10.1111/j.1467-9280.2008.02039.x")</f>
        <v>10.1111/j.1467-9280.2008.02039.x</v>
      </c>
      <c r="B2061" s="442" t="str">
        <f>IFERROR(__xludf.DUMMYFUNCTION("""COMPUTED_VALUE"""),"https://drive.google.com/file/d/17yvRZkdBULPZU-hy9QprgZuJeonQfAel/view?usp=drivesdk")</f>
        <v>https://drive.google.com/file/d/17yvRZkdBULPZU-hy9QprgZuJeonQfAel/view?usp=drivesdk</v>
      </c>
      <c r="C2061" s="336" t="str">
        <f>IFERROR(__xludf.DUMMYFUNCTION("""COMPUTED_VALUE"""),"10.1111--j.1467-9280.2008.02039.x.pdf")</f>
        <v>10.1111--j.1467-9280.2008.02039.x.pdf</v>
      </c>
      <c r="D2061" s="156" t="str">
        <f>IFERROR(__xludf.DUMMYFUNCTION("""COMPUTED_VALUE"""),"application/pdf")</f>
        <v>application/pdf</v>
      </c>
    </row>
    <row r="2062">
      <c r="A2062" s="336" t="str">
        <f>IFERROR(__xludf.DUMMYFUNCTION("""COMPUTED_VALUE"""),"10.1111/j.1467-9280.2008.02037.x")</f>
        <v>10.1111/j.1467-9280.2008.02037.x</v>
      </c>
      <c r="B2062" s="442" t="str">
        <f>IFERROR(__xludf.DUMMYFUNCTION("""COMPUTED_VALUE"""),"https://drive.google.com/file/d/1QF3uA9_pwrWOzXdkZ1UyE6QcFceppW3C/view?usp=drivesdk")</f>
        <v>https://drive.google.com/file/d/1QF3uA9_pwrWOzXdkZ1UyE6QcFceppW3C/view?usp=drivesdk</v>
      </c>
      <c r="C2062" s="336" t="str">
        <f>IFERROR(__xludf.DUMMYFUNCTION("""COMPUTED_VALUE"""),"10.1111--j.1467-9280.2008.02037.x.pdf")</f>
        <v>10.1111--j.1467-9280.2008.02037.x.pdf</v>
      </c>
      <c r="D2062" s="156" t="str">
        <f>IFERROR(__xludf.DUMMYFUNCTION("""COMPUTED_VALUE"""),"application/pdf")</f>
        <v>application/pdf</v>
      </c>
    </row>
    <row r="2063">
      <c r="A2063" s="336" t="str">
        <f>IFERROR(__xludf.DUMMYFUNCTION("""COMPUTED_VALUE"""),"10.1111/j.1467-9280.2008.02079.x")</f>
        <v>10.1111/j.1467-9280.2008.02079.x</v>
      </c>
      <c r="B2063" s="442" t="str">
        <f>IFERROR(__xludf.DUMMYFUNCTION("""COMPUTED_VALUE"""),"https://drive.google.com/file/d/1L6r7Is4dN-Wh4wY-_mmmCPEDR_wsVjkO/view?usp=drivesdk")</f>
        <v>https://drive.google.com/file/d/1L6r7Is4dN-Wh4wY-_mmmCPEDR_wsVjkO/view?usp=drivesdk</v>
      </c>
      <c r="C2063" s="336" t="str">
        <f>IFERROR(__xludf.DUMMYFUNCTION("""COMPUTED_VALUE"""),"10.1111--j.1467-9280.2008.02079.x.pdf")</f>
        <v>10.1111--j.1467-9280.2008.02079.x.pdf</v>
      </c>
      <c r="D2063" s="156" t="str">
        <f>IFERROR(__xludf.DUMMYFUNCTION("""COMPUTED_VALUE"""),"application/pdf")</f>
        <v>application/pdf</v>
      </c>
    </row>
    <row r="2064">
      <c r="A2064" s="336" t="str">
        <f>IFERROR(__xludf.DUMMYFUNCTION("""COMPUTED_VALUE"""),"10.1111/j.1467-9280.2008.02081.x")</f>
        <v>10.1111/j.1467-9280.2008.02081.x</v>
      </c>
      <c r="B2064" s="442" t="str">
        <f>IFERROR(__xludf.DUMMYFUNCTION("""COMPUTED_VALUE"""),"https://drive.google.com/file/d/1xJDFi9AZRlHlZ8zxZ8pogfKFGSJiXpeB/view?usp=drivesdk")</f>
        <v>https://drive.google.com/file/d/1xJDFi9AZRlHlZ8zxZ8pogfKFGSJiXpeB/view?usp=drivesdk</v>
      </c>
      <c r="C2064" s="336" t="str">
        <f>IFERROR(__xludf.DUMMYFUNCTION("""COMPUTED_VALUE"""),"10.1111--j.1467-9280.2008.02081.x.pdf")</f>
        <v>10.1111--j.1467-9280.2008.02081.x.pdf</v>
      </c>
      <c r="D2064" s="156" t="str">
        <f>IFERROR(__xludf.DUMMYFUNCTION("""COMPUTED_VALUE"""),"application/pdf")</f>
        <v>application/pdf</v>
      </c>
    </row>
    <row r="2065">
      <c r="A2065" s="336" t="str">
        <f>IFERROR(__xludf.DUMMYFUNCTION("""COMPUTED_VALUE"""),"10.1111/j.1467-9280.2008.02090.x")</f>
        <v>10.1111/j.1467-9280.2008.02090.x</v>
      </c>
      <c r="B2065" s="442" t="str">
        <f>IFERROR(__xludf.DUMMYFUNCTION("""COMPUTED_VALUE"""),"https://drive.google.com/file/d/1L4wamJsRPsyXxKeW3GaFCUieXSvb00LA/view?usp=drivesdk")</f>
        <v>https://drive.google.com/file/d/1L4wamJsRPsyXxKeW3GaFCUieXSvb00LA/view?usp=drivesdk</v>
      </c>
      <c r="C2065" s="336" t="str">
        <f>IFERROR(__xludf.DUMMYFUNCTION("""COMPUTED_VALUE"""),"10.1111--j.1467-9280.2008.02090.x.pdf")</f>
        <v>10.1111--j.1467-9280.2008.02090.x.pdf</v>
      </c>
      <c r="D2065" s="156" t="str">
        <f>IFERROR(__xludf.DUMMYFUNCTION("""COMPUTED_VALUE"""),"application/pdf")</f>
        <v>application/pdf</v>
      </c>
    </row>
    <row r="2066">
      <c r="A2066" s="336" t="str">
        <f>IFERROR(__xludf.DUMMYFUNCTION("""COMPUTED_VALUE"""),"10.1111/j.1467-9280.2008.02038.x")</f>
        <v>10.1111/j.1467-9280.2008.02038.x</v>
      </c>
      <c r="B2066" s="442" t="str">
        <f>IFERROR(__xludf.DUMMYFUNCTION("""COMPUTED_VALUE"""),"https://drive.google.com/file/d/11dnTmqa4ngMJOr32H46bjdjydQPpSfqT/view?usp=drivesdk")</f>
        <v>https://drive.google.com/file/d/11dnTmqa4ngMJOr32H46bjdjydQPpSfqT/view?usp=drivesdk</v>
      </c>
      <c r="C2066" s="336" t="str">
        <f>IFERROR(__xludf.DUMMYFUNCTION("""COMPUTED_VALUE"""),"10.1111--j.1467-9280.2008.02038.x.pdf")</f>
        <v>10.1111--j.1467-9280.2008.02038.x.pdf</v>
      </c>
      <c r="D2066" s="156" t="str">
        <f>IFERROR(__xludf.DUMMYFUNCTION("""COMPUTED_VALUE"""),"application/pdf")</f>
        <v>application/pdf</v>
      </c>
    </row>
    <row r="2067">
      <c r="A2067" s="336" t="str">
        <f>IFERROR(__xludf.DUMMYFUNCTION("""COMPUTED_VALUE"""),"10.1111/j.1467-9280.2008.02042.x")</f>
        <v>10.1111/j.1467-9280.2008.02042.x</v>
      </c>
      <c r="B2067" s="442" t="str">
        <f>IFERROR(__xludf.DUMMYFUNCTION("""COMPUTED_VALUE"""),"https://drive.google.com/file/d/1HlSsul-f2PZvtm7eAB3JNvLefgA9BMVI/view?usp=drivesdk")</f>
        <v>https://drive.google.com/file/d/1HlSsul-f2PZvtm7eAB3JNvLefgA9BMVI/view?usp=drivesdk</v>
      </c>
      <c r="C2067" s="336" t="str">
        <f>IFERROR(__xludf.DUMMYFUNCTION("""COMPUTED_VALUE"""),"10.1111--j.1467-9280.2008.02042.x.pdf")</f>
        <v>10.1111--j.1467-9280.2008.02042.x.pdf</v>
      </c>
      <c r="D2067" s="156" t="str">
        <f>IFERROR(__xludf.DUMMYFUNCTION("""COMPUTED_VALUE"""),"application/pdf")</f>
        <v>application/pdf</v>
      </c>
    </row>
    <row r="2068">
      <c r="A2068" s="336" t="str">
        <f>IFERROR(__xludf.DUMMYFUNCTION("""COMPUTED_VALUE"""),"10.1111/j.1467-9280.2008.02071.x")</f>
        <v>10.1111/j.1467-9280.2008.02071.x</v>
      </c>
      <c r="B2068" s="442" t="str">
        <f>IFERROR(__xludf.DUMMYFUNCTION("""COMPUTED_VALUE"""),"https://drive.google.com/file/d/1tYHVLCainLtOj9rVkmXJWVeSI6ydEAvX/view?usp=drivesdk")</f>
        <v>https://drive.google.com/file/d/1tYHVLCainLtOj9rVkmXJWVeSI6ydEAvX/view?usp=drivesdk</v>
      </c>
      <c r="C2068" s="336" t="str">
        <f>IFERROR(__xludf.DUMMYFUNCTION("""COMPUTED_VALUE"""),"10.1111--j.1467-9280.2008.02071.x.pdf")</f>
        <v>10.1111--j.1467-9280.2008.02071.x.pdf</v>
      </c>
      <c r="D2068" s="156" t="str">
        <f>IFERROR(__xludf.DUMMYFUNCTION("""COMPUTED_VALUE"""),"application/pdf")</f>
        <v>application/pdf</v>
      </c>
    </row>
    <row r="2069">
      <c r="A2069" s="336" t="str">
        <f>IFERROR(__xludf.DUMMYFUNCTION("""COMPUTED_VALUE"""),"10.1111/j.1467-9280.2008.02085.x")</f>
        <v>10.1111/j.1467-9280.2008.02085.x</v>
      </c>
      <c r="B2069" s="442" t="str">
        <f>IFERROR(__xludf.DUMMYFUNCTION("""COMPUTED_VALUE"""),"https://drive.google.com/file/d/1-FUitYcnAKMu52rxwYLJUGd9TwUYmGfa/view?usp=drivesdk")</f>
        <v>https://drive.google.com/file/d/1-FUitYcnAKMu52rxwYLJUGd9TwUYmGfa/view?usp=drivesdk</v>
      </c>
      <c r="C2069" s="336" t="str">
        <f>IFERROR(__xludf.DUMMYFUNCTION("""COMPUTED_VALUE"""),"10.1111--j.1467-9280.2008.02085.x.pdf")</f>
        <v>10.1111--j.1467-9280.2008.02085.x.pdf</v>
      </c>
      <c r="D2069" s="156" t="str">
        <f>IFERROR(__xludf.DUMMYFUNCTION("""COMPUTED_VALUE"""),"application/pdf")</f>
        <v>application/pdf</v>
      </c>
    </row>
    <row r="2070">
      <c r="A2070" s="336" t="str">
        <f>IFERROR(__xludf.DUMMYFUNCTION("""COMPUTED_VALUE"""),"10.1111/j.1467-9280.2008.02049.x")</f>
        <v>10.1111/j.1467-9280.2008.02049.x</v>
      </c>
      <c r="B2070" s="442" t="str">
        <f>IFERROR(__xludf.DUMMYFUNCTION("""COMPUTED_VALUE"""),"https://drive.google.com/file/d/1H1LGxInHGwZQlib48Sk8tAS3t5eXTLL_/view?usp=drivesdk")</f>
        <v>https://drive.google.com/file/d/1H1LGxInHGwZQlib48Sk8tAS3t5eXTLL_/view?usp=drivesdk</v>
      </c>
      <c r="C2070" s="336" t="str">
        <f>IFERROR(__xludf.DUMMYFUNCTION("""COMPUTED_VALUE"""),"10.1111--j.1467-9280.2008.02049.x.pdf")</f>
        <v>10.1111--j.1467-9280.2008.02049.x.pdf</v>
      </c>
      <c r="D2070" s="156" t="str">
        <f>IFERROR(__xludf.DUMMYFUNCTION("""COMPUTED_VALUE"""),"application/pdf")</f>
        <v>application/pdf</v>
      </c>
    </row>
    <row r="2071">
      <c r="A2071" s="336" t="str">
        <f>IFERROR(__xludf.DUMMYFUNCTION("""COMPUTED_VALUE"""),"10.1111/j.1467-9280.2008.02055.x")</f>
        <v>10.1111/j.1467-9280.2008.02055.x</v>
      </c>
      <c r="B2071" s="442" t="str">
        <f>IFERROR(__xludf.DUMMYFUNCTION("""COMPUTED_VALUE"""),"https://drive.google.com/file/d/1biYeTzhPqrassKU32rFpIQXkmaCzUR_H/view?usp=drivesdk")</f>
        <v>https://drive.google.com/file/d/1biYeTzhPqrassKU32rFpIQXkmaCzUR_H/view?usp=drivesdk</v>
      </c>
      <c r="C2071" s="336" t="str">
        <f>IFERROR(__xludf.DUMMYFUNCTION("""COMPUTED_VALUE"""),"10.1111--j.1467-9280.2008.02055.x.pdf")</f>
        <v>10.1111--j.1467-9280.2008.02055.x.pdf</v>
      </c>
      <c r="D2071" s="156" t="str">
        <f>IFERROR(__xludf.DUMMYFUNCTION("""COMPUTED_VALUE"""),"application/pdf")</f>
        <v>application/pdf</v>
      </c>
    </row>
    <row r="2072">
      <c r="A2072" s="336" t="str">
        <f>IFERROR(__xludf.DUMMYFUNCTION("""COMPUTED_VALUE"""),"10.1111/j.1467-9280.2008.02044.x")</f>
        <v>10.1111/j.1467-9280.2008.02044.x</v>
      </c>
      <c r="B2072" s="442" t="str">
        <f>IFERROR(__xludf.DUMMYFUNCTION("""COMPUTED_VALUE"""),"https://drive.google.com/file/d/1OXOz_E9VpKDoMyophO2ymVaA6QjHkMCY/view?usp=drivesdk")</f>
        <v>https://drive.google.com/file/d/1OXOz_E9VpKDoMyophO2ymVaA6QjHkMCY/view?usp=drivesdk</v>
      </c>
      <c r="C2072" s="336" t="str">
        <f>IFERROR(__xludf.DUMMYFUNCTION("""COMPUTED_VALUE"""),"10.1111--j.1467-9280.2008.02044.x.pdf")</f>
        <v>10.1111--j.1467-9280.2008.02044.x.pdf</v>
      </c>
      <c r="D2072" s="156" t="str">
        <f>IFERROR(__xludf.DUMMYFUNCTION("""COMPUTED_VALUE"""),"application/pdf")</f>
        <v>application/pdf</v>
      </c>
    </row>
    <row r="2073">
      <c r="A2073" s="336" t="str">
        <f>IFERROR(__xludf.DUMMYFUNCTION("""COMPUTED_VALUE"""),"10.1111/j.1467-9280.2008.02060.x")</f>
        <v>10.1111/j.1467-9280.2008.02060.x</v>
      </c>
      <c r="B2073" s="442" t="str">
        <f>IFERROR(__xludf.DUMMYFUNCTION("""COMPUTED_VALUE"""),"https://drive.google.com/file/d/1lRP53zTo3VPT-PsO3ntfyg-tGbdQtIIK/view?usp=drivesdk")</f>
        <v>https://drive.google.com/file/d/1lRP53zTo3VPT-PsO3ntfyg-tGbdQtIIK/view?usp=drivesdk</v>
      </c>
      <c r="C2073" s="336" t="str">
        <f>IFERROR(__xludf.DUMMYFUNCTION("""COMPUTED_VALUE"""),"10.1111--j.1467-9280.2008.02060.x.pdf")</f>
        <v>10.1111--j.1467-9280.2008.02060.x.pdf</v>
      </c>
      <c r="D2073" s="156" t="str">
        <f>IFERROR(__xludf.DUMMYFUNCTION("""COMPUTED_VALUE"""),"application/pdf")</f>
        <v>application/pdf</v>
      </c>
    </row>
    <row r="2074">
      <c r="A2074" s="336" t="str">
        <f>IFERROR(__xludf.DUMMYFUNCTION("""COMPUTED_VALUE"""),"10.1111/j.1467-9280.2008.02073.x")</f>
        <v>10.1111/j.1467-9280.2008.02073.x</v>
      </c>
      <c r="B2074" s="442" t="str">
        <f>IFERROR(__xludf.DUMMYFUNCTION("""COMPUTED_VALUE"""),"https://drive.google.com/file/d/1-AugkAi762Vn2PNN5xd7FoQQ9st-F4p9/view?usp=drivesdk")</f>
        <v>https://drive.google.com/file/d/1-AugkAi762Vn2PNN5xd7FoQQ9st-F4p9/view?usp=drivesdk</v>
      </c>
      <c r="C2074" s="336" t="str">
        <f>IFERROR(__xludf.DUMMYFUNCTION("""COMPUTED_VALUE"""),"10.1111--j.1467-9280.2008.02073.x.pdf")</f>
        <v>10.1111--j.1467-9280.2008.02073.x.pdf</v>
      </c>
      <c r="D2074" s="156" t="str">
        <f>IFERROR(__xludf.DUMMYFUNCTION("""COMPUTED_VALUE"""),"application/pdf")</f>
        <v>application/pdf</v>
      </c>
    </row>
    <row r="2075">
      <c r="A2075" s="336" t="str">
        <f>IFERROR(__xludf.DUMMYFUNCTION("""COMPUTED_VALUE"""),"10.1111/j.1467-9280.2008.02070.x")</f>
        <v>10.1111/j.1467-9280.2008.02070.x</v>
      </c>
      <c r="B2075" s="442" t="str">
        <f>IFERROR(__xludf.DUMMYFUNCTION("""COMPUTED_VALUE"""),"https://drive.google.com/file/d/1uCFFMA_-qokNXypcjNJCz-kIkPjXgKuT/view?usp=drivesdk")</f>
        <v>https://drive.google.com/file/d/1uCFFMA_-qokNXypcjNJCz-kIkPjXgKuT/view?usp=drivesdk</v>
      </c>
      <c r="C2075" s="336" t="str">
        <f>IFERROR(__xludf.DUMMYFUNCTION("""COMPUTED_VALUE"""),"10.1111--j.1467-9280.2008.02070.x.pdf")</f>
        <v>10.1111--j.1467-9280.2008.02070.x.pdf</v>
      </c>
      <c r="D2075" s="156" t="str">
        <f>IFERROR(__xludf.DUMMYFUNCTION("""COMPUTED_VALUE"""),"application/pdf")</f>
        <v>application/pdf</v>
      </c>
    </row>
    <row r="2076">
      <c r="A2076" s="336" t="str">
        <f>IFERROR(__xludf.DUMMYFUNCTION("""COMPUTED_VALUE"""),"10.1111/j.1467-9280.2008.02056.x")</f>
        <v>10.1111/j.1467-9280.2008.02056.x</v>
      </c>
      <c r="B2076" s="442" t="str">
        <f>IFERROR(__xludf.DUMMYFUNCTION("""COMPUTED_VALUE"""),"https://drive.google.com/file/d/1kdZLBkUApDss7ySLJK034jl3rTKemhnJ/view?usp=drivesdk")</f>
        <v>https://drive.google.com/file/d/1kdZLBkUApDss7ySLJK034jl3rTKemhnJ/view?usp=drivesdk</v>
      </c>
      <c r="C2076" s="336" t="str">
        <f>IFERROR(__xludf.DUMMYFUNCTION("""COMPUTED_VALUE"""),"10.1111--j.1467-9280.2008.02056.x.pdf")</f>
        <v>10.1111--j.1467-9280.2008.02056.x.pdf</v>
      </c>
      <c r="D2076" s="156" t="str">
        <f>IFERROR(__xludf.DUMMYFUNCTION("""COMPUTED_VALUE"""),"application/pdf")</f>
        <v>application/pdf</v>
      </c>
    </row>
    <row r="2077">
      <c r="A2077" s="336" t="str">
        <f>IFERROR(__xludf.DUMMYFUNCTION("""COMPUTED_VALUE"""),"10.1111/j.1467-9280.2008.02088.x")</f>
        <v>10.1111/j.1467-9280.2008.02088.x</v>
      </c>
      <c r="B2077" s="442" t="str">
        <f>IFERROR(__xludf.DUMMYFUNCTION("""COMPUTED_VALUE"""),"https://drive.google.com/file/d/1WfPribPjrUnNwdjyMLceAC2yV6uOwcIj/view?usp=drivesdk")</f>
        <v>https://drive.google.com/file/d/1WfPribPjrUnNwdjyMLceAC2yV6uOwcIj/view?usp=drivesdk</v>
      </c>
      <c r="C2077" s="336" t="str">
        <f>IFERROR(__xludf.DUMMYFUNCTION("""COMPUTED_VALUE"""),"10.1111--j.1467-9280.2008.02088.x.pdf")</f>
        <v>10.1111--j.1467-9280.2008.02088.x.pdf</v>
      </c>
      <c r="D2077" s="156" t="str">
        <f>IFERROR(__xludf.DUMMYFUNCTION("""COMPUTED_VALUE"""),"application/pdf")</f>
        <v>application/pdf</v>
      </c>
    </row>
    <row r="2078">
      <c r="A2078" s="336" t="str">
        <f>IFERROR(__xludf.DUMMYFUNCTION("""COMPUTED_VALUE"""),"10.1111/j.1467-9280.2008.02082.x")</f>
        <v>10.1111/j.1467-9280.2008.02082.x</v>
      </c>
      <c r="B2078" s="442" t="str">
        <f>IFERROR(__xludf.DUMMYFUNCTION("""COMPUTED_VALUE"""),"https://drive.google.com/file/d/1gRhKC7-YLt04IbuMzSP47N5GlLulLnyP/view?usp=drivesdk")</f>
        <v>https://drive.google.com/file/d/1gRhKC7-YLt04IbuMzSP47N5GlLulLnyP/view?usp=drivesdk</v>
      </c>
      <c r="C2078" s="336" t="str">
        <f>IFERROR(__xludf.DUMMYFUNCTION("""COMPUTED_VALUE"""),"10.1111--j.1467-9280.2008.02082.x.pdf")</f>
        <v>10.1111--j.1467-9280.2008.02082.x.pdf</v>
      </c>
      <c r="D2078" s="156" t="str">
        <f>IFERROR(__xludf.DUMMYFUNCTION("""COMPUTED_VALUE"""),"application/pdf")</f>
        <v>application/pdf</v>
      </c>
    </row>
    <row r="2079">
      <c r="A2079" s="336" t="str">
        <f>IFERROR(__xludf.DUMMYFUNCTION("""COMPUTED_VALUE"""),"10.1111/j.1467-9280.2008.02084.x")</f>
        <v>10.1111/j.1467-9280.2008.02084.x</v>
      </c>
      <c r="B2079" s="442" t="str">
        <f>IFERROR(__xludf.DUMMYFUNCTION("""COMPUTED_VALUE"""),"https://drive.google.com/file/d/1pEsi_zCge4Xxz2XomVjcrFondU662vvE/view?usp=drivesdk")</f>
        <v>https://drive.google.com/file/d/1pEsi_zCge4Xxz2XomVjcrFondU662vvE/view?usp=drivesdk</v>
      </c>
      <c r="C2079" s="336" t="str">
        <f>IFERROR(__xludf.DUMMYFUNCTION("""COMPUTED_VALUE"""),"10.1111--j.1467-9280.2008.02084.x.pdf")</f>
        <v>10.1111--j.1467-9280.2008.02084.x.pdf</v>
      </c>
      <c r="D2079" s="156" t="str">
        <f>IFERROR(__xludf.DUMMYFUNCTION("""COMPUTED_VALUE"""),"application/pdf")</f>
        <v>application/pdf</v>
      </c>
    </row>
    <row r="2080">
      <c r="A2080" s="336" t="str">
        <f>IFERROR(__xludf.DUMMYFUNCTION("""COMPUTED_VALUE"""),"10.1111/j.1467-9280.2008.02050.x")</f>
        <v>10.1111/j.1467-9280.2008.02050.x</v>
      </c>
      <c r="B2080" s="442" t="str">
        <f>IFERROR(__xludf.DUMMYFUNCTION("""COMPUTED_VALUE"""),"https://drive.google.com/file/d/1HvJhg-z__ZC4L2MVWwWJgR-8s9h67R34/view?usp=drivesdk")</f>
        <v>https://drive.google.com/file/d/1HvJhg-z__ZC4L2MVWwWJgR-8s9h67R34/view?usp=drivesdk</v>
      </c>
      <c r="C2080" s="336" t="str">
        <f>IFERROR(__xludf.DUMMYFUNCTION("""COMPUTED_VALUE"""),"10.1111--j.1467-9280.2008.02050.x.pdf")</f>
        <v>10.1111--j.1467-9280.2008.02050.x.pdf</v>
      </c>
      <c r="D2080" s="156" t="str">
        <f>IFERROR(__xludf.DUMMYFUNCTION("""COMPUTED_VALUE"""),"application/pdf")</f>
        <v>application/pdf</v>
      </c>
    </row>
    <row r="2081">
      <c r="A2081" s="336" t="str">
        <f>IFERROR(__xludf.DUMMYFUNCTION("""COMPUTED_VALUE"""),"10.1111/j.1467-9280.2008.02065.x")</f>
        <v>10.1111/j.1467-9280.2008.02065.x</v>
      </c>
      <c r="B2081" s="442" t="str">
        <f>IFERROR(__xludf.DUMMYFUNCTION("""COMPUTED_VALUE"""),"https://drive.google.com/file/d/116ux1lFNh85JTfA7rlcWpbV1sgxGhwMh/view?usp=drivesdk")</f>
        <v>https://drive.google.com/file/d/116ux1lFNh85JTfA7rlcWpbV1sgxGhwMh/view?usp=drivesdk</v>
      </c>
      <c r="C2081" s="336" t="str">
        <f>IFERROR(__xludf.DUMMYFUNCTION("""COMPUTED_VALUE"""),"10.1111--j.1467-9280.2008.02065.x.pdf")</f>
        <v>10.1111--j.1467-9280.2008.02065.x.pdf</v>
      </c>
      <c r="D2081" s="156" t="str">
        <f>IFERROR(__xludf.DUMMYFUNCTION("""COMPUTED_VALUE"""),"application/pdf")</f>
        <v>application/pdf</v>
      </c>
    </row>
    <row r="2082">
      <c r="A2082" s="336" t="str">
        <f>IFERROR(__xludf.DUMMYFUNCTION("""COMPUTED_VALUE"""),"10.1111/j.1467-9280.2008.02045.x")</f>
        <v>10.1111/j.1467-9280.2008.02045.x</v>
      </c>
      <c r="B2082" s="442" t="str">
        <f>IFERROR(__xludf.DUMMYFUNCTION("""COMPUTED_VALUE"""),"https://drive.google.com/file/d/1sINTPt9kd7F5Vgc5qW1iK2Ge6313RMjs/view?usp=drivesdk")</f>
        <v>https://drive.google.com/file/d/1sINTPt9kd7F5Vgc5qW1iK2Ge6313RMjs/view?usp=drivesdk</v>
      </c>
      <c r="C2082" s="336" t="str">
        <f>IFERROR(__xludf.DUMMYFUNCTION("""COMPUTED_VALUE"""),"10.1111--j.1467-9280.2008.02045.x.pdf")</f>
        <v>10.1111--j.1467-9280.2008.02045.x.pdf</v>
      </c>
      <c r="D2082" s="156" t="str">
        <f>IFERROR(__xludf.DUMMYFUNCTION("""COMPUTED_VALUE"""),"application/pdf")</f>
        <v>application/pdf</v>
      </c>
    </row>
    <row r="2083">
      <c r="A2083" s="336" t="str">
        <f>IFERROR(__xludf.DUMMYFUNCTION("""COMPUTED_VALUE"""),"10.1111/j.1467-9280.2008.02076.x")</f>
        <v>10.1111/j.1467-9280.2008.02076.x</v>
      </c>
      <c r="B2083" s="442" t="str">
        <f>IFERROR(__xludf.DUMMYFUNCTION("""COMPUTED_VALUE"""),"https://drive.google.com/file/d/1SwGFI5Wz9iRzabOCXMcfTU90XgmL8lKJ/view?usp=drivesdk")</f>
        <v>https://drive.google.com/file/d/1SwGFI5Wz9iRzabOCXMcfTU90XgmL8lKJ/view?usp=drivesdk</v>
      </c>
      <c r="C2083" s="336" t="str">
        <f>IFERROR(__xludf.DUMMYFUNCTION("""COMPUTED_VALUE"""),"10.1111--j.1467-9280.2008.02076.x.pdf")</f>
        <v>10.1111--j.1467-9280.2008.02076.x.pdf</v>
      </c>
      <c r="D2083" s="156" t="str">
        <f>IFERROR(__xludf.DUMMYFUNCTION("""COMPUTED_VALUE"""),"application/pdf")</f>
        <v>application/pdf</v>
      </c>
    </row>
    <row r="2084">
      <c r="A2084" s="336" t="str">
        <f>IFERROR(__xludf.DUMMYFUNCTION("""COMPUTED_VALUE"""),"10.1111/j.1467-9280.2008.02064.x")</f>
        <v>10.1111/j.1467-9280.2008.02064.x</v>
      </c>
      <c r="B2084" s="442" t="str">
        <f>IFERROR(__xludf.DUMMYFUNCTION("""COMPUTED_VALUE"""),"https://drive.google.com/file/d/1ZvAbdxhSZjsiTtoGCcl4wKGSEHyET-ky/view?usp=drivesdk")</f>
        <v>https://drive.google.com/file/d/1ZvAbdxhSZjsiTtoGCcl4wKGSEHyET-ky/view?usp=drivesdk</v>
      </c>
      <c r="C2084" s="336" t="str">
        <f>IFERROR(__xludf.DUMMYFUNCTION("""COMPUTED_VALUE"""),"10.1111--j.1467-9280.2008.02064.x.pdf")</f>
        <v>10.1111--j.1467-9280.2008.02064.x.pdf</v>
      </c>
      <c r="D2084" s="156" t="str">
        <f>IFERROR(__xludf.DUMMYFUNCTION("""COMPUTED_VALUE"""),"application/pdf")</f>
        <v>application/pdf</v>
      </c>
    </row>
    <row r="2085">
      <c r="A2085" s="336" t="str">
        <f>IFERROR(__xludf.DUMMYFUNCTION("""COMPUTED_VALUE"""),"10.1111/j.1467-9280.2008.02072.x")</f>
        <v>10.1111/j.1467-9280.2008.02072.x</v>
      </c>
      <c r="B2085" s="442" t="str">
        <f>IFERROR(__xludf.DUMMYFUNCTION("""COMPUTED_VALUE"""),"https://drive.google.com/file/d/1HyrNh-agatlqkBI_Y2cQxLTUdJmQoYlf/view?usp=drivesdk")</f>
        <v>https://drive.google.com/file/d/1HyrNh-agatlqkBI_Y2cQxLTUdJmQoYlf/view?usp=drivesdk</v>
      </c>
      <c r="C2085" s="336" t="str">
        <f>IFERROR(__xludf.DUMMYFUNCTION("""COMPUTED_VALUE"""),"10.1111--j.1467-9280.2008.02072.x.pdf")</f>
        <v>10.1111--j.1467-9280.2008.02072.x.pdf</v>
      </c>
      <c r="D2085" s="156" t="str">
        <f>IFERROR(__xludf.DUMMYFUNCTION("""COMPUTED_VALUE"""),"application/pdf")</f>
        <v>application/pdf</v>
      </c>
    </row>
    <row r="2086">
      <c r="A2086" s="336" t="str">
        <f>IFERROR(__xludf.DUMMYFUNCTION("""COMPUTED_VALUE"""),"10.1111/j.1467-9280.2008.02059.x")</f>
        <v>10.1111/j.1467-9280.2008.02059.x</v>
      </c>
      <c r="B2086" s="442" t="str">
        <f>IFERROR(__xludf.DUMMYFUNCTION("""COMPUTED_VALUE"""),"https://drive.google.com/file/d/1upE7yZOzvH5eWhjo60W2SL_Z4iTthBuJ/view?usp=drivesdk")</f>
        <v>https://drive.google.com/file/d/1upE7yZOzvH5eWhjo60W2SL_Z4iTthBuJ/view?usp=drivesdk</v>
      </c>
      <c r="C2086" s="336" t="str">
        <f>IFERROR(__xludf.DUMMYFUNCTION("""COMPUTED_VALUE"""),"10.1111--j.1467-9280.2008.02059.x.pdf")</f>
        <v>10.1111--j.1467-9280.2008.02059.x.pdf</v>
      </c>
      <c r="D2086" s="156" t="str">
        <f>IFERROR(__xludf.DUMMYFUNCTION("""COMPUTED_VALUE"""),"application/pdf")</f>
        <v>application/pdf</v>
      </c>
    </row>
    <row r="2087">
      <c r="A2087" s="336" t="str">
        <f>IFERROR(__xludf.DUMMYFUNCTION("""COMPUTED_VALUE"""),"10.1111/j.1467-9280.2008.02052.x")</f>
        <v>10.1111/j.1467-9280.2008.02052.x</v>
      </c>
      <c r="B2087" s="442" t="str">
        <f>IFERROR(__xludf.DUMMYFUNCTION("""COMPUTED_VALUE"""),"https://drive.google.com/file/d/1UsMzRx5dAyBC19d7_59BtDW0beEzge2i/view?usp=drivesdk")</f>
        <v>https://drive.google.com/file/d/1UsMzRx5dAyBC19d7_59BtDW0beEzge2i/view?usp=drivesdk</v>
      </c>
      <c r="C2087" s="336" t="str">
        <f>IFERROR(__xludf.DUMMYFUNCTION("""COMPUTED_VALUE"""),"10.1111--j.1467-9280.2008.02052.x.pdf")</f>
        <v>10.1111--j.1467-9280.2008.02052.x.pdf</v>
      </c>
      <c r="D2087" s="156" t="str">
        <f>IFERROR(__xludf.DUMMYFUNCTION("""COMPUTED_VALUE"""),"application/pdf")</f>
        <v>application/pdf</v>
      </c>
    </row>
    <row r="2088">
      <c r="A2088" s="336" t="str">
        <f>IFERROR(__xludf.DUMMYFUNCTION("""COMPUTED_VALUE"""),"10.1111/j.1467-9280.2008.02080.x")</f>
        <v>10.1111/j.1467-9280.2008.02080.x</v>
      </c>
      <c r="B2088" s="442" t="str">
        <f>IFERROR(__xludf.DUMMYFUNCTION("""COMPUTED_VALUE"""),"https://drive.google.com/file/d/1vmwxHTrl9F3n9CjnCny5Gv7aZ_iSmn06/view?usp=drivesdk")</f>
        <v>https://drive.google.com/file/d/1vmwxHTrl9F3n9CjnCny5Gv7aZ_iSmn06/view?usp=drivesdk</v>
      </c>
      <c r="C2088" s="336" t="str">
        <f>IFERROR(__xludf.DUMMYFUNCTION("""COMPUTED_VALUE"""),"10.1111--j.1467-9280.2008.02080.x.pdf")</f>
        <v>10.1111--j.1467-9280.2008.02080.x.pdf</v>
      </c>
      <c r="D2088" s="156" t="str">
        <f>IFERROR(__xludf.DUMMYFUNCTION("""COMPUTED_VALUE"""),"application/pdf")</f>
        <v>application/pdf</v>
      </c>
    </row>
    <row r="2089">
      <c r="A2089" s="336" t="str">
        <f>IFERROR(__xludf.DUMMYFUNCTION("""COMPUTED_VALUE"""),"10.1111/j.1467-9280.2008.02036.x")</f>
        <v>10.1111/j.1467-9280.2008.02036.x</v>
      </c>
      <c r="B2089" s="442" t="str">
        <f>IFERROR(__xludf.DUMMYFUNCTION("""COMPUTED_VALUE"""),"https://drive.google.com/file/d/1tLDYZKQb4z1ZUitzltLK7vgv1To8FFUF/view?usp=drivesdk")</f>
        <v>https://drive.google.com/file/d/1tLDYZKQb4z1ZUitzltLK7vgv1To8FFUF/view?usp=drivesdk</v>
      </c>
      <c r="C2089" s="336" t="str">
        <f>IFERROR(__xludf.DUMMYFUNCTION("""COMPUTED_VALUE"""),"10.1111--j.1467-9280.2008.02036.x.pdf")</f>
        <v>10.1111--j.1467-9280.2008.02036.x.pdf</v>
      </c>
      <c r="D2089" s="156" t="str">
        <f>IFERROR(__xludf.DUMMYFUNCTION("""COMPUTED_VALUE"""),"application/pdf")</f>
        <v>application/pdf</v>
      </c>
    </row>
    <row r="2090">
      <c r="A2090" s="336" t="str">
        <f>IFERROR(__xludf.DUMMYFUNCTION("""COMPUTED_VALUE"""),"10.1111/j.1467-9280.2008.02040.x")</f>
        <v>10.1111/j.1467-9280.2008.02040.x</v>
      </c>
      <c r="B2090" s="442" t="str">
        <f>IFERROR(__xludf.DUMMYFUNCTION("""COMPUTED_VALUE"""),"https://drive.google.com/file/d/1cd2Q3usXoNSUYACYaL4eodYUxZsj-SOb/view?usp=drivesdk")</f>
        <v>https://drive.google.com/file/d/1cd2Q3usXoNSUYACYaL4eodYUxZsj-SOb/view?usp=drivesdk</v>
      </c>
      <c r="C2090" s="336" t="str">
        <f>IFERROR(__xludf.DUMMYFUNCTION("""COMPUTED_VALUE"""),"10.1111--j.1467-9280.2008.02040.x.pdf")</f>
        <v>10.1111--j.1467-9280.2008.02040.x.pdf</v>
      </c>
      <c r="D2090" s="156" t="str">
        <f>IFERROR(__xludf.DUMMYFUNCTION("""COMPUTED_VALUE"""),"application/pdf")</f>
        <v>application/pdf</v>
      </c>
    </row>
    <row r="2091">
      <c r="A2091" s="336" t="str">
        <f>IFERROR(__xludf.DUMMYFUNCTION("""COMPUTED_VALUE"""),"10.1111/j.1467-9280.2008.02058.x")</f>
        <v>10.1111/j.1467-9280.2008.02058.x</v>
      </c>
      <c r="B2091" s="442" t="str">
        <f>IFERROR(__xludf.DUMMYFUNCTION("""COMPUTED_VALUE"""),"https://drive.google.com/file/d/1qgt58xRKt3k8Eix4-bV5OBupJ4bQXEgg/view?usp=drivesdk")</f>
        <v>https://drive.google.com/file/d/1qgt58xRKt3k8Eix4-bV5OBupJ4bQXEgg/view?usp=drivesdk</v>
      </c>
      <c r="C2091" s="336" t="str">
        <f>IFERROR(__xludf.DUMMYFUNCTION("""COMPUTED_VALUE"""),"10.1111--j.1467-9280.2008.02058.x.pdf")</f>
        <v>10.1111--j.1467-9280.2008.02058.x.pdf</v>
      </c>
      <c r="D2091" s="156" t="str">
        <f>IFERROR(__xludf.DUMMYFUNCTION("""COMPUTED_VALUE"""),"application/pdf")</f>
        <v>application/pdf</v>
      </c>
    </row>
    <row r="2092">
      <c r="A2092" s="336" t="str">
        <f>IFERROR(__xludf.DUMMYFUNCTION("""COMPUTED_VALUE"""),"10.1111/j.1467-9280.2008.02091.x")</f>
        <v>10.1111/j.1467-9280.2008.02091.x</v>
      </c>
      <c r="B2092" s="442" t="str">
        <f>IFERROR(__xludf.DUMMYFUNCTION("""COMPUTED_VALUE"""),"https://drive.google.com/file/d/1XfDlpkvCBdw9lQuqmsbfM7aoNwvrAoip/view?usp=drivesdk")</f>
        <v>https://drive.google.com/file/d/1XfDlpkvCBdw9lQuqmsbfM7aoNwvrAoip/view?usp=drivesdk</v>
      </c>
      <c r="C2092" s="336" t="str">
        <f>IFERROR(__xludf.DUMMYFUNCTION("""COMPUTED_VALUE"""),"10.1111--j.1467-9280.2008.02091.x.pdf")</f>
        <v>10.1111--j.1467-9280.2008.02091.x.pdf</v>
      </c>
      <c r="D2092" s="156" t="str">
        <f>IFERROR(__xludf.DUMMYFUNCTION("""COMPUTED_VALUE"""),"application/pdf")</f>
        <v>application/pdf</v>
      </c>
    </row>
    <row r="2093">
      <c r="A2093" s="336" t="str">
        <f>IFERROR(__xludf.DUMMYFUNCTION("""COMPUTED_VALUE"""),"10.1111/j.1467-9280.2008.02053.x")</f>
        <v>10.1111/j.1467-9280.2008.02053.x</v>
      </c>
      <c r="B2093" s="442" t="str">
        <f>IFERROR(__xludf.DUMMYFUNCTION("""COMPUTED_VALUE"""),"https://drive.google.com/file/d/15X7saP8VbSJHXa2xOtcgFcOKjQJFaUYh/view?usp=drivesdk")</f>
        <v>https://drive.google.com/file/d/15X7saP8VbSJHXa2xOtcgFcOKjQJFaUYh/view?usp=drivesdk</v>
      </c>
      <c r="C2093" s="336" t="str">
        <f>IFERROR(__xludf.DUMMYFUNCTION("""COMPUTED_VALUE"""),"10.1111--j.1467-9280.2008.02053.x.pdf")</f>
        <v>10.1111--j.1467-9280.2008.02053.x.pdf</v>
      </c>
      <c r="D2093" s="156" t="str">
        <f>IFERROR(__xludf.DUMMYFUNCTION("""COMPUTED_VALUE"""),"application/pdf")</f>
        <v>application/pdf</v>
      </c>
    </row>
    <row r="2094">
      <c r="A2094" s="336" t="str">
        <f>IFERROR(__xludf.DUMMYFUNCTION("""COMPUTED_VALUE"""),"10.1111/j.1467-9280.2008.02086.x")</f>
        <v>10.1111/j.1467-9280.2008.02086.x</v>
      </c>
      <c r="B2094" s="442" t="str">
        <f>IFERROR(__xludf.DUMMYFUNCTION("""COMPUTED_VALUE"""),"https://drive.google.com/file/d/1hzFq7DQ4QBCZolqR2nSfUrSqTtmPYs3_/view?usp=drivesdk")</f>
        <v>https://drive.google.com/file/d/1hzFq7DQ4QBCZolqR2nSfUrSqTtmPYs3_/view?usp=drivesdk</v>
      </c>
      <c r="C2094" s="336" t="str">
        <f>IFERROR(__xludf.DUMMYFUNCTION("""COMPUTED_VALUE"""),"10.1111--j.1467-9280.2008.02086.x.pdf")</f>
        <v>10.1111--j.1467-9280.2008.02086.x.pdf</v>
      </c>
      <c r="D2094" s="156" t="str">
        <f>IFERROR(__xludf.DUMMYFUNCTION("""COMPUTED_VALUE"""),"application/pdf")</f>
        <v>application/pdf</v>
      </c>
    </row>
    <row r="2095">
      <c r="A2095" s="336" t="str">
        <f>IFERROR(__xludf.DUMMYFUNCTION("""COMPUTED_VALUE"""),"10.1111/j.1467-9280.2008.02077.x")</f>
        <v>10.1111/j.1467-9280.2008.02077.x</v>
      </c>
      <c r="B2095" s="442" t="str">
        <f>IFERROR(__xludf.DUMMYFUNCTION("""COMPUTED_VALUE"""),"https://drive.google.com/file/d/1WwYYCOA_x1mX6TzeKfrhq1RdbnoCXoh0/view?usp=drivesdk")</f>
        <v>https://drive.google.com/file/d/1WwYYCOA_x1mX6TzeKfrhq1RdbnoCXoh0/view?usp=drivesdk</v>
      </c>
      <c r="C2095" s="336" t="str">
        <f>IFERROR(__xludf.DUMMYFUNCTION("""COMPUTED_VALUE"""),"10.1111--j.1467-9280.2008.02077.x.pdf")</f>
        <v>10.1111--j.1467-9280.2008.02077.x.pdf</v>
      </c>
      <c r="D2095" s="156" t="str">
        <f>IFERROR(__xludf.DUMMYFUNCTION("""COMPUTED_VALUE"""),"application/pdf")</f>
        <v>application/pdf</v>
      </c>
    </row>
    <row r="2096">
      <c r="A2096" s="336" t="str">
        <f>IFERROR(__xludf.DUMMYFUNCTION("""COMPUTED_VALUE"""),"10.1111/j.1467-9280.2008.02046.x")</f>
        <v>10.1111/j.1467-9280.2008.02046.x</v>
      </c>
      <c r="B2096" s="442" t="str">
        <f>IFERROR(__xludf.DUMMYFUNCTION("""COMPUTED_VALUE"""),"https://drive.google.com/file/d/1WsASGCOfsob-mQCui8A8AumUCdwI1vZt/view?usp=drivesdk")</f>
        <v>https://drive.google.com/file/d/1WsASGCOfsob-mQCui8A8AumUCdwI1vZt/view?usp=drivesdk</v>
      </c>
      <c r="C2096" s="336" t="str">
        <f>IFERROR(__xludf.DUMMYFUNCTION("""COMPUTED_VALUE"""),"10.1111--j.1467-9280.2008.02046.x.pdf")</f>
        <v>10.1111--j.1467-9280.2008.02046.x.pdf</v>
      </c>
      <c r="D2096" s="156" t="str">
        <f>IFERROR(__xludf.DUMMYFUNCTION("""COMPUTED_VALUE"""),"application/pdf")</f>
        <v>application/pdf</v>
      </c>
    </row>
    <row r="2097">
      <c r="A2097" s="336" t="str">
        <f>IFERROR(__xludf.DUMMYFUNCTION("""COMPUTED_VALUE"""),"10.1111/j.1467-9280.2008.02069.x")</f>
        <v>10.1111/j.1467-9280.2008.02069.x</v>
      </c>
      <c r="B2097" s="442" t="str">
        <f>IFERROR(__xludf.DUMMYFUNCTION("""COMPUTED_VALUE"""),"https://drive.google.com/file/d/1-STrPNxtwFZUvuNyyXDlz1bTmYscRd6t/view?usp=drivesdk")</f>
        <v>https://drive.google.com/file/d/1-STrPNxtwFZUvuNyyXDlz1bTmYscRd6t/view?usp=drivesdk</v>
      </c>
      <c r="C2097" s="336" t="str">
        <f>IFERROR(__xludf.DUMMYFUNCTION("""COMPUTED_VALUE"""),"10.1111--j.1467-9280.2008.02069.x.pdf")</f>
        <v>10.1111--j.1467-9280.2008.02069.x.pdf</v>
      </c>
      <c r="D2097" s="156" t="str">
        <f>IFERROR(__xludf.DUMMYFUNCTION("""COMPUTED_VALUE"""),"application/pdf")</f>
        <v>application/pdf</v>
      </c>
    </row>
    <row r="2098">
      <c r="A2098" s="336" t="str">
        <f>IFERROR(__xludf.DUMMYFUNCTION("""COMPUTED_VALUE"""),"10.1111/j.1467-9280.2008.02043.x")</f>
        <v>10.1111/j.1467-9280.2008.02043.x</v>
      </c>
      <c r="B2098" s="442" t="str">
        <f>IFERROR(__xludf.DUMMYFUNCTION("""COMPUTED_VALUE"""),"https://drive.google.com/file/d/1VxdhYWAzQnqcs07E_QIp8DFonsZrBpYe/view?usp=drivesdk")</f>
        <v>https://drive.google.com/file/d/1VxdhYWAzQnqcs07E_QIp8DFonsZrBpYe/view?usp=drivesdk</v>
      </c>
      <c r="C2098" s="336" t="str">
        <f>IFERROR(__xludf.DUMMYFUNCTION("""COMPUTED_VALUE"""),"10.1111--j.1467-9280.2008.02043.x.pdf")</f>
        <v>10.1111--j.1467-9280.2008.02043.x.pdf</v>
      </c>
      <c r="D2098" s="156" t="str">
        <f>IFERROR(__xludf.DUMMYFUNCTION("""COMPUTED_VALUE"""),"application/pdf")</f>
        <v>application/pdf</v>
      </c>
    </row>
    <row r="2099">
      <c r="A2099" s="336" t="str">
        <f>IFERROR(__xludf.DUMMYFUNCTION("""COMPUTED_VALUE"""),"10.1111/j.1467-9280.2008.02089.x")</f>
        <v>10.1111/j.1467-9280.2008.02089.x</v>
      </c>
      <c r="B2099" s="442" t="str">
        <f>IFERROR(__xludf.DUMMYFUNCTION("""COMPUTED_VALUE"""),"https://drive.google.com/file/d/1UOMf-snqsk6_xm9569d5Yr7tIrEVriap/view?usp=drivesdk")</f>
        <v>https://drive.google.com/file/d/1UOMf-snqsk6_xm9569d5Yr7tIrEVriap/view?usp=drivesdk</v>
      </c>
      <c r="C2099" s="336" t="str">
        <f>IFERROR(__xludf.DUMMYFUNCTION("""COMPUTED_VALUE"""),"10.1111--j.1467-9280.2008.02089.x.pdf")</f>
        <v>10.1111--j.1467-9280.2008.02089.x.pdf</v>
      </c>
      <c r="D2099" s="156" t="str">
        <f>IFERROR(__xludf.DUMMYFUNCTION("""COMPUTED_VALUE"""),"application/pdf")</f>
        <v>application/pdf</v>
      </c>
    </row>
    <row r="2100">
      <c r="A2100" s="336" t="str">
        <f>IFERROR(__xludf.DUMMYFUNCTION("""COMPUTED_VALUE"""),"10.1111/j.1467-9280.2008.02041.x")</f>
        <v>10.1111/j.1467-9280.2008.02041.x</v>
      </c>
      <c r="B2100" s="442" t="str">
        <f>IFERROR(__xludf.DUMMYFUNCTION("""COMPUTED_VALUE"""),"https://drive.google.com/file/d/19KQFSemeD8gmmrYhmcTweZW1cifRjRsN/view?usp=drivesdk")</f>
        <v>https://drive.google.com/file/d/19KQFSemeD8gmmrYhmcTweZW1cifRjRsN/view?usp=drivesdk</v>
      </c>
      <c r="C2100" s="336" t="str">
        <f>IFERROR(__xludf.DUMMYFUNCTION("""COMPUTED_VALUE"""),"10.1111--j.1467-9280.2008.02041.x.pdf")</f>
        <v>10.1111--j.1467-9280.2008.02041.x.pdf</v>
      </c>
      <c r="D2100" s="156" t="str">
        <f>IFERROR(__xludf.DUMMYFUNCTION("""COMPUTED_VALUE"""),"application/pdf")</f>
        <v>application/pdf</v>
      </c>
    </row>
    <row r="2101">
      <c r="A2101" s="336" t="str">
        <f>IFERROR(__xludf.DUMMYFUNCTION("""COMPUTED_VALUE"""),"10.1111/j.1467-9280.2008.02057.x")</f>
        <v>10.1111/j.1467-9280.2008.02057.x</v>
      </c>
      <c r="B2101" s="442" t="str">
        <f>IFERROR(__xludf.DUMMYFUNCTION("""COMPUTED_VALUE"""),"https://drive.google.com/file/d/1-SaG8WiDfkM6zwdVOonoQg1W2TXK8F2W/view?usp=drivesdk")</f>
        <v>https://drive.google.com/file/d/1-SaG8WiDfkM6zwdVOonoQg1W2TXK8F2W/view?usp=drivesdk</v>
      </c>
      <c r="C2101" s="336" t="str">
        <f>IFERROR(__xludf.DUMMYFUNCTION("""COMPUTED_VALUE"""),"10.1111--j.1467-9280.2008.02057.x.pdf")</f>
        <v>10.1111--j.1467-9280.2008.02057.x.pdf</v>
      </c>
      <c r="D2101" s="156" t="str">
        <f>IFERROR(__xludf.DUMMYFUNCTION("""COMPUTED_VALUE"""),"application/pdf")</f>
        <v>application/pdf</v>
      </c>
    </row>
    <row r="2102">
      <c r="A2102" s="336" t="str">
        <f>IFERROR(__xludf.DUMMYFUNCTION("""COMPUTED_VALUE"""),"10.1111/j.1467-9280.2008.02092.x")</f>
        <v>10.1111/j.1467-9280.2008.02092.x</v>
      </c>
      <c r="B2102" s="442" t="str">
        <f>IFERROR(__xludf.DUMMYFUNCTION("""COMPUTED_VALUE"""),"https://drive.google.com/file/d/122eQrKxq-6WpHqYSHCbu_61qufpfQpP1/view?usp=drivesdk")</f>
        <v>https://drive.google.com/file/d/122eQrKxq-6WpHqYSHCbu_61qufpfQpP1/view?usp=drivesdk</v>
      </c>
      <c r="C2102" s="336" t="str">
        <f>IFERROR(__xludf.DUMMYFUNCTION("""COMPUTED_VALUE"""),"10.1111--j.1467-9280.2008.02092.x.pdf")</f>
        <v>10.1111--j.1467-9280.2008.02092.x.pdf</v>
      </c>
      <c r="D2102" s="156" t="str">
        <f>IFERROR(__xludf.DUMMYFUNCTION("""COMPUTED_VALUE"""),"application/pdf")</f>
        <v>application/pdf</v>
      </c>
    </row>
    <row r="2103">
      <c r="A2103" s="336" t="str">
        <f>IFERROR(__xludf.DUMMYFUNCTION("""COMPUTED_VALUE"""),"10.1111/j.1467-9280.2008.02075.x")</f>
        <v>10.1111/j.1467-9280.2008.02075.x</v>
      </c>
      <c r="B2103" s="442" t="str">
        <f>IFERROR(__xludf.DUMMYFUNCTION("""COMPUTED_VALUE"""),"https://drive.google.com/file/d/1GJ1TkFgZk1zziaW-LwEzlbPoGlAfjX81/view?usp=drivesdk")</f>
        <v>https://drive.google.com/file/d/1GJ1TkFgZk1zziaW-LwEzlbPoGlAfjX81/view?usp=drivesdk</v>
      </c>
      <c r="C2103" s="336" t="str">
        <f>IFERROR(__xludf.DUMMYFUNCTION("""COMPUTED_VALUE"""),"10.1111--j.1467-9280.2008.02075.x.pdf")</f>
        <v>10.1111--j.1467-9280.2008.02075.x.pdf</v>
      </c>
      <c r="D2103" s="156" t="str">
        <f>IFERROR(__xludf.DUMMYFUNCTION("""COMPUTED_VALUE"""),"application/pdf")</f>
        <v>application/pdf</v>
      </c>
    </row>
    <row r="2104">
      <c r="A2104" s="336" t="str">
        <f>IFERROR(__xludf.DUMMYFUNCTION("""COMPUTED_VALUE"""),"10.1111/j.1467-9280.2008.02074.x")</f>
        <v>10.1111/j.1467-9280.2008.02074.x</v>
      </c>
      <c r="B2104" s="442" t="str">
        <f>IFERROR(__xludf.DUMMYFUNCTION("""COMPUTED_VALUE"""),"https://drive.google.com/file/d/101cmDqz2Qax5SOrZCpFnyKsko_tw1UW3/view?usp=drivesdk")</f>
        <v>https://drive.google.com/file/d/101cmDqz2Qax5SOrZCpFnyKsko_tw1UW3/view?usp=drivesdk</v>
      </c>
      <c r="C2104" s="336" t="str">
        <f>IFERROR(__xludf.DUMMYFUNCTION("""COMPUTED_VALUE"""),"10.1111--j.1467-9280.2008.02074.x.pdf")</f>
        <v>10.1111--j.1467-9280.2008.02074.x.pdf</v>
      </c>
      <c r="D2104" s="156" t="str">
        <f>IFERROR(__xludf.DUMMYFUNCTION("""COMPUTED_VALUE"""),"application/pdf")</f>
        <v>application/pdf</v>
      </c>
    </row>
    <row r="2105">
      <c r="A2105" s="336" t="str">
        <f>IFERROR(__xludf.DUMMYFUNCTION("""COMPUTED_VALUE"""),"10.1111/j.1467-9280.2008.02078.x")</f>
        <v>10.1111/j.1467-9280.2008.02078.x</v>
      </c>
      <c r="B2105" s="442" t="str">
        <f>IFERROR(__xludf.DUMMYFUNCTION("""COMPUTED_VALUE"""),"https://drive.google.com/file/d/1ytNNieBfW6njVZa_pFpdio4LUZmKmvXl/view?usp=drivesdk")</f>
        <v>https://drive.google.com/file/d/1ytNNieBfW6njVZa_pFpdio4LUZmKmvXl/view?usp=drivesdk</v>
      </c>
      <c r="C2105" s="336" t="str">
        <f>IFERROR(__xludf.DUMMYFUNCTION("""COMPUTED_VALUE"""),"10.1111--j.1467-9280.2008.02078.x.pdf")</f>
        <v>10.1111--j.1467-9280.2008.02078.x.pdf</v>
      </c>
      <c r="D2105" s="156" t="str">
        <f>IFERROR(__xludf.DUMMYFUNCTION("""COMPUTED_VALUE"""),"application/pdf")</f>
        <v>application/pdf</v>
      </c>
    </row>
    <row r="2106">
      <c r="A2106" s="336" t="str">
        <f>IFERROR(__xludf.DUMMYFUNCTION("""COMPUTED_VALUE"""),"10.1111/j.1467-9280.2008.02066.x")</f>
        <v>10.1111/j.1467-9280.2008.02066.x</v>
      </c>
      <c r="B2106" s="442" t="str">
        <f>IFERROR(__xludf.DUMMYFUNCTION("""COMPUTED_VALUE"""),"https://drive.google.com/file/d/18ezWy7djA945zL8CbFQlhWO8EZS4wwS1/view?usp=drivesdk")</f>
        <v>https://drive.google.com/file/d/18ezWy7djA945zL8CbFQlhWO8EZS4wwS1/view?usp=drivesdk</v>
      </c>
      <c r="C2106" s="336" t="str">
        <f>IFERROR(__xludf.DUMMYFUNCTION("""COMPUTED_VALUE"""),"10.1111--j.1467-9280.2008.02066.x.pdf")</f>
        <v>10.1111--j.1467-9280.2008.02066.x.pdf</v>
      </c>
      <c r="D2106" s="156" t="str">
        <f>IFERROR(__xludf.DUMMYFUNCTION("""COMPUTED_VALUE"""),"application/pdf")</f>
        <v>application/pdf</v>
      </c>
    </row>
    <row r="2107">
      <c r="A2107" s="336" t="str">
        <f>IFERROR(__xludf.DUMMYFUNCTION("""COMPUTED_VALUE"""),"10.1111/j.1467-9280.2008.02083.x")</f>
        <v>10.1111/j.1467-9280.2008.02083.x</v>
      </c>
      <c r="B2107" s="442" t="str">
        <f>IFERROR(__xludf.DUMMYFUNCTION("""COMPUTED_VALUE"""),"https://drive.google.com/file/d/19LNgQY4aAE8NOtLkCHGRPgEmv-PwUDkf/view?usp=drivesdk")</f>
        <v>https://drive.google.com/file/d/19LNgQY4aAE8NOtLkCHGRPgEmv-PwUDkf/view?usp=drivesdk</v>
      </c>
      <c r="C2107" s="336" t="str">
        <f>IFERROR(__xludf.DUMMYFUNCTION("""COMPUTED_VALUE"""),"10.1111--j.1467-9280.2008.02083.x.pdf")</f>
        <v>10.1111--j.1467-9280.2008.02083.x.pdf</v>
      </c>
      <c r="D2107" s="156" t="str">
        <f>IFERROR(__xludf.DUMMYFUNCTION("""COMPUTED_VALUE"""),"application/pdf")</f>
        <v>application/pdf</v>
      </c>
    </row>
    <row r="2108">
      <c r="A2108" s="336" t="str">
        <f>IFERROR(__xludf.DUMMYFUNCTION("""COMPUTED_VALUE"""),"10.1111/j.1467-9280.2008.02062.x")</f>
        <v>10.1111/j.1467-9280.2008.02062.x</v>
      </c>
      <c r="B2108" s="442" t="str">
        <f>IFERROR(__xludf.DUMMYFUNCTION("""COMPUTED_VALUE"""),"https://drive.google.com/file/d/1mWHWKkVq6BilZwniJ1YPf3kKFnahjts7/view?usp=drivesdk")</f>
        <v>https://drive.google.com/file/d/1mWHWKkVq6BilZwniJ1YPf3kKFnahjts7/view?usp=drivesdk</v>
      </c>
      <c r="C2108" s="336" t="str">
        <f>IFERROR(__xludf.DUMMYFUNCTION("""COMPUTED_VALUE"""),"10.1111--j.1467-9280.2008.02062.x.pdf")</f>
        <v>10.1111--j.1467-9280.2008.02062.x.pdf</v>
      </c>
      <c r="D2108" s="156" t="str">
        <f>IFERROR(__xludf.DUMMYFUNCTION("""COMPUTED_VALUE"""),"application/pdf")</f>
        <v>application/pdf</v>
      </c>
    </row>
    <row r="2109">
      <c r="A2109" s="336" t="str">
        <f>IFERROR(__xludf.DUMMYFUNCTION("""COMPUTED_VALUE"""),"10.1111/j.1467-9280.2008.02063.x")</f>
        <v>10.1111/j.1467-9280.2008.02063.x</v>
      </c>
      <c r="B2109" s="442" t="str">
        <f>IFERROR(__xludf.DUMMYFUNCTION("""COMPUTED_VALUE"""),"https://drive.google.com/file/d/1tPKLdTFqIGFW4cqhMZC7Yr25fvDeEOP4/view?usp=drivesdk")</f>
        <v>https://drive.google.com/file/d/1tPKLdTFqIGFW4cqhMZC7Yr25fvDeEOP4/view?usp=drivesdk</v>
      </c>
      <c r="C2109" s="336" t="str">
        <f>IFERROR(__xludf.DUMMYFUNCTION("""COMPUTED_VALUE"""),"10.1111--j.1467-9280.2008.02063.x.pdf")</f>
        <v>10.1111--j.1467-9280.2008.02063.x.pdf</v>
      </c>
      <c r="D2109" s="156" t="str">
        <f>IFERROR(__xludf.DUMMYFUNCTION("""COMPUTED_VALUE"""),"application/pdf")</f>
        <v>application/pdf</v>
      </c>
    </row>
    <row r="2110">
      <c r="A2110" s="336" t="str">
        <f>IFERROR(__xludf.DUMMYFUNCTION("""COMPUTED_VALUE"""),"10.1111/j.1467-9280.2008.02068.x")</f>
        <v>10.1111/j.1467-9280.2008.02068.x</v>
      </c>
      <c r="B2110" s="442" t="str">
        <f>IFERROR(__xludf.DUMMYFUNCTION("""COMPUTED_VALUE"""),"https://drive.google.com/file/d/1vyO_YNL5gLoz0OBEYZ9kLrmMmH2YlP79/view?usp=drivesdk")</f>
        <v>https://drive.google.com/file/d/1vyO_YNL5gLoz0OBEYZ9kLrmMmH2YlP79/view?usp=drivesdk</v>
      </c>
      <c r="C2110" s="336" t="str">
        <f>IFERROR(__xludf.DUMMYFUNCTION("""COMPUTED_VALUE"""),"10.1111--j.1467-9280.2008.02068.x.pdf")</f>
        <v>10.1111--j.1467-9280.2008.02068.x.pdf</v>
      </c>
      <c r="D2110" s="156" t="str">
        <f>IFERROR(__xludf.DUMMYFUNCTION("""COMPUTED_VALUE"""),"application/pdf")</f>
        <v>application/pdf</v>
      </c>
    </row>
    <row r="2111">
      <c r="A2111" s="336" t="str">
        <f>IFERROR(__xludf.DUMMYFUNCTION("""COMPUTED_VALUE"""),"10.1111/j.1467-9280.2008.02048.x")</f>
        <v>10.1111/j.1467-9280.2008.02048.x</v>
      </c>
      <c r="B2111" s="442" t="str">
        <f>IFERROR(__xludf.DUMMYFUNCTION("""COMPUTED_VALUE"""),"https://drive.google.com/file/d/1L7jIX4b7NUY2KcEEPpbjKM2uA4LiKxQQ/view?usp=drivesdk")</f>
        <v>https://drive.google.com/file/d/1L7jIX4b7NUY2KcEEPpbjKM2uA4LiKxQQ/view?usp=drivesdk</v>
      </c>
      <c r="C2111" s="336" t="str">
        <f>IFERROR(__xludf.DUMMYFUNCTION("""COMPUTED_VALUE"""),"10.1111--j.1467-9280.2008.02048.x.pdf")</f>
        <v>10.1111--j.1467-9280.2008.02048.x.pdf</v>
      </c>
      <c r="D2111" s="156" t="str">
        <f>IFERROR(__xludf.DUMMYFUNCTION("""COMPUTED_VALUE"""),"application/pdf")</f>
        <v>application/pdf</v>
      </c>
    </row>
    <row r="2112">
      <c r="A2112" s="336" t="str">
        <f>IFERROR(__xludf.DUMMYFUNCTION("""COMPUTED_VALUE"""),"10.1111/j.1467-9280.2008.02054.x")</f>
        <v>10.1111/j.1467-9280.2008.02054.x</v>
      </c>
      <c r="B2112" s="442" t="str">
        <f>IFERROR(__xludf.DUMMYFUNCTION("""COMPUTED_VALUE"""),"https://drive.google.com/file/d/1TOZ9euIliRhkN1zDzYb6v8ankkIXs-ya/view?usp=drivesdk")</f>
        <v>https://drive.google.com/file/d/1TOZ9euIliRhkN1zDzYb6v8ankkIXs-ya/view?usp=drivesdk</v>
      </c>
      <c r="C2112" s="336" t="str">
        <f>IFERROR(__xludf.DUMMYFUNCTION("""COMPUTED_VALUE"""),"10.1111--j.1467-9280.2008.02054.x.pdf")</f>
        <v>10.1111--j.1467-9280.2008.02054.x.pdf</v>
      </c>
      <c r="D2112" s="156" t="str">
        <f>IFERROR(__xludf.DUMMYFUNCTION("""COMPUTED_VALUE"""),"application/pdf")</f>
        <v>application/pdf</v>
      </c>
    </row>
    <row r="2113">
      <c r="A2113" s="336" t="str">
        <f>IFERROR(__xludf.DUMMYFUNCTION("""COMPUTED_VALUE"""),"10.1037/a0014651")</f>
        <v>10.1037/a0014651</v>
      </c>
      <c r="B2113" s="442" t="str">
        <f>IFERROR(__xludf.DUMMYFUNCTION("""COMPUTED_VALUE"""),"https://drive.google.com/file/d/1vwoFAupWbe8Bgv7842QySg1LaEqoDDe_/view?usp=drivesdk")</f>
        <v>https://drive.google.com/file/d/1vwoFAupWbe8Bgv7842QySg1LaEqoDDe_/view?usp=drivesdk</v>
      </c>
      <c r="C2113" s="336" t="str">
        <f>IFERROR(__xludf.DUMMYFUNCTION("""COMPUTED_VALUE"""),"10.1037--a0014651.pdf")</f>
        <v>10.1037--a0014651.pdf</v>
      </c>
      <c r="D2113" s="156" t="str">
        <f>IFERROR(__xludf.DUMMYFUNCTION("""COMPUTED_VALUE"""),"application/pdf")</f>
        <v>application/pdf</v>
      </c>
    </row>
    <row r="2114">
      <c r="A2114" s="336" t="str">
        <f>IFERROR(__xludf.DUMMYFUNCTION("""COMPUTED_VALUE"""),"10.1037/0022-3514.94.4.560")</f>
        <v>10.1037/0022-3514.94.4.560</v>
      </c>
      <c r="B2114" s="442" t="str">
        <f>IFERROR(__xludf.DUMMYFUNCTION("""COMPUTED_VALUE"""),"https://drive.google.com/file/d/17-wgGNPZwtL6rEYJQatdPfEg3Zj4LlVp/view?usp=drivesdk")</f>
        <v>https://drive.google.com/file/d/17-wgGNPZwtL6rEYJQatdPfEg3Zj4LlVp/view?usp=drivesdk</v>
      </c>
      <c r="C2114" s="336" t="str">
        <f>IFERROR(__xludf.DUMMYFUNCTION("""COMPUTED_VALUE"""),"10.1037--0022-3514.94.4.560.pdf")</f>
        <v>10.1037--0022-3514.94.4.560.pdf</v>
      </c>
      <c r="D2114" s="156" t="str">
        <f>IFERROR(__xludf.DUMMYFUNCTION("""COMPUTED_VALUE"""),"application/pdf")</f>
        <v>application/pdf</v>
      </c>
    </row>
    <row r="2115">
      <c r="A2115" s="336" t="str">
        <f>IFERROR(__xludf.DUMMYFUNCTION("""COMPUTED_VALUE"""),"10.1080_0163853x.2024.2339738")</f>
        <v>10.1080_0163853x.2024.2339738</v>
      </c>
      <c r="B2115" s="442" t="str">
        <f>IFERROR(__xludf.DUMMYFUNCTION("""COMPUTED_VALUE"""),"https://drive.google.com/file/d/1Jiqe2wOvjNTwwh15yI5l8MIejzUR62bQ/view?usp=drivesdk")</f>
        <v>https://drive.google.com/file/d/1Jiqe2wOvjNTwwh15yI5l8MIejzUR62bQ/view?usp=drivesdk</v>
      </c>
      <c r="C2115" s="336" t="str">
        <f>IFERROR(__xludf.DUMMYFUNCTION("""COMPUTED_VALUE"""),"10.1080_0163853X.2024.2339738.pdf")</f>
        <v>10.1080_0163853X.2024.2339738.pdf</v>
      </c>
      <c r="D2115" s="156" t="str">
        <f>IFERROR(__xludf.DUMMYFUNCTION("""COMPUTED_VALUE"""),"application/pdf")</f>
        <v>application/pdf</v>
      </c>
    </row>
    <row r="2116">
      <c r="A2116" s="336" t="str">
        <f>IFERROR(__xludf.DUMMYFUNCTION("""COMPUTED_VALUE"""),"10.1017_s0261444824000120")</f>
        <v>10.1017_s0261444824000120</v>
      </c>
      <c r="B2116" s="442" t="str">
        <f>IFERROR(__xludf.DUMMYFUNCTION("""COMPUTED_VALUE"""),"https://drive.google.com/file/d/1O9o-IM6QAwdSD3z77TMTSt_bwseJOoxk/view?usp=drivesdk")</f>
        <v>https://drive.google.com/file/d/1O9o-IM6QAwdSD3z77TMTSt_bwseJOoxk/view?usp=drivesdk</v>
      </c>
      <c r="C2116" s="336" t="str">
        <f>IFERROR(__xludf.DUMMYFUNCTION("""COMPUTED_VALUE"""),"10.1017_S0261444824000120.pdf")</f>
        <v>10.1017_S0261444824000120.pdf</v>
      </c>
      <c r="D2116" s="156" t="str">
        <f>IFERROR(__xludf.DUMMYFUNCTION("""COMPUTED_VALUE"""),"application/pdf")</f>
        <v>application/pdf</v>
      </c>
    </row>
    <row r="2117">
      <c r="A2117" s="336" t="str">
        <f>IFERROR(__xludf.DUMMYFUNCTION("""COMPUTED_VALUE"""),"10.1007_s40732-024-00597-x")</f>
        <v>10.1007_s40732-024-00597-x</v>
      </c>
      <c r="B2117" s="442" t="str">
        <f>IFERROR(__xludf.DUMMYFUNCTION("""COMPUTED_VALUE"""),"https://drive.google.com/file/d/1jEva3KZqbW-ONMklgs2Rg6dqi_PQzPiT/view?usp=drivesdk")</f>
        <v>https://drive.google.com/file/d/1jEva3KZqbW-ONMklgs2Rg6dqi_PQzPiT/view?usp=drivesdk</v>
      </c>
      <c r="C2117" s="336" t="str">
        <f>IFERROR(__xludf.DUMMYFUNCTION("""COMPUTED_VALUE"""),"10.1007_s40732-024-00597-x.pdf")</f>
        <v>10.1007_s40732-024-00597-x.pdf</v>
      </c>
      <c r="D2117" s="156" t="str">
        <f>IFERROR(__xludf.DUMMYFUNCTION("""COMPUTED_VALUE"""),"application/pdf")</f>
        <v>application/pdf</v>
      </c>
    </row>
    <row r="2118">
      <c r="A2118" s="336" t="str">
        <f>IFERROR(__xludf.DUMMYFUNCTION("""COMPUTED_VALUE"""),"10.1002_erv.3103")</f>
        <v>10.1002_erv.3103</v>
      </c>
      <c r="B2118" s="442" t="str">
        <f>IFERROR(__xludf.DUMMYFUNCTION("""COMPUTED_VALUE"""),"https://drive.google.com/file/d/1regWIorXDhOmWYb_teCbaUslSpKLmqk8/view?usp=drivesdk")</f>
        <v>https://drive.google.com/file/d/1regWIorXDhOmWYb_teCbaUslSpKLmqk8/view?usp=drivesdk</v>
      </c>
      <c r="C2118" s="336" t="str">
        <f>IFERROR(__xludf.DUMMYFUNCTION("""COMPUTED_VALUE"""),"10.1002_erv.3103.pdf")</f>
        <v>10.1002_erv.3103.pdf</v>
      </c>
      <c r="D2118" s="156" t="str">
        <f>IFERROR(__xludf.DUMMYFUNCTION("""COMPUTED_VALUE"""),"application/pdf")</f>
        <v>application/pdf</v>
      </c>
    </row>
    <row r="2119">
      <c r="A2119" s="336" t="str">
        <f>IFERROR(__xludf.DUMMYFUNCTION("""COMPUTED_VALUE"""),"10.1017/pds.2024.14")</f>
        <v>10.1017/pds.2024.14</v>
      </c>
      <c r="B2119" s="442" t="str">
        <f>IFERROR(__xludf.DUMMYFUNCTION("""COMPUTED_VALUE"""),"https://drive.google.com/file/d/14Gn77igqT7z48cFv6fyuoc9vsjaDleJT/view?usp=drivesdk")</f>
        <v>https://drive.google.com/file/d/14Gn77igqT7z48cFv6fyuoc9vsjaDleJT/view?usp=drivesdk</v>
      </c>
      <c r="C2119" s="336" t="str">
        <f>IFERROR(__xludf.DUMMYFUNCTION("""COMPUTED_VALUE"""),"10.1017--pds.2024.14.pdf")</f>
        <v>10.1017--pds.2024.14.pdf</v>
      </c>
      <c r="D2119" s="156" t="str">
        <f>IFERROR(__xludf.DUMMYFUNCTION("""COMPUTED_VALUE"""),"application/pdf")</f>
        <v>application/pdf</v>
      </c>
    </row>
    <row r="2120">
      <c r="A2120" s="336" t="str">
        <f>IFERROR(__xludf.DUMMYFUNCTION("""COMPUTED_VALUE"""),"10.1145/3649217.3653545")</f>
        <v>10.1145/3649217.3653545</v>
      </c>
      <c r="B2120" s="442" t="str">
        <f>IFERROR(__xludf.DUMMYFUNCTION("""COMPUTED_VALUE"""),"https://drive.google.com/file/d/1AeJCeDtR27X7LIlQj69LZhU8lw_irjTZ/view?usp=drivesdk")</f>
        <v>https://drive.google.com/file/d/1AeJCeDtR27X7LIlQj69LZhU8lw_irjTZ/view?usp=drivesdk</v>
      </c>
      <c r="C2120" s="336" t="str">
        <f>IFERROR(__xludf.DUMMYFUNCTION("""COMPUTED_VALUE"""),"10.1145--3649217.3653545.pdf")</f>
        <v>10.1145--3649217.3653545.pdf</v>
      </c>
      <c r="D2120" s="156" t="str">
        <f>IFERROR(__xludf.DUMMYFUNCTION("""COMPUTED_VALUE"""),"application/pdf")</f>
        <v>application/pdf</v>
      </c>
    </row>
    <row r="2121">
      <c r="A2121" s="336" t="str">
        <f>IFERROR(__xludf.DUMMYFUNCTION("""COMPUTED_VALUE"""),"bischoff, m. (2024)")</f>
        <v>bischoff, m. (2024)</v>
      </c>
      <c r="B2121" s="442" t="str">
        <f>IFERROR(__xludf.DUMMYFUNCTION("""COMPUTED_VALUE"""),"https://drive.google.com/file/d/1GrUOAhTHghIcwyEiFpklKuM_OleLXBcC/view?usp=drivesdk")</f>
        <v>https://drive.google.com/file/d/1GrUOAhTHghIcwyEiFpklKuM_OleLXBcC/view?usp=drivesdk</v>
      </c>
      <c r="C2121" s="336" t="str">
        <f>IFERROR(__xludf.DUMMYFUNCTION("""COMPUTED_VALUE"""),"Bischoff, M. (2024).pdf")</f>
        <v>Bischoff, M. (2024).pdf</v>
      </c>
      <c r="D2121" s="156" t="str">
        <f>IFERROR(__xludf.DUMMYFUNCTION("""COMPUTED_VALUE"""),"application/pdf")</f>
        <v>application/pdf</v>
      </c>
    </row>
    <row r="2122">
      <c r="A2122" s="336" t="str">
        <f>IFERROR(__xludf.DUMMYFUNCTION("""COMPUTED_VALUE"""),"10.31234/osf.ioesu9z")</f>
        <v>10.31234/osf.ioesu9z</v>
      </c>
      <c r="B2122" s="442" t="str">
        <f>IFERROR(__xludf.DUMMYFUNCTION("""COMPUTED_VALUE"""),"https://drive.google.com/file/d/1W3AEU5DVdupmSq7M9uQdZobAM5ZqFYM0/view?usp=drivesdk")</f>
        <v>https://drive.google.com/file/d/1W3AEU5DVdupmSq7M9uQdZobAM5ZqFYM0/view?usp=drivesdk</v>
      </c>
      <c r="C2122" s="336" t="str">
        <f>IFERROR(__xludf.DUMMYFUNCTION("""COMPUTED_VALUE"""),"10.31234--osf.ioesu9z.pdf")</f>
        <v>10.31234--osf.ioesu9z.pdf</v>
      </c>
      <c r="D2122" s="156" t="str">
        <f>IFERROR(__xludf.DUMMYFUNCTION("""COMPUTED_VALUE"""),"application/pdf")</f>
        <v>application/pdf</v>
      </c>
    </row>
    <row r="2123">
      <c r="A2123" s="336" t="str">
        <f>IFERROR(__xludf.DUMMYFUNCTION("""COMPUTED_VALUE"""),"10.1111/padm.12860")</f>
        <v>10.1111/padm.12860</v>
      </c>
      <c r="B2123" s="442" t="str">
        <f>IFERROR(__xludf.DUMMYFUNCTION("""COMPUTED_VALUE"""),"https://drive.google.com/file/d/1Zty8FHdgF4Nqed1S2bjomumBBiyC8Mfz/view?usp=drivesdk")</f>
        <v>https://drive.google.com/file/d/1Zty8FHdgF4Nqed1S2bjomumBBiyC8Mfz/view?usp=drivesdk</v>
      </c>
      <c r="C2123" s="336" t="str">
        <f>IFERROR(__xludf.DUMMYFUNCTION("""COMPUTED_VALUE"""),"10.1111--padm.12860.pdf")</f>
        <v>10.1111--padm.12860.pdf</v>
      </c>
      <c r="D2123" s="156" t="str">
        <f>IFERROR(__xludf.DUMMYFUNCTION("""COMPUTED_VALUE"""),"application/pdf")</f>
        <v>application/pdf</v>
      </c>
    </row>
    <row r="2124">
      <c r="A2124" s="336" t="str">
        <f>IFERROR(__xludf.DUMMYFUNCTION("""COMPUTED_VALUE"""),"10.1017/s0272263124000342")</f>
        <v>10.1017/s0272263124000342</v>
      </c>
      <c r="B2124" s="442" t="str">
        <f>IFERROR(__xludf.DUMMYFUNCTION("""COMPUTED_VALUE"""),"https://drive.google.com/file/d/1fNwzy4f6SEAeVccICF8BD0SDAIH7uPVr/view?usp=drivesdk")</f>
        <v>https://drive.google.com/file/d/1fNwzy4f6SEAeVccICF8BD0SDAIH7uPVr/view?usp=drivesdk</v>
      </c>
      <c r="C2124" s="336" t="str">
        <f>IFERROR(__xludf.DUMMYFUNCTION("""COMPUTED_VALUE"""),"10.1017--s0272263124000342.pdf")</f>
        <v>10.1017--s0272263124000342.pdf</v>
      </c>
      <c r="D2124" s="156" t="str">
        <f>IFERROR(__xludf.DUMMYFUNCTION("""COMPUTED_VALUE"""),"application/pdf")</f>
        <v>application/pdf</v>
      </c>
    </row>
    <row r="2125">
      <c r="A2125" s="336" t="str">
        <f>IFERROR(__xludf.DUMMYFUNCTION("""COMPUTED_VALUE"""),"10.1007/s11251-024-09670-y")</f>
        <v>10.1007/s11251-024-09670-y</v>
      </c>
      <c r="B2125" s="442" t="str">
        <f>IFERROR(__xludf.DUMMYFUNCTION("""COMPUTED_VALUE"""),"https://drive.google.com/file/d/1pi6g99iJYyhyD_0jGvDca_hbleDdekCp/view?usp=drivesdk")</f>
        <v>https://drive.google.com/file/d/1pi6g99iJYyhyD_0jGvDca_hbleDdekCp/view?usp=drivesdk</v>
      </c>
      <c r="C2125" s="336" t="str">
        <f>IFERROR(__xludf.DUMMYFUNCTION("""COMPUTED_VALUE"""),"10.1007--s11251-024-09670-y.pdf")</f>
        <v>10.1007--s11251-024-09670-y.pdf</v>
      </c>
      <c r="D2125" s="156" t="str">
        <f>IFERROR(__xludf.DUMMYFUNCTION("""COMPUTED_VALUE"""),"application/pdf")</f>
        <v>application/pdf</v>
      </c>
    </row>
    <row r="2126">
      <c r="A2126" s="336" t="str">
        <f>IFERROR(__xludf.DUMMYFUNCTION("""COMPUTED_VALUE"""),"10.12688/openreseurope.17749.1")</f>
        <v>10.12688/openreseurope.17749.1</v>
      </c>
      <c r="B2126" s="442" t="str">
        <f>IFERROR(__xludf.DUMMYFUNCTION("""COMPUTED_VALUE"""),"https://drive.google.com/file/d/17sgB6ScmXf8Wli1_dKWf0wpvxkNJRZtC/view?usp=drivesdk")</f>
        <v>https://drive.google.com/file/d/17sgB6ScmXf8Wli1_dKWf0wpvxkNJRZtC/view?usp=drivesdk</v>
      </c>
      <c r="C2126" s="336" t="str">
        <f>IFERROR(__xludf.DUMMYFUNCTION("""COMPUTED_VALUE"""),"10.12688--openreseurope.17749.1.pdf")</f>
        <v>10.12688--openreseurope.17749.1.pdf</v>
      </c>
      <c r="D2126" s="156" t="str">
        <f>IFERROR(__xludf.DUMMYFUNCTION("""COMPUTED_VALUE"""),"application/pdf")</f>
        <v>application/pdf</v>
      </c>
    </row>
    <row r="2127">
      <c r="A2127" s="336" t="str">
        <f>IFERROR(__xludf.DUMMYFUNCTION("""COMPUTED_VALUE"""),"10.31234/osf.io/xr6bn")</f>
        <v>10.31234/osf.io/xr6bn</v>
      </c>
      <c r="B2127" s="442" t="str">
        <f>IFERROR(__xludf.DUMMYFUNCTION("""COMPUTED_VALUE"""),"https://drive.google.com/file/d/1JQppLKOXxrmIyxFhDZtY85ZoIv_TVdh_/view?usp=drivesdk")</f>
        <v>https://drive.google.com/file/d/1JQppLKOXxrmIyxFhDZtY85ZoIv_TVdh_/view?usp=drivesdk</v>
      </c>
      <c r="C2127" s="336" t="str">
        <f>IFERROR(__xludf.DUMMYFUNCTION("""COMPUTED_VALUE"""),"10.31234--osf.io--xr6bn.pdf")</f>
        <v>10.31234--osf.io--xr6bn.pdf</v>
      </c>
      <c r="D2127" s="156" t="str">
        <f>IFERROR(__xludf.DUMMYFUNCTION("""COMPUTED_VALUE"""),"application/pdf")</f>
        <v>application/pdf</v>
      </c>
    </row>
    <row r="2128">
      <c r="A2128" s="336" t="str">
        <f>IFERROR(__xludf.DUMMYFUNCTION("""COMPUTED_VALUE"""),"10.20982/tqmp.20.1.r001")</f>
        <v>10.20982/tqmp.20.1.r001</v>
      </c>
      <c r="B2128" s="442" t="str">
        <f>IFERROR(__xludf.DUMMYFUNCTION("""COMPUTED_VALUE"""),"https://drive.google.com/file/d/1vDgLj9eoT-VnSILsFHRQ12VvtSFTsWUV/view?usp=drivesdk")</f>
        <v>https://drive.google.com/file/d/1vDgLj9eoT-VnSILsFHRQ12VvtSFTsWUV/view?usp=drivesdk</v>
      </c>
      <c r="C2128" s="336" t="str">
        <f>IFERROR(__xludf.DUMMYFUNCTION("""COMPUTED_VALUE"""),"10.20982--tqmp.20.1.r001.pdf")</f>
        <v>10.20982--tqmp.20.1.r001.pdf</v>
      </c>
      <c r="D2128" s="156" t="str">
        <f>IFERROR(__xludf.DUMMYFUNCTION("""COMPUTED_VALUE"""),"application/pdf")</f>
        <v>application/pdf</v>
      </c>
    </row>
    <row r="2129">
      <c r="A2129" s="336" t="str">
        <f>IFERROR(__xludf.DUMMYFUNCTION("""COMPUTED_VALUE"""),"mendoza.2024")</f>
        <v>mendoza.2024</v>
      </c>
      <c r="B2129" s="442" t="str">
        <f>IFERROR(__xludf.DUMMYFUNCTION("""COMPUTED_VALUE"""),"https://drive.google.com/file/d/1vapTuoFWQvT1qaSJqcvZzdcKGuZPcOor/view?usp=drivesdk")</f>
        <v>https://drive.google.com/file/d/1vapTuoFWQvT1qaSJqcvZzdcKGuZPcOor/view?usp=drivesdk</v>
      </c>
      <c r="C2129" s="336" t="str">
        <f>IFERROR(__xludf.DUMMYFUNCTION("""COMPUTED_VALUE"""),"mendoza.2024.pdf")</f>
        <v>mendoza.2024.pdf</v>
      </c>
      <c r="D2129" s="156" t="str">
        <f>IFERROR(__xludf.DUMMYFUNCTION("""COMPUTED_VALUE"""),"application/pdf")</f>
        <v>application/pdf</v>
      </c>
    </row>
    <row r="2130">
      <c r="A2130" s="336" t="str">
        <f>IFERROR(__xludf.DUMMYFUNCTION("""COMPUTED_VALUE"""),"10.1016/j.obhdp.2018.10.004")</f>
        <v>10.1016/j.obhdp.2018.10.004</v>
      </c>
      <c r="B2130" s="442" t="str">
        <f>IFERROR(__xludf.DUMMYFUNCTION("""COMPUTED_VALUE"""),"https://drive.google.com/file/d/1_YiZ9ym1etIoqiYTErFO56HCfNn-rWNe/view?usp=drivesdk")</f>
        <v>https://drive.google.com/file/d/1_YiZ9ym1etIoqiYTErFO56HCfNn-rWNe/view?usp=drivesdk</v>
      </c>
      <c r="C2130" s="336" t="str">
        <f>IFERROR(__xludf.DUMMYFUNCTION("""COMPUTED_VALUE"""),"10.1016--j.obhdp.2018.10.004.pdf")</f>
        <v>10.1016--j.obhdp.2018.10.004.pdf</v>
      </c>
      <c r="D2130" s="156" t="str">
        <f>IFERROR(__xludf.DUMMYFUNCTION("""COMPUTED_VALUE"""),"application/pdf")</f>
        <v>application/pdf</v>
      </c>
    </row>
    <row r="2131">
      <c r="A2131" s="336" t="str">
        <f>IFERROR(__xludf.DUMMYFUNCTION("""COMPUTED_VALUE"""),"10.1038/s41467-024-46936-y")</f>
        <v>10.1038/s41467-024-46936-y</v>
      </c>
      <c r="B2131" s="442" t="str">
        <f>IFERROR(__xludf.DUMMYFUNCTION("""COMPUTED_VALUE"""),"https://drive.google.com/file/d/1TJ6nnv7-YYGU9DUh1ApFGirYy6BbChHy/view?usp=drivesdk")</f>
        <v>https://drive.google.com/file/d/1TJ6nnv7-YYGU9DUh1ApFGirYy6BbChHy/view?usp=drivesdk</v>
      </c>
      <c r="C2131" s="336" t="str">
        <f>IFERROR(__xludf.DUMMYFUNCTION("""COMPUTED_VALUE"""),"10.1038--s41467-024-46936-y.pdf")</f>
        <v>10.1038--s41467-024-46936-y.pdf</v>
      </c>
      <c r="D2131" s="156" t="str">
        <f>IFERROR(__xludf.DUMMYFUNCTION("""COMPUTED_VALUE"""),"application/pdf")</f>
        <v>application/pdf</v>
      </c>
    </row>
    <row r="2132">
      <c r="A2132" s="336" t="str">
        <f>IFERROR(__xludf.DUMMYFUNCTION("""COMPUTED_VALUE"""),"10.1037/met0000650")</f>
        <v>10.1037/met0000650</v>
      </c>
      <c r="B2132" s="442" t="str">
        <f>IFERROR(__xludf.DUMMYFUNCTION("""COMPUTED_VALUE"""),"https://drive.google.com/file/d/1VSCtSsv8HPQ12k-JKTjSEPJB-QhdOcwt/view?usp=drivesdk")</f>
        <v>https://drive.google.com/file/d/1VSCtSsv8HPQ12k-JKTjSEPJB-QhdOcwt/view?usp=drivesdk</v>
      </c>
      <c r="C2132" s="336" t="str">
        <f>IFERROR(__xludf.DUMMYFUNCTION("""COMPUTED_VALUE"""),"10.1037--met0000650.pdf")</f>
        <v>10.1037--met0000650.pdf</v>
      </c>
      <c r="D2132" s="156" t="str">
        <f>IFERROR(__xludf.DUMMYFUNCTION("""COMPUTED_VALUE"""),"application/pdf")</f>
        <v>application/pdf</v>
      </c>
    </row>
    <row r="2133">
      <c r="A2133" s="336" t="str">
        <f>IFERROR(__xludf.DUMMYFUNCTION("""COMPUTED_VALUE"""),"10.1007/s10826-019-01370-3")</f>
        <v>10.1007/s10826-019-01370-3</v>
      </c>
      <c r="B2133" s="442" t="str">
        <f>IFERROR(__xludf.DUMMYFUNCTION("""COMPUTED_VALUE"""),"https://drive.google.com/file/d/1NONRrVPLj3_SNxu7Ptx53k4VBPMr7tIo/view?usp=drivesdk")</f>
        <v>https://drive.google.com/file/d/1NONRrVPLj3_SNxu7Ptx53k4VBPMr7tIo/view?usp=drivesdk</v>
      </c>
      <c r="C2133" s="336" t="str">
        <f>IFERROR(__xludf.DUMMYFUNCTION("""COMPUTED_VALUE"""),"10.1007--s10826-019-01370-3.pdf")</f>
        <v>10.1007--s10826-019-01370-3.pdf</v>
      </c>
      <c r="D2133" s="156" t="str">
        <f>IFERROR(__xludf.DUMMYFUNCTION("""COMPUTED_VALUE"""),"application/pdf")</f>
        <v>application/pdf</v>
      </c>
    </row>
    <row r="2134">
      <c r="A2134" s="336" t="str">
        <f>IFERROR(__xludf.DUMMYFUNCTION("""COMPUTED_VALUE"""),"10.1007/s40617-024-00933-1")</f>
        <v>10.1007/s40617-024-00933-1</v>
      </c>
      <c r="B2134" s="442" t="str">
        <f>IFERROR(__xludf.DUMMYFUNCTION("""COMPUTED_VALUE"""),"https://drive.google.com/file/d/1LH5FS1-bb7IdYkCgO31BjONeTKWAtRQN/view?usp=drivesdk")</f>
        <v>https://drive.google.com/file/d/1LH5FS1-bb7IdYkCgO31BjONeTKWAtRQN/view?usp=drivesdk</v>
      </c>
      <c r="C2134" s="336" t="str">
        <f>IFERROR(__xludf.DUMMYFUNCTION("""COMPUTED_VALUE"""),"10.1007--s40617-024-00933-1.pdf")</f>
        <v>10.1007--s40617-024-00933-1.pdf</v>
      </c>
      <c r="D2134" s="156" t="str">
        <f>IFERROR(__xludf.DUMMYFUNCTION("""COMPUTED_VALUE"""),"application/pdf")</f>
        <v>application/pdf</v>
      </c>
    </row>
    <row r="2135">
      <c r="A2135" s="336" t="str">
        <f>IFERROR(__xludf.DUMMYFUNCTION("""COMPUTED_VALUE"""),"10.1016/s2215-0366(21)00241-8")</f>
        <v>10.1016/s2215-0366(21)00241-8</v>
      </c>
      <c r="B2135" s="442" t="str">
        <f>IFERROR(__xludf.DUMMYFUNCTION("""COMPUTED_VALUE"""),"https://drive.google.com/file/d/1n-j6Aip_Ueqh39JoVXmnujoaVUR_DnRz/view?usp=drivesdk")</f>
        <v>https://drive.google.com/file/d/1n-j6Aip_Ueqh39JoVXmnujoaVUR_DnRz/view?usp=drivesdk</v>
      </c>
      <c r="C2135" s="336" t="str">
        <f>IFERROR(__xludf.DUMMYFUNCTION("""COMPUTED_VALUE"""),"10.1016--S2215-0366(21)00241-8.pdf")</f>
        <v>10.1016--S2215-0366(21)00241-8.pdf</v>
      </c>
      <c r="D2135" s="156" t="str">
        <f>IFERROR(__xludf.DUMMYFUNCTION("""COMPUTED_VALUE"""),"application/pdf")</f>
        <v>application/pdf</v>
      </c>
    </row>
    <row r="2136">
      <c r="A2136" s="336" t="str">
        <f>IFERROR(__xludf.DUMMYFUNCTION("""COMPUTED_VALUE"""),"10.1002/jaba.946")</f>
        <v>10.1002/jaba.946</v>
      </c>
      <c r="B2136" s="442" t="str">
        <f>IFERROR(__xludf.DUMMYFUNCTION("""COMPUTED_VALUE"""),"https://drive.google.com/file/d/1bHfJ-3gEyIURBJhF8bZZGAbZGtPK135A/view?usp=drivesdk")</f>
        <v>https://drive.google.com/file/d/1bHfJ-3gEyIURBJhF8bZZGAbZGtPK135A/view?usp=drivesdk</v>
      </c>
      <c r="C2136" s="336" t="str">
        <f>IFERROR(__xludf.DUMMYFUNCTION("""COMPUTED_VALUE"""),"10.1002--jaba.946.pdf")</f>
        <v>10.1002--jaba.946.pdf</v>
      </c>
      <c r="D2136" s="156" t="str">
        <f>IFERROR(__xludf.DUMMYFUNCTION("""COMPUTED_VALUE"""),"application/pdf")</f>
        <v>application/pdf</v>
      </c>
    </row>
    <row r="2137">
      <c r="A2137" s="336" t="str">
        <f>IFERROR(__xludf.DUMMYFUNCTION("""COMPUTED_VALUE"""),"10.1038/s41467-018-06785-y")</f>
        <v>10.1038/s41467-018-06785-y</v>
      </c>
      <c r="B2137" s="442" t="str">
        <f>IFERROR(__xludf.DUMMYFUNCTION("""COMPUTED_VALUE"""),"https://drive.google.com/file/d/15kKUsqyFArf82r6bAlXLuUVgHc1vD9sW/view?usp=drivesdk")</f>
        <v>https://drive.google.com/file/d/15kKUsqyFArf82r6bAlXLuUVgHc1vD9sW/view?usp=drivesdk</v>
      </c>
      <c r="C2137" s="336" t="str">
        <f>IFERROR(__xludf.DUMMYFUNCTION("""COMPUTED_VALUE"""),"10.1038--s41467-018-06785-y.pdf")</f>
        <v>10.1038--s41467-018-06785-y.pdf</v>
      </c>
      <c r="D2137" s="156" t="str">
        <f>IFERROR(__xludf.DUMMYFUNCTION("""COMPUTED_VALUE"""),"application/pdf")</f>
        <v>application/pdf</v>
      </c>
    </row>
    <row r="2138">
      <c r="A2138" s="336" t="str">
        <f>IFERROR(__xludf.DUMMYFUNCTION("""COMPUTED_VALUE"""),"10.26443/msurj.v19i1.231")</f>
        <v>10.26443/msurj.v19i1.231</v>
      </c>
      <c r="B2138" s="442" t="str">
        <f>IFERROR(__xludf.DUMMYFUNCTION("""COMPUTED_VALUE"""),"https://drive.google.com/file/d/12ZFslJnsSmpbIBYf9YKunwP3Ofv14HZ-/view?usp=drivesdk")</f>
        <v>https://drive.google.com/file/d/12ZFslJnsSmpbIBYf9YKunwP3Ofv14HZ-/view?usp=drivesdk</v>
      </c>
      <c r="C2138" s="336" t="str">
        <f>IFERROR(__xludf.DUMMYFUNCTION("""COMPUTED_VALUE"""),"10.26443--msurj.v19i1.231.pdf")</f>
        <v>10.26443--msurj.v19i1.231.pdf</v>
      </c>
      <c r="D2138" s="156" t="str">
        <f>IFERROR(__xludf.DUMMYFUNCTION("""COMPUTED_VALUE"""),"application/pdf")</f>
        <v>application/pdf</v>
      </c>
    </row>
    <row r="2139">
      <c r="A2139" s="336" t="str">
        <f>IFERROR(__xludf.DUMMYFUNCTION("""COMPUTED_VALUE"""),"10.1037met0000511")</f>
        <v>10.1037met0000511</v>
      </c>
      <c r="B2139" s="442" t="str">
        <f>IFERROR(__xludf.DUMMYFUNCTION("""COMPUTED_VALUE"""),"https://drive.google.com/file/d/1IPv_LwpOrSwgWFLNt3ih6B9kYGRsDgyd/view?usp=drivesdk")</f>
        <v>https://drive.google.com/file/d/1IPv_LwpOrSwgWFLNt3ih6B9kYGRsDgyd/view?usp=drivesdk</v>
      </c>
      <c r="C2139" s="336" t="str">
        <f>IFERROR(__xludf.DUMMYFUNCTION("""COMPUTED_VALUE"""),"10.1037met0000511.pdf")</f>
        <v>10.1037met0000511.pdf</v>
      </c>
      <c r="D2139" s="156" t="str">
        <f>IFERROR(__xludf.DUMMYFUNCTION("""COMPUTED_VALUE"""),"application/pdf")</f>
        <v>application/pdf</v>
      </c>
    </row>
    <row r="2140">
      <c r="A2140" s="336" t="str">
        <f>IFERROR(__xludf.DUMMYFUNCTION("""COMPUTED_VALUE"""),"10.1016j.jsp.2021.09.004")</f>
        <v>10.1016j.jsp.2021.09.004</v>
      </c>
      <c r="B2140" s="442" t="str">
        <f>IFERROR(__xludf.DUMMYFUNCTION("""COMPUTED_VALUE"""),"https://drive.google.com/file/d/1unAIIiGopeKWxFHgWm5TahygDGPlH1Lj/view?usp=drivesdk")</f>
        <v>https://drive.google.com/file/d/1unAIIiGopeKWxFHgWm5TahygDGPlH1Lj/view?usp=drivesdk</v>
      </c>
      <c r="C2140" s="336" t="str">
        <f>IFERROR(__xludf.DUMMYFUNCTION("""COMPUTED_VALUE"""),"10.1016j.jsp.2021.09.004.pdf")</f>
        <v>10.1016j.jsp.2021.09.004.pdf</v>
      </c>
      <c r="D2140" s="156" t="str">
        <f>IFERROR(__xludf.DUMMYFUNCTION("""COMPUTED_VALUE"""),"application/pdf")</f>
        <v>application/pdf</v>
      </c>
    </row>
    <row r="2141">
      <c r="A2141" s="336" t="str">
        <f>IFERROR(__xludf.DUMMYFUNCTION("""COMPUTED_VALUE"""),"10.1111/fare.13030")</f>
        <v>10.1111/fare.13030</v>
      </c>
      <c r="B2141" s="442" t="str">
        <f>IFERROR(__xludf.DUMMYFUNCTION("""COMPUTED_VALUE"""),"https://drive.google.com/file/d/1TGN_TAtoJI3jhMQTEG2wnN59FCyiXC2_/view?usp=drivesdk")</f>
        <v>https://drive.google.com/file/d/1TGN_TAtoJI3jhMQTEG2wnN59FCyiXC2_/view?usp=drivesdk</v>
      </c>
      <c r="C2141" s="336" t="str">
        <f>IFERROR(__xludf.DUMMYFUNCTION("""COMPUTED_VALUE"""),"10.1111--fare.13030.pdf")</f>
        <v>10.1111--fare.13030.pdf</v>
      </c>
      <c r="D2141" s="156" t="str">
        <f>IFERROR(__xludf.DUMMYFUNCTION("""COMPUTED_VALUE"""),"application/pdf")</f>
        <v>application/pdf</v>
      </c>
    </row>
    <row r="2142">
      <c r="A2142" s="336" t="str">
        <f>IFERROR(__xludf.DUMMYFUNCTION("""COMPUTED_VALUE"""),"10.31234/osf.io68jft")</f>
        <v>10.31234/osf.io68jft</v>
      </c>
      <c r="B2142" s="442" t="str">
        <f>IFERROR(__xludf.DUMMYFUNCTION("""COMPUTED_VALUE"""),"https://drive.google.com/file/d/1mgxHY5rSLZY_EieaSS4LRUonj0GvrfQE/view?usp=drivesdk")</f>
        <v>https://drive.google.com/file/d/1mgxHY5rSLZY_EieaSS4LRUonj0GvrfQE/view?usp=drivesdk</v>
      </c>
      <c r="C2142" s="336" t="str">
        <f>IFERROR(__xludf.DUMMYFUNCTION("""COMPUTED_VALUE"""),"10.31234--osf.io68jft.pdf")</f>
        <v>10.31234--osf.io68jft.pdf</v>
      </c>
      <c r="D2142" s="156" t="str">
        <f>IFERROR(__xludf.DUMMYFUNCTION("""COMPUTED_VALUE"""),"application/pdf")</f>
        <v>application/pdf</v>
      </c>
    </row>
    <row r="2143">
      <c r="A2143" s="336" t="str">
        <f>IFERROR(__xludf.DUMMYFUNCTION("""COMPUTED_VALUE"""),"10.1111/famp.12997")</f>
        <v>10.1111/famp.12997</v>
      </c>
      <c r="B2143" s="442" t="str">
        <f>IFERROR(__xludf.DUMMYFUNCTION("""COMPUTED_VALUE"""),"https://drive.google.com/file/d/1ULfnDtv84kgeFXRyMCCLbY1RRcrTQDB8/view?usp=drivesdk")</f>
        <v>https://drive.google.com/file/d/1ULfnDtv84kgeFXRyMCCLbY1RRcrTQDB8/view?usp=drivesdk</v>
      </c>
      <c r="C2143" s="336" t="str">
        <f>IFERROR(__xludf.DUMMYFUNCTION("""COMPUTED_VALUE"""),"10.1111--famp.12997.pdf")</f>
        <v>10.1111--famp.12997.pdf</v>
      </c>
      <c r="D2143" s="156" t="str">
        <f>IFERROR(__xludf.DUMMYFUNCTION("""COMPUTED_VALUE"""),"application/pdf")</f>
        <v>application/pdf</v>
      </c>
    </row>
    <row r="2144">
      <c r="A2144" s="336" t="str">
        <f>IFERROR(__xludf.DUMMYFUNCTION("""COMPUTED_VALUE"""),"10.1093/schbulsbae058")</f>
        <v>10.1093/schbulsbae058</v>
      </c>
      <c r="B2144" s="442" t="str">
        <f>IFERROR(__xludf.DUMMYFUNCTION("""COMPUTED_VALUE"""),"https://drive.google.com/file/d/1RgKGmtfOeP7KPA-8BVD5JSSAaub2by_V/view?usp=drivesdk")</f>
        <v>https://drive.google.com/file/d/1RgKGmtfOeP7KPA-8BVD5JSSAaub2by_V/view?usp=drivesdk</v>
      </c>
      <c r="C2144" s="336" t="str">
        <f>IFERROR(__xludf.DUMMYFUNCTION("""COMPUTED_VALUE"""),"10.1093--schbulsbae058.pdf")</f>
        <v>10.1093--schbulsbae058.pdf</v>
      </c>
      <c r="D2144" s="156" t="str">
        <f>IFERROR(__xludf.DUMMYFUNCTION("""COMPUTED_VALUE"""),"application/pdf")</f>
        <v>application/pdf</v>
      </c>
    </row>
    <row r="2145">
      <c r="A2145" s="336" t="str">
        <f>IFERROR(__xludf.DUMMYFUNCTION("""COMPUTED_VALUE"""),"10.1016/j.paid.2024.112692")</f>
        <v>10.1016/j.paid.2024.112692</v>
      </c>
      <c r="B2145" s="442" t="str">
        <f>IFERROR(__xludf.DUMMYFUNCTION("""COMPUTED_VALUE"""),"https://drive.google.com/file/d/1maMe58N1aLmqdBUtveOinCFDUWOh5rcE/view?usp=drivesdk")</f>
        <v>https://drive.google.com/file/d/1maMe58N1aLmqdBUtveOinCFDUWOh5rcE/view?usp=drivesdk</v>
      </c>
      <c r="C2145" s="336" t="str">
        <f>IFERROR(__xludf.DUMMYFUNCTION("""COMPUTED_VALUE"""),"10.1016--j.paid.2024.112692.pdf")</f>
        <v>10.1016--j.paid.2024.112692.pdf</v>
      </c>
      <c r="D2145" s="156" t="str">
        <f>IFERROR(__xludf.DUMMYFUNCTION("""COMPUTED_VALUE"""),"application/pdf")</f>
        <v>application/pdf</v>
      </c>
    </row>
    <row r="2146">
      <c r="A2146" s="336" t="str">
        <f>IFERROR(__xludf.DUMMYFUNCTION("""COMPUTED_VALUE"""),"10.1016/j.jsp.2024.101307")</f>
        <v>10.1016/j.jsp.2024.101307</v>
      </c>
      <c r="B2146" s="442" t="str">
        <f>IFERROR(__xludf.DUMMYFUNCTION("""COMPUTED_VALUE"""),"https://drive.google.com/file/d/1VAdnhoiJmdHbv1LbvyIfcfg3rNALrpkj/view?usp=drivesdk")</f>
        <v>https://drive.google.com/file/d/1VAdnhoiJmdHbv1LbvyIfcfg3rNALrpkj/view?usp=drivesdk</v>
      </c>
      <c r="C2146" s="336" t="str">
        <f>IFERROR(__xludf.DUMMYFUNCTION("""COMPUTED_VALUE"""),"10.1016--j.jsp.2024.101307.pdf")</f>
        <v>10.1016--j.jsp.2024.101307.pdf</v>
      </c>
      <c r="D2146" s="156" t="str">
        <f>IFERROR(__xludf.DUMMYFUNCTION("""COMPUTED_VALUE"""),"application/pdf")</f>
        <v>application/pdf</v>
      </c>
    </row>
    <row r="2147">
      <c r="A2147" s="336" t="str">
        <f>IFERROR(__xludf.DUMMYFUNCTION("""COMPUTED_VALUE"""),"10.17605/osf.io/2zgf9")</f>
        <v>10.17605/osf.io/2zgf9</v>
      </c>
      <c r="B2147" s="442" t="str">
        <f>IFERROR(__xludf.DUMMYFUNCTION("""COMPUTED_VALUE"""),"https://drive.google.com/file/d/15dLELTosbF1NWFYI0UOSPLIC70dnGG5S/view?usp=drivesdk")</f>
        <v>https://drive.google.com/file/d/15dLELTosbF1NWFYI0UOSPLIC70dnGG5S/view?usp=drivesdk</v>
      </c>
      <c r="C2147" s="336" t="str">
        <f>IFERROR(__xludf.DUMMYFUNCTION("""COMPUTED_VALUE"""),"10.17605--OSF.IO--2ZGF9.pdf")</f>
        <v>10.17605--OSF.IO--2ZGF9.pdf</v>
      </c>
      <c r="D2147" s="156" t="str">
        <f>IFERROR(__xludf.DUMMYFUNCTION("""COMPUTED_VALUE"""),"application/pdf")</f>
        <v>application/pdf</v>
      </c>
    </row>
    <row r="2148">
      <c r="A2148" s="336" t="str">
        <f>IFERROR(__xludf.DUMMYFUNCTION("""COMPUTED_VALUE"""),"10.17605/osf.io/e9d3k")</f>
        <v>10.17605/osf.io/e9d3k</v>
      </c>
      <c r="B2148" s="442" t="str">
        <f>IFERROR(__xludf.DUMMYFUNCTION("""COMPUTED_VALUE"""),"https://drive.google.com/file/d/1VipPphabn-Kfe9AzHC0j5FX1Fqp3bd0q/view?usp=drivesdk")</f>
        <v>https://drive.google.com/file/d/1VipPphabn-Kfe9AzHC0j5FX1Fqp3bd0q/view?usp=drivesdk</v>
      </c>
      <c r="C2148" s="336" t="str">
        <f>IFERROR(__xludf.DUMMYFUNCTION("""COMPUTED_VALUE"""),"10.17605--OSF.IO--E9D3K.pdf")</f>
        <v>10.17605--OSF.IO--E9D3K.pdf</v>
      </c>
      <c r="D2148" s="156" t="str">
        <f>IFERROR(__xludf.DUMMYFUNCTION("""COMPUTED_VALUE"""),"application/pdf")</f>
        <v>application/pdf</v>
      </c>
    </row>
    <row r="2149">
      <c r="A2149" s="336" t="str">
        <f>IFERROR(__xludf.DUMMYFUNCTION("""COMPUTED_VALUE"""),"10.1111/j.1467-9280.2007.02004.x")</f>
        <v>10.1111/j.1467-9280.2007.02004.x</v>
      </c>
      <c r="B2149" s="442" t="str">
        <f>IFERROR(__xludf.DUMMYFUNCTION("""COMPUTED_VALUE"""),"https://drive.google.com/file/d/15Wsn7yRLOjnPIu3oOYbA1lhbZIRp1-8K/view?usp=drivesdk")</f>
        <v>https://drive.google.com/file/d/15Wsn7yRLOjnPIu3oOYbA1lhbZIRp1-8K/view?usp=drivesdk</v>
      </c>
      <c r="C2149" s="336" t="str">
        <f>IFERROR(__xludf.DUMMYFUNCTION("""COMPUTED_VALUE"""),"10.1111--j.1467-9280.2007.02004.x.pdf")</f>
        <v>10.1111--j.1467-9280.2007.02004.x.pdf</v>
      </c>
      <c r="D2149" s="156" t="str">
        <f>IFERROR(__xludf.DUMMYFUNCTION("""COMPUTED_VALUE"""),"application/pdf")</f>
        <v>application/pdf</v>
      </c>
    </row>
    <row r="2150">
      <c r="A2150" s="336" t="str">
        <f>IFERROR(__xludf.DUMMYFUNCTION("""COMPUTED_VALUE"""),"10.2139/ssrn.2586261")</f>
        <v>10.2139/ssrn.2586261</v>
      </c>
      <c r="B2150" s="442" t="str">
        <f>IFERROR(__xludf.DUMMYFUNCTION("""COMPUTED_VALUE"""),"https://drive.google.com/file/d/1H4h52o-2l4VeH6zifkEQWasrzj-Pi8k3/view?usp=drivesdk")</f>
        <v>https://drive.google.com/file/d/1H4h52o-2l4VeH6zifkEQWasrzj-Pi8k3/view?usp=drivesdk</v>
      </c>
      <c r="C2150" s="336" t="str">
        <f>IFERROR(__xludf.DUMMYFUNCTION("""COMPUTED_VALUE"""),"10.2139--ssrn.2586261.pdf")</f>
        <v>10.2139--ssrn.2586261.pdf</v>
      </c>
      <c r="D2150" s="156" t="str">
        <f>IFERROR(__xludf.DUMMYFUNCTION("""COMPUTED_VALUE"""),"application/pdf")</f>
        <v>application/pdf</v>
      </c>
    </row>
    <row r="2151">
      <c r="A2151" s="336" t="str">
        <f>IFERROR(__xludf.DUMMYFUNCTION("""COMPUTED_VALUE"""),"10.1111/j.1467-9280.2008.02061.x")</f>
        <v>10.1111/j.1467-9280.2008.02061.x</v>
      </c>
      <c r="B2151" s="442" t="str">
        <f>IFERROR(__xludf.DUMMYFUNCTION("""COMPUTED_VALUE"""),"https://drive.google.com/file/d/140WKvPe6h8fNM79ffoPo5RX6uP0flGT4/view?usp=drivesdk")</f>
        <v>https://drive.google.com/file/d/140WKvPe6h8fNM79ffoPo5RX6uP0flGT4/view?usp=drivesdk</v>
      </c>
      <c r="C2151" s="336" t="str">
        <f>IFERROR(__xludf.DUMMYFUNCTION("""COMPUTED_VALUE"""),"10.1111--j.1467-9280.2008.02061.x.pdf")</f>
        <v>10.1111--j.1467-9280.2008.02061.x.pdf</v>
      </c>
      <c r="D2151" s="156" t="str">
        <f>IFERROR(__xludf.DUMMYFUNCTION("""COMPUTED_VALUE"""),"application/pdf")</f>
        <v>application/pdf</v>
      </c>
    </row>
    <row r="2152">
      <c r="A2152" s="336" t="str">
        <f>IFERROR(__xludf.DUMMYFUNCTION("""COMPUTED_VALUE"""),"10.1371/journal.pone.0096339")</f>
        <v>10.1371/journal.pone.0096339</v>
      </c>
      <c r="B2152" s="442" t="str">
        <f>IFERROR(__xludf.DUMMYFUNCTION("""COMPUTED_VALUE"""),"https://drive.google.com/file/d/1gBBT6EBomzmICcRfzrG_6jxfvMnRuQIj/view?usp=drivesdk")</f>
        <v>https://drive.google.com/file/d/1gBBT6EBomzmICcRfzrG_6jxfvMnRuQIj/view?usp=drivesdk</v>
      </c>
      <c r="C2152" s="336" t="str">
        <f>IFERROR(__xludf.DUMMYFUNCTION("""COMPUTED_VALUE"""),"10.1371--journal.pone.0096339.pdf")</f>
        <v>10.1371--journal.pone.0096339.pdf</v>
      </c>
      <c r="D2152" s="156" t="str">
        <f>IFERROR(__xludf.DUMMYFUNCTION("""COMPUTED_VALUE"""),"application/pdf")</f>
        <v>application/pdf</v>
      </c>
    </row>
    <row r="2153">
      <c r="A2153" s="336" t="str">
        <f>IFERROR(__xludf.DUMMYFUNCTION("""COMPUTED_VALUE"""),"10.1002/bin.1659")</f>
        <v>10.1002/bin.1659</v>
      </c>
      <c r="B2153" s="442" t="str">
        <f>IFERROR(__xludf.DUMMYFUNCTION("""COMPUTED_VALUE"""),"https://drive.google.com/file/d/1CxhrkeSaHBzp5T2m5mVKo0v0N9tNA96j/view?usp=drivesdk")</f>
        <v>https://drive.google.com/file/d/1CxhrkeSaHBzp5T2m5mVKo0v0N9tNA96j/view?usp=drivesdk</v>
      </c>
      <c r="C2153" s="336" t="str">
        <f>IFERROR(__xludf.DUMMYFUNCTION("""COMPUTED_VALUE"""),"10.1002--bin.1659.pdf")</f>
        <v>10.1002--bin.1659.pdf</v>
      </c>
      <c r="D2153" s="156" t="str">
        <f>IFERROR(__xludf.DUMMYFUNCTION("""COMPUTED_VALUE"""),"application/pdf")</f>
        <v>application/pdf</v>
      </c>
    </row>
    <row r="2154">
      <c r="A2154" s="336" t="str">
        <f>IFERROR(__xludf.DUMMYFUNCTION("""COMPUTED_VALUE"""),"10.1080/23273798.2020.1810292")</f>
        <v>10.1080/23273798.2020.1810292</v>
      </c>
      <c r="B2154" s="442" t="str">
        <f>IFERROR(__xludf.DUMMYFUNCTION("""COMPUTED_VALUE"""),"https://drive.google.com/file/d/11NrpozUj6QEvSuPcqdy2reV2ZmG62r_Z/view?usp=drivesdk")</f>
        <v>https://drive.google.com/file/d/11NrpozUj6QEvSuPcqdy2reV2ZmG62r_Z/view?usp=drivesdk</v>
      </c>
      <c r="C2154" s="336" t="str">
        <f>IFERROR(__xludf.DUMMYFUNCTION("""COMPUTED_VALUE"""),"10.1080--23273798.2020.1810292.pdf")</f>
        <v>10.1080--23273798.2020.1810292.pdf</v>
      </c>
      <c r="D2154" s="156" t="str">
        <f>IFERROR(__xludf.DUMMYFUNCTION("""COMPUTED_VALUE"""),"application/pdf")</f>
        <v>application/pdf</v>
      </c>
    </row>
    <row r="2155">
      <c r="A2155" s="336" t="str">
        <f>IFERROR(__xludf.DUMMYFUNCTION("""COMPUTED_VALUE"""),"10.1080/23273798.2024.2337948")</f>
        <v>10.1080/23273798.2024.2337948</v>
      </c>
      <c r="B2155" s="442" t="str">
        <f>IFERROR(__xludf.DUMMYFUNCTION("""COMPUTED_VALUE"""),"https://drive.google.com/file/d/1Aes0K1gD14f_6QAHkD9IPsvD4OgnIJ9K/view?usp=drivesdk")</f>
        <v>https://drive.google.com/file/d/1Aes0K1gD14f_6QAHkD9IPsvD4OgnIJ9K/view?usp=drivesdk</v>
      </c>
      <c r="C2155" s="336" t="str">
        <f>IFERROR(__xludf.DUMMYFUNCTION("""COMPUTED_VALUE"""),"10.1080--23273798.2024.2337948.pdf")</f>
        <v>10.1080--23273798.2024.2337948.pdf</v>
      </c>
      <c r="D2155" s="156" t="str">
        <f>IFERROR(__xludf.DUMMYFUNCTION("""COMPUTED_VALUE"""),"application/pdf")</f>
        <v>application/pdf</v>
      </c>
    </row>
    <row r="2156">
      <c r="A2156" s="336" t="str">
        <f>IFERROR(__xludf.DUMMYFUNCTION("""COMPUTED_VALUE"""),"10.1037/met0000511")</f>
        <v>10.1037/met0000511</v>
      </c>
      <c r="B2156" s="442" t="str">
        <f>IFERROR(__xludf.DUMMYFUNCTION("""COMPUTED_VALUE"""),"https://drive.google.com/file/d/1S1BDaMkHx3KW3osHCgZU9COckw9P0yzi/view?usp=drivesdk")</f>
        <v>https://drive.google.com/file/d/1S1BDaMkHx3KW3osHCgZU9COckw9P0yzi/view?usp=drivesdk</v>
      </c>
      <c r="C2156" s="336" t="str">
        <f>IFERROR(__xludf.DUMMYFUNCTION("""COMPUTED_VALUE"""),"10.1037--met0000511.pdf")</f>
        <v>10.1037--met0000511.pdf</v>
      </c>
      <c r="D2156" s="156" t="str">
        <f>IFERROR(__xludf.DUMMYFUNCTION("""COMPUTED_VALUE"""),"application/pdf")</f>
        <v>application/pdf</v>
      </c>
    </row>
    <row r="2157">
      <c r="A2157" s="336" t="str">
        <f>IFERROR(__xludf.DUMMYFUNCTION("""COMPUTED_VALUE"""),"10.1016/j.jarmac.2021.08.001")</f>
        <v>10.1016/j.jarmac.2021.08.001</v>
      </c>
      <c r="B2157" s="442" t="str">
        <f>IFERROR(__xludf.DUMMYFUNCTION("""COMPUTED_VALUE"""),"https://drive.google.com/file/d/11FrEIq8nBGRjHM8n6665RHudNtasAq_q/view?usp=drivesdk")</f>
        <v>https://drive.google.com/file/d/11FrEIq8nBGRjHM8n6665RHudNtasAq_q/view?usp=drivesdk</v>
      </c>
      <c r="C2157" s="336" t="str">
        <f>IFERROR(__xludf.DUMMYFUNCTION("""COMPUTED_VALUE"""),"10.1016--j.jarmac.2021.08.001.pdf")</f>
        <v>10.1016--j.jarmac.2021.08.001.pdf</v>
      </c>
      <c r="D2157" s="156" t="str">
        <f>IFERROR(__xludf.DUMMYFUNCTION("""COMPUTED_VALUE"""),"application/pdf")</f>
        <v>application/pdf</v>
      </c>
    </row>
    <row r="2158">
      <c r="A2158" s="336" t="str">
        <f>IFERROR(__xludf.DUMMYFUNCTION("""COMPUTED_VALUE"""),"10.1037/pspi0000109")</f>
        <v>10.1037/pspi0000109</v>
      </c>
      <c r="B2158" s="442" t="str">
        <f>IFERROR(__xludf.DUMMYFUNCTION("""COMPUTED_VALUE"""),"https://drive.google.com/file/d/1DO937F2xhbz54X6xu8qtsy63K6O9mEYa/view?usp=drivesdk")</f>
        <v>https://drive.google.com/file/d/1DO937F2xhbz54X6xu8qtsy63K6O9mEYa/view?usp=drivesdk</v>
      </c>
      <c r="C2158" s="336" t="str">
        <f>IFERROR(__xludf.DUMMYFUNCTION("""COMPUTED_VALUE"""),"10.1037--pspi0000109.pdf")</f>
        <v>10.1037--pspi0000109.pdf</v>
      </c>
      <c r="D2158" s="156" t="str">
        <f>IFERROR(__xludf.DUMMYFUNCTION("""COMPUTED_VALUE"""),"application/pdf")</f>
        <v>application/pdf</v>
      </c>
    </row>
    <row r="2159">
      <c r="A2159" s="336" t="str">
        <f>IFERROR(__xludf.DUMMYFUNCTION("""COMPUTED_VALUE"""),"10.1002/acp.4202")</f>
        <v>10.1002/acp.4202</v>
      </c>
      <c r="B2159" s="442" t="str">
        <f>IFERROR(__xludf.DUMMYFUNCTION("""COMPUTED_VALUE"""),"https://drive.google.com/file/d/1GpMdw7ZFDWpDIdg1IjCcxRYXmuDta-6_/view?usp=drivesdk")</f>
        <v>https://drive.google.com/file/d/1GpMdw7ZFDWpDIdg1IjCcxRYXmuDta-6_/view?usp=drivesdk</v>
      </c>
      <c r="C2159" s="336" t="str">
        <f>IFERROR(__xludf.DUMMYFUNCTION("""COMPUTED_VALUE"""),"10.1002--acp.4202.pdf")</f>
        <v>10.1002--acp.4202.pdf</v>
      </c>
      <c r="D2159" s="156" t="str">
        <f>IFERROR(__xludf.DUMMYFUNCTION("""COMPUTED_VALUE"""),"application/pdf")</f>
        <v>application/pdf</v>
      </c>
    </row>
    <row r="2160">
      <c r="A2160" s="336" t="str">
        <f>IFERROR(__xludf.DUMMYFUNCTION("""COMPUTED_VALUE"""),"10.1016j/jsp.2024.101307")</f>
        <v>10.1016j/jsp.2024.101307</v>
      </c>
      <c r="B2160" s="442" t="str">
        <f>IFERROR(__xludf.DUMMYFUNCTION("""COMPUTED_VALUE"""),"https://drive.google.com/file/d/1OeY-k8G9PoOVwBC3kScmLaiAEl_Sb-3y/view?usp=drivesdk")</f>
        <v>https://drive.google.com/file/d/1OeY-k8G9PoOVwBC3kScmLaiAEl_Sb-3y/view?usp=drivesdk</v>
      </c>
      <c r="C2160" s="336" t="str">
        <f>IFERROR(__xludf.DUMMYFUNCTION("""COMPUTED_VALUE"""),"10.1016j--jsp.2024.101307.pdf")</f>
        <v>10.1016j--jsp.2024.101307.pdf</v>
      </c>
      <c r="D2160" s="156" t="str">
        <f>IFERROR(__xludf.DUMMYFUNCTION("""COMPUTED_VALUE"""),"application/pdf")</f>
        <v>application/pdf</v>
      </c>
    </row>
    <row r="2161">
      <c r="A2161" s="336" t="str">
        <f>IFERROR(__xludf.DUMMYFUNCTION("""COMPUTED_VALUE"""),"10.1016/j.jenvp.2022.101868")</f>
        <v>10.1016/j.jenvp.2022.101868</v>
      </c>
      <c r="B2161" s="442" t="str">
        <f>IFERROR(__xludf.DUMMYFUNCTION("""COMPUTED_VALUE"""),"https://drive.google.com/file/d/1PO93PC_ps2XExqA6N_FX_WnXnQAPrB_Q/view?usp=drivesdk")</f>
        <v>https://drive.google.com/file/d/1PO93PC_ps2XExqA6N_FX_WnXnQAPrB_Q/view?usp=drivesdk</v>
      </c>
      <c r="C2161" s="336" t="str">
        <f>IFERROR(__xludf.DUMMYFUNCTION("""COMPUTED_VALUE"""),"10.1016--j.jenvp.2022.101868.pdf")</f>
        <v>10.1016--j.jenvp.2022.101868.pdf</v>
      </c>
      <c r="D2161" s="156" t="str">
        <f>IFERROR(__xludf.DUMMYFUNCTION("""COMPUTED_VALUE"""),"application/pdf")</f>
        <v>application/pdf</v>
      </c>
    </row>
    <row r="2162">
      <c r="A2162" s="336" t="str">
        <f>IFERROR(__xludf.DUMMYFUNCTION("""COMPUTED_VALUE"""),"10.1016/j.jsp.2021.09.004")</f>
        <v>10.1016/j.jsp.2021.09.004</v>
      </c>
      <c r="B2162" s="442" t="str">
        <f>IFERROR(__xludf.DUMMYFUNCTION("""COMPUTED_VALUE"""),"https://drive.google.com/file/d/1RTiaFppoyqVSbs6ENCjo8xyaIVfjFhVI/view?usp=drivesdk")</f>
        <v>https://drive.google.com/file/d/1RTiaFppoyqVSbs6ENCjo8xyaIVfjFhVI/view?usp=drivesdk</v>
      </c>
      <c r="C2162" s="336" t="str">
        <f>IFERROR(__xludf.DUMMYFUNCTION("""COMPUTED_VALUE"""),"10.1016--j.jsp.2021.09.004.pdf")</f>
        <v>10.1016--j.jsp.2021.09.004.pdf</v>
      </c>
      <c r="D2162" s="156" t="str">
        <f>IFERROR(__xludf.DUMMYFUNCTION("""COMPUTED_VALUE"""),"application/pdf")</f>
        <v>application/pdf</v>
      </c>
    </row>
    <row r="2163">
      <c r="A2163" s="336" t="str">
        <f>IFERROR(__xludf.DUMMYFUNCTION("""COMPUTED_VALUE"""),"macias mendoza final 5.3.24 with cert")</f>
        <v>macias mendoza final 5.3.24 with cert</v>
      </c>
      <c r="B2163" s="442" t="str">
        <f>IFERROR(__xludf.DUMMYFUNCTION("""COMPUTED_VALUE"""),"https://drive.google.com/file/d/1joizDIhyA_6v5iIxaJb92CDtUAqisiiG/view?usp=drivesdk")</f>
        <v>https://drive.google.com/file/d/1joizDIhyA_6v5iIxaJb92CDtUAqisiiG/view?usp=drivesdk</v>
      </c>
      <c r="C2163" s="336" t="str">
        <f>IFERROR(__xludf.DUMMYFUNCTION("""COMPUTED_VALUE"""),"MACIAS MENDOZA FINAL 5.3.24 with cert.pdf")</f>
        <v>MACIAS MENDOZA FINAL 5.3.24 with cert.pdf</v>
      </c>
      <c r="D2163" s="156" t="str">
        <f>IFERROR(__xludf.DUMMYFUNCTION("""COMPUTED_VALUE"""),"application/pdf")</f>
        <v>application/pdf</v>
      </c>
    </row>
    <row r="2164">
      <c r="A2164" s="336" t="str">
        <f>IFERROR(__xludf.DUMMYFUNCTION("""COMPUTED_VALUE"""),"10.1016/j.jenvp.2024.102289")</f>
        <v>10.1016/j.jenvp.2024.102289</v>
      </c>
      <c r="B2164" s="442" t="str">
        <f>IFERROR(__xludf.DUMMYFUNCTION("""COMPUTED_VALUE"""),"https://drive.google.com/file/d/1y9Sta1A62b6o1louE7uCjU6m-n4q0e5j/view?usp=drivesdk")</f>
        <v>https://drive.google.com/file/d/1y9Sta1A62b6o1louE7uCjU6m-n4q0e5j/view?usp=drivesdk</v>
      </c>
      <c r="C2164" s="336" t="str">
        <f>IFERROR(__xludf.DUMMYFUNCTION("""COMPUTED_VALUE"""),"10.1016--j.jenvp.2024.102289.pdf")</f>
        <v>10.1016--j.jenvp.2024.102289.pdf</v>
      </c>
      <c r="D2164" s="156" t="str">
        <f>IFERROR(__xludf.DUMMYFUNCTION("""COMPUTED_VALUE"""),"application/pdf")</f>
        <v>application/pdf</v>
      </c>
    </row>
    <row r="2165">
      <c r="A2165" s="336" t="str">
        <f>IFERROR(__xludf.DUMMYFUNCTION("""COMPUTED_VALUE"""),"10.1111/j.1468-0068.2010.00795.x")</f>
        <v>10.1111/j.1468-0068.2010.00795.x</v>
      </c>
      <c r="B2165" s="442" t="str">
        <f>IFERROR(__xludf.DUMMYFUNCTION("""COMPUTED_VALUE"""),"https://drive.google.com/file/d/1O4mjB0-ZSujMTJYtaAoIsXTPuhxgEF-0/view?usp=drivesdk")</f>
        <v>https://drive.google.com/file/d/1O4mjB0-ZSujMTJYtaAoIsXTPuhxgEF-0/view?usp=drivesdk</v>
      </c>
      <c r="C2165" s="336" t="str">
        <f>IFERROR(__xludf.DUMMYFUNCTION("""COMPUTED_VALUE"""),"10.1111--j.1468-0068.2010.00795.x.pdf")</f>
        <v>10.1111--j.1468-0068.2010.00795.x.pdf</v>
      </c>
      <c r="D2165" s="156" t="str">
        <f>IFERROR(__xludf.DUMMYFUNCTION("""COMPUTED_VALUE"""),"application/pdf")</f>
        <v>application/pdf</v>
      </c>
    </row>
    <row r="2166">
      <c r="A2166" s="336" t="str">
        <f>IFERROR(__xludf.DUMMYFUNCTION("""COMPUTED_VALUE"""),"10.1002/jae.3082")</f>
        <v>10.1002/jae.3082</v>
      </c>
      <c r="B2166" s="442" t="str">
        <f>IFERROR(__xludf.DUMMYFUNCTION("""COMPUTED_VALUE"""),"https://drive.google.com/file/d/1LvmKgU-0Swex9jXhSh89rVHkVzeNMucB/view?usp=drivesdk")</f>
        <v>https://drive.google.com/file/d/1LvmKgU-0Swex9jXhSh89rVHkVzeNMucB/view?usp=drivesdk</v>
      </c>
      <c r="C2166" s="336" t="str">
        <f>IFERROR(__xludf.DUMMYFUNCTION("""COMPUTED_VALUE"""),"10.1002--jae.3082.pdf")</f>
        <v>10.1002--jae.3082.pdf</v>
      </c>
      <c r="D2166" s="156" t="str">
        <f>IFERROR(__xludf.DUMMYFUNCTION("""COMPUTED_VALUE"""),"application/pdf")</f>
        <v>application/pdf</v>
      </c>
    </row>
    <row r="2167">
      <c r="A2167" s="336" t="str">
        <f>IFERROR(__xludf.DUMMYFUNCTION("""COMPUTED_VALUE"""),"10.3982/ecta12807")</f>
        <v>10.3982/ecta12807</v>
      </c>
      <c r="B2167" s="442" t="str">
        <f>IFERROR(__xludf.DUMMYFUNCTION("""COMPUTED_VALUE"""),"https://drive.google.com/file/d/1MFrh4TN71i6T_XH6VvEuarZ-bkTQmkjp/view?usp=drivesdk")</f>
        <v>https://drive.google.com/file/d/1MFrh4TN71i6T_XH6VvEuarZ-bkTQmkjp/view?usp=drivesdk</v>
      </c>
      <c r="C2167" s="336" t="str">
        <f>IFERROR(__xludf.DUMMYFUNCTION("""COMPUTED_VALUE"""),"10.3982--ECTA12807.pdf")</f>
        <v>10.3982--ECTA12807.pdf</v>
      </c>
      <c r="D2167" s="156" t="str">
        <f>IFERROR(__xludf.DUMMYFUNCTION("""COMPUTED_VALUE"""),"application/pdf")</f>
        <v>application/pdf</v>
      </c>
    </row>
    <row r="2168">
      <c r="A2168" s="336" t="str">
        <f>IFERROR(__xludf.DUMMYFUNCTION("""COMPUTED_VALUE"""),"additional_studies91_r")</f>
        <v>additional_studies91_r</v>
      </c>
      <c r="B2168" s="442" t="str">
        <f>IFERROR(__xludf.DUMMYFUNCTION("""COMPUTED_VALUE"""),"https://drive.google.com/file/d/1hPhF8KaBqw1LsUQzpj31fTYVbHPo1XfL/view?usp=drivesdk")</f>
        <v>https://drive.google.com/file/d/1hPhF8KaBqw1LsUQzpj31fTYVbHPo1XfL/view?usp=drivesdk</v>
      </c>
      <c r="C2168" s="336" t="str">
        <f>IFERROR(__xludf.DUMMYFUNCTION("""COMPUTED_VALUE"""),"additional_studies91_r.pdf")</f>
        <v>additional_studies91_r.pdf</v>
      </c>
      <c r="D2168" s="156" t="str">
        <f>IFERROR(__xludf.DUMMYFUNCTION("""COMPUTED_VALUE"""),"application/pdf")</f>
        <v>application/pdf</v>
      </c>
    </row>
    <row r="2169">
      <c r="A2169" s="336" t="str">
        <f>IFERROR(__xludf.DUMMYFUNCTION("""COMPUTED_VALUE"""),"10.51548/joctec-2021-016")</f>
        <v>10.51548/joctec-2021-016</v>
      </c>
      <c r="B2169" s="442" t="str">
        <f>IFERROR(__xludf.DUMMYFUNCTION("""COMPUTED_VALUE"""),"https://drive.google.com/file/d/11B6RDsDdpDnOGVv1Bafc4t3LGTugpLfW/view?usp=drivesdk")</f>
        <v>https://drive.google.com/file/d/11B6RDsDdpDnOGVv1Bafc4t3LGTugpLfW/view?usp=drivesdk</v>
      </c>
      <c r="C2169" s="336" t="str">
        <f>IFERROR(__xludf.DUMMYFUNCTION("""COMPUTED_VALUE"""),"10.51548--joctec-2021-016.pdf")</f>
        <v>10.51548--joctec-2021-016.pdf</v>
      </c>
      <c r="D2169" s="156" t="str">
        <f>IFERROR(__xludf.DUMMYFUNCTION("""COMPUTED_VALUE"""),"application/pdf")</f>
        <v>application/pdf</v>
      </c>
    </row>
    <row r="2170">
      <c r="A2170" s="336" t="str">
        <f>IFERROR(__xludf.DUMMYFUNCTION("""COMPUTED_VALUE"""),"10.1080/13527266.2024.2376918")</f>
        <v>10.1080/13527266.2024.2376918</v>
      </c>
      <c r="B2170" s="442" t="str">
        <f>IFERROR(__xludf.DUMMYFUNCTION("""COMPUTED_VALUE"""),"https://drive.google.com/file/d/1lBAeCGIckBPanOLBGZwhA7XjuahS_0Dx/view?usp=drivesdk")</f>
        <v>https://drive.google.com/file/d/1lBAeCGIckBPanOLBGZwhA7XjuahS_0Dx/view?usp=drivesdk</v>
      </c>
      <c r="C2170" s="336" t="str">
        <f>IFERROR(__xludf.DUMMYFUNCTION("""COMPUTED_VALUE"""),"10.1080--13527266.2024.2376918.pdf")</f>
        <v>10.1080--13527266.2024.2376918.pdf</v>
      </c>
      <c r="D2170" s="156" t="str">
        <f>IFERROR(__xludf.DUMMYFUNCTION("""COMPUTED_VALUE"""),"application/pdf")</f>
        <v>application/pdf</v>
      </c>
    </row>
    <row r="2171">
      <c r="A2171" s="336" t="str">
        <f>IFERROR(__xludf.DUMMYFUNCTION("""COMPUTED_VALUE"""),"10.1080/10496491.2022.2108189")</f>
        <v>10.1080/10496491.2022.2108189</v>
      </c>
      <c r="B2171" s="442" t="str">
        <f>IFERROR(__xludf.DUMMYFUNCTION("""COMPUTED_VALUE"""),"https://drive.google.com/file/d/19vVZNnZqbHViA7ik9IZlctpt3T8O8e-i/view?usp=drivesdk")</f>
        <v>https://drive.google.com/file/d/19vVZNnZqbHViA7ik9IZlctpt3T8O8e-i/view?usp=drivesdk</v>
      </c>
      <c r="C2171" s="336" t="str">
        <f>IFERROR(__xludf.DUMMYFUNCTION("""COMPUTED_VALUE"""),"10.1080--10496491.2022.2108189.pdf")</f>
        <v>10.1080--10496491.2022.2108189.pdf</v>
      </c>
      <c r="D2171" s="156" t="str">
        <f>IFERROR(__xludf.DUMMYFUNCTION("""COMPUTED_VALUE"""),"application/pdf")</f>
        <v>application/pdf</v>
      </c>
    </row>
    <row r="2172">
      <c r="A2172" s="336" t="str">
        <f>IFERROR(__xludf.DUMMYFUNCTION("""COMPUTED_VALUE"""),"10.1093/applin/amae042")</f>
        <v>10.1093/applin/amae042</v>
      </c>
      <c r="B2172" s="442" t="str">
        <f>IFERROR(__xludf.DUMMYFUNCTION("""COMPUTED_VALUE"""),"https://drive.google.com/file/d/1VIxHSn4IKzp_dw4xNX6RMxFlMFrB02Na/view?usp=drivesdk")</f>
        <v>https://drive.google.com/file/d/1VIxHSn4IKzp_dw4xNX6RMxFlMFrB02Na/view?usp=drivesdk</v>
      </c>
      <c r="C2172" s="336" t="str">
        <f>IFERROR(__xludf.DUMMYFUNCTION("""COMPUTED_VALUE"""),"10.1093--applin--amae042.pdf")</f>
        <v>10.1093--applin--amae042.pdf</v>
      </c>
      <c r="D2172" s="156" t="str">
        <f>IFERROR(__xludf.DUMMYFUNCTION("""COMPUTED_VALUE"""),"application/pdf")</f>
        <v>application/pdf</v>
      </c>
    </row>
    <row r="2173">
      <c r="A2173" s="336" t="str">
        <f>IFERROR(__xludf.DUMMYFUNCTION("""COMPUTED_VALUE"""),"10.1075/jslp.22013.tel")</f>
        <v>10.1075/jslp.22013.tel</v>
      </c>
      <c r="B2173" s="442" t="str">
        <f>IFERROR(__xludf.DUMMYFUNCTION("""COMPUTED_VALUE"""),"https://drive.google.com/file/d/1UoK9lGyVfG2aSVu9UX62d1KXmmkZeMsj/view?usp=drivesdk")</f>
        <v>https://drive.google.com/file/d/1UoK9lGyVfG2aSVu9UX62d1KXmmkZeMsj/view?usp=drivesdk</v>
      </c>
      <c r="C2173" s="336" t="str">
        <f>IFERROR(__xludf.DUMMYFUNCTION("""COMPUTED_VALUE"""),"10.1075--jslp.22013.tel.pdf")</f>
        <v>10.1075--jslp.22013.tel.pdf</v>
      </c>
      <c r="D2173" s="156" t="str">
        <f>IFERROR(__xludf.DUMMYFUNCTION("""COMPUTED_VALUE"""),"application/pdf")</f>
        <v>application/pdf</v>
      </c>
    </row>
    <row r="2174">
      <c r="A2174" s="336" t="str">
        <f>IFERROR(__xludf.DUMMYFUNCTION("""COMPUTED_VALUE"""),"10.18718/81781.35")</f>
        <v>10.18718/81781.35</v>
      </c>
      <c r="B2174" s="442" t="str">
        <f>IFERROR(__xludf.DUMMYFUNCTION("""COMPUTED_VALUE"""),"https://drive.google.com/file/d/1hacB1-iy_tRTIgneV_Ee01qxYKx_hi62/view?usp=drivesdk")</f>
        <v>https://drive.google.com/file/d/1hacB1-iy_tRTIgneV_Ee01qxYKx_hi62/view?usp=drivesdk</v>
      </c>
      <c r="C2174" s="336" t="str">
        <f>IFERROR(__xludf.DUMMYFUNCTION("""COMPUTED_VALUE"""),"10.18718--81781.35.pdf")</f>
        <v>10.18718--81781.35.pdf</v>
      </c>
      <c r="D2174" s="156" t="str">
        <f>IFERROR(__xludf.DUMMYFUNCTION("""COMPUTED_VALUE"""),"application/pdf")</f>
        <v>application/pdf</v>
      </c>
    </row>
    <row r="2175">
      <c r="A2175" s="336" t="str">
        <f>IFERROR(__xludf.DUMMYFUNCTION("""COMPUTED_VALUE"""),"10.1073/pnas.2015539118 ")</f>
        <v>10.1073/pnas.2015539118 </v>
      </c>
      <c r="B2175" s="442" t="str">
        <f>IFERROR(__xludf.DUMMYFUNCTION("""COMPUTED_VALUE"""),"https://drive.google.com/file/d/1AkVoo6DTN5LfJVPCR5Qb6og7b_WTwQNJ/view?usp=drivesdk")</f>
        <v>https://drive.google.com/file/d/1AkVoo6DTN5LfJVPCR5Qb6og7b_WTwQNJ/view?usp=drivesdk</v>
      </c>
      <c r="C2175" s="336" t="str">
        <f>IFERROR(__xludf.DUMMYFUNCTION("""COMPUTED_VALUE"""),"10.1073--pnas.2015539118 .pdf")</f>
        <v>10.1073--pnas.2015539118 .pdf</v>
      </c>
      <c r="D2175" s="156" t="str">
        <f>IFERROR(__xludf.DUMMYFUNCTION("""COMPUTED_VALUE"""),"application/pdf")</f>
        <v>application/pdf</v>
      </c>
    </row>
    <row r="2176">
      <c r="A2176" s="336" t="str">
        <f>IFERROR(__xludf.DUMMYFUNCTION("""COMPUTED_VALUE"""),"10.1002/jaba.1098")</f>
        <v>10.1002/jaba.1098</v>
      </c>
      <c r="B2176" s="442" t="str">
        <f>IFERROR(__xludf.DUMMYFUNCTION("""COMPUTED_VALUE"""),"https://drive.google.com/file/d/14qlQgDUVz3KRZQVXwZQMkCR0K1msJHmK/view?usp=drivesdk")</f>
        <v>https://drive.google.com/file/d/14qlQgDUVz3KRZQVXwZQMkCR0K1msJHmK/view?usp=drivesdk</v>
      </c>
      <c r="C2176" s="336" t="str">
        <f>IFERROR(__xludf.DUMMYFUNCTION("""COMPUTED_VALUE"""),"10.1002--jaba.1098.pdf")</f>
        <v>10.1002--jaba.1098.pdf</v>
      </c>
      <c r="D2176" s="156" t="str">
        <f>IFERROR(__xludf.DUMMYFUNCTION("""COMPUTED_VALUE"""),"application/pdf")</f>
        <v>application/pdf</v>
      </c>
    </row>
    <row r="2177">
      <c r="A2177" s="336" t="str">
        <f>IFERROR(__xludf.DUMMYFUNCTION("""COMPUTED_VALUE"""),"10.1002/jaba.968")</f>
        <v>10.1002/jaba.968</v>
      </c>
      <c r="B2177" s="442" t="str">
        <f>IFERROR(__xludf.DUMMYFUNCTION("""COMPUTED_VALUE"""),"https://drive.google.com/file/d/1_lgC5OmIfmdyPUatcoMBb50JoLNHFpBH/view?usp=drivesdk")</f>
        <v>https://drive.google.com/file/d/1_lgC5OmIfmdyPUatcoMBb50JoLNHFpBH/view?usp=drivesdk</v>
      </c>
      <c r="C2177" s="336" t="str">
        <f>IFERROR(__xludf.DUMMYFUNCTION("""COMPUTED_VALUE"""),"10.1002--jaba.968.pdf")</f>
        <v>10.1002--jaba.968.pdf</v>
      </c>
      <c r="D2177" s="156" t="str">
        <f>IFERROR(__xludf.DUMMYFUNCTION("""COMPUTED_VALUE"""),"application/pdf")</f>
        <v>application/pdf</v>
      </c>
    </row>
    <row r="2178">
      <c r="A2178" s="336" t="str">
        <f>IFERROR(__xludf.DUMMYFUNCTION("""COMPUTED_VALUE"""),"10.31234/osf.io/xjaty")</f>
        <v>10.31234/osf.io/xjaty</v>
      </c>
      <c r="B2178" s="442" t="str">
        <f>IFERROR(__xludf.DUMMYFUNCTION("""COMPUTED_VALUE"""),"https://drive.google.com/file/d/1DMMXxQwzUbOxshIWiT8AwdGZ588_WZ8b/view?usp=drivesdk")</f>
        <v>https://drive.google.com/file/d/1DMMXxQwzUbOxshIWiT8AwdGZ588_WZ8b/view?usp=drivesdk</v>
      </c>
      <c r="C2178" s="336" t="str">
        <f>IFERROR(__xludf.DUMMYFUNCTION("""COMPUTED_VALUE"""),"10.31234--osf.io--xjaty.pdf")</f>
        <v>10.31234--osf.io--xjaty.pdf</v>
      </c>
      <c r="D2178" s="156" t="str">
        <f>IFERROR(__xludf.DUMMYFUNCTION("""COMPUTED_VALUE"""),"application/pdf")</f>
        <v>application/pdf</v>
      </c>
    </row>
    <row r="2179">
      <c r="A2179" s="336" t="str">
        <f>IFERROR(__xludf.DUMMYFUNCTION("""COMPUTED_VALUE"""),"10.1038/s41586-022-04452-3")</f>
        <v>10.1038/s41586-022-04452-3</v>
      </c>
      <c r="B2179" s="442" t="str">
        <f>IFERROR(__xludf.DUMMYFUNCTION("""COMPUTED_VALUE"""),"https://drive.google.com/file/d/1Dle9tBaQJnicGTbi-WNIWZLHBhpRMBFu/view?usp=drivesdk")</f>
        <v>https://drive.google.com/file/d/1Dle9tBaQJnicGTbi-WNIWZLHBhpRMBFu/view?usp=drivesdk</v>
      </c>
      <c r="C2179" s="336" t="str">
        <f>IFERROR(__xludf.DUMMYFUNCTION("""COMPUTED_VALUE"""),"10.1038--s41586-022-04452-3.pdf")</f>
        <v>10.1038--s41586-022-04452-3.pdf</v>
      </c>
      <c r="D2179" s="156" t="str">
        <f>IFERROR(__xludf.DUMMYFUNCTION("""COMPUTED_VALUE"""),"application/pdf")</f>
        <v>application/pdf</v>
      </c>
    </row>
    <row r="2180">
      <c r="A2180" s="336" t="str">
        <f>IFERROR(__xludf.DUMMYFUNCTION("""COMPUTED_VALUE"""),"10.31234/osf.io/jfmsz")</f>
        <v>10.31234/osf.io/jfmsz</v>
      </c>
      <c r="B2180" s="442" t="str">
        <f>IFERROR(__xludf.DUMMYFUNCTION("""COMPUTED_VALUE"""),"https://drive.google.com/file/d/1VVeqTkEjSzuu9KSkYUb2Q1_BeFG8ZFes/view?usp=drivesdk")</f>
        <v>https://drive.google.com/file/d/1VVeqTkEjSzuu9KSkYUb2Q1_BeFG8ZFes/view?usp=drivesdk</v>
      </c>
      <c r="C2180" s="336" t="str">
        <f>IFERROR(__xludf.DUMMYFUNCTION("""COMPUTED_VALUE"""),"10.31234--osf.io--jfmsz.pdf")</f>
        <v>10.31234--osf.io--jfmsz.pdf</v>
      </c>
      <c r="D2180" s="156" t="str">
        <f>IFERROR(__xludf.DUMMYFUNCTION("""COMPUTED_VALUE"""),"application/pdf")</f>
        <v>application/pdf</v>
      </c>
    </row>
    <row r="2181">
      <c r="A2181" s="336" t="str">
        <f>IFERROR(__xludf.DUMMYFUNCTION("""COMPUTED_VALUE"""),"10.1073/pnas.2120668119")</f>
        <v>10.1073/pnas.2120668119</v>
      </c>
      <c r="B2181" s="442" t="str">
        <f>IFERROR(__xludf.DUMMYFUNCTION("""COMPUTED_VALUE"""),"https://drive.google.com/file/d/1ANwIdy7vvKbUuPS6VZrKvVbqw28M1etr/view?usp=drivesdk")</f>
        <v>https://drive.google.com/file/d/1ANwIdy7vvKbUuPS6VZrKvVbqw28M1etr/view?usp=drivesdk</v>
      </c>
      <c r="C2181" s="336" t="str">
        <f>IFERROR(__xludf.DUMMYFUNCTION("""COMPUTED_VALUE"""),"10.1073--pnas.2120668119.pdf")</f>
        <v>10.1073--pnas.2120668119.pdf</v>
      </c>
      <c r="D2181" s="156" t="str">
        <f>IFERROR(__xludf.DUMMYFUNCTION("""COMPUTED_VALUE"""),"application/pdf")</f>
        <v>application/pdf</v>
      </c>
    </row>
    <row r="2182">
      <c r="A2182" s="336" t="str">
        <f>IFERROR(__xludf.DUMMYFUNCTION("""COMPUTED_VALUE"""),"10.37237/150205")</f>
        <v>10.37237/150205</v>
      </c>
      <c r="B2182" s="442" t="str">
        <f>IFERROR(__xludf.DUMMYFUNCTION("""COMPUTED_VALUE"""),"https://drive.google.com/file/d/1mAgtvtRNwI_LQ2ccnmAWuBfkaX8itu_d/view?usp=drivesdk")</f>
        <v>https://drive.google.com/file/d/1mAgtvtRNwI_LQ2ccnmAWuBfkaX8itu_d/view?usp=drivesdk</v>
      </c>
      <c r="C2182" s="336" t="str">
        <f>IFERROR(__xludf.DUMMYFUNCTION("""COMPUTED_VALUE"""),"10.37237--150205.pdf")</f>
        <v>10.37237--150205.pdf</v>
      </c>
      <c r="D2182" s="156" t="str">
        <f>IFERROR(__xludf.DUMMYFUNCTION("""COMPUTED_VALUE"""),"application/pdf")</f>
        <v>application/pdf</v>
      </c>
    </row>
    <row r="2183">
      <c r="A2183" s="336" t="str">
        <f>IFERROR(__xludf.DUMMYFUNCTION("""COMPUTED_VALUE"""),"10.37237/relay/010204")</f>
        <v>10.37237/relay/010204</v>
      </c>
      <c r="B2183" s="442" t="str">
        <f>IFERROR(__xludf.DUMMYFUNCTION("""COMPUTED_VALUE"""),"https://drive.google.com/file/d/1bQdPG6N4D0o1pKlwFaURIS3ouXnJPLk2/view?usp=drivesdk")</f>
        <v>https://drive.google.com/file/d/1bQdPG6N4D0o1pKlwFaURIS3ouXnJPLk2/view?usp=drivesdk</v>
      </c>
      <c r="C2183" s="336" t="str">
        <f>IFERROR(__xludf.DUMMYFUNCTION("""COMPUTED_VALUE"""),"10.37237--relay--010204.pdf")</f>
        <v>10.37237--relay--010204.pdf</v>
      </c>
      <c r="D2183" s="156" t="str">
        <f>IFERROR(__xludf.DUMMYFUNCTION("""COMPUTED_VALUE"""),"application/pdf")</f>
        <v>application/pdf</v>
      </c>
    </row>
    <row r="2184">
      <c r="A2184" s="336" t="str">
        <f>IFERROR(__xludf.DUMMYFUNCTION("""COMPUTED_VALUE"""),"10.1007/s10834-024-09975-7")</f>
        <v>10.1007/s10834-024-09975-7</v>
      </c>
      <c r="B2184" s="442" t="str">
        <f>IFERROR(__xludf.DUMMYFUNCTION("""COMPUTED_VALUE"""),"https://drive.google.com/file/d/1kvzfXjBDZmFTCeJVlsPrywrDLzw17fXw/view?usp=drivesdk")</f>
        <v>https://drive.google.com/file/d/1kvzfXjBDZmFTCeJVlsPrywrDLzw17fXw/view?usp=drivesdk</v>
      </c>
      <c r="C2184" s="336" t="str">
        <f>IFERROR(__xludf.DUMMYFUNCTION("""COMPUTED_VALUE"""),"10.1007--s10834-024-09975-7.pdf")</f>
        <v>10.1007--s10834-024-09975-7.pdf</v>
      </c>
      <c r="D2184" s="156" t="str">
        <f>IFERROR(__xludf.DUMMYFUNCTION("""COMPUTED_VALUE"""),"application/pdf")</f>
        <v>application/pdf</v>
      </c>
    </row>
    <row r="2185">
      <c r="A2185" s="336" t="str">
        <f>IFERROR(__xludf.DUMMYFUNCTION("""COMPUTED_VALUE"""),"10.1007/s11150-021-09593-4")</f>
        <v>10.1007/s11150-021-09593-4</v>
      </c>
      <c r="B2185" s="442" t="str">
        <f>IFERROR(__xludf.DUMMYFUNCTION("""COMPUTED_VALUE"""),"https://drive.google.com/file/d/1IfVJze_D0VNVGP0qGB9jOH8T88AinA4X/view?usp=drivesdk")</f>
        <v>https://drive.google.com/file/d/1IfVJze_D0VNVGP0qGB9jOH8T88AinA4X/view?usp=drivesdk</v>
      </c>
      <c r="C2185" s="336" t="str">
        <f>IFERROR(__xludf.DUMMYFUNCTION("""COMPUTED_VALUE"""),"10.1007--s11150-021-09593-4.pdf")</f>
        <v>10.1007--s11150-021-09593-4.pdf</v>
      </c>
      <c r="D2185" s="156" t="str">
        <f>IFERROR(__xludf.DUMMYFUNCTION("""COMPUTED_VALUE"""),"application/pdf")</f>
        <v>application/pdf</v>
      </c>
    </row>
    <row r="2186">
      <c r="A2186" s="336" t="str">
        <f>IFERROR(__xludf.DUMMYFUNCTION("""COMPUTED_VALUE"""),"10.1073/pnas.2218961120")</f>
        <v>10.1073/pnas.2218961120</v>
      </c>
      <c r="B2186" s="442" t="str">
        <f>IFERROR(__xludf.DUMMYFUNCTION("""COMPUTED_VALUE"""),"https://drive.google.com/file/d/1y96i0hMyOppZ0ZOc68SfdS2QELKNre-8/view?usp=drivesdk")</f>
        <v>https://drive.google.com/file/d/1y96i0hMyOppZ0ZOc68SfdS2QELKNre-8/view?usp=drivesdk</v>
      </c>
      <c r="C2186" s="336" t="str">
        <f>IFERROR(__xludf.DUMMYFUNCTION("""COMPUTED_VALUE"""),"10.1073--pnas.2218961120.pdf")</f>
        <v>10.1073--pnas.2218961120.pdf</v>
      </c>
      <c r="D2186" s="156" t="str">
        <f>IFERROR(__xludf.DUMMYFUNCTION("""COMPUTED_VALUE"""),"application/pdf")</f>
        <v>application/pdf</v>
      </c>
    </row>
    <row r="2187">
      <c r="A2187" s="336" t="str">
        <f>IFERROR(__xludf.DUMMYFUNCTION("""COMPUTED_VALUE"""),"10.1073/pnas.2402315121")</f>
        <v>10.1073/pnas.2402315121</v>
      </c>
      <c r="B2187" s="442" t="str">
        <f>IFERROR(__xludf.DUMMYFUNCTION("""COMPUTED_VALUE"""),"https://drive.google.com/file/d/1Mxrn43qE4Nlk4SUVbyTVjT4uEEPF5pZu/view?usp=drivesdk")</f>
        <v>https://drive.google.com/file/d/1Mxrn43qE4Nlk4SUVbyTVjT4uEEPF5pZu/view?usp=drivesdk</v>
      </c>
      <c r="C2187" s="336" t="str">
        <f>IFERROR(__xludf.DUMMYFUNCTION("""COMPUTED_VALUE"""),"10.1073--pnas.2402315121.pdf")</f>
        <v>10.1073--pnas.2402315121.pdf</v>
      </c>
      <c r="D2187" s="156" t="str">
        <f>IFERROR(__xludf.DUMMYFUNCTION("""COMPUTED_VALUE"""),"application/pdf")</f>
        <v>application/pdf</v>
      </c>
    </row>
    <row r="2188">
      <c r="A2188" s="336" t="str">
        <f>IFERROR(__xludf.DUMMYFUNCTION("""COMPUTED_VALUE"""),"10.1073/pnas.2218961120 sapp")</f>
        <v>10.1073/pnas.2218961120 sapp</v>
      </c>
      <c r="B2188" s="442" t="str">
        <f>IFERROR(__xludf.DUMMYFUNCTION("""COMPUTED_VALUE"""),"https://drive.google.com/file/d/1FFPuywkjnJ2hCvl_bCDbo0AuVlwdfYGa/view?usp=drivesdk")</f>
        <v>https://drive.google.com/file/d/1FFPuywkjnJ2hCvl_bCDbo0AuVlwdfYGa/view?usp=drivesdk</v>
      </c>
      <c r="C2188" s="336" t="str">
        <f>IFERROR(__xludf.DUMMYFUNCTION("""COMPUTED_VALUE"""),"10.1073--pnas.2218961120 SAPP.pdf")</f>
        <v>10.1073--pnas.2218961120 SAPP.pdf</v>
      </c>
      <c r="D2188" s="156" t="str">
        <f>IFERROR(__xludf.DUMMYFUNCTION("""COMPUTED_VALUE"""),"application/pdf")</f>
        <v>application/pdf</v>
      </c>
    </row>
    <row r="2189">
      <c r="A2189" s="336" t="str">
        <f>IFERROR(__xludf.DUMMYFUNCTION("""COMPUTED_VALUE"""),"10.1073/pnas.2402315121 sapp")</f>
        <v>10.1073/pnas.2402315121 sapp</v>
      </c>
      <c r="B2189" s="442" t="str">
        <f>IFERROR(__xludf.DUMMYFUNCTION("""COMPUTED_VALUE"""),"https://drive.google.com/file/d/12TiI13PmR3BQm4y9CSAIab7_hjQIonUH/view?usp=drivesdk")</f>
        <v>https://drive.google.com/file/d/12TiI13PmR3BQm4y9CSAIab7_hjQIonUH/view?usp=drivesdk</v>
      </c>
      <c r="C2189" s="336" t="str">
        <f>IFERROR(__xludf.DUMMYFUNCTION("""COMPUTED_VALUE"""),"10.1073--pnas.2402315121 SAPP.pdf")</f>
        <v>10.1073--pnas.2402315121 SAPP.pdf</v>
      </c>
      <c r="D2189" s="156" t="str">
        <f>IFERROR(__xludf.DUMMYFUNCTION("""COMPUTED_VALUE"""),"application/pdf")</f>
        <v>application/pdf</v>
      </c>
    </row>
    <row r="2190">
      <c r="A2190" s="336" t="str">
        <f>IFERROR(__xludf.DUMMYFUNCTION("""COMPUTED_VALUE"""),"10.1016/j.jsams.2024.07.018")</f>
        <v>10.1016/j.jsams.2024.07.018</v>
      </c>
      <c r="B2190" s="442" t="str">
        <f>IFERROR(__xludf.DUMMYFUNCTION("""COMPUTED_VALUE"""),"https://drive.google.com/file/d/1iWxdhqxc4T6twXLJR2WbGMzAHqB2cMPh/view?usp=drivesdk")</f>
        <v>https://drive.google.com/file/d/1iWxdhqxc4T6twXLJR2WbGMzAHqB2cMPh/view?usp=drivesdk</v>
      </c>
      <c r="C2190" s="336" t="str">
        <f>IFERROR(__xludf.DUMMYFUNCTION("""COMPUTED_VALUE"""),"10.1016--j.jsams.2024.07.018.pdf")</f>
        <v>10.1016--j.jsams.2024.07.018.pdf</v>
      </c>
      <c r="D2190" s="156" t="str">
        <f>IFERROR(__xludf.DUMMYFUNCTION("""COMPUTED_VALUE"""),"application/pdf")</f>
        <v>application/pdf</v>
      </c>
    </row>
    <row r="2191">
      <c r="A2191" s="336" t="str">
        <f>IFERROR(__xludf.DUMMYFUNCTION("""COMPUTED_VALUE"""),"10.1111/j.1467-9280.2006.01704.x")</f>
        <v>10.1111/j.1467-9280.2006.01704.x</v>
      </c>
      <c r="B2191" s="442" t="str">
        <f>IFERROR(__xludf.DUMMYFUNCTION("""COMPUTED_VALUE"""),"https://drive.google.com/file/d/1-8o-L3-LBDg-R5swBEF53YfzOD1dWuZJ/view?usp=drivesdk")</f>
        <v>https://drive.google.com/file/d/1-8o-L3-LBDg-R5swBEF53YfzOD1dWuZJ/view?usp=drivesdk</v>
      </c>
      <c r="C2191" s="336" t="str">
        <f>IFERROR(__xludf.DUMMYFUNCTION("""COMPUTED_VALUE"""),"10.1111--j.1467-9280.2006.01704.x.pdf")</f>
        <v>10.1111--j.1467-9280.2006.01704.x.pdf</v>
      </c>
      <c r="D2191" s="156" t="str">
        <f>IFERROR(__xludf.DUMMYFUNCTION("""COMPUTED_VALUE"""),"application/pdf")</f>
        <v>application/pdf</v>
      </c>
    </row>
    <row r="2192">
      <c r="A2192" s="336" t="str">
        <f>IFERROR(__xludf.DUMMYFUNCTION("""COMPUTED_VALUE"""),"10.18718/81781.23")</f>
        <v>10.18718/81781.23</v>
      </c>
      <c r="B2192" s="442" t="str">
        <f>IFERROR(__xludf.DUMMYFUNCTION("""COMPUTED_VALUE"""),"https://drive.google.com/file/d/1UFSIBKXNmPXd3__1cxrsTy9PbNax45wB/view?usp=drivesdk")</f>
        <v>https://drive.google.com/file/d/1UFSIBKXNmPXd3__1cxrsTy9PbNax45wB/view?usp=drivesdk</v>
      </c>
      <c r="C2192" s="336" t="str">
        <f>IFERROR(__xludf.DUMMYFUNCTION("""COMPUTED_VALUE"""),"10.18718--81781.23.pdf")</f>
        <v>10.18718--81781.23.pdf</v>
      </c>
      <c r="D2192" s="156" t="str">
        <f>IFERROR(__xludf.DUMMYFUNCTION("""COMPUTED_VALUE"""),"application/pdf")</f>
        <v>application/pdf</v>
      </c>
    </row>
    <row r="2193">
      <c r="A2193" s="336" t="str">
        <f>IFERROR(__xludf.DUMMYFUNCTION("""COMPUTED_VALUE"""),"10.17605/osf.io/j8a4p")</f>
        <v>10.17605/osf.io/j8a4p</v>
      </c>
      <c r="B2193" s="442" t="str">
        <f>IFERROR(__xludf.DUMMYFUNCTION("""COMPUTED_VALUE"""),"https://drive.google.com/file/d/1Kwdqeb9S0RNT_hHV1vR81MPGAjymnUQq/view?usp=drivesdk")</f>
        <v>https://drive.google.com/file/d/1Kwdqeb9S0RNT_hHV1vR81MPGAjymnUQq/view?usp=drivesdk</v>
      </c>
      <c r="C2193" s="336" t="str">
        <f>IFERROR(__xludf.DUMMYFUNCTION("""COMPUTED_VALUE"""),"10.17605--osf.io--j8a4p.pdf")</f>
        <v>10.17605--osf.io--j8a4p.pdf</v>
      </c>
      <c r="D2193" s="156" t="str">
        <f>IFERROR(__xludf.DUMMYFUNCTION("""COMPUTED_VALUE"""),"application/pdf")</f>
        <v>application/pdf</v>
      </c>
    </row>
    <row r="2194">
      <c r="A2194" s="336" t="str">
        <f>IFERROR(__xludf.DUMMYFUNCTION("""COMPUTED_VALUE"""),"10.17605/osf.io/fmd75")</f>
        <v>10.17605/osf.io/fmd75</v>
      </c>
      <c r="B2194" s="442" t="str">
        <f>IFERROR(__xludf.DUMMYFUNCTION("""COMPUTED_VALUE"""),"https://drive.google.com/file/d/1ricWbnnQ27T1O2HoAIXHZb1YA8sK8_s2/view?usp=drivesdk")</f>
        <v>https://drive.google.com/file/d/1ricWbnnQ27T1O2HoAIXHZb1YA8sK8_s2/view?usp=drivesdk</v>
      </c>
      <c r="C2194" s="336" t="str">
        <f>IFERROR(__xludf.DUMMYFUNCTION("""COMPUTED_VALUE"""),"10.17605--osf.io--fmd75.pdf")</f>
        <v>10.17605--osf.io--fmd75.pdf</v>
      </c>
      <c r="D2194" s="156" t="str">
        <f>IFERROR(__xludf.DUMMYFUNCTION("""COMPUTED_VALUE"""),"application/pdf")</f>
        <v>application/pdf</v>
      </c>
    </row>
    <row r="2195">
      <c r="A2195" s="336" t="str">
        <f>IFERROR(__xludf.DUMMYFUNCTION("""COMPUTED_VALUE"""),"10.1002/jeab.705")</f>
        <v>10.1002/jeab.705</v>
      </c>
      <c r="B2195" s="442" t="str">
        <f>IFERROR(__xludf.DUMMYFUNCTION("""COMPUTED_VALUE"""),"https://drive.google.com/file/d/1hiobo976wpKGT4ybTmzucLhLBTnypf_I/view?usp=drivesdk")</f>
        <v>https://drive.google.com/file/d/1hiobo976wpKGT4ybTmzucLhLBTnypf_I/view?usp=drivesdk</v>
      </c>
      <c r="C2195" s="336" t="str">
        <f>IFERROR(__xludf.DUMMYFUNCTION("""COMPUTED_VALUE"""),"10.1002--jeab.705.pdf")</f>
        <v>10.1002--jeab.705.pdf</v>
      </c>
      <c r="D2195" s="156" t="str">
        <f>IFERROR(__xludf.DUMMYFUNCTION("""COMPUTED_VALUE"""),"application/pdf")</f>
        <v>application/pdf</v>
      </c>
    </row>
    <row r="2196">
      <c r="A2196" s="336" t="str">
        <f>IFERROR(__xludf.DUMMYFUNCTION("""COMPUTED_VALUE"""),"scholars.indianastate.eduetds/2136")</f>
        <v>scholars.indianastate.eduetds/2136</v>
      </c>
      <c r="B2196" s="442" t="str">
        <f>IFERROR(__xludf.DUMMYFUNCTION("""COMPUTED_VALUE"""),"https://drive.google.com/file/d/1jZb-p-3Rc26saHcNX9fyKAs8ayXvLp_G/view?usp=drivesdk")</f>
        <v>https://drive.google.com/file/d/1jZb-p-3Rc26saHcNX9fyKAs8ayXvLp_G/view?usp=drivesdk</v>
      </c>
      <c r="C2196" s="336" t="str">
        <f>IFERROR(__xludf.DUMMYFUNCTION("""COMPUTED_VALUE"""),"scholars.indianastate.eduetds--2136.pdf")</f>
        <v>scholars.indianastate.eduetds--2136.pdf</v>
      </c>
      <c r="D2196" s="156" t="str">
        <f>IFERROR(__xludf.DUMMYFUNCTION("""COMPUTED_VALUE"""),"application/pdf")</f>
        <v>application/pdf</v>
      </c>
    </row>
    <row r="2197">
      <c r="A2197" s="336" t="str">
        <f>IFERROR(__xludf.DUMMYFUNCTION("""COMPUTED_VALUE"""),"10.1075/ijlcr.00046.ozk")</f>
        <v>10.1075/ijlcr.00046.ozk</v>
      </c>
      <c r="B2197" s="442" t="str">
        <f>IFERROR(__xludf.DUMMYFUNCTION("""COMPUTED_VALUE"""),"https://drive.google.com/file/d/1lyco4NN8QUadLrLaxT4tk2Kth7hjO4p_/view?usp=drivesdk")</f>
        <v>https://drive.google.com/file/d/1lyco4NN8QUadLrLaxT4tk2Kth7hjO4p_/view?usp=drivesdk</v>
      </c>
      <c r="C2197" s="336" t="str">
        <f>IFERROR(__xludf.DUMMYFUNCTION("""COMPUTED_VALUE"""),"10.1075--ijlcr.00046.ozk.pdf")</f>
        <v>10.1075--ijlcr.00046.ozk.pdf</v>
      </c>
      <c r="D2197" s="156" t="str">
        <f>IFERROR(__xludf.DUMMYFUNCTION("""COMPUTED_VALUE"""),"application/pdf")</f>
        <v>application/pdf</v>
      </c>
    </row>
    <row r="2198">
      <c r="A2198" s="336" t="str">
        <f>IFERROR(__xludf.DUMMYFUNCTION("""COMPUTED_VALUE"""),"10.1002/jeab.915")</f>
        <v>10.1002/jeab.915</v>
      </c>
      <c r="B2198" s="442" t="str">
        <f>IFERROR(__xludf.DUMMYFUNCTION("""COMPUTED_VALUE"""),"https://drive.google.com/file/d/1s7Xp1h565EAKnPa_0Zp3RnS0qmb4t53a/view?usp=drivesdk")</f>
        <v>https://drive.google.com/file/d/1s7Xp1h565EAKnPa_0Zp3RnS0qmb4t53a/view?usp=drivesdk</v>
      </c>
      <c r="C2198" s="336" t="str">
        <f>IFERROR(__xludf.DUMMYFUNCTION("""COMPUTED_VALUE"""),"10.1002--jeab.915.pdf")</f>
        <v>10.1002--jeab.915.pdf</v>
      </c>
      <c r="D2198" s="156" t="str">
        <f>IFERROR(__xludf.DUMMYFUNCTION("""COMPUTED_VALUE"""),"application/pdf")</f>
        <v>application/pdf</v>
      </c>
    </row>
    <row r="2199">
      <c r="A2199" s="442" t="str">
        <f>IFERROR(__xludf.DUMMYFUNCTION("""COMPUTED_VALUE"""),"thekeep.eiu.edu/theses/4783")</f>
        <v>thekeep.eiu.edu/theses/4783</v>
      </c>
      <c r="B2199" s="442" t="str">
        <f>IFERROR(__xludf.DUMMYFUNCTION("""COMPUTED_VALUE"""),"https://drive.google.com/file/d/13W9ZIRuUntMYZ1V5eqz7utx5OSyGY3y3/view?usp=drivesdk")</f>
        <v>https://drive.google.com/file/d/13W9ZIRuUntMYZ1V5eqz7utx5OSyGY3y3/view?usp=drivesdk</v>
      </c>
      <c r="C2199" s="336" t="str">
        <f>IFERROR(__xludf.DUMMYFUNCTION("""COMPUTED_VALUE"""),"thekeep.eiu.edu--theses--4783.pdf")</f>
        <v>thekeep.eiu.edu--theses--4783.pdf</v>
      </c>
      <c r="D2199" s="156" t="str">
        <f>IFERROR(__xludf.DUMMYFUNCTION("""COMPUTED_VALUE"""),"application/pdf")</f>
        <v>application/pdf</v>
      </c>
    </row>
    <row r="2200">
      <c r="A2200" s="442" t="str">
        <f>IFERROR(__xludf.DUMMYFUNCTION("""COMPUTED_VALUE"""),"thekeep.eiu.edu/theses/5025")</f>
        <v>thekeep.eiu.edu/theses/5025</v>
      </c>
      <c r="B2200" s="442" t="str">
        <f>IFERROR(__xludf.DUMMYFUNCTION("""COMPUTED_VALUE"""),"https://drive.google.com/file/d/1Fg206MUtjoN9d31kEAQ7bIDHvbUqwyGY/view?usp=drivesdk")</f>
        <v>https://drive.google.com/file/d/1Fg206MUtjoN9d31kEAQ7bIDHvbUqwyGY/view?usp=drivesdk</v>
      </c>
      <c r="C2200" s="336" t="str">
        <f>IFERROR(__xludf.DUMMYFUNCTION("""COMPUTED_VALUE"""),"thekeep.eiu.edu--theses--5025.pdf")</f>
        <v>thekeep.eiu.edu--theses--5025.pdf</v>
      </c>
      <c r="D2200" s="156" t="str">
        <f>IFERROR(__xludf.DUMMYFUNCTION("""COMPUTED_VALUE"""),"application/pdf")</f>
        <v>application/pdf</v>
      </c>
    </row>
    <row r="2201">
      <c r="A2201" s="442" t="str">
        <f>IFERROR(__xludf.DUMMYFUNCTION("""COMPUTED_VALUE"""),"aclanthology.org/2024.lrec-main.91")</f>
        <v>aclanthology.org/2024.lrec-main.91</v>
      </c>
      <c r="B2201" s="442" t="str">
        <f>IFERROR(__xludf.DUMMYFUNCTION("""COMPUTED_VALUE"""),"https://drive.google.com/file/d/1tRSJ7nCc-S4z9k7Go2ucp_tmetdfTvik/view?usp=drivesdk")</f>
        <v>https://drive.google.com/file/d/1tRSJ7nCc-S4z9k7Go2ucp_tmetdfTvik/view?usp=drivesdk</v>
      </c>
      <c r="C2201" s="336" t="str">
        <f>IFERROR(__xludf.DUMMYFUNCTION("""COMPUTED_VALUE"""),"aclanthology.org--2024.lrec-main.91.pdf")</f>
        <v>aclanthology.org--2024.lrec-main.91.pdf</v>
      </c>
      <c r="D2201" s="156" t="str">
        <f>IFERROR(__xludf.DUMMYFUNCTION("""COMPUTED_VALUE"""),"application/pdf")</f>
        <v>application/pdf</v>
      </c>
    </row>
    <row r="2202">
      <c r="A2202" s="336" t="str">
        <f>IFERROR(__xludf.DUMMYFUNCTION("""COMPUTED_VALUE"""),"10.18653/v1/2023.acl-long.864")</f>
        <v>10.18653/v1/2023.acl-long.864</v>
      </c>
      <c r="B2202" s="442" t="str">
        <f>IFERROR(__xludf.DUMMYFUNCTION("""COMPUTED_VALUE"""),"https://drive.google.com/file/d/14Tmk9XIOQYVh24x1jFR4QedpIbTx_n_e/view?usp=drivesdk")</f>
        <v>https://drive.google.com/file/d/14Tmk9XIOQYVh24x1jFR4QedpIbTx_n_e/view?usp=drivesdk</v>
      </c>
      <c r="C2202" s="336" t="str">
        <f>IFERROR(__xludf.DUMMYFUNCTION("""COMPUTED_VALUE"""),"10.18653--v1--2023.acl-long.864.pdf")</f>
        <v>10.18653--v1--2023.acl-long.864.pdf</v>
      </c>
      <c r="D2202" s="156" t="str">
        <f>IFERROR(__xludf.DUMMYFUNCTION("""COMPUTED_VALUE"""),"application/pdf")</f>
        <v>application/pdf</v>
      </c>
    </row>
    <row r="2203">
      <c r="A2203" s="336" t="str">
        <f>IFERROR(__xludf.DUMMYFUNCTION("""COMPUTED_VALUE"""),"10.1075/ijcl.19131.lar")</f>
        <v>10.1075/ijcl.19131.lar</v>
      </c>
      <c r="B2203" s="442" t="str">
        <f>IFERROR(__xludf.DUMMYFUNCTION("""COMPUTED_VALUE"""),"https://drive.google.com/file/d/1L3C99-yf2u_ns_5h3EBhsSGtflOl3HOc/view?usp=drivesdk")</f>
        <v>https://drive.google.com/file/d/1L3C99-yf2u_ns_5h3EBhsSGtflOl3HOc/view?usp=drivesdk</v>
      </c>
      <c r="C2203" s="336" t="str">
        <f>IFERROR(__xludf.DUMMYFUNCTION("""COMPUTED_VALUE"""),"10.1075--ijcl.19131.lar.pdf.pdf")</f>
        <v>10.1075--ijcl.19131.lar.pdf.pdf</v>
      </c>
      <c r="D2203" s="156" t="str">
        <f>IFERROR(__xludf.DUMMYFUNCTION("""COMPUTED_VALUE"""),"application/pdf")</f>
        <v>application/pdf</v>
      </c>
    </row>
    <row r="2204">
      <c r="A2204" s="442" t="str">
        <f>IFERROR(__xludf.DUMMYFUNCTION("""COMPUTED_VALUE"""),"digitalcommons.memphis.edu/etd/3538")</f>
        <v>digitalcommons.memphis.edu/etd/3538</v>
      </c>
      <c r="B2204" s="442" t="str">
        <f>IFERROR(__xludf.DUMMYFUNCTION("""COMPUTED_VALUE"""),"https://drive.google.com/file/d/1mh0lOHypF2E9Nk9sQ57YmqKyEOyrqka8/view?usp=drivesdk")</f>
        <v>https://drive.google.com/file/d/1mh0lOHypF2E9Nk9sQ57YmqKyEOyrqka8/view?usp=drivesdk</v>
      </c>
      <c r="C2204" s="336" t="str">
        <f>IFERROR(__xludf.DUMMYFUNCTION("""COMPUTED_VALUE"""),"digitalcommons.memphis.edu--etd--3538.pdf")</f>
        <v>digitalcommons.memphis.edu--etd--3538.pdf</v>
      </c>
      <c r="D2204" s="156" t="str">
        <f>IFERROR(__xludf.DUMMYFUNCTION("""COMPUTED_VALUE"""),"application/pdf")</f>
        <v>application/pdf</v>
      </c>
    </row>
    <row r="2205">
      <c r="A2205" s="336" t="str">
        <f>IFERROR(__xludf.DUMMYFUNCTION("""COMPUTED_VALUE"""),"b16ebd43-f83b-42c9-9996-adf6735845c1")</f>
        <v>b16ebd43-f83b-42c9-9996-adf6735845c1</v>
      </c>
      <c r="B2205" s="442" t="str">
        <f>IFERROR(__xludf.DUMMYFUNCTION("""COMPUTED_VALUE"""),"https://drive.google.com/file/d/1hH6qE7kthoMhFZY570jnJq1nWfRd0uo-/view?usp=drivesdk")</f>
        <v>https://drive.google.com/file/d/1hH6qE7kthoMhFZY570jnJq1nWfRd0uo-/view?usp=drivesdk</v>
      </c>
      <c r="C2205" s="336" t="str">
        <f>IFERROR(__xludf.DUMMYFUNCTION("""COMPUTED_VALUE"""),"b16ebd43-f83b-42c9-9996-adf6735845c1.pdf")</f>
        <v>b16ebd43-f83b-42c9-9996-adf6735845c1.pdf</v>
      </c>
      <c r="D2205" s="156" t="str">
        <f>IFERROR(__xludf.DUMMYFUNCTION("""COMPUTED_VALUE"""),"application/pdf")</f>
        <v>application/pdf</v>
      </c>
    </row>
    <row r="2206">
      <c r="A2206" s="336" t="str">
        <f>IFERROR(__xludf.DUMMYFUNCTION("""COMPUTED_VALUE"""),"10.1075/resla.17019.loz")</f>
        <v>10.1075/resla.17019.loz</v>
      </c>
      <c r="B2206" s="442" t="str">
        <f>IFERROR(__xludf.DUMMYFUNCTION("""COMPUTED_VALUE"""),"https://drive.google.com/file/d/1h26KXyOgQpabChNDwArC5YlDBW4_cfve/view?usp=drivesdk")</f>
        <v>https://drive.google.com/file/d/1h26KXyOgQpabChNDwArC5YlDBW4_cfve/view?usp=drivesdk</v>
      </c>
      <c r="C2206" s="336" t="str">
        <f>IFERROR(__xludf.DUMMYFUNCTION("""COMPUTED_VALUE"""),"10.1075--resla.17019.loz.pdf")</f>
        <v>10.1075--resla.17019.loz.pdf</v>
      </c>
      <c r="D2206" s="156" t="str">
        <f>IFERROR(__xludf.DUMMYFUNCTION("""COMPUTED_VALUE"""),"application/pdf")</f>
        <v>application/pdf</v>
      </c>
    </row>
    <row r="2207">
      <c r="A2207" s="336" t="str">
        <f>IFERROR(__xludf.DUMMYFUNCTION("""COMPUTED_VALUE"""),"brooke, j. h. (1991). science and religion-some historical perspectives")</f>
        <v>brooke, j. h. (1991). science and religion-some historical perspectives</v>
      </c>
      <c r="B2207" s="442" t="str">
        <f>IFERROR(__xludf.DUMMYFUNCTION("""COMPUTED_VALUE"""),"https://drive.google.com/file/d/1BfaybP8V5w-BiT0TlcUAV03BKBkfzWla/view?usp=drivesdk")</f>
        <v>https://drive.google.com/file/d/1BfaybP8V5w-BiT0TlcUAV03BKBkfzWla/view?usp=drivesdk</v>
      </c>
      <c r="C2207" s="336" t="str">
        <f>IFERROR(__xludf.DUMMYFUNCTION("""COMPUTED_VALUE"""),"Brooke, J. H. (1991). Science and religion-Some historical perspectives.pdf")</f>
        <v>Brooke, J. H. (1991). Science and religion-Some historical perspectives.pdf</v>
      </c>
      <c r="D2207" s="156" t="str">
        <f>IFERROR(__xludf.DUMMYFUNCTION("""COMPUTED_VALUE"""),"application/pdf")</f>
        <v>application/pdf</v>
      </c>
    </row>
    <row r="2208">
      <c r="A2208" s="442" t="str">
        <f>IFERROR(__xludf.DUMMYFUNCTION("""COMPUTED_VALUE"""),"escholarship.org/uc/item/8p5673qn")</f>
        <v>escholarship.org/uc/item/8p5673qn</v>
      </c>
      <c r="B2208" s="442" t="str">
        <f>IFERROR(__xludf.DUMMYFUNCTION("""COMPUTED_VALUE"""),"https://drive.google.com/file/d/1lAHnrSuQxWM2CdT06_FM1GDBh9d6nNTe/view?usp=drivesdk")</f>
        <v>https://drive.google.com/file/d/1lAHnrSuQxWM2CdT06_FM1GDBh9d6nNTe/view?usp=drivesdk</v>
      </c>
      <c r="C2208" s="336" t="str">
        <f>IFERROR(__xludf.DUMMYFUNCTION("""COMPUTED_VALUE"""),"escholarship.org--uc--item--8p5673qn.pdf")</f>
        <v>escholarship.org--uc--item--8p5673qn.pdf</v>
      </c>
      <c r="D2208" s="156" t="str">
        <f>IFERROR(__xludf.DUMMYFUNCTION("""COMPUTED_VALUE"""),"application/pdf")</f>
        <v>application/pdf</v>
      </c>
    </row>
    <row r="2209">
      <c r="A2209" s="442" t="str">
        <f>IFERROR(__xludf.DUMMYFUNCTION("""COMPUTED_VALUE"""),"escholarship.org/uc/item/0qf9t9pc")</f>
        <v>escholarship.org/uc/item/0qf9t9pc</v>
      </c>
      <c r="B2209" s="442" t="str">
        <f>IFERROR(__xludf.DUMMYFUNCTION("""COMPUTED_VALUE"""),"https://drive.google.com/file/d/1vzu_sqHQexZD23Pac-duPSmK-pGIptlf/view?usp=drivesdk")</f>
        <v>https://drive.google.com/file/d/1vzu_sqHQexZD23Pac-duPSmK-pGIptlf/view?usp=drivesdk</v>
      </c>
      <c r="C2209" s="336" t="str">
        <f>IFERROR(__xludf.DUMMYFUNCTION("""COMPUTED_VALUE"""),"escholarship.org--uc--item--0qf9t9pc.pdf")</f>
        <v>escholarship.org--uc--item--0qf9t9pc.pdf</v>
      </c>
      <c r="D2209" s="156" t="str">
        <f>IFERROR(__xludf.DUMMYFUNCTION("""COMPUTED_VALUE"""),"application/pdf")</f>
        <v>application/pdf</v>
      </c>
    </row>
    <row r="2210">
      <c r="A2210" s="336" t="str">
        <f>IFERROR(__xludf.DUMMYFUNCTION("""COMPUTED_VALUE"""),"10.16995/zygon.11497")</f>
        <v>10.16995/zygon.11497</v>
      </c>
      <c r="B2210" s="442" t="str">
        <f>IFERROR(__xludf.DUMMYFUNCTION("""COMPUTED_VALUE"""),"https://drive.google.com/file/d/1xNa3snr_hhHjS7pnwFaA2tVxjB_0VvqW/view?usp=drivesdk")</f>
        <v>https://drive.google.com/file/d/1xNa3snr_hhHjS7pnwFaA2tVxjB_0VvqW/view?usp=drivesdk</v>
      </c>
      <c r="C2210" s="336" t="str">
        <f>IFERROR(__xludf.DUMMYFUNCTION("""COMPUTED_VALUE"""),"10.16995--zygon.11497.pdf")</f>
        <v>10.16995--zygon.11497.pdf</v>
      </c>
      <c r="D2210" s="156" t="str">
        <f>IFERROR(__xludf.DUMMYFUNCTION("""COMPUTED_VALUE"""),"application/pdf")</f>
        <v>application/pdf</v>
      </c>
    </row>
    <row r="2211">
      <c r="A2211" s="336" t="str">
        <f>IFERROR(__xludf.DUMMYFUNCTION("""COMPUTED_VALUE"""),"10.1038/s41598-024-61469-6")</f>
        <v>10.1038/s41598-024-61469-6</v>
      </c>
      <c r="B2211" s="442" t="str">
        <f>IFERROR(__xludf.DUMMYFUNCTION("""COMPUTED_VALUE"""),"https://drive.google.com/file/d/1TtkPI6YvV3JyoWKI8Z0FTVrehrNka7__/view?usp=drivesdk")</f>
        <v>https://drive.google.com/file/d/1TtkPI6YvV3JyoWKI8Z0FTVrehrNka7__/view?usp=drivesdk</v>
      </c>
      <c r="C2211" s="336" t="str">
        <f>IFERROR(__xludf.DUMMYFUNCTION("""COMPUTED_VALUE"""),"10.1038--s41598-024-61469-6.pdf")</f>
        <v>10.1038--s41598-024-61469-6.pdf</v>
      </c>
      <c r="D2211" s="156" t="str">
        <f>IFERROR(__xludf.DUMMYFUNCTION("""COMPUTED_VALUE"""),"application/pdf")</f>
        <v>application/pdf</v>
      </c>
    </row>
    <row r="2212">
      <c r="A2212" s="336" t="str">
        <f>IFERROR(__xludf.DUMMYFUNCTION("""COMPUTED_VALUE"""),"10.31234/osf.io/kpcwv")</f>
        <v>10.31234/osf.io/kpcwv</v>
      </c>
      <c r="B2212" s="442" t="str">
        <f>IFERROR(__xludf.DUMMYFUNCTION("""COMPUTED_VALUE"""),"https://drive.google.com/file/d/1Eufb0NfIAz03c6rDvfbVDbjGjjReVYgi/view?usp=drivesdk")</f>
        <v>https://drive.google.com/file/d/1Eufb0NfIAz03c6rDvfbVDbjGjjReVYgi/view?usp=drivesdk</v>
      </c>
      <c r="C2212" s="336" t="str">
        <f>IFERROR(__xludf.DUMMYFUNCTION("""COMPUTED_VALUE"""),"10.31234--osf.io--kpcwv.pdf")</f>
        <v>10.31234--osf.io--kpcwv.pdf</v>
      </c>
      <c r="D2212" s="156" t="str">
        <f>IFERROR(__xludf.DUMMYFUNCTION("""COMPUTED_VALUE"""),"application/pdf")</f>
        <v>application/pdf</v>
      </c>
    </row>
    <row r="2213">
      <c r="A2213" s="336" t="str">
        <f>IFERROR(__xludf.DUMMYFUNCTION("""COMPUTED_VALUE"""),"10.3233/jad-2009-1163")</f>
        <v>10.3233/jad-2009-1163</v>
      </c>
      <c r="B2213" s="442" t="str">
        <f>IFERROR(__xludf.DUMMYFUNCTION("""COMPUTED_VALUE"""),"https://drive.google.com/file/d/10IpKBTm-TxBYPtbdDzTDyVDz6z5jT5CF/view?usp=drivesdk")</f>
        <v>https://drive.google.com/file/d/10IpKBTm-TxBYPtbdDzTDyVDz6z5jT5CF/view?usp=drivesdk</v>
      </c>
      <c r="C2213" s="336" t="str">
        <f>IFERROR(__xludf.DUMMYFUNCTION("""COMPUTED_VALUE"""),"10.3233--JAD-2009-1163.pdf")</f>
        <v>10.3233--JAD-2009-1163.pdf</v>
      </c>
      <c r="D2213" s="156" t="str">
        <f>IFERROR(__xludf.DUMMYFUNCTION("""COMPUTED_VALUE"""),"application/pdf")</f>
        <v>application/pdf</v>
      </c>
    </row>
    <row r="2214">
      <c r="A2214" s="336" t="str">
        <f>IFERROR(__xludf.DUMMYFUNCTION("""COMPUTED_VALUE"""),"10.5465/amproc.2024.19578abstract")</f>
        <v>10.5465/amproc.2024.19578abstract</v>
      </c>
      <c r="B2214" s="442" t="str">
        <f>IFERROR(__xludf.DUMMYFUNCTION("""COMPUTED_VALUE"""),"https://drive.google.com/file/d/1H6X8VsyVixAViuUZ-S2dfj2OJm-VwYrl/view?usp=drivesdk")</f>
        <v>https://drive.google.com/file/d/1H6X8VsyVixAViuUZ-S2dfj2OJm-VwYrl/view?usp=drivesdk</v>
      </c>
      <c r="C2214" s="336" t="str">
        <f>IFERROR(__xludf.DUMMYFUNCTION("""COMPUTED_VALUE"""),"10.5465--AMPROC.2024.19578abstract.pdf")</f>
        <v>10.5465--AMPROC.2024.19578abstract.pdf</v>
      </c>
      <c r="D2214" s="156" t="str">
        <f>IFERROR(__xludf.DUMMYFUNCTION("""COMPUTED_VALUE"""),"application/pdf")</f>
        <v>application/pdf</v>
      </c>
    </row>
    <row r="2215">
      <c r="A2215" s="336" t="str">
        <f>IFERROR(__xludf.DUMMYFUNCTION("""COMPUTED_VALUE"""),"10.1037/0022-3514.73.2.321")</f>
        <v>10.1037/0022-3514.73.2.321</v>
      </c>
      <c r="B2215" s="442" t="str">
        <f>IFERROR(__xludf.DUMMYFUNCTION("""COMPUTED_VALUE"""),"https://drive.google.com/file/d/1-zejzHs_827BE5ay0BYTDFjpuHdy5VLk/view?usp=drivesdk")</f>
        <v>https://drive.google.com/file/d/1-zejzHs_827BE5ay0BYTDFjpuHdy5VLk/view?usp=drivesdk</v>
      </c>
      <c r="C2215" s="336" t="str">
        <f>IFERROR(__xludf.DUMMYFUNCTION("""COMPUTED_VALUE"""),"10.1037--0022-3514.73.2.321.pdf")</f>
        <v>10.1037--0022-3514.73.2.321.pdf</v>
      </c>
      <c r="D2215" s="156" t="str">
        <f>IFERROR(__xludf.DUMMYFUNCTION("""COMPUTED_VALUE"""),"application/pdf")</f>
        <v>application/pdf</v>
      </c>
    </row>
    <row r="2216">
      <c r="A2216" s="336" t="str">
        <f>IFERROR(__xludf.DUMMYFUNCTION("""COMPUTED_VALUE"""),"10.1016/j.learninstruc.2018.04.006")</f>
        <v>10.1016/j.learninstruc.2018.04.006</v>
      </c>
      <c r="B2216" s="442" t="str">
        <f>IFERROR(__xludf.DUMMYFUNCTION("""COMPUTED_VALUE"""),"https://drive.google.com/file/d/1woJDHccS6Df_7DkKmeLElCzqxpjoRtns/view?usp=drivesdk")</f>
        <v>https://drive.google.com/file/d/1woJDHccS6Df_7DkKmeLElCzqxpjoRtns/view?usp=drivesdk</v>
      </c>
      <c r="C2216" s="336" t="str">
        <f>IFERROR(__xludf.DUMMYFUNCTION("""COMPUTED_VALUE"""),"10.1016--j.learninstruc.2018.04.006.pdf")</f>
        <v>10.1016--j.learninstruc.2018.04.006.pdf</v>
      </c>
      <c r="D2216" s="156" t="str">
        <f>IFERROR(__xludf.DUMMYFUNCTION("""COMPUTED_VALUE"""),"application/pdf")</f>
        <v>application/pdf</v>
      </c>
    </row>
    <row r="2217">
      <c r="A2217" s="336" t="str">
        <f>IFERROR(__xludf.DUMMYFUNCTION("""COMPUTED_VALUE"""),"10.1016/j.cortex.2014.02.013")</f>
        <v>10.1016/j.cortex.2014.02.013</v>
      </c>
      <c r="B2217" s="442" t="str">
        <f>IFERROR(__xludf.DUMMYFUNCTION("""COMPUTED_VALUE"""),"https://drive.google.com/file/d/13vglHZTPgv6z9W5xPGWG5OyE_h91M3UK/view?usp=drivesdk")</f>
        <v>https://drive.google.com/file/d/13vglHZTPgv6z9W5xPGWG5OyE_h91M3UK/view?usp=drivesdk</v>
      </c>
      <c r="C2217" s="336" t="str">
        <f>IFERROR(__xludf.DUMMYFUNCTION("""COMPUTED_VALUE"""),"10.1016--j.cortex.2014.02.013.pdf")</f>
        <v>10.1016--j.cortex.2014.02.013.pdf</v>
      </c>
      <c r="D2217" s="156" t="str">
        <f>IFERROR(__xludf.DUMMYFUNCTION("""COMPUTED_VALUE"""),"application/pdf")</f>
        <v>application/pdf</v>
      </c>
    </row>
    <row r="2218">
      <c r="A2218" s="336" t="str">
        <f>IFERROR(__xludf.DUMMYFUNCTION("""COMPUTED_VALUE"""),"10.1080/10439463.2017.1342644")</f>
        <v>10.1080/10439463.2017.1342644</v>
      </c>
      <c r="B2218" s="442" t="str">
        <f>IFERROR(__xludf.DUMMYFUNCTION("""COMPUTED_VALUE"""),"https://drive.google.com/file/d/1tExO9xgJVhPwCnVdP8xlqn7faKujVADN/view?usp=drivesdk")</f>
        <v>https://drive.google.com/file/d/1tExO9xgJVhPwCnVdP8xlqn7faKujVADN/view?usp=drivesdk</v>
      </c>
      <c r="C2218" s="336" t="str">
        <f>IFERROR(__xludf.DUMMYFUNCTION("""COMPUTED_VALUE"""),"10.1080--10439463.2017.1342644.pdf")</f>
        <v>10.1080--10439463.2017.1342644.pdf</v>
      </c>
      <c r="D2218" s="156" t="str">
        <f>IFERROR(__xludf.DUMMYFUNCTION("""COMPUTED_VALUE"""),"application/pdf")</f>
        <v>application/pdf</v>
      </c>
    </row>
    <row r="2219">
      <c r="A2219" s="336" t="str">
        <f>IFERROR(__xludf.DUMMYFUNCTION("""COMPUTED_VALUE"""),"10.3758/bf03211160")</f>
        <v>10.3758/bf03211160</v>
      </c>
      <c r="B2219" s="442" t="str">
        <f>IFERROR(__xludf.DUMMYFUNCTION("""COMPUTED_VALUE"""),"https://drive.google.com/file/d/1BtYypYyY-PzT4y8FLAgHXAyFQwMz4y2O/view?usp=drivesdk")</f>
        <v>https://drive.google.com/file/d/1BtYypYyY-PzT4y8FLAgHXAyFQwMz4y2O/view?usp=drivesdk</v>
      </c>
      <c r="C2219" s="336" t="str">
        <f>IFERROR(__xludf.DUMMYFUNCTION("""COMPUTED_VALUE"""),"10.3758--BF03211160.pdf")</f>
        <v>10.3758--BF03211160.pdf</v>
      </c>
      <c r="D2219" s="156" t="str">
        <f>IFERROR(__xludf.DUMMYFUNCTION("""COMPUTED_VALUE"""),"application/pdf")</f>
        <v>application/pdf</v>
      </c>
    </row>
    <row r="2220">
      <c r="A2220" s="336" t="str">
        <f>IFERROR(__xludf.DUMMYFUNCTION("""COMPUTED_VALUE"""),"10.1126/science.7455683")</f>
        <v>10.1126/science.7455683</v>
      </c>
      <c r="B2220" s="442" t="str">
        <f>IFERROR(__xludf.DUMMYFUNCTION("""COMPUTED_VALUE"""),"https://drive.google.com/file/d/1KdKryH9Qx-Olx2xYcWf9zZPlU9JsWLmq/view?usp=drivesdk")</f>
        <v>https://drive.google.com/file/d/1KdKryH9Qx-Olx2xYcWf9zZPlU9JsWLmq/view?usp=drivesdk</v>
      </c>
      <c r="C2220" s="336" t="str">
        <f>IFERROR(__xludf.DUMMYFUNCTION("""COMPUTED_VALUE"""),"10.1126--science.7455683.pdf")</f>
        <v>10.1126--science.7455683.pdf</v>
      </c>
      <c r="D2220" s="156" t="str">
        <f>IFERROR(__xludf.DUMMYFUNCTION("""COMPUTED_VALUE"""),"application/pdf")</f>
        <v>application/pdf</v>
      </c>
    </row>
    <row r="2221">
      <c r="A2221" s="336" t="str">
        <f>IFERROR(__xludf.DUMMYFUNCTION("""COMPUTED_VALUE"""),"10.1037/a0025345")</f>
        <v>10.1037/a0025345</v>
      </c>
      <c r="B2221" s="442" t="str">
        <f>IFERROR(__xludf.DUMMYFUNCTION("""COMPUTED_VALUE"""),"https://drive.google.com/file/d/1Dm7RxWVN3iiT5GipgY8Gq3dl65EkIYDu/view?usp=drivesdk")</f>
        <v>https://drive.google.com/file/d/1Dm7RxWVN3iiT5GipgY8Gq3dl65EkIYDu/view?usp=drivesdk</v>
      </c>
      <c r="C2221" s="336" t="str">
        <f>IFERROR(__xludf.DUMMYFUNCTION("""COMPUTED_VALUE"""),"10.1037--a0025345.pdf")</f>
        <v>10.1037--a0025345.pdf</v>
      </c>
      <c r="D2221" s="156" t="str">
        <f>IFERROR(__xludf.DUMMYFUNCTION("""COMPUTED_VALUE"""),"application/pdf")</f>
        <v>application/pdf</v>
      </c>
    </row>
    <row r="2222">
      <c r="A2222" s="336" t="str">
        <f>IFERROR(__xludf.DUMMYFUNCTION("""COMPUTED_VALUE"""),"10.2307/25148791")</f>
        <v>10.2307/25148791</v>
      </c>
      <c r="B2222" s="442" t="str">
        <f>IFERROR(__xludf.DUMMYFUNCTION("""COMPUTED_VALUE"""),"https://drive.google.com/file/d/1R2VrRXYyejGfSg11kpe_vHbQr5DvYbiJ/view?usp=drivesdk")</f>
        <v>https://drive.google.com/file/d/1R2VrRXYyejGfSg11kpe_vHbQr5DvYbiJ/view?usp=drivesdk</v>
      </c>
      <c r="C2222" s="336" t="str">
        <f>IFERROR(__xludf.DUMMYFUNCTION("""COMPUTED_VALUE"""),"10.2307--25148791.pdf")</f>
        <v>10.2307--25148791.pdf</v>
      </c>
      <c r="D2222" s="156" t="str">
        <f>IFERROR(__xludf.DUMMYFUNCTION("""COMPUTED_VALUE"""),"application/pdf")</f>
        <v>application/pdf</v>
      </c>
    </row>
    <row r="2223">
      <c r="A2223" s="336" t="str">
        <f>IFERROR(__xludf.DUMMYFUNCTION("""COMPUTED_VALUE"""),"10.1111/j.1467-9922.2008.00446.x")</f>
        <v>10.1111/j.1467-9922.2008.00446.x</v>
      </c>
      <c r="B2223" s="442" t="str">
        <f>IFERROR(__xludf.DUMMYFUNCTION("""COMPUTED_VALUE"""),"https://drive.google.com/file/d/1hFEIf9480JaK6TvFzb55CWH_AxeInkTB/view?usp=drivesdk")</f>
        <v>https://drive.google.com/file/d/1hFEIf9480JaK6TvFzb55CWH_AxeInkTB/view?usp=drivesdk</v>
      </c>
      <c r="C2223" s="336" t="str">
        <f>IFERROR(__xludf.DUMMYFUNCTION("""COMPUTED_VALUE"""),"10.1111--j.1467-9922.2008.00446.x.pdf")</f>
        <v>10.1111--j.1467-9922.2008.00446.x.pdf</v>
      </c>
      <c r="D2223" s="156" t="str">
        <f>IFERROR(__xludf.DUMMYFUNCTION("""COMPUTED_VALUE"""),"application/pdf")</f>
        <v>application/pdf</v>
      </c>
    </row>
    <row r="2224">
      <c r="A2224" s="336" t="str">
        <f>IFERROR(__xludf.DUMMYFUNCTION("""COMPUTED_VALUE"""),"10.1111/j.1467-9280.2007.01961.x")</f>
        <v>10.1111/j.1467-9280.2007.01961.x</v>
      </c>
      <c r="B2224" s="442" t="str">
        <f>IFERROR(__xludf.DUMMYFUNCTION("""COMPUTED_VALUE"""),"https://drive.google.com/file/d/1XHPKfkBsPhF-1p8BH_npxrU-1vPB8MEe/view?usp=drivesdk")</f>
        <v>https://drive.google.com/file/d/1XHPKfkBsPhF-1p8BH_npxrU-1vPB8MEe/view?usp=drivesdk</v>
      </c>
      <c r="C2224" s="336" t="str">
        <f>IFERROR(__xludf.DUMMYFUNCTION("""COMPUTED_VALUE"""),"10.1111--j.1467-9280.2007.01961.x.pdf")</f>
        <v>10.1111--j.1467-9280.2007.01961.x.pdf</v>
      </c>
      <c r="D2224" s="156" t="str">
        <f>IFERROR(__xludf.DUMMYFUNCTION("""COMPUTED_VALUE"""),"application/pdf")</f>
        <v>application/pdf</v>
      </c>
    </row>
    <row r="2225">
      <c r="A2225" s="336" t="str">
        <f>IFERROR(__xludf.DUMMYFUNCTION("""COMPUTED_VALUE"""),"10.1111/j.1467-9280.2006.01721.x")</f>
        <v>10.1111/j.1467-9280.2006.01721.x</v>
      </c>
      <c r="B2225" s="442" t="str">
        <f>IFERROR(__xludf.DUMMYFUNCTION("""COMPUTED_VALUE"""),"https://drive.google.com/file/d/14JiPB9PULLRpSMDZtQ3_0LhPcWDH6OCz/view?usp=drivesdk")</f>
        <v>https://drive.google.com/file/d/14JiPB9PULLRpSMDZtQ3_0LhPcWDH6OCz/view?usp=drivesdk</v>
      </c>
      <c r="C2225" s="336" t="str">
        <f>IFERROR(__xludf.DUMMYFUNCTION("""COMPUTED_VALUE"""),"10.1111--j.1467-9280.2006.01721.x.pdf")</f>
        <v>10.1111--j.1467-9280.2006.01721.x.pdf</v>
      </c>
      <c r="D2225" s="156" t="str">
        <f>IFERROR(__xludf.DUMMYFUNCTION("""COMPUTED_VALUE"""),"application/pdf")</f>
        <v>application/pdf</v>
      </c>
    </row>
    <row r="2226">
      <c r="A2226" s="336" t="str">
        <f>IFERROR(__xludf.DUMMYFUNCTION("""COMPUTED_VALUE"""),"10.1016/s1057-0810(99)00041-4")</f>
        <v>10.1016/s1057-0810(99)00041-4</v>
      </c>
      <c r="B2226" s="442" t="str">
        <f>IFERROR(__xludf.DUMMYFUNCTION("""COMPUTED_VALUE"""),"https://drive.google.com/file/d/10fOdFQUiEeA-wgKC0-KooJXci0dSR4z2/view?usp=drivesdk")</f>
        <v>https://drive.google.com/file/d/10fOdFQUiEeA-wgKC0-KooJXci0dSR4z2/view?usp=drivesdk</v>
      </c>
      <c r="C2226" s="336" t="str">
        <f>IFERROR(__xludf.DUMMYFUNCTION("""COMPUTED_VALUE"""),"10.1016--S1057-0810(99)00041-4.pdf")</f>
        <v>10.1016--S1057-0810(99)00041-4.pdf</v>
      </c>
      <c r="D2226" s="156" t="str">
        <f>IFERROR(__xludf.DUMMYFUNCTION("""COMPUTED_VALUE"""),"application/pdf")</f>
        <v>application/pdf</v>
      </c>
    </row>
    <row r="2227">
      <c r="A2227" s="336" t="str">
        <f>IFERROR(__xludf.DUMMYFUNCTION("""COMPUTED_VALUE"""),"10.1037/a0024608")</f>
        <v>10.1037/a0024608</v>
      </c>
      <c r="B2227" s="442" t="str">
        <f>IFERROR(__xludf.DUMMYFUNCTION("""COMPUTED_VALUE"""),"https://drive.google.com/file/d/1NhDoKUWqFTe51Dk7ZjfZTxJFNUFzigwr/view?usp=drivesdk")</f>
        <v>https://drive.google.com/file/d/1NhDoKUWqFTe51Dk7ZjfZTxJFNUFzigwr/view?usp=drivesdk</v>
      </c>
      <c r="C2227" s="336" t="str">
        <f>IFERROR(__xludf.DUMMYFUNCTION("""COMPUTED_VALUE"""),"10.1037--a0024608.pdf")</f>
        <v>10.1037--a0024608.pdf</v>
      </c>
      <c r="D2227" s="156" t="str">
        <f>IFERROR(__xludf.DUMMYFUNCTION("""COMPUTED_VALUE"""),"application/pdf")</f>
        <v>application/pdf</v>
      </c>
    </row>
    <row r="2228">
      <c r="A2228" s="336" t="str">
        <f>IFERROR(__xludf.DUMMYFUNCTION("""COMPUTED_VALUE"""),"10.1111/jsm.12192")</f>
        <v>10.1111/jsm.12192</v>
      </c>
      <c r="B2228" s="442" t="str">
        <f>IFERROR(__xludf.DUMMYFUNCTION("""COMPUTED_VALUE"""),"https://drive.google.com/file/d/1L-LARd7ZRX1JGh3UR9K0BHsrkgo2wADv/view?usp=drivesdk")</f>
        <v>https://drive.google.com/file/d/1L-LARd7ZRX1JGh3UR9K0BHsrkgo2wADv/view?usp=drivesdk</v>
      </c>
      <c r="C2228" s="336" t="str">
        <f>IFERROR(__xludf.DUMMYFUNCTION("""COMPUTED_VALUE"""),"10.1111--jsm.12192.pdf")</f>
        <v>10.1111--jsm.12192.pdf</v>
      </c>
      <c r="D2228" s="156" t="str">
        <f>IFERROR(__xludf.DUMMYFUNCTION("""COMPUTED_VALUE"""),"application/pdf")</f>
        <v>application/pdf</v>
      </c>
    </row>
    <row r="2229">
      <c r="A2229" s="336" t="str">
        <f>IFERROR(__xludf.DUMMYFUNCTION("""COMPUTED_VALUE"""),"10.3138/cmlr.65.3.395")</f>
        <v>10.3138/cmlr.65.3.395</v>
      </c>
      <c r="B2229" s="442" t="str">
        <f>IFERROR(__xludf.DUMMYFUNCTION("""COMPUTED_VALUE"""),"https://drive.google.com/file/d/19ZhWLN_zymp-mzX14YC7jEv-MHZn0Qb4/view?usp=drivesdk")</f>
        <v>https://drive.google.com/file/d/19ZhWLN_zymp-mzX14YC7jEv-MHZn0Qb4/view?usp=drivesdk</v>
      </c>
      <c r="C2229" s="336" t="str">
        <f>IFERROR(__xludf.DUMMYFUNCTION("""COMPUTED_VALUE"""),"10.3138--cmlr.65.3.395.pdf")</f>
        <v>10.3138--cmlr.65.3.395.pdf</v>
      </c>
      <c r="D2229" s="156" t="str">
        <f>IFERROR(__xludf.DUMMYFUNCTION("""COMPUTED_VALUE"""),"application/pdf")</f>
        <v>application/pdf</v>
      </c>
    </row>
    <row r="2230">
      <c r="A2230" s="336" t="str">
        <f>IFERROR(__xludf.DUMMYFUNCTION("""COMPUTED_VALUE"""),"10.1111/j.1467-9221.2005.00416.x")</f>
        <v>10.1111/j.1467-9221.2005.00416.x</v>
      </c>
      <c r="B2230" s="442" t="str">
        <f>IFERROR(__xludf.DUMMYFUNCTION("""COMPUTED_VALUE"""),"https://drive.google.com/file/d/1bkTnTMpWLlh3SgTVNkQvjTSRhQmvFwtP/view?usp=drivesdk")</f>
        <v>https://drive.google.com/file/d/1bkTnTMpWLlh3SgTVNkQvjTSRhQmvFwtP/view?usp=drivesdk</v>
      </c>
      <c r="C2230" s="336" t="str">
        <f>IFERROR(__xludf.DUMMYFUNCTION("""COMPUTED_VALUE"""),"10.1111--j.1467-9221.2005.00416.x.pdf")</f>
        <v>10.1111--j.1467-9221.2005.00416.x.pdf</v>
      </c>
      <c r="D2230" s="156" t="str">
        <f>IFERROR(__xludf.DUMMYFUNCTION("""COMPUTED_VALUE"""),"application/pdf")</f>
        <v>application/pdf</v>
      </c>
    </row>
    <row r="2231">
      <c r="A2231" s="336" t="str">
        <f>IFERROR(__xludf.DUMMYFUNCTION("""COMPUTED_VALUE"""),"10.1002/soej.12223")</f>
        <v>10.1002/soej.12223</v>
      </c>
      <c r="B2231" s="442" t="str">
        <f>IFERROR(__xludf.DUMMYFUNCTION("""COMPUTED_VALUE"""),"https://drive.google.com/file/d/1MSm1yoidPn8M-5atsMIFyyg354c4jcsA/view?usp=drivesdk")</f>
        <v>https://drive.google.com/file/d/1MSm1yoidPn8M-5atsMIFyyg354c4jcsA/view?usp=drivesdk</v>
      </c>
      <c r="C2231" s="336" t="str">
        <f>IFERROR(__xludf.DUMMYFUNCTION("""COMPUTED_VALUE"""),"10.1002--soej.12223.pdf")</f>
        <v>10.1002--soej.12223.pdf</v>
      </c>
      <c r="D2231" s="156" t="str">
        <f>IFERROR(__xludf.DUMMYFUNCTION("""COMPUTED_VALUE"""),"application/pdf")</f>
        <v>application/pdf</v>
      </c>
    </row>
    <row r="2232">
      <c r="A2232" s="336" t="str">
        <f>IFERROR(__xludf.DUMMYFUNCTION("""COMPUTED_VALUE"""),"10.1162/rest_a_00258")</f>
        <v>10.1162/rest_a_00258</v>
      </c>
      <c r="B2232" s="442" t="str">
        <f>IFERROR(__xludf.DUMMYFUNCTION("""COMPUTED_VALUE"""),"https://drive.google.com/file/d/11AH2LlIZsd9ZFfFjWFxFf5MBHzmbtt8i/view?usp=drivesdk")</f>
        <v>https://drive.google.com/file/d/11AH2LlIZsd9ZFfFjWFxFf5MBHzmbtt8i/view?usp=drivesdk</v>
      </c>
      <c r="C2232" s="336" t="str">
        <f>IFERROR(__xludf.DUMMYFUNCTION("""COMPUTED_VALUE"""),"10.1162--REST_a_00258.pdf")</f>
        <v>10.1162--REST_a_00258.pdf</v>
      </c>
      <c r="D2232" s="156" t="str">
        <f>IFERROR(__xludf.DUMMYFUNCTION("""COMPUTED_VALUE"""),"application/pdf")</f>
        <v>application/pdf</v>
      </c>
    </row>
    <row r="2233">
      <c r="A2233" s="336" t="str">
        <f>IFERROR(__xludf.DUMMYFUNCTION("""COMPUTED_VALUE"""),"10.1016/j.janxdis.2009.09.009")</f>
        <v>10.1016/j.janxdis.2009.09.009</v>
      </c>
      <c r="B2233" s="442" t="str">
        <f>IFERROR(__xludf.DUMMYFUNCTION("""COMPUTED_VALUE"""),"https://drive.google.com/file/d/1nf6pGq8hq9bbyslYCmBnDq_ApL1IsSNI/view?usp=drivesdk")</f>
        <v>https://drive.google.com/file/d/1nf6pGq8hq9bbyslYCmBnDq_ApL1IsSNI/view?usp=drivesdk</v>
      </c>
      <c r="C2233" s="336" t="str">
        <f>IFERROR(__xludf.DUMMYFUNCTION("""COMPUTED_VALUE"""),"10.1016--j.janxdis.2009.09.009.pdf")</f>
        <v>10.1016--j.janxdis.2009.09.009.pdf</v>
      </c>
      <c r="D2233" s="156" t="str">
        <f>IFERROR(__xludf.DUMMYFUNCTION("""COMPUTED_VALUE"""),"application/pdf")</f>
        <v>application/pdf</v>
      </c>
    </row>
    <row r="2234">
      <c r="A2234" s="336" t="str">
        <f>IFERROR(__xludf.DUMMYFUNCTION("""COMPUTED_VALUE"""),"10.1162/003355397555208")</f>
        <v>10.1162/003355397555208</v>
      </c>
      <c r="B2234" s="442" t="str">
        <f>IFERROR(__xludf.DUMMYFUNCTION("""COMPUTED_VALUE"""),"https://drive.google.com/file/d/1s-fD3MM9Vafr2eJtS0aNAfCBK-RY3Yo-/view?usp=drivesdk")</f>
        <v>https://drive.google.com/file/d/1s-fD3MM9Vafr2eJtS0aNAfCBK-RY3Yo-/view?usp=drivesdk</v>
      </c>
      <c r="C2234" s="336" t="str">
        <f>IFERROR(__xludf.DUMMYFUNCTION("""COMPUTED_VALUE"""),"10.1162--003355397555208.pdf")</f>
        <v>10.1162--003355397555208.pdf</v>
      </c>
      <c r="D2234" s="156" t="str">
        <f>IFERROR(__xludf.DUMMYFUNCTION("""COMPUTED_VALUE"""),"application/pdf")</f>
        <v>application/pdf</v>
      </c>
    </row>
    <row r="2235">
      <c r="A2235" s="336" t="str">
        <f>IFERROR(__xludf.DUMMYFUNCTION("""COMPUTED_VALUE"""),"10.1002/smj.201")</f>
        <v>10.1002/smj.201</v>
      </c>
      <c r="B2235" s="442" t="str">
        <f>IFERROR(__xludf.DUMMYFUNCTION("""COMPUTED_VALUE"""),"https://drive.google.com/file/d/1QkWM8jiVqpN5vc_zuD8HexJx-ED2mGF0/view?usp=drivesdk")</f>
        <v>https://drive.google.com/file/d/1QkWM8jiVqpN5vc_zuD8HexJx-ED2mGF0/view?usp=drivesdk</v>
      </c>
      <c r="C2235" s="336" t="str">
        <f>IFERROR(__xludf.DUMMYFUNCTION("""COMPUTED_VALUE"""),"10.1002--smj.201.pdf")</f>
        <v>10.1002--smj.201.pdf</v>
      </c>
      <c r="D2235" s="156" t="str">
        <f>IFERROR(__xludf.DUMMYFUNCTION("""COMPUTED_VALUE"""),"application/pdf")</f>
        <v>application/pdf</v>
      </c>
    </row>
    <row r="2236">
      <c r="A2236" s="336" t="str">
        <f>IFERROR(__xludf.DUMMYFUNCTION("""COMPUTED_VALUE"""),"10.1177/1948550611432938")</f>
        <v>10.1177/1948550611432938</v>
      </c>
      <c r="B2236" s="442" t="str">
        <f>IFERROR(__xludf.DUMMYFUNCTION("""COMPUTED_VALUE"""),"https://drive.google.com/file/d/1H6qRZ24gIkLnBRWVbjI2jgKRf4KnrPQh/view?usp=drivesdk")</f>
        <v>https://drive.google.com/file/d/1H6qRZ24gIkLnBRWVbjI2jgKRf4KnrPQh/view?usp=drivesdk</v>
      </c>
      <c r="C2236" s="336" t="str">
        <f>IFERROR(__xludf.DUMMYFUNCTION("""COMPUTED_VALUE"""),"10.1177--1948550611432938.pdf")</f>
        <v>10.1177--1948550611432938.pdf</v>
      </c>
      <c r="D2236" s="156" t="str">
        <f>IFERROR(__xludf.DUMMYFUNCTION("""COMPUTED_VALUE"""),"application/pdf")</f>
        <v>application/pdf</v>
      </c>
    </row>
    <row r="2237">
      <c r="A2237" s="336" t="str">
        <f>IFERROR(__xludf.DUMMYFUNCTION("""COMPUTED_VALUE"""),"10.1017/s1355617717001059")</f>
        <v>10.1017/s1355617717001059</v>
      </c>
      <c r="B2237" s="442" t="str">
        <f>IFERROR(__xludf.DUMMYFUNCTION("""COMPUTED_VALUE"""),"https://drive.google.com/file/d/1EKnIsw-dolmmk1-6Kle0hKb5-wtcqfmw/view?usp=drivesdk")</f>
        <v>https://drive.google.com/file/d/1EKnIsw-dolmmk1-6Kle0hKb5-wtcqfmw/view?usp=drivesdk</v>
      </c>
      <c r="C2237" s="336" t="str">
        <f>IFERROR(__xludf.DUMMYFUNCTION("""COMPUTED_VALUE"""),"10.1017--S1355617717001059.pdf")</f>
        <v>10.1017--S1355617717001059.pdf</v>
      </c>
      <c r="D2237" s="156" t="str">
        <f>IFERROR(__xludf.DUMMYFUNCTION("""COMPUTED_VALUE"""),"application/pdf")</f>
        <v>application/pdf</v>
      </c>
    </row>
    <row r="2238">
      <c r="A2238" s="336" t="str">
        <f>IFERROR(__xludf.DUMMYFUNCTION("""COMPUTED_VALUE"""),"10.1016/j.jpsychires.2008.07.004")</f>
        <v>10.1016/j.jpsychires.2008.07.004</v>
      </c>
      <c r="B2238" s="442" t="str">
        <f>IFERROR(__xludf.DUMMYFUNCTION("""COMPUTED_VALUE"""),"https://drive.google.com/file/d/1gOWd02cezb5MHlIvhprXv-TgaFt5Ij8f/view?usp=drivesdk")</f>
        <v>https://drive.google.com/file/d/1gOWd02cezb5MHlIvhprXv-TgaFt5Ij8f/view?usp=drivesdk</v>
      </c>
      <c r="C2238" s="336" t="str">
        <f>IFERROR(__xludf.DUMMYFUNCTION("""COMPUTED_VALUE"""),"10.1016--j.jpsychires.2008.07.004.pdf")</f>
        <v>10.1016--j.jpsychires.2008.07.004.pdf</v>
      </c>
      <c r="D2238" s="156" t="str">
        <f>IFERROR(__xludf.DUMMYFUNCTION("""COMPUTED_VALUE"""),"application/pdf")</f>
        <v>application/pdf</v>
      </c>
    </row>
    <row r="2239">
      <c r="A2239" s="336" t="str">
        <f>IFERROR(__xludf.DUMMYFUNCTION("""COMPUTED_VALUE"""),"10.1017/s0272263114000126")</f>
        <v>10.1017/s0272263114000126</v>
      </c>
      <c r="B2239" s="442" t="str">
        <f>IFERROR(__xludf.DUMMYFUNCTION("""COMPUTED_VALUE"""),"https://drive.google.com/file/d/1rAL0rmM0jbf9S7uX5DiL77r3bNeTGrOY/view?usp=drivesdk")</f>
        <v>https://drive.google.com/file/d/1rAL0rmM0jbf9S7uX5DiL77r3bNeTGrOY/view?usp=drivesdk</v>
      </c>
      <c r="C2239" s="336" t="str">
        <f>IFERROR(__xludf.DUMMYFUNCTION("""COMPUTED_VALUE"""),"10.1017--S0272263114000126.pdf")</f>
        <v>10.1017--S0272263114000126.pdf</v>
      </c>
      <c r="D2239" s="156" t="str">
        <f>IFERROR(__xludf.DUMMYFUNCTION("""COMPUTED_VALUE"""),"application/pdf")</f>
        <v>application/pdf</v>
      </c>
    </row>
    <row r="2240">
      <c r="A2240" s="336" t="str">
        <f>IFERROR(__xludf.DUMMYFUNCTION("""COMPUTED_VALUE"""),"10.1111/j.1540-5885.2010.00778.x")</f>
        <v>10.1111/j.1540-5885.2010.00778.x</v>
      </c>
      <c r="B2240" s="442" t="str">
        <f>IFERROR(__xludf.DUMMYFUNCTION("""COMPUTED_VALUE"""),"https://drive.google.com/file/d/1NV42SOubbZFwoBVl2IhhGw3jTa6CF1Ns/view?usp=drivesdk")</f>
        <v>https://drive.google.com/file/d/1NV42SOubbZFwoBVl2IhhGw3jTa6CF1Ns/view?usp=drivesdk</v>
      </c>
      <c r="C2240" s="336" t="str">
        <f>IFERROR(__xludf.DUMMYFUNCTION("""COMPUTED_VALUE"""),"10.1111--j.1540-5885.2010.00778.x.pdf")</f>
        <v>10.1111--j.1540-5885.2010.00778.x.pdf</v>
      </c>
      <c r="D2240" s="156" t="str">
        <f>IFERROR(__xludf.DUMMYFUNCTION("""COMPUTED_VALUE"""),"application/pdf")</f>
        <v>application/pdf</v>
      </c>
    </row>
    <row r="2241">
      <c r="A2241" s="336" t="str">
        <f>IFERROR(__xludf.DUMMYFUNCTION("""COMPUTED_VALUE"""),"10.1901/jaba.2003.36-21")</f>
        <v>10.1901/jaba.2003.36-21</v>
      </c>
      <c r="B2241" s="442" t="str">
        <f>IFERROR(__xludf.DUMMYFUNCTION("""COMPUTED_VALUE"""),"https://drive.google.com/file/d/1Oai9bOqOxT4qWyEsbh965271cRgAplwZ/view?usp=drivesdk")</f>
        <v>https://drive.google.com/file/d/1Oai9bOqOxT4qWyEsbh965271cRgAplwZ/view?usp=drivesdk</v>
      </c>
      <c r="C2241" s="336" t="str">
        <f>IFERROR(__xludf.DUMMYFUNCTION("""COMPUTED_VALUE"""),"10.1901--jaba.2003.36-21.pdf")</f>
        <v>10.1901--jaba.2003.36-21.pdf</v>
      </c>
      <c r="D2241" s="156" t="str">
        <f>IFERROR(__xludf.DUMMYFUNCTION("""COMPUTED_VALUE"""),"application/pdf")</f>
        <v>application/pdf</v>
      </c>
    </row>
    <row r="2242">
      <c r="A2242" s="336" t="str">
        <f>IFERROR(__xludf.DUMMYFUNCTION("""COMPUTED_VALUE"""),"10.1016/j.econedurev.2005.05.008")</f>
        <v>10.1016/j.econedurev.2005.05.008</v>
      </c>
      <c r="B2242" s="442" t="str">
        <f>IFERROR(__xludf.DUMMYFUNCTION("""COMPUTED_VALUE"""),"https://drive.google.com/file/d/1jEnrVGc2PxWYnqqR5b5QggE9HgY-tjOC/view?usp=drivesdk")</f>
        <v>https://drive.google.com/file/d/1jEnrVGc2PxWYnqqR5b5QggE9HgY-tjOC/view?usp=drivesdk</v>
      </c>
      <c r="C2242" s="336" t="str">
        <f>IFERROR(__xludf.DUMMYFUNCTION("""COMPUTED_VALUE"""),"10.1016--j.econedurev.2005.05.008.pdf")</f>
        <v>10.1016--j.econedurev.2005.05.008.pdf</v>
      </c>
      <c r="D2242" s="156" t="str">
        <f>IFERROR(__xludf.DUMMYFUNCTION("""COMPUTED_VALUE"""),"application/pdf")</f>
        <v>application/pdf</v>
      </c>
    </row>
    <row r="2243">
      <c r="A2243" s="336" t="str">
        <f>IFERROR(__xludf.DUMMYFUNCTION("""COMPUTED_VALUE"""),"10.1089/cyber.2015.0311")</f>
        <v>10.1089/cyber.2015.0311</v>
      </c>
      <c r="B2243" s="442" t="str">
        <f>IFERROR(__xludf.DUMMYFUNCTION("""COMPUTED_VALUE"""),"https://drive.google.com/file/d/1UOcUsx-QUxFrulQIBnkUuR_13YgQP2Vd/view?usp=drivesdk")</f>
        <v>https://drive.google.com/file/d/1UOcUsx-QUxFrulQIBnkUuR_13YgQP2Vd/view?usp=drivesdk</v>
      </c>
      <c r="C2243" s="336" t="str">
        <f>IFERROR(__xludf.DUMMYFUNCTION("""COMPUTED_VALUE"""),"10.1089--cyber.2015.0311.pdf")</f>
        <v>10.1089--cyber.2015.0311.pdf</v>
      </c>
      <c r="D2243" s="156" t="str">
        <f>IFERROR(__xludf.DUMMYFUNCTION("""COMPUTED_VALUE"""),"application/pdf")</f>
        <v>application/pdf</v>
      </c>
    </row>
    <row r="2244">
      <c r="A2244" s="336" t="str">
        <f>IFERROR(__xludf.DUMMYFUNCTION("""COMPUTED_VALUE"""),"10.1111/1467-6281.00073")</f>
        <v>10.1111/1467-6281.00073</v>
      </c>
      <c r="B2244" s="442" t="str">
        <f>IFERROR(__xludf.DUMMYFUNCTION("""COMPUTED_VALUE"""),"https://drive.google.com/file/d/1Bqp5tbqcsNPKH_QuWEI9mWZ1-DAWptGv/view?usp=drivesdk")</f>
        <v>https://drive.google.com/file/d/1Bqp5tbqcsNPKH_QuWEI9mWZ1-DAWptGv/view?usp=drivesdk</v>
      </c>
      <c r="C2244" s="336" t="str">
        <f>IFERROR(__xludf.DUMMYFUNCTION("""COMPUTED_VALUE"""),"10.1111--1467-6281.00073.pdf")</f>
        <v>10.1111--1467-6281.00073.pdf</v>
      </c>
      <c r="D2244" s="156" t="str">
        <f>IFERROR(__xludf.DUMMYFUNCTION("""COMPUTED_VALUE"""),"application/pdf")</f>
        <v>application/pdf</v>
      </c>
    </row>
    <row r="2245">
      <c r="A2245" s="336" t="str">
        <f>IFERROR(__xludf.DUMMYFUNCTION("""COMPUTED_VALUE"""),"10.1016/j.system.2004.01.001")</f>
        <v>10.1016/j.system.2004.01.001</v>
      </c>
      <c r="B2245" s="442" t="str">
        <f>IFERROR(__xludf.DUMMYFUNCTION("""COMPUTED_VALUE"""),"https://drive.google.com/file/d/1c0WTQTFC6wVjO3perznTR_rfzhpTPGnJ/view?usp=drivesdk")</f>
        <v>https://drive.google.com/file/d/1c0WTQTFC6wVjO3perznTR_rfzhpTPGnJ/view?usp=drivesdk</v>
      </c>
      <c r="C2245" s="336" t="str">
        <f>IFERROR(__xludf.DUMMYFUNCTION("""COMPUTED_VALUE"""),"10.1016--j.system.2004.01.001.pdf")</f>
        <v>10.1016--j.system.2004.01.001.pdf</v>
      </c>
      <c r="D2245" s="156" t="str">
        <f>IFERROR(__xludf.DUMMYFUNCTION("""COMPUTED_VALUE"""),"application/pdf")</f>
        <v>application/pdf</v>
      </c>
    </row>
    <row r="2246">
      <c r="A2246" s="336" t="str">
        <f>IFERROR(__xludf.DUMMYFUNCTION("""COMPUTED_VALUE"""),"10.1016/j.chiabu.2017.09.022")</f>
        <v>10.1016/j.chiabu.2017.09.022</v>
      </c>
      <c r="B2246" s="442" t="str">
        <f>IFERROR(__xludf.DUMMYFUNCTION("""COMPUTED_VALUE"""),"https://drive.google.com/file/d/1F5qGa541IZsvA8V-NJg1vkR_g716Ph_8/view?usp=drivesdk")</f>
        <v>https://drive.google.com/file/d/1F5qGa541IZsvA8V-NJg1vkR_g716Ph_8/view?usp=drivesdk</v>
      </c>
      <c r="C2246" s="336" t="str">
        <f>IFERROR(__xludf.DUMMYFUNCTION("""COMPUTED_VALUE"""),"10.1016--j.chiabu.2017.09.022.pdf")</f>
        <v>10.1016--j.chiabu.2017.09.022.pdf</v>
      </c>
      <c r="D2246" s="156" t="str">
        <f>IFERROR(__xludf.DUMMYFUNCTION("""COMPUTED_VALUE"""),"application/pdf")</f>
        <v>application/pdf</v>
      </c>
    </row>
    <row r="2247">
      <c r="A2247" s="336" t="str">
        <f>IFERROR(__xludf.DUMMYFUNCTION("""COMPUTED_VALUE"""),"10.1521/soco.2008.26.2.143")</f>
        <v>10.1521/soco.2008.26.2.143</v>
      </c>
      <c r="B2247" s="442" t="str">
        <f>IFERROR(__xludf.DUMMYFUNCTION("""COMPUTED_VALUE"""),"https://drive.google.com/file/d/1ChpFRMejJzL2Sh9so-302icQ-YIJSCTh/view?usp=drivesdk")</f>
        <v>https://drive.google.com/file/d/1ChpFRMejJzL2Sh9so-302icQ-YIJSCTh/view?usp=drivesdk</v>
      </c>
      <c r="C2247" s="336" t="str">
        <f>IFERROR(__xludf.DUMMYFUNCTION("""COMPUTED_VALUE"""),"10.1521--soco.2008.26.2.143.pdf")</f>
        <v>10.1521--soco.2008.26.2.143.pdf</v>
      </c>
      <c r="D2247" s="156" t="str">
        <f>IFERROR(__xludf.DUMMYFUNCTION("""COMPUTED_VALUE"""),"application/pdf")</f>
        <v>application/pdf</v>
      </c>
    </row>
    <row r="2248">
      <c r="A2248" s="336" t="str">
        <f>IFERROR(__xludf.DUMMYFUNCTION("""COMPUTED_VALUE"""),"10.1111/j.1469-8986.2010.01081.x")</f>
        <v>10.1111/j.1469-8986.2010.01081.x</v>
      </c>
      <c r="B2248" s="442" t="str">
        <f>IFERROR(__xludf.DUMMYFUNCTION("""COMPUTED_VALUE"""),"https://drive.google.com/file/d/1IpGgGfnAQY5wd1rLKDy5RnBFHMi3I5x4/view?usp=drivesdk")</f>
        <v>https://drive.google.com/file/d/1IpGgGfnAQY5wd1rLKDy5RnBFHMi3I5x4/view?usp=drivesdk</v>
      </c>
      <c r="C2248" s="336" t="str">
        <f>IFERROR(__xludf.DUMMYFUNCTION("""COMPUTED_VALUE"""),"10.1111--j.1469-8986.2010.01081.x.pdf")</f>
        <v>10.1111--j.1469-8986.2010.01081.x.pdf</v>
      </c>
      <c r="D2248" s="156" t="str">
        <f>IFERROR(__xludf.DUMMYFUNCTION("""COMPUTED_VALUE"""),"application/pdf")</f>
        <v>application/pdf</v>
      </c>
    </row>
    <row r="2249">
      <c r="A2249" s="336" t="str">
        <f>IFERROR(__xludf.DUMMYFUNCTION("""COMPUTED_VALUE"""),"10.1145/3105726.3106182")</f>
        <v>10.1145/3105726.3106182</v>
      </c>
      <c r="B2249" s="442" t="str">
        <f>IFERROR(__xludf.DUMMYFUNCTION("""COMPUTED_VALUE"""),"https://drive.google.com/file/d/1wq7-2vqDvzteuPzlUspBQRdnaX3rmhA1/view?usp=drivesdk")</f>
        <v>https://drive.google.com/file/d/1wq7-2vqDvzteuPzlUspBQRdnaX3rmhA1/view?usp=drivesdk</v>
      </c>
      <c r="C2249" s="336" t="str">
        <f>IFERROR(__xludf.DUMMYFUNCTION("""COMPUTED_VALUE"""),"10.1145--3105726.3106182.pdf")</f>
        <v>10.1145--3105726.3106182.pdf</v>
      </c>
      <c r="D2249" s="156" t="str">
        <f>IFERROR(__xludf.DUMMYFUNCTION("""COMPUTED_VALUE"""),"application/pdf")</f>
        <v>application/pdf</v>
      </c>
    </row>
    <row r="2250">
      <c r="A2250" s="336" t="str">
        <f>IFERROR(__xludf.DUMMYFUNCTION("""COMPUTED_VALUE"""),"10.1521/pedi.2011.25.4.492")</f>
        <v>10.1521/pedi.2011.25.4.492</v>
      </c>
      <c r="B2250" s="442" t="str">
        <f>IFERROR(__xludf.DUMMYFUNCTION("""COMPUTED_VALUE"""),"https://drive.google.com/file/d/1Ce-dl4nRjbQONXIAPX6wZN3ilxDwxEty/view?usp=drivesdk")</f>
        <v>https://drive.google.com/file/d/1Ce-dl4nRjbQONXIAPX6wZN3ilxDwxEty/view?usp=drivesdk</v>
      </c>
      <c r="C2250" s="336" t="str">
        <f>IFERROR(__xludf.DUMMYFUNCTION("""COMPUTED_VALUE"""),"10.1521--pedi.2011.25.4.492.pdf")</f>
        <v>10.1521--pedi.2011.25.4.492.pdf</v>
      </c>
      <c r="D2250" s="156" t="str">
        <f>IFERROR(__xludf.DUMMYFUNCTION("""COMPUTED_VALUE"""),"application/pdf")</f>
        <v>application/pdf</v>
      </c>
    </row>
    <row r="2251">
      <c r="A2251" s="336" t="str">
        <f>IFERROR(__xludf.DUMMYFUNCTION("""COMPUTED_VALUE"""),"10.1002/jeab.432")</f>
        <v>10.1002/jeab.432</v>
      </c>
      <c r="B2251" s="442" t="str">
        <f>IFERROR(__xludf.DUMMYFUNCTION("""COMPUTED_VALUE"""),"https://drive.google.com/file/d/1oqwZUfEfzfjGZaYk1A2E8B-PU-AQ6SKz/view?usp=drivesdk")</f>
        <v>https://drive.google.com/file/d/1oqwZUfEfzfjGZaYk1A2E8B-PU-AQ6SKz/view?usp=drivesdk</v>
      </c>
      <c r="C2251" s="336" t="str">
        <f>IFERROR(__xludf.DUMMYFUNCTION("""COMPUTED_VALUE"""),"10.1002--jeab.432.pdf")</f>
        <v>10.1002--jeab.432.pdf</v>
      </c>
      <c r="D2251" s="156" t="str">
        <f>IFERROR(__xludf.DUMMYFUNCTION("""COMPUTED_VALUE"""),"application/pdf")</f>
        <v>application/pdf</v>
      </c>
    </row>
    <row r="2252">
      <c r="A2252" s="336" t="str">
        <f>IFERROR(__xludf.DUMMYFUNCTION("""COMPUTED_VALUE"""),"10.3102/0013189x13507104")</f>
        <v>10.3102/0013189x13507104</v>
      </c>
      <c r="B2252" s="442" t="str">
        <f>IFERROR(__xludf.DUMMYFUNCTION("""COMPUTED_VALUE"""),"https://drive.google.com/file/d/1mMbXlq0wHwW3u94B3l_0KZ3_2GsCObmh/view?usp=drivesdk")</f>
        <v>https://drive.google.com/file/d/1mMbXlq0wHwW3u94B3l_0KZ3_2GsCObmh/view?usp=drivesdk</v>
      </c>
      <c r="C2252" s="336" t="str">
        <f>IFERROR(__xludf.DUMMYFUNCTION("""COMPUTED_VALUE"""),"10.3102--0013189X13507104.pdf")</f>
        <v>10.3102--0013189X13507104.pdf</v>
      </c>
      <c r="D2252" s="156" t="str">
        <f>IFERROR(__xludf.DUMMYFUNCTION("""COMPUTED_VALUE"""),"application/pdf")</f>
        <v>application/pdf</v>
      </c>
    </row>
    <row r="2253">
      <c r="A2253" s="336" t="str">
        <f>IFERROR(__xludf.DUMMYFUNCTION("""COMPUTED_VALUE"""),"10.1016/j.euroecorev.2004.01.004")</f>
        <v>10.1016/j.euroecorev.2004.01.004</v>
      </c>
      <c r="B2253" s="442" t="str">
        <f>IFERROR(__xludf.DUMMYFUNCTION("""COMPUTED_VALUE"""),"https://drive.google.com/file/d/1EqvEPwgwndawziGmIPqgl3yNKOI51OAS/view?usp=drivesdk")</f>
        <v>https://drive.google.com/file/d/1EqvEPwgwndawziGmIPqgl3yNKOI51OAS/view?usp=drivesdk</v>
      </c>
      <c r="C2253" s="336" t="str">
        <f>IFERROR(__xludf.DUMMYFUNCTION("""COMPUTED_VALUE"""),"10.1016--j.euroecorev.2004.01.004.pdf")</f>
        <v>10.1016--j.euroecorev.2004.01.004.pdf</v>
      </c>
      <c r="D2253" s="156" t="str">
        <f>IFERROR(__xludf.DUMMYFUNCTION("""COMPUTED_VALUE"""),"application/pdf")</f>
        <v>application/pdf</v>
      </c>
    </row>
    <row r="2254">
      <c r="A2254" s="336" t="str">
        <f>IFERROR(__xludf.DUMMYFUNCTION("""COMPUTED_VALUE"""),"10.1017/s1366728914000273")</f>
        <v>10.1017/s1366728914000273</v>
      </c>
      <c r="B2254" s="442" t="str">
        <f>IFERROR(__xludf.DUMMYFUNCTION("""COMPUTED_VALUE"""),"https://drive.google.com/file/d/1Baedt_RF56dAcd90mHgk4WyAWq0rNUNl/view?usp=drivesdk")</f>
        <v>https://drive.google.com/file/d/1Baedt_RF56dAcd90mHgk4WyAWq0rNUNl/view?usp=drivesdk</v>
      </c>
      <c r="C2254" s="336" t="str">
        <f>IFERROR(__xludf.DUMMYFUNCTION("""COMPUTED_VALUE"""),"10.1017--S1366728914000273.pdf")</f>
        <v>10.1017--S1366728914000273.pdf</v>
      </c>
      <c r="D2254" s="156" t="str">
        <f>IFERROR(__xludf.DUMMYFUNCTION("""COMPUTED_VALUE"""),"application/pdf")</f>
        <v>application/pdf</v>
      </c>
    </row>
    <row r="2255">
      <c r="A2255" s="336" t="str">
        <f>IFERROR(__xludf.DUMMYFUNCTION("""COMPUTED_VALUE"""),"10.1086/648381")</f>
        <v>10.1086/648381</v>
      </c>
      <c r="B2255" s="442" t="str">
        <f>IFERROR(__xludf.DUMMYFUNCTION("""COMPUTED_VALUE"""),"https://drive.google.com/file/d/14GutnAtB1f13xcVqwnhfc_-RMT6AP_5B/view?usp=drivesdk")</f>
        <v>https://drive.google.com/file/d/14GutnAtB1f13xcVqwnhfc_-RMT6AP_5B/view?usp=drivesdk</v>
      </c>
      <c r="C2255" s="336" t="str">
        <f>IFERROR(__xludf.DUMMYFUNCTION("""COMPUTED_VALUE"""),"10.1086--648381.pdf")</f>
        <v>10.1086--648381.pdf</v>
      </c>
      <c r="D2255" s="156" t="str">
        <f>IFERROR(__xludf.DUMMYFUNCTION("""COMPUTED_VALUE"""),"application/pdf")</f>
        <v>application/pdf</v>
      </c>
    </row>
    <row r="2256">
      <c r="A2256" s="336" t="str">
        <f>IFERROR(__xludf.DUMMYFUNCTION("""COMPUTED_VALUE"""),"10.1177/0146167209351435")</f>
        <v>10.1177/0146167209351435</v>
      </c>
      <c r="B2256" s="442" t="str">
        <f>IFERROR(__xludf.DUMMYFUNCTION("""COMPUTED_VALUE"""),"https://drive.google.com/file/d/1HPzVmIEplGhQvmWHdVz2IsB9vdc6FFNn/view?usp=drivesdk")</f>
        <v>https://drive.google.com/file/d/1HPzVmIEplGhQvmWHdVz2IsB9vdc6FFNn/view?usp=drivesdk</v>
      </c>
      <c r="C2256" s="336" t="str">
        <f>IFERROR(__xludf.DUMMYFUNCTION("""COMPUTED_VALUE"""),"10.1177--0146167209351435.pdf")</f>
        <v>10.1177--0146167209351435.pdf</v>
      </c>
      <c r="D2256" s="156" t="str">
        <f>IFERROR(__xludf.DUMMYFUNCTION("""COMPUTED_VALUE"""),"application/pdf")</f>
        <v>application/pdf</v>
      </c>
    </row>
    <row r="2257">
      <c r="A2257" s="336" t="str">
        <f>IFERROR(__xludf.DUMMYFUNCTION("""COMPUTED_VALUE"""),"10.1016/j.ijinfomgt.2018.03.001")</f>
        <v>10.1016/j.ijinfomgt.2018.03.001</v>
      </c>
      <c r="B2257" s="442" t="str">
        <f>IFERROR(__xludf.DUMMYFUNCTION("""COMPUTED_VALUE"""),"https://drive.google.com/file/d/1o9LFgnQOxOWMbLhy5xq59Vl4kwI6felM/view?usp=drivesdk")</f>
        <v>https://drive.google.com/file/d/1o9LFgnQOxOWMbLhy5xq59Vl4kwI6felM/view?usp=drivesdk</v>
      </c>
      <c r="C2257" s="336" t="str">
        <f>IFERROR(__xludf.DUMMYFUNCTION("""COMPUTED_VALUE"""),"10.1016--j.ijinfomgt.2018.03.001.pdf")</f>
        <v>10.1016--j.ijinfomgt.2018.03.001.pdf</v>
      </c>
      <c r="D2257" s="156" t="str">
        <f>IFERROR(__xludf.DUMMYFUNCTION("""COMPUTED_VALUE"""),"application/pdf")</f>
        <v>application/pdf</v>
      </c>
    </row>
    <row r="2258">
      <c r="A2258" s="336" t="str">
        <f>IFERROR(__xludf.DUMMYFUNCTION("""COMPUTED_VALUE"""),"10.1016/j.cedpsych.2009.06.005")</f>
        <v>10.1016/j.cedpsych.2009.06.005</v>
      </c>
      <c r="B2258" s="442" t="str">
        <f>IFERROR(__xludf.DUMMYFUNCTION("""COMPUTED_VALUE"""),"https://drive.google.com/file/d/148Py_oykj0pRS0KX5Nz43ePS1GIo-Y5B/view?usp=drivesdk")</f>
        <v>https://drive.google.com/file/d/148Py_oykj0pRS0KX5Nz43ePS1GIo-Y5B/view?usp=drivesdk</v>
      </c>
      <c r="C2258" s="336" t="str">
        <f>IFERROR(__xludf.DUMMYFUNCTION("""COMPUTED_VALUE"""),"10.1016--j.cedpsych.2009.06.005.pdf")</f>
        <v>10.1016--j.cedpsych.2009.06.005.pdf</v>
      </c>
      <c r="D2258" s="156" t="str">
        <f>IFERROR(__xludf.DUMMYFUNCTION("""COMPUTED_VALUE"""),"application/pdf")</f>
        <v>application/pdf</v>
      </c>
    </row>
    <row r="2259">
      <c r="A2259" s="336" t="str">
        <f>IFERROR(__xludf.DUMMYFUNCTION("""COMPUTED_VALUE"""),"10.1111/0023-8333.00112")</f>
        <v>10.1111/0023-8333.00112</v>
      </c>
      <c r="B2259" s="442" t="str">
        <f>IFERROR(__xludf.DUMMYFUNCTION("""COMPUTED_VALUE"""),"https://drive.google.com/file/d/1jZTNlQnL0TIaQEtiJ7d2O9yOJIbibVXq/view?usp=drivesdk")</f>
        <v>https://drive.google.com/file/d/1jZTNlQnL0TIaQEtiJ7d2O9yOJIbibVXq/view?usp=drivesdk</v>
      </c>
      <c r="C2259" s="336" t="str">
        <f>IFERROR(__xludf.DUMMYFUNCTION("""COMPUTED_VALUE"""),"10.1111--0023-8333.00112.pdf")</f>
        <v>10.1111--0023-8333.00112.pdf</v>
      </c>
      <c r="D2259" s="156" t="str">
        <f>IFERROR(__xludf.DUMMYFUNCTION("""COMPUTED_VALUE"""),"application/pdf")</f>
        <v>application/pdf</v>
      </c>
    </row>
    <row r="2260">
      <c r="A2260" s="336" t="str">
        <f>IFERROR(__xludf.DUMMYFUNCTION("""COMPUTED_VALUE"""),"10.1086/678193")</f>
        <v>10.1086/678193</v>
      </c>
      <c r="B2260" s="442" t="str">
        <f>IFERROR(__xludf.DUMMYFUNCTION("""COMPUTED_VALUE"""),"https://drive.google.com/file/d/1qAWfV1gULW7jC5kaiPJ66v9N_6ujk9G3/view?usp=drivesdk")</f>
        <v>https://drive.google.com/file/d/1qAWfV1gULW7jC5kaiPJ66v9N_6ujk9G3/view?usp=drivesdk</v>
      </c>
      <c r="C2260" s="336" t="str">
        <f>IFERROR(__xludf.DUMMYFUNCTION("""COMPUTED_VALUE"""),"10.1086--678193.pdf")</f>
        <v>10.1086--678193.pdf</v>
      </c>
      <c r="D2260" s="156" t="str">
        <f>IFERROR(__xludf.DUMMYFUNCTION("""COMPUTED_VALUE"""),"application/pdf")</f>
        <v>application/pdf</v>
      </c>
    </row>
    <row r="2261">
      <c r="A2261" s="336" t="str">
        <f>IFERROR(__xludf.DUMMYFUNCTION("""COMPUTED_VALUE"""),"10.1016/j.psychres.2017.09.048")</f>
        <v>10.1016/j.psychres.2017.09.048</v>
      </c>
      <c r="B2261" s="442" t="str">
        <f>IFERROR(__xludf.DUMMYFUNCTION("""COMPUTED_VALUE"""),"https://drive.google.com/file/d/1bB5zAUL5oQPM2ClvdBCDeAd5AlkWVp4P/view?usp=drivesdk")</f>
        <v>https://drive.google.com/file/d/1bB5zAUL5oQPM2ClvdBCDeAd5AlkWVp4P/view?usp=drivesdk</v>
      </c>
      <c r="C2261" s="336" t="str">
        <f>IFERROR(__xludf.DUMMYFUNCTION("""COMPUTED_VALUE"""),"10.1016--j.psychres.2017.09.048.pdf")</f>
        <v>10.1016--j.psychres.2017.09.048.pdf</v>
      </c>
      <c r="D2261" s="156" t="str">
        <f>IFERROR(__xludf.DUMMYFUNCTION("""COMPUTED_VALUE"""),"application/pdf")</f>
        <v>application/pdf</v>
      </c>
    </row>
    <row r="2262">
      <c r="A2262" s="336" t="str">
        <f>IFERROR(__xludf.DUMMYFUNCTION("""COMPUTED_VALUE"""),"10.1037/abn0000277")</f>
        <v>10.1037/abn0000277</v>
      </c>
      <c r="B2262" s="442" t="str">
        <f>IFERROR(__xludf.DUMMYFUNCTION("""COMPUTED_VALUE"""),"https://drive.google.com/file/d/1YAtWuID9zn-v4RS7EAtlJ13NrBFRKnTI/view?usp=drivesdk")</f>
        <v>https://drive.google.com/file/d/1YAtWuID9zn-v4RS7EAtlJ13NrBFRKnTI/view?usp=drivesdk</v>
      </c>
      <c r="C2262" s="336" t="str">
        <f>IFERROR(__xludf.DUMMYFUNCTION("""COMPUTED_VALUE"""),"10.1037--abn0000277.pdf")</f>
        <v>10.1037--abn0000277.pdf</v>
      </c>
      <c r="D2262" s="156" t="str">
        <f>IFERROR(__xludf.DUMMYFUNCTION("""COMPUTED_VALUE"""),"application/pdf")</f>
        <v>application/pdf</v>
      </c>
    </row>
    <row r="2263">
      <c r="A2263" s="336" t="str">
        <f>IFERROR(__xludf.DUMMYFUNCTION("""COMPUTED_VALUE"""),"10.1111/psyp.12132")</f>
        <v>10.1111/psyp.12132</v>
      </c>
      <c r="B2263" s="442" t="str">
        <f>IFERROR(__xludf.DUMMYFUNCTION("""COMPUTED_VALUE"""),"https://drive.google.com/file/d/1-cST4Xer2glOXMG5eTrJVkRfofzfqFTW/view?usp=drivesdk")</f>
        <v>https://drive.google.com/file/d/1-cST4Xer2glOXMG5eTrJVkRfofzfqFTW/view?usp=drivesdk</v>
      </c>
      <c r="C2263" s="336" t="str">
        <f>IFERROR(__xludf.DUMMYFUNCTION("""COMPUTED_VALUE"""),"10.1111--psyp.12132.pdf")</f>
        <v>10.1111--psyp.12132.pdf</v>
      </c>
      <c r="D2263" s="156" t="str">
        <f>IFERROR(__xludf.DUMMYFUNCTION("""COMPUTED_VALUE"""),"application/pdf")</f>
        <v>application/pdf</v>
      </c>
    </row>
    <row r="2264">
      <c r="A2264" s="336" t="str">
        <f>IFERROR(__xludf.DUMMYFUNCTION("""COMPUTED_VALUE"""),"10.1016/j.visres.2006.11.013")</f>
        <v>10.1016/j.visres.2006.11.013</v>
      </c>
      <c r="B2264" s="442" t="str">
        <f>IFERROR(__xludf.DUMMYFUNCTION("""COMPUTED_VALUE"""),"https://drive.google.com/file/d/1YGUF0pymdL9VWFyddXUkyUtTNzhUn4kL/view?usp=drivesdk")</f>
        <v>https://drive.google.com/file/d/1YGUF0pymdL9VWFyddXUkyUtTNzhUn4kL/view?usp=drivesdk</v>
      </c>
      <c r="C2264" s="336" t="str">
        <f>IFERROR(__xludf.DUMMYFUNCTION("""COMPUTED_VALUE"""),"10.1016--j.visres.2006.11.013.pdf")</f>
        <v>10.1016--j.visres.2006.11.013.pdf</v>
      </c>
      <c r="D2264" s="156" t="str">
        <f>IFERROR(__xludf.DUMMYFUNCTION("""COMPUTED_VALUE"""),"application/pdf")</f>
        <v>application/pdf</v>
      </c>
    </row>
    <row r="2265">
      <c r="A2265" s="336" t="str">
        <f>IFERROR(__xludf.DUMMYFUNCTION("""COMPUTED_VALUE"""),"10.1111/lang.12161")</f>
        <v>10.1111/lang.12161</v>
      </c>
      <c r="B2265" s="442" t="str">
        <f>IFERROR(__xludf.DUMMYFUNCTION("""COMPUTED_VALUE"""),"https://drive.google.com/file/d/1W_KvsfbanYWBQG9nzoDuqDlzFW_jUYH2/view?usp=drivesdk")</f>
        <v>https://drive.google.com/file/d/1W_KvsfbanYWBQG9nzoDuqDlzFW_jUYH2/view?usp=drivesdk</v>
      </c>
      <c r="C2265" s="336" t="str">
        <f>IFERROR(__xludf.DUMMYFUNCTION("""COMPUTED_VALUE"""),"10.1111--lang.12161.pdf")</f>
        <v>10.1111--lang.12161.pdf</v>
      </c>
      <c r="D2265" s="156" t="str">
        <f>IFERROR(__xludf.DUMMYFUNCTION("""COMPUTED_VALUE"""),"application/pdf")</f>
        <v>application/pdf</v>
      </c>
    </row>
    <row r="2266">
      <c r="A2266" s="336" t="str">
        <f>IFERROR(__xludf.DUMMYFUNCTION("""COMPUTED_VALUE"""),"10.1177/0956797611402513")</f>
        <v>10.1177/0956797611402513</v>
      </c>
      <c r="B2266" s="442" t="str">
        <f>IFERROR(__xludf.DUMMYFUNCTION("""COMPUTED_VALUE"""),"https://drive.google.com/file/d/1qjg3dUl7eHUol7x5vvlFumz5qKGMMo-n/view?usp=drivesdk")</f>
        <v>https://drive.google.com/file/d/1qjg3dUl7eHUol7x5vvlFumz5qKGMMo-n/view?usp=drivesdk</v>
      </c>
      <c r="C2266" s="336" t="str">
        <f>IFERROR(__xludf.DUMMYFUNCTION("""COMPUTED_VALUE"""),"10.1177--0956797611402513.pdf")</f>
        <v>10.1177--0956797611402513.pdf</v>
      </c>
      <c r="D2266" s="156" t="str">
        <f>IFERROR(__xludf.DUMMYFUNCTION("""COMPUTED_VALUE"""),"application/pdf")</f>
        <v>application/pdf</v>
      </c>
    </row>
    <row r="2267">
      <c r="A2267" s="336" t="str">
        <f>IFERROR(__xludf.DUMMYFUNCTION("""COMPUTED_VALUE"""),"10.1177/0267658310386439")</f>
        <v>10.1177/0267658310386439</v>
      </c>
      <c r="B2267" s="442" t="str">
        <f>IFERROR(__xludf.DUMMYFUNCTION("""COMPUTED_VALUE"""),"https://drive.google.com/file/d/1c_xOizbgC83hFcsc5jmN-idvU1vfACNB/view?usp=drivesdk")</f>
        <v>https://drive.google.com/file/d/1c_xOizbgC83hFcsc5jmN-idvU1vfACNB/view?usp=drivesdk</v>
      </c>
      <c r="C2267" s="336" t="str">
        <f>IFERROR(__xludf.DUMMYFUNCTION("""COMPUTED_VALUE"""),"10.1177--0267658310386439.pdf")</f>
        <v>10.1177--0267658310386439.pdf</v>
      </c>
      <c r="D2267" s="156" t="str">
        <f>IFERROR(__xludf.DUMMYFUNCTION("""COMPUTED_VALUE"""),"application/pdf")</f>
        <v>application/pdf</v>
      </c>
    </row>
    <row r="2268">
      <c r="A2268" s="336" t="str">
        <f>IFERROR(__xludf.DUMMYFUNCTION("""COMPUTED_VALUE"""),"10.1177/2167702614545216")</f>
        <v>10.1177/2167702614545216</v>
      </c>
      <c r="B2268" s="442" t="str">
        <f>IFERROR(__xludf.DUMMYFUNCTION("""COMPUTED_VALUE"""),"https://drive.google.com/file/d/1lp6r_eHvrdDz_Jcksbt_MrMZQFC3hwy0/view?usp=drivesdk")</f>
        <v>https://drive.google.com/file/d/1lp6r_eHvrdDz_Jcksbt_MrMZQFC3hwy0/view?usp=drivesdk</v>
      </c>
      <c r="C2268" s="336" t="str">
        <f>IFERROR(__xludf.DUMMYFUNCTION("""COMPUTED_VALUE"""),"10.1177--2167702614545216.pdf")</f>
        <v>10.1177--2167702614545216.pdf</v>
      </c>
      <c r="D2268" s="156" t="str">
        <f>IFERROR(__xludf.DUMMYFUNCTION("""COMPUTED_VALUE"""),"application/pdf")</f>
        <v>application/pdf</v>
      </c>
    </row>
    <row r="2269">
      <c r="A2269" s="336" t="str">
        <f>IFERROR(__xludf.DUMMYFUNCTION("""COMPUTED_VALUE"""),"10.1002/pam.21702")</f>
        <v>10.1002/pam.21702</v>
      </c>
      <c r="B2269" s="442" t="str">
        <f>IFERROR(__xludf.DUMMYFUNCTION("""COMPUTED_VALUE"""),"https://drive.google.com/file/d/1NxD4srcP8NGAkHA1AWvYHXJLyf_l73EF/view?usp=drivesdk")</f>
        <v>https://drive.google.com/file/d/1NxD4srcP8NGAkHA1AWvYHXJLyf_l73EF/view?usp=drivesdk</v>
      </c>
      <c r="C2269" s="336" t="str">
        <f>IFERROR(__xludf.DUMMYFUNCTION("""COMPUTED_VALUE"""),"10.1002--pam.21702.pdf")</f>
        <v>10.1002--pam.21702.pdf</v>
      </c>
      <c r="D2269" s="156" t="str">
        <f>IFERROR(__xludf.DUMMYFUNCTION("""COMPUTED_VALUE"""),"application/pdf")</f>
        <v>application/pdf</v>
      </c>
    </row>
    <row r="2270">
      <c r="A2270" s="336" t="str">
        <f>IFERROR(__xludf.DUMMYFUNCTION("""COMPUTED_VALUE"""),"10.1016/j.learninstruc.2014.08.004")</f>
        <v>10.1016/j.learninstruc.2014.08.004</v>
      </c>
      <c r="B2270" s="442" t="str">
        <f>IFERROR(__xludf.DUMMYFUNCTION("""COMPUTED_VALUE"""),"https://drive.google.com/file/d/1dE7-AS0QPxKoPMyquy5WhD3ojjC80SWY/view?usp=drivesdk")</f>
        <v>https://drive.google.com/file/d/1dE7-AS0QPxKoPMyquy5WhD3ojjC80SWY/view?usp=drivesdk</v>
      </c>
      <c r="C2270" s="336" t="str">
        <f>IFERROR(__xludf.DUMMYFUNCTION("""COMPUTED_VALUE"""),"10.1016--j.learninstruc.2014.08.004.pdf")</f>
        <v>10.1016--j.learninstruc.2014.08.004.pdf</v>
      </c>
      <c r="D2270" s="156" t="str">
        <f>IFERROR(__xludf.DUMMYFUNCTION("""COMPUTED_VALUE"""),"application/pdf")</f>
        <v>application/pdf</v>
      </c>
    </row>
    <row r="2271">
      <c r="A2271" s="336" t="str">
        <f>IFERROR(__xludf.DUMMYFUNCTION("""COMPUTED_VALUE"""),"10.1162/rest.90.2.300")</f>
        <v>10.1162/rest.90.2.300</v>
      </c>
      <c r="B2271" s="442" t="str">
        <f>IFERROR(__xludf.DUMMYFUNCTION("""COMPUTED_VALUE"""),"https://drive.google.com/file/d/150VkxMJ6Qzq8PM52a6Vi7Y9e4ojtHPne/view?usp=drivesdk")</f>
        <v>https://drive.google.com/file/d/150VkxMJ6Qzq8PM52a6Vi7Y9e4ojtHPne/view?usp=drivesdk</v>
      </c>
      <c r="C2271" s="336" t="str">
        <f>IFERROR(__xludf.DUMMYFUNCTION("""COMPUTED_VALUE"""),"10.1162--rest.90.2.300.pdf")</f>
        <v>10.1162--rest.90.2.300.pdf</v>
      </c>
      <c r="D2271" s="156" t="str">
        <f>IFERROR(__xludf.DUMMYFUNCTION("""COMPUTED_VALUE"""),"application/pdf")</f>
        <v>application/pdf</v>
      </c>
    </row>
    <row r="2272">
      <c r="A2272" s="336" t="str">
        <f>IFERROR(__xludf.DUMMYFUNCTION("""COMPUTED_VALUE"""),"10.1007/s11858-016-0819-3")</f>
        <v>10.1007/s11858-016-0819-3</v>
      </c>
      <c r="B2272" s="442" t="str">
        <f>IFERROR(__xludf.DUMMYFUNCTION("""COMPUTED_VALUE"""),"https://drive.google.com/file/d/1A3A0XWewbvFp536VbiCjIAYxdIJwVP-9/view?usp=drivesdk")</f>
        <v>https://drive.google.com/file/d/1A3A0XWewbvFp536VbiCjIAYxdIJwVP-9/view?usp=drivesdk</v>
      </c>
      <c r="C2272" s="336" t="str">
        <f>IFERROR(__xludf.DUMMYFUNCTION("""COMPUTED_VALUE"""),"10.1007--s11858-016-0819-3.pdf")</f>
        <v>10.1007--s11858-016-0819-3.pdf</v>
      </c>
      <c r="D2272" s="156" t="str">
        <f>IFERROR(__xludf.DUMMYFUNCTION("""COMPUTED_VALUE"""),"application/pdf")</f>
        <v>application/pdf</v>
      </c>
    </row>
    <row r="2273">
      <c r="A2273" s="336" t="str">
        <f>IFERROR(__xludf.DUMMYFUNCTION("""COMPUTED_VALUE"""),"10.1016/j.compedu.2013.06.014")</f>
        <v>10.1016/j.compedu.2013.06.014</v>
      </c>
      <c r="B2273" s="442" t="str">
        <f>IFERROR(__xludf.DUMMYFUNCTION("""COMPUTED_VALUE"""),"https://drive.google.com/file/d/1Om0VtTokwrnUfKI5dbrEDRogkdHBeMRA/view?usp=drivesdk")</f>
        <v>https://drive.google.com/file/d/1Om0VtTokwrnUfKI5dbrEDRogkdHBeMRA/view?usp=drivesdk</v>
      </c>
      <c r="C2273" s="336" t="str">
        <f>IFERROR(__xludf.DUMMYFUNCTION("""COMPUTED_VALUE"""),"10.1016--j.compedu.2013.06.014.pdf")</f>
        <v>10.1016--j.compedu.2013.06.014.pdf</v>
      </c>
      <c r="D2273" s="156" t="str">
        <f>IFERROR(__xludf.DUMMYFUNCTION("""COMPUTED_VALUE"""),"application/pdf")</f>
        <v>application/pdf</v>
      </c>
    </row>
    <row r="2274">
      <c r="A2274" s="336" t="str">
        <f>IFERROR(__xludf.DUMMYFUNCTION("""COMPUTED_VALUE"""),"10.1177/0956797613478614")</f>
        <v>10.1177/0956797613478614</v>
      </c>
      <c r="B2274" s="442" t="str">
        <f>IFERROR(__xludf.DUMMYFUNCTION("""COMPUTED_VALUE"""),"https://drive.google.com/file/d/145Pa13zh5Prx2VW-au4YJBMHc37TXuej/view?usp=drivesdk")</f>
        <v>https://drive.google.com/file/d/145Pa13zh5Prx2VW-au4YJBMHc37TXuej/view?usp=drivesdk</v>
      </c>
      <c r="C2274" s="336" t="str">
        <f>IFERROR(__xludf.DUMMYFUNCTION("""COMPUTED_VALUE"""),"10.1177--0956797613478614.pdf")</f>
        <v>10.1177--0956797613478614.pdf</v>
      </c>
      <c r="D2274" s="156" t="str">
        <f>IFERROR(__xludf.DUMMYFUNCTION("""COMPUTED_VALUE"""),"application/pdf")</f>
        <v>application/pdf</v>
      </c>
    </row>
    <row r="2275">
      <c r="A2275" s="336" t="str">
        <f>IFERROR(__xludf.DUMMYFUNCTION("""COMPUTED_VALUE"""),"10.1007/s10857-015-9324-9")</f>
        <v>10.1007/s10857-015-9324-9</v>
      </c>
      <c r="B2275" s="442" t="str">
        <f>IFERROR(__xludf.DUMMYFUNCTION("""COMPUTED_VALUE"""),"https://drive.google.com/file/d/1JnjkuBqFgDqAEzZj1VnXDDzpULzqwUY4/view?usp=drivesdk")</f>
        <v>https://drive.google.com/file/d/1JnjkuBqFgDqAEzZj1VnXDDzpULzqwUY4/view?usp=drivesdk</v>
      </c>
      <c r="C2275" s="336" t="str">
        <f>IFERROR(__xludf.DUMMYFUNCTION("""COMPUTED_VALUE"""),"10.1007--s10857-015-9324-9.pdf")</f>
        <v>10.1007--s10857-015-9324-9.pdf</v>
      </c>
      <c r="D2275" s="156" t="str">
        <f>IFERROR(__xludf.DUMMYFUNCTION("""COMPUTED_VALUE"""),"application/pdf")</f>
        <v>application/pdf</v>
      </c>
    </row>
    <row r="2276">
      <c r="A2276" s="336" t="str">
        <f>IFERROR(__xludf.DUMMYFUNCTION("""COMPUTED_VALUE"""),"10.1016/j.jsams.2017.06.007")</f>
        <v>10.1016/j.jsams.2017.06.007</v>
      </c>
      <c r="B2276" s="442" t="str">
        <f>IFERROR(__xludf.DUMMYFUNCTION("""COMPUTED_VALUE"""),"https://drive.google.com/file/d/1bOamtHkDDCeR5rldqOBSgCXc_AFZb3yD/view?usp=drivesdk")</f>
        <v>https://drive.google.com/file/d/1bOamtHkDDCeR5rldqOBSgCXc_AFZb3yD/view?usp=drivesdk</v>
      </c>
      <c r="C2276" s="336" t="str">
        <f>IFERROR(__xludf.DUMMYFUNCTION("""COMPUTED_VALUE"""),"10.1016--j.jsams.2017.06.007.pdf")</f>
        <v>10.1016--j.jsams.2017.06.007.pdf</v>
      </c>
      <c r="D2276" s="156" t="str">
        <f>IFERROR(__xludf.DUMMYFUNCTION("""COMPUTED_VALUE"""),"application/pdf")</f>
        <v>application/pdf</v>
      </c>
    </row>
    <row r="2277">
      <c r="A2277" s="336" t="str">
        <f>IFERROR(__xludf.DUMMYFUNCTION("""COMPUTED_VALUE"""),"10.1037/0021-9010.77.4.419")</f>
        <v>10.1037/0021-9010.77.4.419</v>
      </c>
      <c r="B2277" s="442" t="str">
        <f>IFERROR(__xludf.DUMMYFUNCTION("""COMPUTED_VALUE"""),"https://drive.google.com/file/d/1XtfL3wumyr6mb9iCgCxuHmUHHvQhg4yN/view?usp=drivesdk")</f>
        <v>https://drive.google.com/file/d/1XtfL3wumyr6mb9iCgCxuHmUHHvQhg4yN/view?usp=drivesdk</v>
      </c>
      <c r="C2277" s="336" t="str">
        <f>IFERROR(__xludf.DUMMYFUNCTION("""COMPUTED_VALUE"""),"10.1037--0021-9010.77.4.419.pdf")</f>
        <v>10.1037--0021-9010.77.4.419.pdf</v>
      </c>
      <c r="D2277" s="156" t="str">
        <f>IFERROR(__xludf.DUMMYFUNCTION("""COMPUTED_VALUE"""),"application/pdf")</f>
        <v>application/pdf</v>
      </c>
    </row>
    <row r="2278">
      <c r="A2278" s="336" t="str">
        <f>IFERROR(__xludf.DUMMYFUNCTION("""COMPUTED_VALUE"""),"10.1006/obhd.1994.1063")</f>
        <v>10.1006/obhd.1994.1063</v>
      </c>
      <c r="B2278" s="442" t="str">
        <f>IFERROR(__xludf.DUMMYFUNCTION("""COMPUTED_VALUE"""),"https://drive.google.com/file/d/1S6Y_7EBTIU64tChcmNNePtGMO2jWzVGk/view?usp=drivesdk")</f>
        <v>https://drive.google.com/file/d/1S6Y_7EBTIU64tChcmNNePtGMO2jWzVGk/view?usp=drivesdk</v>
      </c>
      <c r="C2278" s="336" t="str">
        <f>IFERROR(__xludf.DUMMYFUNCTION("""COMPUTED_VALUE"""),"10.1006--obhd.1994.1063.pdf")</f>
        <v>10.1006--obhd.1994.1063.pdf</v>
      </c>
      <c r="D2278" s="156" t="str">
        <f>IFERROR(__xludf.DUMMYFUNCTION("""COMPUTED_VALUE"""),"application/pdf")</f>
        <v>application/pdf</v>
      </c>
    </row>
    <row r="2279">
      <c r="A2279" s="336" t="str">
        <f>IFERROR(__xludf.DUMMYFUNCTION("""COMPUTED_VALUE"""),"10.1016/j.learninstruc.2018.05.004")</f>
        <v>10.1016/j.learninstruc.2018.05.004</v>
      </c>
      <c r="B2279" s="442" t="str">
        <f>IFERROR(__xludf.DUMMYFUNCTION("""COMPUTED_VALUE"""),"https://drive.google.com/file/d/1GpQZNwn0thDz2IQRffeGzv6KDWQiKn_I/view?usp=drivesdk")</f>
        <v>https://drive.google.com/file/d/1GpQZNwn0thDz2IQRffeGzv6KDWQiKn_I/view?usp=drivesdk</v>
      </c>
      <c r="C2279" s="336" t="str">
        <f>IFERROR(__xludf.DUMMYFUNCTION("""COMPUTED_VALUE"""),"10.1016--j.learninstruc.2018.05.004.pdf")</f>
        <v>10.1016--j.learninstruc.2018.05.004.pdf</v>
      </c>
      <c r="D2279" s="156" t="str">
        <f>IFERROR(__xludf.DUMMYFUNCTION("""COMPUTED_VALUE"""),"application/pdf")</f>
        <v>application/pdf</v>
      </c>
    </row>
    <row r="2280">
      <c r="A2280" s="336" t="str">
        <f>IFERROR(__xludf.DUMMYFUNCTION("""COMPUTED_VALUE"""),"10.1016/j.jrp.2017.10.002")</f>
        <v>10.1016/j.jrp.2017.10.002</v>
      </c>
      <c r="B2280" s="442" t="str">
        <f>IFERROR(__xludf.DUMMYFUNCTION("""COMPUTED_VALUE"""),"https://drive.google.com/file/d/181zSSJL0lk7t_7R7qFXHj6EpNju7NEyy/view?usp=drivesdk")</f>
        <v>https://drive.google.com/file/d/181zSSJL0lk7t_7R7qFXHj6EpNju7NEyy/view?usp=drivesdk</v>
      </c>
      <c r="C2280" s="336" t="str">
        <f>IFERROR(__xludf.DUMMYFUNCTION("""COMPUTED_VALUE"""),"10.1016--j.jrp.2017.10.002.pdf")</f>
        <v>10.1016--j.jrp.2017.10.002.pdf</v>
      </c>
      <c r="D2280" s="156" t="str">
        <f>IFERROR(__xludf.DUMMYFUNCTION("""COMPUTED_VALUE"""),"application/pdf")</f>
        <v>application/pdf</v>
      </c>
    </row>
    <row r="2281">
      <c r="A2281" s="336" t="str">
        <f>IFERROR(__xludf.DUMMYFUNCTION("""COMPUTED_VALUE"""),"10.1037/a0019006")</f>
        <v>10.1037/a0019006</v>
      </c>
      <c r="B2281" s="442" t="str">
        <f>IFERROR(__xludf.DUMMYFUNCTION("""COMPUTED_VALUE"""),"https://drive.google.com/file/d/1PYhLwP6tdLfH-XKRuD0puhoFxy-sMmFS/view?usp=drivesdk")</f>
        <v>https://drive.google.com/file/d/1PYhLwP6tdLfH-XKRuD0puhoFxy-sMmFS/view?usp=drivesdk</v>
      </c>
      <c r="C2281" s="336" t="str">
        <f>IFERROR(__xludf.DUMMYFUNCTION("""COMPUTED_VALUE"""),"10.1037--a0019006.pdf")</f>
        <v>10.1037--a0019006.pdf</v>
      </c>
      <c r="D2281" s="156" t="str">
        <f>IFERROR(__xludf.DUMMYFUNCTION("""COMPUTED_VALUE"""),"application/pdf")</f>
        <v>application/pdf</v>
      </c>
    </row>
    <row r="2282">
      <c r="A2282" s="336" t="str">
        <f>IFERROR(__xludf.DUMMYFUNCTION("""COMPUTED_VALUE"""),"10.1002/(sici)1099-0771(199609)9:3%3c213::aid-bdm230%3e3.0.co;2-1")</f>
        <v>10.1002/(sici)1099-0771(199609)9:3%3c213::aid-bdm230%3e3.0.co;2-1</v>
      </c>
      <c r="B2282" s="442" t="str">
        <f>IFERROR(__xludf.DUMMYFUNCTION("""COMPUTED_VALUE"""),"https://drive.google.com/file/d/19H8UbfRLvZEql0tCt59611gSkSLUCmKs/view?usp=drivesdk")</f>
        <v>https://drive.google.com/file/d/19H8UbfRLvZEql0tCt59611gSkSLUCmKs/view?usp=drivesdk</v>
      </c>
      <c r="C2282" s="336" t="str">
        <f>IFERROR(__xludf.DUMMYFUNCTION("""COMPUTED_VALUE"""),"10.1002--(SICI)1099-0771(199609)9:3%3C213::AID-BDM230%3E3.0.CO;2-1.pdf")</f>
        <v>10.1002--(SICI)1099-0771(199609)9:3%3C213::AID-BDM230%3E3.0.CO;2-1.pdf</v>
      </c>
      <c r="D2282" s="156" t="str">
        <f>IFERROR(__xludf.DUMMYFUNCTION("""COMPUTED_VALUE"""),"application/pdf")</f>
        <v>application/pdf</v>
      </c>
    </row>
    <row r="2283">
      <c r="A2283" s="336" t="str">
        <f>IFERROR(__xludf.DUMMYFUNCTION("""COMPUTED_VALUE"""),"10.1016/j.biopsycho.2018.08.007")</f>
        <v>10.1016/j.biopsycho.2018.08.007</v>
      </c>
      <c r="B2283" s="442" t="str">
        <f>IFERROR(__xludf.DUMMYFUNCTION("""COMPUTED_VALUE"""),"https://drive.google.com/file/d/1V8lTfv6HJ8IMLiB5gYCuvj2XX1Nry6fh/view?usp=drivesdk")</f>
        <v>https://drive.google.com/file/d/1V8lTfv6HJ8IMLiB5gYCuvj2XX1Nry6fh/view?usp=drivesdk</v>
      </c>
      <c r="C2283" s="336" t="str">
        <f>IFERROR(__xludf.DUMMYFUNCTION("""COMPUTED_VALUE"""),"10.1016--j.biopsycho.2018.08.007.pdf")</f>
        <v>10.1016--j.biopsycho.2018.08.007.pdf</v>
      </c>
      <c r="D2283" s="156" t="str">
        <f>IFERROR(__xludf.DUMMYFUNCTION("""COMPUTED_VALUE"""),"application/pdf")</f>
        <v>application/pdf</v>
      </c>
    </row>
    <row r="2284">
      <c r="A2284" s="336" t="str">
        <f>IFERROR(__xludf.DUMMYFUNCTION("""COMPUTED_VALUE"""),"10.1109/tse.2016.2527791")</f>
        <v>10.1109/tse.2016.2527791</v>
      </c>
      <c r="B2284" s="442" t="str">
        <f>IFERROR(__xludf.DUMMYFUNCTION("""COMPUTED_VALUE"""),"https://drive.google.com/file/d/1NP74FAQ4UheeZ68AMDXl3P1f72HLwpaT/view?usp=drivesdk")</f>
        <v>https://drive.google.com/file/d/1NP74FAQ4UheeZ68AMDXl3P1f72HLwpaT/view?usp=drivesdk</v>
      </c>
      <c r="C2284" s="336" t="str">
        <f>IFERROR(__xludf.DUMMYFUNCTION("""COMPUTED_VALUE"""),"10.1109--TSE.2016.2527791.pdf")</f>
        <v>10.1109--TSE.2016.2527791.pdf</v>
      </c>
      <c r="D2284" s="156" t="str">
        <f>IFERROR(__xludf.DUMMYFUNCTION("""COMPUTED_VALUE"""),"application/pdf")</f>
        <v>application/pdf</v>
      </c>
    </row>
    <row r="2285">
      <c r="A2285" s="336" t="str">
        <f>IFERROR(__xludf.DUMMYFUNCTION("""COMPUTED_VALUE"""),"10.1016/0030-5073(76)90005-2")</f>
        <v>10.1016/0030-5073(76)90005-2</v>
      </c>
      <c r="B2285" s="442" t="str">
        <f>IFERROR(__xludf.DUMMYFUNCTION("""COMPUTED_VALUE"""),"https://drive.google.com/file/d/1ks4sYhMyRxNwDVYxivPVczl4gI-dQ94P/view?usp=drivesdk")</f>
        <v>https://drive.google.com/file/d/1ks4sYhMyRxNwDVYxivPVczl4gI-dQ94P/view?usp=drivesdk</v>
      </c>
      <c r="C2285" s="336" t="str">
        <f>IFERROR(__xludf.DUMMYFUNCTION("""COMPUTED_VALUE"""),"10.1016--0030-5073(76)90005-2.pdf")</f>
        <v>10.1016--0030-5073(76)90005-2.pdf</v>
      </c>
      <c r="D2285" s="156" t="str">
        <f>IFERROR(__xludf.DUMMYFUNCTION("""COMPUTED_VALUE"""),"application/pdf")</f>
        <v>application/pdf</v>
      </c>
    </row>
    <row r="2286">
      <c r="A2286" s="336" t="str">
        <f>IFERROR(__xludf.DUMMYFUNCTION("""COMPUTED_VALUE"""),"10.1016/j.avb.2019.03.001")</f>
        <v>10.1016/j.avb.2019.03.001</v>
      </c>
      <c r="B2286" s="442" t="str">
        <f>IFERROR(__xludf.DUMMYFUNCTION("""COMPUTED_VALUE"""),"https://drive.google.com/file/d/1cJsRXmvKPQ7GPC_cm_Airo5Y-ih6oB2j/view?usp=drivesdk")</f>
        <v>https://drive.google.com/file/d/1cJsRXmvKPQ7GPC_cm_Airo5Y-ih6oB2j/view?usp=drivesdk</v>
      </c>
      <c r="C2286" s="336" t="str">
        <f>IFERROR(__xludf.DUMMYFUNCTION("""COMPUTED_VALUE"""),"10.1016--j.avb.2019.03.001.pdf")</f>
        <v>10.1016--j.avb.2019.03.001.pdf</v>
      </c>
      <c r="D2286" s="156" t="str">
        <f>IFERROR(__xludf.DUMMYFUNCTION("""COMPUTED_VALUE"""),"application/pdf")</f>
        <v>application/pdf</v>
      </c>
    </row>
    <row r="2287">
      <c r="A2287" s="336" t="str">
        <f>IFERROR(__xludf.DUMMYFUNCTION("""COMPUTED_VALUE"""),"10.1177/0146167213520459")</f>
        <v>10.1177/0146167213520459</v>
      </c>
      <c r="B2287" s="442" t="str">
        <f>IFERROR(__xludf.DUMMYFUNCTION("""COMPUTED_VALUE"""),"https://drive.google.com/file/d/1k_T4Rme4laOqj4FFVCtLFL6sVGJsx86a/view?usp=drivesdk")</f>
        <v>https://drive.google.com/file/d/1k_T4Rme4laOqj4FFVCtLFL6sVGJsx86a/view?usp=drivesdk</v>
      </c>
      <c r="C2287" s="336" t="str">
        <f>IFERROR(__xludf.DUMMYFUNCTION("""COMPUTED_VALUE"""),"10.1177--0146167213520459.pdf")</f>
        <v>10.1177--0146167213520459.pdf</v>
      </c>
      <c r="D2287" s="156" t="str">
        <f>IFERROR(__xludf.DUMMYFUNCTION("""COMPUTED_VALUE"""),"application/pdf")</f>
        <v>application/pdf</v>
      </c>
    </row>
    <row r="2288">
      <c r="A2288" s="336" t="str">
        <f>IFERROR(__xludf.DUMMYFUNCTION("""COMPUTED_VALUE"""),"10.1177/0956797617719950")</f>
        <v>10.1177/0956797617719950</v>
      </c>
      <c r="B2288" s="442" t="str">
        <f>IFERROR(__xludf.DUMMYFUNCTION("""COMPUTED_VALUE"""),"https://drive.google.com/file/d/1oiaWpVjzIMfjLRO9E_LEl1ivIhgYJxRz/view?usp=drivesdk")</f>
        <v>https://drive.google.com/file/d/1oiaWpVjzIMfjLRO9E_LEl1ivIhgYJxRz/view?usp=drivesdk</v>
      </c>
      <c r="C2288" s="336" t="str">
        <f>IFERROR(__xludf.DUMMYFUNCTION("""COMPUTED_VALUE"""),"10.1177--0956797617719950.pdf")</f>
        <v>10.1177--0956797617719950.pdf</v>
      </c>
      <c r="D2288" s="156" t="str">
        <f>IFERROR(__xludf.DUMMYFUNCTION("""COMPUTED_VALUE"""),"application/pdf")</f>
        <v>application/pdf</v>
      </c>
    </row>
    <row r="2289">
      <c r="A2289" s="336" t="str">
        <f>IFERROR(__xludf.DUMMYFUNCTION("""COMPUTED_VALUE"""),"10.1177/0956797611432497")</f>
        <v>10.1177/0956797611432497</v>
      </c>
      <c r="B2289" s="442" t="str">
        <f>IFERROR(__xludf.DUMMYFUNCTION("""COMPUTED_VALUE"""),"https://drive.google.com/file/d/1WbrVaSPfdqLt24QFCNSjDPwq7kVE4TDC/view?usp=drivesdk")</f>
        <v>https://drive.google.com/file/d/1WbrVaSPfdqLt24QFCNSjDPwq7kVE4TDC/view?usp=drivesdk</v>
      </c>
      <c r="C2289" s="336" t="str">
        <f>IFERROR(__xludf.DUMMYFUNCTION("""COMPUTED_VALUE"""),"10.1177--0956797611432497.pdf")</f>
        <v>10.1177--0956797611432497.pdf</v>
      </c>
      <c r="D2289" s="156" t="str">
        <f>IFERROR(__xludf.DUMMYFUNCTION("""COMPUTED_VALUE"""),"application/pdf")</f>
        <v>application/pdf</v>
      </c>
    </row>
    <row r="2290">
      <c r="A2290" s="336" t="str">
        <f>IFERROR(__xludf.DUMMYFUNCTION("""COMPUTED_VALUE"""),"10.1177/0146167299259003")</f>
        <v>10.1177/0146167299259003</v>
      </c>
      <c r="B2290" s="442" t="str">
        <f>IFERROR(__xludf.DUMMYFUNCTION("""COMPUTED_VALUE"""),"https://drive.google.com/file/d/1ANlIZ7j6kBtYmK7zjvKHJDP4NHDfNeu0/view?usp=drivesdk")</f>
        <v>https://drive.google.com/file/d/1ANlIZ7j6kBtYmK7zjvKHJDP4NHDfNeu0/view?usp=drivesdk</v>
      </c>
      <c r="C2290" s="336" t="str">
        <f>IFERROR(__xludf.DUMMYFUNCTION("""COMPUTED_VALUE"""),"10.1177--0146167299259003.pdf")</f>
        <v>10.1177--0146167299259003.pdf</v>
      </c>
      <c r="D2290" s="156" t="str">
        <f>IFERROR(__xludf.DUMMYFUNCTION("""COMPUTED_VALUE"""),"application/pdf")</f>
        <v>application/pdf</v>
      </c>
    </row>
    <row r="2291">
      <c r="A2291" s="336" t="str">
        <f>IFERROR(__xludf.DUMMYFUNCTION("""COMPUTED_VALUE"""),"10.1146/annurev.psych.57.102904.190127")</f>
        <v>10.1146/annurev.psych.57.102904.190127</v>
      </c>
      <c r="B2291" s="442" t="str">
        <f>IFERROR(__xludf.DUMMYFUNCTION("""COMPUTED_VALUE"""),"https://drive.google.com/file/d/12pcrWT7rv8KHcTckp1mVzESreAZAMuLd/view?usp=drivesdk")</f>
        <v>https://drive.google.com/file/d/12pcrWT7rv8KHcTckp1mVzESreAZAMuLd/view?usp=drivesdk</v>
      </c>
      <c r="C2291" s="336" t="str">
        <f>IFERROR(__xludf.DUMMYFUNCTION("""COMPUTED_VALUE"""),"10.1146--annurev.psych.57.102904.190127.pdf")</f>
        <v>10.1146--annurev.psych.57.102904.190127.pdf</v>
      </c>
      <c r="D2291" s="156" t="str">
        <f>IFERROR(__xludf.DUMMYFUNCTION("""COMPUTED_VALUE"""),"application/pdf")</f>
        <v>application/pdf</v>
      </c>
    </row>
    <row r="2292">
      <c r="A2292" s="336" t="str">
        <f>IFERROR(__xludf.DUMMYFUNCTION("""COMPUTED_VALUE"""),"10.1126/science.283.5398.77")</f>
        <v>10.1126/science.283.5398.77</v>
      </c>
      <c r="B2292" s="442" t="str">
        <f>IFERROR(__xludf.DUMMYFUNCTION("""COMPUTED_VALUE"""),"https://drive.google.com/file/d/1cnM2XgZQxYQfpwgE4BmFxY_VVTpXHKKM/view?usp=drivesdk")</f>
        <v>https://drive.google.com/file/d/1cnM2XgZQxYQfpwgE4BmFxY_VVTpXHKKM/view?usp=drivesdk</v>
      </c>
      <c r="C2292" s="336" t="str">
        <f>IFERROR(__xludf.DUMMYFUNCTION("""COMPUTED_VALUE"""),"10.1126--science.283.5398.77.pdf")</f>
        <v>10.1126--science.283.5398.77.pdf</v>
      </c>
      <c r="D2292" s="156" t="str">
        <f>IFERROR(__xludf.DUMMYFUNCTION("""COMPUTED_VALUE"""),"application/pdf")</f>
        <v>application/pdf</v>
      </c>
    </row>
    <row r="2293">
      <c r="A2293" s="336" t="str">
        <f>IFERROR(__xludf.DUMMYFUNCTION("""COMPUTED_VALUE"""),"10.1111/j.2044-8295.1945.tb01093.x")</f>
        <v>10.1111/j.2044-8295.1945.tb01093.x</v>
      </c>
      <c r="B2293" s="442" t="str">
        <f>IFERROR(__xludf.DUMMYFUNCTION("""COMPUTED_VALUE"""),"https://drive.google.com/file/d/1pomwSjb3JhWNAcPkuV9rFVeM8shH8WIX/view?usp=drivesdk")</f>
        <v>https://drive.google.com/file/d/1pomwSjb3JhWNAcPkuV9rFVeM8shH8WIX/view?usp=drivesdk</v>
      </c>
      <c r="C2293" s="336" t="str">
        <f>IFERROR(__xludf.DUMMYFUNCTION("""COMPUTED_VALUE"""),"10.1111--j.2044-8295.1945.tb01093.x.pdf")</f>
        <v>10.1111--j.2044-8295.1945.tb01093.x.pdf</v>
      </c>
      <c r="D2293" s="156" t="str">
        <f>IFERROR(__xludf.DUMMYFUNCTION("""COMPUTED_VALUE"""),"application/pdf")</f>
        <v>application/pdf</v>
      </c>
    </row>
    <row r="2294">
      <c r="A2294" s="336" t="str">
        <f>IFERROR(__xludf.DUMMYFUNCTION("""COMPUTED_VALUE"""),"10.1111/j.1467-9477.2007.00176.x")</f>
        <v>10.1111/j.1467-9477.2007.00176.x</v>
      </c>
      <c r="B2294" s="442" t="str">
        <f>IFERROR(__xludf.DUMMYFUNCTION("""COMPUTED_VALUE"""),"https://drive.google.com/file/d/1givOcPpd1ntLsGdIXQxqAtb-vKGTpGuD/view?usp=drivesdk")</f>
        <v>https://drive.google.com/file/d/1givOcPpd1ntLsGdIXQxqAtb-vKGTpGuD/view?usp=drivesdk</v>
      </c>
      <c r="C2294" s="336" t="str">
        <f>IFERROR(__xludf.DUMMYFUNCTION("""COMPUTED_VALUE"""),"10.1111--j.1467-9477.2007.00176.x.pdf")</f>
        <v>10.1111--j.1467-9477.2007.00176.x.pdf</v>
      </c>
      <c r="D2294" s="156" t="str">
        <f>IFERROR(__xludf.DUMMYFUNCTION("""COMPUTED_VALUE"""),"application/pdf")</f>
        <v>application/pdf</v>
      </c>
    </row>
    <row r="2295">
      <c r="A2295" s="336" t="str">
        <f>IFERROR(__xludf.DUMMYFUNCTION("""COMPUTED_VALUE"""),"10.1111/j.1467-9280.2009.02479.x")</f>
        <v>10.1111/j.1467-9280.2009.02479.x</v>
      </c>
      <c r="B2295" s="442" t="str">
        <f>IFERROR(__xludf.DUMMYFUNCTION("""COMPUTED_VALUE"""),"https://drive.google.com/file/d/1KL5SoJAHWjHA_I9YQBeFRVy3NF-MVymD/view?usp=drivesdk")</f>
        <v>https://drive.google.com/file/d/1KL5SoJAHWjHA_I9YQBeFRVy3NF-MVymD/view?usp=drivesdk</v>
      </c>
      <c r="C2295" s="336" t="str">
        <f>IFERROR(__xludf.DUMMYFUNCTION("""COMPUTED_VALUE"""),"10.1111--j.1467-9280.2009.02479.x.pdf")</f>
        <v>10.1111--j.1467-9280.2009.02479.x.pdf</v>
      </c>
      <c r="D2295" s="156" t="str">
        <f>IFERROR(__xludf.DUMMYFUNCTION("""COMPUTED_VALUE"""),"application/pdf")</f>
        <v>application/pdf</v>
      </c>
    </row>
    <row r="2296">
      <c r="A2296" s="336" t="str">
        <f>IFERROR(__xludf.DUMMYFUNCTION("""COMPUTED_VALUE"""),"10.1111/j.1467-9280.2006.01811.x")</f>
        <v>10.1111/j.1467-9280.2006.01811.x</v>
      </c>
      <c r="B2296" s="442" t="str">
        <f>IFERROR(__xludf.DUMMYFUNCTION("""COMPUTED_VALUE"""),"https://drive.google.com/file/d/1L6uVunRTkHlU_O--S4vWF9IFtI4y-nt9/view?usp=drivesdk")</f>
        <v>https://drive.google.com/file/d/1L6uVunRTkHlU_O--S4vWF9IFtI4y-nt9/view?usp=drivesdk</v>
      </c>
      <c r="C2296" s="336" t="str">
        <f>IFERROR(__xludf.DUMMYFUNCTION("""COMPUTED_VALUE"""),"10.1111--j.1467-9280.2006.01811.x.pdf")</f>
        <v>10.1111--j.1467-9280.2006.01811.x.pdf</v>
      </c>
      <c r="D2296" s="156" t="str">
        <f>IFERROR(__xludf.DUMMYFUNCTION("""COMPUTED_VALUE"""),"application/pdf")</f>
        <v>application/pdf</v>
      </c>
    </row>
    <row r="2297">
      <c r="A2297" s="336" t="str">
        <f>IFERROR(__xludf.DUMMYFUNCTION("""COMPUTED_VALUE"""),"10.1111/j.0956-7976.2005.00799.x")</f>
        <v>10.1111/j.0956-7976.2005.00799.x</v>
      </c>
      <c r="B2297" s="442" t="str">
        <f>IFERROR(__xludf.DUMMYFUNCTION("""COMPUTED_VALUE"""),"https://drive.google.com/file/d/1eABS-vu3YGOP5Z8U-mNYSNElEVFsaeTY/view?usp=drivesdk")</f>
        <v>https://drive.google.com/file/d/1eABS-vu3YGOP5Z8U-mNYSNElEVFsaeTY/view?usp=drivesdk</v>
      </c>
      <c r="C2297" s="336" t="str">
        <f>IFERROR(__xludf.DUMMYFUNCTION("""COMPUTED_VALUE"""),"10.1111--j.0956-7976.2005.00799.x.pdf")</f>
        <v>10.1111--j.0956-7976.2005.00799.x.pdf</v>
      </c>
      <c r="D2297" s="156" t="str">
        <f>IFERROR(__xludf.DUMMYFUNCTION("""COMPUTED_VALUE"""),"application/pdf")</f>
        <v>application/pdf</v>
      </c>
    </row>
    <row r="2298">
      <c r="A2298" s="336" t="str">
        <f>IFERROR(__xludf.DUMMYFUNCTION("""COMPUTED_VALUE"""),"10.1111/flan.12063")</f>
        <v>10.1111/flan.12063</v>
      </c>
      <c r="B2298" s="442" t="str">
        <f>IFERROR(__xludf.DUMMYFUNCTION("""COMPUTED_VALUE"""),"https://drive.google.com/file/d/1fyRt26qYLHlfICkWkeRvjDxkKPAGMOGH/view?usp=drivesdk")</f>
        <v>https://drive.google.com/file/d/1fyRt26qYLHlfICkWkeRvjDxkKPAGMOGH/view?usp=drivesdk</v>
      </c>
      <c r="C2298" s="336" t="str">
        <f>IFERROR(__xludf.DUMMYFUNCTION("""COMPUTED_VALUE"""),"10.1111--flan.12063.pdf")</f>
        <v>10.1111--flan.12063.pdf</v>
      </c>
      <c r="D2298" s="156" t="str">
        <f>IFERROR(__xludf.DUMMYFUNCTION("""COMPUTED_VALUE"""),"application/pdf")</f>
        <v>application/pdf</v>
      </c>
    </row>
    <row r="2299">
      <c r="A2299" s="336" t="str">
        <f>IFERROR(__xludf.DUMMYFUNCTION("""COMPUTED_VALUE"""),"10.1098/rspb.2011.1959")</f>
        <v>10.1098/rspb.2011.1959</v>
      </c>
      <c r="B2299" s="442" t="str">
        <f>IFERROR(__xludf.DUMMYFUNCTION("""COMPUTED_VALUE"""),"https://drive.google.com/file/d/1Xegg6zoy4h7DJi5a9pRBsglATfS55faB/view?usp=drivesdk")</f>
        <v>https://drive.google.com/file/d/1Xegg6zoy4h7DJi5a9pRBsglATfS55faB/view?usp=drivesdk</v>
      </c>
      <c r="C2299" s="336" t="str">
        <f>IFERROR(__xludf.DUMMYFUNCTION("""COMPUTED_VALUE"""),"10.1098--rspb.2011.1959.pdf")</f>
        <v>10.1098--rspb.2011.1959.pdf</v>
      </c>
      <c r="D2299" s="156" t="str">
        <f>IFERROR(__xludf.DUMMYFUNCTION("""COMPUTED_VALUE"""),"application/pdf")</f>
        <v>application/pdf</v>
      </c>
    </row>
    <row r="2300">
      <c r="A2300" s="336" t="str">
        <f>IFERROR(__xludf.DUMMYFUNCTION("""COMPUTED_VALUE"""),"10.1093/cercor/bhq101")</f>
        <v>10.1093/cercor/bhq101</v>
      </c>
      <c r="B2300" s="442" t="str">
        <f>IFERROR(__xludf.DUMMYFUNCTION("""COMPUTED_VALUE"""),"https://drive.google.com/file/d/175dambBNVF0dqo5ScTkVgg0LGuj940kT/view?usp=drivesdk")</f>
        <v>https://drive.google.com/file/d/175dambBNVF0dqo5ScTkVgg0LGuj940kT/view?usp=drivesdk</v>
      </c>
      <c r="C2300" s="336" t="str">
        <f>IFERROR(__xludf.DUMMYFUNCTION("""COMPUTED_VALUE"""),"10.1093--cercor--bhq101.pdf")</f>
        <v>10.1093--cercor--bhq101.pdf</v>
      </c>
      <c r="D2300" s="156" t="str">
        <f>IFERROR(__xludf.DUMMYFUNCTION("""COMPUTED_VALUE"""),"application/pdf")</f>
        <v>application/pdf</v>
      </c>
    </row>
    <row r="2301">
      <c r="A2301" s="336" t="str">
        <f>IFERROR(__xludf.DUMMYFUNCTION("""COMPUTED_VALUE"""),"10.1086/679118")</f>
        <v>10.1086/679118</v>
      </c>
      <c r="B2301" s="442" t="str">
        <f>IFERROR(__xludf.DUMMYFUNCTION("""COMPUTED_VALUE"""),"https://drive.google.com/file/d/1fC_xdHYtuVSGdyipCTYwInpTLU1nLVOT/view?usp=drivesdk")</f>
        <v>https://drive.google.com/file/d/1fC_xdHYtuVSGdyipCTYwInpTLU1nLVOT/view?usp=drivesdk</v>
      </c>
      <c r="C2301" s="336" t="str">
        <f>IFERROR(__xludf.DUMMYFUNCTION("""COMPUTED_VALUE"""),"10.1086--679118.pdf")</f>
        <v>10.1086--679118.pdf</v>
      </c>
      <c r="D2301" s="156" t="str">
        <f>IFERROR(__xludf.DUMMYFUNCTION("""COMPUTED_VALUE"""),"application/pdf")</f>
        <v>application/pdf</v>
      </c>
    </row>
    <row r="2302">
      <c r="A2302" s="336" t="str">
        <f>IFERROR(__xludf.DUMMYFUNCTION("""COMPUTED_VALUE"""),"10.1086/673256")</f>
        <v>10.1086/673256</v>
      </c>
      <c r="B2302" s="442" t="str">
        <f>IFERROR(__xludf.DUMMYFUNCTION("""COMPUTED_VALUE"""),"https://drive.google.com/file/d/1PWOOc6h89xT_u8Q2-oYAuMVRWZGeQNop/view?usp=drivesdk")</f>
        <v>https://drive.google.com/file/d/1PWOOc6h89xT_u8Q2-oYAuMVRWZGeQNop/view?usp=drivesdk</v>
      </c>
      <c r="C2302" s="336" t="str">
        <f>IFERROR(__xludf.DUMMYFUNCTION("""COMPUTED_VALUE"""),"10.1086--673256.pdf")</f>
        <v>10.1086--673256.pdf</v>
      </c>
      <c r="D2302" s="156" t="str">
        <f>IFERROR(__xludf.DUMMYFUNCTION("""COMPUTED_VALUE"""),"application/pdf")</f>
        <v>application/pdf</v>
      </c>
    </row>
    <row r="2303">
      <c r="A2303" s="336" t="str">
        <f>IFERROR(__xludf.DUMMYFUNCTION("""COMPUTED_VALUE"""),"10.1086/222258")</f>
        <v>10.1086/222258</v>
      </c>
      <c r="B2303" s="442" t="str">
        <f>IFERROR(__xludf.DUMMYFUNCTION("""COMPUTED_VALUE"""),"https://drive.google.com/file/d/17mS9A7BjFB1lWFAmvcSxyq7-jK-oNL_B/view?usp=drivesdk")</f>
        <v>https://drive.google.com/file/d/17mS9A7BjFB1lWFAmvcSxyq7-jK-oNL_B/view?usp=drivesdk</v>
      </c>
      <c r="C2303" s="336" t="str">
        <f>IFERROR(__xludf.DUMMYFUNCTION("""COMPUTED_VALUE"""),"10.1086--222258.pdf")</f>
        <v>10.1086--222258.pdf</v>
      </c>
      <c r="D2303" s="156" t="str">
        <f>IFERROR(__xludf.DUMMYFUNCTION("""COMPUTED_VALUE"""),"application/pdf")</f>
        <v>application/pdf</v>
      </c>
    </row>
    <row r="2304">
      <c r="A2304" s="336" t="str">
        <f>IFERROR(__xludf.DUMMYFUNCTION("""COMPUTED_VALUE"""),"10.1080/713755779")</f>
        <v>10.1080/713755779</v>
      </c>
      <c r="B2304" s="442" t="str">
        <f>IFERROR(__xludf.DUMMYFUNCTION("""COMPUTED_VALUE"""),"https://drive.google.com/file/d/16tv4QbR_xvFXB4FBrbVNqZqo-wgW9woH/view?usp=drivesdk")</f>
        <v>https://drive.google.com/file/d/16tv4QbR_xvFXB4FBrbVNqZqo-wgW9woH/view?usp=drivesdk</v>
      </c>
      <c r="C2304" s="336" t="str">
        <f>IFERROR(__xludf.DUMMYFUNCTION("""COMPUTED_VALUE"""),"10.1080--713755779.pdf")</f>
        <v>10.1080--713755779.pdf</v>
      </c>
      <c r="D2304" s="156" t="str">
        <f>IFERROR(__xludf.DUMMYFUNCTION("""COMPUTED_VALUE"""),"application/pdf")</f>
        <v>application/pdf</v>
      </c>
    </row>
    <row r="2305">
      <c r="A2305" s="336" t="str">
        <f>IFERROR(__xludf.DUMMYFUNCTION("""COMPUTED_VALUE"""),"10.1080/17470218.2016.1253756")</f>
        <v>10.1080/17470218.2016.1253756</v>
      </c>
      <c r="B2305" s="442" t="str">
        <f>IFERROR(__xludf.DUMMYFUNCTION("""COMPUTED_VALUE"""),"https://drive.google.com/file/d/1yxqqtaJ_tKrHMAyqOaSeXTtf-KefDu_f/view?usp=drivesdk")</f>
        <v>https://drive.google.com/file/d/1yxqqtaJ_tKrHMAyqOaSeXTtf-KefDu_f/view?usp=drivesdk</v>
      </c>
      <c r="C2305" s="336" t="str">
        <f>IFERROR(__xludf.DUMMYFUNCTION("""COMPUTED_VALUE"""),"10.1080--17470218.2016.1253756.pdf")</f>
        <v>10.1080--17470218.2016.1253756.pdf</v>
      </c>
      <c r="D2305" s="156" t="str">
        <f>IFERROR(__xludf.DUMMYFUNCTION("""COMPUTED_VALUE"""),"application/pdf")</f>
        <v>application/pdf</v>
      </c>
    </row>
    <row r="2306">
      <c r="A2306" s="336" t="str">
        <f>IFERROR(__xludf.DUMMYFUNCTION("""COMPUTED_VALUE"""),"10.1080/17439760.2017.1279210")</f>
        <v>10.1080/17439760.2017.1279210</v>
      </c>
      <c r="B2306" s="442" t="str">
        <f>IFERROR(__xludf.DUMMYFUNCTION("""COMPUTED_VALUE"""),"https://drive.google.com/file/d/1ZE866GzkUK_NuRwPIYtPoDAMsRZYzg8o/view?usp=drivesdk")</f>
        <v>https://drive.google.com/file/d/1ZE866GzkUK_NuRwPIYtPoDAMsRZYzg8o/view?usp=drivesdk</v>
      </c>
      <c r="C2306" s="336" t="str">
        <f>IFERROR(__xludf.DUMMYFUNCTION("""COMPUTED_VALUE"""),"10.1080--17439760.2017.1279210.pdf")</f>
        <v>10.1080--17439760.2017.1279210.pdf</v>
      </c>
      <c r="D2306" s="156" t="str">
        <f>IFERROR(__xludf.DUMMYFUNCTION("""COMPUTED_VALUE"""),"application/pdf")</f>
        <v>application/pdf</v>
      </c>
    </row>
    <row r="2307">
      <c r="A2307" s="336" t="str">
        <f>IFERROR(__xludf.DUMMYFUNCTION("""COMPUTED_VALUE"""),"10.1080/13506280544000093")</f>
        <v>10.1080/13506280544000093</v>
      </c>
      <c r="B2307" s="442" t="str">
        <f>IFERROR(__xludf.DUMMYFUNCTION("""COMPUTED_VALUE"""),"https://drive.google.com/file/d/1EjCNuZSYsmVVK-bREacL8yoeRui-q6Cq/view?usp=drivesdk")</f>
        <v>https://drive.google.com/file/d/1EjCNuZSYsmVVK-bREacL8yoeRui-q6Cq/view?usp=drivesdk</v>
      </c>
      <c r="C2307" s="336" t="str">
        <f>IFERROR(__xludf.DUMMYFUNCTION("""COMPUTED_VALUE"""),"10.1080--13506280544000093.pdf")</f>
        <v>10.1080--13506280544000093.pdf</v>
      </c>
      <c r="D2307" s="156" t="str">
        <f>IFERROR(__xludf.DUMMYFUNCTION("""COMPUTED_VALUE"""),"application/pdf")</f>
        <v>application/pdf</v>
      </c>
    </row>
    <row r="2308">
      <c r="A2308" s="336" t="str">
        <f>IFERROR(__xludf.DUMMYFUNCTION("""COMPUTED_VALUE"""),"10.1080/095414400382208")</f>
        <v>10.1080/095414400382208</v>
      </c>
      <c r="B2308" s="442" t="str">
        <f>IFERROR(__xludf.DUMMYFUNCTION("""COMPUTED_VALUE"""),"https://drive.google.com/file/d/1TgiLVlc8ULkeaLD2kyjupb27kaiuM0VA/view?usp=drivesdk")</f>
        <v>https://drive.google.com/file/d/1TgiLVlc8ULkeaLD2kyjupb27kaiuM0VA/view?usp=drivesdk</v>
      </c>
      <c r="C2308" s="336" t="str">
        <f>IFERROR(__xludf.DUMMYFUNCTION("""COMPUTED_VALUE"""),"10.1080--095414400382208.pdf")</f>
        <v>10.1080--095414400382208.pdf</v>
      </c>
      <c r="D2308" s="156" t="str">
        <f>IFERROR(__xludf.DUMMYFUNCTION("""COMPUTED_VALUE"""),"application/pdf")</f>
        <v>application/pdf</v>
      </c>
    </row>
    <row r="2309">
      <c r="A2309" s="336" t="str">
        <f>IFERROR(__xludf.DUMMYFUNCTION("""COMPUTED_VALUE"""),"10.1038/nn1504")</f>
        <v>10.1038/nn1504</v>
      </c>
      <c r="B2309" s="442" t="str">
        <f>IFERROR(__xludf.DUMMYFUNCTION("""COMPUTED_VALUE"""),"https://drive.google.com/file/d/1XBkGEx2U8_zKL8MPXGgQNr9pKxuQ1VoK/view?usp=drivesdk")</f>
        <v>https://drive.google.com/file/d/1XBkGEx2U8_zKL8MPXGgQNr9pKxuQ1VoK/view?usp=drivesdk</v>
      </c>
      <c r="C2309" s="336" t="str">
        <f>IFERROR(__xludf.DUMMYFUNCTION("""COMPUTED_VALUE"""),"10.1038--nn1504.pdf")</f>
        <v>10.1038--nn1504.pdf</v>
      </c>
      <c r="D2309" s="156" t="str">
        <f>IFERROR(__xludf.DUMMYFUNCTION("""COMPUTED_VALUE"""),"application/pdf")</f>
        <v>application/pdf</v>
      </c>
    </row>
    <row r="2310">
      <c r="A2310" s="336" t="str">
        <f>IFERROR(__xludf.DUMMYFUNCTION("""COMPUTED_VALUE"""),"10.1038/21557")</f>
        <v>10.1038/21557</v>
      </c>
      <c r="B2310" s="442" t="str">
        <f>IFERROR(__xludf.DUMMYFUNCTION("""COMPUTED_VALUE"""),"https://drive.google.com/file/d/1zYfPpTsPbmgnUB83pI_Pq1lJ7bNE547G/view?usp=drivesdk")</f>
        <v>https://drive.google.com/file/d/1zYfPpTsPbmgnUB83pI_Pq1lJ7bNE547G/view?usp=drivesdk</v>
      </c>
      <c r="C2310" s="336" t="str">
        <f>IFERROR(__xludf.DUMMYFUNCTION("""COMPUTED_VALUE"""),"10.1038--21557.pdf")</f>
        <v>10.1038--21557.pdf</v>
      </c>
      <c r="D2310" s="156" t="str">
        <f>IFERROR(__xludf.DUMMYFUNCTION("""COMPUTED_VALUE"""),"application/pdf")</f>
        <v>application/pdf</v>
      </c>
    </row>
    <row r="2311">
      <c r="A2311" s="336" t="str">
        <f>IFERROR(__xludf.DUMMYFUNCTION("""COMPUTED_VALUE"""),"10.1037/h0093718")</f>
        <v>10.1037/h0093718</v>
      </c>
      <c r="B2311" s="442" t="str">
        <f>IFERROR(__xludf.DUMMYFUNCTION("""COMPUTED_VALUE"""),"https://drive.google.com/file/d/1ZcPXNfUiEbN_HwtCd891QdMzTZSYx1fw/view?usp=drivesdk")</f>
        <v>https://drive.google.com/file/d/1ZcPXNfUiEbN_HwtCd891QdMzTZSYx1fw/view?usp=drivesdk</v>
      </c>
      <c r="C2311" s="336" t="str">
        <f>IFERROR(__xludf.DUMMYFUNCTION("""COMPUTED_VALUE"""),"10.1037--h0093718.pdf")</f>
        <v>10.1037--h0093718.pdf</v>
      </c>
      <c r="D2311" s="156" t="str">
        <f>IFERROR(__xludf.DUMMYFUNCTION("""COMPUTED_VALUE"""),"application/pdf")</f>
        <v>application/pdf</v>
      </c>
    </row>
    <row r="2312">
      <c r="A2312" s="336" t="str">
        <f>IFERROR(__xludf.DUMMYFUNCTION("""COMPUTED_VALUE"""),"10.1037/h0045925")</f>
        <v>10.1037/h0045925</v>
      </c>
      <c r="B2312" s="442" t="str">
        <f>IFERROR(__xludf.DUMMYFUNCTION("""COMPUTED_VALUE"""),"https://drive.google.com/file/d/1RFajdOS3PTs3gG6PijaWUMfbdlg9wH4x/view?usp=drivesdk")</f>
        <v>https://drive.google.com/file/d/1RFajdOS3PTs3gG6PijaWUMfbdlg9wH4x/view?usp=drivesdk</v>
      </c>
      <c r="C2312" s="336" t="str">
        <f>IFERROR(__xludf.DUMMYFUNCTION("""COMPUTED_VALUE"""),"10.1037--h0045925.pdf")</f>
        <v>10.1037--h0045925.pdf</v>
      </c>
      <c r="D2312" s="156" t="str">
        <f>IFERROR(__xludf.DUMMYFUNCTION("""COMPUTED_VALUE"""),"application/pdf")</f>
        <v>application/pdf</v>
      </c>
    </row>
    <row r="2313">
      <c r="A2313" s="336" t="str">
        <f>IFERROR(__xludf.DUMMYFUNCTION("""COMPUTED_VALUE"""),"10.1037/ebs0000028")</f>
        <v>10.1037/ebs0000028</v>
      </c>
      <c r="B2313" s="442" t="str">
        <f>IFERROR(__xludf.DUMMYFUNCTION("""COMPUTED_VALUE"""),"https://drive.google.com/file/d/1JS_DWZKuNPHbZwKfirj8h4113PQ9podm/view?usp=drivesdk")</f>
        <v>https://drive.google.com/file/d/1JS_DWZKuNPHbZwKfirj8h4113PQ9podm/view?usp=drivesdk</v>
      </c>
      <c r="C2313" s="336" t="str">
        <f>IFERROR(__xludf.DUMMYFUNCTION("""COMPUTED_VALUE"""),"10.1037--ebs0000028.pdf")</f>
        <v>10.1037--ebs0000028.pdf</v>
      </c>
      <c r="D2313" s="156" t="str">
        <f>IFERROR(__xludf.DUMMYFUNCTION("""COMPUTED_VALUE"""),"application/pdf")</f>
        <v>application/pdf</v>
      </c>
    </row>
    <row r="2314">
      <c r="A2314" s="336" t="str">
        <f>IFERROR(__xludf.DUMMYFUNCTION("""COMPUTED_VALUE"""),"10.1037/a0020092")</f>
        <v>10.1037/a0020092</v>
      </c>
      <c r="B2314" s="442" t="str">
        <f>IFERROR(__xludf.DUMMYFUNCTION("""COMPUTED_VALUE"""),"https://drive.google.com/file/d/1wc8zyG6iIdoZ-JSrDJQh1zhZ8rbFVywC/view?usp=drivesdk")</f>
        <v>https://drive.google.com/file/d/1wc8zyG6iIdoZ-JSrDJQh1zhZ8rbFVywC/view?usp=drivesdk</v>
      </c>
      <c r="C2314" s="336" t="str">
        <f>IFERROR(__xludf.DUMMYFUNCTION("""COMPUTED_VALUE"""),"10.1037--a0020092.pdf")</f>
        <v>10.1037--a0020092.pdf</v>
      </c>
      <c r="D2314" s="156" t="str">
        <f>IFERROR(__xludf.DUMMYFUNCTION("""COMPUTED_VALUE"""),"application/pdf")</f>
        <v>application/pdf</v>
      </c>
    </row>
    <row r="2315">
      <c r="A2315" s="336" t="str">
        <f>IFERROR(__xludf.DUMMYFUNCTION("""COMPUTED_VALUE"""),"10.1037/0278-7393.29.6.1312")</f>
        <v>10.1037/0278-7393.29.6.1312</v>
      </c>
      <c r="B2315" s="442" t="str">
        <f>IFERROR(__xludf.DUMMYFUNCTION("""COMPUTED_VALUE"""),"https://drive.google.com/file/d/1CgFDbt9DLjtIE39QSYTceBsTH8HynkV2/view?usp=drivesdk")</f>
        <v>https://drive.google.com/file/d/1CgFDbt9DLjtIE39QSYTceBsTH8HynkV2/view?usp=drivesdk</v>
      </c>
      <c r="C2315" s="336" t="str">
        <f>IFERROR(__xludf.DUMMYFUNCTION("""COMPUTED_VALUE"""),"10.1037--0278-7393.29.6.1312.pdf")</f>
        <v>10.1037--0278-7393.29.6.1312.pdf</v>
      </c>
      <c r="D2315" s="156" t="str">
        <f>IFERROR(__xludf.DUMMYFUNCTION("""COMPUTED_VALUE"""),"application/pdf")</f>
        <v>application/pdf</v>
      </c>
    </row>
    <row r="2316">
      <c r="A2316" s="336" t="str">
        <f>IFERROR(__xludf.DUMMYFUNCTION("""COMPUTED_VALUE"""),"10.1037/0096-3445.135.4.641")</f>
        <v>10.1037/0096-3445.135.4.641</v>
      </c>
      <c r="B2316" s="442" t="str">
        <f>IFERROR(__xludf.DUMMYFUNCTION("""COMPUTED_VALUE"""),"https://drive.google.com/file/d/18ZfYG32M-GTcG_ryoJ1HvEC9C-_ti4fk/view?usp=drivesdk")</f>
        <v>https://drive.google.com/file/d/18ZfYG32M-GTcG_ryoJ1HvEC9C-_ti4fk/view?usp=drivesdk</v>
      </c>
      <c r="C2316" s="336" t="str">
        <f>IFERROR(__xludf.DUMMYFUNCTION("""COMPUTED_VALUE"""),"10.1037--0096-3445.135.4.641.pdf")</f>
        <v>10.1037--0096-3445.135.4.641.pdf</v>
      </c>
      <c r="D2316" s="156" t="str">
        <f>IFERROR(__xludf.DUMMYFUNCTION("""COMPUTED_VALUE"""),"application/pdf")</f>
        <v>application/pdf</v>
      </c>
    </row>
    <row r="2317">
      <c r="A2317" s="336" t="str">
        <f>IFERROR(__xludf.DUMMYFUNCTION("""COMPUTED_VALUE"""),"10.1037/0096-3445.108.4.441")</f>
        <v>10.1037/0096-3445.108.4.441</v>
      </c>
      <c r="B2317" s="442" t="str">
        <f>IFERROR(__xludf.DUMMYFUNCTION("""COMPUTED_VALUE"""),"https://drive.google.com/file/d/1JLBmwX7nNKGn-P26gO4q3MKf3Xxhf5mp/view?usp=drivesdk")</f>
        <v>https://drive.google.com/file/d/1JLBmwX7nNKGn-P26gO4q3MKf3Xxhf5mp/view?usp=drivesdk</v>
      </c>
      <c r="C2317" s="336" t="str">
        <f>IFERROR(__xludf.DUMMYFUNCTION("""COMPUTED_VALUE"""),"10.1037--0096-3445.108.4.441.pdf")</f>
        <v>10.1037--0096-3445.108.4.441.pdf</v>
      </c>
      <c r="D2317" s="156" t="str">
        <f>IFERROR(__xludf.DUMMYFUNCTION("""COMPUTED_VALUE"""),"application/pdf")</f>
        <v>application/pdf</v>
      </c>
    </row>
    <row r="2318">
      <c r="A2318" s="336" t="str">
        <f>IFERROR(__xludf.DUMMYFUNCTION("""COMPUTED_VALUE"""),"10.3758/s13414-019-01723-6")</f>
        <v>10.3758/s13414-019-01723-6</v>
      </c>
      <c r="B2318" s="442" t="str">
        <f>IFERROR(__xludf.DUMMYFUNCTION("""COMPUTED_VALUE"""),"https://drive.google.com/file/d/1tdE0c4oVWthHVrM1fRU9Hx8d8vQz1-mn/view?usp=drivesdk")</f>
        <v>https://drive.google.com/file/d/1tdE0c4oVWthHVrM1fRU9Hx8d8vQz1-mn/view?usp=drivesdk</v>
      </c>
      <c r="C2318" s="336" t="str">
        <f>IFERROR(__xludf.DUMMYFUNCTION("""COMPUTED_VALUE"""),"10.3758--s13414-019-01723-6.pdf")</f>
        <v>10.3758--s13414-019-01723-6.pdf</v>
      </c>
      <c r="D2318" s="156" t="str">
        <f>IFERROR(__xludf.DUMMYFUNCTION("""COMPUTED_VALUE"""),"application/pdf")</f>
        <v>application/pdf</v>
      </c>
    </row>
    <row r="2319">
      <c r="A2319" s="336" t="str">
        <f>IFERROR(__xludf.DUMMYFUNCTION("""COMPUTED_VALUE"""),"10.3758/bf03203267")</f>
        <v>10.3758/bf03203267</v>
      </c>
      <c r="B2319" s="442" t="str">
        <f>IFERROR(__xludf.DUMMYFUNCTION("""COMPUTED_VALUE"""),"https://drive.google.com/file/d/1lGZVI4TT62Hxc9KRIEpXgT3z3fk0_z2T/view?usp=drivesdk")</f>
        <v>https://drive.google.com/file/d/1lGZVI4TT62Hxc9KRIEpXgT3z3fk0_z2T/view?usp=drivesdk</v>
      </c>
      <c r="C2319" s="336" t="str">
        <f>IFERROR(__xludf.DUMMYFUNCTION("""COMPUTED_VALUE"""),"10.3758--BF03203267.pdf")</f>
        <v>10.3758--BF03203267.pdf</v>
      </c>
      <c r="D2319" s="156" t="str">
        <f>IFERROR(__xludf.DUMMYFUNCTION("""COMPUTED_VALUE"""),"application/pdf")</f>
        <v>application/pdf</v>
      </c>
    </row>
    <row r="2320">
      <c r="A2320" s="336" t="str">
        <f>IFERROR(__xludf.DUMMYFUNCTION("""COMPUTED_VALUE"""),"10.3758/bf03198377")</f>
        <v>10.3758/bf03198377</v>
      </c>
      <c r="B2320" s="442" t="str">
        <f>IFERROR(__xludf.DUMMYFUNCTION("""COMPUTED_VALUE"""),"https://drive.google.com/file/d/1VKbr5pxUdj683_XHIlCKoFwz-29rSMXQ/view?usp=drivesdk")</f>
        <v>https://drive.google.com/file/d/1VKbr5pxUdj683_XHIlCKoFwz-29rSMXQ/view?usp=drivesdk</v>
      </c>
      <c r="C2320" s="336" t="str">
        <f>IFERROR(__xludf.DUMMYFUNCTION("""COMPUTED_VALUE"""),"10.3758--BF03198377.pdf")</f>
        <v>10.3758--BF03198377.pdf</v>
      </c>
      <c r="D2320" s="156" t="str">
        <f>IFERROR(__xludf.DUMMYFUNCTION("""COMPUTED_VALUE"""),"application/pdf")</f>
        <v>application/pdf</v>
      </c>
    </row>
    <row r="2321">
      <c r="A2321" s="336" t="str">
        <f>IFERROR(__xludf.DUMMYFUNCTION("""COMPUTED_VALUE"""),"10.3758/bf03197186")</f>
        <v>10.3758/bf03197186</v>
      </c>
      <c r="B2321" s="442" t="str">
        <f>IFERROR(__xludf.DUMMYFUNCTION("""COMPUTED_VALUE"""),"https://drive.google.com/file/d/1zxOGnn13MnFttT3gypM4oZgoIrIXa8ts/view?usp=drivesdk")</f>
        <v>https://drive.google.com/file/d/1zxOGnn13MnFttT3gypM4oZgoIrIXa8ts/view?usp=drivesdk</v>
      </c>
      <c r="C2321" s="336" t="str">
        <f>IFERROR(__xludf.DUMMYFUNCTION("""COMPUTED_VALUE"""),"10.3758--BF03197186.pdf")</f>
        <v>10.3758--BF03197186.pdf</v>
      </c>
      <c r="D2321" s="156" t="str">
        <f>IFERROR(__xludf.DUMMYFUNCTION("""COMPUTED_VALUE"""),"application/pdf")</f>
        <v>application/pdf</v>
      </c>
    </row>
    <row r="2322">
      <c r="A2322" s="336" t="str">
        <f>IFERROR(__xludf.DUMMYFUNCTION("""COMPUTED_VALUE"""),"10.3758/bf03196313")</f>
        <v>10.3758/bf03196313</v>
      </c>
      <c r="B2322" s="442" t="str">
        <f>IFERROR(__xludf.DUMMYFUNCTION("""COMPUTED_VALUE"""),"https://drive.google.com/file/d/1a1lUlk42gIQYcLhUt5t0G_RLi9u-460d/view?usp=drivesdk")</f>
        <v>https://drive.google.com/file/d/1a1lUlk42gIQYcLhUt5t0G_RLi9u-460d/view?usp=drivesdk</v>
      </c>
      <c r="C2322" s="336" t="str">
        <f>IFERROR(__xludf.DUMMYFUNCTION("""COMPUTED_VALUE"""),"10.3758--BF03196313.pdf")</f>
        <v>10.3758--BF03196313.pdf</v>
      </c>
      <c r="D2322" s="156" t="str">
        <f>IFERROR(__xludf.DUMMYFUNCTION("""COMPUTED_VALUE"""),"application/pdf")</f>
        <v>application/pdf</v>
      </c>
    </row>
    <row r="2323">
      <c r="A2323" s="336" t="str">
        <f>IFERROR(__xludf.DUMMYFUNCTION("""COMPUTED_VALUE"""),"10.3389/fpsyg.2015.00335")</f>
        <v>10.3389/fpsyg.2015.00335</v>
      </c>
      <c r="B2323" s="442" t="str">
        <f>IFERROR(__xludf.DUMMYFUNCTION("""COMPUTED_VALUE"""),"https://drive.google.com/file/d/1xrut3UwaTqtTgH6ZPERdwikqTF1K9Y3S/view?usp=drivesdk")</f>
        <v>https://drive.google.com/file/d/1xrut3UwaTqtTgH6ZPERdwikqTF1K9Y3S/view?usp=drivesdk</v>
      </c>
      <c r="C2323" s="336" t="str">
        <f>IFERROR(__xludf.DUMMYFUNCTION("""COMPUTED_VALUE"""),"10.3389--fpsyg.2015.00335.pdf")</f>
        <v>10.3389--fpsyg.2015.00335.pdf</v>
      </c>
      <c r="D2323" s="156" t="str">
        <f>IFERROR(__xludf.DUMMYFUNCTION("""COMPUTED_VALUE"""),"application/pdf")</f>
        <v>application/pdf</v>
      </c>
    </row>
    <row r="2324">
      <c r="A2324" s="336" t="str">
        <f>IFERROR(__xludf.DUMMYFUNCTION("""COMPUTED_VALUE"""),"10.3389/fpsyg.2014.01276")</f>
        <v>10.3389/fpsyg.2014.01276</v>
      </c>
      <c r="B2324" s="442" t="str">
        <f>IFERROR(__xludf.DUMMYFUNCTION("""COMPUTED_VALUE"""),"https://drive.google.com/file/d/1CSCUNAQZCt3s32RgzUwXe6pe5scvK0yY/view?usp=drivesdk")</f>
        <v>https://drive.google.com/file/d/1CSCUNAQZCt3s32RgzUwXe6pe5scvK0yY/view?usp=drivesdk</v>
      </c>
      <c r="C2324" s="336" t="str">
        <f>IFERROR(__xludf.DUMMYFUNCTION("""COMPUTED_VALUE"""),"10.3389--fpsyg.2014.01276.pdf")</f>
        <v>10.3389--fpsyg.2014.01276.pdf</v>
      </c>
      <c r="D2324" s="156" t="str">
        <f>IFERROR(__xludf.DUMMYFUNCTION("""COMPUTED_VALUE"""),"application/pdf")</f>
        <v>application/pdf</v>
      </c>
    </row>
    <row r="2325">
      <c r="A2325" s="336" t="str">
        <f>IFERROR(__xludf.DUMMYFUNCTION("""COMPUTED_VALUE"""),"10.3389/fpsyg.2014.00378")</f>
        <v>10.3389/fpsyg.2014.00378</v>
      </c>
      <c r="B2325" s="442" t="str">
        <f>IFERROR(__xludf.DUMMYFUNCTION("""COMPUTED_VALUE"""),"https://drive.google.com/file/d/1cflioA5Qw5Sj6UkXFjuzZ2STJ0e1v6Gz/view?usp=drivesdk")</f>
        <v>https://drive.google.com/file/d/1cflioA5Qw5Sj6UkXFjuzZ2STJ0e1v6Gz/view?usp=drivesdk</v>
      </c>
      <c r="C2325" s="336" t="str">
        <f>IFERROR(__xludf.DUMMYFUNCTION("""COMPUTED_VALUE"""),"10.3389--fpsyg.2014.00378.pdf")</f>
        <v>10.3389--fpsyg.2014.00378.pdf</v>
      </c>
      <c r="D2325" s="156" t="str">
        <f>IFERROR(__xludf.DUMMYFUNCTION("""COMPUTED_VALUE"""),"application/pdf")</f>
        <v>application/pdf</v>
      </c>
    </row>
    <row r="2326">
      <c r="A2326" s="336" t="str">
        <f>IFERROR(__xludf.DUMMYFUNCTION("""COMPUTED_VALUE"""),"10.3389/fped.2019.00206")</f>
        <v>10.3389/fped.2019.00206</v>
      </c>
      <c r="B2326" s="442" t="str">
        <f>IFERROR(__xludf.DUMMYFUNCTION("""COMPUTED_VALUE"""),"https://drive.google.com/file/d/1UEfsbEURhIs10uMTifQAssGeEJtFUKKx/view?usp=drivesdk")</f>
        <v>https://drive.google.com/file/d/1UEfsbEURhIs10uMTifQAssGeEJtFUKKx/view?usp=drivesdk</v>
      </c>
      <c r="C2326" s="336" t="str">
        <f>IFERROR(__xludf.DUMMYFUNCTION("""COMPUTED_VALUE"""),"10.3389--fped.2019.00206.pdf")</f>
        <v>10.3389--fped.2019.00206.pdf</v>
      </c>
      <c r="D2326" s="156" t="str">
        <f>IFERROR(__xludf.DUMMYFUNCTION("""COMPUTED_VALUE"""),"application/pdf")</f>
        <v>application/pdf</v>
      </c>
    </row>
    <row r="2327">
      <c r="A2327" s="336" t="str">
        <f>IFERROR(__xludf.DUMMYFUNCTION("""COMPUTED_VALUE"""),"10.1287/mnsc.2019.3362")</f>
        <v>10.1287/mnsc.2019.3362</v>
      </c>
      <c r="B2327" s="442" t="str">
        <f>IFERROR(__xludf.DUMMYFUNCTION("""COMPUTED_VALUE"""),"https://drive.google.com/file/d/1St2O5UfYoWXX1n7crfXuAdRXy1k6nYoo/view?usp=drivesdk")</f>
        <v>https://drive.google.com/file/d/1St2O5UfYoWXX1n7crfXuAdRXy1k6nYoo/view?usp=drivesdk</v>
      </c>
      <c r="C2327" s="336" t="str">
        <f>IFERROR(__xludf.DUMMYFUNCTION("""COMPUTED_VALUE"""),"10.1287--mnsc.2019.3362.pdf")</f>
        <v>10.1287--mnsc.2019.3362.pdf</v>
      </c>
      <c r="D2327" s="156" t="str">
        <f>IFERROR(__xludf.DUMMYFUNCTION("""COMPUTED_VALUE"""),"application/pdf")</f>
        <v>application/pdf</v>
      </c>
    </row>
    <row r="2328">
      <c r="A2328" s="336" t="str">
        <f>IFERROR(__xludf.DUMMYFUNCTION("""COMPUTED_VALUE"""),"10.1186/s40163-021-00141-0")</f>
        <v>10.1186/s40163-021-00141-0</v>
      </c>
      <c r="B2328" s="442" t="str">
        <f>IFERROR(__xludf.DUMMYFUNCTION("""COMPUTED_VALUE"""),"https://drive.google.com/file/d/1jpKVfN7bQV2qYmB0hMMFd61i7NfLKBWv/view?usp=drivesdk")</f>
        <v>https://drive.google.com/file/d/1jpKVfN7bQV2qYmB0hMMFd61i7NfLKBWv/view?usp=drivesdk</v>
      </c>
      <c r="C2328" s="336" t="str">
        <f>IFERROR(__xludf.DUMMYFUNCTION("""COMPUTED_VALUE"""),"10.1186--s40163-021-00141-0.pdf")</f>
        <v>10.1186--s40163-021-00141-0.pdf</v>
      </c>
      <c r="D2328" s="156" t="str">
        <f>IFERROR(__xludf.DUMMYFUNCTION("""COMPUTED_VALUE"""),"application/pdf")</f>
        <v>application/pdf</v>
      </c>
    </row>
    <row r="2329">
      <c r="A2329" s="336" t="str">
        <f>IFERROR(__xludf.DUMMYFUNCTION("""COMPUTED_VALUE"""),"10.1177/2515245920919667")</f>
        <v>10.1177/2515245920919667</v>
      </c>
      <c r="B2329" s="442" t="str">
        <f>IFERROR(__xludf.DUMMYFUNCTION("""COMPUTED_VALUE"""),"https://drive.google.com/file/d/1oIyrc3DheYw0taiflzQv_d41jqNrRjmb/view?usp=drivesdk")</f>
        <v>https://drive.google.com/file/d/1oIyrc3DheYw0taiflzQv_d41jqNrRjmb/view?usp=drivesdk</v>
      </c>
      <c r="C2329" s="336" t="str">
        <f>IFERROR(__xludf.DUMMYFUNCTION("""COMPUTED_VALUE"""),"10.1177--2515245920919667.pdf")</f>
        <v>10.1177--2515245920919667.pdf</v>
      </c>
      <c r="D2329" s="156" t="str">
        <f>IFERROR(__xludf.DUMMYFUNCTION("""COMPUTED_VALUE"""),"application/pdf")</f>
        <v>application/pdf</v>
      </c>
    </row>
    <row r="2330">
      <c r="A2330" s="336" t="str">
        <f>IFERROR(__xludf.DUMMYFUNCTION("""COMPUTED_VALUE"""),"10.1177/2515245918810225")</f>
        <v>10.1177/2515245918810225</v>
      </c>
      <c r="B2330" s="442" t="str">
        <f>IFERROR(__xludf.DUMMYFUNCTION("""COMPUTED_VALUE"""),"https://drive.google.com/file/d/1rGqHLpg3OEGQnWLvlAEJr7JSMWJ2p-Ar/view?usp=drivesdk")</f>
        <v>https://drive.google.com/file/d/1rGqHLpg3OEGQnWLvlAEJr7JSMWJ2p-Ar/view?usp=drivesdk</v>
      </c>
      <c r="C2330" s="336" t="str">
        <f>IFERROR(__xludf.DUMMYFUNCTION("""COMPUTED_VALUE"""),"10.1177--2515245918810225.pdf")</f>
        <v>10.1177--2515245918810225.pdf</v>
      </c>
      <c r="D2330" s="156" t="str">
        <f>IFERROR(__xludf.DUMMYFUNCTION("""COMPUTED_VALUE"""),"application/pdf")</f>
        <v>application/pdf</v>
      </c>
    </row>
    <row r="2331">
      <c r="A2331" s="336" t="str">
        <f>IFERROR(__xludf.DUMMYFUNCTION("""COMPUTED_VALUE"""),"10.1177/1948550619849426")</f>
        <v>10.1177/1948550619849426</v>
      </c>
      <c r="B2331" s="442" t="str">
        <f>IFERROR(__xludf.DUMMYFUNCTION("""COMPUTED_VALUE"""),"https://drive.google.com/file/d/14jCdpBA20GeEpZdlt1OEEDrVjc2kp6h7/view?usp=drivesdk")</f>
        <v>https://drive.google.com/file/d/14jCdpBA20GeEpZdlt1OEEDrVjc2kp6h7/view?usp=drivesdk</v>
      </c>
      <c r="C2331" s="336" t="str">
        <f>IFERROR(__xludf.DUMMYFUNCTION("""COMPUTED_VALUE"""),"10.1177--1948550619849426.pdf")</f>
        <v>10.1177--1948550619849426.pdf</v>
      </c>
      <c r="D2331" s="156" t="str">
        <f>IFERROR(__xludf.DUMMYFUNCTION("""COMPUTED_VALUE"""),"application/pdf")</f>
        <v>application/pdf</v>
      </c>
    </row>
    <row r="2332">
      <c r="A2332" s="336" t="str">
        <f>IFERROR(__xludf.DUMMYFUNCTION("""COMPUTED_VALUE"""),"10.1177/1948550619843931")</f>
        <v>10.1177/1948550619843931</v>
      </c>
      <c r="B2332" s="442" t="str">
        <f>IFERROR(__xludf.DUMMYFUNCTION("""COMPUTED_VALUE"""),"https://drive.google.com/file/d/1mJVZEGRuGEHvjJLpaIkoRcJuDNXnANgI/view?usp=drivesdk")</f>
        <v>https://drive.google.com/file/d/1mJVZEGRuGEHvjJLpaIkoRcJuDNXnANgI/view?usp=drivesdk</v>
      </c>
      <c r="C2332" s="336" t="str">
        <f>IFERROR(__xludf.DUMMYFUNCTION("""COMPUTED_VALUE"""),"10.1177--1948550619843931.pdf")</f>
        <v>10.1177--1948550619843931.pdf</v>
      </c>
      <c r="D2332" s="156" t="str">
        <f>IFERROR(__xludf.DUMMYFUNCTION("""COMPUTED_VALUE"""),"application/pdf")</f>
        <v>application/pdf</v>
      </c>
    </row>
    <row r="2333">
      <c r="A2333" s="336" t="str">
        <f>IFERROR(__xludf.DUMMYFUNCTION("""COMPUTED_VALUE"""),"10.1177/0956797618805750")</f>
        <v>10.1177/0956797618805750</v>
      </c>
      <c r="B2333" s="442" t="str">
        <f>IFERROR(__xludf.DUMMYFUNCTION("""COMPUTED_VALUE"""),"https://drive.google.com/file/d/1Z9cXGn_9cINuuX5drvoG0YLH4tFIjcZ7/view?usp=drivesdk")</f>
        <v>https://drive.google.com/file/d/1Z9cXGn_9cINuuX5drvoG0YLH4tFIjcZ7/view?usp=drivesdk</v>
      </c>
      <c r="C2333" s="336" t="str">
        <f>IFERROR(__xludf.DUMMYFUNCTION("""COMPUTED_VALUE"""),"10.1177--0956797618805750.pdf")</f>
        <v>10.1177--0956797618805750.pdf</v>
      </c>
      <c r="D2333" s="156" t="str">
        <f>IFERROR(__xludf.DUMMYFUNCTION("""COMPUTED_VALUE"""),"application/pdf")</f>
        <v>application/pdf</v>
      </c>
    </row>
    <row r="2334">
      <c r="A2334" s="336" t="str">
        <f>IFERROR(__xludf.DUMMYFUNCTION("""COMPUTED_VALUE"""),"10.1177/0956797618779061")</f>
        <v>10.1177/0956797618779061</v>
      </c>
      <c r="B2334" s="442" t="str">
        <f>IFERROR(__xludf.DUMMYFUNCTION("""COMPUTED_VALUE"""),"https://drive.google.com/file/d/1TVEae0arGcjXygxgVD8laFAM0LcnW7EM/view?usp=drivesdk")</f>
        <v>https://drive.google.com/file/d/1TVEae0arGcjXygxgVD8laFAM0LcnW7EM/view?usp=drivesdk</v>
      </c>
      <c r="C2334" s="336" t="str">
        <f>IFERROR(__xludf.DUMMYFUNCTION("""COMPUTED_VALUE"""),"10.1177--0956797618779061.pdf")</f>
        <v>10.1177--0956797618779061.pdf</v>
      </c>
      <c r="D2334" s="156" t="str">
        <f>IFERROR(__xludf.DUMMYFUNCTION("""COMPUTED_VALUE"""),"application/pdf")</f>
        <v>application/pdf</v>
      </c>
    </row>
    <row r="2335">
      <c r="A2335" s="336" t="str">
        <f>IFERROR(__xludf.DUMMYFUNCTION("""COMPUTED_VALUE"""),"10.1177/0956797611435919")</f>
        <v>10.1177/0956797611435919</v>
      </c>
      <c r="B2335" s="442" t="str">
        <f>IFERROR(__xludf.DUMMYFUNCTION("""COMPUTED_VALUE"""),"https://drive.google.com/file/d/1VcKqsyqYAl_exqLf4Zk_sKFNXaU3WlBH/view?usp=drivesdk")</f>
        <v>https://drive.google.com/file/d/1VcKqsyqYAl_exqLf4Zk_sKFNXaU3WlBH/view?usp=drivesdk</v>
      </c>
      <c r="C2335" s="336" t="str">
        <f>IFERROR(__xludf.DUMMYFUNCTION("""COMPUTED_VALUE"""),"10.1177--0956797611435919.pdf")</f>
        <v>10.1177--0956797611435919.pdf</v>
      </c>
      <c r="D2335" s="156" t="str">
        <f>IFERROR(__xludf.DUMMYFUNCTION("""COMPUTED_VALUE"""),"application/pdf")</f>
        <v>application/pdf</v>
      </c>
    </row>
    <row r="2336">
      <c r="A2336" s="336" t="str">
        <f>IFERROR(__xludf.DUMMYFUNCTION("""COMPUTED_VALUE"""),"10.1177/01461672211025423")</f>
        <v>10.1177/01461672211025423</v>
      </c>
      <c r="B2336" s="442" t="str">
        <f>IFERROR(__xludf.DUMMYFUNCTION("""COMPUTED_VALUE"""),"https://drive.google.com/file/d/1_Q49N573VFAV_0WagG-Wq7CeefQWtosH/view?usp=drivesdk")</f>
        <v>https://drive.google.com/file/d/1_Q49N573VFAV_0WagG-Wq7CeefQWtosH/view?usp=drivesdk</v>
      </c>
      <c r="C2336" s="336" t="str">
        <f>IFERROR(__xludf.DUMMYFUNCTION("""COMPUTED_VALUE"""),"10.1177--01461672211025423.pdf")</f>
        <v>10.1177--01461672211025423.pdf</v>
      </c>
      <c r="D2336" s="156" t="str">
        <f>IFERROR(__xludf.DUMMYFUNCTION("""COMPUTED_VALUE"""),"application/pdf")</f>
        <v>application/pdf</v>
      </c>
    </row>
    <row r="2337">
      <c r="A2337" s="336" t="str">
        <f>IFERROR(__xludf.DUMMYFUNCTION("""COMPUTED_VALUE"""),"10.1177/0146167220908389")</f>
        <v>10.1177/0146167220908389</v>
      </c>
      <c r="B2337" s="442" t="str">
        <f>IFERROR(__xludf.DUMMYFUNCTION("""COMPUTED_VALUE"""),"https://drive.google.com/file/d/1Z8QqX6BeYJ31sKxIZKBNg1LwDY6t3snO/view?usp=drivesdk")</f>
        <v>https://drive.google.com/file/d/1Z8QqX6BeYJ31sKxIZKBNg1LwDY6t3snO/view?usp=drivesdk</v>
      </c>
      <c r="C2337" s="336" t="str">
        <f>IFERROR(__xludf.DUMMYFUNCTION("""COMPUTED_VALUE"""),"10.1177--0146167220908389.pdf")</f>
        <v>10.1177--0146167220908389.pdf</v>
      </c>
      <c r="D2337" s="156" t="str">
        <f>IFERROR(__xludf.DUMMYFUNCTION("""COMPUTED_VALUE"""),"application/pdf")</f>
        <v>application/pdf</v>
      </c>
    </row>
    <row r="2338">
      <c r="A2338" s="336" t="str">
        <f>IFERROR(__xludf.DUMMYFUNCTION("""COMPUTED_VALUE"""),"10.1177/0093650215609676")</f>
        <v>10.1177/0093650215609676</v>
      </c>
      <c r="B2338" s="442" t="str">
        <f>IFERROR(__xludf.DUMMYFUNCTION("""COMPUTED_VALUE"""),"https://drive.google.com/file/d/1XTFfWFGSOorXaSHUTepn_NywZP0WRrna/view?usp=drivesdk")</f>
        <v>https://drive.google.com/file/d/1XTFfWFGSOorXaSHUTepn_NywZP0WRrna/view?usp=drivesdk</v>
      </c>
      <c r="C2338" s="336" t="str">
        <f>IFERROR(__xludf.DUMMYFUNCTION("""COMPUTED_VALUE"""),"10.1177--0093650215609676.pdf")</f>
        <v>10.1177--0093650215609676.pdf</v>
      </c>
      <c r="D2338" s="156" t="str">
        <f>IFERROR(__xludf.DUMMYFUNCTION("""COMPUTED_VALUE"""),"application/pdf")</f>
        <v>application/pdf</v>
      </c>
    </row>
    <row r="2339">
      <c r="A2339" s="336" t="str">
        <f>IFERROR(__xludf.DUMMYFUNCTION("""COMPUTED_VALUE"""),"10.1177/0022243720932532")</f>
        <v>10.1177/0022243720932532</v>
      </c>
      <c r="B2339" s="442" t="str">
        <f>IFERROR(__xludf.DUMMYFUNCTION("""COMPUTED_VALUE"""),"https://drive.google.com/file/d/1MOD_LiszrqtrS8ADK6fAq6j9ju8s4Owd/view?usp=drivesdk")</f>
        <v>https://drive.google.com/file/d/1MOD_LiszrqtrS8ADK6fAq6j9ju8s4Owd/view?usp=drivesdk</v>
      </c>
      <c r="C2339" s="336" t="str">
        <f>IFERROR(__xludf.DUMMYFUNCTION("""COMPUTED_VALUE"""),"10.1177--0022243720932532.pdf")</f>
        <v>10.1177--0022243720932532.pdf</v>
      </c>
      <c r="D2339" s="156" t="str">
        <f>IFERROR(__xludf.DUMMYFUNCTION("""COMPUTED_VALUE"""),"application/pdf")</f>
        <v>application/pdf</v>
      </c>
    </row>
    <row r="2340">
      <c r="A2340" s="336" t="str">
        <f>IFERROR(__xludf.DUMMYFUNCTION("""COMPUTED_VALUE"""),"10.1177/0022243720904758")</f>
        <v>10.1177/0022243720904758</v>
      </c>
      <c r="B2340" s="442" t="str">
        <f>IFERROR(__xludf.DUMMYFUNCTION("""COMPUTED_VALUE"""),"https://drive.google.com/file/d/1dAqnDNRhaQ6sjRhO40O2fp3yaLbqJIli/view?usp=drivesdk")</f>
        <v>https://drive.google.com/file/d/1dAqnDNRhaQ6sjRhO40O2fp3yaLbqJIli/view?usp=drivesdk</v>
      </c>
      <c r="C2340" s="336" t="str">
        <f>IFERROR(__xludf.DUMMYFUNCTION("""COMPUTED_VALUE"""),"10.1177--0022243720904758.pdf")</f>
        <v>10.1177--0022243720904758.pdf</v>
      </c>
      <c r="D2340" s="156" t="str">
        <f>IFERROR(__xludf.DUMMYFUNCTION("""COMPUTED_VALUE"""),"application/pdf")</f>
        <v>application/pdf</v>
      </c>
    </row>
    <row r="2341">
      <c r="A2341" s="336" t="str">
        <f>IFERROR(__xludf.DUMMYFUNCTION("""COMPUTED_VALUE"""),"10.1177/0022243718813544")</f>
        <v>10.1177/0022243718813544</v>
      </c>
      <c r="B2341" s="442" t="str">
        <f>IFERROR(__xludf.DUMMYFUNCTION("""COMPUTED_VALUE"""),"https://drive.google.com/file/d/13a9vBHGI6SG76QMpDyvnIcBH20qNsto2/view?usp=drivesdk")</f>
        <v>https://drive.google.com/file/d/13a9vBHGI6SG76QMpDyvnIcBH20qNsto2/view?usp=drivesdk</v>
      </c>
      <c r="C2341" s="336" t="str">
        <f>IFERROR(__xludf.DUMMYFUNCTION("""COMPUTED_VALUE"""),"10.1177--0022243718813544.pdf")</f>
        <v>10.1177--0022243718813544.pdf</v>
      </c>
      <c r="D2341" s="156" t="str">
        <f>IFERROR(__xludf.DUMMYFUNCTION("""COMPUTED_VALUE"""),"application/pdf")</f>
        <v>application/pdf</v>
      </c>
    </row>
    <row r="2342">
      <c r="A2342" s="336" t="str">
        <f>IFERROR(__xludf.DUMMYFUNCTION("""COMPUTED_VALUE"""),"10.1177/002224298204600109")</f>
        <v>10.1177/002224298204600109</v>
      </c>
      <c r="B2342" s="442" t="str">
        <f>IFERROR(__xludf.DUMMYFUNCTION("""COMPUTED_VALUE"""),"https://drive.google.com/file/d/1MlLDH_QC-oyJlNsYjSNEwCrfC2Y9mK6Y/view?usp=drivesdk")</f>
        <v>https://drive.google.com/file/d/1MlLDH_QC-oyJlNsYjSNEwCrfC2Y9mK6Y/view?usp=drivesdk</v>
      </c>
      <c r="C2342" s="336" t="str">
        <f>IFERROR(__xludf.DUMMYFUNCTION("""COMPUTED_VALUE"""),"10.1177--002224298204600109.pdf")</f>
        <v>10.1177--002224298204600109.pdf</v>
      </c>
      <c r="D2342" s="156" t="str">
        <f>IFERROR(__xludf.DUMMYFUNCTION("""COMPUTED_VALUE"""),"application/pdf")</f>
        <v>application/pdf</v>
      </c>
    </row>
    <row r="2343">
      <c r="A2343" s="336" t="str">
        <f>IFERROR(__xludf.DUMMYFUNCTION("""COMPUTED_VALUE"""),"10.1177/0022002793037003004")</f>
        <v>10.1177/0022002793037003004</v>
      </c>
      <c r="B2343" s="442" t="str">
        <f>IFERROR(__xludf.DUMMYFUNCTION("""COMPUTED_VALUE"""),"https://drive.google.com/file/d/1AJ_9VVIBkWOhrIbyTF4e9U5GJriLhVYy/view?usp=drivesdk")</f>
        <v>https://drive.google.com/file/d/1AJ_9VVIBkWOhrIbyTF4e9U5GJriLhVYy/view?usp=drivesdk</v>
      </c>
      <c r="C2343" s="336" t="str">
        <f>IFERROR(__xludf.DUMMYFUNCTION("""COMPUTED_VALUE"""),"10.1177--0022002793037003004.pdf")</f>
        <v>10.1177--0022002793037003004.pdf</v>
      </c>
      <c r="D2343" s="156" t="str">
        <f>IFERROR(__xludf.DUMMYFUNCTION("""COMPUTED_VALUE"""),"application/pdf")</f>
        <v>application/pdf</v>
      </c>
    </row>
    <row r="2344">
      <c r="A2344" s="336" t="str">
        <f>IFERROR(__xludf.DUMMYFUNCTION("""COMPUTED_VALUE"""),"10.1177/0001839219840022")</f>
        <v>10.1177/0001839219840022</v>
      </c>
      <c r="B2344" s="442" t="str">
        <f>IFERROR(__xludf.DUMMYFUNCTION("""COMPUTED_VALUE"""),"https://drive.google.com/file/d/1gbKPV2rhuEZ5YY7sLWcOmdMsnKF1lOwO/view?usp=drivesdk")</f>
        <v>https://drive.google.com/file/d/1gbKPV2rhuEZ5YY7sLWcOmdMsnKF1lOwO/view?usp=drivesdk</v>
      </c>
      <c r="C2344" s="336" t="str">
        <f>IFERROR(__xludf.DUMMYFUNCTION("""COMPUTED_VALUE"""),"10.1177--0001839219840022.pdf")</f>
        <v>10.1177--0001839219840022.pdf</v>
      </c>
      <c r="D2344" s="156" t="str">
        <f>IFERROR(__xludf.DUMMYFUNCTION("""COMPUTED_VALUE"""),"application/pdf")</f>
        <v>application/pdf</v>
      </c>
    </row>
    <row r="2345">
      <c r="A2345" s="336" t="str">
        <f>IFERROR(__xludf.DUMMYFUNCTION("""COMPUTED_VALUE"""),"10.1163/156853706776931385")</f>
        <v>10.1163/156853706776931385</v>
      </c>
      <c r="B2345" s="442" t="str">
        <f>IFERROR(__xludf.DUMMYFUNCTION("""COMPUTED_VALUE"""),"https://drive.google.com/file/d/1XAdHa8ntbQreOrtrubV-Qgfz8m_7szBt/view?usp=drivesdk")</f>
        <v>https://drive.google.com/file/d/1XAdHa8ntbQreOrtrubV-Qgfz8m_7szBt/view?usp=drivesdk</v>
      </c>
      <c r="C2345" s="336" t="str">
        <f>IFERROR(__xludf.DUMMYFUNCTION("""COMPUTED_VALUE"""),"10.1163--156853706776931385.pdf")</f>
        <v>10.1163--156853706776931385.pdf</v>
      </c>
      <c r="D2345" s="156" t="str">
        <f>IFERROR(__xludf.DUMMYFUNCTION("""COMPUTED_VALUE"""),"application/pdf")</f>
        <v>application/pdf</v>
      </c>
    </row>
    <row r="2346">
      <c r="A2346" s="336" t="str">
        <f>IFERROR(__xludf.DUMMYFUNCTION("""COMPUTED_VALUE"""),"10.1163/156853706776931222")</f>
        <v>10.1163/156853706776931222</v>
      </c>
      <c r="B2346" s="442" t="str">
        <f>IFERROR(__xludf.DUMMYFUNCTION("""COMPUTED_VALUE"""),"https://drive.google.com/file/d/1_KweoGhNrt_00Umu1vsjHfibTm4z9cNE/view?usp=drivesdk")</f>
        <v>https://drive.google.com/file/d/1_KweoGhNrt_00Umu1vsjHfibTm4z9cNE/view?usp=drivesdk</v>
      </c>
      <c r="C2346" s="336" t="str">
        <f>IFERROR(__xludf.DUMMYFUNCTION("""COMPUTED_VALUE"""),"10.1163--156853706776931222.pdf")</f>
        <v>10.1163--156853706776931222.pdf</v>
      </c>
      <c r="D2346" s="156" t="str">
        <f>IFERROR(__xludf.DUMMYFUNCTION("""COMPUTED_VALUE"""),"application/pdf")</f>
        <v>application/pdf</v>
      </c>
    </row>
    <row r="2347">
      <c r="A2347" s="336" t="str">
        <f>IFERROR(__xludf.DUMMYFUNCTION("""COMPUTED_VALUE"""),"10.1162/rest_a_00694")</f>
        <v>10.1162/rest_a_00694</v>
      </c>
      <c r="B2347" s="442" t="str">
        <f>IFERROR(__xludf.DUMMYFUNCTION("""COMPUTED_VALUE"""),"https://drive.google.com/file/d/1QlUnrKvG2byRPDlFFsCbdysV_7ZkCkzf/view?usp=drivesdk")</f>
        <v>https://drive.google.com/file/d/1QlUnrKvG2byRPDlFFsCbdysV_7ZkCkzf/view?usp=drivesdk</v>
      </c>
      <c r="C2347" s="336" t="str">
        <f>IFERROR(__xludf.DUMMYFUNCTION("""COMPUTED_VALUE"""),"10.1162--REST_a_00694.pdf")</f>
        <v>10.1162--REST_a_00694.pdf</v>
      </c>
      <c r="D2347" s="156" t="str">
        <f>IFERROR(__xludf.DUMMYFUNCTION("""COMPUTED_VALUE"""),"application/pdf")</f>
        <v>application/pdf</v>
      </c>
    </row>
    <row r="2348">
      <c r="A2348" s="336" t="str">
        <f>IFERROR(__xludf.DUMMYFUNCTION("""COMPUTED_VALUE"""),"10.1162/089892900562219")</f>
        <v>10.1162/089892900562219</v>
      </c>
      <c r="B2348" s="442" t="str">
        <f>IFERROR(__xludf.DUMMYFUNCTION("""COMPUTED_VALUE"""),"https://drive.google.com/file/d/1ExZ7juOSUgumoSt5vCuDEvgISB_mT9vX/view?usp=drivesdk")</f>
        <v>https://drive.google.com/file/d/1ExZ7juOSUgumoSt5vCuDEvgISB_mT9vX/view?usp=drivesdk</v>
      </c>
      <c r="C2348" s="336" t="str">
        <f>IFERROR(__xludf.DUMMYFUNCTION("""COMPUTED_VALUE"""),"10.1162--089892900562219.pdf")</f>
        <v>10.1162--089892900562219.pdf</v>
      </c>
      <c r="D2348" s="156" t="str">
        <f>IFERROR(__xludf.DUMMYFUNCTION("""COMPUTED_VALUE"""),"application/pdf")</f>
        <v>application/pdf</v>
      </c>
    </row>
    <row r="2349">
      <c r="A2349" s="336" t="str">
        <f>IFERROR(__xludf.DUMMYFUNCTION("""COMPUTED_VALUE"""),"10.1152/japplphysiol.91324.2008")</f>
        <v>10.1152/japplphysiol.91324.2008</v>
      </c>
      <c r="B2349" s="442" t="str">
        <f>IFERROR(__xludf.DUMMYFUNCTION("""COMPUTED_VALUE"""),"https://drive.google.com/file/d/1jS6-wcsNs2BINT3z4pARWRtZLYGXCQno/view?usp=drivesdk")</f>
        <v>https://drive.google.com/file/d/1jS6-wcsNs2BINT3z4pARWRtZLYGXCQno/view?usp=drivesdk</v>
      </c>
      <c r="C2349" s="336" t="str">
        <f>IFERROR(__xludf.DUMMYFUNCTION("""COMPUTED_VALUE"""),"10.1152--japplphysiol.91324.2008.pdf")</f>
        <v>10.1152--japplphysiol.91324.2008.pdf</v>
      </c>
      <c r="D2349" s="156" t="str">
        <f>IFERROR(__xludf.DUMMYFUNCTION("""COMPUTED_VALUE"""),"application/pdf")</f>
        <v>application/pdf</v>
      </c>
    </row>
    <row r="2350">
      <c r="A2350" s="336" t="str">
        <f>IFERROR(__xludf.DUMMYFUNCTION("""COMPUTED_VALUE"""),"10.1145/3290605.3300469")</f>
        <v>10.1145/3290605.3300469</v>
      </c>
      <c r="B2350" s="442" t="str">
        <f>IFERROR(__xludf.DUMMYFUNCTION("""COMPUTED_VALUE"""),"https://drive.google.com/file/d/1lOqUFhZvkowPd-Ne3aczCZ30vQ08jqm-/view?usp=drivesdk")</f>
        <v>https://drive.google.com/file/d/1lOqUFhZvkowPd-Ne3aczCZ30vQ08jqm-/view?usp=drivesdk</v>
      </c>
      <c r="C2350" s="336" t="str">
        <f>IFERROR(__xludf.DUMMYFUNCTION("""COMPUTED_VALUE"""),"10.1145--3290605.3300469.pdf")</f>
        <v>10.1145--3290605.3300469.pdf</v>
      </c>
      <c r="D2350" s="156" t="str">
        <f>IFERROR(__xludf.DUMMYFUNCTION("""COMPUTED_VALUE"""),"application/pdf")</f>
        <v>application/pdf</v>
      </c>
    </row>
    <row r="2351">
      <c r="A2351" s="336" t="str">
        <f>IFERROR(__xludf.DUMMYFUNCTION("""COMPUTED_VALUE"""),"10.1145/3173574.3174188")</f>
        <v>10.1145/3173574.3174188</v>
      </c>
      <c r="B2351" s="442" t="str">
        <f>IFERROR(__xludf.DUMMYFUNCTION("""COMPUTED_VALUE"""),"https://drive.google.com/file/d/12yIYc8a3z4MzJ_-PiAeu39d1ppwYynMI/view?usp=drivesdk")</f>
        <v>https://drive.google.com/file/d/12yIYc8a3z4MzJ_-PiAeu39d1ppwYynMI/view?usp=drivesdk</v>
      </c>
      <c r="C2351" s="336" t="str">
        <f>IFERROR(__xludf.DUMMYFUNCTION("""COMPUTED_VALUE"""),"10.1145--3173574.3174188.pdf")</f>
        <v>10.1145--3173574.3174188.pdf</v>
      </c>
      <c r="D2351" s="156" t="str">
        <f>IFERROR(__xludf.DUMMYFUNCTION("""COMPUTED_VALUE"""),"application/pdf")</f>
        <v>application/pdf</v>
      </c>
    </row>
    <row r="2352">
      <c r="A2352" s="336" t="str">
        <f>IFERROR(__xludf.DUMMYFUNCTION("""COMPUTED_VALUE"""),"10.1145/2470654.2481281")</f>
        <v>10.1145/2470654.2481281</v>
      </c>
      <c r="B2352" s="442" t="str">
        <f>IFERROR(__xludf.DUMMYFUNCTION("""COMPUTED_VALUE"""),"https://drive.google.com/file/d/1gQEP5IJLffmqgeBD8cJqZD1njhiICXaO/view?usp=drivesdk")</f>
        <v>https://drive.google.com/file/d/1gQEP5IJLffmqgeBD8cJqZD1njhiICXaO/view?usp=drivesdk</v>
      </c>
      <c r="C2352" s="336" t="str">
        <f>IFERROR(__xludf.DUMMYFUNCTION("""COMPUTED_VALUE"""),"10.1145--2470654.2481281.pdf")</f>
        <v>10.1145--2470654.2481281.pdf</v>
      </c>
      <c r="D2352" s="156" t="str">
        <f>IFERROR(__xludf.DUMMYFUNCTION("""COMPUTED_VALUE"""),"application/pdf")</f>
        <v>application/pdf</v>
      </c>
    </row>
    <row r="2353">
      <c r="A2353" s="336" t="str">
        <f>IFERROR(__xludf.DUMMYFUNCTION("""COMPUTED_VALUE"""),"10.1126/science.2296719")</f>
        <v>10.1126/science.2296719</v>
      </c>
      <c r="B2353" s="442" t="str">
        <f>IFERROR(__xludf.DUMMYFUNCTION("""COMPUTED_VALUE"""),"https://drive.google.com/file/d/1aw1deRdv2_brwSW2ZZ7DG8T0vbU0PYNX/view?usp=drivesdk")</f>
        <v>https://drive.google.com/file/d/1aw1deRdv2_brwSW2ZZ7DG8T0vbU0PYNX/view?usp=drivesdk</v>
      </c>
      <c r="C2353" s="336" t="str">
        <f>IFERROR(__xludf.DUMMYFUNCTION("""COMPUTED_VALUE"""),"10.1126--science.2296719.pdf")</f>
        <v>10.1126--science.2296719.pdf</v>
      </c>
      <c r="D2353" s="156" t="str">
        <f>IFERROR(__xludf.DUMMYFUNCTION("""COMPUTED_VALUE"""),"application/pdf")</f>
        <v>application/pdf</v>
      </c>
    </row>
    <row r="2354">
      <c r="A2354" s="336" t="str">
        <f>IFERROR(__xludf.DUMMYFUNCTION("""COMPUTED_VALUE"""),"10.1126/science.185.4157.1124")</f>
        <v>10.1126/science.185.4157.1124</v>
      </c>
      <c r="B2354" s="442" t="str">
        <f>IFERROR(__xludf.DUMMYFUNCTION("""COMPUTED_VALUE"""),"https://drive.google.com/file/d/1kwCznuTuMe4F8uergcBMCOeb45jEuXTr/view?usp=drivesdk")</f>
        <v>https://drive.google.com/file/d/1kwCznuTuMe4F8uergcBMCOeb45jEuXTr/view?usp=drivesdk</v>
      </c>
      <c r="C2354" s="336" t="str">
        <f>IFERROR(__xludf.DUMMYFUNCTION("""COMPUTED_VALUE"""),"10.1126--science.185.4157.1124.pdf")</f>
        <v>10.1126--science.185.4157.1124.pdf</v>
      </c>
      <c r="D2354" s="156" t="str">
        <f>IFERROR(__xludf.DUMMYFUNCTION("""COMPUTED_VALUE"""),"application/pdf")</f>
        <v>application/pdf</v>
      </c>
    </row>
    <row r="2355">
      <c r="A2355" s="336" t="str">
        <f>IFERROR(__xludf.DUMMYFUNCTION("""COMPUTED_VALUE"""),"10.1126/science.148.3670.661")</f>
        <v>10.1126/science.148.3670.661</v>
      </c>
      <c r="B2355" s="442" t="str">
        <f>IFERROR(__xludf.DUMMYFUNCTION("""COMPUTED_VALUE"""),"https://drive.google.com/file/d/1LtoTK2zHVIYGFfb_cXHLXLWkOHpGikA0/view?usp=drivesdk")</f>
        <v>https://drive.google.com/file/d/1LtoTK2zHVIYGFfb_cXHLXLWkOHpGikA0/view?usp=drivesdk</v>
      </c>
      <c r="C2355" s="336" t="str">
        <f>IFERROR(__xludf.DUMMYFUNCTION("""COMPUTED_VALUE"""),"10.1126--science.148.3670.661.pdf")</f>
        <v>10.1126--science.148.3670.661.pdf</v>
      </c>
      <c r="D2355" s="156" t="str">
        <f>IFERROR(__xludf.DUMMYFUNCTION("""COMPUTED_VALUE"""),"application/pdf")</f>
        <v>application/pdf</v>
      </c>
    </row>
    <row r="2356">
      <c r="A2356" s="336" t="str">
        <f>IFERROR(__xludf.DUMMYFUNCTION("""COMPUTED_VALUE"""),"10.1126/science.1253932")</f>
        <v>10.1126/science.1253932</v>
      </c>
      <c r="B2356" s="442" t="str">
        <f>IFERROR(__xludf.DUMMYFUNCTION("""COMPUTED_VALUE"""),"https://drive.google.com/file/d/1u3UeZsgg-pu1ZHEEX1uaXHGyGnnbQIHr/view?usp=drivesdk")</f>
        <v>https://drive.google.com/file/d/1u3UeZsgg-pu1ZHEEX1uaXHGyGnnbQIHr/view?usp=drivesdk</v>
      </c>
      <c r="C2356" s="336" t="str">
        <f>IFERROR(__xludf.DUMMYFUNCTION("""COMPUTED_VALUE"""),"10.1126--science.1253932.pdf")</f>
        <v>10.1126--science.1253932.pdf</v>
      </c>
      <c r="D2356" s="156" t="str">
        <f>IFERROR(__xludf.DUMMYFUNCTION("""COMPUTED_VALUE"""),"application/pdf")</f>
        <v>application/pdf</v>
      </c>
    </row>
    <row r="2357">
      <c r="A2357" s="336" t="str">
        <f>IFERROR(__xludf.DUMMYFUNCTION("""COMPUTED_VALUE"""),"10.1126/science.1250830")</f>
        <v>10.1126/science.1250830</v>
      </c>
      <c r="B2357" s="442" t="str">
        <f>IFERROR(__xludf.DUMMYFUNCTION("""COMPUTED_VALUE"""),"https://drive.google.com/file/d/164yvRbDzBp4QTOt60ne0zLFnKfzz6qWW/view?usp=drivesdk")</f>
        <v>https://drive.google.com/file/d/164yvRbDzBp4QTOt60ne0zLFnKfzz6qWW/view?usp=drivesdk</v>
      </c>
      <c r="C2357" s="336" t="str">
        <f>IFERROR(__xludf.DUMMYFUNCTION("""COMPUTED_VALUE"""),"10.1126--science.1250830.pdf")</f>
        <v>10.1126--science.1250830.pdf</v>
      </c>
      <c r="D2357" s="156" t="str">
        <f>IFERROR(__xludf.DUMMYFUNCTION("""COMPUTED_VALUE"""),"application/pdf")</f>
        <v>application/pdf</v>
      </c>
    </row>
    <row r="2358">
      <c r="A2358" s="336" t="str">
        <f>IFERROR(__xludf.DUMMYFUNCTION("""COMPUTED_VALUE"""),"10.1126/science.1238041")</f>
        <v>10.1126/science.1238041</v>
      </c>
      <c r="B2358" s="442" t="str">
        <f>IFERROR(__xludf.DUMMYFUNCTION("""COMPUTED_VALUE"""),"https://drive.google.com/file/d/18geCDJ5bRB3bpM43MHvE6GJwLIjojiV3/view?usp=drivesdk")</f>
        <v>https://drive.google.com/file/d/18geCDJ5bRB3bpM43MHvE6GJwLIjojiV3/view?usp=drivesdk</v>
      </c>
      <c r="C2358" s="336" t="str">
        <f>IFERROR(__xludf.DUMMYFUNCTION("""COMPUTED_VALUE"""),"10.1126--science.1238041.pdf")</f>
        <v>10.1126--science.1238041.pdf</v>
      </c>
      <c r="D2358" s="156" t="str">
        <f>IFERROR(__xludf.DUMMYFUNCTION("""COMPUTED_VALUE"""),"application/pdf")</f>
        <v>application/pdf</v>
      </c>
    </row>
    <row r="2359">
      <c r="A2359" s="336" t="str">
        <f>IFERROR(__xludf.DUMMYFUNCTION("""COMPUTED_VALUE"""),"10.1126/science.1224313")</f>
        <v>10.1126/science.1224313</v>
      </c>
      <c r="B2359" s="442" t="str">
        <f>IFERROR(__xludf.DUMMYFUNCTION("""COMPUTED_VALUE"""),"https://drive.google.com/file/d/19EgT43RHjwkUo0_VH9RxY_gZl2qByBLZ/view?usp=drivesdk")</f>
        <v>https://drive.google.com/file/d/19EgT43RHjwkUo0_VH9RxY_gZl2qByBLZ/view?usp=drivesdk</v>
      </c>
      <c r="C2359" s="336" t="str">
        <f>IFERROR(__xludf.DUMMYFUNCTION("""COMPUTED_VALUE"""),"10.1126--science.1224313.pdf")</f>
        <v>10.1126--science.1224313.pdf</v>
      </c>
      <c r="D2359" s="156" t="str">
        <f>IFERROR(__xludf.DUMMYFUNCTION("""COMPUTED_VALUE"""),"application/pdf")</f>
        <v>application/pdf</v>
      </c>
    </row>
    <row r="2360">
      <c r="A2360" s="336" t="str">
        <f>IFERROR(__xludf.DUMMYFUNCTION("""COMPUTED_VALUE"""),"10.1126/science.1221936")</f>
        <v>10.1126/science.1221936</v>
      </c>
      <c r="B2360" s="442" t="str">
        <f>IFERROR(__xludf.DUMMYFUNCTION("""COMPUTED_VALUE"""),"https://drive.google.com/file/d/1iB1iRJQEIss4hSoqw92nY3NXxa2obChZ/view?usp=drivesdk")</f>
        <v>https://drive.google.com/file/d/1iB1iRJQEIss4hSoqw92nY3NXxa2obChZ/view?usp=drivesdk</v>
      </c>
      <c r="C2360" s="336" t="str">
        <f>IFERROR(__xludf.DUMMYFUNCTION("""COMPUTED_VALUE"""),"10.1126--science.1221936.pdf")</f>
        <v>10.1126--science.1221936.pdf</v>
      </c>
      <c r="D2360" s="156" t="str">
        <f>IFERROR(__xludf.DUMMYFUNCTION("""COMPUTED_VALUE"""),"application/pdf")</f>
        <v>application/pdf</v>
      </c>
    </row>
    <row r="2361">
      <c r="A2361" s="336" t="str">
        <f>IFERROR(__xludf.DUMMYFUNCTION("""COMPUTED_VALUE"""),"10.1126/science.1211180")</f>
        <v>10.1126/science.1211180</v>
      </c>
      <c r="B2361" s="442" t="str">
        <f>IFERROR(__xludf.DUMMYFUNCTION("""COMPUTED_VALUE"""),"https://drive.google.com/file/d/1SP5jHd3WRyyvYJcl4eFapcMBBizKeGUl/view?usp=drivesdk")</f>
        <v>https://drive.google.com/file/d/1SP5jHd3WRyyvYJcl4eFapcMBBizKeGUl/view?usp=drivesdk</v>
      </c>
      <c r="C2361" s="336" t="str">
        <f>IFERROR(__xludf.DUMMYFUNCTION("""COMPUTED_VALUE"""),"10.1126--science.1211180.pdf")</f>
        <v>10.1126--science.1211180.pdf</v>
      </c>
      <c r="D2361" s="156" t="str">
        <f>IFERROR(__xludf.DUMMYFUNCTION("""COMPUTED_VALUE"""),"application/pdf")</f>
        <v>application/pdf</v>
      </c>
    </row>
    <row r="2362">
      <c r="A2362" s="336" t="str">
        <f>IFERROR(__xludf.DUMMYFUNCTION("""COMPUTED_VALUE"""),"10.1126/science.1215647")</f>
        <v>10.1126/science.1215647</v>
      </c>
      <c r="B2362" s="442" t="str">
        <f>IFERROR(__xludf.DUMMYFUNCTION("""COMPUTED_VALUE"""),"https://drive.google.com/file/d/1Vg-OUhY15FAok2mtyokmeZIHZaqgAHg5/view?usp=drivesdk")</f>
        <v>https://drive.google.com/file/d/1Vg-OUhY15FAok2mtyokmeZIHZaqgAHg5/view?usp=drivesdk</v>
      </c>
      <c r="C2362" s="336" t="str">
        <f>IFERROR(__xludf.DUMMYFUNCTION("""COMPUTED_VALUE"""),"10.1126--science.1215647.pdf")</f>
        <v>10.1126--science.1215647.pdf</v>
      </c>
      <c r="D2362" s="156" t="str">
        <f>IFERROR(__xludf.DUMMYFUNCTION("""COMPUTED_VALUE"""),"application/pdf")</f>
        <v>application/pdf</v>
      </c>
    </row>
    <row r="2363">
      <c r="A2363" s="336" t="str">
        <f>IFERROR(__xludf.DUMMYFUNCTION("""COMPUTED_VALUE"""),"10.1126/science.1207745")</f>
        <v>10.1126/science.1207745</v>
      </c>
      <c r="B2363" s="442" t="str">
        <f>IFERROR(__xludf.DUMMYFUNCTION("""COMPUTED_VALUE"""),"https://drive.google.com/file/d/1Ea_lj0SN0yiXoEUsbmTc67SPDOrQH-yU/view?usp=drivesdk")</f>
        <v>https://drive.google.com/file/d/1Ea_lj0SN0yiXoEUsbmTc67SPDOrQH-yU/view?usp=drivesdk</v>
      </c>
      <c r="C2363" s="336" t="str">
        <f>IFERROR(__xludf.DUMMYFUNCTION("""COMPUTED_VALUE"""),"10.1126--science.1207745.pdf")</f>
        <v>10.1126--science.1207745.pdf</v>
      </c>
      <c r="D2363" s="156" t="str">
        <f>IFERROR(__xludf.DUMMYFUNCTION("""COMPUTED_VALUE"""),"application/pdf")</f>
        <v>application/pdf</v>
      </c>
    </row>
    <row r="2364">
      <c r="A2364" s="336" t="str">
        <f>IFERROR(__xludf.DUMMYFUNCTION("""COMPUTED_VALUE"""),"10.1126/science.1199427")</f>
        <v>10.1126/science.1199427</v>
      </c>
      <c r="B2364" s="442" t="str">
        <f>IFERROR(__xludf.DUMMYFUNCTION("""COMPUTED_VALUE"""),"https://drive.google.com/file/d/1VlyFF2XH_n9dzHKe2EMaqBWsh-0cgYrJ/view?usp=drivesdk")</f>
        <v>https://drive.google.com/file/d/1VlyFF2XH_n9dzHKe2EMaqBWsh-0cgYrJ/view?usp=drivesdk</v>
      </c>
      <c r="C2364" s="336" t="str">
        <f>IFERROR(__xludf.DUMMYFUNCTION("""COMPUTED_VALUE"""),"10.1126--science.1199427.pdf")</f>
        <v>10.1126--science.1199427.pdf</v>
      </c>
      <c r="D2364" s="156" t="str">
        <f>IFERROR(__xludf.DUMMYFUNCTION("""COMPUTED_VALUE"""),"application/pdf")</f>
        <v>application/pdf</v>
      </c>
    </row>
    <row r="2365">
      <c r="A2365" s="336" t="str">
        <f>IFERROR(__xludf.DUMMYFUNCTION("""COMPUTED_VALUE"""),"10.1126/science.1199327")</f>
        <v>10.1126/science.1199327</v>
      </c>
      <c r="B2365" s="442" t="str">
        <f>IFERROR(__xludf.DUMMYFUNCTION("""COMPUTED_VALUE"""),"https://drive.google.com/file/d/1nLprzUcZjsicDG7JT3icjAuAK7g2gLY1/view?usp=drivesdk")</f>
        <v>https://drive.google.com/file/d/1nLprzUcZjsicDG7JT3icjAuAK7g2gLY1/view?usp=drivesdk</v>
      </c>
      <c r="C2365" s="336" t="str">
        <f>IFERROR(__xludf.DUMMYFUNCTION("""COMPUTED_VALUE"""),"10.1126--science.1199327.pdf")</f>
        <v>10.1126--science.1199327.pdf</v>
      </c>
      <c r="D2365" s="156" t="str">
        <f>IFERROR(__xludf.DUMMYFUNCTION("""COMPUTED_VALUE"""),"application/pdf")</f>
        <v>application/pdf</v>
      </c>
    </row>
    <row r="2366">
      <c r="A2366" s="336" t="str">
        <f>IFERROR(__xludf.DUMMYFUNCTION("""COMPUTED_VALUE"""),"10.1126/science.1195701")</f>
        <v>10.1126/science.1195701</v>
      </c>
      <c r="B2366" s="442" t="str">
        <f>IFERROR(__xludf.DUMMYFUNCTION("""COMPUTED_VALUE"""),"https://drive.google.com/file/d/19X5spXSqhBiEOOUR62_YtANpegjkcJ1f/view?usp=drivesdk")</f>
        <v>https://drive.google.com/file/d/19X5spXSqhBiEOOUR62_YtANpegjkcJ1f/view?usp=drivesdk</v>
      </c>
      <c r="C2366" s="336" t="str">
        <f>IFERROR(__xludf.DUMMYFUNCTION("""COMPUTED_VALUE"""),"10.1126--science.1195701.pdf")</f>
        <v>10.1126--science.1195701.pdf</v>
      </c>
      <c r="D2366" s="156" t="str">
        <f>IFERROR(__xludf.DUMMYFUNCTION("""COMPUTED_VALUE"""),"application/pdf")</f>
        <v>application/pdf</v>
      </c>
    </row>
    <row r="2367">
      <c r="A2367" s="336" t="str">
        <f>IFERROR(__xludf.DUMMYFUNCTION("""COMPUTED_VALUE"""),"10.1126/science.1191465")</f>
        <v>10.1126/science.1191465</v>
      </c>
      <c r="B2367" s="442" t="str">
        <f>IFERROR(__xludf.DUMMYFUNCTION("""COMPUTED_VALUE"""),"https://drive.google.com/file/d/14xOP8LLETNXBDDadvwleV2pKnaxwaGBi/view?usp=drivesdk")</f>
        <v>https://drive.google.com/file/d/14xOP8LLETNXBDDadvwleV2pKnaxwaGBi/view?usp=drivesdk</v>
      </c>
      <c r="C2367" s="336" t="str">
        <f>IFERROR(__xludf.DUMMYFUNCTION("""COMPUTED_VALUE"""),"10.1126--science.1191465.pdf")</f>
        <v>10.1126--science.1191465.pdf</v>
      </c>
      <c r="D2367" s="156" t="str">
        <f>IFERROR(__xludf.DUMMYFUNCTION("""COMPUTED_VALUE"""),"application/pdf")</f>
        <v>application/pdf</v>
      </c>
    </row>
    <row r="2368">
      <c r="A2368" s="336" t="str">
        <f>IFERROR(__xludf.DUMMYFUNCTION("""COMPUTED_VALUE"""),"10.1126/science.1190792")</f>
        <v>10.1126/science.1190792</v>
      </c>
      <c r="B2368" s="442" t="str">
        <f>IFERROR(__xludf.DUMMYFUNCTION("""COMPUTED_VALUE"""),"https://drive.google.com/file/d/1Chyql9h2DEg41XAYeRupg6Etz-OFp0us/view?usp=drivesdk")</f>
        <v>https://drive.google.com/file/d/1Chyql9h2DEg41XAYeRupg6Etz-OFp0us/view?usp=drivesdk</v>
      </c>
      <c r="C2368" s="336" t="str">
        <f>IFERROR(__xludf.DUMMYFUNCTION("""COMPUTED_VALUE"""),"10.1126--science.1190792.pdf")</f>
        <v>10.1126--science.1190792.pdf</v>
      </c>
      <c r="D2368" s="156" t="str">
        <f>IFERROR(__xludf.DUMMYFUNCTION("""COMPUTED_VALUE"""),"application/pdf")</f>
        <v>application/pdf</v>
      </c>
    </row>
    <row r="2369">
      <c r="A2369" s="336" t="str">
        <f>IFERROR(__xludf.DUMMYFUNCTION("""COMPUTED_VALUE"""),"10.1126/science.1189993")</f>
        <v>10.1126/science.1189993</v>
      </c>
      <c r="B2369" s="442" t="str">
        <f>IFERROR(__xludf.DUMMYFUNCTION("""COMPUTED_VALUE"""),"https://drive.google.com/file/d/1AKsdj68dbJXeSGboPcfZ2uD3ua_fvFPP/view?usp=drivesdk")</f>
        <v>https://drive.google.com/file/d/1AKsdj68dbJXeSGboPcfZ2uD3ua_fvFPP/view?usp=drivesdk</v>
      </c>
      <c r="C2369" s="336" t="str">
        <f>IFERROR(__xludf.DUMMYFUNCTION("""COMPUTED_VALUE"""),"10.1126--science.1189993.pdf")</f>
        <v>10.1126--science.1189993.pdf</v>
      </c>
      <c r="D2369" s="156" t="str">
        <f>IFERROR(__xludf.DUMMYFUNCTION("""COMPUTED_VALUE"""),"application/pdf")</f>
        <v>application/pdf</v>
      </c>
    </row>
    <row r="2370">
      <c r="A2370" s="336" t="str">
        <f>IFERROR(__xludf.DUMMYFUNCTION("""COMPUTED_VALUE"""),"10.1126/science.1186799")</f>
        <v>10.1126/science.1186799</v>
      </c>
      <c r="B2370" s="442" t="str">
        <f>IFERROR(__xludf.DUMMYFUNCTION("""COMPUTED_VALUE"""),"https://drive.google.com/file/d/1E31uybgDVJiRN0FEcJfVIX_of85BuGEz/view?usp=drivesdk")</f>
        <v>https://drive.google.com/file/d/1E31uybgDVJiRN0FEcJfVIX_of85BuGEz/view?usp=drivesdk</v>
      </c>
      <c r="C2370" s="336" t="str">
        <f>IFERROR(__xludf.DUMMYFUNCTION("""COMPUTED_VALUE"""),"10.1126--science.1186799.pdf")</f>
        <v>10.1126--science.1186799.pdf</v>
      </c>
      <c r="D2370" s="156" t="str">
        <f>IFERROR(__xludf.DUMMYFUNCTION("""COMPUTED_VALUE"""),"application/pdf")</f>
        <v>application/pdf</v>
      </c>
    </row>
    <row r="2371">
      <c r="A2371" s="336" t="str">
        <f>IFERROR(__xludf.DUMMYFUNCTION("""COMPUTED_VALUE"""),"10.1126/science.1183532")</f>
        <v>10.1126/science.1183532</v>
      </c>
      <c r="B2371" s="442" t="str">
        <f>IFERROR(__xludf.DUMMYFUNCTION("""COMPUTED_VALUE"""),"https://drive.google.com/file/d/1evQDXWr9N4KV0RMwcCRfMKAkbspCGUUG/view?usp=drivesdk")</f>
        <v>https://drive.google.com/file/d/1evQDXWr9N4KV0RMwcCRfMKAkbspCGUUG/view?usp=drivesdk</v>
      </c>
      <c r="C2371" s="336" t="str">
        <f>IFERROR(__xludf.DUMMYFUNCTION("""COMPUTED_VALUE"""),"10.1126--science.1183532.pdf")</f>
        <v>10.1126--science.1183532.pdf</v>
      </c>
      <c r="D2371" s="156" t="str">
        <f>IFERROR(__xludf.DUMMYFUNCTION("""COMPUTED_VALUE"""),"application/pdf")</f>
        <v>application/pdf</v>
      </c>
    </row>
    <row r="2372">
      <c r="A2372" s="336" t="str">
        <f>IFERROR(__xludf.DUMMYFUNCTION("""COMPUTED_VALUE"""),"10.1126/science.1169144")</f>
        <v>10.1126/science.1169144</v>
      </c>
      <c r="B2372" s="442" t="str">
        <f>IFERROR(__xludf.DUMMYFUNCTION("""COMPUTED_VALUE"""),"https://drive.google.com/file/d/1Fno1IJz68iXs7JWnmc01NK1s0TMRMxHi/view?usp=drivesdk")</f>
        <v>https://drive.google.com/file/d/1Fno1IJz68iXs7JWnmc01NK1s0TMRMxHi/view?usp=drivesdk</v>
      </c>
      <c r="C2372" s="336" t="str">
        <f>IFERROR(__xludf.DUMMYFUNCTION("""COMPUTED_VALUE"""),"10.1126--science.1169144.pdf")</f>
        <v>10.1126--science.1169144.pdf</v>
      </c>
      <c r="D2372" s="156" t="str">
        <f>IFERROR(__xludf.DUMMYFUNCTION("""COMPUTED_VALUE"""),"application/pdf")</f>
        <v>application/pdf</v>
      </c>
    </row>
    <row r="2373">
      <c r="A2373" s="336" t="str">
        <f>IFERROR(__xludf.DUMMYFUNCTION("""COMPUTED_VALUE"""),"10.1126/science.1162548")</f>
        <v>10.1126/science.1162548</v>
      </c>
      <c r="B2373" s="442" t="str">
        <f>IFERROR(__xludf.DUMMYFUNCTION("""COMPUTED_VALUE"""),"https://drive.google.com/file/d/1p-5Yi30wwPB5qbrkCQnV04nlGIUAqW1j/view?usp=drivesdk")</f>
        <v>https://drive.google.com/file/d/1p-5Yi30wwPB5qbrkCQnV04nlGIUAqW1j/view?usp=drivesdk</v>
      </c>
      <c r="C2373" s="336" t="str">
        <f>IFERROR(__xludf.DUMMYFUNCTION("""COMPUTED_VALUE"""),"10.1126--science.1162548.pdf")</f>
        <v>10.1126--science.1162548.pdf</v>
      </c>
      <c r="D2373" s="156" t="str">
        <f>IFERROR(__xludf.DUMMYFUNCTION("""COMPUTED_VALUE"""),"application/pdf")</f>
        <v>application/pdf</v>
      </c>
    </row>
    <row r="2374">
      <c r="A2374" s="336" t="str">
        <f>IFERROR(__xludf.DUMMYFUNCTION("""COMPUTED_VALUE"""),"10.1126/science.1157627")</f>
        <v>10.1126/science.1157627</v>
      </c>
      <c r="B2374" s="442" t="str">
        <f>IFERROR(__xludf.DUMMYFUNCTION("""COMPUTED_VALUE"""),"https://drive.google.com/file/d/1EK9QiU9xsqLxXgH_myrXEDvCAwAm--TL/view?usp=drivesdk")</f>
        <v>https://drive.google.com/file/d/1EK9QiU9xsqLxXgH_myrXEDvCAwAm--TL/view?usp=drivesdk</v>
      </c>
      <c r="C2374" s="336" t="str">
        <f>IFERROR(__xludf.DUMMYFUNCTION("""COMPUTED_VALUE"""),"10.1126--science.1157627.pdf")</f>
        <v>10.1126--science.1157627.pdf</v>
      </c>
      <c r="D2374" s="156" t="str">
        <f>IFERROR(__xludf.DUMMYFUNCTION("""COMPUTED_VALUE"""),"application/pdf")</f>
        <v>application/pdf</v>
      </c>
    </row>
    <row r="2375">
      <c r="A2375" s="336" t="str">
        <f>IFERROR(__xludf.DUMMYFUNCTION("""COMPUTED_VALUE"""),"10.1126/science.1154983")</f>
        <v>10.1126/science.1154983</v>
      </c>
      <c r="B2375" s="442" t="str">
        <f>IFERROR(__xludf.DUMMYFUNCTION("""COMPUTED_VALUE"""),"https://drive.google.com/file/d/1W95pBxdYQtvPqjqDP0LAubJz1aG6pbkC/view?usp=drivesdk")</f>
        <v>https://drive.google.com/file/d/1W95pBxdYQtvPqjqDP0LAubJz1aG6pbkC/view?usp=drivesdk</v>
      </c>
      <c r="C2375" s="336" t="str">
        <f>IFERROR(__xludf.DUMMYFUNCTION("""COMPUTED_VALUE"""),"10.1126--science.1154983.pdf")</f>
        <v>10.1126--science.1154983.pdf</v>
      </c>
      <c r="D2375" s="156" t="str">
        <f>IFERROR(__xludf.DUMMYFUNCTION("""COMPUTED_VALUE"""),"application/pdf")</f>
        <v>application/pdf</v>
      </c>
    </row>
    <row r="2376">
      <c r="A2376" s="336" t="str">
        <f>IFERROR(__xludf.DUMMYFUNCTION("""COMPUTED_VALUE"""),"10.1126/science.1150952")</f>
        <v>10.1126/science.1150952</v>
      </c>
      <c r="B2376" s="442" t="str">
        <f>IFERROR(__xludf.DUMMYFUNCTION("""COMPUTED_VALUE"""),"https://drive.google.com/file/d/10YsdVEp76YRuLQNPspg-TkAG5mYL74RG/view?usp=drivesdk")</f>
        <v>https://drive.google.com/file/d/10YsdVEp76YRuLQNPspg-TkAG5mYL74RG/view?usp=drivesdk</v>
      </c>
      <c r="C2376" s="336" t="str">
        <f>IFERROR(__xludf.DUMMYFUNCTION("""COMPUTED_VALUE"""),"10.1126--science.1150952.pdf")</f>
        <v>10.1126--science.1150952.pdf</v>
      </c>
      <c r="D2376" s="156" t="str">
        <f>IFERROR(__xludf.DUMMYFUNCTION("""COMPUTED_VALUE"""),"application/pdf")</f>
        <v>application/pdf</v>
      </c>
    </row>
    <row r="2377">
      <c r="A2377" s="336" t="str">
        <f>IFERROR(__xludf.DUMMYFUNCTION("""COMPUTED_VALUE"""),"10.1126/science.1134475")</f>
        <v>10.1126/science.1134475</v>
      </c>
      <c r="B2377" s="442" t="str">
        <f>IFERROR(__xludf.DUMMYFUNCTION("""COMPUTED_VALUE"""),"https://drive.google.com/file/d/1JcrIIJziv9H4c66sUbolfvMwbkPdlR44/view?usp=drivesdk")</f>
        <v>https://drive.google.com/file/d/1JcrIIJziv9H4c66sUbolfvMwbkPdlR44/view?usp=drivesdk</v>
      </c>
      <c r="C2377" s="336" t="str">
        <f>IFERROR(__xludf.DUMMYFUNCTION("""COMPUTED_VALUE"""),"10.1126--science.1134475.pdf")</f>
        <v>10.1126--science.1134475.pdf</v>
      </c>
      <c r="D2377" s="156" t="str">
        <f>IFERROR(__xludf.DUMMYFUNCTION("""COMPUTED_VALUE"""),"application/pdf")</f>
        <v>application/pdf</v>
      </c>
    </row>
    <row r="2378">
      <c r="A2378" s="336" t="str">
        <f>IFERROR(__xludf.DUMMYFUNCTION("""COMPUTED_VALUE"""),"10.1126/science.1132491")</f>
        <v>10.1126/science.1132491</v>
      </c>
      <c r="B2378" s="442" t="str">
        <f>IFERROR(__xludf.DUMMYFUNCTION("""COMPUTED_VALUE"""),"https://drive.google.com/file/d/1OWk3W7aLK7NhvpfeOXWbAeYjSBS6on3O/view?usp=drivesdk")</f>
        <v>https://drive.google.com/file/d/1OWk3W7aLK7NhvpfeOXWbAeYjSBS6on3O/view?usp=drivesdk</v>
      </c>
      <c r="C2378" s="336" t="str">
        <f>IFERROR(__xludf.DUMMYFUNCTION("""COMPUTED_VALUE"""),"10.1126--science.1132491.pdf")</f>
        <v>10.1126--science.1132491.pdf</v>
      </c>
      <c r="D2378" s="156" t="str">
        <f>IFERROR(__xludf.DUMMYFUNCTION("""COMPUTED_VALUE"""),"application/pdf")</f>
        <v>application/pdf</v>
      </c>
    </row>
    <row r="2379">
      <c r="A2379" s="336" t="str">
        <f>IFERROR(__xludf.DUMMYFUNCTION("""COMPUTED_VALUE"""),"10.1126/science.1130726")</f>
        <v>10.1126/science.1130726</v>
      </c>
      <c r="B2379" s="442" t="str">
        <f>IFERROR(__xludf.DUMMYFUNCTION("""COMPUTED_VALUE"""),"https://drive.google.com/file/d/1w2KBBoT3U7JrwQsTrJduC-AS9fihTDq0/view?usp=drivesdk")</f>
        <v>https://drive.google.com/file/d/1w2KBBoT3U7JrwQsTrJduC-AS9fihTDq0/view?usp=drivesdk</v>
      </c>
      <c r="C2379" s="336" t="str">
        <f>IFERROR(__xludf.DUMMYFUNCTION("""COMPUTED_VALUE"""),"10.1126--science.1130726.pdf")</f>
        <v>10.1126--science.1130726.pdf</v>
      </c>
      <c r="D2379" s="156" t="str">
        <f>IFERROR(__xludf.DUMMYFUNCTION("""COMPUTED_VALUE"""),"application/pdf")</f>
        <v>application/pdf</v>
      </c>
    </row>
    <row r="2380">
      <c r="A2380" s="336" t="str">
        <f>IFERROR(__xludf.DUMMYFUNCTION("""COMPUTED_VALUE"""),"10.1126/science.1091721")</f>
        <v>10.1126/science.1091721</v>
      </c>
      <c r="B2380" s="442" t="str">
        <f>IFERROR(__xludf.DUMMYFUNCTION("""COMPUTED_VALUE"""),"https://drive.google.com/file/d/1eSIhQoNaIQOjrthga8k1fEWUQ1wNc0I3/view?usp=drivesdk")</f>
        <v>https://drive.google.com/file/d/1eSIhQoNaIQOjrthga8k1fEWUQ1wNc0I3/view?usp=drivesdk</v>
      </c>
      <c r="C2380" s="336" t="str">
        <f>IFERROR(__xludf.DUMMYFUNCTION("""COMPUTED_VALUE"""),"10.1126--science.1091721.pdf")</f>
        <v>10.1126--science.1091721.pdf</v>
      </c>
      <c r="D2380" s="156" t="str">
        <f>IFERROR(__xludf.DUMMYFUNCTION("""COMPUTED_VALUE"""),"application/pdf")</f>
        <v>application/pdf</v>
      </c>
    </row>
    <row r="2381">
      <c r="A2381" s="336" t="str">
        <f>IFERROR(__xludf.DUMMYFUNCTION("""COMPUTED_VALUE"""),"10.1126/science.1083968")</f>
        <v>10.1126/science.1083968</v>
      </c>
      <c r="B2381" s="442" t="str">
        <f>IFERROR(__xludf.DUMMYFUNCTION("""COMPUTED_VALUE"""),"https://drive.google.com/file/d/1exWLXuK48MQ2ATmSKbzKWBwM5DY_aMcK/view?usp=drivesdk")</f>
        <v>https://drive.google.com/file/d/1exWLXuK48MQ2ATmSKbzKWBwM5DY_aMcK/view?usp=drivesdk</v>
      </c>
      <c r="C2381" s="336" t="str">
        <f>IFERROR(__xludf.DUMMYFUNCTION("""COMPUTED_VALUE"""),"10.1126--science.1083968.pdf")</f>
        <v>10.1126--science.1083968.pdf</v>
      </c>
      <c r="D2381" s="156" t="str">
        <f>IFERROR(__xludf.DUMMYFUNCTION("""COMPUTED_VALUE"""),"application/pdf")</f>
        <v>application/pdf</v>
      </c>
    </row>
    <row r="2382">
      <c r="A2382" s="336" t="str">
        <f>IFERROR(__xludf.DUMMYFUNCTION("""COMPUTED_VALUE"""),"10.1111/nous.12017")</f>
        <v>10.1111/nous.12017</v>
      </c>
      <c r="B2382" s="442" t="str">
        <f>IFERROR(__xludf.DUMMYFUNCTION("""COMPUTED_VALUE"""),"https://drive.google.com/file/d/1siDzTCg5TAqWvx1F7jfvqWF5y01jo9l6/view?usp=drivesdk")</f>
        <v>https://drive.google.com/file/d/1siDzTCg5TAqWvx1F7jfvqWF5y01jo9l6/view?usp=drivesdk</v>
      </c>
      <c r="C2382" s="336" t="str">
        <f>IFERROR(__xludf.DUMMYFUNCTION("""COMPUTED_VALUE"""),"10.1111--nous.12017.pdf")</f>
        <v>10.1111--nous.12017.pdf</v>
      </c>
      <c r="D2382" s="156" t="str">
        <f>IFERROR(__xludf.DUMMYFUNCTION("""COMPUTED_VALUE"""),"application/pdf")</f>
        <v>application/pdf</v>
      </c>
    </row>
    <row r="2383">
      <c r="A2383" s="336" t="str">
        <f>IFERROR(__xludf.DUMMYFUNCTION("""COMPUTED_VALUE"""),"10.1111/lang.12140")</f>
        <v>10.1111/lang.12140</v>
      </c>
      <c r="B2383" s="442" t="str">
        <f>IFERROR(__xludf.DUMMYFUNCTION("""COMPUTED_VALUE"""),"https://drive.google.com/file/d/1iHwvqbzkE5E6QaDEkGEEiffgzbsf9lQG/view?usp=drivesdk")</f>
        <v>https://drive.google.com/file/d/1iHwvqbzkE5E6QaDEkGEEiffgzbsf9lQG/view?usp=drivesdk</v>
      </c>
      <c r="C2383" s="336" t="str">
        <f>IFERROR(__xludf.DUMMYFUNCTION("""COMPUTED_VALUE"""),"10.1111--lang.12140.pdf")</f>
        <v>10.1111--lang.12140.pdf</v>
      </c>
      <c r="D2383" s="156" t="str">
        <f>IFERROR(__xludf.DUMMYFUNCTION("""COMPUTED_VALUE"""),"application/pdf")</f>
        <v>application/pdf</v>
      </c>
    </row>
    <row r="2384">
      <c r="A2384" s="336" t="str">
        <f>IFERROR(__xludf.DUMMYFUNCTION("""COMPUTED_VALUE"""),"10.1111/j.2044-835x.1986.tb01003.x")</f>
        <v>10.1111/j.2044-835x.1986.tb01003.x</v>
      </c>
      <c r="B2384" s="442" t="str">
        <f>IFERROR(__xludf.DUMMYFUNCTION("""COMPUTED_VALUE"""),"https://drive.google.com/file/d/18lSrzJb6hlq2LTXVDLpK1cxy7NDtFwlx/view?usp=drivesdk")</f>
        <v>https://drive.google.com/file/d/18lSrzJb6hlq2LTXVDLpK1cxy7NDtFwlx/view?usp=drivesdk</v>
      </c>
      <c r="C2384" s="336" t="str">
        <f>IFERROR(__xludf.DUMMYFUNCTION("""COMPUTED_VALUE"""),"10.1111--j.2044-835x.1986.tb01003.x.pdf")</f>
        <v>10.1111--j.2044-835x.1986.tb01003.x.pdf</v>
      </c>
      <c r="D2384" s="156" t="str">
        <f>IFERROR(__xludf.DUMMYFUNCTION("""COMPUTED_VALUE"""),"application/pdf")</f>
        <v>application/pdf</v>
      </c>
    </row>
    <row r="2385">
      <c r="A2385" s="336" t="str">
        <f>IFERROR(__xludf.DUMMYFUNCTION("""COMPUTED_VALUE"""),"10.1111/j.2044-8295.1997.tb02648.x")</f>
        <v>10.1111/j.2044-8295.1997.tb02648.x</v>
      </c>
      <c r="B2385" s="442" t="str">
        <f>IFERROR(__xludf.DUMMYFUNCTION("""COMPUTED_VALUE"""),"https://drive.google.com/file/d/1cbRs7pAG_HHsYWLTtiX-MwQvS4vQmSB6/view?usp=drivesdk")</f>
        <v>https://drive.google.com/file/d/1cbRs7pAG_HHsYWLTtiX-MwQvS4vQmSB6/view?usp=drivesdk</v>
      </c>
      <c r="C2385" s="336" t="str">
        <f>IFERROR(__xludf.DUMMYFUNCTION("""COMPUTED_VALUE"""),"10.1111--j.2044-8295.1997.tb02648.x.pdf")</f>
        <v>10.1111--j.2044-8295.1997.tb02648.x.pdf</v>
      </c>
      <c r="D2385" s="156" t="str">
        <f>IFERROR(__xludf.DUMMYFUNCTION("""COMPUTED_VALUE"""),"application/pdf")</f>
        <v>application/pdf</v>
      </c>
    </row>
    <row r="2386">
      <c r="A2386" s="336" t="str">
        <f>IFERROR(__xludf.DUMMYFUNCTION("""COMPUTED_VALUE"""),"10.1111/j.2044-8295.1975.tb01468.x")</f>
        <v>10.1111/j.2044-8295.1975.tb01468.x</v>
      </c>
      <c r="B2386" s="442" t="str">
        <f>IFERROR(__xludf.DUMMYFUNCTION("""COMPUTED_VALUE"""),"https://drive.google.com/file/d/1kDsi06We11UwXurjeSQ26k_Oq21xYFhx/view?usp=drivesdk")</f>
        <v>https://drive.google.com/file/d/1kDsi06We11UwXurjeSQ26k_Oq21xYFhx/view?usp=drivesdk</v>
      </c>
      <c r="C2386" s="336" t="str">
        <f>IFERROR(__xludf.DUMMYFUNCTION("""COMPUTED_VALUE"""),"10.1111--j.2044-8295.1975.tb01468.x.pdf")</f>
        <v>10.1111--j.2044-8295.1975.tb01468.x.pdf</v>
      </c>
      <c r="D2386" s="156" t="str">
        <f>IFERROR(__xludf.DUMMYFUNCTION("""COMPUTED_VALUE"""),"application/pdf")</f>
        <v>application/pdf</v>
      </c>
    </row>
    <row r="2387">
      <c r="A2387" s="336" t="str">
        <f>IFERROR(__xludf.DUMMYFUNCTION("""COMPUTED_VALUE"""),"10.1111/j.1933-1592.2012.00609.x")</f>
        <v>10.1111/j.1933-1592.2012.00609.x</v>
      </c>
      <c r="B2387" s="442" t="str">
        <f>IFERROR(__xludf.DUMMYFUNCTION("""COMPUTED_VALUE"""),"https://drive.google.com/file/d/1vevfUy0iTc6NQfF1T-jwqjcTM_yHdsf0/view?usp=drivesdk")</f>
        <v>https://drive.google.com/file/d/1vevfUy0iTc6NQfF1T-jwqjcTM_yHdsf0/view?usp=drivesdk</v>
      </c>
      <c r="C2387" s="336" t="str">
        <f>IFERROR(__xludf.DUMMYFUNCTION("""COMPUTED_VALUE"""),"10.1111--j.1933-1592.2012.00609.x.pdf")</f>
        <v>10.1111--j.1933-1592.2012.00609.x.pdf</v>
      </c>
      <c r="D2387" s="156" t="str">
        <f>IFERROR(__xludf.DUMMYFUNCTION("""COMPUTED_VALUE"""),"application/pdf")</f>
        <v>application/pdf</v>
      </c>
    </row>
    <row r="2388">
      <c r="A2388" s="336" t="str">
        <f>IFERROR(__xludf.DUMMYFUNCTION("""COMPUTED_VALUE"""),"10.1111/j.1933-1592.2006.tb00603.x")</f>
        <v>10.1111/j.1933-1592.2006.tb00603.x</v>
      </c>
      <c r="B2388" s="442" t="str">
        <f>IFERROR(__xludf.DUMMYFUNCTION("""COMPUTED_VALUE"""),"https://drive.google.com/file/d/1tNde2WsKCKtTxCH7EfB-a1TjXERl50pJ/view?usp=drivesdk")</f>
        <v>https://drive.google.com/file/d/1tNde2WsKCKtTxCH7EfB-a1TjXERl50pJ/view?usp=drivesdk</v>
      </c>
      <c r="C2388" s="336" t="str">
        <f>IFERROR(__xludf.DUMMYFUNCTION("""COMPUTED_VALUE"""),"10.1111--j.1933-1592.2006.tb00603.x.pdf")</f>
        <v>10.1111--j.1933-1592.2006.tb00603.x.pdf</v>
      </c>
      <c r="D2388" s="156" t="str">
        <f>IFERROR(__xludf.DUMMYFUNCTION("""COMPUTED_VALUE"""),"application/pdf")</f>
        <v>application/pdf</v>
      </c>
    </row>
    <row r="2389">
      <c r="A2389" s="336" t="str">
        <f>IFERROR(__xludf.DUMMYFUNCTION("""COMPUTED_VALUE"""),"10.1111/j.1744-6570.1999.tb00174.x")</f>
        <v>10.1111/j.1744-6570.1999.tb00174.x</v>
      </c>
      <c r="B2389" s="442" t="str">
        <f>IFERROR(__xludf.DUMMYFUNCTION("""COMPUTED_VALUE"""),"https://drive.google.com/file/d/1JjrD9NOW8xliYqnpBZzkTwq4qgfO4wNJ/view?usp=drivesdk")</f>
        <v>https://drive.google.com/file/d/1JjrD9NOW8xliYqnpBZzkTwq4qgfO4wNJ/view?usp=drivesdk</v>
      </c>
      <c r="C2389" s="336" t="str">
        <f>IFERROR(__xludf.DUMMYFUNCTION("""COMPUTED_VALUE"""),"10.1111--j.1744-6570.1999.tb00174.x.pdf")</f>
        <v>10.1111--j.1744-6570.1999.tb00174.x.pdf</v>
      </c>
      <c r="D2389" s="156" t="str">
        <f>IFERROR(__xludf.DUMMYFUNCTION("""COMPUTED_VALUE"""),"application/pdf")</f>
        <v>application/pdf</v>
      </c>
    </row>
    <row r="2390">
      <c r="A2390" s="336" t="str">
        <f>IFERROR(__xludf.DUMMYFUNCTION("""COMPUTED_VALUE"""),"10.1111/j.1551-6709.2010.01164.x")</f>
        <v>10.1111/j.1551-6709.2010.01164.x</v>
      </c>
      <c r="B2390" s="442" t="str">
        <f>IFERROR(__xludf.DUMMYFUNCTION("""COMPUTED_VALUE"""),"https://drive.google.com/file/d/1F1gmEthZ6jBt549BBg-rdg_5OVDXWokk/view?usp=drivesdk")</f>
        <v>https://drive.google.com/file/d/1F1gmEthZ6jBt549BBg-rdg_5OVDXWokk/view?usp=drivesdk</v>
      </c>
      <c r="C2390" s="336" t="str">
        <f>IFERROR(__xludf.DUMMYFUNCTION("""COMPUTED_VALUE"""),"10.1111--j.1551-6709.2010.01164.x.pdf")</f>
        <v>10.1111--j.1551-6709.2010.01164.x.pdf</v>
      </c>
      <c r="D2390" s="156" t="str">
        <f>IFERROR(__xludf.DUMMYFUNCTION("""COMPUTED_VALUE"""),"application/pdf")</f>
        <v>application/pdf</v>
      </c>
    </row>
    <row r="2391">
      <c r="A2391" s="336" t="str">
        <f>IFERROR(__xludf.DUMMYFUNCTION("""COMPUTED_VALUE"""),"10.1111/j.1551-6709.2011.01210.x")</f>
        <v>10.1111/j.1551-6709.2011.01210.x</v>
      </c>
      <c r="B2391" s="442" t="str">
        <f>IFERROR(__xludf.DUMMYFUNCTION("""COMPUTED_VALUE"""),"https://drive.google.com/file/d/1peHj2qn55XShERDto7FmUKmKRW04vw25/view?usp=drivesdk")</f>
        <v>https://drive.google.com/file/d/1peHj2qn55XShERDto7FmUKmKRW04vw25/view?usp=drivesdk</v>
      </c>
      <c r="C2391" s="336" t="str">
        <f>IFERROR(__xludf.DUMMYFUNCTION("""COMPUTED_VALUE"""),"10.1111--j.1551-6709.2011.01210.x.pdf")</f>
        <v>10.1111--j.1551-6709.2011.01210.x.pdf</v>
      </c>
      <c r="D2391" s="156" t="str">
        <f>IFERROR(__xludf.DUMMYFUNCTION("""COMPUTED_VALUE"""),"application/pdf")</f>
        <v>application/pdf</v>
      </c>
    </row>
    <row r="2392">
      <c r="A2392" s="336" t="str">
        <f>IFERROR(__xludf.DUMMYFUNCTION("""COMPUTED_VALUE"""),"10.1111/j.1551-6709.2010.01161.x")</f>
        <v>10.1111/j.1551-6709.2010.01161.x</v>
      </c>
      <c r="B2392" s="442" t="str">
        <f>IFERROR(__xludf.DUMMYFUNCTION("""COMPUTED_VALUE"""),"https://drive.google.com/file/d/1mu475Zzy_-pzVxpT6L8wHxxpOPeohqGN/view?usp=drivesdk")</f>
        <v>https://drive.google.com/file/d/1mu475Zzy_-pzVxpT6L8wHxxpOPeohqGN/view?usp=drivesdk</v>
      </c>
      <c r="C2392" s="336" t="str">
        <f>IFERROR(__xludf.DUMMYFUNCTION("""COMPUTED_VALUE"""),"10.1111--j.1551-6709.2010.01161.x.pdf")</f>
        <v>10.1111--j.1551-6709.2010.01161.x.pdf</v>
      </c>
      <c r="D2392" s="156" t="str">
        <f>IFERROR(__xludf.DUMMYFUNCTION("""COMPUTED_VALUE"""),"application/pdf")</f>
        <v>application/pdf</v>
      </c>
    </row>
    <row r="2393">
      <c r="A2393" s="336" t="str">
        <f>IFERROR(__xludf.DUMMYFUNCTION("""COMPUTED_VALUE"""),"10.1111/j.1475-4975.2007.00158.x")</f>
        <v>10.1111/j.1475-4975.2007.00158.x</v>
      </c>
      <c r="B2393" s="442" t="str">
        <f>IFERROR(__xludf.DUMMYFUNCTION("""COMPUTED_VALUE"""),"https://drive.google.com/file/d/1Mbtg5W4r7YUV6SqGN7Y6QssV1kBq9eYn/view?usp=drivesdk")</f>
        <v>https://drive.google.com/file/d/1Mbtg5W4r7YUV6SqGN7Y6QssV1kBq9eYn/view?usp=drivesdk</v>
      </c>
      <c r="C2393" s="336" t="str">
        <f>IFERROR(__xludf.DUMMYFUNCTION("""COMPUTED_VALUE"""),"10.1111--j.1475-4975.2007.00158.x.pdf")</f>
        <v>10.1111--j.1475-4975.2007.00158.x.pdf</v>
      </c>
      <c r="D2393" s="156" t="str">
        <f>IFERROR(__xludf.DUMMYFUNCTION("""COMPUTED_VALUE"""),"application/pdf")</f>
        <v>application/pdf</v>
      </c>
    </row>
    <row r="2394">
      <c r="A2394" s="336" t="str">
        <f>IFERROR(__xludf.DUMMYFUNCTION("""COMPUTED_VALUE"""),"10.1111/j.1475-4975.2007.00150.x")</f>
        <v>10.1111/j.1475-4975.2007.00150.x</v>
      </c>
      <c r="B2394" s="442" t="str">
        <f>IFERROR(__xludf.DUMMYFUNCTION("""COMPUTED_VALUE"""),"https://drive.google.com/file/d/16qY0dLq9qys2p0JL-JepbP82uCNsmR0S/view?usp=drivesdk")</f>
        <v>https://drive.google.com/file/d/16qY0dLq9qys2p0JL-JepbP82uCNsmR0S/view?usp=drivesdk</v>
      </c>
      <c r="C2394" s="336" t="str">
        <f>IFERROR(__xludf.DUMMYFUNCTION("""COMPUTED_VALUE"""),"10.1111--j.1475-4975.2007.00150.x.pdf")</f>
        <v>10.1111--j.1475-4975.2007.00150.x.pdf</v>
      </c>
      <c r="D2394" s="156" t="str">
        <f>IFERROR(__xludf.DUMMYFUNCTION("""COMPUTED_VALUE"""),"application/pdf")</f>
        <v>application/pdf</v>
      </c>
    </row>
    <row r="2395">
      <c r="A2395" s="336" t="str">
        <f>IFERROR(__xludf.DUMMYFUNCTION("""COMPUTED_VALUE"""),"10.1111/j.1468-0068.2007.00666.x")</f>
        <v>10.1111/j.1468-0068.2007.00666.x</v>
      </c>
      <c r="B2395" s="442" t="str">
        <f>IFERROR(__xludf.DUMMYFUNCTION("""COMPUTED_VALUE"""),"https://drive.google.com/file/d/1KGwRGETP91kM9JQ1Lkln3MN4JSxyj4OW/view?usp=drivesdk")</f>
        <v>https://drive.google.com/file/d/1KGwRGETP91kM9JQ1Lkln3MN4JSxyj4OW/view?usp=drivesdk</v>
      </c>
      <c r="C2395" s="336" t="str">
        <f>IFERROR(__xludf.DUMMYFUNCTION("""COMPUTED_VALUE"""),"10.1111--j.1468-0068.2007.00666.x.pdf")</f>
        <v>10.1111--j.1468-0068.2007.00666.x.pdf</v>
      </c>
      <c r="D2395" s="156" t="str">
        <f>IFERROR(__xludf.DUMMYFUNCTION("""COMPUTED_VALUE"""),"application/pdf")</f>
        <v>application/pdf</v>
      </c>
    </row>
    <row r="2396">
      <c r="A2396" s="336" t="str">
        <f>IFERROR(__xludf.DUMMYFUNCTION("""COMPUTED_VALUE"""),"10.1111/j.1468-0017.2011.01428.x")</f>
        <v>10.1111/j.1468-0017.2011.01428.x</v>
      </c>
      <c r="B2396" s="442" t="str">
        <f>IFERROR(__xludf.DUMMYFUNCTION("""COMPUTED_VALUE"""),"https://drive.google.com/file/d/1TdFZluOSkUInT8sXikux3vYR7IOX4RMk/view?usp=drivesdk")</f>
        <v>https://drive.google.com/file/d/1TdFZluOSkUInT8sXikux3vYR7IOX4RMk/view?usp=drivesdk</v>
      </c>
      <c r="C2396" s="336" t="str">
        <f>IFERROR(__xludf.DUMMYFUNCTION("""COMPUTED_VALUE"""),"10.1111--j.1468-0017.2011.01428.x.pdf")</f>
        <v>10.1111--j.1468-0017.2011.01428.x.pdf</v>
      </c>
      <c r="D2396" s="156" t="str">
        <f>IFERROR(__xludf.DUMMYFUNCTION("""COMPUTED_VALUE"""),"application/pdf")</f>
        <v>application/pdf</v>
      </c>
    </row>
    <row r="2397">
      <c r="A2397" s="336" t="str">
        <f>IFERROR(__xludf.DUMMYFUNCTION("""COMPUTED_VALUE"""),"10.1111/j.1468-0017.2010.01398.x")</f>
        <v>10.1111/j.1468-0017.2010.01398.x</v>
      </c>
      <c r="B2397" s="442" t="str">
        <f>IFERROR(__xludf.DUMMYFUNCTION("""COMPUTED_VALUE"""),"https://drive.google.com/file/d/1Q-7NFLR9V_1Z9QaSQGnQmRUgw6UigOsQ/view?usp=drivesdk")</f>
        <v>https://drive.google.com/file/d/1Q-7NFLR9V_1Z9QaSQGnQmRUgw6UigOsQ/view?usp=drivesdk</v>
      </c>
      <c r="C2397" s="336" t="str">
        <f>IFERROR(__xludf.DUMMYFUNCTION("""COMPUTED_VALUE"""),"10.1111--j.1468-0017.2010.01398.x.pdf")</f>
        <v>10.1111--j.1468-0017.2010.01398.x.pdf</v>
      </c>
      <c r="D2397" s="156" t="str">
        <f>IFERROR(__xludf.DUMMYFUNCTION("""COMPUTED_VALUE"""),"application/pdf")</f>
        <v>application/pdf</v>
      </c>
    </row>
    <row r="2398">
      <c r="A2398" s="336" t="str">
        <f>IFERROR(__xludf.DUMMYFUNCTION("""COMPUTED_VALUE"""),"10.1111/j.1467-9280.2009.02426.x")</f>
        <v>10.1111/j.1467-9280.2009.02426.x</v>
      </c>
      <c r="B2398" s="442" t="str">
        <f>IFERROR(__xludf.DUMMYFUNCTION("""COMPUTED_VALUE"""),"https://drive.google.com/file/d/1dqYztlMOBsUY1H2Tadvsh9mJOiZQ1nVh/view?usp=drivesdk")</f>
        <v>https://drive.google.com/file/d/1dqYztlMOBsUY1H2Tadvsh9mJOiZQ1nVh/view?usp=drivesdk</v>
      </c>
      <c r="C2398" s="336" t="str">
        <f>IFERROR(__xludf.DUMMYFUNCTION("""COMPUTED_VALUE"""),"10.1111--j.1467-9280.2009.02426.x.pdf")</f>
        <v>10.1111--j.1467-9280.2009.02426.x.pdf</v>
      </c>
      <c r="D2398" s="156" t="str">
        <f>IFERROR(__xludf.DUMMYFUNCTION("""COMPUTED_VALUE"""),"application/pdf")</f>
        <v>application/pdf</v>
      </c>
    </row>
    <row r="2399">
      <c r="A2399" s="336" t="str">
        <f>IFERROR(__xludf.DUMMYFUNCTION("""COMPUTED_VALUE"""),"10.1111/j.1467-9280.2009.02370.x")</f>
        <v>10.1111/j.1467-9280.2009.02370.x</v>
      </c>
      <c r="B2399" s="442" t="str">
        <f>IFERROR(__xludf.DUMMYFUNCTION("""COMPUTED_VALUE"""),"https://drive.google.com/file/d/1neMVHM3ME1ns4lZlT0zcHFK0hjaH4cLF/view?usp=drivesdk")</f>
        <v>https://drive.google.com/file/d/1neMVHM3ME1ns4lZlT0zcHFK0hjaH4cLF/view?usp=drivesdk</v>
      </c>
      <c r="C2399" s="336" t="str">
        <f>IFERROR(__xludf.DUMMYFUNCTION("""COMPUTED_VALUE"""),"10.1111--j.1467-9280.2009.02370.x.pdf")</f>
        <v>10.1111--j.1467-9280.2009.02370.x.pdf</v>
      </c>
      <c r="D2399" s="156" t="str">
        <f>IFERROR(__xludf.DUMMYFUNCTION("""COMPUTED_VALUE"""),"application/pdf")</f>
        <v>application/pdf</v>
      </c>
    </row>
    <row r="2400">
      <c r="A2400" s="336" t="str">
        <f>IFERROR(__xludf.DUMMYFUNCTION("""COMPUTED_VALUE"""),"10.1111/j.1467-9280.2008.02227.x")</f>
        <v>10.1111/j.1467-9280.2008.02227.x</v>
      </c>
      <c r="B2400" s="442" t="str">
        <f>IFERROR(__xludf.DUMMYFUNCTION("""COMPUTED_VALUE"""),"https://drive.google.com/file/d/1WZ-wmp0ZBZO-MwxvYanAL8j3J4k47183/view?usp=drivesdk")</f>
        <v>https://drive.google.com/file/d/1WZ-wmp0ZBZO-MwxvYanAL8j3J4k47183/view?usp=drivesdk</v>
      </c>
      <c r="C2400" s="336" t="str">
        <f>IFERROR(__xludf.DUMMYFUNCTION("""COMPUTED_VALUE"""),"10.1111--j.1467-9280.2008.02227.x.pdf")</f>
        <v>10.1111--j.1467-9280.2008.02227.x.pdf</v>
      </c>
      <c r="D2400" s="156" t="str">
        <f>IFERROR(__xludf.DUMMYFUNCTION("""COMPUTED_VALUE"""),"application/pdf")</f>
        <v>application/pdf</v>
      </c>
    </row>
    <row r="2401">
      <c r="A2401" s="336" t="str">
        <f>IFERROR(__xludf.DUMMYFUNCTION("""COMPUTED_VALUE"""),"10.1111/j.1467-9280.2008.02159.x")</f>
        <v>10.1111/j.1467-9280.2008.02159.x</v>
      </c>
      <c r="B2401" s="442" t="str">
        <f>IFERROR(__xludf.DUMMYFUNCTION("""COMPUTED_VALUE"""),"https://drive.google.com/file/d/1E2mHJvDw_0w0e8vIm0HpIS0Ju6aQpYhO/view?usp=drivesdk")</f>
        <v>https://drive.google.com/file/d/1E2mHJvDw_0w0e8vIm0HpIS0Ju6aQpYhO/view?usp=drivesdk</v>
      </c>
      <c r="C2401" s="336" t="str">
        <f>IFERROR(__xludf.DUMMYFUNCTION("""COMPUTED_VALUE"""),"10.1111--j.1467-9280.2008.02159.x.pdf")</f>
        <v>10.1111--j.1467-9280.2008.02159.x.pdf</v>
      </c>
      <c r="D2401" s="156" t="str">
        <f>IFERROR(__xludf.DUMMYFUNCTION("""COMPUTED_VALUE"""),"application/pdf")</f>
        <v>application/pdf</v>
      </c>
    </row>
    <row r="2402">
      <c r="A2402" s="336" t="str">
        <f>IFERROR(__xludf.DUMMYFUNCTION("""COMPUTED_VALUE"""),"10.1111/j.1467-9280.2008.02157.x")</f>
        <v>10.1111/j.1467-9280.2008.02157.x</v>
      </c>
      <c r="B2402" s="442" t="str">
        <f>IFERROR(__xludf.DUMMYFUNCTION("""COMPUTED_VALUE"""),"https://drive.google.com/file/d/1VNZVfi392roXkffFia5wqQeCQjwEpyCc/view?usp=drivesdk")</f>
        <v>https://drive.google.com/file/d/1VNZVfi392roXkffFia5wqQeCQjwEpyCc/view?usp=drivesdk</v>
      </c>
      <c r="C2402" s="336" t="str">
        <f>IFERROR(__xludf.DUMMYFUNCTION("""COMPUTED_VALUE"""),"10.1111--j.1467-9280.2008.02157.x.pdf")</f>
        <v>10.1111--j.1467-9280.2008.02157.x.pdf</v>
      </c>
      <c r="D2402" s="156" t="str">
        <f>IFERROR(__xludf.DUMMYFUNCTION("""COMPUTED_VALUE"""),"application/pdf")</f>
        <v>application/pdf</v>
      </c>
    </row>
    <row r="2403">
      <c r="A2403" s="336" t="str">
        <f>IFERROR(__xludf.DUMMYFUNCTION("""COMPUTED_VALUE"""),"10.1111/j.1467-9280.2008.02136.x")</f>
        <v>10.1111/j.1467-9280.2008.02136.x</v>
      </c>
      <c r="B2403" s="442" t="str">
        <f>IFERROR(__xludf.DUMMYFUNCTION("""COMPUTED_VALUE"""),"https://drive.google.com/file/d/15VbpcEsW9L5op3IMpHA4I2dI5ndZgOpe/view?usp=drivesdk")</f>
        <v>https://drive.google.com/file/d/15VbpcEsW9L5op3IMpHA4I2dI5ndZgOpe/view?usp=drivesdk</v>
      </c>
      <c r="C2403" s="336" t="str">
        <f>IFERROR(__xludf.DUMMYFUNCTION("""COMPUTED_VALUE"""),"10.1111--j.1467-9280.2008.02136.x.pdf")</f>
        <v>10.1111--j.1467-9280.2008.02136.x.pdf</v>
      </c>
      <c r="D2403" s="156" t="str">
        <f>IFERROR(__xludf.DUMMYFUNCTION("""COMPUTED_VALUE"""),"application/pdf")</f>
        <v>application/pdf</v>
      </c>
    </row>
    <row r="2404">
      <c r="A2404" s="336" t="str">
        <f>IFERROR(__xludf.DUMMYFUNCTION("""COMPUTED_VALUE"""),"10.1111/j.1467-9280.2008.02099.x")</f>
        <v>10.1111/j.1467-9280.2008.02099.x</v>
      </c>
      <c r="B2404" s="442" t="str">
        <f>IFERROR(__xludf.DUMMYFUNCTION("""COMPUTED_VALUE"""),"https://drive.google.com/file/d/1eFWX5LIk2qUBEWJ46yJyou3O_bXjmNLe/view?usp=drivesdk")</f>
        <v>https://drive.google.com/file/d/1eFWX5LIk2qUBEWJ46yJyou3O_bXjmNLe/view?usp=drivesdk</v>
      </c>
      <c r="C2404" s="336" t="str">
        <f>IFERROR(__xludf.DUMMYFUNCTION("""COMPUTED_VALUE"""),"10.1111--j.1467-9280.2008.02099.x.pdf")</f>
        <v>10.1111--j.1467-9280.2008.02099.x.pdf</v>
      </c>
      <c r="D2404" s="156" t="str">
        <f>IFERROR(__xludf.DUMMYFUNCTION("""COMPUTED_VALUE"""),"application/pdf")</f>
        <v>application/pdf</v>
      </c>
    </row>
    <row r="2405">
      <c r="A2405" s="336" t="str">
        <f>IFERROR(__xludf.DUMMYFUNCTION("""COMPUTED_VALUE"""),"10.1111/j.1467-9280.2008.02098.x")</f>
        <v>10.1111/j.1467-9280.2008.02098.x</v>
      </c>
      <c r="B2405" s="442" t="str">
        <f>IFERROR(__xludf.DUMMYFUNCTION("""COMPUTED_VALUE"""),"https://drive.google.com/file/d/1z9vM-OymRrqp1u2xxHltR_nTYkRN8Bhe/view?usp=drivesdk")</f>
        <v>https://drive.google.com/file/d/1z9vM-OymRrqp1u2xxHltR_nTYkRN8Bhe/view?usp=drivesdk</v>
      </c>
      <c r="C2405" s="336" t="str">
        <f>IFERROR(__xludf.DUMMYFUNCTION("""COMPUTED_VALUE"""),"10.1111--j.1467-9280.2008.02098.x.pdf")</f>
        <v>10.1111--j.1467-9280.2008.02098.x.pdf</v>
      </c>
      <c r="D2405" s="156" t="str">
        <f>IFERROR(__xludf.DUMMYFUNCTION("""COMPUTED_VALUE"""),"application/pdf")</f>
        <v>application/pdf</v>
      </c>
    </row>
    <row r="2406">
      <c r="A2406" s="336" t="str">
        <f>IFERROR(__xludf.DUMMYFUNCTION("""COMPUTED_VALUE"""),"10.1111/j.1467-9280.2008.02097.x")</f>
        <v>10.1111/j.1467-9280.2008.02097.x</v>
      </c>
      <c r="B2406" s="442" t="str">
        <f>IFERROR(__xludf.DUMMYFUNCTION("""COMPUTED_VALUE"""),"https://drive.google.com/file/d/12-QJoC50RBrzSEp9gb50Wj-q2rFwe_UQ/view?usp=drivesdk")</f>
        <v>https://drive.google.com/file/d/12-QJoC50RBrzSEp9gb50Wj-q2rFwe_UQ/view?usp=drivesdk</v>
      </c>
      <c r="C2406" s="336" t="str">
        <f>IFERROR(__xludf.DUMMYFUNCTION("""COMPUTED_VALUE"""),"10.1111--j.1467-9280.2008.02097.x.pdf")</f>
        <v>10.1111--j.1467-9280.2008.02097.x.pdf</v>
      </c>
      <c r="D2406" s="156" t="str">
        <f>IFERROR(__xludf.DUMMYFUNCTION("""COMPUTED_VALUE"""),"application/pdf")</f>
        <v>application/pdf</v>
      </c>
    </row>
    <row r="2407">
      <c r="A2407" s="336" t="str">
        <f>IFERROR(__xludf.DUMMYFUNCTION("""COMPUTED_VALUE"""),"10.1111/j.1467-9280.2008.02096.x")</f>
        <v>10.1111/j.1467-9280.2008.02096.x</v>
      </c>
      <c r="B2407" s="442" t="str">
        <f>IFERROR(__xludf.DUMMYFUNCTION("""COMPUTED_VALUE"""),"https://drive.google.com/file/d/1u1KUYNIvVhIV8JolkU3hmE9IAKO7Zwnq/view?usp=drivesdk")</f>
        <v>https://drive.google.com/file/d/1u1KUYNIvVhIV8JolkU3hmE9IAKO7Zwnq/view?usp=drivesdk</v>
      </c>
      <c r="C2407" s="336" t="str">
        <f>IFERROR(__xludf.DUMMYFUNCTION("""COMPUTED_VALUE"""),"10.1111--j.1467-9280.2008.02096.x.pdf")</f>
        <v>10.1111--j.1467-9280.2008.02096.x.pdf</v>
      </c>
      <c r="D2407" s="156" t="str">
        <f>IFERROR(__xludf.DUMMYFUNCTION("""COMPUTED_VALUE"""),"application/pdf")</f>
        <v>application/pdf</v>
      </c>
    </row>
    <row r="2408">
      <c r="A2408" s="336" t="str">
        <f>IFERROR(__xludf.DUMMYFUNCTION("""COMPUTED_VALUE"""),"10.1111/j.1467-9280.2008.02095.x")</f>
        <v>10.1111/j.1467-9280.2008.02095.x</v>
      </c>
      <c r="B2408" s="442" t="str">
        <f>IFERROR(__xludf.DUMMYFUNCTION("""COMPUTED_VALUE"""),"https://drive.google.com/file/d/1hN-J6Uky5FuFHoIu7VleAWRSmSqB3wMb/view?usp=drivesdk")</f>
        <v>https://drive.google.com/file/d/1hN-J6Uky5FuFHoIu7VleAWRSmSqB3wMb/view?usp=drivesdk</v>
      </c>
      <c r="C2408" s="336" t="str">
        <f>IFERROR(__xludf.DUMMYFUNCTION("""COMPUTED_VALUE"""),"10.1111--j.1467-9280.2008.02095.x.pdf")</f>
        <v>10.1111--j.1467-9280.2008.02095.x.pdf</v>
      </c>
      <c r="D2408" s="156" t="str">
        <f>IFERROR(__xludf.DUMMYFUNCTION("""COMPUTED_VALUE"""),"application/pdf")</f>
        <v>application/pdf</v>
      </c>
    </row>
    <row r="2409">
      <c r="A2409" s="336" t="str">
        <f>IFERROR(__xludf.DUMMYFUNCTION("""COMPUTED_VALUE"""),"10.1111/j.1467-9280.2008.02094.x")</f>
        <v>10.1111/j.1467-9280.2008.02094.x</v>
      </c>
      <c r="B2409" s="442" t="str">
        <f>IFERROR(__xludf.DUMMYFUNCTION("""COMPUTED_VALUE"""),"https://drive.google.com/file/d/1y1GzGYijv2hKxQybrnUBP_imhXHPoSF1/view?usp=drivesdk")</f>
        <v>https://drive.google.com/file/d/1y1GzGYijv2hKxQybrnUBP_imhXHPoSF1/view?usp=drivesdk</v>
      </c>
      <c r="C2409" s="336" t="str">
        <f>IFERROR(__xludf.DUMMYFUNCTION("""COMPUTED_VALUE"""),"10.1111--j.1467-9280.2008.02094.x.pdf")</f>
        <v>10.1111--j.1467-9280.2008.02094.x.pdf</v>
      </c>
      <c r="D2409" s="156" t="str">
        <f>IFERROR(__xludf.DUMMYFUNCTION("""COMPUTED_VALUE"""),"application/pdf")</f>
        <v>application/pdf</v>
      </c>
    </row>
    <row r="2410">
      <c r="A2410" s="336" t="str">
        <f>IFERROR(__xludf.DUMMYFUNCTION("""COMPUTED_VALUE"""),"10.1111/j.1467-9280.2008.02093.x")</f>
        <v>10.1111/j.1467-9280.2008.02093.x</v>
      </c>
      <c r="B2410" s="442" t="str">
        <f>IFERROR(__xludf.DUMMYFUNCTION("""COMPUTED_VALUE"""),"https://drive.google.com/file/d/1RWYs4BxngJFHCjARwIfsUfl_7-oYLebS/view?usp=drivesdk")</f>
        <v>https://drive.google.com/file/d/1RWYs4BxngJFHCjARwIfsUfl_7-oYLebS/view?usp=drivesdk</v>
      </c>
      <c r="C2410" s="336" t="str">
        <f>IFERROR(__xludf.DUMMYFUNCTION("""COMPUTED_VALUE"""),"10.1111--j.1467-9280.2008.02093.x.pdf")</f>
        <v>10.1111--j.1467-9280.2008.02093.x.pdf</v>
      </c>
      <c r="D2410" s="156" t="str">
        <f>IFERROR(__xludf.DUMMYFUNCTION("""COMPUTED_VALUE"""),"application/pdf")</f>
        <v>application/pdf</v>
      </c>
    </row>
    <row r="2411">
      <c r="A2411" s="336" t="str">
        <f>IFERROR(__xludf.DUMMYFUNCTION("""COMPUTED_VALUE"""),"10.1093/jcr/ucz031")</f>
        <v>10.1093/jcr/ucz031</v>
      </c>
      <c r="B2411" s="442" t="str">
        <f>IFERROR(__xludf.DUMMYFUNCTION("""COMPUTED_VALUE"""),"https://drive.google.com/file/d/1AXw8qY84rt7zhu4JXQNDv8qAI41V_l3t/view?usp=drivesdk")</f>
        <v>https://drive.google.com/file/d/1AXw8qY84rt7zhu4JXQNDv8qAI41V_l3t/view?usp=drivesdk</v>
      </c>
      <c r="C2411" s="336" t="str">
        <f>IFERROR(__xludf.DUMMYFUNCTION("""COMPUTED_VALUE"""),"10.1093--jcr--ucz031.pdf")</f>
        <v>10.1093--jcr--ucz031.pdf</v>
      </c>
      <c r="D2411" s="156" t="str">
        <f>IFERROR(__xludf.DUMMYFUNCTION("""COMPUTED_VALUE"""),"application/pdf")</f>
        <v>application/pdf</v>
      </c>
    </row>
    <row r="2412">
      <c r="A2412" s="336" t="str">
        <f>IFERROR(__xludf.DUMMYFUNCTION("""COMPUTED_VALUE"""),"10.1093/jcr/ucz028")</f>
        <v>10.1093/jcr/ucz028</v>
      </c>
      <c r="B2412" s="442" t="str">
        <f>IFERROR(__xludf.DUMMYFUNCTION("""COMPUTED_VALUE"""),"https://drive.google.com/file/d/1rk2IUs1sRK-aqHnQzlQBCIve807-cy1l/view?usp=drivesdk")</f>
        <v>https://drive.google.com/file/d/1rk2IUs1sRK-aqHnQzlQBCIve807-cy1l/view?usp=drivesdk</v>
      </c>
      <c r="C2412" s="336" t="str">
        <f>IFERROR(__xludf.DUMMYFUNCTION("""COMPUTED_VALUE"""),"10.1093--jcr--ucz028.pdf")</f>
        <v>10.1093--jcr--ucz028.pdf</v>
      </c>
      <c r="D2412" s="156" t="str">
        <f>IFERROR(__xludf.DUMMYFUNCTION("""COMPUTED_VALUE"""),"application/pdf")</f>
        <v>application/pdf</v>
      </c>
    </row>
    <row r="2413">
      <c r="A2413" s="336" t="str">
        <f>IFERROR(__xludf.DUMMYFUNCTION("""COMPUTED_VALUE"""),"10.1093/jcr/ucz022")</f>
        <v>10.1093/jcr/ucz022</v>
      </c>
      <c r="B2413" s="442" t="str">
        <f>IFERROR(__xludf.DUMMYFUNCTION("""COMPUTED_VALUE"""),"https://drive.google.com/file/d/1JBL7ACa1LCauL8Ee0-semKwkjovJ9Pgw/view?usp=drivesdk")</f>
        <v>https://drive.google.com/file/d/1JBL7ACa1LCauL8Ee0-semKwkjovJ9Pgw/view?usp=drivesdk</v>
      </c>
      <c r="C2413" s="336" t="str">
        <f>IFERROR(__xludf.DUMMYFUNCTION("""COMPUTED_VALUE"""),"10.1093--jcr--ucz022.pdf")</f>
        <v>10.1093--jcr--ucz022.pdf</v>
      </c>
      <c r="D2413" s="156" t="str">
        <f>IFERROR(__xludf.DUMMYFUNCTION("""COMPUTED_VALUE"""),"application/pdf")</f>
        <v>application/pdf</v>
      </c>
    </row>
    <row r="2414">
      <c r="A2414" s="336" t="str">
        <f>IFERROR(__xludf.DUMMYFUNCTION("""COMPUTED_VALUE"""),"10.1093/jcr/ucy082")</f>
        <v>10.1093/jcr/ucy082</v>
      </c>
      <c r="B2414" s="442" t="str">
        <f>IFERROR(__xludf.DUMMYFUNCTION("""COMPUTED_VALUE"""),"https://drive.google.com/file/d/14_Y2sJYhrMVCOOYkvc8B2OnD9Oj96po_/view?usp=drivesdk")</f>
        <v>https://drive.google.com/file/d/14_Y2sJYhrMVCOOYkvc8B2OnD9Oj96po_/view?usp=drivesdk</v>
      </c>
      <c r="C2414" s="336" t="str">
        <f>IFERROR(__xludf.DUMMYFUNCTION("""COMPUTED_VALUE"""),"10.1093--jcr--ucy082.pdf")</f>
        <v>10.1093--jcr--ucy082.pdf</v>
      </c>
      <c r="D2414" s="156" t="str">
        <f>IFERROR(__xludf.DUMMYFUNCTION("""COMPUTED_VALUE"""),"application/pdf")</f>
        <v>application/pdf</v>
      </c>
    </row>
    <row r="2415">
      <c r="A2415" s="336" t="str">
        <f>IFERROR(__xludf.DUMMYFUNCTION("""COMPUTED_VALUE"""),"10.1093/jcr/ucy055")</f>
        <v>10.1093/jcr/ucy055</v>
      </c>
      <c r="B2415" s="442" t="str">
        <f>IFERROR(__xludf.DUMMYFUNCTION("""COMPUTED_VALUE"""),"https://drive.google.com/file/d/18XcHnZBS-SDEbuBnehiRFyGRPzzYWeeF/view?usp=drivesdk")</f>
        <v>https://drive.google.com/file/d/18XcHnZBS-SDEbuBnehiRFyGRPzzYWeeF/view?usp=drivesdk</v>
      </c>
      <c r="C2415" s="336" t="str">
        <f>IFERROR(__xludf.DUMMYFUNCTION("""COMPUTED_VALUE"""),"10.1093--jcr--ucy055.pdf")</f>
        <v>10.1093--jcr--ucy055.pdf</v>
      </c>
      <c r="D2415" s="156" t="str">
        <f>IFERROR(__xludf.DUMMYFUNCTION("""COMPUTED_VALUE"""),"application/pdf")</f>
        <v>application/pdf</v>
      </c>
    </row>
    <row r="2416">
      <c r="A2416" s="336" t="str">
        <f>IFERROR(__xludf.DUMMYFUNCTION("""COMPUTED_VALUE"""),"10.1093/jcr/ucx039")</f>
        <v>10.1093/jcr/ucx039</v>
      </c>
      <c r="B2416" s="442" t="str">
        <f>IFERROR(__xludf.DUMMYFUNCTION("""COMPUTED_VALUE"""),"https://drive.google.com/file/d/1K1a6m1aYmLn1_vwhiSohmNLDtZ1Y4Ux_/view?usp=drivesdk")</f>
        <v>https://drive.google.com/file/d/1K1a6m1aYmLn1_vwhiSohmNLDtZ1Y4Ux_/view?usp=drivesdk</v>
      </c>
      <c r="C2416" s="336" t="str">
        <f>IFERROR(__xludf.DUMMYFUNCTION("""COMPUTED_VALUE"""),"10.1093--jcr--ucx039.pdf")</f>
        <v>10.1093--jcr--ucx039.pdf</v>
      </c>
      <c r="D2416" s="156" t="str">
        <f>IFERROR(__xludf.DUMMYFUNCTION("""COMPUTED_VALUE"""),"application/pdf")</f>
        <v>application/pdf</v>
      </c>
    </row>
    <row r="2417">
      <c r="A2417" s="336" t="str">
        <f>IFERROR(__xludf.DUMMYFUNCTION("""COMPUTED_VALUE"""),"10.1093/jcr/ucw056")</f>
        <v>10.1093/jcr/ucw056</v>
      </c>
      <c r="B2417" s="442" t="str">
        <f>IFERROR(__xludf.DUMMYFUNCTION("""COMPUTED_VALUE"""),"https://drive.google.com/file/d/1SAkzHUXu2em_LOpzZzUsNAbEmhFQYt6z/view?usp=drivesdk")</f>
        <v>https://drive.google.com/file/d/1SAkzHUXu2em_LOpzZzUsNAbEmhFQYt6z/view?usp=drivesdk</v>
      </c>
      <c r="C2417" s="336" t="str">
        <f>IFERROR(__xludf.DUMMYFUNCTION("""COMPUTED_VALUE"""),"10.1093--jcr--ucw056.pdf")</f>
        <v>10.1093--jcr--ucw056.pdf</v>
      </c>
      <c r="D2417" s="156" t="str">
        <f>IFERROR(__xludf.DUMMYFUNCTION("""COMPUTED_VALUE"""),"application/pdf")</f>
        <v>application/pdf</v>
      </c>
    </row>
    <row r="2418">
      <c r="A2418" s="336" t="str">
        <f>IFERROR(__xludf.DUMMYFUNCTION("""COMPUTED_VALUE"""),"10.1093/jcr/ucw008")</f>
        <v>10.1093/jcr/ucw008</v>
      </c>
      <c r="B2418" s="442" t="str">
        <f>IFERROR(__xludf.DUMMYFUNCTION("""COMPUTED_VALUE"""),"https://drive.google.com/file/d/1-T6lXw_9tDN2t-Z39SM1dhIPR_IhO8fF/view?usp=drivesdk")</f>
        <v>https://drive.google.com/file/d/1-T6lXw_9tDN2t-Z39SM1dhIPR_IhO8fF/view?usp=drivesdk</v>
      </c>
      <c r="C2418" s="336" t="str">
        <f>IFERROR(__xludf.DUMMYFUNCTION("""COMPUTED_VALUE"""),"10.1093--jcr--ucw008.pdf")</f>
        <v>10.1093--jcr--ucw008.pdf</v>
      </c>
      <c r="D2418" s="156" t="str">
        <f>IFERROR(__xludf.DUMMYFUNCTION("""COMPUTED_VALUE"""),"application/pdf")</f>
        <v>application/pdf</v>
      </c>
    </row>
    <row r="2419">
      <c r="A2419" s="336" t="str">
        <f>IFERROR(__xludf.DUMMYFUNCTION("""COMPUTED_VALUE"""),"10.1093/jcr/ucv051")</f>
        <v>10.1093/jcr/ucv051</v>
      </c>
      <c r="B2419" s="442" t="str">
        <f>IFERROR(__xludf.DUMMYFUNCTION("""COMPUTED_VALUE"""),"https://drive.google.com/file/d/1k1zAeWl01m62ZgoBtOmSJCCoqfFGxddZ/view?usp=drivesdk")</f>
        <v>https://drive.google.com/file/d/1k1zAeWl01m62ZgoBtOmSJCCoqfFGxddZ/view?usp=drivesdk</v>
      </c>
      <c r="C2419" s="336" t="str">
        <f>IFERROR(__xludf.DUMMYFUNCTION("""COMPUTED_VALUE"""),"10.1093--jcr--ucv051.pdf")</f>
        <v>10.1093--jcr--ucv051.pdf</v>
      </c>
      <c r="D2419" s="156" t="str">
        <f>IFERROR(__xludf.DUMMYFUNCTION("""COMPUTED_VALUE"""),"application/pdf")</f>
        <v>application/pdf</v>
      </c>
    </row>
    <row r="2420">
      <c r="A2420" s="336" t="str">
        <f>IFERROR(__xludf.DUMMYFUNCTION("""COMPUTED_VALUE"""),"10.1093/jcr/ucv049")</f>
        <v>10.1093/jcr/ucv049</v>
      </c>
      <c r="B2420" s="442" t="str">
        <f>IFERROR(__xludf.DUMMYFUNCTION("""COMPUTED_VALUE"""),"https://drive.google.com/file/d/13HKE_rn4Mbnjq9uqiyo3J7J3BkR53UfI/view?usp=drivesdk")</f>
        <v>https://drive.google.com/file/d/13HKE_rn4Mbnjq9uqiyo3J7J3BkR53UfI/view?usp=drivesdk</v>
      </c>
      <c r="C2420" s="336" t="str">
        <f>IFERROR(__xludf.DUMMYFUNCTION("""COMPUTED_VALUE"""),"10.1093--jcr--ucv049.pdf")</f>
        <v>10.1093--jcr--ucv049.pdf</v>
      </c>
      <c r="D2420" s="156" t="str">
        <f>IFERROR(__xludf.DUMMYFUNCTION("""COMPUTED_VALUE"""),"application/pdf")</f>
        <v>application/pdf</v>
      </c>
    </row>
    <row r="2421">
      <c r="A2421" s="336" t="str">
        <f>IFERROR(__xludf.DUMMYFUNCTION("""COMPUTED_VALUE"""),"10.1093/jcr/ucv048")</f>
        <v>10.1093/jcr/ucv048</v>
      </c>
      <c r="B2421" s="442" t="str">
        <f>IFERROR(__xludf.DUMMYFUNCTION("""COMPUTED_VALUE"""),"https://drive.google.com/file/d/1MEpc9c6ksJJFPoeqztJd7l8g_1S5mA-8/view?usp=drivesdk")</f>
        <v>https://drive.google.com/file/d/1MEpc9c6ksJJFPoeqztJd7l8g_1S5mA-8/view?usp=drivesdk</v>
      </c>
      <c r="C2421" s="336" t="str">
        <f>IFERROR(__xludf.DUMMYFUNCTION("""COMPUTED_VALUE"""),"10.1093--jcr--ucv048.pdf")</f>
        <v>10.1093--jcr--ucv048.pdf</v>
      </c>
      <c r="D2421" s="156" t="str">
        <f>IFERROR(__xludf.DUMMYFUNCTION("""COMPUTED_VALUE"""),"application/pdf")</f>
        <v>application/pdf</v>
      </c>
    </row>
    <row r="2422">
      <c r="A2422" s="336" t="str">
        <f>IFERROR(__xludf.DUMMYFUNCTION("""COMPUTED_VALUE"""),"10.1093/jcr/ucv007")</f>
        <v>10.1093/jcr/ucv007</v>
      </c>
      <c r="B2422" s="442" t="str">
        <f>IFERROR(__xludf.DUMMYFUNCTION("""COMPUTED_VALUE"""),"https://drive.google.com/file/d/1hs6XpHWMiyMPANJzK7B4OuBvEZ7slY88/view?usp=drivesdk")</f>
        <v>https://drive.google.com/file/d/1hs6XpHWMiyMPANJzK7B4OuBvEZ7slY88/view?usp=drivesdk</v>
      </c>
      <c r="C2422" s="336" t="str">
        <f>IFERROR(__xludf.DUMMYFUNCTION("""COMPUTED_VALUE"""),"10.1093--jcr--ucv007.pdf")</f>
        <v>10.1093--jcr--ucv007.pdf</v>
      </c>
      <c r="D2422" s="156" t="str">
        <f>IFERROR(__xludf.DUMMYFUNCTION("""COMPUTED_VALUE"""),"application/pdf")</f>
        <v>application/pdf</v>
      </c>
    </row>
    <row r="2423">
      <c r="A2423" s="336" t="str">
        <f>IFERROR(__xludf.DUMMYFUNCTION("""COMPUTED_VALUE"""),"10.1093/jcr/ucaa019")</f>
        <v>10.1093/jcr/ucaa019</v>
      </c>
      <c r="B2423" s="442" t="str">
        <f>IFERROR(__xludf.DUMMYFUNCTION("""COMPUTED_VALUE"""),"https://drive.google.com/file/d/1F9_n_UhEAcWuePr4oCoaRdVdWXw-1HnA/view?usp=drivesdk")</f>
        <v>https://drive.google.com/file/d/1F9_n_UhEAcWuePr4oCoaRdVdWXw-1HnA/view?usp=drivesdk</v>
      </c>
      <c r="C2423" s="336" t="str">
        <f>IFERROR(__xludf.DUMMYFUNCTION("""COMPUTED_VALUE"""),"10.1093--jcr--ucaa019.pdf")</f>
        <v>10.1093--jcr--ucaa019.pdf</v>
      </c>
      <c r="D2423" s="156" t="str">
        <f>IFERROR(__xludf.DUMMYFUNCTION("""COMPUTED_VALUE"""),"application/pdf")</f>
        <v>application/pdf</v>
      </c>
    </row>
    <row r="2424">
      <c r="A2424" s="336" t="str">
        <f>IFERROR(__xludf.DUMMYFUNCTION("""COMPUTED_VALUE"""),"10.1093/jcr/ucaa006")</f>
        <v>10.1093/jcr/ucaa006</v>
      </c>
      <c r="B2424" s="442" t="str">
        <f>IFERROR(__xludf.DUMMYFUNCTION("""COMPUTED_VALUE"""),"https://drive.google.com/file/d/1gRgJHSBe6N9GFTwpidg5erf-GYFKEsJL/view?usp=drivesdk")</f>
        <v>https://drive.google.com/file/d/1gRgJHSBe6N9GFTwpidg5erf-GYFKEsJL/view?usp=drivesdk</v>
      </c>
      <c r="C2424" s="336" t="str">
        <f>IFERROR(__xludf.DUMMYFUNCTION("""COMPUTED_VALUE"""),"10.1093--jcr--ucaa006.pdf")</f>
        <v>10.1093--jcr--ucaa006.pdf</v>
      </c>
      <c r="D2424" s="156" t="str">
        <f>IFERROR(__xludf.DUMMYFUNCTION("""COMPUTED_VALUE"""),"application/pdf")</f>
        <v>application/pdf</v>
      </c>
    </row>
    <row r="2425">
      <c r="A2425" s="336" t="str">
        <f>IFERROR(__xludf.DUMMYFUNCTION("""COMPUTED_VALUE"""),"10.1093/geroni/igaa023")</f>
        <v>10.1093/geroni/igaa023</v>
      </c>
      <c r="B2425" s="442" t="str">
        <f>IFERROR(__xludf.DUMMYFUNCTION("""COMPUTED_VALUE"""),"https://drive.google.com/file/d/1pZNlp1XdYUtsNz_D8YxxUj7KaLbFmfHk/view?usp=drivesdk")</f>
        <v>https://drive.google.com/file/d/1pZNlp1XdYUtsNz_D8YxxUj7KaLbFmfHk/view?usp=drivesdk</v>
      </c>
      <c r="C2425" s="336" t="str">
        <f>IFERROR(__xludf.DUMMYFUNCTION("""COMPUTED_VALUE"""),"10.1093--geroni--igaa023.pdf")</f>
        <v>10.1093--geroni--igaa023.pdf</v>
      </c>
      <c r="D2425" s="156" t="str">
        <f>IFERROR(__xludf.DUMMYFUNCTION("""COMPUTED_VALUE"""),"application/pdf")</f>
        <v>application/pdf</v>
      </c>
    </row>
    <row r="2426">
      <c r="A2426" s="336" t="str">
        <f>IFERROR(__xludf.DUMMYFUNCTION("""COMPUTED_VALUE"""),"10.1093/aesthj/ayu027")</f>
        <v>10.1093/aesthj/ayu027</v>
      </c>
      <c r="B2426" s="442" t="str">
        <f>IFERROR(__xludf.DUMMYFUNCTION("""COMPUTED_VALUE"""),"https://drive.google.com/file/d/17zk5ntmJwRuglkdI2KDBsmDyHp9ZT9nk/view?usp=drivesdk")</f>
        <v>https://drive.google.com/file/d/17zk5ntmJwRuglkdI2KDBsmDyHp9ZT9nk/view?usp=drivesdk</v>
      </c>
      <c r="C2426" s="336" t="str">
        <f>IFERROR(__xludf.DUMMYFUNCTION("""COMPUTED_VALUE"""),"10.1093--aesthj--ayu027.pdf")</f>
        <v>10.1093--aesthj--ayu027.pdf</v>
      </c>
      <c r="D2426" s="156" t="str">
        <f>IFERROR(__xludf.DUMMYFUNCTION("""COMPUTED_VALUE"""),"application/pdf")</f>
        <v>application/pdf</v>
      </c>
    </row>
    <row r="2427">
      <c r="A2427" s="336" t="str">
        <f>IFERROR(__xludf.DUMMYFUNCTION("""COMPUTED_VALUE"""),"10.1037/0022-3514.94.2.94.2.231")</f>
        <v>10.1037/0022-3514.94.2.94.2.231</v>
      </c>
      <c r="B2427" s="442" t="str">
        <f>IFERROR(__xludf.DUMMYFUNCTION("""COMPUTED_VALUE"""),"https://drive.google.com/file/d/15DQQpECVr9NdJZ7O7RNWRdNwXQ6KQeXe/view?usp=drivesdk")</f>
        <v>https://drive.google.com/file/d/15DQQpECVr9NdJZ7O7RNWRdNwXQ6KQeXe/view?usp=drivesdk</v>
      </c>
      <c r="C2427" s="336" t="str">
        <f>IFERROR(__xludf.DUMMYFUNCTION("""COMPUTED_VALUE"""),"10.1037--0022-3514.94.2.94.2.231.pdf")</f>
        <v>10.1037--0022-3514.94.2.94.2.231.pdf</v>
      </c>
      <c r="D2427" s="156" t="str">
        <f>IFERROR(__xludf.DUMMYFUNCTION("""COMPUTED_VALUE"""),"application/pdf")</f>
        <v>application/pdf</v>
      </c>
    </row>
    <row r="2428">
      <c r="A2428" s="336" t="str">
        <f>IFERROR(__xludf.DUMMYFUNCTION("""COMPUTED_VALUE"""),"10.1037/0022-3514.94.2.94.2.214")</f>
        <v>10.1037/0022-3514.94.2.94.2.214</v>
      </c>
      <c r="B2428" s="442" t="str">
        <f>IFERROR(__xludf.DUMMYFUNCTION("""COMPUTED_VALUE"""),"https://drive.google.com/file/d/1uvNnSbKbMCM86OxWRFAhGKTZTJ6XCJE-/view?usp=drivesdk")</f>
        <v>https://drive.google.com/file/d/1uvNnSbKbMCM86OxWRFAhGKTZTJ6XCJE-/view?usp=drivesdk</v>
      </c>
      <c r="C2428" s="336" t="str">
        <f>IFERROR(__xludf.DUMMYFUNCTION("""COMPUTED_VALUE"""),"10.1037--0022-3514.94.2.94.2.214.pdf")</f>
        <v>10.1037--0022-3514.94.2.94.2.214.pdf</v>
      </c>
      <c r="D2428" s="156" t="str">
        <f>IFERROR(__xludf.DUMMYFUNCTION("""COMPUTED_VALUE"""),"application/pdf")</f>
        <v>application/pdf</v>
      </c>
    </row>
    <row r="2429">
      <c r="A2429" s="336" t="str">
        <f>IFERROR(__xludf.DUMMYFUNCTION("""COMPUTED_VALUE"""),"10.1016/j.intell.2006.02.004")</f>
        <v>10.1016/j.intell.2006.02.004</v>
      </c>
      <c r="B2429" s="442" t="str">
        <f>IFERROR(__xludf.DUMMYFUNCTION("""COMPUTED_VALUE"""),"https://drive.google.com/file/d/1Rd9xGPWDV88bQCLvGyH8PPp-DhHO-_DW/view?usp=drivesdk")</f>
        <v>https://drive.google.com/file/d/1Rd9xGPWDV88bQCLvGyH8PPp-DhHO-_DW/view?usp=drivesdk</v>
      </c>
      <c r="C2429" s="336" t="str">
        <f>IFERROR(__xludf.DUMMYFUNCTION("""COMPUTED_VALUE"""),"10.1016--j.intell.2006.02.004.pdf")</f>
        <v>10.1016--j.intell.2006.02.004.pdf</v>
      </c>
      <c r="D2429" s="156" t="str">
        <f>IFERROR(__xludf.DUMMYFUNCTION("""COMPUTED_VALUE"""),"application/pdf")</f>
        <v>application/pdf</v>
      </c>
    </row>
    <row r="2430">
      <c r="A2430" s="336" t="str">
        <f>IFERROR(__xludf.DUMMYFUNCTION("""COMPUTED_VALUE"""),"10.1016/j.tine.2017.02.002")</f>
        <v>10.1016/j.tine.2017.02.002</v>
      </c>
      <c r="B2430" s="442" t="str">
        <f>IFERROR(__xludf.DUMMYFUNCTION("""COMPUTED_VALUE"""),"https://drive.google.com/file/d/1v82xrF9c9ehLJpxzdx2U84oHz4YW6M1g/view?usp=drivesdk")</f>
        <v>https://drive.google.com/file/d/1v82xrF9c9ehLJpxzdx2U84oHz4YW6M1g/view?usp=drivesdk</v>
      </c>
      <c r="C2430" s="336" t="str">
        <f>IFERROR(__xludf.DUMMYFUNCTION("""COMPUTED_VALUE"""),"10.1016--j.tine.2017.02.002.pdf")</f>
        <v>10.1016--j.tine.2017.02.002.pdf</v>
      </c>
      <c r="D2430" s="156" t="str">
        <f>IFERROR(__xludf.DUMMYFUNCTION("""COMPUTED_VALUE"""),"application/pdf")</f>
        <v>application/pdf</v>
      </c>
    </row>
    <row r="2431">
      <c r="A2431" s="336" t="str">
        <f>IFERROR(__xludf.DUMMYFUNCTION("""COMPUTED_VALUE"""),"10.1207/s15326985ep4104_1")</f>
        <v>10.1207/s15326985ep4104_1</v>
      </c>
      <c r="B2431" s="442" t="str">
        <f>IFERROR(__xludf.DUMMYFUNCTION("""COMPUTED_VALUE"""),"https://drive.google.com/file/d/1qE6c5eqWeEKM9st3yOraYsnw5N9yJH7l/view?usp=drivesdk")</f>
        <v>https://drive.google.com/file/d/1qE6c5eqWeEKM9st3yOraYsnw5N9yJH7l/view?usp=drivesdk</v>
      </c>
      <c r="C2431" s="336" t="str">
        <f>IFERROR(__xludf.DUMMYFUNCTION("""COMPUTED_VALUE"""),"10.1207--s15326985ep4104_1.pdf")</f>
        <v>10.1207--s15326985ep4104_1.pdf</v>
      </c>
      <c r="D2431" s="156" t="str">
        <f>IFERROR(__xludf.DUMMYFUNCTION("""COMPUTED_VALUE"""),"application/pdf")</f>
        <v>application/pdf</v>
      </c>
    </row>
    <row r="2432">
      <c r="A2432" s="336" t="str">
        <f>IFERROR(__xludf.DUMMYFUNCTION("""COMPUTED_VALUE"""),"10.1162/jocn_a_00141")</f>
        <v>10.1162/jocn_a_00141</v>
      </c>
      <c r="B2432" s="442" t="str">
        <f>IFERROR(__xludf.DUMMYFUNCTION("""COMPUTED_VALUE"""),"https://drive.google.com/file/d/1yicevDL8q3uBlrq8FME7wO35hhINlm9i/view?usp=drivesdk")</f>
        <v>https://drive.google.com/file/d/1yicevDL8q3uBlrq8FME7wO35hhINlm9i/view?usp=drivesdk</v>
      </c>
      <c r="C2432" s="336" t="str">
        <f>IFERROR(__xludf.DUMMYFUNCTION("""COMPUTED_VALUE"""),"10.1162--jocn_a_00141.pdf")</f>
        <v>10.1162--jocn_a_00141.pdf</v>
      </c>
      <c r="D2432" s="156" t="str">
        <f>IFERROR(__xludf.DUMMYFUNCTION("""COMPUTED_VALUE"""),"application/pdf")</f>
        <v>application/pdf</v>
      </c>
    </row>
    <row r="2433">
      <c r="A2433" s="336" t="str">
        <f>IFERROR(__xludf.DUMMYFUNCTION("""COMPUTED_VALUE"""),"10.1016/j.neuron.2010.11.045")</f>
        <v>10.1016/j.neuron.2010.11.045</v>
      </c>
      <c r="B2433" s="442" t="str">
        <f>IFERROR(__xludf.DUMMYFUNCTION("""COMPUTED_VALUE"""),"https://drive.google.com/file/d/1QGwFQzaQRDG3tlEKooHy4FGNPwX6h1w1/view?usp=drivesdk")</f>
        <v>https://drive.google.com/file/d/1QGwFQzaQRDG3tlEKooHy4FGNPwX6h1w1/view?usp=drivesdk</v>
      </c>
      <c r="C2433" s="336" t="str">
        <f>IFERROR(__xludf.DUMMYFUNCTION("""COMPUTED_VALUE"""),"10.1016--j.neuron.2010.11.045.pdf")</f>
        <v>10.1016--j.neuron.2010.11.045.pdf</v>
      </c>
      <c r="D2433" s="156" t="str">
        <f>IFERROR(__xludf.DUMMYFUNCTION("""COMPUTED_VALUE"""),"application/pdf")</f>
        <v>application/pdf</v>
      </c>
    </row>
    <row r="2434">
      <c r="A2434" s="336" t="str">
        <f>IFERROR(__xludf.DUMMYFUNCTION("""COMPUTED_VALUE"""),"10.1016/j.cub.2016.03.047")</f>
        <v>10.1016/j.cub.2016.03.047</v>
      </c>
      <c r="B2434" s="442" t="str">
        <f>IFERROR(__xludf.DUMMYFUNCTION("""COMPUTED_VALUE"""),"https://drive.google.com/file/d/1612cVHt8YAoCVAa9x6CR0LsF-S_e-dzF/view?usp=drivesdk")</f>
        <v>https://drive.google.com/file/d/1612cVHt8YAoCVAa9x6CR0LsF-S_e-dzF/view?usp=drivesdk</v>
      </c>
      <c r="C2434" s="336" t="str">
        <f>IFERROR(__xludf.DUMMYFUNCTION("""COMPUTED_VALUE"""),"10.1016--j.cub.2016.03.047.pdf")</f>
        <v>10.1016--j.cub.2016.03.047.pdf</v>
      </c>
      <c r="D2434" s="156" t="str">
        <f>IFERROR(__xludf.DUMMYFUNCTION("""COMPUTED_VALUE"""),"application/pdf")</f>
        <v>application/pdf</v>
      </c>
    </row>
    <row r="2435">
      <c r="A2435" s="336" t="str">
        <f>IFERROR(__xludf.DUMMYFUNCTION("""COMPUTED_VALUE"""),"10.1016/j.jml.2010.09.002")</f>
        <v>10.1016/j.jml.2010.09.002</v>
      </c>
      <c r="B2435" s="442" t="str">
        <f>IFERROR(__xludf.DUMMYFUNCTION("""COMPUTED_VALUE"""),"https://drive.google.com/file/d/13scdctuunPsPA7VN0U_MwGGRn8XVKTbE/view?usp=drivesdk")</f>
        <v>https://drive.google.com/file/d/13scdctuunPsPA7VN0U_MwGGRn8XVKTbE/view?usp=drivesdk</v>
      </c>
      <c r="C2435" s="336" t="str">
        <f>IFERROR(__xludf.DUMMYFUNCTION("""COMPUTED_VALUE"""),"10.1016--j.jml.2010.09.002.pdf")</f>
        <v>10.1016--j.jml.2010.09.002.pdf</v>
      </c>
      <c r="D2435" s="156" t="str">
        <f>IFERROR(__xludf.DUMMYFUNCTION("""COMPUTED_VALUE"""),"application/pdf")</f>
        <v>application/pdf</v>
      </c>
    </row>
    <row r="2436">
      <c r="A2436" s="336" t="str">
        <f>IFERROR(__xludf.DUMMYFUNCTION("""COMPUTED_VALUE"""),"10.1080/17470218.2013.771689")</f>
        <v>10.1080/17470218.2013.771689</v>
      </c>
      <c r="B2436" s="442" t="str">
        <f>IFERROR(__xludf.DUMMYFUNCTION("""COMPUTED_VALUE"""),"https://drive.google.com/file/d/17rssfXeSwSyxfwOWnaBs0wPihBQAhZp-/view?usp=drivesdk")</f>
        <v>https://drive.google.com/file/d/17rssfXeSwSyxfwOWnaBs0wPihBQAhZp-/view?usp=drivesdk</v>
      </c>
      <c r="C2436" s="336" t="str">
        <f>IFERROR(__xludf.DUMMYFUNCTION("""COMPUTED_VALUE"""),"10.1080--17470218.2013.771689.pdf")</f>
        <v>10.1080--17470218.2013.771689.pdf</v>
      </c>
      <c r="D2436" s="156" t="str">
        <f>IFERROR(__xludf.DUMMYFUNCTION("""COMPUTED_VALUE"""),"application/pdf")</f>
        <v>application/pdf</v>
      </c>
    </row>
    <row r="2437">
      <c r="A2437" s="336" t="str">
        <f>IFERROR(__xludf.DUMMYFUNCTION("""COMPUTED_VALUE"""),"10.1177/0956797617739704")</f>
        <v>10.1177/0956797617739704</v>
      </c>
      <c r="B2437" s="442" t="str">
        <f>IFERROR(__xludf.DUMMYFUNCTION("""COMPUTED_VALUE"""),"https://drive.google.com/file/d/1jd9ycYWZkLbbUrtvuNJeNEiLp_k9LMoe/view?usp=drivesdk")</f>
        <v>https://drive.google.com/file/d/1jd9ycYWZkLbbUrtvuNJeNEiLp_k9LMoe/view?usp=drivesdk</v>
      </c>
      <c r="C2437" s="336" t="str">
        <f>IFERROR(__xludf.DUMMYFUNCTION("""COMPUTED_VALUE"""),"10.1177--0956797617739704.pdf")</f>
        <v>10.1177--0956797617739704.pdf</v>
      </c>
      <c r="D2437" s="156" t="str">
        <f>IFERROR(__xludf.DUMMYFUNCTION("""COMPUTED_VALUE"""),"application/pdf")</f>
        <v>application/pdf</v>
      </c>
    </row>
    <row r="2438">
      <c r="A2438" s="336" t="str">
        <f>IFERROR(__xludf.DUMMYFUNCTION("""COMPUTED_VALUE"""),"10.1038/s41562-018-0506-1")</f>
        <v>10.1038/s41562-018-0506-1</v>
      </c>
      <c r="B2438" s="442" t="str">
        <f>IFERROR(__xludf.DUMMYFUNCTION("""COMPUTED_VALUE"""),"https://drive.google.com/file/d/1PHdeD8DCOHYtYlSowdL4RnjXdXP9WvnF/view?usp=drivesdk")</f>
        <v>https://drive.google.com/file/d/1PHdeD8DCOHYtYlSowdL4RnjXdXP9WvnF/view?usp=drivesdk</v>
      </c>
      <c r="C2438" s="336" t="str">
        <f>IFERROR(__xludf.DUMMYFUNCTION("""COMPUTED_VALUE"""),"10.1038--s41562-018-0506-1.pdf")</f>
        <v>10.1038--s41562-018-0506-1.pdf</v>
      </c>
      <c r="D2438" s="156" t="str">
        <f>IFERROR(__xludf.DUMMYFUNCTION("""COMPUTED_VALUE"""),"application/pdf")</f>
        <v>application/pdf</v>
      </c>
    </row>
    <row r="2439">
      <c r="A2439" s="336" t="str">
        <f>IFERROR(__xludf.DUMMYFUNCTION("""COMPUTED_VALUE"""),"10.1016/j.paid.2019.109707")</f>
        <v>10.1016/j.paid.2019.109707</v>
      </c>
      <c r="B2439" s="442" t="str">
        <f>IFERROR(__xludf.DUMMYFUNCTION("""COMPUTED_VALUE"""),"https://drive.google.com/file/d/1Qtwddk-XDlbwPPGy3W-QXhpffZJZhBKc/view?usp=drivesdk")</f>
        <v>https://drive.google.com/file/d/1Qtwddk-XDlbwPPGy3W-QXhpffZJZhBKc/view?usp=drivesdk</v>
      </c>
      <c r="C2439" s="336" t="str">
        <f>IFERROR(__xludf.DUMMYFUNCTION("""COMPUTED_VALUE"""),"10.1016--j.paid.2019.109707.pdf")</f>
        <v>10.1016--j.paid.2019.109707.pdf</v>
      </c>
      <c r="D2439" s="156" t="str">
        <f>IFERROR(__xludf.DUMMYFUNCTION("""COMPUTED_VALUE"""),"application/pdf")</f>
        <v>application/pdf</v>
      </c>
    </row>
    <row r="2440">
      <c r="A2440" s="336" t="str">
        <f>IFERROR(__xludf.DUMMYFUNCTION("""COMPUTED_VALUE"""),"10.1177/0956797617724208")</f>
        <v>10.1177/0956797617724208</v>
      </c>
      <c r="B2440" s="442" t="str">
        <f>IFERROR(__xludf.DUMMYFUNCTION("""COMPUTED_VALUE"""),"https://drive.google.com/file/d/1mL9Ab5TM5BMWagobH7NKQFy8VurCd2et/view?usp=drivesdk")</f>
        <v>https://drive.google.com/file/d/1mL9Ab5TM5BMWagobH7NKQFy8VurCd2et/view?usp=drivesdk</v>
      </c>
      <c r="C2440" s="336" t="str">
        <f>IFERROR(__xludf.DUMMYFUNCTION("""COMPUTED_VALUE"""),"10.1177--0956797617724208.pdf")</f>
        <v>10.1177--0956797617724208.pdf</v>
      </c>
      <c r="D2440" s="156" t="str">
        <f>IFERROR(__xludf.DUMMYFUNCTION("""COMPUTED_VALUE"""),"application/pdf")</f>
        <v>application/pdf</v>
      </c>
    </row>
    <row r="2441">
      <c r="A2441" s="336" t="str">
        <f>IFERROR(__xludf.DUMMYFUNCTION("""COMPUTED_VALUE"""),"10.1177/1745691609357019")</f>
        <v>10.1177/1745691609357019</v>
      </c>
      <c r="B2441" s="442" t="str">
        <f>IFERROR(__xludf.DUMMYFUNCTION("""COMPUTED_VALUE"""),"https://drive.google.com/file/d/1Ss_WUKD-G7G3jlVK_OnYeM1slXhgl9ui/view?usp=drivesdk")</f>
        <v>https://drive.google.com/file/d/1Ss_WUKD-G7G3jlVK_OnYeM1slXhgl9ui/view?usp=drivesdk</v>
      </c>
      <c r="C2441" s="336" t="str">
        <f>IFERROR(__xludf.DUMMYFUNCTION("""COMPUTED_VALUE"""),"10.1177--1745691609357019.pdf")</f>
        <v>10.1177--1745691609357019.pdf</v>
      </c>
      <c r="D2441" s="156" t="str">
        <f>IFERROR(__xludf.DUMMYFUNCTION("""COMPUTED_VALUE"""),"application/pdf")</f>
        <v>application/pdf</v>
      </c>
    </row>
    <row r="2442">
      <c r="A2442" s="336" t="str">
        <f>IFERROR(__xludf.DUMMYFUNCTION("""COMPUTED_VALUE"""),"10.1177/2167696812466848")</f>
        <v>10.1177/2167696812466848</v>
      </c>
      <c r="B2442" s="442" t="str">
        <f>IFERROR(__xludf.DUMMYFUNCTION("""COMPUTED_VALUE"""),"https://drive.google.com/file/d/1o2k7vj4lCbLr-sUckUJPC5evZ3l6CFw_/view?usp=drivesdk")</f>
        <v>https://drive.google.com/file/d/1o2k7vj4lCbLr-sUckUJPC5evZ3l6CFw_/view?usp=drivesdk</v>
      </c>
      <c r="C2442" s="336" t="str">
        <f>IFERROR(__xludf.DUMMYFUNCTION("""COMPUTED_VALUE"""),"10.1177--2167696812466848.pdf")</f>
        <v>10.1177--2167696812466848.pdf</v>
      </c>
      <c r="D2442" s="156" t="str">
        <f>IFERROR(__xludf.DUMMYFUNCTION("""COMPUTED_VALUE"""),"application/pdf")</f>
        <v>application/pdf</v>
      </c>
    </row>
    <row r="2443">
      <c r="A2443" s="336" t="str">
        <f>IFERROR(__xludf.DUMMYFUNCTION("""COMPUTED_VALUE"""),"10.3390/su13158315")</f>
        <v>10.3390/su13158315</v>
      </c>
      <c r="B2443" s="442" t="str">
        <f>IFERROR(__xludf.DUMMYFUNCTION("""COMPUTED_VALUE"""),"https://drive.google.com/file/d/1xWtzIalTyDfQmth-6vNfg7v6DUlLfVxw/view?usp=drivesdk")</f>
        <v>https://drive.google.com/file/d/1xWtzIalTyDfQmth-6vNfg7v6DUlLfVxw/view?usp=drivesdk</v>
      </c>
      <c r="C2443" s="336" t="str">
        <f>IFERROR(__xludf.DUMMYFUNCTION("""COMPUTED_VALUE"""),"10.3390--su13158315.pdf")</f>
        <v>10.3390--su13158315.pdf</v>
      </c>
      <c r="D2443" s="156" t="str">
        <f>IFERROR(__xludf.DUMMYFUNCTION("""COMPUTED_VALUE"""),"application/pdf")</f>
        <v>application/pdf</v>
      </c>
    </row>
    <row r="2444">
      <c r="A2444" s="336" t="str">
        <f>IFERROR(__xludf.DUMMYFUNCTION("""COMPUTED_VALUE"""),"10.1177/0956797613520236")</f>
        <v>10.1177/0956797613520236</v>
      </c>
      <c r="B2444" s="442" t="str">
        <f>IFERROR(__xludf.DUMMYFUNCTION("""COMPUTED_VALUE"""),"https://drive.google.com/file/d/1r2agxTQW4eF6F77aYqt_qAMgbq4h6vhA/view?usp=drivesdk")</f>
        <v>https://drive.google.com/file/d/1r2agxTQW4eF6F77aYqt_qAMgbq4h6vhA/view?usp=drivesdk</v>
      </c>
      <c r="C2444" s="336" t="str">
        <f>IFERROR(__xludf.DUMMYFUNCTION("""COMPUTED_VALUE"""),"10.1177--0956797613520236.pdf")</f>
        <v>10.1177--0956797613520236.pdf</v>
      </c>
      <c r="D2444" s="156" t="str">
        <f>IFERROR(__xludf.DUMMYFUNCTION("""COMPUTED_VALUE"""),"application/pdf")</f>
        <v>application/pdf</v>
      </c>
    </row>
    <row r="2445">
      <c r="A2445" s="336" t="str">
        <f>IFERROR(__xludf.DUMMYFUNCTION("""COMPUTED_VALUE"""),"10.1038/s41598-019-40917-8")</f>
        <v>10.1038/s41598-019-40917-8</v>
      </c>
      <c r="B2445" s="442" t="str">
        <f>IFERROR(__xludf.DUMMYFUNCTION("""COMPUTED_VALUE"""),"https://drive.google.com/file/d/111nuS5F8JlaSOcxh61VDyUCY_DCdOKGM/view?usp=drivesdk")</f>
        <v>https://drive.google.com/file/d/111nuS5F8JlaSOcxh61VDyUCY_DCdOKGM/view?usp=drivesdk</v>
      </c>
      <c r="C2445" s="336" t="str">
        <f>IFERROR(__xludf.DUMMYFUNCTION("""COMPUTED_VALUE"""),"10.1038--s41598-019-40917-8.pdf")</f>
        <v>10.1038--s41598-019-40917-8.pdf</v>
      </c>
      <c r="D2445" s="156" t="str">
        <f>IFERROR(__xludf.DUMMYFUNCTION("""COMPUTED_VALUE"""),"application/pdf")</f>
        <v>application/pdf</v>
      </c>
    </row>
    <row r="2446">
      <c r="A2446" s="336" t="str">
        <f>IFERROR(__xludf.DUMMYFUNCTION("""COMPUTED_VALUE"""),"10.1016/j.neulet.2016.03.027")</f>
        <v>10.1016/j.neulet.2016.03.027</v>
      </c>
      <c r="B2446" s="442" t="str">
        <f>IFERROR(__xludf.DUMMYFUNCTION("""COMPUTED_VALUE"""),"https://drive.google.com/file/d/12AI5DRJwy5EUDc4Bff1lMMigRu387odK/view?usp=drivesdk")</f>
        <v>https://drive.google.com/file/d/12AI5DRJwy5EUDc4Bff1lMMigRu387odK/view?usp=drivesdk</v>
      </c>
      <c r="C2446" s="336" t="str">
        <f>IFERROR(__xludf.DUMMYFUNCTION("""COMPUTED_VALUE"""),"10.1016--j.neulet.2016.03.027.pdf")</f>
        <v>10.1016--j.neulet.2016.03.027.pdf</v>
      </c>
      <c r="D2446" s="156" t="str">
        <f>IFERROR(__xludf.DUMMYFUNCTION("""COMPUTED_VALUE"""),"application/pdf")</f>
        <v>application/pdf</v>
      </c>
    </row>
    <row r="2447">
      <c r="A2447" s="336" t="str">
        <f>IFERROR(__xludf.DUMMYFUNCTION("""COMPUTED_VALUE"""),"10.1080/17437199.2016.1176865")</f>
        <v>10.1080/17437199.2016.1176865</v>
      </c>
      <c r="B2447" s="442" t="str">
        <f>IFERROR(__xludf.DUMMYFUNCTION("""COMPUTED_VALUE"""),"https://drive.google.com/file/d/1q3zDBCAa9Iik9Z4vigCtXmanj8_d5bWb/view?usp=drivesdk")</f>
        <v>https://drive.google.com/file/d/1q3zDBCAa9Iik9Z4vigCtXmanj8_d5bWb/view?usp=drivesdk</v>
      </c>
      <c r="C2447" s="336" t="str">
        <f>IFERROR(__xludf.DUMMYFUNCTION("""COMPUTED_VALUE"""),"10.1080--17437199.2016.1176865.pdf")</f>
        <v>10.1080--17437199.2016.1176865.pdf</v>
      </c>
      <c r="D2447" s="156" t="str">
        <f>IFERROR(__xludf.DUMMYFUNCTION("""COMPUTED_VALUE"""),"application/pdf")</f>
        <v>application/pdf</v>
      </c>
    </row>
    <row r="2448">
      <c r="A2448" s="336" t="str">
        <f>IFERROR(__xludf.DUMMYFUNCTION("""COMPUTED_VALUE"""),"10.1509/jmkg.70.1.079.qxd")</f>
        <v>10.1509/jmkg.70.1.079.qxd</v>
      </c>
      <c r="B2448" s="442" t="str">
        <f>IFERROR(__xludf.DUMMYFUNCTION("""COMPUTED_VALUE"""),"https://drive.google.com/file/d/1rPq3gMHnm7Y6lLJHL8-tANQFNLPqfbYm/view?usp=drivesdk")</f>
        <v>https://drive.google.com/file/d/1rPq3gMHnm7Y6lLJHL8-tANQFNLPqfbYm/view?usp=drivesdk</v>
      </c>
      <c r="C2448" s="336" t="str">
        <f>IFERROR(__xludf.DUMMYFUNCTION("""COMPUTED_VALUE"""),"10.1509--jmkg.70.1.079.qxd.pdf")</f>
        <v>10.1509--jmkg.70.1.079.qxd.pdf</v>
      </c>
      <c r="D2448" s="156" t="str">
        <f>IFERROR(__xludf.DUMMYFUNCTION("""COMPUTED_VALUE"""),"application/pdf")</f>
        <v>application/pdf</v>
      </c>
    </row>
    <row r="2449">
      <c r="A2449" s="336" t="str">
        <f>IFERROR(__xludf.DUMMYFUNCTION("""COMPUTED_VALUE"""),"10.1111/desc.12704")</f>
        <v>10.1111/desc.12704</v>
      </c>
      <c r="B2449" s="442" t="str">
        <f>IFERROR(__xludf.DUMMYFUNCTION("""COMPUTED_VALUE"""),"https://drive.google.com/file/d/1ArbZggjGoMVmiSY_xH3hTtR4y6VtR9YL/view?usp=drivesdk")</f>
        <v>https://drive.google.com/file/d/1ArbZggjGoMVmiSY_xH3hTtR4y6VtR9YL/view?usp=drivesdk</v>
      </c>
      <c r="C2449" s="336" t="str">
        <f>IFERROR(__xludf.DUMMYFUNCTION("""COMPUTED_VALUE"""),"10.1111--desc.12704.pdf")</f>
        <v>10.1111--desc.12704.pdf</v>
      </c>
      <c r="D2449" s="156" t="str">
        <f>IFERROR(__xludf.DUMMYFUNCTION("""COMPUTED_VALUE"""),"application/pdf")</f>
        <v>application/pdf</v>
      </c>
    </row>
    <row r="2450">
      <c r="A2450" s="336" t="str">
        <f>IFERROR(__xludf.DUMMYFUNCTION("""COMPUTED_VALUE"""),"10.1016/0191-8869(87)90045-6")</f>
        <v>10.1016/0191-8869(87)90045-6</v>
      </c>
      <c r="B2450" s="442" t="str">
        <f>IFERROR(__xludf.DUMMYFUNCTION("""COMPUTED_VALUE"""),"https://drive.google.com/file/d/1bCQvFNYbFfqWVOhzqt4obegEPIxfYXMT/view?usp=drivesdk")</f>
        <v>https://drive.google.com/file/d/1bCQvFNYbFfqWVOhzqt4obegEPIxfYXMT/view?usp=drivesdk</v>
      </c>
      <c r="C2450" s="336" t="str">
        <f>IFERROR(__xludf.DUMMYFUNCTION("""COMPUTED_VALUE"""),"10.1016--0191-8869(87)90045-6.pdf")</f>
        <v>10.1016--0191-8869(87)90045-6.pdf</v>
      </c>
      <c r="D2450" s="156" t="str">
        <f>IFERROR(__xludf.DUMMYFUNCTION("""COMPUTED_VALUE"""),"application/pdf")</f>
        <v>application/pdf</v>
      </c>
    </row>
    <row r="2451">
      <c r="A2451" s="336" t="str">
        <f>IFERROR(__xludf.DUMMYFUNCTION("""COMPUTED_VALUE"""),"10.1086/683144")</f>
        <v>10.1086/683144</v>
      </c>
      <c r="B2451" s="442" t="str">
        <f>IFERROR(__xludf.DUMMYFUNCTION("""COMPUTED_VALUE"""),"https://drive.google.com/file/d/1-Jvwx8R_dcvBtVji-UAeDOhCZFiAAn9H/view?usp=drivesdk")</f>
        <v>https://drive.google.com/file/d/1-Jvwx8R_dcvBtVji-UAeDOhCZFiAAn9H/view?usp=drivesdk</v>
      </c>
      <c r="C2451" s="336" t="str">
        <f>IFERROR(__xludf.DUMMYFUNCTION("""COMPUTED_VALUE"""),"10.1086--683144.pdf")</f>
        <v>10.1086--683144.pdf</v>
      </c>
      <c r="D2451" s="156" t="str">
        <f>IFERROR(__xludf.DUMMYFUNCTION("""COMPUTED_VALUE"""),"application/pdf")</f>
        <v>application/pdf</v>
      </c>
    </row>
    <row r="2452">
      <c r="A2452" s="336" t="str">
        <f>IFERROR(__xludf.DUMMYFUNCTION("""COMPUTED_VALUE"""),"10.1177/0956797616668510")</f>
        <v>10.1177/0956797616668510</v>
      </c>
      <c r="B2452" s="442" t="str">
        <f>IFERROR(__xludf.DUMMYFUNCTION("""COMPUTED_VALUE"""),"https://drive.google.com/file/d/1m5ZlxWxxW6mIJMc4yPo8-xk7pqhPlOsf/view?usp=drivesdk")</f>
        <v>https://drive.google.com/file/d/1m5ZlxWxxW6mIJMc4yPo8-xk7pqhPlOsf/view?usp=drivesdk</v>
      </c>
      <c r="C2452" s="336" t="str">
        <f>IFERROR(__xludf.DUMMYFUNCTION("""COMPUTED_VALUE"""),"10.1177--0956797616668510.pdf")</f>
        <v>10.1177--0956797616668510.pdf</v>
      </c>
      <c r="D2452" s="156" t="str">
        <f>IFERROR(__xludf.DUMMYFUNCTION("""COMPUTED_VALUE"""),"application/pdf")</f>
        <v>application/pdf</v>
      </c>
    </row>
    <row r="2453">
      <c r="A2453" s="336" t="str">
        <f>IFERROR(__xludf.DUMMYFUNCTION("""COMPUTED_VALUE"""),"10.1177/2515245920917931")</f>
        <v>10.1177/2515245920917931</v>
      </c>
      <c r="B2453" s="442" t="str">
        <f>IFERROR(__xludf.DUMMYFUNCTION("""COMPUTED_VALUE"""),"https://drive.google.com/file/d/1PTnkzr8QEo22di-UQWPHzD8_NqzRwLZZ/view?usp=drivesdk")</f>
        <v>https://drive.google.com/file/d/1PTnkzr8QEo22di-UQWPHzD8_NqzRwLZZ/view?usp=drivesdk</v>
      </c>
      <c r="C2453" s="336" t="str">
        <f>IFERROR(__xludf.DUMMYFUNCTION("""COMPUTED_VALUE"""),"10.1177--2515245920917931.pdf")</f>
        <v>10.1177--2515245920917931.pdf</v>
      </c>
      <c r="D2453" s="156" t="str">
        <f>IFERROR(__xludf.DUMMYFUNCTION("""COMPUTED_VALUE"""),"application/pdf")</f>
        <v>application/pdf</v>
      </c>
    </row>
    <row r="2454">
      <c r="A2454" s="336" t="str">
        <f>IFERROR(__xludf.DUMMYFUNCTION("""COMPUTED_VALUE"""),"10.1080/02699931.2018.1429389")</f>
        <v>10.1080/02699931.2018.1429389</v>
      </c>
      <c r="B2454" s="442" t="str">
        <f>IFERROR(__xludf.DUMMYFUNCTION("""COMPUTED_VALUE"""),"https://drive.google.com/file/d/1a_TAmQXjhkfvt4i4JzzGhoFGBmtYk_1Z/view?usp=drivesdk")</f>
        <v>https://drive.google.com/file/d/1a_TAmQXjhkfvt4i4JzzGhoFGBmtYk_1Z/view?usp=drivesdk</v>
      </c>
      <c r="C2454" s="336" t="str">
        <f>IFERROR(__xludf.DUMMYFUNCTION("""COMPUTED_VALUE"""),"10.1080--02699931.2018.1429389.pdf")</f>
        <v>10.1080--02699931.2018.1429389.pdf</v>
      </c>
      <c r="D2454" s="156" t="str">
        <f>IFERROR(__xludf.DUMMYFUNCTION("""COMPUTED_VALUE"""),"application/pdf")</f>
        <v>application/pdf</v>
      </c>
    </row>
    <row r="2455">
      <c r="A2455" s="336" t="str">
        <f>IFERROR(__xludf.DUMMYFUNCTION("""COMPUTED_VALUE"""),"10.1017/s026144482000021x")</f>
        <v>10.1017/s026144482000021x</v>
      </c>
      <c r="B2455" s="442" t="str">
        <f>IFERROR(__xludf.DUMMYFUNCTION("""COMPUTED_VALUE"""),"https://drive.google.com/file/d/1nVUA1RBik6M2hcwtK79Vsh6Pw_dxLn8h/view?usp=drivesdk")</f>
        <v>https://drive.google.com/file/d/1nVUA1RBik6M2hcwtK79Vsh6Pw_dxLn8h/view?usp=drivesdk</v>
      </c>
      <c r="C2455" s="336" t="str">
        <f>IFERROR(__xludf.DUMMYFUNCTION("""COMPUTED_VALUE"""),"10.1017--S026144482000021X.pdf")</f>
        <v>10.1017--S026144482000021X.pdf</v>
      </c>
      <c r="D2455" s="156" t="str">
        <f>IFERROR(__xludf.DUMMYFUNCTION("""COMPUTED_VALUE"""),"application/pdf")</f>
        <v>application/pdf</v>
      </c>
    </row>
    <row r="2456">
      <c r="A2456" s="336" t="str">
        <f>IFERROR(__xludf.DUMMYFUNCTION("""COMPUTED_VALUE"""),"10.1016/j.actpsy.2011.10.002")</f>
        <v>10.1016/j.actpsy.2011.10.002</v>
      </c>
      <c r="B2456" s="442" t="str">
        <f>IFERROR(__xludf.DUMMYFUNCTION("""COMPUTED_VALUE"""),"https://drive.google.com/file/d/1Mg33u9waVV2mObboAz-o1lX_7OGD4KRf/view?usp=drivesdk")</f>
        <v>https://drive.google.com/file/d/1Mg33u9waVV2mObboAz-o1lX_7OGD4KRf/view?usp=drivesdk</v>
      </c>
      <c r="C2456" s="336" t="str">
        <f>IFERROR(__xludf.DUMMYFUNCTION("""COMPUTED_VALUE"""),"10.1016--j.actpsy.2011.10.002.pdf")</f>
        <v>10.1016--j.actpsy.2011.10.002.pdf</v>
      </c>
      <c r="D2456" s="156" t="str">
        <f>IFERROR(__xludf.DUMMYFUNCTION("""COMPUTED_VALUE"""),"application/pdf")</f>
        <v>application/pdf</v>
      </c>
    </row>
    <row r="2457">
      <c r="A2457" s="336" t="str">
        <f>IFERROR(__xludf.DUMMYFUNCTION("""COMPUTED_VALUE"""),"10.3758/s13421-019-00963-z")</f>
        <v>10.3758/s13421-019-00963-z</v>
      </c>
      <c r="B2457" s="442" t="str">
        <f>IFERROR(__xludf.DUMMYFUNCTION("""COMPUTED_VALUE"""),"https://drive.google.com/file/d/137jHE2eBwiXadYLyoWCwy8P9cobbLSgR/view?usp=drivesdk")</f>
        <v>https://drive.google.com/file/d/137jHE2eBwiXadYLyoWCwy8P9cobbLSgR/view?usp=drivesdk</v>
      </c>
      <c r="C2457" s="336" t="str">
        <f>IFERROR(__xludf.DUMMYFUNCTION("""COMPUTED_VALUE"""),"10.3758--s13421-019-00963-z.pdf")</f>
        <v>10.3758--s13421-019-00963-z.pdf</v>
      </c>
      <c r="D2457" s="156" t="str">
        <f>IFERROR(__xludf.DUMMYFUNCTION("""COMPUTED_VALUE"""),"application/pdf")</f>
        <v>application/pdf</v>
      </c>
    </row>
    <row r="2458">
      <c r="A2458" s="336" t="str">
        <f>IFERROR(__xludf.DUMMYFUNCTION("""COMPUTED_VALUE"""),"10.1080/13506280544000075")</f>
        <v>10.1080/13506280544000075</v>
      </c>
      <c r="B2458" s="442" t="str">
        <f>IFERROR(__xludf.DUMMYFUNCTION("""COMPUTED_VALUE"""),"https://drive.google.com/file/d/1JV5E_tSPkgvvTRPEu2rgklQPb_8Yb_7M/view?usp=drivesdk")</f>
        <v>https://drive.google.com/file/d/1JV5E_tSPkgvvTRPEu2rgklQPb_8Yb_7M/view?usp=drivesdk</v>
      </c>
      <c r="C2458" s="336" t="str">
        <f>IFERROR(__xludf.DUMMYFUNCTION("""COMPUTED_VALUE"""),"10.1080--13506280544000075.pdf")</f>
        <v>10.1080--13506280544000075.pdf</v>
      </c>
      <c r="D2458" s="156" t="str">
        <f>IFERROR(__xludf.DUMMYFUNCTION("""COMPUTED_VALUE"""),"application/pdf")</f>
        <v>application/pdf</v>
      </c>
    </row>
    <row r="2459">
      <c r="A2459" s="336" t="str">
        <f>IFERROR(__xludf.DUMMYFUNCTION("""COMPUTED_VALUE"""),"10.1371/journal.pone.0232133")</f>
        <v>10.1371/journal.pone.0232133</v>
      </c>
      <c r="B2459" s="442" t="str">
        <f>IFERROR(__xludf.DUMMYFUNCTION("""COMPUTED_VALUE"""),"https://drive.google.com/file/d/1KPX3cJhfnpW31dGY6ra4LvHIpzivafj3/view?usp=drivesdk")</f>
        <v>https://drive.google.com/file/d/1KPX3cJhfnpW31dGY6ra4LvHIpzivafj3/view?usp=drivesdk</v>
      </c>
      <c r="C2459" s="336" t="str">
        <f>IFERROR(__xludf.DUMMYFUNCTION("""COMPUTED_VALUE"""),"10.1371--journal.pone.0232133.pdf")</f>
        <v>10.1371--journal.pone.0232133.pdf</v>
      </c>
      <c r="D2459" s="156" t="str">
        <f>IFERROR(__xludf.DUMMYFUNCTION("""COMPUTED_VALUE"""),"application/pdf")</f>
        <v>application/pdf</v>
      </c>
    </row>
    <row r="2460">
      <c r="A2460" s="336" t="str">
        <f>IFERROR(__xludf.DUMMYFUNCTION("""COMPUTED_VALUE"""),"10.1016/j.actpsy.2008.12.004")</f>
        <v>10.1016/j.actpsy.2008.12.004</v>
      </c>
      <c r="B2460" s="442" t="str">
        <f>IFERROR(__xludf.DUMMYFUNCTION("""COMPUTED_VALUE"""),"https://drive.google.com/file/d/1mgtXjUjGQ4kYpZsW972EgP1jUJi2bdlT/view?usp=drivesdk")</f>
        <v>https://drive.google.com/file/d/1mgtXjUjGQ4kYpZsW972EgP1jUJi2bdlT/view?usp=drivesdk</v>
      </c>
      <c r="C2460" s="336" t="str">
        <f>IFERROR(__xludf.DUMMYFUNCTION("""COMPUTED_VALUE"""),"10.1016--j.actpsy.2008.12.004.pdf")</f>
        <v>10.1016--j.actpsy.2008.12.004.pdf</v>
      </c>
      <c r="D2460" s="156" t="str">
        <f>IFERROR(__xludf.DUMMYFUNCTION("""COMPUTED_VALUE"""),"application/pdf")</f>
        <v>application/pdf</v>
      </c>
    </row>
    <row r="2461">
      <c r="A2461" s="336" t="str">
        <f>IFERROR(__xludf.DUMMYFUNCTION("""COMPUTED_VALUE"""),"10.3758/s13423-020-01787-8")</f>
        <v>10.3758/s13423-020-01787-8</v>
      </c>
      <c r="B2461" s="442" t="str">
        <f>IFERROR(__xludf.DUMMYFUNCTION("""COMPUTED_VALUE"""),"https://drive.google.com/file/d/1Y8g9Mt2NlD4L3SEcN0KuE57CVvxX5ojn/view?usp=drivesdk")</f>
        <v>https://drive.google.com/file/d/1Y8g9Mt2NlD4L3SEcN0KuE57CVvxX5ojn/view?usp=drivesdk</v>
      </c>
      <c r="C2461" s="336" t="str">
        <f>IFERROR(__xludf.DUMMYFUNCTION("""COMPUTED_VALUE"""),"10.3758--s13423-020-01787-8.pdf")</f>
        <v>10.3758--s13423-020-01787-8.pdf</v>
      </c>
      <c r="D2461" s="156" t="str">
        <f>IFERROR(__xludf.DUMMYFUNCTION("""COMPUTED_VALUE"""),"application/pdf")</f>
        <v>application/pdf</v>
      </c>
    </row>
    <row r="2462">
      <c r="A2462" s="336" t="str">
        <f>IFERROR(__xludf.DUMMYFUNCTION("""COMPUTED_VALUE"""),"10.1515/opli-2017-0025")</f>
        <v>10.1515/opli-2017-0025</v>
      </c>
      <c r="B2462" s="442" t="str">
        <f>IFERROR(__xludf.DUMMYFUNCTION("""COMPUTED_VALUE"""),"https://drive.google.com/file/d/15DG09z-Q1avKwoLeUifY-dU1v9ht0kXY/view?usp=drivesdk")</f>
        <v>https://drive.google.com/file/d/15DG09z-Q1avKwoLeUifY-dU1v9ht0kXY/view?usp=drivesdk</v>
      </c>
      <c r="C2462" s="336" t="str">
        <f>IFERROR(__xludf.DUMMYFUNCTION("""COMPUTED_VALUE"""),"10.1515--opli-2017-0025.pdf")</f>
        <v>10.1515--opli-2017-0025.pdf</v>
      </c>
      <c r="D2462" s="156" t="str">
        <f>IFERROR(__xludf.DUMMYFUNCTION("""COMPUTED_VALUE"""),"application/pdf")</f>
        <v>application/pdf</v>
      </c>
    </row>
    <row r="2463">
      <c r="A2463" s="336" t="str">
        <f>IFERROR(__xludf.DUMMYFUNCTION("""COMPUTED_VALUE"""),"10.3758/s13428-013-0383-5")</f>
        <v>10.3758/s13428-013-0383-5</v>
      </c>
      <c r="B2463" s="442" t="str">
        <f>IFERROR(__xludf.DUMMYFUNCTION("""COMPUTED_VALUE"""),"https://drive.google.com/file/d/1aNCopp6L-iHhMqKziEr--S-rJPm203hR/view?usp=drivesdk")</f>
        <v>https://drive.google.com/file/d/1aNCopp6L-iHhMqKziEr--S-rJPm203hR/view?usp=drivesdk</v>
      </c>
      <c r="C2463" s="336" t="str">
        <f>IFERROR(__xludf.DUMMYFUNCTION("""COMPUTED_VALUE"""),"10.3758--s13428-013-0383-5.pdf")</f>
        <v>10.3758--s13428-013-0383-5.pdf</v>
      </c>
      <c r="D2463" s="156" t="str">
        <f>IFERROR(__xludf.DUMMYFUNCTION("""COMPUTED_VALUE"""),"application/pdf")</f>
        <v>application/pdf</v>
      </c>
    </row>
    <row r="2464">
      <c r="A2464" s="336" t="str">
        <f>IFERROR(__xludf.DUMMYFUNCTION("""COMPUTED_VALUE"""),"10.1016/s1053-8119(03)00227-1")</f>
        <v>10.1016/s1053-8119(03)00227-1</v>
      </c>
      <c r="B2464" s="442" t="str">
        <f>IFERROR(__xludf.DUMMYFUNCTION("""COMPUTED_VALUE"""),"https://drive.google.com/file/d/1dsvOBmBs1wP88rR3tXOp4XVBBUmmNcsQ/view?usp=drivesdk")</f>
        <v>https://drive.google.com/file/d/1dsvOBmBs1wP88rR3tXOp4XVBBUmmNcsQ/view?usp=drivesdk</v>
      </c>
      <c r="C2464" s="336" t="str">
        <f>IFERROR(__xludf.DUMMYFUNCTION("""COMPUTED_VALUE"""),"10.1016--S1053-8119(03)00227-1.pdf")</f>
        <v>10.1016--S1053-8119(03)00227-1.pdf</v>
      </c>
      <c r="D2464" s="156" t="str">
        <f>IFERROR(__xludf.DUMMYFUNCTION("""COMPUTED_VALUE"""),"application/pdf")</f>
        <v>application/pdf</v>
      </c>
    </row>
    <row r="2465">
      <c r="A2465" s="336" t="str">
        <f>IFERROR(__xludf.DUMMYFUNCTION("""COMPUTED_VALUE"""),"10.1177/1368430213510573")</f>
        <v>10.1177/1368430213510573</v>
      </c>
      <c r="B2465" s="442" t="str">
        <f>IFERROR(__xludf.DUMMYFUNCTION("""COMPUTED_VALUE"""),"https://drive.google.com/file/d/1FA-zcvOHTA7xvok7vsBsqo32SwSG_W0T/view?usp=drivesdk")</f>
        <v>https://drive.google.com/file/d/1FA-zcvOHTA7xvok7vsBsqo32SwSG_W0T/view?usp=drivesdk</v>
      </c>
      <c r="C2465" s="336" t="str">
        <f>IFERROR(__xludf.DUMMYFUNCTION("""COMPUTED_VALUE"""),"10.1177--1368430213510573.pdf")</f>
        <v>10.1177--1368430213510573.pdf</v>
      </c>
      <c r="D2465" s="156" t="str">
        <f>IFERROR(__xludf.DUMMYFUNCTION("""COMPUTED_VALUE"""),"application/pdf")</f>
        <v>application/pdf</v>
      </c>
    </row>
    <row r="2466">
      <c r="A2466" s="336" t="str">
        <f>IFERROR(__xludf.DUMMYFUNCTION("""COMPUTED_VALUE"""),"10.1016/j.ijresmar.2012.05.001")</f>
        <v>10.1016/j.ijresmar.2012.05.001</v>
      </c>
      <c r="B2466" s="442" t="str">
        <f>IFERROR(__xludf.DUMMYFUNCTION("""COMPUTED_VALUE"""),"https://drive.google.com/file/d/1fG33_gUttrbjxOWCW-_NMak-KhKBrija/view?usp=drivesdk")</f>
        <v>https://drive.google.com/file/d/1fG33_gUttrbjxOWCW-_NMak-KhKBrija/view?usp=drivesdk</v>
      </c>
      <c r="C2466" s="336" t="str">
        <f>IFERROR(__xludf.DUMMYFUNCTION("""COMPUTED_VALUE"""),"10.1016--j.ijresmar.2012.05.001.pdf")</f>
        <v>10.1016--j.ijresmar.2012.05.001.pdf</v>
      </c>
      <c r="D2466" s="156" t="str">
        <f>IFERROR(__xludf.DUMMYFUNCTION("""COMPUTED_VALUE"""),"application/pdf")</f>
        <v>application/pdf</v>
      </c>
    </row>
    <row r="2467">
      <c r="A2467" s="336" t="str">
        <f>IFERROR(__xludf.DUMMYFUNCTION("""COMPUTED_VALUE"""),"10.1111/cogs.12968")</f>
        <v>10.1111/cogs.12968</v>
      </c>
      <c r="B2467" s="442" t="str">
        <f>IFERROR(__xludf.DUMMYFUNCTION("""COMPUTED_VALUE"""),"https://drive.google.com/file/d/1R36UqBtXAtA4BMYOQZDdBTMQHYPhyClu/view?usp=drivesdk")</f>
        <v>https://drive.google.com/file/d/1R36UqBtXAtA4BMYOQZDdBTMQHYPhyClu/view?usp=drivesdk</v>
      </c>
      <c r="C2467" s="336" t="str">
        <f>IFERROR(__xludf.DUMMYFUNCTION("""COMPUTED_VALUE"""),"10.1111--cogs.12968.pdf")</f>
        <v>10.1111--cogs.12968.pdf</v>
      </c>
      <c r="D2467" s="156" t="str">
        <f>IFERROR(__xludf.DUMMYFUNCTION("""COMPUTED_VALUE"""),"application/pdf")</f>
        <v>application/pdf</v>
      </c>
    </row>
    <row r="2468">
      <c r="A2468" s="336" t="str">
        <f>IFERROR(__xludf.DUMMYFUNCTION("""COMPUTED_VALUE"""),"10.1371/journal.pone.0147924")</f>
        <v>10.1371/journal.pone.0147924</v>
      </c>
      <c r="B2468" s="442" t="str">
        <f>IFERROR(__xludf.DUMMYFUNCTION("""COMPUTED_VALUE"""),"https://drive.google.com/file/d/1QViH4ajHq8X5kkbFfEdjYYy64Zu212y8/view?usp=drivesdk")</f>
        <v>https://drive.google.com/file/d/1QViH4ajHq8X5kkbFfEdjYYy64Zu212y8/view?usp=drivesdk</v>
      </c>
      <c r="C2468" s="336" t="str">
        <f>IFERROR(__xludf.DUMMYFUNCTION("""COMPUTED_VALUE"""),"10.1371--journal.pone.0147924.pdf")</f>
        <v>10.1371--journal.pone.0147924.pdf</v>
      </c>
      <c r="D2468" s="156" t="str">
        <f>IFERROR(__xludf.DUMMYFUNCTION("""COMPUTED_VALUE"""),"application/pdf")</f>
        <v>application/pdf</v>
      </c>
    </row>
    <row r="2469">
      <c r="A2469" s="336" t="str">
        <f>IFERROR(__xludf.DUMMYFUNCTION("""COMPUTED_VALUE"""),"10.1016/j.bodyim.2021.05.005.")</f>
        <v>10.1016/j.bodyim.2021.05.005.</v>
      </c>
      <c r="B2469" s="442" t="str">
        <f>IFERROR(__xludf.DUMMYFUNCTION("""COMPUTED_VALUE"""),"https://drive.google.com/file/d/1p9EfrEPmDrshSQQyoPV1qK7eirjasytX/view?usp=drivesdk")</f>
        <v>https://drive.google.com/file/d/1p9EfrEPmDrshSQQyoPV1qK7eirjasytX/view?usp=drivesdk</v>
      </c>
      <c r="C2469" s="336" t="str">
        <f>IFERROR(__xludf.DUMMYFUNCTION("""COMPUTED_VALUE"""),"10.1016--j.bodyim.2021.05.005..pdf")</f>
        <v>10.1016--j.bodyim.2021.05.005..pdf</v>
      </c>
      <c r="D2469" s="156" t="str">
        <f>IFERROR(__xludf.DUMMYFUNCTION("""COMPUTED_VALUE"""),"application/pdf")</f>
        <v>application/pdf</v>
      </c>
    </row>
    <row r="2470">
      <c r="A2470" s="336" t="str">
        <f>IFERROR(__xludf.DUMMYFUNCTION("""COMPUTED_VALUE"""),"10.1016/j.ijresmar.2013.09.001")</f>
        <v>10.1016/j.ijresmar.2013.09.001</v>
      </c>
      <c r="B2470" s="442" t="str">
        <f>IFERROR(__xludf.DUMMYFUNCTION("""COMPUTED_VALUE"""),"https://drive.google.com/file/d/10-cf4o0AuxlLhrP13LowyOyLXJEcfPon/view?usp=drivesdk")</f>
        <v>https://drive.google.com/file/d/10-cf4o0AuxlLhrP13LowyOyLXJEcfPon/view?usp=drivesdk</v>
      </c>
      <c r="C2470" s="336" t="str">
        <f>IFERROR(__xludf.DUMMYFUNCTION("""COMPUTED_VALUE"""),"10.1016--j.ijresmar.2013.09.001.pdf")</f>
        <v>10.1016--j.ijresmar.2013.09.001.pdf</v>
      </c>
      <c r="D2470" s="156" t="str">
        <f>IFERROR(__xludf.DUMMYFUNCTION("""COMPUTED_VALUE"""),"application/pdf")</f>
        <v>application/pdf</v>
      </c>
    </row>
    <row r="2471">
      <c r="A2471" s="336" t="str">
        <f>IFERROR(__xludf.DUMMYFUNCTION("""COMPUTED_VALUE"""),"10.3758/bf03201200")</f>
        <v>10.3758/bf03201200</v>
      </c>
      <c r="B2471" s="442" t="str">
        <f>IFERROR(__xludf.DUMMYFUNCTION("""COMPUTED_VALUE"""),"https://drive.google.com/file/d/1zi3DLqOGO7Btyv2lzS3_iuu2oIfHSvhn/view?usp=drivesdk")</f>
        <v>https://drive.google.com/file/d/1zi3DLqOGO7Btyv2lzS3_iuu2oIfHSvhn/view?usp=drivesdk</v>
      </c>
      <c r="C2471" s="336" t="str">
        <f>IFERROR(__xludf.DUMMYFUNCTION("""COMPUTED_VALUE"""),"10.3758--bf03201200.pdf")</f>
        <v>10.3758--bf03201200.pdf</v>
      </c>
      <c r="D2471" s="156" t="str">
        <f>IFERROR(__xludf.DUMMYFUNCTION("""COMPUTED_VALUE"""),"application/pdf")</f>
        <v>application/pdf</v>
      </c>
    </row>
    <row r="2472">
      <c r="A2472" s="336" t="str">
        <f>IFERROR(__xludf.DUMMYFUNCTION("""COMPUTED_VALUE"""),"10.1080/02687039808249561")</f>
        <v>10.1080/02687039808249561</v>
      </c>
      <c r="B2472" s="442" t="str">
        <f>IFERROR(__xludf.DUMMYFUNCTION("""COMPUTED_VALUE"""),"https://drive.google.com/file/d/1NKuXy2eEACsWL03AhiZ1c6s6CeqztW4P/view?usp=drivesdk")</f>
        <v>https://drive.google.com/file/d/1NKuXy2eEACsWL03AhiZ1c6s6CeqztW4P/view?usp=drivesdk</v>
      </c>
      <c r="C2472" s="336" t="str">
        <f>IFERROR(__xludf.DUMMYFUNCTION("""COMPUTED_VALUE"""),"10.1080--02687039808249561.pdf")</f>
        <v>10.1080--02687039808249561.pdf</v>
      </c>
      <c r="D2472" s="156" t="str">
        <f>IFERROR(__xludf.DUMMYFUNCTION("""COMPUTED_VALUE"""),"application/pdf")</f>
        <v>application/pdf</v>
      </c>
    </row>
    <row r="2473">
      <c r="A2473" s="336" t="str">
        <f>IFERROR(__xludf.DUMMYFUNCTION("""COMPUTED_VALUE"""),"10.1016/j.cognition.2020.104191")</f>
        <v>10.1016/j.cognition.2020.104191</v>
      </c>
      <c r="B2473" s="442" t="str">
        <f>IFERROR(__xludf.DUMMYFUNCTION("""COMPUTED_VALUE"""),"https://drive.google.com/file/d/1-FYT0QOVIGaA4PgfHyCIHis4MjqOeFiY/view?usp=drivesdk")</f>
        <v>https://drive.google.com/file/d/1-FYT0QOVIGaA4PgfHyCIHis4MjqOeFiY/view?usp=drivesdk</v>
      </c>
      <c r="C2473" s="336" t="str">
        <f>IFERROR(__xludf.DUMMYFUNCTION("""COMPUTED_VALUE"""),"10.1016--j.cognition.2020.104191.pdf")</f>
        <v>10.1016--j.cognition.2020.104191.pdf</v>
      </c>
      <c r="D2473" s="156" t="str">
        <f>IFERROR(__xludf.DUMMYFUNCTION("""COMPUTED_VALUE"""),"application/pdf")</f>
        <v>application/pdf</v>
      </c>
    </row>
    <row r="2474">
      <c r="A2474" s="336" t="str">
        <f>IFERROR(__xludf.DUMMYFUNCTION("""COMPUTED_VALUE"""),"10.1016/j.infbeh.2019.101350")</f>
        <v>10.1016/j.infbeh.2019.101350</v>
      </c>
      <c r="B2474" s="442" t="str">
        <f>IFERROR(__xludf.DUMMYFUNCTION("""COMPUTED_VALUE"""),"https://drive.google.com/file/d/1-wsXELxSOwXrENqGKeAN6dmdsJy5xqtf/view?usp=drivesdk")</f>
        <v>https://drive.google.com/file/d/1-wsXELxSOwXrENqGKeAN6dmdsJy5xqtf/view?usp=drivesdk</v>
      </c>
      <c r="C2474" s="336" t="str">
        <f>IFERROR(__xludf.DUMMYFUNCTION("""COMPUTED_VALUE"""),"10.1016--j.infbeh.2019.101350.pdf")</f>
        <v>10.1016--j.infbeh.2019.101350.pdf</v>
      </c>
      <c r="D2474" s="156" t="str">
        <f>IFERROR(__xludf.DUMMYFUNCTION("""COMPUTED_VALUE"""),"application/pdf")</f>
        <v>application/pdf</v>
      </c>
    </row>
    <row r="2475">
      <c r="A2475" s="336" t="str">
        <f>IFERROR(__xludf.DUMMYFUNCTION("""COMPUTED_VALUE"""),"10.1111/cns.13526")</f>
        <v>10.1111/cns.13526</v>
      </c>
      <c r="B2475" s="442" t="str">
        <f>IFERROR(__xludf.DUMMYFUNCTION("""COMPUTED_VALUE"""),"https://drive.google.com/file/d/14DNZRM40L2rRaRLath5YsJWIG0aixqy-/view?usp=drivesdk")</f>
        <v>https://drive.google.com/file/d/14DNZRM40L2rRaRLath5YsJWIG0aixqy-/view?usp=drivesdk</v>
      </c>
      <c r="C2475" s="336" t="str">
        <f>IFERROR(__xludf.DUMMYFUNCTION("""COMPUTED_VALUE"""),"10.1111--cns.13526.pdf")</f>
        <v>10.1111--cns.13526.pdf</v>
      </c>
      <c r="D2475" s="156" t="str">
        <f>IFERROR(__xludf.DUMMYFUNCTION("""COMPUTED_VALUE"""),"application/pdf")</f>
        <v>application/pdf</v>
      </c>
    </row>
    <row r="2476">
      <c r="A2476" s="336" t="str">
        <f>IFERROR(__xludf.DUMMYFUNCTION("""COMPUTED_VALUE"""),"10.1016/j.concog.2015.11.011")</f>
        <v>10.1016/j.concog.2015.11.011</v>
      </c>
      <c r="B2476" s="442" t="str">
        <f>IFERROR(__xludf.DUMMYFUNCTION("""COMPUTED_VALUE"""),"https://drive.google.com/file/d/14I4i-H3Y7sJWjSiL3kd591Tq0IYRx-nO/view?usp=drivesdk")</f>
        <v>https://drive.google.com/file/d/14I4i-H3Y7sJWjSiL3kd591Tq0IYRx-nO/view?usp=drivesdk</v>
      </c>
      <c r="C2476" s="336" t="str">
        <f>IFERROR(__xludf.DUMMYFUNCTION("""COMPUTED_VALUE"""),"10.1016--j.concog.2015.11.011.pdf")</f>
        <v>10.1016--j.concog.2015.11.011.pdf</v>
      </c>
      <c r="D2476" s="156" t="str">
        <f>IFERROR(__xludf.DUMMYFUNCTION("""COMPUTED_VALUE"""),"application/pdf")</f>
        <v>application/pdf</v>
      </c>
    </row>
    <row r="2477">
      <c r="A2477" s="336" t="str">
        <f>IFERROR(__xludf.DUMMYFUNCTION("""COMPUTED_VALUE"""),"10.1016/j.neuroimage.2019.116286")</f>
        <v>10.1016/j.neuroimage.2019.116286</v>
      </c>
      <c r="B2477" s="442" t="str">
        <f>IFERROR(__xludf.DUMMYFUNCTION("""COMPUTED_VALUE"""),"https://drive.google.com/file/d/1nPeNQuXq6UAyW8Ux_E5ua7um4qsFLJ_o/view?usp=drivesdk")</f>
        <v>https://drive.google.com/file/d/1nPeNQuXq6UAyW8Ux_E5ua7um4qsFLJ_o/view?usp=drivesdk</v>
      </c>
      <c r="C2477" s="336" t="str">
        <f>IFERROR(__xludf.DUMMYFUNCTION("""COMPUTED_VALUE"""),"10.1016--j.neuroimage.2019.116286.pdf")</f>
        <v>10.1016--j.neuroimage.2019.116286.pdf</v>
      </c>
      <c r="D2477" s="156" t="str">
        <f>IFERROR(__xludf.DUMMYFUNCTION("""COMPUTED_VALUE"""),"application/pdf")</f>
        <v>application/pdf</v>
      </c>
    </row>
    <row r="2478">
      <c r="A2478" s="336" t="str">
        <f>IFERROR(__xludf.DUMMYFUNCTION("""COMPUTED_VALUE"""),"10.1037/0022-0663.76.1.85")</f>
        <v>10.1037/0022-0663.76.1.85</v>
      </c>
      <c r="B2478" s="442" t="str">
        <f>IFERROR(__xludf.DUMMYFUNCTION("""COMPUTED_VALUE"""),"https://drive.google.com/file/d/1kEKQ8OZ8hWV7vjvUgePWcgbmTxOS3OkH/view?usp=drivesdk")</f>
        <v>https://drive.google.com/file/d/1kEKQ8OZ8hWV7vjvUgePWcgbmTxOS3OkH/view?usp=drivesdk</v>
      </c>
      <c r="C2478" s="336" t="str">
        <f>IFERROR(__xludf.DUMMYFUNCTION("""COMPUTED_VALUE"""),"10.1037--0022-0663.76.1.85.pdf")</f>
        <v>10.1037--0022-0663.76.1.85.pdf</v>
      </c>
      <c r="D2478" s="156" t="str">
        <f>IFERROR(__xludf.DUMMYFUNCTION("""COMPUTED_VALUE"""),"application/pdf")</f>
        <v>application/pdf</v>
      </c>
    </row>
    <row r="2479">
      <c r="A2479" s="336" t="str">
        <f>IFERROR(__xludf.DUMMYFUNCTION("""COMPUTED_VALUE"""),"10.1207/s15327957pspr0902_3")</f>
        <v>10.1207/s15327957pspr0902_3</v>
      </c>
      <c r="B2479" s="442" t="str">
        <f>IFERROR(__xludf.DUMMYFUNCTION("""COMPUTED_VALUE"""),"https://drive.google.com/file/d/139fwfSuHaC3wTChDe3wxF-d919Mz_jKy/view?usp=drivesdk")</f>
        <v>https://drive.google.com/file/d/139fwfSuHaC3wTChDe3wxF-d919Mz_jKy/view?usp=drivesdk</v>
      </c>
      <c r="C2479" s="336" t="str">
        <f>IFERROR(__xludf.DUMMYFUNCTION("""COMPUTED_VALUE"""),"10.1207--s15327957pspr0902_3.pdf")</f>
        <v>10.1207--s15327957pspr0902_3.pdf</v>
      </c>
      <c r="D2479" s="156" t="str">
        <f>IFERROR(__xludf.DUMMYFUNCTION("""COMPUTED_VALUE"""),"application/pdf")</f>
        <v>application/pdf</v>
      </c>
    </row>
    <row r="2480">
      <c r="A2480" s="336" t="str">
        <f>IFERROR(__xludf.DUMMYFUNCTION("""COMPUTED_VALUE"""),"10.1016/s0160-2896(99)00026-4")</f>
        <v>10.1016/s0160-2896(99)00026-4</v>
      </c>
      <c r="B2480" s="442" t="str">
        <f>IFERROR(__xludf.DUMMYFUNCTION("""COMPUTED_VALUE"""),"https://drive.google.com/file/d/1Igh1OYrpvOLJ8WDgqCuHskXzEU7ZoW_6/view?usp=drivesdk")</f>
        <v>https://drive.google.com/file/d/1Igh1OYrpvOLJ8WDgqCuHskXzEU7ZoW_6/view?usp=drivesdk</v>
      </c>
      <c r="C2480" s="336" t="str">
        <f>IFERROR(__xludf.DUMMYFUNCTION("""COMPUTED_VALUE"""),"10.1016--S0160-2896(99)00026-4.pdf")</f>
        <v>10.1016--S0160-2896(99)00026-4.pdf</v>
      </c>
      <c r="D2480" s="156" t="str">
        <f>IFERROR(__xludf.DUMMYFUNCTION("""COMPUTED_VALUE"""),"application/pdf")</f>
        <v>application/pdf</v>
      </c>
    </row>
    <row r="2481">
      <c r="A2481" s="336" t="str">
        <f>IFERROR(__xludf.DUMMYFUNCTION("""COMPUTED_VALUE"""),"10.1371/journal.pone.0172636")</f>
        <v>10.1371/journal.pone.0172636</v>
      </c>
      <c r="B2481" s="442" t="str">
        <f>IFERROR(__xludf.DUMMYFUNCTION("""COMPUTED_VALUE"""),"https://drive.google.com/file/d/1ZdStIAryiMG9Yjyb-epjFMXsQ4Y0oqnn/view?usp=drivesdk")</f>
        <v>https://drive.google.com/file/d/1ZdStIAryiMG9Yjyb-epjFMXsQ4Y0oqnn/view?usp=drivesdk</v>
      </c>
      <c r="C2481" s="336" t="str">
        <f>IFERROR(__xludf.DUMMYFUNCTION("""COMPUTED_VALUE"""),"10.1371--journal.pone.0172636.pdf")</f>
        <v>10.1371--journal.pone.0172636.pdf</v>
      </c>
      <c r="D2481" s="156" t="str">
        <f>IFERROR(__xludf.DUMMYFUNCTION("""COMPUTED_VALUE"""),"application/pdf")</f>
        <v>application/pdf</v>
      </c>
    </row>
    <row r="2482">
      <c r="A2482" s="336" t="str">
        <f>IFERROR(__xludf.DUMMYFUNCTION("""COMPUTED_VALUE"""),"10.1097/pec.0000000000000291")</f>
        <v>10.1097/pec.0000000000000291</v>
      </c>
      <c r="B2482" s="442" t="str">
        <f>IFERROR(__xludf.DUMMYFUNCTION("""COMPUTED_VALUE"""),"https://drive.google.com/file/d/10IIx36WTqPVUiEaE8gV365XVujuS4Gfu/view?usp=drivesdk")</f>
        <v>https://drive.google.com/file/d/10IIx36WTqPVUiEaE8gV365XVujuS4Gfu/view?usp=drivesdk</v>
      </c>
      <c r="C2482" s="336" t="str">
        <f>IFERROR(__xludf.DUMMYFUNCTION("""COMPUTED_VALUE"""),"10.1097--PEC.0000000000000291.pdf")</f>
        <v>10.1097--PEC.0000000000000291.pdf</v>
      </c>
      <c r="D2482" s="156" t="str">
        <f>IFERROR(__xludf.DUMMYFUNCTION("""COMPUTED_VALUE"""),"application/pdf")</f>
        <v>application/pdf</v>
      </c>
    </row>
    <row r="2483">
      <c r="A2483" s="336" t="str">
        <f>IFERROR(__xludf.DUMMYFUNCTION("""COMPUTED_VALUE"""),"10.2466/pr0.1997.80.1.243")</f>
        <v>10.2466/pr0.1997.80.1.243</v>
      </c>
      <c r="B2483" s="442" t="str">
        <f>IFERROR(__xludf.DUMMYFUNCTION("""COMPUTED_VALUE"""),"https://drive.google.com/file/d/1wo2PsM8GTYQx74frM70uNiJKYAsBFUYB/view?usp=drivesdk")</f>
        <v>https://drive.google.com/file/d/1wo2PsM8GTYQx74frM70uNiJKYAsBFUYB/view?usp=drivesdk</v>
      </c>
      <c r="C2483" s="336" t="str">
        <f>IFERROR(__xludf.DUMMYFUNCTION("""COMPUTED_VALUE"""),"10.2466--pr0.1997.80.1.243.pdf")</f>
        <v>10.2466--pr0.1997.80.1.243.pdf</v>
      </c>
      <c r="D2483" s="156" t="str">
        <f>IFERROR(__xludf.DUMMYFUNCTION("""COMPUTED_VALUE"""),"application/pdf")</f>
        <v>application/pdf</v>
      </c>
    </row>
    <row r="2484">
      <c r="A2484" s="336" t="str">
        <f>IFERROR(__xludf.DUMMYFUNCTION("""COMPUTED_VALUE"""),"10.1037/a0029406")</f>
        <v>10.1037/a0029406</v>
      </c>
      <c r="B2484" s="442" t="str">
        <f>IFERROR(__xludf.DUMMYFUNCTION("""COMPUTED_VALUE"""),"https://drive.google.com/file/d/18k5lmuAt7G5fW0h7Ox4zm9sp87t0pl9o/view?usp=drivesdk")</f>
        <v>https://drive.google.com/file/d/18k5lmuAt7G5fW0h7Ox4zm9sp87t0pl9o/view?usp=drivesdk</v>
      </c>
      <c r="C2484" s="336" t="str">
        <f>IFERROR(__xludf.DUMMYFUNCTION("""COMPUTED_VALUE"""),"10.1037--a0029406.pdf")</f>
        <v>10.1037--a0029406.pdf</v>
      </c>
      <c r="D2484" s="156" t="str">
        <f>IFERROR(__xludf.DUMMYFUNCTION("""COMPUTED_VALUE"""),"application/pdf")</f>
        <v>application/pdf</v>
      </c>
    </row>
    <row r="2485">
      <c r="A2485" s="336" t="str">
        <f>IFERROR(__xludf.DUMMYFUNCTION("""COMPUTED_VALUE"""),"10.1037/0033-2909.132.3.354")</f>
        <v>10.1037/0033-2909.132.3.354</v>
      </c>
      <c r="B2485" s="442" t="str">
        <f>IFERROR(__xludf.DUMMYFUNCTION("""COMPUTED_VALUE"""),"https://drive.google.com/file/d/1MPCWsbzcBe5ePjP0UljBAK8ZnOW2vQy1/view?usp=drivesdk")</f>
        <v>https://drive.google.com/file/d/1MPCWsbzcBe5ePjP0UljBAK8ZnOW2vQy1/view?usp=drivesdk</v>
      </c>
      <c r="C2485" s="336" t="str">
        <f>IFERROR(__xludf.DUMMYFUNCTION("""COMPUTED_VALUE"""),"10.1037--0033-2909.132.3.354.pdf")</f>
        <v>10.1037--0033-2909.132.3.354.pdf</v>
      </c>
      <c r="D2485" s="156" t="str">
        <f>IFERROR(__xludf.DUMMYFUNCTION("""COMPUTED_VALUE"""),"application/pdf")</f>
        <v>application/pdf</v>
      </c>
    </row>
    <row r="2486">
      <c r="A2486" s="336" t="str">
        <f>IFERROR(__xludf.DUMMYFUNCTION("""COMPUTED_VALUE"""),"10.1086/374692")</f>
        <v>10.1086/374692</v>
      </c>
      <c r="B2486" s="442" t="str">
        <f>IFERROR(__xludf.DUMMYFUNCTION("""COMPUTED_VALUE"""),"https://drive.google.com/file/d/1bqv0JC0jxBSnGUXudYVy287HrZYkg7f8/view?usp=drivesdk")</f>
        <v>https://drive.google.com/file/d/1bqv0JC0jxBSnGUXudYVy287HrZYkg7f8/view?usp=drivesdk</v>
      </c>
      <c r="C2486" s="336" t="str">
        <f>IFERROR(__xludf.DUMMYFUNCTION("""COMPUTED_VALUE"""),"10.1086--374692.pdf")</f>
        <v>10.1086--374692.pdf</v>
      </c>
      <c r="D2486" s="156" t="str">
        <f>IFERROR(__xludf.DUMMYFUNCTION("""COMPUTED_VALUE"""),"application/pdf")</f>
        <v>application/pdf</v>
      </c>
    </row>
    <row r="2487">
      <c r="A2487" s="336" t="str">
        <f>IFERROR(__xludf.DUMMYFUNCTION("""COMPUTED_VALUE"""),"10.3758/bf03214311")</f>
        <v>10.3758/bf03214311</v>
      </c>
      <c r="B2487" s="442" t="str">
        <f>IFERROR(__xludf.DUMMYFUNCTION("""COMPUTED_VALUE"""),"https://drive.google.com/file/d/13QpH12y8u_3LYQfpUlZPXruZ9ITxBj7L/view?usp=drivesdk")</f>
        <v>https://drive.google.com/file/d/13QpH12y8u_3LYQfpUlZPXruZ9ITxBj7L/view?usp=drivesdk</v>
      </c>
      <c r="C2487" s="336" t="str">
        <f>IFERROR(__xludf.DUMMYFUNCTION("""COMPUTED_VALUE"""),"10.3758--BF03214311.pdf")</f>
        <v>10.3758--BF03214311.pdf</v>
      </c>
      <c r="D2487" s="156" t="str">
        <f>IFERROR(__xludf.DUMMYFUNCTION("""COMPUTED_VALUE"""),"application/pdf")</f>
        <v>application/pdf</v>
      </c>
    </row>
    <row r="2488">
      <c r="A2488" s="336" t="str">
        <f>IFERROR(__xludf.DUMMYFUNCTION("""COMPUTED_VALUE"""),"10.3758/bf03209254")</f>
        <v>10.3758/bf03209254</v>
      </c>
      <c r="B2488" s="442" t="str">
        <f>IFERROR(__xludf.DUMMYFUNCTION("""COMPUTED_VALUE"""),"https://drive.google.com/file/d/1vSUoURXNkSjOH5b-EJ3fbPhxlP2R6Cmd/view?usp=drivesdk")</f>
        <v>https://drive.google.com/file/d/1vSUoURXNkSjOH5b-EJ3fbPhxlP2R6Cmd/view?usp=drivesdk</v>
      </c>
      <c r="C2488" s="336" t="str">
        <f>IFERROR(__xludf.DUMMYFUNCTION("""COMPUTED_VALUE"""),"10.3758--BF03209254.pdf")</f>
        <v>10.3758--BF03209254.pdf</v>
      </c>
      <c r="D2488" s="156" t="str">
        <f>IFERROR(__xludf.DUMMYFUNCTION("""COMPUTED_VALUE"""),"application/pdf")</f>
        <v>application/pdf</v>
      </c>
    </row>
    <row r="2489">
      <c r="A2489" s="336" t="str">
        <f>IFERROR(__xludf.DUMMYFUNCTION("""COMPUTED_VALUE"""),"10.1037/0278-7393.24.2.284")</f>
        <v>10.1037/0278-7393.24.2.284</v>
      </c>
      <c r="B2489" s="442" t="str">
        <f>IFERROR(__xludf.DUMMYFUNCTION("""COMPUTED_VALUE"""),"https://drive.google.com/file/d/1BV6WsC6qCPXZsjA8vsWO-pA40hx0KbaP/view?usp=drivesdk")</f>
        <v>https://drive.google.com/file/d/1BV6WsC6qCPXZsjA8vsWO-pA40hx0KbaP/view?usp=drivesdk</v>
      </c>
      <c r="C2489" s="336" t="str">
        <f>IFERROR(__xludf.DUMMYFUNCTION("""COMPUTED_VALUE"""),"10.1037--0278-7393.24.2.284.pdf")</f>
        <v>10.1037--0278-7393.24.2.284.pdf</v>
      </c>
      <c r="D2489" s="156" t="str">
        <f>IFERROR(__xludf.DUMMYFUNCTION("""COMPUTED_VALUE"""),"application/pdf")</f>
        <v>application/pdf</v>
      </c>
    </row>
    <row r="2490">
      <c r="A2490" s="336" t="str">
        <f>IFERROR(__xludf.DUMMYFUNCTION("""COMPUTED_VALUE"""),"10.1177/2515245920903079")</f>
        <v>10.1177/2515245920903079</v>
      </c>
      <c r="B2490" s="442" t="str">
        <f>IFERROR(__xludf.DUMMYFUNCTION("""COMPUTED_VALUE"""),"https://drive.google.com/file/d/1YKtEfMrOGZwhGnqG8EYyHuWgZ1XN5GQT/view?usp=drivesdk")</f>
        <v>https://drive.google.com/file/d/1YKtEfMrOGZwhGnqG8EYyHuWgZ1XN5GQT/view?usp=drivesdk</v>
      </c>
      <c r="C2490" s="336" t="str">
        <f>IFERROR(__xludf.DUMMYFUNCTION("""COMPUTED_VALUE"""),"10.1177--2515245920903079.pdf")</f>
        <v>10.1177--2515245920903079.pdf</v>
      </c>
      <c r="D2490" s="156" t="str">
        <f>IFERROR(__xludf.DUMMYFUNCTION("""COMPUTED_VALUE"""),"application/pdf")</f>
        <v>application/pdf</v>
      </c>
    </row>
    <row r="2491">
      <c r="A2491" s="336" t="str">
        <f>IFERROR(__xludf.DUMMYFUNCTION("""COMPUTED_VALUE"""),"10.1038/nn1066")</f>
        <v>10.1038/nn1066</v>
      </c>
      <c r="B2491" s="442" t="str">
        <f>IFERROR(__xludf.DUMMYFUNCTION("""COMPUTED_VALUE"""),"https://drive.google.com/file/d/1mFs9muymaEK-hSfyAYbiFpraUy2r_S5J/view?usp=drivesdk")</f>
        <v>https://drive.google.com/file/d/1mFs9muymaEK-hSfyAYbiFpraUy2r_S5J/view?usp=drivesdk</v>
      </c>
      <c r="C2491" s="336" t="str">
        <f>IFERROR(__xludf.DUMMYFUNCTION("""COMPUTED_VALUE"""),"10.1038--nn1066.pdf")</f>
        <v>10.1038--nn1066.pdf</v>
      </c>
      <c r="D2491" s="156" t="str">
        <f>IFERROR(__xludf.DUMMYFUNCTION("""COMPUTED_VALUE"""),"application/pdf")</f>
        <v>application/pdf</v>
      </c>
    </row>
    <row r="2492">
      <c r="A2492" s="336" t="str">
        <f>IFERROR(__xludf.DUMMYFUNCTION("""COMPUTED_VALUE"""),"10.1037/0022-3514.91.5.975")</f>
        <v>10.1037/0022-3514.91.5.975</v>
      </c>
      <c r="B2492" s="442" t="str">
        <f>IFERROR(__xludf.DUMMYFUNCTION("""COMPUTED_VALUE"""),"https://drive.google.com/file/d/10TU4DldvRAGQQB8ko09DTR5kZTiT8DWd/view?usp=drivesdk")</f>
        <v>https://drive.google.com/file/d/10TU4DldvRAGQQB8ko09DTR5kZTiT8DWd/view?usp=drivesdk</v>
      </c>
      <c r="C2492" s="336" t="str">
        <f>IFERROR(__xludf.DUMMYFUNCTION("""COMPUTED_VALUE"""),"10.1037--0022-3514.91.5.975.pdf")</f>
        <v>10.1037--0022-3514.91.5.975.pdf</v>
      </c>
      <c r="D2492" s="156" t="str">
        <f>IFERROR(__xludf.DUMMYFUNCTION("""COMPUTED_VALUE"""),"application/pdf")</f>
        <v>application/pdf</v>
      </c>
    </row>
    <row r="2493">
      <c r="A2493" s="336" t="str">
        <f>IFERROR(__xludf.DUMMYFUNCTION("""COMPUTED_VALUE"""),"10.1038/s41562-020-0886-x")</f>
        <v>10.1038/s41562-020-0886-x</v>
      </c>
      <c r="B2493" s="442" t="str">
        <f>IFERROR(__xludf.DUMMYFUNCTION("""COMPUTED_VALUE"""),"https://drive.google.com/file/d/1ZJwJnhrQqNemZlVg810zY4UqBiSQXKPx/view?usp=drivesdk")</f>
        <v>https://drive.google.com/file/d/1ZJwJnhrQqNemZlVg810zY4UqBiSQXKPx/view?usp=drivesdk</v>
      </c>
      <c r="C2493" s="336" t="str">
        <f>IFERROR(__xludf.DUMMYFUNCTION("""COMPUTED_VALUE"""),"10.1038--s41562-020-0886-x.pdf")</f>
        <v>10.1038--s41562-020-0886-x.pdf</v>
      </c>
      <c r="D2493" s="156" t="str">
        <f>IFERROR(__xludf.DUMMYFUNCTION("""COMPUTED_VALUE"""),"application/pdf")</f>
        <v>application/pdf</v>
      </c>
    </row>
    <row r="2494">
      <c r="A2494" s="336" t="str">
        <f>IFERROR(__xludf.DUMMYFUNCTION("""COMPUTED_VALUE"""),"10.1093/cercor/bhx353")</f>
        <v>10.1093/cercor/bhx353</v>
      </c>
      <c r="B2494" s="442" t="str">
        <f>IFERROR(__xludf.DUMMYFUNCTION("""COMPUTED_VALUE"""),"https://drive.google.com/file/d/14aPtuimCBHuACTR6Ysm7rhuUdNnhNt3M/view?usp=drivesdk")</f>
        <v>https://drive.google.com/file/d/14aPtuimCBHuACTR6Ysm7rhuUdNnhNt3M/view?usp=drivesdk</v>
      </c>
      <c r="C2494" s="336" t="str">
        <f>IFERROR(__xludf.DUMMYFUNCTION("""COMPUTED_VALUE"""),"10.1093--cercor--bhx353.pdf")</f>
        <v>10.1093--cercor--bhx353.pdf</v>
      </c>
      <c r="D2494" s="156" t="str">
        <f>IFERROR(__xludf.DUMMYFUNCTION("""COMPUTED_VALUE"""),"application/pdf")</f>
        <v>application/pdf</v>
      </c>
    </row>
    <row r="2495">
      <c r="A2495" s="336" t="str">
        <f>IFERROR(__xludf.DUMMYFUNCTION("""COMPUTED_VALUE"""),"10.1177/2515245918781032")</f>
        <v>10.1177/2515245918781032</v>
      </c>
      <c r="B2495" s="442" t="str">
        <f>IFERROR(__xludf.DUMMYFUNCTION("""COMPUTED_VALUE"""),"https://drive.google.com/file/d/1FOQ7FQtPiTG4rTwMmNxW_mEod9sHnt_d/view?usp=drivesdk")</f>
        <v>https://drive.google.com/file/d/1FOQ7FQtPiTG4rTwMmNxW_mEod9sHnt_d/view?usp=drivesdk</v>
      </c>
      <c r="C2495" s="336" t="str">
        <f>IFERROR(__xludf.DUMMYFUNCTION("""COMPUTED_VALUE"""),"10.1177--2515245918781032.pdf")</f>
        <v>10.1177--2515245918781032.pdf</v>
      </c>
      <c r="D2495" s="156" t="str">
        <f>IFERROR(__xludf.DUMMYFUNCTION("""COMPUTED_VALUE"""),"application/pdf")</f>
        <v>application/pdf</v>
      </c>
    </row>
    <row r="2496">
      <c r="A2496" s="336" t="str">
        <f>IFERROR(__xludf.DUMMYFUNCTION("""COMPUTED_VALUE"""),"10.1002/acp.3775")</f>
        <v>10.1002/acp.3775</v>
      </c>
      <c r="B2496" s="442" t="str">
        <f>IFERROR(__xludf.DUMMYFUNCTION("""COMPUTED_VALUE"""),"https://drive.google.com/file/d/1JFP7-KuZoBHwOtFwTX7dQBbZLZsnnzO1/view?usp=drivesdk")</f>
        <v>https://drive.google.com/file/d/1JFP7-KuZoBHwOtFwTX7dQBbZLZsnnzO1/view?usp=drivesdk</v>
      </c>
      <c r="C2496" s="336" t="str">
        <f>IFERROR(__xludf.DUMMYFUNCTION("""COMPUTED_VALUE"""),"10.1002--acp.3775.pdf")</f>
        <v>10.1002--acp.3775.pdf</v>
      </c>
      <c r="D2496" s="156" t="str">
        <f>IFERROR(__xludf.DUMMYFUNCTION("""COMPUTED_VALUE"""),"application/pdf")</f>
        <v>application/pdf</v>
      </c>
    </row>
    <row r="2497">
      <c r="A2497" s="336" t="str">
        <f>IFERROR(__xludf.DUMMYFUNCTION("""COMPUTED_VALUE"""),"10.1016/j.jesp.2021.104154")</f>
        <v>10.1016/j.jesp.2021.104154</v>
      </c>
      <c r="B2497" s="442" t="str">
        <f>IFERROR(__xludf.DUMMYFUNCTION("""COMPUTED_VALUE"""),"https://drive.google.com/file/d/1nh5VP9Rb5MKotf2eusMhTvkZWvd4bgdF/view?usp=drivesdk")</f>
        <v>https://drive.google.com/file/d/1nh5VP9Rb5MKotf2eusMhTvkZWvd4bgdF/view?usp=drivesdk</v>
      </c>
      <c r="C2497" s="336" t="str">
        <f>IFERROR(__xludf.DUMMYFUNCTION("""COMPUTED_VALUE"""),"10.1016--j.jesp.2021.104154.pdf")</f>
        <v>10.1016--j.jesp.2021.104154.pdf</v>
      </c>
      <c r="D2497" s="156" t="str">
        <f>IFERROR(__xludf.DUMMYFUNCTION("""COMPUTED_VALUE"""),"application/pdf")</f>
        <v>application/pdf</v>
      </c>
    </row>
    <row r="2498">
      <c r="A2498" s="336" t="str">
        <f>IFERROR(__xludf.DUMMYFUNCTION("""COMPUTED_VALUE"""),"10.1037/bul0000030")</f>
        <v>10.1037/bul0000030</v>
      </c>
      <c r="B2498" s="442" t="str">
        <f>IFERROR(__xludf.DUMMYFUNCTION("""COMPUTED_VALUE"""),"https://drive.google.com/file/d/1jOuc6HwGGOjFEh2R_gS67iWnf5Ql-TJX/view?usp=drivesdk")</f>
        <v>https://drive.google.com/file/d/1jOuc6HwGGOjFEh2R_gS67iWnf5Ql-TJX/view?usp=drivesdk</v>
      </c>
      <c r="C2498" s="336" t="str">
        <f>IFERROR(__xludf.DUMMYFUNCTION("""COMPUTED_VALUE"""),"10.1037--bul0000030.pdf")</f>
        <v>10.1037--bul0000030.pdf</v>
      </c>
      <c r="D2498" s="156" t="str">
        <f>IFERROR(__xludf.DUMMYFUNCTION("""COMPUTED_VALUE"""),"application/pdf")</f>
        <v>application/pdf</v>
      </c>
    </row>
    <row r="2499">
      <c r="A2499" s="336" t="str">
        <f>IFERROR(__xludf.DUMMYFUNCTION("""COMPUTED_VALUE"""),"10.1177/0956797620953842")</f>
        <v>10.1177/0956797620953842</v>
      </c>
      <c r="B2499" s="442" t="str">
        <f>IFERROR(__xludf.DUMMYFUNCTION("""COMPUTED_VALUE"""),"https://drive.google.com/file/d/1K3OKZrTIktD_b-8XBnmOYsspWQGFGk0Q/view?usp=drivesdk")</f>
        <v>https://drive.google.com/file/d/1K3OKZrTIktD_b-8XBnmOYsspWQGFGk0Q/view?usp=drivesdk</v>
      </c>
      <c r="C2499" s="336" t="str">
        <f>IFERROR(__xludf.DUMMYFUNCTION("""COMPUTED_VALUE"""),"10.1177--0956797620953842.pdf")</f>
        <v>10.1177--0956797620953842.pdf</v>
      </c>
      <c r="D2499" s="156" t="str">
        <f>IFERROR(__xludf.DUMMYFUNCTION("""COMPUTED_VALUE"""),"application/pdf")</f>
        <v>application/pdf</v>
      </c>
    </row>
    <row r="2500">
      <c r="A2500" s="336" t="str">
        <f>IFERROR(__xludf.DUMMYFUNCTION("""COMPUTED_VALUE"""),"10.1177/0956797620922477")</f>
        <v>10.1177/0956797620922477</v>
      </c>
      <c r="B2500" s="442" t="str">
        <f>IFERROR(__xludf.DUMMYFUNCTION("""COMPUTED_VALUE"""),"https://drive.google.com/file/d/1bqNCgQVoUhLOppqc8fkMKPTkt16YU69C/view?usp=drivesdk")</f>
        <v>https://drive.google.com/file/d/1bqNCgQVoUhLOppqc8fkMKPTkt16YU69C/view?usp=drivesdk</v>
      </c>
      <c r="C2500" s="336" t="str">
        <f>IFERROR(__xludf.DUMMYFUNCTION("""COMPUTED_VALUE"""),"10.1177--0956797620922477.pdf")</f>
        <v>10.1177--0956797620922477.pdf</v>
      </c>
      <c r="D2500" s="156" t="str">
        <f>IFERROR(__xludf.DUMMYFUNCTION("""COMPUTED_VALUE"""),"application/pdf")</f>
        <v>application/pdf</v>
      </c>
    </row>
    <row r="2501">
      <c r="A2501" s="336" t="str">
        <f>IFERROR(__xludf.DUMMYFUNCTION("""COMPUTED_VALUE"""),"10.1177/1745691616652873")</f>
        <v>10.1177/1745691616652873</v>
      </c>
      <c r="B2501" s="442" t="str">
        <f>IFERROR(__xludf.DUMMYFUNCTION("""COMPUTED_VALUE"""),"https://drive.google.com/file/d/1z3GCMlnj8CXi5EAWeC90iwE1ueOD17a1/view?usp=drivesdk")</f>
        <v>https://drive.google.com/file/d/1z3GCMlnj8CXi5EAWeC90iwE1ueOD17a1/view?usp=drivesdk</v>
      </c>
      <c r="C2501" s="336" t="str">
        <f>IFERROR(__xludf.DUMMYFUNCTION("""COMPUTED_VALUE"""),"10.1177--1745691616652873.pdf")</f>
        <v>10.1177--1745691616652873.pdf</v>
      </c>
      <c r="D2501" s="156" t="str">
        <f>IFERROR(__xludf.DUMMYFUNCTION("""COMPUTED_VALUE"""),"application/pdf")</f>
        <v>application/pdf</v>
      </c>
    </row>
    <row r="2502">
      <c r="A2502" s="336" t="str">
        <f>IFERROR(__xludf.DUMMYFUNCTION("""COMPUTED_VALUE"""),"10.1177/0956797613516010")</f>
        <v>10.1177/0956797613516010</v>
      </c>
      <c r="B2502" s="442" t="str">
        <f>IFERROR(__xludf.DUMMYFUNCTION("""COMPUTED_VALUE"""),"https://drive.google.com/file/d/1FHadUuNmTdW0LnkNTp5zQlyfn5GZ28bX/view?usp=drivesdk")</f>
        <v>https://drive.google.com/file/d/1FHadUuNmTdW0LnkNTp5zQlyfn5GZ28bX/view?usp=drivesdk</v>
      </c>
      <c r="C2502" s="336" t="str">
        <f>IFERROR(__xludf.DUMMYFUNCTION("""COMPUTED_VALUE"""),"10.1177--0956797613516010.pdf")</f>
        <v>10.1177--0956797613516010.pdf</v>
      </c>
      <c r="D2502" s="156" t="str">
        <f>IFERROR(__xludf.DUMMYFUNCTION("""COMPUTED_VALUE"""),"application/pdf")</f>
        <v>application/pdf</v>
      </c>
    </row>
    <row r="2503">
      <c r="A2503" s="336" t="str">
        <f>IFERROR(__xludf.DUMMYFUNCTION("""COMPUTED_VALUE"""),"10.1177/1948550616654211")</f>
        <v>10.1177/1948550616654211</v>
      </c>
      <c r="B2503" s="442" t="str">
        <f>IFERROR(__xludf.DUMMYFUNCTION("""COMPUTED_VALUE"""),"https://drive.google.com/file/d/19FbyW9fNY6UwGhgLEzSQ05MwRyCTC3YQ/view?usp=drivesdk")</f>
        <v>https://drive.google.com/file/d/19FbyW9fNY6UwGhgLEzSQ05MwRyCTC3YQ/view?usp=drivesdk</v>
      </c>
      <c r="C2503" s="336" t="str">
        <f>IFERROR(__xludf.DUMMYFUNCTION("""COMPUTED_VALUE"""),"10.1177--1948550616654211.pdf")</f>
        <v>10.1177--1948550616654211.pdf</v>
      </c>
      <c r="D2503" s="156" t="str">
        <f>IFERROR(__xludf.DUMMYFUNCTION("""COMPUTED_VALUE"""),"application/pdf")</f>
        <v>application/pdf</v>
      </c>
    </row>
    <row r="2504">
      <c r="A2504" s="336" t="str">
        <f>IFERROR(__xludf.DUMMYFUNCTION("""COMPUTED_VALUE"""),"10.1177/2515245919881152")</f>
        <v>10.1177/2515245919881152</v>
      </c>
      <c r="B2504" s="442" t="str">
        <f>IFERROR(__xludf.DUMMYFUNCTION("""COMPUTED_VALUE"""),"https://drive.google.com/file/d/12jZzJF_5fcsQJhqPJb44akoOqNQsLihi/view?usp=drivesdk")</f>
        <v>https://drive.google.com/file/d/12jZzJF_5fcsQJhqPJb44akoOqNQsLihi/view?usp=drivesdk</v>
      </c>
      <c r="C2504" s="336" t="str">
        <f>IFERROR(__xludf.DUMMYFUNCTION("""COMPUTED_VALUE"""),"10.1177--2515245919881152.pdf")</f>
        <v>10.1177--2515245919881152.pdf</v>
      </c>
      <c r="D2504" s="156" t="str">
        <f>IFERROR(__xludf.DUMMYFUNCTION("""COMPUTED_VALUE"""),"application/pdf")</f>
        <v>application/pdf</v>
      </c>
    </row>
    <row r="2505">
      <c r="A2505" s="336" t="str">
        <f>IFERROR(__xludf.DUMMYFUNCTION("""COMPUTED_VALUE"""),"10.1371/journal.pone.0141181")</f>
        <v>10.1371/journal.pone.0141181</v>
      </c>
      <c r="B2505" s="442" t="str">
        <f>IFERROR(__xludf.DUMMYFUNCTION("""COMPUTED_VALUE"""),"https://drive.google.com/file/d/1QoCLP7bUct1n8A_-MZCF8wm8Kz2BUX1d/view?usp=drivesdk")</f>
        <v>https://drive.google.com/file/d/1QoCLP7bUct1n8A_-MZCF8wm8Kz2BUX1d/view?usp=drivesdk</v>
      </c>
      <c r="C2505" s="336" t="str">
        <f>IFERROR(__xludf.DUMMYFUNCTION("""COMPUTED_VALUE"""),"10.1371--journal.pone.0141181.pdf")</f>
        <v>10.1371--journal.pone.0141181.pdf</v>
      </c>
      <c r="D2505" s="156" t="str">
        <f>IFERROR(__xludf.DUMMYFUNCTION("""COMPUTED_VALUE"""),"application/pdf")</f>
        <v>application/pdf</v>
      </c>
    </row>
    <row r="2506">
      <c r="A2506" s="336" t="str">
        <f>IFERROR(__xludf.DUMMYFUNCTION("""COMPUTED_VALUE"""),"10.1177/1745691615605826")</f>
        <v>10.1177/1745691615605826</v>
      </c>
      <c r="B2506" s="442" t="str">
        <f>IFERROR(__xludf.DUMMYFUNCTION("""COMPUTED_VALUE"""),"https://drive.google.com/file/d/1WZ3vLKAiyXVJ8Y7P_HaRQAjUO19rFtGj/view?usp=drivesdk")</f>
        <v>https://drive.google.com/file/d/1WZ3vLKAiyXVJ8Y7P_HaRQAjUO19rFtGj/view?usp=drivesdk</v>
      </c>
      <c r="C2506" s="336" t="str">
        <f>IFERROR(__xludf.DUMMYFUNCTION("""COMPUTED_VALUE"""),"10.1177--1745691615605826.pdf")</f>
        <v>10.1177--1745691615605826.pdf</v>
      </c>
      <c r="D2506" s="156" t="str">
        <f>IFERROR(__xludf.DUMMYFUNCTION("""COMPUTED_VALUE"""),"application/pdf")</f>
        <v>application/pdf</v>
      </c>
    </row>
    <row r="2507">
      <c r="A2507" s="336" t="str">
        <f>IFERROR(__xludf.DUMMYFUNCTION("""COMPUTED_VALUE"""),"10.1007/s00426-019-01203-4")</f>
        <v>10.1007/s00426-019-01203-4</v>
      </c>
      <c r="B2507" s="442" t="str">
        <f>IFERROR(__xludf.DUMMYFUNCTION("""COMPUTED_VALUE"""),"https://drive.google.com/file/d/1F_nuyD_n047nlKR4UNCi4EOBqH27odbQ/view?usp=drivesdk")</f>
        <v>https://drive.google.com/file/d/1F_nuyD_n047nlKR4UNCi4EOBqH27odbQ/view?usp=drivesdk</v>
      </c>
      <c r="C2507" s="336" t="str">
        <f>IFERROR(__xludf.DUMMYFUNCTION("""COMPUTED_VALUE"""),"10.1007--s00426-019-01203-4.pdf")</f>
        <v>10.1007--s00426-019-01203-4.pdf</v>
      </c>
      <c r="D2507" s="156" t="str">
        <f>IFERROR(__xludf.DUMMYFUNCTION("""COMPUTED_VALUE"""),"application/pdf")</f>
        <v>application/pdf</v>
      </c>
    </row>
    <row r="2508">
      <c r="A2508" s="336" t="str">
        <f>IFERROR(__xludf.DUMMYFUNCTION("""COMPUTED_VALUE"""),"10.1177/1948550616652209")</f>
        <v>10.1177/1948550616652209</v>
      </c>
      <c r="B2508" s="442" t="str">
        <f>IFERROR(__xludf.DUMMYFUNCTION("""COMPUTED_VALUE"""),"https://drive.google.com/file/d/1Siah8cHN9e47_gL9zhIF1EGajvH1CyAB/view?usp=drivesdk")</f>
        <v>https://drive.google.com/file/d/1Siah8cHN9e47_gL9zhIF1EGajvH1CyAB/view?usp=drivesdk</v>
      </c>
      <c r="C2508" s="336" t="str">
        <f>IFERROR(__xludf.DUMMYFUNCTION("""COMPUTED_VALUE"""),"10.1177--1948550616652209.pdf")</f>
        <v>10.1177--1948550616652209.pdf</v>
      </c>
      <c r="D2508" s="156" t="str">
        <f>IFERROR(__xludf.DUMMYFUNCTION("""COMPUTED_VALUE"""),"application/pdf")</f>
        <v>application/pdf</v>
      </c>
    </row>
    <row r="2509">
      <c r="A2509" s="336" t="str">
        <f>IFERROR(__xludf.DUMMYFUNCTION("""COMPUTED_VALUE"""),"10.1177/0956797614553946")</f>
        <v>10.1177/0956797614553946</v>
      </c>
      <c r="B2509" s="442" t="str">
        <f>IFERROR(__xludf.DUMMYFUNCTION("""COMPUTED_VALUE"""),"https://drive.google.com/file/d/182GXuG3qegDOfzlWQwH4rNCoeEmBWZVE/view?usp=drivesdk")</f>
        <v>https://drive.google.com/file/d/182GXuG3qegDOfzlWQwH4rNCoeEmBWZVE/view?usp=drivesdk</v>
      </c>
      <c r="C2509" s="336" t="str">
        <f>IFERROR(__xludf.DUMMYFUNCTION("""COMPUTED_VALUE"""),"10.1177--0956797614553946.pdf")</f>
        <v>10.1177--0956797614553946.pdf</v>
      </c>
      <c r="D2509" s="156" t="str">
        <f>IFERROR(__xludf.DUMMYFUNCTION("""COMPUTED_VALUE"""),"application/pdf")</f>
        <v>application/pdf</v>
      </c>
    </row>
    <row r="2510">
      <c r="A2510" s="336" t="str">
        <f>IFERROR(__xludf.DUMMYFUNCTION("""COMPUTED_VALUE"""),"10.1080/23743603.2017.1341186")</f>
        <v>10.1080/23743603.2017.1341186</v>
      </c>
      <c r="B2510" s="442" t="str">
        <f>IFERROR(__xludf.DUMMYFUNCTION("""COMPUTED_VALUE"""),"https://drive.google.com/file/d/1JkzKHLpwRKawpwzVmuWAxuS42YRz05mT/view?usp=drivesdk")</f>
        <v>https://drive.google.com/file/d/1JkzKHLpwRKawpwzVmuWAxuS42YRz05mT/view?usp=drivesdk</v>
      </c>
      <c r="C2510" s="336" t="str">
        <f>IFERROR(__xludf.DUMMYFUNCTION("""COMPUTED_VALUE"""),"10.1080--23743603.2017.1341186.pdf")</f>
        <v>10.1080--23743603.2017.1341186.pdf</v>
      </c>
      <c r="D2510" s="156" t="str">
        <f>IFERROR(__xludf.DUMMYFUNCTION("""COMPUTED_VALUE"""),"application/pdf")</f>
        <v>application/pdf</v>
      </c>
    </row>
    <row r="2511">
      <c r="A2511" s="336" t="str">
        <f>IFERROR(__xludf.DUMMYFUNCTION("""COMPUTED_VALUE"""),"10.1080/23743603.2017.1341183")</f>
        <v>10.1080/23743603.2017.1341183</v>
      </c>
      <c r="B2511" s="442" t="str">
        <f>IFERROR(__xludf.DUMMYFUNCTION("""COMPUTED_VALUE"""),"https://drive.google.com/file/d/18NQOUQh8MW-PbnLNWU49bwK7tgWLtRuO/view?usp=drivesdk")</f>
        <v>https://drive.google.com/file/d/18NQOUQh8MW-PbnLNWU49bwK7tgWLtRuO/view?usp=drivesdk</v>
      </c>
      <c r="C2511" s="336" t="str">
        <f>IFERROR(__xludf.DUMMYFUNCTION("""COMPUTED_VALUE"""),"10.1080--23743603.2017.1341183.pdf")</f>
        <v>10.1080--23743603.2017.1341183.pdf</v>
      </c>
      <c r="D2511" s="156" t="str">
        <f>IFERROR(__xludf.DUMMYFUNCTION("""COMPUTED_VALUE"""),"application/pdf")</f>
        <v>application/pdf</v>
      </c>
    </row>
    <row r="2512">
      <c r="A2512" s="336" t="str">
        <f>IFERROR(__xludf.DUMMYFUNCTION("""COMPUTED_VALUE"""),"10.1080/23743603.2016.1248081")</f>
        <v>10.1080/23743603.2016.1248081</v>
      </c>
      <c r="B2512" s="442" t="str">
        <f>IFERROR(__xludf.DUMMYFUNCTION("""COMPUTED_VALUE"""),"https://drive.google.com/file/d/1tOYv5tephBInK45nXBgMdZTCvXDOaxS-/view?usp=drivesdk")</f>
        <v>https://drive.google.com/file/d/1tOYv5tephBInK45nXBgMdZTCvXDOaxS-/view?usp=drivesdk</v>
      </c>
      <c r="C2512" s="336" t="str">
        <f>IFERROR(__xludf.DUMMYFUNCTION("""COMPUTED_VALUE"""),"10.1080--23743603.2016.1248081.pdf")</f>
        <v>10.1080--23743603.2016.1248081.pdf</v>
      </c>
      <c r="D2512" s="156" t="str">
        <f>IFERROR(__xludf.DUMMYFUNCTION("""COMPUTED_VALUE"""),"application/pdf")</f>
        <v>application/pdf</v>
      </c>
    </row>
    <row r="2513">
      <c r="A2513" s="336" t="str">
        <f>IFERROR(__xludf.DUMMYFUNCTION("""COMPUTED_VALUE"""),"10.1080/23743603.2016.1248079")</f>
        <v>10.1080/23743603.2016.1248079</v>
      </c>
      <c r="B2513" s="442" t="str">
        <f>IFERROR(__xludf.DUMMYFUNCTION("""COMPUTED_VALUE"""),"https://drive.google.com/file/d/1as3AUf7PRMswz__MVvHdjHvWtN6M-Jme/view?usp=drivesdk")</f>
        <v>https://drive.google.com/file/d/1as3AUf7PRMswz__MVvHdjHvWtN6M-Jme/view?usp=drivesdk</v>
      </c>
      <c r="C2513" s="336" t="str">
        <f>IFERROR(__xludf.DUMMYFUNCTION("""COMPUTED_VALUE"""),"10.1080--23743603.2016.1248079.pdf")</f>
        <v>10.1080--23743603.2016.1248079.pdf</v>
      </c>
      <c r="D2513" s="156" t="str">
        <f>IFERROR(__xludf.DUMMYFUNCTION("""COMPUTED_VALUE"""),"application/pdf")</f>
        <v>application/pdf</v>
      </c>
    </row>
    <row r="2514">
      <c r="A2514" s="336" t="str">
        <f>IFERROR(__xludf.DUMMYFUNCTION("""COMPUTED_VALUE"""),"10.1371/journal.pone.0026016")</f>
        <v>10.1371/journal.pone.0026016</v>
      </c>
      <c r="B2514" s="442" t="str">
        <f>IFERROR(__xludf.DUMMYFUNCTION("""COMPUTED_VALUE"""),"https://drive.google.com/file/d/1Ls_1G30LlE9ynAfY1xfCDSGYTI9JG2pC/view?usp=drivesdk")</f>
        <v>https://drive.google.com/file/d/1Ls_1G30LlE9ynAfY1xfCDSGYTI9JG2pC/view?usp=drivesdk</v>
      </c>
      <c r="C2514" s="336" t="str">
        <f>IFERROR(__xludf.DUMMYFUNCTION("""COMPUTED_VALUE"""),"10.1371--journal.pone.0026016.pdf")</f>
        <v>10.1371--journal.pone.0026016.pdf</v>
      </c>
      <c r="D2514" s="156" t="str">
        <f>IFERROR(__xludf.DUMMYFUNCTION("""COMPUTED_VALUE"""),"application/pdf")</f>
        <v>application/pdf</v>
      </c>
    </row>
    <row r="2515">
      <c r="A2515" s="336" t="str">
        <f>IFERROR(__xludf.DUMMYFUNCTION("""COMPUTED_VALUE"""),"10.1177/0956797617734315")</f>
        <v>10.1177/0956797617734315</v>
      </c>
      <c r="B2515" s="442" t="str">
        <f>IFERROR(__xludf.DUMMYFUNCTION("""COMPUTED_VALUE"""),"https://drive.google.com/file/d/1qIFGf5ktWSXh7rQfL1KhTAj0tN-Q92hY/view?usp=drivesdk")</f>
        <v>https://drive.google.com/file/d/1qIFGf5ktWSXh7rQfL1KhTAj0tN-Q92hY/view?usp=drivesdk</v>
      </c>
      <c r="C2515" s="336" t="str">
        <f>IFERROR(__xludf.DUMMYFUNCTION("""COMPUTED_VALUE"""),"10.1177--0956797617734315.pdf")</f>
        <v>10.1177--0956797617734315.pdf</v>
      </c>
      <c r="D2515" s="156" t="str">
        <f>IFERROR(__xludf.DUMMYFUNCTION("""COMPUTED_VALUE"""),"application/pdf")</f>
        <v>application/pdf</v>
      </c>
    </row>
    <row r="2516">
      <c r="A2516" s="336" t="str">
        <f>IFERROR(__xludf.DUMMYFUNCTION("""COMPUTED_VALUE"""),"10.1177/0093650211418339")</f>
        <v>10.1177/0093650211418339</v>
      </c>
      <c r="B2516" s="442" t="str">
        <f>IFERROR(__xludf.DUMMYFUNCTION("""COMPUTED_VALUE"""),"https://drive.google.com/file/d/1pWzqx5i9lfrh-IwhoBg1HHZbNkomyc43/view?usp=drivesdk")</f>
        <v>https://drive.google.com/file/d/1pWzqx5i9lfrh-IwhoBg1HHZbNkomyc43/view?usp=drivesdk</v>
      </c>
      <c r="C2516" s="336" t="str">
        <f>IFERROR(__xludf.DUMMYFUNCTION("""COMPUTED_VALUE"""),"10.1177--0093650211418339.pdf")</f>
        <v>10.1177--0093650211418339.pdf</v>
      </c>
      <c r="D2516" s="156" t="str">
        <f>IFERROR(__xludf.DUMMYFUNCTION("""COMPUTED_VALUE"""),"application/pdf")</f>
        <v>application/pdf</v>
      </c>
    </row>
    <row r="2517">
      <c r="A2517" s="336" t="str">
        <f>IFERROR(__xludf.DUMMYFUNCTION("""COMPUTED_VALUE"""),"10.1016/j.actpsy.2020.103138")</f>
        <v>10.1016/j.actpsy.2020.103138</v>
      </c>
      <c r="B2517" s="442" t="str">
        <f>IFERROR(__xludf.DUMMYFUNCTION("""COMPUTED_VALUE"""),"https://drive.google.com/file/d/1Cv2pkcb9Dgfe7JtHwek1MCnDz3x3Kw7w/view?usp=drivesdk")</f>
        <v>https://drive.google.com/file/d/1Cv2pkcb9Dgfe7JtHwek1MCnDz3x3Kw7w/view?usp=drivesdk</v>
      </c>
      <c r="C2517" s="336" t="str">
        <f>IFERROR(__xludf.DUMMYFUNCTION("""COMPUTED_VALUE"""),"10.1016--j.actpsy.2020.103138.pdf")</f>
        <v>10.1016--j.actpsy.2020.103138.pdf</v>
      </c>
      <c r="D2517" s="156" t="str">
        <f>IFERROR(__xludf.DUMMYFUNCTION("""COMPUTED_VALUE"""),"application/pdf")</f>
        <v>application/pdf</v>
      </c>
    </row>
    <row r="2518">
      <c r="A2518" s="336" t="str">
        <f>IFERROR(__xludf.DUMMYFUNCTION("""COMPUTED_VALUE"""),"10.1037/a0036913")</f>
        <v>10.1037/a0036913</v>
      </c>
      <c r="B2518" s="442" t="str">
        <f>IFERROR(__xludf.DUMMYFUNCTION("""COMPUTED_VALUE"""),"https://drive.google.com/file/d/1wdYvk7Rmo2EyJOhM_u_52bnzKuwozJai/view?usp=drivesdk")</f>
        <v>https://drive.google.com/file/d/1wdYvk7Rmo2EyJOhM_u_52bnzKuwozJai/view?usp=drivesdk</v>
      </c>
      <c r="C2518" s="336" t="str">
        <f>IFERROR(__xludf.DUMMYFUNCTION("""COMPUTED_VALUE"""),"10.1037--a0036913.pdf")</f>
        <v>10.1037--a0036913.pdf</v>
      </c>
      <c r="D2518" s="156" t="str">
        <f>IFERROR(__xludf.DUMMYFUNCTION("""COMPUTED_VALUE"""),"application/pdf")</f>
        <v>application/pdf</v>
      </c>
    </row>
    <row r="2519">
      <c r="A2519" s="336" t="str">
        <f>IFERROR(__xludf.DUMMYFUNCTION("""COMPUTED_VALUE"""),"10.1007/s004260000041")</f>
        <v>10.1007/s004260000041</v>
      </c>
      <c r="B2519" s="442" t="str">
        <f>IFERROR(__xludf.DUMMYFUNCTION("""COMPUTED_VALUE"""),"https://drive.google.com/file/d/13ErdM89UVNJLjA0F4YjMOg_9Z3MZKgKQ/view?usp=drivesdk")</f>
        <v>https://drive.google.com/file/d/13ErdM89UVNJLjA0F4YjMOg_9Z3MZKgKQ/view?usp=drivesdk</v>
      </c>
      <c r="C2519" s="336" t="str">
        <f>IFERROR(__xludf.DUMMYFUNCTION("""COMPUTED_VALUE"""),"10.1007--s004260000041.pdf")</f>
        <v>10.1007--s004260000041.pdf</v>
      </c>
      <c r="D2519" s="156" t="str">
        <f>IFERROR(__xludf.DUMMYFUNCTION("""COMPUTED_VALUE"""),"application/pdf")</f>
        <v>application/pdf</v>
      </c>
    </row>
    <row r="2520">
      <c r="A2520" s="336" t="str">
        <f>IFERROR(__xludf.DUMMYFUNCTION("""COMPUTED_VALUE"""),"10.1037/0096-1523.26.5.1515")</f>
        <v>10.1037/0096-1523.26.5.1515</v>
      </c>
      <c r="B2520" s="442" t="str">
        <f>IFERROR(__xludf.DUMMYFUNCTION("""COMPUTED_VALUE"""),"https://drive.google.com/file/d/12NOTFTy9kTGJZ9GCQplncqds0pQoFd46/view?usp=drivesdk")</f>
        <v>https://drive.google.com/file/d/12NOTFTy9kTGJZ9GCQplncqds0pQoFd46/view?usp=drivesdk</v>
      </c>
      <c r="C2520" s="336" t="str">
        <f>IFERROR(__xludf.DUMMYFUNCTION("""COMPUTED_VALUE"""),"10.1037--0096-1523.26.5.1515.pdf")</f>
        <v>10.1037--0096-1523.26.5.1515.pdf</v>
      </c>
      <c r="D2520" s="156" t="str">
        <f>IFERROR(__xludf.DUMMYFUNCTION("""COMPUTED_VALUE"""),"application/pdf")</f>
        <v>application/pdf</v>
      </c>
    </row>
    <row r="2521">
      <c r="A2521" s="336" t="str">
        <f>IFERROR(__xludf.DUMMYFUNCTION("""COMPUTED_VALUE"""),"10.1007/bf00419703")</f>
        <v>10.1007/bf00419703</v>
      </c>
      <c r="B2521" s="442" t="str">
        <f>IFERROR(__xludf.DUMMYFUNCTION("""COMPUTED_VALUE"""),"https://drive.google.com/file/d/1jWFV5HeX7zEMIqNr5jd2-PLoveTyWBCo/view?usp=drivesdk")</f>
        <v>https://drive.google.com/file/d/1jWFV5HeX7zEMIqNr5jd2-PLoveTyWBCo/view?usp=drivesdk</v>
      </c>
      <c r="C2521" s="336" t="str">
        <f>IFERROR(__xludf.DUMMYFUNCTION("""COMPUTED_VALUE"""),"10.1007--BF00419703.pdf")</f>
        <v>10.1007--BF00419703.pdf</v>
      </c>
      <c r="D2521" s="156" t="str">
        <f>IFERROR(__xludf.DUMMYFUNCTION("""COMPUTED_VALUE"""),"application/pdf")</f>
        <v>application/pdf</v>
      </c>
    </row>
    <row r="2522">
      <c r="A2522" s="336" t="str">
        <f>IFERROR(__xludf.DUMMYFUNCTION("""COMPUTED_VALUE"""),"10.1038/s41598-021-88139-1")</f>
        <v>10.1038/s41598-021-88139-1</v>
      </c>
      <c r="B2522" s="442" t="str">
        <f>IFERROR(__xludf.DUMMYFUNCTION("""COMPUTED_VALUE"""),"https://drive.google.com/file/d/19dKp0Bt_y9wu5nwD0ND7qjkbddLPOjCy/view?usp=drivesdk")</f>
        <v>https://drive.google.com/file/d/19dKp0Bt_y9wu5nwD0ND7qjkbddLPOjCy/view?usp=drivesdk</v>
      </c>
      <c r="C2522" s="336" t="str">
        <f>IFERROR(__xludf.DUMMYFUNCTION("""COMPUTED_VALUE"""),"10.1038--s41598-021-88139-1.pdf")</f>
        <v>10.1038--s41598-021-88139-1.pdf</v>
      </c>
      <c r="D2522" s="156" t="str">
        <f>IFERROR(__xludf.DUMMYFUNCTION("""COMPUTED_VALUE"""),"application/pdf")</f>
        <v>application/pdf</v>
      </c>
    </row>
    <row r="2523">
      <c r="A2523" s="336" t="str">
        <f>IFERROR(__xludf.DUMMYFUNCTION("""COMPUTED_VALUE"""),"10.1038/s41562-018-0399-z")</f>
        <v>10.1038/s41562-018-0399-z</v>
      </c>
      <c r="B2523" s="442" t="str">
        <f>IFERROR(__xludf.DUMMYFUNCTION("""COMPUTED_VALUE"""),"https://drive.google.com/file/d/1qJE0K3gDNeo5WCbf6KkP1a0pxT3faRns/view?usp=drivesdk")</f>
        <v>https://drive.google.com/file/d/1qJE0K3gDNeo5WCbf6KkP1a0pxT3faRns/view?usp=drivesdk</v>
      </c>
      <c r="C2523" s="336" t="str">
        <f>IFERROR(__xludf.DUMMYFUNCTION("""COMPUTED_VALUE"""),"10.1038--s41562-018-0399-z.pdf")</f>
        <v>10.1038--s41562-018-0399-z.pdf</v>
      </c>
      <c r="D2523" s="156" t="str">
        <f>IFERROR(__xludf.DUMMYFUNCTION("""COMPUTED_VALUE"""),"application/pdf")</f>
        <v>application/pdf</v>
      </c>
    </row>
    <row r="2524">
      <c r="A2524" s="336" t="str">
        <f>IFERROR(__xludf.DUMMYFUNCTION("""COMPUTED_VALUE"""),"10.1111/1467-9280.00169")</f>
        <v>10.1111/1467-9280.00169</v>
      </c>
      <c r="B2524" s="442" t="str">
        <f>IFERROR(__xludf.DUMMYFUNCTION("""COMPUTED_VALUE"""),"https://drive.google.com/file/d/1FFUJeJxHvYXNMK7wqAJYiQFmmbe1ofI3/view?usp=drivesdk")</f>
        <v>https://drive.google.com/file/d/1FFUJeJxHvYXNMK7wqAJYiQFmmbe1ofI3/view?usp=drivesdk</v>
      </c>
      <c r="C2524" s="336" t="str">
        <f>IFERROR(__xludf.DUMMYFUNCTION("""COMPUTED_VALUE"""),"10.1111--1467-9280.00169.pdf")</f>
        <v>10.1111--1467-9280.00169.pdf</v>
      </c>
      <c r="D2524" s="156" t="str">
        <f>IFERROR(__xludf.DUMMYFUNCTION("""COMPUTED_VALUE"""),"application/pdf")</f>
        <v>application/pdf</v>
      </c>
    </row>
    <row r="2525">
      <c r="A2525" s="336" t="str">
        <f>IFERROR(__xludf.DUMMYFUNCTION("""COMPUTED_VALUE"""),"10.2466/pms.1999.88.3.843")</f>
        <v>10.2466/pms.1999.88.3.843</v>
      </c>
      <c r="B2525" s="442" t="str">
        <f>IFERROR(__xludf.DUMMYFUNCTION("""COMPUTED_VALUE"""),"https://drive.google.com/file/d/1JX_-a4N28fXIO7zfjPklo9WsE9pe3QjW/view?usp=drivesdk")</f>
        <v>https://drive.google.com/file/d/1JX_-a4N28fXIO7zfjPklo9WsE9pe3QjW/view?usp=drivesdk</v>
      </c>
      <c r="C2525" s="336" t="str">
        <f>IFERROR(__xludf.DUMMYFUNCTION("""COMPUTED_VALUE"""),"10.2466--pms.1999.88.3.843.pdf")</f>
        <v>10.2466--pms.1999.88.3.843.pdf</v>
      </c>
      <c r="D2525" s="156" t="str">
        <f>IFERROR(__xludf.DUMMYFUNCTION("""COMPUTED_VALUE"""),"application/pdf")</f>
        <v>application/pdf</v>
      </c>
    </row>
    <row r="2526">
      <c r="A2526" s="336" t="str">
        <f>IFERROR(__xludf.DUMMYFUNCTION("""COMPUTED_VALUE"""),"10.1002/ejsp.2748")</f>
        <v>10.1002/ejsp.2748</v>
      </c>
      <c r="B2526" s="442" t="str">
        <f>IFERROR(__xludf.DUMMYFUNCTION("""COMPUTED_VALUE"""),"https://drive.google.com/file/d/1d6qI-QqNlpjQgx9Vwa0NjPkDpYx45iMg/view?usp=drivesdk")</f>
        <v>https://drive.google.com/file/d/1d6qI-QqNlpjQgx9Vwa0NjPkDpYx45iMg/view?usp=drivesdk</v>
      </c>
      <c r="C2526" s="336" t="str">
        <f>IFERROR(__xludf.DUMMYFUNCTION("""COMPUTED_VALUE"""),"10.1002--ejsp.2748.pdf")</f>
        <v>10.1002--ejsp.2748.pdf</v>
      </c>
      <c r="D2526" s="156" t="str">
        <f>IFERROR(__xludf.DUMMYFUNCTION("""COMPUTED_VALUE"""),"application/pdf")</f>
        <v>application/pdf</v>
      </c>
    </row>
    <row r="2527">
      <c r="A2527" s="336" t="str">
        <f>IFERROR(__xludf.DUMMYFUNCTION("""COMPUTED_VALUE"""),"10.1007/s11606-019-05364-1")</f>
        <v>10.1007/s11606-019-05364-1</v>
      </c>
      <c r="B2527" s="442" t="str">
        <f>IFERROR(__xludf.DUMMYFUNCTION("""COMPUTED_VALUE"""),"https://drive.google.com/file/d/1wtALe5oh1RdoY1mXdjr4WvMritJP2N4w/view?usp=drivesdk")</f>
        <v>https://drive.google.com/file/d/1wtALe5oh1RdoY1mXdjr4WvMritJP2N4w/view?usp=drivesdk</v>
      </c>
      <c r="C2527" s="336" t="str">
        <f>IFERROR(__xludf.DUMMYFUNCTION("""COMPUTED_VALUE"""),"10.1007--s11606-019-05364-1.pdf")</f>
        <v>10.1007--s11606-019-05364-1.pdf</v>
      </c>
      <c r="D2527" s="156" t="str">
        <f>IFERROR(__xludf.DUMMYFUNCTION("""COMPUTED_VALUE"""),"application/pdf")</f>
        <v>application/pdf</v>
      </c>
    </row>
    <row r="2528">
      <c r="A2528" s="336" t="str">
        <f>IFERROR(__xludf.DUMMYFUNCTION("""COMPUTED_VALUE"""),"10.3389/fpsyg.2013.00041")</f>
        <v>10.3389/fpsyg.2013.00041</v>
      </c>
      <c r="B2528" s="442" t="str">
        <f>IFERROR(__xludf.DUMMYFUNCTION("""COMPUTED_VALUE"""),"https://drive.google.com/file/d/1DGULVXUsTEU_9EPzOnZqFH3SYWy7WfkA/view?usp=drivesdk")</f>
        <v>https://drive.google.com/file/d/1DGULVXUsTEU_9EPzOnZqFH3SYWy7WfkA/view?usp=drivesdk</v>
      </c>
      <c r="C2528" s="336" t="str">
        <f>IFERROR(__xludf.DUMMYFUNCTION("""COMPUTED_VALUE"""),"10.3389--fpsyg.2013.00041.pdf")</f>
        <v>10.3389--fpsyg.2013.00041.pdf</v>
      </c>
      <c r="D2528" s="156" t="str">
        <f>IFERROR(__xludf.DUMMYFUNCTION("""COMPUTED_VALUE"""),"application/pdf")</f>
        <v>application/pdf</v>
      </c>
    </row>
    <row r="2529">
      <c r="A2529" s="336" t="str">
        <f>IFERROR(__xludf.DUMMYFUNCTION("""COMPUTED_VALUE"""),"10.1111/j.1559-1816.1999.tb00134.x")</f>
        <v>10.1111/j.1559-1816.1999.tb00134.x</v>
      </c>
      <c r="B2529" s="442" t="str">
        <f>IFERROR(__xludf.DUMMYFUNCTION("""COMPUTED_VALUE"""),"https://drive.google.com/file/d/1angB6Ei-2ZlIhgs0AbXlGha3kvj3fUY0/view?usp=drivesdk")</f>
        <v>https://drive.google.com/file/d/1angB6Ei-2ZlIhgs0AbXlGha3kvj3fUY0/view?usp=drivesdk</v>
      </c>
      <c r="C2529" s="336" t="str">
        <f>IFERROR(__xludf.DUMMYFUNCTION("""COMPUTED_VALUE"""),"10.1111--j.1559-1816.1999.tb00134.x.pdf")</f>
        <v>10.1111--j.1559-1816.1999.tb00134.x.pdf</v>
      </c>
      <c r="D2529" s="156" t="str">
        <f>IFERROR(__xludf.DUMMYFUNCTION("""COMPUTED_VALUE"""),"application/pdf")</f>
        <v>application/pdf</v>
      </c>
    </row>
    <row r="2530">
      <c r="A2530" s="336" t="str">
        <f>IFERROR(__xludf.DUMMYFUNCTION("""COMPUTED_VALUE"""),"10.1177/1948550617693060")</f>
        <v>10.1177/1948550617693060</v>
      </c>
      <c r="B2530" s="442" t="str">
        <f>IFERROR(__xludf.DUMMYFUNCTION("""COMPUTED_VALUE"""),"https://drive.google.com/file/d/1kS1z1V6AFLbZ9rpo8sFM3d0djf13VYDI/view?usp=drivesdk")</f>
        <v>https://drive.google.com/file/d/1kS1z1V6AFLbZ9rpo8sFM3d0djf13VYDI/view?usp=drivesdk</v>
      </c>
      <c r="C2530" s="336" t="str">
        <f>IFERROR(__xludf.DUMMYFUNCTION("""COMPUTED_VALUE"""),"10.1177--1948550617693060.pdf")</f>
        <v>10.1177--1948550617693060.pdf</v>
      </c>
      <c r="D2530" s="156" t="str">
        <f>IFERROR(__xludf.DUMMYFUNCTION("""COMPUTED_VALUE"""),"application/pdf")</f>
        <v>application/pdf</v>
      </c>
    </row>
    <row r="2531">
      <c r="A2531" s="336" t="str">
        <f>IFERROR(__xludf.DUMMYFUNCTION("""COMPUTED_VALUE"""),"10.1038/s41467-020-18152-x")</f>
        <v>10.1038/s41467-020-18152-x</v>
      </c>
      <c r="B2531" s="442" t="str">
        <f>IFERROR(__xludf.DUMMYFUNCTION("""COMPUTED_VALUE"""),"https://drive.google.com/file/d/1wCmr4BBIDn9AuSRCj2rGSlI0GuQ47RVa/view?usp=drivesdk")</f>
        <v>https://drive.google.com/file/d/1wCmr4BBIDn9AuSRCj2rGSlI0GuQ47RVa/view?usp=drivesdk</v>
      </c>
      <c r="C2531" s="336" t="str">
        <f>IFERROR(__xludf.DUMMYFUNCTION("""COMPUTED_VALUE"""),"10.1038--s41467-020-18152-x.pdf")</f>
        <v>10.1038--s41467-020-18152-x.pdf</v>
      </c>
      <c r="D2531" s="156" t="str">
        <f>IFERROR(__xludf.DUMMYFUNCTION("""COMPUTED_VALUE"""),"application/pdf")</f>
        <v>application/pdf</v>
      </c>
    </row>
    <row r="2532">
      <c r="A2532" s="336" t="str">
        <f>IFERROR(__xludf.DUMMYFUNCTION("""COMPUTED_VALUE"""),"10.1007/s12115-013-9724-3")</f>
        <v>10.1007/s12115-013-9724-3</v>
      </c>
      <c r="B2532" s="442" t="str">
        <f>IFERROR(__xludf.DUMMYFUNCTION("""COMPUTED_VALUE"""),"https://drive.google.com/file/d/13zl87LaDmgA5FAdpU1dA3yzTbFcw_L54/view?usp=drivesdk")</f>
        <v>https://drive.google.com/file/d/13zl87LaDmgA5FAdpU1dA3yzTbFcw_L54/view?usp=drivesdk</v>
      </c>
      <c r="C2532" s="336" t="str">
        <f>IFERROR(__xludf.DUMMYFUNCTION("""COMPUTED_VALUE"""),"10.1007--s12115-013-9724-3.pdf")</f>
        <v>10.1007--s12115-013-9724-3.pdf</v>
      </c>
      <c r="D2532" s="156" t="str">
        <f>IFERROR(__xludf.DUMMYFUNCTION("""COMPUTED_VALUE"""),"application/pdf")</f>
        <v>application/pdf</v>
      </c>
    </row>
    <row r="2533">
      <c r="A2533" s="336" t="str">
        <f>IFERROR(__xludf.DUMMYFUNCTION("""COMPUTED_VALUE"""),"10.1177/1948550610397632")</f>
        <v>10.1177/1948550610397632</v>
      </c>
      <c r="B2533" s="442" t="str">
        <f>IFERROR(__xludf.DUMMYFUNCTION("""COMPUTED_VALUE"""),"https://drive.google.com/file/d/1aCpN9FQY-edL0KHCQ_dOeoW0p5GyALqJ/view?usp=drivesdk")</f>
        <v>https://drive.google.com/file/d/1aCpN9FQY-edL0KHCQ_dOeoW0p5GyALqJ/view?usp=drivesdk</v>
      </c>
      <c r="C2533" s="336" t="str">
        <f>IFERROR(__xludf.DUMMYFUNCTION("""COMPUTED_VALUE"""),"10.1177--1948550610397632.pdf")</f>
        <v>10.1177--1948550610397632.pdf</v>
      </c>
      <c r="D2533" s="156" t="str">
        <f>IFERROR(__xludf.DUMMYFUNCTION("""COMPUTED_VALUE"""),"application/pdf")</f>
        <v>application/pdf</v>
      </c>
    </row>
    <row r="2534">
      <c r="A2534" s="336" t="str">
        <f>IFERROR(__xludf.DUMMYFUNCTION("""COMPUTED_VALUE"""),"10.1080/00224545.1987.9713711")</f>
        <v>10.1080/00224545.1987.9713711</v>
      </c>
      <c r="B2534" s="442" t="str">
        <f>IFERROR(__xludf.DUMMYFUNCTION("""COMPUTED_VALUE"""),"https://drive.google.com/file/d/1bHBfOwE2j2qM6DS2iVTktr5tscbohYq8/view?usp=drivesdk")</f>
        <v>https://drive.google.com/file/d/1bHBfOwE2j2qM6DS2iVTktr5tscbohYq8/view?usp=drivesdk</v>
      </c>
      <c r="C2534" s="336" t="str">
        <f>IFERROR(__xludf.DUMMYFUNCTION("""COMPUTED_VALUE"""),"10.1080--00224545.1987.9713711.pdf")</f>
        <v>10.1080--00224545.1987.9713711.pdf</v>
      </c>
      <c r="D2534" s="156" t="str">
        <f>IFERROR(__xludf.DUMMYFUNCTION("""COMPUTED_VALUE"""),"application/pdf")</f>
        <v>application/pdf</v>
      </c>
    </row>
    <row r="2535">
      <c r="A2535" s="336" t="str">
        <f>IFERROR(__xludf.DUMMYFUNCTION("""COMPUTED_VALUE"""),"10.1177/014616727600300119")</f>
        <v>10.1177/014616727600300119</v>
      </c>
      <c r="B2535" s="442" t="str">
        <f>IFERROR(__xludf.DUMMYFUNCTION("""COMPUTED_VALUE"""),"https://drive.google.com/file/d/1jFrC1A_yeQPtrQ7firqJ7njA_VTcGSS6/view?usp=drivesdk")</f>
        <v>https://drive.google.com/file/d/1jFrC1A_yeQPtrQ7firqJ7njA_VTcGSS6/view?usp=drivesdk</v>
      </c>
      <c r="C2535" s="336" t="str">
        <f>IFERROR(__xludf.DUMMYFUNCTION("""COMPUTED_VALUE"""),"10.1177--014616727600300119.pdf")</f>
        <v>10.1177--014616727600300119.pdf</v>
      </c>
      <c r="D2535" s="156" t="str">
        <f>IFERROR(__xludf.DUMMYFUNCTION("""COMPUTED_VALUE"""),"application/pdf")</f>
        <v>application/pdf</v>
      </c>
    </row>
    <row r="2536">
      <c r="A2536" s="336" t="str">
        <f>IFERROR(__xludf.DUMMYFUNCTION("""COMPUTED_VALUE"""),"10.2307/3033588")</f>
        <v>10.2307/3033588</v>
      </c>
      <c r="B2536" s="442" t="str">
        <f>IFERROR(__xludf.DUMMYFUNCTION("""COMPUTED_VALUE"""),"https://drive.google.com/file/d/1pUn5JuuBayLiPcfWrAzZVia5_iDKgrFE/view?usp=drivesdk")</f>
        <v>https://drive.google.com/file/d/1pUn5JuuBayLiPcfWrAzZVia5_iDKgrFE/view?usp=drivesdk</v>
      </c>
      <c r="C2536" s="336" t="str">
        <f>IFERROR(__xludf.DUMMYFUNCTION("""COMPUTED_VALUE"""),"10.2307--3033588.pdf")</f>
        <v>10.2307--3033588.pdf</v>
      </c>
      <c r="D2536" s="156" t="str">
        <f>IFERROR(__xludf.DUMMYFUNCTION("""COMPUTED_VALUE"""),"application/pdf")</f>
        <v>application/pdf</v>
      </c>
    </row>
    <row r="2537">
      <c r="A2537" s="336" t="str">
        <f>IFERROR(__xludf.DUMMYFUNCTION("""COMPUTED_VALUE"""),"10.1037/0022-3514.55.2.211")</f>
        <v>10.1037/0022-3514.55.2.211</v>
      </c>
      <c r="B2537" s="442" t="str">
        <f>IFERROR(__xludf.DUMMYFUNCTION("""COMPUTED_VALUE"""),"https://drive.google.com/file/d/1Ki3S9vl6CBRB-iEHfPJFbBeBXS5c4yze/view?usp=drivesdk")</f>
        <v>https://drive.google.com/file/d/1Ki3S9vl6CBRB-iEHfPJFbBeBXS5c4yze/view?usp=drivesdk</v>
      </c>
      <c r="C2537" s="336" t="str">
        <f>IFERROR(__xludf.DUMMYFUNCTION("""COMPUTED_VALUE"""),"10.1037--0022-3514.55.2.211.pdf")</f>
        <v>10.1037--0022-3514.55.2.211.pdf</v>
      </c>
      <c r="D2537" s="156" t="str">
        <f>IFERROR(__xludf.DUMMYFUNCTION("""COMPUTED_VALUE"""),"application/pdf")</f>
        <v>application/pdf</v>
      </c>
    </row>
    <row r="2538">
      <c r="A2538" s="336" t="str">
        <f>IFERROR(__xludf.DUMMYFUNCTION("""COMPUTED_VALUE"""),"10.1037/0033-2909.106.2.265")</f>
        <v>10.1037/0033-2909.106.2.265</v>
      </c>
      <c r="B2538" s="442" t="str">
        <f>IFERROR(__xludf.DUMMYFUNCTION("""COMPUTED_VALUE"""),"https://drive.google.com/file/d/1F_JGx_lWmWBMWGZrthYhmK7TvjE2Cywn/view?usp=drivesdk")</f>
        <v>https://drive.google.com/file/d/1F_JGx_lWmWBMWGZrthYhmK7TvjE2Cywn/view?usp=drivesdk</v>
      </c>
      <c r="C2538" s="336" t="str">
        <f>IFERROR(__xludf.DUMMYFUNCTION("""COMPUTED_VALUE"""),"10.1037--0033-2909.106.2.265.pdf")</f>
        <v>10.1037--0033-2909.106.2.265.pdf</v>
      </c>
      <c r="D2538" s="156" t="str">
        <f>IFERROR(__xludf.DUMMYFUNCTION("""COMPUTED_VALUE"""),"application/pdf")</f>
        <v>application/pdf</v>
      </c>
    </row>
    <row r="2539">
      <c r="A2539" s="336" t="str">
        <f>IFERROR(__xludf.DUMMYFUNCTION("""COMPUTED_VALUE"""),"10.1177/0093854818812918")</f>
        <v>10.1177/0093854818812918</v>
      </c>
      <c r="B2539" s="442" t="str">
        <f>IFERROR(__xludf.DUMMYFUNCTION("""COMPUTED_VALUE"""),"https://drive.google.com/file/d/1Jq5At328FQy3ULsz05SxK1SrS_XRIVBv/view?usp=drivesdk")</f>
        <v>https://drive.google.com/file/d/1Jq5At328FQy3ULsz05SxK1SrS_XRIVBv/view?usp=drivesdk</v>
      </c>
      <c r="C2539" s="336" t="str">
        <f>IFERROR(__xludf.DUMMYFUNCTION("""COMPUTED_VALUE"""),"10.1177--0093854818812918.pdf")</f>
        <v>10.1177--0093854818812918.pdf</v>
      </c>
      <c r="D2539" s="156" t="str">
        <f>IFERROR(__xludf.DUMMYFUNCTION("""COMPUTED_VALUE"""),"application/pdf")</f>
        <v>application/pdf</v>
      </c>
    </row>
    <row r="2540">
      <c r="A2540" s="336" t="str">
        <f>IFERROR(__xludf.DUMMYFUNCTION("""COMPUTED_VALUE"""),"10.1177/1088868317725419")</f>
        <v>10.1177/1088868317725419</v>
      </c>
      <c r="B2540" s="442" t="str">
        <f>IFERROR(__xludf.DUMMYFUNCTION("""COMPUTED_VALUE"""),"https://drive.google.com/file/d/1yg-L6F0I6F1fgxX2H53kNgHST9iZhuFT/view?usp=drivesdk")</f>
        <v>https://drive.google.com/file/d/1yg-L6F0I6F1fgxX2H53kNgHST9iZhuFT/view?usp=drivesdk</v>
      </c>
      <c r="C2540" s="336" t="str">
        <f>IFERROR(__xludf.DUMMYFUNCTION("""COMPUTED_VALUE"""),"10.1177--1088868317725419.pdf")</f>
        <v>10.1177--1088868317725419.pdf</v>
      </c>
      <c r="D2540" s="156" t="str">
        <f>IFERROR(__xludf.DUMMYFUNCTION("""COMPUTED_VALUE"""),"application/pdf")</f>
        <v>application/pdf</v>
      </c>
    </row>
    <row r="2541">
      <c r="A2541" s="336" t="str">
        <f>IFERROR(__xludf.DUMMYFUNCTION("""COMPUTED_VALUE"""),"10.1037/0022-3514.58.4.622")</f>
        <v>10.1037/0022-3514.58.4.622</v>
      </c>
      <c r="B2541" s="442" t="str">
        <f>IFERROR(__xludf.DUMMYFUNCTION("""COMPUTED_VALUE"""),"https://drive.google.com/file/d/1_DJ98pFWCppO7kDmfNAIB717B-QdRU2a/view?usp=drivesdk")</f>
        <v>https://drive.google.com/file/d/1_DJ98pFWCppO7kDmfNAIB717B-QdRU2a/view?usp=drivesdk</v>
      </c>
      <c r="C2541" s="336" t="str">
        <f>IFERROR(__xludf.DUMMYFUNCTION("""COMPUTED_VALUE"""),"10.1037--0022-3514.58.4.622.pdf")</f>
        <v>10.1037--0022-3514.58.4.622.pdf</v>
      </c>
      <c r="D2541" s="156" t="str">
        <f>IFERROR(__xludf.DUMMYFUNCTION("""COMPUTED_VALUE"""),"application/pdf")</f>
        <v>application/pdf</v>
      </c>
    </row>
    <row r="2542">
      <c r="A2542" s="336" t="str">
        <f>IFERROR(__xludf.DUMMYFUNCTION("""COMPUTED_VALUE"""),"10.1037/xge0000058")</f>
        <v>10.1037/xge0000058</v>
      </c>
      <c r="B2542" s="442" t="str">
        <f>IFERROR(__xludf.DUMMYFUNCTION("""COMPUTED_VALUE"""),"https://drive.google.com/file/d/1r4ZL_EEBhFH6RF5JDxP8TDFqXke3Dqcf/view?usp=drivesdk")</f>
        <v>https://drive.google.com/file/d/1r4ZL_EEBhFH6RF5JDxP8TDFqXke3Dqcf/view?usp=drivesdk</v>
      </c>
      <c r="C2542" s="336" t="str">
        <f>IFERROR(__xludf.DUMMYFUNCTION("""COMPUTED_VALUE"""),"10.1037--xge0000058.pdf")</f>
        <v>10.1037--xge0000058.pdf</v>
      </c>
      <c r="D2542" s="156" t="str">
        <f>IFERROR(__xludf.DUMMYFUNCTION("""COMPUTED_VALUE"""),"application/pdf")</f>
        <v>application/pdf</v>
      </c>
    </row>
    <row r="2543">
      <c r="A2543" s="336" t="str">
        <f>IFERROR(__xludf.DUMMYFUNCTION("""COMPUTED_VALUE"""),"10.1177/1948550613498516")</f>
        <v>10.1177/1948550613498516</v>
      </c>
      <c r="B2543" s="442" t="str">
        <f>IFERROR(__xludf.DUMMYFUNCTION("""COMPUTED_VALUE"""),"https://drive.google.com/file/d/1gjwCxHVp1efxTgO9FpYCyl7tkrrSp2_Q/view?usp=drivesdk")</f>
        <v>https://drive.google.com/file/d/1gjwCxHVp1efxTgO9FpYCyl7tkrrSp2_Q/view?usp=drivesdk</v>
      </c>
      <c r="C2543" s="336" t="str">
        <f>IFERROR(__xludf.DUMMYFUNCTION("""COMPUTED_VALUE"""),"10.1177--1948550613498516.pdf")</f>
        <v>10.1177--1948550613498516.pdf</v>
      </c>
      <c r="D2543" s="156" t="str">
        <f>IFERROR(__xludf.DUMMYFUNCTION("""COMPUTED_VALUE"""),"application/pdf")</f>
        <v>application/pdf</v>
      </c>
    </row>
    <row r="2544">
      <c r="A2544" s="336" t="str">
        <f>IFERROR(__xludf.DUMMYFUNCTION("""COMPUTED_VALUE"""),"10.1037/xge0000090")</f>
        <v>10.1037/xge0000090</v>
      </c>
      <c r="B2544" s="442" t="str">
        <f>IFERROR(__xludf.DUMMYFUNCTION("""COMPUTED_VALUE"""),"https://drive.google.com/file/d/1TOxKvkgLgldkEiOl4Cnst0AYk7w8IBCh/view?usp=drivesdk")</f>
        <v>https://drive.google.com/file/d/1TOxKvkgLgldkEiOl4Cnst0AYk7w8IBCh/view?usp=drivesdk</v>
      </c>
      <c r="C2544" s="336" t="str">
        <f>IFERROR(__xludf.DUMMYFUNCTION("""COMPUTED_VALUE"""),"10.1037--xge0000090.pdf")</f>
        <v>10.1037--xge0000090.pdf</v>
      </c>
      <c r="D2544" s="156" t="str">
        <f>IFERROR(__xludf.DUMMYFUNCTION("""COMPUTED_VALUE"""),"application/pdf")</f>
        <v>application/pdf</v>
      </c>
    </row>
    <row r="2545">
      <c r="A2545" s="336" t="str">
        <f>IFERROR(__xludf.DUMMYFUNCTION("""COMPUTED_VALUE"""),"10.3758/s13423-013-0549-2")</f>
        <v>10.3758/s13423-013-0549-2</v>
      </c>
      <c r="B2545" s="442" t="str">
        <f>IFERROR(__xludf.DUMMYFUNCTION("""COMPUTED_VALUE"""),"https://drive.google.com/file/d/1x9sfN1Qyptlpks3NPyyD6PckLhoE6G6J/view?usp=drivesdk")</f>
        <v>https://drive.google.com/file/d/1x9sfN1Qyptlpks3NPyyD6PckLhoE6G6J/view?usp=drivesdk</v>
      </c>
      <c r="C2545" s="336" t="str">
        <f>IFERROR(__xludf.DUMMYFUNCTION("""COMPUTED_VALUE"""),"10.3758--s13423-013-0549-2.pdf")</f>
        <v>10.3758--s13423-013-0549-2.pdf</v>
      </c>
      <c r="D2545" s="156" t="str">
        <f>IFERROR(__xludf.DUMMYFUNCTION("""COMPUTED_VALUE"""),"application/pdf")</f>
        <v>application/pdf</v>
      </c>
    </row>
    <row r="2546">
      <c r="A2546" s="336" t="str">
        <f>IFERROR(__xludf.DUMMYFUNCTION("""COMPUTED_VALUE"""),"10.1037/a0036079.")</f>
        <v>10.1037/a0036079.</v>
      </c>
      <c r="B2546" s="442" t="str">
        <f>IFERROR(__xludf.DUMMYFUNCTION("""COMPUTED_VALUE"""),"https://drive.google.com/file/d/1LPPcCkJMWMgAog-5XWwMTP5x4S9LFsG4/view?usp=drivesdk")</f>
        <v>https://drive.google.com/file/d/1LPPcCkJMWMgAog-5XWwMTP5x4S9LFsG4/view?usp=drivesdk</v>
      </c>
      <c r="C2546" s="336" t="str">
        <f>IFERROR(__xludf.DUMMYFUNCTION("""COMPUTED_VALUE"""),"10.1037--a0036079..pdf")</f>
        <v>10.1037--a0036079..pdf</v>
      </c>
      <c r="D2546" s="156" t="str">
        <f>IFERROR(__xludf.DUMMYFUNCTION("""COMPUTED_VALUE"""),"application/pdf")</f>
        <v>application/pdf</v>
      </c>
    </row>
    <row r="2547">
      <c r="A2547" s="336" t="str">
        <f>IFERROR(__xludf.DUMMYFUNCTION("""COMPUTED_VALUE"""),"10.1177/1745691612463078")</f>
        <v>10.1177/1745691612463078</v>
      </c>
      <c r="B2547" s="442" t="str">
        <f>IFERROR(__xludf.DUMMYFUNCTION("""COMPUTED_VALUE"""),"https://drive.google.com/file/d/1SA7ZP2ow52I8kFKx4p2nJ0nUspPn6as_/view?usp=drivesdk")</f>
        <v>https://drive.google.com/file/d/1SA7ZP2ow52I8kFKx4p2nJ0nUspPn6as_/view?usp=drivesdk</v>
      </c>
      <c r="C2547" s="336" t="str">
        <f>IFERROR(__xludf.DUMMYFUNCTION("""COMPUTED_VALUE"""),"10.1177--1745691612463078.pdf")</f>
        <v>10.1177--1745691612463078.pdf</v>
      </c>
      <c r="D2547" s="156" t="str">
        <f>IFERROR(__xludf.DUMMYFUNCTION("""COMPUTED_VALUE"""),"application/pdf")</f>
        <v>application/pdf</v>
      </c>
    </row>
    <row r="2548">
      <c r="A2548" s="336" t="str">
        <f>IFERROR(__xludf.DUMMYFUNCTION("""COMPUTED_VALUE"""),"10.1037/a0015329")</f>
        <v>10.1037/a0015329</v>
      </c>
      <c r="B2548" s="442" t="str">
        <f>IFERROR(__xludf.DUMMYFUNCTION("""COMPUTED_VALUE"""),"https://drive.google.com/file/d/1WeBvmsASCT0Q2UPyJgrKX-SIIa5DtOUQ/view?usp=drivesdk")</f>
        <v>https://drive.google.com/file/d/1WeBvmsASCT0Q2UPyJgrKX-SIIa5DtOUQ/view?usp=drivesdk</v>
      </c>
      <c r="C2548" s="336" t="str">
        <f>IFERROR(__xludf.DUMMYFUNCTION("""COMPUTED_VALUE"""),"10.1037--a0015329.pdf")</f>
        <v>10.1037--a0015329.pdf</v>
      </c>
      <c r="D2548" s="156" t="str">
        <f>IFERROR(__xludf.DUMMYFUNCTION("""COMPUTED_VALUE"""),"application/pdf")</f>
        <v>application/pdf</v>
      </c>
    </row>
    <row r="2549">
      <c r="A2549" s="336" t="str">
        <f>IFERROR(__xludf.DUMMYFUNCTION("""COMPUTED_VALUE"""),"10.1371/journal.pone.0147770")</f>
        <v>10.1371/journal.pone.0147770</v>
      </c>
      <c r="B2549" s="442" t="str">
        <f>IFERROR(__xludf.DUMMYFUNCTION("""COMPUTED_VALUE"""),"https://drive.google.com/file/d/1UXS2QTqJQUfE_Pyj2Qy0nOdEsfBcSrJD/view?usp=drivesdk")</f>
        <v>https://drive.google.com/file/d/1UXS2QTqJQUfE_Pyj2Qy0nOdEsfBcSrJD/view?usp=drivesdk</v>
      </c>
      <c r="C2549" s="336" t="str">
        <f>IFERROR(__xludf.DUMMYFUNCTION("""COMPUTED_VALUE"""),"10.1371--journal.pone.0147770.pdf")</f>
        <v>10.1371--journal.pone.0147770.pdf</v>
      </c>
      <c r="D2549" s="156" t="str">
        <f>IFERROR(__xludf.DUMMYFUNCTION("""COMPUTED_VALUE"""),"application/pdf")</f>
        <v>application/pdf</v>
      </c>
    </row>
    <row r="2550">
      <c r="A2550" s="336" t="str">
        <f>IFERROR(__xludf.DUMMYFUNCTION("""COMPUTED_VALUE"""),"10.1186/2050-7283-1-22")</f>
        <v>10.1186/2050-7283-1-22</v>
      </c>
      <c r="B2550" s="442" t="str">
        <f>IFERROR(__xludf.DUMMYFUNCTION("""COMPUTED_VALUE"""),"https://drive.google.com/file/d/177P2xO1D22ODvu0Zcz9Ls-wtsZM0ck_y/view?usp=drivesdk")</f>
        <v>https://drive.google.com/file/d/177P2xO1D22ODvu0Zcz9Ls-wtsZM0ck_y/view?usp=drivesdk</v>
      </c>
      <c r="C2550" s="336" t="str">
        <f>IFERROR(__xludf.DUMMYFUNCTION("""COMPUTED_VALUE"""),"10.1186--2050-7283-1-22.pdf")</f>
        <v>10.1186--2050-7283-1-22.pdf</v>
      </c>
      <c r="D2550" s="156" t="str">
        <f>IFERROR(__xludf.DUMMYFUNCTION("""COMPUTED_VALUE"""),"application/pdf")</f>
        <v>application/pdf</v>
      </c>
    </row>
    <row r="2551">
      <c r="A2551" s="336" t="str">
        <f>IFERROR(__xludf.DUMMYFUNCTION("""COMPUTED_VALUE"""),"10.1037/a0024587")</f>
        <v>10.1037/a0024587</v>
      </c>
      <c r="B2551" s="442" t="str">
        <f>IFERROR(__xludf.DUMMYFUNCTION("""COMPUTED_VALUE"""),"https://drive.google.com/file/d/1GYDJkUHLj_0GiFfIztass97sMyACxxL_/view?usp=drivesdk")</f>
        <v>https://drive.google.com/file/d/1GYDJkUHLj_0GiFfIztass97sMyACxxL_/view?usp=drivesdk</v>
      </c>
      <c r="C2551" s="336" t="str">
        <f>IFERROR(__xludf.DUMMYFUNCTION("""COMPUTED_VALUE"""),"10.1037--a0024587.pdf")</f>
        <v>10.1037--a0024587.pdf</v>
      </c>
      <c r="D2551" s="156" t="str">
        <f>IFERROR(__xludf.DUMMYFUNCTION("""COMPUTED_VALUE"""),"application/pdf")</f>
        <v>application/pdf</v>
      </c>
    </row>
    <row r="2552">
      <c r="A2552" s="336" t="str">
        <f>IFERROR(__xludf.DUMMYFUNCTION("""COMPUTED_VALUE"""),"10.1177/1474704916673841")</f>
        <v>10.1177/1474704916673841</v>
      </c>
      <c r="B2552" s="442" t="str">
        <f>IFERROR(__xludf.DUMMYFUNCTION("""COMPUTED_VALUE"""),"https://drive.google.com/file/d/1su7Vb49cFI1HG8-kYcPPfFRtLhMmz3nx/view?usp=drivesdk")</f>
        <v>https://drive.google.com/file/d/1su7Vb49cFI1HG8-kYcPPfFRtLhMmz3nx/view?usp=drivesdk</v>
      </c>
      <c r="C2552" s="336" t="str">
        <f>IFERROR(__xludf.DUMMYFUNCTION("""COMPUTED_VALUE"""),"10.1177--1474704916673841.pdf")</f>
        <v>10.1177--1474704916673841.pdf</v>
      </c>
      <c r="D2552" s="156" t="str">
        <f>IFERROR(__xludf.DUMMYFUNCTION("""COMPUTED_VALUE"""),"application/pdf")</f>
        <v>application/pdf</v>
      </c>
    </row>
    <row r="2553">
      <c r="A2553" s="336" t="str">
        <f>IFERROR(__xludf.DUMMYFUNCTION("""COMPUTED_VALUE"""),"10.1126/science.aac4716")</f>
        <v>10.1126/science.aac4716</v>
      </c>
      <c r="B2553" s="442" t="str">
        <f>IFERROR(__xludf.DUMMYFUNCTION("""COMPUTED_VALUE"""),"https://drive.google.com/file/d/1UMAh9VGta6ExS2-Lb6GkDF4fmnI2EMeM/view?usp=drivesdk")</f>
        <v>https://drive.google.com/file/d/1UMAh9VGta6ExS2-Lb6GkDF4fmnI2EMeM/view?usp=drivesdk</v>
      </c>
      <c r="C2553" s="336" t="str">
        <f>IFERROR(__xludf.DUMMYFUNCTION("""COMPUTED_VALUE"""),"10.1126--science.aac4716.pdf")</f>
        <v>10.1126--science.aac4716.pdf</v>
      </c>
      <c r="D2553" s="156" t="str">
        <f>IFERROR(__xludf.DUMMYFUNCTION("""COMPUTED_VALUE"""),"application/pdf")</f>
        <v>application/pdf</v>
      </c>
    </row>
    <row r="2554">
      <c r="A2554" s="336" t="str">
        <f>IFERROR(__xludf.DUMMYFUNCTION("""COMPUTED_VALUE"""),"10.1016/j.appet.2013.12.020")</f>
        <v>10.1016/j.appet.2013.12.020</v>
      </c>
      <c r="B2554" s="442" t="str">
        <f>IFERROR(__xludf.DUMMYFUNCTION("""COMPUTED_VALUE"""),"https://drive.google.com/file/d/1c8fXNnhmY13vK0FI3aMB_LAx3-JbSZd7/view?usp=drivesdk")</f>
        <v>https://drive.google.com/file/d/1c8fXNnhmY13vK0FI3aMB_LAx3-JbSZd7/view?usp=drivesdk</v>
      </c>
      <c r="C2554" s="336" t="str">
        <f>IFERROR(__xludf.DUMMYFUNCTION("""COMPUTED_VALUE"""),"10.1016--j.appet.2013.12.020.pdf")</f>
        <v>10.1016--j.appet.2013.12.020.pdf</v>
      </c>
      <c r="D2554" s="156" t="str">
        <f>IFERROR(__xludf.DUMMYFUNCTION("""COMPUTED_VALUE"""),"application/pdf")</f>
        <v>application/pdf</v>
      </c>
    </row>
    <row r="2555">
      <c r="A2555" s="336" t="str">
        <f>IFERROR(__xludf.DUMMYFUNCTION("""COMPUTED_VALUE"""),"10.1037/a0019486")</f>
        <v>10.1037/a0019486</v>
      </c>
      <c r="B2555" s="442" t="str">
        <f>IFERROR(__xludf.DUMMYFUNCTION("""COMPUTED_VALUE"""),"https://drive.google.com/file/d/12SWYH_3yaJdBAJKrKFzEeTvzXOf_RPCI/view?usp=drivesdk")</f>
        <v>https://drive.google.com/file/d/12SWYH_3yaJdBAJKrKFzEeTvzXOf_RPCI/view?usp=drivesdk</v>
      </c>
      <c r="C2555" s="336" t="str">
        <f>IFERROR(__xludf.DUMMYFUNCTION("""COMPUTED_VALUE"""),"10.1037--a0019486.pdf")</f>
        <v>10.1037--a0019486.pdf</v>
      </c>
      <c r="D2555" s="156" t="str">
        <f>IFERROR(__xludf.DUMMYFUNCTION("""COMPUTED_VALUE"""),"application/pdf")</f>
        <v>application/pdf</v>
      </c>
    </row>
    <row r="2556">
      <c r="A2556" s="336" t="str">
        <f>IFERROR(__xludf.DUMMYFUNCTION("""COMPUTED_VALUE"""),"10.1016/j.jesp.2012.10.014")</f>
        <v>10.1016/j.jesp.2012.10.014</v>
      </c>
      <c r="B2556" s="442" t="str">
        <f>IFERROR(__xludf.DUMMYFUNCTION("""COMPUTED_VALUE"""),"https://drive.google.com/file/d/1_rFVHDaWBDKF-ni6stLki1Wt7mspwAb2/view?usp=drivesdk")</f>
        <v>https://drive.google.com/file/d/1_rFVHDaWBDKF-ni6stLki1Wt7mspwAb2/view?usp=drivesdk</v>
      </c>
      <c r="C2556" s="336" t="str">
        <f>IFERROR(__xludf.DUMMYFUNCTION("""COMPUTED_VALUE"""),"10.1016--j.jesp.2012.10.014.pdf")</f>
        <v>10.1016--j.jesp.2012.10.014.pdf</v>
      </c>
      <c r="D2556" s="156" t="str">
        <f>IFERROR(__xludf.DUMMYFUNCTION("""COMPUTED_VALUE"""),"application/pdf")</f>
        <v>application/pdf</v>
      </c>
    </row>
    <row r="2557">
      <c r="A2557" s="336" t="str">
        <f>IFERROR(__xludf.DUMMYFUNCTION("""COMPUTED_VALUE"""),"10.1002/(sici)1099-0771(199912)12:4&lt;275::aid-bdm323&gt;3.0.co;2-m")</f>
        <v>10.1002/(sici)1099-0771(199912)12:4&lt;275::aid-bdm323&gt;3.0.co;2-m</v>
      </c>
      <c r="B2557" s="442" t="str">
        <f>IFERROR(__xludf.DUMMYFUNCTION("""COMPUTED_VALUE"""),"https://drive.google.com/file/d/1W8pBtYP2f9U_-uIX5gCuIjH_0yXV7kTV/view?usp=drivesdk")</f>
        <v>https://drive.google.com/file/d/1W8pBtYP2f9U_-uIX5gCuIjH_0yXV7kTV/view?usp=drivesdk</v>
      </c>
      <c r="C2557" s="336" t="str">
        <f>IFERROR(__xludf.DUMMYFUNCTION("""COMPUTED_VALUE"""),"10.1002--(SICI)1099-0771(199912)12:4&lt;275::AID-BDM323&gt;3.0.CO;2-M.pdf")</f>
        <v>10.1002--(SICI)1099-0771(199912)12:4&lt;275::AID-BDM323&gt;3.0.CO;2-M.pdf</v>
      </c>
      <c r="D2557" s="156" t="str">
        <f>IFERROR(__xludf.DUMMYFUNCTION("""COMPUTED_VALUE"""),"application/pdf")</f>
        <v>application/pdf</v>
      </c>
    </row>
    <row r="2558">
      <c r="A2558" s="336" t="str">
        <f>IFERROR(__xludf.DUMMYFUNCTION("""COMPUTED_VALUE"""),"10.1177/1368430204046108")</f>
        <v>10.1177/1368430204046108</v>
      </c>
      <c r="B2558" s="442" t="str">
        <f>IFERROR(__xludf.DUMMYFUNCTION("""COMPUTED_VALUE"""),"https://drive.google.com/file/d/1x5dReumzPkBHOlVCvRV6PIR2YzCKFDLg/view?usp=drivesdk")</f>
        <v>https://drive.google.com/file/d/1x5dReumzPkBHOlVCvRV6PIR2YzCKFDLg/view?usp=drivesdk</v>
      </c>
      <c r="C2558" s="336" t="str">
        <f>IFERROR(__xludf.DUMMYFUNCTION("""COMPUTED_VALUE"""),"10.1177--1368430204046108.pdf")</f>
        <v>10.1177--1368430204046108.pdf</v>
      </c>
      <c r="D2558" s="156" t="str">
        <f>IFERROR(__xludf.DUMMYFUNCTION("""COMPUTED_VALUE"""),"application/pdf")</f>
        <v>application/pdf</v>
      </c>
    </row>
    <row r="2559">
      <c r="A2559" s="336" t="str">
        <f>IFERROR(__xludf.DUMMYFUNCTION("""COMPUTED_VALUE"""),"10.1177/1745691616664694")</f>
        <v>10.1177/1745691616664694</v>
      </c>
      <c r="B2559" s="442" t="str">
        <f>IFERROR(__xludf.DUMMYFUNCTION("""COMPUTED_VALUE"""),"https://drive.google.com/file/d/1sdcg8NT60W6Q1CUK8HlHIK6x_dR0WhCC/view?usp=drivesdk")</f>
        <v>https://drive.google.com/file/d/1sdcg8NT60W6Q1CUK8HlHIK6x_dR0WhCC/view?usp=drivesdk</v>
      </c>
      <c r="C2559" s="336" t="str">
        <f>IFERROR(__xludf.DUMMYFUNCTION("""COMPUTED_VALUE"""),"10.1177--1745691616664694.pdf")</f>
        <v>10.1177--1745691616664694.pdf</v>
      </c>
      <c r="D2559" s="156" t="str">
        <f>IFERROR(__xludf.DUMMYFUNCTION("""COMPUTED_VALUE"""),"application/pdf")</f>
        <v>application/pdf</v>
      </c>
    </row>
    <row r="2560">
      <c r="A2560" s="336" t="str">
        <f>IFERROR(__xludf.DUMMYFUNCTION("""COMPUTED_VALUE"""),"10.1371/journal.pone.0072467")</f>
        <v>10.1371/journal.pone.0072467</v>
      </c>
      <c r="B2560" s="442" t="str">
        <f>IFERROR(__xludf.DUMMYFUNCTION("""COMPUTED_VALUE"""),"https://drive.google.com/file/d/1NxE1Ga7BUZXY3Xjkehb6oetRcD7yCVFb/view?usp=drivesdk")</f>
        <v>https://drive.google.com/file/d/1NxE1Ga7BUZXY3Xjkehb6oetRcD7yCVFb/view?usp=drivesdk</v>
      </c>
      <c r="C2560" s="336" t="str">
        <f>IFERROR(__xludf.DUMMYFUNCTION("""COMPUTED_VALUE"""),"10.1371--journal.pone.0072467.pdf")</f>
        <v>10.1371--journal.pone.0072467.pdf</v>
      </c>
      <c r="D2560" s="156" t="str">
        <f>IFERROR(__xludf.DUMMYFUNCTION("""COMPUTED_VALUE"""),"application/pdf")</f>
        <v>application/pdf</v>
      </c>
    </row>
    <row r="2561">
      <c r="A2561" s="336" t="str">
        <f>IFERROR(__xludf.DUMMYFUNCTION("""COMPUTED_VALUE"""),"10.1177/1745691618755704")</f>
        <v>10.1177/1745691618755704</v>
      </c>
      <c r="B2561" s="442" t="str">
        <f>IFERROR(__xludf.DUMMYFUNCTION("""COMPUTED_VALUE"""),"https://drive.google.com/file/d/1C2Jup6rdXsZPGLRA0Q5G0yMD3cEEnxWq/view?usp=drivesdk")</f>
        <v>https://drive.google.com/file/d/1C2Jup6rdXsZPGLRA0Q5G0yMD3cEEnxWq/view?usp=drivesdk</v>
      </c>
      <c r="C2561" s="336" t="str">
        <f>IFERROR(__xludf.DUMMYFUNCTION("""COMPUTED_VALUE"""),"10.1177--1745691618755704.pdf")</f>
        <v>10.1177--1745691618755704.pdf</v>
      </c>
      <c r="D2561" s="156" t="str">
        <f>IFERROR(__xludf.DUMMYFUNCTION("""COMPUTED_VALUE"""),"application/pdf")</f>
        <v>application/pdf</v>
      </c>
    </row>
    <row r="2562">
      <c r="A2562" s="336" t="str">
        <f>IFERROR(__xludf.DUMMYFUNCTION("""COMPUTED_VALUE"""),"10.1371/journal.pone.0029081")</f>
        <v>10.1371/journal.pone.0029081</v>
      </c>
      <c r="B2562" s="442" t="str">
        <f>IFERROR(__xludf.DUMMYFUNCTION("""COMPUTED_VALUE"""),"https://drive.google.com/file/d/13yA5wer3pEP6DzO7ZMN-jDmSL2aYTKUo/view?usp=drivesdk")</f>
        <v>https://drive.google.com/file/d/13yA5wer3pEP6DzO7ZMN-jDmSL2aYTKUo/view?usp=drivesdk</v>
      </c>
      <c r="C2562" s="336" t="str">
        <f>IFERROR(__xludf.DUMMYFUNCTION("""COMPUTED_VALUE"""),"10.1371--journal.pone.0029081.pdf")</f>
        <v>10.1371--journal.pone.0029081.pdf</v>
      </c>
      <c r="D2562" s="156" t="str">
        <f>IFERROR(__xludf.DUMMYFUNCTION("""COMPUTED_VALUE"""),"application/pdf")</f>
        <v>application/pdf</v>
      </c>
    </row>
    <row r="2563">
      <c r="A2563" s="336" t="str">
        <f>IFERROR(__xludf.DUMMYFUNCTION("""COMPUTED_VALUE"""),"10.1037/0022-3514.83.2.406")</f>
        <v>10.1037/0022-3514.83.2.406</v>
      </c>
      <c r="B2563" s="442" t="str">
        <f>IFERROR(__xludf.DUMMYFUNCTION("""COMPUTED_VALUE"""),"https://drive.google.com/file/d/1OuxVCUkVnVBw7IH1mtlkV9HYUNX7kOe5/view?usp=drivesdk")</f>
        <v>https://drive.google.com/file/d/1OuxVCUkVnVBw7IH1mtlkV9HYUNX7kOe5/view?usp=drivesdk</v>
      </c>
      <c r="C2563" s="336" t="str">
        <f>IFERROR(__xludf.DUMMYFUNCTION("""COMPUTED_VALUE"""),"10.1037--0022-3514.83.2.406.pdf")</f>
        <v>10.1037--0022-3514.83.2.406.pdf</v>
      </c>
      <c r="D2563" s="156" t="str">
        <f>IFERROR(__xludf.DUMMYFUNCTION("""COMPUTED_VALUE"""),"application/pdf")</f>
        <v>application/pdf</v>
      </c>
    </row>
    <row r="2564">
      <c r="A2564" s="336" t="str">
        <f>IFERROR(__xludf.DUMMYFUNCTION("""COMPUTED_VALUE"""),"10.1177/1088868309352321")</f>
        <v>10.1177/1088868309352321</v>
      </c>
      <c r="B2564" s="442" t="str">
        <f>IFERROR(__xludf.DUMMYFUNCTION("""COMPUTED_VALUE"""),"https://drive.google.com/file/d/14-ZL5A4czmJoVm6VnVZoXDjPvxpu_fIM/view?usp=drivesdk")</f>
        <v>https://drive.google.com/file/d/14-ZL5A4czmJoVm6VnVZoXDjPvxpu_fIM/view?usp=drivesdk</v>
      </c>
      <c r="C2564" s="336" t="str">
        <f>IFERROR(__xludf.DUMMYFUNCTION("""COMPUTED_VALUE"""),"10.1177--1088868309352321.pdf")</f>
        <v>10.1177--1088868309352321.pdf</v>
      </c>
      <c r="D2564" s="156" t="str">
        <f>IFERROR(__xludf.DUMMYFUNCTION("""COMPUTED_VALUE"""),"application/pdf")</f>
        <v>application/pdf</v>
      </c>
    </row>
    <row r="2565">
      <c r="A2565" s="336" t="str">
        <f>IFERROR(__xludf.DUMMYFUNCTION("""COMPUTED_VALUE"""),"10.1177/2515245918777487")</f>
        <v>10.1177/2515245918777487</v>
      </c>
      <c r="B2565" s="442" t="str">
        <f>IFERROR(__xludf.DUMMYFUNCTION("""COMPUTED_VALUE"""),"https://drive.google.com/file/d/1-Y0tXk4wvWq7Lp_s5SZ5Mf957-oNEeur/view?usp=drivesdk")</f>
        <v>https://drive.google.com/file/d/1-Y0tXk4wvWq7Lp_s5SZ5Mf957-oNEeur/view?usp=drivesdk</v>
      </c>
      <c r="C2565" s="336" t="str">
        <f>IFERROR(__xludf.DUMMYFUNCTION("""COMPUTED_VALUE"""),"10.1177--2515245918777487.pdf")</f>
        <v>10.1177--2515245918777487.pdf</v>
      </c>
      <c r="D2565" s="156" t="str">
        <f>IFERROR(__xludf.DUMMYFUNCTION("""COMPUTED_VALUE"""),"application/pdf")</f>
        <v>application/pdf</v>
      </c>
    </row>
    <row r="2566">
      <c r="A2566" s="336" t="str">
        <f>IFERROR(__xludf.DUMMYFUNCTION("""COMPUTED_VALUE"""),"10.1016/j.jad.2021.07.052")</f>
        <v>10.1016/j.jad.2021.07.052</v>
      </c>
      <c r="B2566" s="442" t="str">
        <f>IFERROR(__xludf.DUMMYFUNCTION("""COMPUTED_VALUE"""),"https://drive.google.com/file/d/13Nio-8dO7qZ49R3mjE9DmfkECTBbx1fU/view?usp=drivesdk")</f>
        <v>https://drive.google.com/file/d/13Nio-8dO7qZ49R3mjE9DmfkECTBbx1fU/view?usp=drivesdk</v>
      </c>
      <c r="C2566" s="336" t="str">
        <f>IFERROR(__xludf.DUMMYFUNCTION("""COMPUTED_VALUE"""),"10.1016--j.jad.2021.07.052.pdf")</f>
        <v>10.1016--j.jad.2021.07.052.pdf</v>
      </c>
      <c r="D2566" s="156" t="str">
        <f>IFERROR(__xludf.DUMMYFUNCTION("""COMPUTED_VALUE"""),"application/pdf")</f>
        <v>application/pdf</v>
      </c>
    </row>
    <row r="2567">
      <c r="A2567" s="336" t="str">
        <f>IFERROR(__xludf.DUMMYFUNCTION("""COMPUTED_VALUE"""),"10.1080/13576500802362869")</f>
        <v>10.1080/13576500802362869</v>
      </c>
      <c r="B2567" s="442" t="str">
        <f>IFERROR(__xludf.DUMMYFUNCTION("""COMPUTED_VALUE"""),"https://drive.google.com/file/d/1RIdyQYV9nsqx6EZiSwAZ6zO42GlvWP1u/view?usp=drivesdk")</f>
        <v>https://drive.google.com/file/d/1RIdyQYV9nsqx6EZiSwAZ6zO42GlvWP1u/view?usp=drivesdk</v>
      </c>
      <c r="C2567" s="336" t="str">
        <f>IFERROR(__xludf.DUMMYFUNCTION("""COMPUTED_VALUE"""),"10.1080--13576500802362869.pdf")</f>
        <v>10.1080--13576500802362869.pdf</v>
      </c>
      <c r="D2567" s="156" t="str">
        <f>IFERROR(__xludf.DUMMYFUNCTION("""COMPUTED_VALUE"""),"application/pdf")</f>
        <v>application/pdf</v>
      </c>
    </row>
    <row r="2568">
      <c r="A2568" s="336" t="str">
        <f>IFERROR(__xludf.DUMMYFUNCTION("""COMPUTED_VALUE"""),"10.1016/s0278-2626(01)80048-8")</f>
        <v>10.1016/s0278-2626(01)80048-8</v>
      </c>
      <c r="B2568" s="442" t="str">
        <f>IFERROR(__xludf.DUMMYFUNCTION("""COMPUTED_VALUE"""),"https://drive.google.com/file/d/1hlAefOA0L_mUhbFAEpVR-i1xbXqI-EKV/view?usp=drivesdk")</f>
        <v>https://drive.google.com/file/d/1hlAefOA0L_mUhbFAEpVR-i1xbXqI-EKV/view?usp=drivesdk</v>
      </c>
      <c r="C2568" s="336" t="str">
        <f>IFERROR(__xludf.DUMMYFUNCTION("""COMPUTED_VALUE"""),"10.1016--S0278-2626(01)80048-8.pdf")</f>
        <v>10.1016--S0278-2626(01)80048-8.pdf</v>
      </c>
      <c r="D2568" s="156" t="str">
        <f>IFERROR(__xludf.DUMMYFUNCTION("""COMPUTED_VALUE"""),"application/pdf")</f>
        <v>application/pdf</v>
      </c>
    </row>
    <row r="2569">
      <c r="A2569" s="336" t="str">
        <f>IFERROR(__xludf.DUMMYFUNCTION("""COMPUTED_VALUE"""),"10.1177/0956797618774253")</f>
        <v>10.1177/0956797618774253</v>
      </c>
      <c r="B2569" s="442" t="str">
        <f>IFERROR(__xludf.DUMMYFUNCTION("""COMPUTED_VALUE"""),"https://drive.google.com/file/d/1pEYSpiW7cwndWEcUtM2w1XP85JNmvB9Y/view?usp=drivesdk")</f>
        <v>https://drive.google.com/file/d/1pEYSpiW7cwndWEcUtM2w1XP85JNmvB9Y/view?usp=drivesdk</v>
      </c>
      <c r="C2569" s="336" t="str">
        <f>IFERROR(__xludf.DUMMYFUNCTION("""COMPUTED_VALUE"""),"10.1177--0956797618774253.pdf")</f>
        <v>10.1177--0956797618774253.pdf</v>
      </c>
      <c r="D2569" s="156" t="str">
        <f>IFERROR(__xludf.DUMMYFUNCTION("""COMPUTED_VALUE"""),"application/pdf")</f>
        <v>application/pdf</v>
      </c>
    </row>
    <row r="2570">
      <c r="A2570" s="336" t="str">
        <f>IFERROR(__xludf.DUMMYFUNCTION("""COMPUTED_VALUE"""),"10.1016/j.jesp.2021.104222")</f>
        <v>10.1016/j.jesp.2021.104222</v>
      </c>
      <c r="B2570" s="442" t="str">
        <f>IFERROR(__xludf.DUMMYFUNCTION("""COMPUTED_VALUE"""),"https://drive.google.com/file/d/1sJy0VbAO2JUZeEyRrrbhw8VkO2cWWHfk/view?usp=drivesdk")</f>
        <v>https://drive.google.com/file/d/1sJy0VbAO2JUZeEyRrrbhw8VkO2cWWHfk/view?usp=drivesdk</v>
      </c>
      <c r="C2570" s="336" t="str">
        <f>IFERROR(__xludf.DUMMYFUNCTION("""COMPUTED_VALUE"""),"10.1016--j.jesp.2021.104222.pdf")</f>
        <v>10.1016--j.jesp.2021.104222.pdf</v>
      </c>
      <c r="D2570" s="156" t="str">
        <f>IFERROR(__xludf.DUMMYFUNCTION("""COMPUTED_VALUE"""),"application/pdf")</f>
        <v>application/pdf</v>
      </c>
    </row>
    <row r="2571">
      <c r="A2571" s="336" t="str">
        <f>IFERROR(__xludf.DUMMYFUNCTION("""COMPUTED_VALUE"""),"10.1007/s10936-011-9169-z")</f>
        <v>10.1007/s10936-011-9169-z</v>
      </c>
      <c r="B2571" s="442" t="str">
        <f>IFERROR(__xludf.DUMMYFUNCTION("""COMPUTED_VALUE"""),"https://drive.google.com/file/d/1eZUHCweVxeMdVb4zYCf9_w4tvePwSTns/view?usp=drivesdk")</f>
        <v>https://drive.google.com/file/d/1eZUHCweVxeMdVb4zYCf9_w4tvePwSTns/view?usp=drivesdk</v>
      </c>
      <c r="C2571" s="336" t="str">
        <f>IFERROR(__xludf.DUMMYFUNCTION("""COMPUTED_VALUE"""),"10.1007--s10936-011-9169-z.pdf")</f>
        <v>10.1007--s10936-011-9169-z.pdf</v>
      </c>
      <c r="D2571" s="156" t="str">
        <f>IFERROR(__xludf.DUMMYFUNCTION("""COMPUTED_VALUE"""),"application/pdf")</f>
        <v>application/pdf</v>
      </c>
    </row>
    <row r="2572">
      <c r="A2572" s="336" t="str">
        <f>IFERROR(__xludf.DUMMYFUNCTION("""COMPUTED_VALUE"""),"10.1177/0956797620904154")</f>
        <v>10.1177/0956797620904154</v>
      </c>
      <c r="B2572" s="442" t="str">
        <f>IFERROR(__xludf.DUMMYFUNCTION("""COMPUTED_VALUE"""),"https://drive.google.com/file/d/1NKb0rKO1p03jltWPge7_eMofoR99zCY4/view?usp=drivesdk")</f>
        <v>https://drive.google.com/file/d/1NKb0rKO1p03jltWPge7_eMofoR99zCY4/view?usp=drivesdk</v>
      </c>
      <c r="C2572" s="336" t="str">
        <f>IFERROR(__xludf.DUMMYFUNCTION("""COMPUTED_VALUE"""),"10.1177--0956797620904154.pdf")</f>
        <v>10.1177--0956797620904154.pdf</v>
      </c>
      <c r="D2572" s="156" t="str">
        <f>IFERROR(__xludf.DUMMYFUNCTION("""COMPUTED_VALUE"""),"application/pdf")</f>
        <v>application/pdf</v>
      </c>
    </row>
    <row r="2573">
      <c r="A2573" s="336" t="str">
        <f>IFERROR(__xludf.DUMMYFUNCTION("""COMPUTED_VALUE"""),"10.1016/j.jml.2003.09.004")</f>
        <v>10.1016/j.jml.2003.09.004</v>
      </c>
      <c r="B2573" s="442" t="str">
        <f>IFERROR(__xludf.DUMMYFUNCTION("""COMPUTED_VALUE"""),"https://drive.google.com/file/d/1_mASUuJkGSmG2GgCCSiVIjrljmT37fKD/view?usp=drivesdk")</f>
        <v>https://drive.google.com/file/d/1_mASUuJkGSmG2GgCCSiVIjrljmT37fKD/view?usp=drivesdk</v>
      </c>
      <c r="C2573" s="336" t="str">
        <f>IFERROR(__xludf.DUMMYFUNCTION("""COMPUTED_VALUE"""),"10.1016--j.jml.2003.09.004.pdf")</f>
        <v>10.1016--j.jml.2003.09.004.pdf</v>
      </c>
      <c r="D2573" s="156" t="str">
        <f>IFERROR(__xludf.DUMMYFUNCTION("""COMPUTED_VALUE"""),"application/pdf")</f>
        <v>application/pdf</v>
      </c>
    </row>
    <row r="2574">
      <c r="A2574" s="336" t="str">
        <f>IFERROR(__xludf.DUMMYFUNCTION("""COMPUTED_VALUE"""),"10.1037/a0033090")</f>
        <v>10.1037/a0033090</v>
      </c>
      <c r="B2574" s="442" t="str">
        <f>IFERROR(__xludf.DUMMYFUNCTION("""COMPUTED_VALUE"""),"https://drive.google.com/file/d/1tYqyeoNprzV_qtrZGEB-4reEpABdkPw3/view?usp=drivesdk")</f>
        <v>https://drive.google.com/file/d/1tYqyeoNprzV_qtrZGEB-4reEpABdkPw3/view?usp=drivesdk</v>
      </c>
      <c r="C2574" s="336" t="str">
        <f>IFERROR(__xludf.DUMMYFUNCTION("""COMPUTED_VALUE"""),"10.1037--a0033090.pdf")</f>
        <v>10.1037--a0033090.pdf</v>
      </c>
      <c r="D2574" s="156" t="str">
        <f>IFERROR(__xludf.DUMMYFUNCTION("""COMPUTED_VALUE"""),"application/pdf")</f>
        <v>application/pdf</v>
      </c>
    </row>
    <row r="2575">
      <c r="A2575" s="336" t="str">
        <f>IFERROR(__xludf.DUMMYFUNCTION("""COMPUTED_VALUE"""),"10.1016/j.actpsy.2003.11.002")</f>
        <v>10.1016/j.actpsy.2003.11.002</v>
      </c>
      <c r="B2575" s="442" t="str">
        <f>IFERROR(__xludf.DUMMYFUNCTION("""COMPUTED_VALUE"""),"https://drive.google.com/file/d/1N3Kdpl81yca1EtoDyekVJjSEXoEPFlfj/view?usp=drivesdk")</f>
        <v>https://drive.google.com/file/d/1N3Kdpl81yca1EtoDyekVJjSEXoEPFlfj/view?usp=drivesdk</v>
      </c>
      <c r="C2575" s="336" t="str">
        <f>IFERROR(__xludf.DUMMYFUNCTION("""COMPUTED_VALUE"""),"10.1016--j.actpsy.2003.11.002.pdf")</f>
        <v>10.1016--j.actpsy.2003.11.002.pdf</v>
      </c>
      <c r="D2575" s="156" t="str">
        <f>IFERROR(__xludf.DUMMYFUNCTION("""COMPUTED_VALUE"""),"application/pdf")</f>
        <v>application/pdf</v>
      </c>
    </row>
    <row r="2576">
      <c r="A2576" s="336" t="str">
        <f>IFERROR(__xludf.DUMMYFUNCTION("""COMPUTED_VALUE"""),"10.1080/23743603.2020.1756239")</f>
        <v>10.1080/23743603.2020.1756239</v>
      </c>
      <c r="B2576" s="442" t="str">
        <f>IFERROR(__xludf.DUMMYFUNCTION("""COMPUTED_VALUE"""),"https://drive.google.com/file/d/1Y9TjJAW8ZKfogaBp1kGoi63qt-8wZ3_p/view?usp=drivesdk")</f>
        <v>https://drive.google.com/file/d/1Y9TjJAW8ZKfogaBp1kGoi63qt-8wZ3_p/view?usp=drivesdk</v>
      </c>
      <c r="C2576" s="336" t="str">
        <f>IFERROR(__xludf.DUMMYFUNCTION("""COMPUTED_VALUE"""),"10.1080--23743603.2020.1756239.pdf")</f>
        <v>10.1080--23743603.2020.1756239.pdf</v>
      </c>
      <c r="D2576" s="156" t="str">
        <f>IFERROR(__xludf.DUMMYFUNCTION("""COMPUTED_VALUE"""),"application/pdf")</f>
        <v>application/pdf</v>
      </c>
    </row>
    <row r="2577">
      <c r="A2577" s="336" t="str">
        <f>IFERROR(__xludf.DUMMYFUNCTION("""COMPUTED_VALUE"""),"10.1007/s10902-012-9342-6")</f>
        <v>10.1007/s10902-012-9342-6</v>
      </c>
      <c r="B2577" s="442" t="str">
        <f>IFERROR(__xludf.DUMMYFUNCTION("""COMPUTED_VALUE"""),"https://drive.google.com/file/d/1O-k-Z5CgdBCl2iip47xIs6T7RVcmAbcf/view?usp=drivesdk")</f>
        <v>https://drive.google.com/file/d/1O-k-Z5CgdBCl2iip47xIs6T7RVcmAbcf/view?usp=drivesdk</v>
      </c>
      <c r="C2577" s="336" t="str">
        <f>IFERROR(__xludf.DUMMYFUNCTION("""COMPUTED_VALUE"""),"10.1007--s10902-012-9342-6.pdf")</f>
        <v>10.1007--s10902-012-9342-6.pdf</v>
      </c>
      <c r="D2577" s="156" t="str">
        <f>IFERROR(__xludf.DUMMYFUNCTION("""COMPUTED_VALUE"""),"application/pdf")</f>
        <v>application/pdf</v>
      </c>
    </row>
    <row r="2578">
      <c r="A2578" s="336" t="str">
        <f>IFERROR(__xludf.DUMMYFUNCTION("""COMPUTED_VALUE"""),"10.1016/j.paid.2015.11.011")</f>
        <v>10.1016/j.paid.2015.11.011</v>
      </c>
      <c r="B2578" s="442" t="str">
        <f>IFERROR(__xludf.DUMMYFUNCTION("""COMPUTED_VALUE"""),"https://drive.google.com/file/d/1_a617egHPNmdr95a_vU1ME_nNXbxT2YN/view?usp=drivesdk")</f>
        <v>https://drive.google.com/file/d/1_a617egHPNmdr95a_vU1ME_nNXbxT2YN/view?usp=drivesdk</v>
      </c>
      <c r="C2578" s="336" t="str">
        <f>IFERROR(__xludf.DUMMYFUNCTION("""COMPUTED_VALUE"""),"10.1016--j.paid.2015.11.011.pdf")</f>
        <v>10.1016--j.paid.2015.11.011.pdf</v>
      </c>
      <c r="D2578" s="156" t="str">
        <f>IFERROR(__xludf.DUMMYFUNCTION("""COMPUTED_VALUE"""),"application/pdf")</f>
        <v>application/pdf</v>
      </c>
    </row>
    <row r="2579">
      <c r="A2579" s="336" t="str">
        <f>IFERROR(__xludf.DUMMYFUNCTION("""COMPUTED_VALUE"""),"10.1016/j.jtbi.2007.11.004")</f>
        <v>10.1016/j.jtbi.2007.11.004</v>
      </c>
      <c r="B2579" s="442" t="str">
        <f>IFERROR(__xludf.DUMMYFUNCTION("""COMPUTED_VALUE"""),"https://drive.google.com/file/d/1XcuAMCb4SJKIgmPLDvhXazapejs_aDdJ/view?usp=drivesdk")</f>
        <v>https://drive.google.com/file/d/1XcuAMCb4SJKIgmPLDvhXazapejs_aDdJ/view?usp=drivesdk</v>
      </c>
      <c r="C2579" s="336" t="str">
        <f>IFERROR(__xludf.DUMMYFUNCTION("""COMPUTED_VALUE"""),"10.1016--j.jtbi.2007.11.004.pdf")</f>
        <v>10.1016--j.jtbi.2007.11.004.pdf</v>
      </c>
      <c r="D2579" s="156" t="str">
        <f>IFERROR(__xludf.DUMMYFUNCTION("""COMPUTED_VALUE"""),"application/pdf")</f>
        <v>application/pdf</v>
      </c>
    </row>
    <row r="2580">
      <c r="A2580" s="336" t="str">
        <f>IFERROR(__xludf.DUMMYFUNCTION("""COMPUTED_VALUE"""),"10.1037/arc0000007")</f>
        <v>10.1037/arc0000007</v>
      </c>
      <c r="B2580" s="442" t="str">
        <f>IFERROR(__xludf.DUMMYFUNCTION("""COMPUTED_VALUE"""),"https://drive.google.com/file/d/1gyeq5B_qi3Jnlf4Z_IsX5vLD1Nya92z0/view?usp=drivesdk")</f>
        <v>https://drive.google.com/file/d/1gyeq5B_qi3Jnlf4Z_IsX5vLD1Nya92z0/view?usp=drivesdk</v>
      </c>
      <c r="C2580" s="336" t="str">
        <f>IFERROR(__xludf.DUMMYFUNCTION("""COMPUTED_VALUE"""),"10.1037--arc0000007.pdf")</f>
        <v>10.1037--arc0000007.pdf</v>
      </c>
      <c r="D2580" s="156" t="str">
        <f>IFERROR(__xludf.DUMMYFUNCTION("""COMPUTED_VALUE"""),"application/pdf")</f>
        <v>application/pdf</v>
      </c>
    </row>
    <row r="2581">
      <c r="A2581" s="336" t="str">
        <f>IFERROR(__xludf.DUMMYFUNCTION("""COMPUTED_VALUE"""),"10.1016/j.jesp.2015.08.005")</f>
        <v>10.1016/j.jesp.2015.08.005</v>
      </c>
      <c r="B2581" s="442" t="str">
        <f>IFERROR(__xludf.DUMMYFUNCTION("""COMPUTED_VALUE"""),"https://drive.google.com/file/d/1-xurSGJuM3s6RBApJqwPJeMlgGlC3K_D/view?usp=drivesdk")</f>
        <v>https://drive.google.com/file/d/1-xurSGJuM3s6RBApJqwPJeMlgGlC3K_D/view?usp=drivesdk</v>
      </c>
      <c r="C2581" s="336" t="str">
        <f>IFERROR(__xludf.DUMMYFUNCTION("""COMPUTED_VALUE"""),"10.1016--j.jesp.2015.08.005.pdf")</f>
        <v>10.1016--j.jesp.2015.08.005.pdf</v>
      </c>
      <c r="D2581" s="156" t="str">
        <f>IFERROR(__xludf.DUMMYFUNCTION("""COMPUTED_VALUE"""),"application/pdf")</f>
        <v>application/pdf</v>
      </c>
    </row>
    <row r="2582">
      <c r="A2582" s="336" t="str">
        <f>IFERROR(__xludf.DUMMYFUNCTION("""COMPUTED_VALUE"""),"10.1016/j.jesp.2014.04.014.")</f>
        <v>10.1016/j.jesp.2014.04.014.</v>
      </c>
      <c r="B2582" s="442" t="str">
        <f>IFERROR(__xludf.DUMMYFUNCTION("""COMPUTED_VALUE"""),"https://drive.google.com/file/d/1AXc9ELjFb-hXVUWMzlJZYPXvvlEhIDm6/view?usp=drivesdk")</f>
        <v>https://drive.google.com/file/d/1AXc9ELjFb-hXVUWMzlJZYPXvvlEhIDm6/view?usp=drivesdk</v>
      </c>
      <c r="C2582" s="336" t="str">
        <f>IFERROR(__xludf.DUMMYFUNCTION("""COMPUTED_VALUE"""),"10.1016--j.jesp.2014.04.014..pdf")</f>
        <v>10.1016--j.jesp.2014.04.014..pdf</v>
      </c>
      <c r="D2582" s="156" t="str">
        <f>IFERROR(__xludf.DUMMYFUNCTION("""COMPUTED_VALUE"""),"application/pdf")</f>
        <v>application/pdf</v>
      </c>
    </row>
    <row r="2583">
      <c r="A2583" s="336" t="str">
        <f>IFERROR(__xludf.DUMMYFUNCTION("""COMPUTED_VALUE"""),"10.1016/j.jesp.2020.104066")</f>
        <v>10.1016/j.jesp.2020.104066</v>
      </c>
      <c r="B2583" s="442" t="str">
        <f>IFERROR(__xludf.DUMMYFUNCTION("""COMPUTED_VALUE"""),"https://drive.google.com/file/d/1Q7xa-u3DEssueb6fBYD39BjDPub6xcHR/view?usp=drivesdk")</f>
        <v>https://drive.google.com/file/d/1Q7xa-u3DEssueb6fBYD39BjDPub6xcHR/view?usp=drivesdk</v>
      </c>
      <c r="C2583" s="336" t="str">
        <f>IFERROR(__xludf.DUMMYFUNCTION("""COMPUTED_VALUE"""),"10.1016--j.jesp.2020.104066.pdf")</f>
        <v>10.1016--j.jesp.2020.104066.pdf</v>
      </c>
      <c r="D2583" s="156" t="str">
        <f>IFERROR(__xludf.DUMMYFUNCTION("""COMPUTED_VALUE"""),"application/pdf")</f>
        <v>application/pdf</v>
      </c>
    </row>
    <row r="2584">
      <c r="A2584" s="336" t="str">
        <f>IFERROR(__xludf.DUMMYFUNCTION("""COMPUTED_VALUE"""),"10.1016/j.jesp.2013.05.011")</f>
        <v>10.1016/j.jesp.2013.05.011</v>
      </c>
      <c r="B2584" s="442" t="str">
        <f>IFERROR(__xludf.DUMMYFUNCTION("""COMPUTED_VALUE"""),"https://drive.google.com/file/d/1JdFF8pu65hv5yMW8kuJKZT-omhqW3568/view?usp=drivesdk")</f>
        <v>https://drive.google.com/file/d/1JdFF8pu65hv5yMW8kuJKZT-omhqW3568/view?usp=drivesdk</v>
      </c>
      <c r="C2584" s="336" t="str">
        <f>IFERROR(__xludf.DUMMYFUNCTION("""COMPUTED_VALUE"""),"10.1016--j.jesp.2013.05.011.pdf")</f>
        <v>10.1016--j.jesp.2013.05.011.pdf</v>
      </c>
      <c r="D2584" s="156" t="str">
        <f>IFERROR(__xludf.DUMMYFUNCTION("""COMPUTED_VALUE"""),"application/pdf")</f>
        <v>application/pdf</v>
      </c>
    </row>
    <row r="2585">
      <c r="A2585" s="336" t="str">
        <f>IFERROR(__xludf.DUMMYFUNCTION("""COMPUTED_VALUE"""),"10.1007/s10071-014-0772-x")</f>
        <v>10.1007/s10071-014-0772-x</v>
      </c>
      <c r="B2585" s="442" t="str">
        <f>IFERROR(__xludf.DUMMYFUNCTION("""COMPUTED_VALUE"""),"https://drive.google.com/file/d/1aj8B0Xo2PNkknIhUbiwxlXmmWvp7ECaH/view?usp=drivesdk")</f>
        <v>https://drive.google.com/file/d/1aj8B0Xo2PNkknIhUbiwxlXmmWvp7ECaH/view?usp=drivesdk</v>
      </c>
      <c r="C2585" s="336" t="str">
        <f>IFERROR(__xludf.DUMMYFUNCTION("""COMPUTED_VALUE"""),"10.1007--s10071-014-0772-x.pdf")</f>
        <v>10.1007--s10071-014-0772-x.pdf</v>
      </c>
      <c r="D2585" s="156" t="str">
        <f>IFERROR(__xludf.DUMMYFUNCTION("""COMPUTED_VALUE"""),"application/pdf")</f>
        <v>application/pdf</v>
      </c>
    </row>
    <row r="2586">
      <c r="A2586" s="336" t="str">
        <f>IFERROR(__xludf.DUMMYFUNCTION("""COMPUTED_VALUE"""),"10.1007/s00213-019-05314-z")</f>
        <v>10.1007/s00213-019-05314-z</v>
      </c>
      <c r="B2586" s="442" t="str">
        <f>IFERROR(__xludf.DUMMYFUNCTION("""COMPUTED_VALUE"""),"https://drive.google.com/file/d/1gdDOOMTIigM-6Ed3enxRZxDW_ycizIYq/view?usp=drivesdk")</f>
        <v>https://drive.google.com/file/d/1gdDOOMTIigM-6Ed3enxRZxDW_ycizIYq/view?usp=drivesdk</v>
      </c>
      <c r="C2586" s="336" t="str">
        <f>IFERROR(__xludf.DUMMYFUNCTION("""COMPUTED_VALUE"""),"10.1007--s00213-019-05314-z.pdf")</f>
        <v>10.1007--s00213-019-05314-z.pdf</v>
      </c>
      <c r="D2586" s="156" t="str">
        <f>IFERROR(__xludf.DUMMYFUNCTION("""COMPUTED_VALUE"""),"application/pdf")</f>
        <v>application/pdf</v>
      </c>
    </row>
    <row r="2587">
      <c r="A2587" s="336" t="str">
        <f>IFERROR(__xludf.DUMMYFUNCTION("""COMPUTED_VALUE"""),"10.1371/journal.pone.0140570")</f>
        <v>10.1371/journal.pone.0140570</v>
      </c>
      <c r="B2587" s="442" t="str">
        <f>IFERROR(__xludf.DUMMYFUNCTION("""COMPUTED_VALUE"""),"https://drive.google.com/file/d/1gsOTvu8o9_agf4ZMRaXeuVc3OE2nLzap/view?usp=drivesdk")</f>
        <v>https://drive.google.com/file/d/1gsOTvu8o9_agf4ZMRaXeuVc3OE2nLzap/view?usp=drivesdk</v>
      </c>
      <c r="C2587" s="336" t="str">
        <f>IFERROR(__xludf.DUMMYFUNCTION("""COMPUTED_VALUE"""),"10.1371--journal.pone.0140570.pdf")</f>
        <v>10.1371--journal.pone.0140570.pdf</v>
      </c>
      <c r="D2587" s="156" t="str">
        <f>IFERROR(__xludf.DUMMYFUNCTION("""COMPUTED_VALUE"""),"application/pdf")</f>
        <v>application/pdf</v>
      </c>
    </row>
    <row r="2588">
      <c r="A2588" s="336" t="str">
        <f>IFERROR(__xludf.DUMMYFUNCTION("""COMPUTED_VALUE"""),"10.1023/a:1024790530822")</f>
        <v>10.1023/a:1024790530822</v>
      </c>
      <c r="B2588" s="442" t="str">
        <f>IFERROR(__xludf.DUMMYFUNCTION("""COMPUTED_VALUE"""),"https://drive.google.com/file/d/14XksUpjrQJUMaz7MdAdSkyoKt9b8ulAg/view?usp=drivesdk")</f>
        <v>https://drive.google.com/file/d/14XksUpjrQJUMaz7MdAdSkyoKt9b8ulAg/view?usp=drivesdk</v>
      </c>
      <c r="C2588" s="336" t="str">
        <f>IFERROR(__xludf.DUMMYFUNCTION("""COMPUTED_VALUE"""),"10.1023--A:1024790530822.pdf")</f>
        <v>10.1023--A:1024790530822.pdf</v>
      </c>
      <c r="D2588" s="156" t="str">
        <f>IFERROR(__xludf.DUMMYFUNCTION("""COMPUTED_VALUE"""),"application/pdf")</f>
        <v>application/pdf</v>
      </c>
    </row>
    <row r="2589">
      <c r="A2589" s="336" t="str">
        <f>IFERROR(__xludf.DUMMYFUNCTION("""COMPUTED_VALUE"""),"10.1017/s1355617702860106")</f>
        <v>10.1017/s1355617702860106</v>
      </c>
      <c r="B2589" s="442" t="str">
        <f>IFERROR(__xludf.DUMMYFUNCTION("""COMPUTED_VALUE"""),"https://drive.google.com/file/d/1IW0qjwuuON-KUlB9j-eiO4xg57xZsaBi/view?usp=drivesdk")</f>
        <v>https://drive.google.com/file/d/1IW0qjwuuON-KUlB9j-eiO4xg57xZsaBi/view?usp=drivesdk</v>
      </c>
      <c r="C2589" s="336" t="str">
        <f>IFERROR(__xludf.DUMMYFUNCTION("""COMPUTED_VALUE"""),"10.1017--S1355617702860106.pdf")</f>
        <v>10.1017--S1355617702860106.pdf</v>
      </c>
      <c r="D2589" s="156" t="str">
        <f>IFERROR(__xludf.DUMMYFUNCTION("""COMPUTED_VALUE"""),"application/pdf")</f>
        <v>application/pdf</v>
      </c>
    </row>
    <row r="2590">
      <c r="A2590" s="336" t="str">
        <f>IFERROR(__xludf.DUMMYFUNCTION("""COMPUTED_VALUE"""),"10.3758/bf03193224")</f>
        <v>10.3758/bf03193224</v>
      </c>
      <c r="B2590" s="442" t="str">
        <f>IFERROR(__xludf.DUMMYFUNCTION("""COMPUTED_VALUE"""),"https://drive.google.com/file/d/1GlDT0ELzxcEvkjSSuOTPVqUBCygnsWCw/view?usp=drivesdk")</f>
        <v>https://drive.google.com/file/d/1GlDT0ELzxcEvkjSSuOTPVqUBCygnsWCw/view?usp=drivesdk</v>
      </c>
      <c r="C2590" s="336" t="str">
        <f>IFERROR(__xludf.DUMMYFUNCTION("""COMPUTED_VALUE"""),"10.3758--BF03193224.pdf")</f>
        <v>10.3758--BF03193224.pdf</v>
      </c>
      <c r="D2590" s="156" t="str">
        <f>IFERROR(__xludf.DUMMYFUNCTION("""COMPUTED_VALUE"""),"application/pdf")</f>
        <v>application/pdf</v>
      </c>
    </row>
    <row r="2591">
      <c r="A2591" s="336" t="str">
        <f>IFERROR(__xludf.DUMMYFUNCTION("""COMPUTED_VALUE"""),"10.1207/s15324826an0701_3")</f>
        <v>10.1207/s15324826an0701_3</v>
      </c>
      <c r="B2591" s="442" t="str">
        <f>IFERROR(__xludf.DUMMYFUNCTION("""COMPUTED_VALUE"""),"https://drive.google.com/file/d/1fI9AvKCFXUbNqvCnE7F2C_aze9MnObud/view?usp=drivesdk")</f>
        <v>https://drive.google.com/file/d/1fI9AvKCFXUbNqvCnE7F2C_aze9MnObud/view?usp=drivesdk</v>
      </c>
      <c r="C2591" s="336" t="str">
        <f>IFERROR(__xludf.DUMMYFUNCTION("""COMPUTED_VALUE"""),"10.1207--S15324826AN0701_3.pdf")</f>
        <v>10.1207--S15324826AN0701_3.pdf</v>
      </c>
      <c r="D2591" s="156" t="str">
        <f>IFERROR(__xludf.DUMMYFUNCTION("""COMPUTED_VALUE"""),"application/pdf")</f>
        <v>application/pdf</v>
      </c>
    </row>
    <row r="2592">
      <c r="A2592" s="336" t="str">
        <f>IFERROR(__xludf.DUMMYFUNCTION("""COMPUTED_VALUE"""),"10.1037/0894-4105.16.4.562")</f>
        <v>10.1037/0894-4105.16.4.562</v>
      </c>
      <c r="B2592" s="442" t="str">
        <f>IFERROR(__xludf.DUMMYFUNCTION("""COMPUTED_VALUE"""),"https://drive.google.com/file/d/1nyuFXPtZ3yl4xeiu7MA9Tx40lpG1Oe7D/view?usp=drivesdk")</f>
        <v>https://drive.google.com/file/d/1nyuFXPtZ3yl4xeiu7MA9Tx40lpG1Oe7D/view?usp=drivesdk</v>
      </c>
      <c r="C2592" s="336" t="str">
        <f>IFERROR(__xludf.DUMMYFUNCTION("""COMPUTED_VALUE"""),"10.1037--0894-4105.16.4.562.pdf")</f>
        <v>10.1037--0894-4105.16.4.562.pdf</v>
      </c>
      <c r="D2592" s="156" t="str">
        <f>IFERROR(__xludf.DUMMYFUNCTION("""COMPUTED_VALUE"""),"application/pdf")</f>
        <v>application/pdf</v>
      </c>
    </row>
    <row r="2593">
      <c r="A2593" s="336" t="str">
        <f>IFERROR(__xludf.DUMMYFUNCTION("""COMPUTED_VALUE"""),"10.1177/0956797619831612")</f>
        <v>10.1177/0956797619831612</v>
      </c>
      <c r="B2593" s="442" t="str">
        <f>IFERROR(__xludf.DUMMYFUNCTION("""COMPUTED_VALUE"""),"https://drive.google.com/file/d/17mZvRs3ue7pXwqu8bmIDvgNdc95PGEcV/view?usp=drivesdk")</f>
        <v>https://drive.google.com/file/d/17mZvRs3ue7pXwqu8bmIDvgNdc95PGEcV/view?usp=drivesdk</v>
      </c>
      <c r="C2593" s="336" t="str">
        <f>IFERROR(__xludf.DUMMYFUNCTION("""COMPUTED_VALUE"""),"10.1177--0956797619831612.pdf")</f>
        <v>10.1177--0956797619831612.pdf</v>
      </c>
      <c r="D2593" s="156" t="str">
        <f>IFERROR(__xludf.DUMMYFUNCTION("""COMPUTED_VALUE"""),"application/pdf")</f>
        <v>application/pdf</v>
      </c>
    </row>
    <row r="2594">
      <c r="A2594" s="336" t="str">
        <f>IFERROR(__xludf.DUMMYFUNCTION("""COMPUTED_VALUE"""),"10.1177/1745691614545653")</f>
        <v>10.1177/1745691614545653</v>
      </c>
      <c r="B2594" s="442" t="str">
        <f>IFERROR(__xludf.DUMMYFUNCTION("""COMPUTED_VALUE"""),"https://drive.google.com/file/d/1bUdOeN6otviUN-kBvT0eGX5V_WZjjau0/view?usp=drivesdk")</f>
        <v>https://drive.google.com/file/d/1bUdOeN6otviUN-kBvT0eGX5V_WZjjau0/view?usp=drivesdk</v>
      </c>
      <c r="C2594" s="336" t="str">
        <f>IFERROR(__xludf.DUMMYFUNCTION("""COMPUTED_VALUE"""),"10.1177--1745691614545653.pdf")</f>
        <v>10.1177--1745691614545653.pdf</v>
      </c>
      <c r="D2594" s="156" t="str">
        <f>IFERROR(__xludf.DUMMYFUNCTION("""COMPUTED_VALUE"""),"application/pdf")</f>
        <v>application/pdf</v>
      </c>
    </row>
    <row r="2595">
      <c r="A2595" s="336" t="str">
        <f>IFERROR(__xludf.DUMMYFUNCTION("""COMPUTED_VALUE"""),"10.1016/j.jesp.2015.10.012")</f>
        <v>10.1016/j.jesp.2015.10.012</v>
      </c>
      <c r="B2595" s="442" t="str">
        <f>IFERROR(__xludf.DUMMYFUNCTION("""COMPUTED_VALUE"""),"https://drive.google.com/file/d/1xuc-fvipcLZQMaybgsFtBL29-3ClXZFF/view?usp=drivesdk")</f>
        <v>https://drive.google.com/file/d/1xuc-fvipcLZQMaybgsFtBL29-3ClXZFF/view?usp=drivesdk</v>
      </c>
      <c r="C2595" s="336" t="str">
        <f>IFERROR(__xludf.DUMMYFUNCTION("""COMPUTED_VALUE"""),"10.1016--j.jesp.2015.10.012.pdf")</f>
        <v>10.1016--j.jesp.2015.10.012.pdf</v>
      </c>
      <c r="D2595" s="156" t="str">
        <f>IFERROR(__xludf.DUMMYFUNCTION("""COMPUTED_VALUE"""),"application/pdf")</f>
        <v>application/pdf</v>
      </c>
    </row>
    <row r="2596">
      <c r="A2596" s="336" t="str">
        <f>IFERROR(__xludf.DUMMYFUNCTION("""COMPUTED_VALUE"""),"10.1371/journal.pone.0053827")</f>
        <v>10.1371/journal.pone.0053827</v>
      </c>
      <c r="B2596" s="442" t="str">
        <f>IFERROR(__xludf.DUMMYFUNCTION("""COMPUTED_VALUE"""),"https://drive.google.com/file/d/1SW8YbHdY9LZLPUYEaeltGXqctWN3G72a/view?usp=drivesdk")</f>
        <v>https://drive.google.com/file/d/1SW8YbHdY9LZLPUYEaeltGXqctWN3G72a/view?usp=drivesdk</v>
      </c>
      <c r="C2596" s="336" t="str">
        <f>IFERROR(__xludf.DUMMYFUNCTION("""COMPUTED_VALUE"""),"10.1371--journal.pone.0053827.pdf")</f>
        <v>10.1371--journal.pone.0053827.pdf</v>
      </c>
      <c r="D2596" s="156" t="str">
        <f>IFERROR(__xludf.DUMMYFUNCTION("""COMPUTED_VALUE"""),"application/pdf")</f>
        <v>application/pdf</v>
      </c>
    </row>
    <row r="2597">
      <c r="A2597" s="336" t="str">
        <f>IFERROR(__xludf.DUMMYFUNCTION("""COMPUTED_VALUE"""),"10.1192/bjp.178.4.344")</f>
        <v>10.1192/bjp.178.4.344</v>
      </c>
      <c r="B2597" s="442" t="str">
        <f>IFERROR(__xludf.DUMMYFUNCTION("""COMPUTED_VALUE"""),"https://drive.google.com/file/d/1oOmUlehVvRaM19jZUP5-KPUM6GoqwMcj/view?usp=drivesdk")</f>
        <v>https://drive.google.com/file/d/1oOmUlehVvRaM19jZUP5-KPUM6GoqwMcj/view?usp=drivesdk</v>
      </c>
      <c r="C2597" s="336" t="str">
        <f>IFERROR(__xludf.DUMMYFUNCTION("""COMPUTED_VALUE"""),"10.1192--bjp.178.4.344.pdf")</f>
        <v>10.1192--bjp.178.4.344.pdf</v>
      </c>
      <c r="D2597" s="156" t="str">
        <f>IFERROR(__xludf.DUMMYFUNCTION("""COMPUTED_VALUE"""),"application/pdf")</f>
        <v>application/pdf</v>
      </c>
    </row>
    <row r="2598">
      <c r="A2598" s="336" t="str">
        <f>IFERROR(__xludf.DUMMYFUNCTION("""COMPUTED_VALUE"""),"10.1186/2052-1847-5-11")</f>
        <v>10.1186/2052-1847-5-11</v>
      </c>
      <c r="B2598" s="442" t="str">
        <f>IFERROR(__xludf.DUMMYFUNCTION("""COMPUTED_VALUE"""),"https://drive.google.com/file/d/1ClvVjze3jeh0pirugXpxbUyLaBbpCVR3/view?usp=drivesdk")</f>
        <v>https://drive.google.com/file/d/1ClvVjze3jeh0pirugXpxbUyLaBbpCVR3/view?usp=drivesdk</v>
      </c>
      <c r="C2598" s="336" t="str">
        <f>IFERROR(__xludf.DUMMYFUNCTION("""COMPUTED_VALUE"""),"10.1186--2052-1847-5-11.pdf")</f>
        <v>10.1186--2052-1847-5-11.pdf</v>
      </c>
      <c r="D2598" s="156" t="str">
        <f>IFERROR(__xludf.DUMMYFUNCTION("""COMPUTED_VALUE"""),"application/pdf")</f>
        <v>application/pdf</v>
      </c>
    </row>
    <row r="2599">
      <c r="A2599" s="336" t="str">
        <f>IFERROR(__xludf.DUMMYFUNCTION("""COMPUTED_VALUE"""),"10.1097/npt.0000000000000065")</f>
        <v>10.1097/npt.0000000000000065</v>
      </c>
      <c r="B2599" s="442" t="str">
        <f>IFERROR(__xludf.DUMMYFUNCTION("""COMPUTED_VALUE"""),"https://drive.google.com/file/d/1XWxdKOQYQMtFuvL7EsEQn7RuH4ypMVP0/view?usp=drivesdk")</f>
        <v>https://drive.google.com/file/d/1XWxdKOQYQMtFuvL7EsEQn7RuH4ypMVP0/view?usp=drivesdk</v>
      </c>
      <c r="C2599" s="336" t="str">
        <f>IFERROR(__xludf.DUMMYFUNCTION("""COMPUTED_VALUE"""),"10.1097--NPT.0000000000000065.pdf")</f>
        <v>10.1097--NPT.0000000000000065.pdf</v>
      </c>
      <c r="D2599" s="156" t="str">
        <f>IFERROR(__xludf.DUMMYFUNCTION("""COMPUTED_VALUE"""),"application/pdf")</f>
        <v>application/pdf</v>
      </c>
    </row>
    <row r="2600">
      <c r="A2600" s="336" t="str">
        <f>IFERROR(__xludf.DUMMYFUNCTION("""COMPUTED_VALUE"""),"10.1007/s13164-018-0400-9")</f>
        <v>10.1007/s13164-018-0400-9</v>
      </c>
      <c r="B2600" s="442" t="str">
        <f>IFERROR(__xludf.DUMMYFUNCTION("""COMPUTED_VALUE"""),"https://drive.google.com/file/d/1hjI3aqifdfXjWhQAlvKCKKtvjuncAn5M/view?usp=drivesdk")</f>
        <v>https://drive.google.com/file/d/1hjI3aqifdfXjWhQAlvKCKKtvjuncAn5M/view?usp=drivesdk</v>
      </c>
      <c r="C2600" s="336" t="str">
        <f>IFERROR(__xludf.DUMMYFUNCTION("""COMPUTED_VALUE"""),"10.1007--s13164-018-0400-9.pdf")</f>
        <v>10.1007--s13164-018-0400-9.pdf</v>
      </c>
      <c r="D2600" s="156" t="str">
        <f>IFERROR(__xludf.DUMMYFUNCTION("""COMPUTED_VALUE"""),"application/pdf")</f>
        <v>application/pdf</v>
      </c>
    </row>
    <row r="2601">
      <c r="A2601" s="336" t="str">
        <f>IFERROR(__xludf.DUMMYFUNCTION("""COMPUTED_VALUE"""),"10.1371/journal.pone.0067000")</f>
        <v>10.1371/journal.pone.0067000</v>
      </c>
      <c r="B2601" s="442" t="str">
        <f>IFERROR(__xludf.DUMMYFUNCTION("""COMPUTED_VALUE"""),"https://drive.google.com/file/d/1UJeeNtcoE5K0xHfMfq_HMptmh6jzKexE/view?usp=drivesdk")</f>
        <v>https://drive.google.com/file/d/1UJeeNtcoE5K0xHfMfq_HMptmh6jzKexE/view?usp=drivesdk</v>
      </c>
      <c r="C2601" s="336" t="str">
        <f>IFERROR(__xludf.DUMMYFUNCTION("""COMPUTED_VALUE"""),"10.1371--journal.pone.0067000.pdf")</f>
        <v>10.1371--journal.pone.0067000.pdf</v>
      </c>
      <c r="D2601" s="156" t="str">
        <f>IFERROR(__xludf.DUMMYFUNCTION("""COMPUTED_VALUE"""),"application/pdf")</f>
        <v>application/pdf</v>
      </c>
    </row>
    <row r="2602">
      <c r="A2602" s="336" t="str">
        <f>IFERROR(__xludf.DUMMYFUNCTION("""COMPUTED_VALUE"""),"10.1037/a0031412")</f>
        <v>10.1037/a0031412</v>
      </c>
      <c r="B2602" s="442" t="str">
        <f>IFERROR(__xludf.DUMMYFUNCTION("""COMPUTED_VALUE"""),"https://drive.google.com/file/d/1FSya0JU7NICgjPEONeTDvBXhzmz9u2rJ/view?usp=drivesdk")</f>
        <v>https://drive.google.com/file/d/1FSya0JU7NICgjPEONeTDvBXhzmz9u2rJ/view?usp=drivesdk</v>
      </c>
      <c r="C2602" s="336" t="str">
        <f>IFERROR(__xludf.DUMMYFUNCTION("""COMPUTED_VALUE"""),"10.1037--a0031412.pdf")</f>
        <v>10.1037--a0031412.pdf</v>
      </c>
      <c r="D2602" s="156" t="str">
        <f>IFERROR(__xludf.DUMMYFUNCTION("""COMPUTED_VALUE"""),"application/pdf")</f>
        <v>application/pdf</v>
      </c>
    </row>
    <row r="2603">
      <c r="A2603" s="336" t="str">
        <f>IFERROR(__xludf.DUMMYFUNCTION("""COMPUTED_VALUE"""),"10.1080/23743603.2018.1559647")</f>
        <v>10.1080/23743603.2018.1559647</v>
      </c>
      <c r="B2603" s="442" t="str">
        <f>IFERROR(__xludf.DUMMYFUNCTION("""COMPUTED_VALUE"""),"https://drive.google.com/file/d/10cUPWzTrCYTVc1-DC9yUAuuAoC88IrXM/view?usp=drivesdk")</f>
        <v>https://drive.google.com/file/d/10cUPWzTrCYTVc1-DC9yUAuuAoC88IrXM/view?usp=drivesdk</v>
      </c>
      <c r="C2603" s="336" t="str">
        <f>IFERROR(__xludf.DUMMYFUNCTION("""COMPUTED_VALUE"""),"10.1080--23743603.2018.1559647.pdf")</f>
        <v>10.1080--23743603.2018.1559647.pdf</v>
      </c>
      <c r="D2603" s="156" t="str">
        <f>IFERROR(__xludf.DUMMYFUNCTION("""COMPUTED_VALUE"""),"application/pdf")</f>
        <v>application/pdf</v>
      </c>
    </row>
    <row r="2604">
      <c r="A2604" s="336" t="str">
        <f>IFERROR(__xludf.DUMMYFUNCTION("""COMPUTED_VALUE"""),"10.1016/j.jsp.2014.10.002")</f>
        <v>10.1016/j.jsp.2014.10.002</v>
      </c>
      <c r="B2604" s="442" t="str">
        <f>IFERROR(__xludf.DUMMYFUNCTION("""COMPUTED_VALUE"""),"https://drive.google.com/file/d/16IM1TCo-RpeTMo2h0xGj8HEklUBvQyVO/view?usp=drivesdk")</f>
        <v>https://drive.google.com/file/d/16IM1TCo-RpeTMo2h0xGj8HEklUBvQyVO/view?usp=drivesdk</v>
      </c>
      <c r="C2604" s="336" t="str">
        <f>IFERROR(__xludf.DUMMYFUNCTION("""COMPUTED_VALUE"""),"10.1016--j.jsp.2014.10.002.pdf")</f>
        <v>10.1016--j.jsp.2014.10.002.pdf</v>
      </c>
      <c r="D2604" s="156" t="str">
        <f>IFERROR(__xludf.DUMMYFUNCTION("""COMPUTED_VALUE"""),"application/pdf")</f>
        <v>application/pdf</v>
      </c>
    </row>
    <row r="2605">
      <c r="A2605" s="336" t="str">
        <f>IFERROR(__xludf.DUMMYFUNCTION("""COMPUTED_VALUE"""),"10.1037/a0026617")</f>
        <v>10.1037/a0026617</v>
      </c>
      <c r="B2605" s="442" t="str">
        <f>IFERROR(__xludf.DUMMYFUNCTION("""COMPUTED_VALUE"""),"https://drive.google.com/file/d/1RGF4nHfyd4Xw2vvzyfXfINcrZH6ZBDNt/view?usp=drivesdk")</f>
        <v>https://drive.google.com/file/d/1RGF4nHfyd4Xw2vvzyfXfINcrZH6ZBDNt/view?usp=drivesdk</v>
      </c>
      <c r="C2605" s="336" t="str">
        <f>IFERROR(__xludf.DUMMYFUNCTION("""COMPUTED_VALUE"""),"10.1037--a0026617.pdf")</f>
        <v>10.1037--a0026617.pdf</v>
      </c>
      <c r="D2605" s="156" t="str">
        <f>IFERROR(__xludf.DUMMYFUNCTION("""COMPUTED_VALUE"""),"application/pdf")</f>
        <v>application/pdf</v>
      </c>
    </row>
    <row r="2606">
      <c r="A2606" s="336" t="str">
        <f>IFERROR(__xludf.DUMMYFUNCTION("""COMPUTED_VALUE"""),"10.1080/17470210903380830")</f>
        <v>10.1080/17470210903380830</v>
      </c>
      <c r="B2606" s="442" t="str">
        <f>IFERROR(__xludf.DUMMYFUNCTION("""COMPUTED_VALUE"""),"https://drive.google.com/file/d/13sVesCYGhtMJC02MFdowUs5znyM1Rpjm/view?usp=drivesdk")</f>
        <v>https://drive.google.com/file/d/13sVesCYGhtMJC02MFdowUs5znyM1Rpjm/view?usp=drivesdk</v>
      </c>
      <c r="C2606" s="336" t="str">
        <f>IFERROR(__xludf.DUMMYFUNCTION("""COMPUTED_VALUE"""),"10.1080--17470210903380830.pdf")</f>
        <v>10.1080--17470210903380830.pdf</v>
      </c>
      <c r="D2606" s="156" t="str">
        <f>IFERROR(__xludf.DUMMYFUNCTION("""COMPUTED_VALUE"""),"application/pdf")</f>
        <v>application/pdf</v>
      </c>
    </row>
    <row r="2607">
      <c r="A2607" s="336" t="str">
        <f>IFERROR(__xludf.DUMMYFUNCTION("""COMPUTED_VALUE"""),"10.1126/science.198.4312.75")</f>
        <v>10.1126/science.198.4312.75</v>
      </c>
      <c r="B2607" s="442" t="str">
        <f>IFERROR(__xludf.DUMMYFUNCTION("""COMPUTED_VALUE"""),"https://drive.google.com/file/d/136J03Q_tpmziraTV-EDTDJeDVz5VTXQO/view?usp=drivesdk")</f>
        <v>https://drive.google.com/file/d/136J03Q_tpmziraTV-EDTDJeDVz5VTXQO/view?usp=drivesdk</v>
      </c>
      <c r="C2607" s="336" t="str">
        <f>IFERROR(__xludf.DUMMYFUNCTION("""COMPUTED_VALUE"""),"10.1126--science.198.4312.75.pdf")</f>
        <v>10.1126--science.198.4312.75.pdf</v>
      </c>
      <c r="D2607" s="156" t="str">
        <f>IFERROR(__xludf.DUMMYFUNCTION("""COMPUTED_VALUE"""),"application/pdf")</f>
        <v>application/pdf</v>
      </c>
    </row>
    <row r="2608">
      <c r="A2608" s="336" t="str">
        <f>IFERROR(__xludf.DUMMYFUNCTION("""COMPUTED_VALUE"""),"10.3758/pbr.15.1.70")</f>
        <v>10.3758/pbr.15.1.70</v>
      </c>
      <c r="B2608" s="442" t="str">
        <f>IFERROR(__xludf.DUMMYFUNCTION("""COMPUTED_VALUE"""),"https://drive.google.com/file/d/1kVMhKSS5Wgzpq87XRYWG7AQGAB8MDFtr/view?usp=drivesdk")</f>
        <v>https://drive.google.com/file/d/1kVMhKSS5Wgzpq87XRYWG7AQGAB8MDFtr/view?usp=drivesdk</v>
      </c>
      <c r="C2608" s="336" t="str">
        <f>IFERROR(__xludf.DUMMYFUNCTION("""COMPUTED_VALUE"""),"10.3758--PBR.15.1.70.pdf")</f>
        <v>10.3758--PBR.15.1.70.pdf</v>
      </c>
      <c r="D2608" s="156" t="str">
        <f>IFERROR(__xludf.DUMMYFUNCTION("""COMPUTED_VALUE"""),"application/pdf")</f>
        <v>application/pdf</v>
      </c>
    </row>
    <row r="2609">
      <c r="A2609" s="336" t="str">
        <f>IFERROR(__xludf.DUMMYFUNCTION("""COMPUTED_VALUE"""),"10.2466/pr0.1966.19.1.115")</f>
        <v>10.2466/pr0.1966.19.1.115</v>
      </c>
      <c r="B2609" s="442" t="str">
        <f>IFERROR(__xludf.DUMMYFUNCTION("""COMPUTED_VALUE"""),"https://drive.google.com/file/d/1Je8H1JlAsEozkTzxRNGwP-qfN9yYkb-V/view?usp=drivesdk")</f>
        <v>https://drive.google.com/file/d/1Je8H1JlAsEozkTzxRNGwP-qfN9yYkb-V/view?usp=drivesdk</v>
      </c>
      <c r="C2609" s="336" t="str">
        <f>IFERROR(__xludf.DUMMYFUNCTION("""COMPUTED_VALUE"""),"10.2466--pr0.1966.19.1.115.pdf")</f>
        <v>10.2466--pr0.1966.19.1.115.pdf</v>
      </c>
      <c r="D2609" s="156" t="str">
        <f>IFERROR(__xludf.DUMMYFUNCTION("""COMPUTED_VALUE"""),"application/pdf")</f>
        <v>application/pdf</v>
      </c>
    </row>
    <row r="2610">
      <c r="A2610" s="336" t="str">
        <f>IFERROR(__xludf.DUMMYFUNCTION("""COMPUTED_VALUE"""),"10.1523/jneurosci.5864-10.2011")</f>
        <v>10.1523/jneurosci.5864-10.2011</v>
      </c>
      <c r="B2610" s="442" t="str">
        <f>IFERROR(__xludf.DUMMYFUNCTION("""COMPUTED_VALUE"""),"https://drive.google.com/file/d/151uG_JsRHEeT8ijTsmwLHuA1kOWhIBXJ/view?usp=drivesdk")</f>
        <v>https://drive.google.com/file/d/151uG_JsRHEeT8ijTsmwLHuA1kOWhIBXJ/view?usp=drivesdk</v>
      </c>
      <c r="C2610" s="336" t="str">
        <f>IFERROR(__xludf.DUMMYFUNCTION("""COMPUTED_VALUE"""),"10.1523--JNEUROSCI.5864-10.2011.pdf")</f>
        <v>10.1523--JNEUROSCI.5864-10.2011.pdf</v>
      </c>
      <c r="D2610" s="156" t="str">
        <f>IFERROR(__xludf.DUMMYFUNCTION("""COMPUTED_VALUE"""),"application/pdf")</f>
        <v>application/pdf</v>
      </c>
    </row>
    <row r="2611">
      <c r="A2611" s="336" t="str">
        <f>IFERROR(__xludf.DUMMYFUNCTION("""COMPUTED_VALUE"""),"10.1207/s15327965pli0604_1")</f>
        <v>10.1207/s15327965pli0604_1</v>
      </c>
      <c r="B2611" s="442" t="str">
        <f>IFERROR(__xludf.DUMMYFUNCTION("""COMPUTED_VALUE"""),"https://drive.google.com/file/d/1T0finp-fLieAKLfLKKpQcVjKvVkUOmid/view?usp=drivesdk")</f>
        <v>https://drive.google.com/file/d/1T0finp-fLieAKLfLKKpQcVjKvVkUOmid/view?usp=drivesdk</v>
      </c>
      <c r="C2611" s="336" t="str">
        <f>IFERROR(__xludf.DUMMYFUNCTION("""COMPUTED_VALUE"""),"10.1207--s15327965pli0604_1.pdf")</f>
        <v>10.1207--s15327965pli0604_1.pdf</v>
      </c>
      <c r="D2611" s="156" t="str">
        <f>IFERROR(__xludf.DUMMYFUNCTION("""COMPUTED_VALUE"""),"application/pdf")</f>
        <v>application/pdf</v>
      </c>
    </row>
    <row r="2612">
      <c r="A2612" s="336" t="str">
        <f>IFERROR(__xludf.DUMMYFUNCTION("""COMPUTED_VALUE"""),"10.1177/2167702617723376")</f>
        <v>10.1177/2167702617723376</v>
      </c>
      <c r="B2612" s="442" t="str">
        <f>IFERROR(__xludf.DUMMYFUNCTION("""COMPUTED_VALUE"""),"https://drive.google.com/file/d/1NEDv5DiVuDvFdSlKyMM6fNkxcdxMbR8R/view?usp=drivesdk")</f>
        <v>https://drive.google.com/file/d/1NEDv5DiVuDvFdSlKyMM6fNkxcdxMbR8R/view?usp=drivesdk</v>
      </c>
      <c r="C2612" s="336" t="str">
        <f>IFERROR(__xludf.DUMMYFUNCTION("""COMPUTED_VALUE"""),"10.1177--2167702617723376.pdf")</f>
        <v>10.1177--2167702617723376.pdf</v>
      </c>
      <c r="D2612" s="156" t="str">
        <f>IFERROR(__xludf.DUMMYFUNCTION("""COMPUTED_VALUE"""),"application/pdf")</f>
        <v>application/pdf</v>
      </c>
    </row>
    <row r="2613">
      <c r="A2613" s="336" t="str">
        <f>IFERROR(__xludf.DUMMYFUNCTION("""COMPUTED_VALUE"""),"10.1177/2167696812466548")</f>
        <v>10.1177/2167696812466548</v>
      </c>
      <c r="B2613" s="442" t="str">
        <f>IFERROR(__xludf.DUMMYFUNCTION("""COMPUTED_VALUE"""),"https://drive.google.com/file/d/1Q0Sk01j5joMct9DIvSVMZHeqrGAM99wa/view?usp=drivesdk")</f>
        <v>https://drive.google.com/file/d/1Q0Sk01j5joMct9DIvSVMZHeqrGAM99wa/view?usp=drivesdk</v>
      </c>
      <c r="C2613" s="336" t="str">
        <f>IFERROR(__xludf.DUMMYFUNCTION("""COMPUTED_VALUE"""),"10.1177--2167696812466548.pdf")</f>
        <v>10.1177--2167696812466548.pdf</v>
      </c>
      <c r="D2613" s="156" t="str">
        <f>IFERROR(__xludf.DUMMYFUNCTION("""COMPUTED_VALUE"""),"application/pdf")</f>
        <v>application/pdf</v>
      </c>
    </row>
    <row r="2614">
      <c r="A2614" s="336" t="str">
        <f>IFERROR(__xludf.DUMMYFUNCTION("""COMPUTED_VALUE"""),"10.1177/1368430207081533")</f>
        <v>10.1177/1368430207081533</v>
      </c>
      <c r="B2614" s="442" t="str">
        <f>IFERROR(__xludf.DUMMYFUNCTION("""COMPUTED_VALUE"""),"https://drive.google.com/file/d/1ex2b0drlj-55MtfmUfDq7yBbLLjSesxF/view?usp=drivesdk")</f>
        <v>https://drive.google.com/file/d/1ex2b0drlj-55MtfmUfDq7yBbLLjSesxF/view?usp=drivesdk</v>
      </c>
      <c r="C2614" s="336" t="str">
        <f>IFERROR(__xludf.DUMMYFUNCTION("""COMPUTED_VALUE"""),"10.1177--1368430207081533.pdf")</f>
        <v>10.1177--1368430207081533.pdf</v>
      </c>
      <c r="D2614" s="156" t="str">
        <f>IFERROR(__xludf.DUMMYFUNCTION("""COMPUTED_VALUE"""),"application/pdf")</f>
        <v>application/pdf</v>
      </c>
    </row>
    <row r="2615">
      <c r="A2615" s="336" t="str">
        <f>IFERROR(__xludf.DUMMYFUNCTION("""COMPUTED_VALUE"""),"10.1287/mnsc.1110.1328")</f>
        <v>10.1287/mnsc.1110.1328</v>
      </c>
      <c r="B2615" s="442" t="str">
        <f>IFERROR(__xludf.DUMMYFUNCTION("""COMPUTED_VALUE"""),"https://drive.google.com/file/d/1DsscXTH-yRBwPVKxy3s7M6YtXCPoBPFC/view?usp=drivesdk")</f>
        <v>https://drive.google.com/file/d/1DsscXTH-yRBwPVKxy3s7M6YtXCPoBPFC/view?usp=drivesdk</v>
      </c>
      <c r="C2615" s="336" t="str">
        <f>IFERROR(__xludf.DUMMYFUNCTION("""COMPUTED_VALUE"""),"10.1287--mnsc.1110.1328.pdf")</f>
        <v>10.1287--mnsc.1110.1328.pdf</v>
      </c>
      <c r="D2615" s="156" t="str">
        <f>IFERROR(__xludf.DUMMYFUNCTION("""COMPUTED_VALUE"""),"application/pdf")</f>
        <v>application/pdf</v>
      </c>
    </row>
    <row r="2616">
      <c r="A2616" s="336" t="str">
        <f>IFERROR(__xludf.DUMMYFUNCTION("""COMPUTED_VALUE"""),"10.1257/mac.20130176")</f>
        <v>10.1257/mac.20130176</v>
      </c>
      <c r="B2616" s="442" t="str">
        <f>IFERROR(__xludf.DUMMYFUNCTION("""COMPUTED_VALUE"""),"https://drive.google.com/file/d/1UuuzoS4yQn13IfYEyBMumYOQfdcrosni/view?usp=drivesdk")</f>
        <v>https://drive.google.com/file/d/1UuuzoS4yQn13IfYEyBMumYOQfdcrosni/view?usp=drivesdk</v>
      </c>
      <c r="C2616" s="336" t="str">
        <f>IFERROR(__xludf.DUMMYFUNCTION("""COMPUTED_VALUE"""),"10.1257--mac.20130176.pdf")</f>
        <v>10.1257--mac.20130176.pdf</v>
      </c>
      <c r="D2616" s="156" t="str">
        <f>IFERROR(__xludf.DUMMYFUNCTION("""COMPUTED_VALUE"""),"application/pdf")</f>
        <v>application/pdf</v>
      </c>
    </row>
    <row r="2617">
      <c r="A2617" s="336" t="str">
        <f>IFERROR(__xludf.DUMMYFUNCTION("""COMPUTED_VALUE"""),"10.1257/aer.102.2.720")</f>
        <v>10.1257/aer.102.2.720</v>
      </c>
      <c r="B2617" s="442" t="str">
        <f>IFERROR(__xludf.DUMMYFUNCTION("""COMPUTED_VALUE"""),"https://drive.google.com/file/d/1CGw2aFqdeWSzTPWBi4Jhk_HVOrooYuQO/view?usp=drivesdk")</f>
        <v>https://drive.google.com/file/d/1CGw2aFqdeWSzTPWBi4Jhk_HVOrooYuQO/view?usp=drivesdk</v>
      </c>
      <c r="C2617" s="336" t="str">
        <f>IFERROR(__xludf.DUMMYFUNCTION("""COMPUTED_VALUE"""),"10.1257--aer.102.2.720.pdf")</f>
        <v>10.1257--aer.102.2.720.pdf</v>
      </c>
      <c r="D2617" s="156" t="str">
        <f>IFERROR(__xludf.DUMMYFUNCTION("""COMPUTED_VALUE"""),"application/pdf")</f>
        <v>application/pdf</v>
      </c>
    </row>
    <row r="2618">
      <c r="A2618" s="336" t="str">
        <f>IFERROR(__xludf.DUMMYFUNCTION("""COMPUTED_VALUE"""),"10.1257/aer.101.7.3109")</f>
        <v>10.1257/aer.101.7.3109</v>
      </c>
      <c r="B2618" s="442" t="str">
        <f>IFERROR(__xludf.DUMMYFUNCTION("""COMPUTED_VALUE"""),"https://drive.google.com/file/d/19J7SxgV3TKuAhMt2JaFPTLscquaGkcBh/view?usp=drivesdk")</f>
        <v>https://drive.google.com/file/d/19J7SxgV3TKuAhMt2JaFPTLscquaGkcBh/view?usp=drivesdk</v>
      </c>
      <c r="C2618" s="336" t="str">
        <f>IFERROR(__xludf.DUMMYFUNCTION("""COMPUTED_VALUE"""),"10.1257--aer.101.7.3109.pdf")</f>
        <v>10.1257--aer.101.7.3109.pdf</v>
      </c>
      <c r="D2618" s="156" t="str">
        <f>IFERROR(__xludf.DUMMYFUNCTION("""COMPUTED_VALUE"""),"application/pdf")</f>
        <v>application/pdf</v>
      </c>
    </row>
    <row r="2619">
      <c r="A2619" s="336" t="str">
        <f>IFERROR(__xludf.DUMMYFUNCTION("""COMPUTED_VALUE"""),"10.1257/aer.99.3.1053.")</f>
        <v>10.1257/aer.99.3.1053.</v>
      </c>
      <c r="B2619" s="442" t="str">
        <f>IFERROR(__xludf.DUMMYFUNCTION("""COMPUTED_VALUE"""),"https://drive.google.com/file/d/1th0_H913x7dEbLmmzeTjrSGGbUC8A42e/view?usp=drivesdk")</f>
        <v>https://drive.google.com/file/d/1th0_H913x7dEbLmmzeTjrSGGbUC8A42e/view?usp=drivesdk</v>
      </c>
      <c r="C2619" s="336" t="str">
        <f>IFERROR(__xludf.DUMMYFUNCTION("""COMPUTED_VALUE"""),"10.1257--aer.99.3.1053..pdf")</f>
        <v>10.1257--aer.99.3.1053..pdf</v>
      </c>
      <c r="D2619" s="156" t="str">
        <f>IFERROR(__xludf.DUMMYFUNCTION("""COMPUTED_VALUE"""),"application/pdf")</f>
        <v>application/pdf</v>
      </c>
    </row>
    <row r="2620">
      <c r="A2620" s="336" t="str">
        <f>IFERROR(__xludf.DUMMYFUNCTION("""COMPUTED_VALUE"""),"10.1207/s15324834basp2504_5")</f>
        <v>10.1207/s15324834basp2504_5</v>
      </c>
      <c r="B2620" s="442" t="str">
        <f>IFERROR(__xludf.DUMMYFUNCTION("""COMPUTED_VALUE"""),"https://drive.google.com/file/d/1V139ov37mLWb-5UKv49efitjO3JB718i/view?usp=drivesdk")</f>
        <v>https://drive.google.com/file/d/1V139ov37mLWb-5UKv49efitjO3JB718i/view?usp=drivesdk</v>
      </c>
      <c r="C2620" s="336" t="str">
        <f>IFERROR(__xludf.DUMMYFUNCTION("""COMPUTED_VALUE"""),"10.1207--s15324834basp2504_5.pdf")</f>
        <v>10.1207--s15324834basp2504_5.pdf</v>
      </c>
      <c r="D2620" s="156" t="str">
        <f>IFERROR(__xludf.DUMMYFUNCTION("""COMPUTED_VALUE"""),"application/pdf")</f>
        <v>application/pdf</v>
      </c>
    </row>
    <row r="2621">
      <c r="A2621" s="336" t="str">
        <f>IFERROR(__xludf.DUMMYFUNCTION("""COMPUTED_VALUE"""),"10.1207/s15516709cog2605_4")</f>
        <v>10.1207/s15516709cog2605_4</v>
      </c>
      <c r="B2621" s="442" t="str">
        <f>IFERROR(__xludf.DUMMYFUNCTION("""COMPUTED_VALUE"""),"https://drive.google.com/file/d/1FheroBSk3eQOvE0506M6iwY63EZBRzLS/view?usp=drivesdk")</f>
        <v>https://drive.google.com/file/d/1FheroBSk3eQOvE0506M6iwY63EZBRzLS/view?usp=drivesdk</v>
      </c>
      <c r="C2621" s="336" t="str">
        <f>IFERROR(__xludf.DUMMYFUNCTION("""COMPUTED_VALUE"""),"10.1207--s15516709cog2605_4.pdf")</f>
        <v>10.1207--s15516709cog2605_4.pdf</v>
      </c>
      <c r="D2621" s="156" t="str">
        <f>IFERROR(__xludf.DUMMYFUNCTION("""COMPUTED_VALUE"""),"application/pdf")</f>
        <v>application/pdf</v>
      </c>
    </row>
    <row r="2622">
      <c r="A2622" s="336" t="str">
        <f>IFERROR(__xludf.DUMMYFUNCTION("""COMPUTED_VALUE"""),"10.1177/1948550617720269")</f>
        <v>10.1177/1948550617720269</v>
      </c>
      <c r="B2622" s="442" t="str">
        <f>IFERROR(__xludf.DUMMYFUNCTION("""COMPUTED_VALUE"""),"https://drive.google.com/file/d/1a7fL1ZC2nNN1XTUlfjR6WqqGjTag798y/view?usp=drivesdk")</f>
        <v>https://drive.google.com/file/d/1a7fL1ZC2nNN1XTUlfjR6WqqGjTag798y/view?usp=drivesdk</v>
      </c>
      <c r="C2622" s="336" t="str">
        <f>IFERROR(__xludf.DUMMYFUNCTION("""COMPUTED_VALUE"""),"10.1177--1948550617720269.pdf")</f>
        <v>10.1177--1948550617720269.pdf</v>
      </c>
      <c r="D2622" s="156" t="str">
        <f>IFERROR(__xludf.DUMMYFUNCTION("""COMPUTED_VALUE"""),"application/pdf")</f>
        <v>application/pdf</v>
      </c>
    </row>
    <row r="2623">
      <c r="A2623" s="336" t="str">
        <f>IFERROR(__xludf.DUMMYFUNCTION("""COMPUTED_VALUE"""),"10.1177/1948550614555029")</f>
        <v>10.1177/1948550614555029</v>
      </c>
      <c r="B2623" s="442" t="str">
        <f>IFERROR(__xludf.DUMMYFUNCTION("""COMPUTED_VALUE"""),"https://drive.google.com/file/d/1W1dK0xmhy-qDUDWQ2DKJ9Gvb-j4yqqlf/view?usp=drivesdk")</f>
        <v>https://drive.google.com/file/d/1W1dK0xmhy-qDUDWQ2DKJ9Gvb-j4yqqlf/view?usp=drivesdk</v>
      </c>
      <c r="C2623" s="336" t="str">
        <f>IFERROR(__xludf.DUMMYFUNCTION("""COMPUTED_VALUE"""),"10.1177--1948550614555029.pdf")</f>
        <v>10.1177--1948550614555029.pdf</v>
      </c>
      <c r="D2623" s="156" t="str">
        <f>IFERROR(__xludf.DUMMYFUNCTION("""COMPUTED_VALUE"""),"application/pdf")</f>
        <v>application/pdf</v>
      </c>
    </row>
    <row r="2624">
      <c r="A2624" s="336" t="str">
        <f>IFERROR(__xludf.DUMMYFUNCTION("""COMPUTED_VALUE"""),"10.1177/1948550612457688")</f>
        <v>10.1177/1948550612457688</v>
      </c>
      <c r="B2624" s="442" t="str">
        <f>IFERROR(__xludf.DUMMYFUNCTION("""COMPUTED_VALUE"""),"https://drive.google.com/file/d/1Mvv6lSbYDT3w1CNkuj_yKZJZyGVo8_wu/view?usp=drivesdk")</f>
        <v>https://drive.google.com/file/d/1Mvv6lSbYDT3w1CNkuj_yKZJZyGVo8_wu/view?usp=drivesdk</v>
      </c>
      <c r="C2624" s="336" t="str">
        <f>IFERROR(__xludf.DUMMYFUNCTION("""COMPUTED_VALUE"""),"10.1177--1948550612457688.pdf")</f>
        <v>10.1177--1948550612457688.pdf</v>
      </c>
      <c r="D2624" s="156" t="str">
        <f>IFERROR(__xludf.DUMMYFUNCTION("""COMPUTED_VALUE"""),"application/pdf")</f>
        <v>application/pdf</v>
      </c>
    </row>
    <row r="2625">
      <c r="A2625" s="336" t="str">
        <f>IFERROR(__xludf.DUMMYFUNCTION("""COMPUTED_VALUE"""),"10.1177/1747021817744546")</f>
        <v>10.1177/1747021817744546</v>
      </c>
      <c r="B2625" s="442" t="str">
        <f>IFERROR(__xludf.DUMMYFUNCTION("""COMPUTED_VALUE"""),"https://drive.google.com/file/d/12tiBV9g0PDIUv5jLNU3H9ESLvqe3_su6/view?usp=drivesdk")</f>
        <v>https://drive.google.com/file/d/12tiBV9g0PDIUv5jLNU3H9ESLvqe3_su6/view?usp=drivesdk</v>
      </c>
      <c r="C2625" s="336" t="str">
        <f>IFERROR(__xludf.DUMMYFUNCTION("""COMPUTED_VALUE"""),"10.1177--1747021817744546.pdf")</f>
        <v>10.1177--1747021817744546.pdf</v>
      </c>
      <c r="D2625" s="156" t="str">
        <f>IFERROR(__xludf.DUMMYFUNCTION("""COMPUTED_VALUE"""),"application/pdf")</f>
        <v>application/pdf</v>
      </c>
    </row>
    <row r="2626">
      <c r="A2626" s="336" t="str">
        <f>IFERROR(__xludf.DUMMYFUNCTION("""COMPUTED_VALUE"""),"10.1177/1745691612454303")</f>
        <v>10.1177/1745691612454303</v>
      </c>
      <c r="B2626" s="442" t="str">
        <f>IFERROR(__xludf.DUMMYFUNCTION("""COMPUTED_VALUE"""),"https://drive.google.com/file/d/1r7kvTijUR6GbKZNulHgJsuNUmZB01Vqr/view?usp=drivesdk")</f>
        <v>https://drive.google.com/file/d/1r7kvTijUR6GbKZNulHgJsuNUmZB01Vqr/view?usp=drivesdk</v>
      </c>
      <c r="C2626" s="336" t="str">
        <f>IFERROR(__xludf.DUMMYFUNCTION("""COMPUTED_VALUE"""),"10.1177--1745691612454303.pdf")</f>
        <v>10.1177--1745691612454303.pdf</v>
      </c>
      <c r="D2626" s="156" t="str">
        <f>IFERROR(__xludf.DUMMYFUNCTION("""COMPUTED_VALUE"""),"application/pdf")</f>
        <v>application/pdf</v>
      </c>
    </row>
    <row r="2627">
      <c r="A2627" s="336" t="str">
        <f>IFERROR(__xludf.DUMMYFUNCTION("""COMPUTED_VALUE"""),"10.1177/15562646211020160")</f>
        <v>10.1177/15562646211020160</v>
      </c>
      <c r="B2627" s="442" t="str">
        <f>IFERROR(__xludf.DUMMYFUNCTION("""COMPUTED_VALUE"""),"https://drive.google.com/file/d/1PSXxW5sDbq6DJDPgRuB0cHCWPVCyAVyA/view?usp=drivesdk")</f>
        <v>https://drive.google.com/file/d/1PSXxW5sDbq6DJDPgRuB0cHCWPVCyAVyA/view?usp=drivesdk</v>
      </c>
      <c r="C2627" s="336" t="str">
        <f>IFERROR(__xludf.DUMMYFUNCTION("""COMPUTED_VALUE"""),"10.1177--15562646211020160.pdf")</f>
        <v>10.1177--15562646211020160.pdf</v>
      </c>
      <c r="D2627" s="156" t="str">
        <f>IFERROR(__xludf.DUMMYFUNCTION("""COMPUTED_VALUE"""),"application/pdf")</f>
        <v>application/pdf</v>
      </c>
    </row>
    <row r="2628">
      <c r="A2628" s="336" t="str">
        <f>IFERROR(__xludf.DUMMYFUNCTION("""COMPUTED_VALUE"""),"10.1177/147470491100900206")</f>
        <v>10.1177/147470491100900206</v>
      </c>
      <c r="B2628" s="442" t="str">
        <f>IFERROR(__xludf.DUMMYFUNCTION("""COMPUTED_VALUE"""),"https://drive.google.com/file/d/1VohCyZYrYeQ8wnGKTyDD2fOk8y16yZw3/view?usp=drivesdk")</f>
        <v>https://drive.google.com/file/d/1VohCyZYrYeQ8wnGKTyDD2fOk8y16yZw3/view?usp=drivesdk</v>
      </c>
      <c r="C2628" s="336" t="str">
        <f>IFERROR(__xludf.DUMMYFUNCTION("""COMPUTED_VALUE"""),"10.1177--147470491100900206.pdf")</f>
        <v>10.1177--147470491100900206.pdf</v>
      </c>
      <c r="D2628" s="156" t="str">
        <f>IFERROR(__xludf.DUMMYFUNCTION("""COMPUTED_VALUE"""),"application/pdf")</f>
        <v>application/pdf</v>
      </c>
    </row>
    <row r="2629">
      <c r="A2629" s="336" t="str">
        <f>IFERROR(__xludf.DUMMYFUNCTION("""COMPUTED_VALUE"""),"10.1177/1094428116639131")</f>
        <v>10.1177/1094428116639131</v>
      </c>
      <c r="B2629" s="442" t="str">
        <f>IFERROR(__xludf.DUMMYFUNCTION("""COMPUTED_VALUE"""),"https://drive.google.com/file/d/1JsZgwHseixf6_MIunQS7nOHW4DEUBedH/view?usp=drivesdk")</f>
        <v>https://drive.google.com/file/d/1JsZgwHseixf6_MIunQS7nOHW4DEUBedH/view?usp=drivesdk</v>
      </c>
      <c r="C2629" s="336" t="str">
        <f>IFERROR(__xludf.DUMMYFUNCTION("""COMPUTED_VALUE"""),"10.1177--1094428116639131.pdf")</f>
        <v>10.1177--1094428116639131.pdf</v>
      </c>
      <c r="D2629" s="156" t="str">
        <f>IFERROR(__xludf.DUMMYFUNCTION("""COMPUTED_VALUE"""),"application/pdf")</f>
        <v>application/pdf</v>
      </c>
    </row>
    <row r="2630">
      <c r="A2630" s="336" t="str">
        <f>IFERROR(__xludf.DUMMYFUNCTION("""COMPUTED_VALUE"""),"10.1177/0956797620965541")</f>
        <v>10.1177/0956797620965541</v>
      </c>
      <c r="B2630" s="442" t="str">
        <f>IFERROR(__xludf.DUMMYFUNCTION("""COMPUTED_VALUE"""),"https://drive.google.com/file/d/1P2ZRc1H4au4w3w2QAJxu34pqjtWGLDpL/view?usp=drivesdk")</f>
        <v>https://drive.google.com/file/d/1P2ZRc1H4au4w3w2QAJxu34pqjtWGLDpL/view?usp=drivesdk</v>
      </c>
      <c r="C2630" s="336" t="str">
        <f>IFERROR(__xludf.DUMMYFUNCTION("""COMPUTED_VALUE"""),"10.1177--0956797620965541.pdf")</f>
        <v>10.1177--0956797620965541.pdf</v>
      </c>
      <c r="D2630" s="156" t="str">
        <f>IFERROR(__xludf.DUMMYFUNCTION("""COMPUTED_VALUE"""),"application/pdf")</f>
        <v>application/pdf</v>
      </c>
    </row>
    <row r="2631">
      <c r="A2631" s="336" t="str">
        <f>IFERROR(__xludf.DUMMYFUNCTION("""COMPUTED_VALUE"""),"10.1177/0956797620939054")</f>
        <v>10.1177/0956797620939054</v>
      </c>
      <c r="B2631" s="442" t="str">
        <f>IFERROR(__xludf.DUMMYFUNCTION("""COMPUTED_VALUE"""),"https://drive.google.com/file/d/1XS5wfGWzlv2PPriV2BVgHK4SFmjGbX42/view?usp=drivesdk")</f>
        <v>https://drive.google.com/file/d/1XS5wfGWzlv2PPriV2BVgHK4SFmjGbX42/view?usp=drivesdk</v>
      </c>
      <c r="C2631" s="336" t="str">
        <f>IFERROR(__xludf.DUMMYFUNCTION("""COMPUTED_VALUE"""),"10.1177--0956797620939054.pdf")</f>
        <v>10.1177--0956797620939054.pdf</v>
      </c>
      <c r="D2631" s="156" t="str">
        <f>IFERROR(__xludf.DUMMYFUNCTION("""COMPUTED_VALUE"""),"application/pdf")</f>
        <v>application/pdf</v>
      </c>
    </row>
    <row r="2632">
      <c r="A2632" s="336" t="str">
        <f>IFERROR(__xludf.DUMMYFUNCTION("""COMPUTED_VALUE"""),"10.1177/0956797620927967")</f>
        <v>10.1177/0956797620927967</v>
      </c>
      <c r="B2632" s="442" t="str">
        <f>IFERROR(__xludf.DUMMYFUNCTION("""COMPUTED_VALUE"""),"https://drive.google.com/file/d/1dU1UjhKXuYwEUy9G1SAQvFWoiujBUM-l/view?usp=drivesdk")</f>
        <v>https://drive.google.com/file/d/1dU1UjhKXuYwEUy9G1SAQvFWoiujBUM-l/view?usp=drivesdk</v>
      </c>
      <c r="C2632" s="336" t="str">
        <f>IFERROR(__xludf.DUMMYFUNCTION("""COMPUTED_VALUE"""),"10.1177--0956797620927967.pdf")</f>
        <v>10.1177--0956797620927967.pdf</v>
      </c>
      <c r="D2632" s="156" t="str">
        <f>IFERROR(__xludf.DUMMYFUNCTION("""COMPUTED_VALUE"""),"application/pdf")</f>
        <v>application/pdf</v>
      </c>
    </row>
    <row r="2633">
      <c r="A2633" s="336" t="str">
        <f>IFERROR(__xludf.DUMMYFUNCTION("""COMPUTED_VALUE"""),"10.1177/0956797619879441")</f>
        <v>10.1177/0956797619879441</v>
      </c>
      <c r="B2633" s="442" t="str">
        <f>IFERROR(__xludf.DUMMYFUNCTION("""COMPUTED_VALUE"""),"https://drive.google.com/file/d/1dyQ7iPpa5tauqQ87v1ICVpmTb96xwrHK/view?usp=drivesdk")</f>
        <v>https://drive.google.com/file/d/1dyQ7iPpa5tauqQ87v1ICVpmTb96xwrHK/view?usp=drivesdk</v>
      </c>
      <c r="C2633" s="336" t="str">
        <f>IFERROR(__xludf.DUMMYFUNCTION("""COMPUTED_VALUE"""),"10.1177--0956797619879441.pdf")</f>
        <v>10.1177--0956797619879441.pdf</v>
      </c>
      <c r="D2633" s="156" t="str">
        <f>IFERROR(__xludf.DUMMYFUNCTION("""COMPUTED_VALUE"""),"application/pdf")</f>
        <v>application/pdf</v>
      </c>
    </row>
    <row r="2634">
      <c r="A2634" s="336" t="str">
        <f>IFERROR(__xludf.DUMMYFUNCTION("""COMPUTED_VALUE"""),"10.1177/0956797619855382")</f>
        <v>10.1177/0956797619855382</v>
      </c>
      <c r="B2634" s="442" t="str">
        <f>IFERROR(__xludf.DUMMYFUNCTION("""COMPUTED_VALUE"""),"https://drive.google.com/file/d/1ITD043otUXSzSXwJBI77ZEGc7YfO0lXl/view?usp=drivesdk")</f>
        <v>https://drive.google.com/file/d/1ITD043otUXSzSXwJBI77ZEGc7YfO0lXl/view?usp=drivesdk</v>
      </c>
      <c r="C2634" s="336" t="str">
        <f>IFERROR(__xludf.DUMMYFUNCTION("""COMPUTED_VALUE"""),"10.1177--0956797619855382.pdf")</f>
        <v>10.1177--0956797619855382.pdf</v>
      </c>
      <c r="D2634" s="156" t="str">
        <f>IFERROR(__xludf.DUMMYFUNCTION("""COMPUTED_VALUE"""),"application/pdf")</f>
        <v>application/pdf</v>
      </c>
    </row>
    <row r="2635">
      <c r="A2635" s="336" t="str">
        <f>IFERROR(__xludf.DUMMYFUNCTION("""COMPUTED_VALUE"""),"10.1177/0956797619856844")</f>
        <v>10.1177/0956797619856844</v>
      </c>
      <c r="B2635" s="442" t="str">
        <f>IFERROR(__xludf.DUMMYFUNCTION("""COMPUTED_VALUE"""),"https://drive.google.com/file/d/1QWFGg5y_FwCsYU4iJVkw7s0HZoH7av3y/view?usp=drivesdk")</f>
        <v>https://drive.google.com/file/d/1QWFGg5y_FwCsYU4iJVkw7s0HZoH7av3y/view?usp=drivesdk</v>
      </c>
      <c r="C2635" s="336" t="str">
        <f>IFERROR(__xludf.DUMMYFUNCTION("""COMPUTED_VALUE"""),"10.1177--0956797619856844.pdf")</f>
        <v>10.1177--0956797619856844.pdf</v>
      </c>
      <c r="D2635" s="156" t="str">
        <f>IFERROR(__xludf.DUMMYFUNCTION("""COMPUTED_VALUE"""),"application/pdf")</f>
        <v>application/pdf</v>
      </c>
    </row>
    <row r="2636">
      <c r="A2636" s="336" t="str">
        <f>IFERROR(__xludf.DUMMYFUNCTION("""COMPUTED_VALUE"""),"10.1177/0956797619854706")</f>
        <v>10.1177/0956797619854706</v>
      </c>
      <c r="B2636" s="442" t="str">
        <f>IFERROR(__xludf.DUMMYFUNCTION("""COMPUTED_VALUE"""),"https://drive.google.com/file/d/1a_-X1vjB6N4-IwfcVsM4fHxFavXCK8pH/view?usp=drivesdk")</f>
        <v>https://drive.google.com/file/d/1a_-X1vjB6N4-IwfcVsM4fHxFavXCK8pH/view?usp=drivesdk</v>
      </c>
      <c r="C2636" s="336" t="str">
        <f>IFERROR(__xludf.DUMMYFUNCTION("""COMPUTED_VALUE"""),"10.1177--0956797619854706.pdf")</f>
        <v>10.1177--0956797619854706.pdf</v>
      </c>
      <c r="D2636" s="156" t="str">
        <f>IFERROR(__xludf.DUMMYFUNCTION("""COMPUTED_VALUE"""),"application/pdf")</f>
        <v>application/pdf</v>
      </c>
    </row>
    <row r="2637">
      <c r="A2637" s="336" t="str">
        <f>IFERROR(__xludf.DUMMYFUNCTION("""COMPUTED_VALUE"""),"10.1177/0956797618818484")</f>
        <v>10.1177/0956797618818484</v>
      </c>
      <c r="B2637" s="442" t="str">
        <f>IFERROR(__xludf.DUMMYFUNCTION("""COMPUTED_VALUE"""),"https://drive.google.com/file/d/1-BRDJtnfY2i7YBG-IeupwHTxHic0hQnP/view?usp=drivesdk")</f>
        <v>https://drive.google.com/file/d/1-BRDJtnfY2i7YBG-IeupwHTxHic0hQnP/view?usp=drivesdk</v>
      </c>
      <c r="C2637" s="336" t="str">
        <f>IFERROR(__xludf.DUMMYFUNCTION("""COMPUTED_VALUE"""),"10.1177--0956797618818484.pdf")</f>
        <v>10.1177--0956797618818484.pdf</v>
      </c>
      <c r="D2637" s="156" t="str">
        <f>IFERROR(__xludf.DUMMYFUNCTION("""COMPUTED_VALUE"""),"application/pdf")</f>
        <v>application/pdf</v>
      </c>
    </row>
    <row r="2638">
      <c r="A2638" s="336" t="str">
        <f>IFERROR(__xludf.DUMMYFUNCTION("""COMPUTED_VALUE"""),"10.1177/0956797618813092")</f>
        <v>10.1177/0956797618813092</v>
      </c>
      <c r="B2638" s="442" t="str">
        <f>IFERROR(__xludf.DUMMYFUNCTION("""COMPUTED_VALUE"""),"https://drive.google.com/file/d/1Ql7nMbQXZeIyS5tduYv7gRTiVRXJB9Dk/view?usp=drivesdk")</f>
        <v>https://drive.google.com/file/d/1Ql7nMbQXZeIyS5tduYv7gRTiVRXJB9Dk/view?usp=drivesdk</v>
      </c>
      <c r="C2638" s="336" t="str">
        <f>IFERROR(__xludf.DUMMYFUNCTION("""COMPUTED_VALUE"""),"10.1177--0956797618813092.pdf")</f>
        <v>10.1177--0956797618813092.pdf</v>
      </c>
      <c r="D2638" s="156" t="str">
        <f>IFERROR(__xludf.DUMMYFUNCTION("""COMPUTED_VALUE"""),"application/pdf")</f>
        <v>application/pdf</v>
      </c>
    </row>
    <row r="2639">
      <c r="A2639" s="336" t="str">
        <f>IFERROR(__xludf.DUMMYFUNCTION("""COMPUTED_VALUE"""),"10.1177/0956797618806296")</f>
        <v>10.1177/0956797618806296</v>
      </c>
      <c r="B2639" s="442" t="str">
        <f>IFERROR(__xludf.DUMMYFUNCTION("""COMPUTED_VALUE"""),"https://drive.google.com/file/d/1KanaZYJkrnwi0ABQ2gUtWRMUjQnhMt0r/view?usp=drivesdk")</f>
        <v>https://drive.google.com/file/d/1KanaZYJkrnwi0ABQ2gUtWRMUjQnhMt0r/view?usp=drivesdk</v>
      </c>
      <c r="C2639" s="336" t="str">
        <f>IFERROR(__xludf.DUMMYFUNCTION("""COMPUTED_VALUE"""),"10.1177--0956797618806296.pdf")</f>
        <v>10.1177--0956797618806296.pdf</v>
      </c>
      <c r="D2639" s="156" t="str">
        <f>IFERROR(__xludf.DUMMYFUNCTION("""COMPUTED_VALUE"""),"application/pdf")</f>
        <v>application/pdf</v>
      </c>
    </row>
    <row r="2640">
      <c r="A2640" s="336" t="str">
        <f>IFERROR(__xludf.DUMMYFUNCTION("""COMPUTED_VALUE"""),"10.1177/0956797618788882")</f>
        <v>10.1177/0956797618788882</v>
      </c>
      <c r="B2640" s="442" t="str">
        <f>IFERROR(__xludf.DUMMYFUNCTION("""COMPUTED_VALUE"""),"https://drive.google.com/file/d/18ZlWgEtYOKx4ampRaantI27kYPgBvB4J/view?usp=drivesdk")</f>
        <v>https://drive.google.com/file/d/18ZlWgEtYOKx4ampRaantI27kYPgBvB4J/view?usp=drivesdk</v>
      </c>
      <c r="C2640" s="336" t="str">
        <f>IFERROR(__xludf.DUMMYFUNCTION("""COMPUTED_VALUE"""),"10.1177--0956797618788882.pdf")</f>
        <v>10.1177--0956797618788882.pdf</v>
      </c>
      <c r="D2640" s="156" t="str">
        <f>IFERROR(__xludf.DUMMYFUNCTION("""COMPUTED_VALUE"""),"application/pdf")</f>
        <v>application/pdf</v>
      </c>
    </row>
    <row r="2641">
      <c r="A2641" s="336" t="str">
        <f>IFERROR(__xludf.DUMMYFUNCTION("""COMPUTED_VALUE"""),"10.1177/0956797618780643")</f>
        <v>10.1177/0956797618780643</v>
      </c>
      <c r="B2641" s="442" t="str">
        <f>IFERROR(__xludf.DUMMYFUNCTION("""COMPUTED_VALUE"""),"https://drive.google.com/file/d/13EC3dwbwBg7gIijxdeeANvWmpAfQ8_ke/view?usp=drivesdk")</f>
        <v>https://drive.google.com/file/d/13EC3dwbwBg7gIijxdeeANvWmpAfQ8_ke/view?usp=drivesdk</v>
      </c>
      <c r="C2641" s="336" t="str">
        <f>IFERROR(__xludf.DUMMYFUNCTION("""COMPUTED_VALUE"""),"10.1177--0956797618780643.pdf")</f>
        <v>10.1177--0956797618780643.pdf</v>
      </c>
      <c r="D2641" s="156" t="str">
        <f>IFERROR(__xludf.DUMMYFUNCTION("""COMPUTED_VALUE"""),"application/pdf")</f>
        <v>application/pdf</v>
      </c>
    </row>
    <row r="2642">
      <c r="A2642" s="336" t="str">
        <f>IFERROR(__xludf.DUMMYFUNCTION("""COMPUTED_VALUE"""),"10.1177/0956797618760784")</f>
        <v>10.1177/0956797618760784</v>
      </c>
      <c r="B2642" s="442" t="str">
        <f>IFERROR(__xludf.DUMMYFUNCTION("""COMPUTED_VALUE"""),"https://drive.google.com/file/d/17x3I7jUwdIldQm5GP-fj0zgsKCgIUoRP/view?usp=drivesdk")</f>
        <v>https://drive.google.com/file/d/17x3I7jUwdIldQm5GP-fj0zgsKCgIUoRP/view?usp=drivesdk</v>
      </c>
      <c r="C2642" s="336" t="str">
        <f>IFERROR(__xludf.DUMMYFUNCTION("""COMPUTED_VALUE"""),"10.1177--0956797618760784.pdf")</f>
        <v>10.1177--0956797618760784.pdf</v>
      </c>
      <c r="D2642" s="156" t="str">
        <f>IFERROR(__xludf.DUMMYFUNCTION("""COMPUTED_VALUE"""),"application/pdf")</f>
        <v>application/pdf</v>
      </c>
    </row>
    <row r="2643">
      <c r="A2643" s="336" t="str">
        <f>IFERROR(__xludf.DUMMYFUNCTION("""COMPUTED_VALUE"""),"10.1177/0956797617728270")</f>
        <v>10.1177/0956797617728270</v>
      </c>
      <c r="B2643" s="442" t="str">
        <f>IFERROR(__xludf.DUMMYFUNCTION("""COMPUTED_VALUE"""),"https://drive.google.com/file/d/1Oz7Zj6fZnvvCizj-IHEQF-K0o27fi6QN/view?usp=drivesdk")</f>
        <v>https://drive.google.com/file/d/1Oz7Zj6fZnvvCizj-IHEQF-K0o27fi6QN/view?usp=drivesdk</v>
      </c>
      <c r="C2643" s="336" t="str">
        <f>IFERROR(__xludf.DUMMYFUNCTION("""COMPUTED_VALUE"""),"10.1177--0956797617728270.pdf")</f>
        <v>10.1177--0956797617728270.pdf</v>
      </c>
      <c r="D2643" s="156" t="str">
        <f>IFERROR(__xludf.DUMMYFUNCTION("""COMPUTED_VALUE"""),"application/pdf")</f>
        <v>application/pdf</v>
      </c>
    </row>
    <row r="2644">
      <c r="A2644" s="336" t="str">
        <f>IFERROR(__xludf.DUMMYFUNCTION("""COMPUTED_VALUE"""),"10.1177/0956797617721270")</f>
        <v>10.1177/0956797617721270</v>
      </c>
      <c r="B2644" s="442" t="str">
        <f>IFERROR(__xludf.DUMMYFUNCTION("""COMPUTED_VALUE"""),"https://drive.google.com/file/d/1Utyoxyv9ECefgrAbgSyFcs6rDsU9y5Il/view?usp=drivesdk")</f>
        <v>https://drive.google.com/file/d/1Utyoxyv9ECefgrAbgSyFcs6rDsU9y5Il/view?usp=drivesdk</v>
      </c>
      <c r="C2644" s="336" t="str">
        <f>IFERROR(__xludf.DUMMYFUNCTION("""COMPUTED_VALUE"""),"10.1177--0956797617721270.pdf")</f>
        <v>10.1177--0956797617721270.pdf</v>
      </c>
      <c r="D2644" s="156" t="str">
        <f>IFERROR(__xludf.DUMMYFUNCTION("""COMPUTED_VALUE"""),"application/pdf")</f>
        <v>application/pdf</v>
      </c>
    </row>
    <row r="2645">
      <c r="A2645" s="336" t="str">
        <f>IFERROR(__xludf.DUMMYFUNCTION("""COMPUTED_VALUE"""),"10.1177/0956797617706082")</f>
        <v>10.1177/0956797617706082</v>
      </c>
      <c r="B2645" s="442" t="str">
        <f>IFERROR(__xludf.DUMMYFUNCTION("""COMPUTED_VALUE"""),"https://drive.google.com/file/d/104J0KhnQN8hx7uBldyQ1evQEW8N7petE/view?usp=drivesdk")</f>
        <v>https://drive.google.com/file/d/104J0KhnQN8hx7uBldyQ1evQEW8N7petE/view?usp=drivesdk</v>
      </c>
      <c r="C2645" s="336" t="str">
        <f>IFERROR(__xludf.DUMMYFUNCTION("""COMPUTED_VALUE"""),"10.1177--0956797617706082.pdf")</f>
        <v>10.1177--0956797617706082.pdf</v>
      </c>
      <c r="D2645" s="156" t="str">
        <f>IFERROR(__xludf.DUMMYFUNCTION("""COMPUTED_VALUE"""),"application/pdf")</f>
        <v>application/pdf</v>
      </c>
    </row>
    <row r="2646">
      <c r="A2646" s="336" t="str">
        <f>IFERROR(__xludf.DUMMYFUNCTION("""COMPUTED_VALUE"""),"10.1177/0956797617705399")</f>
        <v>10.1177/0956797617705399</v>
      </c>
      <c r="B2646" s="442" t="str">
        <f>IFERROR(__xludf.DUMMYFUNCTION("""COMPUTED_VALUE"""),"https://drive.google.com/file/d/1yCifhK2ZQwpUZAjclr5TAmGCQqTbBrUa/view?usp=drivesdk")</f>
        <v>https://drive.google.com/file/d/1yCifhK2ZQwpUZAjclr5TAmGCQqTbBrUa/view?usp=drivesdk</v>
      </c>
      <c r="C2646" s="336" t="str">
        <f>IFERROR(__xludf.DUMMYFUNCTION("""COMPUTED_VALUE"""),"10.1177--0956797617705399.pdf")</f>
        <v>10.1177--0956797617705399.pdf</v>
      </c>
      <c r="D2646" s="156" t="str">
        <f>IFERROR(__xludf.DUMMYFUNCTION("""COMPUTED_VALUE"""),"application/pdf")</f>
        <v>application/pdf</v>
      </c>
    </row>
    <row r="2647">
      <c r="A2647" s="336" t="str">
        <f>IFERROR(__xludf.DUMMYFUNCTION("""COMPUTED_VALUE"""),"10.1177/0956797616685771")</f>
        <v>10.1177/0956797616685771</v>
      </c>
      <c r="B2647" s="442" t="str">
        <f>IFERROR(__xludf.DUMMYFUNCTION("""COMPUTED_VALUE"""),"https://drive.google.com/file/d/14l2Iyllp2BRKK4GUgjOnaxtE-5V5_oxZ/view?usp=drivesdk")</f>
        <v>https://drive.google.com/file/d/14l2Iyllp2BRKK4GUgjOnaxtE-5V5_oxZ/view?usp=drivesdk</v>
      </c>
      <c r="C2647" s="336" t="str">
        <f>IFERROR(__xludf.DUMMYFUNCTION("""COMPUTED_VALUE"""),"10.1177--0956797616685771.pdf")</f>
        <v>10.1177--0956797616685771.pdf</v>
      </c>
      <c r="D2647" s="156" t="str">
        <f>IFERROR(__xludf.DUMMYFUNCTION("""COMPUTED_VALUE"""),"application/pdf")</f>
        <v>application/pdf</v>
      </c>
    </row>
    <row r="2648">
      <c r="A2648" s="336" t="str">
        <f>IFERROR(__xludf.DUMMYFUNCTION("""COMPUTED_VALUE"""),"10.1177/0956797616674999")</f>
        <v>10.1177/0956797616674999</v>
      </c>
      <c r="B2648" s="442" t="str">
        <f>IFERROR(__xludf.DUMMYFUNCTION("""COMPUTED_VALUE"""),"https://drive.google.com/file/d/1wVhOcOsRL9M-ypPdSaPRTLv-PLlAWOf1/view?usp=drivesdk")</f>
        <v>https://drive.google.com/file/d/1wVhOcOsRL9M-ypPdSaPRTLv-PLlAWOf1/view?usp=drivesdk</v>
      </c>
      <c r="C2648" s="336" t="str">
        <f>IFERROR(__xludf.DUMMYFUNCTION("""COMPUTED_VALUE"""),"10.1177--0956797616674999.pdf")</f>
        <v>10.1177--0956797616674999.pdf</v>
      </c>
      <c r="D2648" s="156" t="str">
        <f>IFERROR(__xludf.DUMMYFUNCTION("""COMPUTED_VALUE"""),"application/pdf")</f>
        <v>application/pdf</v>
      </c>
    </row>
    <row r="2649">
      <c r="A2649" s="336" t="str">
        <f>IFERROR(__xludf.DUMMYFUNCTION("""COMPUTED_VALUE"""),"10.1177/0956797616669947")</f>
        <v>10.1177/0956797616669947</v>
      </c>
      <c r="B2649" s="442" t="str">
        <f>IFERROR(__xludf.DUMMYFUNCTION("""COMPUTED_VALUE"""),"https://drive.google.com/file/d/12p5OEsz_Kqdr2WrmlHbpY-_JFlSEkooC/view?usp=drivesdk")</f>
        <v>https://drive.google.com/file/d/12p5OEsz_Kqdr2WrmlHbpY-_JFlSEkooC/view?usp=drivesdk</v>
      </c>
      <c r="C2649" s="336" t="str">
        <f>IFERROR(__xludf.DUMMYFUNCTION("""COMPUTED_VALUE"""),"10.1177--0956797616669947.pdf")</f>
        <v>10.1177--0956797616669947.pdf</v>
      </c>
      <c r="D2649" s="156" t="str">
        <f>IFERROR(__xludf.DUMMYFUNCTION("""COMPUTED_VALUE"""),"application/pdf")</f>
        <v>application/pdf</v>
      </c>
    </row>
    <row r="2650">
      <c r="A2650" s="336" t="str">
        <f>IFERROR(__xludf.DUMMYFUNCTION("""COMPUTED_VALUE"""),"10.1177/0956797616667459")</f>
        <v>10.1177/0956797616667459</v>
      </c>
      <c r="B2650" s="442" t="str">
        <f>IFERROR(__xludf.DUMMYFUNCTION("""COMPUTED_VALUE"""),"https://drive.google.com/file/d/1xo-D0d5xWZy_-HQc9CNuFVE8l1hYTkzr/view?usp=drivesdk")</f>
        <v>https://drive.google.com/file/d/1xo-D0d5xWZy_-HQc9CNuFVE8l1hYTkzr/view?usp=drivesdk</v>
      </c>
      <c r="C2650" s="336" t="str">
        <f>IFERROR(__xludf.DUMMYFUNCTION("""COMPUTED_VALUE"""),"10.1177--0956797616667459.pdf")</f>
        <v>10.1177--0956797616667459.pdf</v>
      </c>
      <c r="D2650" s="156" t="str">
        <f>IFERROR(__xludf.DUMMYFUNCTION("""COMPUTED_VALUE"""),"application/pdf")</f>
        <v>application/pdf</v>
      </c>
    </row>
    <row r="2651">
      <c r="A2651" s="336" t="str">
        <f>IFERROR(__xludf.DUMMYFUNCTION("""COMPUTED_VALUE"""),"10.1177/0956797616662271")</f>
        <v>10.1177/0956797616662271</v>
      </c>
      <c r="B2651" s="442" t="str">
        <f>IFERROR(__xludf.DUMMYFUNCTION("""COMPUTED_VALUE"""),"https://drive.google.com/file/d/144ul3eCkiKHuL75LCKm6YabVN-pgBX8u/view?usp=drivesdk")</f>
        <v>https://drive.google.com/file/d/144ul3eCkiKHuL75LCKm6YabVN-pgBX8u/view?usp=drivesdk</v>
      </c>
      <c r="C2651" s="336" t="str">
        <f>IFERROR(__xludf.DUMMYFUNCTION("""COMPUTED_VALUE"""),"10.1177--0956797616662271.pdf")</f>
        <v>10.1177--0956797616662271.pdf</v>
      </c>
      <c r="D2651" s="156" t="str">
        <f>IFERROR(__xludf.DUMMYFUNCTION("""COMPUTED_VALUE"""),"application/pdf")</f>
        <v>application/pdf</v>
      </c>
    </row>
    <row r="2652">
      <c r="A2652" s="336" t="str">
        <f>IFERROR(__xludf.DUMMYFUNCTION("""COMPUTED_VALUE"""),"10.1177/0956797616651973")</f>
        <v>10.1177/0956797616651973</v>
      </c>
      <c r="B2652" s="442" t="str">
        <f>IFERROR(__xludf.DUMMYFUNCTION("""COMPUTED_VALUE"""),"https://drive.google.com/file/d/1jx9eMAYbx0cHukSi87PadaXFTzz1n_mq/view?usp=drivesdk")</f>
        <v>https://drive.google.com/file/d/1jx9eMAYbx0cHukSi87PadaXFTzz1n_mq/view?usp=drivesdk</v>
      </c>
      <c r="C2652" s="336" t="str">
        <f>IFERROR(__xludf.DUMMYFUNCTION("""COMPUTED_VALUE"""),"10.1177--0956797616651973.pdf")</f>
        <v>10.1177--0956797616651973.pdf</v>
      </c>
      <c r="D2652" s="156" t="str">
        <f>IFERROR(__xludf.DUMMYFUNCTION("""COMPUTED_VALUE"""),"application/pdf")</f>
        <v>application/pdf</v>
      </c>
    </row>
    <row r="2653">
      <c r="A2653" s="336" t="str">
        <f>IFERROR(__xludf.DUMMYFUNCTION("""COMPUTED_VALUE"""),"10.1177/0956797616650875")</f>
        <v>10.1177/0956797616650875</v>
      </c>
      <c r="B2653" s="442" t="str">
        <f>IFERROR(__xludf.DUMMYFUNCTION("""COMPUTED_VALUE"""),"https://drive.google.com/file/d/1OIEvCCJvM-_IxEbcHAL2vNkKmVoEHa3G/view?usp=drivesdk")</f>
        <v>https://drive.google.com/file/d/1OIEvCCJvM-_IxEbcHAL2vNkKmVoEHa3G/view?usp=drivesdk</v>
      </c>
      <c r="C2653" s="336" t="str">
        <f>IFERROR(__xludf.DUMMYFUNCTION("""COMPUTED_VALUE"""),"10.1177--0956797616650875.pdf")</f>
        <v>10.1177--0956797616650875.pdf</v>
      </c>
      <c r="D2653" s="156" t="str">
        <f>IFERROR(__xludf.DUMMYFUNCTION("""COMPUTED_VALUE"""),"application/pdf")</f>
        <v>application/pdf</v>
      </c>
    </row>
    <row r="2654">
      <c r="A2654" s="336" t="str">
        <f>IFERROR(__xludf.DUMMYFUNCTION("""COMPUTED_VALUE"""),"10.1177/0956797616634654")</f>
        <v>10.1177/0956797616634654</v>
      </c>
      <c r="B2654" s="442" t="str">
        <f>IFERROR(__xludf.DUMMYFUNCTION("""COMPUTED_VALUE"""),"https://drive.google.com/file/d/16TKGD5uIhjmxtnz9GYQUl5frMKkhZ7vE/view?usp=drivesdk")</f>
        <v>https://drive.google.com/file/d/16TKGD5uIhjmxtnz9GYQUl5frMKkhZ7vE/view?usp=drivesdk</v>
      </c>
      <c r="C2654" s="336" t="str">
        <f>IFERROR(__xludf.DUMMYFUNCTION("""COMPUTED_VALUE"""),"10.1177--0956797616634654.pdf")</f>
        <v>10.1177--0956797616634654.pdf</v>
      </c>
      <c r="D2654" s="156" t="str">
        <f>IFERROR(__xludf.DUMMYFUNCTION("""COMPUTED_VALUE"""),"application/pdf")</f>
        <v>application/pdf</v>
      </c>
    </row>
    <row r="2655">
      <c r="A2655" s="336" t="str">
        <f>IFERROR(__xludf.DUMMYFUNCTION("""COMPUTED_VALUE"""),"10.1177/0956797616640705")</f>
        <v>10.1177/0956797616640705</v>
      </c>
      <c r="B2655" s="442" t="str">
        <f>IFERROR(__xludf.DUMMYFUNCTION("""COMPUTED_VALUE"""),"https://drive.google.com/file/d/1lHQosDuo6gaE1kApTnMYX-PdVa7g5c2f/view?usp=drivesdk")</f>
        <v>https://drive.google.com/file/d/1lHQosDuo6gaE1kApTnMYX-PdVa7g5c2f/view?usp=drivesdk</v>
      </c>
      <c r="C2655" s="336" t="str">
        <f>IFERROR(__xludf.DUMMYFUNCTION("""COMPUTED_VALUE"""),"10.1177--0956797616640705.pdf")</f>
        <v>10.1177--0956797616640705.pdf</v>
      </c>
      <c r="D2655" s="156" t="str">
        <f>IFERROR(__xludf.DUMMYFUNCTION("""COMPUTED_VALUE"""),"application/pdf")</f>
        <v>application/pdf</v>
      </c>
    </row>
    <row r="2656">
      <c r="A2656" s="336" t="str">
        <f>IFERROR(__xludf.DUMMYFUNCTION("""COMPUTED_VALUE"""),"10.1177/0956797616630964")</f>
        <v>10.1177/0956797616630964</v>
      </c>
      <c r="B2656" s="442" t="str">
        <f>IFERROR(__xludf.DUMMYFUNCTION("""COMPUTED_VALUE"""),"https://drive.google.com/file/d/149vWpYz3xUBwjR-0Vi63Qa-y5jEghDmg/view?usp=drivesdk")</f>
        <v>https://drive.google.com/file/d/149vWpYz3xUBwjR-0Vi63Qa-y5jEghDmg/view?usp=drivesdk</v>
      </c>
      <c r="C2656" s="336" t="str">
        <f>IFERROR(__xludf.DUMMYFUNCTION("""COMPUTED_VALUE"""),"10.1177--0956797616630964.pdf")</f>
        <v>10.1177--0956797616630964.pdf</v>
      </c>
      <c r="D2656" s="156" t="str">
        <f>IFERROR(__xludf.DUMMYFUNCTION("""COMPUTED_VALUE"""),"application/pdf")</f>
        <v>application/pdf</v>
      </c>
    </row>
    <row r="2657">
      <c r="A2657" s="336" t="str">
        <f>IFERROR(__xludf.DUMMYFUNCTION("""COMPUTED_VALUE"""),"10.1177/0956797615625640")</f>
        <v>10.1177/0956797615625640</v>
      </c>
      <c r="B2657" s="442" t="str">
        <f>IFERROR(__xludf.DUMMYFUNCTION("""COMPUTED_VALUE"""),"https://drive.google.com/file/d/1ufFlEetCWZtYqMqTTptc07s2XdkD4E4c/view?usp=drivesdk")</f>
        <v>https://drive.google.com/file/d/1ufFlEetCWZtYqMqTTptc07s2XdkD4E4c/view?usp=drivesdk</v>
      </c>
      <c r="C2657" s="336" t="str">
        <f>IFERROR(__xludf.DUMMYFUNCTION("""COMPUTED_VALUE"""),"10.1177--0956797615625640.pdf")</f>
        <v>10.1177--0956797615625640.pdf</v>
      </c>
      <c r="D2657" s="156" t="str">
        <f>IFERROR(__xludf.DUMMYFUNCTION("""COMPUTED_VALUE"""),"application/pdf")</f>
        <v>application/pdf</v>
      </c>
    </row>
    <row r="2658">
      <c r="A2658" s="336" t="str">
        <f>IFERROR(__xludf.DUMMYFUNCTION("""COMPUTED_VALUE"""),"10.1177/0956797615624492")</f>
        <v>10.1177/0956797615624492</v>
      </c>
      <c r="B2658" s="442" t="str">
        <f>IFERROR(__xludf.DUMMYFUNCTION("""COMPUTED_VALUE"""),"https://drive.google.com/file/d/1MpP2-43GqkWDRpuwJ-apCbzIk2GwSMn_/view?usp=drivesdk")</f>
        <v>https://drive.google.com/file/d/1MpP2-43GqkWDRpuwJ-apCbzIk2GwSMn_/view?usp=drivesdk</v>
      </c>
      <c r="C2658" s="336" t="str">
        <f>IFERROR(__xludf.DUMMYFUNCTION("""COMPUTED_VALUE"""),"10.1177--0956797615624492.pdf")</f>
        <v>10.1177--0956797615624492.pdf</v>
      </c>
      <c r="D2658" s="156" t="str">
        <f>IFERROR(__xludf.DUMMYFUNCTION("""COMPUTED_VALUE"""),"application/pdf")</f>
        <v>application/pdf</v>
      </c>
    </row>
    <row r="2659">
      <c r="A2659" s="336" t="str">
        <f>IFERROR(__xludf.DUMMYFUNCTION("""COMPUTED_VALUE"""),"10.1177/0956797615617779")</f>
        <v>10.1177/0956797615617779</v>
      </c>
      <c r="B2659" s="442" t="str">
        <f>IFERROR(__xludf.DUMMYFUNCTION("""COMPUTED_VALUE"""),"https://drive.google.com/file/d/1X5Fe2As7h--ByO5qoa79Jna-iqMIag53/view?usp=drivesdk")</f>
        <v>https://drive.google.com/file/d/1X5Fe2As7h--ByO5qoa79Jna-iqMIag53/view?usp=drivesdk</v>
      </c>
      <c r="C2659" s="336" t="str">
        <f>IFERROR(__xludf.DUMMYFUNCTION("""COMPUTED_VALUE"""),"10.1177--0956797615617779.pdf")</f>
        <v>10.1177--0956797615617779.pdf</v>
      </c>
      <c r="D2659" s="156" t="str">
        <f>IFERROR(__xludf.DUMMYFUNCTION("""COMPUTED_VALUE"""),"application/pdf")</f>
        <v>application/pdf</v>
      </c>
    </row>
    <row r="2660">
      <c r="A2660" s="336" t="str">
        <f>IFERROR(__xludf.DUMMYFUNCTION("""COMPUTED_VALUE"""),"10.1177/0956797615612202")</f>
        <v>10.1177/0956797615612202</v>
      </c>
      <c r="B2660" s="442" t="str">
        <f>IFERROR(__xludf.DUMMYFUNCTION("""COMPUTED_VALUE"""),"https://drive.google.com/file/d/1d70WNl03Y6R-FQ2zFUG_7JzLtb7KIhMn/view?usp=drivesdk")</f>
        <v>https://drive.google.com/file/d/1d70WNl03Y6R-FQ2zFUG_7JzLtb7KIhMn/view?usp=drivesdk</v>
      </c>
      <c r="C2660" s="336" t="str">
        <f>IFERROR(__xludf.DUMMYFUNCTION("""COMPUTED_VALUE"""),"10.1177--0956797615612202.pdf")</f>
        <v>10.1177--0956797615612202.pdf</v>
      </c>
      <c r="D2660" s="156" t="str">
        <f>IFERROR(__xludf.DUMMYFUNCTION("""COMPUTED_VALUE"""),"application/pdf")</f>
        <v>application/pdf</v>
      </c>
    </row>
    <row r="2661">
      <c r="A2661" s="336" t="str">
        <f>IFERROR(__xludf.DUMMYFUNCTION("""COMPUTED_VALUE"""),"10.1177/0956797615608267")</f>
        <v>10.1177/0956797615608267</v>
      </c>
      <c r="B2661" s="442" t="str">
        <f>IFERROR(__xludf.DUMMYFUNCTION("""COMPUTED_VALUE"""),"https://drive.google.com/file/d/1ZJao6drmlp_5iFzVLwLBVxZ7mZzQpGwX/view?usp=drivesdk")</f>
        <v>https://drive.google.com/file/d/1ZJao6drmlp_5iFzVLwLBVxZ7mZzQpGwX/view?usp=drivesdk</v>
      </c>
      <c r="C2661" s="336" t="str">
        <f>IFERROR(__xludf.DUMMYFUNCTION("""COMPUTED_VALUE"""),"10.1177--0956797615608267.pdf")</f>
        <v>10.1177--0956797615608267.pdf</v>
      </c>
      <c r="D2661" s="156" t="str">
        <f>IFERROR(__xludf.DUMMYFUNCTION("""COMPUTED_VALUE"""),"application/pdf")</f>
        <v>application/pdf</v>
      </c>
    </row>
    <row r="2662">
      <c r="A2662" s="336" t="str">
        <f>IFERROR(__xludf.DUMMYFUNCTION("""COMPUTED_VALUE"""),"10.1177/0956797615598739")</f>
        <v>10.1177/0956797615598739</v>
      </c>
      <c r="B2662" s="442" t="str">
        <f>IFERROR(__xludf.DUMMYFUNCTION("""COMPUTED_VALUE"""),"https://drive.google.com/file/d/1pCInedMgb6ub4Ncim1wJ4bHJ2ouwc85m/view?usp=drivesdk")</f>
        <v>https://drive.google.com/file/d/1pCInedMgb6ub4Ncim1wJ4bHJ2ouwc85m/view?usp=drivesdk</v>
      </c>
      <c r="C2662" s="336" t="str">
        <f>IFERROR(__xludf.DUMMYFUNCTION("""COMPUTED_VALUE"""),"10.1177--0956797615598739.pdf")</f>
        <v>10.1177--0956797615598739.pdf</v>
      </c>
      <c r="D2662" s="156" t="str">
        <f>IFERROR(__xludf.DUMMYFUNCTION("""COMPUTED_VALUE"""),"application/pdf")</f>
        <v>application/pdf</v>
      </c>
    </row>
    <row r="2663">
      <c r="A2663" s="336" t="str">
        <f>IFERROR(__xludf.DUMMYFUNCTION("""COMPUTED_VALUE"""),"10.1177/0956797615588195")</f>
        <v>10.1177/0956797615588195</v>
      </c>
      <c r="B2663" s="442" t="str">
        <f>IFERROR(__xludf.DUMMYFUNCTION("""COMPUTED_VALUE"""),"https://drive.google.com/file/d/1tE6_KVQyfFVpIfIuz7dnWR1i8_me3TIT/view?usp=drivesdk")</f>
        <v>https://drive.google.com/file/d/1tE6_KVQyfFVpIfIuz7dnWR1i8_me3TIT/view?usp=drivesdk</v>
      </c>
      <c r="C2663" s="336" t="str">
        <f>IFERROR(__xludf.DUMMYFUNCTION("""COMPUTED_VALUE"""),"10.1177--0956797615588195.pdf")</f>
        <v>10.1177--0956797615588195.pdf</v>
      </c>
      <c r="D2663" s="156" t="str">
        <f>IFERROR(__xludf.DUMMYFUNCTION("""COMPUTED_VALUE"""),"application/pdf")</f>
        <v>application/pdf</v>
      </c>
    </row>
    <row r="2664">
      <c r="A2664" s="336" t="str">
        <f>IFERROR(__xludf.DUMMYFUNCTION("""COMPUTED_VALUE"""),"10.1177/0956797615585002")</f>
        <v>10.1177/0956797615585002</v>
      </c>
      <c r="B2664" s="442" t="str">
        <f>IFERROR(__xludf.DUMMYFUNCTION("""COMPUTED_VALUE"""),"https://drive.google.com/file/d/1hlj_PiSmruASavYOS4OPpCrR4tKfol15/view?usp=drivesdk")</f>
        <v>https://drive.google.com/file/d/1hlj_PiSmruASavYOS4OPpCrR4tKfol15/view?usp=drivesdk</v>
      </c>
      <c r="C2664" s="336" t="str">
        <f>IFERROR(__xludf.DUMMYFUNCTION("""COMPUTED_VALUE"""),"10.1177--0956797615585002.pdf")</f>
        <v>10.1177--0956797615585002.pdf</v>
      </c>
      <c r="D2664" s="156" t="str">
        <f>IFERROR(__xludf.DUMMYFUNCTION("""COMPUTED_VALUE"""),"application/pdf")</f>
        <v>application/pdf</v>
      </c>
    </row>
    <row r="2665">
      <c r="A2665" s="336" t="str">
        <f>IFERROR(__xludf.DUMMYFUNCTION("""COMPUTED_VALUE"""),"10.1177/0956797615573516")</f>
        <v>10.1177/0956797615573516</v>
      </c>
      <c r="B2665" s="442" t="str">
        <f>IFERROR(__xludf.DUMMYFUNCTION("""COMPUTED_VALUE"""),"https://drive.google.com/file/d/1JoVItYnEA8vA70xzVLnQEC3dgxMW-0on/view?usp=drivesdk")</f>
        <v>https://drive.google.com/file/d/1JoVItYnEA8vA70xzVLnQEC3dgxMW-0on/view?usp=drivesdk</v>
      </c>
      <c r="C2665" s="336" t="str">
        <f>IFERROR(__xludf.DUMMYFUNCTION("""COMPUTED_VALUE"""),"10.1177--0956797615573516.pdf")</f>
        <v>10.1177--0956797615573516.pdf</v>
      </c>
      <c r="D2665" s="156" t="str">
        <f>IFERROR(__xludf.DUMMYFUNCTION("""COMPUTED_VALUE"""),"application/pdf")</f>
        <v>application/pdf</v>
      </c>
    </row>
    <row r="2666">
      <c r="A2666" s="336" t="str">
        <f>IFERROR(__xludf.DUMMYFUNCTION("""COMPUTED_VALUE"""),"10.1177/0956797615569889")</f>
        <v>10.1177/0956797615569889</v>
      </c>
      <c r="B2666" s="442" t="str">
        <f>IFERROR(__xludf.DUMMYFUNCTION("""COMPUTED_VALUE"""),"https://drive.google.com/file/d/15btD8-1-iJ6kKY4YOnmEB99Ty5jn30uV/view?usp=drivesdk")</f>
        <v>https://drive.google.com/file/d/15btD8-1-iJ6kKY4YOnmEB99Ty5jn30uV/view?usp=drivesdk</v>
      </c>
      <c r="C2666" s="336" t="str">
        <f>IFERROR(__xludf.DUMMYFUNCTION("""COMPUTED_VALUE"""),"10.1177--0956797615569889.pdf")</f>
        <v>10.1177--0956797615569889.pdf</v>
      </c>
      <c r="D2666" s="156" t="str">
        <f>IFERROR(__xludf.DUMMYFUNCTION("""COMPUTED_VALUE"""),"application/pdf")</f>
        <v>application/pdf</v>
      </c>
    </row>
    <row r="2667">
      <c r="A2667" s="336" t="str">
        <f>IFERROR(__xludf.DUMMYFUNCTION("""COMPUTED_VALUE"""),"10.1177/0956797615572231")</f>
        <v>10.1177/0956797615572231</v>
      </c>
      <c r="B2667" s="442" t="str">
        <f>IFERROR(__xludf.DUMMYFUNCTION("""COMPUTED_VALUE"""),"https://drive.google.com/file/d/1nhF9YyHcpfCFAHZNSHYOdrHjNY6W4OdA/view?usp=drivesdk")</f>
        <v>https://drive.google.com/file/d/1nhF9YyHcpfCFAHZNSHYOdrHjNY6W4OdA/view?usp=drivesdk</v>
      </c>
      <c r="C2667" s="336" t="str">
        <f>IFERROR(__xludf.DUMMYFUNCTION("""COMPUTED_VALUE"""),"10.1177--0956797615572231.pdf")</f>
        <v>10.1177--0956797615572231.pdf</v>
      </c>
      <c r="D2667" s="156" t="str">
        <f>IFERROR(__xludf.DUMMYFUNCTION("""COMPUTED_VALUE"""),"application/pdf")</f>
        <v>application/pdf</v>
      </c>
    </row>
    <row r="2668">
      <c r="A2668" s="336" t="str">
        <f>IFERROR(__xludf.DUMMYFUNCTION("""COMPUTED_VALUE"""),"10.1177/0956797614563958")</f>
        <v>10.1177/0956797614563958</v>
      </c>
      <c r="B2668" s="442" t="str">
        <f>IFERROR(__xludf.DUMMYFUNCTION("""COMPUTED_VALUE"""),"https://drive.google.com/file/d/1ATJxg7zUvA3Wg_XCJFG6phaq9LgMmPHW/view?usp=drivesdk")</f>
        <v>https://drive.google.com/file/d/1ATJxg7zUvA3Wg_XCJFG6phaq9LgMmPHW/view?usp=drivesdk</v>
      </c>
      <c r="C2668" s="336" t="str">
        <f>IFERROR(__xludf.DUMMYFUNCTION("""COMPUTED_VALUE"""),"10.1177--0956797614563958.pdf")</f>
        <v>10.1177--0956797614563958.pdf</v>
      </c>
      <c r="D2668" s="156" t="str">
        <f>IFERROR(__xludf.DUMMYFUNCTION("""COMPUTED_VALUE"""),"application/pdf")</f>
        <v>application/pdf</v>
      </c>
    </row>
    <row r="2669">
      <c r="A2669" s="336" t="str">
        <f>IFERROR(__xludf.DUMMYFUNCTION("""COMPUTED_VALUE"""),"10.1177/0956797614563108")</f>
        <v>10.1177/0956797614563108</v>
      </c>
      <c r="B2669" s="442" t="str">
        <f>IFERROR(__xludf.DUMMYFUNCTION("""COMPUTED_VALUE"""),"https://drive.google.com/file/d/1CNUuCil5aZVO_tdA1GgelrRiq8I7q6J4/view?usp=drivesdk")</f>
        <v>https://drive.google.com/file/d/1CNUuCil5aZVO_tdA1GgelrRiq8I7q6J4/view?usp=drivesdk</v>
      </c>
      <c r="C2669" s="336" t="str">
        <f>IFERROR(__xludf.DUMMYFUNCTION("""COMPUTED_VALUE"""),"10.1177--0956797614563108.pdf")</f>
        <v>10.1177--0956797614563108.pdf</v>
      </c>
      <c r="D2669" s="156" t="str">
        <f>IFERROR(__xludf.DUMMYFUNCTION("""COMPUTED_VALUE"""),"application/pdf")</f>
        <v>application/pdf</v>
      </c>
    </row>
    <row r="2670">
      <c r="A2670" s="336" t="str">
        <f>IFERROR(__xludf.DUMMYFUNCTION("""COMPUTED_VALUE"""),"10.1177/0956797614561266")</f>
        <v>10.1177/0956797614561266</v>
      </c>
      <c r="B2670" s="442" t="str">
        <f>IFERROR(__xludf.DUMMYFUNCTION("""COMPUTED_VALUE"""),"https://drive.google.com/file/d/1J0gXacFjwTY8lqoRS7-Ly_0MayhAFMtY/view?usp=drivesdk")</f>
        <v>https://drive.google.com/file/d/1J0gXacFjwTY8lqoRS7-Ly_0MayhAFMtY/view?usp=drivesdk</v>
      </c>
      <c r="C2670" s="336" t="str">
        <f>IFERROR(__xludf.DUMMYFUNCTION("""COMPUTED_VALUE"""),"10.1177--0956797614561266.pdf")</f>
        <v>10.1177--0956797614561266.pdf</v>
      </c>
      <c r="D2670" s="156" t="str">
        <f>IFERROR(__xludf.DUMMYFUNCTION("""COMPUTED_VALUE"""),"application/pdf")</f>
        <v>application/pdf</v>
      </c>
    </row>
    <row r="2671">
      <c r="A2671" s="336" t="str">
        <f>IFERROR(__xludf.DUMMYFUNCTION("""COMPUTED_VALUE"""),"10.1177/0956797614559285")</f>
        <v>10.1177/0956797614559285</v>
      </c>
      <c r="B2671" s="442" t="str">
        <f>IFERROR(__xludf.DUMMYFUNCTION("""COMPUTED_VALUE"""),"https://drive.google.com/file/d/1hgaLy7Pk7l8_uT0qzsdgGRA4OH5u_0hL/view?usp=drivesdk")</f>
        <v>https://drive.google.com/file/d/1hgaLy7Pk7l8_uT0qzsdgGRA4OH5u_0hL/view?usp=drivesdk</v>
      </c>
      <c r="C2671" s="336" t="str">
        <f>IFERROR(__xludf.DUMMYFUNCTION("""COMPUTED_VALUE"""),"10.1177--0956797614559285.pdf")</f>
        <v>10.1177--0956797614559285.pdf</v>
      </c>
      <c r="D2671" s="156" t="str">
        <f>IFERROR(__xludf.DUMMYFUNCTION("""COMPUTED_VALUE"""),"application/pdf")</f>
        <v>application/pdf</v>
      </c>
    </row>
    <row r="2672">
      <c r="A2672" s="336" t="str">
        <f>IFERROR(__xludf.DUMMYFUNCTION("""COMPUTED_VALUE"""),"10.1177/0956797614558718")</f>
        <v>10.1177/0956797614558718</v>
      </c>
      <c r="B2672" s="442" t="str">
        <f>IFERROR(__xludf.DUMMYFUNCTION("""COMPUTED_VALUE"""),"https://drive.google.com/file/d/1VCKoEhCkZgWeNPsAklTrHzvyEtDe0UpM/view?usp=drivesdk")</f>
        <v>https://drive.google.com/file/d/1VCKoEhCkZgWeNPsAklTrHzvyEtDe0UpM/view?usp=drivesdk</v>
      </c>
      <c r="C2672" s="336" t="str">
        <f>IFERROR(__xludf.DUMMYFUNCTION("""COMPUTED_VALUE"""),"10.1177--0956797614558718.pdf")</f>
        <v>10.1177--0956797614558718.pdf</v>
      </c>
      <c r="D2672" s="156" t="str">
        <f>IFERROR(__xludf.DUMMYFUNCTION("""COMPUTED_VALUE"""),"application/pdf")</f>
        <v>application/pdf</v>
      </c>
    </row>
    <row r="2673">
      <c r="A2673" s="336" t="str">
        <f>IFERROR(__xludf.DUMMYFUNCTION("""COMPUTED_VALUE"""),"10.1177/0956797614554955")</f>
        <v>10.1177/0956797614554955</v>
      </c>
      <c r="B2673" s="442" t="str">
        <f>IFERROR(__xludf.DUMMYFUNCTION("""COMPUTED_VALUE"""),"https://drive.google.com/file/d/1epyBwvNQIzhoIzncHzNCghI35bEcM7FS/view?usp=drivesdk")</f>
        <v>https://drive.google.com/file/d/1epyBwvNQIzhoIzncHzNCghI35bEcM7FS/view?usp=drivesdk</v>
      </c>
      <c r="C2673" s="336" t="str">
        <f>IFERROR(__xludf.DUMMYFUNCTION("""COMPUTED_VALUE"""),"10.1177--0956797614554955.pdf")</f>
        <v>10.1177--0956797614554955.pdf</v>
      </c>
      <c r="D2673" s="156" t="str">
        <f>IFERROR(__xludf.DUMMYFUNCTION("""COMPUTED_VALUE"""),"application/pdf")</f>
        <v>application/pdf</v>
      </c>
    </row>
    <row r="2674">
      <c r="A2674" s="336" t="str">
        <f>IFERROR(__xludf.DUMMYFUNCTION("""COMPUTED_VALUE"""),"10.1177/0956797614553945")</f>
        <v>10.1177/0956797614553945</v>
      </c>
      <c r="B2674" s="442" t="str">
        <f>IFERROR(__xludf.DUMMYFUNCTION("""COMPUTED_VALUE"""),"https://drive.google.com/file/d/1P9xYCgkA2aZzeFeWwFu2vsHTC7Pzw-Oa/view?usp=drivesdk")</f>
        <v>https://drive.google.com/file/d/1P9xYCgkA2aZzeFeWwFu2vsHTC7Pzw-Oa/view?usp=drivesdk</v>
      </c>
      <c r="C2674" s="336" t="str">
        <f>IFERROR(__xludf.DUMMYFUNCTION("""COMPUTED_VALUE"""),"10.1177--0956797614553945.pdf")</f>
        <v>10.1177--0956797614553945.pdf</v>
      </c>
      <c r="D2674" s="156" t="str">
        <f>IFERROR(__xludf.DUMMYFUNCTION("""COMPUTED_VALUE"""),"application/pdf")</f>
        <v>application/pdf</v>
      </c>
    </row>
    <row r="2675">
      <c r="A2675" s="336" t="str">
        <f>IFERROR(__xludf.DUMMYFUNCTION("""COMPUTED_VALUE"""),"10.1177/0956797614553009")</f>
        <v>10.1177/0956797614553009</v>
      </c>
      <c r="B2675" s="442" t="str">
        <f>IFERROR(__xludf.DUMMYFUNCTION("""COMPUTED_VALUE"""),"https://drive.google.com/file/d/1ZRJcq-rd4pEQb0DmJ1HQenA2-OH5dbEb/view?usp=drivesdk")</f>
        <v>https://drive.google.com/file/d/1ZRJcq-rd4pEQb0DmJ1HQenA2-OH5dbEb/view?usp=drivesdk</v>
      </c>
      <c r="C2675" s="336" t="str">
        <f>IFERROR(__xludf.DUMMYFUNCTION("""COMPUTED_VALUE"""),"10.1177--0956797614553009.pdf")</f>
        <v>10.1177--0956797614553009.pdf</v>
      </c>
      <c r="D2675" s="156" t="str">
        <f>IFERROR(__xludf.DUMMYFUNCTION("""COMPUTED_VALUE"""),"application/pdf")</f>
        <v>application/pdf</v>
      </c>
    </row>
    <row r="2676">
      <c r="A2676" s="336" t="str">
        <f>IFERROR(__xludf.DUMMYFUNCTION("""COMPUTED_VALUE"""),"10.1177/0956797614536739")</f>
        <v>10.1177/0956797614536739</v>
      </c>
      <c r="B2676" s="442" t="str">
        <f>IFERROR(__xludf.DUMMYFUNCTION("""COMPUTED_VALUE"""),"https://drive.google.com/file/d/1c-T-gBsf13rctIADi3rUqpv_LDEac7l1/view?usp=drivesdk")</f>
        <v>https://drive.google.com/file/d/1c-T-gBsf13rctIADi3rUqpv_LDEac7l1/view?usp=drivesdk</v>
      </c>
      <c r="C2676" s="336" t="str">
        <f>IFERROR(__xludf.DUMMYFUNCTION("""COMPUTED_VALUE"""),"10.1177--0956797614536739.pdf")</f>
        <v>10.1177--0956797614536739.pdf</v>
      </c>
      <c r="D2676" s="156" t="str">
        <f>IFERROR(__xludf.DUMMYFUNCTION("""COMPUTED_VALUE"""),"application/pdf")</f>
        <v>application/pdf</v>
      </c>
    </row>
    <row r="2677">
      <c r="A2677" s="336" t="str">
        <f>IFERROR(__xludf.DUMMYFUNCTION("""COMPUTED_VALUE"""),"10.1177/0956797614547705")</f>
        <v>10.1177/0956797614547705</v>
      </c>
      <c r="B2677" s="442" t="str">
        <f>IFERROR(__xludf.DUMMYFUNCTION("""COMPUTED_VALUE"""),"https://drive.google.com/file/d/1hMU234raFGJtbZQ16uhu9mUFuosskYBK/view?usp=drivesdk")</f>
        <v>https://drive.google.com/file/d/1hMU234raFGJtbZQ16uhu9mUFuosskYBK/view?usp=drivesdk</v>
      </c>
      <c r="C2677" s="336" t="str">
        <f>IFERROR(__xludf.DUMMYFUNCTION("""COMPUTED_VALUE"""),"10.1177--0956797614547705.pdf")</f>
        <v>10.1177--0956797614547705.pdf</v>
      </c>
      <c r="D2677" s="156" t="str">
        <f>IFERROR(__xludf.DUMMYFUNCTION("""COMPUTED_VALUE"""),"application/pdf")</f>
        <v>application/pdf</v>
      </c>
    </row>
    <row r="2678">
      <c r="A2678" s="336" t="str">
        <f>IFERROR(__xludf.DUMMYFUNCTION("""COMPUTED_VALUE"""),"10.1177/0956797614534693")</f>
        <v>10.1177/0956797614534693</v>
      </c>
      <c r="B2678" s="442" t="str">
        <f>IFERROR(__xludf.DUMMYFUNCTION("""COMPUTED_VALUE"""),"https://drive.google.com/file/d/1dcM9NQdz9QH53PQ7hkiNVOhT5nBAY9Vn/view?usp=drivesdk")</f>
        <v>https://drive.google.com/file/d/1dcM9NQdz9QH53PQ7hkiNVOhT5nBAY9Vn/view?usp=drivesdk</v>
      </c>
      <c r="C2678" s="336" t="str">
        <f>IFERROR(__xludf.DUMMYFUNCTION("""COMPUTED_VALUE"""),"10.1177--0956797614534693.pdf")</f>
        <v>10.1177--0956797614534693.pdf</v>
      </c>
      <c r="D2678" s="156" t="str">
        <f>IFERROR(__xludf.DUMMYFUNCTION("""COMPUTED_VALUE"""),"application/pdf")</f>
        <v>application/pdf</v>
      </c>
    </row>
    <row r="2679">
      <c r="A2679" s="336" t="str">
        <f>IFERROR(__xludf.DUMMYFUNCTION("""COMPUTED_VALUE"""),"10.1177/0956797614527113")</f>
        <v>10.1177/0956797614527113</v>
      </c>
      <c r="B2679" s="442" t="str">
        <f>IFERROR(__xludf.DUMMYFUNCTION("""COMPUTED_VALUE"""),"https://drive.google.com/file/d/1eY8ustezkGTBEFCvn47T4iFMNEc9SoCR/view?usp=drivesdk")</f>
        <v>https://drive.google.com/file/d/1eY8ustezkGTBEFCvn47T4iFMNEc9SoCR/view?usp=drivesdk</v>
      </c>
      <c r="C2679" s="336" t="str">
        <f>IFERROR(__xludf.DUMMYFUNCTION("""COMPUTED_VALUE"""),"10.1177--0956797614527113.pdf")</f>
        <v>10.1177--0956797614527113.pdf</v>
      </c>
      <c r="D2679" s="156" t="str">
        <f>IFERROR(__xludf.DUMMYFUNCTION("""COMPUTED_VALUE"""),"application/pdf")</f>
        <v>application/pdf</v>
      </c>
    </row>
    <row r="2680">
      <c r="A2680" s="336" t="str">
        <f>IFERROR(__xludf.DUMMYFUNCTION("""COMPUTED_VALUE"""),"10.1177/0956797614526415")</f>
        <v>10.1177/0956797614526415</v>
      </c>
      <c r="B2680" s="442" t="str">
        <f>IFERROR(__xludf.DUMMYFUNCTION("""COMPUTED_VALUE"""),"https://drive.google.com/file/d/16mzj15ffaodG7p7OkXeRFIl06zUe0OUG/view?usp=drivesdk")</f>
        <v>https://drive.google.com/file/d/16mzj15ffaodG7p7OkXeRFIl06zUe0OUG/view?usp=drivesdk</v>
      </c>
      <c r="C2680" s="336" t="str">
        <f>IFERROR(__xludf.DUMMYFUNCTION("""COMPUTED_VALUE"""),"10.1177--0956797614526415.pdf")</f>
        <v>10.1177--0956797614526415.pdf</v>
      </c>
      <c r="D2680" s="156" t="str">
        <f>IFERROR(__xludf.DUMMYFUNCTION("""COMPUTED_VALUE"""),"application/pdf")</f>
        <v>application/pdf</v>
      </c>
    </row>
    <row r="2681">
      <c r="A2681" s="336" t="str">
        <f>IFERROR(__xludf.DUMMYFUNCTION("""COMPUTED_VALUE"""),"10.1177/0956797613508412")</f>
        <v>10.1177/0956797613508412</v>
      </c>
      <c r="B2681" s="442" t="str">
        <f>IFERROR(__xludf.DUMMYFUNCTION("""COMPUTED_VALUE"""),"https://drive.google.com/file/d/1VYqvNkQuJmP378cGj71lJ4JV-clMH0Yv/view?usp=drivesdk")</f>
        <v>https://drive.google.com/file/d/1VYqvNkQuJmP378cGj71lJ4JV-clMH0Yv/view?usp=drivesdk</v>
      </c>
      <c r="C2681" s="336" t="str">
        <f>IFERROR(__xludf.DUMMYFUNCTION("""COMPUTED_VALUE"""),"10.1177--0956797613508412.pdf")</f>
        <v>10.1177--0956797613508412.pdf</v>
      </c>
      <c r="D2681" s="156" t="str">
        <f>IFERROR(__xludf.DUMMYFUNCTION("""COMPUTED_VALUE"""),"application/pdf")</f>
        <v>application/pdf</v>
      </c>
    </row>
    <row r="2682">
      <c r="A2682" s="336" t="str">
        <f>IFERROR(__xludf.DUMMYFUNCTION("""COMPUTED_VALUE"""),"10.1177/0956797613502732")</f>
        <v>10.1177/0956797613502732</v>
      </c>
      <c r="B2682" s="442" t="str">
        <f>IFERROR(__xludf.DUMMYFUNCTION("""COMPUTED_VALUE"""),"https://drive.google.com/file/d/1oYbk_RfphQEQTiM6p882mmwIrb7aGJDY/view?usp=drivesdk")</f>
        <v>https://drive.google.com/file/d/1oYbk_RfphQEQTiM6p882mmwIrb7aGJDY/view?usp=drivesdk</v>
      </c>
      <c r="C2682" s="336" t="str">
        <f>IFERROR(__xludf.DUMMYFUNCTION("""COMPUTED_VALUE"""),"10.1177--0956797613502732.pdf")</f>
        <v>10.1177--0956797613502732.pdf</v>
      </c>
      <c r="D2682" s="156" t="str">
        <f>IFERROR(__xludf.DUMMYFUNCTION("""COMPUTED_VALUE"""),"application/pdf")</f>
        <v>application/pdf</v>
      </c>
    </row>
    <row r="2683">
      <c r="A2683" s="336" t="str">
        <f>IFERROR(__xludf.DUMMYFUNCTION("""COMPUTED_VALUE"""),"10.1177/0956797613486983")</f>
        <v>10.1177/0956797613486983</v>
      </c>
      <c r="B2683" s="442" t="str">
        <f>IFERROR(__xludf.DUMMYFUNCTION("""COMPUTED_VALUE"""),"https://drive.google.com/file/d/1GB5oPjHVuDXBTZ2__Had-zRIf9ZK4G7S/view?usp=drivesdk")</f>
        <v>https://drive.google.com/file/d/1GB5oPjHVuDXBTZ2__Had-zRIf9ZK4G7S/view?usp=drivesdk</v>
      </c>
      <c r="C2683" s="336" t="str">
        <f>IFERROR(__xludf.DUMMYFUNCTION("""COMPUTED_VALUE"""),"10.1177--0956797613486983.pdf")</f>
        <v>10.1177--0956797613486983.pdf</v>
      </c>
      <c r="D2683" s="156" t="str">
        <f>IFERROR(__xludf.DUMMYFUNCTION("""COMPUTED_VALUE"""),"application/pdf")</f>
        <v>application/pdf</v>
      </c>
    </row>
    <row r="2684">
      <c r="A2684" s="336" t="str">
        <f>IFERROR(__xludf.DUMMYFUNCTION("""COMPUTED_VALUE"""),"10.1177/0956797613494853")</f>
        <v>10.1177/0956797613494853</v>
      </c>
      <c r="B2684" s="442" t="str">
        <f>IFERROR(__xludf.DUMMYFUNCTION("""COMPUTED_VALUE"""),"https://drive.google.com/file/d/1W2aCwE3Z8jN-Xdqb3awaTWO-3SquFMRh/view?usp=drivesdk")</f>
        <v>https://drive.google.com/file/d/1W2aCwE3Z8jN-Xdqb3awaTWO-3SquFMRh/view?usp=drivesdk</v>
      </c>
      <c r="C2684" s="336" t="str">
        <f>IFERROR(__xludf.DUMMYFUNCTION("""COMPUTED_VALUE"""),"10.1177--0956797613494853.pdf")</f>
        <v>10.1177--0956797613494853.pdf</v>
      </c>
      <c r="D2684" s="156" t="str">
        <f>IFERROR(__xludf.DUMMYFUNCTION("""COMPUTED_VALUE"""),"application/pdf")</f>
        <v>application/pdf</v>
      </c>
    </row>
    <row r="2685">
      <c r="A2685" s="336" t="str">
        <f>IFERROR(__xludf.DUMMYFUNCTION("""COMPUTED_VALUE"""),"10.1177/0956797612449177")</f>
        <v>10.1177/0956797612449177</v>
      </c>
      <c r="B2685" s="442" t="str">
        <f>IFERROR(__xludf.DUMMYFUNCTION("""COMPUTED_VALUE"""),"https://drive.google.com/file/d/1v5J8Cnv26X6sTt4VLBH9e2mvCWSnQGm4/view?usp=drivesdk")</f>
        <v>https://drive.google.com/file/d/1v5J8Cnv26X6sTt4VLBH9e2mvCWSnQGm4/view?usp=drivesdk</v>
      </c>
      <c r="C2685" s="336" t="str">
        <f>IFERROR(__xludf.DUMMYFUNCTION("""COMPUTED_VALUE"""),"10.1177--0956797612449177.pdf")</f>
        <v>10.1177--0956797612449177.pdf</v>
      </c>
      <c r="D2685" s="156" t="str">
        <f>IFERROR(__xludf.DUMMYFUNCTION("""COMPUTED_VALUE"""),"application/pdf")</f>
        <v>application/pdf</v>
      </c>
    </row>
    <row r="2686">
      <c r="A2686" s="336" t="str">
        <f>IFERROR(__xludf.DUMMYFUNCTION("""COMPUTED_VALUE"""),"10.1177/0956797612445318")</f>
        <v>10.1177/0956797612445318</v>
      </c>
      <c r="B2686" s="442" t="str">
        <f>IFERROR(__xludf.DUMMYFUNCTION("""COMPUTED_VALUE"""),"https://drive.google.com/file/d/1a3fJ6JRdrPHSo50DdCUrYLisEZcHfG31/view?usp=drivesdk")</f>
        <v>https://drive.google.com/file/d/1a3fJ6JRdrPHSo50DdCUrYLisEZcHfG31/view?usp=drivesdk</v>
      </c>
      <c r="C2686" s="336" t="str">
        <f>IFERROR(__xludf.DUMMYFUNCTION("""COMPUTED_VALUE"""),"10.1177--0956797612445318.pdf")</f>
        <v>10.1177--0956797612445318.pdf</v>
      </c>
      <c r="D2686" s="156" t="str">
        <f>IFERROR(__xludf.DUMMYFUNCTION("""COMPUTED_VALUE"""),"application/pdf")</f>
        <v>application/pdf</v>
      </c>
    </row>
    <row r="2687">
      <c r="A2687" s="336" t="str">
        <f>IFERROR(__xludf.DUMMYFUNCTION("""COMPUTED_VALUE"""),"10.1177/0956797612444613")</f>
        <v>10.1177/0956797612444613</v>
      </c>
      <c r="B2687" s="442" t="str">
        <f>IFERROR(__xludf.DUMMYFUNCTION("""COMPUTED_VALUE"""),"https://drive.google.com/file/d/1YxSLKvJhCAZvjLwh2Dxi3CO9YKNSkWkP/view?usp=drivesdk")</f>
        <v>https://drive.google.com/file/d/1YxSLKvJhCAZvjLwh2Dxi3CO9YKNSkWkP/view?usp=drivesdk</v>
      </c>
      <c r="C2687" s="336" t="str">
        <f>IFERROR(__xludf.DUMMYFUNCTION("""COMPUTED_VALUE"""),"10.1177--0956797612444613.pdf")</f>
        <v>10.1177--0956797612444613.pdf</v>
      </c>
      <c r="D2687" s="156" t="str">
        <f>IFERROR(__xludf.DUMMYFUNCTION("""COMPUTED_VALUE"""),"application/pdf")</f>
        <v>application/pdf</v>
      </c>
    </row>
    <row r="2688">
      <c r="A2688" s="336" t="str">
        <f>IFERROR(__xludf.DUMMYFUNCTION("""COMPUTED_VALUE"""),"10.1177/0956797612443838")</f>
        <v>10.1177/0956797612443838</v>
      </c>
      <c r="B2688" s="442" t="str">
        <f>IFERROR(__xludf.DUMMYFUNCTION("""COMPUTED_VALUE"""),"https://drive.google.com/file/d/13GWPRI4Xmytw-ass-yZ5q0c9b-PXmtD4/view?usp=drivesdk")</f>
        <v>https://drive.google.com/file/d/13GWPRI4Xmytw-ass-yZ5q0c9b-PXmtD4/view?usp=drivesdk</v>
      </c>
      <c r="C2688" s="336" t="str">
        <f>IFERROR(__xludf.DUMMYFUNCTION("""COMPUTED_VALUE"""),"10.1177--0956797612443838.pdf")</f>
        <v>10.1177--0956797612443838.pdf</v>
      </c>
      <c r="D2688" s="156" t="str">
        <f>IFERROR(__xludf.DUMMYFUNCTION("""COMPUTED_VALUE"""),"application/pdf")</f>
        <v>application/pdf</v>
      </c>
    </row>
    <row r="2689">
      <c r="A2689" s="336" t="str">
        <f>IFERROR(__xludf.DUMMYFUNCTION("""COMPUTED_VALUE"""),"10.1177/0956797611434540")</f>
        <v>10.1177/0956797611434540</v>
      </c>
      <c r="B2689" s="442" t="str">
        <f>IFERROR(__xludf.DUMMYFUNCTION("""COMPUTED_VALUE"""),"https://drive.google.com/file/d/1e8g4jGrxeuAKV2niPFAdDVB88LKnVgdm/view?usp=drivesdk")</f>
        <v>https://drive.google.com/file/d/1e8g4jGrxeuAKV2niPFAdDVB88LKnVgdm/view?usp=drivesdk</v>
      </c>
      <c r="C2689" s="336" t="str">
        <f>IFERROR(__xludf.DUMMYFUNCTION("""COMPUTED_VALUE"""),"10.1177--0956797611434540.pdf")</f>
        <v>10.1177--0956797611434540.pdf</v>
      </c>
      <c r="D2689" s="156" t="str">
        <f>IFERROR(__xludf.DUMMYFUNCTION("""COMPUTED_VALUE"""),"application/pdf")</f>
        <v>application/pdf</v>
      </c>
    </row>
    <row r="2690">
      <c r="A2690" s="336" t="str">
        <f>IFERROR(__xludf.DUMMYFUNCTION("""COMPUTED_VALUE"""),"10.1177/0956797611434537")</f>
        <v>10.1177/0956797611434537</v>
      </c>
      <c r="B2690" s="442" t="str">
        <f>IFERROR(__xludf.DUMMYFUNCTION("""COMPUTED_VALUE"""),"https://drive.google.com/file/d/15LBKsey4dgrPQTiibNv2Qi9TOTbc3lk1/view?usp=drivesdk")</f>
        <v>https://drive.google.com/file/d/15LBKsey4dgrPQTiibNv2Qi9TOTbc3lk1/view?usp=drivesdk</v>
      </c>
      <c r="C2690" s="336" t="str">
        <f>IFERROR(__xludf.DUMMYFUNCTION("""COMPUTED_VALUE"""),"10.1177--0956797611434537.pdf")</f>
        <v>10.1177--0956797611434537.pdf</v>
      </c>
      <c r="D2690" s="156" t="str">
        <f>IFERROR(__xludf.DUMMYFUNCTION("""COMPUTED_VALUE"""),"application/pdf")</f>
        <v>application/pdf</v>
      </c>
    </row>
    <row r="2691">
      <c r="A2691" s="336" t="str">
        <f>IFERROR(__xludf.DUMMYFUNCTION("""COMPUTED_VALUE"""),"10.1177/0956797611429579")</f>
        <v>10.1177/0956797611429579</v>
      </c>
      <c r="B2691" s="442" t="str">
        <f>IFERROR(__xludf.DUMMYFUNCTION("""COMPUTED_VALUE"""),"https://drive.google.com/file/d/1qh6jn8CXzXmvxEifk6kq4pZRCYHNO1mu/view?usp=drivesdk")</f>
        <v>https://drive.google.com/file/d/1qh6jn8CXzXmvxEifk6kq4pZRCYHNO1mu/view?usp=drivesdk</v>
      </c>
      <c r="C2691" s="336" t="str">
        <f>IFERROR(__xludf.DUMMYFUNCTION("""COMPUTED_VALUE"""),"10.1177--0956797611429579.pdf")</f>
        <v>10.1177--0956797611429579.pdf</v>
      </c>
      <c r="D2691" s="156" t="str">
        <f>IFERROR(__xludf.DUMMYFUNCTION("""COMPUTED_VALUE"""),"application/pdf")</f>
        <v>application/pdf</v>
      </c>
    </row>
    <row r="2692">
      <c r="A2692" s="336" t="str">
        <f>IFERROR(__xludf.DUMMYFUNCTION("""COMPUTED_VALUE"""),"10.1177/0956797611428079")</f>
        <v>10.1177/0956797611428079</v>
      </c>
      <c r="B2692" s="442" t="str">
        <f>IFERROR(__xludf.DUMMYFUNCTION("""COMPUTED_VALUE"""),"https://drive.google.com/file/d/18dLuHsJaHfEuFpmJ9coLBrlcbxYHVgpG/view?usp=drivesdk")</f>
        <v>https://drive.google.com/file/d/18dLuHsJaHfEuFpmJ9coLBrlcbxYHVgpG/view?usp=drivesdk</v>
      </c>
      <c r="C2692" s="336" t="str">
        <f>IFERROR(__xludf.DUMMYFUNCTION("""COMPUTED_VALUE"""),"10.1177--0956797611428079.pdf")</f>
        <v>10.1177--0956797611428079.pdf</v>
      </c>
      <c r="D2692" s="156" t="str">
        <f>IFERROR(__xludf.DUMMYFUNCTION("""COMPUTED_VALUE"""),"application/pdf")</f>
        <v>application/pdf</v>
      </c>
    </row>
    <row r="2693">
      <c r="A2693" s="336" t="str">
        <f>IFERROR(__xludf.DUMMYFUNCTION("""COMPUTED_VALUE"""),"10.1177/0956797611419168")</f>
        <v>10.1177/0956797611419168</v>
      </c>
      <c r="B2693" s="442" t="str">
        <f>IFERROR(__xludf.DUMMYFUNCTION("""COMPUTED_VALUE"""),"https://drive.google.com/file/d/1nanNymgjGLBTTIftwQHD0CPkPgFLXjko/view?usp=drivesdk")</f>
        <v>https://drive.google.com/file/d/1nanNymgjGLBTTIftwQHD0CPkPgFLXjko/view?usp=drivesdk</v>
      </c>
      <c r="C2693" s="336" t="str">
        <f>IFERROR(__xludf.DUMMYFUNCTION("""COMPUTED_VALUE"""),"10.1177--0956797611419168.pdf")</f>
        <v>10.1177--0956797611419168.pdf</v>
      </c>
      <c r="D2693" s="156" t="str">
        <f>IFERROR(__xludf.DUMMYFUNCTION("""COMPUTED_VALUE"""),"application/pdf")</f>
        <v>application/pdf</v>
      </c>
    </row>
    <row r="2694">
      <c r="A2694" s="336" t="str">
        <f>IFERROR(__xludf.DUMMYFUNCTION("""COMPUTED_VALUE"""),"10.1177/0956797611418350")</f>
        <v>10.1177/0956797611418350</v>
      </c>
      <c r="B2694" s="442" t="str">
        <f>IFERROR(__xludf.DUMMYFUNCTION("""COMPUTED_VALUE"""),"https://drive.google.com/file/d/1b6PUvKuNu674etG4K94ZBLDQXEuYuOgp/view?usp=drivesdk")</f>
        <v>https://drive.google.com/file/d/1b6PUvKuNu674etG4K94ZBLDQXEuYuOgp/view?usp=drivesdk</v>
      </c>
      <c r="C2694" s="336" t="str">
        <f>IFERROR(__xludf.DUMMYFUNCTION("""COMPUTED_VALUE"""),"10.1177--0956797611418350.pdf")</f>
        <v>10.1177--0956797611418350.pdf</v>
      </c>
      <c r="D2694" s="156" t="str">
        <f>IFERROR(__xludf.DUMMYFUNCTION("""COMPUTED_VALUE"""),"application/pdf")</f>
        <v>application/pdf</v>
      </c>
    </row>
    <row r="2695">
      <c r="A2695" s="336" t="str">
        <f>IFERROR(__xludf.DUMMYFUNCTION("""COMPUTED_VALUE"""),"10.1177/0956797611414726")</f>
        <v>10.1177/0956797611414726</v>
      </c>
      <c r="B2695" s="442" t="str">
        <f>IFERROR(__xludf.DUMMYFUNCTION("""COMPUTED_VALUE"""),"https://drive.google.com/file/d/1M2bQUYW3MLXQBgi-vbBlJhTa0bUosI7r/view?usp=drivesdk")</f>
        <v>https://drive.google.com/file/d/1M2bQUYW3MLXQBgi-vbBlJhTa0bUosI7r/view?usp=drivesdk</v>
      </c>
      <c r="C2695" s="336" t="str">
        <f>IFERROR(__xludf.DUMMYFUNCTION("""COMPUTED_VALUE"""),"10.1177--0956797611414726.pdf")</f>
        <v>10.1177--0956797611414726.pdf</v>
      </c>
      <c r="D2695" s="156" t="str">
        <f>IFERROR(__xludf.DUMMYFUNCTION("""COMPUTED_VALUE"""),"application/pdf")</f>
        <v>application/pdf</v>
      </c>
    </row>
    <row r="2696">
      <c r="A2696" s="336" t="str">
        <f>IFERROR(__xludf.DUMMYFUNCTION("""COMPUTED_VALUE"""),"10.1177/0956797611398497")</f>
        <v>10.1177/0956797611398497</v>
      </c>
      <c r="B2696" s="442" t="str">
        <f>IFERROR(__xludf.DUMMYFUNCTION("""COMPUTED_VALUE"""),"https://drive.google.com/file/d/1Q4Hoav-REKO6sqw8lr1uJnRm7Q_FXUIN/view?usp=drivesdk")</f>
        <v>https://drive.google.com/file/d/1Q4Hoav-REKO6sqw8lr1uJnRm7Q_FXUIN/view?usp=drivesdk</v>
      </c>
      <c r="C2696" s="336" t="str">
        <f>IFERROR(__xludf.DUMMYFUNCTION("""COMPUTED_VALUE"""),"10.1177--0956797611398497.pdf")</f>
        <v>10.1177--0956797611398497.pdf</v>
      </c>
      <c r="D2696" s="156" t="str">
        <f>IFERROR(__xludf.DUMMYFUNCTION("""COMPUTED_VALUE"""),"application/pdf")</f>
        <v>application/pdf</v>
      </c>
    </row>
    <row r="2697">
      <c r="A2697" s="336" t="str">
        <f>IFERROR(__xludf.DUMMYFUNCTION("""COMPUTED_VALUE"""),"10.1177/0956797610397956")</f>
        <v>10.1177/0956797610397956</v>
      </c>
      <c r="B2697" s="442" t="str">
        <f>IFERROR(__xludf.DUMMYFUNCTION("""COMPUTED_VALUE"""),"https://drive.google.com/file/d/10j2TatiM7HXzQ8gGJAAToPEOpY8k8IgA/view?usp=drivesdk")</f>
        <v>https://drive.google.com/file/d/10j2TatiM7HXzQ8gGJAAToPEOpY8k8IgA/view?usp=drivesdk</v>
      </c>
      <c r="C2697" s="336" t="str">
        <f>IFERROR(__xludf.DUMMYFUNCTION("""COMPUTED_VALUE"""),"10.1177--0956797610397956.pdf")</f>
        <v>10.1177--0956797610397956.pdf</v>
      </c>
      <c r="D2697" s="156" t="str">
        <f>IFERROR(__xludf.DUMMYFUNCTION("""COMPUTED_VALUE"""),"application/pdf")</f>
        <v>application/pdf</v>
      </c>
    </row>
    <row r="2698">
      <c r="A2698" s="336" t="str">
        <f>IFERROR(__xludf.DUMMYFUNCTION("""COMPUTED_VALUE"""),"10.1177/0956797610395393")</f>
        <v>10.1177/0956797610395393</v>
      </c>
      <c r="B2698" s="442" t="str">
        <f>IFERROR(__xludf.DUMMYFUNCTION("""COMPUTED_VALUE"""),"https://drive.google.com/file/d/114EidPR7T0rdM2v9diqArcO-SjszUvCV/view?usp=drivesdk")</f>
        <v>https://drive.google.com/file/d/114EidPR7T0rdM2v9diqArcO-SjszUvCV/view?usp=drivesdk</v>
      </c>
      <c r="C2698" s="336" t="str">
        <f>IFERROR(__xludf.DUMMYFUNCTION("""COMPUTED_VALUE"""),"10.1177--0956797610395393.pdf")</f>
        <v>10.1177--0956797610395393.pdf</v>
      </c>
      <c r="D2698" s="156" t="str">
        <f>IFERROR(__xludf.DUMMYFUNCTION("""COMPUTED_VALUE"""),"application/pdf")</f>
        <v>application/pdf</v>
      </c>
    </row>
    <row r="2699">
      <c r="A2699" s="336" t="str">
        <f>IFERROR(__xludf.DUMMYFUNCTION("""COMPUTED_VALUE"""),"10.1177/0956797610384746")</f>
        <v>10.1177/0956797610384746</v>
      </c>
      <c r="B2699" s="442" t="str">
        <f>IFERROR(__xludf.DUMMYFUNCTION("""COMPUTED_VALUE"""),"https://drive.google.com/file/d/1QvCfNwfC2L6h4poQe8Nd8CTgttfsWFTm/view?usp=drivesdk")</f>
        <v>https://drive.google.com/file/d/1QvCfNwfC2L6h4poQe8Nd8CTgttfsWFTm/view?usp=drivesdk</v>
      </c>
      <c r="C2699" s="336" t="str">
        <f>IFERROR(__xludf.DUMMYFUNCTION("""COMPUTED_VALUE"""),"10.1177--0956797610384746.pdf")</f>
        <v>10.1177--0956797610384746.pdf</v>
      </c>
      <c r="D2699" s="156" t="str">
        <f>IFERROR(__xludf.DUMMYFUNCTION("""COMPUTED_VALUE"""),"application/pdf")</f>
        <v>application/pdf</v>
      </c>
    </row>
    <row r="2700">
      <c r="A2700" s="336" t="str">
        <f>IFERROR(__xludf.DUMMYFUNCTION("""COMPUTED_VALUE"""),"10.1177/0956797610383437")</f>
        <v>10.1177/0956797610383437</v>
      </c>
      <c r="B2700" s="442" t="str">
        <f>IFERROR(__xludf.DUMMYFUNCTION("""COMPUTED_VALUE"""),"https://drive.google.com/file/d/1qeprGIAy7AN_pByPqzOUMvJ-k5SpkEYf/view?usp=drivesdk")</f>
        <v>https://drive.google.com/file/d/1qeprGIAy7AN_pByPqzOUMvJ-k5SpkEYf/view?usp=drivesdk</v>
      </c>
      <c r="C2700" s="336" t="str">
        <f>IFERROR(__xludf.DUMMYFUNCTION("""COMPUTED_VALUE"""),"10.1177--0956797610383437.pdf")</f>
        <v>10.1177--0956797610383437.pdf</v>
      </c>
      <c r="D2700" s="156" t="str">
        <f>IFERROR(__xludf.DUMMYFUNCTION("""COMPUTED_VALUE"""),"application/pdf")</f>
        <v>application/pdf</v>
      </c>
    </row>
    <row r="2701">
      <c r="A2701" s="336" t="str">
        <f>IFERROR(__xludf.DUMMYFUNCTION("""COMPUTED_VALUE"""),"10.1177/0956797610363775")</f>
        <v>10.1177/0956797610363775</v>
      </c>
      <c r="B2701" s="442" t="str">
        <f>IFERROR(__xludf.DUMMYFUNCTION("""COMPUTED_VALUE"""),"https://drive.google.com/file/d/1EwNygj4VffnCLPK-P7EFlmo0-tV2NKRN/view?usp=drivesdk")</f>
        <v>https://drive.google.com/file/d/1EwNygj4VffnCLPK-P7EFlmo0-tV2NKRN/view?usp=drivesdk</v>
      </c>
      <c r="C2701" s="336" t="str">
        <f>IFERROR(__xludf.DUMMYFUNCTION("""COMPUTED_VALUE"""),"10.1177--0956797610363775.pdf")</f>
        <v>10.1177--0956797610363775.pdf</v>
      </c>
      <c r="D2701" s="156" t="str">
        <f>IFERROR(__xludf.DUMMYFUNCTION("""COMPUTED_VALUE"""),"application/pdf")</f>
        <v>application/pdf</v>
      </c>
    </row>
    <row r="2702">
      <c r="A2702" s="336" t="str">
        <f>IFERROR(__xludf.DUMMYFUNCTION("""COMPUTED_VALUE"""),"10.1177/0956797610372631")</f>
        <v>10.1177/0956797610372631</v>
      </c>
      <c r="B2702" s="442" t="str">
        <f>IFERROR(__xludf.DUMMYFUNCTION("""COMPUTED_VALUE"""),"https://drive.google.com/file/d/1fTRsNjUSigNQXhqc1pXcjQ_2Nx-X6BFV/view?usp=drivesdk")</f>
        <v>https://drive.google.com/file/d/1fTRsNjUSigNQXhqc1pXcjQ_2Nx-X6BFV/view?usp=drivesdk</v>
      </c>
      <c r="C2702" s="336" t="str">
        <f>IFERROR(__xludf.DUMMYFUNCTION("""COMPUTED_VALUE"""),"10.1177--0956797610372631.pdf")</f>
        <v>10.1177--0956797610372631.pdf</v>
      </c>
      <c r="D2702" s="156" t="str">
        <f>IFERROR(__xludf.DUMMYFUNCTION("""COMPUTED_VALUE"""),"application/pdf")</f>
        <v>application/pdf</v>
      </c>
    </row>
    <row r="2703">
      <c r="A2703" s="336" t="str">
        <f>IFERROR(__xludf.DUMMYFUNCTION("""COMPUTED_VALUE"""),"10.1177/0956797609358096")</f>
        <v>10.1177/0956797609358096</v>
      </c>
      <c r="B2703" s="442" t="str">
        <f>IFERROR(__xludf.DUMMYFUNCTION("""COMPUTED_VALUE"""),"https://drive.google.com/file/d/1u2KiampcOcT7G124TEOiIzae-KDknBmd/view?usp=drivesdk")</f>
        <v>https://drive.google.com/file/d/1u2KiampcOcT7G124TEOiIzae-KDknBmd/view?usp=drivesdk</v>
      </c>
      <c r="C2703" s="336" t="str">
        <f>IFERROR(__xludf.DUMMYFUNCTION("""COMPUTED_VALUE"""),"10.1177--0956797609358096.pdf")</f>
        <v>10.1177--0956797609358096.pdf</v>
      </c>
      <c r="D2703" s="156" t="str">
        <f>IFERROR(__xludf.DUMMYFUNCTION("""COMPUTED_VALUE"""),"application/pdf")</f>
        <v>application/pdf</v>
      </c>
    </row>
    <row r="2704">
      <c r="A2704" s="336" t="str">
        <f>IFERROR(__xludf.DUMMYFUNCTION("""COMPUTED_VALUE"""),"10.1177/030631293023002004")</f>
        <v>10.1177/030631293023002004</v>
      </c>
      <c r="B2704" s="442" t="str">
        <f>IFERROR(__xludf.DUMMYFUNCTION("""COMPUTED_VALUE"""),"https://drive.google.com/file/d/1XZ_zxm3xyVj2TD9ZkpEejEYcPp9nIzht/view?usp=drivesdk")</f>
        <v>https://drive.google.com/file/d/1XZ_zxm3xyVj2TD9ZkpEejEYcPp9nIzht/view?usp=drivesdk</v>
      </c>
      <c r="C2704" s="336" t="str">
        <f>IFERROR(__xludf.DUMMYFUNCTION("""COMPUTED_VALUE"""),"10.1177--030631293023002004.pdf")</f>
        <v>10.1177--030631293023002004.pdf</v>
      </c>
      <c r="D2704" s="156" t="str">
        <f>IFERROR(__xludf.DUMMYFUNCTION("""COMPUTED_VALUE"""),"application/pdf")</f>
        <v>application/pdf</v>
      </c>
    </row>
    <row r="2705">
      <c r="A2705" s="336" t="str">
        <f>IFERROR(__xludf.DUMMYFUNCTION("""COMPUTED_VALUE"""),"10.1177/0261927x01020004004")</f>
        <v>10.1177/0261927x01020004004</v>
      </c>
      <c r="B2705" s="442" t="str">
        <f>IFERROR(__xludf.DUMMYFUNCTION("""COMPUTED_VALUE"""),"https://drive.google.com/file/d/1sjdW_JBf7Xvavc-j0ZYGAQkqF_EQI8iP/view?usp=drivesdk")</f>
        <v>https://drive.google.com/file/d/1sjdW_JBf7Xvavc-j0ZYGAQkqF_EQI8iP/view?usp=drivesdk</v>
      </c>
      <c r="C2705" s="336" t="str">
        <f>IFERROR(__xludf.DUMMYFUNCTION("""COMPUTED_VALUE"""),"10.1177--0261927X01020004004.pdf")</f>
        <v>10.1177--0261927X01020004004.pdf</v>
      </c>
      <c r="D2705" s="156" t="str">
        <f>IFERROR(__xludf.DUMMYFUNCTION("""COMPUTED_VALUE"""),"application/pdf")</f>
        <v>application/pdf</v>
      </c>
    </row>
    <row r="2706">
      <c r="A2706" s="336" t="str">
        <f>IFERROR(__xludf.DUMMYFUNCTION("""COMPUTED_VALUE"""),"10.1177/01461672952111004")</f>
        <v>10.1177/01461672952111004</v>
      </c>
      <c r="B2706" s="442" t="str">
        <f>IFERROR(__xludf.DUMMYFUNCTION("""COMPUTED_VALUE"""),"https://drive.google.com/file/d/1DouZu51tYUlHCJt3ED5926-nk58IBtuY/view?usp=drivesdk")</f>
        <v>https://drive.google.com/file/d/1DouZu51tYUlHCJt3ED5926-nk58IBtuY/view?usp=drivesdk</v>
      </c>
      <c r="C2706" s="336" t="str">
        <f>IFERROR(__xludf.DUMMYFUNCTION("""COMPUTED_VALUE"""),"10.1177--01461672952111004.pdf")</f>
        <v>10.1177--01461672952111004.pdf</v>
      </c>
      <c r="D2706" s="156" t="str">
        <f>IFERROR(__xludf.DUMMYFUNCTION("""COMPUTED_VALUE"""),"application/pdf")</f>
        <v>application/pdf</v>
      </c>
    </row>
    <row r="2707">
      <c r="A2707" s="336" t="str">
        <f>IFERROR(__xludf.DUMMYFUNCTION("""COMPUTED_VALUE"""),"10.1177/0146167216684132")</f>
        <v>10.1177/0146167216684132</v>
      </c>
      <c r="B2707" s="442" t="str">
        <f>IFERROR(__xludf.DUMMYFUNCTION("""COMPUTED_VALUE"""),"https://drive.google.com/file/d/1OxFDVNyZI1frRjeq-YzZQaUFqgYur5QQ/view?usp=drivesdk")</f>
        <v>https://drive.google.com/file/d/1OxFDVNyZI1frRjeq-YzZQaUFqgYur5QQ/view?usp=drivesdk</v>
      </c>
      <c r="C2707" s="336" t="str">
        <f>IFERROR(__xludf.DUMMYFUNCTION("""COMPUTED_VALUE"""),"10.1177--0146167216684132.pdf")</f>
        <v>10.1177--0146167216684132.pdf</v>
      </c>
      <c r="D2707" s="156" t="str">
        <f>IFERROR(__xludf.DUMMYFUNCTION("""COMPUTED_VALUE"""),"application/pdf")</f>
        <v>application/pdf</v>
      </c>
    </row>
    <row r="2708">
      <c r="A2708" s="336" t="str">
        <f>IFERROR(__xludf.DUMMYFUNCTION("""COMPUTED_VALUE"""),"10.1177/0146167215610520")</f>
        <v>10.1177/0146167215610520</v>
      </c>
      <c r="B2708" s="442" t="str">
        <f>IFERROR(__xludf.DUMMYFUNCTION("""COMPUTED_VALUE"""),"https://drive.google.com/file/d/1xUlRe3MC-gZV8Zhd6NQNLSAYxUKd-bXT/view?usp=drivesdk")</f>
        <v>https://drive.google.com/file/d/1xUlRe3MC-gZV8Zhd6NQNLSAYxUKd-bXT/view?usp=drivesdk</v>
      </c>
      <c r="C2708" s="336" t="str">
        <f>IFERROR(__xludf.DUMMYFUNCTION("""COMPUTED_VALUE"""),"10.1177--0146167215610520.pdf")</f>
        <v>10.1177--0146167215610520.pdf</v>
      </c>
      <c r="D2708" s="156" t="str">
        <f>IFERROR(__xludf.DUMMYFUNCTION("""COMPUTED_VALUE"""),"application/pdf")</f>
        <v>application/pdf</v>
      </c>
    </row>
    <row r="2709">
      <c r="A2709" s="336" t="str">
        <f>IFERROR(__xludf.DUMMYFUNCTION("""COMPUTED_VALUE"""),"10.1177/0146167215580776")</f>
        <v>10.1177/0146167215580776</v>
      </c>
      <c r="B2709" s="442" t="str">
        <f>IFERROR(__xludf.DUMMYFUNCTION("""COMPUTED_VALUE"""),"https://drive.google.com/file/d/1sQ8SgRlBMbqW6PR-9YQps9sVh-rL9tXw/view?usp=drivesdk")</f>
        <v>https://drive.google.com/file/d/1sQ8SgRlBMbqW6PR-9YQps9sVh-rL9tXw/view?usp=drivesdk</v>
      </c>
      <c r="C2709" s="336" t="str">
        <f>IFERROR(__xludf.DUMMYFUNCTION("""COMPUTED_VALUE"""),"10.1177--0146167215580776.pdf")</f>
        <v>10.1177--0146167215580776.pdf</v>
      </c>
      <c r="D2709" s="156" t="str">
        <f>IFERROR(__xludf.DUMMYFUNCTION("""COMPUTED_VALUE"""),"application/pdf")</f>
        <v>application/pdf</v>
      </c>
    </row>
    <row r="2710">
      <c r="A2710" s="336" t="str">
        <f>IFERROR(__xludf.DUMMYFUNCTION("""COMPUTED_VALUE"""),"10.1177/0146167215572134")</f>
        <v>10.1177/0146167215572134</v>
      </c>
      <c r="B2710" s="442" t="str">
        <f>IFERROR(__xludf.DUMMYFUNCTION("""COMPUTED_VALUE"""),"https://drive.google.com/file/d/1vagLpfu0yJBLs-8Gatz7OEVqAcsptNyV/view?usp=drivesdk")</f>
        <v>https://drive.google.com/file/d/1vagLpfu0yJBLs-8Gatz7OEVqAcsptNyV/view?usp=drivesdk</v>
      </c>
      <c r="C2710" s="336" t="str">
        <f>IFERROR(__xludf.DUMMYFUNCTION("""COMPUTED_VALUE"""),"10.1177--0146167215572134.pdf")</f>
        <v>10.1177--0146167215572134.pdf</v>
      </c>
      <c r="D2710" s="156" t="str">
        <f>IFERROR(__xludf.DUMMYFUNCTION("""COMPUTED_VALUE"""),"application/pdf")</f>
        <v>application/pdf</v>
      </c>
    </row>
    <row r="2711">
      <c r="A2711" s="336" t="str">
        <f>IFERROR(__xludf.DUMMYFUNCTION("""COMPUTED_VALUE"""),"10.1177/0146167214524992")</f>
        <v>10.1177/0146167214524992</v>
      </c>
      <c r="B2711" s="442" t="str">
        <f>IFERROR(__xludf.DUMMYFUNCTION("""COMPUTED_VALUE"""),"https://drive.google.com/file/d/1oAjR8vSHaozIl7e-9ozgY9hFTpEChKb7/view?usp=drivesdk")</f>
        <v>https://drive.google.com/file/d/1oAjR8vSHaozIl7e-9ozgY9hFTpEChKb7/view?usp=drivesdk</v>
      </c>
      <c r="C2711" s="336" t="str">
        <f>IFERROR(__xludf.DUMMYFUNCTION("""COMPUTED_VALUE"""),"10.1177--0146167214524992.pdf")</f>
        <v>10.1177--0146167214524992.pdf</v>
      </c>
      <c r="D2711" s="156" t="str">
        <f>IFERROR(__xludf.DUMMYFUNCTION("""COMPUTED_VALUE"""),"application/pdf")</f>
        <v>application/pdf</v>
      </c>
    </row>
    <row r="2712">
      <c r="A2712" s="336" t="str">
        <f>IFERROR(__xludf.DUMMYFUNCTION("""COMPUTED_VALUE"""),"10.1177/0146167212475225")</f>
        <v>10.1177/0146167212475225</v>
      </c>
      <c r="B2712" s="442" t="str">
        <f>IFERROR(__xludf.DUMMYFUNCTION("""COMPUTED_VALUE"""),"https://drive.google.com/file/d/1xWbz_w1r9P1BGfJ_vctcFlsqK4cuVLq_/view?usp=drivesdk")</f>
        <v>https://drive.google.com/file/d/1xWbz_w1r9P1BGfJ_vctcFlsqK4cuVLq_/view?usp=drivesdk</v>
      </c>
      <c r="C2712" s="336" t="str">
        <f>IFERROR(__xludf.DUMMYFUNCTION("""COMPUTED_VALUE"""),"10.1177--0146167212475225.pdf")</f>
        <v>10.1177--0146167212475225.pdf</v>
      </c>
      <c r="D2712" s="156" t="str">
        <f>IFERROR(__xludf.DUMMYFUNCTION("""COMPUTED_VALUE"""),"application/pdf")</f>
        <v>application/pdf</v>
      </c>
    </row>
    <row r="2713">
      <c r="A2713" s="336" t="str">
        <f>IFERROR(__xludf.DUMMYFUNCTION("""COMPUTED_VALUE"""),"10.1177/0146167210386238")</f>
        <v>10.1177/0146167210386238</v>
      </c>
      <c r="B2713" s="442" t="str">
        <f>IFERROR(__xludf.DUMMYFUNCTION("""COMPUTED_VALUE"""),"https://drive.google.com/file/d/1Np9c8r6_VQUD2BcEZk8o5Cy0BoXVy2Li/view?usp=drivesdk")</f>
        <v>https://drive.google.com/file/d/1Np9c8r6_VQUD2BcEZk8o5Cy0BoXVy2Li/view?usp=drivesdk</v>
      </c>
      <c r="C2713" s="336" t="str">
        <f>IFERROR(__xludf.DUMMYFUNCTION("""COMPUTED_VALUE"""),"10.1177--0146167210386238.pdf")</f>
        <v>10.1177--0146167210386238.pdf</v>
      </c>
      <c r="D2713" s="156" t="str">
        <f>IFERROR(__xludf.DUMMYFUNCTION("""COMPUTED_VALUE"""),"application/pdf")</f>
        <v>application/pdf</v>
      </c>
    </row>
    <row r="2714">
      <c r="A2714" s="336" t="str">
        <f>IFERROR(__xludf.DUMMYFUNCTION("""COMPUTED_VALUE"""),"10.1177/0146167207309195")</f>
        <v>10.1177/0146167207309195</v>
      </c>
      <c r="B2714" s="442" t="str">
        <f>IFERROR(__xludf.DUMMYFUNCTION("""COMPUTED_VALUE"""),"https://drive.google.com/file/d/1Pb_juPmIU_Q7VY9NrSeQKbDclKBuO2i4/view?usp=drivesdk")</f>
        <v>https://drive.google.com/file/d/1Pb_juPmIU_Q7VY9NrSeQKbDclKBuO2i4/view?usp=drivesdk</v>
      </c>
      <c r="C2714" s="336" t="str">
        <f>IFERROR(__xludf.DUMMYFUNCTION("""COMPUTED_VALUE"""),"10.1177--0146167207309195.pdf")</f>
        <v>10.1177--0146167207309195.pdf</v>
      </c>
      <c r="D2714" s="156" t="str">
        <f>IFERROR(__xludf.DUMMYFUNCTION("""COMPUTED_VALUE"""),"application/pdf")</f>
        <v>application/pdf</v>
      </c>
    </row>
    <row r="2715">
      <c r="A2715" s="336" t="str">
        <f>IFERROR(__xludf.DUMMYFUNCTION("""COMPUTED_VALUE"""),"10.1177/0146167202286008")</f>
        <v>10.1177/0146167202286008</v>
      </c>
      <c r="B2715" s="442" t="str">
        <f>IFERROR(__xludf.DUMMYFUNCTION("""COMPUTED_VALUE"""),"https://drive.google.com/file/d/1QqlfpnVgorDgEGsd9xjg9VdSz9ecCVY2/view?usp=drivesdk")</f>
        <v>https://drive.google.com/file/d/1QqlfpnVgorDgEGsd9xjg9VdSz9ecCVY2/view?usp=drivesdk</v>
      </c>
      <c r="C2715" s="336" t="str">
        <f>IFERROR(__xludf.DUMMYFUNCTION("""COMPUTED_VALUE"""),"10.1177--0146167202286008.pdf")</f>
        <v>10.1177--0146167202286008.pdf</v>
      </c>
      <c r="D2715" s="156" t="str">
        <f>IFERROR(__xludf.DUMMYFUNCTION("""COMPUTED_VALUE"""),"application/pdf")</f>
        <v>application/pdf</v>
      </c>
    </row>
    <row r="2716">
      <c r="A2716" s="336" t="str">
        <f>IFERROR(__xludf.DUMMYFUNCTION("""COMPUTED_VALUE"""),"10.1177/0098628315603065")</f>
        <v>10.1177/0098628315603065</v>
      </c>
      <c r="B2716" s="442" t="str">
        <f>IFERROR(__xludf.DUMMYFUNCTION("""COMPUTED_VALUE"""),"https://drive.google.com/file/d/10yaA-7vTch8W8oJSHYpgVkbEg8z8BPSk/view?usp=drivesdk")</f>
        <v>https://drive.google.com/file/d/10yaA-7vTch8W8oJSHYpgVkbEg8z8BPSk/view?usp=drivesdk</v>
      </c>
      <c r="C2716" s="336" t="str">
        <f>IFERROR(__xludf.DUMMYFUNCTION("""COMPUTED_VALUE"""),"10.1177--0098628315603065.pdf")</f>
        <v>10.1177--0098628315603065.pdf</v>
      </c>
      <c r="D2716" s="156" t="str">
        <f>IFERROR(__xludf.DUMMYFUNCTION("""COMPUTED_VALUE"""),"application/pdf")</f>
        <v>application/pdf</v>
      </c>
    </row>
    <row r="2717">
      <c r="A2717" s="336" t="str">
        <f>IFERROR(__xludf.DUMMYFUNCTION("""COMPUTED_VALUE"""),"10.1080/23273798.2020.1849749")</f>
        <v>10.1080/23273798.2020.1849749</v>
      </c>
      <c r="B2717" s="442" t="str">
        <f>IFERROR(__xludf.DUMMYFUNCTION("""COMPUTED_VALUE"""),"https://drive.google.com/file/d/1fMzA4P_bUgXzmkzRN_fCqo-PtYtnqv2j/view?usp=drivesdk")</f>
        <v>https://drive.google.com/file/d/1fMzA4P_bUgXzmkzRN_fCqo-PtYtnqv2j/view?usp=drivesdk</v>
      </c>
      <c r="C2717" s="336" t="str">
        <f>IFERROR(__xludf.DUMMYFUNCTION("""COMPUTED_VALUE"""),"10.1080--23273798.2020.1849749.pdf")</f>
        <v>10.1080--23273798.2020.1849749.pdf</v>
      </c>
      <c r="D2717" s="156" t="str">
        <f>IFERROR(__xludf.DUMMYFUNCTION("""COMPUTED_VALUE"""),"application/pdf")</f>
        <v>application/pdf</v>
      </c>
    </row>
    <row r="2718">
      <c r="A2718" s="336" t="str">
        <f>IFERROR(__xludf.DUMMYFUNCTION("""COMPUTED_VALUE"""),"10.1080/23273798.2018.1431397")</f>
        <v>10.1080/23273798.2018.1431397</v>
      </c>
      <c r="B2718" s="442" t="str">
        <f>IFERROR(__xludf.DUMMYFUNCTION("""COMPUTED_VALUE"""),"https://drive.google.com/file/d/1quS4MAYvEPtehwNPw-pIZVscM1NFoUOj/view?usp=drivesdk")</f>
        <v>https://drive.google.com/file/d/1quS4MAYvEPtehwNPw-pIZVscM1NFoUOj/view?usp=drivesdk</v>
      </c>
      <c r="C2718" s="336" t="str">
        <f>IFERROR(__xludf.DUMMYFUNCTION("""COMPUTED_VALUE"""),"10.1080--23273798.2018.1431397.pdf")</f>
        <v>10.1080--23273798.2018.1431397.pdf</v>
      </c>
      <c r="D2718" s="156" t="str">
        <f>IFERROR(__xludf.DUMMYFUNCTION("""COMPUTED_VALUE"""),"application/pdf")</f>
        <v>application/pdf</v>
      </c>
    </row>
    <row r="2719">
      <c r="A2719" s="336" t="str">
        <f>IFERROR(__xludf.DUMMYFUNCTION("""COMPUTED_VALUE"""),"10.1080/17470215908416289")</f>
        <v>10.1080/17470215908416289</v>
      </c>
      <c r="B2719" s="442" t="str">
        <f>IFERROR(__xludf.DUMMYFUNCTION("""COMPUTED_VALUE"""),"https://drive.google.com/file/d/1-2z3-hJuh_EWL-Ayget2LVe3OiM0cWJb/view?usp=drivesdk")</f>
        <v>https://drive.google.com/file/d/1-2z3-hJuh_EWL-Ayget2LVe3OiM0cWJb/view?usp=drivesdk</v>
      </c>
      <c r="C2719" s="336" t="str">
        <f>IFERROR(__xludf.DUMMYFUNCTION("""COMPUTED_VALUE"""),"10.1080--17470215908416289.pdf")</f>
        <v>10.1080--17470215908416289.pdf</v>
      </c>
      <c r="D2719" s="156" t="str">
        <f>IFERROR(__xludf.DUMMYFUNCTION("""COMPUTED_VALUE"""),"application/pdf")</f>
        <v>application/pdf</v>
      </c>
    </row>
    <row r="2720">
      <c r="A2720" s="336" t="str">
        <f>IFERROR(__xludf.DUMMYFUNCTION("""COMPUTED_VALUE"""),"10.1080/15298868.2019.1609574")</f>
        <v>10.1080/15298868.2019.1609574</v>
      </c>
      <c r="B2720" s="442" t="str">
        <f>IFERROR(__xludf.DUMMYFUNCTION("""COMPUTED_VALUE"""),"https://drive.google.com/file/d/1OhDDQNwvw1HPW_6EQklkNmTPpV2B15Ud/view?usp=drivesdk")</f>
        <v>https://drive.google.com/file/d/1OhDDQNwvw1HPW_6EQklkNmTPpV2B15Ud/view?usp=drivesdk</v>
      </c>
      <c r="C2720" s="336" t="str">
        <f>IFERROR(__xludf.DUMMYFUNCTION("""COMPUTED_VALUE"""),"10.1080--15298868.2019.1609574.pdf")</f>
        <v>10.1080--15298868.2019.1609574.pdf</v>
      </c>
      <c r="D2720" s="156" t="str">
        <f>IFERROR(__xludf.DUMMYFUNCTION("""COMPUTED_VALUE"""),"application/pdf")</f>
        <v>application/pdf</v>
      </c>
    </row>
    <row r="2721">
      <c r="A2721" s="336" t="str">
        <f>IFERROR(__xludf.DUMMYFUNCTION("""COMPUTED_VALUE"""),"10.1080/15298860500338534")</f>
        <v>10.1080/15298860500338534</v>
      </c>
      <c r="B2721" s="442" t="str">
        <f>IFERROR(__xludf.DUMMYFUNCTION("""COMPUTED_VALUE"""),"https://drive.google.com/file/d/1WyB_fPDsqRLw_BnSdCM6uoyFG1SH2iMA/view?usp=drivesdk")</f>
        <v>https://drive.google.com/file/d/1WyB_fPDsqRLw_BnSdCM6uoyFG1SH2iMA/view?usp=drivesdk</v>
      </c>
      <c r="C2721" s="336" t="str">
        <f>IFERROR(__xludf.DUMMYFUNCTION("""COMPUTED_VALUE"""),"10.1080--15298860500338534.pdf")</f>
        <v>10.1080--15298860500338534.pdf</v>
      </c>
      <c r="D2721" s="156" t="str">
        <f>IFERROR(__xludf.DUMMYFUNCTION("""COMPUTED_VALUE"""),"application/pdf")</f>
        <v>application/pdf</v>
      </c>
    </row>
    <row r="2722">
      <c r="A2722" s="336" t="str">
        <f>IFERROR(__xludf.DUMMYFUNCTION("""COMPUTED_VALUE"""),"10.1080/13869790600641905")</f>
        <v>10.1080/13869790600641905</v>
      </c>
      <c r="B2722" s="442" t="str">
        <f>IFERROR(__xludf.DUMMYFUNCTION("""COMPUTED_VALUE"""),"https://drive.google.com/file/d/1Y8W4Pu0XmqnQ5lA-X7ANKZNlSBzl4UGP/view?usp=drivesdk")</f>
        <v>https://drive.google.com/file/d/1Y8W4Pu0XmqnQ5lA-X7ANKZNlSBzl4UGP/view?usp=drivesdk</v>
      </c>
      <c r="C2722" s="336" t="str">
        <f>IFERROR(__xludf.DUMMYFUNCTION("""COMPUTED_VALUE"""),"10.1080--13869790600641905.pdf")</f>
        <v>10.1080--13869790600641905.pdf</v>
      </c>
      <c r="D2722" s="156" t="str">
        <f>IFERROR(__xludf.DUMMYFUNCTION("""COMPUTED_VALUE"""),"application/pdf")</f>
        <v>application/pdf</v>
      </c>
    </row>
    <row r="2723">
      <c r="A2723" s="336" t="str">
        <f>IFERROR(__xludf.DUMMYFUNCTION("""COMPUTED_VALUE"""),"10.1080/13576500500513565")</f>
        <v>10.1080/13576500500513565</v>
      </c>
      <c r="B2723" s="442" t="str">
        <f>IFERROR(__xludf.DUMMYFUNCTION("""COMPUTED_VALUE"""),"https://drive.google.com/file/d/1fLF2Mzhldev10C0y_NhzgQRy11WYOzxV/view?usp=drivesdk")</f>
        <v>https://drive.google.com/file/d/1fLF2Mzhldev10C0y_NhzgQRy11WYOzxV/view?usp=drivesdk</v>
      </c>
      <c r="C2723" s="336" t="str">
        <f>IFERROR(__xludf.DUMMYFUNCTION("""COMPUTED_VALUE"""),"10.1080--13576500500513565.pdf")</f>
        <v>10.1080--13576500500513565.pdf</v>
      </c>
      <c r="D2723" s="156" t="str">
        <f>IFERROR(__xludf.DUMMYFUNCTION("""COMPUTED_VALUE"""),"application/pdf")</f>
        <v>application/pdf</v>
      </c>
    </row>
    <row r="2724">
      <c r="A2724" s="336" t="str">
        <f>IFERROR(__xludf.DUMMYFUNCTION("""COMPUTED_VALUE"""),"10.1080/13506280544000110")</f>
        <v>10.1080/13506280544000110</v>
      </c>
      <c r="B2724" s="442" t="str">
        <f>IFERROR(__xludf.DUMMYFUNCTION("""COMPUTED_VALUE"""),"https://drive.google.com/file/d/16TMWmx3oUBzr8RckTX2nq_oNoNlOcVY5/view?usp=drivesdk")</f>
        <v>https://drive.google.com/file/d/16TMWmx3oUBzr8RckTX2nq_oNoNlOcVY5/view?usp=drivesdk</v>
      </c>
      <c r="C2724" s="336" t="str">
        <f>IFERROR(__xludf.DUMMYFUNCTION("""COMPUTED_VALUE"""),"10.1080--13506280544000110.pdf")</f>
        <v>10.1080--13506280544000110.pdf</v>
      </c>
      <c r="D2724" s="156" t="str">
        <f>IFERROR(__xludf.DUMMYFUNCTION("""COMPUTED_VALUE"""),"application/pdf")</f>
        <v>application/pdf</v>
      </c>
    </row>
    <row r="2725">
      <c r="A2725" s="336" t="str">
        <f>IFERROR(__xludf.DUMMYFUNCTION("""COMPUTED_VALUE"""),"10.1080/13523260.2020.1868836")</f>
        <v>10.1080/13523260.2020.1868836</v>
      </c>
      <c r="B2725" s="442" t="str">
        <f>IFERROR(__xludf.DUMMYFUNCTION("""COMPUTED_VALUE"""),"https://drive.google.com/file/d/1KC4plXYkIWysGPnao4Tklulvzel2Da4l/view?usp=drivesdk")</f>
        <v>https://drive.google.com/file/d/1KC4plXYkIWysGPnao4Tklulvzel2Da4l/view?usp=drivesdk</v>
      </c>
      <c r="C2725" s="336" t="str">
        <f>IFERROR(__xludf.DUMMYFUNCTION("""COMPUTED_VALUE"""),"10.1080--13523260.2020.1868836.pdf")</f>
        <v>10.1080--13523260.2020.1868836.pdf</v>
      </c>
      <c r="D2725" s="156" t="str">
        <f>IFERROR(__xludf.DUMMYFUNCTION("""COMPUTED_VALUE"""),"application/pdf")</f>
        <v>application/pdf</v>
      </c>
    </row>
    <row r="2726">
      <c r="A2726" s="336" t="str">
        <f>IFERROR(__xludf.DUMMYFUNCTION("""COMPUTED_VALUE"""),"10.1080/10503307.2020.1871524")</f>
        <v>10.1080/10503307.2020.1871524</v>
      </c>
      <c r="B2726" s="442" t="str">
        <f>IFERROR(__xludf.DUMMYFUNCTION("""COMPUTED_VALUE"""),"https://drive.google.com/file/d/18x2vGr9C5TmbBPxVJPLb9glWPl6R3fRW/view?usp=drivesdk")</f>
        <v>https://drive.google.com/file/d/18x2vGr9C5TmbBPxVJPLb9glWPl6R3fRW/view?usp=drivesdk</v>
      </c>
      <c r="C2726" s="336" t="str">
        <f>IFERROR(__xludf.DUMMYFUNCTION("""COMPUTED_VALUE"""),"10.1080--10503307.2020.1871524.pdf")</f>
        <v>10.1080--10503307.2020.1871524.pdf</v>
      </c>
      <c r="D2726" s="156" t="str">
        <f>IFERROR(__xludf.DUMMYFUNCTION("""COMPUTED_VALUE"""),"application/pdf")</f>
        <v>application/pdf</v>
      </c>
    </row>
    <row r="2727">
      <c r="A2727" s="336" t="str">
        <f>IFERROR(__xludf.DUMMYFUNCTION("""COMPUTED_VALUE"""),"10.1080/09515089.2014.894431")</f>
        <v>10.1080/09515089.2014.894431</v>
      </c>
      <c r="B2727" s="442" t="str">
        <f>IFERROR(__xludf.DUMMYFUNCTION("""COMPUTED_VALUE"""),"https://drive.google.com/file/d/1zG4Fc_IEv6joOTyPj0JeBdLMNt-6vqsC/view?usp=drivesdk")</f>
        <v>https://drive.google.com/file/d/1zG4Fc_IEv6joOTyPj0JeBdLMNt-6vqsC/view?usp=drivesdk</v>
      </c>
      <c r="C2727" s="336" t="str">
        <f>IFERROR(__xludf.DUMMYFUNCTION("""COMPUTED_VALUE"""),"10.1080--09515089.2014.894431.pdf")</f>
        <v>10.1080--09515089.2014.894431.pdf</v>
      </c>
      <c r="D2727" s="156" t="str">
        <f>IFERROR(__xludf.DUMMYFUNCTION("""COMPUTED_VALUE"""),"application/pdf")</f>
        <v>application/pdf</v>
      </c>
    </row>
    <row r="2728">
      <c r="A2728" s="336" t="str">
        <f>IFERROR(__xludf.DUMMYFUNCTION("""COMPUTED_VALUE"""),"10.1080/09515080903532290")</f>
        <v>10.1080/09515080903532290</v>
      </c>
      <c r="B2728" s="442" t="str">
        <f>IFERROR(__xludf.DUMMYFUNCTION("""COMPUTED_VALUE"""),"https://drive.google.com/file/d/1V4dif0GlZHpTSBPr0wrGGqKPzj36JjUm/view?usp=drivesdk")</f>
        <v>https://drive.google.com/file/d/1V4dif0GlZHpTSBPr0wrGGqKPzj36JjUm/view?usp=drivesdk</v>
      </c>
      <c r="C2728" s="336" t="str">
        <f>IFERROR(__xludf.DUMMYFUNCTION("""COMPUTED_VALUE"""),"10.1080--09515080903532290.pdf")</f>
        <v>10.1080--09515080903532290.pdf</v>
      </c>
      <c r="D2728" s="156" t="str">
        <f>IFERROR(__xludf.DUMMYFUNCTION("""COMPUTED_VALUE"""),"application/pdf")</f>
        <v>application/pdf</v>
      </c>
    </row>
    <row r="2729">
      <c r="A2729" s="336" t="str">
        <f>IFERROR(__xludf.DUMMYFUNCTION("""COMPUTED_VALUE"""),"10.1080/09515080902802769")</f>
        <v>10.1080/09515080902802769</v>
      </c>
      <c r="B2729" s="442" t="str">
        <f>IFERROR(__xludf.DUMMYFUNCTION("""COMPUTED_VALUE"""),"https://drive.google.com/file/d/1FBVDq-txued5VjX89SxjAxiqVp_WzRYr/view?usp=drivesdk")</f>
        <v>https://drive.google.com/file/d/1FBVDq-txued5VjX89SxjAxiqVp_WzRYr/view?usp=drivesdk</v>
      </c>
      <c r="C2729" s="336" t="str">
        <f>IFERROR(__xludf.DUMMYFUNCTION("""COMPUTED_VALUE"""),"10.1080--09515080902802769.pdf")</f>
        <v>10.1080--09515080902802769.pdf</v>
      </c>
      <c r="D2729" s="156" t="str">
        <f>IFERROR(__xludf.DUMMYFUNCTION("""COMPUTED_VALUE"""),"application/pdf")</f>
        <v>application/pdf</v>
      </c>
    </row>
    <row r="2730">
      <c r="A2730" s="336" t="str">
        <f>IFERROR(__xludf.DUMMYFUNCTION("""COMPUTED_VALUE"""),"10.1080/09515080801978777")</f>
        <v>10.1080/09515080801978777</v>
      </c>
      <c r="B2730" s="442" t="str">
        <f>IFERROR(__xludf.DUMMYFUNCTION("""COMPUTED_VALUE"""),"https://drive.google.com/file/d/1G4gv0ySakjef__T9l4MU6vM4mSqIKpQf/view?usp=drivesdk")</f>
        <v>https://drive.google.com/file/d/1G4gv0ySakjef__T9l4MU6vM4mSqIKpQf/view?usp=drivesdk</v>
      </c>
      <c r="C2730" s="336" t="str">
        <f>IFERROR(__xludf.DUMMYFUNCTION("""COMPUTED_VALUE"""),"10.1080--09515080801978777.pdf")</f>
        <v>10.1080--09515080801978777.pdf</v>
      </c>
      <c r="D2730" s="156" t="str">
        <f>IFERROR(__xludf.DUMMYFUNCTION("""COMPUTED_VALUE"""),"application/pdf")</f>
        <v>application/pdf</v>
      </c>
    </row>
    <row r="2731">
      <c r="A2731" s="336" t="str">
        <f>IFERROR(__xludf.DUMMYFUNCTION("""COMPUTED_VALUE"""),"10.1080/09515080500355236")</f>
        <v>10.1080/09515080500355236</v>
      </c>
      <c r="B2731" s="442" t="str">
        <f>IFERROR(__xludf.DUMMYFUNCTION("""COMPUTED_VALUE"""),"https://drive.google.com/file/d/1Dc0I6mdR5VNlZdfy9Q6SxLCujdERpq1s/view?usp=drivesdk")</f>
        <v>https://drive.google.com/file/d/1Dc0I6mdR5VNlZdfy9Q6SxLCujdERpq1s/view?usp=drivesdk</v>
      </c>
      <c r="C2731" s="336" t="str">
        <f>IFERROR(__xludf.DUMMYFUNCTION("""COMPUTED_VALUE"""),"10.1080--09515080500355236.pdf")</f>
        <v>10.1080--09515080500355236.pdf</v>
      </c>
      <c r="D2731" s="156" t="str">
        <f>IFERROR(__xludf.DUMMYFUNCTION("""COMPUTED_VALUE"""),"application/pdf")</f>
        <v>application/pdf</v>
      </c>
    </row>
    <row r="2732">
      <c r="A2732" s="336" t="str">
        <f>IFERROR(__xludf.DUMMYFUNCTION("""COMPUTED_VALUE"""),"10.1080/09515080500264180")</f>
        <v>10.1080/09515080500264180</v>
      </c>
      <c r="B2732" s="442" t="str">
        <f>IFERROR(__xludf.DUMMYFUNCTION("""COMPUTED_VALUE"""),"https://drive.google.com/file/d/1yWq9VA17bviusA1-gmEWYWL7w6FHKyMI/view?usp=drivesdk")</f>
        <v>https://drive.google.com/file/d/1yWq9VA17bviusA1-gmEWYWL7w6FHKyMI/view?usp=drivesdk</v>
      </c>
      <c r="C2732" s="336" t="str">
        <f>IFERROR(__xludf.DUMMYFUNCTION("""COMPUTED_VALUE"""),"10.1080--09515080500264180.pdf")</f>
        <v>10.1080--09515080500264180.pdf</v>
      </c>
      <c r="D2732" s="156" t="str">
        <f>IFERROR(__xludf.DUMMYFUNCTION("""COMPUTED_VALUE"""),"application/pdf")</f>
        <v>application/pdf</v>
      </c>
    </row>
    <row r="2733">
      <c r="A2733" s="336" t="str">
        <f>IFERROR(__xludf.DUMMYFUNCTION("""COMPUTED_VALUE"""),"10.1080/0951508042000202354")</f>
        <v>10.1080/0951508042000202354</v>
      </c>
      <c r="B2733" s="442" t="str">
        <f>IFERROR(__xludf.DUMMYFUNCTION("""COMPUTED_VALUE"""),"https://drive.google.com/file/d/1kCe7dne_GNfNSHLYlAzOzBcQn9yFuOr2/view?usp=drivesdk")</f>
        <v>https://drive.google.com/file/d/1kCe7dne_GNfNSHLYlAzOzBcQn9yFuOr2/view?usp=drivesdk</v>
      </c>
      <c r="C2733" s="336" t="str">
        <f>IFERROR(__xludf.DUMMYFUNCTION("""COMPUTED_VALUE"""),"10.1080--0951508042000202354.pdf")</f>
        <v>10.1080--0951508042000202354.pdf</v>
      </c>
      <c r="D2733" s="156" t="str">
        <f>IFERROR(__xludf.DUMMYFUNCTION("""COMPUTED_VALUE"""),"application/pdf")</f>
        <v>application/pdf</v>
      </c>
    </row>
    <row r="2734">
      <c r="A2734" s="336" t="str">
        <f>IFERROR(__xludf.DUMMYFUNCTION("""COMPUTED_VALUE"""),"10.1080/09515080500177309")</f>
        <v>10.1080/09515080500177309</v>
      </c>
      <c r="B2734" s="442" t="str">
        <f>IFERROR(__xludf.DUMMYFUNCTION("""COMPUTED_VALUE"""),"https://drive.google.com/file/d/1wEFZG_VXnD2cJrOMtVKNCAqucbV5WQV9/view?usp=drivesdk")</f>
        <v>https://drive.google.com/file/d/1wEFZG_VXnD2cJrOMtVKNCAqucbV5WQV9/view?usp=drivesdk</v>
      </c>
      <c r="C2734" s="336" t="str">
        <f>IFERROR(__xludf.DUMMYFUNCTION("""COMPUTED_VALUE"""),"10.1080--09515080500177309.pdf")</f>
        <v>10.1080--09515080500177309.pdf</v>
      </c>
      <c r="D2734" s="156" t="str">
        <f>IFERROR(__xludf.DUMMYFUNCTION("""COMPUTED_VALUE"""),"application/pdf")</f>
        <v>application/pdf</v>
      </c>
    </row>
    <row r="2735">
      <c r="A2735" s="336" t="str">
        <f>IFERROR(__xludf.DUMMYFUNCTION("""COMPUTED_VALUE"""),"10.1080/09515080307771")</f>
        <v>10.1080/09515080307771</v>
      </c>
      <c r="B2735" s="442" t="str">
        <f>IFERROR(__xludf.DUMMYFUNCTION("""COMPUTED_VALUE"""),"https://drive.google.com/file/d/1NZ8v6491Ny_LbUh8osKtj88hF7RAiobW/view?usp=drivesdk")</f>
        <v>https://drive.google.com/file/d/1NZ8v6491Ny_LbUh8osKtj88hF7RAiobW/view?usp=drivesdk</v>
      </c>
      <c r="C2735" s="336" t="str">
        <f>IFERROR(__xludf.DUMMYFUNCTION("""COMPUTED_VALUE"""),"10.1080--09515080307771.pdf")</f>
        <v>10.1080--09515080307771.pdf</v>
      </c>
      <c r="D2735" s="156" t="str">
        <f>IFERROR(__xludf.DUMMYFUNCTION("""COMPUTED_VALUE"""),"application/pdf")</f>
        <v>application/pdf</v>
      </c>
    </row>
    <row r="2736">
      <c r="A2736" s="336" t="str">
        <f>IFERROR(__xludf.DUMMYFUNCTION("""COMPUTED_VALUE"""),"10.1080/08824096.2018.1525347")</f>
        <v>10.1080/08824096.2018.1525347</v>
      </c>
      <c r="B2736" s="442" t="str">
        <f>IFERROR(__xludf.DUMMYFUNCTION("""COMPUTED_VALUE"""),"https://drive.google.com/file/d/1bo9aASmCjIsAeU5__CNxEyKU60JbH_Oz/view?usp=drivesdk")</f>
        <v>https://drive.google.com/file/d/1bo9aASmCjIsAeU5__CNxEyKU60JbH_Oz/view?usp=drivesdk</v>
      </c>
      <c r="C2736" s="336" t="str">
        <f>IFERROR(__xludf.DUMMYFUNCTION("""COMPUTED_VALUE"""),"10.1080--08824096.2018.1525347.pdf")</f>
        <v>10.1080--08824096.2018.1525347.pdf</v>
      </c>
      <c r="D2736" s="156" t="str">
        <f>IFERROR(__xludf.DUMMYFUNCTION("""COMPUTED_VALUE"""),"application/pdf")</f>
        <v>application/pdf</v>
      </c>
    </row>
    <row r="2737">
      <c r="A2737" s="336" t="str">
        <f>IFERROR(__xludf.DUMMYFUNCTION("""COMPUTED_VALUE"""),"10.1080/08911762.2012.744123")</f>
        <v>10.1080/08911762.2012.744123</v>
      </c>
      <c r="B2737" s="442" t="str">
        <f>IFERROR(__xludf.DUMMYFUNCTION("""COMPUTED_VALUE"""),"https://drive.google.com/file/d/1l_wx_FSiuvPt3DtbfXQuVLlkNpKxxEUQ/view?usp=drivesdk")</f>
        <v>https://drive.google.com/file/d/1l_wx_FSiuvPt3DtbfXQuVLlkNpKxxEUQ/view?usp=drivesdk</v>
      </c>
      <c r="C2737" s="336" t="str">
        <f>IFERROR(__xludf.DUMMYFUNCTION("""COMPUTED_VALUE"""),"10.1080--08911762.2012.744123.pdf")</f>
        <v>10.1080--08911762.2012.744123.pdf</v>
      </c>
      <c r="D2737" s="156" t="str">
        <f>IFERROR(__xludf.DUMMYFUNCTION("""COMPUTED_VALUE"""),"application/pdf")</f>
        <v>application/pdf</v>
      </c>
    </row>
    <row r="2738">
      <c r="A2738" s="336" t="str">
        <f>IFERROR(__xludf.DUMMYFUNCTION("""COMPUTED_VALUE"""),"10.1080/00224545.2016.1270892")</f>
        <v>10.1080/00224545.2016.1270892</v>
      </c>
      <c r="B2738" s="442" t="str">
        <f>IFERROR(__xludf.DUMMYFUNCTION("""COMPUTED_VALUE"""),"https://drive.google.com/file/d/1UZf-WWxr567_733TRlppgx3RgvA55ffu/view?usp=drivesdk")</f>
        <v>https://drive.google.com/file/d/1UZf-WWxr567_733TRlppgx3RgvA55ffu/view?usp=drivesdk</v>
      </c>
      <c r="C2738" s="336" t="str">
        <f>IFERROR(__xludf.DUMMYFUNCTION("""COMPUTED_VALUE"""),"10.1080--00224545.2016.1270892.pdf")</f>
        <v>10.1080--00224545.2016.1270892.pdf</v>
      </c>
      <c r="D2738" s="156" t="str">
        <f>IFERROR(__xludf.DUMMYFUNCTION("""COMPUTED_VALUE"""),"application/pdf")</f>
        <v>application/pdf</v>
      </c>
    </row>
    <row r="2739">
      <c r="A2739" s="336" t="str">
        <f>IFERROR(__xludf.DUMMYFUNCTION("""COMPUTED_VALUE"""),"10.1080/00224545.1936.9919891")</f>
        <v>10.1080/00224545.1936.9919891</v>
      </c>
      <c r="B2739" s="442" t="str">
        <f>IFERROR(__xludf.DUMMYFUNCTION("""COMPUTED_VALUE"""),"https://drive.google.com/file/d/1kSBFgzp6OROkewjCtlxP2vg6PFLhL9xO/view?usp=drivesdk")</f>
        <v>https://drive.google.com/file/d/1kSBFgzp6OROkewjCtlxP2vg6PFLhL9xO/view?usp=drivesdk</v>
      </c>
      <c r="C2739" s="336" t="str">
        <f>IFERROR(__xludf.DUMMYFUNCTION("""COMPUTED_VALUE"""),"10.1080--00224545.1936.9919891.pdf")</f>
        <v>10.1080--00224545.1936.9919891.pdf</v>
      </c>
      <c r="D2739" s="156" t="str">
        <f>IFERROR(__xludf.DUMMYFUNCTION("""COMPUTED_VALUE"""),"application/pdf")</f>
        <v>application/pdf</v>
      </c>
    </row>
    <row r="2740">
      <c r="A2740" s="336" t="str">
        <f>IFERROR(__xludf.DUMMYFUNCTION("""COMPUTED_VALUE"""),"10.1080/00223891.2018.1489258")</f>
        <v>10.1080/00223891.2018.1489258</v>
      </c>
      <c r="B2740" s="442" t="str">
        <f>IFERROR(__xludf.DUMMYFUNCTION("""COMPUTED_VALUE"""),"https://drive.google.com/file/d/1fUG2ettSKcRAWZvEYcWP5AQXnj7UBOUs/view?usp=drivesdk")</f>
        <v>https://drive.google.com/file/d/1fUG2ettSKcRAWZvEYcWP5AQXnj7UBOUs/view?usp=drivesdk</v>
      </c>
      <c r="C2740" s="336" t="str">
        <f>IFERROR(__xludf.DUMMYFUNCTION("""COMPUTED_VALUE"""),"10.1080--00223891.2018.1489258.pdf")</f>
        <v>10.1080--00223891.2018.1489258.pdf</v>
      </c>
      <c r="D2740" s="156" t="str">
        <f>IFERROR(__xludf.DUMMYFUNCTION("""COMPUTED_VALUE"""),"application/pdf")</f>
        <v>application/pdf</v>
      </c>
    </row>
    <row r="2741">
      <c r="A2741" s="336" t="str">
        <f>IFERROR(__xludf.DUMMYFUNCTION("""COMPUTED_VALUE"""),"10.1080/00140136308930679")</f>
        <v>10.1080/00140136308930679</v>
      </c>
      <c r="B2741" s="442" t="str">
        <f>IFERROR(__xludf.DUMMYFUNCTION("""COMPUTED_VALUE"""),"https://drive.google.com/file/d/14_zGf2VGJvPhKygjEvbM1ARE5XCCkEub/view?usp=drivesdk")</f>
        <v>https://drive.google.com/file/d/14_zGf2VGJvPhKygjEvbM1ARE5XCCkEub/view?usp=drivesdk</v>
      </c>
      <c r="C2741" s="336" t="str">
        <f>IFERROR(__xludf.DUMMYFUNCTION("""COMPUTED_VALUE"""),"10.1080--00140136308930679.pdf")</f>
        <v>10.1080--00140136308930679.pdf</v>
      </c>
      <c r="D2741" s="156" t="str">
        <f>IFERROR(__xludf.DUMMYFUNCTION("""COMPUTED_VALUE"""),"application/pdf")</f>
        <v>application/pdf</v>
      </c>
    </row>
    <row r="2742">
      <c r="A2742" s="336" t="str">
        <f>IFERROR(__xludf.DUMMYFUNCTION("""COMPUTED_VALUE"""),"10.1073/pnas.2014505117")</f>
        <v>10.1073/pnas.2014505117</v>
      </c>
      <c r="B2742" s="442" t="str">
        <f>IFERROR(__xludf.DUMMYFUNCTION("""COMPUTED_VALUE"""),"https://drive.google.com/file/d/1OSEYoq50TRvyqkjozHLp1CtvXHG-6rLL/view?usp=drivesdk")</f>
        <v>https://drive.google.com/file/d/1OSEYoq50TRvyqkjozHLp1CtvXHG-6rLL/view?usp=drivesdk</v>
      </c>
      <c r="C2742" s="336" t="str">
        <f>IFERROR(__xludf.DUMMYFUNCTION("""COMPUTED_VALUE"""),"10.1073--pnas.2014505117.pdf")</f>
        <v>10.1073--pnas.2014505117.pdf</v>
      </c>
      <c r="D2742" s="156" t="str">
        <f>IFERROR(__xludf.DUMMYFUNCTION("""COMPUTED_VALUE"""),"application/pdf")</f>
        <v>application/pdf</v>
      </c>
    </row>
    <row r="2743">
      <c r="A2743" s="336" t="str">
        <f>IFERROR(__xludf.DUMMYFUNCTION("""COMPUTED_VALUE"""),"10.1073/pnas.2009030117")</f>
        <v>10.1073/pnas.2009030117</v>
      </c>
      <c r="B2743" s="442" t="str">
        <f>IFERROR(__xludf.DUMMYFUNCTION("""COMPUTED_VALUE"""),"https://drive.google.com/file/d/133wAd9ADUXthw033LGhcEhvxSj0cXryx/view?usp=drivesdk")</f>
        <v>https://drive.google.com/file/d/133wAd9ADUXthw033LGhcEhvxSj0cXryx/view?usp=drivesdk</v>
      </c>
      <c r="C2743" s="336" t="str">
        <f>IFERROR(__xludf.DUMMYFUNCTION("""COMPUTED_VALUE"""),"10.1073--pnas.2009030117.pdf")</f>
        <v>10.1073--pnas.2009030117.pdf</v>
      </c>
      <c r="D2743" s="156" t="str">
        <f>IFERROR(__xludf.DUMMYFUNCTION("""COMPUTED_VALUE"""),"application/pdf")</f>
        <v>application/pdf</v>
      </c>
    </row>
    <row r="2744">
      <c r="A2744" s="336" t="str">
        <f>IFERROR(__xludf.DUMMYFUNCTION("""COMPUTED_VALUE"""),"10.1073/pnas.1601135113")</f>
        <v>10.1073/pnas.1601135113</v>
      </c>
      <c r="B2744" s="442" t="str">
        <f>IFERROR(__xludf.DUMMYFUNCTION("""COMPUTED_VALUE"""),"https://drive.google.com/file/d/1wMURwXZnZSgj-yjJ9sraJzrfcHDhvQ8j/view?usp=drivesdk")</f>
        <v>https://drive.google.com/file/d/1wMURwXZnZSgj-yjJ9sraJzrfcHDhvQ8j/view?usp=drivesdk</v>
      </c>
      <c r="C2744" s="336" t="str">
        <f>IFERROR(__xludf.DUMMYFUNCTION("""COMPUTED_VALUE"""),"10.1073--pnas.1601135113.pdf")</f>
        <v>10.1073--pnas.1601135113.pdf</v>
      </c>
      <c r="D2744" s="156" t="str">
        <f>IFERROR(__xludf.DUMMYFUNCTION("""COMPUTED_VALUE"""),"application/pdf")</f>
        <v>application/pdf</v>
      </c>
    </row>
    <row r="2745">
      <c r="A2745" s="336" t="str">
        <f>IFERROR(__xludf.DUMMYFUNCTION("""COMPUTED_VALUE"""),"10.1073/pnas.1511269112")</f>
        <v>10.1073/pnas.1511269112</v>
      </c>
      <c r="B2745" s="442" t="str">
        <f>IFERROR(__xludf.DUMMYFUNCTION("""COMPUTED_VALUE"""),"https://drive.google.com/file/d/1IgwbpOWDDLlv9t0P-r2yZY_l_ViqGTuz/view?usp=drivesdk")</f>
        <v>https://drive.google.com/file/d/1IgwbpOWDDLlv9t0P-r2yZY_l_ViqGTuz/view?usp=drivesdk</v>
      </c>
      <c r="C2745" s="336" t="str">
        <f>IFERROR(__xludf.DUMMYFUNCTION("""COMPUTED_VALUE"""),"10.1073--pnas.1511269112.pdf")</f>
        <v>10.1073--pnas.1511269112.pdf</v>
      </c>
      <c r="D2745" s="156" t="str">
        <f>IFERROR(__xludf.DUMMYFUNCTION("""COMPUTED_VALUE"""),"application/pdf")</f>
        <v>application/pdf</v>
      </c>
    </row>
    <row r="2746">
      <c r="A2746" s="336" t="str">
        <f>IFERROR(__xludf.DUMMYFUNCTION("""COMPUTED_VALUE"""),"10.1073/pnas.1523698113")</f>
        <v>10.1073/pnas.1523698113</v>
      </c>
      <c r="B2746" s="442" t="str">
        <f>IFERROR(__xludf.DUMMYFUNCTION("""COMPUTED_VALUE"""),"https://drive.google.com/file/d/1zRO2wTJdLmK-BV5hxThrZO8prUdJXbH2/view?usp=drivesdk")</f>
        <v>https://drive.google.com/file/d/1zRO2wTJdLmK-BV5hxThrZO8prUdJXbH2/view?usp=drivesdk</v>
      </c>
      <c r="C2746" s="336" t="str">
        <f>IFERROR(__xludf.DUMMYFUNCTION("""COMPUTED_VALUE"""),"10.1073--pnas.1523698113.pdf")</f>
        <v>10.1073--pnas.1523698113.pdf</v>
      </c>
      <c r="D2746" s="156" t="str">
        <f>IFERROR(__xludf.DUMMYFUNCTION("""COMPUTED_VALUE"""),"application/pdf")</f>
        <v>application/pdf</v>
      </c>
    </row>
    <row r="2747">
      <c r="A2747" s="336" t="str">
        <f>IFERROR(__xludf.DUMMYFUNCTION("""COMPUTED_VALUE"""),"10.1073/pnas.1410910111")</f>
        <v>10.1073/pnas.1410910111</v>
      </c>
      <c r="B2747" s="442" t="str">
        <f>IFERROR(__xludf.DUMMYFUNCTION("""COMPUTED_VALUE"""),"https://drive.google.com/file/d/10OETr0_zUz7Gqw39YL9lnq--3C3qavy8/view?usp=drivesdk")</f>
        <v>https://drive.google.com/file/d/10OETr0_zUz7Gqw39YL9lnq--3C3qavy8/view?usp=drivesdk</v>
      </c>
      <c r="C2747" s="336" t="str">
        <f>IFERROR(__xludf.DUMMYFUNCTION("""COMPUTED_VALUE"""),"10.1073--pnas.1410910111.pdf")</f>
        <v>10.1073--pnas.1410910111.pdf</v>
      </c>
      <c r="D2747" s="156" t="str">
        <f>IFERROR(__xludf.DUMMYFUNCTION("""COMPUTED_VALUE"""),"application/pdf")</f>
        <v>application/pdf</v>
      </c>
    </row>
    <row r="2748">
      <c r="A2748" s="336" t="str">
        <f>IFERROR(__xludf.DUMMYFUNCTION("""COMPUTED_VALUE"""),"10.1073/pnas.1216438110")</f>
        <v>10.1073/pnas.1216438110</v>
      </c>
      <c r="B2748" s="442" t="str">
        <f>IFERROR(__xludf.DUMMYFUNCTION("""COMPUTED_VALUE"""),"https://drive.google.com/file/d/1UjvynnYEPZHicucFMnLs5zd6tciLP1ET/view?usp=drivesdk")</f>
        <v>https://drive.google.com/file/d/1UjvynnYEPZHicucFMnLs5zd6tciLP1ET/view?usp=drivesdk</v>
      </c>
      <c r="C2748" s="336" t="str">
        <f>IFERROR(__xludf.DUMMYFUNCTION("""COMPUTED_VALUE"""),"10.1073--pnas.1216438110.pdf")</f>
        <v>10.1073--pnas.1216438110.pdf</v>
      </c>
      <c r="D2748" s="156" t="str">
        <f>IFERROR(__xludf.DUMMYFUNCTION("""COMPUTED_VALUE"""),"application/pdf")</f>
        <v>application/pdf</v>
      </c>
    </row>
    <row r="2749">
      <c r="A2749" s="336" t="str">
        <f>IFERROR(__xludf.DUMMYFUNCTION("""COMPUTED_VALUE"""),"10.1073/pnas.1202129109")</f>
        <v>10.1073/pnas.1202129109</v>
      </c>
      <c r="B2749" s="442" t="str">
        <f>IFERROR(__xludf.DUMMYFUNCTION("""COMPUTED_VALUE"""),"https://drive.google.com/file/d/11Av49SlCGKMhtLvS_jk4226riFKcyhNh/view?usp=drivesdk")</f>
        <v>https://drive.google.com/file/d/11Av49SlCGKMhtLvS_jk4226riFKcyhNh/view?usp=drivesdk</v>
      </c>
      <c r="C2749" s="336" t="str">
        <f>IFERROR(__xludf.DUMMYFUNCTION("""COMPUTED_VALUE"""),"10.1073--pnas.1202129109.pdf")</f>
        <v>10.1073--pnas.1202129109.pdf</v>
      </c>
      <c r="D2749" s="156" t="str">
        <f>IFERROR(__xludf.DUMMYFUNCTION("""COMPUTED_VALUE"""),"application/pdf")</f>
        <v>application/pdf</v>
      </c>
    </row>
    <row r="2750">
      <c r="A2750" s="336" t="str">
        <f>IFERROR(__xludf.DUMMYFUNCTION("""COMPUTED_VALUE"""),"10.1073/pnas.1209746109")</f>
        <v>10.1073/pnas.1209746109</v>
      </c>
      <c r="B2750" s="442" t="str">
        <f>IFERROR(__xludf.DUMMYFUNCTION("""COMPUTED_VALUE"""),"https://drive.google.com/file/d/1ME3HHgt9JawJ4TVDM4mgrdiRZZn5ZkQD/view?usp=drivesdk")</f>
        <v>https://drive.google.com/file/d/1ME3HHgt9JawJ4TVDM4mgrdiRZZn5ZkQD/view?usp=drivesdk</v>
      </c>
      <c r="C2750" s="336" t="str">
        <f>IFERROR(__xludf.DUMMYFUNCTION("""COMPUTED_VALUE"""),"10.1073--pnas.1209746109.pdf")</f>
        <v>10.1073--pnas.1209746109.pdf</v>
      </c>
      <c r="D2750" s="156" t="str">
        <f>IFERROR(__xludf.DUMMYFUNCTION("""COMPUTED_VALUE"""),"application/pdf")</f>
        <v>application/pdf</v>
      </c>
    </row>
    <row r="2751">
      <c r="A2751" s="336" t="str">
        <f>IFERROR(__xludf.DUMMYFUNCTION("""COMPUTED_VALUE"""),"10.1073/pnas.1118373109")</f>
        <v>10.1073/pnas.1118373109</v>
      </c>
      <c r="B2751" s="442" t="str">
        <f>IFERROR(__xludf.DUMMYFUNCTION("""COMPUTED_VALUE"""),"https://drive.google.com/file/d/1Q984rmQXqbwrrnMY-wB5jcpYKEpb-2Qg/view?usp=drivesdk")</f>
        <v>https://drive.google.com/file/d/1Q984rmQXqbwrrnMY-wB5jcpYKEpb-2Qg/view?usp=drivesdk</v>
      </c>
      <c r="C2751" s="336" t="str">
        <f>IFERROR(__xludf.DUMMYFUNCTION("""COMPUTED_VALUE"""),"10.1073--pnas.1118373109.pdf")</f>
        <v>10.1073--pnas.1118373109.pdf</v>
      </c>
      <c r="D2751" s="156" t="str">
        <f>IFERROR(__xludf.DUMMYFUNCTION("""COMPUTED_VALUE"""),"application/pdf")</f>
        <v>application/pdf</v>
      </c>
    </row>
    <row r="2752">
      <c r="A2752" s="336" t="str">
        <f>IFERROR(__xludf.DUMMYFUNCTION("""COMPUTED_VALUE"""),"10.1073/pnas.1004932107")</f>
        <v>10.1073/pnas.1004932107</v>
      </c>
      <c r="B2752" s="442" t="str">
        <f>IFERROR(__xludf.DUMMYFUNCTION("""COMPUTED_VALUE"""),"https://drive.google.com/file/d/1J8w4F7K8nMU3UgmMPI03K3U93q1EwCEJ/view?usp=drivesdk")</f>
        <v>https://drive.google.com/file/d/1J8w4F7K8nMU3UgmMPI03K3U93q1EwCEJ/view?usp=drivesdk</v>
      </c>
      <c r="C2752" s="336" t="str">
        <f>IFERROR(__xludf.DUMMYFUNCTION("""COMPUTED_VALUE"""),"10.1073--pnas.1004932107.pdf")</f>
        <v>10.1073--pnas.1004932107.pdf</v>
      </c>
      <c r="D2752" s="156" t="str">
        <f>IFERROR(__xludf.DUMMYFUNCTION("""COMPUTED_VALUE"""),"application/pdf")</f>
        <v>application/pdf</v>
      </c>
    </row>
    <row r="2753">
      <c r="A2753" s="336" t="str">
        <f>IFERROR(__xludf.DUMMYFUNCTION("""COMPUTED_VALUE"""),"10.1073/pnas.0908963106")</f>
        <v>10.1073/pnas.0908963106</v>
      </c>
      <c r="B2753" s="442" t="str">
        <f>IFERROR(__xludf.DUMMYFUNCTION("""COMPUTED_VALUE"""),"https://drive.google.com/file/d/1rj178it8sQtHMyNzyb90GXfEk1Hk5YnN/view?usp=drivesdk")</f>
        <v>https://drive.google.com/file/d/1rj178it8sQtHMyNzyb90GXfEk1Hk5YnN/view?usp=drivesdk</v>
      </c>
      <c r="C2753" s="336" t="str">
        <f>IFERROR(__xludf.DUMMYFUNCTION("""COMPUTED_VALUE"""),"10.1073--pnas.0908963106.pdf")</f>
        <v>10.1073--pnas.0908963106.pdf</v>
      </c>
      <c r="D2753" s="156" t="str">
        <f>IFERROR(__xludf.DUMMYFUNCTION("""COMPUTED_VALUE"""),"application/pdf")</f>
        <v>application/pdf</v>
      </c>
    </row>
    <row r="2754">
      <c r="A2754" s="336" t="str">
        <f>IFERROR(__xludf.DUMMYFUNCTION("""COMPUTED_VALUE"""),"10.1038/scientificamerican0182-160")</f>
        <v>10.1038/scientificamerican0182-160</v>
      </c>
      <c r="B2754" s="442" t="str">
        <f>IFERROR(__xludf.DUMMYFUNCTION("""COMPUTED_VALUE"""),"https://drive.google.com/file/d/1m8vBfiQkH8P0FaPXXK5PHkJH8yYhq1Sh/view?usp=drivesdk")</f>
        <v>https://drive.google.com/file/d/1m8vBfiQkH8P0FaPXXK5PHkJH8yYhq1Sh/view?usp=drivesdk</v>
      </c>
      <c r="C2754" s="336" t="str">
        <f>IFERROR(__xludf.DUMMYFUNCTION("""COMPUTED_VALUE"""),"10.1038--scientificamerican0182-160.pdf")</f>
        <v>10.1038--scientificamerican0182-160.pdf</v>
      </c>
      <c r="D2754" s="156" t="str">
        <f>IFERROR(__xludf.DUMMYFUNCTION("""COMPUTED_VALUE"""),"application/pdf")</f>
        <v>application/pdf</v>
      </c>
    </row>
    <row r="2755">
      <c r="A2755" s="336" t="str">
        <f>IFERROR(__xludf.DUMMYFUNCTION("""COMPUTED_VALUE"""),"10.1038/s41598-017-10669-4")</f>
        <v>10.1038/s41598-017-10669-4</v>
      </c>
      <c r="B2755" s="442" t="str">
        <f>IFERROR(__xludf.DUMMYFUNCTION("""COMPUTED_VALUE"""),"https://drive.google.com/file/d/1EZllPY8-yvLte77cCpv9UnSzrQEaA1l4/view?usp=drivesdk")</f>
        <v>https://drive.google.com/file/d/1EZllPY8-yvLte77cCpv9UnSzrQEaA1l4/view?usp=drivesdk</v>
      </c>
      <c r="C2755" s="336" t="str">
        <f>IFERROR(__xludf.DUMMYFUNCTION("""COMPUTED_VALUE"""),"10.1038--s41598-017-10669-4.pdf")</f>
        <v>10.1038--s41598-017-10669-4.pdf</v>
      </c>
      <c r="D2755" s="156" t="str">
        <f>IFERROR(__xludf.DUMMYFUNCTION("""COMPUTED_VALUE"""),"application/pdf")</f>
        <v>application/pdf</v>
      </c>
    </row>
    <row r="2756">
      <c r="A2756" s="336" t="str">
        <f>IFERROR(__xludf.DUMMYFUNCTION("""COMPUTED_VALUE"""),"10.1038/s41598-018-31129-7")</f>
        <v>10.1038/s41598-018-31129-7</v>
      </c>
      <c r="B2756" s="442" t="str">
        <f>IFERROR(__xludf.DUMMYFUNCTION("""COMPUTED_VALUE"""),"https://drive.google.com/file/d/1alE-Lyhg2bHvUxXiUtoX7uwWzuZe9O2i/view?usp=drivesdk")</f>
        <v>https://drive.google.com/file/d/1alE-Lyhg2bHvUxXiUtoX7uwWzuZe9O2i/view?usp=drivesdk</v>
      </c>
      <c r="C2756" s="336" t="str">
        <f>IFERROR(__xludf.DUMMYFUNCTION("""COMPUTED_VALUE"""),"10.1038--s41598-018-31129-7.pdf")</f>
        <v>10.1038--s41598-018-31129-7.pdf</v>
      </c>
      <c r="D2756" s="156" t="str">
        <f>IFERROR(__xludf.DUMMYFUNCTION("""COMPUTED_VALUE"""),"application/pdf")</f>
        <v>application/pdf</v>
      </c>
    </row>
    <row r="2757">
      <c r="A2757" s="336" t="str">
        <f>IFERROR(__xludf.DUMMYFUNCTION("""COMPUTED_VALUE"""),"10.1038/s41586-021-03380-y")</f>
        <v>10.1038/s41586-021-03380-y</v>
      </c>
      <c r="B2757" s="442" t="str">
        <f>IFERROR(__xludf.DUMMYFUNCTION("""COMPUTED_VALUE"""),"https://drive.google.com/file/d/127v43WE4PklOsQFV7vglYwM9pxelKmVE/view?usp=drivesdk")</f>
        <v>https://drive.google.com/file/d/127v43WE4PklOsQFV7vglYwM9pxelKmVE/view?usp=drivesdk</v>
      </c>
      <c r="C2757" s="336" t="str">
        <f>IFERROR(__xludf.DUMMYFUNCTION("""COMPUTED_VALUE"""),"10.1038--s41586-021-03380-y.pdf")</f>
        <v>10.1038--s41586-021-03380-y.pdf</v>
      </c>
      <c r="D2757" s="156" t="str">
        <f>IFERROR(__xludf.DUMMYFUNCTION("""COMPUTED_VALUE"""),"application/pdf")</f>
        <v>application/pdf</v>
      </c>
    </row>
    <row r="2758">
      <c r="A2758" s="336" t="str">
        <f>IFERROR(__xludf.DUMMYFUNCTION("""COMPUTED_VALUE"""),"10.1038/oby.2005.12")</f>
        <v>10.1038/oby.2005.12</v>
      </c>
      <c r="B2758" s="442" t="str">
        <f>IFERROR(__xludf.DUMMYFUNCTION("""COMPUTED_VALUE"""),"https://drive.google.com/file/d/1aYbxZ4QpjA2HcnqHYKr1JxrRo6gAK21q/view?usp=drivesdk")</f>
        <v>https://drive.google.com/file/d/1aYbxZ4QpjA2HcnqHYKr1JxrRo6gAK21q/view?usp=drivesdk</v>
      </c>
      <c r="C2758" s="336" t="str">
        <f>IFERROR(__xludf.DUMMYFUNCTION("""COMPUTED_VALUE"""),"10.1038--oby.2005.12.pdf")</f>
        <v>10.1038--oby.2005.12.pdf</v>
      </c>
      <c r="D2758" s="156" t="str">
        <f>IFERROR(__xludf.DUMMYFUNCTION("""COMPUTED_VALUE"""),"application/pdf")</f>
        <v>application/pdf</v>
      </c>
    </row>
    <row r="2759">
      <c r="A2759" s="336" t="str">
        <f>IFERROR(__xludf.DUMMYFUNCTION("""COMPUTED_VALUE"""),"10.1038/nclimate2093")</f>
        <v>10.1038/nclimate2093</v>
      </c>
      <c r="B2759" s="442" t="str">
        <f>IFERROR(__xludf.DUMMYFUNCTION("""COMPUTED_VALUE"""),"https://drive.google.com/file/d/17HYZXEqbs5qMTOba8cEHhBhSIrnkFKeu/view?usp=drivesdk")</f>
        <v>https://drive.google.com/file/d/17HYZXEqbs5qMTOba8cEHhBhSIrnkFKeu/view?usp=drivesdk</v>
      </c>
      <c r="C2759" s="336" t="str">
        <f>IFERROR(__xludf.DUMMYFUNCTION("""COMPUTED_VALUE"""),"10.1038--nclimate2093.pdf")</f>
        <v>10.1038--nclimate2093.pdf</v>
      </c>
      <c r="D2759" s="156" t="str">
        <f>IFERROR(__xludf.DUMMYFUNCTION("""COMPUTED_VALUE"""),"application/pdf")</f>
        <v>application/pdf</v>
      </c>
    </row>
    <row r="2760">
      <c r="A2760" s="336" t="str">
        <f>IFERROR(__xludf.DUMMYFUNCTION("""COMPUTED_VALUE"""),"10.1038/nature15392")</f>
        <v>10.1038/nature15392</v>
      </c>
      <c r="B2760" s="442" t="str">
        <f>IFERROR(__xludf.DUMMYFUNCTION("""COMPUTED_VALUE"""),"https://drive.google.com/file/d/1yPKBulDUT2sA_EL4XHrVvgND1nEVQNHI/view?usp=drivesdk")</f>
        <v>https://drive.google.com/file/d/1yPKBulDUT2sA_EL4XHrVvgND1nEVQNHI/view?usp=drivesdk</v>
      </c>
      <c r="C2760" s="336" t="str">
        <f>IFERROR(__xludf.DUMMYFUNCTION("""COMPUTED_VALUE"""),"10.1038--nature15392.pdf")</f>
        <v>10.1038--nature15392.pdf</v>
      </c>
      <c r="D2760" s="156" t="str">
        <f>IFERROR(__xludf.DUMMYFUNCTION("""COMPUTED_VALUE"""),"application/pdf")</f>
        <v>application/pdf</v>
      </c>
    </row>
    <row r="2761">
      <c r="A2761" s="336" t="str">
        <f>IFERROR(__xludf.DUMMYFUNCTION("""COMPUTED_VALUE"""),"10.1038/nature13530")</f>
        <v>10.1038/nature13530</v>
      </c>
      <c r="B2761" s="442" t="str">
        <f>IFERROR(__xludf.DUMMYFUNCTION("""COMPUTED_VALUE"""),"https://drive.google.com/file/d/1-E1dAlVOdBXhL1-Ucgrt44k9SzyhPTJ-/view?usp=drivesdk")</f>
        <v>https://drive.google.com/file/d/1-E1dAlVOdBXhL1-Ucgrt44k9SzyhPTJ-/view?usp=drivesdk</v>
      </c>
      <c r="C2761" s="336" t="str">
        <f>IFERROR(__xludf.DUMMYFUNCTION("""COMPUTED_VALUE"""),"10.1038--nature13530.pdf")</f>
        <v>10.1038--nature13530.pdf</v>
      </c>
      <c r="D2761" s="156" t="str">
        <f>IFERROR(__xludf.DUMMYFUNCTION("""COMPUTED_VALUE"""),"application/pdf")</f>
        <v>application/pdf</v>
      </c>
    </row>
    <row r="2762">
      <c r="A2762" s="336" t="str">
        <f>IFERROR(__xludf.DUMMYFUNCTION("""COMPUTED_VALUE"""),"10.1038/nature11467")</f>
        <v>10.1038/nature11467</v>
      </c>
      <c r="B2762" s="442" t="str">
        <f>IFERROR(__xludf.DUMMYFUNCTION("""COMPUTED_VALUE"""),"https://drive.google.com/file/d/1FElRRlWoVi2usxTFNme1Bwz9RgmJPLKp/view?usp=drivesdk")</f>
        <v>https://drive.google.com/file/d/1FElRRlWoVi2usxTFNme1Bwz9RgmJPLKp/view?usp=drivesdk</v>
      </c>
      <c r="C2762" s="336" t="str">
        <f>IFERROR(__xludf.DUMMYFUNCTION("""COMPUTED_VALUE"""),"10.1038--nature11467.pdf")</f>
        <v>10.1038--nature11467.pdf</v>
      </c>
      <c r="D2762" s="156" t="str">
        <f>IFERROR(__xludf.DUMMYFUNCTION("""COMPUTED_VALUE"""),"application/pdf")</f>
        <v>application/pdf</v>
      </c>
    </row>
    <row r="2763">
      <c r="A2763" s="336" t="str">
        <f>IFERROR(__xludf.DUMMYFUNCTION("""COMPUTED_VALUE"""),"10.1038/nature12774")</f>
        <v>10.1038/nature12774</v>
      </c>
      <c r="B2763" s="442" t="str">
        <f>IFERROR(__xludf.DUMMYFUNCTION("""COMPUTED_VALUE"""),"https://drive.google.com/file/d/1J8NYov-XHHaVlQCOR0yx9UGTvAN_EjiG/view?usp=drivesdk")</f>
        <v>https://drive.google.com/file/d/1J8NYov-XHHaVlQCOR0yx9UGTvAN_EjiG/view?usp=drivesdk</v>
      </c>
      <c r="C2763" s="336" t="str">
        <f>IFERROR(__xludf.DUMMYFUNCTION("""COMPUTED_VALUE"""),"10.1038--nature12774.pdf")</f>
        <v>10.1038--nature12774.pdf</v>
      </c>
      <c r="D2763" s="156" t="str">
        <f>IFERROR(__xludf.DUMMYFUNCTION("""COMPUTED_VALUE"""),"application/pdf")</f>
        <v>application/pdf</v>
      </c>
    </row>
    <row r="2764">
      <c r="A2764" s="336" t="str">
        <f>IFERROR(__xludf.DUMMYFUNCTION("""COMPUTED_VALUE"""),"10.1038/365611a0")</f>
        <v>10.1038/365611a0</v>
      </c>
      <c r="B2764" s="442" t="str">
        <f>IFERROR(__xludf.DUMMYFUNCTION("""COMPUTED_VALUE"""),"https://drive.google.com/file/d/1URDsP-yMIFXhkBo8wS57RwLmccsk4Lvy/view?usp=drivesdk")</f>
        <v>https://drive.google.com/file/d/1URDsP-yMIFXhkBo8wS57RwLmccsk4Lvy/view?usp=drivesdk</v>
      </c>
      <c r="C2764" s="336" t="str">
        <f>IFERROR(__xludf.DUMMYFUNCTION("""COMPUTED_VALUE"""),"10.1038--365611a0.pdf")</f>
        <v>10.1038--365611a0.pdf</v>
      </c>
      <c r="D2764" s="156" t="str">
        <f>IFERROR(__xludf.DUMMYFUNCTION("""COMPUTED_VALUE"""),"application/pdf")</f>
        <v>application/pdf</v>
      </c>
    </row>
    <row r="2765">
      <c r="A2765" s="336" t="str">
        <f>IFERROR(__xludf.DUMMYFUNCTION("""COMPUTED_VALUE"""),"10.1037/h0091247")</f>
        <v>10.1037/h0091247</v>
      </c>
      <c r="B2765" s="442" t="str">
        <f>IFERROR(__xludf.DUMMYFUNCTION("""COMPUTED_VALUE"""),"https://drive.google.com/file/d/1awPCjIHvs8ahIhOincmP_HaNxC6Wg3ei/view?usp=drivesdk")</f>
        <v>https://drive.google.com/file/d/1awPCjIHvs8ahIhOincmP_HaNxC6Wg3ei/view?usp=drivesdk</v>
      </c>
      <c r="C2765" s="336" t="str">
        <f>IFERROR(__xludf.DUMMYFUNCTION("""COMPUTED_VALUE"""),"10.1037--h0091247.pdf")</f>
        <v>10.1037--h0091247.pdf</v>
      </c>
      <c r="D2765" s="156" t="str">
        <f>IFERROR(__xludf.DUMMYFUNCTION("""COMPUTED_VALUE"""),"application/pdf")</f>
        <v>application/pdf</v>
      </c>
    </row>
    <row r="2766">
      <c r="A2766" s="336" t="str">
        <f>IFERROR(__xludf.DUMMYFUNCTION("""COMPUTED_VALUE"""),"10.1037/h0086006")</f>
        <v>10.1037/h0086006</v>
      </c>
      <c r="B2766" s="442" t="str">
        <f>IFERROR(__xludf.DUMMYFUNCTION("""COMPUTED_VALUE"""),"https://drive.google.com/file/d/198F72VlE367b6ZajKTHUUDOA3GEGqCqo/view?usp=drivesdk")</f>
        <v>https://drive.google.com/file/d/198F72VlE367b6ZajKTHUUDOA3GEGqCqo/view?usp=drivesdk</v>
      </c>
      <c r="C2766" s="336" t="str">
        <f>IFERROR(__xludf.DUMMYFUNCTION("""COMPUTED_VALUE"""),"10.1037--h0086006.pdf")</f>
        <v>10.1037--h0086006.pdf</v>
      </c>
      <c r="D2766" s="156" t="str">
        <f>IFERROR(__xludf.DUMMYFUNCTION("""COMPUTED_VALUE"""),"application/pdf")</f>
        <v>application/pdf</v>
      </c>
    </row>
    <row r="2767">
      <c r="A2767" s="336" t="str">
        <f>IFERROR(__xludf.DUMMYFUNCTION("""COMPUTED_VALUE"""),"10.1037/h0076284")</f>
        <v>10.1037/h0076284</v>
      </c>
      <c r="B2767" s="442" t="str">
        <f>IFERROR(__xludf.DUMMYFUNCTION("""COMPUTED_VALUE"""),"https://drive.google.com/file/d/1em7ODa60WMQRn6m4evBrT4Y8ooQ_qlB3/view?usp=drivesdk")</f>
        <v>https://drive.google.com/file/d/1em7ODa60WMQRn6m4evBrT4Y8ooQ_qlB3/view?usp=drivesdk</v>
      </c>
      <c r="C2767" s="336" t="str">
        <f>IFERROR(__xludf.DUMMYFUNCTION("""COMPUTED_VALUE"""),"10.1037--h0076284.pdf")</f>
        <v>10.1037--h0076284.pdf</v>
      </c>
      <c r="D2767" s="156" t="str">
        <f>IFERROR(__xludf.DUMMYFUNCTION("""COMPUTED_VALUE"""),"application/pdf")</f>
        <v>application/pdf</v>
      </c>
    </row>
    <row r="2768">
      <c r="A2768" s="336" t="str">
        <f>IFERROR(__xludf.DUMMYFUNCTION("""COMPUTED_VALUE"""),"10.1037/h0062326")</f>
        <v>10.1037/h0062326</v>
      </c>
      <c r="B2768" s="442" t="str">
        <f>IFERROR(__xludf.DUMMYFUNCTION("""COMPUTED_VALUE"""),"https://drive.google.com/file/d/1GD-j6BWPkB_b2ijNsy35CR0wHNMjHGjd/view?usp=drivesdk")</f>
        <v>https://drive.google.com/file/d/1GD-j6BWPkB_b2ijNsy35CR0wHNMjHGjd/view?usp=drivesdk</v>
      </c>
      <c r="C2768" s="336" t="str">
        <f>IFERROR(__xludf.DUMMYFUNCTION("""COMPUTED_VALUE"""),"10.1037--h0062326.pdf")</f>
        <v>10.1037--h0062326.pdf</v>
      </c>
      <c r="D2768" s="156" t="str">
        <f>IFERROR(__xludf.DUMMYFUNCTION("""COMPUTED_VALUE"""),"application/pdf")</f>
        <v>application/pdf</v>
      </c>
    </row>
    <row r="2769">
      <c r="A2769" s="336" t="str">
        <f>IFERROR(__xludf.DUMMYFUNCTION("""COMPUTED_VALUE"""),"10.1037/h0054651")</f>
        <v>10.1037/h0054651</v>
      </c>
      <c r="B2769" s="442" t="str">
        <f>IFERROR(__xludf.DUMMYFUNCTION("""COMPUTED_VALUE"""),"https://drive.google.com/file/d/16SOoUfTCSMe7mtchsl8axpkAxtRIR28i/view?usp=drivesdk")</f>
        <v>https://drive.google.com/file/d/16SOoUfTCSMe7mtchsl8axpkAxtRIR28i/view?usp=drivesdk</v>
      </c>
      <c r="C2769" s="336" t="str">
        <f>IFERROR(__xludf.DUMMYFUNCTION("""COMPUTED_VALUE"""),"10.1037--h0054651.pdf")</f>
        <v>10.1037--h0054651.pdf</v>
      </c>
      <c r="D2769" s="156" t="str">
        <f>IFERROR(__xludf.DUMMYFUNCTION("""COMPUTED_VALUE"""),"application/pdf")</f>
        <v>application/pdf</v>
      </c>
    </row>
    <row r="2770">
      <c r="A2770" s="336" t="str">
        <f>IFERROR(__xludf.DUMMYFUNCTION("""COMPUTED_VALUE"""),"10.1037/h0055756")</f>
        <v>10.1037/h0055756</v>
      </c>
      <c r="B2770" s="442" t="str">
        <f>IFERROR(__xludf.DUMMYFUNCTION("""COMPUTED_VALUE"""),"https://drive.google.com/file/d/1RL5VVGCl7-geMqjebtJXb9Jl5WDZ_RPf/view?usp=drivesdk")</f>
        <v>https://drive.google.com/file/d/1RL5VVGCl7-geMqjebtJXb9Jl5WDZ_RPf/view?usp=drivesdk</v>
      </c>
      <c r="C2770" s="336" t="str">
        <f>IFERROR(__xludf.DUMMYFUNCTION("""COMPUTED_VALUE"""),"10.1037--h0055756.pdf")</f>
        <v>10.1037--h0055756.pdf</v>
      </c>
      <c r="D2770" s="156" t="str">
        <f>IFERROR(__xludf.DUMMYFUNCTION("""COMPUTED_VALUE"""),"application/pdf")</f>
        <v>application/pdf</v>
      </c>
    </row>
    <row r="2771">
      <c r="A2771" s="336" t="str">
        <f>IFERROR(__xludf.DUMMYFUNCTION("""COMPUTED_VALUE"""),"10.1037/h0033373")</f>
        <v>10.1037/h0033373</v>
      </c>
      <c r="B2771" s="442" t="str">
        <f>IFERROR(__xludf.DUMMYFUNCTION("""COMPUTED_VALUE"""),"https://drive.google.com/file/d/1uYsHOUBngS-ZXgqB8qnnVPTbdmiJOAye/view?usp=drivesdk")</f>
        <v>https://drive.google.com/file/d/1uYsHOUBngS-ZXgqB8qnnVPTbdmiJOAye/view?usp=drivesdk</v>
      </c>
      <c r="C2771" s="336" t="str">
        <f>IFERROR(__xludf.DUMMYFUNCTION("""COMPUTED_VALUE"""),"10.1037--h0033373.pdf")</f>
        <v>10.1037--h0033373.pdf</v>
      </c>
      <c r="D2771" s="156" t="str">
        <f>IFERROR(__xludf.DUMMYFUNCTION("""COMPUTED_VALUE"""),"application/pdf")</f>
        <v>application/pdf</v>
      </c>
    </row>
    <row r="2772">
      <c r="A2772" s="336" t="str">
        <f>IFERROR(__xludf.DUMMYFUNCTION("""COMPUTED_VALUE"""),"10.1037/h0041006")</f>
        <v>10.1037/h0041006</v>
      </c>
      <c r="B2772" s="442" t="str">
        <f>IFERROR(__xludf.DUMMYFUNCTION("""COMPUTED_VALUE"""),"https://drive.google.com/file/d/1wDSdOj_hBlu6qxccU3OnehZB5-gYnYts/view?usp=drivesdk")</f>
        <v>https://drive.google.com/file/d/1wDSdOj_hBlu6qxccU3OnehZB5-gYnYts/view?usp=drivesdk</v>
      </c>
      <c r="C2772" s="336" t="str">
        <f>IFERROR(__xludf.DUMMYFUNCTION("""COMPUTED_VALUE"""),"10.1037--h0041006.pdf")</f>
        <v>10.1037--h0041006.pdf</v>
      </c>
      <c r="D2772" s="156" t="str">
        <f>IFERROR(__xludf.DUMMYFUNCTION("""COMPUTED_VALUE"""),"application/pdf")</f>
        <v>application/pdf</v>
      </c>
    </row>
    <row r="2773">
      <c r="A2773" s="336" t="str">
        <f>IFERROR(__xludf.DUMMYFUNCTION("""COMPUTED_VALUE"""),"10.1037/h0032317")</f>
        <v>10.1037/h0032317</v>
      </c>
      <c r="B2773" s="442" t="str">
        <f>IFERROR(__xludf.DUMMYFUNCTION("""COMPUTED_VALUE"""),"https://drive.google.com/file/d/1PPc0RGpI6FyC2CFU35uCyQf2KFIp33Mf/view?usp=drivesdk")</f>
        <v>https://drive.google.com/file/d/1PPc0RGpI6FyC2CFU35uCyQf2KFIp33Mf/view?usp=drivesdk</v>
      </c>
      <c r="C2773" s="336" t="str">
        <f>IFERROR(__xludf.DUMMYFUNCTION("""COMPUTED_VALUE"""),"10.1037--h0032317.pdf")</f>
        <v>10.1037--h0032317.pdf</v>
      </c>
      <c r="D2773" s="156" t="str">
        <f>IFERROR(__xludf.DUMMYFUNCTION("""COMPUTED_VALUE"""),"application/pdf")</f>
        <v>application/pdf</v>
      </c>
    </row>
    <row r="2774">
      <c r="A2774" s="336" t="str">
        <f>IFERROR(__xludf.DUMMYFUNCTION("""COMPUTED_VALUE"""),"10.1037/h0028434")</f>
        <v>10.1037/h0028434</v>
      </c>
      <c r="B2774" s="442" t="str">
        <f>IFERROR(__xludf.DUMMYFUNCTION("""COMPUTED_VALUE"""),"https://drive.google.com/file/d/1d3YiqgyBpR1vBwJxhNgYZttfp2h97WzB/view?usp=drivesdk")</f>
        <v>https://drive.google.com/file/d/1d3YiqgyBpR1vBwJxhNgYZttfp2h97WzB/view?usp=drivesdk</v>
      </c>
      <c r="C2774" s="336" t="str">
        <f>IFERROR(__xludf.DUMMYFUNCTION("""COMPUTED_VALUE"""),"10.1037--h0028434.pdf")</f>
        <v>10.1037--h0028434.pdf</v>
      </c>
      <c r="D2774" s="156" t="str">
        <f>IFERROR(__xludf.DUMMYFUNCTION("""COMPUTED_VALUE"""),"application/pdf")</f>
        <v>application/pdf</v>
      </c>
    </row>
    <row r="2775">
      <c r="A2775" s="336" t="str">
        <f>IFERROR(__xludf.DUMMYFUNCTION("""COMPUTED_VALUE"""),"10.1037/h0025848")</f>
        <v>10.1037/h0025848</v>
      </c>
      <c r="B2775" s="442" t="str">
        <f>IFERROR(__xludf.DUMMYFUNCTION("""COMPUTED_VALUE"""),"https://drive.google.com/file/d/1BkIrUKawTYC3ZJd8Gdg3L-qgFqtjoWcy/view?usp=drivesdk")</f>
        <v>https://drive.google.com/file/d/1BkIrUKawTYC3ZJd8Gdg3L-qgFqtjoWcy/view?usp=drivesdk</v>
      </c>
      <c r="C2775" s="336" t="str">
        <f>IFERROR(__xludf.DUMMYFUNCTION("""COMPUTED_VALUE"""),"10.1037--h0025848.pdf")</f>
        <v>10.1037--h0025848.pdf</v>
      </c>
      <c r="D2775" s="156" t="str">
        <f>IFERROR(__xludf.DUMMYFUNCTION("""COMPUTED_VALUE"""),"application/pdf")</f>
        <v>application/pdf</v>
      </c>
    </row>
    <row r="2776">
      <c r="A2776" s="336" t="str">
        <f>IFERROR(__xludf.DUMMYFUNCTION("""COMPUTED_VALUE"""),"10.1037/h0023552")</f>
        <v>10.1037/h0023552</v>
      </c>
      <c r="B2776" s="442" t="str">
        <f>IFERROR(__xludf.DUMMYFUNCTION("""COMPUTED_VALUE"""),"https://drive.google.com/file/d/1KepKPpAIiCTU53-R7iv3bibeeDT2e4uc/view?usp=drivesdk")</f>
        <v>https://drive.google.com/file/d/1KepKPpAIiCTU53-R7iv3bibeeDT2e4uc/view?usp=drivesdk</v>
      </c>
      <c r="C2776" s="336" t="str">
        <f>IFERROR(__xludf.DUMMYFUNCTION("""COMPUTED_VALUE"""),"10.1037--h0023552.pdf")</f>
        <v>10.1037--h0023552.pdf</v>
      </c>
      <c r="D2776" s="156" t="str">
        <f>IFERROR(__xludf.DUMMYFUNCTION("""COMPUTED_VALUE"""),"application/pdf")</f>
        <v>application/pdf</v>
      </c>
    </row>
    <row r="2777">
      <c r="A2777" s="336" t="str">
        <f>IFERROR(__xludf.DUMMYFUNCTION("""COMPUTED_VALUE"""),"10.1037/a0034755")</f>
        <v>10.1037/a0034755</v>
      </c>
      <c r="B2777" s="442" t="str">
        <f>IFERROR(__xludf.DUMMYFUNCTION("""COMPUTED_VALUE"""),"https://drive.google.com/file/d/1V3ckTOj3ZkkNHIEaAqeL1uAXi4vMNsml/view?usp=drivesdk")</f>
        <v>https://drive.google.com/file/d/1V3ckTOj3ZkkNHIEaAqeL1uAXi4vMNsml/view?usp=drivesdk</v>
      </c>
      <c r="C2777" s="336" t="str">
        <f>IFERROR(__xludf.DUMMYFUNCTION("""COMPUTED_VALUE"""),"10.1037--a0034755.pdf")</f>
        <v>10.1037--a0034755.pdf</v>
      </c>
      <c r="D2777" s="156" t="str">
        <f>IFERROR(__xludf.DUMMYFUNCTION("""COMPUTED_VALUE"""),"application/pdf")</f>
        <v>application/pdf</v>
      </c>
    </row>
    <row r="2778">
      <c r="A2778" s="336" t="str">
        <f>IFERROR(__xludf.DUMMYFUNCTION("""COMPUTED_VALUE"""),"10.1037/a0034462")</f>
        <v>10.1037/a0034462</v>
      </c>
      <c r="B2778" s="442" t="str">
        <f>IFERROR(__xludf.DUMMYFUNCTION("""COMPUTED_VALUE"""),"https://drive.google.com/file/d/1VIF6kuqnOCJkukqkxuMzonIlfG0vD2p3/view?usp=drivesdk")</f>
        <v>https://drive.google.com/file/d/1VIF6kuqnOCJkukqkxuMzonIlfG0vD2p3/view?usp=drivesdk</v>
      </c>
      <c r="C2778" s="336" t="str">
        <f>IFERROR(__xludf.DUMMYFUNCTION("""COMPUTED_VALUE"""),"10.1037--a0034462.pdf")</f>
        <v>10.1037--a0034462.pdf</v>
      </c>
      <c r="D2778" s="156" t="str">
        <f>IFERROR(__xludf.DUMMYFUNCTION("""COMPUTED_VALUE"""),"application/pdf")</f>
        <v>application/pdf</v>
      </c>
    </row>
    <row r="2779">
      <c r="A2779" s="336" t="str">
        <f>IFERROR(__xludf.DUMMYFUNCTION("""COMPUTED_VALUE"""),"10.1037/a0029649")</f>
        <v>10.1037/a0029649</v>
      </c>
      <c r="B2779" s="442" t="str">
        <f>IFERROR(__xludf.DUMMYFUNCTION("""COMPUTED_VALUE"""),"https://drive.google.com/file/d/1HOf675tEXfG2bMnJOIiHzWGLlDbzEY3d/view?usp=drivesdk")</f>
        <v>https://drive.google.com/file/d/1HOf675tEXfG2bMnJOIiHzWGLlDbzEY3d/view?usp=drivesdk</v>
      </c>
      <c r="C2779" s="336" t="str">
        <f>IFERROR(__xludf.DUMMYFUNCTION("""COMPUTED_VALUE"""),"10.1037--a0029649.pdf")</f>
        <v>10.1037--a0029649.pdf</v>
      </c>
      <c r="D2779" s="156" t="str">
        <f>IFERROR(__xludf.DUMMYFUNCTION("""COMPUTED_VALUE"""),"application/pdf")</f>
        <v>application/pdf</v>
      </c>
    </row>
    <row r="2780">
      <c r="A2780" s="336" t="str">
        <f>IFERROR(__xludf.DUMMYFUNCTION("""COMPUTED_VALUE"""),"10.1037/a0027407")</f>
        <v>10.1037/a0027407</v>
      </c>
      <c r="B2780" s="442" t="str">
        <f>IFERROR(__xludf.DUMMYFUNCTION("""COMPUTED_VALUE"""),"https://drive.google.com/file/d/1DS4JtkHMjs9zr71-ezWtK-niMJQwvASc/view?usp=drivesdk")</f>
        <v>https://drive.google.com/file/d/1DS4JtkHMjs9zr71-ezWtK-niMJQwvASc/view?usp=drivesdk</v>
      </c>
      <c r="C2780" s="336" t="str">
        <f>IFERROR(__xludf.DUMMYFUNCTION("""COMPUTED_VALUE"""),"10.1037--a0027407.pdf")</f>
        <v>10.1037--a0027407.pdf</v>
      </c>
      <c r="D2780" s="156" t="str">
        <f>IFERROR(__xludf.DUMMYFUNCTION("""COMPUTED_VALUE"""),"application/pdf")</f>
        <v>application/pdf</v>
      </c>
    </row>
    <row r="2781">
      <c r="A2781" s="336" t="str">
        <f>IFERROR(__xludf.DUMMYFUNCTION("""COMPUTED_VALUE"""),"10.1037/a0025883")</f>
        <v>10.1037/a0025883</v>
      </c>
      <c r="B2781" s="442" t="str">
        <f>IFERROR(__xludf.DUMMYFUNCTION("""COMPUTED_VALUE"""),"https://drive.google.com/file/d/1bRLs3S0AT2q1kxpgqs8O2vQssNN1LQOi/view?usp=drivesdk")</f>
        <v>https://drive.google.com/file/d/1bRLs3S0AT2q1kxpgqs8O2vQssNN1LQOi/view?usp=drivesdk</v>
      </c>
      <c r="C2781" s="336" t="str">
        <f>IFERROR(__xludf.DUMMYFUNCTION("""COMPUTED_VALUE"""),"10.1037--a0025883.pdf")</f>
        <v>10.1037--a0025883.pdf</v>
      </c>
      <c r="D2781" s="156" t="str">
        <f>IFERROR(__xludf.DUMMYFUNCTION("""COMPUTED_VALUE"""),"application/pdf")</f>
        <v>application/pdf</v>
      </c>
    </row>
    <row r="2782">
      <c r="A2782" s="336" t="str">
        <f>IFERROR(__xludf.DUMMYFUNCTION("""COMPUTED_VALUE"""),"10.1037/a0021524")</f>
        <v>10.1037/a0021524</v>
      </c>
      <c r="B2782" s="442" t="str">
        <f>IFERROR(__xludf.DUMMYFUNCTION("""COMPUTED_VALUE"""),"https://drive.google.com/file/d/1Sg7pV5-MRMEfG7acPaIDjV0AQ3yqElU4/view?usp=drivesdk")</f>
        <v>https://drive.google.com/file/d/1Sg7pV5-MRMEfG7acPaIDjV0AQ3yqElU4/view?usp=drivesdk</v>
      </c>
      <c r="C2782" s="336" t="str">
        <f>IFERROR(__xludf.DUMMYFUNCTION("""COMPUTED_VALUE"""),"10.1037--a0021524.pdf")</f>
        <v>10.1037--a0021524.pdf</v>
      </c>
      <c r="D2782" s="156" t="str">
        <f>IFERROR(__xludf.DUMMYFUNCTION("""COMPUTED_VALUE"""),"application/pdf")</f>
        <v>application/pdf</v>
      </c>
    </row>
    <row r="2783">
      <c r="A2783" s="336" t="str">
        <f>IFERROR(__xludf.DUMMYFUNCTION("""COMPUTED_VALUE"""),"10.1037/a0020757")</f>
        <v>10.1037/a0020757</v>
      </c>
      <c r="B2783" s="442" t="str">
        <f>IFERROR(__xludf.DUMMYFUNCTION("""COMPUTED_VALUE"""),"https://drive.google.com/file/d/1bVACFlgExLyf1CCoBeLzElMk1QbAZYSW/view?usp=drivesdk")</f>
        <v>https://drive.google.com/file/d/1bVACFlgExLyf1CCoBeLzElMk1QbAZYSW/view?usp=drivesdk</v>
      </c>
      <c r="C2783" s="336" t="str">
        <f>IFERROR(__xludf.DUMMYFUNCTION("""COMPUTED_VALUE"""),"10.1037--a0020757.pdf")</f>
        <v>10.1037--a0020757.pdf</v>
      </c>
      <c r="D2783" s="156" t="str">
        <f>IFERROR(__xludf.DUMMYFUNCTION("""COMPUTED_VALUE"""),"application/pdf")</f>
        <v>application/pdf</v>
      </c>
    </row>
    <row r="2784">
      <c r="A2784" s="336" t="str">
        <f>IFERROR(__xludf.DUMMYFUNCTION("""COMPUTED_VALUE"""),"10.1037/a0019689")</f>
        <v>10.1037/a0019689</v>
      </c>
      <c r="B2784" s="442" t="str">
        <f>IFERROR(__xludf.DUMMYFUNCTION("""COMPUTED_VALUE"""),"https://drive.google.com/file/d/1_IO4PdoMe7l8Q03W9hLBkKiHGidC5w-t/view?usp=drivesdk")</f>
        <v>https://drive.google.com/file/d/1_IO4PdoMe7l8Q03W9hLBkKiHGidC5w-t/view?usp=drivesdk</v>
      </c>
      <c r="C2784" s="336" t="str">
        <f>IFERROR(__xludf.DUMMYFUNCTION("""COMPUTED_VALUE"""),"10.1037--a0019689.pdf")</f>
        <v>10.1037--a0019689.pdf</v>
      </c>
      <c r="D2784" s="156" t="str">
        <f>IFERROR(__xludf.DUMMYFUNCTION("""COMPUTED_VALUE"""),"application/pdf")</f>
        <v>application/pdf</v>
      </c>
    </row>
    <row r="2785">
      <c r="A2785" s="336" t="str">
        <f>IFERROR(__xludf.DUMMYFUNCTION("""COMPUTED_VALUE"""),"10.1037/a0015141")</f>
        <v>10.1037/a0015141</v>
      </c>
      <c r="B2785" s="442" t="str">
        <f>IFERROR(__xludf.DUMMYFUNCTION("""COMPUTED_VALUE"""),"https://drive.google.com/file/d/1hVohJjrePDnbP3YuG-OoIFpV1SI20xvZ/view?usp=drivesdk")</f>
        <v>https://drive.google.com/file/d/1hVohJjrePDnbP3YuG-OoIFpV1SI20xvZ/view?usp=drivesdk</v>
      </c>
      <c r="C2785" s="336" t="str">
        <f>IFERROR(__xludf.DUMMYFUNCTION("""COMPUTED_VALUE"""),"10.1037--a0015141.pdf")</f>
        <v>10.1037--a0015141.pdf</v>
      </c>
      <c r="D2785" s="156" t="str">
        <f>IFERROR(__xludf.DUMMYFUNCTION("""COMPUTED_VALUE"""),"application/pdf")</f>
        <v>application/pdf</v>
      </c>
    </row>
    <row r="2786">
      <c r="A2786" s="336" t="str">
        <f>IFERROR(__xludf.DUMMYFUNCTION("""COMPUTED_VALUE"""),"10.1037/a0015960")</f>
        <v>10.1037/a0015960</v>
      </c>
      <c r="B2786" s="442" t="str">
        <f>IFERROR(__xludf.DUMMYFUNCTION("""COMPUTED_VALUE"""),"https://drive.google.com/file/d/1hz1780nNZDOTtNpiczqkkXabV668BcRE/view?usp=drivesdk")</f>
        <v>https://drive.google.com/file/d/1hz1780nNZDOTtNpiczqkkXabV668BcRE/view?usp=drivesdk</v>
      </c>
      <c r="C2786" s="336" t="str">
        <f>IFERROR(__xludf.DUMMYFUNCTION("""COMPUTED_VALUE"""),"10.1037--a0015960.pdf")</f>
        <v>10.1037--a0015960.pdf</v>
      </c>
      <c r="D2786" s="156" t="str">
        <f>IFERROR(__xludf.DUMMYFUNCTION("""COMPUTED_VALUE"""),"application/pdf")</f>
        <v>application/pdf</v>
      </c>
    </row>
    <row r="2787">
      <c r="A2787" s="336" t="str">
        <f>IFERROR(__xludf.DUMMYFUNCTION("""COMPUTED_VALUE"""),"10.1037/a0013748")</f>
        <v>10.1037/a0013748</v>
      </c>
      <c r="B2787" s="442" t="str">
        <f>IFERROR(__xludf.DUMMYFUNCTION("""COMPUTED_VALUE"""),"https://drive.google.com/file/d/13LERMC05_TVKu6xv7g91wRtXxu0ET1Tj/view?usp=drivesdk")</f>
        <v>https://drive.google.com/file/d/13LERMC05_TVKu6xv7g91wRtXxu0ET1Tj/view?usp=drivesdk</v>
      </c>
      <c r="C2787" s="336" t="str">
        <f>IFERROR(__xludf.DUMMYFUNCTION("""COMPUTED_VALUE"""),"10.1037--a0013748.pdf")</f>
        <v>10.1037--a0013748.pdf</v>
      </c>
      <c r="D2787" s="156" t="str">
        <f>IFERROR(__xludf.DUMMYFUNCTION("""COMPUTED_VALUE"""),"application/pdf")</f>
        <v>application/pdf</v>
      </c>
    </row>
    <row r="2788">
      <c r="A2788" s="336" t="str">
        <f>IFERROR(__xludf.DUMMYFUNCTION("""COMPUTED_VALUE"""),"10.1037/a0012833")</f>
        <v>10.1037/a0012833</v>
      </c>
      <c r="B2788" s="442" t="str">
        <f>IFERROR(__xludf.DUMMYFUNCTION("""COMPUTED_VALUE"""),"https://drive.google.com/file/d/1HpcHlK2DyzZieaRbX6Fr0ov7Mf_R671v/view?usp=drivesdk")</f>
        <v>https://drive.google.com/file/d/1HpcHlK2DyzZieaRbX6Fr0ov7Mf_R671v/view?usp=drivesdk</v>
      </c>
      <c r="C2788" s="336" t="str">
        <f>IFERROR(__xludf.DUMMYFUNCTION("""COMPUTED_VALUE"""),"10.1037--a0012833.pdf")</f>
        <v>10.1037--a0012833.pdf</v>
      </c>
      <c r="D2788" s="156" t="str">
        <f>IFERROR(__xludf.DUMMYFUNCTION("""COMPUTED_VALUE"""),"application/pdf")</f>
        <v>application/pdf</v>
      </c>
    </row>
    <row r="2789">
      <c r="A2789" s="336" t="str">
        <f>IFERROR(__xludf.DUMMYFUNCTION("""COMPUTED_VALUE"""),"10.1037/a0012518")</f>
        <v>10.1037/a0012518</v>
      </c>
      <c r="B2789" s="442" t="str">
        <f>IFERROR(__xludf.DUMMYFUNCTION("""COMPUTED_VALUE"""),"https://drive.google.com/file/d/1EyYPChGeuUzTKHlHU2xIK7B3AxTGwtfO/view?usp=drivesdk")</f>
        <v>https://drive.google.com/file/d/1EyYPChGeuUzTKHlHU2xIK7B3AxTGwtfO/view?usp=drivesdk</v>
      </c>
      <c r="C2789" s="336" t="str">
        <f>IFERROR(__xludf.DUMMYFUNCTION("""COMPUTED_VALUE"""),"10.1037--a0012518.pdf")</f>
        <v>10.1037--a0012518.pdf</v>
      </c>
      <c r="D2789" s="156" t="str">
        <f>IFERROR(__xludf.DUMMYFUNCTION("""COMPUTED_VALUE"""),"application/pdf")</f>
        <v>application/pdf</v>
      </c>
    </row>
    <row r="2790">
      <c r="A2790" s="336" t="str">
        <f>IFERROR(__xludf.DUMMYFUNCTION("""COMPUTED_VALUE"""),"10.1037/1089-2699.6.1.101")</f>
        <v>10.1037/1089-2699.6.1.101</v>
      </c>
      <c r="B2790" s="442" t="str">
        <f>IFERROR(__xludf.DUMMYFUNCTION("""COMPUTED_VALUE"""),"https://drive.google.com/file/d/120bw0itAYyHMiW9T7e3mTuddlQMPW3x8/view?usp=drivesdk")</f>
        <v>https://drive.google.com/file/d/120bw0itAYyHMiW9T7e3mTuddlQMPW3x8/view?usp=drivesdk</v>
      </c>
      <c r="C2790" s="336" t="str">
        <f>IFERROR(__xludf.DUMMYFUNCTION("""COMPUTED_VALUE"""),"10.1037--1089-2699.6.1.101.pdf")</f>
        <v>10.1037--1089-2699.6.1.101.pdf</v>
      </c>
      <c r="D2790" s="156" t="str">
        <f>IFERROR(__xludf.DUMMYFUNCTION("""COMPUTED_VALUE"""),"application/pdf")</f>
        <v>application/pdf</v>
      </c>
    </row>
    <row r="2791">
      <c r="A2791" s="336" t="str">
        <f>IFERROR(__xludf.DUMMYFUNCTION("""COMPUTED_VALUE"""),"10.1037/0893-3200.17.4.460")</f>
        <v>10.1037/0893-3200.17.4.460</v>
      </c>
      <c r="B2791" s="442" t="str">
        <f>IFERROR(__xludf.DUMMYFUNCTION("""COMPUTED_VALUE"""),"https://drive.google.com/file/d/15-xZoziBIfRM1RNSkhWBwkJIkhndLjdq/view?usp=drivesdk")</f>
        <v>https://drive.google.com/file/d/15-xZoziBIfRM1RNSkhWBwkJIkhndLjdq/view?usp=drivesdk</v>
      </c>
      <c r="C2791" s="336" t="str">
        <f>IFERROR(__xludf.DUMMYFUNCTION("""COMPUTED_VALUE"""),"10.1037--0893-3200.17.4.460.pdf")</f>
        <v>10.1037--0893-3200.17.4.460.pdf</v>
      </c>
      <c r="D2791" s="156" t="str">
        <f>IFERROR(__xludf.DUMMYFUNCTION("""COMPUTED_VALUE"""),"application/pdf")</f>
        <v>application/pdf</v>
      </c>
    </row>
    <row r="2792">
      <c r="A2792" s="336" t="str">
        <f>IFERROR(__xludf.DUMMYFUNCTION("""COMPUTED_VALUE"""),"10.1037/0278-7393.34.3.546")</f>
        <v>10.1037/0278-7393.34.3.546</v>
      </c>
      <c r="B2792" s="442" t="str">
        <f>IFERROR(__xludf.DUMMYFUNCTION("""COMPUTED_VALUE"""),"https://drive.google.com/file/d/1DqdONyqsLP1eg0rgW71wKdPbcflRStOn/view?usp=drivesdk")</f>
        <v>https://drive.google.com/file/d/1DqdONyqsLP1eg0rgW71wKdPbcflRStOn/view?usp=drivesdk</v>
      </c>
      <c r="C2792" s="336" t="str">
        <f>IFERROR(__xludf.DUMMYFUNCTION("""COMPUTED_VALUE"""),"10.1037--0278-7393.34.3.546.pdf")</f>
        <v>10.1037--0278-7393.34.3.546.pdf</v>
      </c>
      <c r="D2792" s="156" t="str">
        <f>IFERROR(__xludf.DUMMYFUNCTION("""COMPUTED_VALUE"""),"application/pdf")</f>
        <v>application/pdf</v>
      </c>
    </row>
    <row r="2793">
      <c r="A2793" s="336" t="str">
        <f>IFERROR(__xludf.DUMMYFUNCTION("""COMPUTED_VALUE"""),"10.1037/0278-7393.34.3.533")</f>
        <v>10.1037/0278-7393.34.3.533</v>
      </c>
      <c r="B2793" s="442" t="str">
        <f>IFERROR(__xludf.DUMMYFUNCTION("""COMPUTED_VALUE"""),"https://drive.google.com/file/d/1xLqo3pcQbvof4dFTirs6WvJ7tevRvXKz/view?usp=drivesdk")</f>
        <v>https://drive.google.com/file/d/1xLqo3pcQbvof4dFTirs6WvJ7tevRvXKz/view?usp=drivesdk</v>
      </c>
      <c r="C2793" s="336" t="str">
        <f>IFERROR(__xludf.DUMMYFUNCTION("""COMPUTED_VALUE"""),"10.1037--0278-7393.34.3.533.pdf")</f>
        <v>10.1037--0278-7393.34.3.533.pdf</v>
      </c>
      <c r="D2793" s="156" t="str">
        <f>IFERROR(__xludf.DUMMYFUNCTION("""COMPUTED_VALUE"""),"application/pdf")</f>
        <v>application/pdf</v>
      </c>
    </row>
    <row r="2794">
      <c r="A2794" s="336" t="str">
        <f>IFERROR(__xludf.DUMMYFUNCTION("""COMPUTED_VALUE"""),"10.1037/0278-7393.34.3.514")</f>
        <v>10.1037/0278-7393.34.3.514</v>
      </c>
      <c r="B2794" s="442" t="str">
        <f>IFERROR(__xludf.DUMMYFUNCTION("""COMPUTED_VALUE"""),"https://drive.google.com/file/d/19iYi-koeR6fi39K_iI9D0SdOP6whI2f7/view?usp=drivesdk")</f>
        <v>https://drive.google.com/file/d/19iYi-koeR6fi39K_iI9D0SdOP6whI2f7/view?usp=drivesdk</v>
      </c>
      <c r="C2794" s="336" t="str">
        <f>IFERROR(__xludf.DUMMYFUNCTION("""COMPUTED_VALUE"""),"10.1037--0278-7393.34.3.514.pdf")</f>
        <v>10.1037--0278-7393.34.3.514.pdf</v>
      </c>
      <c r="D2794" s="156" t="str">
        <f>IFERROR(__xludf.DUMMYFUNCTION("""COMPUTED_VALUE"""),"application/pdf")</f>
        <v>application/pdf</v>
      </c>
    </row>
    <row r="2795">
      <c r="A2795" s="336" t="str">
        <f>IFERROR(__xludf.DUMMYFUNCTION("""COMPUTED_VALUE"""),"10.1037/0278-7393.34.3.524")</f>
        <v>10.1037/0278-7393.34.3.524</v>
      </c>
      <c r="B2795" s="442" t="str">
        <f>IFERROR(__xludf.DUMMYFUNCTION("""COMPUTED_VALUE"""),"https://drive.google.com/file/d/1EbrmM7VFUrWNPY8NxA_ziNU_qOGIUYVa/view?usp=drivesdk")</f>
        <v>https://drive.google.com/file/d/1EbrmM7VFUrWNPY8NxA_ziNU_qOGIUYVa/view?usp=drivesdk</v>
      </c>
      <c r="C2795" s="336" t="str">
        <f>IFERROR(__xludf.DUMMYFUNCTION("""COMPUTED_VALUE"""),"10.1037--0278-7393.34.3.524.pdf")</f>
        <v>10.1037--0278-7393.34.3.524.pdf</v>
      </c>
      <c r="D2795" s="156" t="str">
        <f>IFERROR(__xludf.DUMMYFUNCTION("""COMPUTED_VALUE"""),"application/pdf")</f>
        <v>application/pdf</v>
      </c>
    </row>
    <row r="2796">
      <c r="A2796" s="336" t="str">
        <f>IFERROR(__xludf.DUMMYFUNCTION("""COMPUTED_VALUE"""),"10.1037/0278-7393.34.3.495")</f>
        <v>10.1037/0278-7393.34.3.495</v>
      </c>
      <c r="B2796" s="442" t="str">
        <f>IFERROR(__xludf.DUMMYFUNCTION("""COMPUTED_VALUE"""),"https://drive.google.com/file/d/1ycY8rorKC9FDqVeTFdgVQQrTEuktcPox/view?usp=drivesdk")</f>
        <v>https://drive.google.com/file/d/1ycY8rorKC9FDqVeTFdgVQQrTEuktcPox/view?usp=drivesdk</v>
      </c>
      <c r="C2796" s="336" t="str">
        <f>IFERROR(__xludf.DUMMYFUNCTION("""COMPUTED_VALUE"""),"10.1037--0278-7393.34.3.495.pdf")</f>
        <v>10.1037--0278-7393.34.3.495.pdf</v>
      </c>
      <c r="D2796" s="156" t="str">
        <f>IFERROR(__xludf.DUMMYFUNCTION("""COMPUTED_VALUE"""),"application/pdf")</f>
        <v>application/pdf</v>
      </c>
    </row>
    <row r="2797">
      <c r="A2797" s="336" t="str">
        <f>IFERROR(__xludf.DUMMYFUNCTION("""COMPUTED_VALUE"""),"10.1037/0278-7393.34.3.478")</f>
        <v>10.1037/0278-7393.34.3.478</v>
      </c>
      <c r="B2797" s="442" t="str">
        <f>IFERROR(__xludf.DUMMYFUNCTION("""COMPUTED_VALUE"""),"https://drive.google.com/file/d/1NiPCpcI4sxnM3OTJQdqenG265Dkr8hRb/view?usp=drivesdk")</f>
        <v>https://drive.google.com/file/d/1NiPCpcI4sxnM3OTJQdqenG265Dkr8hRb/view?usp=drivesdk</v>
      </c>
      <c r="C2797" s="336" t="str">
        <f>IFERROR(__xludf.DUMMYFUNCTION("""COMPUTED_VALUE"""),"10.1037--0278-7393.34.3.478.pdf")</f>
        <v>10.1037--0278-7393.34.3.478.pdf</v>
      </c>
      <c r="D2797" s="156" t="str">
        <f>IFERROR(__xludf.DUMMYFUNCTION("""COMPUTED_VALUE"""),"application/pdf")</f>
        <v>application/pdf</v>
      </c>
    </row>
    <row r="2798">
      <c r="A2798" s="336" t="str">
        <f>IFERROR(__xludf.DUMMYFUNCTION("""COMPUTED_VALUE"""),"10.1037/0278-7393.34.3.439")</f>
        <v>10.1037/0278-7393.34.3.439</v>
      </c>
      <c r="B2798" s="442" t="str">
        <f>IFERROR(__xludf.DUMMYFUNCTION("""COMPUTED_VALUE"""),"https://drive.google.com/file/d/128D_xuWagaOC3zKfGWUi8CFf7zReyViC/view?usp=drivesdk")</f>
        <v>https://drive.google.com/file/d/128D_xuWagaOC3zKfGWUi8CFf7zReyViC/view?usp=drivesdk</v>
      </c>
      <c r="C2798" s="336" t="str">
        <f>IFERROR(__xludf.DUMMYFUNCTION("""COMPUTED_VALUE"""),"10.1037--0278-7393.34.3.439.pdf")</f>
        <v>10.1037--0278-7393.34.3.439.pdf</v>
      </c>
      <c r="D2798" s="156" t="str">
        <f>IFERROR(__xludf.DUMMYFUNCTION("""COMPUTED_VALUE"""),"application/pdf")</f>
        <v>application/pdf</v>
      </c>
    </row>
    <row r="2799">
      <c r="A2799" s="336" t="str">
        <f>IFERROR(__xludf.DUMMYFUNCTION("""COMPUTED_VALUE"""),"10.1037/0278-7393.34.3.460")</f>
        <v>10.1037/0278-7393.34.3.460</v>
      </c>
      <c r="B2799" s="442" t="str">
        <f>IFERROR(__xludf.DUMMYFUNCTION("""COMPUTED_VALUE"""),"https://drive.google.com/file/d/12RwvQLmV6wPAqPP_X6JgA8Qo27g_8SJK/view?usp=drivesdk")</f>
        <v>https://drive.google.com/file/d/12RwvQLmV6wPAqPP_X6JgA8Qo27g_8SJK/view?usp=drivesdk</v>
      </c>
      <c r="C2799" s="336" t="str">
        <f>IFERROR(__xludf.DUMMYFUNCTION("""COMPUTED_VALUE"""),"10.1037--0278-7393.34.3.460.pdf")</f>
        <v>10.1037--0278-7393.34.3.460.pdf</v>
      </c>
      <c r="D2799" s="156" t="str">
        <f>IFERROR(__xludf.DUMMYFUNCTION("""COMPUTED_VALUE"""),"application/pdf")</f>
        <v>application/pdf</v>
      </c>
    </row>
    <row r="2800">
      <c r="A2800" s="336" t="str">
        <f>IFERROR(__xludf.DUMMYFUNCTION("""COMPUTED_VALUE"""),"10.1037/0278-7393.34.2.422")</f>
        <v>10.1037/0278-7393.34.2.422</v>
      </c>
      <c r="B2800" s="442" t="str">
        <f>IFERROR(__xludf.DUMMYFUNCTION("""COMPUTED_VALUE"""),"https://drive.google.com/file/d/1P8Hm5KaZpuFw07NdNh7BSk7XVf85qUvU/view?usp=drivesdk")</f>
        <v>https://drive.google.com/file/d/1P8Hm5KaZpuFw07NdNh7BSk7XVf85qUvU/view?usp=drivesdk</v>
      </c>
      <c r="C2800" s="336" t="str">
        <f>IFERROR(__xludf.DUMMYFUNCTION("""COMPUTED_VALUE"""),"10.1037--0278-7393.34.2.422.pdf")</f>
        <v>10.1037--0278-7393.34.2.422.pdf</v>
      </c>
      <c r="D2800" s="156" t="str">
        <f>IFERROR(__xludf.DUMMYFUNCTION("""COMPUTED_VALUE"""),"application/pdf")</f>
        <v>application/pdf</v>
      </c>
    </row>
    <row r="2801">
      <c r="A2801" s="336" t="str">
        <f>IFERROR(__xludf.DUMMYFUNCTION("""COMPUTED_VALUE"""),"10.1037/0278-7393.34.2.430")</f>
        <v>10.1037/0278-7393.34.2.430</v>
      </c>
      <c r="B2801" s="442" t="str">
        <f>IFERROR(__xludf.DUMMYFUNCTION("""COMPUTED_VALUE"""),"https://drive.google.com/file/d/1dnoOFsITQ-OlW3SSnEP3gasruwHVCneM/view?usp=drivesdk")</f>
        <v>https://drive.google.com/file/d/1dnoOFsITQ-OlW3SSnEP3gasruwHVCneM/view?usp=drivesdk</v>
      </c>
      <c r="C2801" s="336" t="str">
        <f>IFERROR(__xludf.DUMMYFUNCTION("""COMPUTED_VALUE"""),"10.1037--0278-7393.34.2.430.pdf")</f>
        <v>10.1037--0278-7393.34.2.430.pdf</v>
      </c>
      <c r="D2801" s="156" t="str">
        <f>IFERROR(__xludf.DUMMYFUNCTION("""COMPUTED_VALUE"""),"application/pdf")</f>
        <v>application/pdf</v>
      </c>
    </row>
    <row r="2802">
      <c r="A2802" s="336" t="str">
        <f>IFERROR(__xludf.DUMMYFUNCTION("""COMPUTED_VALUE"""),"10.1037/0278-7393.34.2.415")</f>
        <v>10.1037/0278-7393.34.2.415</v>
      </c>
      <c r="B2802" s="442" t="str">
        <f>IFERROR(__xludf.DUMMYFUNCTION("""COMPUTED_VALUE"""),"https://drive.google.com/file/d/1jZMmibrF0qP1C-7eRJEcXJL4O_ztSG2B/view?usp=drivesdk")</f>
        <v>https://drive.google.com/file/d/1jZMmibrF0qP1C-7eRJEcXJL4O_ztSG2B/view?usp=drivesdk</v>
      </c>
      <c r="C2802" s="336" t="str">
        <f>IFERROR(__xludf.DUMMYFUNCTION("""COMPUTED_VALUE"""),"10.1037--0278-7393.34.2.415.pdf")</f>
        <v>10.1037--0278-7393.34.2.415.pdf</v>
      </c>
      <c r="D2802" s="156" t="str">
        <f>IFERROR(__xludf.DUMMYFUNCTION("""COMPUTED_VALUE"""),"application/pdf")</f>
        <v>application/pdf</v>
      </c>
    </row>
    <row r="2803">
      <c r="A2803" s="336" t="str">
        <f>IFERROR(__xludf.DUMMYFUNCTION("""COMPUTED_VALUE"""),"10.1037/0278-7393.34.2.408")</f>
        <v>10.1037/0278-7393.34.2.408</v>
      </c>
      <c r="B2803" s="442" t="str">
        <f>IFERROR(__xludf.DUMMYFUNCTION("""COMPUTED_VALUE"""),"https://drive.google.com/file/d/1jBszlwOALWIwLYvif4D3xVGXucPXKUwU/view?usp=drivesdk")</f>
        <v>https://drive.google.com/file/d/1jBszlwOALWIwLYvif4D3xVGXucPXKUwU/view?usp=drivesdk</v>
      </c>
      <c r="C2803" s="336" t="str">
        <f>IFERROR(__xludf.DUMMYFUNCTION("""COMPUTED_VALUE"""),"10.1037--0278-7393.34.2.408.pdf")</f>
        <v>10.1037--0278-7393.34.2.408.pdf</v>
      </c>
      <c r="D2803" s="156" t="str">
        <f>IFERROR(__xludf.DUMMYFUNCTION("""COMPUTED_VALUE"""),"application/pdf")</f>
        <v>application/pdf</v>
      </c>
    </row>
    <row r="2804">
      <c r="A2804" s="336" t="str">
        <f>IFERROR(__xludf.DUMMYFUNCTION("""COMPUTED_VALUE"""),"10.1037/0278-7393.34.2.381")</f>
        <v>10.1037/0278-7393.34.2.381</v>
      </c>
      <c r="B2804" s="442" t="str">
        <f>IFERROR(__xludf.DUMMYFUNCTION("""COMPUTED_VALUE"""),"https://drive.google.com/file/d/1lWEjtXsosG3uPn1h67AzaUXydMvmlJWW/view?usp=drivesdk")</f>
        <v>https://drive.google.com/file/d/1lWEjtXsosG3uPn1h67AzaUXydMvmlJWW/view?usp=drivesdk</v>
      </c>
      <c r="C2804" s="336" t="str">
        <f>IFERROR(__xludf.DUMMYFUNCTION("""COMPUTED_VALUE"""),"10.1037--0278-7393.34.2.381.pdf")</f>
        <v>10.1037--0278-7393.34.2.381.pdf</v>
      </c>
      <c r="D2804" s="156" t="str">
        <f>IFERROR(__xludf.DUMMYFUNCTION("""COMPUTED_VALUE"""),"application/pdf")</f>
        <v>application/pdf</v>
      </c>
    </row>
    <row r="2805">
      <c r="A2805" s="336" t="str">
        <f>IFERROR(__xludf.DUMMYFUNCTION("""COMPUTED_VALUE"""),"10.1037/0278-7393.34.2.399")</f>
        <v>10.1037/0278-7393.34.2.399</v>
      </c>
      <c r="B2805" s="442" t="str">
        <f>IFERROR(__xludf.DUMMYFUNCTION("""COMPUTED_VALUE"""),"https://drive.google.com/file/d/1y0oKhgHFMs_nXH4ufYi5ZaxDoesUnD71/view?usp=drivesdk")</f>
        <v>https://drive.google.com/file/d/1y0oKhgHFMs_nXH4ufYi5ZaxDoesUnD71/view?usp=drivesdk</v>
      </c>
      <c r="C2805" s="336" t="str">
        <f>IFERROR(__xludf.DUMMYFUNCTION("""COMPUTED_VALUE"""),"10.1037--0278-7393.34.2.399.pdf")</f>
        <v>10.1037--0278-7393.34.2.399.pdf</v>
      </c>
      <c r="D2805" s="156" t="str">
        <f>IFERROR(__xludf.DUMMYFUNCTION("""COMPUTED_VALUE"""),"application/pdf")</f>
        <v>application/pdf</v>
      </c>
    </row>
    <row r="2806">
      <c r="A2806" s="336" t="str">
        <f>IFERROR(__xludf.DUMMYFUNCTION("""COMPUTED_VALUE"""),"10.1037/0278-7393.34.2.369")</f>
        <v>10.1037/0278-7393.34.2.369</v>
      </c>
      <c r="B2806" s="442" t="str">
        <f>IFERROR(__xludf.DUMMYFUNCTION("""COMPUTED_VALUE"""),"https://drive.google.com/file/d/15LyeMLPtv2yK2REXBqDLC63QQhUXXDVm/view?usp=drivesdk")</f>
        <v>https://drive.google.com/file/d/15LyeMLPtv2yK2REXBqDLC63QQhUXXDVm/view?usp=drivesdk</v>
      </c>
      <c r="C2806" s="336" t="str">
        <f>IFERROR(__xludf.DUMMYFUNCTION("""COMPUTED_VALUE"""),"10.1037--0278-7393.34.2.369.pdf")</f>
        <v>10.1037--0278-7393.34.2.369.pdf</v>
      </c>
      <c r="D2806" s="156" t="str">
        <f>IFERROR(__xludf.DUMMYFUNCTION("""COMPUTED_VALUE"""),"application/pdf")</f>
        <v>application/pdf</v>
      </c>
    </row>
    <row r="2807">
      <c r="A2807" s="336" t="str">
        <f>IFERROR(__xludf.DUMMYFUNCTION("""COMPUTED_VALUE"""),"10.1037/0278-7393.34.2.353")</f>
        <v>10.1037/0278-7393.34.2.353</v>
      </c>
      <c r="B2807" s="442" t="str">
        <f>IFERROR(__xludf.DUMMYFUNCTION("""COMPUTED_VALUE"""),"https://drive.google.com/file/d/10N0LzNT1GTgGgvA6UUZUXzIdwFBBm26w/view?usp=drivesdk")</f>
        <v>https://drive.google.com/file/d/10N0LzNT1GTgGgvA6UUZUXzIdwFBBm26w/view?usp=drivesdk</v>
      </c>
      <c r="C2807" s="336" t="str">
        <f>IFERROR(__xludf.DUMMYFUNCTION("""COMPUTED_VALUE"""),"10.1037--0278-7393.34.2.353.pdf")</f>
        <v>10.1037--0278-7393.34.2.353.pdf</v>
      </c>
      <c r="D2807" s="156" t="str">
        <f>IFERROR(__xludf.DUMMYFUNCTION("""COMPUTED_VALUE"""),"application/pdf")</f>
        <v>application/pdf</v>
      </c>
    </row>
    <row r="2808">
      <c r="A2808" s="336" t="str">
        <f>IFERROR(__xludf.DUMMYFUNCTION("""COMPUTED_VALUE"""),"10.1037/0278-7393.34.2.343")</f>
        <v>10.1037/0278-7393.34.2.343</v>
      </c>
      <c r="B2808" s="442" t="str">
        <f>IFERROR(__xludf.DUMMYFUNCTION("""COMPUTED_VALUE"""),"https://drive.google.com/file/d/1btjIxPMyuU5I6jNMm9c2DuyFxN8Pze7t/view?usp=drivesdk")</f>
        <v>https://drive.google.com/file/d/1btjIxPMyuU5I6jNMm9c2DuyFxN8Pze7t/view?usp=drivesdk</v>
      </c>
      <c r="C2808" s="336" t="str">
        <f>IFERROR(__xludf.DUMMYFUNCTION("""COMPUTED_VALUE"""),"10.1037--0278-7393.34.2.343.pdf")</f>
        <v>10.1037--0278-7393.34.2.343.pdf</v>
      </c>
      <c r="D2808" s="156" t="str">
        <f>IFERROR(__xludf.DUMMYFUNCTION("""COMPUTED_VALUE"""),"application/pdf")</f>
        <v>application/pdf</v>
      </c>
    </row>
    <row r="2809">
      <c r="A2809" s="336" t="str">
        <f>IFERROR(__xludf.DUMMYFUNCTION("""COMPUTED_VALUE"""),"10.1037/0278-7393.34.2.328")</f>
        <v>10.1037/0278-7393.34.2.328</v>
      </c>
      <c r="B2809" s="442" t="str">
        <f>IFERROR(__xludf.DUMMYFUNCTION("""COMPUTED_VALUE"""),"https://drive.google.com/file/d/1xWBya8BVfE1sTB6yhxybNTqOYxEnPWZU/view?usp=drivesdk")</f>
        <v>https://drive.google.com/file/d/1xWBya8BVfE1sTB6yhxybNTqOYxEnPWZU/view?usp=drivesdk</v>
      </c>
      <c r="C2809" s="336" t="str">
        <f>IFERROR(__xludf.DUMMYFUNCTION("""COMPUTED_VALUE"""),"10.1037--0278-7393.34.2.328.pdf")</f>
        <v>10.1037--0278-7393.34.2.328.pdf</v>
      </c>
      <c r="D2809" s="156" t="str">
        <f>IFERROR(__xludf.DUMMYFUNCTION("""COMPUTED_VALUE"""),"application/pdf")</f>
        <v>application/pdf</v>
      </c>
    </row>
    <row r="2810">
      <c r="A2810" s="336" t="str">
        <f>IFERROR(__xludf.DUMMYFUNCTION("""COMPUTED_VALUE"""),"10.1037/0278-7393.34.2.313")</f>
        <v>10.1037/0278-7393.34.2.313</v>
      </c>
      <c r="B2810" s="442" t="str">
        <f>IFERROR(__xludf.DUMMYFUNCTION("""COMPUTED_VALUE"""),"https://drive.google.com/file/d/14Sp-rGYXqQVyuRmTeLQtmwZJYE3030vb/view?usp=drivesdk")</f>
        <v>https://drive.google.com/file/d/14Sp-rGYXqQVyuRmTeLQtmwZJYE3030vb/view?usp=drivesdk</v>
      </c>
      <c r="C2810" s="336" t="str">
        <f>IFERROR(__xludf.DUMMYFUNCTION("""COMPUTED_VALUE"""),"10.1037--0278-7393.34.2.313.pdf")</f>
        <v>10.1037--0278-7393.34.2.313.pdf</v>
      </c>
      <c r="D2810" s="156" t="str">
        <f>IFERROR(__xludf.DUMMYFUNCTION("""COMPUTED_VALUE"""),"application/pdf")</f>
        <v>application/pdf</v>
      </c>
    </row>
    <row r="2811">
      <c r="A2811" s="336" t="str">
        <f>IFERROR(__xludf.DUMMYFUNCTION("""COMPUTED_VALUE"""),"10.1037/0278-7393.34.2.302")</f>
        <v>10.1037/0278-7393.34.2.302</v>
      </c>
      <c r="B2811" s="442" t="str">
        <f>IFERROR(__xludf.DUMMYFUNCTION("""COMPUTED_VALUE"""),"https://drive.google.com/file/d/13XRIYgF2yNC1qLHSQBITGa6oU0w9njVk/view?usp=drivesdk")</f>
        <v>https://drive.google.com/file/d/13XRIYgF2yNC1qLHSQBITGa6oU0w9njVk/view?usp=drivesdk</v>
      </c>
      <c r="C2811" s="336" t="str">
        <f>IFERROR(__xludf.DUMMYFUNCTION("""COMPUTED_VALUE"""),"10.1037--0278-7393.34.2.302.pdf")</f>
        <v>10.1037--0278-7393.34.2.302.pdf</v>
      </c>
      <c r="D2811" s="156" t="str">
        <f>IFERROR(__xludf.DUMMYFUNCTION("""COMPUTED_VALUE"""),"application/pdf")</f>
        <v>application/pdf</v>
      </c>
    </row>
    <row r="2812">
      <c r="A2812" s="336" t="str">
        <f>IFERROR(__xludf.DUMMYFUNCTION("""COMPUTED_VALUE"""),"10.1037/0278-7393.34.2.257")</f>
        <v>10.1037/0278-7393.34.2.257</v>
      </c>
      <c r="B2812" s="442" t="str">
        <f>IFERROR(__xludf.DUMMYFUNCTION("""COMPUTED_VALUE"""),"https://drive.google.com/file/d/1ILNp7MaC4OusbPANu-7wOS3KK98RWdcz/view?usp=drivesdk")</f>
        <v>https://drive.google.com/file/d/1ILNp7MaC4OusbPANu-7wOS3KK98RWdcz/view?usp=drivesdk</v>
      </c>
      <c r="C2812" s="336" t="str">
        <f>IFERROR(__xludf.DUMMYFUNCTION("""COMPUTED_VALUE"""),"10.1037--0278-7393.34.2.257.pdf")</f>
        <v>10.1037--0278-7393.34.2.257.pdf</v>
      </c>
      <c r="D2812" s="156" t="str">
        <f>IFERROR(__xludf.DUMMYFUNCTION("""COMPUTED_VALUE"""),"application/pdf")</f>
        <v>application/pdf</v>
      </c>
    </row>
    <row r="2813">
      <c r="A2813" s="336" t="str">
        <f>IFERROR(__xludf.DUMMYFUNCTION("""COMPUTED_VALUE"""),"10.1037/0278-7393.34.2.282")</f>
        <v>10.1037/0278-7393.34.2.282</v>
      </c>
      <c r="B2813" s="442" t="str">
        <f>IFERROR(__xludf.DUMMYFUNCTION("""COMPUTED_VALUE"""),"https://drive.google.com/file/d/1gGhVdcAfMLypZb8lB75H44xX4er1HFm3/view?usp=drivesdk")</f>
        <v>https://drive.google.com/file/d/1gGhVdcAfMLypZb8lB75H44xX4er1HFm3/view?usp=drivesdk</v>
      </c>
      <c r="C2813" s="336" t="str">
        <f>IFERROR(__xludf.DUMMYFUNCTION("""COMPUTED_VALUE"""),"10.1037--0278-7393.34.2.282.pdf")</f>
        <v>10.1037--0278-7393.34.2.282.pdf</v>
      </c>
      <c r="D2813" s="156" t="str">
        <f>IFERROR(__xludf.DUMMYFUNCTION("""COMPUTED_VALUE"""),"application/pdf")</f>
        <v>application/pdf</v>
      </c>
    </row>
    <row r="2814">
      <c r="A2814" s="336" t="str">
        <f>IFERROR(__xludf.DUMMYFUNCTION("""COMPUTED_VALUE"""),"10.1037/0278-7393.34.1.97")</f>
        <v>10.1037/0278-7393.34.1.97</v>
      </c>
      <c r="B2814" s="442" t="str">
        <f>IFERROR(__xludf.DUMMYFUNCTION("""COMPUTED_VALUE"""),"https://drive.google.com/file/d/16CJXCd6Rzqik5rD_iyUPgxYh8MalzPm4/view?usp=drivesdk")</f>
        <v>https://drive.google.com/file/d/16CJXCd6Rzqik5rD_iyUPgxYh8MalzPm4/view?usp=drivesdk</v>
      </c>
      <c r="C2814" s="336" t="str">
        <f>IFERROR(__xludf.DUMMYFUNCTION("""COMPUTED_VALUE"""),"10.1037--0278-7393.34.1.97.pdf")</f>
        <v>10.1037--0278-7393.34.1.97.pdf</v>
      </c>
      <c r="D2814" s="156" t="str">
        <f>IFERROR(__xludf.DUMMYFUNCTION("""COMPUTED_VALUE"""),"application/pdf")</f>
        <v>application/pdf</v>
      </c>
    </row>
    <row r="2815">
      <c r="A2815" s="336" t="str">
        <f>IFERROR(__xludf.DUMMYFUNCTION("""COMPUTED_VALUE"""),"10.1037/0278-7393.34.1.80")</f>
        <v>10.1037/0278-7393.34.1.80</v>
      </c>
      <c r="B2815" s="442" t="str">
        <f>IFERROR(__xludf.DUMMYFUNCTION("""COMPUTED_VALUE"""),"https://drive.google.com/file/d/16eIzUB6LjNl3GMULG3vB5p7EO1iC0SJ3/view?usp=drivesdk")</f>
        <v>https://drive.google.com/file/d/16eIzUB6LjNl3GMULG3vB5p7EO1iC0SJ3/view?usp=drivesdk</v>
      </c>
      <c r="C2815" s="336" t="str">
        <f>IFERROR(__xludf.DUMMYFUNCTION("""COMPUTED_VALUE"""),"10.1037--0278-7393.34.1.80.pdf")</f>
        <v>10.1037--0278-7393.34.1.80.pdf</v>
      </c>
      <c r="D2815" s="156" t="str">
        <f>IFERROR(__xludf.DUMMYFUNCTION("""COMPUTED_VALUE"""),"application/pdf")</f>
        <v>application/pdf</v>
      </c>
    </row>
    <row r="2816">
      <c r="A2816" s="336" t="str">
        <f>IFERROR(__xludf.DUMMYFUNCTION("""COMPUTED_VALUE"""),"10.1037/0278-7393.34.1.65")</f>
        <v>10.1037/0278-7393.34.1.65</v>
      </c>
      <c r="B2816" s="442" t="str">
        <f>IFERROR(__xludf.DUMMYFUNCTION("""COMPUTED_VALUE"""),"https://drive.google.com/file/d/15z0y7asIfplDps5d3R71GhEJxQWqBU9w/view?usp=drivesdk")</f>
        <v>https://drive.google.com/file/d/15z0y7asIfplDps5d3R71GhEJxQWqBU9w/view?usp=drivesdk</v>
      </c>
      <c r="C2816" s="336" t="str">
        <f>IFERROR(__xludf.DUMMYFUNCTION("""COMPUTED_VALUE"""),"10.1037--0278-7393.34.1.65.pdf")</f>
        <v>10.1037--0278-7393.34.1.65.pdf</v>
      </c>
      <c r="D2816" s="156" t="str">
        <f>IFERROR(__xludf.DUMMYFUNCTION("""COMPUTED_VALUE"""),"application/pdf")</f>
        <v>application/pdf</v>
      </c>
    </row>
    <row r="2817">
      <c r="A2817" s="336" t="str">
        <f>IFERROR(__xludf.DUMMYFUNCTION("""COMPUTED_VALUE"""),"10.1037/0278-7393.34.1.50")</f>
        <v>10.1037/0278-7393.34.1.50</v>
      </c>
      <c r="B2817" s="442" t="str">
        <f>IFERROR(__xludf.DUMMYFUNCTION("""COMPUTED_VALUE"""),"https://drive.google.com/file/d/12OzFlZKms2M0ZvYy4yTBRvGof4FqM1Ud/view?usp=drivesdk")</f>
        <v>https://drive.google.com/file/d/12OzFlZKms2M0ZvYy4yTBRvGof4FqM1Ud/view?usp=drivesdk</v>
      </c>
      <c r="C2817" s="336" t="str">
        <f>IFERROR(__xludf.DUMMYFUNCTION("""COMPUTED_VALUE"""),"10.1037--0278-7393.34.1.50.pdf")</f>
        <v>10.1037--0278-7393.34.1.50.pdf</v>
      </c>
      <c r="D2817" s="156" t="str">
        <f>IFERROR(__xludf.DUMMYFUNCTION("""COMPUTED_VALUE"""),"application/pdf")</f>
        <v>application/pdf</v>
      </c>
    </row>
    <row r="2818">
      <c r="A2818" s="336" t="str">
        <f>IFERROR(__xludf.DUMMYFUNCTION("""COMPUTED_VALUE"""),"10.1037/0278-7393.34.1.32")</f>
        <v>10.1037/0278-7393.34.1.32</v>
      </c>
      <c r="B2818" s="442" t="str">
        <f>IFERROR(__xludf.DUMMYFUNCTION("""COMPUTED_VALUE"""),"https://drive.google.com/file/d/1NhDFPwAmpyjx9HSRtLTUixh6ZZLCECKn/view?usp=drivesdk")</f>
        <v>https://drive.google.com/file/d/1NhDFPwAmpyjx9HSRtLTUixh6ZZLCECKn/view?usp=drivesdk</v>
      </c>
      <c r="C2818" s="336" t="str">
        <f>IFERROR(__xludf.DUMMYFUNCTION("""COMPUTED_VALUE"""),"10.1037--0278-7393.34.1.32.pdf")</f>
        <v>10.1037--0278-7393.34.1.32.pdf</v>
      </c>
      <c r="D2818" s="156" t="str">
        <f>IFERROR(__xludf.DUMMYFUNCTION("""COMPUTED_VALUE"""),"application/pdf")</f>
        <v>application/pdf</v>
      </c>
    </row>
    <row r="2819">
      <c r="A2819" s="336" t="str">
        <f>IFERROR(__xludf.DUMMYFUNCTION("""COMPUTED_VALUE"""),"10.1037/0278-7393.34.1.249")</f>
        <v>10.1037/0278-7393.34.1.249</v>
      </c>
      <c r="B2819" s="442" t="str">
        <f>IFERROR(__xludf.DUMMYFUNCTION("""COMPUTED_VALUE"""),"https://drive.google.com/file/d/1G9_olsUh3tpfcqhh1KX72VpE0keeAnj7/view?usp=drivesdk")</f>
        <v>https://drive.google.com/file/d/1G9_olsUh3tpfcqhh1KX72VpE0keeAnj7/view?usp=drivesdk</v>
      </c>
      <c r="C2819" s="336" t="str">
        <f>IFERROR(__xludf.DUMMYFUNCTION("""COMPUTED_VALUE"""),"10.1037--0278-7393.34.1.249.pdf")</f>
        <v>10.1037--0278-7393.34.1.249.pdf</v>
      </c>
      <c r="D2819" s="156" t="str">
        <f>IFERROR(__xludf.DUMMYFUNCTION("""COMPUTED_VALUE"""),"application/pdf")</f>
        <v>application/pdf</v>
      </c>
    </row>
    <row r="2820">
      <c r="A2820" s="336" t="str">
        <f>IFERROR(__xludf.DUMMYFUNCTION("""COMPUTED_VALUE"""),"10.1037/0278-7393.34.1.243")</f>
        <v>10.1037/0278-7393.34.1.243</v>
      </c>
      <c r="B2820" s="442" t="str">
        <f>IFERROR(__xludf.DUMMYFUNCTION("""COMPUTED_VALUE"""),"https://drive.google.com/file/d/12tOopuzKbG82LEOynQuHYZ8im59EjTth/view?usp=drivesdk")</f>
        <v>https://drive.google.com/file/d/12tOopuzKbG82LEOynQuHYZ8im59EjTth/view?usp=drivesdk</v>
      </c>
      <c r="C2820" s="336" t="str">
        <f>IFERROR(__xludf.DUMMYFUNCTION("""COMPUTED_VALUE"""),"10.1037--0278-7393.34.1.243.pdf")</f>
        <v>10.1037--0278-7393.34.1.243.pdf</v>
      </c>
      <c r="D2820" s="156" t="str">
        <f>IFERROR(__xludf.DUMMYFUNCTION("""COMPUTED_VALUE"""),"application/pdf")</f>
        <v>application/pdf</v>
      </c>
    </row>
    <row r="2821">
      <c r="A2821" s="336" t="str">
        <f>IFERROR(__xludf.DUMMYFUNCTION("""COMPUTED_VALUE"""),"10.1037/0278-7393.34.1.237")</f>
        <v>10.1037/0278-7393.34.1.237</v>
      </c>
      <c r="B2821" s="442" t="str">
        <f>IFERROR(__xludf.DUMMYFUNCTION("""COMPUTED_VALUE"""),"https://drive.google.com/file/d/1YjgU1oCfPf7_yAtASpZhwJS4TVj_g8CU/view?usp=drivesdk")</f>
        <v>https://drive.google.com/file/d/1YjgU1oCfPf7_yAtASpZhwJS4TVj_g8CU/view?usp=drivesdk</v>
      </c>
      <c r="C2821" s="336" t="str">
        <f>IFERROR(__xludf.DUMMYFUNCTION("""COMPUTED_VALUE"""),"10.1037--0278-7393.34.1.237.pdf")</f>
        <v>10.1037--0278-7393.34.1.237.pdf</v>
      </c>
      <c r="D2821" s="156" t="str">
        <f>IFERROR(__xludf.DUMMYFUNCTION("""COMPUTED_VALUE"""),"application/pdf")</f>
        <v>application/pdf</v>
      </c>
    </row>
    <row r="2822">
      <c r="A2822" s="336" t="str">
        <f>IFERROR(__xludf.DUMMYFUNCTION("""COMPUTED_VALUE"""),"10.1037/0278-7393.34.1.230")</f>
        <v>10.1037/0278-7393.34.1.230</v>
      </c>
      <c r="B2822" s="442" t="str">
        <f>IFERROR(__xludf.DUMMYFUNCTION("""COMPUTED_VALUE"""),"https://drive.google.com/file/d/1iTGkXjtQ0EE8-v45xZZ-Yv9zhQVAt2Pn/view?usp=drivesdk")</f>
        <v>https://drive.google.com/file/d/1iTGkXjtQ0EE8-v45xZZ-Yv9zhQVAt2Pn/view?usp=drivesdk</v>
      </c>
      <c r="C2822" s="336" t="str">
        <f>IFERROR(__xludf.DUMMYFUNCTION("""COMPUTED_VALUE"""),"10.1037--0278-7393.34.1.230.pdf")</f>
        <v>10.1037--0278-7393.34.1.230.pdf</v>
      </c>
      <c r="D2822" s="156" t="str">
        <f>IFERROR(__xludf.DUMMYFUNCTION("""COMPUTED_VALUE"""),"application/pdf")</f>
        <v>application/pdf</v>
      </c>
    </row>
    <row r="2823">
      <c r="A2823" s="336" t="str">
        <f>IFERROR(__xludf.DUMMYFUNCTION("""COMPUTED_VALUE"""),"10.1037/0278-7393.34.1.219")</f>
        <v>10.1037/0278-7393.34.1.219</v>
      </c>
      <c r="B2823" s="442" t="str">
        <f>IFERROR(__xludf.DUMMYFUNCTION("""COMPUTED_VALUE"""),"https://drive.google.com/file/d/11evBHOPkYEq9tia_AUJzn9cHtIQOUcWa/view?usp=drivesdk")</f>
        <v>https://drive.google.com/file/d/11evBHOPkYEq9tia_AUJzn9cHtIQOUcWa/view?usp=drivesdk</v>
      </c>
      <c r="C2823" s="336" t="str">
        <f>IFERROR(__xludf.DUMMYFUNCTION("""COMPUTED_VALUE"""),"10.1037--0278-7393.34.1.219.pdf")</f>
        <v>10.1037--0278-7393.34.1.219.pdf</v>
      </c>
      <c r="D2823" s="156" t="str">
        <f>IFERROR(__xludf.DUMMYFUNCTION("""COMPUTED_VALUE"""),"application/pdf")</f>
        <v>application/pdf</v>
      </c>
    </row>
    <row r="2824">
      <c r="A2824" s="336" t="str">
        <f>IFERROR(__xludf.DUMMYFUNCTION("""COMPUTED_VALUE"""),"10.1037/0278-7393.34.1.204")</f>
        <v>10.1037/0278-7393.34.1.204</v>
      </c>
      <c r="B2824" s="442" t="str">
        <f>IFERROR(__xludf.DUMMYFUNCTION("""COMPUTED_VALUE"""),"https://drive.google.com/file/d/1VkkAzt4eeAeZtV2ewwPlwMagejOBaOcs/view?usp=drivesdk")</f>
        <v>https://drive.google.com/file/d/1VkkAzt4eeAeZtV2ewwPlwMagejOBaOcs/view?usp=drivesdk</v>
      </c>
      <c r="C2824" s="336" t="str">
        <f>IFERROR(__xludf.DUMMYFUNCTION("""COMPUTED_VALUE"""),"10.1037--0278-7393.34.1.204.pdf")</f>
        <v>10.1037--0278-7393.34.1.204.pdf</v>
      </c>
      <c r="D2824" s="156" t="str">
        <f>IFERROR(__xludf.DUMMYFUNCTION("""COMPUTED_VALUE"""),"application/pdf")</f>
        <v>application/pdf</v>
      </c>
    </row>
    <row r="2825">
      <c r="A2825" s="336" t="str">
        <f>IFERROR(__xludf.DUMMYFUNCTION("""COMPUTED_VALUE"""),"10.1037/0278-7393.34.1.186")</f>
        <v>10.1037/0278-7393.34.1.186</v>
      </c>
      <c r="B2825" s="442" t="str">
        <f>IFERROR(__xludf.DUMMYFUNCTION("""COMPUTED_VALUE"""),"https://drive.google.com/file/d/1cOFI1sWmcyfR3tFVOvV90FUY4g-TwC4Z/view?usp=drivesdk")</f>
        <v>https://drive.google.com/file/d/1cOFI1sWmcyfR3tFVOvV90FUY4g-TwC4Z/view?usp=drivesdk</v>
      </c>
      <c r="C2825" s="336" t="str">
        <f>IFERROR(__xludf.DUMMYFUNCTION("""COMPUTED_VALUE"""),"10.1037--0278-7393.34.1.186.pdf")</f>
        <v>10.1037--0278-7393.34.1.186.pdf</v>
      </c>
      <c r="D2825" s="156" t="str">
        <f>IFERROR(__xludf.DUMMYFUNCTION("""COMPUTED_VALUE"""),"application/pdf")</f>
        <v>application/pdf</v>
      </c>
    </row>
    <row r="2826">
      <c r="A2826" s="336" t="str">
        <f>IFERROR(__xludf.DUMMYFUNCTION("""COMPUTED_VALUE"""),"10.1037/0278-7393.34.1.167")</f>
        <v>10.1037/0278-7393.34.1.167</v>
      </c>
      <c r="B2826" s="442" t="str">
        <f>IFERROR(__xludf.DUMMYFUNCTION("""COMPUTED_VALUE"""),"https://drive.google.com/file/d/1fP-Dr1DLCnPl-2Ya6EGtFK2aCF6SWr93/view?usp=drivesdk")</f>
        <v>https://drive.google.com/file/d/1fP-Dr1DLCnPl-2Ya6EGtFK2aCF6SWr93/view?usp=drivesdk</v>
      </c>
      <c r="C2826" s="336" t="str">
        <f>IFERROR(__xludf.DUMMYFUNCTION("""COMPUTED_VALUE"""),"10.1037--0278-7393.34.1.167.pdf")</f>
        <v>10.1037--0278-7393.34.1.167.pdf</v>
      </c>
      <c r="D2826" s="156" t="str">
        <f>IFERROR(__xludf.DUMMYFUNCTION("""COMPUTED_VALUE"""),"application/pdf")</f>
        <v>application/pdf</v>
      </c>
    </row>
    <row r="2827">
      <c r="A2827" s="336" t="str">
        <f>IFERROR(__xludf.DUMMYFUNCTION("""COMPUTED_VALUE"""),"10.1037/0278-7393.34.1.128")</f>
        <v>10.1037/0278-7393.34.1.128</v>
      </c>
      <c r="B2827" s="442" t="str">
        <f>IFERROR(__xludf.DUMMYFUNCTION("""COMPUTED_VALUE"""),"https://drive.google.com/file/d/1Lf2mJhcl4k2IlhscpNWAcWIYn_DN1RLo/view?usp=drivesdk")</f>
        <v>https://drive.google.com/file/d/1Lf2mJhcl4k2IlhscpNWAcWIYn_DN1RLo/view?usp=drivesdk</v>
      </c>
      <c r="C2827" s="336" t="str">
        <f>IFERROR(__xludf.DUMMYFUNCTION("""COMPUTED_VALUE"""),"10.1037--0278-7393.34.1.128.pdf")</f>
        <v>10.1037--0278-7393.34.1.128.pdf</v>
      </c>
      <c r="D2827" s="156" t="str">
        <f>IFERROR(__xludf.DUMMYFUNCTION("""COMPUTED_VALUE"""),"application/pdf")</f>
        <v>application/pdf</v>
      </c>
    </row>
    <row r="2828">
      <c r="A2828" s="336" t="str">
        <f>IFERROR(__xludf.DUMMYFUNCTION("""COMPUTED_VALUE"""),"10.1037/0278-7393.34.1.146")</f>
        <v>10.1037/0278-7393.34.1.146</v>
      </c>
      <c r="B2828" s="442" t="str">
        <f>IFERROR(__xludf.DUMMYFUNCTION("""COMPUTED_VALUE"""),"https://drive.google.com/file/d/1qNTfBnw7SpCi3blakzyKQFcGYOfOx3la/view?usp=drivesdk")</f>
        <v>https://drive.google.com/file/d/1qNTfBnw7SpCi3blakzyKQFcGYOfOx3la/view?usp=drivesdk</v>
      </c>
      <c r="C2828" s="336" t="str">
        <f>IFERROR(__xludf.DUMMYFUNCTION("""COMPUTED_VALUE"""),"10.1037--0278-7393.34.1.146.pdf")</f>
        <v>10.1037--0278-7393.34.1.146.pdf</v>
      </c>
      <c r="D2828" s="156" t="str">
        <f>IFERROR(__xludf.DUMMYFUNCTION("""COMPUTED_VALUE"""),"application/pdf")</f>
        <v>application/pdf</v>
      </c>
    </row>
    <row r="2829">
      <c r="A2829" s="336" t="str">
        <f>IFERROR(__xludf.DUMMYFUNCTION("""COMPUTED_VALUE"""),"10.1037/0278-7393.34.1.12")</f>
        <v>10.1037/0278-7393.34.1.12</v>
      </c>
      <c r="B2829" s="442" t="str">
        <f>IFERROR(__xludf.DUMMYFUNCTION("""COMPUTED_VALUE"""),"https://drive.google.com/file/d/17v8g1wcUyLHNKL7MUfmkzczqLvXbAEct/view?usp=drivesdk")</f>
        <v>https://drive.google.com/file/d/17v8g1wcUyLHNKL7MUfmkzczqLvXbAEct/view?usp=drivesdk</v>
      </c>
      <c r="C2829" s="336" t="str">
        <f>IFERROR(__xludf.DUMMYFUNCTION("""COMPUTED_VALUE"""),"10.1037--0278-7393.34.1.12.pdf")</f>
        <v>10.1037--0278-7393.34.1.12.pdf</v>
      </c>
      <c r="D2829" s="156" t="str">
        <f>IFERROR(__xludf.DUMMYFUNCTION("""COMPUTED_VALUE"""),"application/pdf")</f>
        <v>application/pdf</v>
      </c>
    </row>
    <row r="2830">
      <c r="A2830" s="336" t="str">
        <f>IFERROR(__xludf.DUMMYFUNCTION("""COMPUTED_VALUE"""),"10.1037/0278-7393.34.1.1")</f>
        <v>10.1037/0278-7393.34.1.1</v>
      </c>
      <c r="B2830" s="442" t="str">
        <f>IFERROR(__xludf.DUMMYFUNCTION("""COMPUTED_VALUE"""),"https://drive.google.com/file/d/1GA6K1X3KAFArsjYWATJH54boYgR6VA-P/view?usp=drivesdk")</f>
        <v>https://drive.google.com/file/d/1GA6K1X3KAFArsjYWATJH54boYgR6VA-P/view?usp=drivesdk</v>
      </c>
      <c r="C2830" s="336" t="str">
        <f>IFERROR(__xludf.DUMMYFUNCTION("""COMPUTED_VALUE"""),"10.1037--0278-7393.34.1.1.pdf")</f>
        <v>10.1037--0278-7393.34.1.1.pdf</v>
      </c>
      <c r="D2830" s="156" t="str">
        <f>IFERROR(__xludf.DUMMYFUNCTION("""COMPUTED_VALUE"""),"application/pdf")</f>
        <v>application/pdf</v>
      </c>
    </row>
    <row r="2831">
      <c r="A2831" s="336" t="str">
        <f>IFERROR(__xludf.DUMMYFUNCTION("""COMPUTED_VALUE"""),"10.1037/0278-7393.10.4.680")</f>
        <v>10.1037/0278-7393.10.4.680</v>
      </c>
      <c r="B2831" s="442" t="str">
        <f>IFERROR(__xludf.DUMMYFUNCTION("""COMPUTED_VALUE"""),"https://drive.google.com/file/d/1lYrGMauz-wnZsd5nVrZcVjopHb7ZXL_b/view?usp=drivesdk")</f>
        <v>https://drive.google.com/file/d/1lYrGMauz-wnZsd5nVrZcVjopHb7ZXL_b/view?usp=drivesdk</v>
      </c>
      <c r="C2831" s="336" t="str">
        <f>IFERROR(__xludf.DUMMYFUNCTION("""COMPUTED_VALUE"""),"10.1037--0278-7393.10.4.680.pdf")</f>
        <v>10.1037--0278-7393.10.4.680.pdf</v>
      </c>
      <c r="D2831" s="156" t="str">
        <f>IFERROR(__xludf.DUMMYFUNCTION("""COMPUTED_VALUE"""),"application/pdf")</f>
        <v>application/pdf</v>
      </c>
    </row>
    <row r="2832">
      <c r="A2832" s="336" t="str">
        <f>IFERROR(__xludf.DUMMYFUNCTION("""COMPUTED_VALUE"""),"10.1037/0278-6133.3.5.431")</f>
        <v>10.1037/0278-6133.3.5.431</v>
      </c>
      <c r="B2832" s="442" t="str">
        <f>IFERROR(__xludf.DUMMYFUNCTION("""COMPUTED_VALUE"""),"https://drive.google.com/file/d/1amMXrWCKMyX4hTevBnA1bXdVDqOZKFxe/view?usp=drivesdk")</f>
        <v>https://drive.google.com/file/d/1amMXrWCKMyX4hTevBnA1bXdVDqOZKFxe/view?usp=drivesdk</v>
      </c>
      <c r="C2832" s="336" t="str">
        <f>IFERROR(__xludf.DUMMYFUNCTION("""COMPUTED_VALUE"""),"10.1037--0278-6133.3.5.431.pdf")</f>
        <v>10.1037--0278-6133.3.5.431.pdf</v>
      </c>
      <c r="D2832" s="156" t="str">
        <f>IFERROR(__xludf.DUMMYFUNCTION("""COMPUTED_VALUE"""),"application/pdf")</f>
        <v>application/pdf</v>
      </c>
    </row>
    <row r="2833">
      <c r="A2833" s="336" t="str">
        <f>IFERROR(__xludf.DUMMYFUNCTION("""COMPUTED_VALUE"""),"10.1037/0096-3445.136.2.241")</f>
        <v>10.1037/0096-3445.136.2.241</v>
      </c>
      <c r="B2833" s="442" t="str">
        <f>IFERROR(__xludf.DUMMYFUNCTION("""COMPUTED_VALUE"""),"https://drive.google.com/file/d/1D8E42YuXrxlGwF61UWB4V8lYywAWr8dY/view?usp=drivesdk")</f>
        <v>https://drive.google.com/file/d/1D8E42YuXrxlGwF61UWB4V8lYywAWr8dY/view?usp=drivesdk</v>
      </c>
      <c r="C2833" s="336" t="str">
        <f>IFERROR(__xludf.DUMMYFUNCTION("""COMPUTED_VALUE"""),"10.1037--0096-3445.136.2.241.pdf")</f>
        <v>10.1037--0096-3445.136.2.241.pdf</v>
      </c>
      <c r="D2833" s="156" t="str">
        <f>IFERROR(__xludf.DUMMYFUNCTION("""COMPUTED_VALUE"""),"application/pdf")</f>
        <v>application/pdf</v>
      </c>
    </row>
    <row r="2834">
      <c r="A2834" s="336" t="str">
        <f>IFERROR(__xludf.DUMMYFUNCTION("""COMPUTED_VALUE"""),"10.1037/0096-3445.136.1.154")</f>
        <v>10.1037/0096-3445.136.1.154</v>
      </c>
      <c r="B2834" s="442" t="str">
        <f>IFERROR(__xludf.DUMMYFUNCTION("""COMPUTED_VALUE"""),"https://drive.google.com/file/d/1d5i_2GjvV2L2wbB2j58EhA4WqJKFf7M5/view?usp=drivesdk")</f>
        <v>https://drive.google.com/file/d/1d5i_2GjvV2L2wbB2j58EhA4WqJKFf7M5/view?usp=drivesdk</v>
      </c>
      <c r="C2834" s="336" t="str">
        <f>IFERROR(__xludf.DUMMYFUNCTION("""COMPUTED_VALUE"""),"10.1037--0096-3445.136.1.154.pdf")</f>
        <v>10.1037--0096-3445.136.1.154.pdf</v>
      </c>
      <c r="D2834" s="156" t="str">
        <f>IFERROR(__xludf.DUMMYFUNCTION("""COMPUTED_VALUE"""),"application/pdf")</f>
        <v>application/pdf</v>
      </c>
    </row>
    <row r="2835">
      <c r="A2835" s="336" t="str">
        <f>IFERROR(__xludf.DUMMYFUNCTION("""COMPUTED_VALUE"""),"10.1037/0096-3445.133.1.23")</f>
        <v>10.1037/0096-3445.133.1.23</v>
      </c>
      <c r="B2835" s="442" t="str">
        <f>IFERROR(__xludf.DUMMYFUNCTION("""COMPUTED_VALUE"""),"https://drive.google.com/file/d/1WsTuZGTgbwDDjKv_3fgqvOMon49y_wo7/view?usp=drivesdk")</f>
        <v>https://drive.google.com/file/d/1WsTuZGTgbwDDjKv_3fgqvOMon49y_wo7/view?usp=drivesdk</v>
      </c>
      <c r="C2835" s="336" t="str">
        <f>IFERROR(__xludf.DUMMYFUNCTION("""COMPUTED_VALUE"""),"10.1037--0096-3445.133.1.23.pdf")</f>
        <v>10.1037--0096-3445.133.1.23.pdf</v>
      </c>
      <c r="D2835" s="156" t="str">
        <f>IFERROR(__xludf.DUMMYFUNCTION("""COMPUTED_VALUE"""),"application/pdf")</f>
        <v>application/pdf</v>
      </c>
    </row>
    <row r="2836">
      <c r="A2836" s="336" t="str">
        <f>IFERROR(__xludf.DUMMYFUNCTION("""COMPUTED_VALUE"""),"10.1037/0096-1523.3.4.544")</f>
        <v>10.1037/0096-1523.3.4.544</v>
      </c>
      <c r="B2836" s="442" t="str">
        <f>IFERROR(__xludf.DUMMYFUNCTION("""COMPUTED_VALUE"""),"https://drive.google.com/file/d/1mEkTi7StSY-Stsrgu0o_Zv7DZUHAFPDt/view?usp=drivesdk")</f>
        <v>https://drive.google.com/file/d/1mEkTi7StSY-Stsrgu0o_Zv7DZUHAFPDt/view?usp=drivesdk</v>
      </c>
      <c r="C2836" s="336" t="str">
        <f>IFERROR(__xludf.DUMMYFUNCTION("""COMPUTED_VALUE"""),"10.1037--0096-1523.3.4.544.pdf")</f>
        <v>10.1037--0096-1523.3.4.544.pdf</v>
      </c>
      <c r="D2836" s="156" t="str">
        <f>IFERROR(__xludf.DUMMYFUNCTION("""COMPUTED_VALUE"""),"application/pdf")</f>
        <v>application/pdf</v>
      </c>
    </row>
    <row r="2837">
      <c r="A2837" s="336" t="str">
        <f>IFERROR(__xludf.DUMMYFUNCTION("""COMPUTED_VALUE"""),"10.1037/0096-1523.1.3.288")</f>
        <v>10.1037/0096-1523.1.3.288</v>
      </c>
      <c r="B2837" s="442" t="str">
        <f>IFERROR(__xludf.DUMMYFUNCTION("""COMPUTED_VALUE"""),"https://drive.google.com/file/d/1lNurRPy7VDlN9Sa8Dza_04lJKflObxsi/view?usp=drivesdk")</f>
        <v>https://drive.google.com/file/d/1lNurRPy7VDlN9Sa8Dza_04lJKflObxsi/view?usp=drivesdk</v>
      </c>
      <c r="C2837" s="336" t="str">
        <f>IFERROR(__xludf.DUMMYFUNCTION("""COMPUTED_VALUE"""),"10.1037--0096-1523.1.3.288.pdf")</f>
        <v>10.1037--0096-1523.1.3.288.pdf</v>
      </c>
      <c r="D2837" s="156" t="str">
        <f>IFERROR(__xludf.DUMMYFUNCTION("""COMPUTED_VALUE"""),"application/pdf")</f>
        <v>application/pdf</v>
      </c>
    </row>
    <row r="2838">
      <c r="A2838" s="336" t="str">
        <f>IFERROR(__xludf.DUMMYFUNCTION("""COMPUTED_VALUE"""),"10.1037/0096-3445.136.4.569")</f>
        <v>10.1037/0096-3445.136.4.569</v>
      </c>
      <c r="B2838" s="442" t="str">
        <f>IFERROR(__xludf.DUMMYFUNCTION("""COMPUTED_VALUE"""),"https://drive.google.com/file/d/1m_v1JAQWlkuqNotYqQVJ-P2XePYibDPD/view?usp=drivesdk")</f>
        <v>https://drive.google.com/file/d/1m_v1JAQWlkuqNotYqQVJ-P2XePYibDPD/view?usp=drivesdk</v>
      </c>
      <c r="C2838" s="336" t="str">
        <f>IFERROR(__xludf.DUMMYFUNCTION("""COMPUTED_VALUE"""),"10.1037--0096-3445.136.4.569.pdf")</f>
        <v>10.1037--0096-3445.136.4.569.pdf</v>
      </c>
      <c r="D2838" s="156" t="str">
        <f>IFERROR(__xludf.DUMMYFUNCTION("""COMPUTED_VALUE"""),"application/pdf")</f>
        <v>application/pdf</v>
      </c>
    </row>
    <row r="2839">
      <c r="A2839" s="336" t="str">
        <f>IFERROR(__xludf.DUMMYFUNCTION("""COMPUTED_VALUE"""),"10.1037/0033-295x.93.2.136")</f>
        <v>10.1037/0033-295x.93.2.136</v>
      </c>
      <c r="B2839" s="442" t="str">
        <f>IFERROR(__xludf.DUMMYFUNCTION("""COMPUTED_VALUE"""),"https://drive.google.com/file/d/1NpcEXBblmTwzkVAKGsTiPalZEKryDjOF/view?usp=drivesdk")</f>
        <v>https://drive.google.com/file/d/1NpcEXBblmTwzkVAKGsTiPalZEKryDjOF/view?usp=drivesdk</v>
      </c>
      <c r="C2839" s="336" t="str">
        <f>IFERROR(__xludf.DUMMYFUNCTION("""COMPUTED_VALUE"""),"10.1037--0033-295X.93.2.136.pdf")</f>
        <v>10.1037--0033-295X.93.2.136.pdf</v>
      </c>
      <c r="D2839" s="156" t="str">
        <f>IFERROR(__xludf.DUMMYFUNCTION("""COMPUTED_VALUE"""),"application/pdf")</f>
        <v>application/pdf</v>
      </c>
    </row>
    <row r="2840">
      <c r="A2840" s="336" t="str">
        <f>IFERROR(__xludf.DUMMYFUNCTION("""COMPUTED_VALUE"""),"10.1037/0033-2909.129.6.914")</f>
        <v>10.1037/0033-2909.129.6.914</v>
      </c>
      <c r="B2840" s="442" t="str">
        <f>IFERROR(__xludf.DUMMYFUNCTION("""COMPUTED_VALUE"""),"https://drive.google.com/file/d/1Ey8YE267IkJvJPhLMe73j6CWvGwENA3f/view?usp=drivesdk")</f>
        <v>https://drive.google.com/file/d/1Ey8YE267IkJvJPhLMe73j6CWvGwENA3f/view?usp=drivesdk</v>
      </c>
      <c r="C2840" s="336" t="str">
        <f>IFERROR(__xludf.DUMMYFUNCTION("""COMPUTED_VALUE"""),"10.1037--0033-2909.129.6.914.pdf")</f>
        <v>10.1037--0033-2909.129.6.914.pdf</v>
      </c>
      <c r="D2840" s="156" t="str">
        <f>IFERROR(__xludf.DUMMYFUNCTION("""COMPUTED_VALUE"""),"application/pdf")</f>
        <v>application/pdf</v>
      </c>
    </row>
    <row r="2841">
      <c r="A2841" s="336" t="str">
        <f>IFERROR(__xludf.DUMMYFUNCTION("""COMPUTED_VALUE"""),"10.1037/0033-2909.129.3.339")</f>
        <v>10.1037/0033-2909.129.3.339</v>
      </c>
      <c r="B2841" s="442" t="str">
        <f>IFERROR(__xludf.DUMMYFUNCTION("""COMPUTED_VALUE"""),"https://drive.google.com/file/d/1Wzsg5t70C5nm9ICa1m7pvYuf0xZ022FB/view?usp=drivesdk")</f>
        <v>https://drive.google.com/file/d/1Wzsg5t70C5nm9ICa1m7pvYuf0xZ022FB/view?usp=drivesdk</v>
      </c>
      <c r="C2841" s="336" t="str">
        <f>IFERROR(__xludf.DUMMYFUNCTION("""COMPUTED_VALUE"""),"10.1037--0033-2909.129.3.339.pdf")</f>
        <v>10.1037--0033-2909.129.3.339.pdf</v>
      </c>
      <c r="D2841" s="156" t="str">
        <f>IFERROR(__xludf.DUMMYFUNCTION("""COMPUTED_VALUE"""),"application/pdf")</f>
        <v>application/pdf</v>
      </c>
    </row>
    <row r="2842">
      <c r="A2842" s="336" t="str">
        <f>IFERROR(__xludf.DUMMYFUNCTION("""COMPUTED_VALUE"""),"10.1037/0033-2909.124.2.197")</f>
        <v>10.1037/0033-2909.124.2.197</v>
      </c>
      <c r="B2842" s="442" t="str">
        <f>IFERROR(__xludf.DUMMYFUNCTION("""COMPUTED_VALUE"""),"https://drive.google.com/file/d/1MRe3AF5QHB9EAYy2OvHfuDzmNbF-vcva/view?usp=drivesdk")</f>
        <v>https://drive.google.com/file/d/1MRe3AF5QHB9EAYy2OvHfuDzmNbF-vcva/view?usp=drivesdk</v>
      </c>
      <c r="C2842" s="336" t="str">
        <f>IFERROR(__xludf.DUMMYFUNCTION("""COMPUTED_VALUE"""),"10.1037--0033-2909.124.2.197.pdf")</f>
        <v>10.1037--0033-2909.124.2.197.pdf</v>
      </c>
      <c r="D2842" s="156" t="str">
        <f>IFERROR(__xludf.DUMMYFUNCTION("""COMPUTED_VALUE"""),"application/pdf")</f>
        <v>application/pdf</v>
      </c>
    </row>
    <row r="2843">
      <c r="A2843" s="336" t="str">
        <f>IFERROR(__xludf.DUMMYFUNCTION("""COMPUTED_VALUE"""),"10.1037/0033-2909.118.1.3")</f>
        <v>10.1037/0033-2909.118.1.3</v>
      </c>
      <c r="B2843" s="442" t="str">
        <f>IFERROR(__xludf.DUMMYFUNCTION("""COMPUTED_VALUE"""),"https://drive.google.com/file/d/1L_UrUn7iF547GceUM9sV402LJMhvz5p-/view?usp=drivesdk")</f>
        <v>https://drive.google.com/file/d/1L_UrUn7iF547GceUM9sV402LJMhvz5p-/view?usp=drivesdk</v>
      </c>
      <c r="C2843" s="336" t="str">
        <f>IFERROR(__xludf.DUMMYFUNCTION("""COMPUTED_VALUE"""),"10.1037--0033-2909.118.1.3.pdf")</f>
        <v>10.1037--0033-2909.118.1.3.pdf</v>
      </c>
      <c r="D2843" s="156" t="str">
        <f>IFERROR(__xludf.DUMMYFUNCTION("""COMPUTED_VALUE"""),"application/pdf")</f>
        <v>application/pdf</v>
      </c>
    </row>
    <row r="2844">
      <c r="A2844" s="336" t="str">
        <f>IFERROR(__xludf.DUMMYFUNCTION("""COMPUTED_VALUE"""),"10.1037/0022-3514.95.5.1150")</f>
        <v>10.1037/0022-3514.95.5.1150</v>
      </c>
      <c r="B2844" s="442" t="str">
        <f>IFERROR(__xludf.DUMMYFUNCTION("""COMPUTED_VALUE"""),"https://drive.google.com/file/d/1ndD8z0H-I5x-TfBCqMqu0rgkodHkfNEf/view?usp=drivesdk")</f>
        <v>https://drive.google.com/file/d/1ndD8z0H-I5x-TfBCqMqu0rgkodHkfNEf/view?usp=drivesdk</v>
      </c>
      <c r="C2844" s="336" t="str">
        <f>IFERROR(__xludf.DUMMYFUNCTION("""COMPUTED_VALUE"""),"10.1037--0022-3514.95.5.1150.pdf")</f>
        <v>10.1037--0022-3514.95.5.1150.pdf</v>
      </c>
      <c r="D2844" s="156" t="str">
        <f>IFERROR(__xludf.DUMMYFUNCTION("""COMPUTED_VALUE"""),"application/pdf")</f>
        <v>application/pdf</v>
      </c>
    </row>
    <row r="2845">
      <c r="A2845" s="336" t="str">
        <f>IFERROR(__xludf.DUMMYFUNCTION("""COMPUTED_VALUE"""),"10.1037/0022-3514.95.2.420")</f>
        <v>10.1037/0022-3514.95.2.420</v>
      </c>
      <c r="B2845" s="442" t="str">
        <f>IFERROR(__xludf.DUMMYFUNCTION("""COMPUTED_VALUE"""),"https://drive.google.com/file/d/1EGlmFl81-d1oxiKpGgGytIRbyZhEQLuV/view?usp=drivesdk")</f>
        <v>https://drive.google.com/file/d/1EGlmFl81-d1oxiKpGgGytIRbyZhEQLuV/view?usp=drivesdk</v>
      </c>
      <c r="C2845" s="336" t="str">
        <f>IFERROR(__xludf.DUMMYFUNCTION("""COMPUTED_VALUE"""),"10.1037--0022-3514.95.2.420.pdf")</f>
        <v>10.1037--0022-3514.95.2.420.pdf</v>
      </c>
      <c r="D2845" s="156" t="str">
        <f>IFERROR(__xludf.DUMMYFUNCTION("""COMPUTED_VALUE"""),"application/pdf")</f>
        <v>application/pdf</v>
      </c>
    </row>
    <row r="2846">
      <c r="A2846" s="336" t="str">
        <f>IFERROR(__xludf.DUMMYFUNCTION("""COMPUTED_VALUE"""),"10.1037/0022-3514.95.2.385")</f>
        <v>10.1037/0022-3514.95.2.385</v>
      </c>
      <c r="B2846" s="442" t="str">
        <f>IFERROR(__xludf.DUMMYFUNCTION("""COMPUTED_VALUE"""),"https://drive.google.com/file/d/1azpl3Wmo9R6ywyk7lG4WR5Xnl3l99eut/view?usp=drivesdk")</f>
        <v>https://drive.google.com/file/d/1azpl3Wmo9R6ywyk7lG4WR5Xnl3l99eut/view?usp=drivesdk</v>
      </c>
      <c r="C2846" s="336" t="str">
        <f>IFERROR(__xludf.DUMMYFUNCTION("""COMPUTED_VALUE"""),"10.1037--0022-3514.95.2.385.pdf")</f>
        <v>10.1037--0022-3514.95.2.385.pdf</v>
      </c>
      <c r="D2846" s="156" t="str">
        <f>IFERROR(__xludf.DUMMYFUNCTION("""COMPUTED_VALUE"""),"application/pdf")</f>
        <v>application/pdf</v>
      </c>
    </row>
    <row r="2847">
      <c r="A2847" s="336" t="str">
        <f>IFERROR(__xludf.DUMMYFUNCTION("""COMPUTED_VALUE"""),"10.1037/0022-3514.95.2.293")</f>
        <v>10.1037/0022-3514.95.2.293</v>
      </c>
      <c r="B2847" s="442" t="str">
        <f>IFERROR(__xludf.DUMMYFUNCTION("""COMPUTED_VALUE"""),"https://drive.google.com/file/d/1Gkz07e_5xnoHy7zdKAHfWY6layqbA2lX/view?usp=drivesdk")</f>
        <v>https://drive.google.com/file/d/1Gkz07e_5xnoHy7zdKAHfWY6layqbA2lX/view?usp=drivesdk</v>
      </c>
      <c r="C2847" s="336" t="str">
        <f>IFERROR(__xludf.DUMMYFUNCTION("""COMPUTED_VALUE"""),"10.1037--0022-3514.95.2.293.pdf")</f>
        <v>10.1037--0022-3514.95.2.293.pdf</v>
      </c>
      <c r="D2847" s="156" t="str">
        <f>IFERROR(__xludf.DUMMYFUNCTION("""COMPUTED_VALUE"""),"application/pdf")</f>
        <v>application/pdf</v>
      </c>
    </row>
    <row r="2848">
      <c r="A2848" s="336" t="str">
        <f>IFERROR(__xludf.DUMMYFUNCTION("""COMPUTED_VALUE"""),"10.1037/0022-3514.95.2.274")</f>
        <v>10.1037/0022-3514.95.2.274</v>
      </c>
      <c r="B2848" s="442" t="str">
        <f>IFERROR(__xludf.DUMMYFUNCTION("""COMPUTED_VALUE"""),"https://drive.google.com/file/d/1a05JoYmLdyaqZqx1lMlnobPSBoVtshdG/view?usp=drivesdk")</f>
        <v>https://drive.google.com/file/d/1a05JoYmLdyaqZqx1lMlnobPSBoVtshdG/view?usp=drivesdk</v>
      </c>
      <c r="C2848" s="336" t="str">
        <f>IFERROR(__xludf.DUMMYFUNCTION("""COMPUTED_VALUE"""),"10.1037--0022-3514.95.2.274.pdf")</f>
        <v>10.1037--0022-3514.95.2.274.pdf</v>
      </c>
      <c r="D2848" s="156" t="str">
        <f>IFERROR(__xludf.DUMMYFUNCTION("""COMPUTED_VALUE"""),"application/pdf")</f>
        <v>application/pdf</v>
      </c>
    </row>
    <row r="2849">
      <c r="A2849" s="336" t="str">
        <f>IFERROR(__xludf.DUMMYFUNCTION("""COMPUTED_VALUE"""),"10.1037/0022-3514.95.1.76")</f>
        <v>10.1037/0022-3514.95.1.76</v>
      </c>
      <c r="B2849" s="442" t="str">
        <f>IFERROR(__xludf.DUMMYFUNCTION("""COMPUTED_VALUE"""),"https://drive.google.com/file/d/14KU35or-OxTWODmUyKwRoB3qwuTQZobO/view?usp=drivesdk")</f>
        <v>https://drive.google.com/file/d/14KU35or-OxTWODmUyKwRoB3qwuTQZobO/view?usp=drivesdk</v>
      </c>
      <c r="C2849" s="336" t="str">
        <f>IFERROR(__xludf.DUMMYFUNCTION("""COMPUTED_VALUE"""),"10.1037--0022-3514.95.1.76.pdf")</f>
        <v>10.1037--0022-3514.95.1.76.pdf</v>
      </c>
      <c r="D2849" s="156" t="str">
        <f>IFERROR(__xludf.DUMMYFUNCTION("""COMPUTED_VALUE"""),"application/pdf")</f>
        <v>application/pdf</v>
      </c>
    </row>
    <row r="2850">
      <c r="A2850" s="336" t="str">
        <f>IFERROR(__xludf.DUMMYFUNCTION("""COMPUTED_VALUE"""),"10.1037/0022-3514.94.6.1062")</f>
        <v>10.1037/0022-3514.94.6.1062</v>
      </c>
      <c r="B2850" s="442" t="str">
        <f>IFERROR(__xludf.DUMMYFUNCTION("""COMPUTED_VALUE"""),"https://drive.google.com/file/d/17_Ll2w4V8oHKFKapa6lsAJcfuwPXIghG/view?usp=drivesdk")</f>
        <v>https://drive.google.com/file/d/17_Ll2w4V8oHKFKapa6lsAJcfuwPXIghG/view?usp=drivesdk</v>
      </c>
      <c r="C2850" s="336" t="str">
        <f>IFERROR(__xludf.DUMMYFUNCTION("""COMPUTED_VALUE"""),"10.1037--0022-3514.94.6.1062.pdf")</f>
        <v>10.1037--0022-3514.94.6.1062.pdf</v>
      </c>
      <c r="D2850" s="156" t="str">
        <f>IFERROR(__xludf.DUMMYFUNCTION("""COMPUTED_VALUE"""),"application/pdf")</f>
        <v>application/pdf</v>
      </c>
    </row>
    <row r="2851">
      <c r="A2851" s="336" t="str">
        <f>IFERROR(__xludf.DUMMYFUNCTION("""COMPUTED_VALUE"""),"10.1037/0022-3514.94.5.871")</f>
        <v>10.1037/0022-3514.94.5.871</v>
      </c>
      <c r="B2851" s="442" t="str">
        <f>IFERROR(__xludf.DUMMYFUNCTION("""COMPUTED_VALUE"""),"https://drive.google.com/file/d/1n-xkjkrGpKzc0Ew4FDfG-BXhbw4Koezu/view?usp=drivesdk")</f>
        <v>https://drive.google.com/file/d/1n-xkjkrGpKzc0Ew4FDfG-BXhbw4Koezu/view?usp=drivesdk</v>
      </c>
      <c r="C2851" s="336" t="str">
        <f>IFERROR(__xludf.DUMMYFUNCTION("""COMPUTED_VALUE"""),"10.1037--0022-3514.94.5.871.pdf")</f>
        <v>10.1037--0022-3514.94.5.871.pdf</v>
      </c>
      <c r="D2851" s="156" t="str">
        <f>IFERROR(__xludf.DUMMYFUNCTION("""COMPUTED_VALUE"""),"application/pdf")</f>
        <v>application/pdf</v>
      </c>
    </row>
    <row r="2852">
      <c r="A2852" s="336" t="str">
        <f>IFERROR(__xludf.DUMMYFUNCTION("""COMPUTED_VALUE"""),"10.1037/0022-3514.94.5.739")</f>
        <v>10.1037/0022-3514.94.5.739</v>
      </c>
      <c r="B2852" s="442" t="str">
        <f>IFERROR(__xludf.DUMMYFUNCTION("""COMPUTED_VALUE"""),"https://drive.google.com/file/d/1-F7GLgEY4EHaws_BqDjoz-2HKv4q25Jx/view?usp=drivesdk")</f>
        <v>https://drive.google.com/file/d/1-F7GLgEY4EHaws_BqDjoz-2HKv4q25Jx/view?usp=drivesdk</v>
      </c>
      <c r="C2852" s="336" t="str">
        <f>IFERROR(__xludf.DUMMYFUNCTION("""COMPUTED_VALUE"""),"10.1037--0022-3514.94.5.739.pdf")</f>
        <v>10.1037--0022-3514.94.5.739.pdf</v>
      </c>
      <c r="D2852" s="156" t="str">
        <f>IFERROR(__xludf.DUMMYFUNCTION("""COMPUTED_VALUE"""),"application/pdf")</f>
        <v>application/pdf</v>
      </c>
    </row>
    <row r="2853">
      <c r="A2853" s="336" t="str">
        <f>IFERROR(__xludf.DUMMYFUNCTION("""COMPUTED_VALUE"""),"10.1037/0022-3514.94.4.718")</f>
        <v>10.1037/0022-3514.94.4.718</v>
      </c>
      <c r="B2853" s="442" t="str">
        <f>IFERROR(__xludf.DUMMYFUNCTION("""COMPUTED_VALUE"""),"https://drive.google.com/file/d/1_PDJ9HJdyc65HgAxy4hirK9FdTGjmJt6/view?usp=drivesdk")</f>
        <v>https://drive.google.com/file/d/1_PDJ9HJdyc65HgAxy4hirK9FdTGjmJt6/view?usp=drivesdk</v>
      </c>
      <c r="C2853" s="336" t="str">
        <f>IFERROR(__xludf.DUMMYFUNCTION("""COMPUTED_VALUE"""),"10.1037--0022-3514.94.4.718.pdf")</f>
        <v>10.1037--0022-3514.94.4.718.pdf</v>
      </c>
      <c r="D2853" s="156" t="str">
        <f>IFERROR(__xludf.DUMMYFUNCTION("""COMPUTED_VALUE"""),"application/pdf")</f>
        <v>application/pdf</v>
      </c>
    </row>
    <row r="2854">
      <c r="A2854" s="336" t="str">
        <f>IFERROR(__xludf.DUMMYFUNCTION("""COMPUTED_VALUE"""),"10.1037/0022-3514.94.4.696")</f>
        <v>10.1037/0022-3514.94.4.696</v>
      </c>
      <c r="B2854" s="442" t="str">
        <f>IFERROR(__xludf.DUMMYFUNCTION("""COMPUTED_VALUE"""),"https://drive.google.com/file/d/1uUa0wmROI0qE2xnTwxRVDmnwcW2lORPw/view?usp=drivesdk")</f>
        <v>https://drive.google.com/file/d/1uUa0wmROI0qE2xnTwxRVDmnwcW2lORPw/view?usp=drivesdk</v>
      </c>
      <c r="C2854" s="336" t="str">
        <f>IFERROR(__xludf.DUMMYFUNCTION("""COMPUTED_VALUE"""),"10.1037--0022-3514.94.4.696.pdf")</f>
        <v>10.1037--0022-3514.94.4.696.pdf</v>
      </c>
      <c r="D2854" s="156" t="str">
        <f>IFERROR(__xludf.DUMMYFUNCTION("""COMPUTED_VALUE"""),"application/pdf")</f>
        <v>application/pdf</v>
      </c>
    </row>
    <row r="2855">
      <c r="A2855" s="336" t="str">
        <f>IFERROR(__xludf.DUMMYFUNCTION("""COMPUTED_VALUE"""),"10.1037/0022-3514.94.4.672")</f>
        <v>10.1037/0022-3514.94.4.672</v>
      </c>
      <c r="B2855" s="442" t="str">
        <f>IFERROR(__xludf.DUMMYFUNCTION("""COMPUTED_VALUE"""),"https://drive.google.com/file/d/1mE5XaAsbpzpaVByGMY_Y-yHafY0h2G_x/view?usp=drivesdk")</f>
        <v>https://drive.google.com/file/d/1mE5XaAsbpzpaVByGMY_Y-yHafY0h2G_x/view?usp=drivesdk</v>
      </c>
      <c r="C2855" s="336" t="str">
        <f>IFERROR(__xludf.DUMMYFUNCTION("""COMPUTED_VALUE"""),"10.1037--0022-3514.94.4.672.pdf")</f>
        <v>10.1037--0022-3514.94.4.672.pdf</v>
      </c>
      <c r="D2855" s="156" t="str">
        <f>IFERROR(__xludf.DUMMYFUNCTION("""COMPUTED_VALUE"""),"application/pdf")</f>
        <v>application/pdf</v>
      </c>
    </row>
    <row r="2856">
      <c r="A2856" s="336" t="str">
        <f>IFERROR(__xludf.DUMMYFUNCTION("""COMPUTED_VALUE"""),"10.1037/0022-3514.94.4.647")</f>
        <v>10.1037/0022-3514.94.4.647</v>
      </c>
      <c r="B2856" s="442" t="str">
        <f>IFERROR(__xludf.DUMMYFUNCTION("""COMPUTED_VALUE"""),"https://drive.google.com/file/d/1y8mrTT7_nUvHiOOj_Est9-y7QPFPn7bM/view?usp=drivesdk")</f>
        <v>https://drive.google.com/file/d/1y8mrTT7_nUvHiOOj_Est9-y7QPFPn7bM/view?usp=drivesdk</v>
      </c>
      <c r="C2856" s="336" t="str">
        <f>IFERROR(__xludf.DUMMYFUNCTION("""COMPUTED_VALUE"""),"10.1037--0022-3514.94.4.647.pdf")</f>
        <v>10.1037--0022-3514.94.4.647.pdf</v>
      </c>
      <c r="D2856" s="156" t="str">
        <f>IFERROR(__xludf.DUMMYFUNCTION("""COMPUTED_VALUE"""),"application/pdf")</f>
        <v>application/pdf</v>
      </c>
    </row>
    <row r="2857">
      <c r="A2857" s="336" t="str">
        <f>IFERROR(__xludf.DUMMYFUNCTION("""COMPUTED_VALUE"""),"10.1037/0022-3514.94.4.615")</f>
        <v>10.1037/0022-3514.94.4.615</v>
      </c>
      <c r="B2857" s="442" t="str">
        <f>IFERROR(__xludf.DUMMYFUNCTION("""COMPUTED_VALUE"""),"https://drive.google.com/file/d/1VyZodnC88TkBiX9hwQqLISstx0--OlF9/view?usp=drivesdk")</f>
        <v>https://drive.google.com/file/d/1VyZodnC88TkBiX9hwQqLISstx0--OlF9/view?usp=drivesdk</v>
      </c>
      <c r="C2857" s="336" t="str">
        <f>IFERROR(__xludf.DUMMYFUNCTION("""COMPUTED_VALUE"""),"10.1037--0022-3514.94.4.615.pdf")</f>
        <v>10.1037--0022-3514.94.4.615.pdf</v>
      </c>
      <c r="D2857" s="156" t="str">
        <f>IFERROR(__xludf.DUMMYFUNCTION("""COMPUTED_VALUE"""),"application/pdf")</f>
        <v>application/pdf</v>
      </c>
    </row>
    <row r="2858">
      <c r="A2858" s="336" t="str">
        <f>IFERROR(__xludf.DUMMYFUNCTION("""COMPUTED_VALUE"""),"10.1037/0022-3514.94.4.631")</f>
        <v>10.1037/0022-3514.94.4.631</v>
      </c>
      <c r="B2858" s="442" t="str">
        <f>IFERROR(__xludf.DUMMYFUNCTION("""COMPUTED_VALUE"""),"https://drive.google.com/file/d/1m4aJwxOLHaW6W9BHJ4qrcFGnuaciz1IC/view?usp=drivesdk")</f>
        <v>https://drive.google.com/file/d/1m4aJwxOLHaW6W9BHJ4qrcFGnuaciz1IC/view?usp=drivesdk</v>
      </c>
      <c r="C2858" s="336" t="str">
        <f>IFERROR(__xludf.DUMMYFUNCTION("""COMPUTED_VALUE"""),"10.1037--0022-3514.94.4.631.pdf")</f>
        <v>10.1037--0022-3514.94.4.631.pdf</v>
      </c>
      <c r="D2858" s="156" t="str">
        <f>IFERROR(__xludf.DUMMYFUNCTION("""COMPUTED_VALUE"""),"application/pdf")</f>
        <v>application/pdf</v>
      </c>
    </row>
    <row r="2859">
      <c r="A2859" s="336" t="str">
        <f>IFERROR(__xludf.DUMMYFUNCTION("""COMPUTED_VALUE"""),"10.1037/0022-3514.94.4.579")</f>
        <v>10.1037/0022-3514.94.4.579</v>
      </c>
      <c r="B2859" s="442" t="str">
        <f>IFERROR(__xludf.DUMMYFUNCTION("""COMPUTED_VALUE"""),"https://drive.google.com/file/d/1TnJyaUoRrpzVV53y8GXds5wdlyuM-9mX/view?usp=drivesdk")</f>
        <v>https://drive.google.com/file/d/1TnJyaUoRrpzVV53y8GXds5wdlyuM-9mX/view?usp=drivesdk</v>
      </c>
      <c r="C2859" s="336" t="str">
        <f>IFERROR(__xludf.DUMMYFUNCTION("""COMPUTED_VALUE"""),"10.1037--0022-3514.94.4.579.pdf")</f>
        <v>10.1037--0022-3514.94.4.579.pdf</v>
      </c>
      <c r="D2859" s="156" t="str">
        <f>IFERROR(__xludf.DUMMYFUNCTION("""COMPUTED_VALUE"""),"application/pdf")</f>
        <v>application/pdf</v>
      </c>
    </row>
    <row r="2860">
      <c r="A2860" s="336" t="str">
        <f>IFERROR(__xludf.DUMMYFUNCTION("""COMPUTED_VALUE"""),"10.1037/0022-3514.94.3.545")</f>
        <v>10.1037/0022-3514.94.3.545</v>
      </c>
      <c r="B2860" s="442" t="str">
        <f>IFERROR(__xludf.DUMMYFUNCTION("""COMPUTED_VALUE"""),"https://drive.google.com/file/d/16Fdz5Q4hZTnIAAvzSPJ1UmDOOND5AaDe/view?usp=drivesdk")</f>
        <v>https://drive.google.com/file/d/16Fdz5Q4hZTnIAAvzSPJ1UmDOOND5AaDe/view?usp=drivesdk</v>
      </c>
      <c r="C2860" s="336" t="str">
        <f>IFERROR(__xludf.DUMMYFUNCTION("""COMPUTED_VALUE"""),"10.1037--0022-3514.94.3.545.pdf")</f>
        <v>10.1037--0022-3514.94.3.545.pdf</v>
      </c>
      <c r="D2860" s="156" t="str">
        <f>IFERROR(__xludf.DUMMYFUNCTION("""COMPUTED_VALUE"""),"application/pdf")</f>
        <v>application/pdf</v>
      </c>
    </row>
    <row r="2861">
      <c r="A2861" s="336" t="str">
        <f>IFERROR(__xludf.DUMMYFUNCTION("""COMPUTED_VALUE"""),"10.1037/0022-3514.94.3.531")</f>
        <v>10.1037/0022-3514.94.3.531</v>
      </c>
      <c r="B2861" s="442" t="str">
        <f>IFERROR(__xludf.DUMMYFUNCTION("""COMPUTED_VALUE"""),"https://drive.google.com/file/d/14LrYEERHFe3i5aIlqqcm_uO0CiKkW1y2/view?usp=drivesdk")</f>
        <v>https://drive.google.com/file/d/14LrYEERHFe3i5aIlqqcm_uO0CiKkW1y2/view?usp=drivesdk</v>
      </c>
      <c r="C2861" s="336" t="str">
        <f>IFERROR(__xludf.DUMMYFUNCTION("""COMPUTED_VALUE"""),"10.1037--0022-3514.94.3.531.pdf")</f>
        <v>10.1037--0022-3514.94.3.531.pdf</v>
      </c>
      <c r="D2861" s="156" t="str">
        <f>IFERROR(__xludf.DUMMYFUNCTION("""COMPUTED_VALUE"""),"application/pdf")</f>
        <v>application/pdf</v>
      </c>
    </row>
    <row r="2862">
      <c r="A2862" s="336" t="str">
        <f>IFERROR(__xludf.DUMMYFUNCTION("""COMPUTED_VALUE"""),"10.1037/0022-3514.94.3.516")</f>
        <v>10.1037/0022-3514.94.3.516</v>
      </c>
      <c r="B2862" s="442" t="str">
        <f>IFERROR(__xludf.DUMMYFUNCTION("""COMPUTED_VALUE"""),"https://drive.google.com/file/d/1IyaF2VJcgVfWLGGRX0Pw4RnInw7LvfCb/view?usp=drivesdk")</f>
        <v>https://drive.google.com/file/d/1IyaF2VJcgVfWLGGRX0Pw4RnInw7LvfCb/view?usp=drivesdk</v>
      </c>
      <c r="C2862" s="336" t="str">
        <f>IFERROR(__xludf.DUMMYFUNCTION("""COMPUTED_VALUE"""),"10.1037--0022-3514.94.3.516.pdf")</f>
        <v>10.1037--0022-3514.94.3.516.pdf</v>
      </c>
      <c r="D2862" s="156" t="str">
        <f>IFERROR(__xludf.DUMMYFUNCTION("""COMPUTED_VALUE"""),"application/pdf")</f>
        <v>application/pdf</v>
      </c>
    </row>
    <row r="2863">
      <c r="A2863" s="336" t="str">
        <f>IFERROR(__xludf.DUMMYFUNCTION("""COMPUTED_VALUE"""),"10.1037/0022-3514.94.3.495")</f>
        <v>10.1037/0022-3514.94.3.495</v>
      </c>
      <c r="B2863" s="442" t="str">
        <f>IFERROR(__xludf.DUMMYFUNCTION("""COMPUTED_VALUE"""),"https://drive.google.com/file/d/1sVDcE0S8Au1V2yPyjhNJC-dbCas3mbhd/view?usp=drivesdk")</f>
        <v>https://drive.google.com/file/d/1sVDcE0S8Au1V2yPyjhNJC-dbCas3mbhd/view?usp=drivesdk</v>
      </c>
      <c r="C2863" s="336" t="str">
        <f>IFERROR(__xludf.DUMMYFUNCTION("""COMPUTED_VALUE"""),"10.1037--0022-3514.94.3.495.pdf")</f>
        <v>10.1037--0022-3514.94.3.495.pdf</v>
      </c>
      <c r="D2863" s="156" t="str">
        <f>IFERROR(__xludf.DUMMYFUNCTION("""COMPUTED_VALUE"""),"application/pdf")</f>
        <v>application/pdf</v>
      </c>
    </row>
    <row r="2864">
      <c r="A2864" s="336" t="str">
        <f>IFERROR(__xludf.DUMMYFUNCTION("""COMPUTED_VALUE"""),"10.1037/0022-3514.94.3.479")</f>
        <v>10.1037/0022-3514.94.3.479</v>
      </c>
      <c r="B2864" s="442" t="str">
        <f>IFERROR(__xludf.DUMMYFUNCTION("""COMPUTED_VALUE"""),"https://drive.google.com/file/d/1miw0gE80AMT9hLj9igjJSpALmK9RwWFq/view?usp=drivesdk")</f>
        <v>https://drive.google.com/file/d/1miw0gE80AMT9hLj9igjJSpALmK9RwWFq/view?usp=drivesdk</v>
      </c>
      <c r="C2864" s="336" t="str">
        <f>IFERROR(__xludf.DUMMYFUNCTION("""COMPUTED_VALUE"""),"10.1037--0022-3514.94.3.479.pdf")</f>
        <v>10.1037--0022-3514.94.3.479.pdf</v>
      </c>
      <c r="D2864" s="156" t="str">
        <f>IFERROR(__xludf.DUMMYFUNCTION("""COMPUTED_VALUE"""),"application/pdf")</f>
        <v>application/pdf</v>
      </c>
    </row>
    <row r="2865">
      <c r="A2865" s="336" t="str">
        <f>IFERROR(__xludf.DUMMYFUNCTION("""COMPUTED_VALUE"""),"10.1037/0022-3514.94.3.460")</f>
        <v>10.1037/0022-3514.94.3.460</v>
      </c>
      <c r="B2865" s="442" t="str">
        <f>IFERROR(__xludf.DUMMYFUNCTION("""COMPUTED_VALUE"""),"https://drive.google.com/file/d/1C7ZFix0i5PE-sELkqelxpzSVqoZT0uXD/view?usp=drivesdk")</f>
        <v>https://drive.google.com/file/d/1C7ZFix0i5PE-sELkqelxpzSVqoZT0uXD/view?usp=drivesdk</v>
      </c>
      <c r="C2865" s="336" t="str">
        <f>IFERROR(__xludf.DUMMYFUNCTION("""COMPUTED_VALUE"""),"10.1037--0022-3514.94.3.460.pdf")</f>
        <v>10.1037--0022-3514.94.3.460.pdf</v>
      </c>
      <c r="D2865" s="156" t="str">
        <f>IFERROR(__xludf.DUMMYFUNCTION("""COMPUTED_VALUE"""),"application/pdf")</f>
        <v>application/pdf</v>
      </c>
    </row>
    <row r="2866">
      <c r="A2866" s="336" t="str">
        <f>IFERROR(__xludf.DUMMYFUNCTION("""COMPUTED_VALUE"""),"10.1037/0022-3514.94.3.412")</f>
        <v>10.1037/0022-3514.94.3.412</v>
      </c>
      <c r="B2866" s="442" t="str">
        <f>IFERROR(__xludf.DUMMYFUNCTION("""COMPUTED_VALUE"""),"https://drive.google.com/file/d/1GqlmaUqsUO52N0r1Ib1RrmaOS2VDOtqx/view?usp=drivesdk")</f>
        <v>https://drive.google.com/file/d/1GqlmaUqsUO52N0r1Ib1RrmaOS2VDOtqx/view?usp=drivesdk</v>
      </c>
      <c r="C2866" s="336" t="str">
        <f>IFERROR(__xludf.DUMMYFUNCTION("""COMPUTED_VALUE"""),"10.1037--0022-3514.94.3.412.pdf")</f>
        <v>10.1037--0022-3514.94.3.412.pdf</v>
      </c>
      <c r="D2866" s="156" t="str">
        <f>IFERROR(__xludf.DUMMYFUNCTION("""COMPUTED_VALUE"""),"application/pdf")</f>
        <v>application/pdf</v>
      </c>
    </row>
    <row r="2867">
      <c r="A2867" s="336" t="str">
        <f>IFERROR(__xludf.DUMMYFUNCTION("""COMPUTED_VALUE"""),"10.1037/0022-3514.94.3.396")</f>
        <v>10.1037/0022-3514.94.3.396</v>
      </c>
      <c r="B2867" s="442" t="str">
        <f>IFERROR(__xludf.DUMMYFUNCTION("""COMPUTED_VALUE"""),"https://drive.google.com/file/d/11YlCMyN4uuL8Bm15aAIWE8inJeqhHaiW/view?usp=drivesdk")</f>
        <v>https://drive.google.com/file/d/11YlCMyN4uuL8Bm15aAIWE8inJeqhHaiW/view?usp=drivesdk</v>
      </c>
      <c r="C2867" s="336" t="str">
        <f>IFERROR(__xludf.DUMMYFUNCTION("""COMPUTED_VALUE"""),"10.1037--0022-3514.94.3.396.pdf")</f>
        <v>10.1037--0022-3514.94.3.396.pdf</v>
      </c>
      <c r="D2867" s="156" t="str">
        <f>IFERROR(__xludf.DUMMYFUNCTION("""COMPUTED_VALUE"""),"application/pdf")</f>
        <v>application/pdf</v>
      </c>
    </row>
    <row r="2868">
      <c r="A2868" s="336" t="str">
        <f>IFERROR(__xludf.DUMMYFUNCTION("""COMPUTED_VALUE"""),"10.1037/0022-3514.94.3.382")</f>
        <v>10.1037/0022-3514.94.3.382</v>
      </c>
      <c r="B2868" s="442" t="str">
        <f>IFERROR(__xludf.DUMMYFUNCTION("""COMPUTED_VALUE"""),"https://drive.google.com/file/d/1HdBN17kLB5Dti11EcyS-dTKrGQBVVhsc/view?usp=drivesdk")</f>
        <v>https://drive.google.com/file/d/1HdBN17kLB5Dti11EcyS-dTKrGQBVVhsc/view?usp=drivesdk</v>
      </c>
      <c r="C2868" s="336" t="str">
        <f>IFERROR(__xludf.DUMMYFUNCTION("""COMPUTED_VALUE"""),"10.1037--0022-3514.94.3.382.pdf")</f>
        <v>10.1037--0022-3514.94.3.382.pdf</v>
      </c>
      <c r="D2868" s="156" t="str">
        <f>IFERROR(__xludf.DUMMYFUNCTION("""COMPUTED_VALUE"""),"application/pdf")</f>
        <v>application/pdf</v>
      </c>
    </row>
    <row r="2869">
      <c r="A2869" s="336" t="str">
        <f>IFERROR(__xludf.DUMMYFUNCTION("""COMPUTED_VALUE"""),"10.1037/0022-3514.94.3.365")</f>
        <v>10.1037/0022-3514.94.3.365</v>
      </c>
      <c r="B2869" s="442" t="str">
        <f>IFERROR(__xludf.DUMMYFUNCTION("""COMPUTED_VALUE"""),"https://drive.google.com/file/d/1IvXyE1rwA3XbGaIs71lV94KBAOASxOSW/view?usp=drivesdk")</f>
        <v>https://drive.google.com/file/d/1IvXyE1rwA3XbGaIs71lV94KBAOASxOSW/view?usp=drivesdk</v>
      </c>
      <c r="C2869" s="336" t="str">
        <f>IFERROR(__xludf.DUMMYFUNCTION("""COMPUTED_VALUE"""),"10.1037--0022-3514.94.3.365.pdf")</f>
        <v>10.1037--0022-3514.94.3.365.pdf</v>
      </c>
      <c r="D2869" s="156" t="str">
        <f>IFERROR(__xludf.DUMMYFUNCTION("""COMPUTED_VALUE"""),"application/pdf")</f>
        <v>application/pdf</v>
      </c>
    </row>
    <row r="2870">
      <c r="A2870" s="336" t="str">
        <f>IFERROR(__xludf.DUMMYFUNCTION("""COMPUTED_VALUE"""),"10.1037/0022-3514.94.2.94.2.265")</f>
        <v>10.1037/0022-3514.94.2.94.2.265</v>
      </c>
      <c r="B2870" s="442" t="str">
        <f>IFERROR(__xludf.DUMMYFUNCTION("""COMPUTED_VALUE"""),"https://drive.google.com/file/d/1bYGZGwWWVS-Gyd9EvxGZHfGkrlvQ7SVP/view?usp=drivesdk")</f>
        <v>https://drive.google.com/file/d/1bYGZGwWWVS-Gyd9EvxGZHfGkrlvQ7SVP/view?usp=drivesdk</v>
      </c>
      <c r="C2870" s="336" t="str">
        <f>IFERROR(__xludf.DUMMYFUNCTION("""COMPUTED_VALUE"""),"10.1037--0022-3514.94.2.94.2.265.pdf")</f>
        <v>10.1037--0022-3514.94.2.94.2.265.pdf</v>
      </c>
      <c r="D2870" s="156" t="str">
        <f>IFERROR(__xludf.DUMMYFUNCTION("""COMPUTED_VALUE"""),"application/pdf")</f>
        <v>application/pdf</v>
      </c>
    </row>
    <row r="2871">
      <c r="A2871" s="336" t="str">
        <f>IFERROR(__xludf.DUMMYFUNCTION("""COMPUTED_VALUE"""),"10.1037/0022-3514.94.2.347")</f>
        <v>10.1037/0022-3514.94.2.347</v>
      </c>
      <c r="B2871" s="442" t="str">
        <f>IFERROR(__xludf.DUMMYFUNCTION("""COMPUTED_VALUE"""),"https://drive.google.com/file/d/19vdYAZkCypP9hiOcyAcKHxjhTelRkEZ4/view?usp=drivesdk")</f>
        <v>https://drive.google.com/file/d/19vdYAZkCypP9hiOcyAcKHxjhTelRkEZ4/view?usp=drivesdk</v>
      </c>
      <c r="C2871" s="336" t="str">
        <f>IFERROR(__xludf.DUMMYFUNCTION("""COMPUTED_VALUE"""),"10.1037--0022-3514.94.2.347.pdf")</f>
        <v>10.1037--0022-3514.94.2.347.pdf</v>
      </c>
      <c r="D2871" s="156" t="str">
        <f>IFERROR(__xludf.DUMMYFUNCTION("""COMPUTED_VALUE"""),"application/pdf")</f>
        <v>application/pdf</v>
      </c>
    </row>
    <row r="2872">
      <c r="A2872" s="336" t="str">
        <f>IFERROR(__xludf.DUMMYFUNCTION("""COMPUTED_VALUE"""),"10.1037/0022-3514.94.2.94.2.196")</f>
        <v>10.1037/0022-3514.94.2.94.2.196</v>
      </c>
      <c r="B2872" s="442" t="str">
        <f>IFERROR(__xludf.DUMMYFUNCTION("""COMPUTED_VALUE"""),"https://drive.google.com/file/d/1UKyZSyadeWWKlD03-UFjhlFvSy-jY0H-/view?usp=drivesdk")</f>
        <v>https://drive.google.com/file/d/1UKyZSyadeWWKlD03-UFjhlFvSy-jY0H-/view?usp=drivesdk</v>
      </c>
      <c r="C2872" s="336" t="str">
        <f>IFERROR(__xludf.DUMMYFUNCTION("""COMPUTED_VALUE"""),"10.1037--0022-3514.94.2.94.2.196.pdf")</f>
        <v>10.1037--0022-3514.94.2.94.2.196.pdf</v>
      </c>
      <c r="D2872" s="156" t="str">
        <f>IFERROR(__xludf.DUMMYFUNCTION("""COMPUTED_VALUE"""),"application/pdf")</f>
        <v>application/pdf</v>
      </c>
    </row>
    <row r="2873">
      <c r="A2873" s="336" t="str">
        <f>IFERROR(__xludf.DUMMYFUNCTION("""COMPUTED_VALUE"""),"10.1037/0022-3514.94.2.320")</f>
        <v>10.1037/0022-3514.94.2.320</v>
      </c>
      <c r="B2873" s="442" t="str">
        <f>IFERROR(__xludf.DUMMYFUNCTION("""COMPUTED_VALUE"""),"https://drive.google.com/file/d/1vurpc_i_PD2QcCV7pFaYNDEu3OYapdxB/view?usp=drivesdk")</f>
        <v>https://drive.google.com/file/d/1vurpc_i_PD2QcCV7pFaYNDEu3OYapdxB/view?usp=drivesdk</v>
      </c>
      <c r="C2873" s="336" t="str">
        <f>IFERROR(__xludf.DUMMYFUNCTION("""COMPUTED_VALUE"""),"10.1037--0022-3514.94.2.320.pdf")</f>
        <v>10.1037--0022-3514.94.2.320.pdf</v>
      </c>
      <c r="D2873" s="156" t="str">
        <f>IFERROR(__xludf.DUMMYFUNCTION("""COMPUTED_VALUE"""),"application/pdf")</f>
        <v>application/pdf</v>
      </c>
    </row>
    <row r="2874">
      <c r="A2874" s="336" t="str">
        <f>IFERROR(__xludf.DUMMYFUNCTION("""COMPUTED_VALUE"""),"10.1037/0022-3514.94.2.334")</f>
        <v>10.1037/0022-3514.94.2.334</v>
      </c>
      <c r="B2874" s="442" t="str">
        <f>IFERROR(__xludf.DUMMYFUNCTION("""COMPUTED_VALUE"""),"https://drive.google.com/file/d/1zAeAQJ4eRCYPaLwYl_cQdaBV-sgsCH1E/view?usp=drivesdk")</f>
        <v>https://drive.google.com/file/d/1zAeAQJ4eRCYPaLwYl_cQdaBV-sgsCH1E/view?usp=drivesdk</v>
      </c>
      <c r="C2874" s="336" t="str">
        <f>IFERROR(__xludf.DUMMYFUNCTION("""COMPUTED_VALUE"""),"10.1037--0022-3514.94.2.334.pdf")</f>
        <v>10.1037--0022-3514.94.2.334.pdf</v>
      </c>
      <c r="D2874" s="156" t="str">
        <f>IFERROR(__xludf.DUMMYFUNCTION("""COMPUTED_VALUE"""),"application/pdf")</f>
        <v>application/pdf</v>
      </c>
    </row>
    <row r="2875">
      <c r="A2875" s="336" t="str">
        <f>IFERROR(__xludf.DUMMYFUNCTION("""COMPUTED_VALUE"""),"10.1037/0022-3514.94.2.307")</f>
        <v>10.1037/0022-3514.94.2.307</v>
      </c>
      <c r="B2875" s="442" t="str">
        <f>IFERROR(__xludf.DUMMYFUNCTION("""COMPUTED_VALUE"""),"https://drive.google.com/file/d/1AyZRwIvNXJpAjxVsANAKksDd3obuF0oL/view?usp=drivesdk")</f>
        <v>https://drive.google.com/file/d/1AyZRwIvNXJpAjxVsANAKksDd3obuF0oL/view?usp=drivesdk</v>
      </c>
      <c r="C2875" s="336" t="str">
        <f>IFERROR(__xludf.DUMMYFUNCTION("""COMPUTED_VALUE"""),"10.1037--0022-3514.94.2.307.pdf")</f>
        <v>10.1037--0022-3514.94.2.307.pdf</v>
      </c>
      <c r="D2875" s="156" t="str">
        <f>IFERROR(__xludf.DUMMYFUNCTION("""COMPUTED_VALUE"""),"application/pdf")</f>
        <v>application/pdf</v>
      </c>
    </row>
    <row r="2876">
      <c r="A2876" s="336" t="str">
        <f>IFERROR(__xludf.DUMMYFUNCTION("""COMPUTED_VALUE"""),"10.1037/0022-3514.94.2.292")</f>
        <v>10.1037/0022-3514.94.2.292</v>
      </c>
      <c r="B2876" s="442" t="str">
        <f>IFERROR(__xludf.DUMMYFUNCTION("""COMPUTED_VALUE"""),"https://drive.google.com/file/d/1DNgz6zvVyJc9CChGs4IXCI5an4Rzk7nB/view?usp=drivesdk")</f>
        <v>https://drive.google.com/file/d/1DNgz6zvVyJc9CChGs4IXCI5an4Rzk7nB/view?usp=drivesdk</v>
      </c>
      <c r="C2876" s="336" t="str">
        <f>IFERROR(__xludf.DUMMYFUNCTION("""COMPUTED_VALUE"""),"10.1037--0022-3514.94.2.292.pdf")</f>
        <v>10.1037--0022-3514.94.2.292.pdf</v>
      </c>
      <c r="D2876" s="156" t="str">
        <f>IFERROR(__xludf.DUMMYFUNCTION("""COMPUTED_VALUE"""),"application/pdf")</f>
        <v>application/pdf</v>
      </c>
    </row>
    <row r="2877">
      <c r="A2877" s="336" t="str">
        <f>IFERROR(__xludf.DUMMYFUNCTION("""COMPUTED_VALUE"""),"10.1037/0022-3514.94.2.278")</f>
        <v>10.1037/0022-3514.94.2.278</v>
      </c>
      <c r="B2877" s="442" t="str">
        <f>IFERROR(__xludf.DUMMYFUNCTION("""COMPUTED_VALUE"""),"https://drive.google.com/file/d/1BsnS4DPT2KmhjBeBNNcE4-t0vz9t8bBu/view?usp=drivesdk")</f>
        <v>https://drive.google.com/file/d/1BsnS4DPT2KmhjBeBNNcE4-t0vz9t8bBu/view?usp=drivesdk</v>
      </c>
      <c r="C2877" s="336" t="str">
        <f>IFERROR(__xludf.DUMMYFUNCTION("""COMPUTED_VALUE"""),"10.1037--0022-3514.94.2.278.pdf")</f>
        <v>10.1037--0022-3514.94.2.278.pdf</v>
      </c>
      <c r="D2877" s="156" t="str">
        <f>IFERROR(__xludf.DUMMYFUNCTION("""COMPUTED_VALUE"""),"application/pdf")</f>
        <v>application/pdf</v>
      </c>
    </row>
    <row r="2878">
      <c r="A2878" s="336" t="str">
        <f>IFERROR(__xludf.DUMMYFUNCTION("""COMPUTED_VALUE"""),"10.1037/0022-3514.94.2.245")</f>
        <v>10.1037/0022-3514.94.2.245</v>
      </c>
      <c r="B2878" s="442" t="str">
        <f>IFERROR(__xludf.DUMMYFUNCTION("""COMPUTED_VALUE"""),"https://drive.google.com/file/d/1eQcmhUZAM11qxH-mwM6jAouV_rCECXvM/view?usp=drivesdk")</f>
        <v>https://drive.google.com/file/d/1eQcmhUZAM11qxH-mwM6jAouV_rCECXvM/view?usp=drivesdk</v>
      </c>
      <c r="C2878" s="336" t="str">
        <f>IFERROR(__xludf.DUMMYFUNCTION("""COMPUTED_VALUE"""),"10.1037--0022-3514.94.2.245.pdf")</f>
        <v>10.1037--0022-3514.94.2.245.pdf</v>
      </c>
      <c r="D2878" s="156" t="str">
        <f>IFERROR(__xludf.DUMMYFUNCTION("""COMPUTED_VALUE"""),"application/pdf")</f>
        <v>application/pdf</v>
      </c>
    </row>
    <row r="2879">
      <c r="A2879" s="336" t="str">
        <f>IFERROR(__xludf.DUMMYFUNCTION("""COMPUTED_VALUE"""),"10.1037/0022-3514.94.2.183")</f>
        <v>10.1037/0022-3514.94.2.183</v>
      </c>
      <c r="B2879" s="442" t="str">
        <f>IFERROR(__xludf.DUMMYFUNCTION("""COMPUTED_VALUE"""),"https://drive.google.com/file/d/19DaZ3U3kDTGt8DNgyBPYTrh0pbrw_vwe/view?usp=drivesdk")</f>
        <v>https://drive.google.com/file/d/19DaZ3U3kDTGt8DNgyBPYTrh0pbrw_vwe/view?usp=drivesdk</v>
      </c>
      <c r="C2879" s="336" t="str">
        <f>IFERROR(__xludf.DUMMYFUNCTION("""COMPUTED_VALUE"""),"10.1037--0022-3514.94.2.183.pdf")</f>
        <v>10.1037--0022-3514.94.2.183.pdf</v>
      </c>
      <c r="D2879" s="156" t="str">
        <f>IFERROR(__xludf.DUMMYFUNCTION("""COMPUTED_VALUE"""),"application/pdf")</f>
        <v>application/pdf</v>
      </c>
    </row>
    <row r="2880">
      <c r="A2880" s="336" t="str">
        <f>IFERROR(__xludf.DUMMYFUNCTION("""COMPUTED_VALUE"""),"10.1037/0022-3514.94.1.91")</f>
        <v>10.1037/0022-3514.94.1.91</v>
      </c>
      <c r="B2880" s="442" t="str">
        <f>IFERROR(__xludf.DUMMYFUNCTION("""COMPUTED_VALUE"""),"https://drive.google.com/file/d/1Ic6aADz9FFftbyqRAxUFmh-o53coOang/view?usp=drivesdk")</f>
        <v>https://drive.google.com/file/d/1Ic6aADz9FFftbyqRAxUFmh-o53coOang/view?usp=drivesdk</v>
      </c>
      <c r="C2880" s="336" t="str">
        <f>IFERROR(__xludf.DUMMYFUNCTION("""COMPUTED_VALUE"""),"10.1037--0022-3514.94.1.91.pdf")</f>
        <v>10.1037--0022-3514.94.1.91.pdf</v>
      </c>
      <c r="D2880" s="156" t="str">
        <f>IFERROR(__xludf.DUMMYFUNCTION("""COMPUTED_VALUE"""),"application/pdf")</f>
        <v>application/pdf</v>
      </c>
    </row>
    <row r="2881">
      <c r="A2881" s="336" t="str">
        <f>IFERROR(__xludf.DUMMYFUNCTION("""COMPUTED_VALUE"""),"10.1037/0022-3514.94.1.75")</f>
        <v>10.1037/0022-3514.94.1.75</v>
      </c>
      <c r="B2881" s="442" t="str">
        <f>IFERROR(__xludf.DUMMYFUNCTION("""COMPUTED_VALUE"""),"https://drive.google.com/file/d/1xLFc8vMa_e-vbBQWCNykjr3P59Pc0jMD/view?usp=drivesdk")</f>
        <v>https://drive.google.com/file/d/1xLFc8vMa_e-vbBQWCNykjr3P59Pc0jMD/view?usp=drivesdk</v>
      </c>
      <c r="C2881" s="336" t="str">
        <f>IFERROR(__xludf.DUMMYFUNCTION("""COMPUTED_VALUE"""),"10.1037--0022-3514.94.1.75.pdf")</f>
        <v>10.1037--0022-3514.94.1.75.pdf</v>
      </c>
      <c r="D2881" s="156" t="str">
        <f>IFERROR(__xludf.DUMMYFUNCTION("""COMPUTED_VALUE"""),"application/pdf")</f>
        <v>application/pdf</v>
      </c>
    </row>
    <row r="2882">
      <c r="A2882" s="336" t="str">
        <f>IFERROR(__xludf.DUMMYFUNCTION("""COMPUTED_VALUE"""),"10.1037/0022-3514.94.1.32")</f>
        <v>10.1037/0022-3514.94.1.32</v>
      </c>
      <c r="B2882" s="442" t="str">
        <f>IFERROR(__xludf.DUMMYFUNCTION("""COMPUTED_VALUE"""),"https://drive.google.com/file/d/1ncVTI_fg7cD5uuZLiCCdO3WT5ewLkA-V/view?usp=drivesdk")</f>
        <v>https://drive.google.com/file/d/1ncVTI_fg7cD5uuZLiCCdO3WT5ewLkA-V/view?usp=drivesdk</v>
      </c>
      <c r="C2882" s="336" t="str">
        <f>IFERROR(__xludf.DUMMYFUNCTION("""COMPUTED_VALUE"""),"10.1037--0022-3514.94.1.32.pdf")</f>
        <v>10.1037--0022-3514.94.1.32.pdf</v>
      </c>
      <c r="D2882" s="156" t="str">
        <f>IFERROR(__xludf.DUMMYFUNCTION("""COMPUTED_VALUE"""),"application/pdf")</f>
        <v>application/pdf</v>
      </c>
    </row>
    <row r="2883">
      <c r="A2883" s="336" t="str">
        <f>IFERROR(__xludf.DUMMYFUNCTION("""COMPUTED_VALUE"""),"10.1037/0022-3514.94.1.158")</f>
        <v>10.1037/0022-3514.94.1.158</v>
      </c>
      <c r="B2883" s="442" t="str">
        <f>IFERROR(__xludf.DUMMYFUNCTION("""COMPUTED_VALUE"""),"https://drive.google.com/file/d/1FHV-u9hbFTbf5tQRw4AZBWXvlnvbsJuW/view?usp=drivesdk")</f>
        <v>https://drive.google.com/file/d/1FHV-u9hbFTbf5tQRw4AZBWXvlnvbsJuW/view?usp=drivesdk</v>
      </c>
      <c r="C2883" s="336" t="str">
        <f>IFERROR(__xludf.DUMMYFUNCTION("""COMPUTED_VALUE"""),"10.1037--0022-3514.94.1.158.pdf")</f>
        <v>10.1037--0022-3514.94.1.158.pdf</v>
      </c>
      <c r="D2883" s="156" t="str">
        <f>IFERROR(__xludf.DUMMYFUNCTION("""COMPUTED_VALUE"""),"application/pdf")</f>
        <v>application/pdf</v>
      </c>
    </row>
    <row r="2884">
      <c r="A2884" s="336" t="str">
        <f>IFERROR(__xludf.DUMMYFUNCTION("""COMPUTED_VALUE"""),"10.1037/0022-3514.94.1.146")</f>
        <v>10.1037/0022-3514.94.1.146</v>
      </c>
      <c r="B2884" s="442" t="str">
        <f>IFERROR(__xludf.DUMMYFUNCTION("""COMPUTED_VALUE"""),"https://drive.google.com/file/d/1nm54o08eR4eFyMACR3wylzblVad7ZF5C/view?usp=drivesdk")</f>
        <v>https://drive.google.com/file/d/1nm54o08eR4eFyMACR3wylzblVad7ZF5C/view?usp=drivesdk</v>
      </c>
      <c r="C2884" s="336" t="str">
        <f>IFERROR(__xludf.DUMMYFUNCTION("""COMPUTED_VALUE"""),"10.1037--0022-3514.94.1.146.pdf")</f>
        <v>10.1037--0022-3514.94.1.146.pdf</v>
      </c>
      <c r="D2884" s="156" t="str">
        <f>IFERROR(__xludf.DUMMYFUNCTION("""COMPUTED_VALUE"""),"application/pdf")</f>
        <v>application/pdf</v>
      </c>
    </row>
    <row r="2885">
      <c r="A2885" s="336" t="str">
        <f>IFERROR(__xludf.DUMMYFUNCTION("""COMPUTED_VALUE"""),"10.1037/0022-3514.94.1.16")</f>
        <v>10.1037/0022-3514.94.1.16</v>
      </c>
      <c r="B2885" s="442" t="str">
        <f>IFERROR(__xludf.DUMMYFUNCTION("""COMPUTED_VALUE"""),"https://drive.google.com/file/d/1yQorPB990ECp--s5Y810aRf0XfraQ5Wv/view?usp=drivesdk")</f>
        <v>https://drive.google.com/file/d/1yQorPB990ECp--s5Y810aRf0XfraQ5Wv/view?usp=drivesdk</v>
      </c>
      <c r="C2885" s="336" t="str">
        <f>IFERROR(__xludf.DUMMYFUNCTION("""COMPUTED_VALUE"""),"10.1037--0022-3514.94.1.16.pdf")</f>
        <v>10.1037--0022-3514.94.1.16.pdf</v>
      </c>
      <c r="D2885" s="156" t="str">
        <f>IFERROR(__xludf.DUMMYFUNCTION("""COMPUTED_VALUE"""),"application/pdf")</f>
        <v>application/pdf</v>
      </c>
    </row>
    <row r="2886">
      <c r="A2886" s="336" t="str">
        <f>IFERROR(__xludf.DUMMYFUNCTION("""COMPUTED_VALUE"""),"10.1037/0022-3514.94.1.133")</f>
        <v>10.1037/0022-3514.94.1.133</v>
      </c>
      <c r="B2886" s="442" t="str">
        <f>IFERROR(__xludf.DUMMYFUNCTION("""COMPUTED_VALUE"""),"https://drive.google.com/file/d/1PVqGipSN12augdNc_SE5KUYf7kJ8pMxh/view?usp=drivesdk")</f>
        <v>https://drive.google.com/file/d/1PVqGipSN12augdNc_SE5KUYf7kJ8pMxh/view?usp=drivesdk</v>
      </c>
      <c r="C2886" s="336" t="str">
        <f>IFERROR(__xludf.DUMMYFUNCTION("""COMPUTED_VALUE"""),"10.1037--0022-3514.94.1.133.pdf")</f>
        <v>10.1037--0022-3514.94.1.133.pdf</v>
      </c>
      <c r="D2886" s="156" t="str">
        <f>IFERROR(__xludf.DUMMYFUNCTION("""COMPUTED_VALUE"""),"application/pdf")</f>
        <v>application/pdf</v>
      </c>
    </row>
    <row r="2887">
      <c r="A2887" s="336" t="str">
        <f>IFERROR(__xludf.DUMMYFUNCTION("""COMPUTED_VALUE"""),"10.1037/0022-3514.94.1.108")</f>
        <v>10.1037/0022-3514.94.1.108</v>
      </c>
      <c r="B2887" s="442" t="str">
        <f>IFERROR(__xludf.DUMMYFUNCTION("""COMPUTED_VALUE"""),"https://drive.google.com/file/d/16pozz0lmJju_YmH6O5UipsG8QfWJ1JK7/view?usp=drivesdk")</f>
        <v>https://drive.google.com/file/d/16pozz0lmJju_YmH6O5UipsG8QfWJ1JK7/view?usp=drivesdk</v>
      </c>
      <c r="C2887" s="336" t="str">
        <f>IFERROR(__xludf.DUMMYFUNCTION("""COMPUTED_VALUE"""),"10.1037--0022-3514.94.1.108.pdf")</f>
        <v>10.1037--0022-3514.94.1.108.pdf</v>
      </c>
      <c r="D2887" s="156" t="str">
        <f>IFERROR(__xludf.DUMMYFUNCTION("""COMPUTED_VALUE"""),"application/pdf")</f>
        <v>application/pdf</v>
      </c>
    </row>
    <row r="2888">
      <c r="A2888" s="336" t="str">
        <f>IFERROR(__xludf.DUMMYFUNCTION("""COMPUTED_VALUE"""),"10.1037/0022-3514.94.1.1")</f>
        <v>10.1037/0022-3514.94.1.1</v>
      </c>
      <c r="B2888" s="442" t="str">
        <f>IFERROR(__xludf.DUMMYFUNCTION("""COMPUTED_VALUE"""),"https://drive.google.com/file/d/1GCFNtGI_d_CgIPtrM02hpi0r-UNQaVqq/view?usp=drivesdk")</f>
        <v>https://drive.google.com/file/d/1GCFNtGI_d_CgIPtrM02hpi0r-UNQaVqq/view?usp=drivesdk</v>
      </c>
      <c r="C2888" s="336" t="str">
        <f>IFERROR(__xludf.DUMMYFUNCTION("""COMPUTED_VALUE"""),"10.1037--0022-3514.94.1.1.pdf")</f>
        <v>10.1037--0022-3514.94.1.1.pdf</v>
      </c>
      <c r="D2888" s="156" t="str">
        <f>IFERROR(__xludf.DUMMYFUNCTION("""COMPUTED_VALUE"""),"application/pdf")</f>
        <v>application/pdf</v>
      </c>
    </row>
    <row r="2889">
      <c r="A2889" s="336" t="str">
        <f>IFERROR(__xludf.DUMMYFUNCTION("""COMPUTED_VALUE"""),"10.1037/0022-3514.92.2.325.")</f>
        <v>10.1037/0022-3514.92.2.325.</v>
      </c>
      <c r="B2889" s="442" t="str">
        <f>IFERROR(__xludf.DUMMYFUNCTION("""COMPUTED_VALUE"""),"https://drive.google.com/file/d/15sRpGf5hZHB_mBs0FOiW6Zm0N2TupmUX/view?usp=drivesdk")</f>
        <v>https://drive.google.com/file/d/15sRpGf5hZHB_mBs0FOiW6Zm0N2TupmUX/view?usp=drivesdk</v>
      </c>
      <c r="C2889" s="336" t="str">
        <f>IFERROR(__xludf.DUMMYFUNCTION("""COMPUTED_VALUE"""),"10.1037--0022-3514.92.2.325..pdf")</f>
        <v>10.1037--0022-3514.92.2.325..pdf</v>
      </c>
      <c r="D2889" s="156" t="str">
        <f>IFERROR(__xludf.DUMMYFUNCTION("""COMPUTED_VALUE"""),"application/pdf")</f>
        <v>application/pdf</v>
      </c>
    </row>
    <row r="2890">
      <c r="A2890" s="336" t="str">
        <f>IFERROR(__xludf.DUMMYFUNCTION("""COMPUTED_VALUE"""),"10.1037/0022-3514.92.2.325")</f>
        <v>10.1037/0022-3514.92.2.325</v>
      </c>
      <c r="B2890" s="442" t="str">
        <f>IFERROR(__xludf.DUMMYFUNCTION("""COMPUTED_VALUE"""),"https://drive.google.com/file/d/1gBF1OSh84_PEaQuwMpzqMOVewrJw3LKJ/view?usp=drivesdk")</f>
        <v>https://drive.google.com/file/d/1gBF1OSh84_PEaQuwMpzqMOVewrJw3LKJ/view?usp=drivesdk</v>
      </c>
      <c r="C2890" s="336" t="str">
        <f>IFERROR(__xludf.DUMMYFUNCTION("""COMPUTED_VALUE"""),"10.1037--0022-3514.92.2.325.pdf")</f>
        <v>10.1037--0022-3514.92.2.325.pdf</v>
      </c>
      <c r="D2890" s="156" t="str">
        <f>IFERROR(__xludf.DUMMYFUNCTION("""COMPUTED_VALUE"""),"application/pdf")</f>
        <v>application/pdf</v>
      </c>
    </row>
    <row r="2891">
      <c r="A2891" s="336" t="str">
        <f>IFERROR(__xludf.DUMMYFUNCTION("""COMPUTED_VALUE"""),"10.1037/0022-3514.90.2.197")</f>
        <v>10.1037/0022-3514.90.2.197</v>
      </c>
      <c r="B2891" s="442" t="str">
        <f>IFERROR(__xludf.DUMMYFUNCTION("""COMPUTED_VALUE"""),"https://drive.google.com/file/d/1phqaJhapFhd9zISsdxBpoS9hsiQRiWsp/view?usp=drivesdk")</f>
        <v>https://drive.google.com/file/d/1phqaJhapFhd9zISsdxBpoS9hsiQRiWsp/view?usp=drivesdk</v>
      </c>
      <c r="C2891" s="336" t="str">
        <f>IFERROR(__xludf.DUMMYFUNCTION("""COMPUTED_VALUE"""),"10.1037--0022-3514.90.2.197.pdf")</f>
        <v>10.1037--0022-3514.90.2.197.pdf</v>
      </c>
      <c r="D2891" s="156" t="str">
        <f>IFERROR(__xludf.DUMMYFUNCTION("""COMPUTED_VALUE"""),"application/pdf")</f>
        <v>application/pdf</v>
      </c>
    </row>
    <row r="2892">
      <c r="A2892" s="336" t="str">
        <f>IFERROR(__xludf.DUMMYFUNCTION("""COMPUTED_VALUE"""),"10.1037/0022-3514.86.5.680")</f>
        <v>10.1037/0022-3514.86.5.680</v>
      </c>
      <c r="B2892" s="442" t="str">
        <f>IFERROR(__xludf.DUMMYFUNCTION("""COMPUTED_VALUE"""),"https://drive.google.com/file/d/1U3iYKdJmayaWRmdIBpM8EqJ5dcQwXvZG/view?usp=drivesdk")</f>
        <v>https://drive.google.com/file/d/1U3iYKdJmayaWRmdIBpM8EqJ5dcQwXvZG/view?usp=drivesdk</v>
      </c>
      <c r="C2892" s="336" t="str">
        <f>IFERROR(__xludf.DUMMYFUNCTION("""COMPUTED_VALUE"""),"10.1037--0022-3514.86.5.680.pdf")</f>
        <v>10.1037--0022-3514.86.5.680.pdf</v>
      </c>
      <c r="D2892" s="156" t="str">
        <f>IFERROR(__xludf.DUMMYFUNCTION("""COMPUTED_VALUE"""),"application/pdf")</f>
        <v>application/pdf</v>
      </c>
    </row>
    <row r="2893">
      <c r="A2893" s="336" t="str">
        <f>IFERROR(__xludf.DUMMYFUNCTION("""COMPUTED_VALUE"""),"10.1037/0022-3514.85.1.47")</f>
        <v>10.1037/0022-3514.85.1.47</v>
      </c>
      <c r="B2893" s="442" t="str">
        <f>IFERROR(__xludf.DUMMYFUNCTION("""COMPUTED_VALUE"""),"https://drive.google.com/file/d/1D49d4qgdPtpEFR4u5CPHZteLh9QKmMcv/view?usp=drivesdk")</f>
        <v>https://drive.google.com/file/d/1D49d4qgdPtpEFR4u5CPHZteLh9QKmMcv/view?usp=drivesdk</v>
      </c>
      <c r="C2893" s="336" t="str">
        <f>IFERROR(__xludf.DUMMYFUNCTION("""COMPUTED_VALUE"""),"10.1037--0022-3514.85.1.47.pdf")</f>
        <v>10.1037--0022-3514.85.1.47.pdf</v>
      </c>
      <c r="D2893" s="156" t="str">
        <f>IFERROR(__xludf.DUMMYFUNCTION("""COMPUTED_VALUE"""),"application/pdf")</f>
        <v>application/pdf</v>
      </c>
    </row>
    <row r="2894">
      <c r="A2894" s="336" t="str">
        <f>IFERROR(__xludf.DUMMYFUNCTION("""COMPUTED_VALUE"""),"10.1037/0022-3514.85.1.33")</f>
        <v>10.1037/0022-3514.85.1.33</v>
      </c>
      <c r="B2894" s="442" t="str">
        <f>IFERROR(__xludf.DUMMYFUNCTION("""COMPUTED_VALUE"""),"https://drive.google.com/file/d/1Q7xyjTHCXVBDAcscenEerggpt0mO62P6/view?usp=drivesdk")</f>
        <v>https://drive.google.com/file/d/1Q7xyjTHCXVBDAcscenEerggpt0mO62P6/view?usp=drivesdk</v>
      </c>
      <c r="C2894" s="336" t="str">
        <f>IFERROR(__xludf.DUMMYFUNCTION("""COMPUTED_VALUE"""),"10.1037--0022-3514.85.1.33.pdf")</f>
        <v>10.1037--0022-3514.85.1.33.pdf</v>
      </c>
      <c r="D2894" s="156" t="str">
        <f>IFERROR(__xludf.DUMMYFUNCTION("""COMPUTED_VALUE"""),"application/pdf")</f>
        <v>application/pdf</v>
      </c>
    </row>
    <row r="2895">
      <c r="A2895" s="336" t="str">
        <f>IFERROR(__xludf.DUMMYFUNCTION("""COMPUTED_VALUE"""),"10.1037/0022-3514.84.4.871")</f>
        <v>10.1037/0022-3514.84.4.871</v>
      </c>
      <c r="B2895" s="442" t="str">
        <f>IFERROR(__xludf.DUMMYFUNCTION("""COMPUTED_VALUE"""),"https://drive.google.com/file/d/1bdWCubONzotNyzQtyNAEPIstDQkJSEwL/view?usp=drivesdk")</f>
        <v>https://drive.google.com/file/d/1bdWCubONzotNyzQtyNAEPIstDQkJSEwL/view?usp=drivesdk</v>
      </c>
      <c r="C2895" s="336" t="str">
        <f>IFERROR(__xludf.DUMMYFUNCTION("""COMPUTED_VALUE"""),"10.1037--0022-3514.84.4.871.pdf")</f>
        <v>10.1037--0022-3514.84.4.871.pdf</v>
      </c>
      <c r="D2895" s="156" t="str">
        <f>IFERROR(__xludf.DUMMYFUNCTION("""COMPUTED_VALUE"""),"application/pdf")</f>
        <v>application/pdf</v>
      </c>
    </row>
    <row r="2896">
      <c r="A2896" s="336" t="str">
        <f>IFERROR(__xludf.DUMMYFUNCTION("""COMPUTED_VALUE"""),"10.1037/0022-3514.84.2.411")</f>
        <v>10.1037/0022-3514.84.2.411</v>
      </c>
      <c r="B2896" s="442" t="str">
        <f>IFERROR(__xludf.DUMMYFUNCTION("""COMPUTED_VALUE"""),"https://drive.google.com/file/d/1NUoPD3eW0MR4HJ1BQoG7-ngWy5-ADbSy/view?usp=drivesdk")</f>
        <v>https://drive.google.com/file/d/1NUoPD3eW0MR4HJ1BQoG7-ngWy5-ADbSy/view?usp=drivesdk</v>
      </c>
      <c r="C2896" s="336" t="str">
        <f>IFERROR(__xludf.DUMMYFUNCTION("""COMPUTED_VALUE"""),"10.1037--0022-3514.84.2.411.pdf")</f>
        <v>10.1037--0022-3514.84.2.411.pdf</v>
      </c>
      <c r="D2896" s="156" t="str">
        <f>IFERROR(__xludf.DUMMYFUNCTION("""COMPUTED_VALUE"""),"application/pdf")</f>
        <v>application/pdf</v>
      </c>
    </row>
    <row r="2897">
      <c r="A2897" s="336" t="str">
        <f>IFERROR(__xludf.DUMMYFUNCTION("""COMPUTED_VALUE"""),"10.1037/0022-3514.84.3.582")</f>
        <v>10.1037/0022-3514.84.3.582</v>
      </c>
      <c r="B2897" s="442" t="str">
        <f>IFERROR(__xludf.DUMMYFUNCTION("""COMPUTED_VALUE"""),"https://drive.google.com/file/d/1xuFoPe4NoIX58JM0wx-8_dEId51aZij5/view?usp=drivesdk")</f>
        <v>https://drive.google.com/file/d/1xuFoPe4NoIX58JM0wx-8_dEId51aZij5/view?usp=drivesdk</v>
      </c>
      <c r="C2897" s="336" t="str">
        <f>IFERROR(__xludf.DUMMYFUNCTION("""COMPUTED_VALUE"""),"10.1037--0022-3514.84.3.582.pdf")</f>
        <v>10.1037--0022-3514.84.3.582.pdf</v>
      </c>
      <c r="D2897" s="156" t="str">
        <f>IFERROR(__xludf.DUMMYFUNCTION("""COMPUTED_VALUE"""),"application/pdf")</f>
        <v>application/pdf</v>
      </c>
    </row>
    <row r="2898">
      <c r="A2898" s="336" t="str">
        <f>IFERROR(__xludf.DUMMYFUNCTION("""COMPUTED_VALUE"""),"10.1037/0022-3514.83.5.1165")</f>
        <v>10.1037/0022-3514.83.5.1165</v>
      </c>
      <c r="B2898" s="442" t="str">
        <f>IFERROR(__xludf.DUMMYFUNCTION("""COMPUTED_VALUE"""),"https://drive.google.com/file/d/1-T4sznIFSDMlo5E8C7pS0UQqY9mrcCsK/view?usp=drivesdk")</f>
        <v>https://drive.google.com/file/d/1-T4sznIFSDMlo5E8C7pS0UQqY9mrcCsK/view?usp=drivesdk</v>
      </c>
      <c r="C2898" s="336" t="str">
        <f>IFERROR(__xludf.DUMMYFUNCTION("""COMPUTED_VALUE"""),"10.1037--0022-3514.83.5.1165.pdf")</f>
        <v>10.1037--0022-3514.83.5.1165.pdf</v>
      </c>
      <c r="D2898" s="156" t="str">
        <f>IFERROR(__xludf.DUMMYFUNCTION("""COMPUTED_VALUE"""),"application/pdf")</f>
        <v>application/pdf</v>
      </c>
    </row>
    <row r="2899">
      <c r="A2899" s="336" t="str">
        <f>IFERROR(__xludf.DUMMYFUNCTION("""COMPUTED_VALUE"""),"10.1037/0022-3514.83.5.1239")</f>
        <v>10.1037/0022-3514.83.5.1239</v>
      </c>
      <c r="B2899" s="442" t="str">
        <f>IFERROR(__xludf.DUMMYFUNCTION("""COMPUTED_VALUE"""),"https://drive.google.com/file/d/1bUFd8EhwJ36bo-2xBlOdIPnQvw_apZ06/view?usp=drivesdk")</f>
        <v>https://drive.google.com/file/d/1bUFd8EhwJ36bo-2xBlOdIPnQvw_apZ06/view?usp=drivesdk</v>
      </c>
      <c r="C2899" s="336" t="str">
        <f>IFERROR(__xludf.DUMMYFUNCTION("""COMPUTED_VALUE"""),"10.1037--0022-3514.83.5.1239.pdf")</f>
        <v>10.1037--0022-3514.83.5.1239.pdf</v>
      </c>
      <c r="D2899" s="156" t="str">
        <f>IFERROR(__xludf.DUMMYFUNCTION("""COMPUTED_VALUE"""),"application/pdf")</f>
        <v>application/pdf</v>
      </c>
    </row>
    <row r="2900">
      <c r="A2900" s="336" t="str">
        <f>IFERROR(__xludf.DUMMYFUNCTION("""COMPUTED_VALUE"""),"10.1037/0022-3514.83.1.44")</f>
        <v>10.1037/0022-3514.83.1.44</v>
      </c>
      <c r="B2900" s="442" t="str">
        <f>IFERROR(__xludf.DUMMYFUNCTION("""COMPUTED_VALUE"""),"https://drive.google.com/file/d/1fhnK_MpUTUYrtfdIB-pGhbkxyiXV1Wjs/view?usp=drivesdk")</f>
        <v>https://drive.google.com/file/d/1fhnK_MpUTUYrtfdIB-pGhbkxyiXV1Wjs/view?usp=drivesdk</v>
      </c>
      <c r="C2900" s="336" t="str">
        <f>IFERROR(__xludf.DUMMYFUNCTION("""COMPUTED_VALUE"""),"10.1037--0022-3514.83.1.44.pdf")</f>
        <v>10.1037--0022-3514.83.1.44.pdf</v>
      </c>
      <c r="D2900" s="156" t="str">
        <f>IFERROR(__xludf.DUMMYFUNCTION("""COMPUTED_VALUE"""),"application/pdf")</f>
        <v>application/pdf</v>
      </c>
    </row>
    <row r="2901">
      <c r="A2901" s="336" t="str">
        <f>IFERROR(__xludf.DUMMYFUNCTION("""COMPUTED_VALUE"""),"10.1037/0022-3514.82.5.792")</f>
        <v>10.1037/0022-3514.82.5.792</v>
      </c>
      <c r="B2901" s="442" t="str">
        <f>IFERROR(__xludf.DUMMYFUNCTION("""COMPUTED_VALUE"""),"https://drive.google.com/file/d/1yhJ17uggr6j5uXr73Jms5KP35M6RDUxL/view?usp=drivesdk")</f>
        <v>https://drive.google.com/file/d/1yhJ17uggr6j5uXr73Jms5KP35M6RDUxL/view?usp=drivesdk</v>
      </c>
      <c r="C2901" s="336" t="str">
        <f>IFERROR(__xludf.DUMMYFUNCTION("""COMPUTED_VALUE"""),"10.1037--0022-3514.82.5.792.pdf")</f>
        <v>10.1037--0022-3514.82.5.792.pdf</v>
      </c>
      <c r="D2901" s="156" t="str">
        <f>IFERROR(__xludf.DUMMYFUNCTION("""COMPUTED_VALUE"""),"application/pdf")</f>
        <v>application/pdf</v>
      </c>
    </row>
    <row r="2902">
      <c r="A2902" s="336" t="str">
        <f>IFERROR(__xludf.DUMMYFUNCTION("""COMPUTED_VALUE"""),"10.1037/0022-3514.82.6.956")</f>
        <v>10.1037/0022-3514.82.6.956</v>
      </c>
      <c r="B2902" s="442" t="str">
        <f>IFERROR(__xludf.DUMMYFUNCTION("""COMPUTED_VALUE"""),"https://drive.google.com/file/d/1lgP6sNtXAaekI_R1yb941Bj3yTw4imeR/view?usp=drivesdk")</f>
        <v>https://drive.google.com/file/d/1lgP6sNtXAaekI_R1yb941Bj3yTw4imeR/view?usp=drivesdk</v>
      </c>
      <c r="C2902" s="336" t="str">
        <f>IFERROR(__xludf.DUMMYFUNCTION("""COMPUTED_VALUE"""),"10.1037--0022-3514.82.6.956.pdf")</f>
        <v>10.1037--0022-3514.82.6.956.pdf</v>
      </c>
      <c r="D2902" s="156" t="str">
        <f>IFERROR(__xludf.DUMMYFUNCTION("""COMPUTED_VALUE"""),"application/pdf")</f>
        <v>application/pdf</v>
      </c>
    </row>
    <row r="2903">
      <c r="A2903" s="336" t="str">
        <f>IFERROR(__xludf.DUMMYFUNCTION("""COMPUTED_VALUE"""),"10.1037/0022-3514.82.1.112")</f>
        <v>10.1037/0022-3514.82.1.112</v>
      </c>
      <c r="B2903" s="442" t="str">
        <f>IFERROR(__xludf.DUMMYFUNCTION("""COMPUTED_VALUE"""),"https://drive.google.com/file/d/1KF3EmUMvFgpP_JffHNBHYjTtKalpvzRE/view?usp=drivesdk")</f>
        <v>https://drive.google.com/file/d/1KF3EmUMvFgpP_JffHNBHYjTtKalpvzRE/view?usp=drivesdk</v>
      </c>
      <c r="C2903" s="336" t="str">
        <f>IFERROR(__xludf.DUMMYFUNCTION("""COMPUTED_VALUE"""),"10.1037--0022-3514.82.1.112.pdf")</f>
        <v>10.1037--0022-3514.82.1.112.pdf</v>
      </c>
      <c r="D2903" s="156" t="str">
        <f>IFERROR(__xludf.DUMMYFUNCTION("""COMPUTED_VALUE"""),"application/pdf")</f>
        <v>application/pdf</v>
      </c>
    </row>
    <row r="2904">
      <c r="A2904" s="336" t="str">
        <f>IFERROR(__xludf.DUMMYFUNCTION("""COMPUTED_VALUE"""),"10.1037/0022-3514.81.6.1014")</f>
        <v>10.1037/0022-3514.81.6.1014</v>
      </c>
      <c r="B2904" s="442" t="str">
        <f>IFERROR(__xludf.DUMMYFUNCTION("""COMPUTED_VALUE"""),"https://drive.google.com/file/d/1UCGp2b9xQT5HVAnF4dD7JeFMbGrhzpex/view?usp=drivesdk")</f>
        <v>https://drive.google.com/file/d/1UCGp2b9xQT5HVAnF4dD7JeFMbGrhzpex/view?usp=drivesdk</v>
      </c>
      <c r="C2904" s="336" t="str">
        <f>IFERROR(__xludf.DUMMYFUNCTION("""COMPUTED_VALUE"""),"10.1037--0022-3514.81.6.1014.pdf")</f>
        <v>10.1037--0022-3514.81.6.1014.pdf</v>
      </c>
      <c r="D2904" s="156" t="str">
        <f>IFERROR(__xludf.DUMMYFUNCTION("""COMPUTED_VALUE"""),"application/pdf")</f>
        <v>application/pdf</v>
      </c>
    </row>
    <row r="2905">
      <c r="A2905" s="336" t="str">
        <f>IFERROR(__xludf.DUMMYFUNCTION("""COMPUTED_VALUE"""),"10.1037/0022-3514.81.1.116")</f>
        <v>10.1037/0022-3514.81.1.116</v>
      </c>
      <c r="B2905" s="442" t="str">
        <f>IFERROR(__xludf.DUMMYFUNCTION("""COMPUTED_VALUE"""),"https://drive.google.com/file/d/1_T47980LRcVvkPpcoUhfImG7kOlwUqEM/view?usp=drivesdk")</f>
        <v>https://drive.google.com/file/d/1_T47980LRcVvkPpcoUhfImG7kOlwUqEM/view?usp=drivesdk</v>
      </c>
      <c r="C2905" s="336" t="str">
        <f>IFERROR(__xludf.DUMMYFUNCTION("""COMPUTED_VALUE"""),"10.1037--0022-3514.81.1.116.pdf")</f>
        <v>10.1037--0022-3514.81.1.116.pdf</v>
      </c>
      <c r="D2905" s="156" t="str">
        <f>IFERROR(__xludf.DUMMYFUNCTION("""COMPUTED_VALUE"""),"application/pdf")</f>
        <v>application/pdf</v>
      </c>
    </row>
    <row r="2906">
      <c r="A2906" s="336" t="str">
        <f>IFERROR(__xludf.DUMMYFUNCTION("""COMPUTED_VALUE"""),"10.1037/0022-3514.80.6.995")</f>
        <v>10.1037/0022-3514.80.6.995</v>
      </c>
      <c r="B2906" s="442" t="str">
        <f>IFERROR(__xludf.DUMMYFUNCTION("""COMPUTED_VALUE"""),"https://drive.google.com/file/d/1-pDt7XIQ8gHle_zOW9q4-7M5_5yCo3db/view?usp=drivesdk")</f>
        <v>https://drive.google.com/file/d/1-pDt7XIQ8gHle_zOW9q4-7M5_5yCo3db/view?usp=drivesdk</v>
      </c>
      <c r="C2906" s="336" t="str">
        <f>IFERROR(__xludf.DUMMYFUNCTION("""COMPUTED_VALUE"""),"10.1037--0022-3514.80.6.995.pdf")</f>
        <v>10.1037--0022-3514.80.6.995.pdf</v>
      </c>
      <c r="D2906" s="156" t="str">
        <f>IFERROR(__xludf.DUMMYFUNCTION("""COMPUTED_VALUE"""),"application/pdf")</f>
        <v>application/pdf</v>
      </c>
    </row>
    <row r="2907">
      <c r="A2907" s="336" t="str">
        <f>IFERROR(__xludf.DUMMYFUNCTION("""COMPUTED_VALUE"""),"10.1037/0022-3514.80.6.861")</f>
        <v>10.1037/0022-3514.80.6.861</v>
      </c>
      <c r="B2907" s="442" t="str">
        <f>IFERROR(__xludf.DUMMYFUNCTION("""COMPUTED_VALUE"""),"https://drive.google.com/file/d/14sXJIUd6d9cI9KiIQjSDYIstLw99rX6Z/view?usp=drivesdk")</f>
        <v>https://drive.google.com/file/d/14sXJIUd6d9cI9KiIQjSDYIstLw99rX6Z/view?usp=drivesdk</v>
      </c>
      <c r="C2907" s="336" t="str">
        <f>IFERROR(__xludf.DUMMYFUNCTION("""COMPUTED_VALUE"""),"10.1037--0022-3514.80.6.861.pdf")</f>
        <v>10.1037--0022-3514.80.6.861.pdf</v>
      </c>
      <c r="D2907" s="156" t="str">
        <f>IFERROR(__xludf.DUMMYFUNCTION("""COMPUTED_VALUE"""),"application/pdf")</f>
        <v>application/pdf</v>
      </c>
    </row>
    <row r="2908">
      <c r="A2908" s="336" t="str">
        <f>IFERROR(__xludf.DUMMYFUNCTION("""COMPUTED_VALUE"""),"10.1037/0022-3514.77.2.221")</f>
        <v>10.1037/0022-3514.77.2.221</v>
      </c>
      <c r="B2908" s="442" t="str">
        <f>IFERROR(__xludf.DUMMYFUNCTION("""COMPUTED_VALUE"""),"https://drive.google.com/file/d/12oauQ37y0mcMDFqJ7bqVhBYq58KEsGVx/view?usp=drivesdk")</f>
        <v>https://drive.google.com/file/d/12oauQ37y0mcMDFqJ7bqVhBYq58KEsGVx/view?usp=drivesdk</v>
      </c>
      <c r="C2908" s="336" t="str">
        <f>IFERROR(__xludf.DUMMYFUNCTION("""COMPUTED_VALUE"""),"10.1037--0022-3514.77.2.221.pdf")</f>
        <v>10.1037--0022-3514.77.2.221.pdf</v>
      </c>
      <c r="D2908" s="156" t="str">
        <f>IFERROR(__xludf.DUMMYFUNCTION("""COMPUTED_VALUE"""),"application/pdf")</f>
        <v>application/pdf</v>
      </c>
    </row>
    <row r="2909">
      <c r="A2909" s="336" t="str">
        <f>IFERROR(__xludf.DUMMYFUNCTION("""COMPUTED_VALUE"""),"10.1037/0022-3514.74.4.865")</f>
        <v>10.1037/0022-3514.74.4.865</v>
      </c>
      <c r="B2909" s="442" t="str">
        <f>IFERROR(__xludf.DUMMYFUNCTION("""COMPUTED_VALUE"""),"https://drive.google.com/file/d/1MyvsQotXbWyaILWmhISzDQWsI0r_I8bs/view?usp=drivesdk")</f>
        <v>https://drive.google.com/file/d/1MyvsQotXbWyaILWmhISzDQWsI0r_I8bs/view?usp=drivesdk</v>
      </c>
      <c r="C2909" s="336" t="str">
        <f>IFERROR(__xludf.DUMMYFUNCTION("""COMPUTED_VALUE"""),"10.1037--0022-3514.74.4.865.pdf")</f>
        <v>10.1037--0022-3514.74.4.865.pdf</v>
      </c>
      <c r="D2909" s="156" t="str">
        <f>IFERROR(__xludf.DUMMYFUNCTION("""COMPUTED_VALUE"""),"application/pdf")</f>
        <v>application/pdf</v>
      </c>
    </row>
    <row r="2910">
      <c r="A2910" s="336" t="str">
        <f>IFERROR(__xludf.DUMMYFUNCTION("""COMPUTED_VALUE"""),"10.1037/0022-3514.74.1.53")</f>
        <v>10.1037/0022-3514.74.1.53</v>
      </c>
      <c r="B2910" s="442" t="str">
        <f>IFERROR(__xludf.DUMMYFUNCTION("""COMPUTED_VALUE"""),"https://drive.google.com/file/d/13sjd1O1OzYrSOURmApaPxDr_dnNuQRdk/view?usp=drivesdk")</f>
        <v>https://drive.google.com/file/d/13sjd1O1OzYrSOURmApaPxDr_dnNuQRdk/view?usp=drivesdk</v>
      </c>
      <c r="C2910" s="336" t="str">
        <f>IFERROR(__xludf.DUMMYFUNCTION("""COMPUTED_VALUE"""),"10.1037--0022-3514.74.1.53.pdf")</f>
        <v>10.1037--0022-3514.74.1.53.pdf</v>
      </c>
      <c r="D2910" s="156" t="str">
        <f>IFERROR(__xludf.DUMMYFUNCTION("""COMPUTED_VALUE"""),"application/pdf")</f>
        <v>application/pdf</v>
      </c>
    </row>
    <row r="2911">
      <c r="A2911" s="336" t="str">
        <f>IFERROR(__xludf.DUMMYFUNCTION("""COMPUTED_VALUE"""),"10.1037/0022-3514.74.3.774")</f>
        <v>10.1037/0022-3514.74.3.774</v>
      </c>
      <c r="B2911" s="442" t="str">
        <f>IFERROR(__xludf.DUMMYFUNCTION("""COMPUTED_VALUE"""),"https://drive.google.com/file/d/1jvY3Sgds8iuvtsLXHlpUqcaSBliH2tJV/view?usp=drivesdk")</f>
        <v>https://drive.google.com/file/d/1jvY3Sgds8iuvtsLXHlpUqcaSBliH2tJV/view?usp=drivesdk</v>
      </c>
      <c r="C2911" s="336" t="str">
        <f>IFERROR(__xludf.DUMMYFUNCTION("""COMPUTED_VALUE"""),"10.1037--0022-3514.74.3.774.pdf")</f>
        <v>10.1037--0022-3514.74.3.774.pdf</v>
      </c>
      <c r="D2911" s="156" t="str">
        <f>IFERROR(__xludf.DUMMYFUNCTION("""COMPUTED_VALUE"""),"application/pdf")</f>
        <v>application/pdf</v>
      </c>
    </row>
    <row r="2912">
      <c r="A2912" s="336" t="str">
        <f>IFERROR(__xludf.DUMMYFUNCTION("""COMPUTED_VALUE"""),"10.1037/0022-3514.73.4.733")</f>
        <v>10.1037/0022-3514.73.4.733</v>
      </c>
      <c r="B2912" s="442" t="str">
        <f>IFERROR(__xludf.DUMMYFUNCTION("""COMPUTED_VALUE"""),"https://drive.google.com/file/d/1FklynAHzflh7rbxQIU4qTxOz3VBhye8B/view?usp=drivesdk")</f>
        <v>https://drive.google.com/file/d/1FklynAHzflh7rbxQIU4qTxOz3VBhye8B/view?usp=drivesdk</v>
      </c>
      <c r="C2912" s="336" t="str">
        <f>IFERROR(__xludf.DUMMYFUNCTION("""COMPUTED_VALUE"""),"10.1037--0022-3514.73.4.733.pdf")</f>
        <v>10.1037--0022-3514.73.4.733.pdf</v>
      </c>
      <c r="D2912" s="156" t="str">
        <f>IFERROR(__xludf.DUMMYFUNCTION("""COMPUTED_VALUE"""),"application/pdf")</f>
        <v>application/pdf</v>
      </c>
    </row>
    <row r="2913">
      <c r="A2913" s="336" t="str">
        <f>IFERROR(__xludf.DUMMYFUNCTION("""COMPUTED_VALUE"""),"10.1037/0022-3514.71.2.230")</f>
        <v>10.1037/0022-3514.71.2.230</v>
      </c>
      <c r="B2913" s="442" t="str">
        <f>IFERROR(__xludf.DUMMYFUNCTION("""COMPUTED_VALUE"""),"https://drive.google.com/file/d/1k_ITkShMoY3bps8YyiRV8_CnbYN3486s/view?usp=drivesdk")</f>
        <v>https://drive.google.com/file/d/1k_ITkShMoY3bps8YyiRV8_CnbYN3486s/view?usp=drivesdk</v>
      </c>
      <c r="C2913" s="336" t="str">
        <f>IFERROR(__xludf.DUMMYFUNCTION("""COMPUTED_VALUE"""),"10.1037--0022-3514.71.2.230.pdf")</f>
        <v>10.1037--0022-3514.71.2.230.pdf</v>
      </c>
      <c r="D2913" s="156" t="str">
        <f>IFERROR(__xludf.DUMMYFUNCTION("""COMPUTED_VALUE"""),"application/pdf")</f>
        <v>application/pdf</v>
      </c>
    </row>
    <row r="2914">
      <c r="A2914" s="336" t="str">
        <f>IFERROR(__xludf.DUMMYFUNCTION("""COMPUTED_VALUE"""),"10.1037/0022-3514.68.5.793")</f>
        <v>10.1037/0022-3514.68.5.793</v>
      </c>
      <c r="B2914" s="442" t="str">
        <f>IFERROR(__xludf.DUMMYFUNCTION("""COMPUTED_VALUE"""),"https://drive.google.com/file/d/1D8BYqxNpLQsaWrEi9zrvQojkOgzP4Ps2/view?usp=drivesdk")</f>
        <v>https://drive.google.com/file/d/1D8BYqxNpLQsaWrEi9zrvQojkOgzP4Ps2/view?usp=drivesdk</v>
      </c>
      <c r="C2914" s="336" t="str">
        <f>IFERROR(__xludf.DUMMYFUNCTION("""COMPUTED_VALUE"""),"10.1037--0022-3514.68.5.793.pdf")</f>
        <v>10.1037--0022-3514.68.5.793.pdf</v>
      </c>
      <c r="D2914" s="156" t="str">
        <f>IFERROR(__xludf.DUMMYFUNCTION("""COMPUTED_VALUE"""),"application/pdf")</f>
        <v>application/pdf</v>
      </c>
    </row>
    <row r="2915">
      <c r="A2915" s="336" t="str">
        <f>IFERROR(__xludf.DUMMYFUNCTION("""COMPUTED_VALUE"""),"10.1037/0022-3514.67.4.627")</f>
        <v>10.1037/0022-3514.67.4.627</v>
      </c>
      <c r="B2915" s="442" t="str">
        <f>IFERROR(__xludf.DUMMYFUNCTION("""COMPUTED_VALUE"""),"https://drive.google.com/file/d/1Gz8Y3sXt39nYqKigFe7GDA_0vlPzT9eo/view?usp=drivesdk")</f>
        <v>https://drive.google.com/file/d/1Gz8Y3sXt39nYqKigFe7GDA_0vlPzT9eo/view?usp=drivesdk</v>
      </c>
      <c r="C2915" s="336" t="str">
        <f>IFERROR(__xludf.DUMMYFUNCTION("""COMPUTED_VALUE"""),"10.1037--0022-3514.67.4.627.pdf")</f>
        <v>10.1037--0022-3514.67.4.627.pdf</v>
      </c>
      <c r="D2915" s="156" t="str">
        <f>IFERROR(__xludf.DUMMYFUNCTION("""COMPUTED_VALUE"""),"application/pdf")</f>
        <v>application/pdf</v>
      </c>
    </row>
    <row r="2916">
      <c r="A2916" s="336" t="str">
        <f>IFERROR(__xludf.DUMMYFUNCTION("""COMPUTED_VALUE"""),"10.1037/0022-3514.67.3.357")</f>
        <v>10.1037/0022-3514.67.3.357</v>
      </c>
      <c r="B2916" s="442" t="str">
        <f>IFERROR(__xludf.DUMMYFUNCTION("""COMPUTED_VALUE"""),"https://drive.google.com/file/d/1OZLlA7rWPjzQ0aOsWuoK0fm_EoxUug0J/view?usp=drivesdk")</f>
        <v>https://drive.google.com/file/d/1OZLlA7rWPjzQ0aOsWuoK0fm_EoxUug0J/view?usp=drivesdk</v>
      </c>
      <c r="C2916" s="336" t="str">
        <f>IFERROR(__xludf.DUMMYFUNCTION("""COMPUTED_VALUE"""),"10.1037--0022-3514.67.3.357.pdf")</f>
        <v>10.1037--0022-3514.67.3.357.pdf</v>
      </c>
      <c r="D2916" s="156" t="str">
        <f>IFERROR(__xludf.DUMMYFUNCTION("""COMPUTED_VALUE"""),"application/pdf")</f>
        <v>application/pdf</v>
      </c>
    </row>
    <row r="2917">
      <c r="A2917" s="336" t="str">
        <f>IFERROR(__xludf.DUMMYFUNCTION("""COMPUTED_VALUE"""),"10.1037/0022-3514.63.6.989")</f>
        <v>10.1037/0022-3514.63.6.989</v>
      </c>
      <c r="B2917" s="442" t="str">
        <f>IFERROR(__xludf.DUMMYFUNCTION("""COMPUTED_VALUE"""),"https://drive.google.com/file/d/1gqSNC7SSmFXr_f_6y6GPvT5XVE36ywaR/view?usp=drivesdk")</f>
        <v>https://drive.google.com/file/d/1gqSNC7SSmFXr_f_6y6GPvT5XVE36ywaR/view?usp=drivesdk</v>
      </c>
      <c r="C2917" s="336" t="str">
        <f>IFERROR(__xludf.DUMMYFUNCTION("""COMPUTED_VALUE"""),"10.1037--0022-3514.63.6.989.pdf")</f>
        <v>10.1037--0022-3514.63.6.989.pdf</v>
      </c>
      <c r="D2917" s="156" t="str">
        <f>IFERROR(__xludf.DUMMYFUNCTION("""COMPUTED_VALUE"""),"application/pdf")</f>
        <v>application/pdf</v>
      </c>
    </row>
    <row r="2918">
      <c r="A2918" s="336" t="str">
        <f>IFERROR(__xludf.DUMMYFUNCTION("""COMPUTED_VALUE"""),"10.1037/0022-3514.62.2.229")</f>
        <v>10.1037/0022-3514.62.2.229</v>
      </c>
      <c r="B2918" s="442" t="str">
        <f>IFERROR(__xludf.DUMMYFUNCTION("""COMPUTED_VALUE"""),"https://drive.google.com/file/d/1Qb4Psh8SW__HsspPDPz8L_LN-PJY1dF6/view?usp=drivesdk")</f>
        <v>https://drive.google.com/file/d/1Qb4Psh8SW__HsspPDPz8L_LN-PJY1dF6/view?usp=drivesdk</v>
      </c>
      <c r="C2918" s="336" t="str">
        <f>IFERROR(__xludf.DUMMYFUNCTION("""COMPUTED_VALUE"""),"10.1037--0022-3514.62.2.229.pdf")</f>
        <v>10.1037--0022-3514.62.2.229.pdf</v>
      </c>
      <c r="D2918" s="156" t="str">
        <f>IFERROR(__xludf.DUMMYFUNCTION("""COMPUTED_VALUE"""),"application/pdf")</f>
        <v>application/pdf</v>
      </c>
    </row>
    <row r="2919">
      <c r="A2919" s="336" t="str">
        <f>IFERROR(__xludf.DUMMYFUNCTION("""COMPUTED_VALUE"""),"10.1037/0022-3514.54.4.569")</f>
        <v>10.1037/0022-3514.54.4.569</v>
      </c>
      <c r="B2919" s="442" t="str">
        <f>IFERROR(__xludf.DUMMYFUNCTION("""COMPUTED_VALUE"""),"https://drive.google.com/file/d/10AhKxkQ_dxZHOYRrPgNEOVokMpRacTqj/view?usp=drivesdk")</f>
        <v>https://drive.google.com/file/d/10AhKxkQ_dxZHOYRrPgNEOVokMpRacTqj/view?usp=drivesdk</v>
      </c>
      <c r="C2919" s="336" t="str">
        <f>IFERROR(__xludf.DUMMYFUNCTION("""COMPUTED_VALUE"""),"10.1037--0022-3514.54.4.569.pdf")</f>
        <v>10.1037--0022-3514.54.4.569.pdf</v>
      </c>
      <c r="D2919" s="156" t="str">
        <f>IFERROR(__xludf.DUMMYFUNCTION("""COMPUTED_VALUE"""),"application/pdf")</f>
        <v>application/pdf</v>
      </c>
    </row>
    <row r="2920">
      <c r="A2920" s="336" t="str">
        <f>IFERROR(__xludf.DUMMYFUNCTION("""COMPUTED_VALUE"""),"10.1037/0022-3514.49.6.1621")</f>
        <v>10.1037/0022-3514.49.6.1621</v>
      </c>
      <c r="B2920" s="442" t="str">
        <f>IFERROR(__xludf.DUMMYFUNCTION("""COMPUTED_VALUE"""),"https://drive.google.com/file/d/1tLBPGqjmg-IWU2ByA0kjcl4d_-dSFQRP/view?usp=drivesdk")</f>
        <v>https://drive.google.com/file/d/1tLBPGqjmg-IWU2ByA0kjcl4d_-dSFQRP/view?usp=drivesdk</v>
      </c>
      <c r="C2920" s="336" t="str">
        <f>IFERROR(__xludf.DUMMYFUNCTION("""COMPUTED_VALUE"""),"10.1037--0022-3514.49.6.1621.pdf")</f>
        <v>10.1037--0022-3514.49.6.1621.pdf</v>
      </c>
      <c r="D2920" s="156" t="str">
        <f>IFERROR(__xludf.DUMMYFUNCTION("""COMPUTED_VALUE"""),"application/pdf")</f>
        <v>application/pdf</v>
      </c>
    </row>
    <row r="2921">
      <c r="A2921" s="336" t="str">
        <f>IFERROR(__xludf.DUMMYFUNCTION("""COMPUTED_VALUE"""),"10.1037/0022-3514.50.3.502")</f>
        <v>10.1037/0022-3514.50.3.502</v>
      </c>
      <c r="B2921" s="442" t="str">
        <f>IFERROR(__xludf.DUMMYFUNCTION("""COMPUTED_VALUE"""),"https://drive.google.com/file/d/1ylm1-TrpeefNpirZWLXBaHDELNhcAqK1/view?usp=drivesdk")</f>
        <v>https://drive.google.com/file/d/1ylm1-TrpeefNpirZWLXBaHDELNhcAqK1/view?usp=drivesdk</v>
      </c>
      <c r="C2921" s="336" t="str">
        <f>IFERROR(__xludf.DUMMYFUNCTION("""COMPUTED_VALUE"""),"10.1037--0022-3514.50.3.502.pdf")</f>
        <v>10.1037--0022-3514.50.3.502.pdf</v>
      </c>
      <c r="D2921" s="156" t="str">
        <f>IFERROR(__xludf.DUMMYFUNCTION("""COMPUTED_VALUE"""),"application/pdf")</f>
        <v>application/pdf</v>
      </c>
    </row>
    <row r="2922">
      <c r="A2922" s="336" t="str">
        <f>IFERROR(__xludf.DUMMYFUNCTION("""COMPUTED_VALUE"""),"10.1037/0022-3514.45.4.805")</f>
        <v>10.1037/0022-3514.45.4.805</v>
      </c>
      <c r="B2922" s="442" t="str">
        <f>IFERROR(__xludf.DUMMYFUNCTION("""COMPUTED_VALUE"""),"https://drive.google.com/file/d/1VbP_Ewf88OEuvCt9ZwvGSNNhhGDSj19O/view?usp=drivesdk")</f>
        <v>https://drive.google.com/file/d/1VbP_Ewf88OEuvCt9ZwvGSNNhhGDSj19O/view?usp=drivesdk</v>
      </c>
      <c r="C2922" s="336" t="str">
        <f>IFERROR(__xludf.DUMMYFUNCTION("""COMPUTED_VALUE"""),"10.1037--0022-3514.45.4.805.pdf")</f>
        <v>10.1037--0022-3514.45.4.805.pdf</v>
      </c>
      <c r="D2922" s="156" t="str">
        <f>IFERROR(__xludf.DUMMYFUNCTION("""COMPUTED_VALUE"""),"application/pdf")</f>
        <v>application/pdf</v>
      </c>
    </row>
    <row r="2923">
      <c r="A2923" s="336" t="str">
        <f>IFERROR(__xludf.DUMMYFUNCTION("""COMPUTED_VALUE"""),"10.1037/0022-3514.45.4.782")</f>
        <v>10.1037/0022-3514.45.4.782</v>
      </c>
      <c r="B2923" s="442" t="str">
        <f>IFERROR(__xludf.DUMMYFUNCTION("""COMPUTED_VALUE"""),"https://drive.google.com/file/d/1mjYJdtrFbuNUuiClqSMdmti90aj-6cbK/view?usp=drivesdk")</f>
        <v>https://drive.google.com/file/d/1mjYJdtrFbuNUuiClqSMdmti90aj-6cbK/view?usp=drivesdk</v>
      </c>
      <c r="C2923" s="336" t="str">
        <f>IFERROR(__xludf.DUMMYFUNCTION("""COMPUTED_VALUE"""),"10.1037--0022-3514.45.4.782.pdf")</f>
        <v>10.1037--0022-3514.45.4.782.pdf</v>
      </c>
      <c r="D2923" s="156" t="str">
        <f>IFERROR(__xludf.DUMMYFUNCTION("""COMPUTED_VALUE"""),"application/pdf")</f>
        <v>application/pdf</v>
      </c>
    </row>
    <row r="2924">
      <c r="A2924" s="336" t="str">
        <f>IFERROR(__xludf.DUMMYFUNCTION("""COMPUTED_VALUE"""),"10.1037/0022-3514.37.10.1660")</f>
        <v>10.1037/0022-3514.37.10.1660</v>
      </c>
      <c r="B2924" s="442" t="str">
        <f>IFERROR(__xludf.DUMMYFUNCTION("""COMPUTED_VALUE"""),"https://drive.google.com/file/d/15zJCvari-TFQv9pzANnsu-4EYcYNYVrW/view?usp=drivesdk")</f>
        <v>https://drive.google.com/file/d/15zJCvari-TFQv9pzANnsu-4EYcYNYVrW/view?usp=drivesdk</v>
      </c>
      <c r="C2924" s="336" t="str">
        <f>IFERROR(__xludf.DUMMYFUNCTION("""COMPUTED_VALUE"""),"10.1037--0022-3514.37.10.1660.pdf")</f>
        <v>10.1037--0022-3514.37.10.1660.pdf</v>
      </c>
      <c r="D2924" s="156" t="str">
        <f>IFERROR(__xludf.DUMMYFUNCTION("""COMPUTED_VALUE"""),"application/pdf")</f>
        <v>application/pdf</v>
      </c>
    </row>
    <row r="2925">
      <c r="A2925" s="336" t="str">
        <f>IFERROR(__xludf.DUMMYFUNCTION("""COMPUTED_VALUE"""),"10.1037/0022-0167.40.4.518")</f>
        <v>10.1037/0022-0167.40.4.518</v>
      </c>
      <c r="B2925" s="442" t="str">
        <f>IFERROR(__xludf.DUMMYFUNCTION("""COMPUTED_VALUE"""),"https://drive.google.com/file/d/1aykdUrdNDQMd7IVvqNy3V_z8BwKq0YuV/view?usp=drivesdk")</f>
        <v>https://drive.google.com/file/d/1aykdUrdNDQMd7IVvqNy3V_z8BwKq0YuV/view?usp=drivesdk</v>
      </c>
      <c r="C2925" s="336" t="str">
        <f>IFERROR(__xludf.DUMMYFUNCTION("""COMPUTED_VALUE"""),"10.1037--0022-0167.40.4.518.pdf")</f>
        <v>10.1037--0022-0167.40.4.518.pdf</v>
      </c>
      <c r="D2925" s="156" t="str">
        <f>IFERROR(__xludf.DUMMYFUNCTION("""COMPUTED_VALUE"""),"application/pdf")</f>
        <v>application/pdf</v>
      </c>
    </row>
    <row r="2926">
      <c r="A2926" s="336" t="str">
        <f>IFERROR(__xludf.DUMMYFUNCTION("""COMPUTED_VALUE"""),"10.1037/0021-843x.98.2.177")</f>
        <v>10.1037/0021-843x.98.2.177</v>
      </c>
      <c r="B2926" s="442" t="str">
        <f>IFERROR(__xludf.DUMMYFUNCTION("""COMPUTED_VALUE"""),"https://drive.google.com/file/d/1fmLie5fT08gQ-FPdfNY7VkK-cl_TbiCC/view?usp=drivesdk")</f>
        <v>https://drive.google.com/file/d/1fmLie5fT08gQ-FPdfNY7VkK-cl_TbiCC/view?usp=drivesdk</v>
      </c>
      <c r="C2926" s="336" t="str">
        <f>IFERROR(__xludf.DUMMYFUNCTION("""COMPUTED_VALUE"""),"10.1037--0021-843X.98.2.177.pdf")</f>
        <v>10.1037--0021-843X.98.2.177.pdf</v>
      </c>
      <c r="D2926" s="156" t="str">
        <f>IFERROR(__xludf.DUMMYFUNCTION("""COMPUTED_VALUE"""),"application/pdf")</f>
        <v>application/pdf</v>
      </c>
    </row>
    <row r="2927">
      <c r="A2927" s="336" t="str">
        <f>IFERROR(__xludf.DUMMYFUNCTION("""COMPUTED_VALUE"""),"10.1037/0021-9010.85.5.751")</f>
        <v>10.1037/0021-9010.85.5.751</v>
      </c>
      <c r="B2927" s="442" t="str">
        <f>IFERROR(__xludf.DUMMYFUNCTION("""COMPUTED_VALUE"""),"https://drive.google.com/file/d/1pZrmtVQlW4Pm144U62OnQaKTslWUIqbt/view?usp=drivesdk")</f>
        <v>https://drive.google.com/file/d/1pZrmtVQlW4Pm144U62OnQaKTslWUIqbt/view?usp=drivesdk</v>
      </c>
      <c r="C2927" s="336" t="str">
        <f>IFERROR(__xludf.DUMMYFUNCTION("""COMPUTED_VALUE"""),"10.1037--0021-9010.85.5.751.pdf")</f>
        <v>10.1037--0021-9010.85.5.751.pdf</v>
      </c>
      <c r="D2927" s="156" t="str">
        <f>IFERROR(__xludf.DUMMYFUNCTION("""COMPUTED_VALUE"""),"application/pdf")</f>
        <v>application/pdf</v>
      </c>
    </row>
    <row r="2928">
      <c r="A2928" s="336" t="str">
        <f>IFERROR(__xludf.DUMMYFUNCTION("""COMPUTED_VALUE"""),"10.1037/0021-843x.103.2.350")</f>
        <v>10.1037/0021-843x.103.2.350</v>
      </c>
      <c r="B2928" s="442" t="str">
        <f>IFERROR(__xludf.DUMMYFUNCTION("""COMPUTED_VALUE"""),"https://drive.google.com/file/d/1yjPQh3Y3JQTvZt9KASbvE7xGnpHw0Txm/view?usp=drivesdk")</f>
        <v>https://drive.google.com/file/d/1yjPQh3Y3JQTvZt9KASbvE7xGnpHw0Txm/view?usp=drivesdk</v>
      </c>
      <c r="C2928" s="336" t="str">
        <f>IFERROR(__xludf.DUMMYFUNCTION("""COMPUTED_VALUE"""),"10.1037--0021-843X.103.2.350.pdf")</f>
        <v>10.1037--0021-843X.103.2.350.pdf</v>
      </c>
      <c r="D2928" s="156" t="str">
        <f>IFERROR(__xludf.DUMMYFUNCTION("""COMPUTED_VALUE"""),"application/pdf")</f>
        <v>application/pdf</v>
      </c>
    </row>
    <row r="2929">
      <c r="A2929" s="336" t="str">
        <f>IFERROR(__xludf.DUMMYFUNCTION("""COMPUTED_VALUE"""),"10.1037/0012-1649.27.5.703")</f>
        <v>10.1037/0012-1649.27.5.703</v>
      </c>
      <c r="B2929" s="442" t="str">
        <f>IFERROR(__xludf.DUMMYFUNCTION("""COMPUTED_VALUE"""),"https://drive.google.com/file/d/12dihw_oF9yYrqSWQ8I8B4AJUed_ZzRRh/view?usp=drivesdk")</f>
        <v>https://drive.google.com/file/d/12dihw_oF9yYrqSWQ8I8B4AJUed_ZzRRh/view?usp=drivesdk</v>
      </c>
      <c r="C2929" s="336" t="str">
        <f>IFERROR(__xludf.DUMMYFUNCTION("""COMPUTED_VALUE"""),"10.1037--0012-1649.27.5.703.pdf")</f>
        <v>10.1037--0012-1649.27.5.703.pdf</v>
      </c>
      <c r="D2929" s="156" t="str">
        <f>IFERROR(__xludf.DUMMYFUNCTION("""COMPUTED_VALUE"""),"application/pdf")</f>
        <v>application/pdf</v>
      </c>
    </row>
    <row r="2930">
      <c r="A2930" s="336" t="str">
        <f>IFERROR(__xludf.DUMMYFUNCTION("""COMPUTED_VALUE"""),"10.1023/a:1015044207315")</f>
        <v>10.1023/a:1015044207315</v>
      </c>
      <c r="B2930" s="442" t="str">
        <f>IFERROR(__xludf.DUMMYFUNCTION("""COMPUTED_VALUE"""),"https://drive.google.com/file/d/1cdxhLXtssEMbvuMMHfeGthoMD_6qK6dF/view?usp=drivesdk")</f>
        <v>https://drive.google.com/file/d/1cdxhLXtssEMbvuMMHfeGthoMD_6qK6dF/view?usp=drivesdk</v>
      </c>
      <c r="C2930" s="336" t="str">
        <f>IFERROR(__xludf.DUMMYFUNCTION("""COMPUTED_VALUE"""),"10.1023--A:1015044207315.pdf")</f>
        <v>10.1023--A:1015044207315.pdf</v>
      </c>
      <c r="D2930" s="156" t="str">
        <f>IFERROR(__xludf.DUMMYFUNCTION("""COMPUTED_VALUE"""),"application/pdf")</f>
        <v>application/pdf</v>
      </c>
    </row>
    <row r="2931">
      <c r="A2931" s="336" t="str">
        <f>IFERROR(__xludf.DUMMYFUNCTION("""COMPUTED_VALUE"""),"10.1023/a:1019923923537")</f>
        <v>10.1023/a:1019923923537</v>
      </c>
      <c r="B2931" s="442" t="str">
        <f>IFERROR(__xludf.DUMMYFUNCTION("""COMPUTED_VALUE"""),"https://drive.google.com/file/d/1n4Jo0WdyMm3V1SkI1hby710CoJe-zbeV/view?usp=drivesdk")</f>
        <v>https://drive.google.com/file/d/1n4Jo0WdyMm3V1SkI1hby710CoJe-zbeV/view?usp=drivesdk</v>
      </c>
      <c r="C2931" s="336" t="str">
        <f>IFERROR(__xludf.DUMMYFUNCTION("""COMPUTED_VALUE"""),"10.1023--A:1019923923537.pdf")</f>
        <v>10.1023--A:1019923923537.pdf</v>
      </c>
      <c r="D2931" s="156" t="str">
        <f>IFERROR(__xludf.DUMMYFUNCTION("""COMPUTED_VALUE"""),"application/pdf")</f>
        <v>application/pdf</v>
      </c>
    </row>
    <row r="2932">
      <c r="A2932" s="336" t="str">
        <f>IFERROR(__xludf.DUMMYFUNCTION("""COMPUTED_VALUE"""),"10.1023/a:1007744326393")</f>
        <v>10.1023/a:1007744326393</v>
      </c>
      <c r="B2932" s="442" t="str">
        <f>IFERROR(__xludf.DUMMYFUNCTION("""COMPUTED_VALUE"""),"https://drive.google.com/file/d/1OUD6knA8aPg9qTSfvRhBCXYuFwJTOzS8/view?usp=drivesdk")</f>
        <v>https://drive.google.com/file/d/1OUD6knA8aPg9qTSfvRhBCXYuFwJTOzS8/view?usp=drivesdk</v>
      </c>
      <c r="C2932" s="336" t="str">
        <f>IFERROR(__xludf.DUMMYFUNCTION("""COMPUTED_VALUE"""),"10.1023--A:1007744326393.pdf")</f>
        <v>10.1023--A:1007744326393.pdf</v>
      </c>
      <c r="D2932" s="156" t="str">
        <f>IFERROR(__xludf.DUMMYFUNCTION("""COMPUTED_VALUE"""),"application/pdf")</f>
        <v>application/pdf</v>
      </c>
    </row>
    <row r="2933">
      <c r="A2933" s="336" t="str">
        <f>IFERROR(__xludf.DUMMYFUNCTION("""COMPUTED_VALUE"""),"10.1017/s0272263105050138")</f>
        <v>10.1017/s0272263105050138</v>
      </c>
      <c r="B2933" s="442" t="str">
        <f>IFERROR(__xludf.DUMMYFUNCTION("""COMPUTED_VALUE"""),"https://drive.google.com/file/d/1LgctUTqq1qHQq3xvejQZ1bpldXd2lEXd/view?usp=drivesdk")</f>
        <v>https://drive.google.com/file/d/1LgctUTqq1qHQq3xvejQZ1bpldXd2lEXd/view?usp=drivesdk</v>
      </c>
      <c r="C2933" s="336" t="str">
        <f>IFERROR(__xludf.DUMMYFUNCTION("""COMPUTED_VALUE"""),"10.1017--S0272263105050138.pdf")</f>
        <v>10.1017--S0272263105050138.pdf</v>
      </c>
      <c r="D2933" s="156" t="str">
        <f>IFERROR(__xludf.DUMMYFUNCTION("""COMPUTED_VALUE"""),"application/pdf")</f>
        <v>application/pdf</v>
      </c>
    </row>
    <row r="2934">
      <c r="A2934" s="336" t="str">
        <f>IFERROR(__xludf.DUMMYFUNCTION("""COMPUTED_VALUE"""),"10.1017/xps.2017.21")</f>
        <v>10.1017/xps.2017.21</v>
      </c>
      <c r="B2934" s="442" t="str">
        <f>IFERROR(__xludf.DUMMYFUNCTION("""COMPUTED_VALUE"""),"https://drive.google.com/file/d/1Okxe-KGvhvVzBCoNlkxv4sqCXcBKv2mg/view?usp=drivesdk")</f>
        <v>https://drive.google.com/file/d/1Okxe-KGvhvVzBCoNlkxv4sqCXcBKv2mg/view?usp=drivesdk</v>
      </c>
      <c r="C2934" s="336" t="str">
        <f>IFERROR(__xludf.DUMMYFUNCTION("""COMPUTED_VALUE"""),"10.1017--XPS.2017.21.pdf")</f>
        <v>10.1017--XPS.2017.21.pdf</v>
      </c>
      <c r="D2934" s="156" t="str">
        <f>IFERROR(__xludf.DUMMYFUNCTION("""COMPUTED_VALUE"""),"application/pdf")</f>
        <v>application/pdf</v>
      </c>
    </row>
    <row r="2935">
      <c r="A2935" s="336" t="str">
        <f>IFERROR(__xludf.DUMMYFUNCTION("""COMPUTED_VALUE"""),"10.1017/s0140525x00023992")</f>
        <v>10.1017/s0140525x00023992</v>
      </c>
      <c r="B2935" s="442" t="str">
        <f>IFERROR(__xludf.DUMMYFUNCTION("""COMPUTED_VALUE"""),"https://drive.google.com/file/d/1Jd-vxSthONF63SEDbsY6lw8r6uODUAX8/view?usp=drivesdk")</f>
        <v>https://drive.google.com/file/d/1Jd-vxSthONF63SEDbsY6lw8r6uODUAX8/view?usp=drivesdk</v>
      </c>
      <c r="C2935" s="336" t="str">
        <f>IFERROR(__xludf.DUMMYFUNCTION("""COMPUTED_VALUE"""),"10.1017--S0140525X00023992.pdf")</f>
        <v>10.1017--S0140525X00023992.pdf</v>
      </c>
      <c r="D2935" s="156" t="str">
        <f>IFERROR(__xludf.DUMMYFUNCTION("""COMPUTED_VALUE"""),"application/pdf")</f>
        <v>application/pdf</v>
      </c>
    </row>
    <row r="2936">
      <c r="A2936" s="336" t="str">
        <f>IFERROR(__xludf.DUMMYFUNCTION("""COMPUTED_VALUE"""),"10.1017/s0142716400007724")</f>
        <v>10.1017/s0142716400007724</v>
      </c>
      <c r="B2936" s="442" t="str">
        <f>IFERROR(__xludf.DUMMYFUNCTION("""COMPUTED_VALUE"""),"https://drive.google.com/file/d/1PY5jtq5K0dIYw5O_olHRDGUfn11WN3AQ/view?usp=drivesdk")</f>
        <v>https://drive.google.com/file/d/1PY5jtq5K0dIYw5O_olHRDGUfn11WN3AQ/view?usp=drivesdk</v>
      </c>
      <c r="C2936" s="336" t="str">
        <f>IFERROR(__xludf.DUMMYFUNCTION("""COMPUTED_VALUE"""),"10.1017--S0142716400007724.pdf")</f>
        <v>10.1017--S0142716400007724.pdf</v>
      </c>
      <c r="D2936" s="156" t="str">
        <f>IFERROR(__xludf.DUMMYFUNCTION("""COMPUTED_VALUE"""),"application/pdf")</f>
        <v>application/pdf</v>
      </c>
    </row>
    <row r="2937">
      <c r="A2937" s="336" t="str">
        <f>IFERROR(__xludf.DUMMYFUNCTION("""COMPUTED_VALUE"""),"10.1017/epi.2013.23")</f>
        <v>10.1017/epi.2013.23</v>
      </c>
      <c r="B2937" s="442" t="str">
        <f>IFERROR(__xludf.DUMMYFUNCTION("""COMPUTED_VALUE"""),"https://drive.google.com/file/d/1xs7muWdyYdblxSMymp-O09c44czfutsh/view?usp=drivesdk")</f>
        <v>https://drive.google.com/file/d/1xs7muWdyYdblxSMymp-O09c44czfutsh/view?usp=drivesdk</v>
      </c>
      <c r="C2937" s="336" t="str">
        <f>IFERROR(__xludf.DUMMYFUNCTION("""COMPUTED_VALUE"""),"10.1017--epi.2013.23.pdf")</f>
        <v>10.1017--epi.2013.23.pdf</v>
      </c>
      <c r="D2937" s="156" t="str">
        <f>IFERROR(__xludf.DUMMYFUNCTION("""COMPUTED_VALUE"""),"application/pdf")</f>
        <v>application/pdf</v>
      </c>
    </row>
    <row r="2938">
      <c r="A2938" s="336" t="str">
        <f>IFERROR(__xludf.DUMMYFUNCTION("""COMPUTED_VALUE"""),"10.1016/s0022-5371(74)80011-3")</f>
        <v>10.1016/s0022-5371(74)80011-3</v>
      </c>
      <c r="B2938" s="442" t="str">
        <f>IFERROR(__xludf.DUMMYFUNCTION("""COMPUTED_VALUE"""),"https://drive.google.com/file/d/11cUsFlwo9goZsKmyqcZULLURsoogutHZ/view?usp=drivesdk")</f>
        <v>https://drive.google.com/file/d/11cUsFlwo9goZsKmyqcZULLURsoogutHZ/view?usp=drivesdk</v>
      </c>
      <c r="C2938" s="336" t="str">
        <f>IFERROR(__xludf.DUMMYFUNCTION("""COMPUTED_VALUE"""),"10.1016--S0022-5371(74)80011-3.pdf")</f>
        <v>10.1016--S0022-5371(74)80011-3.pdf</v>
      </c>
      <c r="D2938" s="156" t="str">
        <f>IFERROR(__xludf.DUMMYFUNCTION("""COMPUTED_VALUE"""),"application/pdf")</f>
        <v>application/pdf</v>
      </c>
    </row>
    <row r="2939">
      <c r="A2939" s="336" t="str">
        <f>IFERROR(__xludf.DUMMYFUNCTION("""COMPUTED_VALUE"""),"10.1016/s0749-5978(02)00013-4")</f>
        <v>10.1016/s0749-5978(02)00013-4</v>
      </c>
      <c r="B2939" s="442" t="str">
        <f>IFERROR(__xludf.DUMMYFUNCTION("""COMPUTED_VALUE"""),"https://drive.google.com/file/d/1eCdADofR0Ulm7MkJ79uZdjuwR09NEDnI/view?usp=drivesdk")</f>
        <v>https://drive.google.com/file/d/1eCdADofR0Ulm7MkJ79uZdjuwR09NEDnI/view?usp=drivesdk</v>
      </c>
      <c r="C2939" s="336" t="str">
        <f>IFERROR(__xludf.DUMMYFUNCTION("""COMPUTED_VALUE"""),"10.1016--S0749-5978(02)00013-4.pdf")</f>
        <v>10.1016--S0749-5978(02)00013-4.pdf</v>
      </c>
      <c r="D2939" s="156" t="str">
        <f>IFERROR(__xludf.DUMMYFUNCTION("""COMPUTED_VALUE"""),"application/pdf")</f>
        <v>application/pdf</v>
      </c>
    </row>
    <row r="2940">
      <c r="A2940" s="336" t="str">
        <f>IFERROR(__xludf.DUMMYFUNCTION("""COMPUTED_VALUE"""),"10.1016/s0022-1031(03)00065-9")</f>
        <v>10.1016/s0022-1031(03)00065-9</v>
      </c>
      <c r="B2940" s="442" t="str">
        <f>IFERROR(__xludf.DUMMYFUNCTION("""COMPUTED_VALUE"""),"https://drive.google.com/file/d/12w45h6wJ8IUMgRm5zyOxy7Tin7V_CCLy/view?usp=drivesdk")</f>
        <v>https://drive.google.com/file/d/12w45h6wJ8IUMgRm5zyOxy7Tin7V_CCLy/view?usp=drivesdk</v>
      </c>
      <c r="C2940" s="336" t="str">
        <f>IFERROR(__xludf.DUMMYFUNCTION("""COMPUTED_VALUE"""),"10.1016--S0022-1031(03)00065-9.pdf")</f>
        <v>10.1016--S0022-1031(03)00065-9.pdf</v>
      </c>
      <c r="D2940" s="156" t="str">
        <f>IFERROR(__xludf.DUMMYFUNCTION("""COMPUTED_VALUE"""),"application/pdf")</f>
        <v>application/pdf</v>
      </c>
    </row>
    <row r="2941">
      <c r="A2941" s="336" t="str">
        <f>IFERROR(__xludf.DUMMYFUNCTION("""COMPUTED_VALUE"""),"10.1016/s0010-0277(99)00073-6")</f>
        <v>10.1016/s0010-0277(99)00073-6</v>
      </c>
      <c r="B2941" s="442" t="str">
        <f>IFERROR(__xludf.DUMMYFUNCTION("""COMPUTED_VALUE"""),"https://drive.google.com/file/d/1-SOOgACp6dnzzYdlh2PFI-ANnAwmf5c6/view?usp=drivesdk")</f>
        <v>https://drive.google.com/file/d/1-SOOgACp6dnzzYdlh2PFI-ANnAwmf5c6/view?usp=drivesdk</v>
      </c>
      <c r="C2941" s="336" t="str">
        <f>IFERROR(__xludf.DUMMYFUNCTION("""COMPUTED_VALUE"""),"10.1016--s0010-0277(99)00073-6.pdf")</f>
        <v>10.1016--s0010-0277(99)00073-6.pdf</v>
      </c>
      <c r="D2941" s="156" t="str">
        <f>IFERROR(__xludf.DUMMYFUNCTION("""COMPUTED_VALUE"""),"application/pdf")</f>
        <v>application/pdf</v>
      </c>
    </row>
    <row r="2942">
      <c r="A2942" s="336" t="str">
        <f>IFERROR(__xludf.DUMMYFUNCTION("""COMPUTED_VALUE"""),"10.1016/s0010-0277(03)00064-7")</f>
        <v>10.1016/s0010-0277(03)00064-7</v>
      </c>
      <c r="B2942" s="442" t="str">
        <f>IFERROR(__xludf.DUMMYFUNCTION("""COMPUTED_VALUE"""),"https://drive.google.com/file/d/1eermV6x-0NkuxwsqnprduFouBUdTshGn/view?usp=drivesdk")</f>
        <v>https://drive.google.com/file/d/1eermV6x-0NkuxwsqnprduFouBUdTshGn/view?usp=drivesdk</v>
      </c>
      <c r="C2942" s="336" t="str">
        <f>IFERROR(__xludf.DUMMYFUNCTION("""COMPUTED_VALUE"""),"10.1016--s0010-0277(03)00064-7.pdf")</f>
        <v>10.1016--s0010-0277(03)00064-7.pdf</v>
      </c>
      <c r="D2942" s="156" t="str">
        <f>IFERROR(__xludf.DUMMYFUNCTION("""COMPUTED_VALUE"""),"application/pdf")</f>
        <v>application/pdf</v>
      </c>
    </row>
    <row r="2943">
      <c r="A2943" s="336" t="str">
        <f>IFERROR(__xludf.DUMMYFUNCTION("""COMPUTED_VALUE"""),"10.1016/s0010-0277(99)00052-9")</f>
        <v>10.1016/s0010-0277(99)00052-9</v>
      </c>
      <c r="B2943" s="442" t="str">
        <f>IFERROR(__xludf.DUMMYFUNCTION("""COMPUTED_VALUE"""),"https://drive.google.com/file/d/1zRyXsoSPgsnT73Tx99gTHCq3vOgCSARP/view?usp=drivesdk")</f>
        <v>https://drive.google.com/file/d/1zRyXsoSPgsnT73Tx99gTHCq3vOgCSARP/view?usp=drivesdk</v>
      </c>
      <c r="C2943" s="336" t="str">
        <f>IFERROR(__xludf.DUMMYFUNCTION("""COMPUTED_VALUE"""),"10.1016--s0010-0277(99)00052-9.pdf")</f>
        <v>10.1016--s0010-0277(99)00052-9.pdf</v>
      </c>
      <c r="D2943" s="156" t="str">
        <f>IFERROR(__xludf.DUMMYFUNCTION("""COMPUTED_VALUE"""),"application/pdf")</f>
        <v>application/pdf</v>
      </c>
    </row>
    <row r="2944">
      <c r="A2944" s="336" t="str">
        <f>IFERROR(__xludf.DUMMYFUNCTION("""COMPUTED_VALUE"""),"10.1016/j.visres.2005.04.013")</f>
        <v>10.1016/j.visres.2005.04.013</v>
      </c>
      <c r="B2944" s="442" t="str">
        <f>IFERROR(__xludf.DUMMYFUNCTION("""COMPUTED_VALUE"""),"https://drive.google.com/file/d/1tL5SefgazspPrHDE7uspX1rbNInieF1Y/view?usp=drivesdk")</f>
        <v>https://drive.google.com/file/d/1tL5SefgazspPrHDE7uspX1rbNInieF1Y/view?usp=drivesdk</v>
      </c>
      <c r="C2944" s="336" t="str">
        <f>IFERROR(__xludf.DUMMYFUNCTION("""COMPUTED_VALUE"""),"10.1016--j.visres.2005.04.013.pdf")</f>
        <v>10.1016--j.visres.2005.04.013.pdf</v>
      </c>
      <c r="D2944" s="156" t="str">
        <f>IFERROR(__xludf.DUMMYFUNCTION("""COMPUTED_VALUE"""),"application/pdf")</f>
        <v>application/pdf</v>
      </c>
    </row>
    <row r="2945">
      <c r="A2945" s="336" t="str">
        <f>IFERROR(__xludf.DUMMYFUNCTION("""COMPUTED_VALUE"""),"10.1016/j.paid.2009.12.007")</f>
        <v>10.1016/j.paid.2009.12.007</v>
      </c>
      <c r="B2945" s="442" t="str">
        <f>IFERROR(__xludf.DUMMYFUNCTION("""COMPUTED_VALUE"""),"https://drive.google.com/file/d/14KNxp9Akgen5F3LcGWOsHT4Qbqu4HTYy/view?usp=drivesdk")</f>
        <v>https://drive.google.com/file/d/14KNxp9Akgen5F3LcGWOsHT4Qbqu4HTYy/view?usp=drivesdk</v>
      </c>
      <c r="C2945" s="336" t="str">
        <f>IFERROR(__xludf.DUMMYFUNCTION("""COMPUTED_VALUE"""),"10.1016--j.paid.2009.12.007.pdf")</f>
        <v>10.1016--j.paid.2009.12.007.pdf</v>
      </c>
      <c r="D2945" s="156" t="str">
        <f>IFERROR(__xludf.DUMMYFUNCTION("""COMPUTED_VALUE"""),"application/pdf")</f>
        <v>application/pdf</v>
      </c>
    </row>
    <row r="2946">
      <c r="A2946" s="336" t="str">
        <f>IFERROR(__xludf.DUMMYFUNCTION("""COMPUTED_VALUE"""),"10.1016/j.paid.2010.07.033")</f>
        <v>10.1016/j.paid.2010.07.033</v>
      </c>
      <c r="B2946" s="442" t="str">
        <f>IFERROR(__xludf.DUMMYFUNCTION("""COMPUTED_VALUE"""),"https://drive.google.com/file/d/1J_0Y3dKunmzcdm9LjbKZTpby7Qd4ipkA/view?usp=drivesdk")</f>
        <v>https://drive.google.com/file/d/1J_0Y3dKunmzcdm9LjbKZTpby7Qd4ipkA/view?usp=drivesdk</v>
      </c>
      <c r="C2946" s="336" t="str">
        <f>IFERROR(__xludf.DUMMYFUNCTION("""COMPUTED_VALUE"""),"10.1016--j.paid.2010.07.033.pdf")</f>
        <v>10.1016--j.paid.2010.07.033.pdf</v>
      </c>
      <c r="D2946" s="156" t="str">
        <f>IFERROR(__xludf.DUMMYFUNCTION("""COMPUTED_VALUE"""),"application/pdf")</f>
        <v>application/pdf</v>
      </c>
    </row>
    <row r="2947">
      <c r="A2947" s="336" t="str">
        <f>IFERROR(__xludf.DUMMYFUNCTION("""COMPUTED_VALUE"""),"10.1016/j.paid.2004.08.012")</f>
        <v>10.1016/j.paid.2004.08.012</v>
      </c>
      <c r="B2947" s="442" t="str">
        <f>IFERROR(__xludf.DUMMYFUNCTION("""COMPUTED_VALUE"""),"https://drive.google.com/file/d/1DqSsvMQMMGnVP3lP6Am1mBq90t1XZMxt/view?usp=drivesdk")</f>
        <v>https://drive.google.com/file/d/1DqSsvMQMMGnVP3lP6Am1mBq90t1XZMxt/view?usp=drivesdk</v>
      </c>
      <c r="C2947" s="336" t="str">
        <f>IFERROR(__xludf.DUMMYFUNCTION("""COMPUTED_VALUE"""),"10.1016--j.paid.2004.08.012.pdf")</f>
        <v>10.1016--j.paid.2004.08.012.pdf</v>
      </c>
      <c r="D2947" s="156" t="str">
        <f>IFERROR(__xludf.DUMMYFUNCTION("""COMPUTED_VALUE"""),"application/pdf")</f>
        <v>application/pdf</v>
      </c>
    </row>
    <row r="2948">
      <c r="A2948" s="336" t="str">
        <f>IFERROR(__xludf.DUMMYFUNCTION("""COMPUTED_VALUE"""),"10.1016/j.obhdp.2006.01.005")</f>
        <v>10.1016/j.obhdp.2006.01.005</v>
      </c>
      <c r="B2948" s="442" t="str">
        <f>IFERROR(__xludf.DUMMYFUNCTION("""COMPUTED_VALUE"""),"https://drive.google.com/file/d/14ZQ9EzNr9F8ACt32VRfITF656jMezTnV/view?usp=drivesdk")</f>
        <v>https://drive.google.com/file/d/14ZQ9EzNr9F8ACt32VRfITF656jMezTnV/view?usp=drivesdk</v>
      </c>
      <c r="C2948" s="336" t="str">
        <f>IFERROR(__xludf.DUMMYFUNCTION("""COMPUTED_VALUE"""),"10.1016--j.obhdp.2006.01.005.pdf")</f>
        <v>10.1016--j.obhdp.2006.01.005.pdf</v>
      </c>
      <c r="D2948" s="156" t="str">
        <f>IFERROR(__xludf.DUMMYFUNCTION("""COMPUTED_VALUE"""),"application/pdf")</f>
        <v>application/pdf</v>
      </c>
    </row>
    <row r="2949">
      <c r="A2949" s="336" t="str">
        <f>IFERROR(__xludf.DUMMYFUNCTION("""COMPUTED_VALUE"""),"10.1016/j.obhdp.2004.12.002")</f>
        <v>10.1016/j.obhdp.2004.12.002</v>
      </c>
      <c r="B2949" s="442" t="str">
        <f>IFERROR(__xludf.DUMMYFUNCTION("""COMPUTED_VALUE"""),"https://drive.google.com/file/d/1CZ8RmInPe2eqHwf-p8tl0IQxpn8_H_C5/view?usp=drivesdk")</f>
        <v>https://drive.google.com/file/d/1CZ8RmInPe2eqHwf-p8tl0IQxpn8_H_C5/view?usp=drivesdk</v>
      </c>
      <c r="C2949" s="336" t="str">
        <f>IFERROR(__xludf.DUMMYFUNCTION("""COMPUTED_VALUE"""),"10.1016--j.obhdp.2004.12.002.pdf")</f>
        <v>10.1016--j.obhdp.2004.12.002.pdf</v>
      </c>
      <c r="D2949" s="156" t="str">
        <f>IFERROR(__xludf.DUMMYFUNCTION("""COMPUTED_VALUE"""),"application/pdf")</f>
        <v>application/pdf</v>
      </c>
    </row>
    <row r="2950">
      <c r="A2950" s="336" t="str">
        <f>IFERROR(__xludf.DUMMYFUNCTION("""COMPUTED_VALUE"""),"10.1016/j.neuroimage.2006.11.048")</f>
        <v>10.1016/j.neuroimage.2006.11.048</v>
      </c>
      <c r="B2950" s="442" t="str">
        <f>IFERROR(__xludf.DUMMYFUNCTION("""COMPUTED_VALUE"""),"https://drive.google.com/file/d/1M2npXIoOra27xHNDnCsNwFJwuHLFn-QY/view?usp=drivesdk")</f>
        <v>https://drive.google.com/file/d/1M2npXIoOra27xHNDnCsNwFJwuHLFn-QY/view?usp=drivesdk</v>
      </c>
      <c r="C2950" s="336" t="str">
        <f>IFERROR(__xludf.DUMMYFUNCTION("""COMPUTED_VALUE"""),"10.1016--j.neuroimage.2006.11.048.pdf")</f>
        <v>10.1016--j.neuroimage.2006.11.048.pdf</v>
      </c>
      <c r="D2950" s="156" t="str">
        <f>IFERROR(__xludf.DUMMYFUNCTION("""COMPUTED_VALUE"""),"application/pdf")</f>
        <v>application/pdf</v>
      </c>
    </row>
    <row r="2951">
      <c r="A2951" s="336" t="str">
        <f>IFERROR(__xludf.DUMMYFUNCTION("""COMPUTED_VALUE"""),"10.1016/j.jtbi.2005.02.010")</f>
        <v>10.1016/j.jtbi.2005.02.010</v>
      </c>
      <c r="B2951" s="442" t="str">
        <f>IFERROR(__xludf.DUMMYFUNCTION("""COMPUTED_VALUE"""),"https://drive.google.com/file/d/17frihgo9iXD4WAxNIp0IHozpEUt6sj7r/view?usp=drivesdk")</f>
        <v>https://drive.google.com/file/d/17frihgo9iXD4WAxNIp0IHozpEUt6sj7r/view?usp=drivesdk</v>
      </c>
      <c r="C2951" s="336" t="str">
        <f>IFERROR(__xludf.DUMMYFUNCTION("""COMPUTED_VALUE"""),"10.1016--j.jtbi.2005.02.010.pdf")</f>
        <v>10.1016--j.jtbi.2005.02.010.pdf</v>
      </c>
      <c r="D2951" s="156" t="str">
        <f>IFERROR(__xludf.DUMMYFUNCTION("""COMPUTED_VALUE"""),"application/pdf")</f>
        <v>application/pdf</v>
      </c>
    </row>
    <row r="2952">
      <c r="A2952" s="336" t="str">
        <f>IFERROR(__xludf.DUMMYFUNCTION("""COMPUTED_VALUE"""),"10.1016/j.jesp.2011.11.012")</f>
        <v>10.1016/j.jesp.2011.11.012</v>
      </c>
      <c r="B2952" s="442" t="str">
        <f>IFERROR(__xludf.DUMMYFUNCTION("""COMPUTED_VALUE"""),"https://drive.google.com/file/d/1acuUVGe9a1FY0NzYPbpq8pAnbZKrjA2v/view?usp=drivesdk")</f>
        <v>https://drive.google.com/file/d/1acuUVGe9a1FY0NzYPbpq8pAnbZKrjA2v/view?usp=drivesdk</v>
      </c>
      <c r="C2952" s="336" t="str">
        <f>IFERROR(__xludf.DUMMYFUNCTION("""COMPUTED_VALUE"""),"10.1016--j.jesp.2011.11.012.pdf")</f>
        <v>10.1016--j.jesp.2011.11.012.pdf</v>
      </c>
      <c r="D2952" s="156" t="str">
        <f>IFERROR(__xludf.DUMMYFUNCTION("""COMPUTED_VALUE"""),"application/pdf")</f>
        <v>application/pdf</v>
      </c>
    </row>
    <row r="2953">
      <c r="A2953" s="336" t="str">
        <f>IFERROR(__xludf.DUMMYFUNCTION("""COMPUTED_VALUE"""),"10.1016/j.jesp.2010.05.014")</f>
        <v>10.1016/j.jesp.2010.05.014</v>
      </c>
      <c r="B2953" s="442" t="str">
        <f>IFERROR(__xludf.DUMMYFUNCTION("""COMPUTED_VALUE"""),"https://drive.google.com/file/d/1eGcl00TFvqtXToShjh3zwuqo-qNHAocO/view?usp=drivesdk")</f>
        <v>https://drive.google.com/file/d/1eGcl00TFvqtXToShjh3zwuqo-qNHAocO/view?usp=drivesdk</v>
      </c>
      <c r="C2953" s="336" t="str">
        <f>IFERROR(__xludf.DUMMYFUNCTION("""COMPUTED_VALUE"""),"10.1016--j.jesp.2010.05.014.pdf")</f>
        <v>10.1016--j.jesp.2010.05.014.pdf</v>
      </c>
      <c r="D2953" s="156" t="str">
        <f>IFERROR(__xludf.DUMMYFUNCTION("""COMPUTED_VALUE"""),"application/pdf")</f>
        <v>application/pdf</v>
      </c>
    </row>
    <row r="2954">
      <c r="A2954" s="336" t="str">
        <f>IFERROR(__xludf.DUMMYFUNCTION("""COMPUTED_VALUE"""),"10.1016/j.jesp.2009.05.003.")</f>
        <v>10.1016/j.jesp.2009.05.003.</v>
      </c>
      <c r="B2954" s="442" t="str">
        <f>IFERROR(__xludf.DUMMYFUNCTION("""COMPUTED_VALUE"""),"https://drive.google.com/file/d/1G4iua1K6eT5Xv5xxUKULlTZ0My66xR2X/view?usp=drivesdk")</f>
        <v>https://drive.google.com/file/d/1G4iua1K6eT5Xv5xxUKULlTZ0My66xR2X/view?usp=drivesdk</v>
      </c>
      <c r="C2954" s="336" t="str">
        <f>IFERROR(__xludf.DUMMYFUNCTION("""COMPUTED_VALUE"""),"10.1016--j.jesp.2009.05.003..pdf")</f>
        <v>10.1016--j.jesp.2009.05.003..pdf</v>
      </c>
      <c r="D2954" s="156" t="str">
        <f>IFERROR(__xludf.DUMMYFUNCTION("""COMPUTED_VALUE"""),"application/pdf")</f>
        <v>application/pdf</v>
      </c>
    </row>
    <row r="2955">
      <c r="A2955" s="336" t="str">
        <f>IFERROR(__xludf.DUMMYFUNCTION("""COMPUTED_VALUE"""),"10.1016/j.jesp.2009.05.003")</f>
        <v>10.1016/j.jesp.2009.05.003</v>
      </c>
      <c r="B2955" s="442" t="str">
        <f>IFERROR(__xludf.DUMMYFUNCTION("""COMPUTED_VALUE"""),"https://drive.google.com/file/d/1kV7PFFLYbgc-Kw-sxuSqcN9skQ8U3QBY/view?usp=drivesdk")</f>
        <v>https://drive.google.com/file/d/1kV7PFFLYbgc-Kw-sxuSqcN9skQ8U3QBY/view?usp=drivesdk</v>
      </c>
      <c r="C2955" s="336" t="str">
        <f>IFERROR(__xludf.DUMMYFUNCTION("""COMPUTED_VALUE"""),"10.1016--j.jesp.2009.05.003.pdf")</f>
        <v>10.1016--j.jesp.2009.05.003.pdf</v>
      </c>
      <c r="D2955" s="156" t="str">
        <f>IFERROR(__xludf.DUMMYFUNCTION("""COMPUTED_VALUE"""),"application/pdf")</f>
        <v>application/pdf</v>
      </c>
    </row>
    <row r="2956">
      <c r="A2956" s="336" t="str">
        <f>IFERROR(__xludf.DUMMYFUNCTION("""COMPUTED_VALUE"""),"10.1016/j.jesp.2009.03.009")</f>
        <v>10.1016/j.jesp.2009.03.009</v>
      </c>
      <c r="B2956" s="442" t="str">
        <f>IFERROR(__xludf.DUMMYFUNCTION("""COMPUTED_VALUE"""),"https://drive.google.com/file/d/13E6exELEtdG2RSbqcPYafnphBAN0Qwtm/view?usp=drivesdk")</f>
        <v>https://drive.google.com/file/d/13E6exELEtdG2RSbqcPYafnphBAN0Qwtm/view?usp=drivesdk</v>
      </c>
      <c r="C2956" s="336" t="str">
        <f>IFERROR(__xludf.DUMMYFUNCTION("""COMPUTED_VALUE"""),"10.1016--j.jesp.2009.03.009.pdf")</f>
        <v>10.1016--j.jesp.2009.03.009.pdf</v>
      </c>
      <c r="D2956" s="156" t="str">
        <f>IFERROR(__xludf.DUMMYFUNCTION("""COMPUTED_VALUE"""),"application/pdf")</f>
        <v>application/pdf</v>
      </c>
    </row>
    <row r="2957">
      <c r="A2957" s="336" t="str">
        <f>IFERROR(__xludf.DUMMYFUNCTION("""COMPUTED_VALUE"""),"10.1016/j.jesp.2005.05.001")</f>
        <v>10.1016/j.jesp.2005.05.001</v>
      </c>
      <c r="B2957" s="442" t="str">
        <f>IFERROR(__xludf.DUMMYFUNCTION("""COMPUTED_VALUE"""),"https://drive.google.com/file/d/1y_lQGjVlo6Fl18TxXjJCuEtRwnUYubwf/view?usp=drivesdk")</f>
        <v>https://drive.google.com/file/d/1y_lQGjVlo6Fl18TxXjJCuEtRwnUYubwf/view?usp=drivesdk</v>
      </c>
      <c r="C2957" s="336" t="str">
        <f>IFERROR(__xludf.DUMMYFUNCTION("""COMPUTED_VALUE"""),"10.1016--j.jesp.2005.05.001.pdf")</f>
        <v>10.1016--j.jesp.2005.05.001.pdf</v>
      </c>
      <c r="D2957" s="156" t="str">
        <f>IFERROR(__xludf.DUMMYFUNCTION("""COMPUTED_VALUE"""),"application/pdf")</f>
        <v>application/pdf</v>
      </c>
    </row>
    <row r="2958">
      <c r="A2958" s="336" t="str">
        <f>IFERROR(__xludf.DUMMYFUNCTION("""COMPUTED_VALUE"""),"10.1016/j.jenvp.2019.101333")</f>
        <v>10.1016/j.jenvp.2019.101333</v>
      </c>
      <c r="B2958" s="442" t="str">
        <f>IFERROR(__xludf.DUMMYFUNCTION("""COMPUTED_VALUE"""),"https://drive.google.com/file/d/1ulcmn23SslnIFjXNPMwqbzhRfT5lhEO8/view?usp=drivesdk")</f>
        <v>https://drive.google.com/file/d/1ulcmn23SslnIFjXNPMwqbzhRfT5lhEO8/view?usp=drivesdk</v>
      </c>
      <c r="C2958" s="336" t="str">
        <f>IFERROR(__xludf.DUMMYFUNCTION("""COMPUTED_VALUE"""),"10.1016--j.jenvp.2019.101333.pdf")</f>
        <v>10.1016--j.jenvp.2019.101333.pdf</v>
      </c>
      <c r="D2958" s="156" t="str">
        <f>IFERROR(__xludf.DUMMYFUNCTION("""COMPUTED_VALUE"""),"application/pdf")</f>
        <v>application/pdf</v>
      </c>
    </row>
    <row r="2959">
      <c r="A2959" s="336" t="str">
        <f>IFERROR(__xludf.DUMMYFUNCTION("""COMPUTED_VALUE"""),"10.1016/j.jcps.2010.06.007")</f>
        <v>10.1016/j.jcps.2010.06.007</v>
      </c>
      <c r="B2959" s="442" t="str">
        <f>IFERROR(__xludf.DUMMYFUNCTION("""COMPUTED_VALUE"""),"https://drive.google.com/file/d/1QgM5ih3blPKfggX8boZpRVE5q-Rpsxzc/view?usp=drivesdk")</f>
        <v>https://drive.google.com/file/d/1QgM5ih3blPKfggX8boZpRVE5q-Rpsxzc/view?usp=drivesdk</v>
      </c>
      <c r="C2959" s="336" t="str">
        <f>IFERROR(__xludf.DUMMYFUNCTION("""COMPUTED_VALUE"""),"10.1016--j.jcps.2010.06.007.pdf")</f>
        <v>10.1016--j.jcps.2010.06.007.pdf</v>
      </c>
      <c r="D2959" s="156" t="str">
        <f>IFERROR(__xludf.DUMMYFUNCTION("""COMPUTED_VALUE"""),"application/pdf")</f>
        <v>application/pdf</v>
      </c>
    </row>
    <row r="2960">
      <c r="A2960" s="336" t="str">
        <f>IFERROR(__xludf.DUMMYFUNCTION("""COMPUTED_VALUE"""),"10.1016/j.jad.2020.07.068")</f>
        <v>10.1016/j.jad.2020.07.068</v>
      </c>
      <c r="B2960" s="442" t="str">
        <f>IFERROR(__xludf.DUMMYFUNCTION("""COMPUTED_VALUE"""),"https://drive.google.com/file/d/1CSEUe6gYLUw8yuCZAwajh6IlhECLeioY/view?usp=drivesdk")</f>
        <v>https://drive.google.com/file/d/1CSEUe6gYLUw8yuCZAwajh6IlhECLeioY/view?usp=drivesdk</v>
      </c>
      <c r="C2960" s="336" t="str">
        <f>IFERROR(__xludf.DUMMYFUNCTION("""COMPUTED_VALUE"""),"10.1016--j.jad.2020.07.068.pdf")</f>
        <v>10.1016--j.jad.2020.07.068.pdf</v>
      </c>
      <c r="D2960" s="156" t="str">
        <f>IFERROR(__xludf.DUMMYFUNCTION("""COMPUTED_VALUE"""),"application/pdf")</f>
        <v>application/pdf</v>
      </c>
    </row>
    <row r="2961">
      <c r="A2961" s="336" t="str">
        <f>IFERROR(__xludf.DUMMYFUNCTION("""COMPUTED_VALUE"""),"10.1016/j.jad.2019.03.027")</f>
        <v>10.1016/j.jad.2019.03.027</v>
      </c>
      <c r="B2961" s="442" t="str">
        <f>IFERROR(__xludf.DUMMYFUNCTION("""COMPUTED_VALUE"""),"https://drive.google.com/file/d/1pdhS0-ZGyjQIREpiT3_N1ld6izfKXSFK/view?usp=drivesdk")</f>
        <v>https://drive.google.com/file/d/1pdhS0-ZGyjQIREpiT3_N1ld6izfKXSFK/view?usp=drivesdk</v>
      </c>
      <c r="C2961" s="336" t="str">
        <f>IFERROR(__xludf.DUMMYFUNCTION("""COMPUTED_VALUE"""),"10.1016--j.jad.2019.03.027.pdf")</f>
        <v>10.1016--j.jad.2019.03.027.pdf</v>
      </c>
      <c r="D2961" s="156" t="str">
        <f>IFERROR(__xludf.DUMMYFUNCTION("""COMPUTED_VALUE"""),"application/pdf")</f>
        <v>application/pdf</v>
      </c>
    </row>
    <row r="2962">
      <c r="A2962" s="336" t="str">
        <f>IFERROR(__xludf.DUMMYFUNCTION("""COMPUTED_VALUE"""),"10.1016/j.drugalcdep.2021.108610")</f>
        <v>10.1016/j.drugalcdep.2021.108610</v>
      </c>
      <c r="B2962" s="442" t="str">
        <f>IFERROR(__xludf.DUMMYFUNCTION("""COMPUTED_VALUE"""),"https://drive.google.com/file/d/1DrC4ktWX9HamK4DWq_tF1P_2alxXHAnN/view?usp=drivesdk")</f>
        <v>https://drive.google.com/file/d/1DrC4ktWX9HamK4DWq_tF1P_2alxXHAnN/view?usp=drivesdk</v>
      </c>
      <c r="C2962" s="336" t="str">
        <f>IFERROR(__xludf.DUMMYFUNCTION("""COMPUTED_VALUE"""),"10.1016--j.drugalcdep.2021.108610.pdf")</f>
        <v>10.1016--j.drugalcdep.2021.108610.pdf</v>
      </c>
      <c r="D2962" s="156" t="str">
        <f>IFERROR(__xludf.DUMMYFUNCTION("""COMPUTED_VALUE"""),"application/pdf")</f>
        <v>application/pdf</v>
      </c>
    </row>
    <row r="2963">
      <c r="A2963" s="336" t="str">
        <f>IFERROR(__xludf.DUMMYFUNCTION("""COMPUTED_VALUE"""),"10.1016/j.ijresmar.2012.03.002")</f>
        <v>10.1016/j.ijresmar.2012.03.002</v>
      </c>
      <c r="B2963" s="442" t="str">
        <f>IFERROR(__xludf.DUMMYFUNCTION("""COMPUTED_VALUE"""),"https://drive.google.com/file/d/1IgOEeoYh65YudspFokk-VaTPbrQd0gtD/view?usp=drivesdk")</f>
        <v>https://drive.google.com/file/d/1IgOEeoYh65YudspFokk-VaTPbrQd0gtD/view?usp=drivesdk</v>
      </c>
      <c r="C2963" s="336" t="str">
        <f>IFERROR(__xludf.DUMMYFUNCTION("""COMPUTED_VALUE"""),"10.1016--j.ijresmar.2012.03.002.pdf")</f>
        <v>10.1016--j.ijresmar.2012.03.002.pdf</v>
      </c>
      <c r="D2963" s="156" t="str">
        <f>IFERROR(__xludf.DUMMYFUNCTION("""COMPUTED_VALUE"""),"application/pdf")</f>
        <v>application/pdf</v>
      </c>
    </row>
    <row r="2964">
      <c r="A2964" s="336" t="str">
        <f>IFERROR(__xludf.DUMMYFUNCTION("""COMPUTED_VALUE"""),"10.1016/j.dib.2019.104005")</f>
        <v>10.1016/j.dib.2019.104005</v>
      </c>
      <c r="B2964" s="442" t="str">
        <f>IFERROR(__xludf.DUMMYFUNCTION("""COMPUTED_VALUE"""),"https://drive.google.com/file/d/1PuD-vIYdn5C4vHU0YiqSuL7OPCmx9ttp/view?usp=drivesdk")</f>
        <v>https://drive.google.com/file/d/1PuD-vIYdn5C4vHU0YiqSuL7OPCmx9ttp/view?usp=drivesdk</v>
      </c>
      <c r="C2964" s="336" t="str">
        <f>IFERROR(__xludf.DUMMYFUNCTION("""COMPUTED_VALUE"""),"10.1016--j.dib.2019.104005.pdf")</f>
        <v>10.1016--j.dib.2019.104005.pdf</v>
      </c>
      <c r="D2964" s="156" t="str">
        <f>IFERROR(__xludf.DUMMYFUNCTION("""COMPUTED_VALUE"""),"application/pdf")</f>
        <v>application/pdf</v>
      </c>
    </row>
    <row r="2965">
      <c r="A2965" s="336" t="str">
        <f>IFERROR(__xludf.DUMMYFUNCTION("""COMPUTED_VALUE"""),"10.1016/j.cub.2013.08.037")</f>
        <v>10.1016/j.cub.2013.08.037</v>
      </c>
      <c r="B2965" s="442" t="str">
        <f>IFERROR(__xludf.DUMMYFUNCTION("""COMPUTED_VALUE"""),"https://drive.google.com/file/d/1kGdnrYJFp9Fedk9QHQtyDcczJB_LGP5s/view?usp=drivesdk")</f>
        <v>https://drive.google.com/file/d/1kGdnrYJFp9Fedk9QHQtyDcczJB_LGP5s/view?usp=drivesdk</v>
      </c>
      <c r="C2965" s="336" t="str">
        <f>IFERROR(__xludf.DUMMYFUNCTION("""COMPUTED_VALUE"""),"10.1016--j.cub.2013.08.037.pdf")</f>
        <v>10.1016--j.cub.2013.08.037.pdf</v>
      </c>
      <c r="D2965" s="156" t="str">
        <f>IFERROR(__xludf.DUMMYFUNCTION("""COMPUTED_VALUE"""),"application/pdf")</f>
        <v>application/pdf</v>
      </c>
    </row>
    <row r="2966">
      <c r="A2966" s="336" t="str">
        <f>IFERROR(__xludf.DUMMYFUNCTION("""COMPUTED_VALUE"""),"10.1016/j.cognition.2015.01.013")</f>
        <v>10.1016/j.cognition.2015.01.013</v>
      </c>
      <c r="B2966" s="442" t="str">
        <f>IFERROR(__xludf.DUMMYFUNCTION("""COMPUTED_VALUE"""),"https://drive.google.com/file/d/15kuHQf8erGaSOBxt1lOz994u1DIsHk_v/view?usp=drivesdk")</f>
        <v>https://drive.google.com/file/d/15kuHQf8erGaSOBxt1lOz994u1DIsHk_v/view?usp=drivesdk</v>
      </c>
      <c r="C2966" s="336" t="str">
        <f>IFERROR(__xludf.DUMMYFUNCTION("""COMPUTED_VALUE"""),"10.1016--j.cognition.2015.01.013.pdf")</f>
        <v>10.1016--j.cognition.2015.01.013.pdf</v>
      </c>
      <c r="D2966" s="156" t="str">
        <f>IFERROR(__xludf.DUMMYFUNCTION("""COMPUTED_VALUE"""),"application/pdf")</f>
        <v>application/pdf</v>
      </c>
    </row>
    <row r="2967">
      <c r="A2967" s="336" t="str">
        <f>IFERROR(__xludf.DUMMYFUNCTION("""COMPUTED_VALUE"""),"10.1016/j.cognition.2018.04.007")</f>
        <v>10.1016/j.cognition.2018.04.007</v>
      </c>
      <c r="B2967" s="442" t="str">
        <f>IFERROR(__xludf.DUMMYFUNCTION("""COMPUTED_VALUE"""),"https://drive.google.com/file/d/1EDHHFOSKkOQc-1kI7O0JVmaKcw9YK3p2/view?usp=drivesdk")</f>
        <v>https://drive.google.com/file/d/1EDHHFOSKkOQc-1kI7O0JVmaKcw9YK3p2/view?usp=drivesdk</v>
      </c>
      <c r="C2967" s="336" t="str">
        <f>IFERROR(__xludf.DUMMYFUNCTION("""COMPUTED_VALUE"""),"10.1016--j.cognition.2018.04.007.pdf")</f>
        <v>10.1016--j.cognition.2018.04.007.pdf</v>
      </c>
      <c r="D2967" s="156" t="str">
        <f>IFERROR(__xludf.DUMMYFUNCTION("""COMPUTED_VALUE"""),"application/pdf")</f>
        <v>application/pdf</v>
      </c>
    </row>
    <row r="2968">
      <c r="A2968" s="336" t="str">
        <f>IFERROR(__xludf.DUMMYFUNCTION("""COMPUTED_VALUE"""),"10.1016/j.concog.2008.11.006")</f>
        <v>10.1016/j.concog.2008.11.006</v>
      </c>
      <c r="B2968" s="442" t="str">
        <f>IFERROR(__xludf.DUMMYFUNCTION("""COMPUTED_VALUE"""),"https://drive.google.com/file/d/1jf3ctwxwUpc5AYKxlkNN-odE2ElrZuqN/view?usp=drivesdk")</f>
        <v>https://drive.google.com/file/d/1jf3ctwxwUpc5AYKxlkNN-odE2ElrZuqN/view?usp=drivesdk</v>
      </c>
      <c r="C2968" s="336" t="str">
        <f>IFERROR(__xludf.DUMMYFUNCTION("""COMPUTED_VALUE"""),"10.1016--j.concog.2008.11.006.pdf")</f>
        <v>10.1016--j.concog.2008.11.006.pdf</v>
      </c>
      <c r="D2968" s="156" t="str">
        <f>IFERROR(__xludf.DUMMYFUNCTION("""COMPUTED_VALUE"""),"application/pdf")</f>
        <v>application/pdf</v>
      </c>
    </row>
    <row r="2969">
      <c r="A2969" s="336" t="str">
        <f>IFERROR(__xludf.DUMMYFUNCTION("""COMPUTED_VALUE"""),"10.1016/j.cognition.2014.08.006")</f>
        <v>10.1016/j.cognition.2014.08.006</v>
      </c>
      <c r="B2969" s="442" t="str">
        <f>IFERROR(__xludf.DUMMYFUNCTION("""COMPUTED_VALUE"""),"https://drive.google.com/file/d/1vQ1lUQP7E0bfjNjtCdLNAaUqgcbJ9PLU/view?usp=drivesdk")</f>
        <v>https://drive.google.com/file/d/1vQ1lUQP7E0bfjNjtCdLNAaUqgcbJ9PLU/view?usp=drivesdk</v>
      </c>
      <c r="C2969" s="336" t="str">
        <f>IFERROR(__xludf.DUMMYFUNCTION("""COMPUTED_VALUE"""),"10.1016--j.cognition.2014.08.006.pdf")</f>
        <v>10.1016--j.cognition.2014.08.006.pdf</v>
      </c>
      <c r="D2969" s="156" t="str">
        <f>IFERROR(__xludf.DUMMYFUNCTION("""COMPUTED_VALUE"""),"application/pdf")</f>
        <v>application/pdf</v>
      </c>
    </row>
    <row r="2970">
      <c r="A2970" s="336" t="str">
        <f>IFERROR(__xludf.DUMMYFUNCTION("""COMPUTED_VALUE"""),"10.1016/j.cognition.2013.12.005")</f>
        <v>10.1016/j.cognition.2013.12.005</v>
      </c>
      <c r="B2970" s="442" t="str">
        <f>IFERROR(__xludf.DUMMYFUNCTION("""COMPUTED_VALUE"""),"https://drive.google.com/file/d/1m4pILp8FV7YtyobDHxoq8pojV_SH9CV7/view?usp=drivesdk")</f>
        <v>https://drive.google.com/file/d/1m4pILp8FV7YtyobDHxoq8pojV_SH9CV7/view?usp=drivesdk</v>
      </c>
      <c r="C2970" s="336" t="str">
        <f>IFERROR(__xludf.DUMMYFUNCTION("""COMPUTED_VALUE"""),"10.1016--j.cognition.2013.12.005.pdf")</f>
        <v>10.1016--j.cognition.2013.12.005.pdf</v>
      </c>
      <c r="D2970" s="156" t="str">
        <f>IFERROR(__xludf.DUMMYFUNCTION("""COMPUTED_VALUE"""),"application/pdf")</f>
        <v>application/pdf</v>
      </c>
    </row>
    <row r="2971">
      <c r="A2971" s="336" t="str">
        <f>IFERROR(__xludf.DUMMYFUNCTION("""COMPUTED_VALUE"""),"10.1016/j.cognition.2013.02.008")</f>
        <v>10.1016/j.cognition.2013.02.008</v>
      </c>
      <c r="B2971" s="442" t="str">
        <f>IFERROR(__xludf.DUMMYFUNCTION("""COMPUTED_VALUE"""),"https://drive.google.com/file/d/1kb4iozdFSFtKZKGvaK7sOkqlr4kI2jg5/view?usp=drivesdk")</f>
        <v>https://drive.google.com/file/d/1kb4iozdFSFtKZKGvaK7sOkqlr4kI2jg5/view?usp=drivesdk</v>
      </c>
      <c r="C2971" s="336" t="str">
        <f>IFERROR(__xludf.DUMMYFUNCTION("""COMPUTED_VALUE"""),"10.1016--j.cognition.2013.02.008.pdf")</f>
        <v>10.1016--j.cognition.2013.02.008.pdf</v>
      </c>
      <c r="D2971" s="156" t="str">
        <f>IFERROR(__xludf.DUMMYFUNCTION("""COMPUTED_VALUE"""),"application/pdf")</f>
        <v>application/pdf</v>
      </c>
    </row>
    <row r="2972">
      <c r="A2972" s="336" t="str">
        <f>IFERROR(__xludf.DUMMYFUNCTION("""COMPUTED_VALUE"""),"10.1016/j.cognition.2012.05.017")</f>
        <v>10.1016/j.cognition.2012.05.017</v>
      </c>
      <c r="B2972" s="442" t="str">
        <f>IFERROR(__xludf.DUMMYFUNCTION("""COMPUTED_VALUE"""),"https://drive.google.com/file/d/1rYKmBnC6-cppCzt4DERsstyRR5gk2db1/view?usp=drivesdk")</f>
        <v>https://drive.google.com/file/d/1rYKmBnC6-cppCzt4DERsstyRR5gk2db1/view?usp=drivesdk</v>
      </c>
      <c r="C2972" s="336" t="str">
        <f>IFERROR(__xludf.DUMMYFUNCTION("""COMPUTED_VALUE"""),"10.1016--j.cognition.2012.05.017.pdf")</f>
        <v>10.1016--j.cognition.2012.05.017.pdf</v>
      </c>
      <c r="D2972" s="156" t="str">
        <f>IFERROR(__xludf.DUMMYFUNCTION("""COMPUTED_VALUE"""),"application/pdf")</f>
        <v>application/pdf</v>
      </c>
    </row>
    <row r="2973">
      <c r="A2973" s="336" t="str">
        <f>IFERROR(__xludf.DUMMYFUNCTION("""COMPUTED_VALUE"""),"10.1016/j.cognition.2007.11.004")</f>
        <v>10.1016/j.cognition.2007.11.004</v>
      </c>
      <c r="B2973" s="442" t="str">
        <f>IFERROR(__xludf.DUMMYFUNCTION("""COMPUTED_VALUE"""),"https://drive.google.com/file/d/15WVNsHu4qw18Mufo3UCjKv6cq2gXORb0/view?usp=drivesdk")</f>
        <v>https://drive.google.com/file/d/15WVNsHu4qw18Mufo3UCjKv6cq2gXORb0/view?usp=drivesdk</v>
      </c>
      <c r="C2973" s="336" t="str">
        <f>IFERROR(__xludf.DUMMYFUNCTION("""COMPUTED_VALUE"""),"10.1016--j.cognition.2007.11.004.pdf")</f>
        <v>10.1016--j.cognition.2007.11.004.pdf</v>
      </c>
      <c r="D2973" s="156" t="str">
        <f>IFERROR(__xludf.DUMMYFUNCTION("""COMPUTED_VALUE"""),"application/pdf")</f>
        <v>application/pdf</v>
      </c>
    </row>
    <row r="2974">
      <c r="A2974" s="336" t="str">
        <f>IFERROR(__xludf.DUMMYFUNCTION("""COMPUTED_VALUE"""),"10.1016/j.cognition.2011.04.005")</f>
        <v>10.1016/j.cognition.2011.04.005</v>
      </c>
      <c r="B2974" s="442" t="str">
        <f>IFERROR(__xludf.DUMMYFUNCTION("""COMPUTED_VALUE"""),"https://drive.google.com/file/d/1rfhy0H3N2i18Q2nk5882hihBrKt6EiZo/view?usp=drivesdk")</f>
        <v>https://drive.google.com/file/d/1rfhy0H3N2i18Q2nk5882hihBrKt6EiZo/view?usp=drivesdk</v>
      </c>
      <c r="C2974" s="336" t="str">
        <f>IFERROR(__xludf.DUMMYFUNCTION("""COMPUTED_VALUE"""),"10.1016--j.cognition.2011.04.005.pdf")</f>
        <v>10.1016--j.cognition.2011.04.005.pdf</v>
      </c>
      <c r="D2974" s="156" t="str">
        <f>IFERROR(__xludf.DUMMYFUNCTION("""COMPUTED_VALUE"""),"application/pdf")</f>
        <v>application/pdf</v>
      </c>
    </row>
    <row r="2975">
      <c r="A2975" s="336" t="str">
        <f>IFERROR(__xludf.DUMMYFUNCTION("""COMPUTED_VALUE"""),"10.1016/j.cognition.2003.10.003")</f>
        <v>10.1016/j.cognition.2003.10.003</v>
      </c>
      <c r="B2975" s="442" t="str">
        <f>IFERROR(__xludf.DUMMYFUNCTION("""COMPUTED_VALUE"""),"https://drive.google.com/file/d/1iXbJmAfK9HnzZ8oDPYgQfHqZeVcgywaq/view?usp=drivesdk")</f>
        <v>https://drive.google.com/file/d/1iXbJmAfK9HnzZ8oDPYgQfHqZeVcgywaq/view?usp=drivesdk</v>
      </c>
      <c r="C2975" s="336" t="str">
        <f>IFERROR(__xludf.DUMMYFUNCTION("""COMPUTED_VALUE"""),"10.1016--j.cognition.2003.10.003.pdf")</f>
        <v>10.1016--j.cognition.2003.10.003.pdf</v>
      </c>
      <c r="D2975" s="156" t="str">
        <f>IFERROR(__xludf.DUMMYFUNCTION("""COMPUTED_VALUE"""),"application/pdf")</f>
        <v>application/pdf</v>
      </c>
    </row>
    <row r="2976">
      <c r="A2976" s="336" t="str">
        <f>IFERROR(__xludf.DUMMYFUNCTION("""COMPUTED_VALUE"""),"10.1016/j.cogdev.2010.09.001")</f>
        <v>10.1016/j.cogdev.2010.09.001</v>
      </c>
      <c r="B2976" s="442" t="str">
        <f>IFERROR(__xludf.DUMMYFUNCTION("""COMPUTED_VALUE"""),"https://drive.google.com/file/d/1M0Xd_T8fusHFgXmv-HDFJpVyg0Ga7w1w/view?usp=drivesdk")</f>
        <v>https://drive.google.com/file/d/1M0Xd_T8fusHFgXmv-HDFJpVyg0Ga7w1w/view?usp=drivesdk</v>
      </c>
      <c r="C2976" s="336" t="str">
        <f>IFERROR(__xludf.DUMMYFUNCTION("""COMPUTED_VALUE"""),"10.1016--j.cogdev.2010.09.001.pdf")</f>
        <v>10.1016--j.cogdev.2010.09.001.pdf</v>
      </c>
      <c r="D2976" s="156" t="str">
        <f>IFERROR(__xludf.DUMMYFUNCTION("""COMPUTED_VALUE"""),"application/pdf")</f>
        <v>application/pdf</v>
      </c>
    </row>
    <row r="2977">
      <c r="A2977" s="336" t="str">
        <f>IFERROR(__xludf.DUMMYFUNCTION("""COMPUTED_VALUE"""),"10.1016/j.cedpsych.2019.101834")</f>
        <v>10.1016/j.cedpsych.2019.101834</v>
      </c>
      <c r="B2977" s="442" t="str">
        <f>IFERROR(__xludf.DUMMYFUNCTION("""COMPUTED_VALUE"""),"https://drive.google.com/file/d/1ey3svgzi5RXI2O-RNCBTZkx8IlV-kKzo/view?usp=drivesdk")</f>
        <v>https://drive.google.com/file/d/1ey3svgzi5RXI2O-RNCBTZkx8IlV-kKzo/view?usp=drivesdk</v>
      </c>
      <c r="C2977" s="336" t="str">
        <f>IFERROR(__xludf.DUMMYFUNCTION("""COMPUTED_VALUE"""),"10.1016--j.cedpsych.2019.101834.pdf")</f>
        <v>10.1016--j.cedpsych.2019.101834.pdf</v>
      </c>
      <c r="D2977" s="156" t="str">
        <f>IFERROR(__xludf.DUMMYFUNCTION("""COMPUTED_VALUE"""),"application/pdf")</f>
        <v>application/pdf</v>
      </c>
    </row>
    <row r="2978">
      <c r="A2978" s="336" t="str">
        <f>IFERROR(__xludf.DUMMYFUNCTION("""COMPUTED_VALUE"""),"10.1016/j.appet.2020.104808")</f>
        <v>10.1016/j.appet.2020.104808</v>
      </c>
      <c r="B2978" s="442" t="str">
        <f>IFERROR(__xludf.DUMMYFUNCTION("""COMPUTED_VALUE"""),"https://drive.google.com/file/d/1qyGORRGdQy-kyOSM_2vtKP7-BEAhuKWX/view?usp=drivesdk")</f>
        <v>https://drive.google.com/file/d/1qyGORRGdQy-kyOSM_2vtKP7-BEAhuKWX/view?usp=drivesdk</v>
      </c>
      <c r="C2978" s="336" t="str">
        <f>IFERROR(__xludf.DUMMYFUNCTION("""COMPUTED_VALUE"""),"10.1016--j.appet.2020.104808.pdf")</f>
        <v>10.1016--j.appet.2020.104808.pdf</v>
      </c>
      <c r="D2978" s="156" t="str">
        <f>IFERROR(__xludf.DUMMYFUNCTION("""COMPUTED_VALUE"""),"application/pdf")</f>
        <v>application/pdf</v>
      </c>
    </row>
    <row r="2979">
      <c r="A2979" s="336" t="str">
        <f>IFERROR(__xludf.DUMMYFUNCTION("""COMPUTED_VALUE"""),"10.1016/j.obhdp.2006.10.001")</f>
        <v>10.1016/j.obhdp.2006.10.001</v>
      </c>
      <c r="B2979" s="442" t="str">
        <f>IFERROR(__xludf.DUMMYFUNCTION("""COMPUTED_VALUE"""),"https://drive.google.com/file/d/1FWRQbooJB3yBxAT3Bu0VtKlQVOCCrmTE/view?usp=drivesdk")</f>
        <v>https://drive.google.com/file/d/1FWRQbooJB3yBxAT3Bu0VtKlQVOCCrmTE/view?usp=drivesdk</v>
      </c>
      <c r="C2979" s="336" t="str">
        <f>IFERROR(__xludf.DUMMYFUNCTION("""COMPUTED_VALUE"""),"10.1016--j.obhdp.2006.10.001.pdf")</f>
        <v>10.1016--j.obhdp.2006.10.001.pdf</v>
      </c>
      <c r="D2979" s="156" t="str">
        <f>IFERROR(__xludf.DUMMYFUNCTION("""COMPUTED_VALUE"""),"application/pdf")</f>
        <v>application/pdf</v>
      </c>
    </row>
    <row r="2980">
      <c r="A2980" s="336" t="str">
        <f>IFERROR(__xludf.DUMMYFUNCTION("""COMPUTED_VALUE"""),"10.1016/b978-0-12-205050-3.50008-7")</f>
        <v>10.1016/b978-0-12-205050-3.50008-7</v>
      </c>
      <c r="B2980" s="442" t="str">
        <f>IFERROR(__xludf.DUMMYFUNCTION("""COMPUTED_VALUE"""),"https://drive.google.com/file/d/13YTFwHRFNpBSnxofMWEZYB4DFgqick6w/view?usp=drivesdk")</f>
        <v>https://drive.google.com/file/d/13YTFwHRFNpBSnxofMWEZYB4DFgqick6w/view?usp=drivesdk</v>
      </c>
      <c r="C2980" s="336" t="str">
        <f>IFERROR(__xludf.DUMMYFUNCTION("""COMPUTED_VALUE"""),"10.1016--b978-0-12-205050-3.50008-7.pdf")</f>
        <v>10.1016--b978-0-12-205050-3.50008-7.pdf</v>
      </c>
      <c r="D2980" s="156" t="str">
        <f>IFERROR(__xludf.DUMMYFUNCTION("""COMPUTED_VALUE"""),"application/pdf")</f>
        <v>application/pdf</v>
      </c>
    </row>
    <row r="2981">
      <c r="A2981" s="336" t="str">
        <f>IFERROR(__xludf.DUMMYFUNCTION("""COMPUTED_VALUE"""),"10.1016/0749-596x(87)90098-2")</f>
        <v>10.1016/0749-596x(87)90098-2</v>
      </c>
      <c r="B2981" s="442" t="str">
        <f>IFERROR(__xludf.DUMMYFUNCTION("""COMPUTED_VALUE"""),"https://drive.google.com/file/d/1DzRA3qe8CQXBgcDoOXxyAWU63P40Fwio/view?usp=drivesdk")</f>
        <v>https://drive.google.com/file/d/1DzRA3qe8CQXBgcDoOXxyAWU63P40Fwio/view?usp=drivesdk</v>
      </c>
      <c r="C2981" s="336" t="str">
        <f>IFERROR(__xludf.DUMMYFUNCTION("""COMPUTED_VALUE"""),"10.1016--0749-596x(87)90098-2.pdf")</f>
        <v>10.1016--0749-596x(87)90098-2.pdf</v>
      </c>
      <c r="D2981" s="156" t="str">
        <f>IFERROR(__xludf.DUMMYFUNCTION("""COMPUTED_VALUE"""),"application/pdf")</f>
        <v>application/pdf</v>
      </c>
    </row>
    <row r="2982">
      <c r="A2982" s="336" t="str">
        <f>IFERROR(__xludf.DUMMYFUNCTION("""COMPUTED_VALUE"""),"10.1016/0022-1031(91)90011-t")</f>
        <v>10.1016/0022-1031(91)90011-t</v>
      </c>
      <c r="B2982" s="442" t="str">
        <f>IFERROR(__xludf.DUMMYFUNCTION("""COMPUTED_VALUE"""),"https://drive.google.com/file/d/119yIqQfYVVKN0GW9NpqUkpEkA8m1xmUD/view?usp=drivesdk")</f>
        <v>https://drive.google.com/file/d/119yIqQfYVVKN0GW9NpqUkpEkA8m1xmUD/view?usp=drivesdk</v>
      </c>
      <c r="C2982" s="336" t="str">
        <f>IFERROR(__xludf.DUMMYFUNCTION("""COMPUTED_VALUE"""),"10.1016--0022-1031(91)90011-T.pdf")</f>
        <v>10.1016--0022-1031(91)90011-T.pdf</v>
      </c>
      <c r="D2982" s="156" t="str">
        <f>IFERROR(__xludf.DUMMYFUNCTION("""COMPUTED_VALUE"""),"application/pdf")</f>
        <v>application/pdf</v>
      </c>
    </row>
    <row r="2983">
      <c r="A2983" s="336" t="str">
        <f>IFERROR(__xludf.DUMMYFUNCTION("""COMPUTED_VALUE"""),"10.1016/0191-8869(89)90005-6")</f>
        <v>10.1016/0191-8869(89)90005-6</v>
      </c>
      <c r="B2983" s="442" t="str">
        <f>IFERROR(__xludf.DUMMYFUNCTION("""COMPUTED_VALUE"""),"https://drive.google.com/file/d/15-Qaf3mc5XQEsuoEm8ghrVO5S8iGirFd/view?usp=drivesdk")</f>
        <v>https://drive.google.com/file/d/15-Qaf3mc5XQEsuoEm8ghrVO5S8iGirFd/view?usp=drivesdk</v>
      </c>
      <c r="C2983" s="336" t="str">
        <f>IFERROR(__xludf.DUMMYFUNCTION("""COMPUTED_VALUE"""),"10.1016--0191-8869(89)90005-6.pdf")</f>
        <v>10.1016--0191-8869(89)90005-6.pdf</v>
      </c>
      <c r="D2983" s="156" t="str">
        <f>IFERROR(__xludf.DUMMYFUNCTION("""COMPUTED_VALUE"""),"application/pdf")</f>
        <v>application/pdf</v>
      </c>
    </row>
    <row r="2984">
      <c r="A2984" s="336" t="str">
        <f>IFERROR(__xludf.DUMMYFUNCTION("""COMPUTED_VALUE"""),"10.1016/0022-1031(77)90049-x")</f>
        <v>10.1016/0022-1031(77)90049-x</v>
      </c>
      <c r="B2984" s="442" t="str">
        <f>IFERROR(__xludf.DUMMYFUNCTION("""COMPUTED_VALUE"""),"https://drive.google.com/file/d/1od2a-ouaTJO4fTukPdaEiu377d_BcufB/view?usp=drivesdk")</f>
        <v>https://drive.google.com/file/d/1od2a-ouaTJO4fTukPdaEiu377d_BcufB/view?usp=drivesdk</v>
      </c>
      <c r="C2984" s="336" t="str">
        <f>IFERROR(__xludf.DUMMYFUNCTION("""COMPUTED_VALUE"""),"10.1016--0022-1031(77)90049-X.pdf")</f>
        <v>10.1016--0022-1031(77)90049-X.pdf</v>
      </c>
      <c r="D2984" s="156" t="str">
        <f>IFERROR(__xludf.DUMMYFUNCTION("""COMPUTED_VALUE"""),"application/pdf")</f>
        <v>application/pdf</v>
      </c>
    </row>
    <row r="2985">
      <c r="A2985" s="336" t="str">
        <f>IFERROR(__xludf.DUMMYFUNCTION("""COMPUTED_VALUE"""),"10.1016/0010-0285(90)90003-m")</f>
        <v>10.1016/0010-0285(90)90003-m</v>
      </c>
      <c r="B2985" s="442" t="str">
        <f>IFERROR(__xludf.DUMMYFUNCTION("""COMPUTED_VALUE"""),"https://drive.google.com/file/d/1Th-_BL7lfGgtgvuj6_C-xLWQLks88DXP/view?usp=drivesdk")</f>
        <v>https://drive.google.com/file/d/1Th-_BL7lfGgtgvuj6_C-xLWQLks88DXP/view?usp=drivesdk</v>
      </c>
      <c r="C2985" s="336" t="str">
        <f>IFERROR(__xludf.DUMMYFUNCTION("""COMPUTED_VALUE"""),"10.1016--0010-0285(90)90003-m.pdf")</f>
        <v>10.1016--0010-0285(90)90003-m.pdf</v>
      </c>
      <c r="D2985" s="156" t="str">
        <f>IFERROR(__xludf.DUMMYFUNCTION("""COMPUTED_VALUE"""),"application/pdf")</f>
        <v>application/pdf</v>
      </c>
    </row>
    <row r="2986">
      <c r="A2986" s="336" t="str">
        <f>IFERROR(__xludf.DUMMYFUNCTION("""COMPUTED_VALUE"""),"10.1016/0010-0285(73)90033-9")</f>
        <v>10.1016/0010-0285(73)90033-9</v>
      </c>
      <c r="B2986" s="442" t="str">
        <f>IFERROR(__xludf.DUMMYFUNCTION("""COMPUTED_VALUE"""),"https://drive.google.com/file/d/1p9X3tD24EWbnOA_5MSM9HTgujzLisIGn/view?usp=drivesdk")</f>
        <v>https://drive.google.com/file/d/1p9X3tD24EWbnOA_5MSM9HTgujzLisIGn/view?usp=drivesdk</v>
      </c>
      <c r="C2986" s="336" t="str">
        <f>IFERROR(__xludf.DUMMYFUNCTION("""COMPUTED_VALUE"""),"10.1016--0010-0285(73)90033-9.pdf")</f>
        <v>10.1016--0010-0285(73)90033-9.pdf</v>
      </c>
      <c r="D2986" s="156" t="str">
        <f>IFERROR(__xludf.DUMMYFUNCTION("""COMPUTED_VALUE"""),"application/pdf")</f>
        <v>application/pdf</v>
      </c>
    </row>
    <row r="2987">
      <c r="A2987" s="336" t="str">
        <f>IFERROR(__xludf.DUMMYFUNCTION("""COMPUTED_VALUE"""),"10.1016/0010-0277(89)90023-1")</f>
        <v>10.1016/0010-0277(89)90023-1</v>
      </c>
      <c r="B2987" s="442" t="str">
        <f>IFERROR(__xludf.DUMMYFUNCTION("""COMPUTED_VALUE"""),"https://drive.google.com/file/d/1zZsKWNkjPZ_9g4uOGvy2Ov6tWL-rEee5/view?usp=drivesdk")</f>
        <v>https://drive.google.com/file/d/1zZsKWNkjPZ_9g4uOGvy2Ov6tWL-rEee5/view?usp=drivesdk</v>
      </c>
      <c r="C2987" s="336" t="str">
        <f>IFERROR(__xludf.DUMMYFUNCTION("""COMPUTED_VALUE"""),"10.1016--0010-0277(89)90023-1.pdf")</f>
        <v>10.1016--0010-0277(89)90023-1.pdf</v>
      </c>
      <c r="D2987" s="156" t="str">
        <f>IFERROR(__xludf.DUMMYFUNCTION("""COMPUTED_VALUE"""),"application/pdf")</f>
        <v>application/pdf</v>
      </c>
    </row>
    <row r="2988">
      <c r="A2988" s="336" t="str">
        <f>IFERROR(__xludf.DUMMYFUNCTION("""COMPUTED_VALUE"""),"10.1016/0006-3223(85)90216-1")</f>
        <v>10.1016/0006-3223(85)90216-1</v>
      </c>
      <c r="B2988" s="442" t="str">
        <f>IFERROR(__xludf.DUMMYFUNCTION("""COMPUTED_VALUE"""),"https://drive.google.com/file/d/1M25zQAcBVGOJlUmqXGI2IsFDOOQqBMhb/view?usp=drivesdk")</f>
        <v>https://drive.google.com/file/d/1M25zQAcBVGOJlUmqXGI2IsFDOOQqBMhb/view?usp=drivesdk</v>
      </c>
      <c r="C2988" s="336" t="str">
        <f>IFERROR(__xludf.DUMMYFUNCTION("""COMPUTED_VALUE"""),"10.1016--0006-3223(85)90216-1.pdf")</f>
        <v>10.1016--0006-3223(85)90216-1.pdf</v>
      </c>
      <c r="D2988" s="156" t="str">
        <f>IFERROR(__xludf.DUMMYFUNCTION("""COMPUTED_VALUE"""),"application/pdf")</f>
        <v>application/pdf</v>
      </c>
    </row>
    <row r="2989">
      <c r="A2989" s="336" t="str">
        <f>IFERROR(__xludf.DUMMYFUNCTION("""COMPUTED_VALUE"""),"10.1016/0001-6918(82)90036-1")</f>
        <v>10.1016/0001-6918(82)90036-1</v>
      </c>
      <c r="B2989" s="442" t="str">
        <f>IFERROR(__xludf.DUMMYFUNCTION("""COMPUTED_VALUE"""),"https://drive.google.com/file/d/1XrLjSPpAxn5KMB8LOBiyjOkXRag4jGSC/view?usp=drivesdk")</f>
        <v>https://drive.google.com/file/d/1XrLjSPpAxn5KMB8LOBiyjOkXRag4jGSC/view?usp=drivesdk</v>
      </c>
      <c r="C2989" s="336" t="str">
        <f>IFERROR(__xludf.DUMMYFUNCTION("""COMPUTED_VALUE"""),"10.1016--0001-6918(82)90036-1.pdf")</f>
        <v>10.1016--0001-6918(82)90036-1.pdf</v>
      </c>
      <c r="D2989" s="156" t="str">
        <f>IFERROR(__xludf.DUMMYFUNCTION("""COMPUTED_VALUE"""),"application/pdf")</f>
        <v>application/pdf</v>
      </c>
    </row>
    <row r="2990">
      <c r="A2990" s="336" t="str">
        <f>IFERROR(__xludf.DUMMYFUNCTION("""COMPUTED_VALUE"""),"10.1016/0001-6918(81)90005-6")</f>
        <v>10.1016/0001-6918(81)90005-6</v>
      </c>
      <c r="B2990" s="442" t="str">
        <f>IFERROR(__xludf.DUMMYFUNCTION("""COMPUTED_VALUE"""),"https://drive.google.com/file/d/1sbpmVib3DRD00b_W6U6tFq_cgTbXsBXK/view?usp=drivesdk")</f>
        <v>https://drive.google.com/file/d/1sbpmVib3DRD00b_W6U6tFq_cgTbXsBXK/view?usp=drivesdk</v>
      </c>
      <c r="C2990" s="336" t="str">
        <f>IFERROR(__xludf.DUMMYFUNCTION("""COMPUTED_VALUE"""),"10.1016--0001-6918(81)90005-6.pdf")</f>
        <v>10.1016--0001-6918(81)90005-6.pdf</v>
      </c>
      <c r="D2990" s="156" t="str">
        <f>IFERROR(__xludf.DUMMYFUNCTION("""COMPUTED_VALUE"""),"application/pdf")</f>
        <v>application/pdf</v>
      </c>
    </row>
    <row r="2991">
      <c r="A2991" s="336" t="str">
        <f>IFERROR(__xludf.DUMMYFUNCTION("""COMPUTED_VALUE"""),"10.1007/s13164-013-0162-3")</f>
        <v>10.1007/s13164-013-0162-3</v>
      </c>
      <c r="B2991" s="442" t="str">
        <f>IFERROR(__xludf.DUMMYFUNCTION("""COMPUTED_VALUE"""),"https://drive.google.com/file/d/1_iGxIOrj5vzUvhOaCiFYGOOkUVaaRx4p/view?usp=drivesdk")</f>
        <v>https://drive.google.com/file/d/1_iGxIOrj5vzUvhOaCiFYGOOkUVaaRx4p/view?usp=drivesdk</v>
      </c>
      <c r="C2991" s="336" t="str">
        <f>IFERROR(__xludf.DUMMYFUNCTION("""COMPUTED_VALUE"""),"10.1007--s13164-013-0162-3.pdf")</f>
        <v>10.1007--s13164-013-0162-3.pdf</v>
      </c>
      <c r="D2991" s="156" t="str">
        <f>IFERROR(__xludf.DUMMYFUNCTION("""COMPUTED_VALUE"""),"application/pdf")</f>
        <v>application/pdf</v>
      </c>
    </row>
    <row r="2992">
      <c r="A2992" s="336" t="str">
        <f>IFERROR(__xludf.DUMMYFUNCTION("""COMPUTED_VALUE"""),"10.1007/s40979-020-00054-6")</f>
        <v>10.1007/s40979-020-00054-6</v>
      </c>
      <c r="B2992" s="442" t="str">
        <f>IFERROR(__xludf.DUMMYFUNCTION("""COMPUTED_VALUE"""),"https://drive.google.com/file/d/1eolW8jXTH5JysX-KEzNra0wdcfMzRMQ7/view?usp=drivesdk")</f>
        <v>https://drive.google.com/file/d/1eolW8jXTH5JysX-KEzNra0wdcfMzRMQ7/view?usp=drivesdk</v>
      </c>
      <c r="C2992" s="336" t="str">
        <f>IFERROR(__xludf.DUMMYFUNCTION("""COMPUTED_VALUE"""),"10.1007--s40979-020-00054-6.pdf")</f>
        <v>10.1007--s40979-020-00054-6.pdf</v>
      </c>
      <c r="D2992" s="156" t="str">
        <f>IFERROR(__xludf.DUMMYFUNCTION("""COMPUTED_VALUE"""),"application/pdf")</f>
        <v>application/pdf</v>
      </c>
    </row>
    <row r="2993">
      <c r="A2993" s="336" t="str">
        <f>IFERROR(__xludf.DUMMYFUNCTION("""COMPUTED_VALUE"""),"10.1007/s13164-013-0154-3")</f>
        <v>10.1007/s13164-013-0154-3</v>
      </c>
      <c r="B2993" s="442" t="str">
        <f>IFERROR(__xludf.DUMMYFUNCTION("""COMPUTED_VALUE"""),"https://drive.google.com/file/d/1sQtBrEeqN1XM_1Qv0mJvDeDfWVWHohWY/view?usp=drivesdk")</f>
        <v>https://drive.google.com/file/d/1sQtBrEeqN1XM_1Qv0mJvDeDfWVWHohWY/view?usp=drivesdk</v>
      </c>
      <c r="C2993" s="336" t="str">
        <f>IFERROR(__xludf.DUMMYFUNCTION("""COMPUTED_VALUE"""),"10.1007--s13164-013-0154-3.pdf")</f>
        <v>10.1007--s13164-013-0154-3.pdf</v>
      </c>
      <c r="D2993" s="156" t="str">
        <f>IFERROR(__xludf.DUMMYFUNCTION("""COMPUTED_VALUE"""),"application/pdf")</f>
        <v>application/pdf</v>
      </c>
    </row>
    <row r="2994">
      <c r="A2994" s="336" t="str">
        <f>IFERROR(__xludf.DUMMYFUNCTION("""COMPUTED_VALUE"""),"10.1007/s12152-008-9015-7")</f>
        <v>10.1007/s12152-008-9015-7</v>
      </c>
      <c r="B2994" s="442" t="str">
        <f>IFERROR(__xludf.DUMMYFUNCTION("""COMPUTED_VALUE"""),"https://drive.google.com/file/d/1esh5oqCpj4F374ZeOWGrHgAoZG4Cbaxf/view?usp=drivesdk")</f>
        <v>https://drive.google.com/file/d/1esh5oqCpj4F374ZeOWGrHgAoZG4Cbaxf/view?usp=drivesdk</v>
      </c>
      <c r="C2994" s="336" t="str">
        <f>IFERROR(__xludf.DUMMYFUNCTION("""COMPUTED_VALUE"""),"10.1007--s12152-008-9015-7.pdf")</f>
        <v>10.1007--s12152-008-9015-7.pdf</v>
      </c>
      <c r="D2994" s="156" t="str">
        <f>IFERROR(__xludf.DUMMYFUNCTION("""COMPUTED_VALUE"""),"application/pdf")</f>
        <v>application/pdf</v>
      </c>
    </row>
    <row r="2995">
      <c r="A2995" s="336" t="str">
        <f>IFERROR(__xludf.DUMMYFUNCTION("""COMPUTED_VALUE"""),"10.1007/s11301-017-0128-0")</f>
        <v>10.1007/s11301-017-0128-0</v>
      </c>
      <c r="B2995" s="442" t="str">
        <f>IFERROR(__xludf.DUMMYFUNCTION("""COMPUTED_VALUE"""),"https://drive.google.com/file/d/1fYU6m89P7a9_kPBInjEs0n_wRBj5O5zZ/view?usp=drivesdk")</f>
        <v>https://drive.google.com/file/d/1fYU6m89P7a9_kPBInjEs0n_wRBj5O5zZ/view?usp=drivesdk</v>
      </c>
      <c r="C2995" s="336" t="str">
        <f>IFERROR(__xludf.DUMMYFUNCTION("""COMPUTED_VALUE"""),"10.1007--s11301-017-0128-0.pdf")</f>
        <v>10.1007--s11301-017-0128-0.pdf</v>
      </c>
      <c r="D2995" s="156" t="str">
        <f>IFERROR(__xludf.DUMMYFUNCTION("""COMPUTED_VALUE"""),"application/pdf")</f>
        <v>application/pdf</v>
      </c>
    </row>
    <row r="2996">
      <c r="A2996" s="336" t="str">
        <f>IFERROR(__xludf.DUMMYFUNCTION("""COMPUTED_VALUE"""),"10.1007/s11098-010-9651-8")</f>
        <v>10.1007/s11098-010-9651-8</v>
      </c>
      <c r="B2996" s="442" t="str">
        <f>IFERROR(__xludf.DUMMYFUNCTION("""COMPUTED_VALUE"""),"https://drive.google.com/file/d/1pcJJj-dcZ2YUNw-3w1ykB27KPj9Bj-By/view?usp=drivesdk")</f>
        <v>https://drive.google.com/file/d/1pcJJj-dcZ2YUNw-3w1ykB27KPj9Bj-By/view?usp=drivesdk</v>
      </c>
      <c r="C2996" s="336" t="str">
        <f>IFERROR(__xludf.DUMMYFUNCTION("""COMPUTED_VALUE"""),"10.1007--s11098-010-9651-8.pdf")</f>
        <v>10.1007--s11098-010-9651-8.pdf</v>
      </c>
      <c r="D2996" s="156" t="str">
        <f>IFERROR(__xludf.DUMMYFUNCTION("""COMPUTED_VALUE"""),"application/pdf")</f>
        <v>application/pdf</v>
      </c>
    </row>
    <row r="2997">
      <c r="A2997" s="336" t="str">
        <f>IFERROR(__xludf.DUMMYFUNCTION("""COMPUTED_VALUE"""),"10.1007/s11098-009-9439-x")</f>
        <v>10.1007/s11098-009-9439-x</v>
      </c>
      <c r="B2997" s="442" t="str">
        <f>IFERROR(__xludf.DUMMYFUNCTION("""COMPUTED_VALUE"""),"https://drive.google.com/file/d/1tY7SvX2n-lCVOB9eR5KtC31EmD0a4uX2/view?usp=drivesdk")</f>
        <v>https://drive.google.com/file/d/1tY7SvX2n-lCVOB9eR5KtC31EmD0a4uX2/view?usp=drivesdk</v>
      </c>
      <c r="C2997" s="336" t="str">
        <f>IFERROR(__xludf.DUMMYFUNCTION("""COMPUTED_VALUE"""),"10.1007--s11098-009-9439-x.pdf")</f>
        <v>10.1007--s11098-009-9439-x.pdf</v>
      </c>
      <c r="D2997" s="156" t="str">
        <f>IFERROR(__xludf.DUMMYFUNCTION("""COMPUTED_VALUE"""),"application/pdf")</f>
        <v>application/pdf</v>
      </c>
    </row>
    <row r="2998">
      <c r="A2998" s="336" t="str">
        <f>IFERROR(__xludf.DUMMYFUNCTION("""COMPUTED_VALUE"""),"10.1007/s11098-004-4510-0")</f>
        <v>10.1007/s11098-004-4510-0</v>
      </c>
      <c r="B2998" s="442" t="str">
        <f>IFERROR(__xludf.DUMMYFUNCTION("""COMPUTED_VALUE"""),"https://drive.google.com/file/d/1O4qy3ZvKUUKMZck64Co6Vh7IIH6aPDik/view?usp=drivesdk")</f>
        <v>https://drive.google.com/file/d/1O4qy3ZvKUUKMZck64Co6Vh7IIH6aPDik/view?usp=drivesdk</v>
      </c>
      <c r="C2998" s="336" t="str">
        <f>IFERROR(__xludf.DUMMYFUNCTION("""COMPUTED_VALUE"""),"10.1007--s11098-004-4510-0.pdf")</f>
        <v>10.1007--s11098-004-4510-0.pdf</v>
      </c>
      <c r="D2998" s="156" t="str">
        <f>IFERROR(__xludf.DUMMYFUNCTION("""COMPUTED_VALUE"""),"application/pdf")</f>
        <v>application/pdf</v>
      </c>
    </row>
    <row r="2999">
      <c r="A2999" s="336" t="str">
        <f>IFERROR(__xludf.DUMMYFUNCTION("""COMPUTED_VALUE"""),"10.1007/s10802-020-00712-w")</f>
        <v>10.1007/s10802-020-00712-w</v>
      </c>
      <c r="B2999" s="442" t="str">
        <f>IFERROR(__xludf.DUMMYFUNCTION("""COMPUTED_VALUE"""),"https://drive.google.com/file/d/1-hACoGBMYzWfW-abiG6hh6iaoZvehEax/view?usp=drivesdk")</f>
        <v>https://drive.google.com/file/d/1-hACoGBMYzWfW-abiG6hh6iaoZvehEax/view?usp=drivesdk</v>
      </c>
      <c r="C2999" s="336" t="str">
        <f>IFERROR(__xludf.DUMMYFUNCTION("""COMPUTED_VALUE"""),"10.1007--s10802-020-00712-w.pdf")</f>
        <v>10.1007--s10802-020-00712-w.pdf</v>
      </c>
      <c r="D2999" s="156" t="str">
        <f>IFERROR(__xludf.DUMMYFUNCTION("""COMPUTED_VALUE"""),"application/pdf")</f>
        <v>application/pdf</v>
      </c>
    </row>
    <row r="3000">
      <c r="A3000" s="336" t="str">
        <f>IFERROR(__xludf.DUMMYFUNCTION("""COMPUTED_VALUE"""),"10.1007/s10071-009-0257-5")</f>
        <v>10.1007/s10071-009-0257-5</v>
      </c>
      <c r="B3000" s="442" t="str">
        <f>IFERROR(__xludf.DUMMYFUNCTION("""COMPUTED_VALUE"""),"https://drive.google.com/file/d/11lIs3bWSV7G1bde5YZqgb9uJGpymjf2k/view?usp=drivesdk")</f>
        <v>https://drive.google.com/file/d/11lIs3bWSV7G1bde5YZqgb9uJGpymjf2k/view?usp=drivesdk</v>
      </c>
      <c r="C3000" s="336" t="str">
        <f>IFERROR(__xludf.DUMMYFUNCTION("""COMPUTED_VALUE"""),"10.1007--s10071-009-0257-5.pdf")</f>
        <v>10.1007--s10071-009-0257-5.pdf</v>
      </c>
      <c r="D3000" s="156" t="str">
        <f>IFERROR(__xludf.DUMMYFUNCTION("""COMPUTED_VALUE"""),"application/pdf")</f>
        <v>application/pdf</v>
      </c>
    </row>
    <row r="3001">
      <c r="A3001" s="336" t="str">
        <f>IFERROR(__xludf.DUMMYFUNCTION("""COMPUTED_VALUE"""),"10.1007/s00426-002-0086-5")</f>
        <v>10.1007/s00426-002-0086-5</v>
      </c>
      <c r="B3001" s="442" t="str">
        <f>IFERROR(__xludf.DUMMYFUNCTION("""COMPUTED_VALUE"""),"https://drive.google.com/file/d/1ydN4sTIr0QTGdMhZmDJ_GxX6RiO5cK_p/view?usp=drivesdk")</f>
        <v>https://drive.google.com/file/d/1ydN4sTIr0QTGdMhZmDJ_GxX6RiO5cK_p/view?usp=drivesdk</v>
      </c>
      <c r="C3001" s="336" t="str">
        <f>IFERROR(__xludf.DUMMYFUNCTION("""COMPUTED_VALUE"""),"10.1007--s00426-002-0086-5.pdf")</f>
        <v>10.1007--s00426-002-0086-5.pdf</v>
      </c>
      <c r="D3001" s="156" t="str">
        <f>IFERROR(__xludf.DUMMYFUNCTION("""COMPUTED_VALUE"""),"application/pdf")</f>
        <v>application/pdf</v>
      </c>
    </row>
    <row r="3002">
      <c r="A3002" s="336" t="str">
        <f>IFERROR(__xludf.DUMMYFUNCTION("""COMPUTED_VALUE"""),"10.1007/bf00055564")</f>
        <v>10.1007/bf00055564</v>
      </c>
      <c r="B3002" s="442" t="str">
        <f>IFERROR(__xludf.DUMMYFUNCTION("""COMPUTED_VALUE"""),"https://drive.google.com/file/d/1GTQ8DttYpXbULplpRAwajCjBQJZrFpwH/view?usp=drivesdk")</f>
        <v>https://drive.google.com/file/d/1GTQ8DttYpXbULplpRAwajCjBQJZrFpwH/view?usp=drivesdk</v>
      </c>
      <c r="C3002" s="336" t="str">
        <f>IFERROR(__xludf.DUMMYFUNCTION("""COMPUTED_VALUE"""),"10.1007--BF00055564.pdf")</f>
        <v>10.1007--BF00055564.pdf</v>
      </c>
      <c r="D3002" s="156" t="str">
        <f>IFERROR(__xludf.DUMMYFUNCTION("""COMPUTED_VALUE"""),"application/pdf")</f>
        <v>application/pdf</v>
      </c>
    </row>
    <row r="3003">
      <c r="A3003" s="336" t="str">
        <f>IFERROR(__xludf.DUMMYFUNCTION("""COMPUTED_VALUE"""),"10.1006/jesp.1998.1373")</f>
        <v>10.1006/jesp.1998.1373</v>
      </c>
      <c r="B3003" s="442" t="str">
        <f>IFERROR(__xludf.DUMMYFUNCTION("""COMPUTED_VALUE"""),"https://drive.google.com/file/d/18wDNGwEtS0NcrA2dAvx1zgK-ByZks7mw/view?usp=drivesdk")</f>
        <v>https://drive.google.com/file/d/18wDNGwEtS0NcrA2dAvx1zgK-ByZks7mw/view?usp=drivesdk</v>
      </c>
      <c r="C3003" s="336" t="str">
        <f>IFERROR(__xludf.DUMMYFUNCTION("""COMPUTED_VALUE"""),"10.1006--jesp.1998.1373.pdf")</f>
        <v>10.1006--jesp.1998.1373.pdf</v>
      </c>
      <c r="D3003" s="156" t="str">
        <f>IFERROR(__xludf.DUMMYFUNCTION("""COMPUTED_VALUE"""),"application/pdf")</f>
        <v>application/pdf</v>
      </c>
    </row>
    <row r="3004">
      <c r="A3004" s="336" t="str">
        <f>IFERROR(__xludf.DUMMYFUNCTION("""COMPUTED_VALUE"""),"10.1006/jmla.1998.2602")</f>
        <v>10.1006/jmla.1998.2602</v>
      </c>
      <c r="B3004" s="442" t="str">
        <f>IFERROR(__xludf.DUMMYFUNCTION("""COMPUTED_VALUE"""),"https://drive.google.com/file/d/1ctmfPUj9wwC3h5aO2V0hXfG37U2nCE3e/view?usp=drivesdk")</f>
        <v>https://drive.google.com/file/d/1ctmfPUj9wwC3h5aO2V0hXfG37U2nCE3e/view?usp=drivesdk</v>
      </c>
      <c r="C3004" s="336" t="str">
        <f>IFERROR(__xludf.DUMMYFUNCTION("""COMPUTED_VALUE"""),"10.1006--jmla.1998.2602.pdf")</f>
        <v>10.1006--jmla.1998.2602.pdf</v>
      </c>
      <c r="D3004" s="156" t="str">
        <f>IFERROR(__xludf.DUMMYFUNCTION("""COMPUTED_VALUE"""),"application/pdf")</f>
        <v>application/pdf</v>
      </c>
    </row>
    <row r="3005">
      <c r="A3005" s="336" t="str">
        <f>IFERROR(__xludf.DUMMYFUNCTION("""COMPUTED_VALUE"""),"10.1002/jeab.546")</f>
        <v>10.1002/jeab.546</v>
      </c>
      <c r="B3005" s="442" t="str">
        <f>IFERROR(__xludf.DUMMYFUNCTION("""COMPUTED_VALUE"""),"https://drive.google.com/file/d/1BNCsWCKj_ArnGXZwaeQIcZ03z9s391QO/view?usp=drivesdk")</f>
        <v>https://drive.google.com/file/d/1BNCsWCKj_ArnGXZwaeQIcZ03z9s391QO/view?usp=drivesdk</v>
      </c>
      <c r="C3005" s="336" t="str">
        <f>IFERROR(__xludf.DUMMYFUNCTION("""COMPUTED_VALUE"""),"10.1002--jeab.546.pdf")</f>
        <v>10.1002--jeab.546.pdf</v>
      </c>
      <c r="D3005" s="156" t="str">
        <f>IFERROR(__xludf.DUMMYFUNCTION("""COMPUTED_VALUE"""),"application/pdf")</f>
        <v>application/pdf</v>
      </c>
    </row>
    <row r="3006">
      <c r="A3006" s="336" t="str">
        <f>IFERROR(__xludf.DUMMYFUNCTION("""COMPUTED_VALUE"""),"10.1006/jesp.1996.1314")</f>
        <v>10.1006/jesp.1996.1314</v>
      </c>
      <c r="B3006" s="442" t="str">
        <f>IFERROR(__xludf.DUMMYFUNCTION("""COMPUTED_VALUE"""),"https://drive.google.com/file/d/1Wq0sSamnAgMWLJLZEAdHMNTgHVF3F_wg/view?usp=drivesdk")</f>
        <v>https://drive.google.com/file/d/1Wq0sSamnAgMWLJLZEAdHMNTgHVF3F_wg/view?usp=drivesdk</v>
      </c>
      <c r="C3006" s="336" t="str">
        <f>IFERROR(__xludf.DUMMYFUNCTION("""COMPUTED_VALUE"""),"10.1006--jesp.1996.1314.pdf")</f>
        <v>10.1006--jesp.1996.1314.pdf</v>
      </c>
      <c r="D3006" s="156" t="str">
        <f>IFERROR(__xludf.DUMMYFUNCTION("""COMPUTED_VALUE"""),"application/pdf")</f>
        <v>application/pdf</v>
      </c>
    </row>
    <row r="3007">
      <c r="A3007" s="336" t="str">
        <f>IFERROR(__xludf.DUMMYFUNCTION("""COMPUTED_VALUE"""),"10.1002/jcpy.1028")</f>
        <v>10.1002/jcpy.1028</v>
      </c>
      <c r="B3007" s="442" t="str">
        <f>IFERROR(__xludf.DUMMYFUNCTION("""COMPUTED_VALUE"""),"https://drive.google.com/file/d/1dD_RkFuxQxk3hkxXbqultnhFhN1opB9Y/view?usp=drivesdk")</f>
        <v>https://drive.google.com/file/d/1dD_RkFuxQxk3hkxXbqultnhFhN1opB9Y/view?usp=drivesdk</v>
      </c>
      <c r="C3007" s="336" t="str">
        <f>IFERROR(__xludf.DUMMYFUNCTION("""COMPUTED_VALUE"""),"10.1002--jcpy.1028.pdf")</f>
        <v>10.1002--jcpy.1028.pdf</v>
      </c>
      <c r="D3007" s="156" t="str">
        <f>IFERROR(__xludf.DUMMYFUNCTION("""COMPUTED_VALUE"""),"application/pdf")</f>
        <v>application/pdf</v>
      </c>
    </row>
    <row r="3008">
      <c r="A3008" s="336" t="str">
        <f>IFERROR(__xludf.DUMMYFUNCTION("""COMPUTED_VALUE"""),"10.1002/ejsp.2420170402")</f>
        <v>10.1002/ejsp.2420170402</v>
      </c>
      <c r="B3008" s="442" t="str">
        <f>IFERROR(__xludf.DUMMYFUNCTION("""COMPUTED_VALUE"""),"https://drive.google.com/file/d/1V03D6SadgRB81BNo3fV5NxWC_bZKMZSm/view?usp=drivesdk")</f>
        <v>https://drive.google.com/file/d/1V03D6SadgRB81BNo3fV5NxWC_bZKMZSm/view?usp=drivesdk</v>
      </c>
      <c r="C3008" s="336" t="str">
        <f>IFERROR(__xludf.DUMMYFUNCTION("""COMPUTED_VALUE"""),"10.1002--ejsp.2420170402.pdf")</f>
        <v>10.1002--ejsp.2420170402.pdf</v>
      </c>
      <c r="D3008" s="156" t="str">
        <f>IFERROR(__xludf.DUMMYFUNCTION("""COMPUTED_VALUE"""),"application/pdf")</f>
        <v>application/pdf</v>
      </c>
    </row>
    <row r="3009">
      <c r="A3009" s="336" t="str">
        <f>IFERROR(__xludf.DUMMYFUNCTION("""COMPUTED_VALUE"""),"10.1002/jaba.686")</f>
        <v>10.1002/jaba.686</v>
      </c>
      <c r="B3009" s="442" t="str">
        <f>IFERROR(__xludf.DUMMYFUNCTION("""COMPUTED_VALUE"""),"https://drive.google.com/file/d/1wNYmBBQACZKlJDlgIxup_p9zVgPtzSpC/view?usp=drivesdk")</f>
        <v>https://drive.google.com/file/d/1wNYmBBQACZKlJDlgIxup_p9zVgPtzSpC/view?usp=drivesdk</v>
      </c>
      <c r="C3009" s="336" t="str">
        <f>IFERROR(__xludf.DUMMYFUNCTION("""COMPUTED_VALUE"""),"10.1002--jaba.686.pdf")</f>
        <v>10.1002--jaba.686.pdf</v>
      </c>
      <c r="D3009" s="156" t="str">
        <f>IFERROR(__xludf.DUMMYFUNCTION("""COMPUTED_VALUE"""),"application/pdf")</f>
        <v>application/pdf</v>
      </c>
    </row>
    <row r="3010">
      <c r="A3010" s="336" t="str">
        <f>IFERROR(__xludf.DUMMYFUNCTION("""COMPUTED_VALUE"""),"10.1002/ejsp.2013")</f>
        <v>10.1002/ejsp.2013</v>
      </c>
      <c r="B3010" s="442" t="str">
        <f>IFERROR(__xludf.DUMMYFUNCTION("""COMPUTED_VALUE"""),"https://drive.google.com/file/d/1KmyHkB13ZFEziyeMZJmfqm6YYEH53iJL/view?usp=drivesdk")</f>
        <v>https://drive.google.com/file/d/1KmyHkB13ZFEziyeMZJmfqm6YYEH53iJL/view?usp=drivesdk</v>
      </c>
      <c r="C3010" s="336" t="str">
        <f>IFERROR(__xludf.DUMMYFUNCTION("""COMPUTED_VALUE"""),"10.1002--ejsp.2013.pdf")</f>
        <v>10.1002--ejsp.2013.pdf</v>
      </c>
      <c r="D3010" s="156" t="str">
        <f>IFERROR(__xludf.DUMMYFUNCTION("""COMPUTED_VALUE"""),"application/pdf")</f>
        <v>application/pdf</v>
      </c>
    </row>
    <row r="3011">
      <c r="A3011" s="336" t="str">
        <f>IFERROR(__xludf.DUMMYFUNCTION("""COMPUTED_VALUE"""),"10.1002/bdm.586")</f>
        <v>10.1002/bdm.586</v>
      </c>
      <c r="B3011" s="442" t="str">
        <f>IFERROR(__xludf.DUMMYFUNCTION("""COMPUTED_VALUE"""),"https://drive.google.com/file/d/1j0mn959ZZSMHPHeyS9bW6vv9NzM9UaK_/view?usp=drivesdk")</f>
        <v>https://drive.google.com/file/d/1j0mn959ZZSMHPHeyS9bW6vv9NzM9UaK_/view?usp=drivesdk</v>
      </c>
      <c r="C3011" s="336" t="str">
        <f>IFERROR(__xludf.DUMMYFUNCTION("""COMPUTED_VALUE"""),"10.1002--bdm.586.pdf")</f>
        <v>10.1002--bdm.586.pdf</v>
      </c>
      <c r="D3011" s="156" t="str">
        <f>IFERROR(__xludf.DUMMYFUNCTION("""COMPUTED_VALUE"""),"application/pdf")</f>
        <v>application/pdf</v>
      </c>
    </row>
    <row r="3012">
      <c r="A3012" s="336" t="str">
        <f>IFERROR(__xludf.DUMMYFUNCTION("""COMPUTED_VALUE"""),"10.1002/bdm.492")</f>
        <v>10.1002/bdm.492</v>
      </c>
      <c r="B3012" s="442" t="str">
        <f>IFERROR(__xludf.DUMMYFUNCTION("""COMPUTED_VALUE"""),"https://drive.google.com/file/d/10tQQDvi74p0uwz_rfj_t6rPzAp-QJohQ/view?usp=drivesdk")</f>
        <v>https://drive.google.com/file/d/10tQQDvi74p0uwz_rfj_t6rPzAp-QJohQ/view?usp=drivesdk</v>
      </c>
      <c r="C3012" s="336" t="str">
        <f>IFERROR(__xludf.DUMMYFUNCTION("""COMPUTED_VALUE"""),"10.1002--bdm.492.pdf")</f>
        <v>10.1002--bdm.492.pdf</v>
      </c>
      <c r="D3012" s="156" t="str">
        <f>IFERROR(__xludf.DUMMYFUNCTION("""COMPUTED_VALUE"""),"application/pdf")</f>
        <v>application/pdf</v>
      </c>
    </row>
    <row r="3013">
      <c r="A3013" s="336" t="str">
        <f>IFERROR(__xludf.DUMMYFUNCTION("""COMPUTED_VALUE"""),"10.1002/bdm.495")</f>
        <v>10.1002/bdm.495</v>
      </c>
      <c r="B3013" s="442" t="str">
        <f>IFERROR(__xludf.DUMMYFUNCTION("""COMPUTED_VALUE"""),"https://drive.google.com/file/d/1stw59aWDD5tZ8snsZY-9UQqeP9WMpzts/view?usp=drivesdk")</f>
        <v>https://drive.google.com/file/d/1stw59aWDD5tZ8snsZY-9UQqeP9WMpzts/view?usp=drivesdk</v>
      </c>
      <c r="C3013" s="336" t="str">
        <f>IFERROR(__xludf.DUMMYFUNCTION("""COMPUTED_VALUE"""),"10.1002--bdm.495.pdf")</f>
        <v>10.1002--bdm.495.pdf</v>
      </c>
      <c r="D3013" s="156" t="str">
        <f>IFERROR(__xludf.DUMMYFUNCTION("""COMPUTED_VALUE"""),"application/pdf")</f>
        <v>application/pdf</v>
      </c>
    </row>
    <row r="3014">
      <c r="A3014" s="336" t="str">
        <f>IFERROR(__xludf.DUMMYFUNCTION("""COMPUTED_VALUE"""),"10.1002/bdm.2041")</f>
        <v>10.1002/bdm.2041</v>
      </c>
      <c r="B3014" s="442" t="str">
        <f>IFERROR(__xludf.DUMMYFUNCTION("""COMPUTED_VALUE"""),"https://drive.google.com/file/d/1YO1uT-ewP-5qv0jr683Nj5KCqmIRFxTa/view?usp=drivesdk")</f>
        <v>https://drive.google.com/file/d/1YO1uT-ewP-5qv0jr683Nj5KCqmIRFxTa/view?usp=drivesdk</v>
      </c>
      <c r="C3014" s="336" t="str">
        <f>IFERROR(__xludf.DUMMYFUNCTION("""COMPUTED_VALUE"""),"10.1002--bdm.2041.pdf")</f>
        <v>10.1002--bdm.2041.pdf</v>
      </c>
      <c r="D3014" s="156" t="str">
        <f>IFERROR(__xludf.DUMMYFUNCTION("""COMPUTED_VALUE"""),"application/pdf")</f>
        <v>application/pdf</v>
      </c>
    </row>
    <row r="3015">
      <c r="A3015" s="336" t="str">
        <f>IFERROR(__xludf.DUMMYFUNCTION("""COMPUTED_VALUE"""),"10.1002/(sici)1099-0771(200001/03)13:1&lt;1::aid-bdm333&gt;3.0.co;2-s")</f>
        <v>10.1002/(sici)1099-0771(200001/03)13:1&lt;1::aid-bdm333&gt;3.0.co;2-s</v>
      </c>
      <c r="B3015" s="442" t="str">
        <f>IFERROR(__xludf.DUMMYFUNCTION("""COMPUTED_VALUE"""),"https://drive.google.com/file/d/1pnD_JivZ_nDbGc8tbAkf6ZYd42gKIm_w/view?usp=drivesdk")</f>
        <v>https://drive.google.com/file/d/1pnD_JivZ_nDbGc8tbAkf6ZYd42gKIm_w/view?usp=drivesdk</v>
      </c>
      <c r="C3015" s="336" t="str">
        <f>IFERROR(__xludf.DUMMYFUNCTION("""COMPUTED_VALUE"""),"10.1002--(SICI)1099-0771(200001--03)13:1&lt;1::AID-BDM333&gt;3.0.CO;2-S.pdf")</f>
        <v>10.1002--(SICI)1099-0771(200001--03)13:1&lt;1::AID-BDM333&gt;3.0.CO;2-S.pdf</v>
      </c>
      <c r="D3015" s="156" t="str">
        <f>IFERROR(__xludf.DUMMYFUNCTION("""COMPUTED_VALUE"""),"application/pdf")</f>
        <v>application/pdf</v>
      </c>
    </row>
    <row r="3016">
      <c r="A3016" s="336" t="str">
        <f>IFERROR(__xludf.DUMMYFUNCTION("""COMPUTED_VALUE"""),"10.1002/(sici)1099-0771(199806)11:2&lt;107::aid-bdm292&gt;3.0.co;2-y")</f>
        <v>10.1002/(sici)1099-0771(199806)11:2&lt;107::aid-bdm292&gt;3.0.co;2-y</v>
      </c>
      <c r="B3016" s="442" t="str">
        <f>IFERROR(__xludf.DUMMYFUNCTION("""COMPUTED_VALUE"""),"https://drive.google.com/file/d/13uCKRkvqvsNdCzb2_BuUibZNm7bSygxU/view?usp=drivesdk")</f>
        <v>https://drive.google.com/file/d/13uCKRkvqvsNdCzb2_BuUibZNm7bSygxU/view?usp=drivesdk</v>
      </c>
      <c r="C3016" s="336" t="str">
        <f>IFERROR(__xludf.DUMMYFUNCTION("""COMPUTED_VALUE"""),"10.1002--(SICI)1099-0771(199806)11:2&lt;107::AID-BDM292&gt;3.0.CO;2-Y.pdf")</f>
        <v>10.1002--(SICI)1099-0771(199806)11:2&lt;107::AID-BDM292&gt;3.0.CO;2-Y.pdf</v>
      </c>
      <c r="D3016" s="156" t="str">
        <f>IFERROR(__xludf.DUMMYFUNCTION("""COMPUTED_VALUE"""),"application/pdf")</f>
        <v>application/pdf</v>
      </c>
    </row>
    <row r="3017">
      <c r="A3017" s="336" t="str">
        <f>IFERROR(__xludf.DUMMYFUNCTION("""COMPUTED_VALUE"""),"10.1177/0956797609359908")</f>
        <v>10.1177/0956797609359908</v>
      </c>
      <c r="B3017" s="442" t="str">
        <f>IFERROR(__xludf.DUMMYFUNCTION("""COMPUTED_VALUE"""),"https://drive.google.com/file/d/1CX-X4yZPIliMfb05V-exrVifx5i5gyZu/view?usp=drivesdk")</f>
        <v>https://drive.google.com/file/d/1CX-X4yZPIliMfb05V-exrVifx5i5gyZu/view?usp=drivesdk</v>
      </c>
      <c r="C3017" s="336" t="str">
        <f>IFERROR(__xludf.DUMMYFUNCTION("""COMPUTED_VALUE"""),"10.1177--0956797609359908.pdf")</f>
        <v>10.1177--0956797609359908.pdf</v>
      </c>
      <c r="D3017" s="156" t="str">
        <f>IFERROR(__xludf.DUMMYFUNCTION("""COMPUTED_VALUE"""),"application/pdf")</f>
        <v>application/pdf</v>
      </c>
    </row>
    <row r="3018">
      <c r="A3018" s="336" t="str">
        <f>IFERROR(__xludf.DUMMYFUNCTION("""COMPUTED_VALUE"""),"10.1177/0146167299025002007")</f>
        <v>10.1177/0146167299025002007</v>
      </c>
      <c r="B3018" s="442" t="str">
        <f>IFERROR(__xludf.DUMMYFUNCTION("""COMPUTED_VALUE"""),"https://drive.google.com/file/d/19HR11okzts2iI1bdWqGn2PnsBGvEbSxC/view?usp=drivesdk")</f>
        <v>https://drive.google.com/file/d/19HR11okzts2iI1bdWqGn2PnsBGvEbSxC/view?usp=drivesdk</v>
      </c>
      <c r="C3018" s="336" t="str">
        <f>IFERROR(__xludf.DUMMYFUNCTION("""COMPUTED_VALUE"""),"10.1177--0146167299025002007.pdf")</f>
        <v>10.1177--0146167299025002007.pdf</v>
      </c>
      <c r="D3018" s="156" t="str">
        <f>IFERROR(__xludf.DUMMYFUNCTION("""COMPUTED_VALUE"""),"application/pdf")</f>
        <v>application/pdf</v>
      </c>
    </row>
    <row r="3019">
      <c r="A3019" s="336" t="str">
        <f>IFERROR(__xludf.DUMMYFUNCTION("""COMPUTED_VALUE"""),"10.1177/0956797614524581")</f>
        <v>10.1177/0956797614524581</v>
      </c>
      <c r="B3019" s="442" t="str">
        <f>IFERROR(__xludf.DUMMYFUNCTION("""COMPUTED_VALUE"""),"https://drive.google.com/file/d/1GlWBowF1UBaZOdmpxK6j_6xz1lhczVu3/view?usp=drivesdk")</f>
        <v>https://drive.google.com/file/d/1GlWBowF1UBaZOdmpxK6j_6xz1lhczVu3/view?usp=drivesdk</v>
      </c>
      <c r="C3019" s="336" t="str">
        <f>IFERROR(__xludf.DUMMYFUNCTION("""COMPUTED_VALUE"""),"10.1177--0956797614524581.pdf")</f>
        <v>10.1177--0956797614524581.pdf</v>
      </c>
      <c r="D3019" s="156" t="str">
        <f>IFERROR(__xludf.DUMMYFUNCTION("""COMPUTED_VALUE"""),"application/pdf")</f>
        <v>application/pdf</v>
      </c>
    </row>
    <row r="3020">
      <c r="A3020" s="336" t="str">
        <f>IFERROR(__xludf.DUMMYFUNCTION("""COMPUTED_VALUE"""),"10.1111/j.1467-9280.2009.02326.x")</f>
        <v>10.1111/j.1467-9280.2009.02326.x</v>
      </c>
      <c r="B3020" s="442" t="str">
        <f>IFERROR(__xludf.DUMMYFUNCTION("""COMPUTED_VALUE"""),"https://drive.google.com/file/d/18O3cqWIfono-CDPIVLFNJVkA-2VNOHsv/view?usp=drivesdk")</f>
        <v>https://drive.google.com/file/d/18O3cqWIfono-CDPIVLFNJVkA-2VNOHsv/view?usp=drivesdk</v>
      </c>
      <c r="C3020" s="336" t="str">
        <f>IFERROR(__xludf.DUMMYFUNCTION("""COMPUTED_VALUE"""),"10.1111--j.1467-9280.2009.02326.x.pdf")</f>
        <v>10.1111--j.1467-9280.2009.02326.x.pdf</v>
      </c>
      <c r="D3020" s="156" t="str">
        <f>IFERROR(__xludf.DUMMYFUNCTION("""COMPUTED_VALUE"""),"application/pdf")</f>
        <v>application/pdf</v>
      </c>
    </row>
    <row r="3021">
      <c r="A3021" s="336" t="str">
        <f>IFERROR(__xludf.DUMMYFUNCTION("""COMPUTED_VALUE"""),"10.1093/jcr/ucx066")</f>
        <v>10.1093/jcr/ucx066</v>
      </c>
      <c r="B3021" s="442" t="str">
        <f>IFERROR(__xludf.DUMMYFUNCTION("""COMPUTED_VALUE"""),"https://drive.google.com/file/d/1KTndRLnspP4bSM08LU5xlAb5egjHN1hx/view?usp=drivesdk")</f>
        <v>https://drive.google.com/file/d/1KTndRLnspP4bSM08LU5xlAb5egjHN1hx/view?usp=drivesdk</v>
      </c>
      <c r="C3021" s="336" t="str">
        <f>IFERROR(__xludf.DUMMYFUNCTION("""COMPUTED_VALUE"""),"10.1093--jcr--ucx066.pdf")</f>
        <v>10.1093--jcr--ucx066.pdf</v>
      </c>
      <c r="D3021" s="156" t="str">
        <f>IFERROR(__xludf.DUMMYFUNCTION("""COMPUTED_VALUE"""),"application/pdf")</f>
        <v>application/pdf</v>
      </c>
    </row>
    <row r="3022">
      <c r="A3022" s="336" t="str">
        <f>IFERROR(__xludf.DUMMYFUNCTION("""COMPUTED_VALUE"""),"10.1093/jcr/ucv023")</f>
        <v>10.1093/jcr/ucv023</v>
      </c>
      <c r="B3022" s="442" t="str">
        <f>IFERROR(__xludf.DUMMYFUNCTION("""COMPUTED_VALUE"""),"https://drive.google.com/file/d/1qQJNn7ZvoufwBSS_pp5Ek1nTMCXq-Gfn/view?usp=drivesdk")</f>
        <v>https://drive.google.com/file/d/1qQJNn7ZvoufwBSS_pp5Ek1nTMCXq-Gfn/view?usp=drivesdk</v>
      </c>
      <c r="C3022" s="336" t="str">
        <f>IFERROR(__xludf.DUMMYFUNCTION("""COMPUTED_VALUE"""),"10.1093--jcr--ucv023.pdf")</f>
        <v>10.1093--jcr--ucv023.pdf</v>
      </c>
      <c r="D3022" s="156" t="str">
        <f>IFERROR(__xludf.DUMMYFUNCTION("""COMPUTED_VALUE"""),"application/pdf")</f>
        <v>application/pdf</v>
      </c>
    </row>
    <row r="3023">
      <c r="A3023" s="336" t="str">
        <f>IFERROR(__xludf.DUMMYFUNCTION("""COMPUTED_VALUE"""),"10.1037/h0031564")</f>
        <v>10.1037/h0031564</v>
      </c>
      <c r="B3023" s="442" t="str">
        <f>IFERROR(__xludf.DUMMYFUNCTION("""COMPUTED_VALUE"""),"https://drive.google.com/file/d/1kbXA2yjqn9_HAA7piV4GBkF0Jd0kjvnI/view?usp=drivesdk")</f>
        <v>https://drive.google.com/file/d/1kbXA2yjqn9_HAA7piV4GBkF0Jd0kjvnI/view?usp=drivesdk</v>
      </c>
      <c r="C3023" s="336" t="str">
        <f>IFERROR(__xludf.DUMMYFUNCTION("""COMPUTED_VALUE"""),"10.1037--h0031564.pdf")</f>
        <v>10.1037--h0031564.pdf</v>
      </c>
      <c r="D3023" s="156" t="str">
        <f>IFERROR(__xludf.DUMMYFUNCTION("""COMPUTED_VALUE"""),"application/pdf")</f>
        <v>application/pdf</v>
      </c>
    </row>
    <row r="3024">
      <c r="A3024" s="336" t="str">
        <f>IFERROR(__xludf.DUMMYFUNCTION("""COMPUTED_VALUE"""),"10.1037/h0040525")</f>
        <v>10.1037/h0040525</v>
      </c>
      <c r="B3024" s="442" t="str">
        <f>IFERROR(__xludf.DUMMYFUNCTION("""COMPUTED_VALUE"""),"https://drive.google.com/file/d/17EeLBgk-VXx8QhSm2-TUhXwWwk17IVL_/view?usp=drivesdk")</f>
        <v>https://drive.google.com/file/d/17EeLBgk-VXx8QhSm2-TUhXwWwk17IVL_/view?usp=drivesdk</v>
      </c>
      <c r="C3024" s="336" t="str">
        <f>IFERROR(__xludf.DUMMYFUNCTION("""COMPUTED_VALUE"""),"10.1037--h0040525.pdf")</f>
        <v>10.1037--h0040525.pdf</v>
      </c>
      <c r="D3024" s="156" t="str">
        <f>IFERROR(__xludf.DUMMYFUNCTION("""COMPUTED_VALUE"""),"application/pdf")</f>
        <v>application/pdf</v>
      </c>
    </row>
    <row r="3025">
      <c r="A3025" s="336" t="str">
        <f>IFERROR(__xludf.DUMMYFUNCTION("""COMPUTED_VALUE"""),"10.1073/pnas.1402786111")</f>
        <v>10.1073/pnas.1402786111</v>
      </c>
      <c r="B3025" s="442" t="str">
        <f>IFERROR(__xludf.DUMMYFUNCTION("""COMPUTED_VALUE"""),"https://drive.google.com/file/d/1ZdWoUy_MV_YcU7BTnK25M2XBBF0k5ovP/view?usp=drivesdk")</f>
        <v>https://drive.google.com/file/d/1ZdWoUy_MV_YcU7BTnK25M2XBBF0k5ovP/view?usp=drivesdk</v>
      </c>
      <c r="C3025" s="336" t="str">
        <f>IFERROR(__xludf.DUMMYFUNCTION("""COMPUTED_VALUE"""),"10.1073--pnas.1402786111.pdf")</f>
        <v>10.1073--pnas.1402786111.pdf</v>
      </c>
      <c r="D3025" s="156" t="str">
        <f>IFERROR(__xludf.DUMMYFUNCTION("""COMPUTED_VALUE"""),"application/pdf")</f>
        <v>application/pdf</v>
      </c>
    </row>
    <row r="3026">
      <c r="A3026" s="336" t="str">
        <f>IFERROR(__xludf.DUMMYFUNCTION("""COMPUTED_VALUE"""),"dois.csv")</f>
        <v>dois.csv</v>
      </c>
      <c r="B3026" s="442" t="str">
        <f>IFERROR(__xludf.DUMMYFUNCTION("""COMPUTED_VALUE"""),"https://drive.google.com/file/d/1vTYDdyFZxBfZ2xccMFQlAXInz9JM0Wim/view?usp=drivesdk")</f>
        <v>https://drive.google.com/file/d/1vTYDdyFZxBfZ2xccMFQlAXInz9JM0Wim/view?usp=drivesdk</v>
      </c>
      <c r="C3026" s="336" t="str">
        <f>IFERROR(__xludf.DUMMYFUNCTION("""COMPUTED_VALUE"""),"dois.csv")</f>
        <v>dois.csv</v>
      </c>
      <c r="D3026" s="156" t="str">
        <f>IFERROR(__xludf.DUMMYFUNCTION("""COMPUTED_VALUE"""),"text/csv")</f>
        <v>text/csv</v>
      </c>
    </row>
    <row r="3027">
      <c r="A3027" s="336"/>
      <c r="B3027" s="336"/>
      <c r="C3027" s="336"/>
      <c r="D3027" s="156"/>
    </row>
    <row r="3028">
      <c r="A3028" s="336"/>
      <c r="B3028" s="336"/>
      <c r="C3028" s="336"/>
      <c r="D3028" s="156"/>
    </row>
    <row r="3029">
      <c r="A3029" s="336"/>
      <c r="B3029" s="336"/>
      <c r="C3029" s="336"/>
      <c r="D3029" s="156"/>
    </row>
    <row r="3030">
      <c r="A3030" s="336"/>
      <c r="B3030" s="336"/>
      <c r="C3030" s="336"/>
      <c r="D3030" s="156"/>
    </row>
    <row r="3031">
      <c r="A3031" s="336"/>
      <c r="B3031" s="336"/>
      <c r="C3031" s="336"/>
      <c r="D3031" s="156"/>
    </row>
    <row r="3032">
      <c r="A3032" s="336"/>
      <c r="B3032" s="336"/>
      <c r="C3032" s="336"/>
      <c r="D3032" s="156"/>
    </row>
    <row r="3033">
      <c r="A3033" s="336"/>
      <c r="B3033" s="336"/>
      <c r="C3033" s="336"/>
      <c r="D3033" s="156"/>
    </row>
    <row r="3034">
      <c r="A3034" s="336"/>
      <c r="B3034" s="336"/>
      <c r="C3034" s="336"/>
      <c r="D3034" s="156"/>
    </row>
    <row r="3035">
      <c r="A3035" s="336"/>
      <c r="B3035" s="336"/>
      <c r="C3035" s="336"/>
      <c r="D3035" s="156"/>
    </row>
    <row r="3036">
      <c r="A3036" s="336"/>
      <c r="B3036" s="336"/>
      <c r="C3036" s="336"/>
      <c r="D3036" s="156"/>
    </row>
    <row r="3037">
      <c r="A3037" s="336"/>
      <c r="B3037" s="336"/>
      <c r="C3037" s="336"/>
      <c r="D3037" s="156"/>
    </row>
    <row r="3038">
      <c r="A3038" s="336"/>
      <c r="B3038" s="336"/>
      <c r="C3038" s="336"/>
      <c r="D3038" s="156"/>
    </row>
    <row r="3039">
      <c r="A3039" s="336"/>
      <c r="B3039" s="336"/>
      <c r="C3039" s="336"/>
      <c r="D3039" s="156"/>
    </row>
    <row r="3040">
      <c r="A3040" s="336"/>
      <c r="B3040" s="336"/>
      <c r="C3040" s="336"/>
      <c r="D3040" s="156"/>
    </row>
    <row r="3041">
      <c r="A3041" s="336"/>
      <c r="B3041" s="336"/>
      <c r="C3041" s="336"/>
      <c r="D3041" s="156"/>
    </row>
    <row r="3042">
      <c r="A3042" s="336"/>
      <c r="B3042" s="336"/>
      <c r="C3042" s="336"/>
      <c r="D3042" s="156"/>
    </row>
    <row r="3043">
      <c r="A3043" s="336"/>
      <c r="B3043" s="336"/>
      <c r="C3043" s="336"/>
      <c r="D3043" s="156"/>
    </row>
    <row r="3044">
      <c r="A3044" s="336"/>
      <c r="B3044" s="336"/>
      <c r="C3044" s="336"/>
      <c r="D3044" s="156"/>
    </row>
    <row r="3045">
      <c r="A3045" s="336"/>
      <c r="B3045" s="336"/>
      <c r="C3045" s="336"/>
      <c r="D3045" s="156"/>
    </row>
    <row r="3046">
      <c r="A3046" s="336"/>
      <c r="B3046" s="336"/>
      <c r="C3046" s="336"/>
      <c r="D3046" s="156"/>
    </row>
    <row r="3047">
      <c r="A3047" s="336"/>
      <c r="B3047" s="336"/>
      <c r="C3047" s="336"/>
      <c r="D3047" s="156"/>
    </row>
    <row r="3048">
      <c r="A3048" s="336"/>
      <c r="B3048" s="336"/>
      <c r="C3048" s="336"/>
      <c r="D3048" s="156"/>
    </row>
    <row r="3049">
      <c r="A3049" s="336"/>
      <c r="B3049" s="336"/>
      <c r="C3049" s="336"/>
      <c r="D3049" s="156"/>
    </row>
    <row r="3050">
      <c r="A3050" s="336"/>
      <c r="B3050" s="336"/>
      <c r="C3050" s="336"/>
      <c r="D3050" s="156"/>
    </row>
    <row r="3051">
      <c r="A3051" s="336"/>
      <c r="B3051" s="336"/>
      <c r="C3051" s="336"/>
      <c r="D3051" s="156"/>
    </row>
    <row r="3052">
      <c r="A3052" s="336"/>
      <c r="B3052" s="336"/>
      <c r="C3052" s="336"/>
      <c r="D3052" s="156"/>
    </row>
    <row r="3053">
      <c r="A3053" s="336"/>
      <c r="B3053" s="336"/>
      <c r="C3053" s="336"/>
      <c r="D3053" s="156"/>
    </row>
    <row r="3054">
      <c r="A3054" s="336"/>
      <c r="B3054" s="336"/>
      <c r="C3054" s="336"/>
      <c r="D3054" s="156"/>
    </row>
    <row r="3055">
      <c r="A3055" s="336"/>
      <c r="B3055" s="336"/>
      <c r="C3055" s="336"/>
      <c r="D3055" s="156"/>
    </row>
    <row r="3056">
      <c r="A3056" s="336"/>
      <c r="B3056" s="336"/>
      <c r="C3056" s="336"/>
      <c r="D3056" s="156"/>
    </row>
    <row r="3057">
      <c r="A3057" s="336"/>
      <c r="B3057" s="336"/>
      <c r="C3057" s="336"/>
      <c r="D3057" s="156"/>
    </row>
    <row r="3058">
      <c r="A3058" s="336"/>
      <c r="B3058" s="336"/>
      <c r="C3058" s="336"/>
      <c r="D3058" s="156"/>
    </row>
    <row r="3059">
      <c r="A3059" s="336"/>
      <c r="B3059" s="336"/>
      <c r="C3059" s="336"/>
      <c r="D3059" s="156"/>
    </row>
    <row r="3060">
      <c r="A3060" s="336"/>
      <c r="B3060" s="336"/>
      <c r="C3060" s="336"/>
      <c r="D3060" s="156"/>
    </row>
    <row r="3061">
      <c r="A3061" s="336"/>
      <c r="B3061" s="336"/>
      <c r="C3061" s="336"/>
      <c r="D3061" s="156"/>
    </row>
    <row r="3062">
      <c r="A3062" s="336"/>
      <c r="B3062" s="336"/>
      <c r="C3062" s="336"/>
      <c r="D3062" s="156"/>
    </row>
    <row r="3063">
      <c r="A3063" s="336"/>
      <c r="B3063" s="336"/>
      <c r="C3063" s="336"/>
      <c r="D3063" s="156"/>
    </row>
    <row r="3064">
      <c r="A3064" s="336"/>
      <c r="B3064" s="336"/>
      <c r="C3064" s="336"/>
      <c r="D3064" s="156"/>
    </row>
    <row r="3065">
      <c r="A3065" s="336"/>
      <c r="B3065" s="336"/>
      <c r="C3065" s="336"/>
      <c r="D3065" s="156"/>
    </row>
    <row r="3066">
      <c r="A3066" s="336"/>
      <c r="B3066" s="336"/>
      <c r="C3066" s="336"/>
      <c r="D3066" s="156"/>
    </row>
    <row r="3067">
      <c r="A3067" s="336"/>
      <c r="B3067" s="336"/>
      <c r="C3067" s="336"/>
      <c r="D3067" s="156"/>
    </row>
    <row r="3068">
      <c r="A3068" s="336"/>
      <c r="B3068" s="336"/>
      <c r="C3068" s="336"/>
      <c r="D3068" s="156"/>
    </row>
    <row r="3069">
      <c r="A3069" s="336"/>
      <c r="B3069" s="336"/>
      <c r="C3069" s="336"/>
      <c r="D3069" s="156"/>
    </row>
    <row r="3070">
      <c r="A3070" s="336"/>
      <c r="B3070" s="336"/>
      <c r="C3070" s="336"/>
      <c r="D3070" s="156"/>
    </row>
    <row r="3071">
      <c r="A3071" s="336"/>
      <c r="B3071" s="336"/>
      <c r="C3071" s="336"/>
      <c r="D3071" s="156"/>
    </row>
    <row r="3072">
      <c r="A3072" s="336"/>
      <c r="B3072" s="336"/>
      <c r="C3072" s="336"/>
      <c r="D3072" s="156"/>
    </row>
    <row r="3073">
      <c r="A3073" s="336"/>
      <c r="B3073" s="336"/>
      <c r="C3073" s="336"/>
      <c r="D3073" s="156"/>
    </row>
    <row r="3074">
      <c r="A3074" s="336"/>
      <c r="B3074" s="336"/>
      <c r="C3074" s="336"/>
      <c r="D3074" s="156"/>
    </row>
    <row r="3075">
      <c r="A3075" s="336"/>
      <c r="B3075" s="336"/>
      <c r="C3075" s="336"/>
      <c r="D3075" s="156"/>
    </row>
    <row r="3076">
      <c r="A3076" s="336"/>
      <c r="B3076" s="336"/>
      <c r="C3076" s="336"/>
      <c r="D3076" s="156"/>
    </row>
    <row r="3077">
      <c r="A3077" s="336"/>
      <c r="B3077" s="336"/>
      <c r="C3077" s="336"/>
      <c r="D3077" s="156"/>
    </row>
    <row r="3078">
      <c r="A3078" s="336"/>
      <c r="B3078" s="336"/>
      <c r="C3078" s="336"/>
      <c r="D3078" s="156"/>
    </row>
    <row r="3079">
      <c r="A3079" s="336"/>
      <c r="B3079" s="336"/>
      <c r="C3079" s="336"/>
      <c r="D3079" s="156"/>
    </row>
    <row r="3080">
      <c r="A3080" s="336"/>
      <c r="B3080" s="336"/>
      <c r="C3080" s="336"/>
      <c r="D3080" s="156"/>
    </row>
    <row r="3081">
      <c r="A3081" s="336"/>
      <c r="B3081" s="336"/>
      <c r="C3081" s="336"/>
      <c r="D3081" s="156"/>
    </row>
    <row r="3082">
      <c r="A3082" s="336"/>
      <c r="B3082" s="336"/>
      <c r="C3082" s="336"/>
      <c r="D3082" s="156"/>
    </row>
    <row r="3083">
      <c r="A3083" s="336"/>
      <c r="B3083" s="336"/>
      <c r="C3083" s="336"/>
      <c r="D3083" s="156"/>
    </row>
    <row r="3084">
      <c r="A3084" s="336"/>
      <c r="B3084" s="336"/>
      <c r="C3084" s="336"/>
      <c r="D3084" s="156"/>
    </row>
    <row r="3085">
      <c r="A3085" s="336"/>
      <c r="B3085" s="336"/>
      <c r="C3085" s="336"/>
      <c r="D3085" s="156"/>
    </row>
    <row r="3086">
      <c r="A3086" s="336"/>
      <c r="B3086" s="336"/>
      <c r="C3086" s="336"/>
      <c r="D3086" s="156"/>
    </row>
    <row r="3087">
      <c r="A3087" s="336"/>
      <c r="B3087" s="336"/>
      <c r="C3087" s="336"/>
      <c r="D3087" s="156"/>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B20"/>
    <hyperlink r:id="rId20" ref="B21"/>
    <hyperlink r:id="rId21" ref="B22"/>
    <hyperlink r:id="rId22" ref="B23"/>
    <hyperlink r:id="rId23" ref="B24"/>
    <hyperlink r:id="rId24" ref="B25"/>
    <hyperlink r:id="rId25" ref="B26"/>
    <hyperlink r:id="rId26" ref="B27"/>
    <hyperlink r:id="rId27" ref="B28"/>
    <hyperlink r:id="rId28" ref="B29"/>
    <hyperlink r:id="rId29" ref="B30"/>
    <hyperlink r:id="rId30" ref="B31"/>
    <hyperlink r:id="rId31" ref="B32"/>
    <hyperlink r:id="rId32" ref="B33"/>
    <hyperlink r:id="rId33" ref="B34"/>
    <hyperlink r:id="rId34" ref="B35"/>
    <hyperlink r:id="rId35" ref="B36"/>
    <hyperlink r:id="rId36" ref="B37"/>
    <hyperlink r:id="rId37" ref="B38"/>
    <hyperlink r:id="rId38" ref="B39"/>
    <hyperlink r:id="rId39" ref="B40"/>
    <hyperlink r:id="rId40" ref="B41"/>
    <hyperlink r:id="rId41" ref="B42"/>
    <hyperlink r:id="rId42" ref="B43"/>
    <hyperlink r:id="rId43" ref="B44"/>
    <hyperlink r:id="rId44" ref="B45"/>
    <hyperlink r:id="rId45" ref="B46"/>
    <hyperlink r:id="rId46" ref="B47"/>
    <hyperlink r:id="rId47" ref="B48"/>
    <hyperlink r:id="rId48" ref="B49"/>
    <hyperlink r:id="rId49" ref="B50"/>
    <hyperlink r:id="rId50" ref="B51"/>
    <hyperlink r:id="rId51" ref="B52"/>
    <hyperlink r:id="rId52" ref="B53"/>
    <hyperlink r:id="rId53" ref="B54"/>
    <hyperlink r:id="rId54" ref="B55"/>
    <hyperlink r:id="rId55" ref="B56"/>
    <hyperlink r:id="rId56" ref="B57"/>
    <hyperlink r:id="rId57" ref="B58"/>
    <hyperlink r:id="rId58" ref="B59"/>
    <hyperlink r:id="rId59" ref="B60"/>
    <hyperlink r:id="rId60" ref="B61"/>
    <hyperlink r:id="rId61" ref="B62"/>
    <hyperlink r:id="rId62" ref="B63"/>
    <hyperlink r:id="rId63" ref="B64"/>
    <hyperlink r:id="rId64" ref="B65"/>
    <hyperlink r:id="rId65" ref="B66"/>
    <hyperlink r:id="rId66" ref="B67"/>
    <hyperlink r:id="rId67" ref="B68"/>
    <hyperlink r:id="rId68" ref="B69"/>
    <hyperlink r:id="rId69" ref="B70"/>
    <hyperlink r:id="rId70" ref="B71"/>
    <hyperlink r:id="rId71" ref="B72"/>
    <hyperlink r:id="rId72" ref="B73"/>
    <hyperlink r:id="rId73" ref="B74"/>
    <hyperlink r:id="rId74" ref="B75"/>
    <hyperlink r:id="rId75" ref="B76"/>
    <hyperlink r:id="rId76" ref="B77"/>
    <hyperlink r:id="rId77" ref="B78"/>
    <hyperlink r:id="rId78" ref="B79"/>
    <hyperlink r:id="rId79" ref="B80"/>
    <hyperlink r:id="rId80" ref="B81"/>
    <hyperlink r:id="rId81" ref="B82"/>
    <hyperlink r:id="rId82" ref="B83"/>
    <hyperlink r:id="rId83" ref="B84"/>
    <hyperlink r:id="rId84" ref="B85"/>
    <hyperlink r:id="rId85" ref="B86"/>
    <hyperlink r:id="rId86" ref="B87"/>
    <hyperlink r:id="rId87" ref="B88"/>
    <hyperlink r:id="rId88" ref="B89"/>
    <hyperlink r:id="rId89" ref="B90"/>
    <hyperlink r:id="rId90" ref="B91"/>
    <hyperlink r:id="rId91" ref="B92"/>
    <hyperlink r:id="rId92" ref="B93"/>
    <hyperlink r:id="rId93" ref="B94"/>
    <hyperlink r:id="rId94" ref="B95"/>
    <hyperlink r:id="rId95" ref="B96"/>
    <hyperlink r:id="rId96" ref="B97"/>
    <hyperlink r:id="rId97" ref="B98"/>
    <hyperlink r:id="rId98" ref="B99"/>
    <hyperlink r:id="rId99" ref="B100"/>
    <hyperlink r:id="rId100" ref="B101"/>
    <hyperlink r:id="rId101" ref="B102"/>
    <hyperlink r:id="rId102" ref="B103"/>
    <hyperlink r:id="rId103" ref="B104"/>
    <hyperlink r:id="rId104" ref="B105"/>
    <hyperlink r:id="rId105" ref="B106"/>
    <hyperlink r:id="rId106" ref="B107"/>
    <hyperlink r:id="rId107" ref="B108"/>
    <hyperlink r:id="rId108" ref="B109"/>
    <hyperlink r:id="rId109" ref="B110"/>
    <hyperlink r:id="rId110" ref="B111"/>
    <hyperlink r:id="rId111" ref="B112"/>
    <hyperlink r:id="rId112" ref="B113"/>
    <hyperlink r:id="rId113" ref="B114"/>
    <hyperlink r:id="rId114" ref="B115"/>
    <hyperlink r:id="rId115" ref="B116"/>
    <hyperlink r:id="rId116" ref="B117"/>
    <hyperlink r:id="rId117" ref="B118"/>
    <hyperlink r:id="rId118" ref="B119"/>
    <hyperlink r:id="rId119" ref="B120"/>
    <hyperlink r:id="rId120" ref="B121"/>
    <hyperlink r:id="rId121" ref="B122"/>
    <hyperlink r:id="rId122" ref="B123"/>
    <hyperlink r:id="rId123" ref="B124"/>
    <hyperlink r:id="rId124" ref="B125"/>
    <hyperlink r:id="rId125" ref="B126"/>
    <hyperlink r:id="rId126" ref="B127"/>
    <hyperlink r:id="rId127" ref="B128"/>
    <hyperlink r:id="rId128" ref="B129"/>
    <hyperlink r:id="rId129" ref="B130"/>
    <hyperlink r:id="rId130" ref="B131"/>
    <hyperlink r:id="rId131" ref="B132"/>
    <hyperlink r:id="rId132" ref="B133"/>
    <hyperlink r:id="rId133" ref="B134"/>
    <hyperlink r:id="rId134" ref="B135"/>
    <hyperlink r:id="rId135" ref="B136"/>
    <hyperlink r:id="rId136" ref="B137"/>
    <hyperlink r:id="rId137" ref="B138"/>
    <hyperlink r:id="rId138" ref="B139"/>
    <hyperlink r:id="rId139" ref="B140"/>
    <hyperlink r:id="rId140" ref="B141"/>
    <hyperlink r:id="rId141" ref="B142"/>
    <hyperlink r:id="rId142" ref="B143"/>
    <hyperlink r:id="rId143" ref="B144"/>
    <hyperlink r:id="rId144" ref="B145"/>
    <hyperlink r:id="rId145" ref="B146"/>
    <hyperlink r:id="rId146" ref="B147"/>
    <hyperlink r:id="rId147" ref="B148"/>
    <hyperlink r:id="rId148" ref="B149"/>
    <hyperlink r:id="rId149" ref="B150"/>
    <hyperlink r:id="rId150" ref="B151"/>
    <hyperlink r:id="rId151" ref="B152"/>
    <hyperlink r:id="rId152" ref="B153"/>
    <hyperlink r:id="rId153" ref="B154"/>
    <hyperlink r:id="rId154" ref="B155"/>
    <hyperlink r:id="rId155" ref="B156"/>
    <hyperlink r:id="rId156" ref="B157"/>
    <hyperlink r:id="rId157" ref="B158"/>
    <hyperlink r:id="rId158" ref="B159"/>
    <hyperlink r:id="rId159" ref="B160"/>
    <hyperlink r:id="rId160" ref="B161"/>
    <hyperlink r:id="rId161" ref="B162"/>
    <hyperlink r:id="rId162" ref="B163"/>
    <hyperlink r:id="rId163" ref="B164"/>
    <hyperlink r:id="rId164" ref="B165"/>
    <hyperlink r:id="rId165" ref="B166"/>
    <hyperlink r:id="rId166" ref="B167"/>
    <hyperlink r:id="rId167" ref="B168"/>
    <hyperlink r:id="rId168" ref="B169"/>
    <hyperlink r:id="rId169" ref="B170"/>
    <hyperlink r:id="rId170" ref="B171"/>
    <hyperlink r:id="rId171" ref="B172"/>
    <hyperlink r:id="rId172" ref="B173"/>
    <hyperlink r:id="rId173" ref="B174"/>
    <hyperlink r:id="rId174" ref="B175"/>
    <hyperlink r:id="rId175" ref="B176"/>
    <hyperlink r:id="rId176" ref="B177"/>
    <hyperlink r:id="rId177" ref="B178"/>
    <hyperlink r:id="rId178" ref="B179"/>
    <hyperlink r:id="rId179" ref="B180"/>
    <hyperlink r:id="rId180" ref="B181"/>
    <hyperlink r:id="rId181" ref="B182"/>
    <hyperlink r:id="rId182" ref="B183"/>
    <hyperlink r:id="rId183" ref="B184"/>
    <hyperlink r:id="rId184" ref="B185"/>
    <hyperlink r:id="rId185" ref="B186"/>
    <hyperlink r:id="rId186" ref="B187"/>
    <hyperlink r:id="rId187" ref="B188"/>
    <hyperlink r:id="rId188" ref="B189"/>
    <hyperlink r:id="rId189" ref="B190"/>
    <hyperlink r:id="rId190" ref="B191"/>
    <hyperlink r:id="rId191" ref="B192"/>
    <hyperlink r:id="rId192" ref="B193"/>
    <hyperlink r:id="rId193" ref="B194"/>
    <hyperlink r:id="rId194" ref="B195"/>
    <hyperlink r:id="rId195" ref="B196"/>
    <hyperlink r:id="rId196" ref="B197"/>
    <hyperlink r:id="rId197" ref="B198"/>
    <hyperlink r:id="rId198" ref="B199"/>
    <hyperlink r:id="rId199" ref="B200"/>
    <hyperlink r:id="rId200" ref="B201"/>
    <hyperlink r:id="rId201" ref="B202"/>
    <hyperlink r:id="rId202" ref="B203"/>
    <hyperlink r:id="rId203" ref="B204"/>
    <hyperlink r:id="rId204" ref="B205"/>
    <hyperlink r:id="rId205" ref="B206"/>
    <hyperlink r:id="rId206" ref="B207"/>
    <hyperlink r:id="rId207" ref="B208"/>
    <hyperlink r:id="rId208" ref="B209"/>
    <hyperlink r:id="rId209" ref="B210"/>
    <hyperlink r:id="rId210" ref="B211"/>
    <hyperlink r:id="rId211" ref="B212"/>
    <hyperlink r:id="rId212" ref="B213"/>
    <hyperlink r:id="rId213" ref="B214"/>
    <hyperlink r:id="rId214" ref="B215"/>
    <hyperlink r:id="rId215" ref="B216"/>
    <hyperlink r:id="rId216" ref="B217"/>
    <hyperlink r:id="rId217" ref="B218"/>
    <hyperlink r:id="rId218" ref="B219"/>
    <hyperlink r:id="rId219" ref="B220"/>
    <hyperlink r:id="rId220" ref="B221"/>
    <hyperlink r:id="rId221" ref="B222"/>
    <hyperlink r:id="rId222" ref="B223"/>
    <hyperlink r:id="rId223" ref="B224"/>
    <hyperlink r:id="rId224" ref="B225"/>
    <hyperlink r:id="rId225" ref="B226"/>
    <hyperlink r:id="rId226" ref="B227"/>
    <hyperlink r:id="rId227" ref="B228"/>
    <hyperlink r:id="rId228" ref="B229"/>
    <hyperlink r:id="rId229" ref="B230"/>
    <hyperlink r:id="rId230" ref="B231"/>
    <hyperlink r:id="rId231" ref="B232"/>
    <hyperlink r:id="rId232" ref="B233"/>
    <hyperlink r:id="rId233" ref="B234"/>
    <hyperlink r:id="rId234" ref="B235"/>
    <hyperlink r:id="rId235" ref="B236"/>
    <hyperlink r:id="rId236" ref="B237"/>
    <hyperlink r:id="rId237" ref="B238"/>
    <hyperlink r:id="rId238" ref="B239"/>
    <hyperlink r:id="rId239" ref="B240"/>
    <hyperlink r:id="rId240" ref="B241"/>
    <hyperlink r:id="rId241" ref="B242"/>
    <hyperlink r:id="rId242" ref="B243"/>
    <hyperlink r:id="rId243" ref="B244"/>
    <hyperlink r:id="rId244" ref="B245"/>
    <hyperlink r:id="rId245" ref="B246"/>
    <hyperlink r:id="rId246" ref="B247"/>
    <hyperlink r:id="rId247" ref="B248"/>
    <hyperlink r:id="rId248" ref="B249"/>
    <hyperlink r:id="rId249" ref="B250"/>
    <hyperlink r:id="rId250" ref="B251"/>
    <hyperlink r:id="rId251" ref="B252"/>
    <hyperlink r:id="rId252" ref="B253"/>
    <hyperlink r:id="rId253" ref="B254"/>
    <hyperlink r:id="rId254" ref="B255"/>
    <hyperlink r:id="rId255" ref="B256"/>
    <hyperlink r:id="rId256" ref="B257"/>
    <hyperlink r:id="rId257" ref="B258"/>
    <hyperlink r:id="rId258" ref="B259"/>
    <hyperlink r:id="rId259" ref="B260"/>
    <hyperlink r:id="rId260" ref="B261"/>
    <hyperlink r:id="rId261" ref="B262"/>
    <hyperlink r:id="rId262" ref="B263"/>
    <hyperlink r:id="rId263" ref="B264"/>
    <hyperlink r:id="rId264" ref="B265"/>
    <hyperlink r:id="rId265" ref="B266"/>
    <hyperlink r:id="rId266" ref="B267"/>
    <hyperlink r:id="rId267" ref="B268"/>
    <hyperlink r:id="rId268" ref="B269"/>
    <hyperlink r:id="rId269" ref="B270"/>
    <hyperlink r:id="rId270" ref="B271"/>
    <hyperlink r:id="rId271" ref="B272"/>
    <hyperlink r:id="rId272" ref="B273"/>
    <hyperlink r:id="rId273" ref="B274"/>
    <hyperlink r:id="rId274" ref="B275"/>
    <hyperlink r:id="rId275" ref="B276"/>
    <hyperlink r:id="rId276" ref="B277"/>
    <hyperlink r:id="rId277" ref="B278"/>
    <hyperlink r:id="rId278" ref="B279"/>
    <hyperlink r:id="rId279" ref="B280"/>
    <hyperlink r:id="rId280" ref="B281"/>
    <hyperlink r:id="rId281" ref="B282"/>
    <hyperlink r:id="rId282" ref="B283"/>
    <hyperlink r:id="rId283" ref="B284"/>
    <hyperlink r:id="rId284" ref="B285"/>
    <hyperlink r:id="rId285" ref="B286"/>
    <hyperlink r:id="rId286" ref="B287"/>
    <hyperlink r:id="rId287" ref="B288"/>
    <hyperlink r:id="rId288" ref="B289"/>
    <hyperlink r:id="rId289" ref="B290"/>
    <hyperlink r:id="rId290" ref="B291"/>
    <hyperlink r:id="rId291" ref="B292"/>
    <hyperlink r:id="rId292" ref="B293"/>
    <hyperlink r:id="rId293" ref="B294"/>
    <hyperlink r:id="rId294" ref="B295"/>
    <hyperlink r:id="rId295" ref="B296"/>
    <hyperlink r:id="rId296" ref="B297"/>
    <hyperlink r:id="rId297" ref="B298"/>
    <hyperlink r:id="rId298" ref="B299"/>
    <hyperlink r:id="rId299" ref="B300"/>
    <hyperlink r:id="rId300" ref="B301"/>
    <hyperlink r:id="rId301" ref="B302"/>
    <hyperlink r:id="rId302" ref="B303"/>
    <hyperlink r:id="rId303" ref="B304"/>
    <hyperlink r:id="rId304" ref="B305"/>
    <hyperlink r:id="rId305" ref="B306"/>
    <hyperlink r:id="rId306" ref="B307"/>
    <hyperlink r:id="rId307" ref="B308"/>
    <hyperlink r:id="rId308" ref="B309"/>
    <hyperlink r:id="rId309" ref="B310"/>
    <hyperlink r:id="rId310" ref="B311"/>
    <hyperlink r:id="rId311" ref="B312"/>
    <hyperlink r:id="rId312" ref="B313"/>
    <hyperlink r:id="rId313" ref="B314"/>
    <hyperlink r:id="rId314" ref="B315"/>
    <hyperlink r:id="rId315" ref="B316"/>
    <hyperlink r:id="rId316" ref="B317"/>
    <hyperlink r:id="rId317" ref="B318"/>
    <hyperlink r:id="rId318" ref="B319"/>
    <hyperlink r:id="rId319" ref="B320"/>
    <hyperlink r:id="rId320" ref="B321"/>
    <hyperlink r:id="rId321" ref="B322"/>
    <hyperlink r:id="rId322" ref="B323"/>
    <hyperlink r:id="rId323" ref="B324"/>
    <hyperlink r:id="rId324" ref="B325"/>
    <hyperlink r:id="rId325" ref="B326"/>
    <hyperlink r:id="rId326" ref="B327"/>
    <hyperlink r:id="rId327" ref="B328"/>
    <hyperlink r:id="rId328" ref="B329"/>
    <hyperlink r:id="rId329" ref="B330"/>
    <hyperlink r:id="rId330" ref="B331"/>
    <hyperlink r:id="rId331" ref="B332"/>
    <hyperlink r:id="rId332" ref="B333"/>
    <hyperlink r:id="rId333" ref="B334"/>
    <hyperlink r:id="rId334" ref="B335"/>
    <hyperlink r:id="rId335" ref="B336"/>
    <hyperlink r:id="rId336" ref="B337"/>
    <hyperlink r:id="rId337" ref="B338"/>
    <hyperlink r:id="rId338" ref="B339"/>
    <hyperlink r:id="rId339" ref="B340"/>
    <hyperlink r:id="rId340" ref="B341"/>
    <hyperlink r:id="rId341" ref="B342"/>
    <hyperlink r:id="rId342" ref="B343"/>
    <hyperlink r:id="rId343" ref="B344"/>
    <hyperlink r:id="rId344" ref="B345"/>
    <hyperlink r:id="rId345" ref="B346"/>
    <hyperlink r:id="rId346" ref="B347"/>
    <hyperlink r:id="rId347" ref="B348"/>
    <hyperlink r:id="rId348" ref="B349"/>
    <hyperlink r:id="rId349" ref="B350"/>
    <hyperlink r:id="rId350" ref="B351"/>
    <hyperlink r:id="rId351" ref="B352"/>
    <hyperlink r:id="rId352" ref="B353"/>
    <hyperlink r:id="rId353" ref="B354"/>
    <hyperlink r:id="rId354" ref="B355"/>
    <hyperlink r:id="rId355" ref="B356"/>
    <hyperlink r:id="rId356" ref="B357"/>
    <hyperlink r:id="rId357" ref="B358"/>
    <hyperlink r:id="rId358" ref="B359"/>
    <hyperlink r:id="rId359" ref="B360"/>
    <hyperlink r:id="rId360" ref="B361"/>
    <hyperlink r:id="rId361" ref="B362"/>
    <hyperlink r:id="rId362" ref="B363"/>
    <hyperlink r:id="rId363" ref="B364"/>
    <hyperlink r:id="rId364" ref="B365"/>
    <hyperlink r:id="rId365" ref="B366"/>
    <hyperlink r:id="rId366" ref="B367"/>
    <hyperlink r:id="rId367" ref="B368"/>
    <hyperlink r:id="rId368" ref="B369"/>
    <hyperlink r:id="rId369" ref="B370"/>
    <hyperlink r:id="rId370" ref="B371"/>
    <hyperlink r:id="rId371" ref="B372"/>
    <hyperlink r:id="rId372" ref="B373"/>
    <hyperlink r:id="rId373" ref="B374"/>
    <hyperlink r:id="rId374" ref="B375"/>
    <hyperlink r:id="rId375" ref="B376"/>
    <hyperlink r:id="rId376" ref="B377"/>
    <hyperlink r:id="rId377" ref="B378"/>
    <hyperlink r:id="rId378" ref="B379"/>
    <hyperlink r:id="rId379" ref="B380"/>
    <hyperlink r:id="rId380" ref="B381"/>
    <hyperlink r:id="rId381" ref="B382"/>
    <hyperlink r:id="rId382" ref="B383"/>
    <hyperlink r:id="rId383" ref="B384"/>
    <hyperlink r:id="rId384" ref="B385"/>
    <hyperlink r:id="rId385" ref="B386"/>
    <hyperlink r:id="rId386" ref="B387"/>
    <hyperlink r:id="rId387" ref="B388"/>
    <hyperlink r:id="rId388" ref="B389"/>
    <hyperlink r:id="rId389" ref="B390"/>
    <hyperlink r:id="rId390" ref="B391"/>
    <hyperlink r:id="rId391" ref="B392"/>
    <hyperlink r:id="rId392" ref="B393"/>
    <hyperlink r:id="rId393" ref="B394"/>
    <hyperlink r:id="rId394" ref="B395"/>
    <hyperlink r:id="rId395" ref="B396"/>
    <hyperlink r:id="rId396" ref="B397"/>
    <hyperlink r:id="rId397" ref="B398"/>
    <hyperlink r:id="rId398" ref="B399"/>
    <hyperlink r:id="rId399" ref="B400"/>
    <hyperlink r:id="rId400" ref="B401"/>
    <hyperlink r:id="rId401" ref="B402"/>
    <hyperlink r:id="rId402" ref="B403"/>
    <hyperlink r:id="rId403" ref="B404"/>
    <hyperlink r:id="rId404" ref="B405"/>
    <hyperlink r:id="rId405" ref="B406"/>
    <hyperlink r:id="rId406" ref="B407"/>
    <hyperlink r:id="rId407" ref="B408"/>
    <hyperlink r:id="rId408" ref="B409"/>
    <hyperlink r:id="rId409" ref="B410"/>
    <hyperlink r:id="rId410" ref="B411"/>
    <hyperlink r:id="rId411" ref="B412"/>
    <hyperlink r:id="rId412" ref="B413"/>
    <hyperlink r:id="rId413" ref="B414"/>
    <hyperlink r:id="rId414" ref="B415"/>
    <hyperlink r:id="rId415" ref="B416"/>
    <hyperlink r:id="rId416" ref="B417"/>
    <hyperlink r:id="rId417" ref="B418"/>
    <hyperlink r:id="rId418" ref="B419"/>
    <hyperlink r:id="rId419" ref="B420"/>
    <hyperlink r:id="rId420" ref="B421"/>
    <hyperlink r:id="rId421" ref="B422"/>
    <hyperlink r:id="rId422" ref="B423"/>
    <hyperlink r:id="rId423" ref="B424"/>
    <hyperlink r:id="rId424" ref="B425"/>
    <hyperlink r:id="rId425" ref="B426"/>
    <hyperlink r:id="rId426" ref="B427"/>
    <hyperlink r:id="rId427" ref="B428"/>
    <hyperlink r:id="rId428" ref="B429"/>
    <hyperlink r:id="rId429" ref="B430"/>
    <hyperlink r:id="rId430" ref="B431"/>
    <hyperlink r:id="rId431" ref="B432"/>
    <hyperlink r:id="rId432" ref="B433"/>
    <hyperlink r:id="rId433" ref="B434"/>
    <hyperlink r:id="rId434" ref="B435"/>
    <hyperlink r:id="rId435" ref="B436"/>
    <hyperlink r:id="rId436" ref="B437"/>
    <hyperlink r:id="rId437" ref="B438"/>
    <hyperlink r:id="rId438" ref="B439"/>
    <hyperlink r:id="rId439" ref="B440"/>
    <hyperlink r:id="rId440" ref="B441"/>
    <hyperlink r:id="rId441" ref="B442"/>
    <hyperlink r:id="rId442" ref="B443"/>
    <hyperlink r:id="rId443" ref="B444"/>
    <hyperlink r:id="rId444" ref="B445"/>
    <hyperlink r:id="rId445" ref="B446"/>
    <hyperlink r:id="rId446" ref="B447"/>
    <hyperlink r:id="rId447" ref="B448"/>
    <hyperlink r:id="rId448" ref="B449"/>
    <hyperlink r:id="rId449" ref="B450"/>
    <hyperlink r:id="rId450" ref="B451"/>
    <hyperlink r:id="rId451" ref="B452"/>
    <hyperlink r:id="rId452" ref="B453"/>
    <hyperlink r:id="rId453" ref="B454"/>
    <hyperlink r:id="rId454" ref="B455"/>
    <hyperlink r:id="rId455" ref="B456"/>
    <hyperlink r:id="rId456" ref="B457"/>
    <hyperlink r:id="rId457" ref="B458"/>
    <hyperlink r:id="rId458" ref="B459"/>
    <hyperlink r:id="rId459" ref="B460"/>
    <hyperlink r:id="rId460" ref="B461"/>
    <hyperlink r:id="rId461" ref="B462"/>
    <hyperlink r:id="rId462" ref="B463"/>
    <hyperlink r:id="rId463" ref="B464"/>
    <hyperlink r:id="rId464" ref="B465"/>
    <hyperlink r:id="rId465" ref="B466"/>
    <hyperlink r:id="rId466" ref="B467"/>
    <hyperlink r:id="rId467" ref="B468"/>
    <hyperlink r:id="rId468" ref="B469"/>
    <hyperlink r:id="rId469" ref="B470"/>
    <hyperlink r:id="rId470" ref="B471"/>
    <hyperlink r:id="rId471" ref="B472"/>
    <hyperlink r:id="rId472" ref="B473"/>
    <hyperlink r:id="rId473" ref="B474"/>
    <hyperlink r:id="rId474" ref="B475"/>
    <hyperlink r:id="rId475" ref="B476"/>
    <hyperlink r:id="rId476" ref="B477"/>
    <hyperlink r:id="rId477" ref="B478"/>
    <hyperlink r:id="rId478" ref="B479"/>
    <hyperlink r:id="rId479" ref="B480"/>
    <hyperlink r:id="rId480" ref="B481"/>
    <hyperlink r:id="rId481" ref="B482"/>
    <hyperlink r:id="rId482" ref="B483"/>
    <hyperlink r:id="rId483" ref="B484"/>
    <hyperlink r:id="rId484" ref="B485"/>
    <hyperlink r:id="rId485" ref="B486"/>
    <hyperlink r:id="rId486" ref="B487"/>
    <hyperlink r:id="rId487" ref="B488"/>
    <hyperlink r:id="rId488" ref="B489"/>
    <hyperlink r:id="rId489" ref="B490"/>
    <hyperlink r:id="rId490" ref="B491"/>
    <hyperlink r:id="rId491" ref="B492"/>
    <hyperlink r:id="rId492" ref="B493"/>
    <hyperlink r:id="rId493" ref="B494"/>
    <hyperlink r:id="rId494" ref="B495"/>
    <hyperlink r:id="rId495" ref="B496"/>
    <hyperlink r:id="rId496" ref="B497"/>
    <hyperlink r:id="rId497" ref="B498"/>
    <hyperlink r:id="rId498" ref="B499"/>
    <hyperlink r:id="rId499" ref="B500"/>
    <hyperlink r:id="rId500" ref="B501"/>
    <hyperlink r:id="rId501" ref="B502"/>
    <hyperlink r:id="rId502" ref="B503"/>
    <hyperlink r:id="rId503" ref="B504"/>
    <hyperlink r:id="rId504" ref="B505"/>
    <hyperlink r:id="rId505" ref="B506"/>
    <hyperlink r:id="rId506" ref="B507"/>
    <hyperlink r:id="rId507" ref="B508"/>
    <hyperlink r:id="rId508" ref="B509"/>
    <hyperlink r:id="rId509" ref="B510"/>
    <hyperlink r:id="rId510" ref="B511"/>
    <hyperlink r:id="rId511" ref="B512"/>
    <hyperlink r:id="rId512" ref="B513"/>
    <hyperlink r:id="rId513" ref="B514"/>
    <hyperlink r:id="rId514" ref="B515"/>
    <hyperlink r:id="rId515" ref="B516"/>
    <hyperlink r:id="rId516" ref="B517"/>
    <hyperlink r:id="rId517" ref="B518"/>
    <hyperlink r:id="rId518" ref="B519"/>
    <hyperlink r:id="rId519" ref="B520"/>
    <hyperlink r:id="rId520" ref="B521"/>
    <hyperlink r:id="rId521" ref="B522"/>
    <hyperlink r:id="rId522" ref="B523"/>
    <hyperlink r:id="rId523" ref="B524"/>
    <hyperlink r:id="rId524" ref="B525"/>
    <hyperlink r:id="rId525" ref="B526"/>
    <hyperlink r:id="rId526" ref="B527"/>
    <hyperlink r:id="rId527" ref="B528"/>
    <hyperlink r:id="rId528" ref="B529"/>
    <hyperlink r:id="rId529" ref="B530"/>
    <hyperlink r:id="rId530" ref="B531"/>
    <hyperlink r:id="rId531" ref="B532"/>
    <hyperlink r:id="rId532" ref="B533"/>
    <hyperlink r:id="rId533" ref="B534"/>
    <hyperlink r:id="rId534" ref="B535"/>
    <hyperlink r:id="rId535" ref="B536"/>
    <hyperlink r:id="rId536" ref="B537"/>
    <hyperlink r:id="rId537" ref="B538"/>
    <hyperlink r:id="rId538" ref="B539"/>
    <hyperlink r:id="rId539" ref="B540"/>
    <hyperlink r:id="rId540" ref="B541"/>
    <hyperlink r:id="rId541" ref="B542"/>
    <hyperlink r:id="rId542" ref="B543"/>
    <hyperlink r:id="rId543" ref="B544"/>
    <hyperlink r:id="rId544" ref="B545"/>
    <hyperlink r:id="rId545" ref="B546"/>
    <hyperlink r:id="rId546" ref="B547"/>
    <hyperlink r:id="rId547" ref="B548"/>
    <hyperlink r:id="rId548" ref="B549"/>
    <hyperlink r:id="rId549" ref="B550"/>
    <hyperlink r:id="rId550" ref="B551"/>
    <hyperlink r:id="rId551" ref="B552"/>
    <hyperlink r:id="rId552" ref="B553"/>
    <hyperlink r:id="rId553" ref="B554"/>
    <hyperlink r:id="rId554" ref="B555"/>
    <hyperlink r:id="rId555" ref="B556"/>
    <hyperlink r:id="rId556" ref="B557"/>
    <hyperlink r:id="rId557" ref="B558"/>
    <hyperlink r:id="rId558" ref="B559"/>
    <hyperlink r:id="rId559" ref="B560"/>
    <hyperlink r:id="rId560" ref="B561"/>
    <hyperlink r:id="rId561" ref="B562"/>
    <hyperlink r:id="rId562" ref="B563"/>
    <hyperlink r:id="rId563" ref="B564"/>
    <hyperlink r:id="rId564" ref="B565"/>
    <hyperlink r:id="rId565" ref="B566"/>
    <hyperlink r:id="rId566" ref="B567"/>
    <hyperlink r:id="rId567" ref="B568"/>
    <hyperlink r:id="rId568" ref="B569"/>
    <hyperlink r:id="rId569" ref="B570"/>
    <hyperlink r:id="rId570" ref="B571"/>
    <hyperlink r:id="rId571" ref="B572"/>
    <hyperlink r:id="rId572" ref="B573"/>
    <hyperlink r:id="rId573" ref="B574"/>
    <hyperlink r:id="rId574" ref="B575"/>
    <hyperlink r:id="rId575" ref="B576"/>
    <hyperlink r:id="rId576" ref="B577"/>
    <hyperlink r:id="rId577" ref="B578"/>
    <hyperlink r:id="rId578" ref="B579"/>
    <hyperlink r:id="rId579" ref="B580"/>
    <hyperlink r:id="rId580" ref="B581"/>
    <hyperlink r:id="rId581" ref="B582"/>
    <hyperlink r:id="rId582" ref="B583"/>
    <hyperlink r:id="rId583" ref="B584"/>
    <hyperlink r:id="rId584" ref="B585"/>
    <hyperlink r:id="rId585" ref="B586"/>
    <hyperlink r:id="rId586" ref="B587"/>
    <hyperlink r:id="rId587" ref="B588"/>
    <hyperlink r:id="rId588" ref="B589"/>
    <hyperlink r:id="rId589" ref="B590"/>
    <hyperlink r:id="rId590" ref="B591"/>
    <hyperlink r:id="rId591" ref="B592"/>
    <hyperlink r:id="rId592" ref="B593"/>
    <hyperlink r:id="rId593" ref="B594"/>
    <hyperlink r:id="rId594" ref="B595"/>
    <hyperlink r:id="rId595" ref="B596"/>
    <hyperlink r:id="rId596" ref="B597"/>
    <hyperlink r:id="rId597" ref="B598"/>
    <hyperlink r:id="rId598" ref="B599"/>
    <hyperlink r:id="rId599" ref="B600"/>
    <hyperlink r:id="rId600" ref="B601"/>
    <hyperlink r:id="rId601" ref="B602"/>
    <hyperlink r:id="rId602" ref="B603"/>
    <hyperlink r:id="rId603" ref="B604"/>
    <hyperlink r:id="rId604" ref="B605"/>
    <hyperlink r:id="rId605" ref="B606"/>
    <hyperlink r:id="rId606" ref="B607"/>
    <hyperlink r:id="rId607" ref="B608"/>
    <hyperlink r:id="rId608" ref="B609"/>
    <hyperlink r:id="rId609" ref="B610"/>
    <hyperlink r:id="rId610" ref="B611"/>
    <hyperlink r:id="rId611" ref="B612"/>
    <hyperlink r:id="rId612" ref="B613"/>
    <hyperlink r:id="rId613" ref="B614"/>
    <hyperlink r:id="rId614" ref="B615"/>
    <hyperlink r:id="rId615" ref="B616"/>
    <hyperlink r:id="rId616" ref="B617"/>
    <hyperlink r:id="rId617" ref="B618"/>
    <hyperlink r:id="rId618" ref="B619"/>
    <hyperlink r:id="rId619" ref="B620"/>
    <hyperlink r:id="rId620" ref="B621"/>
    <hyperlink r:id="rId621" ref="B622"/>
    <hyperlink r:id="rId622" ref="B623"/>
    <hyperlink r:id="rId623" ref="B624"/>
    <hyperlink r:id="rId624" ref="B625"/>
    <hyperlink r:id="rId625" ref="B626"/>
    <hyperlink r:id="rId626" ref="B627"/>
    <hyperlink r:id="rId627" ref="B628"/>
    <hyperlink r:id="rId628" ref="B629"/>
    <hyperlink r:id="rId629" ref="B630"/>
    <hyperlink r:id="rId630" ref="B631"/>
    <hyperlink r:id="rId631" ref="B632"/>
    <hyperlink r:id="rId632" ref="B633"/>
    <hyperlink r:id="rId633" ref="B634"/>
    <hyperlink r:id="rId634" ref="B635"/>
    <hyperlink r:id="rId635" ref="B636"/>
    <hyperlink r:id="rId636" ref="B637"/>
    <hyperlink r:id="rId637" ref="B638"/>
    <hyperlink r:id="rId638" ref="B639"/>
    <hyperlink r:id="rId639" ref="B640"/>
    <hyperlink r:id="rId640" ref="B641"/>
    <hyperlink r:id="rId641" ref="B642"/>
    <hyperlink r:id="rId642" ref="B643"/>
    <hyperlink r:id="rId643" ref="B644"/>
    <hyperlink r:id="rId644" ref="B645"/>
    <hyperlink r:id="rId645" ref="B646"/>
    <hyperlink r:id="rId646" ref="B647"/>
    <hyperlink r:id="rId647" ref="B648"/>
    <hyperlink r:id="rId648" ref="B649"/>
    <hyperlink r:id="rId649" ref="B650"/>
    <hyperlink r:id="rId650" ref="B651"/>
    <hyperlink r:id="rId651" ref="B652"/>
    <hyperlink r:id="rId652" ref="B653"/>
    <hyperlink r:id="rId653" ref="B654"/>
    <hyperlink r:id="rId654" ref="B655"/>
    <hyperlink r:id="rId655" ref="B656"/>
    <hyperlink r:id="rId656" ref="B657"/>
    <hyperlink r:id="rId657" ref="B658"/>
    <hyperlink r:id="rId658" ref="B659"/>
    <hyperlink r:id="rId659" ref="B660"/>
    <hyperlink r:id="rId660" ref="B661"/>
    <hyperlink r:id="rId661" ref="B662"/>
    <hyperlink r:id="rId662" ref="B663"/>
    <hyperlink r:id="rId663" ref="B664"/>
    <hyperlink r:id="rId664" ref="B665"/>
    <hyperlink r:id="rId665" ref="B666"/>
    <hyperlink r:id="rId666" ref="B667"/>
    <hyperlink r:id="rId667" ref="B668"/>
    <hyperlink r:id="rId668" ref="B669"/>
    <hyperlink r:id="rId669" ref="B670"/>
    <hyperlink r:id="rId670" ref="B671"/>
    <hyperlink r:id="rId671" ref="B672"/>
    <hyperlink r:id="rId672" ref="B673"/>
    <hyperlink r:id="rId673" ref="B674"/>
    <hyperlink r:id="rId674" ref="B675"/>
    <hyperlink r:id="rId675" ref="B676"/>
    <hyperlink r:id="rId676" ref="B677"/>
    <hyperlink r:id="rId677" ref="B678"/>
    <hyperlink r:id="rId678" ref="B679"/>
    <hyperlink r:id="rId679" ref="B680"/>
    <hyperlink r:id="rId680" ref="B681"/>
    <hyperlink r:id="rId681" ref="B682"/>
    <hyperlink r:id="rId682" ref="B683"/>
    <hyperlink r:id="rId683" ref="B684"/>
    <hyperlink r:id="rId684" ref="B685"/>
    <hyperlink r:id="rId685" ref="B686"/>
    <hyperlink r:id="rId686" ref="B687"/>
    <hyperlink r:id="rId687" ref="B688"/>
    <hyperlink r:id="rId688" ref="B689"/>
    <hyperlink r:id="rId689" ref="B690"/>
    <hyperlink r:id="rId690" ref="B691"/>
    <hyperlink r:id="rId691" ref="B692"/>
    <hyperlink r:id="rId692" ref="B693"/>
    <hyperlink r:id="rId693" ref="B694"/>
    <hyperlink r:id="rId694" ref="B695"/>
    <hyperlink r:id="rId695" ref="B696"/>
    <hyperlink r:id="rId696" ref="B697"/>
    <hyperlink r:id="rId697" ref="B698"/>
    <hyperlink r:id="rId698" ref="B699"/>
    <hyperlink r:id="rId699" ref="B700"/>
    <hyperlink r:id="rId700" ref="B701"/>
    <hyperlink r:id="rId701" ref="B702"/>
    <hyperlink r:id="rId702" ref="B703"/>
    <hyperlink r:id="rId703" ref="B704"/>
    <hyperlink r:id="rId704" ref="B705"/>
    <hyperlink r:id="rId705" ref="B706"/>
    <hyperlink r:id="rId706" ref="B707"/>
    <hyperlink r:id="rId707" ref="B708"/>
    <hyperlink r:id="rId708" ref="B709"/>
    <hyperlink r:id="rId709" ref="B710"/>
    <hyperlink r:id="rId710" ref="B711"/>
    <hyperlink r:id="rId711" ref="B712"/>
    <hyperlink r:id="rId712" ref="B713"/>
    <hyperlink r:id="rId713" ref="B714"/>
    <hyperlink r:id="rId714" ref="B715"/>
    <hyperlink r:id="rId715" ref="B716"/>
    <hyperlink r:id="rId716" ref="B717"/>
    <hyperlink r:id="rId717" ref="B718"/>
    <hyperlink r:id="rId718" ref="B719"/>
    <hyperlink r:id="rId719" ref="B720"/>
    <hyperlink r:id="rId720" ref="B721"/>
    <hyperlink r:id="rId721" ref="B722"/>
    <hyperlink r:id="rId722" ref="B723"/>
    <hyperlink r:id="rId723" ref="B724"/>
    <hyperlink r:id="rId724" ref="B725"/>
    <hyperlink r:id="rId725" ref="B726"/>
    <hyperlink r:id="rId726" ref="B727"/>
    <hyperlink r:id="rId727" ref="B728"/>
    <hyperlink r:id="rId728" ref="B729"/>
    <hyperlink r:id="rId729" ref="B730"/>
    <hyperlink r:id="rId730" ref="B731"/>
    <hyperlink r:id="rId731" ref="B732"/>
    <hyperlink r:id="rId732" ref="B733"/>
    <hyperlink r:id="rId733" ref="B734"/>
    <hyperlink r:id="rId734" ref="B735"/>
    <hyperlink r:id="rId735" ref="B736"/>
    <hyperlink r:id="rId736" ref="B737"/>
    <hyperlink r:id="rId737" ref="B738"/>
    <hyperlink r:id="rId738" ref="B739"/>
    <hyperlink r:id="rId739" ref="B740"/>
    <hyperlink r:id="rId740" ref="B741"/>
    <hyperlink r:id="rId741" ref="B742"/>
    <hyperlink r:id="rId742" ref="B743"/>
    <hyperlink r:id="rId743" ref="B744"/>
    <hyperlink r:id="rId744" ref="B745"/>
    <hyperlink r:id="rId745" ref="B746"/>
    <hyperlink r:id="rId746" ref="B747"/>
    <hyperlink r:id="rId747" ref="B748"/>
    <hyperlink r:id="rId748" ref="B749"/>
    <hyperlink r:id="rId749" ref="B750"/>
    <hyperlink r:id="rId750" ref="B751"/>
    <hyperlink r:id="rId751" ref="B752"/>
    <hyperlink r:id="rId752" ref="B753"/>
    <hyperlink r:id="rId753" ref="B754"/>
    <hyperlink r:id="rId754" ref="B755"/>
    <hyperlink r:id="rId755" ref="B756"/>
    <hyperlink r:id="rId756" ref="B757"/>
    <hyperlink r:id="rId757" ref="B758"/>
    <hyperlink r:id="rId758" ref="B759"/>
    <hyperlink r:id="rId759" ref="B760"/>
    <hyperlink r:id="rId760" ref="B761"/>
    <hyperlink r:id="rId761" ref="B762"/>
    <hyperlink r:id="rId762" ref="B763"/>
    <hyperlink r:id="rId763" ref="B764"/>
    <hyperlink r:id="rId764" ref="B765"/>
    <hyperlink r:id="rId765" ref="B766"/>
    <hyperlink r:id="rId766" ref="B767"/>
    <hyperlink r:id="rId767" ref="B768"/>
    <hyperlink r:id="rId768" ref="B769"/>
    <hyperlink r:id="rId769" ref="B770"/>
    <hyperlink r:id="rId770" ref="B771"/>
    <hyperlink r:id="rId771" ref="B772"/>
    <hyperlink r:id="rId772" ref="B773"/>
    <hyperlink r:id="rId773" ref="B774"/>
    <hyperlink r:id="rId774" ref="B775"/>
    <hyperlink r:id="rId775" ref="B776"/>
    <hyperlink r:id="rId776" ref="B777"/>
    <hyperlink r:id="rId777" ref="B778"/>
    <hyperlink r:id="rId778" ref="B779"/>
    <hyperlink r:id="rId779" ref="B780"/>
    <hyperlink r:id="rId780" ref="B781"/>
    <hyperlink r:id="rId781" ref="B782"/>
    <hyperlink r:id="rId782" ref="B783"/>
    <hyperlink r:id="rId783" ref="B784"/>
    <hyperlink r:id="rId784" ref="B785"/>
    <hyperlink r:id="rId785" ref="B786"/>
    <hyperlink r:id="rId786" ref="B787"/>
    <hyperlink r:id="rId787" ref="B788"/>
    <hyperlink r:id="rId788" ref="B789"/>
    <hyperlink r:id="rId789" ref="B790"/>
    <hyperlink r:id="rId790" ref="B791"/>
    <hyperlink r:id="rId791" ref="B792"/>
    <hyperlink r:id="rId792" ref="B793"/>
    <hyperlink r:id="rId793" ref="B794"/>
    <hyperlink r:id="rId794" ref="B795"/>
    <hyperlink r:id="rId795" ref="B796"/>
    <hyperlink r:id="rId796" ref="B797"/>
    <hyperlink r:id="rId797" ref="B798"/>
    <hyperlink r:id="rId798" ref="B799"/>
    <hyperlink r:id="rId799" ref="B800"/>
    <hyperlink r:id="rId800" ref="B801"/>
    <hyperlink r:id="rId801" ref="B802"/>
    <hyperlink r:id="rId802" ref="B803"/>
    <hyperlink r:id="rId803" ref="B804"/>
    <hyperlink r:id="rId804" ref="B805"/>
    <hyperlink r:id="rId805" ref="B806"/>
    <hyperlink r:id="rId806" ref="B807"/>
    <hyperlink r:id="rId807" ref="B808"/>
    <hyperlink r:id="rId808" ref="B809"/>
    <hyperlink r:id="rId809" ref="B810"/>
    <hyperlink r:id="rId810" ref="B811"/>
    <hyperlink r:id="rId811" ref="B812"/>
    <hyperlink r:id="rId812" ref="B813"/>
    <hyperlink r:id="rId813" ref="B814"/>
    <hyperlink r:id="rId814" ref="B815"/>
    <hyperlink r:id="rId815" ref="B816"/>
    <hyperlink r:id="rId816" ref="B817"/>
    <hyperlink r:id="rId817" ref="B818"/>
    <hyperlink r:id="rId818" ref="B819"/>
    <hyperlink r:id="rId819" ref="B820"/>
    <hyperlink r:id="rId820" ref="B821"/>
    <hyperlink r:id="rId821" ref="B822"/>
    <hyperlink r:id="rId822" ref="B823"/>
    <hyperlink r:id="rId823" ref="B824"/>
    <hyperlink r:id="rId824" ref="B825"/>
    <hyperlink r:id="rId825" ref="B826"/>
    <hyperlink r:id="rId826" ref="B827"/>
    <hyperlink r:id="rId827" ref="B828"/>
    <hyperlink r:id="rId828" ref="B829"/>
    <hyperlink r:id="rId829" ref="B830"/>
    <hyperlink r:id="rId830" ref="B831"/>
    <hyperlink r:id="rId831" ref="B832"/>
    <hyperlink r:id="rId832" ref="B833"/>
    <hyperlink r:id="rId833" ref="B834"/>
    <hyperlink r:id="rId834" ref="B835"/>
    <hyperlink r:id="rId835" ref="B836"/>
    <hyperlink r:id="rId836" ref="B837"/>
    <hyperlink r:id="rId837" ref="B838"/>
    <hyperlink r:id="rId838" ref="B839"/>
    <hyperlink r:id="rId839" ref="B840"/>
    <hyperlink r:id="rId840" ref="B841"/>
    <hyperlink r:id="rId841" ref="B842"/>
    <hyperlink r:id="rId842" ref="B843"/>
    <hyperlink r:id="rId843" ref="B844"/>
    <hyperlink r:id="rId844" ref="B845"/>
    <hyperlink r:id="rId845" ref="B846"/>
    <hyperlink r:id="rId846" ref="B847"/>
    <hyperlink r:id="rId847" ref="B848"/>
    <hyperlink r:id="rId848" ref="B849"/>
    <hyperlink r:id="rId849" ref="B850"/>
    <hyperlink r:id="rId850" ref="B851"/>
    <hyperlink r:id="rId851" ref="B852"/>
    <hyperlink r:id="rId852" ref="B853"/>
    <hyperlink r:id="rId853" ref="B854"/>
    <hyperlink r:id="rId854" ref="B855"/>
    <hyperlink r:id="rId855" ref="B856"/>
    <hyperlink r:id="rId856" ref="B857"/>
    <hyperlink r:id="rId857" ref="B858"/>
    <hyperlink r:id="rId858" ref="B859"/>
    <hyperlink r:id="rId859" ref="B860"/>
    <hyperlink r:id="rId860" ref="B861"/>
    <hyperlink r:id="rId861" ref="B862"/>
    <hyperlink r:id="rId862" ref="B863"/>
    <hyperlink r:id="rId863" ref="B864"/>
    <hyperlink r:id="rId864" ref="B865"/>
    <hyperlink r:id="rId865" ref="B866"/>
    <hyperlink r:id="rId866" ref="B867"/>
    <hyperlink r:id="rId867" ref="B868"/>
    <hyperlink r:id="rId868" ref="B869"/>
    <hyperlink r:id="rId869" ref="B870"/>
    <hyperlink r:id="rId870" ref="B871"/>
    <hyperlink r:id="rId871" ref="B872"/>
    <hyperlink r:id="rId872" ref="B873"/>
    <hyperlink r:id="rId873" ref="B874"/>
    <hyperlink r:id="rId874" ref="B875"/>
    <hyperlink r:id="rId875" ref="B876"/>
    <hyperlink r:id="rId876" ref="B877"/>
    <hyperlink r:id="rId877" ref="B878"/>
    <hyperlink r:id="rId878" ref="B879"/>
    <hyperlink r:id="rId879" ref="B880"/>
    <hyperlink r:id="rId880" ref="B881"/>
    <hyperlink r:id="rId881" ref="B882"/>
    <hyperlink r:id="rId882" ref="B883"/>
    <hyperlink r:id="rId883" ref="B884"/>
    <hyperlink r:id="rId884" ref="B885"/>
    <hyperlink r:id="rId885" ref="B886"/>
    <hyperlink r:id="rId886" ref="B887"/>
    <hyperlink r:id="rId887" ref="B888"/>
    <hyperlink r:id="rId888" ref="B889"/>
    <hyperlink r:id="rId889" ref="B890"/>
    <hyperlink r:id="rId890" ref="B891"/>
    <hyperlink r:id="rId891" ref="B892"/>
    <hyperlink r:id="rId892" ref="B893"/>
    <hyperlink r:id="rId893" ref="B894"/>
    <hyperlink r:id="rId894" ref="B895"/>
    <hyperlink r:id="rId895" ref="B896"/>
    <hyperlink r:id="rId896" ref="B897"/>
    <hyperlink r:id="rId897" ref="B898"/>
    <hyperlink r:id="rId898" ref="B899"/>
    <hyperlink r:id="rId899" ref="B900"/>
    <hyperlink r:id="rId900" ref="B901"/>
    <hyperlink r:id="rId901" ref="B902"/>
    <hyperlink r:id="rId902" ref="B903"/>
    <hyperlink r:id="rId903" ref="B904"/>
    <hyperlink r:id="rId904" ref="B905"/>
    <hyperlink r:id="rId905" ref="B906"/>
    <hyperlink r:id="rId906" ref="B907"/>
    <hyperlink r:id="rId907" ref="B908"/>
    <hyperlink r:id="rId908" ref="B909"/>
    <hyperlink r:id="rId909" ref="B910"/>
    <hyperlink r:id="rId910" ref="B911"/>
    <hyperlink r:id="rId911" ref="B912"/>
    <hyperlink r:id="rId912" ref="B913"/>
    <hyperlink r:id="rId913" ref="B914"/>
    <hyperlink r:id="rId914" ref="B915"/>
    <hyperlink r:id="rId915" ref="B916"/>
    <hyperlink r:id="rId916" ref="B917"/>
    <hyperlink r:id="rId917" ref="B918"/>
    <hyperlink r:id="rId918" ref="B919"/>
    <hyperlink r:id="rId919" ref="B920"/>
    <hyperlink r:id="rId920" ref="B921"/>
    <hyperlink r:id="rId921" ref="B922"/>
    <hyperlink r:id="rId922" ref="B923"/>
    <hyperlink r:id="rId923" ref="B924"/>
    <hyperlink r:id="rId924" ref="B925"/>
    <hyperlink r:id="rId925" ref="B926"/>
    <hyperlink r:id="rId926" ref="B927"/>
    <hyperlink r:id="rId927" ref="B928"/>
    <hyperlink r:id="rId928" ref="B929"/>
    <hyperlink r:id="rId929" ref="B930"/>
    <hyperlink r:id="rId930" ref="B931"/>
    <hyperlink r:id="rId931" ref="B932"/>
    <hyperlink r:id="rId932" ref="B933"/>
    <hyperlink r:id="rId933" ref="B934"/>
    <hyperlink r:id="rId934" ref="B935"/>
    <hyperlink r:id="rId935" ref="B936"/>
    <hyperlink r:id="rId936" ref="B937"/>
    <hyperlink r:id="rId937" ref="B938"/>
    <hyperlink r:id="rId938" ref="B939"/>
    <hyperlink r:id="rId939" ref="B940"/>
    <hyperlink r:id="rId940" ref="B941"/>
    <hyperlink r:id="rId941" ref="B942"/>
    <hyperlink r:id="rId942" ref="B943"/>
    <hyperlink r:id="rId943" ref="B944"/>
    <hyperlink r:id="rId944" ref="B945"/>
    <hyperlink r:id="rId945" ref="B946"/>
    <hyperlink r:id="rId946" ref="B947"/>
    <hyperlink r:id="rId947" ref="B948"/>
    <hyperlink r:id="rId948" ref="B949"/>
    <hyperlink r:id="rId949" ref="B950"/>
    <hyperlink r:id="rId950" ref="B951"/>
    <hyperlink r:id="rId951" ref="B952"/>
    <hyperlink r:id="rId952" ref="B953"/>
    <hyperlink r:id="rId953" ref="B954"/>
    <hyperlink r:id="rId954" ref="B955"/>
    <hyperlink r:id="rId955" ref="B956"/>
    <hyperlink r:id="rId956" ref="B957"/>
    <hyperlink r:id="rId957" ref="B958"/>
    <hyperlink r:id="rId958" ref="B959"/>
    <hyperlink r:id="rId959" ref="B960"/>
    <hyperlink r:id="rId960" ref="B961"/>
    <hyperlink r:id="rId961" ref="B962"/>
    <hyperlink r:id="rId962" ref="B963"/>
    <hyperlink r:id="rId963" ref="B964"/>
    <hyperlink r:id="rId964" ref="B965"/>
    <hyperlink r:id="rId965" ref="B966"/>
    <hyperlink r:id="rId966" ref="B967"/>
    <hyperlink r:id="rId967" ref="B968"/>
    <hyperlink r:id="rId968" ref="B969"/>
    <hyperlink r:id="rId969" ref="B970"/>
    <hyperlink r:id="rId970" ref="B971"/>
    <hyperlink r:id="rId971" ref="B972"/>
    <hyperlink r:id="rId972" ref="B973"/>
    <hyperlink r:id="rId973" ref="B974"/>
    <hyperlink r:id="rId974" ref="B975"/>
    <hyperlink r:id="rId975" ref="B976"/>
    <hyperlink r:id="rId976" ref="B977"/>
    <hyperlink r:id="rId977" ref="B978"/>
    <hyperlink r:id="rId978" ref="B979"/>
    <hyperlink r:id="rId979" ref="B980"/>
    <hyperlink r:id="rId980" ref="B981"/>
    <hyperlink r:id="rId981" ref="B982"/>
    <hyperlink r:id="rId982" ref="B983"/>
    <hyperlink r:id="rId983" ref="B984"/>
    <hyperlink r:id="rId984" ref="B985"/>
    <hyperlink r:id="rId985" ref="B986"/>
    <hyperlink r:id="rId986" ref="B987"/>
    <hyperlink r:id="rId987" ref="B988"/>
    <hyperlink r:id="rId988" ref="B989"/>
    <hyperlink r:id="rId989" ref="B990"/>
    <hyperlink r:id="rId990" ref="B991"/>
    <hyperlink r:id="rId991" ref="B992"/>
    <hyperlink r:id="rId992" ref="B993"/>
    <hyperlink r:id="rId993" ref="B994"/>
    <hyperlink r:id="rId994" ref="B995"/>
    <hyperlink r:id="rId995" ref="B996"/>
    <hyperlink r:id="rId996" ref="B997"/>
    <hyperlink r:id="rId997" ref="B998"/>
    <hyperlink r:id="rId998" ref="B999"/>
    <hyperlink r:id="rId999" ref="B1000"/>
    <hyperlink r:id="rId1000" ref="B1001"/>
    <hyperlink r:id="rId1001" ref="B1002"/>
    <hyperlink r:id="rId1002" ref="B1003"/>
    <hyperlink r:id="rId1003" ref="B1004"/>
    <hyperlink r:id="rId1004" ref="B1005"/>
    <hyperlink r:id="rId1005" ref="B1006"/>
    <hyperlink r:id="rId1006" ref="B1007"/>
    <hyperlink r:id="rId1007" ref="B1008"/>
    <hyperlink r:id="rId1008" ref="B1009"/>
    <hyperlink r:id="rId1009" ref="B1010"/>
    <hyperlink r:id="rId1010" ref="B1011"/>
    <hyperlink r:id="rId1011" ref="B1012"/>
    <hyperlink r:id="rId1012" ref="B1013"/>
    <hyperlink r:id="rId1013" ref="B1014"/>
    <hyperlink r:id="rId1014" ref="B1015"/>
    <hyperlink r:id="rId1015" ref="B1016"/>
    <hyperlink r:id="rId1016" ref="B1017"/>
    <hyperlink r:id="rId1017" ref="B1018"/>
    <hyperlink r:id="rId1018" ref="B1019"/>
    <hyperlink r:id="rId1019" ref="B1020"/>
    <hyperlink r:id="rId1020" ref="B1021"/>
    <hyperlink r:id="rId1021" ref="B1022"/>
    <hyperlink r:id="rId1022" ref="B1023"/>
    <hyperlink r:id="rId1023" ref="B1024"/>
    <hyperlink r:id="rId1024" ref="B1025"/>
    <hyperlink r:id="rId1025" ref="B1026"/>
    <hyperlink r:id="rId1026" ref="B1027"/>
    <hyperlink r:id="rId1027" ref="B1028"/>
    <hyperlink r:id="rId1028" ref="B1029"/>
    <hyperlink r:id="rId1029" ref="B1030"/>
    <hyperlink r:id="rId1030" ref="B1031"/>
    <hyperlink r:id="rId1031" ref="B1032"/>
    <hyperlink r:id="rId1032" ref="B1033"/>
    <hyperlink r:id="rId1033" ref="B1034"/>
    <hyperlink r:id="rId1034" ref="B1035"/>
    <hyperlink r:id="rId1035" ref="B1036"/>
    <hyperlink r:id="rId1036" ref="B1037"/>
    <hyperlink r:id="rId1037" ref="B1038"/>
    <hyperlink r:id="rId1038" ref="B1039"/>
    <hyperlink r:id="rId1039" ref="B1040"/>
    <hyperlink r:id="rId1040" ref="B1041"/>
    <hyperlink r:id="rId1041" ref="B1042"/>
    <hyperlink r:id="rId1042" ref="B1043"/>
    <hyperlink r:id="rId1043" ref="B1044"/>
    <hyperlink r:id="rId1044" ref="B1045"/>
    <hyperlink r:id="rId1045" ref="B1046"/>
    <hyperlink r:id="rId1046" ref="B1047"/>
    <hyperlink r:id="rId1047" ref="B1048"/>
    <hyperlink r:id="rId1048" ref="B1049"/>
    <hyperlink r:id="rId1049" ref="B1050"/>
    <hyperlink r:id="rId1050" ref="B1051"/>
    <hyperlink r:id="rId1051" ref="B1052"/>
    <hyperlink r:id="rId1052" ref="B1053"/>
    <hyperlink r:id="rId1053" ref="B1054"/>
    <hyperlink r:id="rId1054" ref="B1055"/>
    <hyperlink r:id="rId1055" ref="B1056"/>
    <hyperlink r:id="rId1056" ref="B1057"/>
    <hyperlink r:id="rId1057" ref="B1058"/>
    <hyperlink r:id="rId1058" ref="B1059"/>
    <hyperlink r:id="rId1059" ref="B1060"/>
    <hyperlink r:id="rId1060" ref="B1061"/>
    <hyperlink r:id="rId1061" ref="B1062"/>
    <hyperlink r:id="rId1062" ref="B1063"/>
    <hyperlink r:id="rId1063" ref="B1064"/>
    <hyperlink r:id="rId1064" ref="B1065"/>
    <hyperlink r:id="rId1065" ref="B1066"/>
    <hyperlink r:id="rId1066" ref="B1067"/>
    <hyperlink r:id="rId1067" ref="B1068"/>
    <hyperlink r:id="rId1068" ref="B1069"/>
    <hyperlink r:id="rId1069" ref="B1070"/>
    <hyperlink r:id="rId1070" ref="B1071"/>
    <hyperlink r:id="rId1071" ref="B1072"/>
    <hyperlink r:id="rId1072" ref="B1073"/>
    <hyperlink r:id="rId1073" ref="B1074"/>
    <hyperlink r:id="rId1074" ref="B1075"/>
    <hyperlink r:id="rId1075" ref="B1076"/>
    <hyperlink r:id="rId1076" ref="B1077"/>
    <hyperlink r:id="rId1077" ref="B1078"/>
    <hyperlink r:id="rId1078" ref="B1079"/>
    <hyperlink r:id="rId1079" ref="B1080"/>
    <hyperlink r:id="rId1080" ref="B1081"/>
    <hyperlink r:id="rId1081" ref="B1082"/>
    <hyperlink r:id="rId1082" ref="B1083"/>
    <hyperlink r:id="rId1083" ref="B1084"/>
    <hyperlink r:id="rId1084" ref="B1085"/>
    <hyperlink r:id="rId1085" ref="B1086"/>
    <hyperlink r:id="rId1086" ref="B1087"/>
    <hyperlink r:id="rId1087" ref="B1088"/>
    <hyperlink r:id="rId1088" ref="B1089"/>
    <hyperlink r:id="rId1089" ref="B1090"/>
    <hyperlink r:id="rId1090" ref="B1091"/>
    <hyperlink r:id="rId1091" ref="B1092"/>
    <hyperlink r:id="rId1092" ref="B1093"/>
    <hyperlink r:id="rId1093" ref="B1094"/>
    <hyperlink r:id="rId1094" ref="B1095"/>
    <hyperlink r:id="rId1095" ref="B1096"/>
    <hyperlink r:id="rId1096" ref="B1097"/>
    <hyperlink r:id="rId1097" ref="B1098"/>
    <hyperlink r:id="rId1098" ref="B1099"/>
    <hyperlink r:id="rId1099" ref="B1100"/>
    <hyperlink r:id="rId1100" ref="B1101"/>
    <hyperlink r:id="rId1101" ref="B1102"/>
    <hyperlink r:id="rId1102" ref="B1103"/>
    <hyperlink r:id="rId1103" ref="B1104"/>
    <hyperlink r:id="rId1104" ref="B1105"/>
    <hyperlink r:id="rId1105" ref="B1106"/>
    <hyperlink r:id="rId1106" ref="B1107"/>
    <hyperlink r:id="rId1107" ref="B1108"/>
    <hyperlink r:id="rId1108" ref="B1109"/>
    <hyperlink r:id="rId1109" ref="B1110"/>
    <hyperlink r:id="rId1110" ref="B1111"/>
    <hyperlink r:id="rId1111" ref="B1112"/>
    <hyperlink r:id="rId1112" ref="B1113"/>
    <hyperlink r:id="rId1113" ref="B1114"/>
    <hyperlink r:id="rId1114" ref="B1115"/>
    <hyperlink r:id="rId1115" ref="B1116"/>
    <hyperlink r:id="rId1116" ref="B1117"/>
    <hyperlink r:id="rId1117" ref="B1118"/>
    <hyperlink r:id="rId1118" ref="B1119"/>
    <hyperlink r:id="rId1119" ref="B1120"/>
    <hyperlink r:id="rId1120" ref="B1121"/>
    <hyperlink r:id="rId1121" ref="B1122"/>
    <hyperlink r:id="rId1122" ref="B1123"/>
    <hyperlink r:id="rId1123" ref="B1124"/>
    <hyperlink r:id="rId1124" ref="B1125"/>
    <hyperlink r:id="rId1125" ref="B1126"/>
    <hyperlink r:id="rId1126" ref="B1127"/>
    <hyperlink r:id="rId1127" ref="B1128"/>
    <hyperlink r:id="rId1128" ref="B1129"/>
    <hyperlink r:id="rId1129" ref="B1130"/>
    <hyperlink r:id="rId1130" ref="B1131"/>
    <hyperlink r:id="rId1131" ref="B1132"/>
    <hyperlink r:id="rId1132" ref="B1133"/>
    <hyperlink r:id="rId1133" ref="B1134"/>
    <hyperlink r:id="rId1134" ref="B1135"/>
    <hyperlink r:id="rId1135" ref="B1136"/>
    <hyperlink r:id="rId1136" ref="B1137"/>
    <hyperlink r:id="rId1137" ref="B1138"/>
    <hyperlink r:id="rId1138" ref="B1139"/>
    <hyperlink r:id="rId1139" ref="B1140"/>
    <hyperlink r:id="rId1140" ref="B1141"/>
    <hyperlink r:id="rId1141" ref="B1142"/>
    <hyperlink r:id="rId1142" ref="B1143"/>
    <hyperlink r:id="rId1143" ref="B1144"/>
    <hyperlink r:id="rId1144" ref="B1145"/>
    <hyperlink r:id="rId1145" ref="B1146"/>
    <hyperlink r:id="rId1146" ref="B1147"/>
    <hyperlink r:id="rId1147" ref="B1148"/>
    <hyperlink r:id="rId1148" ref="B1149"/>
    <hyperlink r:id="rId1149" ref="B1150"/>
    <hyperlink r:id="rId1150" ref="B1151"/>
    <hyperlink r:id="rId1151" ref="B1152"/>
    <hyperlink r:id="rId1152" ref="B1153"/>
    <hyperlink r:id="rId1153" ref="B1154"/>
    <hyperlink r:id="rId1154" ref="B1155"/>
    <hyperlink r:id="rId1155" ref="B1156"/>
    <hyperlink r:id="rId1156" ref="B1157"/>
    <hyperlink r:id="rId1157" ref="B1158"/>
    <hyperlink r:id="rId1158" ref="B1159"/>
    <hyperlink r:id="rId1159" ref="B1160"/>
    <hyperlink r:id="rId1160" ref="B1161"/>
    <hyperlink r:id="rId1161" ref="B1162"/>
    <hyperlink r:id="rId1162" ref="B1163"/>
    <hyperlink r:id="rId1163" ref="B1164"/>
    <hyperlink r:id="rId1164" ref="B1165"/>
    <hyperlink r:id="rId1165" ref="B1166"/>
    <hyperlink r:id="rId1166" ref="B1167"/>
    <hyperlink r:id="rId1167" ref="B1168"/>
    <hyperlink r:id="rId1168" ref="B1169"/>
    <hyperlink r:id="rId1169" ref="B1170"/>
    <hyperlink r:id="rId1170" ref="B1171"/>
    <hyperlink r:id="rId1171" ref="B1172"/>
    <hyperlink r:id="rId1172" ref="B1173"/>
    <hyperlink r:id="rId1173" ref="B1174"/>
    <hyperlink r:id="rId1174" ref="B1175"/>
    <hyperlink r:id="rId1175" ref="B1176"/>
    <hyperlink r:id="rId1176" ref="B1177"/>
    <hyperlink r:id="rId1177" ref="B1178"/>
    <hyperlink r:id="rId1178" ref="B1179"/>
    <hyperlink r:id="rId1179" ref="B1180"/>
    <hyperlink r:id="rId1180" ref="B1181"/>
    <hyperlink r:id="rId1181" ref="B1182"/>
    <hyperlink r:id="rId1182" ref="B1183"/>
    <hyperlink r:id="rId1183" ref="B1184"/>
    <hyperlink r:id="rId1184" ref="B1185"/>
    <hyperlink r:id="rId1185" ref="B1186"/>
    <hyperlink r:id="rId1186" ref="B1187"/>
    <hyperlink r:id="rId1187" ref="B1188"/>
    <hyperlink r:id="rId1188" ref="B1189"/>
    <hyperlink r:id="rId1189" ref="B1190"/>
    <hyperlink r:id="rId1190" ref="B1191"/>
    <hyperlink r:id="rId1191" ref="B1192"/>
    <hyperlink r:id="rId1192" ref="B1193"/>
    <hyperlink r:id="rId1193" ref="B1194"/>
    <hyperlink r:id="rId1194" ref="B1195"/>
    <hyperlink r:id="rId1195" ref="B1196"/>
    <hyperlink r:id="rId1196" ref="B1197"/>
    <hyperlink r:id="rId1197" ref="B1198"/>
    <hyperlink r:id="rId1198" ref="B1199"/>
    <hyperlink r:id="rId1199" ref="B1200"/>
    <hyperlink r:id="rId1200" ref="B1201"/>
    <hyperlink r:id="rId1201" ref="B1202"/>
    <hyperlink r:id="rId1202" ref="B1203"/>
    <hyperlink r:id="rId1203" ref="B1204"/>
    <hyperlink r:id="rId1204" ref="B1205"/>
    <hyperlink r:id="rId1205" ref="B1206"/>
    <hyperlink r:id="rId1206" ref="B1207"/>
    <hyperlink r:id="rId1207" ref="B1208"/>
    <hyperlink r:id="rId1208" ref="B1209"/>
    <hyperlink r:id="rId1209" ref="B1210"/>
    <hyperlink r:id="rId1210" ref="B1211"/>
    <hyperlink r:id="rId1211" ref="B1212"/>
    <hyperlink r:id="rId1212" ref="B1213"/>
    <hyperlink r:id="rId1213" ref="B1214"/>
    <hyperlink r:id="rId1214" ref="B1215"/>
    <hyperlink r:id="rId1215" ref="B1216"/>
    <hyperlink r:id="rId1216" ref="B1217"/>
    <hyperlink r:id="rId1217" ref="B1218"/>
    <hyperlink r:id="rId1218" ref="B1219"/>
    <hyperlink r:id="rId1219" ref="B1220"/>
    <hyperlink r:id="rId1220" ref="B1221"/>
    <hyperlink r:id="rId1221" ref="B1222"/>
    <hyperlink r:id="rId1222" ref="B1223"/>
    <hyperlink r:id="rId1223" ref="B1224"/>
    <hyperlink r:id="rId1224" ref="B1225"/>
    <hyperlink r:id="rId1225" ref="B1226"/>
    <hyperlink r:id="rId1226" ref="B1227"/>
    <hyperlink r:id="rId1227" ref="B1228"/>
    <hyperlink r:id="rId1228" ref="B1229"/>
    <hyperlink r:id="rId1229" ref="B1230"/>
    <hyperlink r:id="rId1230" ref="B1231"/>
    <hyperlink r:id="rId1231" ref="B1232"/>
    <hyperlink r:id="rId1232" ref="B1233"/>
    <hyperlink r:id="rId1233" ref="B1234"/>
    <hyperlink r:id="rId1234" ref="B1235"/>
    <hyperlink r:id="rId1235" ref="B1236"/>
    <hyperlink r:id="rId1236" ref="B1237"/>
    <hyperlink r:id="rId1237" ref="B1238"/>
    <hyperlink r:id="rId1238" ref="B1239"/>
    <hyperlink r:id="rId1239" ref="B1240"/>
    <hyperlink r:id="rId1240" ref="B1241"/>
    <hyperlink r:id="rId1241" ref="B1242"/>
    <hyperlink r:id="rId1242" ref="B1243"/>
    <hyperlink r:id="rId1243" ref="B1244"/>
    <hyperlink r:id="rId1244" ref="B1245"/>
    <hyperlink r:id="rId1245" ref="B1246"/>
    <hyperlink r:id="rId1246" ref="B1247"/>
    <hyperlink r:id="rId1247" ref="B1248"/>
    <hyperlink r:id="rId1248" ref="B1249"/>
    <hyperlink r:id="rId1249" ref="B1250"/>
    <hyperlink r:id="rId1250" ref="B1251"/>
    <hyperlink r:id="rId1251" ref="B1252"/>
    <hyperlink r:id="rId1252" ref="B1253"/>
    <hyperlink r:id="rId1253" ref="B1254"/>
    <hyperlink r:id="rId1254" ref="B1255"/>
    <hyperlink r:id="rId1255" ref="B1256"/>
    <hyperlink r:id="rId1256" ref="B1257"/>
    <hyperlink r:id="rId1257" ref="B1258"/>
    <hyperlink r:id="rId1258" ref="B1259"/>
    <hyperlink r:id="rId1259" ref="B1260"/>
    <hyperlink r:id="rId1260" ref="B1261"/>
    <hyperlink r:id="rId1261" ref="B1262"/>
    <hyperlink r:id="rId1262" ref="B1263"/>
    <hyperlink r:id="rId1263" ref="B1264"/>
    <hyperlink r:id="rId1264" ref="B1265"/>
    <hyperlink r:id="rId1265" ref="B1266"/>
    <hyperlink r:id="rId1266" ref="B1267"/>
    <hyperlink r:id="rId1267" ref="B1268"/>
    <hyperlink r:id="rId1268" ref="B1269"/>
    <hyperlink r:id="rId1269" ref="B1270"/>
    <hyperlink r:id="rId1270" ref="B1271"/>
    <hyperlink r:id="rId1271" ref="B1272"/>
    <hyperlink r:id="rId1272" ref="B1273"/>
    <hyperlink r:id="rId1273" ref="B1274"/>
    <hyperlink r:id="rId1274" ref="B1275"/>
    <hyperlink r:id="rId1275" ref="B1276"/>
    <hyperlink r:id="rId1276" ref="B1277"/>
    <hyperlink r:id="rId1277" ref="B1278"/>
    <hyperlink r:id="rId1278" ref="B1279"/>
    <hyperlink r:id="rId1279" ref="B1280"/>
    <hyperlink r:id="rId1280" ref="B1281"/>
    <hyperlink r:id="rId1281" ref="B1282"/>
    <hyperlink r:id="rId1282" ref="B1283"/>
    <hyperlink r:id="rId1283" ref="B1284"/>
    <hyperlink r:id="rId1284" ref="B1285"/>
    <hyperlink r:id="rId1285" ref="B1286"/>
    <hyperlink r:id="rId1286" ref="B1287"/>
    <hyperlink r:id="rId1287" ref="B1288"/>
    <hyperlink r:id="rId1288" ref="B1289"/>
    <hyperlink r:id="rId1289" ref="B1290"/>
    <hyperlink r:id="rId1290" ref="B1291"/>
    <hyperlink r:id="rId1291" ref="B1292"/>
    <hyperlink r:id="rId1292" ref="B1293"/>
    <hyperlink r:id="rId1293" ref="B1294"/>
    <hyperlink r:id="rId1294" ref="B1295"/>
    <hyperlink r:id="rId1295" ref="B1296"/>
    <hyperlink r:id="rId1296" ref="B1297"/>
    <hyperlink r:id="rId1297" ref="B1298"/>
    <hyperlink r:id="rId1298" ref="B1299"/>
    <hyperlink r:id="rId1299" ref="B1300"/>
    <hyperlink r:id="rId1300" ref="B1301"/>
    <hyperlink r:id="rId1301" ref="B1302"/>
    <hyperlink r:id="rId1302" ref="B1303"/>
    <hyperlink r:id="rId1303" ref="B1304"/>
    <hyperlink r:id="rId1304" ref="B1305"/>
    <hyperlink r:id="rId1305" ref="B1306"/>
    <hyperlink r:id="rId1306" ref="B1307"/>
    <hyperlink r:id="rId1307" ref="B1308"/>
    <hyperlink r:id="rId1308" ref="B1309"/>
    <hyperlink r:id="rId1309" ref="B1310"/>
    <hyperlink r:id="rId1310" ref="B1311"/>
    <hyperlink r:id="rId1311" ref="B1312"/>
    <hyperlink r:id="rId1312" ref="B1313"/>
    <hyperlink r:id="rId1313" ref="B1314"/>
    <hyperlink r:id="rId1314" ref="B1315"/>
    <hyperlink r:id="rId1315" ref="B1316"/>
    <hyperlink r:id="rId1316" ref="B1317"/>
    <hyperlink r:id="rId1317" ref="B1318"/>
    <hyperlink r:id="rId1318" ref="B1319"/>
    <hyperlink r:id="rId1319" ref="B1320"/>
    <hyperlink r:id="rId1320" ref="B1321"/>
    <hyperlink r:id="rId1321" ref="B1322"/>
    <hyperlink r:id="rId1322" ref="B1323"/>
    <hyperlink r:id="rId1323" ref="B1324"/>
    <hyperlink r:id="rId1324" ref="B1325"/>
    <hyperlink r:id="rId1325" ref="B1326"/>
    <hyperlink r:id="rId1326" ref="B1327"/>
    <hyperlink r:id="rId1327" ref="B1328"/>
    <hyperlink r:id="rId1328" ref="B1329"/>
    <hyperlink r:id="rId1329" ref="B1330"/>
    <hyperlink r:id="rId1330" ref="B1331"/>
    <hyperlink r:id="rId1331" ref="B1332"/>
    <hyperlink r:id="rId1332" ref="B1333"/>
    <hyperlink r:id="rId1333" ref="B1334"/>
    <hyperlink r:id="rId1334" ref="B1335"/>
    <hyperlink r:id="rId1335" ref="B1336"/>
    <hyperlink r:id="rId1336" ref="B1337"/>
    <hyperlink r:id="rId1337" ref="B1338"/>
    <hyperlink r:id="rId1338" ref="B1339"/>
    <hyperlink r:id="rId1339" ref="B1340"/>
    <hyperlink r:id="rId1340" ref="B1341"/>
    <hyperlink r:id="rId1341" ref="B1342"/>
    <hyperlink r:id="rId1342" ref="B1343"/>
    <hyperlink r:id="rId1343" ref="B1344"/>
    <hyperlink r:id="rId1344" ref="B1345"/>
    <hyperlink r:id="rId1345" ref="B1346"/>
    <hyperlink r:id="rId1346" ref="B1347"/>
    <hyperlink r:id="rId1347" ref="B1348"/>
    <hyperlink r:id="rId1348" ref="B1349"/>
    <hyperlink r:id="rId1349" ref="B1350"/>
    <hyperlink r:id="rId1350" ref="B1351"/>
    <hyperlink r:id="rId1351" ref="B1352"/>
    <hyperlink r:id="rId1352" ref="B1353"/>
    <hyperlink r:id="rId1353" ref="B1354"/>
    <hyperlink r:id="rId1354" ref="B1355"/>
    <hyperlink r:id="rId1355" ref="B1356"/>
    <hyperlink r:id="rId1356" ref="B1357"/>
    <hyperlink r:id="rId1357" ref="B1358"/>
    <hyperlink r:id="rId1358" ref="B1359"/>
    <hyperlink r:id="rId1359" ref="B1360"/>
    <hyperlink r:id="rId1360" ref="B1361"/>
    <hyperlink r:id="rId1361" ref="B1362"/>
    <hyperlink r:id="rId1362" ref="B1363"/>
    <hyperlink r:id="rId1363" ref="B1364"/>
    <hyperlink r:id="rId1364" ref="B1365"/>
    <hyperlink r:id="rId1365" ref="B1366"/>
    <hyperlink r:id="rId1366" ref="B1367"/>
    <hyperlink r:id="rId1367" ref="B1368"/>
    <hyperlink r:id="rId1368" ref="B1369"/>
    <hyperlink r:id="rId1369" ref="B1370"/>
    <hyperlink r:id="rId1370" ref="B1371"/>
    <hyperlink r:id="rId1371" ref="B1372"/>
    <hyperlink r:id="rId1372" ref="B1373"/>
    <hyperlink r:id="rId1373" ref="B1374"/>
    <hyperlink r:id="rId1374" ref="B1375"/>
    <hyperlink r:id="rId1375" ref="B1376"/>
    <hyperlink r:id="rId1376" ref="B1377"/>
    <hyperlink r:id="rId1377" ref="B1378"/>
    <hyperlink r:id="rId1378" ref="B1379"/>
    <hyperlink r:id="rId1379" ref="B1380"/>
    <hyperlink r:id="rId1380" ref="B1381"/>
    <hyperlink r:id="rId1381" ref="B1382"/>
    <hyperlink r:id="rId1382" ref="B1383"/>
    <hyperlink r:id="rId1383" ref="B1384"/>
    <hyperlink r:id="rId1384" ref="B1385"/>
    <hyperlink r:id="rId1385" ref="B1386"/>
    <hyperlink r:id="rId1386" ref="B1387"/>
    <hyperlink r:id="rId1387" ref="B1388"/>
    <hyperlink r:id="rId1388" ref="B1389"/>
    <hyperlink r:id="rId1389" ref="B1390"/>
    <hyperlink r:id="rId1390" ref="B1391"/>
    <hyperlink r:id="rId1391" ref="B1392"/>
    <hyperlink r:id="rId1392" ref="B1393"/>
    <hyperlink r:id="rId1393" ref="B1394"/>
    <hyperlink r:id="rId1394" ref="B1395"/>
    <hyperlink r:id="rId1395" ref="B1396"/>
    <hyperlink r:id="rId1396" ref="B1397"/>
    <hyperlink r:id="rId1397" ref="B1398"/>
    <hyperlink r:id="rId1398" ref="B1399"/>
    <hyperlink r:id="rId1399" ref="A1400"/>
    <hyperlink r:id="rId1400" ref="B1400"/>
    <hyperlink r:id="rId1401" ref="B1401"/>
    <hyperlink r:id="rId1402" ref="B1402"/>
    <hyperlink r:id="rId1403" ref="B1403"/>
    <hyperlink r:id="rId1404" ref="B1404"/>
    <hyperlink r:id="rId1405" ref="B1405"/>
    <hyperlink r:id="rId1406" ref="B1406"/>
    <hyperlink r:id="rId1407" ref="B1407"/>
    <hyperlink r:id="rId1408" ref="B1408"/>
    <hyperlink r:id="rId1409" ref="B1409"/>
    <hyperlink r:id="rId1410" ref="B1410"/>
    <hyperlink r:id="rId1411" ref="B1411"/>
    <hyperlink r:id="rId1412" ref="B1412"/>
    <hyperlink r:id="rId1413" ref="B1413"/>
    <hyperlink r:id="rId1414" ref="B1414"/>
    <hyperlink r:id="rId1415" ref="B1415"/>
    <hyperlink r:id="rId1416" ref="B1416"/>
    <hyperlink r:id="rId1417" ref="B1417"/>
    <hyperlink r:id="rId1418" ref="B1418"/>
    <hyperlink r:id="rId1419" ref="B1419"/>
    <hyperlink r:id="rId1420" ref="B1420"/>
    <hyperlink r:id="rId1421" ref="B1421"/>
    <hyperlink r:id="rId1422" ref="B1422"/>
    <hyperlink r:id="rId1423" ref="B1423"/>
    <hyperlink r:id="rId1424" ref="B1424"/>
    <hyperlink r:id="rId1425" ref="B1425"/>
    <hyperlink r:id="rId1426" ref="B1426"/>
    <hyperlink r:id="rId1427" ref="B1427"/>
    <hyperlink r:id="rId1428" ref="B1428"/>
    <hyperlink r:id="rId1429" ref="B1429"/>
    <hyperlink r:id="rId1430" ref="B1430"/>
    <hyperlink r:id="rId1431" ref="B1431"/>
    <hyperlink r:id="rId1432" ref="B1432"/>
    <hyperlink r:id="rId1433" ref="B1433"/>
    <hyperlink r:id="rId1434" ref="B1434"/>
    <hyperlink r:id="rId1435" ref="B1435"/>
    <hyperlink r:id="rId1436" ref="B1436"/>
    <hyperlink r:id="rId1437" ref="B1437"/>
    <hyperlink r:id="rId1438" ref="B1438"/>
    <hyperlink r:id="rId1439" ref="B1439"/>
    <hyperlink r:id="rId1440" ref="B1440"/>
    <hyperlink r:id="rId1441" ref="B1441"/>
    <hyperlink r:id="rId1442" ref="B1442"/>
    <hyperlink r:id="rId1443" ref="B1443"/>
    <hyperlink r:id="rId1444" ref="B1444"/>
    <hyperlink r:id="rId1445" ref="B1445"/>
    <hyperlink r:id="rId1446" ref="B1446"/>
    <hyperlink r:id="rId1447" ref="B1447"/>
    <hyperlink r:id="rId1448" ref="B1448"/>
    <hyperlink r:id="rId1449" ref="B1449"/>
    <hyperlink r:id="rId1450" ref="B1450"/>
    <hyperlink r:id="rId1451" ref="B1451"/>
    <hyperlink r:id="rId1452" ref="B1452"/>
    <hyperlink r:id="rId1453" ref="B1453"/>
    <hyperlink r:id="rId1454" ref="B1454"/>
    <hyperlink r:id="rId1455" ref="B1455"/>
    <hyperlink r:id="rId1456" ref="B1456"/>
    <hyperlink r:id="rId1457" ref="B1457"/>
    <hyperlink r:id="rId1458" ref="B1458"/>
    <hyperlink r:id="rId1459" ref="B1459"/>
    <hyperlink r:id="rId1460" ref="B1460"/>
    <hyperlink r:id="rId1461" ref="B1461"/>
    <hyperlink r:id="rId1462" ref="B1462"/>
    <hyperlink r:id="rId1463" ref="B1463"/>
    <hyperlink r:id="rId1464" ref="B1464"/>
    <hyperlink r:id="rId1465" ref="B1465"/>
    <hyperlink r:id="rId1466" ref="B1466"/>
    <hyperlink r:id="rId1467" ref="B1467"/>
    <hyperlink r:id="rId1468" ref="B1468"/>
    <hyperlink r:id="rId1469" ref="B1469"/>
    <hyperlink r:id="rId1470" ref="B1470"/>
    <hyperlink r:id="rId1471" ref="B1471"/>
    <hyperlink r:id="rId1472" ref="B1472"/>
    <hyperlink r:id="rId1473" ref="B1473"/>
    <hyperlink r:id="rId1474" ref="B1474"/>
    <hyperlink r:id="rId1475" ref="B1475"/>
    <hyperlink r:id="rId1476" ref="B1476"/>
    <hyperlink r:id="rId1477" ref="B1477"/>
    <hyperlink r:id="rId1478" ref="B1478"/>
    <hyperlink r:id="rId1479" ref="B1479"/>
    <hyperlink r:id="rId1480" ref="B1480"/>
    <hyperlink r:id="rId1481" ref="B1481"/>
    <hyperlink r:id="rId1482" ref="B1482"/>
    <hyperlink r:id="rId1483" ref="B1483"/>
    <hyperlink r:id="rId1484" ref="B1484"/>
    <hyperlink r:id="rId1485" ref="B1485"/>
    <hyperlink r:id="rId1486" ref="B1486"/>
    <hyperlink r:id="rId1487" ref="B1487"/>
    <hyperlink r:id="rId1488" ref="B1488"/>
    <hyperlink r:id="rId1489" ref="B1489"/>
    <hyperlink r:id="rId1490" ref="B1490"/>
    <hyperlink r:id="rId1491" ref="B1491"/>
    <hyperlink r:id="rId1492" ref="B1492"/>
    <hyperlink r:id="rId1493" ref="B1493"/>
    <hyperlink r:id="rId1494" ref="B1494"/>
    <hyperlink r:id="rId1495" ref="B1495"/>
    <hyperlink r:id="rId1496" ref="B1496"/>
    <hyperlink r:id="rId1497" ref="B1497"/>
    <hyperlink r:id="rId1498" ref="B1498"/>
    <hyperlink r:id="rId1499" ref="B1499"/>
    <hyperlink r:id="rId1500" ref="B1500"/>
    <hyperlink r:id="rId1501" ref="B1501"/>
    <hyperlink r:id="rId1502" ref="B1502"/>
    <hyperlink r:id="rId1503" ref="B1503"/>
    <hyperlink r:id="rId1504" ref="B1504"/>
    <hyperlink r:id="rId1505" ref="B1505"/>
    <hyperlink r:id="rId1506" ref="B1506"/>
    <hyperlink r:id="rId1507" ref="B1507"/>
    <hyperlink r:id="rId1508" ref="B1508"/>
    <hyperlink r:id="rId1509" ref="B1509"/>
    <hyperlink r:id="rId1510" ref="B1510"/>
    <hyperlink r:id="rId1511" ref="B1511"/>
    <hyperlink r:id="rId1512" ref="B1512"/>
    <hyperlink r:id="rId1513" ref="B1513"/>
    <hyperlink r:id="rId1514" ref="B1514"/>
    <hyperlink r:id="rId1515" ref="B1515"/>
    <hyperlink r:id="rId1516" ref="B1516"/>
    <hyperlink r:id="rId1517" ref="B1517"/>
    <hyperlink r:id="rId1518" ref="B1518"/>
    <hyperlink r:id="rId1519" ref="B1519"/>
    <hyperlink r:id="rId1520" ref="B1520"/>
    <hyperlink r:id="rId1521" ref="B1521"/>
    <hyperlink r:id="rId1522" ref="B1522"/>
    <hyperlink r:id="rId1523" ref="B1523"/>
    <hyperlink r:id="rId1524" ref="B1524"/>
    <hyperlink r:id="rId1525" ref="B1525"/>
    <hyperlink r:id="rId1526" ref="B1526"/>
    <hyperlink r:id="rId1527" ref="B1527"/>
    <hyperlink r:id="rId1528" ref="B1528"/>
    <hyperlink r:id="rId1529" ref="B1529"/>
    <hyperlink r:id="rId1530" ref="B1530"/>
    <hyperlink r:id="rId1531" ref="B1531"/>
    <hyperlink r:id="rId1532" ref="B1532"/>
    <hyperlink r:id="rId1533" ref="B1533"/>
    <hyperlink r:id="rId1534" ref="B1534"/>
    <hyperlink r:id="rId1535" ref="B1535"/>
    <hyperlink r:id="rId1536" ref="B1536"/>
    <hyperlink r:id="rId1537" ref="B1537"/>
    <hyperlink r:id="rId1538" ref="B1538"/>
    <hyperlink r:id="rId1539" ref="B1539"/>
    <hyperlink r:id="rId1540" ref="B1540"/>
    <hyperlink r:id="rId1541" ref="B1541"/>
    <hyperlink r:id="rId1542" ref="B1542"/>
    <hyperlink r:id="rId1543" ref="B1543"/>
    <hyperlink r:id="rId1544" ref="B1544"/>
    <hyperlink r:id="rId1545" ref="B1545"/>
    <hyperlink r:id="rId1546" ref="B1546"/>
    <hyperlink r:id="rId1547" ref="B1547"/>
    <hyperlink r:id="rId1548" ref="B1548"/>
    <hyperlink r:id="rId1549" ref="B1549"/>
    <hyperlink r:id="rId1550" ref="B1550"/>
    <hyperlink r:id="rId1551" ref="B1551"/>
    <hyperlink r:id="rId1552" ref="B1552"/>
    <hyperlink r:id="rId1553" ref="B1553"/>
    <hyperlink r:id="rId1554" ref="B1554"/>
    <hyperlink r:id="rId1555" ref="B1555"/>
    <hyperlink r:id="rId1556" ref="B1556"/>
    <hyperlink r:id="rId1557" ref="B1557"/>
    <hyperlink r:id="rId1558" ref="B1558"/>
    <hyperlink r:id="rId1559" ref="B1559"/>
    <hyperlink r:id="rId1560" ref="B1560"/>
    <hyperlink r:id="rId1561" ref="B1561"/>
    <hyperlink r:id="rId1562" ref="B1562"/>
    <hyperlink r:id="rId1563" ref="B1563"/>
    <hyperlink r:id="rId1564" ref="B1564"/>
    <hyperlink r:id="rId1565" ref="B1565"/>
    <hyperlink r:id="rId1566" ref="B1566"/>
    <hyperlink r:id="rId1567" ref="B1567"/>
    <hyperlink r:id="rId1568" ref="B1568"/>
    <hyperlink r:id="rId1569" ref="B1569"/>
    <hyperlink r:id="rId1570" ref="B1570"/>
    <hyperlink r:id="rId1571" ref="B1571"/>
    <hyperlink r:id="rId1572" ref="B1572"/>
    <hyperlink r:id="rId1573" ref="B1573"/>
    <hyperlink r:id="rId1574" ref="B1574"/>
    <hyperlink r:id="rId1575" ref="B1575"/>
    <hyperlink r:id="rId1576" ref="B1576"/>
    <hyperlink r:id="rId1577" ref="B1577"/>
    <hyperlink r:id="rId1578" ref="B1578"/>
    <hyperlink r:id="rId1579" ref="B1579"/>
    <hyperlink r:id="rId1580" ref="B1580"/>
    <hyperlink r:id="rId1581" ref="B1581"/>
    <hyperlink r:id="rId1582" ref="B1582"/>
    <hyperlink r:id="rId1583" ref="B1583"/>
    <hyperlink r:id="rId1584" ref="B1584"/>
    <hyperlink r:id="rId1585" ref="B1585"/>
    <hyperlink r:id="rId1586" ref="B1586"/>
    <hyperlink r:id="rId1587" ref="B1587"/>
    <hyperlink r:id="rId1588" ref="B1588"/>
    <hyperlink r:id="rId1589" ref="B1589"/>
    <hyperlink r:id="rId1590" ref="B1590"/>
    <hyperlink r:id="rId1591" ref="B1591"/>
    <hyperlink r:id="rId1592" ref="B1592"/>
    <hyperlink r:id="rId1593" ref="B1593"/>
    <hyperlink r:id="rId1594" ref="B1594"/>
    <hyperlink r:id="rId1595" ref="B1595"/>
    <hyperlink r:id="rId1596" ref="B1596"/>
    <hyperlink r:id="rId1597" ref="B1597"/>
    <hyperlink r:id="rId1598" ref="B1598"/>
    <hyperlink r:id="rId1599" ref="B1599"/>
    <hyperlink r:id="rId1600" ref="B1600"/>
    <hyperlink r:id="rId1601" ref="B1601"/>
    <hyperlink r:id="rId1602" ref="B1602"/>
    <hyperlink r:id="rId1603" ref="B1603"/>
    <hyperlink r:id="rId1604" ref="B1604"/>
    <hyperlink r:id="rId1605" ref="B1605"/>
    <hyperlink r:id="rId1606" ref="B1606"/>
    <hyperlink r:id="rId1607" ref="B1607"/>
    <hyperlink r:id="rId1608" ref="B1608"/>
    <hyperlink r:id="rId1609" ref="B1609"/>
    <hyperlink r:id="rId1610" ref="B1610"/>
    <hyperlink r:id="rId1611" ref="B1611"/>
    <hyperlink r:id="rId1612" ref="B1612"/>
    <hyperlink r:id="rId1613" ref="B1613"/>
    <hyperlink r:id="rId1614" ref="B1614"/>
    <hyperlink r:id="rId1615" ref="B1615"/>
    <hyperlink r:id="rId1616" ref="B1616"/>
    <hyperlink r:id="rId1617" ref="B1617"/>
    <hyperlink r:id="rId1618" ref="B1618"/>
    <hyperlink r:id="rId1619" ref="B1619"/>
    <hyperlink r:id="rId1620" ref="B1620"/>
    <hyperlink r:id="rId1621" ref="B1621"/>
    <hyperlink r:id="rId1622" ref="B1622"/>
    <hyperlink r:id="rId1623" ref="B1623"/>
    <hyperlink r:id="rId1624" ref="B1624"/>
    <hyperlink r:id="rId1625" ref="B1625"/>
    <hyperlink r:id="rId1626" ref="B1626"/>
    <hyperlink r:id="rId1627" ref="B1627"/>
    <hyperlink r:id="rId1628" ref="B1628"/>
    <hyperlink r:id="rId1629" ref="B1629"/>
    <hyperlink r:id="rId1630" ref="B1630"/>
    <hyperlink r:id="rId1631" ref="B1631"/>
    <hyperlink r:id="rId1632" ref="B1632"/>
    <hyperlink r:id="rId1633" ref="B1633"/>
    <hyperlink r:id="rId1634" ref="B1634"/>
    <hyperlink r:id="rId1635" ref="B1635"/>
    <hyperlink r:id="rId1636" ref="B1636"/>
    <hyperlink r:id="rId1637" ref="B1637"/>
    <hyperlink r:id="rId1638" ref="B1638"/>
    <hyperlink r:id="rId1639" ref="B1639"/>
    <hyperlink r:id="rId1640" ref="B1640"/>
    <hyperlink r:id="rId1641" ref="B1641"/>
    <hyperlink r:id="rId1642" ref="B1642"/>
    <hyperlink r:id="rId1643" ref="B1643"/>
    <hyperlink r:id="rId1644" ref="B1644"/>
    <hyperlink r:id="rId1645" ref="B1645"/>
    <hyperlink r:id="rId1646" ref="B1646"/>
    <hyperlink r:id="rId1647" ref="B1647"/>
    <hyperlink r:id="rId1648" ref="B1648"/>
    <hyperlink r:id="rId1649" ref="B1649"/>
    <hyperlink r:id="rId1650" ref="B1650"/>
    <hyperlink r:id="rId1651" ref="B1651"/>
    <hyperlink r:id="rId1652" ref="B1652"/>
    <hyperlink r:id="rId1653" ref="B1653"/>
    <hyperlink r:id="rId1654" ref="B1654"/>
    <hyperlink r:id="rId1655" ref="B1655"/>
    <hyperlink r:id="rId1656" ref="B1656"/>
    <hyperlink r:id="rId1657" ref="B1657"/>
    <hyperlink r:id="rId1658" ref="A1658"/>
    <hyperlink r:id="rId1659" ref="B1658"/>
    <hyperlink r:id="rId1660" ref="A1659"/>
    <hyperlink r:id="rId1661" ref="B1659"/>
    <hyperlink r:id="rId1662" ref="B1660"/>
    <hyperlink r:id="rId1663" ref="B1661"/>
    <hyperlink r:id="rId1664" ref="B1662"/>
    <hyperlink r:id="rId1665" ref="B1663"/>
    <hyperlink r:id="rId1666" ref="B1664"/>
    <hyperlink r:id="rId1667" ref="B1665"/>
    <hyperlink r:id="rId1668" ref="B1666"/>
    <hyperlink r:id="rId1669" ref="B1667"/>
    <hyperlink r:id="rId1670" ref="B1668"/>
    <hyperlink r:id="rId1671" ref="B1669"/>
    <hyperlink r:id="rId1672" ref="B1670"/>
    <hyperlink r:id="rId1673" ref="B1671"/>
    <hyperlink r:id="rId1674" ref="B1672"/>
    <hyperlink r:id="rId1675" ref="B1673"/>
    <hyperlink r:id="rId1676" ref="B1674"/>
    <hyperlink r:id="rId1677" ref="B1675"/>
    <hyperlink r:id="rId1678" ref="B1676"/>
    <hyperlink r:id="rId1679" ref="B1677"/>
    <hyperlink r:id="rId1680" ref="B1678"/>
    <hyperlink r:id="rId1681" ref="B1679"/>
    <hyperlink r:id="rId1682" ref="B1680"/>
    <hyperlink r:id="rId1683" ref="B1681"/>
    <hyperlink r:id="rId1684" ref="B1682"/>
    <hyperlink r:id="rId1685" ref="B1683"/>
    <hyperlink r:id="rId1686" ref="B1684"/>
    <hyperlink r:id="rId1687" ref="B1685"/>
    <hyperlink r:id="rId1688" ref="B1686"/>
    <hyperlink r:id="rId1689" ref="B1687"/>
    <hyperlink r:id="rId1690" ref="B1688"/>
    <hyperlink r:id="rId1691" ref="B1689"/>
    <hyperlink r:id="rId1692" ref="B1690"/>
    <hyperlink r:id="rId1693" ref="B1691"/>
    <hyperlink r:id="rId1694" ref="B1692"/>
    <hyperlink r:id="rId1695" ref="B1693"/>
    <hyperlink r:id="rId1696" ref="B1694"/>
    <hyperlink r:id="rId1697" ref="B1695"/>
    <hyperlink r:id="rId1698" ref="B1696"/>
    <hyperlink r:id="rId1699" ref="B1697"/>
    <hyperlink r:id="rId1700" ref="B1698"/>
    <hyperlink r:id="rId1701" ref="B1699"/>
    <hyperlink r:id="rId1702" ref="B1700"/>
    <hyperlink r:id="rId1703" ref="B1701"/>
    <hyperlink r:id="rId1704" ref="B1702"/>
    <hyperlink r:id="rId1705" ref="B1703"/>
    <hyperlink r:id="rId1706" ref="B1704"/>
    <hyperlink r:id="rId1707" ref="B1705"/>
    <hyperlink r:id="rId1708" ref="B1706"/>
    <hyperlink r:id="rId1709" ref="B1707"/>
    <hyperlink r:id="rId1710" ref="B1708"/>
    <hyperlink r:id="rId1711" ref="B1709"/>
    <hyperlink r:id="rId1712" ref="B1710"/>
    <hyperlink r:id="rId1713" ref="B1711"/>
    <hyperlink r:id="rId1714" ref="B1712"/>
    <hyperlink r:id="rId1715" ref="B1713"/>
    <hyperlink r:id="rId1716" ref="B1714"/>
    <hyperlink r:id="rId1717" ref="B1715"/>
    <hyperlink r:id="rId1718" ref="B1716"/>
    <hyperlink r:id="rId1719" ref="B1717"/>
    <hyperlink r:id="rId1720" ref="B1718"/>
    <hyperlink r:id="rId1721" ref="B1719"/>
    <hyperlink r:id="rId1722" ref="B1720"/>
    <hyperlink r:id="rId1723" ref="B1721"/>
    <hyperlink r:id="rId1724" ref="B1722"/>
    <hyperlink r:id="rId1725" ref="B1723"/>
    <hyperlink r:id="rId1726" ref="B1724"/>
    <hyperlink r:id="rId1727" ref="B1725"/>
    <hyperlink r:id="rId1728" ref="B1726"/>
    <hyperlink r:id="rId1729" ref="B1727"/>
    <hyperlink r:id="rId1730" ref="B1728"/>
    <hyperlink r:id="rId1731" ref="B1729"/>
    <hyperlink r:id="rId1732" ref="B1730"/>
    <hyperlink r:id="rId1733" ref="B1731"/>
    <hyperlink r:id="rId1734" ref="B1732"/>
    <hyperlink r:id="rId1735" ref="B1733"/>
    <hyperlink r:id="rId1736" ref="B1734"/>
    <hyperlink r:id="rId1737" ref="B1735"/>
    <hyperlink r:id="rId1738" ref="B1736"/>
    <hyperlink r:id="rId1739" ref="B1737"/>
    <hyperlink r:id="rId1740" ref="B1738"/>
    <hyperlink r:id="rId1741" ref="B1739"/>
    <hyperlink r:id="rId1742" ref="B1740"/>
    <hyperlink r:id="rId1743" ref="B1741"/>
    <hyperlink r:id="rId1744" ref="B1742"/>
    <hyperlink r:id="rId1745" ref="B1743"/>
    <hyperlink r:id="rId1746" ref="B1744"/>
    <hyperlink r:id="rId1747" ref="B1745"/>
    <hyperlink r:id="rId1748" ref="B1746"/>
    <hyperlink r:id="rId1749" ref="B1747"/>
    <hyperlink r:id="rId1750" ref="B1748"/>
    <hyperlink r:id="rId1751" ref="B1749"/>
    <hyperlink r:id="rId1752" ref="B1750"/>
    <hyperlink r:id="rId1753" ref="B1751"/>
    <hyperlink r:id="rId1754" ref="B1752"/>
    <hyperlink r:id="rId1755" ref="B1753"/>
    <hyperlink r:id="rId1756" ref="B1754"/>
    <hyperlink r:id="rId1757" ref="B1755"/>
    <hyperlink r:id="rId1758" ref="B1756"/>
    <hyperlink r:id="rId1759" ref="B1757"/>
    <hyperlink r:id="rId1760" ref="B1758"/>
    <hyperlink r:id="rId1761" ref="B1759"/>
    <hyperlink r:id="rId1762" ref="B1760"/>
    <hyperlink r:id="rId1763" ref="B1761"/>
    <hyperlink r:id="rId1764" ref="B1762"/>
    <hyperlink r:id="rId1765" ref="B1763"/>
    <hyperlink r:id="rId1766" ref="B1764"/>
    <hyperlink r:id="rId1767" ref="B1765"/>
    <hyperlink r:id="rId1768" ref="B1766"/>
    <hyperlink r:id="rId1769" ref="B1767"/>
    <hyperlink r:id="rId1770" ref="B1768"/>
    <hyperlink r:id="rId1771" ref="B1769"/>
    <hyperlink r:id="rId1772" ref="B1770"/>
    <hyperlink r:id="rId1773" ref="B1771"/>
    <hyperlink r:id="rId1774" ref="B1772"/>
    <hyperlink r:id="rId1775" ref="B1773"/>
    <hyperlink r:id="rId1776" ref="B1774"/>
    <hyperlink r:id="rId1777" ref="B1775"/>
    <hyperlink r:id="rId1778" ref="B1776"/>
    <hyperlink r:id="rId1779" ref="B1777"/>
    <hyperlink r:id="rId1780" ref="B1778"/>
    <hyperlink r:id="rId1781" ref="B1779"/>
    <hyperlink r:id="rId1782" ref="B1780"/>
    <hyperlink r:id="rId1783" ref="B1781"/>
    <hyperlink r:id="rId1784" ref="B1782"/>
    <hyperlink r:id="rId1785" ref="B1783"/>
    <hyperlink r:id="rId1786" ref="B1784"/>
    <hyperlink r:id="rId1787" ref="B1785"/>
    <hyperlink r:id="rId1788" ref="B1786"/>
    <hyperlink r:id="rId1789" ref="B1787"/>
    <hyperlink r:id="rId1790" ref="B1788"/>
    <hyperlink r:id="rId1791" ref="B1789"/>
    <hyperlink r:id="rId1792" ref="B1790"/>
    <hyperlink r:id="rId1793" ref="B1791"/>
    <hyperlink r:id="rId1794" ref="B1792"/>
    <hyperlink r:id="rId1795" ref="B1793"/>
    <hyperlink r:id="rId1796" ref="B1794"/>
    <hyperlink r:id="rId1797" ref="B1795"/>
    <hyperlink r:id="rId1798" ref="B1796"/>
    <hyperlink r:id="rId1799" ref="B1797"/>
    <hyperlink r:id="rId1800" ref="B1798"/>
    <hyperlink r:id="rId1801" ref="B1799"/>
    <hyperlink r:id="rId1802" ref="B1800"/>
    <hyperlink r:id="rId1803" ref="B1801"/>
    <hyperlink r:id="rId1804" ref="B1802"/>
    <hyperlink r:id="rId1805" ref="B1803"/>
    <hyperlink r:id="rId1806" ref="B1804"/>
    <hyperlink r:id="rId1807" ref="B1805"/>
    <hyperlink r:id="rId1808" ref="B1806"/>
    <hyperlink r:id="rId1809" ref="B1807"/>
    <hyperlink r:id="rId1810" ref="B1808"/>
    <hyperlink r:id="rId1811" ref="B1809"/>
    <hyperlink r:id="rId1812" ref="B1810"/>
    <hyperlink r:id="rId1813" ref="B1811"/>
    <hyperlink r:id="rId1814" ref="B1812"/>
    <hyperlink r:id="rId1815" ref="B1813"/>
    <hyperlink r:id="rId1816" ref="B1814"/>
    <hyperlink r:id="rId1817" ref="B1815"/>
    <hyperlink r:id="rId1818" ref="B1816"/>
    <hyperlink r:id="rId1819" ref="B1817"/>
    <hyperlink r:id="rId1820" ref="B1818"/>
    <hyperlink r:id="rId1821" ref="B1819"/>
    <hyperlink r:id="rId1822" ref="B1820"/>
    <hyperlink r:id="rId1823" ref="B1821"/>
    <hyperlink r:id="rId1824" ref="B1822"/>
    <hyperlink r:id="rId1825" ref="B1823"/>
    <hyperlink r:id="rId1826" ref="B1824"/>
    <hyperlink r:id="rId1827" ref="B1825"/>
    <hyperlink r:id="rId1828" ref="B1826"/>
    <hyperlink r:id="rId1829" ref="B1827"/>
    <hyperlink r:id="rId1830" ref="B1828"/>
    <hyperlink r:id="rId1831" ref="B1829"/>
    <hyperlink r:id="rId1832" ref="B1830"/>
    <hyperlink r:id="rId1833" ref="B1831"/>
    <hyperlink r:id="rId1834" ref="B1832"/>
    <hyperlink r:id="rId1835" ref="B1833"/>
    <hyperlink r:id="rId1836" ref="B1834"/>
    <hyperlink r:id="rId1837" ref="B1835"/>
    <hyperlink r:id="rId1838" ref="B1836"/>
    <hyperlink r:id="rId1839" ref="B1837"/>
    <hyperlink r:id="rId1840" ref="B1838"/>
    <hyperlink r:id="rId1841" ref="B1839"/>
    <hyperlink r:id="rId1842" ref="B1840"/>
    <hyperlink r:id="rId1843" ref="B1841"/>
    <hyperlink r:id="rId1844" ref="B1842"/>
    <hyperlink r:id="rId1845" ref="B1843"/>
    <hyperlink r:id="rId1846" ref="B1844"/>
    <hyperlink r:id="rId1847" ref="B1845"/>
    <hyperlink r:id="rId1848" ref="B1846"/>
    <hyperlink r:id="rId1849" ref="B1847"/>
    <hyperlink r:id="rId1850" ref="B1848"/>
    <hyperlink r:id="rId1851" ref="B1849"/>
    <hyperlink r:id="rId1852" ref="B1850"/>
    <hyperlink r:id="rId1853" ref="B1851"/>
    <hyperlink r:id="rId1854" ref="B1852"/>
    <hyperlink r:id="rId1855" ref="B1853"/>
    <hyperlink r:id="rId1856" ref="B1854"/>
    <hyperlink r:id="rId1857" ref="B1855"/>
    <hyperlink r:id="rId1858" ref="B1856"/>
    <hyperlink r:id="rId1859" ref="B1857"/>
    <hyperlink r:id="rId1860" ref="B1858"/>
    <hyperlink r:id="rId1861" ref="B1859"/>
    <hyperlink r:id="rId1862" ref="B1860"/>
    <hyperlink r:id="rId1863" ref="B1861"/>
    <hyperlink r:id="rId1864" ref="B1862"/>
    <hyperlink r:id="rId1865" ref="B1863"/>
    <hyperlink r:id="rId1866" ref="B1864"/>
    <hyperlink r:id="rId1867" ref="B1865"/>
    <hyperlink r:id="rId1868" ref="B1866"/>
    <hyperlink r:id="rId1869" ref="B1867"/>
    <hyperlink r:id="rId1870" ref="B1868"/>
    <hyperlink r:id="rId1871" ref="B1869"/>
    <hyperlink r:id="rId1872" ref="B1870"/>
    <hyperlink r:id="rId1873" ref="B1871"/>
    <hyperlink r:id="rId1874" ref="B1872"/>
    <hyperlink r:id="rId1875" ref="B1873"/>
    <hyperlink r:id="rId1876" ref="B1874"/>
    <hyperlink r:id="rId1877" ref="B1875"/>
    <hyperlink r:id="rId1878" ref="B1876"/>
    <hyperlink r:id="rId1879" ref="B1877"/>
    <hyperlink r:id="rId1880" ref="B1878"/>
    <hyperlink r:id="rId1881" ref="B1879"/>
    <hyperlink r:id="rId1882" ref="B1880"/>
    <hyperlink r:id="rId1883" ref="B1881"/>
    <hyperlink r:id="rId1884" ref="B1882"/>
    <hyperlink r:id="rId1885" ref="B1883"/>
    <hyperlink r:id="rId1886" ref="B1884"/>
    <hyperlink r:id="rId1887" ref="B1885"/>
    <hyperlink r:id="rId1888" ref="B1886"/>
    <hyperlink r:id="rId1889" ref="B1887"/>
    <hyperlink r:id="rId1890" ref="B1888"/>
    <hyperlink r:id="rId1891" ref="B1889"/>
    <hyperlink r:id="rId1892" ref="B1890"/>
    <hyperlink r:id="rId1893" ref="B1891"/>
    <hyperlink r:id="rId1894" ref="B1892"/>
    <hyperlink r:id="rId1895" ref="B1893"/>
    <hyperlink r:id="rId1896" ref="B1894"/>
    <hyperlink r:id="rId1897" ref="B1895"/>
    <hyperlink r:id="rId1898" ref="B1896"/>
    <hyperlink r:id="rId1899" ref="B1897"/>
    <hyperlink r:id="rId1900" ref="B1898"/>
    <hyperlink r:id="rId1901" ref="B1899"/>
    <hyperlink r:id="rId1902" ref="B1900"/>
    <hyperlink r:id="rId1903" ref="B1901"/>
    <hyperlink r:id="rId1904" ref="B1902"/>
    <hyperlink r:id="rId1905" ref="B1903"/>
    <hyperlink r:id="rId1906" ref="B1904"/>
    <hyperlink r:id="rId1907" ref="B1905"/>
    <hyperlink r:id="rId1908" ref="B1906"/>
    <hyperlink r:id="rId1909" ref="B1907"/>
    <hyperlink r:id="rId1910" ref="B1908"/>
    <hyperlink r:id="rId1911" ref="B1909"/>
    <hyperlink r:id="rId1912" ref="B1910"/>
    <hyperlink r:id="rId1913" ref="B1911"/>
    <hyperlink r:id="rId1914" ref="B1912"/>
    <hyperlink r:id="rId1915" ref="B1913"/>
    <hyperlink r:id="rId1916" ref="B1914"/>
    <hyperlink r:id="rId1917" ref="B1915"/>
    <hyperlink r:id="rId1918" ref="B1916"/>
    <hyperlink r:id="rId1919" ref="B1917"/>
    <hyperlink r:id="rId1920" ref="B1918"/>
    <hyperlink r:id="rId1921" ref="B1919"/>
    <hyperlink r:id="rId1922" ref="B1920"/>
    <hyperlink r:id="rId1923" ref="B1921"/>
    <hyperlink r:id="rId1924" ref="B1922"/>
    <hyperlink r:id="rId1925" ref="B1923"/>
    <hyperlink r:id="rId1926" ref="B1924"/>
    <hyperlink r:id="rId1927" ref="B1925"/>
    <hyperlink r:id="rId1928" ref="B1926"/>
    <hyperlink r:id="rId1929" ref="B1927"/>
    <hyperlink r:id="rId1930" ref="B1928"/>
    <hyperlink r:id="rId1931" ref="B1929"/>
    <hyperlink r:id="rId1932" ref="B1930"/>
    <hyperlink r:id="rId1933" ref="B1931"/>
    <hyperlink r:id="rId1934" ref="B1932"/>
    <hyperlink r:id="rId1935" ref="B1933"/>
    <hyperlink r:id="rId1936" ref="B1934"/>
    <hyperlink r:id="rId1937" ref="B1935"/>
    <hyperlink r:id="rId1938" ref="B1936"/>
    <hyperlink r:id="rId1939" ref="B1937"/>
    <hyperlink r:id="rId1940" ref="B1938"/>
    <hyperlink r:id="rId1941" ref="B1939"/>
    <hyperlink r:id="rId1942" ref="B1940"/>
    <hyperlink r:id="rId1943" ref="B1941"/>
    <hyperlink r:id="rId1944" ref="B1942"/>
    <hyperlink r:id="rId1945" ref="B1943"/>
    <hyperlink r:id="rId1946" ref="B1944"/>
    <hyperlink r:id="rId1947" ref="B1945"/>
    <hyperlink r:id="rId1948" ref="B1946"/>
    <hyperlink r:id="rId1949" ref="B1947"/>
    <hyperlink r:id="rId1950" ref="B1948"/>
    <hyperlink r:id="rId1951" ref="B1949"/>
    <hyperlink r:id="rId1952" ref="B1950"/>
    <hyperlink r:id="rId1953" ref="B1951"/>
    <hyperlink r:id="rId1954" ref="B1952"/>
    <hyperlink r:id="rId1955" ref="B1953"/>
    <hyperlink r:id="rId1956" ref="B1954"/>
    <hyperlink r:id="rId1957" ref="B1955"/>
    <hyperlink r:id="rId1958" ref="B1956"/>
    <hyperlink r:id="rId1959" ref="B1957"/>
    <hyperlink r:id="rId1960" ref="B1958"/>
    <hyperlink r:id="rId1961" ref="B1959"/>
    <hyperlink r:id="rId1962" ref="B1960"/>
    <hyperlink r:id="rId1963" ref="B1961"/>
    <hyperlink r:id="rId1964" ref="B1962"/>
    <hyperlink r:id="rId1965" ref="B1963"/>
    <hyperlink r:id="rId1966" ref="B1964"/>
    <hyperlink r:id="rId1967" ref="B1965"/>
    <hyperlink r:id="rId1968" ref="B1966"/>
    <hyperlink r:id="rId1969" ref="B1967"/>
    <hyperlink r:id="rId1970" ref="B1968"/>
    <hyperlink r:id="rId1971" ref="B1969"/>
    <hyperlink r:id="rId1972" ref="B1970"/>
    <hyperlink r:id="rId1973" ref="B1971"/>
    <hyperlink r:id="rId1974" ref="B1972"/>
    <hyperlink r:id="rId1975" ref="B1973"/>
    <hyperlink r:id="rId1976" ref="B1974"/>
    <hyperlink r:id="rId1977" ref="B1975"/>
    <hyperlink r:id="rId1978" ref="B1976"/>
    <hyperlink r:id="rId1979" ref="B1977"/>
    <hyperlink r:id="rId1980" ref="B1978"/>
    <hyperlink r:id="rId1981" ref="B1979"/>
    <hyperlink r:id="rId1982" ref="B1980"/>
    <hyperlink r:id="rId1983" ref="B1981"/>
    <hyperlink r:id="rId1984" ref="B1982"/>
    <hyperlink r:id="rId1985" ref="B1983"/>
    <hyperlink r:id="rId1986" ref="B1984"/>
    <hyperlink r:id="rId1987" ref="B1985"/>
    <hyperlink r:id="rId1988" ref="B1986"/>
    <hyperlink r:id="rId1989" ref="B1987"/>
    <hyperlink r:id="rId1990" ref="B1988"/>
    <hyperlink r:id="rId1991" ref="B1989"/>
    <hyperlink r:id="rId1992" ref="B1990"/>
    <hyperlink r:id="rId1993" ref="B1991"/>
    <hyperlink r:id="rId1994" ref="B1992"/>
    <hyperlink r:id="rId1995" ref="B1993"/>
    <hyperlink r:id="rId1996" ref="B1994"/>
    <hyperlink r:id="rId1997" ref="B1995"/>
    <hyperlink r:id="rId1998" ref="B1996"/>
    <hyperlink r:id="rId1999" ref="B1997"/>
    <hyperlink r:id="rId2000" ref="B1998"/>
    <hyperlink r:id="rId2001" ref="B1999"/>
    <hyperlink r:id="rId2002" ref="B2000"/>
    <hyperlink r:id="rId2003" ref="B2001"/>
    <hyperlink r:id="rId2004" ref="B2002"/>
    <hyperlink r:id="rId2005" ref="B2003"/>
    <hyperlink r:id="rId2006" ref="B2004"/>
    <hyperlink r:id="rId2007" ref="B2005"/>
    <hyperlink r:id="rId2008" ref="B2006"/>
    <hyperlink r:id="rId2009" ref="B2007"/>
    <hyperlink r:id="rId2010" ref="B2008"/>
    <hyperlink r:id="rId2011" ref="B2009"/>
    <hyperlink r:id="rId2012" ref="B2010"/>
    <hyperlink r:id="rId2013" ref="B2011"/>
    <hyperlink r:id="rId2014" ref="B2012"/>
    <hyperlink r:id="rId2015" ref="B2013"/>
    <hyperlink r:id="rId2016" ref="B2014"/>
    <hyperlink r:id="rId2017" ref="B2015"/>
    <hyperlink r:id="rId2018" ref="B2016"/>
    <hyperlink r:id="rId2019" ref="B2017"/>
    <hyperlink r:id="rId2020" ref="B2018"/>
    <hyperlink r:id="rId2021" ref="B2019"/>
    <hyperlink r:id="rId2022" ref="B2020"/>
    <hyperlink r:id="rId2023" ref="B2021"/>
    <hyperlink r:id="rId2024" ref="B2022"/>
    <hyperlink r:id="rId2025" ref="B2023"/>
    <hyperlink r:id="rId2026" ref="B2024"/>
    <hyperlink r:id="rId2027" ref="B2025"/>
    <hyperlink r:id="rId2028" ref="B2026"/>
    <hyperlink r:id="rId2029" ref="B2027"/>
    <hyperlink r:id="rId2030" ref="B2028"/>
    <hyperlink r:id="rId2031" ref="B2029"/>
    <hyperlink r:id="rId2032" ref="B2030"/>
    <hyperlink r:id="rId2033" ref="B2031"/>
    <hyperlink r:id="rId2034" ref="B2032"/>
    <hyperlink r:id="rId2035" ref="B2033"/>
    <hyperlink r:id="rId2036" ref="B2034"/>
    <hyperlink r:id="rId2037" ref="B2035"/>
    <hyperlink r:id="rId2038" ref="B2036"/>
    <hyperlink r:id="rId2039" ref="B2037"/>
    <hyperlink r:id="rId2040" ref="B2038"/>
    <hyperlink r:id="rId2041" ref="B2039"/>
    <hyperlink r:id="rId2042" ref="B2040"/>
    <hyperlink r:id="rId2043" ref="B2041"/>
    <hyperlink r:id="rId2044" ref="B2042"/>
    <hyperlink r:id="rId2045" ref="B2043"/>
    <hyperlink r:id="rId2046" ref="B2044"/>
    <hyperlink r:id="rId2047" ref="B2045"/>
    <hyperlink r:id="rId2048" ref="B2046"/>
    <hyperlink r:id="rId2049" ref="B2047"/>
    <hyperlink r:id="rId2050" ref="B2048"/>
    <hyperlink r:id="rId2051" ref="B2049"/>
    <hyperlink r:id="rId2052" ref="B2050"/>
    <hyperlink r:id="rId2053" ref="B2051"/>
    <hyperlink r:id="rId2054" ref="B2052"/>
    <hyperlink r:id="rId2055" ref="B2053"/>
    <hyperlink r:id="rId2056" ref="B2054"/>
    <hyperlink r:id="rId2057" ref="B2055"/>
    <hyperlink r:id="rId2058" ref="B2056"/>
    <hyperlink r:id="rId2059" ref="B2057"/>
    <hyperlink r:id="rId2060" ref="B2058"/>
    <hyperlink r:id="rId2061" ref="B2059"/>
    <hyperlink r:id="rId2062" ref="B2060"/>
    <hyperlink r:id="rId2063" ref="B2061"/>
    <hyperlink r:id="rId2064" ref="B2062"/>
    <hyperlink r:id="rId2065" ref="B2063"/>
    <hyperlink r:id="rId2066" ref="B2064"/>
    <hyperlink r:id="rId2067" ref="B2065"/>
    <hyperlink r:id="rId2068" ref="B2066"/>
    <hyperlink r:id="rId2069" ref="B2067"/>
    <hyperlink r:id="rId2070" ref="B2068"/>
    <hyperlink r:id="rId2071" ref="B2069"/>
    <hyperlink r:id="rId2072" ref="B2070"/>
    <hyperlink r:id="rId2073" ref="B2071"/>
    <hyperlink r:id="rId2074" ref="B2072"/>
    <hyperlink r:id="rId2075" ref="B2073"/>
    <hyperlink r:id="rId2076" ref="B2074"/>
    <hyperlink r:id="rId2077" ref="B2075"/>
    <hyperlink r:id="rId2078" ref="B2076"/>
    <hyperlink r:id="rId2079" ref="B2077"/>
    <hyperlink r:id="rId2080" ref="B2078"/>
    <hyperlink r:id="rId2081" ref="B2079"/>
    <hyperlink r:id="rId2082" ref="B2080"/>
    <hyperlink r:id="rId2083" ref="B2081"/>
    <hyperlink r:id="rId2084" ref="B2082"/>
    <hyperlink r:id="rId2085" ref="B2083"/>
    <hyperlink r:id="rId2086" ref="B2084"/>
    <hyperlink r:id="rId2087" ref="B2085"/>
    <hyperlink r:id="rId2088" ref="B2086"/>
    <hyperlink r:id="rId2089" ref="B2087"/>
    <hyperlink r:id="rId2090" ref="B2088"/>
    <hyperlink r:id="rId2091" ref="B2089"/>
    <hyperlink r:id="rId2092" ref="B2090"/>
    <hyperlink r:id="rId2093" ref="B2091"/>
    <hyperlink r:id="rId2094" ref="B2092"/>
    <hyperlink r:id="rId2095" ref="B2093"/>
    <hyperlink r:id="rId2096" ref="B2094"/>
    <hyperlink r:id="rId2097" ref="B2095"/>
    <hyperlink r:id="rId2098" ref="B2096"/>
    <hyperlink r:id="rId2099" ref="B2097"/>
    <hyperlink r:id="rId2100" ref="B2098"/>
    <hyperlink r:id="rId2101" ref="B2099"/>
    <hyperlink r:id="rId2102" ref="B2100"/>
    <hyperlink r:id="rId2103" ref="B2101"/>
    <hyperlink r:id="rId2104" ref="B2102"/>
    <hyperlink r:id="rId2105" ref="B2103"/>
    <hyperlink r:id="rId2106" ref="B2104"/>
    <hyperlink r:id="rId2107" ref="B2105"/>
    <hyperlink r:id="rId2108" ref="B2106"/>
    <hyperlink r:id="rId2109" ref="B2107"/>
    <hyperlink r:id="rId2110" ref="B2108"/>
    <hyperlink r:id="rId2111" ref="B2109"/>
    <hyperlink r:id="rId2112" ref="B2110"/>
    <hyperlink r:id="rId2113" ref="B2111"/>
    <hyperlink r:id="rId2114" ref="B2112"/>
    <hyperlink r:id="rId2115" ref="B2113"/>
    <hyperlink r:id="rId2116" ref="B2114"/>
    <hyperlink r:id="rId2117" ref="B2115"/>
    <hyperlink r:id="rId2118" ref="B2116"/>
    <hyperlink r:id="rId2119" ref="B2117"/>
    <hyperlink r:id="rId2120" ref="B2118"/>
    <hyperlink r:id="rId2121" ref="B2119"/>
    <hyperlink r:id="rId2122" ref="B2120"/>
    <hyperlink r:id="rId2123" ref="B2121"/>
    <hyperlink r:id="rId2124" ref="B2122"/>
    <hyperlink r:id="rId2125" ref="B2123"/>
    <hyperlink r:id="rId2126" ref="B2124"/>
    <hyperlink r:id="rId2127" ref="B2125"/>
    <hyperlink r:id="rId2128" ref="B2126"/>
    <hyperlink r:id="rId2129" ref="B2127"/>
    <hyperlink r:id="rId2130" ref="B2128"/>
    <hyperlink r:id="rId2131" ref="B2129"/>
    <hyperlink r:id="rId2132" ref="B2130"/>
    <hyperlink r:id="rId2133" ref="B2131"/>
    <hyperlink r:id="rId2134" ref="B2132"/>
    <hyperlink r:id="rId2135" ref="B2133"/>
    <hyperlink r:id="rId2136" ref="B2134"/>
    <hyperlink r:id="rId2137" ref="B2135"/>
    <hyperlink r:id="rId2138" ref="B2136"/>
    <hyperlink r:id="rId2139" ref="B2137"/>
    <hyperlink r:id="rId2140" ref="B2138"/>
    <hyperlink r:id="rId2141" ref="B2139"/>
    <hyperlink r:id="rId2142" ref="B2140"/>
    <hyperlink r:id="rId2143" ref="B2141"/>
    <hyperlink r:id="rId2144" ref="B2142"/>
    <hyperlink r:id="rId2145" ref="B2143"/>
    <hyperlink r:id="rId2146" ref="B2144"/>
    <hyperlink r:id="rId2147" ref="B2145"/>
    <hyperlink r:id="rId2148" ref="B2146"/>
    <hyperlink r:id="rId2149" ref="B2147"/>
    <hyperlink r:id="rId2150" ref="B2148"/>
    <hyperlink r:id="rId2151" ref="B2149"/>
    <hyperlink r:id="rId2152" ref="B2150"/>
    <hyperlink r:id="rId2153" ref="B2151"/>
    <hyperlink r:id="rId2154" ref="B2152"/>
    <hyperlink r:id="rId2155" ref="B2153"/>
    <hyperlink r:id="rId2156" ref="B2154"/>
    <hyperlink r:id="rId2157" ref="B2155"/>
    <hyperlink r:id="rId2158" ref="B2156"/>
    <hyperlink r:id="rId2159" ref="B2157"/>
    <hyperlink r:id="rId2160" ref="B2158"/>
    <hyperlink r:id="rId2161" ref="B2159"/>
    <hyperlink r:id="rId2162" ref="B2160"/>
    <hyperlink r:id="rId2163" ref="B2161"/>
    <hyperlink r:id="rId2164" ref="B2162"/>
    <hyperlink r:id="rId2165" ref="B2163"/>
    <hyperlink r:id="rId2166" ref="B2164"/>
    <hyperlink r:id="rId2167" ref="B2165"/>
    <hyperlink r:id="rId2168" ref="B2166"/>
    <hyperlink r:id="rId2169" ref="B2167"/>
    <hyperlink r:id="rId2170" ref="B2168"/>
    <hyperlink r:id="rId2171" ref="B2169"/>
    <hyperlink r:id="rId2172" ref="B2170"/>
    <hyperlink r:id="rId2173" ref="B2171"/>
    <hyperlink r:id="rId2174" ref="B2172"/>
    <hyperlink r:id="rId2175" ref="B2173"/>
    <hyperlink r:id="rId2176" ref="B2174"/>
    <hyperlink r:id="rId2177" ref="B2175"/>
    <hyperlink r:id="rId2178" ref="B2176"/>
    <hyperlink r:id="rId2179" ref="B2177"/>
    <hyperlink r:id="rId2180" ref="B2178"/>
    <hyperlink r:id="rId2181" ref="B2179"/>
    <hyperlink r:id="rId2182" ref="B2180"/>
    <hyperlink r:id="rId2183" ref="B2181"/>
    <hyperlink r:id="rId2184" ref="B2182"/>
    <hyperlink r:id="rId2185" ref="B2183"/>
    <hyperlink r:id="rId2186" ref="B2184"/>
    <hyperlink r:id="rId2187" ref="B2185"/>
    <hyperlink r:id="rId2188" ref="B2186"/>
    <hyperlink r:id="rId2189" ref="B2187"/>
    <hyperlink r:id="rId2190" ref="B2188"/>
    <hyperlink r:id="rId2191" ref="B2189"/>
    <hyperlink r:id="rId2192" ref="B2190"/>
    <hyperlink r:id="rId2193" ref="B2191"/>
    <hyperlink r:id="rId2194" ref="B2192"/>
    <hyperlink r:id="rId2195" ref="B2193"/>
    <hyperlink r:id="rId2196" ref="B2194"/>
    <hyperlink r:id="rId2197" ref="B2195"/>
    <hyperlink r:id="rId2198" ref="B2196"/>
    <hyperlink r:id="rId2199" ref="B2197"/>
    <hyperlink r:id="rId2200" ref="B2198"/>
    <hyperlink r:id="rId2201" ref="A2199"/>
    <hyperlink r:id="rId2202" ref="B2199"/>
    <hyperlink r:id="rId2203" ref="A2200"/>
    <hyperlink r:id="rId2204" ref="B2200"/>
    <hyperlink r:id="rId2205" ref="A2201"/>
    <hyperlink r:id="rId2206" ref="B2201"/>
    <hyperlink r:id="rId2207" ref="B2202"/>
    <hyperlink r:id="rId2208" ref="B2203"/>
    <hyperlink r:id="rId2209" ref="A2204"/>
    <hyperlink r:id="rId2210" ref="B2204"/>
    <hyperlink r:id="rId2211" ref="B2205"/>
    <hyperlink r:id="rId2212" ref="B2206"/>
    <hyperlink r:id="rId2213" ref="B2207"/>
    <hyperlink r:id="rId2214" ref="A2208"/>
    <hyperlink r:id="rId2215" ref="B2208"/>
    <hyperlink r:id="rId2216" ref="A2209"/>
    <hyperlink r:id="rId2217" ref="B2209"/>
    <hyperlink r:id="rId2218" ref="B2210"/>
    <hyperlink r:id="rId2219" ref="B2211"/>
    <hyperlink r:id="rId2220" ref="B2212"/>
    <hyperlink r:id="rId2221" ref="B2213"/>
    <hyperlink r:id="rId2222" ref="B2214"/>
    <hyperlink r:id="rId2223" ref="B2215"/>
    <hyperlink r:id="rId2224" ref="B2216"/>
    <hyperlink r:id="rId2225" ref="B2217"/>
    <hyperlink r:id="rId2226" ref="B2218"/>
    <hyperlink r:id="rId2227" ref="B2219"/>
    <hyperlink r:id="rId2228" ref="B2220"/>
    <hyperlink r:id="rId2229" ref="B2221"/>
    <hyperlink r:id="rId2230" ref="B2222"/>
    <hyperlink r:id="rId2231" ref="B2223"/>
    <hyperlink r:id="rId2232" ref="B2224"/>
    <hyperlink r:id="rId2233" ref="B2225"/>
    <hyperlink r:id="rId2234" ref="B2226"/>
    <hyperlink r:id="rId2235" ref="B2227"/>
    <hyperlink r:id="rId2236" ref="B2228"/>
    <hyperlink r:id="rId2237" ref="B2229"/>
    <hyperlink r:id="rId2238" ref="B2230"/>
    <hyperlink r:id="rId2239" ref="B2231"/>
    <hyperlink r:id="rId2240" ref="B2232"/>
    <hyperlink r:id="rId2241" ref="B2233"/>
    <hyperlink r:id="rId2242" ref="B2234"/>
    <hyperlink r:id="rId2243" ref="B2235"/>
    <hyperlink r:id="rId2244" ref="B2236"/>
    <hyperlink r:id="rId2245" ref="B2237"/>
    <hyperlink r:id="rId2246" ref="B2238"/>
    <hyperlink r:id="rId2247" ref="B2239"/>
    <hyperlink r:id="rId2248" ref="B2240"/>
    <hyperlink r:id="rId2249" ref="B2241"/>
    <hyperlink r:id="rId2250" ref="B2242"/>
    <hyperlink r:id="rId2251" ref="B2243"/>
    <hyperlink r:id="rId2252" ref="B2244"/>
    <hyperlink r:id="rId2253" ref="B2245"/>
    <hyperlink r:id="rId2254" ref="B2246"/>
    <hyperlink r:id="rId2255" ref="B2247"/>
    <hyperlink r:id="rId2256" ref="B2248"/>
    <hyperlink r:id="rId2257" ref="B2249"/>
    <hyperlink r:id="rId2258" ref="B2250"/>
    <hyperlink r:id="rId2259" ref="B2251"/>
    <hyperlink r:id="rId2260" ref="B2252"/>
    <hyperlink r:id="rId2261" ref="B2253"/>
    <hyperlink r:id="rId2262" ref="B2254"/>
    <hyperlink r:id="rId2263" ref="B2255"/>
    <hyperlink r:id="rId2264" ref="B2256"/>
    <hyperlink r:id="rId2265" ref="B2257"/>
    <hyperlink r:id="rId2266" ref="B2258"/>
    <hyperlink r:id="rId2267" ref="B2259"/>
    <hyperlink r:id="rId2268" ref="B2260"/>
    <hyperlink r:id="rId2269" ref="B2261"/>
    <hyperlink r:id="rId2270" ref="B2262"/>
    <hyperlink r:id="rId2271" ref="B2263"/>
    <hyperlink r:id="rId2272" ref="B2264"/>
    <hyperlink r:id="rId2273" ref="B2265"/>
    <hyperlink r:id="rId2274" ref="B2266"/>
    <hyperlink r:id="rId2275" ref="B2267"/>
    <hyperlink r:id="rId2276" ref="B2268"/>
    <hyperlink r:id="rId2277" ref="B2269"/>
    <hyperlink r:id="rId2278" ref="B2270"/>
    <hyperlink r:id="rId2279" ref="B2271"/>
    <hyperlink r:id="rId2280" ref="B2272"/>
    <hyperlink r:id="rId2281" ref="B2273"/>
    <hyperlink r:id="rId2282" ref="B2274"/>
    <hyperlink r:id="rId2283" ref="B2275"/>
    <hyperlink r:id="rId2284" ref="B2276"/>
    <hyperlink r:id="rId2285" ref="B2277"/>
    <hyperlink r:id="rId2286" ref="B2278"/>
    <hyperlink r:id="rId2287" ref="B2279"/>
    <hyperlink r:id="rId2288" ref="B2280"/>
    <hyperlink r:id="rId2289" ref="B2281"/>
    <hyperlink r:id="rId2290" ref="B2282"/>
    <hyperlink r:id="rId2291" ref="B2283"/>
    <hyperlink r:id="rId2292" ref="B2284"/>
    <hyperlink r:id="rId2293" ref="B2285"/>
    <hyperlink r:id="rId2294" ref="B2286"/>
    <hyperlink r:id="rId2295" ref="B2287"/>
    <hyperlink r:id="rId2296" ref="B2288"/>
    <hyperlink r:id="rId2297" ref="B2289"/>
    <hyperlink r:id="rId2298" ref="B2290"/>
    <hyperlink r:id="rId2299" ref="B2291"/>
    <hyperlink r:id="rId2300" ref="B2292"/>
    <hyperlink r:id="rId2301" ref="B2293"/>
    <hyperlink r:id="rId2302" ref="B2294"/>
    <hyperlink r:id="rId2303" ref="B2295"/>
    <hyperlink r:id="rId2304" ref="B2296"/>
    <hyperlink r:id="rId2305" ref="B2297"/>
    <hyperlink r:id="rId2306" ref="B2298"/>
    <hyperlink r:id="rId2307" ref="B2299"/>
    <hyperlink r:id="rId2308" ref="B2300"/>
    <hyperlink r:id="rId2309" ref="B2301"/>
    <hyperlink r:id="rId2310" ref="B2302"/>
    <hyperlink r:id="rId2311" ref="B2303"/>
    <hyperlink r:id="rId2312" ref="B2304"/>
    <hyperlink r:id="rId2313" ref="B2305"/>
    <hyperlink r:id="rId2314" ref="B2306"/>
    <hyperlink r:id="rId2315" ref="B2307"/>
    <hyperlink r:id="rId2316" ref="B2308"/>
    <hyperlink r:id="rId2317" ref="B2309"/>
    <hyperlink r:id="rId2318" ref="B2310"/>
    <hyperlink r:id="rId2319" ref="B2311"/>
    <hyperlink r:id="rId2320" ref="B2312"/>
    <hyperlink r:id="rId2321" ref="B2313"/>
    <hyperlink r:id="rId2322" ref="B2314"/>
    <hyperlink r:id="rId2323" ref="B2315"/>
    <hyperlink r:id="rId2324" ref="B2316"/>
    <hyperlink r:id="rId2325" ref="B2317"/>
    <hyperlink r:id="rId2326" ref="B2318"/>
    <hyperlink r:id="rId2327" ref="B2319"/>
    <hyperlink r:id="rId2328" ref="B2320"/>
    <hyperlink r:id="rId2329" ref="B2321"/>
    <hyperlink r:id="rId2330" ref="B2322"/>
    <hyperlink r:id="rId2331" ref="B2323"/>
    <hyperlink r:id="rId2332" ref="B2324"/>
    <hyperlink r:id="rId2333" ref="B2325"/>
    <hyperlink r:id="rId2334" ref="B2326"/>
    <hyperlink r:id="rId2335" ref="B2327"/>
    <hyperlink r:id="rId2336" ref="B2328"/>
    <hyperlink r:id="rId2337" ref="B2329"/>
    <hyperlink r:id="rId2338" ref="B2330"/>
    <hyperlink r:id="rId2339" ref="B2331"/>
    <hyperlink r:id="rId2340" ref="B2332"/>
    <hyperlink r:id="rId2341" ref="B2333"/>
    <hyperlink r:id="rId2342" ref="B2334"/>
    <hyperlink r:id="rId2343" ref="B2335"/>
    <hyperlink r:id="rId2344" ref="B2336"/>
    <hyperlink r:id="rId2345" ref="B2337"/>
    <hyperlink r:id="rId2346" ref="B2338"/>
    <hyperlink r:id="rId2347" ref="B2339"/>
    <hyperlink r:id="rId2348" ref="B2340"/>
    <hyperlink r:id="rId2349" ref="B2341"/>
    <hyperlink r:id="rId2350" ref="B2342"/>
    <hyperlink r:id="rId2351" ref="B2343"/>
    <hyperlink r:id="rId2352" ref="B2344"/>
    <hyperlink r:id="rId2353" ref="B2345"/>
    <hyperlink r:id="rId2354" ref="B2346"/>
    <hyperlink r:id="rId2355" ref="B2347"/>
    <hyperlink r:id="rId2356" ref="B2348"/>
    <hyperlink r:id="rId2357" ref="B2349"/>
    <hyperlink r:id="rId2358" ref="B2350"/>
    <hyperlink r:id="rId2359" ref="B2351"/>
    <hyperlink r:id="rId2360" ref="B2352"/>
    <hyperlink r:id="rId2361" ref="B2353"/>
    <hyperlink r:id="rId2362" ref="B2354"/>
    <hyperlink r:id="rId2363" ref="B2355"/>
    <hyperlink r:id="rId2364" ref="B2356"/>
    <hyperlink r:id="rId2365" ref="B2357"/>
    <hyperlink r:id="rId2366" ref="B2358"/>
    <hyperlink r:id="rId2367" ref="B2359"/>
    <hyperlink r:id="rId2368" ref="B2360"/>
    <hyperlink r:id="rId2369" ref="B2361"/>
    <hyperlink r:id="rId2370" ref="B2362"/>
    <hyperlink r:id="rId2371" ref="B2363"/>
    <hyperlink r:id="rId2372" ref="B2364"/>
    <hyperlink r:id="rId2373" ref="B2365"/>
    <hyperlink r:id="rId2374" ref="B2366"/>
    <hyperlink r:id="rId2375" ref="B2367"/>
    <hyperlink r:id="rId2376" ref="B2368"/>
    <hyperlink r:id="rId2377" ref="B2369"/>
    <hyperlink r:id="rId2378" ref="B2370"/>
    <hyperlink r:id="rId2379" ref="B2371"/>
    <hyperlink r:id="rId2380" ref="B2372"/>
    <hyperlink r:id="rId2381" ref="B2373"/>
    <hyperlink r:id="rId2382" ref="B2374"/>
    <hyperlink r:id="rId2383" ref="B2375"/>
    <hyperlink r:id="rId2384" ref="B2376"/>
    <hyperlink r:id="rId2385" ref="B2377"/>
    <hyperlink r:id="rId2386" ref="B2378"/>
    <hyperlink r:id="rId2387" ref="B2379"/>
    <hyperlink r:id="rId2388" ref="B2380"/>
    <hyperlink r:id="rId2389" ref="B2381"/>
    <hyperlink r:id="rId2390" ref="B2382"/>
    <hyperlink r:id="rId2391" ref="B2383"/>
    <hyperlink r:id="rId2392" ref="B2384"/>
    <hyperlink r:id="rId2393" ref="B2385"/>
    <hyperlink r:id="rId2394" ref="B2386"/>
    <hyperlink r:id="rId2395" ref="B2387"/>
    <hyperlink r:id="rId2396" ref="B2388"/>
    <hyperlink r:id="rId2397" ref="B2389"/>
    <hyperlink r:id="rId2398" ref="B2390"/>
    <hyperlink r:id="rId2399" ref="B2391"/>
    <hyperlink r:id="rId2400" ref="B2392"/>
    <hyperlink r:id="rId2401" ref="B2393"/>
    <hyperlink r:id="rId2402" ref="B2394"/>
    <hyperlink r:id="rId2403" ref="B2395"/>
    <hyperlink r:id="rId2404" ref="B2396"/>
    <hyperlink r:id="rId2405" ref="B2397"/>
    <hyperlink r:id="rId2406" ref="B2398"/>
    <hyperlink r:id="rId2407" ref="B2399"/>
    <hyperlink r:id="rId2408" ref="B2400"/>
    <hyperlink r:id="rId2409" ref="B2401"/>
    <hyperlink r:id="rId2410" ref="B2402"/>
    <hyperlink r:id="rId2411" ref="B2403"/>
    <hyperlink r:id="rId2412" ref="B2404"/>
    <hyperlink r:id="rId2413" ref="B2405"/>
    <hyperlink r:id="rId2414" ref="B2406"/>
    <hyperlink r:id="rId2415" ref="B2407"/>
    <hyperlink r:id="rId2416" ref="B2408"/>
    <hyperlink r:id="rId2417" ref="B2409"/>
    <hyperlink r:id="rId2418" ref="B2410"/>
    <hyperlink r:id="rId2419" ref="B2411"/>
    <hyperlink r:id="rId2420" ref="B2412"/>
    <hyperlink r:id="rId2421" ref="B2413"/>
    <hyperlink r:id="rId2422" ref="B2414"/>
    <hyperlink r:id="rId2423" ref="B2415"/>
    <hyperlink r:id="rId2424" ref="B2416"/>
    <hyperlink r:id="rId2425" ref="B2417"/>
    <hyperlink r:id="rId2426" ref="B2418"/>
    <hyperlink r:id="rId2427" ref="B2419"/>
    <hyperlink r:id="rId2428" ref="B2420"/>
    <hyperlink r:id="rId2429" ref="B2421"/>
    <hyperlink r:id="rId2430" ref="B2422"/>
    <hyperlink r:id="rId2431" ref="B2423"/>
    <hyperlink r:id="rId2432" ref="B2424"/>
    <hyperlink r:id="rId2433" ref="B2425"/>
    <hyperlink r:id="rId2434" ref="B2426"/>
    <hyperlink r:id="rId2435" ref="B2427"/>
    <hyperlink r:id="rId2436" ref="B2428"/>
    <hyperlink r:id="rId2437" ref="B2429"/>
    <hyperlink r:id="rId2438" ref="B2430"/>
    <hyperlink r:id="rId2439" ref="B2431"/>
    <hyperlink r:id="rId2440" ref="B2432"/>
    <hyperlink r:id="rId2441" ref="B2433"/>
    <hyperlink r:id="rId2442" ref="B2434"/>
    <hyperlink r:id="rId2443" ref="B2435"/>
    <hyperlink r:id="rId2444" ref="B2436"/>
    <hyperlink r:id="rId2445" ref="B2437"/>
    <hyperlink r:id="rId2446" ref="B2438"/>
    <hyperlink r:id="rId2447" ref="B2439"/>
    <hyperlink r:id="rId2448" ref="B2440"/>
    <hyperlink r:id="rId2449" ref="B2441"/>
    <hyperlink r:id="rId2450" ref="B2442"/>
    <hyperlink r:id="rId2451" ref="B2443"/>
    <hyperlink r:id="rId2452" ref="B2444"/>
    <hyperlink r:id="rId2453" ref="B2445"/>
    <hyperlink r:id="rId2454" ref="B2446"/>
    <hyperlink r:id="rId2455" ref="B2447"/>
    <hyperlink r:id="rId2456" ref="B2448"/>
    <hyperlink r:id="rId2457" ref="B2449"/>
    <hyperlink r:id="rId2458" ref="B2450"/>
    <hyperlink r:id="rId2459" ref="B2451"/>
    <hyperlink r:id="rId2460" ref="B2452"/>
    <hyperlink r:id="rId2461" ref="B2453"/>
    <hyperlink r:id="rId2462" ref="B2454"/>
    <hyperlink r:id="rId2463" ref="B2455"/>
    <hyperlink r:id="rId2464" ref="B2456"/>
    <hyperlink r:id="rId2465" ref="B2457"/>
    <hyperlink r:id="rId2466" ref="B2458"/>
    <hyperlink r:id="rId2467" ref="B2459"/>
    <hyperlink r:id="rId2468" ref="B2460"/>
    <hyperlink r:id="rId2469" ref="B2461"/>
    <hyperlink r:id="rId2470" ref="B2462"/>
    <hyperlink r:id="rId2471" ref="B2463"/>
    <hyperlink r:id="rId2472" ref="B2464"/>
    <hyperlink r:id="rId2473" ref="B2465"/>
    <hyperlink r:id="rId2474" ref="B2466"/>
    <hyperlink r:id="rId2475" ref="B2467"/>
    <hyperlink r:id="rId2476" ref="B2468"/>
    <hyperlink r:id="rId2477" ref="B2469"/>
    <hyperlink r:id="rId2478" ref="B2470"/>
    <hyperlink r:id="rId2479" ref="B2471"/>
    <hyperlink r:id="rId2480" ref="B2472"/>
    <hyperlink r:id="rId2481" ref="B2473"/>
    <hyperlink r:id="rId2482" ref="B2474"/>
    <hyperlink r:id="rId2483" ref="B2475"/>
    <hyperlink r:id="rId2484" ref="B2476"/>
    <hyperlink r:id="rId2485" ref="B2477"/>
    <hyperlink r:id="rId2486" ref="B2478"/>
    <hyperlink r:id="rId2487" ref="B2479"/>
    <hyperlink r:id="rId2488" ref="B2480"/>
    <hyperlink r:id="rId2489" ref="B2481"/>
    <hyperlink r:id="rId2490" ref="B2482"/>
    <hyperlink r:id="rId2491" ref="B2483"/>
    <hyperlink r:id="rId2492" ref="B2484"/>
    <hyperlink r:id="rId2493" ref="B2485"/>
    <hyperlink r:id="rId2494" ref="B2486"/>
    <hyperlink r:id="rId2495" ref="B2487"/>
    <hyperlink r:id="rId2496" ref="B2488"/>
    <hyperlink r:id="rId2497" ref="B2489"/>
    <hyperlink r:id="rId2498" ref="B2490"/>
    <hyperlink r:id="rId2499" ref="B2491"/>
    <hyperlink r:id="rId2500" ref="B2492"/>
    <hyperlink r:id="rId2501" ref="B2493"/>
    <hyperlink r:id="rId2502" ref="B2494"/>
    <hyperlink r:id="rId2503" ref="B2495"/>
    <hyperlink r:id="rId2504" ref="B2496"/>
    <hyperlink r:id="rId2505" ref="B2497"/>
    <hyperlink r:id="rId2506" ref="B2498"/>
    <hyperlink r:id="rId2507" ref="B2499"/>
    <hyperlink r:id="rId2508" ref="B2500"/>
    <hyperlink r:id="rId2509" ref="B2501"/>
    <hyperlink r:id="rId2510" ref="B2502"/>
    <hyperlink r:id="rId2511" ref="B2503"/>
    <hyperlink r:id="rId2512" ref="B2504"/>
    <hyperlink r:id="rId2513" ref="B2505"/>
    <hyperlink r:id="rId2514" ref="B2506"/>
    <hyperlink r:id="rId2515" ref="B2507"/>
    <hyperlink r:id="rId2516" ref="B2508"/>
    <hyperlink r:id="rId2517" ref="B2509"/>
    <hyperlink r:id="rId2518" ref="B2510"/>
    <hyperlink r:id="rId2519" ref="B2511"/>
    <hyperlink r:id="rId2520" ref="B2512"/>
    <hyperlink r:id="rId2521" ref="B2513"/>
    <hyperlink r:id="rId2522" ref="B2514"/>
    <hyperlink r:id="rId2523" ref="B2515"/>
    <hyperlink r:id="rId2524" ref="B2516"/>
    <hyperlink r:id="rId2525" ref="B2517"/>
    <hyperlink r:id="rId2526" ref="B2518"/>
    <hyperlink r:id="rId2527" ref="B2519"/>
    <hyperlink r:id="rId2528" ref="B2520"/>
    <hyperlink r:id="rId2529" ref="B2521"/>
    <hyperlink r:id="rId2530" ref="B2522"/>
    <hyperlink r:id="rId2531" ref="B2523"/>
    <hyperlink r:id="rId2532" ref="B2524"/>
    <hyperlink r:id="rId2533" ref="B2525"/>
    <hyperlink r:id="rId2534" ref="B2526"/>
    <hyperlink r:id="rId2535" ref="B2527"/>
    <hyperlink r:id="rId2536" ref="B2528"/>
    <hyperlink r:id="rId2537" ref="B2529"/>
    <hyperlink r:id="rId2538" ref="B2530"/>
    <hyperlink r:id="rId2539" ref="B2531"/>
    <hyperlink r:id="rId2540" ref="B2532"/>
    <hyperlink r:id="rId2541" ref="B2533"/>
    <hyperlink r:id="rId2542" ref="B2534"/>
    <hyperlink r:id="rId2543" ref="B2535"/>
    <hyperlink r:id="rId2544" ref="B2536"/>
    <hyperlink r:id="rId2545" ref="B2537"/>
    <hyperlink r:id="rId2546" ref="B2538"/>
    <hyperlink r:id="rId2547" ref="B2539"/>
    <hyperlink r:id="rId2548" ref="B2540"/>
    <hyperlink r:id="rId2549" ref="B2541"/>
    <hyperlink r:id="rId2550" ref="B2542"/>
    <hyperlink r:id="rId2551" ref="B2543"/>
    <hyperlink r:id="rId2552" ref="B2544"/>
    <hyperlink r:id="rId2553" ref="B2545"/>
    <hyperlink r:id="rId2554" ref="B2546"/>
    <hyperlink r:id="rId2555" ref="B2547"/>
    <hyperlink r:id="rId2556" ref="B2548"/>
    <hyperlink r:id="rId2557" ref="B2549"/>
    <hyperlink r:id="rId2558" ref="B2550"/>
    <hyperlink r:id="rId2559" ref="B2551"/>
    <hyperlink r:id="rId2560" ref="B2552"/>
    <hyperlink r:id="rId2561" ref="B2553"/>
    <hyperlink r:id="rId2562" ref="B2554"/>
    <hyperlink r:id="rId2563" ref="B2555"/>
    <hyperlink r:id="rId2564" ref="B2556"/>
    <hyperlink r:id="rId2565" ref="B2557"/>
    <hyperlink r:id="rId2566" ref="B2558"/>
    <hyperlink r:id="rId2567" ref="B2559"/>
    <hyperlink r:id="rId2568" ref="B2560"/>
    <hyperlink r:id="rId2569" ref="B2561"/>
    <hyperlink r:id="rId2570" ref="B2562"/>
    <hyperlink r:id="rId2571" ref="B2563"/>
    <hyperlink r:id="rId2572" ref="B2564"/>
    <hyperlink r:id="rId2573" ref="B2565"/>
    <hyperlink r:id="rId2574" ref="B2566"/>
    <hyperlink r:id="rId2575" ref="B2567"/>
    <hyperlink r:id="rId2576" ref="B2568"/>
    <hyperlink r:id="rId2577" ref="B2569"/>
    <hyperlink r:id="rId2578" ref="B2570"/>
    <hyperlink r:id="rId2579" ref="B2571"/>
    <hyperlink r:id="rId2580" ref="B2572"/>
    <hyperlink r:id="rId2581" ref="B2573"/>
    <hyperlink r:id="rId2582" ref="B2574"/>
    <hyperlink r:id="rId2583" ref="B2575"/>
    <hyperlink r:id="rId2584" ref="B2576"/>
    <hyperlink r:id="rId2585" ref="B2577"/>
    <hyperlink r:id="rId2586" ref="B2578"/>
    <hyperlink r:id="rId2587" ref="B2579"/>
    <hyperlink r:id="rId2588" ref="B2580"/>
    <hyperlink r:id="rId2589" ref="B2581"/>
    <hyperlink r:id="rId2590" ref="B2582"/>
    <hyperlink r:id="rId2591" ref="B2583"/>
    <hyperlink r:id="rId2592" ref="B2584"/>
    <hyperlink r:id="rId2593" ref="B2585"/>
    <hyperlink r:id="rId2594" ref="B2586"/>
    <hyperlink r:id="rId2595" ref="B2587"/>
    <hyperlink r:id="rId2596" ref="B2588"/>
    <hyperlink r:id="rId2597" ref="B2589"/>
    <hyperlink r:id="rId2598" ref="B2590"/>
    <hyperlink r:id="rId2599" ref="B2591"/>
    <hyperlink r:id="rId2600" ref="B2592"/>
    <hyperlink r:id="rId2601" ref="B2593"/>
    <hyperlink r:id="rId2602" ref="B2594"/>
    <hyperlink r:id="rId2603" ref="B2595"/>
    <hyperlink r:id="rId2604" ref="B2596"/>
    <hyperlink r:id="rId2605" ref="B2597"/>
    <hyperlink r:id="rId2606" ref="B2598"/>
    <hyperlink r:id="rId2607" ref="B2599"/>
    <hyperlink r:id="rId2608" ref="B2600"/>
    <hyperlink r:id="rId2609" ref="B2601"/>
    <hyperlink r:id="rId2610" ref="B2602"/>
    <hyperlink r:id="rId2611" ref="B2603"/>
    <hyperlink r:id="rId2612" ref="B2604"/>
    <hyperlink r:id="rId2613" ref="B2605"/>
    <hyperlink r:id="rId2614" ref="B2606"/>
    <hyperlink r:id="rId2615" ref="B2607"/>
    <hyperlink r:id="rId2616" ref="B2608"/>
    <hyperlink r:id="rId2617" ref="B2609"/>
    <hyperlink r:id="rId2618" ref="B2610"/>
    <hyperlink r:id="rId2619" ref="B2611"/>
    <hyperlink r:id="rId2620" ref="B2612"/>
    <hyperlink r:id="rId2621" ref="B2613"/>
    <hyperlink r:id="rId2622" ref="B2614"/>
    <hyperlink r:id="rId2623" ref="B2615"/>
    <hyperlink r:id="rId2624" ref="B2616"/>
    <hyperlink r:id="rId2625" ref="B2617"/>
    <hyperlink r:id="rId2626" ref="B2618"/>
    <hyperlink r:id="rId2627" ref="B2619"/>
    <hyperlink r:id="rId2628" ref="B2620"/>
    <hyperlink r:id="rId2629" ref="B2621"/>
    <hyperlink r:id="rId2630" ref="B2622"/>
    <hyperlink r:id="rId2631" ref="B2623"/>
    <hyperlink r:id="rId2632" ref="B2624"/>
    <hyperlink r:id="rId2633" ref="B2625"/>
    <hyperlink r:id="rId2634" ref="B2626"/>
    <hyperlink r:id="rId2635" ref="B2627"/>
    <hyperlink r:id="rId2636" ref="B2628"/>
    <hyperlink r:id="rId2637" ref="B2629"/>
    <hyperlink r:id="rId2638" ref="B2630"/>
    <hyperlink r:id="rId2639" ref="B2631"/>
    <hyperlink r:id="rId2640" ref="B2632"/>
    <hyperlink r:id="rId2641" ref="B2633"/>
    <hyperlink r:id="rId2642" ref="B2634"/>
    <hyperlink r:id="rId2643" ref="B2635"/>
    <hyperlink r:id="rId2644" ref="B2636"/>
    <hyperlink r:id="rId2645" ref="B2637"/>
    <hyperlink r:id="rId2646" ref="B2638"/>
    <hyperlink r:id="rId2647" ref="B2639"/>
    <hyperlink r:id="rId2648" ref="B2640"/>
    <hyperlink r:id="rId2649" ref="B2641"/>
    <hyperlink r:id="rId2650" ref="B2642"/>
    <hyperlink r:id="rId2651" ref="B2643"/>
    <hyperlink r:id="rId2652" ref="B2644"/>
    <hyperlink r:id="rId2653" ref="B2645"/>
    <hyperlink r:id="rId2654" ref="B2646"/>
    <hyperlink r:id="rId2655" ref="B2647"/>
    <hyperlink r:id="rId2656" ref="B2648"/>
    <hyperlink r:id="rId2657" ref="B2649"/>
    <hyperlink r:id="rId2658" ref="B2650"/>
    <hyperlink r:id="rId2659" ref="B2651"/>
    <hyperlink r:id="rId2660" ref="B2652"/>
    <hyperlink r:id="rId2661" ref="B2653"/>
    <hyperlink r:id="rId2662" ref="B2654"/>
    <hyperlink r:id="rId2663" ref="B2655"/>
    <hyperlink r:id="rId2664" ref="B2656"/>
    <hyperlink r:id="rId2665" ref="B2657"/>
    <hyperlink r:id="rId2666" ref="B2658"/>
    <hyperlink r:id="rId2667" ref="B2659"/>
    <hyperlink r:id="rId2668" ref="B2660"/>
    <hyperlink r:id="rId2669" ref="B2661"/>
    <hyperlink r:id="rId2670" ref="B2662"/>
    <hyperlink r:id="rId2671" ref="B2663"/>
    <hyperlink r:id="rId2672" ref="B2664"/>
    <hyperlink r:id="rId2673" ref="B2665"/>
    <hyperlink r:id="rId2674" ref="B2666"/>
    <hyperlink r:id="rId2675" ref="B2667"/>
    <hyperlink r:id="rId2676" ref="B2668"/>
    <hyperlink r:id="rId2677" ref="B2669"/>
    <hyperlink r:id="rId2678" ref="B2670"/>
    <hyperlink r:id="rId2679" ref="B2671"/>
    <hyperlink r:id="rId2680" ref="B2672"/>
    <hyperlink r:id="rId2681" ref="B2673"/>
    <hyperlink r:id="rId2682" ref="B2674"/>
    <hyperlink r:id="rId2683" ref="B2675"/>
    <hyperlink r:id="rId2684" ref="B2676"/>
    <hyperlink r:id="rId2685" ref="B2677"/>
    <hyperlink r:id="rId2686" ref="B2678"/>
    <hyperlink r:id="rId2687" ref="B2679"/>
    <hyperlink r:id="rId2688" ref="B2680"/>
    <hyperlink r:id="rId2689" ref="B2681"/>
    <hyperlink r:id="rId2690" ref="B2682"/>
    <hyperlink r:id="rId2691" ref="B2683"/>
    <hyperlink r:id="rId2692" ref="B2684"/>
    <hyperlink r:id="rId2693" ref="B2685"/>
    <hyperlink r:id="rId2694" ref="B2686"/>
    <hyperlink r:id="rId2695" ref="B2687"/>
    <hyperlink r:id="rId2696" ref="B2688"/>
    <hyperlink r:id="rId2697" ref="B2689"/>
    <hyperlink r:id="rId2698" ref="B2690"/>
    <hyperlink r:id="rId2699" ref="B2691"/>
    <hyperlink r:id="rId2700" ref="B2692"/>
    <hyperlink r:id="rId2701" ref="B2693"/>
    <hyperlink r:id="rId2702" ref="B2694"/>
    <hyperlink r:id="rId2703" ref="B2695"/>
    <hyperlink r:id="rId2704" ref="B2696"/>
    <hyperlink r:id="rId2705" ref="B2697"/>
    <hyperlink r:id="rId2706" ref="B2698"/>
    <hyperlink r:id="rId2707" ref="B2699"/>
    <hyperlink r:id="rId2708" ref="B2700"/>
    <hyperlink r:id="rId2709" ref="B2701"/>
    <hyperlink r:id="rId2710" ref="B2702"/>
    <hyperlink r:id="rId2711" ref="B2703"/>
    <hyperlink r:id="rId2712" ref="B2704"/>
    <hyperlink r:id="rId2713" ref="B2705"/>
    <hyperlink r:id="rId2714" ref="B2706"/>
    <hyperlink r:id="rId2715" ref="B2707"/>
    <hyperlink r:id="rId2716" ref="B2708"/>
    <hyperlink r:id="rId2717" ref="B2709"/>
    <hyperlink r:id="rId2718" ref="B2710"/>
    <hyperlink r:id="rId2719" ref="B2711"/>
    <hyperlink r:id="rId2720" ref="B2712"/>
    <hyperlink r:id="rId2721" ref="B2713"/>
    <hyperlink r:id="rId2722" ref="B2714"/>
    <hyperlink r:id="rId2723" ref="B2715"/>
    <hyperlink r:id="rId2724" ref="B2716"/>
    <hyperlink r:id="rId2725" ref="B2717"/>
    <hyperlink r:id="rId2726" ref="B2718"/>
    <hyperlink r:id="rId2727" ref="B2719"/>
    <hyperlink r:id="rId2728" ref="B2720"/>
    <hyperlink r:id="rId2729" ref="B2721"/>
    <hyperlink r:id="rId2730" ref="B2722"/>
    <hyperlink r:id="rId2731" ref="B2723"/>
    <hyperlink r:id="rId2732" ref="B2724"/>
    <hyperlink r:id="rId2733" ref="B2725"/>
    <hyperlink r:id="rId2734" ref="B2726"/>
    <hyperlink r:id="rId2735" ref="B2727"/>
    <hyperlink r:id="rId2736" ref="B2728"/>
    <hyperlink r:id="rId2737" ref="B2729"/>
    <hyperlink r:id="rId2738" ref="B2730"/>
    <hyperlink r:id="rId2739" ref="B2731"/>
    <hyperlink r:id="rId2740" ref="B2732"/>
    <hyperlink r:id="rId2741" ref="B2733"/>
    <hyperlink r:id="rId2742" ref="B2734"/>
    <hyperlink r:id="rId2743" ref="B2735"/>
    <hyperlink r:id="rId2744" ref="B2736"/>
    <hyperlink r:id="rId2745" ref="B2737"/>
    <hyperlink r:id="rId2746" ref="B2738"/>
    <hyperlink r:id="rId2747" ref="B2739"/>
    <hyperlink r:id="rId2748" ref="B2740"/>
    <hyperlink r:id="rId2749" ref="B2741"/>
    <hyperlink r:id="rId2750" ref="B2742"/>
    <hyperlink r:id="rId2751" ref="B2743"/>
    <hyperlink r:id="rId2752" ref="B2744"/>
    <hyperlink r:id="rId2753" ref="B2745"/>
    <hyperlink r:id="rId2754" ref="B2746"/>
    <hyperlink r:id="rId2755" ref="B2747"/>
    <hyperlink r:id="rId2756" ref="B2748"/>
    <hyperlink r:id="rId2757" ref="B2749"/>
    <hyperlink r:id="rId2758" ref="B2750"/>
    <hyperlink r:id="rId2759" ref="B2751"/>
    <hyperlink r:id="rId2760" ref="B2752"/>
    <hyperlink r:id="rId2761" ref="B2753"/>
    <hyperlink r:id="rId2762" ref="B2754"/>
    <hyperlink r:id="rId2763" ref="B2755"/>
    <hyperlink r:id="rId2764" ref="B2756"/>
    <hyperlink r:id="rId2765" ref="B2757"/>
    <hyperlink r:id="rId2766" ref="B2758"/>
    <hyperlink r:id="rId2767" ref="B2759"/>
    <hyperlink r:id="rId2768" ref="B2760"/>
    <hyperlink r:id="rId2769" ref="B2761"/>
    <hyperlink r:id="rId2770" ref="B2762"/>
    <hyperlink r:id="rId2771" ref="B2763"/>
    <hyperlink r:id="rId2772" ref="B2764"/>
    <hyperlink r:id="rId2773" ref="B2765"/>
    <hyperlink r:id="rId2774" ref="B2766"/>
    <hyperlink r:id="rId2775" ref="B2767"/>
    <hyperlink r:id="rId2776" ref="B2768"/>
    <hyperlink r:id="rId2777" ref="B2769"/>
    <hyperlink r:id="rId2778" ref="B2770"/>
    <hyperlink r:id="rId2779" ref="B2771"/>
    <hyperlink r:id="rId2780" ref="B2772"/>
    <hyperlink r:id="rId2781" ref="B2773"/>
    <hyperlink r:id="rId2782" ref="B2774"/>
    <hyperlink r:id="rId2783" ref="B2775"/>
    <hyperlink r:id="rId2784" ref="B2776"/>
    <hyperlink r:id="rId2785" ref="B2777"/>
    <hyperlink r:id="rId2786" ref="B2778"/>
    <hyperlink r:id="rId2787" ref="B2779"/>
    <hyperlink r:id="rId2788" ref="B2780"/>
    <hyperlink r:id="rId2789" ref="B2781"/>
    <hyperlink r:id="rId2790" ref="B2782"/>
    <hyperlink r:id="rId2791" ref="B2783"/>
    <hyperlink r:id="rId2792" ref="B2784"/>
    <hyperlink r:id="rId2793" ref="B2785"/>
    <hyperlink r:id="rId2794" ref="B2786"/>
    <hyperlink r:id="rId2795" ref="B2787"/>
    <hyperlink r:id="rId2796" ref="B2788"/>
    <hyperlink r:id="rId2797" ref="B2789"/>
    <hyperlink r:id="rId2798" ref="B2790"/>
    <hyperlink r:id="rId2799" ref="B2791"/>
    <hyperlink r:id="rId2800" ref="B2792"/>
    <hyperlink r:id="rId2801" ref="B2793"/>
    <hyperlink r:id="rId2802" ref="B2794"/>
    <hyperlink r:id="rId2803" ref="B2795"/>
    <hyperlink r:id="rId2804" ref="B2796"/>
    <hyperlink r:id="rId2805" ref="B2797"/>
    <hyperlink r:id="rId2806" ref="B2798"/>
    <hyperlink r:id="rId2807" ref="B2799"/>
    <hyperlink r:id="rId2808" ref="B2800"/>
    <hyperlink r:id="rId2809" ref="B2801"/>
    <hyperlink r:id="rId2810" ref="B2802"/>
    <hyperlink r:id="rId2811" ref="B2803"/>
    <hyperlink r:id="rId2812" ref="B2804"/>
    <hyperlink r:id="rId2813" ref="B2805"/>
    <hyperlink r:id="rId2814" ref="B2806"/>
    <hyperlink r:id="rId2815" ref="B2807"/>
    <hyperlink r:id="rId2816" ref="B2808"/>
    <hyperlink r:id="rId2817" ref="B2809"/>
    <hyperlink r:id="rId2818" ref="B2810"/>
    <hyperlink r:id="rId2819" ref="B2811"/>
    <hyperlink r:id="rId2820" ref="B2812"/>
    <hyperlink r:id="rId2821" ref="B2813"/>
    <hyperlink r:id="rId2822" ref="B2814"/>
    <hyperlink r:id="rId2823" ref="B2815"/>
    <hyperlink r:id="rId2824" ref="B2816"/>
    <hyperlink r:id="rId2825" ref="B2817"/>
    <hyperlink r:id="rId2826" ref="B2818"/>
    <hyperlink r:id="rId2827" ref="B2819"/>
    <hyperlink r:id="rId2828" ref="B2820"/>
    <hyperlink r:id="rId2829" ref="B2821"/>
    <hyperlink r:id="rId2830" ref="B2822"/>
    <hyperlink r:id="rId2831" ref="B2823"/>
    <hyperlink r:id="rId2832" ref="B2824"/>
    <hyperlink r:id="rId2833" ref="B2825"/>
    <hyperlink r:id="rId2834" ref="B2826"/>
    <hyperlink r:id="rId2835" ref="B2827"/>
    <hyperlink r:id="rId2836" ref="B2828"/>
    <hyperlink r:id="rId2837" ref="B2829"/>
    <hyperlink r:id="rId2838" ref="B2830"/>
    <hyperlink r:id="rId2839" ref="B2831"/>
    <hyperlink r:id="rId2840" ref="B2832"/>
    <hyperlink r:id="rId2841" ref="B2833"/>
    <hyperlink r:id="rId2842" ref="B2834"/>
    <hyperlink r:id="rId2843" ref="B2835"/>
    <hyperlink r:id="rId2844" ref="B2836"/>
    <hyperlink r:id="rId2845" ref="B2837"/>
    <hyperlink r:id="rId2846" ref="B2838"/>
    <hyperlink r:id="rId2847" ref="B2839"/>
    <hyperlink r:id="rId2848" ref="B2840"/>
    <hyperlink r:id="rId2849" ref="B2841"/>
    <hyperlink r:id="rId2850" ref="B2842"/>
    <hyperlink r:id="rId2851" ref="B2843"/>
    <hyperlink r:id="rId2852" ref="B2844"/>
    <hyperlink r:id="rId2853" ref="B2845"/>
    <hyperlink r:id="rId2854" ref="B2846"/>
    <hyperlink r:id="rId2855" ref="B2847"/>
    <hyperlink r:id="rId2856" ref="B2848"/>
    <hyperlink r:id="rId2857" ref="B2849"/>
    <hyperlink r:id="rId2858" ref="B2850"/>
    <hyperlink r:id="rId2859" ref="B2851"/>
    <hyperlink r:id="rId2860" ref="B2852"/>
    <hyperlink r:id="rId2861" ref="B2853"/>
    <hyperlink r:id="rId2862" ref="B2854"/>
    <hyperlink r:id="rId2863" ref="B2855"/>
    <hyperlink r:id="rId2864" ref="B2856"/>
    <hyperlink r:id="rId2865" ref="B2857"/>
    <hyperlink r:id="rId2866" ref="B2858"/>
    <hyperlink r:id="rId2867" ref="B2859"/>
    <hyperlink r:id="rId2868" ref="B2860"/>
    <hyperlink r:id="rId2869" ref="B2861"/>
    <hyperlink r:id="rId2870" ref="B2862"/>
    <hyperlink r:id="rId2871" ref="B2863"/>
    <hyperlink r:id="rId2872" ref="B2864"/>
    <hyperlink r:id="rId2873" ref="B2865"/>
    <hyperlink r:id="rId2874" ref="B2866"/>
    <hyperlink r:id="rId2875" ref="B2867"/>
    <hyperlink r:id="rId2876" ref="B2868"/>
    <hyperlink r:id="rId2877" ref="B2869"/>
    <hyperlink r:id="rId2878" ref="B2870"/>
    <hyperlink r:id="rId2879" ref="B2871"/>
    <hyperlink r:id="rId2880" ref="B2872"/>
    <hyperlink r:id="rId2881" ref="B2873"/>
    <hyperlink r:id="rId2882" ref="B2874"/>
    <hyperlink r:id="rId2883" ref="B2875"/>
    <hyperlink r:id="rId2884" ref="B2876"/>
    <hyperlink r:id="rId2885" ref="B2877"/>
    <hyperlink r:id="rId2886" ref="B2878"/>
    <hyperlink r:id="rId2887" ref="B2879"/>
    <hyperlink r:id="rId2888" ref="B2880"/>
    <hyperlink r:id="rId2889" ref="B2881"/>
    <hyperlink r:id="rId2890" ref="B2882"/>
    <hyperlink r:id="rId2891" ref="B2883"/>
    <hyperlink r:id="rId2892" ref="B2884"/>
    <hyperlink r:id="rId2893" ref="B2885"/>
    <hyperlink r:id="rId2894" ref="B2886"/>
    <hyperlink r:id="rId2895" ref="B2887"/>
    <hyperlink r:id="rId2896" ref="B2888"/>
    <hyperlink r:id="rId2897" ref="B2889"/>
    <hyperlink r:id="rId2898" ref="B2890"/>
    <hyperlink r:id="rId2899" ref="B2891"/>
    <hyperlink r:id="rId2900" ref="B2892"/>
    <hyperlink r:id="rId2901" ref="B2893"/>
    <hyperlink r:id="rId2902" ref="B2894"/>
    <hyperlink r:id="rId2903" ref="B2895"/>
    <hyperlink r:id="rId2904" ref="B2896"/>
    <hyperlink r:id="rId2905" ref="B2897"/>
    <hyperlink r:id="rId2906" ref="B2898"/>
    <hyperlink r:id="rId2907" ref="B2899"/>
    <hyperlink r:id="rId2908" ref="B2900"/>
    <hyperlink r:id="rId2909" ref="B2901"/>
    <hyperlink r:id="rId2910" ref="B2902"/>
    <hyperlink r:id="rId2911" ref="B2903"/>
    <hyperlink r:id="rId2912" ref="B2904"/>
    <hyperlink r:id="rId2913" ref="B2905"/>
    <hyperlink r:id="rId2914" ref="B2906"/>
    <hyperlink r:id="rId2915" ref="B2907"/>
    <hyperlink r:id="rId2916" ref="B2908"/>
    <hyperlink r:id="rId2917" ref="B2909"/>
    <hyperlink r:id="rId2918" ref="B2910"/>
    <hyperlink r:id="rId2919" ref="B2911"/>
    <hyperlink r:id="rId2920" ref="B2912"/>
    <hyperlink r:id="rId2921" ref="B2913"/>
    <hyperlink r:id="rId2922" ref="B2914"/>
    <hyperlink r:id="rId2923" ref="B2915"/>
    <hyperlink r:id="rId2924" ref="B2916"/>
    <hyperlink r:id="rId2925" ref="B2917"/>
    <hyperlink r:id="rId2926" ref="B2918"/>
    <hyperlink r:id="rId2927" ref="B2919"/>
    <hyperlink r:id="rId2928" ref="B2920"/>
    <hyperlink r:id="rId2929" ref="B2921"/>
    <hyperlink r:id="rId2930" ref="B2922"/>
    <hyperlink r:id="rId2931" ref="B2923"/>
    <hyperlink r:id="rId2932" ref="B2924"/>
    <hyperlink r:id="rId2933" ref="B2925"/>
    <hyperlink r:id="rId2934" ref="B2926"/>
    <hyperlink r:id="rId2935" ref="B2927"/>
    <hyperlink r:id="rId2936" ref="B2928"/>
    <hyperlink r:id="rId2937" ref="B2929"/>
    <hyperlink r:id="rId2938" ref="B2930"/>
    <hyperlink r:id="rId2939" ref="B2931"/>
    <hyperlink r:id="rId2940" ref="B2932"/>
    <hyperlink r:id="rId2941" ref="B2933"/>
    <hyperlink r:id="rId2942" ref="B2934"/>
    <hyperlink r:id="rId2943" ref="B2935"/>
    <hyperlink r:id="rId2944" ref="B2936"/>
    <hyperlink r:id="rId2945" ref="B2937"/>
    <hyperlink r:id="rId2946" ref="B2938"/>
    <hyperlink r:id="rId2947" ref="B2939"/>
    <hyperlink r:id="rId2948" ref="B2940"/>
    <hyperlink r:id="rId2949" ref="B2941"/>
    <hyperlink r:id="rId2950" ref="B2942"/>
    <hyperlink r:id="rId2951" ref="B2943"/>
    <hyperlink r:id="rId2952" ref="B2944"/>
    <hyperlink r:id="rId2953" ref="B2945"/>
    <hyperlink r:id="rId2954" ref="B2946"/>
    <hyperlink r:id="rId2955" ref="B2947"/>
    <hyperlink r:id="rId2956" ref="B2948"/>
    <hyperlink r:id="rId2957" ref="B2949"/>
    <hyperlink r:id="rId2958" ref="B2950"/>
    <hyperlink r:id="rId2959" ref="B2951"/>
    <hyperlink r:id="rId2960" ref="B2952"/>
    <hyperlink r:id="rId2961" ref="B2953"/>
    <hyperlink r:id="rId2962" ref="B2954"/>
    <hyperlink r:id="rId2963" ref="B2955"/>
    <hyperlink r:id="rId2964" ref="B2956"/>
    <hyperlink r:id="rId2965" ref="B2957"/>
    <hyperlink r:id="rId2966" ref="B2958"/>
    <hyperlink r:id="rId2967" ref="B2959"/>
    <hyperlink r:id="rId2968" ref="B2960"/>
    <hyperlink r:id="rId2969" ref="B2961"/>
    <hyperlink r:id="rId2970" ref="B2962"/>
    <hyperlink r:id="rId2971" ref="B2963"/>
    <hyperlink r:id="rId2972" ref="B2964"/>
    <hyperlink r:id="rId2973" ref="B2965"/>
    <hyperlink r:id="rId2974" ref="B2966"/>
    <hyperlink r:id="rId2975" ref="B2967"/>
    <hyperlink r:id="rId2976" ref="B2968"/>
    <hyperlink r:id="rId2977" ref="B2969"/>
    <hyperlink r:id="rId2978" ref="B2970"/>
    <hyperlink r:id="rId2979" ref="B2971"/>
    <hyperlink r:id="rId2980" ref="B2972"/>
    <hyperlink r:id="rId2981" ref="B2973"/>
    <hyperlink r:id="rId2982" ref="B2974"/>
    <hyperlink r:id="rId2983" ref="B2975"/>
    <hyperlink r:id="rId2984" ref="B2976"/>
    <hyperlink r:id="rId2985" ref="B2977"/>
    <hyperlink r:id="rId2986" ref="B2978"/>
    <hyperlink r:id="rId2987" ref="B2979"/>
    <hyperlink r:id="rId2988" ref="B2980"/>
    <hyperlink r:id="rId2989" ref="B2981"/>
    <hyperlink r:id="rId2990" ref="B2982"/>
    <hyperlink r:id="rId2991" ref="B2983"/>
    <hyperlink r:id="rId2992" ref="B2984"/>
    <hyperlink r:id="rId2993" ref="B2985"/>
    <hyperlink r:id="rId2994" ref="B2986"/>
    <hyperlink r:id="rId2995" ref="B2987"/>
    <hyperlink r:id="rId2996" ref="B2988"/>
    <hyperlink r:id="rId2997" ref="B2989"/>
    <hyperlink r:id="rId2998" ref="B2990"/>
    <hyperlink r:id="rId2999" ref="B2991"/>
    <hyperlink r:id="rId3000" ref="B2992"/>
    <hyperlink r:id="rId3001" ref="B2993"/>
    <hyperlink r:id="rId3002" ref="B2994"/>
    <hyperlink r:id="rId3003" ref="B2995"/>
    <hyperlink r:id="rId3004" ref="B2996"/>
    <hyperlink r:id="rId3005" ref="B2997"/>
    <hyperlink r:id="rId3006" ref="B2998"/>
    <hyperlink r:id="rId3007" ref="B2999"/>
    <hyperlink r:id="rId3008" ref="B3000"/>
    <hyperlink r:id="rId3009" ref="B3001"/>
    <hyperlink r:id="rId3010" ref="B3002"/>
    <hyperlink r:id="rId3011" ref="B3003"/>
    <hyperlink r:id="rId3012" ref="B3004"/>
    <hyperlink r:id="rId3013" ref="B3005"/>
    <hyperlink r:id="rId3014" ref="B3006"/>
    <hyperlink r:id="rId3015" ref="B3007"/>
    <hyperlink r:id="rId3016" ref="B3008"/>
    <hyperlink r:id="rId3017" ref="B3009"/>
    <hyperlink r:id="rId3018" ref="B3010"/>
    <hyperlink r:id="rId3019" ref="B3011"/>
    <hyperlink r:id="rId3020" ref="B3012"/>
    <hyperlink r:id="rId3021" ref="B3013"/>
    <hyperlink r:id="rId3022" ref="B3014"/>
    <hyperlink r:id="rId3023" ref="B3015"/>
    <hyperlink r:id="rId3024" ref="B3016"/>
    <hyperlink r:id="rId3025" ref="B3017"/>
    <hyperlink r:id="rId3026" ref="B3018"/>
    <hyperlink r:id="rId3027" ref="B3019"/>
    <hyperlink r:id="rId3028" ref="B3020"/>
    <hyperlink r:id="rId3029" ref="B3021"/>
    <hyperlink r:id="rId3030" ref="B3022"/>
    <hyperlink r:id="rId3031" ref="B3023"/>
    <hyperlink r:id="rId3032" ref="B3024"/>
    <hyperlink r:id="rId3033" ref="B3025"/>
    <hyperlink r:id="rId3034" ref="B3026"/>
  </hyperlinks>
  <drawing r:id="rId3035"/>
</worksheet>
</file>